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DIP\OneDrive\Desktop\Junior Club\"/>
    </mc:Choice>
  </mc:AlternateContent>
  <xr:revisionPtr revIDLastSave="0" documentId="13_ncr:1_{B4E87DBE-9B16-4D3F-A7FD-9BA8B88375E0}" xr6:coauthVersionLast="45" xr6:coauthVersionMax="45" xr10:uidLastSave="{00000000-0000-0000-0000-000000000000}"/>
  <bookViews>
    <workbookView xWindow="-120" yWindow="-120" windowWidth="29040" windowHeight="15720" activeTab="7" xr2:uid="{4382E5EB-FA2D-4518-B990-55E6FF9AA1DC}"/>
  </bookViews>
  <sheets>
    <sheet name="Product" sheetId="1" r:id="rId1"/>
    <sheet name="Supplier" sheetId="2" r:id="rId2"/>
    <sheet name="Customer" sheetId="3" r:id="rId3"/>
    <sheet name="Opning" sheetId="4" r:id="rId4"/>
    <sheet name="Purchase" sheetId="5" r:id="rId5"/>
    <sheet name="Sales" sheetId="6" r:id="rId6"/>
    <sheet name="Stock" sheetId="11" r:id="rId7"/>
    <sheet name="Invoice" sheetId="8" r:id="rId8"/>
    <sheet name="Reprint INVS" sheetId="15" r:id="rId9"/>
    <sheet name="Purchase Bill" sheetId="16" r:id="rId10"/>
    <sheet name="Reprint Purh" sheetId="18" r:id="rId11"/>
  </sheets>
  <functionGroups builtInGroupCount="19"/>
  <definedNames>
    <definedName name="_xlnm._FilterDatabase" localSheetId="0" hidden="1">Product!$A$2:$H$502</definedName>
    <definedName name="_xlnm._FilterDatabase" localSheetId="4" hidden="1">Purchase!$A$2:$R$2501</definedName>
    <definedName name="_xlnm._FilterDatabase" localSheetId="5" hidden="1">Sales!$A$2:$R$5005</definedName>
    <definedName name="_xlnm._FilterDatabase" localSheetId="1" hidden="1">Supplier!$A$2:$E$52</definedName>
    <definedName name="_xlnm.Print_Area" localSheetId="7">Invoice!$A$1:$O$44</definedName>
    <definedName name="_xlnm.Print_Area" localSheetId="9">'Purchase Bill'!$A$1:$O$44</definedName>
    <definedName name="_xlnm.Print_Area" localSheetId="8">'Reprint INVS'!$A$1:$O$44</definedName>
    <definedName name="_xlnm.Print_Area" localSheetId="10">'Reprint Purh'!$A$1:$O$44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005" i="6" l="1"/>
  <c r="Q5004" i="6"/>
  <c r="Q5003" i="6"/>
  <c r="R5005" i="6" l="1"/>
  <c r="A5" i="18"/>
  <c r="A4" i="18"/>
  <c r="A3" i="18"/>
  <c r="R5004" i="6" l="1"/>
  <c r="R5003" i="6"/>
  <c r="F293" i="11"/>
  <c r="F405" i="11"/>
  <c r="F446" i="11"/>
  <c r="F488" i="1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3" i="2"/>
  <c r="E12" i="16"/>
  <c r="E14" i="16"/>
  <c r="E13" i="16"/>
  <c r="E11" i="16"/>
  <c r="E10" i="16"/>
  <c r="M2" i="8" l="1"/>
  <c r="A5" i="16" l="1"/>
  <c r="A4" i="16"/>
  <c r="A3" i="16"/>
  <c r="H1095" i="5" l="1"/>
  <c r="H1619" i="5"/>
  <c r="H1648" i="5"/>
  <c r="H270" i="5"/>
  <c r="H1737" i="5"/>
  <c r="H2203" i="5"/>
  <c r="H248" i="5"/>
  <c r="H1780" i="5"/>
  <c r="H371" i="5"/>
  <c r="H836" i="5"/>
  <c r="H65" i="5"/>
  <c r="H655" i="5"/>
  <c r="H755" i="5"/>
  <c r="H2031" i="5"/>
  <c r="H1819" i="5"/>
  <c r="H1168" i="5"/>
  <c r="H2479" i="5"/>
  <c r="H336" i="5"/>
  <c r="H1274" i="5"/>
  <c r="H1434" i="5"/>
  <c r="H2307" i="5"/>
  <c r="H351" i="5"/>
  <c r="H2294" i="5"/>
  <c r="H37" i="5"/>
  <c r="H1340" i="5"/>
  <c r="H1250" i="5"/>
  <c r="H762" i="5"/>
  <c r="H1610" i="5"/>
  <c r="H2308" i="5"/>
  <c r="H1466" i="5"/>
  <c r="H78" i="5"/>
  <c r="H1125" i="5"/>
  <c r="H1993" i="5"/>
  <c r="H808" i="5"/>
  <c r="H164" i="5"/>
  <c r="H789" i="5"/>
  <c r="H1339" i="5"/>
  <c r="H1314" i="5"/>
  <c r="H1158" i="5"/>
  <c r="H52" i="5"/>
  <c r="H978" i="5"/>
  <c r="H1376" i="5"/>
  <c r="H895" i="5"/>
  <c r="H2318" i="5"/>
  <c r="H2249" i="5"/>
  <c r="H1193" i="5"/>
  <c r="H944" i="5"/>
  <c r="H2116" i="5"/>
  <c r="H1602" i="5"/>
  <c r="H1485" i="5"/>
  <c r="H1517" i="5"/>
  <c r="H1605" i="5"/>
  <c r="H886" i="5"/>
  <c r="H992" i="5"/>
  <c r="H1594" i="5"/>
  <c r="H1306" i="5"/>
  <c r="H1234" i="5"/>
  <c r="H2283" i="5"/>
  <c r="H1279" i="5"/>
  <c r="H2167" i="5"/>
  <c r="H2394" i="5"/>
  <c r="H296" i="5"/>
  <c r="H1151" i="5"/>
  <c r="H1672" i="5"/>
  <c r="H2429" i="5"/>
  <c r="H1625" i="5"/>
  <c r="H2072" i="5"/>
  <c r="H1656" i="5"/>
  <c r="H981" i="5"/>
  <c r="H1105" i="5"/>
  <c r="H2409" i="5"/>
  <c r="H1260" i="5"/>
  <c r="H1435" i="5"/>
  <c r="H2451" i="5"/>
  <c r="H2083" i="5"/>
  <c r="H2362" i="5"/>
  <c r="H129" i="5"/>
  <c r="H803" i="5"/>
  <c r="H822" i="5"/>
  <c r="H1685" i="5"/>
  <c r="H1669" i="5"/>
  <c r="H287" i="5"/>
  <c r="H669" i="5"/>
  <c r="H611" i="5"/>
  <c r="H284" i="5"/>
  <c r="H1122" i="5"/>
  <c r="H982" i="5"/>
  <c r="H996" i="5"/>
  <c r="H849" i="5"/>
  <c r="H2175" i="5"/>
  <c r="H882" i="5"/>
  <c r="H1014" i="5"/>
  <c r="H301" i="5"/>
  <c r="H674" i="5"/>
  <c r="H1087" i="5"/>
  <c r="H1866" i="5"/>
  <c r="H176" i="5"/>
  <c r="H1008" i="5"/>
  <c r="H1341" i="5"/>
  <c r="H1453" i="5"/>
  <c r="H1067" i="5"/>
  <c r="H1427" i="5"/>
  <c r="H741" i="5"/>
  <c r="H1878" i="5"/>
  <c r="H2020" i="5"/>
  <c r="H2155" i="5"/>
  <c r="H2378" i="5"/>
  <c r="H2382" i="5"/>
  <c r="H2285" i="5"/>
  <c r="H299" i="5"/>
  <c r="H1436" i="5"/>
  <c r="H1222" i="5"/>
  <c r="H1246" i="5"/>
  <c r="H501" i="5"/>
  <c r="H2277" i="5"/>
  <c r="H769" i="5"/>
  <c r="H144" i="5"/>
  <c r="H641" i="5"/>
  <c r="H1166" i="5"/>
  <c r="H631" i="5"/>
  <c r="H1705" i="5"/>
  <c r="H1848" i="5"/>
  <c r="H383" i="5"/>
  <c r="H346" i="5"/>
  <c r="H394" i="5"/>
  <c r="H476" i="5"/>
  <c r="H1128" i="5"/>
  <c r="H1437" i="5"/>
  <c r="H680" i="5"/>
  <c r="H735" i="5"/>
  <c r="H647" i="5"/>
  <c r="H1039" i="5"/>
  <c r="H984" i="5"/>
  <c r="H121" i="5"/>
  <c r="H151" i="5"/>
  <c r="H1091" i="5"/>
  <c r="H521" i="5"/>
  <c r="H1723" i="5"/>
  <c r="H2373" i="5"/>
  <c r="H1265" i="5"/>
  <c r="H2364" i="5"/>
  <c r="H2256" i="5"/>
  <c r="H1354" i="5"/>
  <c r="H649" i="5"/>
  <c r="H494" i="5"/>
  <c r="H2119" i="5"/>
  <c r="H2241" i="5"/>
  <c r="H736" i="5"/>
  <c r="H2221" i="5"/>
  <c r="H806" i="5"/>
  <c r="H1708" i="5"/>
  <c r="H157" i="5"/>
  <c r="H1727" i="5"/>
  <c r="H660" i="5"/>
  <c r="H1644" i="5"/>
  <c r="H166" i="5"/>
  <c r="H1445" i="5"/>
  <c r="H219" i="5"/>
  <c r="H1940" i="5"/>
  <c r="H1420" i="5"/>
  <c r="H2086" i="5"/>
  <c r="H562" i="5"/>
  <c r="H1229" i="5"/>
  <c r="H1473" i="5"/>
  <c r="H1568" i="5"/>
  <c r="H1789" i="5"/>
  <c r="H1413" i="5"/>
  <c r="H239" i="5"/>
  <c r="H1997" i="5"/>
  <c r="H1890" i="5"/>
  <c r="H268" i="5"/>
  <c r="H2492" i="5"/>
  <c r="H1914" i="5"/>
  <c r="H1135" i="5"/>
  <c r="H2158" i="5"/>
  <c r="H254" i="5"/>
  <c r="H474" i="5"/>
  <c r="H1620" i="5"/>
  <c r="H1189" i="5"/>
  <c r="H710" i="5"/>
  <c r="H1944" i="5"/>
  <c r="H2439" i="5"/>
  <c r="H830" i="5"/>
  <c r="H1481" i="5"/>
  <c r="H792" i="5"/>
  <c r="H1702" i="5"/>
  <c r="H2110" i="5"/>
  <c r="H72" i="5"/>
  <c r="H1328" i="5"/>
  <c r="H2253" i="5"/>
  <c r="H2390" i="5"/>
  <c r="H59" i="5"/>
  <c r="H421" i="5"/>
  <c r="H1216" i="5"/>
  <c r="H2046" i="5"/>
  <c r="H1089" i="5"/>
  <c r="H613" i="5"/>
  <c r="H2076" i="5"/>
  <c r="H184" i="5"/>
  <c r="H2101" i="5"/>
  <c r="H1967" i="5"/>
  <c r="H618" i="5"/>
  <c r="H794" i="5"/>
  <c r="H1383" i="5"/>
  <c r="H2058" i="5"/>
  <c r="H2149" i="5"/>
  <c r="H2147" i="5"/>
  <c r="H1791" i="5"/>
  <c r="H2006" i="5"/>
  <c r="H2493" i="5"/>
  <c r="H1323" i="5"/>
  <c r="H370" i="5"/>
  <c r="H856" i="5"/>
  <c r="H2276" i="5"/>
  <c r="H1405" i="5"/>
  <c r="H292" i="5"/>
  <c r="H750" i="5"/>
  <c r="H1964" i="5"/>
  <c r="H345" i="5"/>
  <c r="H584" i="5"/>
  <c r="H2292" i="5"/>
  <c r="H577" i="5"/>
  <c r="H81" i="5"/>
  <c r="H1393" i="5"/>
  <c r="H2219" i="5"/>
  <c r="H1583" i="5"/>
  <c r="H539" i="5"/>
  <c r="H386" i="5"/>
  <c r="H1035" i="5"/>
  <c r="H1561" i="5"/>
  <c r="H1291" i="5"/>
  <c r="H20" i="5"/>
  <c r="H1757" i="5"/>
  <c r="H204" i="5"/>
  <c r="H2002" i="5"/>
  <c r="H257" i="5"/>
  <c r="H2150" i="5"/>
  <c r="H1270" i="5"/>
  <c r="H1740" i="5"/>
  <c r="H1604" i="5"/>
  <c r="H2306" i="5"/>
  <c r="H1327" i="5"/>
  <c r="H1408" i="5"/>
  <c r="H1051" i="5"/>
  <c r="H773" i="5"/>
  <c r="H1554" i="5"/>
  <c r="H2011" i="5"/>
  <c r="H1299" i="5"/>
  <c r="H1623" i="5"/>
  <c r="H1258" i="5"/>
  <c r="H2446" i="5"/>
  <c r="H753" i="5"/>
  <c r="H936" i="5"/>
  <c r="H1716" i="5"/>
  <c r="H1684" i="5"/>
  <c r="H845" i="5"/>
  <c r="H797" i="5"/>
  <c r="H1211" i="5"/>
  <c r="H2264" i="5"/>
  <c r="H2474" i="5"/>
  <c r="H1872" i="5"/>
  <c r="H2007" i="5"/>
  <c r="H2100" i="5"/>
  <c r="H840" i="5"/>
  <c r="H733" i="5"/>
  <c r="H1865" i="5"/>
  <c r="H2142" i="5"/>
  <c r="H1046" i="5"/>
  <c r="H182" i="5"/>
  <c r="H1140" i="5"/>
  <c r="H1304" i="5"/>
  <c r="H1482" i="5"/>
  <c r="H536" i="5"/>
  <c r="H2207" i="5"/>
  <c r="H643" i="5"/>
  <c r="H1031" i="5"/>
  <c r="H1156" i="5"/>
  <c r="H837" i="5"/>
  <c r="H651" i="5"/>
  <c r="H1155" i="5"/>
  <c r="H1410" i="5"/>
  <c r="H1725" i="5"/>
  <c r="H41" i="5"/>
  <c r="H1192" i="5"/>
  <c r="H1900" i="5"/>
  <c r="H1404" i="5"/>
  <c r="H451" i="5"/>
  <c r="H165" i="5"/>
  <c r="H1640" i="5"/>
  <c r="H2166" i="5"/>
  <c r="H2176" i="5"/>
  <c r="H1227" i="5"/>
  <c r="H893" i="5"/>
  <c r="H2227" i="5"/>
  <c r="H890" i="5"/>
  <c r="H1465" i="5"/>
  <c r="H1991" i="5"/>
  <c r="H1697" i="5"/>
  <c r="H1007" i="5"/>
  <c r="H1069" i="5"/>
  <c r="H1556" i="5"/>
  <c r="H1159" i="5"/>
  <c r="H1713" i="5"/>
  <c r="H2217" i="5"/>
  <c r="H506" i="5"/>
  <c r="H1085" i="5"/>
  <c r="H1710" i="5"/>
  <c r="H1861" i="5"/>
  <c r="H46" i="5"/>
  <c r="H433" i="5"/>
  <c r="H1855" i="5"/>
  <c r="H2399" i="5"/>
  <c r="H294" i="5"/>
  <c r="H1259" i="5"/>
  <c r="H1599" i="5"/>
  <c r="H1646" i="5"/>
  <c r="H265" i="5"/>
  <c r="H486" i="5"/>
  <c r="H709" i="5"/>
  <c r="H786" i="5"/>
  <c r="H1228" i="5"/>
  <c r="H1397" i="5"/>
  <c r="H1743" i="5"/>
  <c r="H1987" i="5"/>
  <c r="H2117" i="5"/>
  <c r="H14" i="5"/>
  <c r="H89" i="5"/>
  <c r="H220" i="5"/>
  <c r="H2289" i="5"/>
  <c r="H262" i="5"/>
  <c r="H941" i="5"/>
  <c r="H1748" i="5"/>
  <c r="H1952" i="5"/>
  <c r="H2013" i="5"/>
  <c r="H2162" i="5"/>
  <c r="H2186" i="5"/>
  <c r="H2386" i="5"/>
  <c r="H202" i="5"/>
  <c r="H352" i="5"/>
  <c r="H991" i="5"/>
  <c r="H1012" i="5"/>
  <c r="H1093" i="5"/>
  <c r="H1103" i="5"/>
  <c r="H1747" i="5"/>
  <c r="H2273" i="5"/>
  <c r="H51" i="5"/>
  <c r="H454" i="5"/>
  <c r="H1637" i="5"/>
  <c r="H2466" i="5"/>
  <c r="H1353" i="5"/>
  <c r="H1630" i="5"/>
  <c r="H2303" i="5"/>
  <c r="H2416" i="5"/>
  <c r="H71" i="5"/>
  <c r="H517" i="5"/>
  <c r="H1188" i="5"/>
  <c r="H2320" i="5"/>
  <c r="H2343" i="5"/>
  <c r="H754" i="5"/>
  <c r="H861" i="5"/>
  <c r="H1494" i="5"/>
  <c r="H2113" i="5"/>
  <c r="H2458" i="5"/>
  <c r="H29" i="5"/>
  <c r="H498" i="5"/>
  <c r="H1242" i="5"/>
  <c r="H1451" i="5"/>
  <c r="H1694" i="5"/>
  <c r="H2298" i="5"/>
  <c r="H2348" i="5"/>
  <c r="H58" i="5"/>
  <c r="H510" i="5"/>
  <c r="H558" i="5"/>
  <c r="H1232" i="5"/>
  <c r="H1570" i="5"/>
  <c r="H2143" i="5"/>
  <c r="H931" i="5"/>
  <c r="H1019" i="5"/>
  <c r="H1526" i="5"/>
  <c r="H1915" i="5"/>
  <c r="H236" i="5"/>
  <c r="H597" i="5"/>
  <c r="H1107" i="5"/>
  <c r="H1587" i="5"/>
  <c r="H1609" i="5"/>
  <c r="H73" i="5"/>
  <c r="H833" i="5"/>
  <c r="H1075" i="5"/>
  <c r="H1921" i="5"/>
  <c r="H1977" i="5"/>
  <c r="H53" i="5"/>
  <c r="H1276" i="5"/>
  <c r="H1349" i="5"/>
  <c r="H1608" i="5"/>
  <c r="H497" i="5"/>
  <c r="H1471" i="5"/>
  <c r="H2127" i="5"/>
  <c r="H555" i="5"/>
  <c r="H1042" i="5"/>
  <c r="H1422" i="5"/>
  <c r="H2230" i="5"/>
  <c r="H2281" i="5"/>
  <c r="H325" i="5"/>
  <c r="H1032" i="5"/>
  <c r="H2305" i="5"/>
  <c r="H312" i="5"/>
  <c r="H1147" i="5"/>
  <c r="H1992" i="5"/>
  <c r="H2341" i="5"/>
  <c r="H356" i="5"/>
  <c r="H933" i="5"/>
  <c r="H1734" i="5"/>
  <c r="H1751" i="5"/>
  <c r="H2128" i="5"/>
  <c r="H1718" i="5"/>
  <c r="H2018" i="5"/>
  <c r="H520" i="5"/>
  <c r="H1256" i="5"/>
  <c r="H2171" i="5"/>
  <c r="H117" i="5"/>
  <c r="H644" i="5"/>
  <c r="H1312" i="5"/>
  <c r="H1720" i="5"/>
  <c r="H2200" i="5"/>
  <c r="H116" i="5"/>
  <c r="H341" i="5"/>
  <c r="H1755" i="5"/>
  <c r="H850" i="5"/>
  <c r="H1079" i="5"/>
  <c r="H1444" i="5"/>
  <c r="H1808" i="5"/>
  <c r="H438" i="5"/>
  <c r="H804" i="5"/>
  <c r="H876" i="5"/>
  <c r="H1497" i="5"/>
  <c r="H1985" i="5"/>
  <c r="H2198" i="5"/>
  <c r="H2342" i="5"/>
  <c r="H2444" i="5"/>
  <c r="H473" i="5"/>
  <c r="H1810" i="5"/>
  <c r="H2228" i="5"/>
  <c r="H2330" i="5"/>
  <c r="H2412" i="5"/>
  <c r="H48" i="5"/>
  <c r="H295" i="5"/>
  <c r="H488" i="5"/>
  <c r="H2075" i="5"/>
  <c r="H2259" i="5"/>
  <c r="H45" i="5"/>
  <c r="H313" i="5"/>
  <c r="H952" i="5"/>
  <c r="H1545" i="5"/>
  <c r="H1812" i="5"/>
  <c r="H399" i="5"/>
  <c r="H1698" i="5"/>
  <c r="H1771" i="5"/>
  <c r="H338" i="5"/>
  <c r="H801" i="5"/>
  <c r="H953" i="5"/>
  <c r="H1117" i="5"/>
  <c r="H1813" i="5"/>
  <c r="H2074" i="5"/>
  <c r="H2452" i="5"/>
  <c r="H725" i="5"/>
  <c r="H818" i="5"/>
  <c r="H957" i="5"/>
  <c r="H1447" i="5"/>
  <c r="H2161" i="5"/>
  <c r="H965" i="5"/>
  <c r="H1501" i="5"/>
  <c r="H2381" i="5"/>
  <c r="H266" i="5"/>
  <c r="H573" i="5"/>
  <c r="H626" i="5"/>
  <c r="H2404" i="5"/>
  <c r="H430" i="5"/>
  <c r="H904" i="5"/>
  <c r="H1704" i="5"/>
  <c r="H946" i="5"/>
  <c r="H1671" i="5"/>
  <c r="H2010" i="5"/>
  <c r="H2090" i="5"/>
  <c r="H2365" i="5"/>
  <c r="H133" i="5"/>
  <c r="H431" i="5"/>
  <c r="H1888" i="5"/>
  <c r="H2032" i="5"/>
  <c r="H2351" i="5"/>
  <c r="H422" i="5"/>
  <c r="H523" i="5"/>
  <c r="H1315" i="5"/>
  <c r="H1622" i="5"/>
  <c r="H1936" i="5"/>
  <c r="H1092" i="5"/>
  <c r="H1634" i="5"/>
  <c r="H1886" i="5"/>
  <c r="H2223" i="5"/>
  <c r="H86" i="5"/>
  <c r="H714" i="5"/>
  <c r="H1520" i="5"/>
  <c r="H135" i="5"/>
  <c r="H162" i="5"/>
  <c r="H188" i="5"/>
  <c r="H1054" i="5"/>
  <c r="H1346" i="5"/>
  <c r="H1830" i="5"/>
  <c r="H1955" i="5"/>
  <c r="H214" i="5"/>
  <c r="H668" i="5"/>
  <c r="H915" i="5"/>
  <c r="H1207" i="5"/>
  <c r="H1842" i="5"/>
  <c r="H2419" i="5"/>
  <c r="H367" i="5"/>
  <c r="H1023" i="5"/>
  <c r="H76" i="5"/>
  <c r="H686" i="5"/>
  <c r="H1115" i="5"/>
  <c r="H2251" i="5"/>
  <c r="H260" i="5"/>
  <c r="H857" i="5"/>
  <c r="H1782" i="5"/>
  <c r="H2448" i="5"/>
  <c r="H1543" i="5"/>
  <c r="H1657" i="5"/>
  <c r="H2345" i="5"/>
  <c r="H290" i="5"/>
  <c r="H889" i="5"/>
  <c r="H2037" i="5"/>
  <c r="H752" i="5"/>
  <c r="H1439" i="5"/>
  <c r="H1461" i="5"/>
  <c r="H1502" i="5"/>
  <c r="H1946" i="5"/>
  <c r="H2232" i="5"/>
  <c r="H990" i="5"/>
  <c r="H1283" i="5"/>
  <c r="H1831" i="5"/>
  <c r="H2093" i="5"/>
  <c r="H35" i="5"/>
  <c r="H281" i="5"/>
  <c r="H329" i="5"/>
  <c r="H531" i="5"/>
  <c r="H699" i="5"/>
  <c r="H772" i="5"/>
  <c r="H1510" i="5"/>
  <c r="H1528" i="5"/>
  <c r="H1783" i="5"/>
  <c r="H813" i="5"/>
  <c r="H938" i="5"/>
  <c r="H994" i="5"/>
  <c r="H1662" i="5"/>
  <c r="H2296" i="5"/>
  <c r="H783" i="5"/>
  <c r="H906" i="5"/>
  <c r="H995" i="5"/>
  <c r="H1739" i="5"/>
  <c r="H57" i="5"/>
  <c r="H698" i="5"/>
  <c r="H940" i="5"/>
  <c r="H2087" i="5"/>
  <c r="H2108" i="5"/>
  <c r="H2489" i="5"/>
  <c r="H354" i="5"/>
  <c r="H360" i="5"/>
  <c r="H1735" i="5"/>
  <c r="H1688" i="5"/>
  <c r="H855" i="5"/>
  <c r="H1108" i="5"/>
  <c r="H1547" i="5"/>
  <c r="H1598" i="5"/>
  <c r="H2424" i="5"/>
  <c r="H723" i="5"/>
  <c r="H1132" i="5"/>
  <c r="H1415" i="5"/>
  <c r="H2369" i="5"/>
  <c r="H559" i="5"/>
  <c r="H634" i="5"/>
  <c r="H1551" i="5"/>
  <c r="H1899" i="5"/>
  <c r="H622" i="5"/>
  <c r="H2347" i="5"/>
  <c r="H526" i="5"/>
  <c r="H1045" i="5"/>
  <c r="H1811" i="5"/>
  <c r="H2356" i="5"/>
  <c r="H640" i="5"/>
  <c r="H1601" i="5"/>
  <c r="H1801" i="5"/>
  <c r="H2021" i="5"/>
  <c r="H2094" i="5"/>
  <c r="H2165" i="5"/>
  <c r="H2177" i="5"/>
  <c r="H92" i="5"/>
  <c r="H509" i="5"/>
  <c r="H682" i="5"/>
  <c r="H1184" i="5"/>
  <c r="H2194" i="5"/>
  <c r="H2396" i="5"/>
  <c r="H1078" i="5"/>
  <c r="H1119" i="5"/>
  <c r="H206" i="5"/>
  <c r="H416" i="5"/>
  <c r="H1161" i="5"/>
  <c r="H1463" i="5"/>
  <c r="H1728" i="5"/>
  <c r="H1961" i="5"/>
  <c r="H2192" i="5"/>
  <c r="H55" i="5"/>
  <c r="H507" i="5"/>
  <c r="H1199" i="5"/>
  <c r="H1395" i="5"/>
  <c r="H677" i="5"/>
  <c r="H1205" i="5"/>
  <c r="H1632" i="5"/>
  <c r="H1651" i="5"/>
  <c r="H439" i="5"/>
  <c r="H852" i="5"/>
  <c r="H1505" i="5"/>
  <c r="H2350" i="5"/>
  <c r="H231" i="5"/>
  <c r="H964" i="5"/>
  <c r="H1121" i="5"/>
  <c r="H1285" i="5"/>
  <c r="H1519" i="5"/>
  <c r="H1730" i="5"/>
  <c r="H1784" i="5"/>
  <c r="H1925" i="5"/>
  <c r="H2250" i="5"/>
  <c r="H380" i="5"/>
  <c r="H1319" i="5"/>
  <c r="H1766" i="5"/>
  <c r="H1826" i="5"/>
  <c r="H1828" i="5"/>
  <c r="H2097" i="5"/>
  <c r="H645" i="5"/>
  <c r="H727" i="5"/>
  <c r="H2441" i="5"/>
  <c r="H661" i="5"/>
  <c r="H956" i="5"/>
  <c r="H1763" i="5"/>
  <c r="H87" i="5"/>
  <c r="H127" i="5"/>
  <c r="H221" i="5"/>
  <c r="H389" i="5"/>
  <c r="H484" i="5"/>
  <c r="H795" i="5"/>
  <c r="H943" i="5"/>
  <c r="H1664" i="5"/>
  <c r="H2129" i="5"/>
  <c r="H2471" i="5"/>
  <c r="H1491" i="5"/>
  <c r="H1567" i="5"/>
  <c r="H2049" i="5"/>
  <c r="H1297" i="5"/>
  <c r="H1909" i="5"/>
  <c r="H2234" i="5"/>
  <c r="H866" i="5"/>
  <c r="H1525" i="5"/>
  <c r="H1879" i="5"/>
  <c r="H2042" i="5"/>
  <c r="H2139" i="5"/>
  <c r="H298" i="5"/>
  <c r="H628" i="5"/>
  <c r="H2297" i="5"/>
  <c r="H2367" i="5"/>
  <c r="H63" i="5"/>
  <c r="H538" i="5"/>
  <c r="H814" i="5"/>
  <c r="H961" i="5"/>
  <c r="H1382" i="5"/>
  <c r="H1841" i="5"/>
  <c r="H1972" i="5"/>
  <c r="H2137" i="5"/>
  <c r="H425" i="5"/>
  <c r="H722" i="5"/>
  <c r="H2338" i="5"/>
  <c r="H1330" i="5"/>
  <c r="H1522" i="5"/>
  <c r="H2073" i="5"/>
  <c r="H2321" i="5"/>
  <c r="H119" i="5"/>
  <c r="H2226" i="5"/>
  <c r="H823" i="5"/>
  <c r="H1541" i="5"/>
  <c r="H2214" i="5"/>
  <c r="H222" i="5"/>
  <c r="H1123" i="5"/>
  <c r="H1647" i="5"/>
  <c r="H2336" i="5"/>
  <c r="H150" i="5"/>
  <c r="H620" i="5"/>
  <c r="H652" i="5"/>
  <c r="H1112" i="5"/>
  <c r="H1874" i="5"/>
  <c r="H1892" i="5"/>
  <c r="H322" i="5"/>
  <c r="H369" i="5"/>
  <c r="H374" i="5"/>
  <c r="H913" i="5"/>
  <c r="H2067" i="5"/>
  <c r="H250" i="5"/>
  <c r="H382" i="5"/>
  <c r="H458" i="5"/>
  <c r="H863" i="5"/>
  <c r="H1464" i="5"/>
  <c r="H1852" i="5"/>
  <c r="H2096" i="5"/>
  <c r="H218" i="5"/>
  <c r="H549" i="5"/>
  <c r="H1307" i="5"/>
  <c r="H1976" i="5"/>
  <c r="H2174" i="5"/>
  <c r="H91" i="5"/>
  <c r="H303" i="5"/>
  <c r="H571" i="5"/>
  <c r="H697" i="5"/>
  <c r="H1345" i="5"/>
  <c r="H1423" i="5"/>
  <c r="H1928" i="5"/>
  <c r="H2366" i="5"/>
  <c r="H2497" i="5"/>
  <c r="H24" i="5"/>
  <c r="H77" i="5"/>
  <c r="H415" i="5"/>
  <c r="H609" i="5"/>
  <c r="H1082" i="5"/>
  <c r="H1317" i="5"/>
  <c r="H1530" i="5"/>
  <c r="H1918" i="5"/>
  <c r="H1998" i="5"/>
  <c r="H937" i="5"/>
  <c r="H1470" i="5"/>
  <c r="H1588" i="5"/>
  <c r="H2377" i="5"/>
  <c r="H2485" i="5"/>
  <c r="H891" i="5"/>
  <c r="H2204" i="5"/>
  <c r="H1478" i="5"/>
  <c r="H1631" i="5"/>
  <c r="H1707" i="5"/>
  <c r="H2235" i="5"/>
  <c r="H118" i="5"/>
  <c r="H508" i="5"/>
  <c r="H574" i="5"/>
  <c r="H1282" i="5"/>
  <c r="H1292" i="5"/>
  <c r="H950" i="5"/>
  <c r="H1174" i="5"/>
  <c r="H1213" i="5"/>
  <c r="H1856" i="5"/>
  <c r="H2154" i="5"/>
  <c r="H177" i="5"/>
  <c r="H429" i="5"/>
  <c r="H518" i="5"/>
  <c r="H1005" i="5"/>
  <c r="H302" i="5"/>
  <c r="H666" i="5"/>
  <c r="H2169" i="5"/>
  <c r="H443" i="5"/>
  <c r="H662" i="5"/>
  <c r="H711" i="5"/>
  <c r="H1021" i="5"/>
  <c r="H2062" i="5"/>
  <c r="H2242" i="5"/>
  <c r="H39" i="5"/>
  <c r="H197" i="5"/>
  <c r="H546" i="5"/>
  <c r="H1421" i="5"/>
  <c r="H1765" i="5"/>
  <c r="H50" i="5"/>
  <c r="H614" i="5"/>
  <c r="H717" i="5"/>
  <c r="H742" i="5"/>
  <c r="H802" i="5"/>
  <c r="H983" i="5"/>
  <c r="H1065" i="5"/>
  <c r="H1208" i="5"/>
  <c r="H1650" i="5"/>
  <c r="H379" i="5"/>
  <c r="H437" i="5"/>
  <c r="H1084" i="5"/>
  <c r="H1284" i="5"/>
  <c r="H315" i="5"/>
  <c r="H600" i="5"/>
  <c r="H716" i="5"/>
  <c r="H844" i="5"/>
  <c r="H885" i="5"/>
  <c r="H1882" i="5"/>
  <c r="H326" i="5"/>
  <c r="H899" i="5"/>
  <c r="H1392" i="5"/>
  <c r="H1745" i="5"/>
  <c r="H1759" i="5"/>
  <c r="H1786" i="5"/>
  <c r="H578" i="5"/>
  <c r="H761" i="5"/>
  <c r="H1136" i="5"/>
  <c r="H1338" i="5"/>
  <c r="H1818" i="5"/>
  <c r="H190" i="5"/>
  <c r="H253" i="5"/>
  <c r="H417" i="5"/>
  <c r="H2246" i="5"/>
  <c r="H1429" i="5"/>
  <c r="H1203" i="5"/>
  <c r="H2328" i="5"/>
  <c r="H216" i="5"/>
  <c r="H1178" i="5"/>
  <c r="H1624" i="5"/>
  <c r="H1894" i="5"/>
  <c r="H1960" i="5"/>
  <c r="H587" i="5"/>
  <c r="H1318" i="5"/>
  <c r="H1799" i="5"/>
  <c r="H858" i="5"/>
  <c r="H1030" i="5"/>
  <c r="H1218" i="5"/>
  <c r="H1626" i="5"/>
  <c r="H2121" i="5"/>
  <c r="H2222" i="5"/>
  <c r="H2324" i="5"/>
  <c r="H2425" i="5"/>
  <c r="H832" i="5"/>
  <c r="H1098" i="5"/>
  <c r="H1296" i="5"/>
  <c r="H1432" i="5"/>
  <c r="H1462" i="5"/>
  <c r="H420" i="5"/>
  <c r="H790" i="5"/>
  <c r="H872" i="5"/>
  <c r="H1406" i="5"/>
  <c r="H1455" i="5"/>
  <c r="H2047" i="5"/>
  <c r="H2480" i="5"/>
  <c r="H2499" i="5"/>
  <c r="H414" i="5"/>
  <c r="H610" i="5"/>
  <c r="H1596" i="5"/>
  <c r="H1875" i="5"/>
  <c r="H1962" i="5"/>
  <c r="H2322" i="5"/>
  <c r="H468" i="5"/>
  <c r="H1460" i="5"/>
  <c r="H180" i="5"/>
  <c r="H569" i="5"/>
  <c r="H696" i="5"/>
  <c r="H707" i="5"/>
  <c r="H1131" i="5"/>
  <c r="H2092" i="5"/>
  <c r="H2103" i="5"/>
  <c r="H785" i="5"/>
  <c r="H1064" i="5"/>
  <c r="H1493" i="5"/>
  <c r="H1935" i="5"/>
  <c r="H575" i="5"/>
  <c r="H1513" i="5"/>
  <c r="H2387" i="5"/>
  <c r="H1357" i="5"/>
  <c r="H1400" i="5"/>
  <c r="H21" i="5"/>
  <c r="H390" i="5"/>
  <c r="H1264" i="5"/>
  <c r="H1487" i="5"/>
  <c r="H1724" i="5"/>
  <c r="H1949" i="5"/>
  <c r="H2384" i="5"/>
  <c r="H550" i="5"/>
  <c r="H740" i="5"/>
  <c r="H924" i="5"/>
  <c r="H1255" i="5"/>
  <c r="H1880" i="5"/>
  <c r="H1883" i="5"/>
  <c r="H2237" i="5"/>
  <c r="H49" i="5"/>
  <c r="H556" i="5"/>
  <c r="H2126" i="5"/>
  <c r="H1206" i="5"/>
  <c r="H1823" i="5"/>
  <c r="H2033" i="5"/>
  <c r="H67" i="5"/>
  <c r="H244" i="5"/>
  <c r="H463" i="5"/>
  <c r="H1217" i="5"/>
  <c r="H1555" i="5"/>
  <c r="H353" i="5"/>
  <c r="H1254" i="5"/>
  <c r="H1278" i="5"/>
  <c r="H1910" i="5"/>
  <c r="H779" i="5"/>
  <c r="H1749" i="5"/>
  <c r="H1933" i="5"/>
  <c r="H2197" i="5"/>
  <c r="H309" i="5"/>
  <c r="H689" i="5"/>
  <c r="H1308" i="5"/>
  <c r="H2023" i="5"/>
  <c r="H658" i="5"/>
  <c r="H869" i="5"/>
  <c r="H1350" i="5"/>
  <c r="H1614" i="5"/>
  <c r="H26" i="5"/>
  <c r="H599" i="5"/>
  <c r="H1844" i="5"/>
  <c r="H1922" i="5"/>
  <c r="H397" i="5"/>
  <c r="H542" i="5"/>
  <c r="H2195" i="5"/>
  <c r="H2418" i="5"/>
  <c r="H1805" i="5"/>
  <c r="H1847" i="5"/>
  <c r="H2088" i="5"/>
  <c r="H2359" i="5"/>
  <c r="H2465" i="5"/>
  <c r="H291" i="5"/>
  <c r="H471" i="5"/>
  <c r="H838" i="5"/>
  <c r="H877" i="5"/>
  <c r="H985" i="5"/>
  <c r="H1402" i="5"/>
  <c r="H2084" i="5"/>
  <c r="H2361" i="5"/>
  <c r="H770" i="5"/>
  <c r="H1565" i="5"/>
  <c r="H1795" i="5"/>
  <c r="H2017" i="5"/>
  <c r="H2102" i="5"/>
  <c r="H2408" i="5"/>
  <c r="H410" i="5"/>
  <c r="H445" i="5"/>
  <c r="H1820" i="5"/>
  <c r="H2293" i="5"/>
  <c r="H38" i="5"/>
  <c r="H213" i="5"/>
  <c r="H824" i="5"/>
  <c r="H1110" i="5"/>
  <c r="H1187" i="5"/>
  <c r="H1507" i="5"/>
  <c r="H1990" i="5"/>
  <c r="H2395" i="5"/>
  <c r="H1490" i="5"/>
  <c r="H1639" i="5"/>
  <c r="H2252" i="5"/>
  <c r="H1557" i="5"/>
  <c r="H1674" i="5"/>
  <c r="H1924" i="5"/>
  <c r="H19" i="5"/>
  <c r="H261" i="5"/>
  <c r="H619" i="5"/>
  <c r="H787" i="5"/>
  <c r="H1186" i="5"/>
  <c r="H532" i="5"/>
  <c r="H616" i="5"/>
  <c r="H1100" i="5"/>
  <c r="H1177" i="5"/>
  <c r="H1527" i="5"/>
  <c r="H2122" i="5"/>
  <c r="H2467" i="5"/>
  <c r="H1024" i="5"/>
  <c r="H1575" i="5"/>
  <c r="H1889" i="5"/>
  <c r="H1263" i="5"/>
  <c r="H1333" i="5"/>
  <c r="H125" i="5"/>
  <c r="H131" i="5"/>
  <c r="H339" i="5"/>
  <c r="H632" i="5"/>
  <c r="H1968" i="5"/>
  <c r="H2141" i="5"/>
  <c r="H2335" i="5"/>
  <c r="H80" i="5"/>
  <c r="H1365" i="5"/>
  <c r="H2039" i="5"/>
  <c r="H2179" i="5"/>
  <c r="H2352" i="5"/>
  <c r="H115" i="5"/>
  <c r="H178" i="5"/>
  <c r="H224" i="5"/>
  <c r="H461" i="5"/>
  <c r="H972" i="5"/>
  <c r="H1332" i="5"/>
  <c r="H2040" i="5"/>
  <c r="H88" i="5"/>
  <c r="H126" i="5"/>
  <c r="H586" i="5"/>
  <c r="H1231" i="5"/>
  <c r="H1479" i="5"/>
  <c r="H1904" i="5"/>
  <c r="H320" i="5"/>
  <c r="H396" i="5"/>
  <c r="H692" i="5"/>
  <c r="H1149" i="5"/>
  <c r="H1544" i="5"/>
  <c r="H2238" i="5"/>
  <c r="H94" i="5"/>
  <c r="H888" i="5"/>
  <c r="H1837" i="5"/>
  <c r="H2402" i="5"/>
  <c r="H482" i="5"/>
  <c r="H1850" i="5"/>
  <c r="H2445" i="5"/>
  <c r="H183" i="5"/>
  <c r="H395" i="5"/>
  <c r="H465" i="5"/>
  <c r="H1849" i="5"/>
  <c r="H1959" i="5"/>
  <c r="H500" i="5"/>
  <c r="H548" i="5"/>
  <c r="H675" i="5"/>
  <c r="H1003" i="5"/>
  <c r="H1183" i="5"/>
  <c r="H1298" i="5"/>
  <c r="H1316" i="5"/>
  <c r="H28" i="5"/>
  <c r="H1066" i="5"/>
  <c r="H514" i="5"/>
  <c r="H540" i="5"/>
  <c r="H1068" i="5"/>
  <c r="H17" i="5"/>
  <c r="H208" i="5"/>
  <c r="H1329" i="5"/>
  <c r="H1529" i="5"/>
  <c r="H406" i="5"/>
  <c r="H920" i="5"/>
  <c r="H939" i="5"/>
  <c r="H1498" i="5"/>
  <c r="H2315" i="5"/>
  <c r="H2331" i="5"/>
  <c r="H607" i="5"/>
  <c r="H617" i="5"/>
  <c r="H1175" i="5"/>
  <c r="H1280" i="5"/>
  <c r="H1689" i="5"/>
  <c r="H1845" i="5"/>
  <c r="H2374" i="5"/>
  <c r="H297" i="5"/>
  <c r="H695" i="5"/>
  <c r="H2440" i="5"/>
  <c r="H2456" i="5"/>
  <c r="H103" i="5"/>
  <c r="H209" i="5"/>
  <c r="H288" i="5"/>
  <c r="H1364" i="5"/>
  <c r="H1442" i="5"/>
  <c r="H1822" i="5"/>
  <c r="H66" i="5"/>
  <c r="H1563" i="5"/>
  <c r="H1744" i="5"/>
  <c r="H1774" i="5"/>
  <c r="H2405" i="5"/>
  <c r="H459" i="5"/>
  <c r="H1773" i="5"/>
  <c r="H2034" i="5"/>
  <c r="H2376" i="5"/>
  <c r="H120" i="5"/>
  <c r="H411" i="5"/>
  <c r="H1273" i="5"/>
  <c r="H1384" i="5"/>
  <c r="H1578" i="5"/>
  <c r="H1606" i="5"/>
  <c r="H1652" i="5"/>
  <c r="H1571" i="5"/>
  <c r="H487" i="5"/>
  <c r="H942" i="5"/>
  <c r="H1142" i="5"/>
  <c r="H1266" i="5"/>
  <c r="H1268" i="5"/>
  <c r="H1287" i="5"/>
  <c r="H1289" i="5"/>
  <c r="H2295" i="5"/>
  <c r="H154" i="5"/>
  <c r="H432" i="5"/>
  <c r="H1414" i="5"/>
  <c r="H1417" i="5"/>
  <c r="H1523" i="5"/>
  <c r="H1641" i="5"/>
  <c r="H3" i="5"/>
  <c r="H42" i="5"/>
  <c r="H136" i="5"/>
  <c r="H330" i="5"/>
  <c r="H705" i="5"/>
  <c r="H47" i="5"/>
  <c r="H1589" i="5"/>
  <c r="H1911" i="5"/>
  <c r="H2454" i="5"/>
  <c r="H408" i="5"/>
  <c r="H1034" i="5"/>
  <c r="H1919" i="5"/>
  <c r="H2009" i="5"/>
  <c r="H2360" i="5"/>
  <c r="H2044" i="5"/>
  <c r="H2206" i="5"/>
  <c r="H642" i="5"/>
  <c r="H323" i="5"/>
  <c r="H449" i="5"/>
  <c r="H846" i="5"/>
  <c r="H1249" i="5"/>
  <c r="H305" i="5"/>
  <c r="H636" i="5"/>
  <c r="H911" i="5"/>
  <c r="H1272" i="5"/>
  <c r="H1612" i="5"/>
  <c r="H1947" i="5"/>
  <c r="H2025" i="5"/>
  <c r="H2036" i="5"/>
  <c r="H2442" i="5"/>
  <c r="H530" i="5"/>
  <c r="H831" i="5"/>
  <c r="H1597" i="5"/>
  <c r="H152" i="5"/>
  <c r="H1072" i="5"/>
  <c r="H1468" i="5"/>
  <c r="H1562" i="5"/>
  <c r="H1792" i="5"/>
  <c r="H712" i="5"/>
  <c r="H809" i="5"/>
  <c r="H828" i="5"/>
  <c r="H916" i="5"/>
  <c r="H1584" i="5"/>
  <c r="H748" i="5"/>
  <c r="H1613" i="5"/>
  <c r="H2016" i="5"/>
  <c r="H210" i="5"/>
  <c r="H533" i="5"/>
  <c r="H585" i="5"/>
  <c r="H807" i="5"/>
  <c r="H1709" i="5"/>
  <c r="H671" i="5"/>
  <c r="H743" i="5"/>
  <c r="H1690" i="5"/>
  <c r="H2450" i="5"/>
  <c r="H7" i="5"/>
  <c r="H930" i="5"/>
  <c r="H1058" i="5"/>
  <c r="H1267" i="5"/>
  <c r="H1686" i="5"/>
  <c r="H1893" i="5"/>
  <c r="H1916" i="5"/>
  <c r="H2133" i="5"/>
  <c r="H372" i="5"/>
  <c r="H612" i="5"/>
  <c r="H1359" i="5"/>
  <c r="H1469" i="5"/>
  <c r="H1603" i="5"/>
  <c r="H107" i="5"/>
  <c r="H1153" i="5"/>
  <c r="H1559" i="5"/>
  <c r="H2261" i="5"/>
  <c r="H111" i="5"/>
  <c r="H693" i="5"/>
  <c r="H1043" i="5"/>
  <c r="H1113" i="5"/>
  <c r="H1244" i="5"/>
  <c r="H385" i="5"/>
  <c r="H1301" i="5"/>
  <c r="H2104" i="5"/>
  <c r="H2478" i="5"/>
  <c r="H241" i="5"/>
  <c r="H621" i="5"/>
  <c r="H758" i="5"/>
  <c r="H993" i="5"/>
  <c r="H1539" i="5"/>
  <c r="H30" i="5"/>
  <c r="H316" i="5"/>
  <c r="H1673" i="5"/>
  <c r="H2397" i="5"/>
  <c r="H1025" i="5"/>
  <c r="H1752" i="5"/>
  <c r="H2130" i="5"/>
  <c r="H545" i="5"/>
  <c r="H1167" i="5"/>
  <c r="H2056" i="5"/>
  <c r="H702" i="5"/>
  <c r="H817" i="5"/>
  <c r="H963" i="5"/>
  <c r="H2120" i="5"/>
  <c r="H2213" i="5"/>
  <c r="H2375" i="5"/>
  <c r="H1055" i="5"/>
  <c r="H1379" i="5"/>
  <c r="H1986" i="5"/>
  <c r="H2105" i="5"/>
  <c r="H2146" i="5"/>
  <c r="H2344" i="5"/>
  <c r="H648" i="5"/>
  <c r="H1038" i="5"/>
  <c r="H1377" i="5"/>
  <c r="H1905" i="5"/>
  <c r="H2437" i="5"/>
  <c r="H376" i="5"/>
  <c r="H434" i="5"/>
  <c r="H625" i="5"/>
  <c r="H1010" i="5"/>
  <c r="H1692" i="5"/>
  <c r="H1954" i="5"/>
  <c r="H1978" i="5"/>
  <c r="H189" i="5"/>
  <c r="H413" i="5"/>
  <c r="H826" i="5"/>
  <c r="H887" i="5"/>
  <c r="H897" i="5"/>
  <c r="H968" i="5"/>
  <c r="H1963" i="5"/>
  <c r="H32" i="5"/>
  <c r="H947" i="5"/>
  <c r="H195" i="5"/>
  <c r="H234" i="5"/>
  <c r="H331" i="5"/>
  <c r="H1391" i="5"/>
  <c r="H1548" i="5"/>
  <c r="H2064" i="5"/>
  <c r="H2240" i="5"/>
  <c r="H2501" i="5"/>
  <c r="H1202" i="5"/>
  <c r="H1770" i="5"/>
  <c r="H328" i="5"/>
  <c r="H745" i="5"/>
  <c r="H1643" i="5"/>
  <c r="H2313" i="5"/>
  <c r="H187" i="5"/>
  <c r="H1827" i="5"/>
  <c r="H2368" i="5"/>
  <c r="H2436" i="5"/>
  <c r="H747" i="5"/>
  <c r="H1241" i="5"/>
  <c r="H2248" i="5"/>
  <c r="H185" i="5"/>
  <c r="H1152" i="5"/>
  <c r="H114" i="5"/>
  <c r="H485" i="5"/>
  <c r="H927" i="5"/>
  <c r="H935" i="5"/>
  <c r="H1898" i="5"/>
  <c r="H791" i="5"/>
  <c r="H854" i="5"/>
  <c r="H878" i="5"/>
  <c r="H880" i="5"/>
  <c r="H1549" i="5"/>
  <c r="H1768" i="5"/>
  <c r="H1794" i="5"/>
  <c r="H56" i="5"/>
  <c r="H2498" i="5"/>
  <c r="H453" i="5"/>
  <c r="H579" i="5"/>
  <c r="H798" i="5"/>
  <c r="H945" i="5"/>
  <c r="H1164" i="5"/>
  <c r="H1418" i="5"/>
  <c r="H1450" i="5"/>
  <c r="H1679" i="5"/>
  <c r="H1020" i="5"/>
  <c r="H2168" i="5"/>
  <c r="H62" i="5"/>
  <c r="H592" i="5"/>
  <c r="H1969" i="5"/>
  <c r="H2151" i="5"/>
  <c r="H2163" i="5"/>
  <c r="H2332" i="5"/>
  <c r="H713" i="5"/>
  <c r="H759" i="5"/>
  <c r="H900" i="5"/>
  <c r="H1369" i="5"/>
  <c r="H1390" i="5"/>
  <c r="H2393" i="5"/>
  <c r="H2398" i="5"/>
  <c r="H541" i="5"/>
  <c r="H1160" i="5"/>
  <c r="H1245" i="5"/>
  <c r="H1699" i="5"/>
  <c r="H1719" i="5"/>
  <c r="H2201" i="5"/>
  <c r="H2208" i="5"/>
  <c r="H1425" i="5"/>
  <c r="H1248" i="5"/>
  <c r="H1809" i="5"/>
  <c r="H2278" i="5"/>
  <c r="H25" i="5"/>
  <c r="H503" i="5"/>
  <c r="H1966" i="5"/>
  <c r="H2159" i="5"/>
  <c r="H95" i="5"/>
  <c r="H280" i="5"/>
  <c r="H650" i="5"/>
  <c r="H1252" i="5"/>
  <c r="H2435" i="5"/>
  <c r="H324" i="5"/>
  <c r="H419" i="5"/>
  <c r="H767" i="5"/>
  <c r="H1477" i="5"/>
  <c r="H1645" i="5"/>
  <c r="H1877" i="5"/>
  <c r="H1951" i="5"/>
  <c r="H1139" i="5"/>
  <c r="H1313" i="5"/>
  <c r="H146" i="5"/>
  <c r="H350" i="5"/>
  <c r="H373" i="5"/>
  <c r="H604" i="5"/>
  <c r="H1347" i="5"/>
  <c r="H1492" i="5"/>
  <c r="H1496" i="5"/>
  <c r="H1654" i="5"/>
  <c r="H1701" i="5"/>
  <c r="H1927" i="5"/>
  <c r="H505" i="5"/>
  <c r="H123" i="5"/>
  <c r="H870" i="5"/>
  <c r="H1044" i="5"/>
  <c r="H1146" i="5"/>
  <c r="H70" i="5"/>
  <c r="H774" i="5"/>
  <c r="H905" i="5"/>
  <c r="H15" i="5"/>
  <c r="H273" i="5"/>
  <c r="H909" i="5"/>
  <c r="H1378" i="5"/>
  <c r="H1489" i="5"/>
  <c r="H423" i="5"/>
  <c r="H1531" i="5"/>
  <c r="H1908" i="5"/>
  <c r="H2231" i="5"/>
  <c r="H2304" i="5"/>
  <c r="H731" i="5"/>
  <c r="H1060" i="5"/>
  <c r="H1488" i="5"/>
  <c r="H491" i="5"/>
  <c r="H1769" i="5"/>
  <c r="H1858" i="5"/>
  <c r="H181" i="5"/>
  <c r="H1804" i="5"/>
  <c r="H2148" i="5"/>
  <c r="H524" i="5"/>
  <c r="H1017" i="5"/>
  <c r="H1695" i="5"/>
  <c r="H1884" i="5"/>
  <c r="H2071" i="5"/>
  <c r="H2190" i="5"/>
  <c r="H2291" i="5"/>
  <c r="H2473" i="5"/>
  <c r="H1835" i="5"/>
  <c r="H217" i="5"/>
  <c r="H706" i="5"/>
  <c r="H763" i="5"/>
  <c r="H1433" i="5"/>
  <c r="H230" i="5"/>
  <c r="H829" i="5"/>
  <c r="H2262" i="5"/>
  <c r="H349" i="5"/>
  <c r="H1683" i="5"/>
  <c r="H1887" i="5"/>
  <c r="H1931" i="5"/>
  <c r="H2030" i="5"/>
  <c r="H2091" i="5"/>
  <c r="H2178" i="5"/>
  <c r="H27" i="5"/>
  <c r="H368" i="5"/>
  <c r="H1635" i="5"/>
  <c r="H1839" i="5"/>
  <c r="H1868" i="5"/>
  <c r="H2043" i="5"/>
  <c r="H366" i="5"/>
  <c r="H700" i="5"/>
  <c r="H841" i="5"/>
  <c r="H907" i="5"/>
  <c r="H1370" i="5"/>
  <c r="H1956" i="5"/>
  <c r="H1426" i="5"/>
  <c r="H1016" i="5"/>
  <c r="H557" i="5"/>
  <c r="H776" i="5"/>
  <c r="H1111" i="5"/>
  <c r="H2477" i="5"/>
  <c r="H286" i="5"/>
  <c r="H624" i="5"/>
  <c r="H2055" i="5"/>
  <c r="H8" i="5"/>
  <c r="H347" i="5"/>
  <c r="H554" i="5"/>
  <c r="H738" i="5"/>
  <c r="H1212" i="5"/>
  <c r="H1579" i="5"/>
  <c r="H1729" i="5"/>
  <c r="H1821" i="5"/>
  <c r="H2070" i="5"/>
  <c r="H593" i="5"/>
  <c r="H1994" i="5"/>
  <c r="H2118" i="5"/>
  <c r="H1194" i="5"/>
  <c r="H1196" i="5"/>
  <c r="H1348" i="5"/>
  <c r="H1351" i="5"/>
  <c r="H1486" i="5"/>
  <c r="H2024" i="5"/>
  <c r="H581" i="5"/>
  <c r="H1253" i="5"/>
  <c r="H1389" i="5"/>
  <c r="H1381" i="5"/>
  <c r="H1897" i="5"/>
  <c r="H168" i="5"/>
  <c r="H436" i="5"/>
  <c r="H566" i="5"/>
  <c r="H1200" i="5"/>
  <c r="H1566" i="5"/>
  <c r="H1891" i="5"/>
  <c r="H2209" i="5"/>
  <c r="H2449" i="5"/>
  <c r="H676" i="5"/>
  <c r="H1326" i="5"/>
  <c r="H1854" i="5"/>
  <c r="H2267" i="5"/>
  <c r="H663" i="5"/>
  <c r="H1176" i="5"/>
  <c r="H1355" i="5"/>
  <c r="H1945" i="5"/>
  <c r="H149" i="5"/>
  <c r="H1080" i="5"/>
  <c r="H1088" i="5"/>
  <c r="H441" i="5"/>
  <c r="H528" i="5"/>
  <c r="H638" i="5"/>
  <c r="H1607" i="5"/>
  <c r="H1661" i="5"/>
  <c r="H633" i="5"/>
  <c r="H1324" i="5"/>
  <c r="H1970" i="5"/>
  <c r="H2019" i="5"/>
  <c r="H2077" i="5"/>
  <c r="H729" i="5"/>
  <c r="H928" i="5"/>
  <c r="H1781" i="5"/>
  <c r="H2268" i="5"/>
  <c r="H293" i="5"/>
  <c r="H576" i="5"/>
  <c r="H954" i="5"/>
  <c r="H1342" i="5"/>
  <c r="H223" i="5"/>
  <c r="H720" i="5"/>
  <c r="H1004" i="5"/>
  <c r="H1495" i="5"/>
  <c r="H2028" i="5"/>
  <c r="H245" i="5"/>
  <c r="H252" i="5"/>
  <c r="H448" i="5"/>
  <c r="H1772" i="5"/>
  <c r="H688" i="5"/>
  <c r="H33" i="5"/>
  <c r="H892" i="5"/>
  <c r="H1368" i="5"/>
  <c r="H1399" i="5"/>
  <c r="H1746" i="5"/>
  <c r="H2215" i="5"/>
  <c r="H2274" i="5"/>
  <c r="H848" i="5"/>
  <c r="H1703" i="5"/>
  <c r="H1712" i="5"/>
  <c r="H2266" i="5"/>
  <c r="H2414" i="5"/>
  <c r="H580" i="5"/>
  <c r="H596" i="5"/>
  <c r="H1236" i="5"/>
  <c r="H815" i="5"/>
  <c r="H1070" i="5"/>
  <c r="H1352" i="5"/>
  <c r="H1535" i="5"/>
  <c r="H1834" i="5"/>
  <c r="H2358" i="5"/>
  <c r="H69" i="5"/>
  <c r="H365" i="5"/>
  <c r="H781" i="5"/>
  <c r="H2191" i="5"/>
  <c r="H1223" i="5"/>
  <c r="H1806" i="5"/>
  <c r="H2196" i="5"/>
  <c r="H2258" i="5"/>
  <c r="H79" i="5"/>
  <c r="H1581" i="5"/>
  <c r="H1807" i="5"/>
  <c r="H2085" i="5"/>
  <c r="H2243" i="5"/>
  <c r="H1726" i="5"/>
  <c r="H1871" i="5"/>
  <c r="H2111" i="5"/>
  <c r="H2353" i="5"/>
  <c r="H64" i="5"/>
  <c r="H156" i="5"/>
  <c r="H226" i="5"/>
  <c r="H289" i="5"/>
  <c r="H1572" i="5"/>
  <c r="H1653" i="5"/>
  <c r="H1974" i="5"/>
  <c r="H2202" i="5"/>
  <c r="H2301" i="5"/>
  <c r="H211" i="5"/>
  <c r="H1009" i="5"/>
  <c r="H1101" i="5"/>
  <c r="H2400" i="5"/>
  <c r="H1958" i="5"/>
  <c r="H2423" i="5"/>
  <c r="H215" i="5"/>
  <c r="H457" i="5"/>
  <c r="H875" i="5"/>
  <c r="H2269" i="5"/>
  <c r="H2432" i="5"/>
  <c r="H1145" i="5"/>
  <c r="H2029" i="5"/>
  <c r="H2081" i="5"/>
  <c r="H627" i="5"/>
  <c r="H1681" i="5"/>
  <c r="H2038" i="5"/>
  <c r="H285" i="5"/>
  <c r="H1300" i="5"/>
  <c r="H4" i="5"/>
  <c r="H378" i="5"/>
  <c r="H462" i="5"/>
  <c r="H1209" i="5"/>
  <c r="H1261" i="5"/>
  <c r="H1387" i="5"/>
  <c r="H2309" i="5"/>
  <c r="H2430" i="5"/>
  <c r="H124" i="5"/>
  <c r="H1204" i="5"/>
  <c r="H2109" i="5"/>
  <c r="H335" i="5"/>
  <c r="H384" i="5"/>
  <c r="H646" i="5"/>
  <c r="H726" i="5"/>
  <c r="H1929" i="5"/>
  <c r="H1938" i="5"/>
  <c r="H2457" i="5"/>
  <c r="H1431" i="5"/>
  <c r="H1980" i="5"/>
  <c r="H54" i="5"/>
  <c r="H277" i="5"/>
  <c r="H860" i="5"/>
  <c r="H919" i="5"/>
  <c r="H1033" i="5"/>
  <c r="H2045" i="5"/>
  <c r="H2372" i="5"/>
  <c r="H475" i="5"/>
  <c r="H871" i="5"/>
  <c r="H1086" i="5"/>
  <c r="H1537" i="5"/>
  <c r="H1586" i="5"/>
  <c r="H1790" i="5"/>
  <c r="H2302" i="5"/>
  <c r="H1288" i="5"/>
  <c r="H1362" i="5"/>
  <c r="H1984" i="5"/>
  <c r="H203" i="5"/>
  <c r="H1580" i="5"/>
  <c r="H6" i="5"/>
  <c r="H238" i="5"/>
  <c r="H263" i="5"/>
  <c r="H921" i="5"/>
  <c r="H2483" i="5"/>
  <c r="H160" i="5"/>
  <c r="H1240" i="5"/>
  <c r="H2014" i="5"/>
  <c r="H469" i="5"/>
  <c r="H2136" i="5"/>
  <c r="H112" i="5"/>
  <c r="H1293" i="5"/>
  <c r="H1424" i="5"/>
  <c r="H2279" i="5"/>
  <c r="H2455" i="5"/>
  <c r="H1094" i="5"/>
  <c r="H1305" i="5"/>
  <c r="H1483" i="5"/>
  <c r="H2323" i="5"/>
  <c r="H444" i="5"/>
  <c r="H923" i="5"/>
  <c r="H1553" i="5"/>
  <c r="H519" i="5"/>
  <c r="H719" i="5"/>
  <c r="H1002" i="5"/>
  <c r="H1430" i="5"/>
  <c r="H1776" i="5"/>
  <c r="H1802" i="5"/>
  <c r="H1081" i="5"/>
  <c r="H1920" i="5"/>
  <c r="H2131" i="5"/>
  <c r="H2385" i="5"/>
  <c r="H155" i="5"/>
  <c r="H659" i="5"/>
  <c r="H1063" i="5"/>
  <c r="H2080" i="5"/>
  <c r="H788" i="5"/>
  <c r="H1797" i="5"/>
  <c r="H1953" i="5"/>
  <c r="H2026" i="5"/>
  <c r="H493" i="5"/>
  <c r="H894" i="5"/>
  <c r="H1446" i="5"/>
  <c r="H1796" i="5"/>
  <c r="H2334" i="5"/>
  <c r="H2475" i="5"/>
  <c r="H193" i="5"/>
  <c r="H1659" i="5"/>
  <c r="H130" i="5"/>
  <c r="H608" i="5"/>
  <c r="H810" i="5"/>
  <c r="H1476" i="5"/>
  <c r="H2069" i="5"/>
  <c r="H903" i="5"/>
  <c r="H1731" i="5"/>
  <c r="H2299" i="5"/>
  <c r="H2310" i="5"/>
  <c r="H98" i="5"/>
  <c r="H1660" i="5"/>
  <c r="H667" i="5"/>
  <c r="H977" i="5"/>
  <c r="H1564" i="5"/>
  <c r="H1816" i="5"/>
  <c r="H2082" i="5"/>
  <c r="H2187" i="5"/>
  <c r="H2260" i="5"/>
  <c r="H340" i="5"/>
  <c r="H955" i="5"/>
  <c r="H1687" i="5"/>
  <c r="H1885" i="5"/>
  <c r="H932" i="5"/>
  <c r="H1934" i="5"/>
  <c r="H2123" i="5"/>
  <c r="H18" i="5"/>
  <c r="H337" i="5"/>
  <c r="H355" i="5"/>
  <c r="H495" i="5"/>
  <c r="H653" i="5"/>
  <c r="H718" i="5"/>
  <c r="H728" i="5"/>
  <c r="H751" i="5"/>
  <c r="H1238" i="5"/>
  <c r="H1358" i="5"/>
  <c r="H2427" i="5"/>
  <c r="H16" i="5"/>
  <c r="H141" i="5"/>
  <c r="H143" i="5"/>
  <c r="H400" i="5"/>
  <c r="H515" i="5"/>
  <c r="H1621" i="5"/>
  <c r="H1742" i="5"/>
  <c r="H2413" i="5"/>
  <c r="H142" i="5"/>
  <c r="H233" i="5"/>
  <c r="H342" i="5"/>
  <c r="H404" i="5"/>
  <c r="H630" i="5"/>
  <c r="H1320" i="5"/>
  <c r="H1590" i="5"/>
  <c r="H1691" i="5"/>
  <c r="H100" i="5"/>
  <c r="H275" i="5"/>
  <c r="H1636" i="5"/>
  <c r="H2012" i="5"/>
  <c r="H2354" i="5"/>
  <c r="H2389" i="5"/>
  <c r="H2470" i="5"/>
  <c r="H85" i="5"/>
  <c r="H101" i="5"/>
  <c r="H490" i="5"/>
  <c r="H1137" i="5"/>
  <c r="H2078" i="5"/>
  <c r="H359" i="5"/>
  <c r="H687" i="5"/>
  <c r="H1124" i="5"/>
  <c r="H2337" i="5"/>
  <c r="H333" i="5"/>
  <c r="H1179" i="5"/>
  <c r="H1896" i="5"/>
  <c r="H2212" i="5"/>
  <c r="H2392" i="5"/>
  <c r="H23" i="5"/>
  <c r="H409" i="5"/>
  <c r="H1076" i="5"/>
  <c r="H1233" i="5"/>
  <c r="H1361" i="5"/>
  <c r="H1401" i="5"/>
  <c r="H1472" i="5"/>
  <c r="H1981" i="5"/>
  <c r="H13" i="5"/>
  <c r="H407" i="5"/>
  <c r="H583" i="5"/>
  <c r="H1041" i="5"/>
  <c r="H1257" i="5"/>
  <c r="H1511" i="5"/>
  <c r="H1738" i="5"/>
  <c r="H2061" i="5"/>
  <c r="H496" i="5"/>
  <c r="H864" i="5"/>
  <c r="H1195" i="5"/>
  <c r="H1237" i="5"/>
  <c r="H249" i="5"/>
  <c r="H1638" i="5"/>
  <c r="H1680" i="5"/>
  <c r="H2099" i="5"/>
  <c r="H2428" i="5"/>
  <c r="H694" i="5"/>
  <c r="H1618" i="5"/>
  <c r="H158" i="5"/>
  <c r="H435" i="5"/>
  <c r="H512" i="5"/>
  <c r="H552" i="5"/>
  <c r="H567" i="5"/>
  <c r="H601" i="5"/>
  <c r="H777" i="5"/>
  <c r="H873" i="5"/>
  <c r="H1514" i="5"/>
  <c r="H1764" i="5"/>
  <c r="H2065" i="5"/>
  <c r="H334" i="5"/>
  <c r="H1374" i="5"/>
  <c r="H1616" i="5"/>
  <c r="H2272" i="5"/>
  <c r="H2355" i="5"/>
  <c r="H122" i="5"/>
  <c r="H201" i="5"/>
  <c r="H590" i="5"/>
  <c r="H1190" i="5"/>
  <c r="H1269" i="5"/>
  <c r="H2068" i="5"/>
  <c r="H2189" i="5"/>
  <c r="H99" i="5"/>
  <c r="H537" i="5"/>
  <c r="H1239" i="5"/>
  <c r="H1515" i="5"/>
  <c r="H108" i="5"/>
  <c r="H1026" i="5"/>
  <c r="H1838" i="5"/>
  <c r="H1870" i="5"/>
  <c r="H2140" i="5"/>
  <c r="H2164" i="5"/>
  <c r="H2180" i="5"/>
  <c r="H240" i="5"/>
  <c r="H499" i="5"/>
  <c r="H529" i="5"/>
  <c r="H760" i="5"/>
  <c r="H834" i="5"/>
  <c r="H2051" i="5"/>
  <c r="H196" i="5"/>
  <c r="H424" i="5"/>
  <c r="H708" i="5"/>
  <c r="H1574" i="5"/>
  <c r="H175" i="5"/>
  <c r="H279" i="5"/>
  <c r="H563" i="5"/>
  <c r="H827" i="5"/>
  <c r="H1302" i="5"/>
  <c r="H1363" i="5"/>
  <c r="H2453" i="5"/>
  <c r="H778" i="5"/>
  <c r="H851" i="5"/>
  <c r="H1104" i="5"/>
  <c r="H1508" i="5"/>
  <c r="H2290" i="5"/>
  <c r="H2349" i="5"/>
  <c r="H2494" i="5"/>
  <c r="H477" i="5"/>
  <c r="H1761" i="5"/>
  <c r="H43" i="5"/>
  <c r="H1000" i="5"/>
  <c r="H1666" i="5"/>
  <c r="H2329" i="5"/>
  <c r="H128" i="5"/>
  <c r="H673" i="5"/>
  <c r="H1518" i="5"/>
  <c r="H1700" i="5"/>
  <c r="H1817" i="5"/>
  <c r="H2462" i="5"/>
  <c r="H377" i="5"/>
  <c r="H812" i="5"/>
  <c r="H1281" i="5"/>
  <c r="H1367" i="5"/>
  <c r="H1663" i="5"/>
  <c r="H1785" i="5"/>
  <c r="H137" i="5"/>
  <c r="H1459" i="5"/>
  <c r="H1787" i="5"/>
  <c r="H1950" i="5"/>
  <c r="H2239" i="5"/>
  <c r="H2317" i="5"/>
  <c r="H198" i="5"/>
  <c r="H1371" i="5"/>
  <c r="H2035" i="5"/>
  <c r="H1294" i="5"/>
  <c r="H2066" i="5"/>
  <c r="H2172" i="5"/>
  <c r="H605" i="5"/>
  <c r="H1018" i="5"/>
  <c r="H1788" i="5"/>
  <c r="H1873" i="5"/>
  <c r="H1923" i="5"/>
  <c r="H594" i="5"/>
  <c r="H986" i="5"/>
  <c r="H1336" i="5"/>
  <c r="H1396" i="5"/>
  <c r="H1665" i="5"/>
  <c r="H2236" i="5"/>
  <c r="H2406" i="5"/>
  <c r="H140" i="5"/>
  <c r="H1504" i="5"/>
  <c r="H1939" i="5"/>
  <c r="H589" i="5"/>
  <c r="H12" i="5"/>
  <c r="H319" i="5"/>
  <c r="H2495" i="5"/>
  <c r="H715" i="5"/>
  <c r="H764" i="5"/>
  <c r="H1210" i="5"/>
  <c r="H1221" i="5"/>
  <c r="H2052" i="5"/>
  <c r="H2339" i="5"/>
  <c r="H1457" i="5"/>
  <c r="H1926" i="5"/>
  <c r="H1979" i="5"/>
  <c r="H174" i="5"/>
  <c r="H243" i="5"/>
  <c r="H447" i="5"/>
  <c r="H504" i="5"/>
  <c r="H734" i="5"/>
  <c r="H2229" i="5"/>
  <c r="H2282" i="5"/>
  <c r="H148" i="5"/>
  <c r="H412" i="5"/>
  <c r="H1714" i="5"/>
  <c r="H2265" i="5"/>
  <c r="H361" i="5"/>
  <c r="H2183" i="5"/>
  <c r="H83" i="5"/>
  <c r="H639" i="5"/>
  <c r="H816" i="5"/>
  <c r="H910" i="5"/>
  <c r="H999" i="5"/>
  <c r="H483" i="5"/>
  <c r="H987" i="5"/>
  <c r="H1185" i="5"/>
  <c r="H1440" i="5"/>
  <c r="H2300" i="5"/>
  <c r="H2469" i="5"/>
  <c r="H132" i="5"/>
  <c r="H442" i="5"/>
  <c r="H757" i="5"/>
  <c r="H1157" i="5"/>
  <c r="H1303" i="5"/>
  <c r="H2173" i="5"/>
  <c r="H2271" i="5"/>
  <c r="H2284" i="5"/>
  <c r="H2286" i="5"/>
  <c r="H2311" i="5"/>
  <c r="H2380" i="5"/>
  <c r="H194" i="5"/>
  <c r="H744" i="5"/>
  <c r="H874" i="5"/>
  <c r="H929" i="5"/>
  <c r="H1118" i="5"/>
  <c r="H1162" i="5"/>
  <c r="H1758" i="5"/>
  <c r="H264" i="5"/>
  <c r="H392" i="5"/>
  <c r="H1011" i="5"/>
  <c r="H1219" i="5"/>
  <c r="H1235" i="5"/>
  <c r="H1576" i="5"/>
  <c r="H1913" i="5"/>
  <c r="H2270" i="5"/>
  <c r="H1372" i="5"/>
  <c r="H1930" i="5"/>
  <c r="H2188" i="5"/>
  <c r="H2417" i="5"/>
  <c r="H205" i="5"/>
  <c r="H654" i="5"/>
  <c r="H883" i="5"/>
  <c r="H161" i="5"/>
  <c r="H247" i="5"/>
  <c r="H362" i="5"/>
  <c r="H375" i="5"/>
  <c r="H405" i="5"/>
  <c r="H173" i="5"/>
  <c r="H274" i="5"/>
  <c r="H304" i="5"/>
  <c r="H102" i="5"/>
  <c r="H570" i="5"/>
  <c r="H704" i="5"/>
  <c r="H739" i="5"/>
  <c r="H908" i="5"/>
  <c r="H1902" i="5"/>
  <c r="H1912" i="5"/>
  <c r="H191" i="5"/>
  <c r="H402" i="5"/>
  <c r="H1895" i="5"/>
  <c r="H1942" i="5"/>
  <c r="H684" i="5"/>
  <c r="H1386" i="5"/>
  <c r="H1443" i="5"/>
  <c r="H1467" i="5"/>
  <c r="H1577" i="5"/>
  <c r="H1775" i="5"/>
  <c r="H363" i="5"/>
  <c r="H796" i="5"/>
  <c r="H1295" i="5"/>
  <c r="H1309" i="5"/>
  <c r="H1458" i="5"/>
  <c r="H2426" i="5"/>
  <c r="H2433" i="5"/>
  <c r="H534" i="5"/>
  <c r="H560" i="5"/>
  <c r="H819" i="5"/>
  <c r="H1141" i="5"/>
  <c r="H1814" i="5"/>
  <c r="H2224" i="5"/>
  <c r="H989" i="5"/>
  <c r="H2152" i="5"/>
  <c r="H2340" i="5"/>
  <c r="H2401" i="5"/>
  <c r="H1627" i="5"/>
  <c r="H2476" i="5"/>
  <c r="H192" i="5"/>
  <c r="H300" i="5"/>
  <c r="H480" i="5"/>
  <c r="H615" i="5"/>
  <c r="H1456" i="5"/>
  <c r="H207" i="5"/>
  <c r="H327" i="5"/>
  <c r="H1428" i="5"/>
  <c r="H1512" i="5"/>
  <c r="H1762" i="5"/>
  <c r="H1983" i="5"/>
  <c r="H2112" i="5"/>
  <c r="H2185" i="5"/>
  <c r="H2326" i="5"/>
  <c r="H68" i="5"/>
  <c r="H1271" i="5"/>
  <c r="H251" i="5"/>
  <c r="H269" i="5"/>
  <c r="H446" i="5"/>
  <c r="H853" i="5"/>
  <c r="H2050" i="5"/>
  <c r="H2484" i="5"/>
  <c r="H172" i="5"/>
  <c r="H842" i="5"/>
  <c r="H918" i="5"/>
  <c r="H782" i="5"/>
  <c r="H1057" i="5"/>
  <c r="H1109" i="5"/>
  <c r="H1321" i="5"/>
  <c r="H1825" i="5"/>
  <c r="H898" i="5"/>
  <c r="H1721" i="5"/>
  <c r="H159" i="5"/>
  <c r="H685" i="5"/>
  <c r="H1722" i="5"/>
  <c r="H1906" i="5"/>
  <c r="H1973" i="5"/>
  <c r="H2048" i="5"/>
  <c r="H2115" i="5"/>
  <c r="H61" i="5"/>
  <c r="H237" i="5"/>
  <c r="H780" i="5"/>
  <c r="H966" i="5"/>
  <c r="H1106" i="5"/>
  <c r="H1052" i="5"/>
  <c r="H1226" i="5"/>
  <c r="H544" i="5"/>
  <c r="H1127" i="5"/>
  <c r="H2138" i="5"/>
  <c r="H2144" i="5"/>
  <c r="H2193" i="5"/>
  <c r="H2275" i="5"/>
  <c r="H678" i="5"/>
  <c r="H2132" i="5"/>
  <c r="H969" i="5"/>
  <c r="H1251" i="5"/>
  <c r="H1552" i="5"/>
  <c r="H2008" i="5"/>
  <c r="H321" i="5"/>
  <c r="H1049" i="5"/>
  <c r="H1582" i="5"/>
  <c r="H2257" i="5"/>
  <c r="H1074" i="5"/>
  <c r="H2205" i="5"/>
  <c r="H278" i="5"/>
  <c r="H917" i="5"/>
  <c r="H974" i="5"/>
  <c r="H1452" i="5"/>
  <c r="H1658" i="5"/>
  <c r="H1989" i="5"/>
  <c r="H2160" i="5"/>
  <c r="H2464" i="5"/>
  <c r="H227" i="5"/>
  <c r="H1506" i="5"/>
  <c r="H1615" i="5"/>
  <c r="H388" i="5"/>
  <c r="H403" i="5"/>
  <c r="H664" i="5"/>
  <c r="H1454" i="5"/>
  <c r="H2391" i="5"/>
  <c r="H703" i="5"/>
  <c r="H1859" i="5"/>
  <c r="H167" i="5"/>
  <c r="H1937" i="5"/>
  <c r="H2134" i="5"/>
  <c r="H456" i="5"/>
  <c r="H775" i="5"/>
  <c r="H1733" i="5"/>
  <c r="H2472" i="5"/>
  <c r="H1165" i="5"/>
  <c r="H1366" i="5"/>
  <c r="H1600" i="5"/>
  <c r="H2490" i="5"/>
  <c r="H139" i="5"/>
  <c r="H724" i="5"/>
  <c r="H1224" i="5"/>
  <c r="H1585" i="5"/>
  <c r="H1982" i="5"/>
  <c r="H2371" i="5"/>
  <c r="H452" i="5"/>
  <c r="H472" i="5"/>
  <c r="H1995" i="5"/>
  <c r="H2005" i="5"/>
  <c r="H2199" i="5"/>
  <c r="H2216" i="5"/>
  <c r="H2447" i="5"/>
  <c r="H799" i="5"/>
  <c r="H922" i="5"/>
  <c r="H1480" i="5"/>
  <c r="H1059" i="5"/>
  <c r="H1542" i="5"/>
  <c r="H756" i="5"/>
  <c r="H1053" i="5"/>
  <c r="H1798" i="5"/>
  <c r="H1824" i="5"/>
  <c r="H1869" i="5"/>
  <c r="H1262" i="5"/>
  <c r="H1829" i="5"/>
  <c r="H2060" i="5"/>
  <c r="H679" i="5"/>
  <c r="H683" i="5"/>
  <c r="H973" i="5"/>
  <c r="H1215" i="5"/>
  <c r="H1360" i="5"/>
  <c r="H1715" i="5"/>
  <c r="H225" i="5"/>
  <c r="H732" i="5"/>
  <c r="H1061" i="5"/>
  <c r="H391" i="5"/>
  <c r="H1022" i="5"/>
  <c r="H2434" i="5"/>
  <c r="H22" i="5"/>
  <c r="H835" i="5"/>
  <c r="H867" i="5"/>
  <c r="H427" i="5"/>
  <c r="H1516" i="5"/>
  <c r="H1001" i="5"/>
  <c r="H2022" i="5"/>
  <c r="H522" i="5"/>
  <c r="H553" i="5"/>
  <c r="H1474" i="5"/>
  <c r="H1957" i="5"/>
  <c r="H96" i="5"/>
  <c r="H398" i="5"/>
  <c r="H564" i="5"/>
  <c r="H1172" i="5"/>
  <c r="H1412" i="5"/>
  <c r="H1546" i="5"/>
  <c r="H82" i="5"/>
  <c r="H730" i="5"/>
  <c r="H84" i="5"/>
  <c r="H153" i="5"/>
  <c r="H267" i="5"/>
  <c r="H766" i="5"/>
  <c r="H980" i="5"/>
  <c r="H1181" i="5"/>
  <c r="H1667" i="5"/>
  <c r="H948" i="5"/>
  <c r="H1538" i="5"/>
  <c r="H381" i="5"/>
  <c r="H1901" i="5"/>
  <c r="H460" i="5"/>
  <c r="H637" i="5"/>
  <c r="H2379" i="5"/>
  <c r="H481" i="5"/>
  <c r="H912" i="5"/>
  <c r="H1102" i="5"/>
  <c r="H1375" i="5"/>
  <c r="H1592" i="5"/>
  <c r="H1800" i="5"/>
  <c r="H1863" i="5"/>
  <c r="H34" i="5"/>
  <c r="H527" i="5"/>
  <c r="H572" i="5"/>
  <c r="H672" i="5"/>
  <c r="H811" i="5"/>
  <c r="H979" i="5"/>
  <c r="H1198" i="5"/>
  <c r="H1550" i="5"/>
  <c r="H2001" i="5"/>
  <c r="H2157" i="5"/>
  <c r="H737" i="5"/>
  <c r="H1120" i="5"/>
  <c r="H1593" i="5"/>
  <c r="H179" i="5"/>
  <c r="H591" i="5"/>
  <c r="H1438" i="5"/>
  <c r="H106" i="5"/>
  <c r="H602" i="5"/>
  <c r="H670" i="5"/>
  <c r="H2063" i="5"/>
  <c r="H2443" i="5"/>
  <c r="H147" i="5"/>
  <c r="H255" i="5"/>
  <c r="H971" i="5"/>
  <c r="H1170" i="5"/>
  <c r="H1325" i="5"/>
  <c r="H2225" i="5"/>
  <c r="H229" i="5"/>
  <c r="H344" i="5"/>
  <c r="H455" i="5"/>
  <c r="H926" i="5"/>
  <c r="H1028" i="5"/>
  <c r="H2156" i="5"/>
  <c r="H2263" i="5"/>
  <c r="H212" i="5"/>
  <c r="H1062" i="5"/>
  <c r="H1154" i="5"/>
  <c r="H2383" i="5"/>
  <c r="H171" i="5"/>
  <c r="H186" i="5"/>
  <c r="H949" i="5"/>
  <c r="H1163" i="5"/>
  <c r="H2245" i="5"/>
  <c r="H2333" i="5"/>
  <c r="H511" i="5"/>
  <c r="H1532" i="5"/>
  <c r="H1628" i="5"/>
  <c r="H1753" i="5"/>
  <c r="H1815" i="5"/>
  <c r="H1832" i="5"/>
  <c r="H272" i="5"/>
  <c r="H314" i="5"/>
  <c r="H513" i="5"/>
  <c r="H691" i="5"/>
  <c r="H825" i="5"/>
  <c r="H1243" i="5"/>
  <c r="H1693" i="5"/>
  <c r="H1846" i="5"/>
  <c r="H2210" i="5"/>
  <c r="H2254" i="5"/>
  <c r="H74" i="5"/>
  <c r="H884" i="5"/>
  <c r="H793" i="5"/>
  <c r="H1668" i="5"/>
  <c r="H2098" i="5"/>
  <c r="H535" i="5"/>
  <c r="H561" i="5"/>
  <c r="H768" i="5"/>
  <c r="H1344" i="5"/>
  <c r="H2346" i="5"/>
  <c r="H428" i="5"/>
  <c r="H543" i="5"/>
  <c r="H721" i="5"/>
  <c r="H1169" i="5"/>
  <c r="H1500" i="5"/>
  <c r="H1676" i="5"/>
  <c r="H1311" i="5"/>
  <c r="H1560" i="5"/>
  <c r="H1793" i="5"/>
  <c r="H2181" i="5"/>
  <c r="H364" i="5"/>
  <c r="H951" i="5"/>
  <c r="H332" i="5"/>
  <c r="H975" i="5"/>
  <c r="H1843" i="5"/>
  <c r="H1853" i="5"/>
  <c r="H2057" i="5"/>
  <c r="H60" i="5"/>
  <c r="H138" i="5"/>
  <c r="H1331" i="5"/>
  <c r="H1356" i="5"/>
  <c r="H1385" i="5"/>
  <c r="H1649" i="5"/>
  <c r="H464" i="5"/>
  <c r="H492" i="5"/>
  <c r="H821" i="5"/>
  <c r="H1126" i="5"/>
  <c r="H1286" i="5"/>
  <c r="H1696" i="5"/>
  <c r="H1975" i="5"/>
  <c r="H800" i="5"/>
  <c r="H1275" i="5"/>
  <c r="H1971" i="5"/>
  <c r="H2410" i="5"/>
  <c r="H1509" i="5"/>
  <c r="H1988" i="5"/>
  <c r="H1129" i="5"/>
  <c r="H93" i="5"/>
  <c r="H997" i="5"/>
  <c r="H1777" i="5"/>
  <c r="H565" i="5"/>
  <c r="H1036" i="5"/>
  <c r="H1099" i="5"/>
  <c r="H1999" i="5"/>
  <c r="H10" i="5"/>
  <c r="H998" i="5"/>
  <c r="H246" i="5"/>
  <c r="H306" i="5"/>
  <c r="H357" i="5"/>
  <c r="H598" i="5"/>
  <c r="H1040" i="5"/>
  <c r="H232" i="5"/>
  <c r="H1779" i="5"/>
  <c r="H310" i="5"/>
  <c r="H2059" i="5"/>
  <c r="H113" i="5"/>
  <c r="H865" i="5"/>
  <c r="H925" i="5"/>
  <c r="H1013" i="5"/>
  <c r="H1310" i="5"/>
  <c r="H1903" i="5"/>
  <c r="H2054" i="5"/>
  <c r="H2145" i="5"/>
  <c r="H2218" i="5"/>
  <c r="H2431" i="5"/>
  <c r="H771" i="5"/>
  <c r="H1503" i="5"/>
  <c r="H1778" i="5"/>
  <c r="H259" i="5"/>
  <c r="H970" i="5"/>
  <c r="H1050" i="5"/>
  <c r="H1591" i="5"/>
  <c r="H2496" i="5"/>
  <c r="H868" i="5"/>
  <c r="H2280" i="5"/>
  <c r="H134" i="5"/>
  <c r="H401" i="5"/>
  <c r="H109" i="5"/>
  <c r="H318" i="5"/>
  <c r="H1388" i="5"/>
  <c r="H1484" i="5"/>
  <c r="H1682" i="5"/>
  <c r="H1864" i="5"/>
  <c r="H2325" i="5"/>
  <c r="H358" i="5"/>
  <c r="H1411" i="5"/>
  <c r="H1343" i="5"/>
  <c r="H1419" i="5"/>
  <c r="H2106" i="5"/>
  <c r="H2459" i="5"/>
  <c r="H2422" i="5"/>
  <c r="H387" i="5"/>
  <c r="H1047" i="5"/>
  <c r="H1756" i="5"/>
  <c r="H1803" i="5"/>
  <c r="H1833" i="5"/>
  <c r="H2327" i="5"/>
  <c r="H701" i="5"/>
  <c r="H1133" i="5"/>
  <c r="H1416" i="5"/>
  <c r="H1711" i="5"/>
  <c r="H467" i="5"/>
  <c r="H896" i="5"/>
  <c r="H1247" i="5"/>
  <c r="H2114" i="5"/>
  <c r="H2170" i="5"/>
  <c r="H2487" i="5"/>
  <c r="H959" i="5"/>
  <c r="H1090" i="5"/>
  <c r="H1441" i="5"/>
  <c r="H1675" i="5"/>
  <c r="H1741" i="5"/>
  <c r="H765" i="5"/>
  <c r="H1097" i="5"/>
  <c r="H1867" i="5"/>
  <c r="H2003" i="5"/>
  <c r="H2041" i="5"/>
  <c r="H317" i="5"/>
  <c r="H1717" i="5"/>
  <c r="H1941" i="5"/>
  <c r="H2411" i="5"/>
  <c r="H2420" i="5"/>
  <c r="H2488" i="5"/>
  <c r="H271" i="5"/>
  <c r="H418" i="5"/>
  <c r="H568" i="5"/>
  <c r="H881" i="5"/>
  <c r="H1071" i="5"/>
  <c r="H1134" i="5"/>
  <c r="H478" i="5"/>
  <c r="H2089" i="5"/>
  <c r="H2182" i="5"/>
  <c r="H170" i="5"/>
  <c r="H311" i="5"/>
  <c r="H343" i="5"/>
  <c r="H1048" i="5"/>
  <c r="H1380" i="5"/>
  <c r="H843" i="5"/>
  <c r="H1449" i="5"/>
  <c r="H690" i="5"/>
  <c r="H1633" i="5"/>
  <c r="H1655" i="5"/>
  <c r="H1678" i="5"/>
  <c r="H2135" i="5"/>
  <c r="H2312" i="5"/>
  <c r="H105" i="5"/>
  <c r="H200" i="5"/>
  <c r="H258" i="5"/>
  <c r="H746" i="5"/>
  <c r="H1407" i="5"/>
  <c r="H1569" i="5"/>
  <c r="H1617" i="5"/>
  <c r="H1732" i="5"/>
  <c r="H2107" i="5"/>
  <c r="H2482" i="5"/>
  <c r="H36" i="5"/>
  <c r="H90" i="5"/>
  <c r="H450" i="5"/>
  <c r="H1191" i="5"/>
  <c r="H1290" i="5"/>
  <c r="H1521" i="5"/>
  <c r="H2053" i="5"/>
  <c r="H2316" i="5"/>
  <c r="H228" i="5"/>
  <c r="H2288" i="5"/>
  <c r="H962" i="5"/>
  <c r="H1056" i="5"/>
  <c r="H1073" i="5"/>
  <c r="H1130" i="5"/>
  <c r="H1403" i="5"/>
  <c r="H1851" i="5"/>
  <c r="H2370" i="5"/>
  <c r="H2468" i="5"/>
  <c r="H199" i="5"/>
  <c r="H393" i="5"/>
  <c r="H1475" i="5"/>
  <c r="H1860" i="5"/>
  <c r="H1948" i="5"/>
  <c r="H2415" i="5"/>
  <c r="H1114" i="5"/>
  <c r="H2220" i="5"/>
  <c r="H235" i="5"/>
  <c r="H656" i="5"/>
  <c r="H1760" i="5"/>
  <c r="H1096" i="5"/>
  <c r="H1143" i="5"/>
  <c r="H2421" i="5"/>
  <c r="H2500" i="5"/>
  <c r="H2481" i="5"/>
  <c r="H502" i="5"/>
  <c r="H547" i="5"/>
  <c r="H1917" i="5"/>
  <c r="H1996" i="5"/>
  <c r="H665" i="5"/>
  <c r="H1836" i="5"/>
  <c r="H1857" i="5"/>
  <c r="H104" i="5"/>
  <c r="H629" i="5"/>
  <c r="H635" i="5"/>
  <c r="H1182" i="5"/>
  <c r="H1334" i="5"/>
  <c r="H1840" i="5"/>
  <c r="H40" i="5"/>
  <c r="H426" i="5"/>
  <c r="H1027" i="5"/>
  <c r="H2463" i="5"/>
  <c r="H308" i="5"/>
  <c r="H1670" i="5"/>
  <c r="H1750" i="5"/>
  <c r="H1943" i="5"/>
  <c r="H2184" i="5"/>
  <c r="H1225" i="5"/>
  <c r="H1558" i="5"/>
  <c r="H2004" i="5"/>
  <c r="H976" i="5"/>
  <c r="H1077" i="5"/>
  <c r="H1335" i="5"/>
  <c r="H1448" i="5"/>
  <c r="H2153" i="5"/>
  <c r="H276" i="5"/>
  <c r="H967" i="5"/>
  <c r="H2244" i="5"/>
  <c r="H2461" i="5"/>
  <c r="H2491" i="5"/>
  <c r="H75" i="5"/>
  <c r="H282" i="5"/>
  <c r="H1881" i="5"/>
  <c r="H1932" i="5"/>
  <c r="H466" i="5"/>
  <c r="H525" i="5"/>
  <c r="H1214" i="5"/>
  <c r="H1524" i="5"/>
  <c r="H1534" i="5"/>
  <c r="H1611" i="5"/>
  <c r="H1706" i="5"/>
  <c r="H2255" i="5"/>
  <c r="H2486" i="5"/>
  <c r="H2000" i="5"/>
  <c r="H2095" i="5"/>
  <c r="H44" i="5"/>
  <c r="H934" i="5"/>
  <c r="H2079" i="5"/>
  <c r="H2124" i="5"/>
  <c r="H2125" i="5"/>
  <c r="H163" i="5"/>
  <c r="H551" i="5"/>
  <c r="H1144" i="5"/>
  <c r="H1197" i="5"/>
  <c r="H1201" i="5"/>
  <c r="H1629" i="5"/>
  <c r="H97" i="5"/>
  <c r="H479" i="5"/>
  <c r="H988" i="5"/>
  <c r="H1180" i="5"/>
  <c r="H1533" i="5"/>
  <c r="H1536" i="5"/>
  <c r="H1642" i="5"/>
  <c r="H1767" i="5"/>
  <c r="H9" i="5"/>
  <c r="H805" i="5"/>
  <c r="H820" i="5"/>
  <c r="H879" i="5"/>
  <c r="H1138" i="5"/>
  <c r="H2027" i="5"/>
  <c r="H2357" i="5"/>
  <c r="H902" i="5"/>
  <c r="H1171" i="5"/>
  <c r="H1394" i="5"/>
  <c r="H1862" i="5"/>
  <c r="H31" i="5"/>
  <c r="H749" i="5"/>
  <c r="H1006" i="5"/>
  <c r="H1148" i="5"/>
  <c r="H1736" i="5"/>
  <c r="H2211" i="5"/>
  <c r="H2287" i="5"/>
  <c r="H862" i="5"/>
  <c r="H1015" i="5"/>
  <c r="H1540" i="5"/>
  <c r="H1677" i="5"/>
  <c r="H2015" i="5"/>
  <c r="H2403" i="5"/>
  <c r="H1907" i="5"/>
  <c r="H2460" i="5"/>
  <c r="H516" i="5"/>
  <c r="H958" i="5"/>
  <c r="H1116" i="5"/>
  <c r="H1150" i="5"/>
  <c r="H110" i="5"/>
  <c r="H348" i="5"/>
  <c r="H588" i="5"/>
  <c r="H847" i="5"/>
  <c r="H1037" i="5"/>
  <c r="H2314" i="5"/>
  <c r="H2388" i="5"/>
  <c r="H169" i="5"/>
  <c r="H283" i="5"/>
  <c r="H859" i="5"/>
  <c r="H1029" i="5"/>
  <c r="H1173" i="5"/>
  <c r="H1409" i="5"/>
  <c r="H1573" i="5"/>
  <c r="H1876" i="5"/>
  <c r="H2407" i="5"/>
  <c r="H595" i="5"/>
  <c r="H681" i="5"/>
  <c r="H1754" i="5"/>
  <c r="H440" i="5"/>
  <c r="H582" i="5"/>
  <c r="H960" i="5"/>
  <c r="H1220" i="5"/>
  <c r="H2247" i="5"/>
  <c r="H2363" i="5"/>
  <c r="H11" i="5"/>
  <c r="H623" i="5"/>
  <c r="H1083" i="5"/>
  <c r="H1965" i="5"/>
  <c r="H489" i="5"/>
  <c r="H914" i="5"/>
  <c r="H1230" i="5"/>
  <c r="H1322" i="5"/>
  <c r="H2438" i="5"/>
  <c r="H5" i="5"/>
  <c r="H256" i="5"/>
  <c r="H307" i="5"/>
  <c r="H784" i="5"/>
  <c r="H1373" i="5"/>
  <c r="H2319" i="5"/>
  <c r="H470" i="5"/>
  <c r="H657" i="5"/>
  <c r="H901" i="5"/>
  <c r="H2233" i="5"/>
  <c r="H145" i="5"/>
  <c r="H603" i="5"/>
  <c r="H606" i="5"/>
  <c r="H1398" i="5"/>
  <c r="H839" i="5"/>
  <c r="H1337" i="5"/>
  <c r="H1499" i="5"/>
  <c r="H1595" i="5"/>
  <c r="H242" i="5"/>
  <c r="H1277" i="5"/>
  <c r="J35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M4" i="16"/>
  <c r="J35" i="16"/>
  <c r="G31" i="16"/>
  <c r="H31" i="16" s="1"/>
  <c r="C31" i="16"/>
  <c r="A31" i="16"/>
  <c r="G30" i="16"/>
  <c r="H30" i="16" s="1"/>
  <c r="J30" i="16" s="1"/>
  <c r="C30" i="16"/>
  <c r="A30" i="16"/>
  <c r="G29" i="16"/>
  <c r="H29" i="16" s="1"/>
  <c r="C29" i="16"/>
  <c r="A29" i="16"/>
  <c r="G28" i="16"/>
  <c r="H28" i="16" s="1"/>
  <c r="L28" i="16" s="1"/>
  <c r="C28" i="16"/>
  <c r="A28" i="16"/>
  <c r="G27" i="16"/>
  <c r="H27" i="16" s="1"/>
  <c r="C27" i="16"/>
  <c r="A27" i="16"/>
  <c r="G26" i="16"/>
  <c r="H26" i="16" s="1"/>
  <c r="C26" i="16"/>
  <c r="A26" i="16"/>
  <c r="G25" i="16"/>
  <c r="H25" i="16" s="1"/>
  <c r="C25" i="16"/>
  <c r="A25" i="16"/>
  <c r="G24" i="16"/>
  <c r="H24" i="16" s="1"/>
  <c r="L24" i="16" s="1"/>
  <c r="C24" i="16"/>
  <c r="A24" i="16"/>
  <c r="G23" i="16"/>
  <c r="H23" i="16" s="1"/>
  <c r="C23" i="16"/>
  <c r="A23" i="16"/>
  <c r="G22" i="16"/>
  <c r="H22" i="16" s="1"/>
  <c r="C22" i="16"/>
  <c r="A22" i="16"/>
  <c r="G21" i="16"/>
  <c r="H21" i="16" s="1"/>
  <c r="C21" i="16"/>
  <c r="A21" i="16"/>
  <c r="G20" i="16"/>
  <c r="H20" i="16" s="1"/>
  <c r="L20" i="16" s="1"/>
  <c r="C20" i="16"/>
  <c r="A20" i="16"/>
  <c r="G19" i="16"/>
  <c r="H19" i="16" s="1"/>
  <c r="L19" i="16" s="1"/>
  <c r="C19" i="16"/>
  <c r="A19" i="16"/>
  <c r="G18" i="16"/>
  <c r="H18" i="16" s="1"/>
  <c r="C18" i="16"/>
  <c r="A18" i="16"/>
  <c r="G17" i="16"/>
  <c r="H17" i="16" s="1"/>
  <c r="C17" i="16"/>
  <c r="A17" i="16"/>
  <c r="G16" i="16"/>
  <c r="H16" i="16" s="1"/>
  <c r="L16" i="16" s="1"/>
  <c r="C16" i="16"/>
  <c r="A16" i="16"/>
  <c r="K16" i="18" l="1"/>
  <c r="J28" i="16"/>
  <c r="K28" i="16" s="1"/>
  <c r="J19" i="16"/>
  <c r="K19" i="16" s="1"/>
  <c r="M19" i="16" s="1"/>
  <c r="N19" i="16" s="1"/>
  <c r="L23" i="16"/>
  <c r="J23" i="16"/>
  <c r="K23" i="16" s="1"/>
  <c r="L21" i="16"/>
  <c r="J21" i="16"/>
  <c r="K21" i="16" s="1"/>
  <c r="L25" i="16"/>
  <c r="J25" i="16"/>
  <c r="K25" i="16" s="1"/>
  <c r="J22" i="16"/>
  <c r="K22" i="16" s="1"/>
  <c r="L22" i="16"/>
  <c r="L17" i="16"/>
  <c r="J17" i="16"/>
  <c r="K17" i="16" s="1"/>
  <c r="J26" i="16"/>
  <c r="K26" i="16" s="1"/>
  <c r="L26" i="16"/>
  <c r="J18" i="16"/>
  <c r="K18" i="16" s="1"/>
  <c r="L18" i="16"/>
  <c r="L27" i="16"/>
  <c r="J27" i="16"/>
  <c r="K27" i="16" s="1"/>
  <c r="J31" i="16"/>
  <c r="K31" i="16" s="1"/>
  <c r="L31" i="16"/>
  <c r="J20" i="16"/>
  <c r="K20" i="16" s="1"/>
  <c r="K30" i="16"/>
  <c r="J16" i="16"/>
  <c r="K16" i="16" s="1"/>
  <c r="J24" i="16"/>
  <c r="K24" i="16" s="1"/>
  <c r="L30" i="16"/>
  <c r="L29" i="16"/>
  <c r="J29" i="16"/>
  <c r="K29" i="16" s="1"/>
  <c r="J35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H16" i="15"/>
  <c r="A16" i="15"/>
  <c r="T2479" i="5"/>
  <c r="T1993" i="5"/>
  <c r="T1685" i="5"/>
  <c r="T287" i="5"/>
  <c r="T1437" i="5"/>
  <c r="T521" i="5"/>
  <c r="T1708" i="5"/>
  <c r="T1229" i="5"/>
  <c r="T613" i="5"/>
  <c r="T204" i="5"/>
  <c r="T2150" i="5"/>
  <c r="T1299" i="5"/>
  <c r="T1716" i="5"/>
  <c r="T1725" i="5"/>
  <c r="T2227" i="5"/>
  <c r="T941" i="5"/>
  <c r="T2186" i="5"/>
  <c r="T933" i="5"/>
  <c r="T2128" i="5"/>
  <c r="T818" i="5"/>
  <c r="T1704" i="5"/>
  <c r="T1782" i="5"/>
  <c r="T1283" i="5"/>
  <c r="T995" i="5"/>
  <c r="T57" i="5"/>
  <c r="T698" i="5"/>
  <c r="T1598" i="5"/>
  <c r="T416" i="5"/>
  <c r="T1463" i="5"/>
  <c r="T961" i="5"/>
  <c r="T1112" i="5"/>
  <c r="T250" i="5"/>
  <c r="T1976" i="5"/>
  <c r="T1005" i="5"/>
  <c r="T1284" i="5"/>
  <c r="T2499" i="5"/>
  <c r="T468" i="5"/>
  <c r="T463" i="5"/>
  <c r="T1820" i="5"/>
  <c r="T80" i="5"/>
  <c r="T183" i="5"/>
  <c r="T1744" i="5"/>
  <c r="T2405" i="5"/>
  <c r="T1273" i="5"/>
  <c r="T154" i="5"/>
  <c r="T705" i="5"/>
  <c r="T2025" i="5"/>
  <c r="T809" i="5"/>
  <c r="T2261" i="5"/>
  <c r="T2130" i="5"/>
  <c r="T485" i="5"/>
  <c r="T1549" i="5"/>
  <c r="T62" i="5"/>
  <c r="T350" i="5"/>
  <c r="T2304" i="5"/>
  <c r="T2266" i="5"/>
  <c r="T1236" i="5"/>
  <c r="T2258" i="5"/>
  <c r="T64" i="5"/>
  <c r="T1572" i="5"/>
  <c r="T1974" i="5"/>
  <c r="T1145" i="5"/>
  <c r="T2029" i="5"/>
  <c r="T335" i="5"/>
  <c r="T1984" i="5"/>
  <c r="T233" i="5"/>
  <c r="T23" i="5"/>
  <c r="T1233" i="5"/>
  <c r="T1401" i="5"/>
  <c r="T1981" i="5"/>
  <c r="T407" i="5"/>
  <c r="T2180" i="5"/>
  <c r="T851" i="5"/>
  <c r="T377" i="5"/>
  <c r="T319" i="5"/>
  <c r="T816" i="5"/>
  <c r="T874" i="5"/>
  <c r="T929" i="5"/>
  <c r="T883" i="5"/>
  <c r="T2115" i="5"/>
  <c r="T388" i="5"/>
  <c r="T1546" i="5"/>
  <c r="T737" i="5"/>
  <c r="T971" i="5"/>
  <c r="T1325" i="5"/>
  <c r="T272" i="5"/>
  <c r="T428" i="5"/>
  <c r="T1843" i="5"/>
  <c r="T1036" i="5"/>
  <c r="T2280" i="5"/>
  <c r="T1675" i="5"/>
  <c r="T1097" i="5"/>
  <c r="T311" i="5"/>
  <c r="T1407" i="5"/>
  <c r="T36" i="5"/>
  <c r="T90" i="5"/>
  <c r="T2316" i="5"/>
  <c r="T2481" i="5"/>
  <c r="T525" i="5"/>
  <c r="T901" i="5"/>
  <c r="T603" i="5"/>
  <c r="G17" i="8"/>
  <c r="H17" i="8" s="1"/>
  <c r="G18" i="8"/>
  <c r="H18" i="8" s="1"/>
  <c r="L18" i="8" s="1"/>
  <c r="G19" i="8"/>
  <c r="H19" i="8" s="1"/>
  <c r="J19" i="8" s="1"/>
  <c r="G20" i="8"/>
  <c r="H20" i="8" s="1"/>
  <c r="J20" i="8" s="1"/>
  <c r="G21" i="8"/>
  <c r="H21" i="8" s="1"/>
  <c r="J21" i="8" s="1"/>
  <c r="G22" i="8"/>
  <c r="H22" i="8" s="1"/>
  <c r="L22" i="8" s="1"/>
  <c r="G23" i="8"/>
  <c r="H23" i="8" s="1"/>
  <c r="L23" i="8" s="1"/>
  <c r="G24" i="8"/>
  <c r="H24" i="8" s="1"/>
  <c r="L24" i="8" s="1"/>
  <c r="G25" i="8"/>
  <c r="H25" i="8" s="1"/>
  <c r="G26" i="8"/>
  <c r="H26" i="8" s="1"/>
  <c r="G27" i="8"/>
  <c r="H27" i="8" s="1"/>
  <c r="J27" i="8" s="1"/>
  <c r="G28" i="8"/>
  <c r="H28" i="8" s="1"/>
  <c r="G29" i="8"/>
  <c r="H29" i="8" s="1"/>
  <c r="G30" i="8"/>
  <c r="H30" i="8" s="1"/>
  <c r="L30" i="8" s="1"/>
  <c r="G31" i="8"/>
  <c r="H31" i="8" s="1"/>
  <c r="L31" i="8" s="1"/>
  <c r="G16" i="8"/>
  <c r="S1095" i="5"/>
  <c r="S1619" i="5"/>
  <c r="S1648" i="5"/>
  <c r="S270" i="5"/>
  <c r="S1737" i="5"/>
  <c r="S2203" i="5"/>
  <c r="S248" i="5"/>
  <c r="S1780" i="5"/>
  <c r="S371" i="5"/>
  <c r="S836" i="5"/>
  <c r="S65" i="5"/>
  <c r="S655" i="5"/>
  <c r="S755" i="5"/>
  <c r="S2031" i="5"/>
  <c r="S1819" i="5"/>
  <c r="S1168" i="5"/>
  <c r="S2479" i="5"/>
  <c r="S336" i="5"/>
  <c r="S1274" i="5"/>
  <c r="S1434" i="5"/>
  <c r="S2307" i="5"/>
  <c r="S351" i="5"/>
  <c r="S2294" i="5"/>
  <c r="S37" i="5"/>
  <c r="S1340" i="5"/>
  <c r="S1250" i="5"/>
  <c r="S762" i="5"/>
  <c r="S1610" i="5"/>
  <c r="S2308" i="5"/>
  <c r="S1466" i="5"/>
  <c r="S78" i="5"/>
  <c r="S1125" i="5"/>
  <c r="S1993" i="5"/>
  <c r="S808" i="5"/>
  <c r="S164" i="5"/>
  <c r="S789" i="5"/>
  <c r="S1339" i="5"/>
  <c r="S1314" i="5"/>
  <c r="S1158" i="5"/>
  <c r="S52" i="5"/>
  <c r="S978" i="5"/>
  <c r="S1376" i="5"/>
  <c r="S895" i="5"/>
  <c r="S2318" i="5"/>
  <c r="S2249" i="5"/>
  <c r="S1193" i="5"/>
  <c r="S944" i="5"/>
  <c r="S2116" i="5"/>
  <c r="S1602" i="5"/>
  <c r="S1485" i="5"/>
  <c r="S1517" i="5"/>
  <c r="S1605" i="5"/>
  <c r="S886" i="5"/>
  <c r="S992" i="5"/>
  <c r="S1594" i="5"/>
  <c r="S1306" i="5"/>
  <c r="S1234" i="5"/>
  <c r="S2283" i="5"/>
  <c r="S1279" i="5"/>
  <c r="S2167" i="5"/>
  <c r="S2394" i="5"/>
  <c r="S296" i="5"/>
  <c r="S1151" i="5"/>
  <c r="S1672" i="5"/>
  <c r="S2429" i="5"/>
  <c r="S1625" i="5"/>
  <c r="S2072" i="5"/>
  <c r="S1656" i="5"/>
  <c r="S981" i="5"/>
  <c r="S1105" i="5"/>
  <c r="S2409" i="5"/>
  <c r="S1260" i="5"/>
  <c r="S1435" i="5"/>
  <c r="S2451" i="5"/>
  <c r="S2083" i="5"/>
  <c r="S2362" i="5"/>
  <c r="S129" i="5"/>
  <c r="S803" i="5"/>
  <c r="S822" i="5"/>
  <c r="S1685" i="5"/>
  <c r="S1669" i="5"/>
  <c r="S287" i="5"/>
  <c r="S669" i="5"/>
  <c r="S611" i="5"/>
  <c r="S284" i="5"/>
  <c r="S1122" i="5"/>
  <c r="S982" i="5"/>
  <c r="S996" i="5"/>
  <c r="S849" i="5"/>
  <c r="S2175" i="5"/>
  <c r="S882" i="5"/>
  <c r="S1014" i="5"/>
  <c r="S301" i="5"/>
  <c r="S674" i="5"/>
  <c r="S1087" i="5"/>
  <c r="S1866" i="5"/>
  <c r="S176" i="5"/>
  <c r="S1008" i="5"/>
  <c r="S1341" i="5"/>
  <c r="S1453" i="5"/>
  <c r="S1067" i="5"/>
  <c r="S1427" i="5"/>
  <c r="S741" i="5"/>
  <c r="S1878" i="5"/>
  <c r="S2020" i="5"/>
  <c r="S2155" i="5"/>
  <c r="S2378" i="5"/>
  <c r="S2382" i="5"/>
  <c r="S2285" i="5"/>
  <c r="S299" i="5"/>
  <c r="S1436" i="5"/>
  <c r="S1222" i="5"/>
  <c r="S1246" i="5"/>
  <c r="S501" i="5"/>
  <c r="S2277" i="5"/>
  <c r="S769" i="5"/>
  <c r="S144" i="5"/>
  <c r="S641" i="5"/>
  <c r="S1166" i="5"/>
  <c r="S631" i="5"/>
  <c r="S1705" i="5"/>
  <c r="S1848" i="5"/>
  <c r="S383" i="5"/>
  <c r="S346" i="5"/>
  <c r="S394" i="5"/>
  <c r="S476" i="5"/>
  <c r="S1128" i="5"/>
  <c r="S1437" i="5"/>
  <c r="S680" i="5"/>
  <c r="S735" i="5"/>
  <c r="S647" i="5"/>
  <c r="S1039" i="5"/>
  <c r="S984" i="5"/>
  <c r="S121" i="5"/>
  <c r="S151" i="5"/>
  <c r="S1091" i="5"/>
  <c r="S521" i="5"/>
  <c r="S1723" i="5"/>
  <c r="S2373" i="5"/>
  <c r="S1265" i="5"/>
  <c r="S2364" i="5"/>
  <c r="S2256" i="5"/>
  <c r="S1354" i="5"/>
  <c r="S649" i="5"/>
  <c r="S494" i="5"/>
  <c r="S2119" i="5"/>
  <c r="S2241" i="5"/>
  <c r="S736" i="5"/>
  <c r="S2221" i="5"/>
  <c r="S806" i="5"/>
  <c r="S1708" i="5"/>
  <c r="S157" i="5"/>
  <c r="S1727" i="5"/>
  <c r="S660" i="5"/>
  <c r="S1644" i="5"/>
  <c r="S166" i="5"/>
  <c r="S1445" i="5"/>
  <c r="S219" i="5"/>
  <c r="S1940" i="5"/>
  <c r="S1420" i="5"/>
  <c r="S2086" i="5"/>
  <c r="S562" i="5"/>
  <c r="S1229" i="5"/>
  <c r="S1473" i="5"/>
  <c r="S1568" i="5"/>
  <c r="S1789" i="5"/>
  <c r="S1413" i="5"/>
  <c r="S239" i="5"/>
  <c r="S1997" i="5"/>
  <c r="S1890" i="5"/>
  <c r="S268" i="5"/>
  <c r="S2492" i="5"/>
  <c r="S1914" i="5"/>
  <c r="S1135" i="5"/>
  <c r="S2158" i="5"/>
  <c r="S254" i="5"/>
  <c r="S474" i="5"/>
  <c r="S1620" i="5"/>
  <c r="S1189" i="5"/>
  <c r="S710" i="5"/>
  <c r="S1944" i="5"/>
  <c r="S2439" i="5"/>
  <c r="S830" i="5"/>
  <c r="S1481" i="5"/>
  <c r="S792" i="5"/>
  <c r="S1702" i="5"/>
  <c r="S2110" i="5"/>
  <c r="S72" i="5"/>
  <c r="S1328" i="5"/>
  <c r="S2253" i="5"/>
  <c r="S2390" i="5"/>
  <c r="S59" i="5"/>
  <c r="S421" i="5"/>
  <c r="S1216" i="5"/>
  <c r="S2046" i="5"/>
  <c r="S1089" i="5"/>
  <c r="S613" i="5"/>
  <c r="S2076" i="5"/>
  <c r="S184" i="5"/>
  <c r="S2101" i="5"/>
  <c r="S1967" i="5"/>
  <c r="S618" i="5"/>
  <c r="S794" i="5"/>
  <c r="S1383" i="5"/>
  <c r="S2058" i="5"/>
  <c r="S2149" i="5"/>
  <c r="S2147" i="5"/>
  <c r="S1791" i="5"/>
  <c r="S2006" i="5"/>
  <c r="S2493" i="5"/>
  <c r="S1323" i="5"/>
  <c r="S370" i="5"/>
  <c r="S856" i="5"/>
  <c r="S2276" i="5"/>
  <c r="S1405" i="5"/>
  <c r="S292" i="5"/>
  <c r="S750" i="5"/>
  <c r="S1964" i="5"/>
  <c r="S345" i="5"/>
  <c r="S584" i="5"/>
  <c r="S2292" i="5"/>
  <c r="S577" i="5"/>
  <c r="S81" i="5"/>
  <c r="S1393" i="5"/>
  <c r="S2219" i="5"/>
  <c r="S1583" i="5"/>
  <c r="S539" i="5"/>
  <c r="S386" i="5"/>
  <c r="S1035" i="5"/>
  <c r="S1561" i="5"/>
  <c r="S1291" i="5"/>
  <c r="S20" i="5"/>
  <c r="S1757" i="5"/>
  <c r="S204" i="5"/>
  <c r="S2002" i="5"/>
  <c r="S257" i="5"/>
  <c r="S2150" i="5"/>
  <c r="S1270" i="5"/>
  <c r="S1740" i="5"/>
  <c r="S1604" i="5"/>
  <c r="S2306" i="5"/>
  <c r="S1327" i="5"/>
  <c r="S1408" i="5"/>
  <c r="S1051" i="5"/>
  <c r="S773" i="5"/>
  <c r="S1554" i="5"/>
  <c r="S2011" i="5"/>
  <c r="S1299" i="5"/>
  <c r="S1623" i="5"/>
  <c r="S1258" i="5"/>
  <c r="S2446" i="5"/>
  <c r="S753" i="5"/>
  <c r="S936" i="5"/>
  <c r="S1716" i="5"/>
  <c r="S1684" i="5"/>
  <c r="S845" i="5"/>
  <c r="S797" i="5"/>
  <c r="S1211" i="5"/>
  <c r="S2264" i="5"/>
  <c r="S2474" i="5"/>
  <c r="S1872" i="5"/>
  <c r="S2007" i="5"/>
  <c r="S2100" i="5"/>
  <c r="S840" i="5"/>
  <c r="S733" i="5"/>
  <c r="S1865" i="5"/>
  <c r="S2142" i="5"/>
  <c r="S1046" i="5"/>
  <c r="S182" i="5"/>
  <c r="S1140" i="5"/>
  <c r="S1304" i="5"/>
  <c r="S1482" i="5"/>
  <c r="S536" i="5"/>
  <c r="S2207" i="5"/>
  <c r="S643" i="5"/>
  <c r="S1031" i="5"/>
  <c r="S1156" i="5"/>
  <c r="S837" i="5"/>
  <c r="S651" i="5"/>
  <c r="S1155" i="5"/>
  <c r="S1410" i="5"/>
  <c r="S1725" i="5"/>
  <c r="S41" i="5"/>
  <c r="S1192" i="5"/>
  <c r="S1900" i="5"/>
  <c r="S1404" i="5"/>
  <c r="S451" i="5"/>
  <c r="S165" i="5"/>
  <c r="S1640" i="5"/>
  <c r="S2166" i="5"/>
  <c r="S2176" i="5"/>
  <c r="S1227" i="5"/>
  <c r="S893" i="5"/>
  <c r="S2227" i="5"/>
  <c r="S890" i="5"/>
  <c r="S1465" i="5"/>
  <c r="S1991" i="5"/>
  <c r="S1697" i="5"/>
  <c r="S1007" i="5"/>
  <c r="S1069" i="5"/>
  <c r="S1556" i="5"/>
  <c r="S1159" i="5"/>
  <c r="S1713" i="5"/>
  <c r="S2217" i="5"/>
  <c r="S506" i="5"/>
  <c r="S1085" i="5"/>
  <c r="S1710" i="5"/>
  <c r="S1861" i="5"/>
  <c r="S46" i="5"/>
  <c r="S433" i="5"/>
  <c r="S1855" i="5"/>
  <c r="S2399" i="5"/>
  <c r="S294" i="5"/>
  <c r="S1259" i="5"/>
  <c r="S1599" i="5"/>
  <c r="S1646" i="5"/>
  <c r="S265" i="5"/>
  <c r="S486" i="5"/>
  <c r="S709" i="5"/>
  <c r="S786" i="5"/>
  <c r="S1228" i="5"/>
  <c r="S1397" i="5"/>
  <c r="S1743" i="5"/>
  <c r="S1987" i="5"/>
  <c r="S2117" i="5"/>
  <c r="S14" i="5"/>
  <c r="S89" i="5"/>
  <c r="S220" i="5"/>
  <c r="S2289" i="5"/>
  <c r="S262" i="5"/>
  <c r="S941" i="5"/>
  <c r="S1748" i="5"/>
  <c r="S1952" i="5"/>
  <c r="S2013" i="5"/>
  <c r="S2162" i="5"/>
  <c r="S2186" i="5"/>
  <c r="S2386" i="5"/>
  <c r="S202" i="5"/>
  <c r="S352" i="5"/>
  <c r="S991" i="5"/>
  <c r="S1012" i="5"/>
  <c r="S1093" i="5"/>
  <c r="S1103" i="5"/>
  <c r="S1747" i="5"/>
  <c r="S2273" i="5"/>
  <c r="S51" i="5"/>
  <c r="S454" i="5"/>
  <c r="S1637" i="5"/>
  <c r="S2466" i="5"/>
  <c r="S1353" i="5"/>
  <c r="S1630" i="5"/>
  <c r="S2303" i="5"/>
  <c r="S2416" i="5"/>
  <c r="S71" i="5"/>
  <c r="S517" i="5"/>
  <c r="S1188" i="5"/>
  <c r="S2320" i="5"/>
  <c r="S2343" i="5"/>
  <c r="S754" i="5"/>
  <c r="S861" i="5"/>
  <c r="S1494" i="5"/>
  <c r="S2113" i="5"/>
  <c r="S2458" i="5"/>
  <c r="S29" i="5"/>
  <c r="S498" i="5"/>
  <c r="S1242" i="5"/>
  <c r="S1451" i="5"/>
  <c r="S1694" i="5"/>
  <c r="S2298" i="5"/>
  <c r="S2348" i="5"/>
  <c r="S58" i="5"/>
  <c r="S510" i="5"/>
  <c r="S558" i="5"/>
  <c r="S1232" i="5"/>
  <c r="S1570" i="5"/>
  <c r="S2143" i="5"/>
  <c r="S931" i="5"/>
  <c r="S1019" i="5"/>
  <c r="S1526" i="5"/>
  <c r="S1915" i="5"/>
  <c r="S236" i="5"/>
  <c r="S597" i="5"/>
  <c r="S1107" i="5"/>
  <c r="S1587" i="5"/>
  <c r="S1609" i="5"/>
  <c r="S73" i="5"/>
  <c r="S833" i="5"/>
  <c r="S1075" i="5"/>
  <c r="S1921" i="5"/>
  <c r="S1977" i="5"/>
  <c r="S53" i="5"/>
  <c r="S1276" i="5"/>
  <c r="S1349" i="5"/>
  <c r="S1608" i="5"/>
  <c r="S497" i="5"/>
  <c r="S1471" i="5"/>
  <c r="S2127" i="5"/>
  <c r="S555" i="5"/>
  <c r="S1042" i="5"/>
  <c r="S1422" i="5"/>
  <c r="S2230" i="5"/>
  <c r="S2281" i="5"/>
  <c r="S325" i="5"/>
  <c r="S1032" i="5"/>
  <c r="S2305" i="5"/>
  <c r="S312" i="5"/>
  <c r="S1147" i="5"/>
  <c r="S1992" i="5"/>
  <c r="S2341" i="5"/>
  <c r="S356" i="5"/>
  <c r="S933" i="5"/>
  <c r="S1734" i="5"/>
  <c r="S1751" i="5"/>
  <c r="S2128" i="5"/>
  <c r="S1718" i="5"/>
  <c r="S2018" i="5"/>
  <c r="S520" i="5"/>
  <c r="S1256" i="5"/>
  <c r="S2171" i="5"/>
  <c r="S117" i="5"/>
  <c r="S644" i="5"/>
  <c r="S1312" i="5"/>
  <c r="S1720" i="5"/>
  <c r="S2200" i="5"/>
  <c r="S116" i="5"/>
  <c r="S341" i="5"/>
  <c r="S1755" i="5"/>
  <c r="S850" i="5"/>
  <c r="S1079" i="5"/>
  <c r="S1444" i="5"/>
  <c r="S1808" i="5"/>
  <c r="S438" i="5"/>
  <c r="S804" i="5"/>
  <c r="S876" i="5"/>
  <c r="S1497" i="5"/>
  <c r="S1985" i="5"/>
  <c r="S2198" i="5"/>
  <c r="S2342" i="5"/>
  <c r="S2444" i="5"/>
  <c r="S473" i="5"/>
  <c r="S1810" i="5"/>
  <c r="S2228" i="5"/>
  <c r="S2330" i="5"/>
  <c r="S2412" i="5"/>
  <c r="S48" i="5"/>
  <c r="S295" i="5"/>
  <c r="S488" i="5"/>
  <c r="S2075" i="5"/>
  <c r="S2259" i="5"/>
  <c r="S45" i="5"/>
  <c r="S313" i="5"/>
  <c r="S952" i="5"/>
  <c r="S1545" i="5"/>
  <c r="S1812" i="5"/>
  <c r="S399" i="5"/>
  <c r="S1698" i="5"/>
  <c r="S1771" i="5"/>
  <c r="S338" i="5"/>
  <c r="S801" i="5"/>
  <c r="S953" i="5"/>
  <c r="S1117" i="5"/>
  <c r="S1813" i="5"/>
  <c r="S2074" i="5"/>
  <c r="S2452" i="5"/>
  <c r="S725" i="5"/>
  <c r="S818" i="5"/>
  <c r="S957" i="5"/>
  <c r="S1447" i="5"/>
  <c r="S2161" i="5"/>
  <c r="S965" i="5"/>
  <c r="S1501" i="5"/>
  <c r="S2381" i="5"/>
  <c r="S266" i="5"/>
  <c r="S573" i="5"/>
  <c r="S626" i="5"/>
  <c r="S2404" i="5"/>
  <c r="S430" i="5"/>
  <c r="S904" i="5"/>
  <c r="S1704" i="5"/>
  <c r="S946" i="5"/>
  <c r="S1671" i="5"/>
  <c r="S2010" i="5"/>
  <c r="S2090" i="5"/>
  <c r="S2365" i="5"/>
  <c r="S133" i="5"/>
  <c r="S431" i="5"/>
  <c r="S1888" i="5"/>
  <c r="S2032" i="5"/>
  <c r="S2351" i="5"/>
  <c r="S422" i="5"/>
  <c r="S523" i="5"/>
  <c r="S1315" i="5"/>
  <c r="S1622" i="5"/>
  <c r="S1936" i="5"/>
  <c r="S1092" i="5"/>
  <c r="S1634" i="5"/>
  <c r="S1886" i="5"/>
  <c r="S2223" i="5"/>
  <c r="S86" i="5"/>
  <c r="S714" i="5"/>
  <c r="S1520" i="5"/>
  <c r="S135" i="5"/>
  <c r="S162" i="5"/>
  <c r="S188" i="5"/>
  <c r="S1054" i="5"/>
  <c r="S1346" i="5"/>
  <c r="S1830" i="5"/>
  <c r="S1955" i="5"/>
  <c r="S214" i="5"/>
  <c r="S668" i="5"/>
  <c r="S915" i="5"/>
  <c r="S1207" i="5"/>
  <c r="S1842" i="5"/>
  <c r="S2419" i="5"/>
  <c r="S367" i="5"/>
  <c r="S1023" i="5"/>
  <c r="S76" i="5"/>
  <c r="S686" i="5"/>
  <c r="S1115" i="5"/>
  <c r="S2251" i="5"/>
  <c r="S260" i="5"/>
  <c r="S857" i="5"/>
  <c r="S1782" i="5"/>
  <c r="S2448" i="5"/>
  <c r="S1543" i="5"/>
  <c r="S1657" i="5"/>
  <c r="S2345" i="5"/>
  <c r="S290" i="5"/>
  <c r="S889" i="5"/>
  <c r="S2037" i="5"/>
  <c r="S752" i="5"/>
  <c r="S1439" i="5"/>
  <c r="S1461" i="5"/>
  <c r="S1502" i="5"/>
  <c r="S1946" i="5"/>
  <c r="S2232" i="5"/>
  <c r="S990" i="5"/>
  <c r="S1283" i="5"/>
  <c r="S1831" i="5"/>
  <c r="S2093" i="5"/>
  <c r="S35" i="5"/>
  <c r="S281" i="5"/>
  <c r="S329" i="5"/>
  <c r="S531" i="5"/>
  <c r="S699" i="5"/>
  <c r="S772" i="5"/>
  <c r="S1510" i="5"/>
  <c r="S1528" i="5"/>
  <c r="S1783" i="5"/>
  <c r="S813" i="5"/>
  <c r="S938" i="5"/>
  <c r="S994" i="5"/>
  <c r="S1662" i="5"/>
  <c r="S2296" i="5"/>
  <c r="S783" i="5"/>
  <c r="S906" i="5"/>
  <c r="S995" i="5"/>
  <c r="S1739" i="5"/>
  <c r="S57" i="5"/>
  <c r="S698" i="5"/>
  <c r="S940" i="5"/>
  <c r="S2087" i="5"/>
  <c r="S2108" i="5"/>
  <c r="S2489" i="5"/>
  <c r="S354" i="5"/>
  <c r="S360" i="5"/>
  <c r="S1735" i="5"/>
  <c r="S1688" i="5"/>
  <c r="S855" i="5"/>
  <c r="S1108" i="5"/>
  <c r="S1547" i="5"/>
  <c r="S1598" i="5"/>
  <c r="S2424" i="5"/>
  <c r="S723" i="5"/>
  <c r="S1132" i="5"/>
  <c r="S1415" i="5"/>
  <c r="S2369" i="5"/>
  <c r="S559" i="5"/>
  <c r="S634" i="5"/>
  <c r="S1551" i="5"/>
  <c r="S1899" i="5"/>
  <c r="S622" i="5"/>
  <c r="S2347" i="5"/>
  <c r="S526" i="5"/>
  <c r="S1045" i="5"/>
  <c r="S1811" i="5"/>
  <c r="S2356" i="5"/>
  <c r="S640" i="5"/>
  <c r="S1601" i="5"/>
  <c r="S1801" i="5"/>
  <c r="S2021" i="5"/>
  <c r="S2094" i="5"/>
  <c r="S2165" i="5"/>
  <c r="S2177" i="5"/>
  <c r="S92" i="5"/>
  <c r="S509" i="5"/>
  <c r="S682" i="5"/>
  <c r="S1184" i="5"/>
  <c r="S2194" i="5"/>
  <c r="S2396" i="5"/>
  <c r="S1078" i="5"/>
  <c r="S1119" i="5"/>
  <c r="S206" i="5"/>
  <c r="S416" i="5"/>
  <c r="S1161" i="5"/>
  <c r="S1463" i="5"/>
  <c r="S1728" i="5"/>
  <c r="S1961" i="5"/>
  <c r="S2192" i="5"/>
  <c r="S55" i="5"/>
  <c r="S507" i="5"/>
  <c r="S1199" i="5"/>
  <c r="S1395" i="5"/>
  <c r="S677" i="5"/>
  <c r="S1205" i="5"/>
  <c r="S1632" i="5"/>
  <c r="S1651" i="5"/>
  <c r="S439" i="5"/>
  <c r="S852" i="5"/>
  <c r="S1505" i="5"/>
  <c r="S2350" i="5"/>
  <c r="S231" i="5"/>
  <c r="S964" i="5"/>
  <c r="S1121" i="5"/>
  <c r="S1285" i="5"/>
  <c r="S1519" i="5"/>
  <c r="S1730" i="5"/>
  <c r="S1784" i="5"/>
  <c r="S1925" i="5"/>
  <c r="S2250" i="5"/>
  <c r="S380" i="5"/>
  <c r="S1319" i="5"/>
  <c r="S1766" i="5"/>
  <c r="S1826" i="5"/>
  <c r="S1828" i="5"/>
  <c r="S2097" i="5"/>
  <c r="S645" i="5"/>
  <c r="S727" i="5"/>
  <c r="S2441" i="5"/>
  <c r="S661" i="5"/>
  <c r="S956" i="5"/>
  <c r="S1763" i="5"/>
  <c r="S87" i="5"/>
  <c r="S127" i="5"/>
  <c r="S221" i="5"/>
  <c r="S389" i="5"/>
  <c r="S484" i="5"/>
  <c r="S795" i="5"/>
  <c r="S943" i="5"/>
  <c r="S1664" i="5"/>
  <c r="S2129" i="5"/>
  <c r="S2471" i="5"/>
  <c r="S1491" i="5"/>
  <c r="S1567" i="5"/>
  <c r="S2049" i="5"/>
  <c r="S1297" i="5"/>
  <c r="S1909" i="5"/>
  <c r="S2234" i="5"/>
  <c r="S866" i="5"/>
  <c r="S1525" i="5"/>
  <c r="S1879" i="5"/>
  <c r="S2042" i="5"/>
  <c r="S2139" i="5"/>
  <c r="S298" i="5"/>
  <c r="S628" i="5"/>
  <c r="S2297" i="5"/>
  <c r="S2367" i="5"/>
  <c r="S63" i="5"/>
  <c r="S538" i="5"/>
  <c r="S814" i="5"/>
  <c r="S961" i="5"/>
  <c r="S1382" i="5"/>
  <c r="S1841" i="5"/>
  <c r="S1972" i="5"/>
  <c r="S2137" i="5"/>
  <c r="S425" i="5"/>
  <c r="S722" i="5"/>
  <c r="S2338" i="5"/>
  <c r="S1330" i="5"/>
  <c r="S1522" i="5"/>
  <c r="S2073" i="5"/>
  <c r="S2321" i="5"/>
  <c r="S119" i="5"/>
  <c r="S2226" i="5"/>
  <c r="S823" i="5"/>
  <c r="S1541" i="5"/>
  <c r="S2214" i="5"/>
  <c r="S222" i="5"/>
  <c r="S1123" i="5"/>
  <c r="S1647" i="5"/>
  <c r="S2336" i="5"/>
  <c r="S150" i="5"/>
  <c r="S620" i="5"/>
  <c r="S652" i="5"/>
  <c r="S1112" i="5"/>
  <c r="S1874" i="5"/>
  <c r="S1892" i="5"/>
  <c r="S322" i="5"/>
  <c r="S369" i="5"/>
  <c r="S374" i="5"/>
  <c r="S913" i="5"/>
  <c r="S2067" i="5"/>
  <c r="S250" i="5"/>
  <c r="S382" i="5"/>
  <c r="S458" i="5"/>
  <c r="S863" i="5"/>
  <c r="S1464" i="5"/>
  <c r="S1852" i="5"/>
  <c r="S2096" i="5"/>
  <c r="S218" i="5"/>
  <c r="S549" i="5"/>
  <c r="S1307" i="5"/>
  <c r="S1976" i="5"/>
  <c r="S2174" i="5"/>
  <c r="S91" i="5"/>
  <c r="S303" i="5"/>
  <c r="S571" i="5"/>
  <c r="S697" i="5"/>
  <c r="S1345" i="5"/>
  <c r="S1423" i="5"/>
  <c r="S1928" i="5"/>
  <c r="S2366" i="5"/>
  <c r="S2497" i="5"/>
  <c r="S24" i="5"/>
  <c r="S77" i="5"/>
  <c r="S415" i="5"/>
  <c r="S609" i="5"/>
  <c r="S1082" i="5"/>
  <c r="S1317" i="5"/>
  <c r="S1530" i="5"/>
  <c r="S1918" i="5"/>
  <c r="S1998" i="5"/>
  <c r="S937" i="5"/>
  <c r="S1470" i="5"/>
  <c r="S1588" i="5"/>
  <c r="S2377" i="5"/>
  <c r="S2485" i="5"/>
  <c r="S891" i="5"/>
  <c r="S2204" i="5"/>
  <c r="S1478" i="5"/>
  <c r="S1631" i="5"/>
  <c r="S1707" i="5"/>
  <c r="S2235" i="5"/>
  <c r="S118" i="5"/>
  <c r="S508" i="5"/>
  <c r="S574" i="5"/>
  <c r="S1282" i="5"/>
  <c r="S1292" i="5"/>
  <c r="S950" i="5"/>
  <c r="S1174" i="5"/>
  <c r="S1213" i="5"/>
  <c r="S1856" i="5"/>
  <c r="S2154" i="5"/>
  <c r="S177" i="5"/>
  <c r="S429" i="5"/>
  <c r="S518" i="5"/>
  <c r="S1005" i="5"/>
  <c r="S302" i="5"/>
  <c r="S666" i="5"/>
  <c r="S2169" i="5"/>
  <c r="S443" i="5"/>
  <c r="S662" i="5"/>
  <c r="S711" i="5"/>
  <c r="S1021" i="5"/>
  <c r="S2062" i="5"/>
  <c r="S2242" i="5"/>
  <c r="S39" i="5"/>
  <c r="S197" i="5"/>
  <c r="S546" i="5"/>
  <c r="S1421" i="5"/>
  <c r="S1765" i="5"/>
  <c r="S50" i="5"/>
  <c r="S614" i="5"/>
  <c r="S717" i="5"/>
  <c r="S742" i="5"/>
  <c r="S802" i="5"/>
  <c r="S983" i="5"/>
  <c r="S1065" i="5"/>
  <c r="S1208" i="5"/>
  <c r="S1650" i="5"/>
  <c r="S379" i="5"/>
  <c r="S437" i="5"/>
  <c r="S1084" i="5"/>
  <c r="S1284" i="5"/>
  <c r="S315" i="5"/>
  <c r="S600" i="5"/>
  <c r="S716" i="5"/>
  <c r="S844" i="5"/>
  <c r="S885" i="5"/>
  <c r="S1882" i="5"/>
  <c r="S326" i="5"/>
  <c r="S899" i="5"/>
  <c r="S1392" i="5"/>
  <c r="S1745" i="5"/>
  <c r="S1759" i="5"/>
  <c r="S1786" i="5"/>
  <c r="S578" i="5"/>
  <c r="S761" i="5"/>
  <c r="S1136" i="5"/>
  <c r="S1338" i="5"/>
  <c r="S1818" i="5"/>
  <c r="S190" i="5"/>
  <c r="S253" i="5"/>
  <c r="S417" i="5"/>
  <c r="S2246" i="5"/>
  <c r="S1429" i="5"/>
  <c r="S1203" i="5"/>
  <c r="S2328" i="5"/>
  <c r="S216" i="5"/>
  <c r="S1178" i="5"/>
  <c r="S1624" i="5"/>
  <c r="S1894" i="5"/>
  <c r="S1960" i="5"/>
  <c r="S587" i="5"/>
  <c r="S1318" i="5"/>
  <c r="S1799" i="5"/>
  <c r="S858" i="5"/>
  <c r="S1030" i="5"/>
  <c r="S1218" i="5"/>
  <c r="S1626" i="5"/>
  <c r="S2121" i="5"/>
  <c r="S2222" i="5"/>
  <c r="S2324" i="5"/>
  <c r="S2425" i="5"/>
  <c r="S832" i="5"/>
  <c r="S1098" i="5"/>
  <c r="S1296" i="5"/>
  <c r="S1432" i="5"/>
  <c r="S1462" i="5"/>
  <c r="S420" i="5"/>
  <c r="S790" i="5"/>
  <c r="S872" i="5"/>
  <c r="S1406" i="5"/>
  <c r="S1455" i="5"/>
  <c r="S2047" i="5"/>
  <c r="S2480" i="5"/>
  <c r="S2499" i="5"/>
  <c r="S414" i="5"/>
  <c r="S610" i="5"/>
  <c r="S1596" i="5"/>
  <c r="S1875" i="5"/>
  <c r="S1962" i="5"/>
  <c r="S2322" i="5"/>
  <c r="S468" i="5"/>
  <c r="S1460" i="5"/>
  <c r="S180" i="5"/>
  <c r="S569" i="5"/>
  <c r="S696" i="5"/>
  <c r="S707" i="5"/>
  <c r="S1131" i="5"/>
  <c r="S2092" i="5"/>
  <c r="S2103" i="5"/>
  <c r="S785" i="5"/>
  <c r="S1064" i="5"/>
  <c r="S1493" i="5"/>
  <c r="S1935" i="5"/>
  <c r="S575" i="5"/>
  <c r="S1513" i="5"/>
  <c r="S2387" i="5"/>
  <c r="S1357" i="5"/>
  <c r="S1400" i="5"/>
  <c r="S21" i="5"/>
  <c r="S390" i="5"/>
  <c r="S1264" i="5"/>
  <c r="S1487" i="5"/>
  <c r="S1724" i="5"/>
  <c r="S1949" i="5"/>
  <c r="S2384" i="5"/>
  <c r="S550" i="5"/>
  <c r="S740" i="5"/>
  <c r="S924" i="5"/>
  <c r="S1255" i="5"/>
  <c r="S1880" i="5"/>
  <c r="S1883" i="5"/>
  <c r="S2237" i="5"/>
  <c r="S49" i="5"/>
  <c r="S556" i="5"/>
  <c r="S2126" i="5"/>
  <c r="S1206" i="5"/>
  <c r="S1823" i="5"/>
  <c r="S2033" i="5"/>
  <c r="S67" i="5"/>
  <c r="S244" i="5"/>
  <c r="S463" i="5"/>
  <c r="S1217" i="5"/>
  <c r="S1555" i="5"/>
  <c r="S353" i="5"/>
  <c r="S1254" i="5"/>
  <c r="S1278" i="5"/>
  <c r="S1910" i="5"/>
  <c r="S779" i="5"/>
  <c r="S1749" i="5"/>
  <c r="S1933" i="5"/>
  <c r="S2197" i="5"/>
  <c r="S309" i="5"/>
  <c r="S689" i="5"/>
  <c r="S1308" i="5"/>
  <c r="S2023" i="5"/>
  <c r="S658" i="5"/>
  <c r="S869" i="5"/>
  <c r="S1350" i="5"/>
  <c r="S1614" i="5"/>
  <c r="S26" i="5"/>
  <c r="S599" i="5"/>
  <c r="S1844" i="5"/>
  <c r="S1922" i="5"/>
  <c r="S397" i="5"/>
  <c r="S542" i="5"/>
  <c r="S2195" i="5"/>
  <c r="S2418" i="5"/>
  <c r="S1805" i="5"/>
  <c r="S1847" i="5"/>
  <c r="S2088" i="5"/>
  <c r="S2359" i="5"/>
  <c r="S2465" i="5"/>
  <c r="S291" i="5"/>
  <c r="S471" i="5"/>
  <c r="S838" i="5"/>
  <c r="S877" i="5"/>
  <c r="S985" i="5"/>
  <c r="S1402" i="5"/>
  <c r="S2084" i="5"/>
  <c r="S2361" i="5"/>
  <c r="S770" i="5"/>
  <c r="S1565" i="5"/>
  <c r="S1795" i="5"/>
  <c r="S2017" i="5"/>
  <c r="S2102" i="5"/>
  <c r="S2408" i="5"/>
  <c r="S410" i="5"/>
  <c r="S445" i="5"/>
  <c r="S1820" i="5"/>
  <c r="S2293" i="5"/>
  <c r="S38" i="5"/>
  <c r="S213" i="5"/>
  <c r="S824" i="5"/>
  <c r="S1110" i="5"/>
  <c r="S1187" i="5"/>
  <c r="S1507" i="5"/>
  <c r="S1990" i="5"/>
  <c r="S2395" i="5"/>
  <c r="S1490" i="5"/>
  <c r="S1639" i="5"/>
  <c r="S2252" i="5"/>
  <c r="S1557" i="5"/>
  <c r="S1674" i="5"/>
  <c r="S1924" i="5"/>
  <c r="S19" i="5"/>
  <c r="S261" i="5"/>
  <c r="S619" i="5"/>
  <c r="S787" i="5"/>
  <c r="S1186" i="5"/>
  <c r="S532" i="5"/>
  <c r="S616" i="5"/>
  <c r="S1100" i="5"/>
  <c r="S1177" i="5"/>
  <c r="S1527" i="5"/>
  <c r="S2122" i="5"/>
  <c r="S2467" i="5"/>
  <c r="S1024" i="5"/>
  <c r="S1575" i="5"/>
  <c r="S1889" i="5"/>
  <c r="S1263" i="5"/>
  <c r="S1333" i="5"/>
  <c r="S125" i="5"/>
  <c r="S131" i="5"/>
  <c r="S339" i="5"/>
  <c r="S632" i="5"/>
  <c r="S1968" i="5"/>
  <c r="S2141" i="5"/>
  <c r="S2335" i="5"/>
  <c r="S80" i="5"/>
  <c r="S1365" i="5"/>
  <c r="S2039" i="5"/>
  <c r="S2179" i="5"/>
  <c r="S2352" i="5"/>
  <c r="S115" i="5"/>
  <c r="S178" i="5"/>
  <c r="S224" i="5"/>
  <c r="S461" i="5"/>
  <c r="S972" i="5"/>
  <c r="S1332" i="5"/>
  <c r="S2040" i="5"/>
  <c r="S88" i="5"/>
  <c r="S126" i="5"/>
  <c r="S586" i="5"/>
  <c r="S1231" i="5"/>
  <c r="S1479" i="5"/>
  <c r="S1904" i="5"/>
  <c r="S320" i="5"/>
  <c r="S396" i="5"/>
  <c r="S692" i="5"/>
  <c r="S1149" i="5"/>
  <c r="S1544" i="5"/>
  <c r="S2238" i="5"/>
  <c r="S94" i="5"/>
  <c r="S888" i="5"/>
  <c r="S1837" i="5"/>
  <c r="S2402" i="5"/>
  <c r="S482" i="5"/>
  <c r="S1850" i="5"/>
  <c r="S2445" i="5"/>
  <c r="S183" i="5"/>
  <c r="S395" i="5"/>
  <c r="S465" i="5"/>
  <c r="S1849" i="5"/>
  <c r="S1959" i="5"/>
  <c r="S500" i="5"/>
  <c r="S548" i="5"/>
  <c r="S675" i="5"/>
  <c r="S1003" i="5"/>
  <c r="S1183" i="5"/>
  <c r="S1298" i="5"/>
  <c r="S1316" i="5"/>
  <c r="S28" i="5"/>
  <c r="S1066" i="5"/>
  <c r="S514" i="5"/>
  <c r="S540" i="5"/>
  <c r="S1068" i="5"/>
  <c r="S17" i="5"/>
  <c r="S208" i="5"/>
  <c r="S1329" i="5"/>
  <c r="S1529" i="5"/>
  <c r="S406" i="5"/>
  <c r="S920" i="5"/>
  <c r="S939" i="5"/>
  <c r="S1498" i="5"/>
  <c r="S2315" i="5"/>
  <c r="S2331" i="5"/>
  <c r="S607" i="5"/>
  <c r="S617" i="5"/>
  <c r="S1175" i="5"/>
  <c r="S1280" i="5"/>
  <c r="S1689" i="5"/>
  <c r="S1845" i="5"/>
  <c r="S2374" i="5"/>
  <c r="S297" i="5"/>
  <c r="S695" i="5"/>
  <c r="S2440" i="5"/>
  <c r="S2456" i="5"/>
  <c r="S103" i="5"/>
  <c r="S209" i="5"/>
  <c r="S288" i="5"/>
  <c r="S1364" i="5"/>
  <c r="S1442" i="5"/>
  <c r="S1822" i="5"/>
  <c r="S66" i="5"/>
  <c r="S1563" i="5"/>
  <c r="S1744" i="5"/>
  <c r="S1774" i="5"/>
  <c r="S2405" i="5"/>
  <c r="S459" i="5"/>
  <c r="S1773" i="5"/>
  <c r="S2034" i="5"/>
  <c r="S2376" i="5"/>
  <c r="S120" i="5"/>
  <c r="S411" i="5"/>
  <c r="S1273" i="5"/>
  <c r="S1384" i="5"/>
  <c r="S1578" i="5"/>
  <c r="S1606" i="5"/>
  <c r="S1652" i="5"/>
  <c r="S1571" i="5"/>
  <c r="S487" i="5"/>
  <c r="S942" i="5"/>
  <c r="S1142" i="5"/>
  <c r="S1266" i="5"/>
  <c r="S1268" i="5"/>
  <c r="S1287" i="5"/>
  <c r="S1289" i="5"/>
  <c r="S2295" i="5"/>
  <c r="S154" i="5"/>
  <c r="S432" i="5"/>
  <c r="S1414" i="5"/>
  <c r="S1417" i="5"/>
  <c r="S1523" i="5"/>
  <c r="S1641" i="5"/>
  <c r="S3" i="5"/>
  <c r="S42" i="5"/>
  <c r="S136" i="5"/>
  <c r="S330" i="5"/>
  <c r="S705" i="5"/>
  <c r="S47" i="5"/>
  <c r="S1589" i="5"/>
  <c r="S1911" i="5"/>
  <c r="S2454" i="5"/>
  <c r="S408" i="5"/>
  <c r="S1034" i="5"/>
  <c r="S1919" i="5"/>
  <c r="S2009" i="5"/>
  <c r="S2360" i="5"/>
  <c r="S2044" i="5"/>
  <c r="S2206" i="5"/>
  <c r="S642" i="5"/>
  <c r="S323" i="5"/>
  <c r="S449" i="5"/>
  <c r="S846" i="5"/>
  <c r="S1249" i="5"/>
  <c r="S305" i="5"/>
  <c r="S636" i="5"/>
  <c r="S911" i="5"/>
  <c r="S1272" i="5"/>
  <c r="S1612" i="5"/>
  <c r="S1947" i="5"/>
  <c r="S2025" i="5"/>
  <c r="S2036" i="5"/>
  <c r="S2442" i="5"/>
  <c r="S530" i="5"/>
  <c r="S831" i="5"/>
  <c r="S1597" i="5"/>
  <c r="S152" i="5"/>
  <c r="S1072" i="5"/>
  <c r="S1468" i="5"/>
  <c r="S1562" i="5"/>
  <c r="S1792" i="5"/>
  <c r="S712" i="5"/>
  <c r="S809" i="5"/>
  <c r="S828" i="5"/>
  <c r="S916" i="5"/>
  <c r="S1584" i="5"/>
  <c r="S748" i="5"/>
  <c r="S1613" i="5"/>
  <c r="S2016" i="5"/>
  <c r="S210" i="5"/>
  <c r="S533" i="5"/>
  <c r="S585" i="5"/>
  <c r="S807" i="5"/>
  <c r="S1709" i="5"/>
  <c r="S671" i="5"/>
  <c r="S743" i="5"/>
  <c r="S1690" i="5"/>
  <c r="S2450" i="5"/>
  <c r="S7" i="5"/>
  <c r="S930" i="5"/>
  <c r="S1058" i="5"/>
  <c r="S1267" i="5"/>
  <c r="S1686" i="5"/>
  <c r="S1893" i="5"/>
  <c r="S1916" i="5"/>
  <c r="S2133" i="5"/>
  <c r="S372" i="5"/>
  <c r="S612" i="5"/>
  <c r="S1359" i="5"/>
  <c r="S1469" i="5"/>
  <c r="S1603" i="5"/>
  <c r="S107" i="5"/>
  <c r="S1153" i="5"/>
  <c r="S1559" i="5"/>
  <c r="S2261" i="5"/>
  <c r="S111" i="5"/>
  <c r="S693" i="5"/>
  <c r="S1043" i="5"/>
  <c r="S1113" i="5"/>
  <c r="S1244" i="5"/>
  <c r="S385" i="5"/>
  <c r="S1301" i="5"/>
  <c r="S2104" i="5"/>
  <c r="S2478" i="5"/>
  <c r="S241" i="5"/>
  <c r="S621" i="5"/>
  <c r="S758" i="5"/>
  <c r="S993" i="5"/>
  <c r="S1539" i="5"/>
  <c r="S30" i="5"/>
  <c r="S316" i="5"/>
  <c r="S1673" i="5"/>
  <c r="S2397" i="5"/>
  <c r="S1025" i="5"/>
  <c r="S1752" i="5"/>
  <c r="S2130" i="5"/>
  <c r="S545" i="5"/>
  <c r="S1167" i="5"/>
  <c r="S2056" i="5"/>
  <c r="S702" i="5"/>
  <c r="S817" i="5"/>
  <c r="S963" i="5"/>
  <c r="S2120" i="5"/>
  <c r="S2213" i="5"/>
  <c r="S2375" i="5"/>
  <c r="S1055" i="5"/>
  <c r="S1379" i="5"/>
  <c r="S1986" i="5"/>
  <c r="S2105" i="5"/>
  <c r="S2146" i="5"/>
  <c r="S2344" i="5"/>
  <c r="S648" i="5"/>
  <c r="S1038" i="5"/>
  <c r="S1377" i="5"/>
  <c r="S1905" i="5"/>
  <c r="S2437" i="5"/>
  <c r="S376" i="5"/>
  <c r="S434" i="5"/>
  <c r="S625" i="5"/>
  <c r="S1010" i="5"/>
  <c r="S1692" i="5"/>
  <c r="S1954" i="5"/>
  <c r="S1978" i="5"/>
  <c r="S189" i="5"/>
  <c r="S413" i="5"/>
  <c r="S826" i="5"/>
  <c r="S887" i="5"/>
  <c r="S897" i="5"/>
  <c r="S968" i="5"/>
  <c r="S1963" i="5"/>
  <c r="S32" i="5"/>
  <c r="S947" i="5"/>
  <c r="S195" i="5"/>
  <c r="S234" i="5"/>
  <c r="S331" i="5"/>
  <c r="S1391" i="5"/>
  <c r="S1548" i="5"/>
  <c r="S2064" i="5"/>
  <c r="S2240" i="5"/>
  <c r="S2501" i="5"/>
  <c r="S1202" i="5"/>
  <c r="S1770" i="5"/>
  <c r="S328" i="5"/>
  <c r="S745" i="5"/>
  <c r="S1643" i="5"/>
  <c r="S2313" i="5"/>
  <c r="S187" i="5"/>
  <c r="S1827" i="5"/>
  <c r="S2368" i="5"/>
  <c r="S2436" i="5"/>
  <c r="S747" i="5"/>
  <c r="S1241" i="5"/>
  <c r="S2248" i="5"/>
  <c r="S185" i="5"/>
  <c r="S1152" i="5"/>
  <c r="S114" i="5"/>
  <c r="S485" i="5"/>
  <c r="S927" i="5"/>
  <c r="S935" i="5"/>
  <c r="S1898" i="5"/>
  <c r="S791" i="5"/>
  <c r="S854" i="5"/>
  <c r="S878" i="5"/>
  <c r="S880" i="5"/>
  <c r="S1549" i="5"/>
  <c r="S1768" i="5"/>
  <c r="S1794" i="5"/>
  <c r="S56" i="5"/>
  <c r="S2498" i="5"/>
  <c r="S453" i="5"/>
  <c r="S579" i="5"/>
  <c r="S798" i="5"/>
  <c r="S945" i="5"/>
  <c r="S1164" i="5"/>
  <c r="S1418" i="5"/>
  <c r="S1450" i="5"/>
  <c r="S1679" i="5"/>
  <c r="S1020" i="5"/>
  <c r="S2168" i="5"/>
  <c r="S62" i="5"/>
  <c r="S592" i="5"/>
  <c r="S1969" i="5"/>
  <c r="S2151" i="5"/>
  <c r="S2163" i="5"/>
  <c r="S2332" i="5"/>
  <c r="S713" i="5"/>
  <c r="S759" i="5"/>
  <c r="S900" i="5"/>
  <c r="S1369" i="5"/>
  <c r="S1390" i="5"/>
  <c r="S2393" i="5"/>
  <c r="S2398" i="5"/>
  <c r="S541" i="5"/>
  <c r="S1160" i="5"/>
  <c r="S1245" i="5"/>
  <c r="S1699" i="5"/>
  <c r="S1719" i="5"/>
  <c r="S2201" i="5"/>
  <c r="S2208" i="5"/>
  <c r="S1425" i="5"/>
  <c r="S1248" i="5"/>
  <c r="S1809" i="5"/>
  <c r="S2278" i="5"/>
  <c r="S25" i="5"/>
  <c r="S503" i="5"/>
  <c r="S1966" i="5"/>
  <c r="S2159" i="5"/>
  <c r="S95" i="5"/>
  <c r="S280" i="5"/>
  <c r="S650" i="5"/>
  <c r="S1252" i="5"/>
  <c r="S2435" i="5"/>
  <c r="S324" i="5"/>
  <c r="S419" i="5"/>
  <c r="S767" i="5"/>
  <c r="S1477" i="5"/>
  <c r="S1645" i="5"/>
  <c r="S1877" i="5"/>
  <c r="S1951" i="5"/>
  <c r="S1139" i="5"/>
  <c r="S1313" i="5"/>
  <c r="S146" i="5"/>
  <c r="S350" i="5"/>
  <c r="S373" i="5"/>
  <c r="S604" i="5"/>
  <c r="S1347" i="5"/>
  <c r="S1492" i="5"/>
  <c r="S1496" i="5"/>
  <c r="S1654" i="5"/>
  <c r="S1701" i="5"/>
  <c r="S1927" i="5"/>
  <c r="S505" i="5"/>
  <c r="S123" i="5"/>
  <c r="S870" i="5"/>
  <c r="S1044" i="5"/>
  <c r="S1146" i="5"/>
  <c r="S70" i="5"/>
  <c r="S774" i="5"/>
  <c r="S905" i="5"/>
  <c r="S15" i="5"/>
  <c r="S273" i="5"/>
  <c r="S909" i="5"/>
  <c r="S1378" i="5"/>
  <c r="S1489" i="5"/>
  <c r="S423" i="5"/>
  <c r="S1531" i="5"/>
  <c r="S1908" i="5"/>
  <c r="S2231" i="5"/>
  <c r="S2304" i="5"/>
  <c r="S731" i="5"/>
  <c r="S1060" i="5"/>
  <c r="S1488" i="5"/>
  <c r="S491" i="5"/>
  <c r="S1769" i="5"/>
  <c r="S1858" i="5"/>
  <c r="S181" i="5"/>
  <c r="S1804" i="5"/>
  <c r="S2148" i="5"/>
  <c r="S524" i="5"/>
  <c r="S1017" i="5"/>
  <c r="S1695" i="5"/>
  <c r="S1884" i="5"/>
  <c r="S2071" i="5"/>
  <c r="S2190" i="5"/>
  <c r="S2291" i="5"/>
  <c r="S2473" i="5"/>
  <c r="S1835" i="5"/>
  <c r="S217" i="5"/>
  <c r="S706" i="5"/>
  <c r="S763" i="5"/>
  <c r="S1433" i="5"/>
  <c r="S230" i="5"/>
  <c r="S829" i="5"/>
  <c r="S2262" i="5"/>
  <c r="S349" i="5"/>
  <c r="S1683" i="5"/>
  <c r="S1887" i="5"/>
  <c r="S1931" i="5"/>
  <c r="S2030" i="5"/>
  <c r="S2091" i="5"/>
  <c r="S2178" i="5"/>
  <c r="S27" i="5"/>
  <c r="S368" i="5"/>
  <c r="S1635" i="5"/>
  <c r="S1839" i="5"/>
  <c r="S1868" i="5"/>
  <c r="S2043" i="5"/>
  <c r="S366" i="5"/>
  <c r="S700" i="5"/>
  <c r="S841" i="5"/>
  <c r="S907" i="5"/>
  <c r="S1370" i="5"/>
  <c r="S1956" i="5"/>
  <c r="S1426" i="5"/>
  <c r="S1016" i="5"/>
  <c r="S557" i="5"/>
  <c r="S776" i="5"/>
  <c r="S1111" i="5"/>
  <c r="S2477" i="5"/>
  <c r="S286" i="5"/>
  <c r="S624" i="5"/>
  <c r="S2055" i="5"/>
  <c r="S8" i="5"/>
  <c r="S347" i="5"/>
  <c r="S554" i="5"/>
  <c r="S738" i="5"/>
  <c r="S1212" i="5"/>
  <c r="S1579" i="5"/>
  <c r="S1729" i="5"/>
  <c r="S1821" i="5"/>
  <c r="S2070" i="5"/>
  <c r="S593" i="5"/>
  <c r="S1994" i="5"/>
  <c r="S2118" i="5"/>
  <c r="S1194" i="5"/>
  <c r="S1196" i="5"/>
  <c r="S1348" i="5"/>
  <c r="S1351" i="5"/>
  <c r="S1486" i="5"/>
  <c r="S2024" i="5"/>
  <c r="S581" i="5"/>
  <c r="S1253" i="5"/>
  <c r="S1389" i="5"/>
  <c r="S1381" i="5"/>
  <c r="S1897" i="5"/>
  <c r="S168" i="5"/>
  <c r="S436" i="5"/>
  <c r="S566" i="5"/>
  <c r="S1200" i="5"/>
  <c r="S1566" i="5"/>
  <c r="S1891" i="5"/>
  <c r="S2209" i="5"/>
  <c r="S2449" i="5"/>
  <c r="S676" i="5"/>
  <c r="S1326" i="5"/>
  <c r="S1854" i="5"/>
  <c r="S2267" i="5"/>
  <c r="S663" i="5"/>
  <c r="S1176" i="5"/>
  <c r="S1355" i="5"/>
  <c r="S1945" i="5"/>
  <c r="S149" i="5"/>
  <c r="S1080" i="5"/>
  <c r="S1088" i="5"/>
  <c r="S441" i="5"/>
  <c r="S528" i="5"/>
  <c r="S638" i="5"/>
  <c r="S1607" i="5"/>
  <c r="S1661" i="5"/>
  <c r="S633" i="5"/>
  <c r="S1324" i="5"/>
  <c r="S1970" i="5"/>
  <c r="S2019" i="5"/>
  <c r="S2077" i="5"/>
  <c r="S729" i="5"/>
  <c r="S928" i="5"/>
  <c r="S1781" i="5"/>
  <c r="S2268" i="5"/>
  <c r="S293" i="5"/>
  <c r="S576" i="5"/>
  <c r="S954" i="5"/>
  <c r="S1342" i="5"/>
  <c r="S223" i="5"/>
  <c r="S720" i="5"/>
  <c r="S1004" i="5"/>
  <c r="S1495" i="5"/>
  <c r="S2028" i="5"/>
  <c r="S245" i="5"/>
  <c r="S252" i="5"/>
  <c r="S448" i="5"/>
  <c r="S1772" i="5"/>
  <c r="S688" i="5"/>
  <c r="S33" i="5"/>
  <c r="S892" i="5"/>
  <c r="S1368" i="5"/>
  <c r="S1399" i="5"/>
  <c r="S1746" i="5"/>
  <c r="S2215" i="5"/>
  <c r="S2274" i="5"/>
  <c r="S848" i="5"/>
  <c r="S1703" i="5"/>
  <c r="S1712" i="5"/>
  <c r="S2266" i="5"/>
  <c r="S2414" i="5"/>
  <c r="S580" i="5"/>
  <c r="S596" i="5"/>
  <c r="S1236" i="5"/>
  <c r="S815" i="5"/>
  <c r="S1070" i="5"/>
  <c r="S1352" i="5"/>
  <c r="S1535" i="5"/>
  <c r="S1834" i="5"/>
  <c r="S2358" i="5"/>
  <c r="S69" i="5"/>
  <c r="S365" i="5"/>
  <c r="S781" i="5"/>
  <c r="S2191" i="5"/>
  <c r="S1223" i="5"/>
  <c r="S1806" i="5"/>
  <c r="S2196" i="5"/>
  <c r="S2258" i="5"/>
  <c r="S79" i="5"/>
  <c r="S1581" i="5"/>
  <c r="S1807" i="5"/>
  <c r="S2085" i="5"/>
  <c r="S2243" i="5"/>
  <c r="S1726" i="5"/>
  <c r="S1871" i="5"/>
  <c r="S2111" i="5"/>
  <c r="S2353" i="5"/>
  <c r="S64" i="5"/>
  <c r="S156" i="5"/>
  <c r="S226" i="5"/>
  <c r="S289" i="5"/>
  <c r="S1572" i="5"/>
  <c r="S1653" i="5"/>
  <c r="S1974" i="5"/>
  <c r="S2202" i="5"/>
  <c r="S2301" i="5"/>
  <c r="S211" i="5"/>
  <c r="S1009" i="5"/>
  <c r="S1101" i="5"/>
  <c r="S2400" i="5"/>
  <c r="S1958" i="5"/>
  <c r="S2423" i="5"/>
  <c r="S215" i="5"/>
  <c r="S457" i="5"/>
  <c r="S875" i="5"/>
  <c r="S2269" i="5"/>
  <c r="S2432" i="5"/>
  <c r="S1145" i="5"/>
  <c r="S2029" i="5"/>
  <c r="S2081" i="5"/>
  <c r="S627" i="5"/>
  <c r="S1681" i="5"/>
  <c r="S2038" i="5"/>
  <c r="S285" i="5"/>
  <c r="S1300" i="5"/>
  <c r="S4" i="5"/>
  <c r="S378" i="5"/>
  <c r="S462" i="5"/>
  <c r="S1209" i="5"/>
  <c r="S1261" i="5"/>
  <c r="S1387" i="5"/>
  <c r="S2309" i="5"/>
  <c r="S2430" i="5"/>
  <c r="S124" i="5"/>
  <c r="S1204" i="5"/>
  <c r="S2109" i="5"/>
  <c r="S335" i="5"/>
  <c r="S384" i="5"/>
  <c r="S646" i="5"/>
  <c r="S726" i="5"/>
  <c r="S1929" i="5"/>
  <c r="S1938" i="5"/>
  <c r="S2457" i="5"/>
  <c r="S1431" i="5"/>
  <c r="S1980" i="5"/>
  <c r="S54" i="5"/>
  <c r="S277" i="5"/>
  <c r="S860" i="5"/>
  <c r="S919" i="5"/>
  <c r="S1033" i="5"/>
  <c r="S2045" i="5"/>
  <c r="S2372" i="5"/>
  <c r="S475" i="5"/>
  <c r="S871" i="5"/>
  <c r="S1086" i="5"/>
  <c r="S1537" i="5"/>
  <c r="S1586" i="5"/>
  <c r="S1790" i="5"/>
  <c r="S2302" i="5"/>
  <c r="S1288" i="5"/>
  <c r="S1362" i="5"/>
  <c r="S1984" i="5"/>
  <c r="S203" i="5"/>
  <c r="S1580" i="5"/>
  <c r="S6" i="5"/>
  <c r="S238" i="5"/>
  <c r="S263" i="5"/>
  <c r="S921" i="5"/>
  <c r="S2483" i="5"/>
  <c r="S160" i="5"/>
  <c r="S1240" i="5"/>
  <c r="S2014" i="5"/>
  <c r="S469" i="5"/>
  <c r="S2136" i="5"/>
  <c r="S112" i="5"/>
  <c r="S1293" i="5"/>
  <c r="S1424" i="5"/>
  <c r="S2279" i="5"/>
  <c r="S2455" i="5"/>
  <c r="S1094" i="5"/>
  <c r="S1305" i="5"/>
  <c r="S1483" i="5"/>
  <c r="S2323" i="5"/>
  <c r="S444" i="5"/>
  <c r="S923" i="5"/>
  <c r="S1553" i="5"/>
  <c r="S519" i="5"/>
  <c r="S719" i="5"/>
  <c r="S1002" i="5"/>
  <c r="S1430" i="5"/>
  <c r="S1776" i="5"/>
  <c r="S1802" i="5"/>
  <c r="S1081" i="5"/>
  <c r="S1920" i="5"/>
  <c r="S2131" i="5"/>
  <c r="S2385" i="5"/>
  <c r="S155" i="5"/>
  <c r="S659" i="5"/>
  <c r="S1063" i="5"/>
  <c r="S2080" i="5"/>
  <c r="S788" i="5"/>
  <c r="S1797" i="5"/>
  <c r="S1953" i="5"/>
  <c r="S2026" i="5"/>
  <c r="S493" i="5"/>
  <c r="S894" i="5"/>
  <c r="S1446" i="5"/>
  <c r="S1796" i="5"/>
  <c r="S2334" i="5"/>
  <c r="S2475" i="5"/>
  <c r="S193" i="5"/>
  <c r="S1659" i="5"/>
  <c r="S130" i="5"/>
  <c r="S608" i="5"/>
  <c r="S810" i="5"/>
  <c r="S1476" i="5"/>
  <c r="S2069" i="5"/>
  <c r="S903" i="5"/>
  <c r="S1731" i="5"/>
  <c r="S2299" i="5"/>
  <c r="S2310" i="5"/>
  <c r="S98" i="5"/>
  <c r="S1660" i="5"/>
  <c r="S667" i="5"/>
  <c r="S977" i="5"/>
  <c r="S1564" i="5"/>
  <c r="S1816" i="5"/>
  <c r="S2082" i="5"/>
  <c r="S2187" i="5"/>
  <c r="S2260" i="5"/>
  <c r="S340" i="5"/>
  <c r="S955" i="5"/>
  <c r="S1687" i="5"/>
  <c r="S1885" i="5"/>
  <c r="S932" i="5"/>
  <c r="S1934" i="5"/>
  <c r="S2123" i="5"/>
  <c r="S18" i="5"/>
  <c r="S337" i="5"/>
  <c r="S355" i="5"/>
  <c r="S495" i="5"/>
  <c r="S653" i="5"/>
  <c r="S718" i="5"/>
  <c r="S728" i="5"/>
  <c r="S751" i="5"/>
  <c r="S1238" i="5"/>
  <c r="S1358" i="5"/>
  <c r="S2427" i="5"/>
  <c r="S16" i="5"/>
  <c r="S141" i="5"/>
  <c r="S143" i="5"/>
  <c r="S400" i="5"/>
  <c r="S515" i="5"/>
  <c r="S1621" i="5"/>
  <c r="S1742" i="5"/>
  <c r="S2413" i="5"/>
  <c r="S142" i="5"/>
  <c r="S233" i="5"/>
  <c r="S342" i="5"/>
  <c r="S404" i="5"/>
  <c r="S630" i="5"/>
  <c r="S1320" i="5"/>
  <c r="S1590" i="5"/>
  <c r="S1691" i="5"/>
  <c r="S100" i="5"/>
  <c r="S275" i="5"/>
  <c r="S1636" i="5"/>
  <c r="S2012" i="5"/>
  <c r="S2354" i="5"/>
  <c r="S2389" i="5"/>
  <c r="S2470" i="5"/>
  <c r="S85" i="5"/>
  <c r="S101" i="5"/>
  <c r="S490" i="5"/>
  <c r="S1137" i="5"/>
  <c r="S2078" i="5"/>
  <c r="S359" i="5"/>
  <c r="S687" i="5"/>
  <c r="S1124" i="5"/>
  <c r="S2337" i="5"/>
  <c r="S333" i="5"/>
  <c r="S1179" i="5"/>
  <c r="S1896" i="5"/>
  <c r="S2212" i="5"/>
  <c r="S2392" i="5"/>
  <c r="S23" i="5"/>
  <c r="S409" i="5"/>
  <c r="S1076" i="5"/>
  <c r="S1233" i="5"/>
  <c r="S1361" i="5"/>
  <c r="S1401" i="5"/>
  <c r="S1472" i="5"/>
  <c r="S1981" i="5"/>
  <c r="S13" i="5"/>
  <c r="S407" i="5"/>
  <c r="S583" i="5"/>
  <c r="S1041" i="5"/>
  <c r="S1257" i="5"/>
  <c r="S1511" i="5"/>
  <c r="S1738" i="5"/>
  <c r="S2061" i="5"/>
  <c r="S496" i="5"/>
  <c r="S864" i="5"/>
  <c r="S1195" i="5"/>
  <c r="S1237" i="5"/>
  <c r="S249" i="5"/>
  <c r="S1638" i="5"/>
  <c r="S1680" i="5"/>
  <c r="S2099" i="5"/>
  <c r="S2428" i="5"/>
  <c r="S694" i="5"/>
  <c r="S1618" i="5"/>
  <c r="S158" i="5"/>
  <c r="S435" i="5"/>
  <c r="S512" i="5"/>
  <c r="S552" i="5"/>
  <c r="S567" i="5"/>
  <c r="S601" i="5"/>
  <c r="S777" i="5"/>
  <c r="S873" i="5"/>
  <c r="S1514" i="5"/>
  <c r="S1764" i="5"/>
  <c r="S2065" i="5"/>
  <c r="S334" i="5"/>
  <c r="S1374" i="5"/>
  <c r="S1616" i="5"/>
  <c r="S2272" i="5"/>
  <c r="S2355" i="5"/>
  <c r="S122" i="5"/>
  <c r="S201" i="5"/>
  <c r="S590" i="5"/>
  <c r="S1190" i="5"/>
  <c r="S1269" i="5"/>
  <c r="S2068" i="5"/>
  <c r="S2189" i="5"/>
  <c r="S99" i="5"/>
  <c r="S537" i="5"/>
  <c r="S1239" i="5"/>
  <c r="S1515" i="5"/>
  <c r="S108" i="5"/>
  <c r="S1026" i="5"/>
  <c r="S1838" i="5"/>
  <c r="S1870" i="5"/>
  <c r="S2140" i="5"/>
  <c r="S2164" i="5"/>
  <c r="S2180" i="5"/>
  <c r="S240" i="5"/>
  <c r="S499" i="5"/>
  <c r="S529" i="5"/>
  <c r="S760" i="5"/>
  <c r="S834" i="5"/>
  <c r="S2051" i="5"/>
  <c r="S196" i="5"/>
  <c r="S424" i="5"/>
  <c r="S708" i="5"/>
  <c r="S1574" i="5"/>
  <c r="S175" i="5"/>
  <c r="S279" i="5"/>
  <c r="S563" i="5"/>
  <c r="S827" i="5"/>
  <c r="S1302" i="5"/>
  <c r="S1363" i="5"/>
  <c r="S2453" i="5"/>
  <c r="S778" i="5"/>
  <c r="S851" i="5"/>
  <c r="S1104" i="5"/>
  <c r="S1508" i="5"/>
  <c r="S2290" i="5"/>
  <c r="S2349" i="5"/>
  <c r="S2494" i="5"/>
  <c r="S477" i="5"/>
  <c r="S1761" i="5"/>
  <c r="S43" i="5"/>
  <c r="S1000" i="5"/>
  <c r="S1666" i="5"/>
  <c r="S2329" i="5"/>
  <c r="S128" i="5"/>
  <c r="S673" i="5"/>
  <c r="S1518" i="5"/>
  <c r="S1700" i="5"/>
  <c r="S1817" i="5"/>
  <c r="S2462" i="5"/>
  <c r="S377" i="5"/>
  <c r="S812" i="5"/>
  <c r="S1281" i="5"/>
  <c r="S1367" i="5"/>
  <c r="S1663" i="5"/>
  <c r="S1785" i="5"/>
  <c r="S137" i="5"/>
  <c r="S1459" i="5"/>
  <c r="S1787" i="5"/>
  <c r="S1950" i="5"/>
  <c r="S2239" i="5"/>
  <c r="S2317" i="5"/>
  <c r="S198" i="5"/>
  <c r="S1371" i="5"/>
  <c r="S2035" i="5"/>
  <c r="S1294" i="5"/>
  <c r="S2066" i="5"/>
  <c r="S2172" i="5"/>
  <c r="S605" i="5"/>
  <c r="S1018" i="5"/>
  <c r="S1788" i="5"/>
  <c r="S1873" i="5"/>
  <c r="S1923" i="5"/>
  <c r="S594" i="5"/>
  <c r="S986" i="5"/>
  <c r="S1336" i="5"/>
  <c r="S1396" i="5"/>
  <c r="S1665" i="5"/>
  <c r="S2236" i="5"/>
  <c r="S2406" i="5"/>
  <c r="S140" i="5"/>
  <c r="S1504" i="5"/>
  <c r="S1939" i="5"/>
  <c r="S589" i="5"/>
  <c r="S12" i="5"/>
  <c r="S319" i="5"/>
  <c r="S2495" i="5"/>
  <c r="S715" i="5"/>
  <c r="S764" i="5"/>
  <c r="S1210" i="5"/>
  <c r="S1221" i="5"/>
  <c r="S2052" i="5"/>
  <c r="S2339" i="5"/>
  <c r="S1457" i="5"/>
  <c r="S1926" i="5"/>
  <c r="S1979" i="5"/>
  <c r="S174" i="5"/>
  <c r="S243" i="5"/>
  <c r="S447" i="5"/>
  <c r="S504" i="5"/>
  <c r="S734" i="5"/>
  <c r="S2229" i="5"/>
  <c r="S2282" i="5"/>
  <c r="S148" i="5"/>
  <c r="S412" i="5"/>
  <c r="S1714" i="5"/>
  <c r="S2265" i="5"/>
  <c r="S361" i="5"/>
  <c r="S2183" i="5"/>
  <c r="S83" i="5"/>
  <c r="S639" i="5"/>
  <c r="S816" i="5"/>
  <c r="S910" i="5"/>
  <c r="S999" i="5"/>
  <c r="S483" i="5"/>
  <c r="S987" i="5"/>
  <c r="S1185" i="5"/>
  <c r="S1440" i="5"/>
  <c r="S2300" i="5"/>
  <c r="S2469" i="5"/>
  <c r="S132" i="5"/>
  <c r="S442" i="5"/>
  <c r="S757" i="5"/>
  <c r="S1157" i="5"/>
  <c r="S1303" i="5"/>
  <c r="S2173" i="5"/>
  <c r="S2271" i="5"/>
  <c r="S2284" i="5"/>
  <c r="S2286" i="5"/>
  <c r="S2311" i="5"/>
  <c r="S2380" i="5"/>
  <c r="S194" i="5"/>
  <c r="S744" i="5"/>
  <c r="S874" i="5"/>
  <c r="S929" i="5"/>
  <c r="S1118" i="5"/>
  <c r="S1162" i="5"/>
  <c r="S1758" i="5"/>
  <c r="S264" i="5"/>
  <c r="S392" i="5"/>
  <c r="S1011" i="5"/>
  <c r="S1219" i="5"/>
  <c r="S1235" i="5"/>
  <c r="S1576" i="5"/>
  <c r="S1913" i="5"/>
  <c r="S2270" i="5"/>
  <c r="S1372" i="5"/>
  <c r="S1930" i="5"/>
  <c r="S2188" i="5"/>
  <c r="S2417" i="5"/>
  <c r="S205" i="5"/>
  <c r="S654" i="5"/>
  <c r="S883" i="5"/>
  <c r="S161" i="5"/>
  <c r="S247" i="5"/>
  <c r="S362" i="5"/>
  <c r="S375" i="5"/>
  <c r="S405" i="5"/>
  <c r="S173" i="5"/>
  <c r="S274" i="5"/>
  <c r="S304" i="5"/>
  <c r="S102" i="5"/>
  <c r="S570" i="5"/>
  <c r="S704" i="5"/>
  <c r="S739" i="5"/>
  <c r="S908" i="5"/>
  <c r="S1902" i="5"/>
  <c r="S1912" i="5"/>
  <c r="S191" i="5"/>
  <c r="S402" i="5"/>
  <c r="S1895" i="5"/>
  <c r="S1942" i="5"/>
  <c r="S684" i="5"/>
  <c r="S1386" i="5"/>
  <c r="S1443" i="5"/>
  <c r="S1467" i="5"/>
  <c r="S1577" i="5"/>
  <c r="S1775" i="5"/>
  <c r="S363" i="5"/>
  <c r="S796" i="5"/>
  <c r="S1295" i="5"/>
  <c r="S1309" i="5"/>
  <c r="S1458" i="5"/>
  <c r="S2426" i="5"/>
  <c r="S2433" i="5"/>
  <c r="S534" i="5"/>
  <c r="S560" i="5"/>
  <c r="S819" i="5"/>
  <c r="S1141" i="5"/>
  <c r="S1814" i="5"/>
  <c r="S2224" i="5"/>
  <c r="S989" i="5"/>
  <c r="S2152" i="5"/>
  <c r="S2340" i="5"/>
  <c r="S2401" i="5"/>
  <c r="S1627" i="5"/>
  <c r="S2476" i="5"/>
  <c r="S192" i="5"/>
  <c r="S300" i="5"/>
  <c r="S480" i="5"/>
  <c r="S615" i="5"/>
  <c r="S1456" i="5"/>
  <c r="S207" i="5"/>
  <c r="S327" i="5"/>
  <c r="S1428" i="5"/>
  <c r="S1512" i="5"/>
  <c r="S1762" i="5"/>
  <c r="S1983" i="5"/>
  <c r="S2112" i="5"/>
  <c r="S2185" i="5"/>
  <c r="S2326" i="5"/>
  <c r="S68" i="5"/>
  <c r="S1271" i="5"/>
  <c r="S251" i="5"/>
  <c r="S269" i="5"/>
  <c r="S446" i="5"/>
  <c r="S853" i="5"/>
  <c r="S2050" i="5"/>
  <c r="S2484" i="5"/>
  <c r="S172" i="5"/>
  <c r="S842" i="5"/>
  <c r="S918" i="5"/>
  <c r="S782" i="5"/>
  <c r="S1057" i="5"/>
  <c r="S1109" i="5"/>
  <c r="S1321" i="5"/>
  <c r="S1825" i="5"/>
  <c r="S898" i="5"/>
  <c r="S1721" i="5"/>
  <c r="S159" i="5"/>
  <c r="S685" i="5"/>
  <c r="S1722" i="5"/>
  <c r="S1906" i="5"/>
  <c r="S1973" i="5"/>
  <c r="S2048" i="5"/>
  <c r="S2115" i="5"/>
  <c r="S61" i="5"/>
  <c r="S237" i="5"/>
  <c r="S780" i="5"/>
  <c r="S966" i="5"/>
  <c r="S1106" i="5"/>
  <c r="S1052" i="5"/>
  <c r="S1226" i="5"/>
  <c r="S544" i="5"/>
  <c r="S1127" i="5"/>
  <c r="S2138" i="5"/>
  <c r="S2144" i="5"/>
  <c r="S2193" i="5"/>
  <c r="S2275" i="5"/>
  <c r="S678" i="5"/>
  <c r="S2132" i="5"/>
  <c r="S969" i="5"/>
  <c r="S1251" i="5"/>
  <c r="S1552" i="5"/>
  <c r="S2008" i="5"/>
  <c r="S321" i="5"/>
  <c r="S1049" i="5"/>
  <c r="S1582" i="5"/>
  <c r="S2257" i="5"/>
  <c r="S1074" i="5"/>
  <c r="S2205" i="5"/>
  <c r="S278" i="5"/>
  <c r="S917" i="5"/>
  <c r="S974" i="5"/>
  <c r="S1452" i="5"/>
  <c r="S1658" i="5"/>
  <c r="S1989" i="5"/>
  <c r="S2160" i="5"/>
  <c r="S2464" i="5"/>
  <c r="S227" i="5"/>
  <c r="S1506" i="5"/>
  <c r="S1615" i="5"/>
  <c r="S388" i="5"/>
  <c r="S403" i="5"/>
  <c r="S664" i="5"/>
  <c r="S1454" i="5"/>
  <c r="S2391" i="5"/>
  <c r="S703" i="5"/>
  <c r="S1859" i="5"/>
  <c r="S167" i="5"/>
  <c r="S1937" i="5"/>
  <c r="S2134" i="5"/>
  <c r="S456" i="5"/>
  <c r="S775" i="5"/>
  <c r="S1733" i="5"/>
  <c r="S2472" i="5"/>
  <c r="S1165" i="5"/>
  <c r="S1366" i="5"/>
  <c r="S1600" i="5"/>
  <c r="S2490" i="5"/>
  <c r="S139" i="5"/>
  <c r="S724" i="5"/>
  <c r="S1224" i="5"/>
  <c r="S1585" i="5"/>
  <c r="S1982" i="5"/>
  <c r="S2371" i="5"/>
  <c r="S452" i="5"/>
  <c r="S472" i="5"/>
  <c r="S1995" i="5"/>
  <c r="S2005" i="5"/>
  <c r="S2199" i="5"/>
  <c r="S2216" i="5"/>
  <c r="S2447" i="5"/>
  <c r="S799" i="5"/>
  <c r="S922" i="5"/>
  <c r="S1480" i="5"/>
  <c r="S1059" i="5"/>
  <c r="S1542" i="5"/>
  <c r="S756" i="5"/>
  <c r="S1053" i="5"/>
  <c r="S1798" i="5"/>
  <c r="S1824" i="5"/>
  <c r="S1869" i="5"/>
  <c r="S1262" i="5"/>
  <c r="S1829" i="5"/>
  <c r="S2060" i="5"/>
  <c r="S679" i="5"/>
  <c r="S683" i="5"/>
  <c r="S973" i="5"/>
  <c r="S1215" i="5"/>
  <c r="S1360" i="5"/>
  <c r="S1715" i="5"/>
  <c r="S225" i="5"/>
  <c r="S732" i="5"/>
  <c r="S1061" i="5"/>
  <c r="S391" i="5"/>
  <c r="S1022" i="5"/>
  <c r="S2434" i="5"/>
  <c r="S22" i="5"/>
  <c r="S835" i="5"/>
  <c r="S867" i="5"/>
  <c r="S427" i="5"/>
  <c r="S1516" i="5"/>
  <c r="S1001" i="5"/>
  <c r="S2022" i="5"/>
  <c r="S522" i="5"/>
  <c r="S553" i="5"/>
  <c r="S1474" i="5"/>
  <c r="S1957" i="5"/>
  <c r="S96" i="5"/>
  <c r="S398" i="5"/>
  <c r="S564" i="5"/>
  <c r="S1172" i="5"/>
  <c r="S1412" i="5"/>
  <c r="S1546" i="5"/>
  <c r="S82" i="5"/>
  <c r="S730" i="5"/>
  <c r="S84" i="5"/>
  <c r="S153" i="5"/>
  <c r="S267" i="5"/>
  <c r="S766" i="5"/>
  <c r="S980" i="5"/>
  <c r="S1181" i="5"/>
  <c r="S1667" i="5"/>
  <c r="S948" i="5"/>
  <c r="S1538" i="5"/>
  <c r="S381" i="5"/>
  <c r="S1901" i="5"/>
  <c r="S460" i="5"/>
  <c r="S637" i="5"/>
  <c r="S2379" i="5"/>
  <c r="S481" i="5"/>
  <c r="S912" i="5"/>
  <c r="S1102" i="5"/>
  <c r="S1375" i="5"/>
  <c r="S1592" i="5"/>
  <c r="S1800" i="5"/>
  <c r="S1863" i="5"/>
  <c r="S34" i="5"/>
  <c r="S527" i="5"/>
  <c r="S572" i="5"/>
  <c r="S672" i="5"/>
  <c r="S811" i="5"/>
  <c r="S979" i="5"/>
  <c r="S1198" i="5"/>
  <c r="S1550" i="5"/>
  <c r="S2001" i="5"/>
  <c r="S2157" i="5"/>
  <c r="S737" i="5"/>
  <c r="S1120" i="5"/>
  <c r="S1593" i="5"/>
  <c r="S179" i="5"/>
  <c r="S591" i="5"/>
  <c r="S1438" i="5"/>
  <c r="S106" i="5"/>
  <c r="S602" i="5"/>
  <c r="S670" i="5"/>
  <c r="S2063" i="5"/>
  <c r="S2443" i="5"/>
  <c r="S147" i="5"/>
  <c r="S255" i="5"/>
  <c r="S971" i="5"/>
  <c r="S1170" i="5"/>
  <c r="S1325" i="5"/>
  <c r="S2225" i="5"/>
  <c r="S229" i="5"/>
  <c r="S344" i="5"/>
  <c r="S455" i="5"/>
  <c r="S926" i="5"/>
  <c r="S1028" i="5"/>
  <c r="S2156" i="5"/>
  <c r="S2263" i="5"/>
  <c r="S212" i="5"/>
  <c r="S1062" i="5"/>
  <c r="S1154" i="5"/>
  <c r="S2383" i="5"/>
  <c r="S171" i="5"/>
  <c r="S186" i="5"/>
  <c r="S949" i="5"/>
  <c r="S1163" i="5"/>
  <c r="S2245" i="5"/>
  <c r="S2333" i="5"/>
  <c r="S511" i="5"/>
  <c r="S1532" i="5"/>
  <c r="S1628" i="5"/>
  <c r="S1753" i="5"/>
  <c r="S1815" i="5"/>
  <c r="S1832" i="5"/>
  <c r="S272" i="5"/>
  <c r="S314" i="5"/>
  <c r="S513" i="5"/>
  <c r="S691" i="5"/>
  <c r="S825" i="5"/>
  <c r="S1243" i="5"/>
  <c r="S1693" i="5"/>
  <c r="S1846" i="5"/>
  <c r="S2210" i="5"/>
  <c r="S2254" i="5"/>
  <c r="S74" i="5"/>
  <c r="S884" i="5"/>
  <c r="S793" i="5"/>
  <c r="S1668" i="5"/>
  <c r="S2098" i="5"/>
  <c r="S535" i="5"/>
  <c r="S561" i="5"/>
  <c r="S768" i="5"/>
  <c r="S1344" i="5"/>
  <c r="S2346" i="5"/>
  <c r="S428" i="5"/>
  <c r="S543" i="5"/>
  <c r="S721" i="5"/>
  <c r="S1169" i="5"/>
  <c r="S1500" i="5"/>
  <c r="S1676" i="5"/>
  <c r="S1311" i="5"/>
  <c r="S1560" i="5"/>
  <c r="S1793" i="5"/>
  <c r="S2181" i="5"/>
  <c r="S364" i="5"/>
  <c r="S951" i="5"/>
  <c r="S332" i="5"/>
  <c r="S975" i="5"/>
  <c r="S1843" i="5"/>
  <c r="S1853" i="5"/>
  <c r="S2057" i="5"/>
  <c r="S60" i="5"/>
  <c r="S138" i="5"/>
  <c r="S1331" i="5"/>
  <c r="S1356" i="5"/>
  <c r="S1385" i="5"/>
  <c r="S1649" i="5"/>
  <c r="S464" i="5"/>
  <c r="S492" i="5"/>
  <c r="S821" i="5"/>
  <c r="S1126" i="5"/>
  <c r="S1286" i="5"/>
  <c r="S1696" i="5"/>
  <c r="S1975" i="5"/>
  <c r="S800" i="5"/>
  <c r="S1275" i="5"/>
  <c r="S1971" i="5"/>
  <c r="S2410" i="5"/>
  <c r="S1509" i="5"/>
  <c r="S1988" i="5"/>
  <c r="S1129" i="5"/>
  <c r="S93" i="5"/>
  <c r="S997" i="5"/>
  <c r="S1777" i="5"/>
  <c r="S565" i="5"/>
  <c r="S1036" i="5"/>
  <c r="S1099" i="5"/>
  <c r="S1999" i="5"/>
  <c r="S10" i="5"/>
  <c r="S998" i="5"/>
  <c r="S246" i="5"/>
  <c r="S306" i="5"/>
  <c r="S357" i="5"/>
  <c r="S598" i="5"/>
  <c r="S1040" i="5"/>
  <c r="S232" i="5"/>
  <c r="S1779" i="5"/>
  <c r="S310" i="5"/>
  <c r="S2059" i="5"/>
  <c r="S113" i="5"/>
  <c r="S865" i="5"/>
  <c r="S925" i="5"/>
  <c r="S1013" i="5"/>
  <c r="S1310" i="5"/>
  <c r="S1903" i="5"/>
  <c r="S2054" i="5"/>
  <c r="S2145" i="5"/>
  <c r="S2218" i="5"/>
  <c r="S2431" i="5"/>
  <c r="S771" i="5"/>
  <c r="S1503" i="5"/>
  <c r="S1778" i="5"/>
  <c r="S259" i="5"/>
  <c r="S970" i="5"/>
  <c r="S1050" i="5"/>
  <c r="S1591" i="5"/>
  <c r="S2496" i="5"/>
  <c r="S868" i="5"/>
  <c r="S2280" i="5"/>
  <c r="S134" i="5"/>
  <c r="S401" i="5"/>
  <c r="S109" i="5"/>
  <c r="S318" i="5"/>
  <c r="S1388" i="5"/>
  <c r="S1484" i="5"/>
  <c r="S1682" i="5"/>
  <c r="S1864" i="5"/>
  <c r="S2325" i="5"/>
  <c r="S358" i="5"/>
  <c r="S1411" i="5"/>
  <c r="S1343" i="5"/>
  <c r="S1419" i="5"/>
  <c r="S2106" i="5"/>
  <c r="S2459" i="5"/>
  <c r="S2422" i="5"/>
  <c r="S387" i="5"/>
  <c r="S1047" i="5"/>
  <c r="S1756" i="5"/>
  <c r="S1803" i="5"/>
  <c r="S1833" i="5"/>
  <c r="S2327" i="5"/>
  <c r="S701" i="5"/>
  <c r="S1133" i="5"/>
  <c r="S1416" i="5"/>
  <c r="S1711" i="5"/>
  <c r="S467" i="5"/>
  <c r="S896" i="5"/>
  <c r="S1247" i="5"/>
  <c r="S2114" i="5"/>
  <c r="S2170" i="5"/>
  <c r="S2487" i="5"/>
  <c r="S959" i="5"/>
  <c r="S1090" i="5"/>
  <c r="S1441" i="5"/>
  <c r="S1675" i="5"/>
  <c r="S1741" i="5"/>
  <c r="S765" i="5"/>
  <c r="S1097" i="5"/>
  <c r="S1867" i="5"/>
  <c r="S2003" i="5"/>
  <c r="S2041" i="5"/>
  <c r="S317" i="5"/>
  <c r="S1717" i="5"/>
  <c r="S1941" i="5"/>
  <c r="S2411" i="5"/>
  <c r="S2420" i="5"/>
  <c r="S2488" i="5"/>
  <c r="S271" i="5"/>
  <c r="S418" i="5"/>
  <c r="S568" i="5"/>
  <c r="S881" i="5"/>
  <c r="S1071" i="5"/>
  <c r="S1134" i="5"/>
  <c r="S478" i="5"/>
  <c r="S2089" i="5"/>
  <c r="S2182" i="5"/>
  <c r="S170" i="5"/>
  <c r="S311" i="5"/>
  <c r="S343" i="5"/>
  <c r="S1048" i="5"/>
  <c r="S1380" i="5"/>
  <c r="S843" i="5"/>
  <c r="S1449" i="5"/>
  <c r="S690" i="5"/>
  <c r="S1633" i="5"/>
  <c r="S1655" i="5"/>
  <c r="S1678" i="5"/>
  <c r="S2135" i="5"/>
  <c r="S2312" i="5"/>
  <c r="S105" i="5"/>
  <c r="S200" i="5"/>
  <c r="S258" i="5"/>
  <c r="S746" i="5"/>
  <c r="S1407" i="5"/>
  <c r="S1569" i="5"/>
  <c r="S1617" i="5"/>
  <c r="S1732" i="5"/>
  <c r="S2107" i="5"/>
  <c r="S2482" i="5"/>
  <c r="S36" i="5"/>
  <c r="S90" i="5"/>
  <c r="S450" i="5"/>
  <c r="S1191" i="5"/>
  <c r="S1290" i="5"/>
  <c r="S1521" i="5"/>
  <c r="S2053" i="5"/>
  <c r="S2316" i="5"/>
  <c r="S228" i="5"/>
  <c r="S2288" i="5"/>
  <c r="S962" i="5"/>
  <c r="S1056" i="5"/>
  <c r="S1073" i="5"/>
  <c r="S1130" i="5"/>
  <c r="S1403" i="5"/>
  <c r="S1851" i="5"/>
  <c r="S2370" i="5"/>
  <c r="S2468" i="5"/>
  <c r="S199" i="5"/>
  <c r="S393" i="5"/>
  <c r="S1475" i="5"/>
  <c r="S1860" i="5"/>
  <c r="S1948" i="5"/>
  <c r="S2415" i="5"/>
  <c r="S1114" i="5"/>
  <c r="S2220" i="5"/>
  <c r="S235" i="5"/>
  <c r="S656" i="5"/>
  <c r="S1760" i="5"/>
  <c r="S1096" i="5"/>
  <c r="S1143" i="5"/>
  <c r="S2421" i="5"/>
  <c r="S2500" i="5"/>
  <c r="S2481" i="5"/>
  <c r="S502" i="5"/>
  <c r="S547" i="5"/>
  <c r="S1917" i="5"/>
  <c r="S1996" i="5"/>
  <c r="S665" i="5"/>
  <c r="S1836" i="5"/>
  <c r="S1857" i="5"/>
  <c r="S104" i="5"/>
  <c r="S629" i="5"/>
  <c r="S635" i="5"/>
  <c r="S1182" i="5"/>
  <c r="S1334" i="5"/>
  <c r="S1840" i="5"/>
  <c r="S40" i="5"/>
  <c r="S426" i="5"/>
  <c r="S1027" i="5"/>
  <c r="S2463" i="5"/>
  <c r="S308" i="5"/>
  <c r="S1670" i="5"/>
  <c r="S1750" i="5"/>
  <c r="S1943" i="5"/>
  <c r="S2184" i="5"/>
  <c r="S1225" i="5"/>
  <c r="S1558" i="5"/>
  <c r="S2004" i="5"/>
  <c r="S976" i="5"/>
  <c r="S1077" i="5"/>
  <c r="S1335" i="5"/>
  <c r="S1448" i="5"/>
  <c r="S2153" i="5"/>
  <c r="S276" i="5"/>
  <c r="S967" i="5"/>
  <c r="S2244" i="5"/>
  <c r="S2461" i="5"/>
  <c r="S2491" i="5"/>
  <c r="S75" i="5"/>
  <c r="S282" i="5"/>
  <c r="S1881" i="5"/>
  <c r="S1932" i="5"/>
  <c r="S466" i="5"/>
  <c r="S525" i="5"/>
  <c r="S1214" i="5"/>
  <c r="S1524" i="5"/>
  <c r="S1534" i="5"/>
  <c r="S1611" i="5"/>
  <c r="S1706" i="5"/>
  <c r="S2255" i="5"/>
  <c r="S2486" i="5"/>
  <c r="S2000" i="5"/>
  <c r="S2095" i="5"/>
  <c r="S44" i="5"/>
  <c r="S934" i="5"/>
  <c r="S2079" i="5"/>
  <c r="S2124" i="5"/>
  <c r="S2125" i="5"/>
  <c r="S163" i="5"/>
  <c r="S551" i="5"/>
  <c r="S1144" i="5"/>
  <c r="S1197" i="5"/>
  <c r="S1201" i="5"/>
  <c r="S1629" i="5"/>
  <c r="S97" i="5"/>
  <c r="S479" i="5"/>
  <c r="S988" i="5"/>
  <c r="S1180" i="5"/>
  <c r="S1533" i="5"/>
  <c r="S1536" i="5"/>
  <c r="S1642" i="5"/>
  <c r="S1767" i="5"/>
  <c r="S9" i="5"/>
  <c r="S805" i="5"/>
  <c r="S820" i="5"/>
  <c r="S879" i="5"/>
  <c r="S1138" i="5"/>
  <c r="S2027" i="5"/>
  <c r="S2357" i="5"/>
  <c r="S902" i="5"/>
  <c r="S1171" i="5"/>
  <c r="S1394" i="5"/>
  <c r="S1862" i="5"/>
  <c r="S31" i="5"/>
  <c r="S749" i="5"/>
  <c r="S1006" i="5"/>
  <c r="S1148" i="5"/>
  <c r="S1736" i="5"/>
  <c r="S2211" i="5"/>
  <c r="S2287" i="5"/>
  <c r="S862" i="5"/>
  <c r="S1015" i="5"/>
  <c r="S1540" i="5"/>
  <c r="S1677" i="5"/>
  <c r="S2015" i="5"/>
  <c r="S2403" i="5"/>
  <c r="S1907" i="5"/>
  <c r="S2460" i="5"/>
  <c r="S516" i="5"/>
  <c r="S958" i="5"/>
  <c r="S1116" i="5"/>
  <c r="S1150" i="5"/>
  <c r="S110" i="5"/>
  <c r="S348" i="5"/>
  <c r="S588" i="5"/>
  <c r="S847" i="5"/>
  <c r="S1037" i="5"/>
  <c r="S2314" i="5"/>
  <c r="S2388" i="5"/>
  <c r="S169" i="5"/>
  <c r="S283" i="5"/>
  <c r="S859" i="5"/>
  <c r="S1029" i="5"/>
  <c r="S1173" i="5"/>
  <c r="S1409" i="5"/>
  <c r="S1573" i="5"/>
  <c r="S1876" i="5"/>
  <c r="S2407" i="5"/>
  <c r="S595" i="5"/>
  <c r="S681" i="5"/>
  <c r="S1754" i="5"/>
  <c r="S440" i="5"/>
  <c r="S582" i="5"/>
  <c r="S960" i="5"/>
  <c r="S1220" i="5"/>
  <c r="S2247" i="5"/>
  <c r="S2363" i="5"/>
  <c r="S11" i="5"/>
  <c r="S623" i="5"/>
  <c r="S1083" i="5"/>
  <c r="S1965" i="5"/>
  <c r="S489" i="5"/>
  <c r="S914" i="5"/>
  <c r="S1230" i="5"/>
  <c r="S1322" i="5"/>
  <c r="S2438" i="5"/>
  <c r="S5" i="5"/>
  <c r="S256" i="5"/>
  <c r="S307" i="5"/>
  <c r="S784" i="5"/>
  <c r="S1373" i="5"/>
  <c r="S2319" i="5"/>
  <c r="S470" i="5"/>
  <c r="S657" i="5"/>
  <c r="S901" i="5"/>
  <c r="S2233" i="5"/>
  <c r="S145" i="5"/>
  <c r="S603" i="5"/>
  <c r="S606" i="5"/>
  <c r="S1398" i="5"/>
  <c r="S839" i="5"/>
  <c r="S1337" i="5"/>
  <c r="S1499" i="5"/>
  <c r="S1595" i="5"/>
  <c r="S242" i="5"/>
  <c r="S1277" i="5"/>
  <c r="K1619" i="5"/>
  <c r="L1619" i="5" s="1"/>
  <c r="P1619" i="5" s="1"/>
  <c r="K1648" i="5"/>
  <c r="L1648" i="5" s="1"/>
  <c r="P1648" i="5" s="1"/>
  <c r="K270" i="5"/>
  <c r="L270" i="5" s="1"/>
  <c r="P270" i="5" s="1"/>
  <c r="K1737" i="5"/>
  <c r="L1737" i="5" s="1"/>
  <c r="P1737" i="5" s="1"/>
  <c r="K2203" i="5"/>
  <c r="L2203" i="5" s="1"/>
  <c r="P2203" i="5" s="1"/>
  <c r="K248" i="5"/>
  <c r="L248" i="5" s="1"/>
  <c r="P248" i="5" s="1"/>
  <c r="K1780" i="5"/>
  <c r="L1780" i="5" s="1"/>
  <c r="P1780" i="5" s="1"/>
  <c r="K371" i="5"/>
  <c r="L371" i="5" s="1"/>
  <c r="P371" i="5" s="1"/>
  <c r="K836" i="5"/>
  <c r="L836" i="5" s="1"/>
  <c r="P836" i="5" s="1"/>
  <c r="K65" i="5"/>
  <c r="L65" i="5" s="1"/>
  <c r="P65" i="5" s="1"/>
  <c r="K655" i="5"/>
  <c r="L655" i="5" s="1"/>
  <c r="P655" i="5" s="1"/>
  <c r="K755" i="5"/>
  <c r="L755" i="5" s="1"/>
  <c r="P755" i="5" s="1"/>
  <c r="K2031" i="5"/>
  <c r="L2031" i="5" s="1"/>
  <c r="P2031" i="5" s="1"/>
  <c r="K1819" i="5"/>
  <c r="L1819" i="5" s="1"/>
  <c r="P1819" i="5" s="1"/>
  <c r="K1168" i="5"/>
  <c r="L1168" i="5" s="1"/>
  <c r="P1168" i="5" s="1"/>
  <c r="K2479" i="5"/>
  <c r="L2479" i="5" s="1"/>
  <c r="P2479" i="5" s="1"/>
  <c r="K336" i="5"/>
  <c r="L336" i="5" s="1"/>
  <c r="P336" i="5" s="1"/>
  <c r="K1274" i="5"/>
  <c r="L1274" i="5" s="1"/>
  <c r="P1274" i="5" s="1"/>
  <c r="K1434" i="5"/>
  <c r="L1434" i="5" s="1"/>
  <c r="P1434" i="5" s="1"/>
  <c r="K2307" i="5"/>
  <c r="L2307" i="5" s="1"/>
  <c r="P2307" i="5" s="1"/>
  <c r="K351" i="5"/>
  <c r="L351" i="5" s="1"/>
  <c r="P351" i="5" s="1"/>
  <c r="K2294" i="5"/>
  <c r="L2294" i="5" s="1"/>
  <c r="P2294" i="5" s="1"/>
  <c r="K37" i="5"/>
  <c r="L37" i="5" s="1"/>
  <c r="P37" i="5" s="1"/>
  <c r="K1340" i="5"/>
  <c r="L1340" i="5" s="1"/>
  <c r="P1340" i="5" s="1"/>
  <c r="K1250" i="5"/>
  <c r="L1250" i="5" s="1"/>
  <c r="P1250" i="5" s="1"/>
  <c r="K762" i="5"/>
  <c r="L762" i="5" s="1"/>
  <c r="P762" i="5" s="1"/>
  <c r="K1610" i="5"/>
  <c r="L1610" i="5" s="1"/>
  <c r="P1610" i="5" s="1"/>
  <c r="K2308" i="5"/>
  <c r="L2308" i="5" s="1"/>
  <c r="P2308" i="5" s="1"/>
  <c r="K1466" i="5"/>
  <c r="L1466" i="5" s="1"/>
  <c r="P1466" i="5" s="1"/>
  <c r="K78" i="5"/>
  <c r="L78" i="5" s="1"/>
  <c r="P78" i="5" s="1"/>
  <c r="K1125" i="5"/>
  <c r="L1125" i="5" s="1"/>
  <c r="P1125" i="5" s="1"/>
  <c r="K1993" i="5"/>
  <c r="L1993" i="5" s="1"/>
  <c r="P1993" i="5" s="1"/>
  <c r="K808" i="5"/>
  <c r="L808" i="5" s="1"/>
  <c r="P808" i="5" s="1"/>
  <c r="K164" i="5"/>
  <c r="L164" i="5" s="1"/>
  <c r="P164" i="5" s="1"/>
  <c r="K789" i="5"/>
  <c r="L789" i="5" s="1"/>
  <c r="P789" i="5" s="1"/>
  <c r="K1339" i="5"/>
  <c r="L1339" i="5" s="1"/>
  <c r="P1339" i="5" s="1"/>
  <c r="K1314" i="5"/>
  <c r="L1314" i="5" s="1"/>
  <c r="P1314" i="5" s="1"/>
  <c r="K1158" i="5"/>
  <c r="L1158" i="5" s="1"/>
  <c r="P1158" i="5" s="1"/>
  <c r="K52" i="5"/>
  <c r="L52" i="5" s="1"/>
  <c r="P52" i="5" s="1"/>
  <c r="K978" i="5"/>
  <c r="L978" i="5" s="1"/>
  <c r="P978" i="5" s="1"/>
  <c r="K1376" i="5"/>
  <c r="L1376" i="5" s="1"/>
  <c r="P1376" i="5" s="1"/>
  <c r="K895" i="5"/>
  <c r="L895" i="5" s="1"/>
  <c r="P895" i="5" s="1"/>
  <c r="K2318" i="5"/>
  <c r="L2318" i="5" s="1"/>
  <c r="P2318" i="5" s="1"/>
  <c r="K2249" i="5"/>
  <c r="L2249" i="5" s="1"/>
  <c r="P2249" i="5" s="1"/>
  <c r="K1193" i="5"/>
  <c r="L1193" i="5" s="1"/>
  <c r="P1193" i="5" s="1"/>
  <c r="K944" i="5"/>
  <c r="L944" i="5" s="1"/>
  <c r="P944" i="5" s="1"/>
  <c r="K2116" i="5"/>
  <c r="L2116" i="5" s="1"/>
  <c r="P2116" i="5" s="1"/>
  <c r="K1602" i="5"/>
  <c r="L1602" i="5" s="1"/>
  <c r="P1602" i="5" s="1"/>
  <c r="K1485" i="5"/>
  <c r="L1485" i="5" s="1"/>
  <c r="P1485" i="5" s="1"/>
  <c r="K1517" i="5"/>
  <c r="L1517" i="5" s="1"/>
  <c r="P1517" i="5" s="1"/>
  <c r="K1605" i="5"/>
  <c r="L1605" i="5" s="1"/>
  <c r="P1605" i="5" s="1"/>
  <c r="K886" i="5"/>
  <c r="L886" i="5" s="1"/>
  <c r="P886" i="5" s="1"/>
  <c r="K992" i="5"/>
  <c r="L992" i="5" s="1"/>
  <c r="P992" i="5" s="1"/>
  <c r="K1594" i="5"/>
  <c r="L1594" i="5" s="1"/>
  <c r="P1594" i="5" s="1"/>
  <c r="K1306" i="5"/>
  <c r="L1306" i="5" s="1"/>
  <c r="P1306" i="5" s="1"/>
  <c r="K1234" i="5"/>
  <c r="L1234" i="5" s="1"/>
  <c r="P1234" i="5" s="1"/>
  <c r="K2283" i="5"/>
  <c r="L2283" i="5" s="1"/>
  <c r="P2283" i="5" s="1"/>
  <c r="K1279" i="5"/>
  <c r="L1279" i="5" s="1"/>
  <c r="P1279" i="5" s="1"/>
  <c r="K2167" i="5"/>
  <c r="L2167" i="5" s="1"/>
  <c r="P2167" i="5" s="1"/>
  <c r="K2394" i="5"/>
  <c r="L2394" i="5" s="1"/>
  <c r="P2394" i="5" s="1"/>
  <c r="K296" i="5"/>
  <c r="L296" i="5" s="1"/>
  <c r="P296" i="5" s="1"/>
  <c r="K1151" i="5"/>
  <c r="L1151" i="5" s="1"/>
  <c r="P1151" i="5" s="1"/>
  <c r="K1672" i="5"/>
  <c r="L1672" i="5" s="1"/>
  <c r="P1672" i="5" s="1"/>
  <c r="K2429" i="5"/>
  <c r="L2429" i="5" s="1"/>
  <c r="P2429" i="5" s="1"/>
  <c r="K1625" i="5"/>
  <c r="L1625" i="5" s="1"/>
  <c r="P1625" i="5" s="1"/>
  <c r="K2072" i="5"/>
  <c r="L2072" i="5" s="1"/>
  <c r="P2072" i="5" s="1"/>
  <c r="K1656" i="5"/>
  <c r="L1656" i="5" s="1"/>
  <c r="P1656" i="5" s="1"/>
  <c r="K981" i="5"/>
  <c r="L981" i="5" s="1"/>
  <c r="P981" i="5" s="1"/>
  <c r="K1105" i="5"/>
  <c r="L1105" i="5" s="1"/>
  <c r="P1105" i="5" s="1"/>
  <c r="K2409" i="5"/>
  <c r="L2409" i="5" s="1"/>
  <c r="P2409" i="5" s="1"/>
  <c r="K1260" i="5"/>
  <c r="L1260" i="5" s="1"/>
  <c r="P1260" i="5" s="1"/>
  <c r="K1435" i="5"/>
  <c r="L1435" i="5" s="1"/>
  <c r="P1435" i="5" s="1"/>
  <c r="K2451" i="5"/>
  <c r="L2451" i="5" s="1"/>
  <c r="P2451" i="5" s="1"/>
  <c r="K2083" i="5"/>
  <c r="L2083" i="5" s="1"/>
  <c r="P2083" i="5" s="1"/>
  <c r="K2362" i="5"/>
  <c r="L2362" i="5" s="1"/>
  <c r="P2362" i="5" s="1"/>
  <c r="K129" i="5"/>
  <c r="L129" i="5" s="1"/>
  <c r="P129" i="5" s="1"/>
  <c r="K803" i="5"/>
  <c r="L803" i="5" s="1"/>
  <c r="P803" i="5" s="1"/>
  <c r="K822" i="5"/>
  <c r="L822" i="5" s="1"/>
  <c r="P822" i="5" s="1"/>
  <c r="K1685" i="5"/>
  <c r="L1685" i="5" s="1"/>
  <c r="P1685" i="5" s="1"/>
  <c r="K1669" i="5"/>
  <c r="L1669" i="5" s="1"/>
  <c r="P1669" i="5" s="1"/>
  <c r="K287" i="5"/>
  <c r="L287" i="5" s="1"/>
  <c r="P287" i="5" s="1"/>
  <c r="K669" i="5"/>
  <c r="L669" i="5" s="1"/>
  <c r="P669" i="5" s="1"/>
  <c r="K611" i="5"/>
  <c r="L611" i="5" s="1"/>
  <c r="P611" i="5" s="1"/>
  <c r="K284" i="5"/>
  <c r="L284" i="5" s="1"/>
  <c r="P284" i="5" s="1"/>
  <c r="K1122" i="5"/>
  <c r="L1122" i="5" s="1"/>
  <c r="P1122" i="5" s="1"/>
  <c r="K982" i="5"/>
  <c r="L982" i="5" s="1"/>
  <c r="P982" i="5" s="1"/>
  <c r="K996" i="5"/>
  <c r="L996" i="5" s="1"/>
  <c r="P996" i="5" s="1"/>
  <c r="K849" i="5"/>
  <c r="L849" i="5" s="1"/>
  <c r="P849" i="5" s="1"/>
  <c r="K2175" i="5"/>
  <c r="L2175" i="5" s="1"/>
  <c r="P2175" i="5" s="1"/>
  <c r="K882" i="5"/>
  <c r="L882" i="5" s="1"/>
  <c r="P882" i="5" s="1"/>
  <c r="K1014" i="5"/>
  <c r="L1014" i="5" s="1"/>
  <c r="P1014" i="5" s="1"/>
  <c r="K301" i="5"/>
  <c r="L301" i="5" s="1"/>
  <c r="P301" i="5" s="1"/>
  <c r="K674" i="5"/>
  <c r="L674" i="5" s="1"/>
  <c r="P674" i="5" s="1"/>
  <c r="K1087" i="5"/>
  <c r="L1087" i="5" s="1"/>
  <c r="P1087" i="5" s="1"/>
  <c r="K1866" i="5"/>
  <c r="L1866" i="5" s="1"/>
  <c r="P1866" i="5" s="1"/>
  <c r="K176" i="5"/>
  <c r="L176" i="5" s="1"/>
  <c r="P176" i="5" s="1"/>
  <c r="K1008" i="5"/>
  <c r="L1008" i="5" s="1"/>
  <c r="P1008" i="5" s="1"/>
  <c r="K1341" i="5"/>
  <c r="L1341" i="5" s="1"/>
  <c r="P1341" i="5" s="1"/>
  <c r="K1453" i="5"/>
  <c r="L1453" i="5" s="1"/>
  <c r="P1453" i="5" s="1"/>
  <c r="K1067" i="5"/>
  <c r="L1067" i="5" s="1"/>
  <c r="P1067" i="5" s="1"/>
  <c r="K1427" i="5"/>
  <c r="L1427" i="5" s="1"/>
  <c r="P1427" i="5" s="1"/>
  <c r="K741" i="5"/>
  <c r="L741" i="5" s="1"/>
  <c r="P741" i="5" s="1"/>
  <c r="K1878" i="5"/>
  <c r="L1878" i="5" s="1"/>
  <c r="P1878" i="5" s="1"/>
  <c r="K2020" i="5"/>
  <c r="L2020" i="5" s="1"/>
  <c r="P2020" i="5" s="1"/>
  <c r="K2155" i="5"/>
  <c r="L2155" i="5" s="1"/>
  <c r="P2155" i="5" s="1"/>
  <c r="K2378" i="5"/>
  <c r="L2378" i="5" s="1"/>
  <c r="P2378" i="5" s="1"/>
  <c r="K2382" i="5"/>
  <c r="L2382" i="5" s="1"/>
  <c r="P2382" i="5" s="1"/>
  <c r="K2285" i="5"/>
  <c r="L2285" i="5" s="1"/>
  <c r="P2285" i="5" s="1"/>
  <c r="K299" i="5"/>
  <c r="L299" i="5" s="1"/>
  <c r="P299" i="5" s="1"/>
  <c r="K1436" i="5"/>
  <c r="L1436" i="5" s="1"/>
  <c r="P1436" i="5" s="1"/>
  <c r="K1222" i="5"/>
  <c r="L1222" i="5" s="1"/>
  <c r="P1222" i="5" s="1"/>
  <c r="K1246" i="5"/>
  <c r="L1246" i="5" s="1"/>
  <c r="P1246" i="5" s="1"/>
  <c r="K501" i="5"/>
  <c r="L501" i="5" s="1"/>
  <c r="P501" i="5" s="1"/>
  <c r="K2277" i="5"/>
  <c r="L2277" i="5" s="1"/>
  <c r="P2277" i="5" s="1"/>
  <c r="K769" i="5"/>
  <c r="L769" i="5" s="1"/>
  <c r="P769" i="5" s="1"/>
  <c r="K144" i="5"/>
  <c r="L144" i="5" s="1"/>
  <c r="P144" i="5" s="1"/>
  <c r="K641" i="5"/>
  <c r="L641" i="5" s="1"/>
  <c r="P641" i="5" s="1"/>
  <c r="K1166" i="5"/>
  <c r="L1166" i="5" s="1"/>
  <c r="P1166" i="5" s="1"/>
  <c r="K631" i="5"/>
  <c r="L631" i="5" s="1"/>
  <c r="P631" i="5" s="1"/>
  <c r="K1705" i="5"/>
  <c r="L1705" i="5" s="1"/>
  <c r="P1705" i="5" s="1"/>
  <c r="K1848" i="5"/>
  <c r="L1848" i="5" s="1"/>
  <c r="P1848" i="5" s="1"/>
  <c r="K383" i="5"/>
  <c r="L383" i="5" s="1"/>
  <c r="P383" i="5" s="1"/>
  <c r="K346" i="5"/>
  <c r="L346" i="5" s="1"/>
  <c r="P346" i="5" s="1"/>
  <c r="K394" i="5"/>
  <c r="L394" i="5" s="1"/>
  <c r="P394" i="5" s="1"/>
  <c r="K476" i="5"/>
  <c r="L476" i="5" s="1"/>
  <c r="P476" i="5" s="1"/>
  <c r="K1128" i="5"/>
  <c r="L1128" i="5" s="1"/>
  <c r="P1128" i="5" s="1"/>
  <c r="K1437" i="5"/>
  <c r="L1437" i="5" s="1"/>
  <c r="P1437" i="5" s="1"/>
  <c r="K680" i="5"/>
  <c r="L680" i="5" s="1"/>
  <c r="P680" i="5" s="1"/>
  <c r="K735" i="5"/>
  <c r="L735" i="5" s="1"/>
  <c r="P735" i="5" s="1"/>
  <c r="K647" i="5"/>
  <c r="L647" i="5" s="1"/>
  <c r="P647" i="5" s="1"/>
  <c r="K1039" i="5"/>
  <c r="L1039" i="5" s="1"/>
  <c r="P1039" i="5" s="1"/>
  <c r="K984" i="5"/>
  <c r="L984" i="5" s="1"/>
  <c r="P984" i="5" s="1"/>
  <c r="K121" i="5"/>
  <c r="L121" i="5" s="1"/>
  <c r="P121" i="5" s="1"/>
  <c r="K151" i="5"/>
  <c r="L151" i="5" s="1"/>
  <c r="P151" i="5" s="1"/>
  <c r="K1091" i="5"/>
  <c r="L1091" i="5" s="1"/>
  <c r="P1091" i="5" s="1"/>
  <c r="K521" i="5"/>
  <c r="L521" i="5" s="1"/>
  <c r="P521" i="5" s="1"/>
  <c r="K1723" i="5"/>
  <c r="L1723" i="5" s="1"/>
  <c r="P1723" i="5" s="1"/>
  <c r="K2373" i="5"/>
  <c r="L2373" i="5" s="1"/>
  <c r="P2373" i="5" s="1"/>
  <c r="K1265" i="5"/>
  <c r="L1265" i="5" s="1"/>
  <c r="P1265" i="5" s="1"/>
  <c r="K2364" i="5"/>
  <c r="L2364" i="5" s="1"/>
  <c r="P2364" i="5" s="1"/>
  <c r="K2256" i="5"/>
  <c r="L2256" i="5" s="1"/>
  <c r="P2256" i="5" s="1"/>
  <c r="K1354" i="5"/>
  <c r="L1354" i="5" s="1"/>
  <c r="P1354" i="5" s="1"/>
  <c r="K649" i="5"/>
  <c r="L649" i="5" s="1"/>
  <c r="P649" i="5" s="1"/>
  <c r="K494" i="5"/>
  <c r="L494" i="5" s="1"/>
  <c r="P494" i="5" s="1"/>
  <c r="K2119" i="5"/>
  <c r="L2119" i="5" s="1"/>
  <c r="P2119" i="5" s="1"/>
  <c r="K2241" i="5"/>
  <c r="L2241" i="5" s="1"/>
  <c r="P2241" i="5" s="1"/>
  <c r="K736" i="5"/>
  <c r="L736" i="5" s="1"/>
  <c r="P736" i="5" s="1"/>
  <c r="K2221" i="5"/>
  <c r="L2221" i="5" s="1"/>
  <c r="P2221" i="5" s="1"/>
  <c r="K806" i="5"/>
  <c r="L806" i="5" s="1"/>
  <c r="P806" i="5" s="1"/>
  <c r="K1708" i="5"/>
  <c r="L1708" i="5" s="1"/>
  <c r="P1708" i="5" s="1"/>
  <c r="K157" i="5"/>
  <c r="L157" i="5" s="1"/>
  <c r="P157" i="5" s="1"/>
  <c r="K1727" i="5"/>
  <c r="L1727" i="5" s="1"/>
  <c r="P1727" i="5" s="1"/>
  <c r="K660" i="5"/>
  <c r="L660" i="5" s="1"/>
  <c r="P660" i="5" s="1"/>
  <c r="K1644" i="5"/>
  <c r="L1644" i="5" s="1"/>
  <c r="P1644" i="5" s="1"/>
  <c r="K166" i="5"/>
  <c r="L166" i="5" s="1"/>
  <c r="P166" i="5" s="1"/>
  <c r="K1445" i="5"/>
  <c r="L1445" i="5" s="1"/>
  <c r="P1445" i="5" s="1"/>
  <c r="K219" i="5"/>
  <c r="L219" i="5" s="1"/>
  <c r="P219" i="5" s="1"/>
  <c r="K1940" i="5"/>
  <c r="L1940" i="5" s="1"/>
  <c r="P1940" i="5" s="1"/>
  <c r="K1420" i="5"/>
  <c r="L1420" i="5" s="1"/>
  <c r="P1420" i="5" s="1"/>
  <c r="K2086" i="5"/>
  <c r="L2086" i="5" s="1"/>
  <c r="P2086" i="5" s="1"/>
  <c r="K562" i="5"/>
  <c r="L562" i="5" s="1"/>
  <c r="P562" i="5" s="1"/>
  <c r="K1229" i="5"/>
  <c r="L1229" i="5" s="1"/>
  <c r="P1229" i="5" s="1"/>
  <c r="K1473" i="5"/>
  <c r="L1473" i="5" s="1"/>
  <c r="P1473" i="5" s="1"/>
  <c r="K1568" i="5"/>
  <c r="L1568" i="5" s="1"/>
  <c r="P1568" i="5" s="1"/>
  <c r="K1789" i="5"/>
  <c r="L1789" i="5" s="1"/>
  <c r="P1789" i="5" s="1"/>
  <c r="K1413" i="5"/>
  <c r="L1413" i="5" s="1"/>
  <c r="P1413" i="5" s="1"/>
  <c r="K239" i="5"/>
  <c r="L239" i="5" s="1"/>
  <c r="P239" i="5" s="1"/>
  <c r="K1997" i="5"/>
  <c r="L1997" i="5" s="1"/>
  <c r="P1997" i="5" s="1"/>
  <c r="K1890" i="5"/>
  <c r="L1890" i="5" s="1"/>
  <c r="P1890" i="5" s="1"/>
  <c r="K268" i="5"/>
  <c r="L268" i="5" s="1"/>
  <c r="P268" i="5" s="1"/>
  <c r="K2492" i="5"/>
  <c r="L2492" i="5" s="1"/>
  <c r="P2492" i="5" s="1"/>
  <c r="K1914" i="5"/>
  <c r="L1914" i="5" s="1"/>
  <c r="P1914" i="5" s="1"/>
  <c r="K1135" i="5"/>
  <c r="L1135" i="5" s="1"/>
  <c r="P1135" i="5" s="1"/>
  <c r="K2158" i="5"/>
  <c r="L2158" i="5" s="1"/>
  <c r="P2158" i="5" s="1"/>
  <c r="K254" i="5"/>
  <c r="L254" i="5" s="1"/>
  <c r="P254" i="5" s="1"/>
  <c r="K474" i="5"/>
  <c r="L474" i="5" s="1"/>
  <c r="P474" i="5" s="1"/>
  <c r="K1620" i="5"/>
  <c r="L1620" i="5" s="1"/>
  <c r="P1620" i="5" s="1"/>
  <c r="K1189" i="5"/>
  <c r="L1189" i="5" s="1"/>
  <c r="P1189" i="5" s="1"/>
  <c r="K710" i="5"/>
  <c r="L710" i="5" s="1"/>
  <c r="P710" i="5" s="1"/>
  <c r="K1944" i="5"/>
  <c r="L1944" i="5" s="1"/>
  <c r="P1944" i="5" s="1"/>
  <c r="K2439" i="5"/>
  <c r="L2439" i="5" s="1"/>
  <c r="P2439" i="5" s="1"/>
  <c r="K830" i="5"/>
  <c r="L830" i="5" s="1"/>
  <c r="P830" i="5" s="1"/>
  <c r="K1481" i="5"/>
  <c r="L1481" i="5" s="1"/>
  <c r="P1481" i="5" s="1"/>
  <c r="K792" i="5"/>
  <c r="L792" i="5" s="1"/>
  <c r="P792" i="5" s="1"/>
  <c r="K1702" i="5"/>
  <c r="L1702" i="5" s="1"/>
  <c r="P1702" i="5" s="1"/>
  <c r="K2110" i="5"/>
  <c r="L2110" i="5" s="1"/>
  <c r="P2110" i="5" s="1"/>
  <c r="K72" i="5"/>
  <c r="L72" i="5" s="1"/>
  <c r="P72" i="5" s="1"/>
  <c r="K1328" i="5"/>
  <c r="L1328" i="5" s="1"/>
  <c r="P1328" i="5" s="1"/>
  <c r="K2253" i="5"/>
  <c r="L2253" i="5" s="1"/>
  <c r="P2253" i="5" s="1"/>
  <c r="K2390" i="5"/>
  <c r="L2390" i="5" s="1"/>
  <c r="P2390" i="5" s="1"/>
  <c r="K59" i="5"/>
  <c r="L59" i="5" s="1"/>
  <c r="P59" i="5" s="1"/>
  <c r="K421" i="5"/>
  <c r="L421" i="5" s="1"/>
  <c r="P421" i="5" s="1"/>
  <c r="K1216" i="5"/>
  <c r="L1216" i="5" s="1"/>
  <c r="P1216" i="5" s="1"/>
  <c r="K2046" i="5"/>
  <c r="L2046" i="5" s="1"/>
  <c r="P2046" i="5" s="1"/>
  <c r="K1089" i="5"/>
  <c r="L1089" i="5" s="1"/>
  <c r="P1089" i="5" s="1"/>
  <c r="K613" i="5"/>
  <c r="L613" i="5" s="1"/>
  <c r="P613" i="5" s="1"/>
  <c r="K2076" i="5"/>
  <c r="L2076" i="5" s="1"/>
  <c r="P2076" i="5" s="1"/>
  <c r="K184" i="5"/>
  <c r="L184" i="5" s="1"/>
  <c r="P184" i="5" s="1"/>
  <c r="K2101" i="5"/>
  <c r="L2101" i="5" s="1"/>
  <c r="P2101" i="5" s="1"/>
  <c r="K1967" i="5"/>
  <c r="L1967" i="5" s="1"/>
  <c r="P1967" i="5" s="1"/>
  <c r="K618" i="5"/>
  <c r="L618" i="5" s="1"/>
  <c r="P618" i="5" s="1"/>
  <c r="K794" i="5"/>
  <c r="L794" i="5" s="1"/>
  <c r="P794" i="5" s="1"/>
  <c r="K1383" i="5"/>
  <c r="L1383" i="5" s="1"/>
  <c r="P1383" i="5" s="1"/>
  <c r="K2058" i="5"/>
  <c r="L2058" i="5" s="1"/>
  <c r="P2058" i="5" s="1"/>
  <c r="K2149" i="5"/>
  <c r="L2149" i="5" s="1"/>
  <c r="P2149" i="5" s="1"/>
  <c r="K2147" i="5"/>
  <c r="L2147" i="5" s="1"/>
  <c r="P2147" i="5" s="1"/>
  <c r="K1791" i="5"/>
  <c r="L1791" i="5" s="1"/>
  <c r="P1791" i="5" s="1"/>
  <c r="K2006" i="5"/>
  <c r="L2006" i="5" s="1"/>
  <c r="P2006" i="5" s="1"/>
  <c r="K2493" i="5"/>
  <c r="L2493" i="5" s="1"/>
  <c r="P2493" i="5" s="1"/>
  <c r="K1323" i="5"/>
  <c r="L1323" i="5" s="1"/>
  <c r="P1323" i="5" s="1"/>
  <c r="K370" i="5"/>
  <c r="L370" i="5" s="1"/>
  <c r="P370" i="5" s="1"/>
  <c r="K856" i="5"/>
  <c r="L856" i="5" s="1"/>
  <c r="P856" i="5" s="1"/>
  <c r="K2276" i="5"/>
  <c r="L2276" i="5" s="1"/>
  <c r="P2276" i="5" s="1"/>
  <c r="K1405" i="5"/>
  <c r="L1405" i="5" s="1"/>
  <c r="P1405" i="5" s="1"/>
  <c r="K292" i="5"/>
  <c r="L292" i="5" s="1"/>
  <c r="P292" i="5" s="1"/>
  <c r="K750" i="5"/>
  <c r="L750" i="5" s="1"/>
  <c r="P750" i="5" s="1"/>
  <c r="K1964" i="5"/>
  <c r="L1964" i="5" s="1"/>
  <c r="P1964" i="5" s="1"/>
  <c r="K345" i="5"/>
  <c r="L345" i="5" s="1"/>
  <c r="P345" i="5" s="1"/>
  <c r="K584" i="5"/>
  <c r="L584" i="5" s="1"/>
  <c r="P584" i="5" s="1"/>
  <c r="K2292" i="5"/>
  <c r="L2292" i="5" s="1"/>
  <c r="P2292" i="5" s="1"/>
  <c r="K577" i="5"/>
  <c r="L577" i="5" s="1"/>
  <c r="P577" i="5" s="1"/>
  <c r="K81" i="5"/>
  <c r="L81" i="5" s="1"/>
  <c r="P81" i="5" s="1"/>
  <c r="K1393" i="5"/>
  <c r="L1393" i="5" s="1"/>
  <c r="P1393" i="5" s="1"/>
  <c r="K2219" i="5"/>
  <c r="L2219" i="5" s="1"/>
  <c r="P2219" i="5" s="1"/>
  <c r="K1583" i="5"/>
  <c r="L1583" i="5" s="1"/>
  <c r="P1583" i="5" s="1"/>
  <c r="K539" i="5"/>
  <c r="L539" i="5" s="1"/>
  <c r="P539" i="5" s="1"/>
  <c r="K386" i="5"/>
  <c r="L386" i="5" s="1"/>
  <c r="P386" i="5" s="1"/>
  <c r="K1035" i="5"/>
  <c r="L1035" i="5" s="1"/>
  <c r="P1035" i="5" s="1"/>
  <c r="K1561" i="5"/>
  <c r="L1561" i="5" s="1"/>
  <c r="P1561" i="5" s="1"/>
  <c r="K1291" i="5"/>
  <c r="L1291" i="5" s="1"/>
  <c r="P1291" i="5" s="1"/>
  <c r="K20" i="5"/>
  <c r="L20" i="5" s="1"/>
  <c r="P20" i="5" s="1"/>
  <c r="K1757" i="5"/>
  <c r="L1757" i="5" s="1"/>
  <c r="P1757" i="5" s="1"/>
  <c r="K204" i="5"/>
  <c r="L204" i="5" s="1"/>
  <c r="P204" i="5" s="1"/>
  <c r="K2002" i="5"/>
  <c r="L2002" i="5" s="1"/>
  <c r="P2002" i="5" s="1"/>
  <c r="K257" i="5"/>
  <c r="L257" i="5" s="1"/>
  <c r="P257" i="5" s="1"/>
  <c r="K2150" i="5"/>
  <c r="L2150" i="5" s="1"/>
  <c r="P2150" i="5" s="1"/>
  <c r="K1270" i="5"/>
  <c r="L1270" i="5" s="1"/>
  <c r="P1270" i="5" s="1"/>
  <c r="K1740" i="5"/>
  <c r="L1740" i="5" s="1"/>
  <c r="P1740" i="5" s="1"/>
  <c r="K1604" i="5"/>
  <c r="L1604" i="5" s="1"/>
  <c r="P1604" i="5" s="1"/>
  <c r="K2306" i="5"/>
  <c r="L2306" i="5" s="1"/>
  <c r="P2306" i="5" s="1"/>
  <c r="K1327" i="5"/>
  <c r="L1327" i="5" s="1"/>
  <c r="P1327" i="5" s="1"/>
  <c r="K1408" i="5"/>
  <c r="L1408" i="5" s="1"/>
  <c r="P1408" i="5" s="1"/>
  <c r="K1051" i="5"/>
  <c r="L1051" i="5" s="1"/>
  <c r="P1051" i="5" s="1"/>
  <c r="K773" i="5"/>
  <c r="L773" i="5" s="1"/>
  <c r="P773" i="5" s="1"/>
  <c r="K1554" i="5"/>
  <c r="L1554" i="5" s="1"/>
  <c r="P1554" i="5" s="1"/>
  <c r="K2011" i="5"/>
  <c r="L2011" i="5" s="1"/>
  <c r="P2011" i="5" s="1"/>
  <c r="K1299" i="5"/>
  <c r="L1299" i="5" s="1"/>
  <c r="P1299" i="5" s="1"/>
  <c r="K1623" i="5"/>
  <c r="L1623" i="5" s="1"/>
  <c r="P1623" i="5" s="1"/>
  <c r="K1258" i="5"/>
  <c r="L1258" i="5" s="1"/>
  <c r="P1258" i="5" s="1"/>
  <c r="K2446" i="5"/>
  <c r="L2446" i="5" s="1"/>
  <c r="P2446" i="5" s="1"/>
  <c r="K753" i="5"/>
  <c r="L753" i="5" s="1"/>
  <c r="P753" i="5" s="1"/>
  <c r="K936" i="5"/>
  <c r="L936" i="5" s="1"/>
  <c r="P936" i="5" s="1"/>
  <c r="K1716" i="5"/>
  <c r="L1716" i="5" s="1"/>
  <c r="P1716" i="5" s="1"/>
  <c r="K1684" i="5"/>
  <c r="L1684" i="5" s="1"/>
  <c r="P1684" i="5" s="1"/>
  <c r="K845" i="5"/>
  <c r="L845" i="5" s="1"/>
  <c r="P845" i="5" s="1"/>
  <c r="K797" i="5"/>
  <c r="L797" i="5" s="1"/>
  <c r="P797" i="5" s="1"/>
  <c r="K1211" i="5"/>
  <c r="L1211" i="5" s="1"/>
  <c r="P1211" i="5" s="1"/>
  <c r="K2264" i="5"/>
  <c r="L2264" i="5" s="1"/>
  <c r="P2264" i="5" s="1"/>
  <c r="K2474" i="5"/>
  <c r="L2474" i="5" s="1"/>
  <c r="P2474" i="5" s="1"/>
  <c r="K1872" i="5"/>
  <c r="L1872" i="5" s="1"/>
  <c r="P1872" i="5" s="1"/>
  <c r="K2007" i="5"/>
  <c r="L2007" i="5" s="1"/>
  <c r="P2007" i="5" s="1"/>
  <c r="K2100" i="5"/>
  <c r="L2100" i="5" s="1"/>
  <c r="P2100" i="5" s="1"/>
  <c r="K840" i="5"/>
  <c r="L840" i="5" s="1"/>
  <c r="P840" i="5" s="1"/>
  <c r="K733" i="5"/>
  <c r="L733" i="5" s="1"/>
  <c r="P733" i="5" s="1"/>
  <c r="K1865" i="5"/>
  <c r="L1865" i="5" s="1"/>
  <c r="P1865" i="5" s="1"/>
  <c r="K2142" i="5"/>
  <c r="L2142" i="5" s="1"/>
  <c r="P2142" i="5" s="1"/>
  <c r="K1046" i="5"/>
  <c r="L1046" i="5" s="1"/>
  <c r="P1046" i="5" s="1"/>
  <c r="K182" i="5"/>
  <c r="L182" i="5" s="1"/>
  <c r="P182" i="5" s="1"/>
  <c r="K1140" i="5"/>
  <c r="L1140" i="5" s="1"/>
  <c r="P1140" i="5" s="1"/>
  <c r="K1304" i="5"/>
  <c r="L1304" i="5" s="1"/>
  <c r="P1304" i="5" s="1"/>
  <c r="K1482" i="5"/>
  <c r="L1482" i="5" s="1"/>
  <c r="P1482" i="5" s="1"/>
  <c r="K536" i="5"/>
  <c r="L536" i="5" s="1"/>
  <c r="P536" i="5" s="1"/>
  <c r="K2207" i="5"/>
  <c r="L2207" i="5" s="1"/>
  <c r="P2207" i="5" s="1"/>
  <c r="K643" i="5"/>
  <c r="L643" i="5" s="1"/>
  <c r="P643" i="5" s="1"/>
  <c r="K1031" i="5"/>
  <c r="L1031" i="5" s="1"/>
  <c r="P1031" i="5" s="1"/>
  <c r="K1156" i="5"/>
  <c r="L1156" i="5" s="1"/>
  <c r="P1156" i="5" s="1"/>
  <c r="K837" i="5"/>
  <c r="L837" i="5" s="1"/>
  <c r="P837" i="5" s="1"/>
  <c r="K651" i="5"/>
  <c r="L651" i="5" s="1"/>
  <c r="P651" i="5" s="1"/>
  <c r="K1155" i="5"/>
  <c r="L1155" i="5" s="1"/>
  <c r="P1155" i="5" s="1"/>
  <c r="K1410" i="5"/>
  <c r="L1410" i="5" s="1"/>
  <c r="P1410" i="5" s="1"/>
  <c r="K1725" i="5"/>
  <c r="L1725" i="5" s="1"/>
  <c r="P1725" i="5" s="1"/>
  <c r="K41" i="5"/>
  <c r="L41" i="5" s="1"/>
  <c r="P41" i="5" s="1"/>
  <c r="K1192" i="5"/>
  <c r="L1192" i="5" s="1"/>
  <c r="P1192" i="5" s="1"/>
  <c r="K1900" i="5"/>
  <c r="L1900" i="5" s="1"/>
  <c r="P1900" i="5" s="1"/>
  <c r="K1404" i="5"/>
  <c r="L1404" i="5" s="1"/>
  <c r="P1404" i="5" s="1"/>
  <c r="K451" i="5"/>
  <c r="L451" i="5" s="1"/>
  <c r="P451" i="5" s="1"/>
  <c r="K165" i="5"/>
  <c r="L165" i="5" s="1"/>
  <c r="P165" i="5" s="1"/>
  <c r="K1640" i="5"/>
  <c r="L1640" i="5" s="1"/>
  <c r="P1640" i="5" s="1"/>
  <c r="K2166" i="5"/>
  <c r="L2166" i="5" s="1"/>
  <c r="P2166" i="5" s="1"/>
  <c r="K2176" i="5"/>
  <c r="L2176" i="5" s="1"/>
  <c r="P2176" i="5" s="1"/>
  <c r="K1227" i="5"/>
  <c r="L1227" i="5" s="1"/>
  <c r="P1227" i="5" s="1"/>
  <c r="K893" i="5"/>
  <c r="L893" i="5" s="1"/>
  <c r="P893" i="5" s="1"/>
  <c r="K2227" i="5"/>
  <c r="L2227" i="5" s="1"/>
  <c r="P2227" i="5" s="1"/>
  <c r="K890" i="5"/>
  <c r="L890" i="5" s="1"/>
  <c r="P890" i="5" s="1"/>
  <c r="K1465" i="5"/>
  <c r="L1465" i="5" s="1"/>
  <c r="P1465" i="5" s="1"/>
  <c r="K1991" i="5"/>
  <c r="L1991" i="5" s="1"/>
  <c r="P1991" i="5" s="1"/>
  <c r="K1697" i="5"/>
  <c r="L1697" i="5" s="1"/>
  <c r="P1697" i="5" s="1"/>
  <c r="K1007" i="5"/>
  <c r="L1007" i="5" s="1"/>
  <c r="P1007" i="5" s="1"/>
  <c r="K1069" i="5"/>
  <c r="L1069" i="5" s="1"/>
  <c r="P1069" i="5" s="1"/>
  <c r="K1556" i="5"/>
  <c r="L1556" i="5" s="1"/>
  <c r="P1556" i="5" s="1"/>
  <c r="K1159" i="5"/>
  <c r="L1159" i="5" s="1"/>
  <c r="P1159" i="5" s="1"/>
  <c r="K1713" i="5"/>
  <c r="L1713" i="5" s="1"/>
  <c r="P1713" i="5" s="1"/>
  <c r="K2217" i="5"/>
  <c r="L2217" i="5" s="1"/>
  <c r="P2217" i="5" s="1"/>
  <c r="K506" i="5"/>
  <c r="L506" i="5" s="1"/>
  <c r="P506" i="5" s="1"/>
  <c r="K1085" i="5"/>
  <c r="L1085" i="5" s="1"/>
  <c r="P1085" i="5" s="1"/>
  <c r="K1710" i="5"/>
  <c r="L1710" i="5" s="1"/>
  <c r="P1710" i="5" s="1"/>
  <c r="K1861" i="5"/>
  <c r="L1861" i="5" s="1"/>
  <c r="P1861" i="5" s="1"/>
  <c r="K46" i="5"/>
  <c r="L46" i="5" s="1"/>
  <c r="P46" i="5" s="1"/>
  <c r="K433" i="5"/>
  <c r="L433" i="5" s="1"/>
  <c r="P433" i="5" s="1"/>
  <c r="K1855" i="5"/>
  <c r="L1855" i="5" s="1"/>
  <c r="P1855" i="5" s="1"/>
  <c r="K2399" i="5"/>
  <c r="L2399" i="5" s="1"/>
  <c r="P2399" i="5" s="1"/>
  <c r="K294" i="5"/>
  <c r="L294" i="5" s="1"/>
  <c r="P294" i="5" s="1"/>
  <c r="K1259" i="5"/>
  <c r="L1259" i="5" s="1"/>
  <c r="P1259" i="5" s="1"/>
  <c r="K1599" i="5"/>
  <c r="L1599" i="5" s="1"/>
  <c r="P1599" i="5" s="1"/>
  <c r="K1646" i="5"/>
  <c r="L1646" i="5" s="1"/>
  <c r="P1646" i="5" s="1"/>
  <c r="K265" i="5"/>
  <c r="L265" i="5" s="1"/>
  <c r="P265" i="5" s="1"/>
  <c r="K486" i="5"/>
  <c r="L486" i="5" s="1"/>
  <c r="P486" i="5" s="1"/>
  <c r="K709" i="5"/>
  <c r="L709" i="5" s="1"/>
  <c r="P709" i="5" s="1"/>
  <c r="K786" i="5"/>
  <c r="L786" i="5" s="1"/>
  <c r="P786" i="5" s="1"/>
  <c r="K1228" i="5"/>
  <c r="L1228" i="5" s="1"/>
  <c r="P1228" i="5" s="1"/>
  <c r="K1397" i="5"/>
  <c r="L1397" i="5" s="1"/>
  <c r="P1397" i="5" s="1"/>
  <c r="K1743" i="5"/>
  <c r="L1743" i="5" s="1"/>
  <c r="P1743" i="5" s="1"/>
  <c r="K1987" i="5"/>
  <c r="L1987" i="5" s="1"/>
  <c r="P1987" i="5" s="1"/>
  <c r="K2117" i="5"/>
  <c r="L2117" i="5" s="1"/>
  <c r="P2117" i="5" s="1"/>
  <c r="K14" i="5"/>
  <c r="L14" i="5" s="1"/>
  <c r="P14" i="5" s="1"/>
  <c r="K89" i="5"/>
  <c r="L89" i="5" s="1"/>
  <c r="P89" i="5" s="1"/>
  <c r="K220" i="5"/>
  <c r="L220" i="5" s="1"/>
  <c r="P220" i="5" s="1"/>
  <c r="K2289" i="5"/>
  <c r="L2289" i="5" s="1"/>
  <c r="P2289" i="5" s="1"/>
  <c r="K262" i="5"/>
  <c r="L262" i="5" s="1"/>
  <c r="P262" i="5" s="1"/>
  <c r="K941" i="5"/>
  <c r="L941" i="5" s="1"/>
  <c r="P941" i="5" s="1"/>
  <c r="K1748" i="5"/>
  <c r="L1748" i="5" s="1"/>
  <c r="P1748" i="5" s="1"/>
  <c r="K1952" i="5"/>
  <c r="L1952" i="5" s="1"/>
  <c r="P1952" i="5" s="1"/>
  <c r="K2013" i="5"/>
  <c r="L2013" i="5" s="1"/>
  <c r="P2013" i="5" s="1"/>
  <c r="K2162" i="5"/>
  <c r="L2162" i="5" s="1"/>
  <c r="P2162" i="5" s="1"/>
  <c r="K2186" i="5"/>
  <c r="L2186" i="5" s="1"/>
  <c r="P2186" i="5" s="1"/>
  <c r="K2386" i="5"/>
  <c r="L2386" i="5" s="1"/>
  <c r="P2386" i="5" s="1"/>
  <c r="K202" i="5"/>
  <c r="L202" i="5" s="1"/>
  <c r="P202" i="5" s="1"/>
  <c r="K352" i="5"/>
  <c r="L352" i="5" s="1"/>
  <c r="P352" i="5" s="1"/>
  <c r="K991" i="5"/>
  <c r="L991" i="5" s="1"/>
  <c r="P991" i="5" s="1"/>
  <c r="K1012" i="5"/>
  <c r="L1012" i="5" s="1"/>
  <c r="P1012" i="5" s="1"/>
  <c r="K1093" i="5"/>
  <c r="L1093" i="5" s="1"/>
  <c r="P1093" i="5" s="1"/>
  <c r="K1103" i="5"/>
  <c r="L1103" i="5" s="1"/>
  <c r="P1103" i="5" s="1"/>
  <c r="K1747" i="5"/>
  <c r="L1747" i="5" s="1"/>
  <c r="P1747" i="5" s="1"/>
  <c r="K2273" i="5"/>
  <c r="L2273" i="5" s="1"/>
  <c r="P2273" i="5" s="1"/>
  <c r="K51" i="5"/>
  <c r="L51" i="5" s="1"/>
  <c r="P51" i="5" s="1"/>
  <c r="K454" i="5"/>
  <c r="L454" i="5" s="1"/>
  <c r="P454" i="5" s="1"/>
  <c r="K1637" i="5"/>
  <c r="L1637" i="5" s="1"/>
  <c r="P1637" i="5" s="1"/>
  <c r="K2466" i="5"/>
  <c r="L2466" i="5" s="1"/>
  <c r="P2466" i="5" s="1"/>
  <c r="K1353" i="5"/>
  <c r="L1353" i="5" s="1"/>
  <c r="P1353" i="5" s="1"/>
  <c r="K1630" i="5"/>
  <c r="L1630" i="5" s="1"/>
  <c r="P1630" i="5" s="1"/>
  <c r="K2303" i="5"/>
  <c r="L2303" i="5" s="1"/>
  <c r="P2303" i="5" s="1"/>
  <c r="K2416" i="5"/>
  <c r="L2416" i="5" s="1"/>
  <c r="P2416" i="5" s="1"/>
  <c r="K71" i="5"/>
  <c r="L71" i="5" s="1"/>
  <c r="P71" i="5" s="1"/>
  <c r="K517" i="5"/>
  <c r="L517" i="5" s="1"/>
  <c r="P517" i="5" s="1"/>
  <c r="K1188" i="5"/>
  <c r="L1188" i="5" s="1"/>
  <c r="P1188" i="5" s="1"/>
  <c r="K2320" i="5"/>
  <c r="L2320" i="5" s="1"/>
  <c r="P2320" i="5" s="1"/>
  <c r="K2343" i="5"/>
  <c r="L2343" i="5" s="1"/>
  <c r="P2343" i="5" s="1"/>
  <c r="K754" i="5"/>
  <c r="L754" i="5" s="1"/>
  <c r="P754" i="5" s="1"/>
  <c r="K861" i="5"/>
  <c r="L861" i="5" s="1"/>
  <c r="P861" i="5" s="1"/>
  <c r="K1494" i="5"/>
  <c r="L1494" i="5" s="1"/>
  <c r="P1494" i="5" s="1"/>
  <c r="K2113" i="5"/>
  <c r="L2113" i="5" s="1"/>
  <c r="P2113" i="5" s="1"/>
  <c r="K2458" i="5"/>
  <c r="L2458" i="5" s="1"/>
  <c r="P2458" i="5" s="1"/>
  <c r="K29" i="5"/>
  <c r="L29" i="5" s="1"/>
  <c r="P29" i="5" s="1"/>
  <c r="K498" i="5"/>
  <c r="L498" i="5" s="1"/>
  <c r="P498" i="5" s="1"/>
  <c r="K1242" i="5"/>
  <c r="L1242" i="5" s="1"/>
  <c r="P1242" i="5" s="1"/>
  <c r="K1451" i="5"/>
  <c r="L1451" i="5" s="1"/>
  <c r="P1451" i="5" s="1"/>
  <c r="K1694" i="5"/>
  <c r="L1694" i="5" s="1"/>
  <c r="P1694" i="5" s="1"/>
  <c r="K2298" i="5"/>
  <c r="L2298" i="5" s="1"/>
  <c r="P2298" i="5" s="1"/>
  <c r="K2348" i="5"/>
  <c r="L2348" i="5" s="1"/>
  <c r="P2348" i="5" s="1"/>
  <c r="K58" i="5"/>
  <c r="L58" i="5" s="1"/>
  <c r="P58" i="5" s="1"/>
  <c r="K510" i="5"/>
  <c r="L510" i="5" s="1"/>
  <c r="P510" i="5" s="1"/>
  <c r="K558" i="5"/>
  <c r="L558" i="5" s="1"/>
  <c r="P558" i="5" s="1"/>
  <c r="K1232" i="5"/>
  <c r="L1232" i="5" s="1"/>
  <c r="P1232" i="5" s="1"/>
  <c r="K1570" i="5"/>
  <c r="L1570" i="5" s="1"/>
  <c r="P1570" i="5" s="1"/>
  <c r="K2143" i="5"/>
  <c r="L2143" i="5" s="1"/>
  <c r="P2143" i="5" s="1"/>
  <c r="K931" i="5"/>
  <c r="L931" i="5" s="1"/>
  <c r="P931" i="5" s="1"/>
  <c r="K1019" i="5"/>
  <c r="L1019" i="5" s="1"/>
  <c r="P1019" i="5" s="1"/>
  <c r="K1526" i="5"/>
  <c r="L1526" i="5" s="1"/>
  <c r="P1526" i="5" s="1"/>
  <c r="K1915" i="5"/>
  <c r="L1915" i="5" s="1"/>
  <c r="P1915" i="5" s="1"/>
  <c r="K236" i="5"/>
  <c r="L236" i="5" s="1"/>
  <c r="P236" i="5" s="1"/>
  <c r="K597" i="5"/>
  <c r="L597" i="5" s="1"/>
  <c r="P597" i="5" s="1"/>
  <c r="K1107" i="5"/>
  <c r="L1107" i="5" s="1"/>
  <c r="P1107" i="5" s="1"/>
  <c r="K1587" i="5"/>
  <c r="L1587" i="5" s="1"/>
  <c r="P1587" i="5" s="1"/>
  <c r="K1609" i="5"/>
  <c r="L1609" i="5" s="1"/>
  <c r="P1609" i="5" s="1"/>
  <c r="K73" i="5"/>
  <c r="L73" i="5" s="1"/>
  <c r="P73" i="5" s="1"/>
  <c r="K833" i="5"/>
  <c r="L833" i="5" s="1"/>
  <c r="P833" i="5" s="1"/>
  <c r="K1075" i="5"/>
  <c r="L1075" i="5" s="1"/>
  <c r="P1075" i="5" s="1"/>
  <c r="K1921" i="5"/>
  <c r="L1921" i="5" s="1"/>
  <c r="P1921" i="5" s="1"/>
  <c r="K1977" i="5"/>
  <c r="L1977" i="5" s="1"/>
  <c r="P1977" i="5" s="1"/>
  <c r="K53" i="5"/>
  <c r="L53" i="5" s="1"/>
  <c r="P53" i="5" s="1"/>
  <c r="K1276" i="5"/>
  <c r="L1276" i="5" s="1"/>
  <c r="P1276" i="5" s="1"/>
  <c r="K1349" i="5"/>
  <c r="L1349" i="5" s="1"/>
  <c r="P1349" i="5" s="1"/>
  <c r="K1608" i="5"/>
  <c r="L1608" i="5" s="1"/>
  <c r="P1608" i="5" s="1"/>
  <c r="K497" i="5"/>
  <c r="L497" i="5" s="1"/>
  <c r="P497" i="5" s="1"/>
  <c r="K1471" i="5"/>
  <c r="L1471" i="5" s="1"/>
  <c r="P1471" i="5" s="1"/>
  <c r="K2127" i="5"/>
  <c r="L2127" i="5" s="1"/>
  <c r="P2127" i="5" s="1"/>
  <c r="K555" i="5"/>
  <c r="L555" i="5" s="1"/>
  <c r="P555" i="5" s="1"/>
  <c r="K1042" i="5"/>
  <c r="L1042" i="5" s="1"/>
  <c r="P1042" i="5" s="1"/>
  <c r="K1422" i="5"/>
  <c r="L1422" i="5" s="1"/>
  <c r="P1422" i="5" s="1"/>
  <c r="K2230" i="5"/>
  <c r="L2230" i="5" s="1"/>
  <c r="P2230" i="5" s="1"/>
  <c r="K2281" i="5"/>
  <c r="L2281" i="5" s="1"/>
  <c r="P2281" i="5" s="1"/>
  <c r="K325" i="5"/>
  <c r="L325" i="5" s="1"/>
  <c r="P325" i="5" s="1"/>
  <c r="K1032" i="5"/>
  <c r="L1032" i="5" s="1"/>
  <c r="P1032" i="5" s="1"/>
  <c r="K2305" i="5"/>
  <c r="L2305" i="5" s="1"/>
  <c r="P2305" i="5" s="1"/>
  <c r="K312" i="5"/>
  <c r="L312" i="5" s="1"/>
  <c r="P312" i="5" s="1"/>
  <c r="K1147" i="5"/>
  <c r="L1147" i="5" s="1"/>
  <c r="P1147" i="5" s="1"/>
  <c r="K1992" i="5"/>
  <c r="L1992" i="5" s="1"/>
  <c r="P1992" i="5" s="1"/>
  <c r="K2341" i="5"/>
  <c r="L2341" i="5" s="1"/>
  <c r="P2341" i="5" s="1"/>
  <c r="K356" i="5"/>
  <c r="L356" i="5" s="1"/>
  <c r="P356" i="5" s="1"/>
  <c r="K933" i="5"/>
  <c r="L933" i="5" s="1"/>
  <c r="P933" i="5" s="1"/>
  <c r="K1734" i="5"/>
  <c r="L1734" i="5" s="1"/>
  <c r="P1734" i="5" s="1"/>
  <c r="K1751" i="5"/>
  <c r="L1751" i="5" s="1"/>
  <c r="P1751" i="5" s="1"/>
  <c r="K2128" i="5"/>
  <c r="L2128" i="5" s="1"/>
  <c r="P2128" i="5" s="1"/>
  <c r="K1718" i="5"/>
  <c r="L1718" i="5" s="1"/>
  <c r="P1718" i="5" s="1"/>
  <c r="K2018" i="5"/>
  <c r="L2018" i="5" s="1"/>
  <c r="P2018" i="5" s="1"/>
  <c r="K520" i="5"/>
  <c r="L520" i="5" s="1"/>
  <c r="P520" i="5" s="1"/>
  <c r="K1256" i="5"/>
  <c r="L1256" i="5" s="1"/>
  <c r="P1256" i="5" s="1"/>
  <c r="K2171" i="5"/>
  <c r="L2171" i="5" s="1"/>
  <c r="P2171" i="5" s="1"/>
  <c r="K117" i="5"/>
  <c r="L117" i="5" s="1"/>
  <c r="P117" i="5" s="1"/>
  <c r="K644" i="5"/>
  <c r="L644" i="5" s="1"/>
  <c r="P644" i="5" s="1"/>
  <c r="K1312" i="5"/>
  <c r="L1312" i="5" s="1"/>
  <c r="P1312" i="5" s="1"/>
  <c r="K1720" i="5"/>
  <c r="L1720" i="5" s="1"/>
  <c r="P1720" i="5" s="1"/>
  <c r="K2200" i="5"/>
  <c r="L2200" i="5" s="1"/>
  <c r="P2200" i="5" s="1"/>
  <c r="K116" i="5"/>
  <c r="L116" i="5" s="1"/>
  <c r="P116" i="5" s="1"/>
  <c r="K341" i="5"/>
  <c r="L341" i="5" s="1"/>
  <c r="P341" i="5" s="1"/>
  <c r="K1755" i="5"/>
  <c r="L1755" i="5" s="1"/>
  <c r="P1755" i="5" s="1"/>
  <c r="K850" i="5"/>
  <c r="L850" i="5" s="1"/>
  <c r="P850" i="5" s="1"/>
  <c r="K1079" i="5"/>
  <c r="L1079" i="5" s="1"/>
  <c r="P1079" i="5" s="1"/>
  <c r="K1444" i="5"/>
  <c r="L1444" i="5" s="1"/>
  <c r="P1444" i="5" s="1"/>
  <c r="K1808" i="5"/>
  <c r="L1808" i="5" s="1"/>
  <c r="P1808" i="5" s="1"/>
  <c r="K438" i="5"/>
  <c r="L438" i="5" s="1"/>
  <c r="P438" i="5" s="1"/>
  <c r="K804" i="5"/>
  <c r="L804" i="5" s="1"/>
  <c r="P804" i="5" s="1"/>
  <c r="K876" i="5"/>
  <c r="L876" i="5" s="1"/>
  <c r="P876" i="5" s="1"/>
  <c r="K1497" i="5"/>
  <c r="L1497" i="5" s="1"/>
  <c r="P1497" i="5" s="1"/>
  <c r="K1985" i="5"/>
  <c r="L1985" i="5" s="1"/>
  <c r="P1985" i="5" s="1"/>
  <c r="K2198" i="5"/>
  <c r="L2198" i="5" s="1"/>
  <c r="P2198" i="5" s="1"/>
  <c r="K2342" i="5"/>
  <c r="L2342" i="5" s="1"/>
  <c r="P2342" i="5" s="1"/>
  <c r="K2444" i="5"/>
  <c r="L2444" i="5" s="1"/>
  <c r="P2444" i="5" s="1"/>
  <c r="K473" i="5"/>
  <c r="L473" i="5" s="1"/>
  <c r="P473" i="5" s="1"/>
  <c r="K1810" i="5"/>
  <c r="L1810" i="5" s="1"/>
  <c r="P1810" i="5" s="1"/>
  <c r="K2228" i="5"/>
  <c r="L2228" i="5" s="1"/>
  <c r="P2228" i="5" s="1"/>
  <c r="K2330" i="5"/>
  <c r="L2330" i="5" s="1"/>
  <c r="P2330" i="5" s="1"/>
  <c r="K2412" i="5"/>
  <c r="L2412" i="5" s="1"/>
  <c r="P2412" i="5" s="1"/>
  <c r="K48" i="5"/>
  <c r="L48" i="5" s="1"/>
  <c r="P48" i="5" s="1"/>
  <c r="K295" i="5"/>
  <c r="L295" i="5" s="1"/>
  <c r="P295" i="5" s="1"/>
  <c r="K488" i="5"/>
  <c r="L488" i="5" s="1"/>
  <c r="P488" i="5" s="1"/>
  <c r="K2075" i="5"/>
  <c r="L2075" i="5" s="1"/>
  <c r="P2075" i="5" s="1"/>
  <c r="K2259" i="5"/>
  <c r="L2259" i="5" s="1"/>
  <c r="P2259" i="5" s="1"/>
  <c r="K45" i="5"/>
  <c r="L45" i="5" s="1"/>
  <c r="P45" i="5" s="1"/>
  <c r="K313" i="5"/>
  <c r="L313" i="5" s="1"/>
  <c r="P313" i="5" s="1"/>
  <c r="K952" i="5"/>
  <c r="L952" i="5" s="1"/>
  <c r="P952" i="5" s="1"/>
  <c r="K1545" i="5"/>
  <c r="L1545" i="5" s="1"/>
  <c r="P1545" i="5" s="1"/>
  <c r="K1812" i="5"/>
  <c r="L1812" i="5" s="1"/>
  <c r="P1812" i="5" s="1"/>
  <c r="K399" i="5"/>
  <c r="L399" i="5" s="1"/>
  <c r="P399" i="5" s="1"/>
  <c r="K1698" i="5"/>
  <c r="L1698" i="5" s="1"/>
  <c r="P1698" i="5" s="1"/>
  <c r="K1771" i="5"/>
  <c r="L1771" i="5" s="1"/>
  <c r="P1771" i="5" s="1"/>
  <c r="K338" i="5"/>
  <c r="L338" i="5" s="1"/>
  <c r="P338" i="5" s="1"/>
  <c r="K801" i="5"/>
  <c r="L801" i="5" s="1"/>
  <c r="P801" i="5" s="1"/>
  <c r="K953" i="5"/>
  <c r="L953" i="5" s="1"/>
  <c r="P953" i="5" s="1"/>
  <c r="K1117" i="5"/>
  <c r="L1117" i="5" s="1"/>
  <c r="P1117" i="5" s="1"/>
  <c r="K1813" i="5"/>
  <c r="L1813" i="5" s="1"/>
  <c r="P1813" i="5" s="1"/>
  <c r="K2074" i="5"/>
  <c r="L2074" i="5" s="1"/>
  <c r="P2074" i="5" s="1"/>
  <c r="K2452" i="5"/>
  <c r="L2452" i="5" s="1"/>
  <c r="P2452" i="5" s="1"/>
  <c r="K725" i="5"/>
  <c r="L725" i="5" s="1"/>
  <c r="P725" i="5" s="1"/>
  <c r="K818" i="5"/>
  <c r="L818" i="5" s="1"/>
  <c r="P818" i="5" s="1"/>
  <c r="K957" i="5"/>
  <c r="L957" i="5" s="1"/>
  <c r="P957" i="5" s="1"/>
  <c r="K1447" i="5"/>
  <c r="L1447" i="5" s="1"/>
  <c r="P1447" i="5" s="1"/>
  <c r="K2161" i="5"/>
  <c r="L2161" i="5" s="1"/>
  <c r="P2161" i="5" s="1"/>
  <c r="K965" i="5"/>
  <c r="L965" i="5" s="1"/>
  <c r="P965" i="5" s="1"/>
  <c r="K1501" i="5"/>
  <c r="L1501" i="5" s="1"/>
  <c r="P1501" i="5" s="1"/>
  <c r="K2381" i="5"/>
  <c r="L2381" i="5" s="1"/>
  <c r="P2381" i="5" s="1"/>
  <c r="K266" i="5"/>
  <c r="L266" i="5" s="1"/>
  <c r="P266" i="5" s="1"/>
  <c r="K573" i="5"/>
  <c r="L573" i="5" s="1"/>
  <c r="P573" i="5" s="1"/>
  <c r="K626" i="5"/>
  <c r="L626" i="5" s="1"/>
  <c r="P626" i="5" s="1"/>
  <c r="K2404" i="5"/>
  <c r="L2404" i="5" s="1"/>
  <c r="P2404" i="5" s="1"/>
  <c r="K430" i="5"/>
  <c r="L430" i="5" s="1"/>
  <c r="P430" i="5" s="1"/>
  <c r="K904" i="5"/>
  <c r="L904" i="5" s="1"/>
  <c r="P904" i="5" s="1"/>
  <c r="K1704" i="5"/>
  <c r="L1704" i="5" s="1"/>
  <c r="P1704" i="5" s="1"/>
  <c r="K946" i="5"/>
  <c r="L946" i="5" s="1"/>
  <c r="P946" i="5" s="1"/>
  <c r="K1671" i="5"/>
  <c r="L1671" i="5" s="1"/>
  <c r="P1671" i="5" s="1"/>
  <c r="K2010" i="5"/>
  <c r="L2010" i="5" s="1"/>
  <c r="P2010" i="5" s="1"/>
  <c r="K2090" i="5"/>
  <c r="L2090" i="5" s="1"/>
  <c r="P2090" i="5" s="1"/>
  <c r="K2365" i="5"/>
  <c r="L2365" i="5" s="1"/>
  <c r="P2365" i="5" s="1"/>
  <c r="K133" i="5"/>
  <c r="L133" i="5" s="1"/>
  <c r="P133" i="5" s="1"/>
  <c r="K431" i="5"/>
  <c r="L431" i="5" s="1"/>
  <c r="P431" i="5" s="1"/>
  <c r="K1888" i="5"/>
  <c r="L1888" i="5" s="1"/>
  <c r="P1888" i="5" s="1"/>
  <c r="K2032" i="5"/>
  <c r="L2032" i="5" s="1"/>
  <c r="P2032" i="5" s="1"/>
  <c r="K2351" i="5"/>
  <c r="L2351" i="5" s="1"/>
  <c r="P2351" i="5" s="1"/>
  <c r="K422" i="5"/>
  <c r="L422" i="5" s="1"/>
  <c r="P422" i="5" s="1"/>
  <c r="K523" i="5"/>
  <c r="L523" i="5" s="1"/>
  <c r="P523" i="5" s="1"/>
  <c r="K1315" i="5"/>
  <c r="L1315" i="5" s="1"/>
  <c r="P1315" i="5" s="1"/>
  <c r="K1622" i="5"/>
  <c r="L1622" i="5" s="1"/>
  <c r="P1622" i="5" s="1"/>
  <c r="K1936" i="5"/>
  <c r="L1936" i="5" s="1"/>
  <c r="P1936" i="5" s="1"/>
  <c r="K1092" i="5"/>
  <c r="L1092" i="5" s="1"/>
  <c r="P1092" i="5" s="1"/>
  <c r="K1634" i="5"/>
  <c r="L1634" i="5" s="1"/>
  <c r="P1634" i="5" s="1"/>
  <c r="K1886" i="5"/>
  <c r="L1886" i="5" s="1"/>
  <c r="P1886" i="5" s="1"/>
  <c r="K2223" i="5"/>
  <c r="L2223" i="5" s="1"/>
  <c r="P2223" i="5" s="1"/>
  <c r="K86" i="5"/>
  <c r="L86" i="5" s="1"/>
  <c r="P86" i="5" s="1"/>
  <c r="K714" i="5"/>
  <c r="L714" i="5" s="1"/>
  <c r="P714" i="5" s="1"/>
  <c r="K1520" i="5"/>
  <c r="L1520" i="5" s="1"/>
  <c r="P1520" i="5" s="1"/>
  <c r="K135" i="5"/>
  <c r="L135" i="5" s="1"/>
  <c r="P135" i="5" s="1"/>
  <c r="K162" i="5"/>
  <c r="L162" i="5" s="1"/>
  <c r="P162" i="5" s="1"/>
  <c r="K188" i="5"/>
  <c r="L188" i="5" s="1"/>
  <c r="P188" i="5" s="1"/>
  <c r="K1054" i="5"/>
  <c r="L1054" i="5" s="1"/>
  <c r="P1054" i="5" s="1"/>
  <c r="K1346" i="5"/>
  <c r="L1346" i="5" s="1"/>
  <c r="P1346" i="5" s="1"/>
  <c r="K1830" i="5"/>
  <c r="L1830" i="5" s="1"/>
  <c r="P1830" i="5" s="1"/>
  <c r="K1955" i="5"/>
  <c r="L1955" i="5" s="1"/>
  <c r="P1955" i="5" s="1"/>
  <c r="K214" i="5"/>
  <c r="L214" i="5" s="1"/>
  <c r="P214" i="5" s="1"/>
  <c r="K668" i="5"/>
  <c r="L668" i="5" s="1"/>
  <c r="P668" i="5" s="1"/>
  <c r="K915" i="5"/>
  <c r="L915" i="5" s="1"/>
  <c r="P915" i="5" s="1"/>
  <c r="K1207" i="5"/>
  <c r="L1207" i="5" s="1"/>
  <c r="P1207" i="5" s="1"/>
  <c r="K1842" i="5"/>
  <c r="L1842" i="5" s="1"/>
  <c r="P1842" i="5" s="1"/>
  <c r="K2419" i="5"/>
  <c r="L2419" i="5" s="1"/>
  <c r="P2419" i="5" s="1"/>
  <c r="K367" i="5"/>
  <c r="L367" i="5" s="1"/>
  <c r="P367" i="5" s="1"/>
  <c r="K1023" i="5"/>
  <c r="L1023" i="5" s="1"/>
  <c r="P1023" i="5" s="1"/>
  <c r="K76" i="5"/>
  <c r="L76" i="5" s="1"/>
  <c r="P76" i="5" s="1"/>
  <c r="K686" i="5"/>
  <c r="L686" i="5" s="1"/>
  <c r="P686" i="5" s="1"/>
  <c r="K1115" i="5"/>
  <c r="L1115" i="5" s="1"/>
  <c r="P1115" i="5" s="1"/>
  <c r="K2251" i="5"/>
  <c r="L2251" i="5" s="1"/>
  <c r="P2251" i="5" s="1"/>
  <c r="K260" i="5"/>
  <c r="L260" i="5" s="1"/>
  <c r="P260" i="5" s="1"/>
  <c r="K857" i="5"/>
  <c r="L857" i="5" s="1"/>
  <c r="P857" i="5" s="1"/>
  <c r="K1782" i="5"/>
  <c r="L1782" i="5" s="1"/>
  <c r="P1782" i="5" s="1"/>
  <c r="K2448" i="5"/>
  <c r="L2448" i="5" s="1"/>
  <c r="P2448" i="5" s="1"/>
  <c r="K1543" i="5"/>
  <c r="L1543" i="5" s="1"/>
  <c r="P1543" i="5" s="1"/>
  <c r="K1657" i="5"/>
  <c r="L1657" i="5" s="1"/>
  <c r="P1657" i="5" s="1"/>
  <c r="K2345" i="5"/>
  <c r="L2345" i="5" s="1"/>
  <c r="P2345" i="5" s="1"/>
  <c r="K290" i="5"/>
  <c r="L290" i="5" s="1"/>
  <c r="P290" i="5" s="1"/>
  <c r="K889" i="5"/>
  <c r="L889" i="5" s="1"/>
  <c r="P889" i="5" s="1"/>
  <c r="K2037" i="5"/>
  <c r="L2037" i="5" s="1"/>
  <c r="P2037" i="5" s="1"/>
  <c r="K752" i="5"/>
  <c r="L752" i="5" s="1"/>
  <c r="P752" i="5" s="1"/>
  <c r="K1439" i="5"/>
  <c r="L1439" i="5" s="1"/>
  <c r="P1439" i="5" s="1"/>
  <c r="K1461" i="5"/>
  <c r="L1461" i="5" s="1"/>
  <c r="P1461" i="5" s="1"/>
  <c r="K1502" i="5"/>
  <c r="L1502" i="5" s="1"/>
  <c r="P1502" i="5" s="1"/>
  <c r="K1946" i="5"/>
  <c r="L1946" i="5" s="1"/>
  <c r="P1946" i="5" s="1"/>
  <c r="K2232" i="5"/>
  <c r="L2232" i="5" s="1"/>
  <c r="P2232" i="5" s="1"/>
  <c r="K990" i="5"/>
  <c r="L990" i="5" s="1"/>
  <c r="P990" i="5" s="1"/>
  <c r="K1283" i="5"/>
  <c r="L1283" i="5" s="1"/>
  <c r="P1283" i="5" s="1"/>
  <c r="K1831" i="5"/>
  <c r="L1831" i="5" s="1"/>
  <c r="P1831" i="5" s="1"/>
  <c r="K2093" i="5"/>
  <c r="L2093" i="5" s="1"/>
  <c r="P2093" i="5" s="1"/>
  <c r="K35" i="5"/>
  <c r="L35" i="5" s="1"/>
  <c r="P35" i="5" s="1"/>
  <c r="K281" i="5"/>
  <c r="L281" i="5" s="1"/>
  <c r="P281" i="5" s="1"/>
  <c r="K329" i="5"/>
  <c r="L329" i="5" s="1"/>
  <c r="P329" i="5" s="1"/>
  <c r="K531" i="5"/>
  <c r="L531" i="5" s="1"/>
  <c r="P531" i="5" s="1"/>
  <c r="K699" i="5"/>
  <c r="L699" i="5" s="1"/>
  <c r="P699" i="5" s="1"/>
  <c r="K772" i="5"/>
  <c r="L772" i="5" s="1"/>
  <c r="P772" i="5" s="1"/>
  <c r="K1510" i="5"/>
  <c r="L1510" i="5" s="1"/>
  <c r="P1510" i="5" s="1"/>
  <c r="K1528" i="5"/>
  <c r="L1528" i="5" s="1"/>
  <c r="P1528" i="5" s="1"/>
  <c r="K1783" i="5"/>
  <c r="L1783" i="5" s="1"/>
  <c r="P1783" i="5" s="1"/>
  <c r="K813" i="5"/>
  <c r="L813" i="5" s="1"/>
  <c r="P813" i="5" s="1"/>
  <c r="K938" i="5"/>
  <c r="L938" i="5" s="1"/>
  <c r="P938" i="5" s="1"/>
  <c r="K994" i="5"/>
  <c r="L994" i="5" s="1"/>
  <c r="P994" i="5" s="1"/>
  <c r="K1662" i="5"/>
  <c r="L1662" i="5" s="1"/>
  <c r="P1662" i="5" s="1"/>
  <c r="K2296" i="5"/>
  <c r="L2296" i="5" s="1"/>
  <c r="P2296" i="5" s="1"/>
  <c r="K783" i="5"/>
  <c r="L783" i="5" s="1"/>
  <c r="P783" i="5" s="1"/>
  <c r="K906" i="5"/>
  <c r="L906" i="5" s="1"/>
  <c r="P906" i="5" s="1"/>
  <c r="K995" i="5"/>
  <c r="L995" i="5" s="1"/>
  <c r="P995" i="5" s="1"/>
  <c r="K1739" i="5"/>
  <c r="L1739" i="5" s="1"/>
  <c r="P1739" i="5" s="1"/>
  <c r="K57" i="5"/>
  <c r="L57" i="5" s="1"/>
  <c r="P57" i="5" s="1"/>
  <c r="K698" i="5"/>
  <c r="L698" i="5" s="1"/>
  <c r="P698" i="5" s="1"/>
  <c r="K940" i="5"/>
  <c r="L940" i="5" s="1"/>
  <c r="P940" i="5" s="1"/>
  <c r="K2087" i="5"/>
  <c r="L2087" i="5" s="1"/>
  <c r="P2087" i="5" s="1"/>
  <c r="K2108" i="5"/>
  <c r="L2108" i="5" s="1"/>
  <c r="P2108" i="5" s="1"/>
  <c r="K2489" i="5"/>
  <c r="L2489" i="5" s="1"/>
  <c r="P2489" i="5" s="1"/>
  <c r="K354" i="5"/>
  <c r="L354" i="5" s="1"/>
  <c r="P354" i="5" s="1"/>
  <c r="K360" i="5"/>
  <c r="L360" i="5" s="1"/>
  <c r="P360" i="5" s="1"/>
  <c r="K1735" i="5"/>
  <c r="L1735" i="5" s="1"/>
  <c r="P1735" i="5" s="1"/>
  <c r="K1688" i="5"/>
  <c r="L1688" i="5" s="1"/>
  <c r="P1688" i="5" s="1"/>
  <c r="K855" i="5"/>
  <c r="L855" i="5" s="1"/>
  <c r="P855" i="5" s="1"/>
  <c r="K1108" i="5"/>
  <c r="L1108" i="5" s="1"/>
  <c r="P1108" i="5" s="1"/>
  <c r="K1547" i="5"/>
  <c r="L1547" i="5" s="1"/>
  <c r="P1547" i="5" s="1"/>
  <c r="K1598" i="5"/>
  <c r="L1598" i="5" s="1"/>
  <c r="P1598" i="5" s="1"/>
  <c r="K2424" i="5"/>
  <c r="L2424" i="5" s="1"/>
  <c r="P2424" i="5" s="1"/>
  <c r="K723" i="5"/>
  <c r="L723" i="5" s="1"/>
  <c r="P723" i="5" s="1"/>
  <c r="K1132" i="5"/>
  <c r="L1132" i="5" s="1"/>
  <c r="P1132" i="5" s="1"/>
  <c r="K1415" i="5"/>
  <c r="L1415" i="5" s="1"/>
  <c r="P1415" i="5" s="1"/>
  <c r="K2369" i="5"/>
  <c r="L2369" i="5" s="1"/>
  <c r="P2369" i="5" s="1"/>
  <c r="K559" i="5"/>
  <c r="L559" i="5" s="1"/>
  <c r="P559" i="5" s="1"/>
  <c r="K634" i="5"/>
  <c r="L634" i="5" s="1"/>
  <c r="P634" i="5" s="1"/>
  <c r="K1551" i="5"/>
  <c r="L1551" i="5" s="1"/>
  <c r="P1551" i="5" s="1"/>
  <c r="K1899" i="5"/>
  <c r="L1899" i="5" s="1"/>
  <c r="P1899" i="5" s="1"/>
  <c r="K622" i="5"/>
  <c r="L622" i="5" s="1"/>
  <c r="P622" i="5" s="1"/>
  <c r="K2347" i="5"/>
  <c r="L2347" i="5" s="1"/>
  <c r="P2347" i="5" s="1"/>
  <c r="K526" i="5"/>
  <c r="L526" i="5" s="1"/>
  <c r="P526" i="5" s="1"/>
  <c r="K1045" i="5"/>
  <c r="L1045" i="5" s="1"/>
  <c r="P1045" i="5" s="1"/>
  <c r="K1811" i="5"/>
  <c r="L1811" i="5" s="1"/>
  <c r="P1811" i="5" s="1"/>
  <c r="K2356" i="5"/>
  <c r="L2356" i="5" s="1"/>
  <c r="P2356" i="5" s="1"/>
  <c r="K640" i="5"/>
  <c r="L640" i="5" s="1"/>
  <c r="P640" i="5" s="1"/>
  <c r="K1601" i="5"/>
  <c r="L1601" i="5" s="1"/>
  <c r="P1601" i="5" s="1"/>
  <c r="K1801" i="5"/>
  <c r="L1801" i="5" s="1"/>
  <c r="P1801" i="5" s="1"/>
  <c r="K2021" i="5"/>
  <c r="L2021" i="5" s="1"/>
  <c r="P2021" i="5" s="1"/>
  <c r="K2094" i="5"/>
  <c r="L2094" i="5" s="1"/>
  <c r="P2094" i="5" s="1"/>
  <c r="K2165" i="5"/>
  <c r="L2165" i="5" s="1"/>
  <c r="P2165" i="5" s="1"/>
  <c r="K2177" i="5"/>
  <c r="L2177" i="5" s="1"/>
  <c r="P2177" i="5" s="1"/>
  <c r="K92" i="5"/>
  <c r="L92" i="5" s="1"/>
  <c r="P92" i="5" s="1"/>
  <c r="K509" i="5"/>
  <c r="L509" i="5" s="1"/>
  <c r="P509" i="5" s="1"/>
  <c r="K682" i="5"/>
  <c r="L682" i="5" s="1"/>
  <c r="P682" i="5" s="1"/>
  <c r="K1184" i="5"/>
  <c r="L1184" i="5" s="1"/>
  <c r="P1184" i="5" s="1"/>
  <c r="K2194" i="5"/>
  <c r="L2194" i="5" s="1"/>
  <c r="P2194" i="5" s="1"/>
  <c r="K2396" i="5"/>
  <c r="L2396" i="5" s="1"/>
  <c r="P2396" i="5" s="1"/>
  <c r="K1078" i="5"/>
  <c r="L1078" i="5" s="1"/>
  <c r="P1078" i="5" s="1"/>
  <c r="K1119" i="5"/>
  <c r="L1119" i="5" s="1"/>
  <c r="P1119" i="5" s="1"/>
  <c r="K206" i="5"/>
  <c r="L206" i="5" s="1"/>
  <c r="P206" i="5" s="1"/>
  <c r="K416" i="5"/>
  <c r="L416" i="5" s="1"/>
  <c r="P416" i="5" s="1"/>
  <c r="K1161" i="5"/>
  <c r="L1161" i="5" s="1"/>
  <c r="P1161" i="5" s="1"/>
  <c r="K1463" i="5"/>
  <c r="L1463" i="5" s="1"/>
  <c r="P1463" i="5" s="1"/>
  <c r="K1728" i="5"/>
  <c r="L1728" i="5" s="1"/>
  <c r="P1728" i="5" s="1"/>
  <c r="K1961" i="5"/>
  <c r="L1961" i="5" s="1"/>
  <c r="P1961" i="5" s="1"/>
  <c r="K2192" i="5"/>
  <c r="L2192" i="5" s="1"/>
  <c r="P2192" i="5" s="1"/>
  <c r="K55" i="5"/>
  <c r="L55" i="5" s="1"/>
  <c r="P55" i="5" s="1"/>
  <c r="K507" i="5"/>
  <c r="L507" i="5" s="1"/>
  <c r="P507" i="5" s="1"/>
  <c r="K1199" i="5"/>
  <c r="L1199" i="5" s="1"/>
  <c r="P1199" i="5" s="1"/>
  <c r="K1395" i="5"/>
  <c r="L1395" i="5" s="1"/>
  <c r="P1395" i="5" s="1"/>
  <c r="K677" i="5"/>
  <c r="L677" i="5" s="1"/>
  <c r="P677" i="5" s="1"/>
  <c r="K1205" i="5"/>
  <c r="L1205" i="5" s="1"/>
  <c r="P1205" i="5" s="1"/>
  <c r="K1632" i="5"/>
  <c r="L1632" i="5" s="1"/>
  <c r="P1632" i="5" s="1"/>
  <c r="K1651" i="5"/>
  <c r="L1651" i="5" s="1"/>
  <c r="P1651" i="5" s="1"/>
  <c r="K439" i="5"/>
  <c r="L439" i="5" s="1"/>
  <c r="P439" i="5" s="1"/>
  <c r="K852" i="5"/>
  <c r="L852" i="5" s="1"/>
  <c r="P852" i="5" s="1"/>
  <c r="K1505" i="5"/>
  <c r="L1505" i="5" s="1"/>
  <c r="P1505" i="5" s="1"/>
  <c r="K2350" i="5"/>
  <c r="L2350" i="5" s="1"/>
  <c r="P2350" i="5" s="1"/>
  <c r="K231" i="5"/>
  <c r="L231" i="5" s="1"/>
  <c r="P231" i="5" s="1"/>
  <c r="K964" i="5"/>
  <c r="L964" i="5" s="1"/>
  <c r="P964" i="5" s="1"/>
  <c r="K1121" i="5"/>
  <c r="L1121" i="5" s="1"/>
  <c r="P1121" i="5" s="1"/>
  <c r="K1285" i="5"/>
  <c r="L1285" i="5" s="1"/>
  <c r="P1285" i="5" s="1"/>
  <c r="K1519" i="5"/>
  <c r="L1519" i="5" s="1"/>
  <c r="P1519" i="5" s="1"/>
  <c r="K1730" i="5"/>
  <c r="L1730" i="5" s="1"/>
  <c r="P1730" i="5" s="1"/>
  <c r="K1784" i="5"/>
  <c r="L1784" i="5" s="1"/>
  <c r="P1784" i="5" s="1"/>
  <c r="K1925" i="5"/>
  <c r="L1925" i="5" s="1"/>
  <c r="P1925" i="5" s="1"/>
  <c r="K2250" i="5"/>
  <c r="L2250" i="5" s="1"/>
  <c r="P2250" i="5" s="1"/>
  <c r="K380" i="5"/>
  <c r="L380" i="5" s="1"/>
  <c r="P380" i="5" s="1"/>
  <c r="K1319" i="5"/>
  <c r="L1319" i="5" s="1"/>
  <c r="P1319" i="5" s="1"/>
  <c r="K1766" i="5"/>
  <c r="L1766" i="5" s="1"/>
  <c r="P1766" i="5" s="1"/>
  <c r="K1826" i="5"/>
  <c r="L1826" i="5" s="1"/>
  <c r="P1826" i="5" s="1"/>
  <c r="K1828" i="5"/>
  <c r="L1828" i="5" s="1"/>
  <c r="P1828" i="5" s="1"/>
  <c r="K2097" i="5"/>
  <c r="L2097" i="5" s="1"/>
  <c r="P2097" i="5" s="1"/>
  <c r="K645" i="5"/>
  <c r="L645" i="5" s="1"/>
  <c r="P645" i="5" s="1"/>
  <c r="K727" i="5"/>
  <c r="L727" i="5" s="1"/>
  <c r="P727" i="5" s="1"/>
  <c r="K2441" i="5"/>
  <c r="L2441" i="5" s="1"/>
  <c r="P2441" i="5" s="1"/>
  <c r="K661" i="5"/>
  <c r="L661" i="5" s="1"/>
  <c r="P661" i="5" s="1"/>
  <c r="K956" i="5"/>
  <c r="L956" i="5" s="1"/>
  <c r="P956" i="5" s="1"/>
  <c r="K1763" i="5"/>
  <c r="L1763" i="5" s="1"/>
  <c r="P1763" i="5" s="1"/>
  <c r="K87" i="5"/>
  <c r="L87" i="5" s="1"/>
  <c r="P87" i="5" s="1"/>
  <c r="K127" i="5"/>
  <c r="L127" i="5" s="1"/>
  <c r="P127" i="5" s="1"/>
  <c r="K221" i="5"/>
  <c r="L221" i="5" s="1"/>
  <c r="P221" i="5" s="1"/>
  <c r="K389" i="5"/>
  <c r="L389" i="5" s="1"/>
  <c r="P389" i="5" s="1"/>
  <c r="K484" i="5"/>
  <c r="L484" i="5" s="1"/>
  <c r="P484" i="5" s="1"/>
  <c r="K795" i="5"/>
  <c r="L795" i="5" s="1"/>
  <c r="P795" i="5" s="1"/>
  <c r="K943" i="5"/>
  <c r="L943" i="5" s="1"/>
  <c r="P943" i="5" s="1"/>
  <c r="K1664" i="5"/>
  <c r="L1664" i="5" s="1"/>
  <c r="P1664" i="5" s="1"/>
  <c r="K2129" i="5"/>
  <c r="L2129" i="5" s="1"/>
  <c r="P2129" i="5" s="1"/>
  <c r="K2471" i="5"/>
  <c r="L2471" i="5" s="1"/>
  <c r="P2471" i="5" s="1"/>
  <c r="K1491" i="5"/>
  <c r="L1491" i="5" s="1"/>
  <c r="P1491" i="5" s="1"/>
  <c r="K1567" i="5"/>
  <c r="L1567" i="5" s="1"/>
  <c r="P1567" i="5" s="1"/>
  <c r="K2049" i="5"/>
  <c r="L2049" i="5" s="1"/>
  <c r="P2049" i="5" s="1"/>
  <c r="K1297" i="5"/>
  <c r="L1297" i="5" s="1"/>
  <c r="P1297" i="5" s="1"/>
  <c r="K1909" i="5"/>
  <c r="L1909" i="5" s="1"/>
  <c r="P1909" i="5" s="1"/>
  <c r="K2234" i="5"/>
  <c r="L2234" i="5" s="1"/>
  <c r="P2234" i="5" s="1"/>
  <c r="K866" i="5"/>
  <c r="L866" i="5" s="1"/>
  <c r="P866" i="5" s="1"/>
  <c r="K1525" i="5"/>
  <c r="L1525" i="5" s="1"/>
  <c r="P1525" i="5" s="1"/>
  <c r="K1879" i="5"/>
  <c r="L1879" i="5" s="1"/>
  <c r="P1879" i="5" s="1"/>
  <c r="K2042" i="5"/>
  <c r="L2042" i="5" s="1"/>
  <c r="P2042" i="5" s="1"/>
  <c r="K2139" i="5"/>
  <c r="L2139" i="5" s="1"/>
  <c r="P2139" i="5" s="1"/>
  <c r="K298" i="5"/>
  <c r="L298" i="5" s="1"/>
  <c r="P298" i="5" s="1"/>
  <c r="K628" i="5"/>
  <c r="L628" i="5" s="1"/>
  <c r="P628" i="5" s="1"/>
  <c r="K2297" i="5"/>
  <c r="L2297" i="5" s="1"/>
  <c r="P2297" i="5" s="1"/>
  <c r="K2367" i="5"/>
  <c r="L2367" i="5" s="1"/>
  <c r="P2367" i="5" s="1"/>
  <c r="K63" i="5"/>
  <c r="L63" i="5" s="1"/>
  <c r="P63" i="5" s="1"/>
  <c r="K538" i="5"/>
  <c r="L538" i="5" s="1"/>
  <c r="P538" i="5" s="1"/>
  <c r="K814" i="5"/>
  <c r="L814" i="5" s="1"/>
  <c r="P814" i="5" s="1"/>
  <c r="K961" i="5"/>
  <c r="L961" i="5" s="1"/>
  <c r="P961" i="5" s="1"/>
  <c r="K1382" i="5"/>
  <c r="L1382" i="5" s="1"/>
  <c r="P1382" i="5" s="1"/>
  <c r="K1841" i="5"/>
  <c r="L1841" i="5" s="1"/>
  <c r="P1841" i="5" s="1"/>
  <c r="K1972" i="5"/>
  <c r="L1972" i="5" s="1"/>
  <c r="P1972" i="5" s="1"/>
  <c r="K2137" i="5"/>
  <c r="L2137" i="5" s="1"/>
  <c r="P2137" i="5" s="1"/>
  <c r="K425" i="5"/>
  <c r="L425" i="5" s="1"/>
  <c r="P425" i="5" s="1"/>
  <c r="K722" i="5"/>
  <c r="L722" i="5" s="1"/>
  <c r="P722" i="5" s="1"/>
  <c r="K2338" i="5"/>
  <c r="L2338" i="5" s="1"/>
  <c r="P2338" i="5" s="1"/>
  <c r="K1330" i="5"/>
  <c r="L1330" i="5" s="1"/>
  <c r="P1330" i="5" s="1"/>
  <c r="K1522" i="5"/>
  <c r="L1522" i="5" s="1"/>
  <c r="P1522" i="5" s="1"/>
  <c r="K2073" i="5"/>
  <c r="L2073" i="5" s="1"/>
  <c r="P2073" i="5" s="1"/>
  <c r="K2321" i="5"/>
  <c r="L2321" i="5" s="1"/>
  <c r="P2321" i="5" s="1"/>
  <c r="K119" i="5"/>
  <c r="L119" i="5" s="1"/>
  <c r="P119" i="5" s="1"/>
  <c r="K2226" i="5"/>
  <c r="L2226" i="5" s="1"/>
  <c r="P2226" i="5" s="1"/>
  <c r="K823" i="5"/>
  <c r="L823" i="5" s="1"/>
  <c r="P823" i="5" s="1"/>
  <c r="K1541" i="5"/>
  <c r="L1541" i="5" s="1"/>
  <c r="P1541" i="5" s="1"/>
  <c r="K2214" i="5"/>
  <c r="L2214" i="5" s="1"/>
  <c r="P2214" i="5" s="1"/>
  <c r="K222" i="5"/>
  <c r="L222" i="5" s="1"/>
  <c r="P222" i="5" s="1"/>
  <c r="K1123" i="5"/>
  <c r="L1123" i="5" s="1"/>
  <c r="P1123" i="5" s="1"/>
  <c r="K1647" i="5"/>
  <c r="L1647" i="5" s="1"/>
  <c r="P1647" i="5" s="1"/>
  <c r="K2336" i="5"/>
  <c r="L2336" i="5" s="1"/>
  <c r="P2336" i="5" s="1"/>
  <c r="K150" i="5"/>
  <c r="L150" i="5" s="1"/>
  <c r="P150" i="5" s="1"/>
  <c r="K620" i="5"/>
  <c r="L620" i="5" s="1"/>
  <c r="P620" i="5" s="1"/>
  <c r="K652" i="5"/>
  <c r="L652" i="5" s="1"/>
  <c r="P652" i="5" s="1"/>
  <c r="K1112" i="5"/>
  <c r="L1112" i="5" s="1"/>
  <c r="P1112" i="5" s="1"/>
  <c r="K1874" i="5"/>
  <c r="L1874" i="5" s="1"/>
  <c r="P1874" i="5" s="1"/>
  <c r="K1892" i="5"/>
  <c r="L1892" i="5" s="1"/>
  <c r="P1892" i="5" s="1"/>
  <c r="K322" i="5"/>
  <c r="L322" i="5" s="1"/>
  <c r="P322" i="5" s="1"/>
  <c r="K369" i="5"/>
  <c r="L369" i="5" s="1"/>
  <c r="P369" i="5" s="1"/>
  <c r="K374" i="5"/>
  <c r="L374" i="5" s="1"/>
  <c r="P374" i="5" s="1"/>
  <c r="K913" i="5"/>
  <c r="L913" i="5" s="1"/>
  <c r="P913" i="5" s="1"/>
  <c r="K2067" i="5"/>
  <c r="L2067" i="5" s="1"/>
  <c r="P2067" i="5" s="1"/>
  <c r="K250" i="5"/>
  <c r="L250" i="5" s="1"/>
  <c r="P250" i="5" s="1"/>
  <c r="K382" i="5"/>
  <c r="L382" i="5" s="1"/>
  <c r="P382" i="5" s="1"/>
  <c r="K458" i="5"/>
  <c r="L458" i="5" s="1"/>
  <c r="P458" i="5" s="1"/>
  <c r="K863" i="5"/>
  <c r="L863" i="5" s="1"/>
  <c r="P863" i="5" s="1"/>
  <c r="K1464" i="5"/>
  <c r="L1464" i="5" s="1"/>
  <c r="P1464" i="5" s="1"/>
  <c r="K1852" i="5"/>
  <c r="L1852" i="5" s="1"/>
  <c r="P1852" i="5" s="1"/>
  <c r="K2096" i="5"/>
  <c r="L2096" i="5" s="1"/>
  <c r="P2096" i="5" s="1"/>
  <c r="K218" i="5"/>
  <c r="L218" i="5" s="1"/>
  <c r="P218" i="5" s="1"/>
  <c r="K549" i="5"/>
  <c r="L549" i="5" s="1"/>
  <c r="P549" i="5" s="1"/>
  <c r="K1307" i="5"/>
  <c r="L1307" i="5" s="1"/>
  <c r="P1307" i="5" s="1"/>
  <c r="K1976" i="5"/>
  <c r="L1976" i="5" s="1"/>
  <c r="P1976" i="5" s="1"/>
  <c r="K2174" i="5"/>
  <c r="L2174" i="5" s="1"/>
  <c r="P2174" i="5" s="1"/>
  <c r="K91" i="5"/>
  <c r="L91" i="5" s="1"/>
  <c r="P91" i="5" s="1"/>
  <c r="K303" i="5"/>
  <c r="L303" i="5" s="1"/>
  <c r="P303" i="5" s="1"/>
  <c r="K571" i="5"/>
  <c r="L571" i="5" s="1"/>
  <c r="P571" i="5" s="1"/>
  <c r="K697" i="5"/>
  <c r="L697" i="5" s="1"/>
  <c r="P697" i="5" s="1"/>
  <c r="K1345" i="5"/>
  <c r="L1345" i="5" s="1"/>
  <c r="P1345" i="5" s="1"/>
  <c r="K1423" i="5"/>
  <c r="L1423" i="5" s="1"/>
  <c r="P1423" i="5" s="1"/>
  <c r="K1928" i="5"/>
  <c r="L1928" i="5" s="1"/>
  <c r="P1928" i="5" s="1"/>
  <c r="K2366" i="5"/>
  <c r="L2366" i="5" s="1"/>
  <c r="P2366" i="5" s="1"/>
  <c r="K2497" i="5"/>
  <c r="L2497" i="5" s="1"/>
  <c r="P2497" i="5" s="1"/>
  <c r="K24" i="5"/>
  <c r="L24" i="5" s="1"/>
  <c r="P24" i="5" s="1"/>
  <c r="K77" i="5"/>
  <c r="L77" i="5" s="1"/>
  <c r="P77" i="5" s="1"/>
  <c r="K415" i="5"/>
  <c r="L415" i="5" s="1"/>
  <c r="P415" i="5" s="1"/>
  <c r="K609" i="5"/>
  <c r="L609" i="5" s="1"/>
  <c r="P609" i="5" s="1"/>
  <c r="K1082" i="5"/>
  <c r="L1082" i="5" s="1"/>
  <c r="P1082" i="5" s="1"/>
  <c r="K1317" i="5"/>
  <c r="L1317" i="5" s="1"/>
  <c r="P1317" i="5" s="1"/>
  <c r="K1530" i="5"/>
  <c r="L1530" i="5" s="1"/>
  <c r="P1530" i="5" s="1"/>
  <c r="K1918" i="5"/>
  <c r="L1918" i="5" s="1"/>
  <c r="P1918" i="5" s="1"/>
  <c r="K1998" i="5"/>
  <c r="L1998" i="5" s="1"/>
  <c r="P1998" i="5" s="1"/>
  <c r="K937" i="5"/>
  <c r="L937" i="5" s="1"/>
  <c r="P937" i="5" s="1"/>
  <c r="K1470" i="5"/>
  <c r="L1470" i="5" s="1"/>
  <c r="P1470" i="5" s="1"/>
  <c r="K1588" i="5"/>
  <c r="L1588" i="5" s="1"/>
  <c r="P1588" i="5" s="1"/>
  <c r="K2377" i="5"/>
  <c r="L2377" i="5" s="1"/>
  <c r="P2377" i="5" s="1"/>
  <c r="K2485" i="5"/>
  <c r="L2485" i="5" s="1"/>
  <c r="P2485" i="5" s="1"/>
  <c r="K891" i="5"/>
  <c r="L891" i="5" s="1"/>
  <c r="P891" i="5" s="1"/>
  <c r="K2204" i="5"/>
  <c r="L2204" i="5" s="1"/>
  <c r="P2204" i="5" s="1"/>
  <c r="K1478" i="5"/>
  <c r="L1478" i="5" s="1"/>
  <c r="P1478" i="5" s="1"/>
  <c r="K1631" i="5"/>
  <c r="L1631" i="5" s="1"/>
  <c r="P1631" i="5" s="1"/>
  <c r="K1707" i="5"/>
  <c r="L1707" i="5" s="1"/>
  <c r="P1707" i="5" s="1"/>
  <c r="K2235" i="5"/>
  <c r="L2235" i="5" s="1"/>
  <c r="P2235" i="5" s="1"/>
  <c r="K118" i="5"/>
  <c r="L118" i="5" s="1"/>
  <c r="P118" i="5" s="1"/>
  <c r="K508" i="5"/>
  <c r="L508" i="5" s="1"/>
  <c r="P508" i="5" s="1"/>
  <c r="K574" i="5"/>
  <c r="L574" i="5" s="1"/>
  <c r="P574" i="5" s="1"/>
  <c r="K1282" i="5"/>
  <c r="L1282" i="5" s="1"/>
  <c r="P1282" i="5" s="1"/>
  <c r="K1292" i="5"/>
  <c r="L1292" i="5" s="1"/>
  <c r="P1292" i="5" s="1"/>
  <c r="K950" i="5"/>
  <c r="L950" i="5" s="1"/>
  <c r="P950" i="5" s="1"/>
  <c r="K1174" i="5"/>
  <c r="L1174" i="5" s="1"/>
  <c r="P1174" i="5" s="1"/>
  <c r="K1213" i="5"/>
  <c r="L1213" i="5" s="1"/>
  <c r="P1213" i="5" s="1"/>
  <c r="K1856" i="5"/>
  <c r="L1856" i="5" s="1"/>
  <c r="P1856" i="5" s="1"/>
  <c r="K2154" i="5"/>
  <c r="L2154" i="5" s="1"/>
  <c r="P2154" i="5" s="1"/>
  <c r="K177" i="5"/>
  <c r="L177" i="5" s="1"/>
  <c r="P177" i="5" s="1"/>
  <c r="K429" i="5"/>
  <c r="L429" i="5" s="1"/>
  <c r="P429" i="5" s="1"/>
  <c r="K518" i="5"/>
  <c r="L518" i="5" s="1"/>
  <c r="P518" i="5" s="1"/>
  <c r="K1005" i="5"/>
  <c r="L1005" i="5" s="1"/>
  <c r="P1005" i="5" s="1"/>
  <c r="K302" i="5"/>
  <c r="L302" i="5" s="1"/>
  <c r="P302" i="5" s="1"/>
  <c r="K666" i="5"/>
  <c r="L666" i="5" s="1"/>
  <c r="P666" i="5" s="1"/>
  <c r="K2169" i="5"/>
  <c r="L2169" i="5" s="1"/>
  <c r="P2169" i="5" s="1"/>
  <c r="K443" i="5"/>
  <c r="L443" i="5" s="1"/>
  <c r="P443" i="5" s="1"/>
  <c r="K662" i="5"/>
  <c r="L662" i="5" s="1"/>
  <c r="P662" i="5" s="1"/>
  <c r="K711" i="5"/>
  <c r="L711" i="5" s="1"/>
  <c r="P711" i="5" s="1"/>
  <c r="K1021" i="5"/>
  <c r="L1021" i="5" s="1"/>
  <c r="P1021" i="5" s="1"/>
  <c r="K2062" i="5"/>
  <c r="L2062" i="5" s="1"/>
  <c r="P2062" i="5" s="1"/>
  <c r="K2242" i="5"/>
  <c r="L2242" i="5" s="1"/>
  <c r="P2242" i="5" s="1"/>
  <c r="K39" i="5"/>
  <c r="L39" i="5" s="1"/>
  <c r="P39" i="5" s="1"/>
  <c r="K197" i="5"/>
  <c r="L197" i="5" s="1"/>
  <c r="P197" i="5" s="1"/>
  <c r="K546" i="5"/>
  <c r="L546" i="5" s="1"/>
  <c r="P546" i="5" s="1"/>
  <c r="K1421" i="5"/>
  <c r="L1421" i="5" s="1"/>
  <c r="P1421" i="5" s="1"/>
  <c r="K1765" i="5"/>
  <c r="L1765" i="5" s="1"/>
  <c r="P1765" i="5" s="1"/>
  <c r="K50" i="5"/>
  <c r="L50" i="5" s="1"/>
  <c r="P50" i="5" s="1"/>
  <c r="K614" i="5"/>
  <c r="L614" i="5" s="1"/>
  <c r="P614" i="5" s="1"/>
  <c r="K717" i="5"/>
  <c r="L717" i="5" s="1"/>
  <c r="P717" i="5" s="1"/>
  <c r="K742" i="5"/>
  <c r="L742" i="5" s="1"/>
  <c r="P742" i="5" s="1"/>
  <c r="K802" i="5"/>
  <c r="L802" i="5" s="1"/>
  <c r="P802" i="5" s="1"/>
  <c r="K983" i="5"/>
  <c r="L983" i="5" s="1"/>
  <c r="P983" i="5" s="1"/>
  <c r="K1065" i="5"/>
  <c r="L1065" i="5" s="1"/>
  <c r="P1065" i="5" s="1"/>
  <c r="K1208" i="5"/>
  <c r="L1208" i="5" s="1"/>
  <c r="P1208" i="5" s="1"/>
  <c r="K1650" i="5"/>
  <c r="L1650" i="5" s="1"/>
  <c r="P1650" i="5" s="1"/>
  <c r="K379" i="5"/>
  <c r="L379" i="5" s="1"/>
  <c r="P379" i="5" s="1"/>
  <c r="K437" i="5"/>
  <c r="L437" i="5" s="1"/>
  <c r="P437" i="5" s="1"/>
  <c r="K1084" i="5"/>
  <c r="L1084" i="5" s="1"/>
  <c r="P1084" i="5" s="1"/>
  <c r="K1284" i="5"/>
  <c r="L1284" i="5" s="1"/>
  <c r="P1284" i="5" s="1"/>
  <c r="K315" i="5"/>
  <c r="L315" i="5" s="1"/>
  <c r="P315" i="5" s="1"/>
  <c r="K600" i="5"/>
  <c r="L600" i="5" s="1"/>
  <c r="P600" i="5" s="1"/>
  <c r="K716" i="5"/>
  <c r="L716" i="5" s="1"/>
  <c r="P716" i="5" s="1"/>
  <c r="K844" i="5"/>
  <c r="L844" i="5" s="1"/>
  <c r="P844" i="5" s="1"/>
  <c r="K885" i="5"/>
  <c r="L885" i="5" s="1"/>
  <c r="P885" i="5" s="1"/>
  <c r="K1882" i="5"/>
  <c r="L1882" i="5" s="1"/>
  <c r="P1882" i="5" s="1"/>
  <c r="K326" i="5"/>
  <c r="L326" i="5" s="1"/>
  <c r="P326" i="5" s="1"/>
  <c r="K899" i="5"/>
  <c r="L899" i="5" s="1"/>
  <c r="P899" i="5" s="1"/>
  <c r="K1392" i="5"/>
  <c r="L1392" i="5" s="1"/>
  <c r="P1392" i="5" s="1"/>
  <c r="K1745" i="5"/>
  <c r="L1745" i="5" s="1"/>
  <c r="P1745" i="5" s="1"/>
  <c r="K1759" i="5"/>
  <c r="L1759" i="5" s="1"/>
  <c r="P1759" i="5" s="1"/>
  <c r="K1786" i="5"/>
  <c r="L1786" i="5" s="1"/>
  <c r="P1786" i="5" s="1"/>
  <c r="K578" i="5"/>
  <c r="L578" i="5" s="1"/>
  <c r="P578" i="5" s="1"/>
  <c r="K761" i="5"/>
  <c r="L761" i="5" s="1"/>
  <c r="P761" i="5" s="1"/>
  <c r="K1136" i="5"/>
  <c r="L1136" i="5" s="1"/>
  <c r="P1136" i="5" s="1"/>
  <c r="K1338" i="5"/>
  <c r="L1338" i="5" s="1"/>
  <c r="P1338" i="5" s="1"/>
  <c r="K1818" i="5"/>
  <c r="L1818" i="5" s="1"/>
  <c r="P1818" i="5" s="1"/>
  <c r="K190" i="5"/>
  <c r="L190" i="5" s="1"/>
  <c r="P190" i="5" s="1"/>
  <c r="K253" i="5"/>
  <c r="L253" i="5" s="1"/>
  <c r="P253" i="5" s="1"/>
  <c r="K417" i="5"/>
  <c r="L417" i="5" s="1"/>
  <c r="P417" i="5" s="1"/>
  <c r="K2246" i="5"/>
  <c r="L2246" i="5" s="1"/>
  <c r="P2246" i="5" s="1"/>
  <c r="K1429" i="5"/>
  <c r="L1429" i="5" s="1"/>
  <c r="P1429" i="5" s="1"/>
  <c r="K1203" i="5"/>
  <c r="L1203" i="5" s="1"/>
  <c r="P1203" i="5" s="1"/>
  <c r="K2328" i="5"/>
  <c r="L2328" i="5" s="1"/>
  <c r="P2328" i="5" s="1"/>
  <c r="K216" i="5"/>
  <c r="L216" i="5" s="1"/>
  <c r="P216" i="5" s="1"/>
  <c r="K1178" i="5"/>
  <c r="L1178" i="5" s="1"/>
  <c r="P1178" i="5" s="1"/>
  <c r="K1624" i="5"/>
  <c r="L1624" i="5" s="1"/>
  <c r="P1624" i="5" s="1"/>
  <c r="K1894" i="5"/>
  <c r="L1894" i="5" s="1"/>
  <c r="P1894" i="5" s="1"/>
  <c r="K1960" i="5"/>
  <c r="L1960" i="5" s="1"/>
  <c r="P1960" i="5" s="1"/>
  <c r="K587" i="5"/>
  <c r="L587" i="5" s="1"/>
  <c r="P587" i="5" s="1"/>
  <c r="K1318" i="5"/>
  <c r="L1318" i="5" s="1"/>
  <c r="P1318" i="5" s="1"/>
  <c r="K1799" i="5"/>
  <c r="L1799" i="5" s="1"/>
  <c r="P1799" i="5" s="1"/>
  <c r="K858" i="5"/>
  <c r="L858" i="5" s="1"/>
  <c r="P858" i="5" s="1"/>
  <c r="K1030" i="5"/>
  <c r="L1030" i="5" s="1"/>
  <c r="P1030" i="5" s="1"/>
  <c r="K1218" i="5"/>
  <c r="L1218" i="5" s="1"/>
  <c r="P1218" i="5" s="1"/>
  <c r="K1626" i="5"/>
  <c r="L1626" i="5" s="1"/>
  <c r="P1626" i="5" s="1"/>
  <c r="K2121" i="5"/>
  <c r="L2121" i="5" s="1"/>
  <c r="P2121" i="5" s="1"/>
  <c r="K2222" i="5"/>
  <c r="L2222" i="5" s="1"/>
  <c r="P2222" i="5" s="1"/>
  <c r="K2324" i="5"/>
  <c r="L2324" i="5" s="1"/>
  <c r="P2324" i="5" s="1"/>
  <c r="K2425" i="5"/>
  <c r="L2425" i="5" s="1"/>
  <c r="P2425" i="5" s="1"/>
  <c r="K832" i="5"/>
  <c r="L832" i="5" s="1"/>
  <c r="P832" i="5" s="1"/>
  <c r="K1098" i="5"/>
  <c r="L1098" i="5" s="1"/>
  <c r="P1098" i="5" s="1"/>
  <c r="K1296" i="5"/>
  <c r="L1296" i="5" s="1"/>
  <c r="P1296" i="5" s="1"/>
  <c r="K1432" i="5"/>
  <c r="L1432" i="5" s="1"/>
  <c r="P1432" i="5" s="1"/>
  <c r="K1462" i="5"/>
  <c r="L1462" i="5" s="1"/>
  <c r="P1462" i="5" s="1"/>
  <c r="K420" i="5"/>
  <c r="L420" i="5" s="1"/>
  <c r="P420" i="5" s="1"/>
  <c r="K790" i="5"/>
  <c r="L790" i="5" s="1"/>
  <c r="P790" i="5" s="1"/>
  <c r="K872" i="5"/>
  <c r="L872" i="5" s="1"/>
  <c r="P872" i="5" s="1"/>
  <c r="K1406" i="5"/>
  <c r="L1406" i="5" s="1"/>
  <c r="P1406" i="5" s="1"/>
  <c r="K1455" i="5"/>
  <c r="L1455" i="5" s="1"/>
  <c r="P1455" i="5" s="1"/>
  <c r="K2047" i="5"/>
  <c r="L2047" i="5" s="1"/>
  <c r="P2047" i="5" s="1"/>
  <c r="K2480" i="5"/>
  <c r="L2480" i="5" s="1"/>
  <c r="P2480" i="5" s="1"/>
  <c r="K2499" i="5"/>
  <c r="L2499" i="5" s="1"/>
  <c r="P2499" i="5" s="1"/>
  <c r="K414" i="5"/>
  <c r="L414" i="5" s="1"/>
  <c r="P414" i="5" s="1"/>
  <c r="K610" i="5"/>
  <c r="L610" i="5" s="1"/>
  <c r="P610" i="5" s="1"/>
  <c r="K1596" i="5"/>
  <c r="L1596" i="5" s="1"/>
  <c r="P1596" i="5" s="1"/>
  <c r="K1875" i="5"/>
  <c r="L1875" i="5" s="1"/>
  <c r="P1875" i="5" s="1"/>
  <c r="K1962" i="5"/>
  <c r="L1962" i="5" s="1"/>
  <c r="P1962" i="5" s="1"/>
  <c r="K2322" i="5"/>
  <c r="L2322" i="5" s="1"/>
  <c r="P2322" i="5" s="1"/>
  <c r="K468" i="5"/>
  <c r="L468" i="5" s="1"/>
  <c r="P468" i="5" s="1"/>
  <c r="K1460" i="5"/>
  <c r="L1460" i="5" s="1"/>
  <c r="P1460" i="5" s="1"/>
  <c r="K180" i="5"/>
  <c r="L180" i="5" s="1"/>
  <c r="P180" i="5" s="1"/>
  <c r="K569" i="5"/>
  <c r="L569" i="5" s="1"/>
  <c r="P569" i="5" s="1"/>
  <c r="K696" i="5"/>
  <c r="L696" i="5" s="1"/>
  <c r="P696" i="5" s="1"/>
  <c r="K707" i="5"/>
  <c r="L707" i="5" s="1"/>
  <c r="P707" i="5" s="1"/>
  <c r="K1131" i="5"/>
  <c r="L1131" i="5" s="1"/>
  <c r="P1131" i="5" s="1"/>
  <c r="K2092" i="5"/>
  <c r="L2092" i="5" s="1"/>
  <c r="P2092" i="5" s="1"/>
  <c r="K2103" i="5"/>
  <c r="L2103" i="5" s="1"/>
  <c r="P2103" i="5" s="1"/>
  <c r="K785" i="5"/>
  <c r="L785" i="5" s="1"/>
  <c r="P785" i="5" s="1"/>
  <c r="K1064" i="5"/>
  <c r="L1064" i="5" s="1"/>
  <c r="P1064" i="5" s="1"/>
  <c r="K1493" i="5"/>
  <c r="L1493" i="5" s="1"/>
  <c r="P1493" i="5" s="1"/>
  <c r="K1935" i="5"/>
  <c r="L1935" i="5" s="1"/>
  <c r="P1935" i="5" s="1"/>
  <c r="K575" i="5"/>
  <c r="L575" i="5" s="1"/>
  <c r="P575" i="5" s="1"/>
  <c r="K1513" i="5"/>
  <c r="L1513" i="5" s="1"/>
  <c r="P1513" i="5" s="1"/>
  <c r="K2387" i="5"/>
  <c r="L2387" i="5" s="1"/>
  <c r="P2387" i="5" s="1"/>
  <c r="K1357" i="5"/>
  <c r="L1357" i="5" s="1"/>
  <c r="P1357" i="5" s="1"/>
  <c r="K1400" i="5"/>
  <c r="L1400" i="5" s="1"/>
  <c r="P1400" i="5" s="1"/>
  <c r="K21" i="5"/>
  <c r="L21" i="5" s="1"/>
  <c r="P21" i="5" s="1"/>
  <c r="K390" i="5"/>
  <c r="L390" i="5" s="1"/>
  <c r="P390" i="5" s="1"/>
  <c r="K1264" i="5"/>
  <c r="L1264" i="5" s="1"/>
  <c r="P1264" i="5" s="1"/>
  <c r="K1487" i="5"/>
  <c r="L1487" i="5" s="1"/>
  <c r="P1487" i="5" s="1"/>
  <c r="K1724" i="5"/>
  <c r="L1724" i="5" s="1"/>
  <c r="P1724" i="5" s="1"/>
  <c r="K1949" i="5"/>
  <c r="L1949" i="5" s="1"/>
  <c r="P1949" i="5" s="1"/>
  <c r="K2384" i="5"/>
  <c r="L2384" i="5" s="1"/>
  <c r="P2384" i="5" s="1"/>
  <c r="K550" i="5"/>
  <c r="L550" i="5" s="1"/>
  <c r="P550" i="5" s="1"/>
  <c r="K740" i="5"/>
  <c r="L740" i="5" s="1"/>
  <c r="P740" i="5" s="1"/>
  <c r="K924" i="5"/>
  <c r="L924" i="5" s="1"/>
  <c r="P924" i="5" s="1"/>
  <c r="K1255" i="5"/>
  <c r="L1255" i="5" s="1"/>
  <c r="P1255" i="5" s="1"/>
  <c r="K1880" i="5"/>
  <c r="L1880" i="5" s="1"/>
  <c r="P1880" i="5" s="1"/>
  <c r="K1883" i="5"/>
  <c r="L1883" i="5" s="1"/>
  <c r="P1883" i="5" s="1"/>
  <c r="K2237" i="5"/>
  <c r="L2237" i="5" s="1"/>
  <c r="P2237" i="5" s="1"/>
  <c r="K49" i="5"/>
  <c r="L49" i="5" s="1"/>
  <c r="P49" i="5" s="1"/>
  <c r="K556" i="5"/>
  <c r="L556" i="5" s="1"/>
  <c r="P556" i="5" s="1"/>
  <c r="K2126" i="5"/>
  <c r="L2126" i="5" s="1"/>
  <c r="P2126" i="5" s="1"/>
  <c r="K1206" i="5"/>
  <c r="L1206" i="5" s="1"/>
  <c r="P1206" i="5" s="1"/>
  <c r="K1823" i="5"/>
  <c r="L1823" i="5" s="1"/>
  <c r="P1823" i="5" s="1"/>
  <c r="K2033" i="5"/>
  <c r="L2033" i="5" s="1"/>
  <c r="P2033" i="5" s="1"/>
  <c r="K67" i="5"/>
  <c r="L67" i="5" s="1"/>
  <c r="P67" i="5" s="1"/>
  <c r="K244" i="5"/>
  <c r="L244" i="5" s="1"/>
  <c r="P244" i="5" s="1"/>
  <c r="K463" i="5"/>
  <c r="L463" i="5" s="1"/>
  <c r="P463" i="5" s="1"/>
  <c r="K1217" i="5"/>
  <c r="L1217" i="5" s="1"/>
  <c r="P1217" i="5" s="1"/>
  <c r="K1555" i="5"/>
  <c r="L1555" i="5" s="1"/>
  <c r="P1555" i="5" s="1"/>
  <c r="K353" i="5"/>
  <c r="L353" i="5" s="1"/>
  <c r="P353" i="5" s="1"/>
  <c r="K1254" i="5"/>
  <c r="L1254" i="5" s="1"/>
  <c r="P1254" i="5" s="1"/>
  <c r="K1278" i="5"/>
  <c r="L1278" i="5" s="1"/>
  <c r="P1278" i="5" s="1"/>
  <c r="K1910" i="5"/>
  <c r="L1910" i="5" s="1"/>
  <c r="P1910" i="5" s="1"/>
  <c r="K779" i="5"/>
  <c r="L779" i="5" s="1"/>
  <c r="P779" i="5" s="1"/>
  <c r="K1749" i="5"/>
  <c r="L1749" i="5" s="1"/>
  <c r="P1749" i="5" s="1"/>
  <c r="K1933" i="5"/>
  <c r="L1933" i="5" s="1"/>
  <c r="P1933" i="5" s="1"/>
  <c r="K2197" i="5"/>
  <c r="L2197" i="5" s="1"/>
  <c r="P2197" i="5" s="1"/>
  <c r="K309" i="5"/>
  <c r="L309" i="5" s="1"/>
  <c r="P309" i="5" s="1"/>
  <c r="K689" i="5"/>
  <c r="L689" i="5" s="1"/>
  <c r="P689" i="5" s="1"/>
  <c r="K1308" i="5"/>
  <c r="L1308" i="5" s="1"/>
  <c r="P1308" i="5" s="1"/>
  <c r="K2023" i="5"/>
  <c r="L2023" i="5" s="1"/>
  <c r="P2023" i="5" s="1"/>
  <c r="K658" i="5"/>
  <c r="L658" i="5" s="1"/>
  <c r="P658" i="5" s="1"/>
  <c r="K869" i="5"/>
  <c r="L869" i="5" s="1"/>
  <c r="P869" i="5" s="1"/>
  <c r="K1350" i="5"/>
  <c r="L1350" i="5" s="1"/>
  <c r="P1350" i="5" s="1"/>
  <c r="K1614" i="5"/>
  <c r="L1614" i="5" s="1"/>
  <c r="P1614" i="5" s="1"/>
  <c r="K26" i="5"/>
  <c r="L26" i="5" s="1"/>
  <c r="P26" i="5" s="1"/>
  <c r="K599" i="5"/>
  <c r="L599" i="5" s="1"/>
  <c r="P599" i="5" s="1"/>
  <c r="K1844" i="5"/>
  <c r="L1844" i="5" s="1"/>
  <c r="P1844" i="5" s="1"/>
  <c r="K1922" i="5"/>
  <c r="L1922" i="5" s="1"/>
  <c r="P1922" i="5" s="1"/>
  <c r="K397" i="5"/>
  <c r="L397" i="5" s="1"/>
  <c r="P397" i="5" s="1"/>
  <c r="K542" i="5"/>
  <c r="L542" i="5" s="1"/>
  <c r="P542" i="5" s="1"/>
  <c r="K2195" i="5"/>
  <c r="L2195" i="5" s="1"/>
  <c r="P2195" i="5" s="1"/>
  <c r="K2418" i="5"/>
  <c r="L2418" i="5" s="1"/>
  <c r="P2418" i="5" s="1"/>
  <c r="K1805" i="5"/>
  <c r="L1805" i="5" s="1"/>
  <c r="P1805" i="5" s="1"/>
  <c r="K1847" i="5"/>
  <c r="L1847" i="5" s="1"/>
  <c r="P1847" i="5" s="1"/>
  <c r="K2088" i="5"/>
  <c r="L2088" i="5" s="1"/>
  <c r="P2088" i="5" s="1"/>
  <c r="K2359" i="5"/>
  <c r="L2359" i="5" s="1"/>
  <c r="P2359" i="5" s="1"/>
  <c r="K2465" i="5"/>
  <c r="L2465" i="5" s="1"/>
  <c r="P2465" i="5" s="1"/>
  <c r="K291" i="5"/>
  <c r="L291" i="5" s="1"/>
  <c r="P291" i="5" s="1"/>
  <c r="K471" i="5"/>
  <c r="L471" i="5" s="1"/>
  <c r="P471" i="5" s="1"/>
  <c r="K838" i="5"/>
  <c r="L838" i="5" s="1"/>
  <c r="P838" i="5" s="1"/>
  <c r="K877" i="5"/>
  <c r="L877" i="5" s="1"/>
  <c r="P877" i="5" s="1"/>
  <c r="K985" i="5"/>
  <c r="L985" i="5" s="1"/>
  <c r="P985" i="5" s="1"/>
  <c r="K1402" i="5"/>
  <c r="L1402" i="5" s="1"/>
  <c r="P1402" i="5" s="1"/>
  <c r="K2084" i="5"/>
  <c r="L2084" i="5" s="1"/>
  <c r="P2084" i="5" s="1"/>
  <c r="K2361" i="5"/>
  <c r="L2361" i="5" s="1"/>
  <c r="P2361" i="5" s="1"/>
  <c r="K770" i="5"/>
  <c r="L770" i="5" s="1"/>
  <c r="P770" i="5" s="1"/>
  <c r="K1565" i="5"/>
  <c r="L1565" i="5" s="1"/>
  <c r="P1565" i="5" s="1"/>
  <c r="K1795" i="5"/>
  <c r="L1795" i="5" s="1"/>
  <c r="P1795" i="5" s="1"/>
  <c r="K2017" i="5"/>
  <c r="L2017" i="5" s="1"/>
  <c r="P2017" i="5" s="1"/>
  <c r="K2102" i="5"/>
  <c r="L2102" i="5" s="1"/>
  <c r="P2102" i="5" s="1"/>
  <c r="K2408" i="5"/>
  <c r="L2408" i="5" s="1"/>
  <c r="P2408" i="5" s="1"/>
  <c r="K410" i="5"/>
  <c r="L410" i="5" s="1"/>
  <c r="P410" i="5" s="1"/>
  <c r="K445" i="5"/>
  <c r="L445" i="5" s="1"/>
  <c r="P445" i="5" s="1"/>
  <c r="K1820" i="5"/>
  <c r="L1820" i="5" s="1"/>
  <c r="P1820" i="5" s="1"/>
  <c r="K2293" i="5"/>
  <c r="L2293" i="5" s="1"/>
  <c r="P2293" i="5" s="1"/>
  <c r="K38" i="5"/>
  <c r="L38" i="5" s="1"/>
  <c r="P38" i="5" s="1"/>
  <c r="K213" i="5"/>
  <c r="L213" i="5" s="1"/>
  <c r="P213" i="5" s="1"/>
  <c r="K824" i="5"/>
  <c r="L824" i="5" s="1"/>
  <c r="P824" i="5" s="1"/>
  <c r="K1110" i="5"/>
  <c r="L1110" i="5" s="1"/>
  <c r="P1110" i="5" s="1"/>
  <c r="K1187" i="5"/>
  <c r="L1187" i="5" s="1"/>
  <c r="P1187" i="5" s="1"/>
  <c r="K1507" i="5"/>
  <c r="L1507" i="5" s="1"/>
  <c r="P1507" i="5" s="1"/>
  <c r="K1990" i="5"/>
  <c r="L1990" i="5" s="1"/>
  <c r="P1990" i="5" s="1"/>
  <c r="K2395" i="5"/>
  <c r="L2395" i="5" s="1"/>
  <c r="P2395" i="5" s="1"/>
  <c r="K1490" i="5"/>
  <c r="L1490" i="5" s="1"/>
  <c r="P1490" i="5" s="1"/>
  <c r="K1639" i="5"/>
  <c r="L1639" i="5" s="1"/>
  <c r="P1639" i="5" s="1"/>
  <c r="K2252" i="5"/>
  <c r="L2252" i="5" s="1"/>
  <c r="P2252" i="5" s="1"/>
  <c r="K1557" i="5"/>
  <c r="L1557" i="5" s="1"/>
  <c r="P1557" i="5" s="1"/>
  <c r="K1674" i="5"/>
  <c r="L1674" i="5" s="1"/>
  <c r="P1674" i="5" s="1"/>
  <c r="K1924" i="5"/>
  <c r="L1924" i="5" s="1"/>
  <c r="P1924" i="5" s="1"/>
  <c r="K19" i="5"/>
  <c r="L19" i="5" s="1"/>
  <c r="P19" i="5" s="1"/>
  <c r="K261" i="5"/>
  <c r="L261" i="5" s="1"/>
  <c r="P261" i="5" s="1"/>
  <c r="K619" i="5"/>
  <c r="L619" i="5" s="1"/>
  <c r="P619" i="5" s="1"/>
  <c r="K787" i="5"/>
  <c r="L787" i="5" s="1"/>
  <c r="P787" i="5" s="1"/>
  <c r="K1186" i="5"/>
  <c r="L1186" i="5" s="1"/>
  <c r="P1186" i="5" s="1"/>
  <c r="K532" i="5"/>
  <c r="L532" i="5" s="1"/>
  <c r="P532" i="5" s="1"/>
  <c r="K616" i="5"/>
  <c r="L616" i="5" s="1"/>
  <c r="P616" i="5" s="1"/>
  <c r="K1100" i="5"/>
  <c r="L1100" i="5" s="1"/>
  <c r="P1100" i="5" s="1"/>
  <c r="K1177" i="5"/>
  <c r="L1177" i="5" s="1"/>
  <c r="P1177" i="5" s="1"/>
  <c r="K1527" i="5"/>
  <c r="L1527" i="5" s="1"/>
  <c r="P1527" i="5" s="1"/>
  <c r="K2122" i="5"/>
  <c r="L2122" i="5" s="1"/>
  <c r="P2122" i="5" s="1"/>
  <c r="K2467" i="5"/>
  <c r="L2467" i="5" s="1"/>
  <c r="P2467" i="5" s="1"/>
  <c r="K1024" i="5"/>
  <c r="L1024" i="5" s="1"/>
  <c r="P1024" i="5" s="1"/>
  <c r="K1575" i="5"/>
  <c r="L1575" i="5" s="1"/>
  <c r="P1575" i="5" s="1"/>
  <c r="K1889" i="5"/>
  <c r="L1889" i="5" s="1"/>
  <c r="P1889" i="5" s="1"/>
  <c r="K1263" i="5"/>
  <c r="L1263" i="5" s="1"/>
  <c r="P1263" i="5" s="1"/>
  <c r="K1333" i="5"/>
  <c r="L1333" i="5" s="1"/>
  <c r="P1333" i="5" s="1"/>
  <c r="K125" i="5"/>
  <c r="L125" i="5" s="1"/>
  <c r="P125" i="5" s="1"/>
  <c r="K131" i="5"/>
  <c r="L131" i="5" s="1"/>
  <c r="P131" i="5" s="1"/>
  <c r="K339" i="5"/>
  <c r="L339" i="5" s="1"/>
  <c r="P339" i="5" s="1"/>
  <c r="K632" i="5"/>
  <c r="L632" i="5" s="1"/>
  <c r="P632" i="5" s="1"/>
  <c r="K1968" i="5"/>
  <c r="L1968" i="5" s="1"/>
  <c r="P1968" i="5" s="1"/>
  <c r="K2141" i="5"/>
  <c r="L2141" i="5" s="1"/>
  <c r="P2141" i="5" s="1"/>
  <c r="K2335" i="5"/>
  <c r="L2335" i="5" s="1"/>
  <c r="P2335" i="5" s="1"/>
  <c r="K80" i="5"/>
  <c r="L80" i="5" s="1"/>
  <c r="P80" i="5" s="1"/>
  <c r="K1365" i="5"/>
  <c r="L1365" i="5" s="1"/>
  <c r="P1365" i="5" s="1"/>
  <c r="K2039" i="5"/>
  <c r="L2039" i="5" s="1"/>
  <c r="P2039" i="5" s="1"/>
  <c r="K2179" i="5"/>
  <c r="L2179" i="5" s="1"/>
  <c r="P2179" i="5" s="1"/>
  <c r="K2352" i="5"/>
  <c r="L2352" i="5" s="1"/>
  <c r="P2352" i="5" s="1"/>
  <c r="K115" i="5"/>
  <c r="L115" i="5" s="1"/>
  <c r="P115" i="5" s="1"/>
  <c r="K178" i="5"/>
  <c r="L178" i="5" s="1"/>
  <c r="P178" i="5" s="1"/>
  <c r="K224" i="5"/>
  <c r="L224" i="5" s="1"/>
  <c r="P224" i="5" s="1"/>
  <c r="K461" i="5"/>
  <c r="L461" i="5" s="1"/>
  <c r="P461" i="5" s="1"/>
  <c r="K972" i="5"/>
  <c r="L972" i="5" s="1"/>
  <c r="P972" i="5" s="1"/>
  <c r="K1332" i="5"/>
  <c r="L1332" i="5" s="1"/>
  <c r="P1332" i="5" s="1"/>
  <c r="K2040" i="5"/>
  <c r="L2040" i="5" s="1"/>
  <c r="P2040" i="5" s="1"/>
  <c r="K88" i="5"/>
  <c r="L88" i="5" s="1"/>
  <c r="P88" i="5" s="1"/>
  <c r="K126" i="5"/>
  <c r="L126" i="5" s="1"/>
  <c r="P126" i="5" s="1"/>
  <c r="K586" i="5"/>
  <c r="L586" i="5" s="1"/>
  <c r="P586" i="5" s="1"/>
  <c r="K1231" i="5"/>
  <c r="L1231" i="5" s="1"/>
  <c r="P1231" i="5" s="1"/>
  <c r="K1479" i="5"/>
  <c r="L1479" i="5" s="1"/>
  <c r="P1479" i="5" s="1"/>
  <c r="K1904" i="5"/>
  <c r="L1904" i="5" s="1"/>
  <c r="P1904" i="5" s="1"/>
  <c r="K320" i="5"/>
  <c r="L320" i="5" s="1"/>
  <c r="P320" i="5" s="1"/>
  <c r="K396" i="5"/>
  <c r="L396" i="5" s="1"/>
  <c r="P396" i="5" s="1"/>
  <c r="K692" i="5"/>
  <c r="L692" i="5" s="1"/>
  <c r="P692" i="5" s="1"/>
  <c r="K1149" i="5"/>
  <c r="L1149" i="5" s="1"/>
  <c r="P1149" i="5" s="1"/>
  <c r="K1544" i="5"/>
  <c r="L1544" i="5" s="1"/>
  <c r="P1544" i="5" s="1"/>
  <c r="K2238" i="5"/>
  <c r="L2238" i="5" s="1"/>
  <c r="P2238" i="5" s="1"/>
  <c r="K94" i="5"/>
  <c r="L94" i="5" s="1"/>
  <c r="P94" i="5" s="1"/>
  <c r="K888" i="5"/>
  <c r="L888" i="5" s="1"/>
  <c r="P888" i="5" s="1"/>
  <c r="K1837" i="5"/>
  <c r="L1837" i="5" s="1"/>
  <c r="P1837" i="5" s="1"/>
  <c r="K2402" i="5"/>
  <c r="L2402" i="5" s="1"/>
  <c r="P2402" i="5" s="1"/>
  <c r="K482" i="5"/>
  <c r="L482" i="5" s="1"/>
  <c r="P482" i="5" s="1"/>
  <c r="K1850" i="5"/>
  <c r="L1850" i="5" s="1"/>
  <c r="P1850" i="5" s="1"/>
  <c r="K2445" i="5"/>
  <c r="L2445" i="5" s="1"/>
  <c r="P2445" i="5" s="1"/>
  <c r="K183" i="5"/>
  <c r="L183" i="5" s="1"/>
  <c r="P183" i="5" s="1"/>
  <c r="K395" i="5"/>
  <c r="L395" i="5" s="1"/>
  <c r="P395" i="5" s="1"/>
  <c r="K465" i="5"/>
  <c r="L465" i="5" s="1"/>
  <c r="P465" i="5" s="1"/>
  <c r="K1849" i="5"/>
  <c r="L1849" i="5" s="1"/>
  <c r="P1849" i="5" s="1"/>
  <c r="K1959" i="5"/>
  <c r="L1959" i="5" s="1"/>
  <c r="P1959" i="5" s="1"/>
  <c r="K500" i="5"/>
  <c r="L500" i="5" s="1"/>
  <c r="P500" i="5" s="1"/>
  <c r="K548" i="5"/>
  <c r="L548" i="5" s="1"/>
  <c r="P548" i="5" s="1"/>
  <c r="K675" i="5"/>
  <c r="L675" i="5" s="1"/>
  <c r="P675" i="5" s="1"/>
  <c r="K1003" i="5"/>
  <c r="L1003" i="5" s="1"/>
  <c r="P1003" i="5" s="1"/>
  <c r="K1183" i="5"/>
  <c r="L1183" i="5" s="1"/>
  <c r="P1183" i="5" s="1"/>
  <c r="K1298" i="5"/>
  <c r="L1298" i="5" s="1"/>
  <c r="P1298" i="5" s="1"/>
  <c r="K1316" i="5"/>
  <c r="L1316" i="5" s="1"/>
  <c r="P1316" i="5" s="1"/>
  <c r="K28" i="5"/>
  <c r="L28" i="5" s="1"/>
  <c r="P28" i="5" s="1"/>
  <c r="K1066" i="5"/>
  <c r="L1066" i="5" s="1"/>
  <c r="P1066" i="5" s="1"/>
  <c r="K514" i="5"/>
  <c r="L514" i="5" s="1"/>
  <c r="P514" i="5" s="1"/>
  <c r="K540" i="5"/>
  <c r="L540" i="5" s="1"/>
  <c r="P540" i="5" s="1"/>
  <c r="K1068" i="5"/>
  <c r="L1068" i="5" s="1"/>
  <c r="P1068" i="5" s="1"/>
  <c r="K17" i="5"/>
  <c r="L17" i="5" s="1"/>
  <c r="P17" i="5" s="1"/>
  <c r="K208" i="5"/>
  <c r="L208" i="5" s="1"/>
  <c r="P208" i="5" s="1"/>
  <c r="K1329" i="5"/>
  <c r="L1329" i="5" s="1"/>
  <c r="P1329" i="5" s="1"/>
  <c r="K1529" i="5"/>
  <c r="L1529" i="5" s="1"/>
  <c r="P1529" i="5" s="1"/>
  <c r="K406" i="5"/>
  <c r="L406" i="5" s="1"/>
  <c r="P406" i="5" s="1"/>
  <c r="K920" i="5"/>
  <c r="L920" i="5" s="1"/>
  <c r="P920" i="5" s="1"/>
  <c r="K939" i="5"/>
  <c r="L939" i="5" s="1"/>
  <c r="P939" i="5" s="1"/>
  <c r="K1498" i="5"/>
  <c r="L1498" i="5" s="1"/>
  <c r="P1498" i="5" s="1"/>
  <c r="K2315" i="5"/>
  <c r="L2315" i="5" s="1"/>
  <c r="P2315" i="5" s="1"/>
  <c r="K2331" i="5"/>
  <c r="L2331" i="5" s="1"/>
  <c r="P2331" i="5" s="1"/>
  <c r="K607" i="5"/>
  <c r="L607" i="5" s="1"/>
  <c r="P607" i="5" s="1"/>
  <c r="K617" i="5"/>
  <c r="L617" i="5" s="1"/>
  <c r="P617" i="5" s="1"/>
  <c r="K1175" i="5"/>
  <c r="L1175" i="5" s="1"/>
  <c r="P1175" i="5" s="1"/>
  <c r="K1280" i="5"/>
  <c r="L1280" i="5" s="1"/>
  <c r="P1280" i="5" s="1"/>
  <c r="K1689" i="5"/>
  <c r="L1689" i="5" s="1"/>
  <c r="P1689" i="5" s="1"/>
  <c r="K1845" i="5"/>
  <c r="L1845" i="5" s="1"/>
  <c r="P1845" i="5" s="1"/>
  <c r="K2374" i="5"/>
  <c r="L2374" i="5" s="1"/>
  <c r="P2374" i="5" s="1"/>
  <c r="K297" i="5"/>
  <c r="L297" i="5" s="1"/>
  <c r="P297" i="5" s="1"/>
  <c r="K695" i="5"/>
  <c r="L695" i="5" s="1"/>
  <c r="P695" i="5" s="1"/>
  <c r="K2440" i="5"/>
  <c r="L2440" i="5" s="1"/>
  <c r="P2440" i="5" s="1"/>
  <c r="K2456" i="5"/>
  <c r="L2456" i="5" s="1"/>
  <c r="P2456" i="5" s="1"/>
  <c r="K103" i="5"/>
  <c r="L103" i="5" s="1"/>
  <c r="P103" i="5" s="1"/>
  <c r="K209" i="5"/>
  <c r="L209" i="5" s="1"/>
  <c r="P209" i="5" s="1"/>
  <c r="K288" i="5"/>
  <c r="L288" i="5" s="1"/>
  <c r="P288" i="5" s="1"/>
  <c r="K1364" i="5"/>
  <c r="L1364" i="5" s="1"/>
  <c r="P1364" i="5" s="1"/>
  <c r="K1442" i="5"/>
  <c r="L1442" i="5" s="1"/>
  <c r="P1442" i="5" s="1"/>
  <c r="K1822" i="5"/>
  <c r="L1822" i="5" s="1"/>
  <c r="P1822" i="5" s="1"/>
  <c r="K66" i="5"/>
  <c r="L66" i="5" s="1"/>
  <c r="P66" i="5" s="1"/>
  <c r="K1563" i="5"/>
  <c r="L1563" i="5" s="1"/>
  <c r="P1563" i="5" s="1"/>
  <c r="K1744" i="5"/>
  <c r="L1744" i="5" s="1"/>
  <c r="P1744" i="5" s="1"/>
  <c r="K1774" i="5"/>
  <c r="L1774" i="5" s="1"/>
  <c r="P1774" i="5" s="1"/>
  <c r="K2405" i="5"/>
  <c r="L2405" i="5" s="1"/>
  <c r="P2405" i="5" s="1"/>
  <c r="K459" i="5"/>
  <c r="L459" i="5" s="1"/>
  <c r="P459" i="5" s="1"/>
  <c r="K1773" i="5"/>
  <c r="L1773" i="5" s="1"/>
  <c r="P1773" i="5" s="1"/>
  <c r="K2034" i="5"/>
  <c r="L2034" i="5" s="1"/>
  <c r="P2034" i="5" s="1"/>
  <c r="K2376" i="5"/>
  <c r="L2376" i="5" s="1"/>
  <c r="P2376" i="5" s="1"/>
  <c r="K120" i="5"/>
  <c r="L120" i="5" s="1"/>
  <c r="P120" i="5" s="1"/>
  <c r="K411" i="5"/>
  <c r="L411" i="5" s="1"/>
  <c r="P411" i="5" s="1"/>
  <c r="K1273" i="5"/>
  <c r="L1273" i="5" s="1"/>
  <c r="P1273" i="5" s="1"/>
  <c r="K1384" i="5"/>
  <c r="L1384" i="5" s="1"/>
  <c r="P1384" i="5" s="1"/>
  <c r="K1578" i="5"/>
  <c r="L1578" i="5" s="1"/>
  <c r="P1578" i="5" s="1"/>
  <c r="K1606" i="5"/>
  <c r="L1606" i="5" s="1"/>
  <c r="P1606" i="5" s="1"/>
  <c r="K1652" i="5"/>
  <c r="L1652" i="5" s="1"/>
  <c r="P1652" i="5" s="1"/>
  <c r="K1571" i="5"/>
  <c r="L1571" i="5" s="1"/>
  <c r="P1571" i="5" s="1"/>
  <c r="K487" i="5"/>
  <c r="L487" i="5" s="1"/>
  <c r="P487" i="5" s="1"/>
  <c r="K942" i="5"/>
  <c r="L942" i="5" s="1"/>
  <c r="P942" i="5" s="1"/>
  <c r="K1142" i="5"/>
  <c r="L1142" i="5" s="1"/>
  <c r="P1142" i="5" s="1"/>
  <c r="K1266" i="5"/>
  <c r="L1266" i="5" s="1"/>
  <c r="P1266" i="5" s="1"/>
  <c r="K1268" i="5"/>
  <c r="L1268" i="5" s="1"/>
  <c r="P1268" i="5" s="1"/>
  <c r="K1287" i="5"/>
  <c r="L1287" i="5" s="1"/>
  <c r="P1287" i="5" s="1"/>
  <c r="K1289" i="5"/>
  <c r="L1289" i="5" s="1"/>
  <c r="P1289" i="5" s="1"/>
  <c r="K2295" i="5"/>
  <c r="L2295" i="5" s="1"/>
  <c r="P2295" i="5" s="1"/>
  <c r="K154" i="5"/>
  <c r="L154" i="5" s="1"/>
  <c r="P154" i="5" s="1"/>
  <c r="K432" i="5"/>
  <c r="L432" i="5" s="1"/>
  <c r="P432" i="5" s="1"/>
  <c r="K1414" i="5"/>
  <c r="L1414" i="5" s="1"/>
  <c r="P1414" i="5" s="1"/>
  <c r="K1417" i="5"/>
  <c r="L1417" i="5" s="1"/>
  <c r="P1417" i="5" s="1"/>
  <c r="K1523" i="5"/>
  <c r="L1523" i="5" s="1"/>
  <c r="P1523" i="5" s="1"/>
  <c r="K1641" i="5"/>
  <c r="L1641" i="5" s="1"/>
  <c r="P1641" i="5" s="1"/>
  <c r="K3" i="5"/>
  <c r="L3" i="5" s="1"/>
  <c r="P3" i="5" s="1"/>
  <c r="K42" i="5"/>
  <c r="L42" i="5" s="1"/>
  <c r="P42" i="5" s="1"/>
  <c r="K136" i="5"/>
  <c r="L136" i="5" s="1"/>
  <c r="P136" i="5" s="1"/>
  <c r="K330" i="5"/>
  <c r="L330" i="5" s="1"/>
  <c r="P330" i="5" s="1"/>
  <c r="K705" i="5"/>
  <c r="L705" i="5" s="1"/>
  <c r="P705" i="5" s="1"/>
  <c r="K47" i="5"/>
  <c r="L47" i="5" s="1"/>
  <c r="P47" i="5" s="1"/>
  <c r="K1589" i="5"/>
  <c r="L1589" i="5" s="1"/>
  <c r="P1589" i="5" s="1"/>
  <c r="K1911" i="5"/>
  <c r="L1911" i="5" s="1"/>
  <c r="P1911" i="5" s="1"/>
  <c r="K2454" i="5"/>
  <c r="L2454" i="5" s="1"/>
  <c r="P2454" i="5" s="1"/>
  <c r="K408" i="5"/>
  <c r="L408" i="5" s="1"/>
  <c r="P408" i="5" s="1"/>
  <c r="K1034" i="5"/>
  <c r="L1034" i="5" s="1"/>
  <c r="P1034" i="5" s="1"/>
  <c r="K1919" i="5"/>
  <c r="L1919" i="5" s="1"/>
  <c r="P1919" i="5" s="1"/>
  <c r="K2009" i="5"/>
  <c r="L2009" i="5" s="1"/>
  <c r="P2009" i="5" s="1"/>
  <c r="K2360" i="5"/>
  <c r="L2360" i="5" s="1"/>
  <c r="P2360" i="5" s="1"/>
  <c r="K2044" i="5"/>
  <c r="L2044" i="5" s="1"/>
  <c r="P2044" i="5" s="1"/>
  <c r="K2206" i="5"/>
  <c r="L2206" i="5" s="1"/>
  <c r="P2206" i="5" s="1"/>
  <c r="K642" i="5"/>
  <c r="L642" i="5" s="1"/>
  <c r="P642" i="5" s="1"/>
  <c r="K323" i="5"/>
  <c r="L323" i="5" s="1"/>
  <c r="P323" i="5" s="1"/>
  <c r="K449" i="5"/>
  <c r="L449" i="5" s="1"/>
  <c r="P449" i="5" s="1"/>
  <c r="K846" i="5"/>
  <c r="L846" i="5" s="1"/>
  <c r="P846" i="5" s="1"/>
  <c r="K1249" i="5"/>
  <c r="L1249" i="5" s="1"/>
  <c r="P1249" i="5" s="1"/>
  <c r="K305" i="5"/>
  <c r="L305" i="5" s="1"/>
  <c r="P305" i="5" s="1"/>
  <c r="K636" i="5"/>
  <c r="L636" i="5" s="1"/>
  <c r="P636" i="5" s="1"/>
  <c r="K911" i="5"/>
  <c r="L911" i="5" s="1"/>
  <c r="P911" i="5" s="1"/>
  <c r="K1272" i="5"/>
  <c r="L1272" i="5" s="1"/>
  <c r="P1272" i="5" s="1"/>
  <c r="K1612" i="5"/>
  <c r="L1612" i="5" s="1"/>
  <c r="P1612" i="5" s="1"/>
  <c r="K1947" i="5"/>
  <c r="L1947" i="5" s="1"/>
  <c r="P1947" i="5" s="1"/>
  <c r="K2025" i="5"/>
  <c r="L2025" i="5" s="1"/>
  <c r="P2025" i="5" s="1"/>
  <c r="K2036" i="5"/>
  <c r="L2036" i="5" s="1"/>
  <c r="P2036" i="5" s="1"/>
  <c r="K2442" i="5"/>
  <c r="L2442" i="5" s="1"/>
  <c r="P2442" i="5" s="1"/>
  <c r="K530" i="5"/>
  <c r="L530" i="5" s="1"/>
  <c r="P530" i="5" s="1"/>
  <c r="K831" i="5"/>
  <c r="L831" i="5" s="1"/>
  <c r="P831" i="5" s="1"/>
  <c r="K1597" i="5"/>
  <c r="L1597" i="5" s="1"/>
  <c r="P1597" i="5" s="1"/>
  <c r="K152" i="5"/>
  <c r="L152" i="5" s="1"/>
  <c r="P152" i="5" s="1"/>
  <c r="K1072" i="5"/>
  <c r="L1072" i="5" s="1"/>
  <c r="P1072" i="5" s="1"/>
  <c r="K1468" i="5"/>
  <c r="L1468" i="5" s="1"/>
  <c r="P1468" i="5" s="1"/>
  <c r="K1562" i="5"/>
  <c r="L1562" i="5" s="1"/>
  <c r="P1562" i="5" s="1"/>
  <c r="K1792" i="5"/>
  <c r="L1792" i="5" s="1"/>
  <c r="P1792" i="5" s="1"/>
  <c r="K712" i="5"/>
  <c r="L712" i="5" s="1"/>
  <c r="P712" i="5" s="1"/>
  <c r="K809" i="5"/>
  <c r="L809" i="5" s="1"/>
  <c r="P809" i="5" s="1"/>
  <c r="K828" i="5"/>
  <c r="L828" i="5" s="1"/>
  <c r="P828" i="5" s="1"/>
  <c r="K916" i="5"/>
  <c r="L916" i="5" s="1"/>
  <c r="P916" i="5" s="1"/>
  <c r="K1584" i="5"/>
  <c r="L1584" i="5" s="1"/>
  <c r="P1584" i="5" s="1"/>
  <c r="K748" i="5"/>
  <c r="L748" i="5" s="1"/>
  <c r="P748" i="5" s="1"/>
  <c r="K1613" i="5"/>
  <c r="L1613" i="5" s="1"/>
  <c r="P1613" i="5" s="1"/>
  <c r="K2016" i="5"/>
  <c r="L2016" i="5" s="1"/>
  <c r="P2016" i="5" s="1"/>
  <c r="K210" i="5"/>
  <c r="L210" i="5" s="1"/>
  <c r="P210" i="5" s="1"/>
  <c r="K533" i="5"/>
  <c r="L533" i="5" s="1"/>
  <c r="P533" i="5" s="1"/>
  <c r="K585" i="5"/>
  <c r="L585" i="5" s="1"/>
  <c r="P585" i="5" s="1"/>
  <c r="K807" i="5"/>
  <c r="L807" i="5" s="1"/>
  <c r="P807" i="5" s="1"/>
  <c r="K1709" i="5"/>
  <c r="L1709" i="5" s="1"/>
  <c r="P1709" i="5" s="1"/>
  <c r="K671" i="5"/>
  <c r="L671" i="5" s="1"/>
  <c r="P671" i="5" s="1"/>
  <c r="K743" i="5"/>
  <c r="L743" i="5" s="1"/>
  <c r="P743" i="5" s="1"/>
  <c r="K1690" i="5"/>
  <c r="L1690" i="5" s="1"/>
  <c r="P1690" i="5" s="1"/>
  <c r="K2450" i="5"/>
  <c r="L2450" i="5" s="1"/>
  <c r="P2450" i="5" s="1"/>
  <c r="K7" i="5"/>
  <c r="L7" i="5" s="1"/>
  <c r="P7" i="5" s="1"/>
  <c r="K930" i="5"/>
  <c r="L930" i="5" s="1"/>
  <c r="P930" i="5" s="1"/>
  <c r="K1058" i="5"/>
  <c r="L1058" i="5" s="1"/>
  <c r="P1058" i="5" s="1"/>
  <c r="K1267" i="5"/>
  <c r="L1267" i="5" s="1"/>
  <c r="P1267" i="5" s="1"/>
  <c r="K1686" i="5"/>
  <c r="L1686" i="5" s="1"/>
  <c r="P1686" i="5" s="1"/>
  <c r="K1893" i="5"/>
  <c r="L1893" i="5" s="1"/>
  <c r="P1893" i="5" s="1"/>
  <c r="K1916" i="5"/>
  <c r="L1916" i="5" s="1"/>
  <c r="P1916" i="5" s="1"/>
  <c r="K2133" i="5"/>
  <c r="L2133" i="5" s="1"/>
  <c r="P2133" i="5" s="1"/>
  <c r="K372" i="5"/>
  <c r="L372" i="5" s="1"/>
  <c r="P372" i="5" s="1"/>
  <c r="K612" i="5"/>
  <c r="L612" i="5" s="1"/>
  <c r="P612" i="5" s="1"/>
  <c r="K1359" i="5"/>
  <c r="L1359" i="5" s="1"/>
  <c r="P1359" i="5" s="1"/>
  <c r="K1469" i="5"/>
  <c r="L1469" i="5" s="1"/>
  <c r="P1469" i="5" s="1"/>
  <c r="K1603" i="5"/>
  <c r="L1603" i="5" s="1"/>
  <c r="P1603" i="5" s="1"/>
  <c r="K107" i="5"/>
  <c r="L107" i="5" s="1"/>
  <c r="P107" i="5" s="1"/>
  <c r="K1153" i="5"/>
  <c r="L1153" i="5" s="1"/>
  <c r="P1153" i="5" s="1"/>
  <c r="K1559" i="5"/>
  <c r="L1559" i="5" s="1"/>
  <c r="P1559" i="5" s="1"/>
  <c r="K2261" i="5"/>
  <c r="L2261" i="5" s="1"/>
  <c r="P2261" i="5" s="1"/>
  <c r="K111" i="5"/>
  <c r="L111" i="5" s="1"/>
  <c r="P111" i="5" s="1"/>
  <c r="K693" i="5"/>
  <c r="L693" i="5" s="1"/>
  <c r="P693" i="5" s="1"/>
  <c r="K1043" i="5"/>
  <c r="L1043" i="5" s="1"/>
  <c r="P1043" i="5" s="1"/>
  <c r="K1113" i="5"/>
  <c r="L1113" i="5" s="1"/>
  <c r="P1113" i="5" s="1"/>
  <c r="K1244" i="5"/>
  <c r="L1244" i="5" s="1"/>
  <c r="P1244" i="5" s="1"/>
  <c r="K385" i="5"/>
  <c r="L385" i="5" s="1"/>
  <c r="P385" i="5" s="1"/>
  <c r="K1301" i="5"/>
  <c r="L1301" i="5" s="1"/>
  <c r="P1301" i="5" s="1"/>
  <c r="K2104" i="5"/>
  <c r="L2104" i="5" s="1"/>
  <c r="P2104" i="5" s="1"/>
  <c r="K2478" i="5"/>
  <c r="L2478" i="5" s="1"/>
  <c r="P2478" i="5" s="1"/>
  <c r="K241" i="5"/>
  <c r="L241" i="5" s="1"/>
  <c r="P241" i="5" s="1"/>
  <c r="K621" i="5"/>
  <c r="L621" i="5" s="1"/>
  <c r="P621" i="5" s="1"/>
  <c r="K758" i="5"/>
  <c r="L758" i="5" s="1"/>
  <c r="P758" i="5" s="1"/>
  <c r="K993" i="5"/>
  <c r="L993" i="5" s="1"/>
  <c r="P993" i="5" s="1"/>
  <c r="K1539" i="5"/>
  <c r="L1539" i="5" s="1"/>
  <c r="P1539" i="5" s="1"/>
  <c r="K30" i="5"/>
  <c r="L30" i="5" s="1"/>
  <c r="P30" i="5" s="1"/>
  <c r="K316" i="5"/>
  <c r="L316" i="5" s="1"/>
  <c r="P316" i="5" s="1"/>
  <c r="K1673" i="5"/>
  <c r="L1673" i="5" s="1"/>
  <c r="P1673" i="5" s="1"/>
  <c r="K2397" i="5"/>
  <c r="L2397" i="5" s="1"/>
  <c r="P2397" i="5" s="1"/>
  <c r="K1025" i="5"/>
  <c r="L1025" i="5" s="1"/>
  <c r="P1025" i="5" s="1"/>
  <c r="K1752" i="5"/>
  <c r="L1752" i="5" s="1"/>
  <c r="P1752" i="5" s="1"/>
  <c r="K2130" i="5"/>
  <c r="L2130" i="5" s="1"/>
  <c r="P2130" i="5" s="1"/>
  <c r="K545" i="5"/>
  <c r="L545" i="5" s="1"/>
  <c r="P545" i="5" s="1"/>
  <c r="K1167" i="5"/>
  <c r="L1167" i="5" s="1"/>
  <c r="P1167" i="5" s="1"/>
  <c r="K2056" i="5"/>
  <c r="L2056" i="5" s="1"/>
  <c r="P2056" i="5" s="1"/>
  <c r="K702" i="5"/>
  <c r="L702" i="5" s="1"/>
  <c r="P702" i="5" s="1"/>
  <c r="K817" i="5"/>
  <c r="L817" i="5" s="1"/>
  <c r="P817" i="5" s="1"/>
  <c r="K963" i="5"/>
  <c r="L963" i="5" s="1"/>
  <c r="P963" i="5" s="1"/>
  <c r="K2120" i="5"/>
  <c r="L2120" i="5" s="1"/>
  <c r="P2120" i="5" s="1"/>
  <c r="K2213" i="5"/>
  <c r="L2213" i="5" s="1"/>
  <c r="P2213" i="5" s="1"/>
  <c r="K2375" i="5"/>
  <c r="L2375" i="5" s="1"/>
  <c r="P2375" i="5" s="1"/>
  <c r="K1055" i="5"/>
  <c r="L1055" i="5" s="1"/>
  <c r="P1055" i="5" s="1"/>
  <c r="K1379" i="5"/>
  <c r="L1379" i="5" s="1"/>
  <c r="P1379" i="5" s="1"/>
  <c r="K1986" i="5"/>
  <c r="L1986" i="5" s="1"/>
  <c r="P1986" i="5" s="1"/>
  <c r="K2105" i="5"/>
  <c r="L2105" i="5" s="1"/>
  <c r="P2105" i="5" s="1"/>
  <c r="K2146" i="5"/>
  <c r="L2146" i="5" s="1"/>
  <c r="P2146" i="5" s="1"/>
  <c r="K2344" i="5"/>
  <c r="L2344" i="5" s="1"/>
  <c r="P2344" i="5" s="1"/>
  <c r="K648" i="5"/>
  <c r="L648" i="5" s="1"/>
  <c r="P648" i="5" s="1"/>
  <c r="K1038" i="5"/>
  <c r="L1038" i="5" s="1"/>
  <c r="P1038" i="5" s="1"/>
  <c r="K1377" i="5"/>
  <c r="L1377" i="5" s="1"/>
  <c r="P1377" i="5" s="1"/>
  <c r="K1905" i="5"/>
  <c r="L1905" i="5" s="1"/>
  <c r="P1905" i="5" s="1"/>
  <c r="K2437" i="5"/>
  <c r="L2437" i="5" s="1"/>
  <c r="P2437" i="5" s="1"/>
  <c r="K376" i="5"/>
  <c r="L376" i="5" s="1"/>
  <c r="P376" i="5" s="1"/>
  <c r="K434" i="5"/>
  <c r="L434" i="5" s="1"/>
  <c r="P434" i="5" s="1"/>
  <c r="K625" i="5"/>
  <c r="L625" i="5" s="1"/>
  <c r="P625" i="5" s="1"/>
  <c r="K1010" i="5"/>
  <c r="L1010" i="5" s="1"/>
  <c r="P1010" i="5" s="1"/>
  <c r="K1692" i="5"/>
  <c r="L1692" i="5" s="1"/>
  <c r="P1692" i="5" s="1"/>
  <c r="K1954" i="5"/>
  <c r="L1954" i="5" s="1"/>
  <c r="P1954" i="5" s="1"/>
  <c r="K1978" i="5"/>
  <c r="L1978" i="5" s="1"/>
  <c r="P1978" i="5" s="1"/>
  <c r="K189" i="5"/>
  <c r="L189" i="5" s="1"/>
  <c r="P189" i="5" s="1"/>
  <c r="K413" i="5"/>
  <c r="L413" i="5" s="1"/>
  <c r="P413" i="5" s="1"/>
  <c r="K826" i="5"/>
  <c r="L826" i="5" s="1"/>
  <c r="P826" i="5" s="1"/>
  <c r="K887" i="5"/>
  <c r="L887" i="5" s="1"/>
  <c r="P887" i="5" s="1"/>
  <c r="K897" i="5"/>
  <c r="L897" i="5" s="1"/>
  <c r="P897" i="5" s="1"/>
  <c r="K968" i="5"/>
  <c r="L968" i="5" s="1"/>
  <c r="P968" i="5" s="1"/>
  <c r="K1963" i="5"/>
  <c r="L1963" i="5" s="1"/>
  <c r="P1963" i="5" s="1"/>
  <c r="K32" i="5"/>
  <c r="L32" i="5" s="1"/>
  <c r="P32" i="5" s="1"/>
  <c r="K947" i="5"/>
  <c r="L947" i="5" s="1"/>
  <c r="P947" i="5" s="1"/>
  <c r="K195" i="5"/>
  <c r="L195" i="5" s="1"/>
  <c r="P195" i="5" s="1"/>
  <c r="K234" i="5"/>
  <c r="L234" i="5" s="1"/>
  <c r="P234" i="5" s="1"/>
  <c r="K331" i="5"/>
  <c r="L331" i="5" s="1"/>
  <c r="P331" i="5" s="1"/>
  <c r="K1391" i="5"/>
  <c r="L1391" i="5" s="1"/>
  <c r="P1391" i="5" s="1"/>
  <c r="K1548" i="5"/>
  <c r="L1548" i="5" s="1"/>
  <c r="P1548" i="5" s="1"/>
  <c r="K2064" i="5"/>
  <c r="L2064" i="5" s="1"/>
  <c r="P2064" i="5" s="1"/>
  <c r="K2240" i="5"/>
  <c r="L2240" i="5" s="1"/>
  <c r="P2240" i="5" s="1"/>
  <c r="K2501" i="5"/>
  <c r="L2501" i="5" s="1"/>
  <c r="P2501" i="5" s="1"/>
  <c r="K1202" i="5"/>
  <c r="L1202" i="5" s="1"/>
  <c r="P1202" i="5" s="1"/>
  <c r="K1770" i="5"/>
  <c r="L1770" i="5" s="1"/>
  <c r="P1770" i="5" s="1"/>
  <c r="K328" i="5"/>
  <c r="L328" i="5" s="1"/>
  <c r="P328" i="5" s="1"/>
  <c r="K745" i="5"/>
  <c r="L745" i="5" s="1"/>
  <c r="P745" i="5" s="1"/>
  <c r="K1643" i="5"/>
  <c r="L1643" i="5" s="1"/>
  <c r="P1643" i="5" s="1"/>
  <c r="K2313" i="5"/>
  <c r="L2313" i="5" s="1"/>
  <c r="P2313" i="5" s="1"/>
  <c r="K187" i="5"/>
  <c r="L187" i="5" s="1"/>
  <c r="P187" i="5" s="1"/>
  <c r="K1827" i="5"/>
  <c r="L1827" i="5" s="1"/>
  <c r="P1827" i="5" s="1"/>
  <c r="K2368" i="5"/>
  <c r="L2368" i="5" s="1"/>
  <c r="P2368" i="5" s="1"/>
  <c r="K2436" i="5"/>
  <c r="L2436" i="5" s="1"/>
  <c r="P2436" i="5" s="1"/>
  <c r="K747" i="5"/>
  <c r="L747" i="5" s="1"/>
  <c r="P747" i="5" s="1"/>
  <c r="K1241" i="5"/>
  <c r="L1241" i="5" s="1"/>
  <c r="P1241" i="5" s="1"/>
  <c r="K2248" i="5"/>
  <c r="L2248" i="5" s="1"/>
  <c r="P2248" i="5" s="1"/>
  <c r="K185" i="5"/>
  <c r="L185" i="5" s="1"/>
  <c r="P185" i="5" s="1"/>
  <c r="K1152" i="5"/>
  <c r="L1152" i="5" s="1"/>
  <c r="P1152" i="5" s="1"/>
  <c r="K114" i="5"/>
  <c r="L114" i="5" s="1"/>
  <c r="P114" i="5" s="1"/>
  <c r="K485" i="5"/>
  <c r="L485" i="5" s="1"/>
  <c r="P485" i="5" s="1"/>
  <c r="K927" i="5"/>
  <c r="L927" i="5" s="1"/>
  <c r="P927" i="5" s="1"/>
  <c r="K935" i="5"/>
  <c r="L935" i="5" s="1"/>
  <c r="P935" i="5" s="1"/>
  <c r="K1898" i="5"/>
  <c r="L1898" i="5" s="1"/>
  <c r="P1898" i="5" s="1"/>
  <c r="K791" i="5"/>
  <c r="L791" i="5" s="1"/>
  <c r="P791" i="5" s="1"/>
  <c r="K854" i="5"/>
  <c r="L854" i="5" s="1"/>
  <c r="P854" i="5" s="1"/>
  <c r="K878" i="5"/>
  <c r="L878" i="5" s="1"/>
  <c r="P878" i="5" s="1"/>
  <c r="K880" i="5"/>
  <c r="L880" i="5" s="1"/>
  <c r="P880" i="5" s="1"/>
  <c r="K1549" i="5"/>
  <c r="L1549" i="5" s="1"/>
  <c r="P1549" i="5" s="1"/>
  <c r="K1768" i="5"/>
  <c r="L1768" i="5" s="1"/>
  <c r="P1768" i="5" s="1"/>
  <c r="K1794" i="5"/>
  <c r="L1794" i="5" s="1"/>
  <c r="P1794" i="5" s="1"/>
  <c r="K56" i="5"/>
  <c r="L56" i="5" s="1"/>
  <c r="P56" i="5" s="1"/>
  <c r="K2498" i="5"/>
  <c r="L2498" i="5" s="1"/>
  <c r="P2498" i="5" s="1"/>
  <c r="K453" i="5"/>
  <c r="L453" i="5" s="1"/>
  <c r="P453" i="5" s="1"/>
  <c r="K579" i="5"/>
  <c r="L579" i="5" s="1"/>
  <c r="P579" i="5" s="1"/>
  <c r="K798" i="5"/>
  <c r="L798" i="5" s="1"/>
  <c r="P798" i="5" s="1"/>
  <c r="K945" i="5"/>
  <c r="L945" i="5" s="1"/>
  <c r="P945" i="5" s="1"/>
  <c r="K1164" i="5"/>
  <c r="L1164" i="5" s="1"/>
  <c r="P1164" i="5" s="1"/>
  <c r="K1418" i="5"/>
  <c r="L1418" i="5" s="1"/>
  <c r="P1418" i="5" s="1"/>
  <c r="K1450" i="5"/>
  <c r="L1450" i="5" s="1"/>
  <c r="P1450" i="5" s="1"/>
  <c r="K1679" i="5"/>
  <c r="L1679" i="5" s="1"/>
  <c r="P1679" i="5" s="1"/>
  <c r="K1020" i="5"/>
  <c r="L1020" i="5" s="1"/>
  <c r="P1020" i="5" s="1"/>
  <c r="K2168" i="5"/>
  <c r="L2168" i="5" s="1"/>
  <c r="P2168" i="5" s="1"/>
  <c r="K62" i="5"/>
  <c r="L62" i="5" s="1"/>
  <c r="P62" i="5" s="1"/>
  <c r="K592" i="5"/>
  <c r="L592" i="5" s="1"/>
  <c r="P592" i="5" s="1"/>
  <c r="K1969" i="5"/>
  <c r="L1969" i="5" s="1"/>
  <c r="P1969" i="5" s="1"/>
  <c r="K2151" i="5"/>
  <c r="L2151" i="5" s="1"/>
  <c r="P2151" i="5" s="1"/>
  <c r="K2163" i="5"/>
  <c r="L2163" i="5" s="1"/>
  <c r="P2163" i="5" s="1"/>
  <c r="K2332" i="5"/>
  <c r="L2332" i="5" s="1"/>
  <c r="P2332" i="5" s="1"/>
  <c r="K713" i="5"/>
  <c r="L713" i="5" s="1"/>
  <c r="P713" i="5" s="1"/>
  <c r="K759" i="5"/>
  <c r="L759" i="5" s="1"/>
  <c r="P759" i="5" s="1"/>
  <c r="K900" i="5"/>
  <c r="L900" i="5" s="1"/>
  <c r="P900" i="5" s="1"/>
  <c r="K1369" i="5"/>
  <c r="L1369" i="5" s="1"/>
  <c r="P1369" i="5" s="1"/>
  <c r="K1390" i="5"/>
  <c r="L1390" i="5" s="1"/>
  <c r="P1390" i="5" s="1"/>
  <c r="K2393" i="5"/>
  <c r="L2393" i="5" s="1"/>
  <c r="P2393" i="5" s="1"/>
  <c r="K2398" i="5"/>
  <c r="L2398" i="5" s="1"/>
  <c r="P2398" i="5" s="1"/>
  <c r="K541" i="5"/>
  <c r="L541" i="5" s="1"/>
  <c r="P541" i="5" s="1"/>
  <c r="K1160" i="5"/>
  <c r="L1160" i="5" s="1"/>
  <c r="P1160" i="5" s="1"/>
  <c r="K1245" i="5"/>
  <c r="L1245" i="5" s="1"/>
  <c r="P1245" i="5" s="1"/>
  <c r="K1699" i="5"/>
  <c r="L1699" i="5" s="1"/>
  <c r="P1699" i="5" s="1"/>
  <c r="K1719" i="5"/>
  <c r="L1719" i="5" s="1"/>
  <c r="P1719" i="5" s="1"/>
  <c r="K2201" i="5"/>
  <c r="L2201" i="5" s="1"/>
  <c r="P2201" i="5" s="1"/>
  <c r="K2208" i="5"/>
  <c r="L2208" i="5" s="1"/>
  <c r="P2208" i="5" s="1"/>
  <c r="K1425" i="5"/>
  <c r="L1425" i="5" s="1"/>
  <c r="P1425" i="5" s="1"/>
  <c r="K1248" i="5"/>
  <c r="L1248" i="5" s="1"/>
  <c r="P1248" i="5" s="1"/>
  <c r="K1809" i="5"/>
  <c r="L1809" i="5" s="1"/>
  <c r="P1809" i="5" s="1"/>
  <c r="K2278" i="5"/>
  <c r="L2278" i="5" s="1"/>
  <c r="P2278" i="5" s="1"/>
  <c r="K25" i="5"/>
  <c r="L25" i="5" s="1"/>
  <c r="P25" i="5" s="1"/>
  <c r="K503" i="5"/>
  <c r="L503" i="5" s="1"/>
  <c r="P503" i="5" s="1"/>
  <c r="K1966" i="5"/>
  <c r="L1966" i="5" s="1"/>
  <c r="P1966" i="5" s="1"/>
  <c r="K2159" i="5"/>
  <c r="L2159" i="5" s="1"/>
  <c r="P2159" i="5" s="1"/>
  <c r="K95" i="5"/>
  <c r="L95" i="5" s="1"/>
  <c r="P95" i="5" s="1"/>
  <c r="K280" i="5"/>
  <c r="L280" i="5" s="1"/>
  <c r="P280" i="5" s="1"/>
  <c r="K650" i="5"/>
  <c r="L650" i="5" s="1"/>
  <c r="P650" i="5" s="1"/>
  <c r="K1252" i="5"/>
  <c r="L1252" i="5" s="1"/>
  <c r="P1252" i="5" s="1"/>
  <c r="K2435" i="5"/>
  <c r="L2435" i="5" s="1"/>
  <c r="P2435" i="5" s="1"/>
  <c r="K324" i="5"/>
  <c r="L324" i="5" s="1"/>
  <c r="P324" i="5" s="1"/>
  <c r="K419" i="5"/>
  <c r="L419" i="5" s="1"/>
  <c r="P419" i="5" s="1"/>
  <c r="K767" i="5"/>
  <c r="L767" i="5" s="1"/>
  <c r="P767" i="5" s="1"/>
  <c r="K1477" i="5"/>
  <c r="L1477" i="5" s="1"/>
  <c r="P1477" i="5" s="1"/>
  <c r="K1645" i="5"/>
  <c r="L1645" i="5" s="1"/>
  <c r="P1645" i="5" s="1"/>
  <c r="K1877" i="5"/>
  <c r="L1877" i="5" s="1"/>
  <c r="P1877" i="5" s="1"/>
  <c r="K1951" i="5"/>
  <c r="L1951" i="5" s="1"/>
  <c r="P1951" i="5" s="1"/>
  <c r="K1139" i="5"/>
  <c r="L1139" i="5" s="1"/>
  <c r="P1139" i="5" s="1"/>
  <c r="K1313" i="5"/>
  <c r="L1313" i="5" s="1"/>
  <c r="P1313" i="5" s="1"/>
  <c r="K146" i="5"/>
  <c r="L146" i="5" s="1"/>
  <c r="P146" i="5" s="1"/>
  <c r="K350" i="5"/>
  <c r="L350" i="5" s="1"/>
  <c r="P350" i="5" s="1"/>
  <c r="K373" i="5"/>
  <c r="L373" i="5" s="1"/>
  <c r="P373" i="5" s="1"/>
  <c r="K604" i="5"/>
  <c r="L604" i="5" s="1"/>
  <c r="P604" i="5" s="1"/>
  <c r="K1347" i="5"/>
  <c r="L1347" i="5" s="1"/>
  <c r="P1347" i="5" s="1"/>
  <c r="K1492" i="5"/>
  <c r="L1492" i="5" s="1"/>
  <c r="P1492" i="5" s="1"/>
  <c r="K1496" i="5"/>
  <c r="L1496" i="5" s="1"/>
  <c r="P1496" i="5" s="1"/>
  <c r="K1654" i="5"/>
  <c r="L1654" i="5" s="1"/>
  <c r="P1654" i="5" s="1"/>
  <c r="K1701" i="5"/>
  <c r="L1701" i="5" s="1"/>
  <c r="P1701" i="5" s="1"/>
  <c r="K1927" i="5"/>
  <c r="L1927" i="5" s="1"/>
  <c r="P1927" i="5" s="1"/>
  <c r="K505" i="5"/>
  <c r="L505" i="5" s="1"/>
  <c r="P505" i="5" s="1"/>
  <c r="K123" i="5"/>
  <c r="L123" i="5" s="1"/>
  <c r="P123" i="5" s="1"/>
  <c r="K870" i="5"/>
  <c r="L870" i="5" s="1"/>
  <c r="P870" i="5" s="1"/>
  <c r="K1044" i="5"/>
  <c r="L1044" i="5" s="1"/>
  <c r="P1044" i="5" s="1"/>
  <c r="K1146" i="5"/>
  <c r="L1146" i="5" s="1"/>
  <c r="P1146" i="5" s="1"/>
  <c r="K70" i="5"/>
  <c r="L70" i="5" s="1"/>
  <c r="P70" i="5" s="1"/>
  <c r="K774" i="5"/>
  <c r="L774" i="5" s="1"/>
  <c r="P774" i="5" s="1"/>
  <c r="K905" i="5"/>
  <c r="L905" i="5" s="1"/>
  <c r="P905" i="5" s="1"/>
  <c r="K15" i="5"/>
  <c r="L15" i="5" s="1"/>
  <c r="P15" i="5" s="1"/>
  <c r="K273" i="5"/>
  <c r="L273" i="5" s="1"/>
  <c r="P273" i="5" s="1"/>
  <c r="K909" i="5"/>
  <c r="L909" i="5" s="1"/>
  <c r="P909" i="5" s="1"/>
  <c r="K1378" i="5"/>
  <c r="L1378" i="5" s="1"/>
  <c r="P1378" i="5" s="1"/>
  <c r="K1489" i="5"/>
  <c r="L1489" i="5" s="1"/>
  <c r="P1489" i="5" s="1"/>
  <c r="K423" i="5"/>
  <c r="L423" i="5" s="1"/>
  <c r="P423" i="5" s="1"/>
  <c r="K1531" i="5"/>
  <c r="L1531" i="5" s="1"/>
  <c r="P1531" i="5" s="1"/>
  <c r="K1908" i="5"/>
  <c r="L1908" i="5" s="1"/>
  <c r="P1908" i="5" s="1"/>
  <c r="K2231" i="5"/>
  <c r="L2231" i="5" s="1"/>
  <c r="P2231" i="5" s="1"/>
  <c r="K2304" i="5"/>
  <c r="L2304" i="5" s="1"/>
  <c r="P2304" i="5" s="1"/>
  <c r="K731" i="5"/>
  <c r="L731" i="5" s="1"/>
  <c r="P731" i="5" s="1"/>
  <c r="K1060" i="5"/>
  <c r="L1060" i="5" s="1"/>
  <c r="P1060" i="5" s="1"/>
  <c r="K1488" i="5"/>
  <c r="L1488" i="5" s="1"/>
  <c r="P1488" i="5" s="1"/>
  <c r="K491" i="5"/>
  <c r="L491" i="5" s="1"/>
  <c r="P491" i="5" s="1"/>
  <c r="K1769" i="5"/>
  <c r="L1769" i="5" s="1"/>
  <c r="P1769" i="5" s="1"/>
  <c r="K1858" i="5"/>
  <c r="L1858" i="5" s="1"/>
  <c r="P1858" i="5" s="1"/>
  <c r="K181" i="5"/>
  <c r="L181" i="5" s="1"/>
  <c r="P181" i="5" s="1"/>
  <c r="K1804" i="5"/>
  <c r="L1804" i="5" s="1"/>
  <c r="P1804" i="5" s="1"/>
  <c r="K2148" i="5"/>
  <c r="L2148" i="5" s="1"/>
  <c r="P2148" i="5" s="1"/>
  <c r="K524" i="5"/>
  <c r="L524" i="5" s="1"/>
  <c r="P524" i="5" s="1"/>
  <c r="K1017" i="5"/>
  <c r="L1017" i="5" s="1"/>
  <c r="P1017" i="5" s="1"/>
  <c r="K1695" i="5"/>
  <c r="L1695" i="5" s="1"/>
  <c r="P1695" i="5" s="1"/>
  <c r="K1884" i="5"/>
  <c r="L1884" i="5" s="1"/>
  <c r="P1884" i="5" s="1"/>
  <c r="K2071" i="5"/>
  <c r="L2071" i="5" s="1"/>
  <c r="P2071" i="5" s="1"/>
  <c r="K2190" i="5"/>
  <c r="L2190" i="5" s="1"/>
  <c r="P2190" i="5" s="1"/>
  <c r="K2291" i="5"/>
  <c r="L2291" i="5" s="1"/>
  <c r="P2291" i="5" s="1"/>
  <c r="K2473" i="5"/>
  <c r="L2473" i="5" s="1"/>
  <c r="P2473" i="5" s="1"/>
  <c r="K1835" i="5"/>
  <c r="L1835" i="5" s="1"/>
  <c r="P1835" i="5" s="1"/>
  <c r="K217" i="5"/>
  <c r="L217" i="5" s="1"/>
  <c r="P217" i="5" s="1"/>
  <c r="K706" i="5"/>
  <c r="L706" i="5" s="1"/>
  <c r="P706" i="5" s="1"/>
  <c r="K763" i="5"/>
  <c r="L763" i="5" s="1"/>
  <c r="P763" i="5" s="1"/>
  <c r="K1433" i="5"/>
  <c r="L1433" i="5" s="1"/>
  <c r="P1433" i="5" s="1"/>
  <c r="K230" i="5"/>
  <c r="L230" i="5" s="1"/>
  <c r="P230" i="5" s="1"/>
  <c r="K829" i="5"/>
  <c r="L829" i="5" s="1"/>
  <c r="P829" i="5" s="1"/>
  <c r="K2262" i="5"/>
  <c r="L2262" i="5" s="1"/>
  <c r="P2262" i="5" s="1"/>
  <c r="K349" i="5"/>
  <c r="L349" i="5" s="1"/>
  <c r="P349" i="5" s="1"/>
  <c r="K1683" i="5"/>
  <c r="L1683" i="5" s="1"/>
  <c r="P1683" i="5" s="1"/>
  <c r="K1887" i="5"/>
  <c r="L1887" i="5" s="1"/>
  <c r="P1887" i="5" s="1"/>
  <c r="K1931" i="5"/>
  <c r="L1931" i="5" s="1"/>
  <c r="P1931" i="5" s="1"/>
  <c r="K2030" i="5"/>
  <c r="L2030" i="5" s="1"/>
  <c r="P2030" i="5" s="1"/>
  <c r="K2091" i="5"/>
  <c r="L2091" i="5" s="1"/>
  <c r="P2091" i="5" s="1"/>
  <c r="K2178" i="5"/>
  <c r="L2178" i="5" s="1"/>
  <c r="P2178" i="5" s="1"/>
  <c r="K27" i="5"/>
  <c r="L27" i="5" s="1"/>
  <c r="P27" i="5" s="1"/>
  <c r="K368" i="5"/>
  <c r="L368" i="5" s="1"/>
  <c r="P368" i="5" s="1"/>
  <c r="K1635" i="5"/>
  <c r="L1635" i="5" s="1"/>
  <c r="P1635" i="5" s="1"/>
  <c r="K1839" i="5"/>
  <c r="L1839" i="5" s="1"/>
  <c r="P1839" i="5" s="1"/>
  <c r="K1868" i="5"/>
  <c r="L1868" i="5" s="1"/>
  <c r="P1868" i="5" s="1"/>
  <c r="K2043" i="5"/>
  <c r="L2043" i="5" s="1"/>
  <c r="P2043" i="5" s="1"/>
  <c r="K366" i="5"/>
  <c r="L366" i="5" s="1"/>
  <c r="P366" i="5" s="1"/>
  <c r="K700" i="5"/>
  <c r="L700" i="5" s="1"/>
  <c r="P700" i="5" s="1"/>
  <c r="K841" i="5"/>
  <c r="L841" i="5" s="1"/>
  <c r="P841" i="5" s="1"/>
  <c r="K907" i="5"/>
  <c r="L907" i="5" s="1"/>
  <c r="P907" i="5" s="1"/>
  <c r="K1370" i="5"/>
  <c r="L1370" i="5" s="1"/>
  <c r="P1370" i="5" s="1"/>
  <c r="K1956" i="5"/>
  <c r="L1956" i="5" s="1"/>
  <c r="P1956" i="5" s="1"/>
  <c r="K1426" i="5"/>
  <c r="L1426" i="5" s="1"/>
  <c r="P1426" i="5" s="1"/>
  <c r="K1016" i="5"/>
  <c r="L1016" i="5" s="1"/>
  <c r="P1016" i="5" s="1"/>
  <c r="K557" i="5"/>
  <c r="L557" i="5" s="1"/>
  <c r="P557" i="5" s="1"/>
  <c r="K776" i="5"/>
  <c r="L776" i="5" s="1"/>
  <c r="P776" i="5" s="1"/>
  <c r="K1111" i="5"/>
  <c r="L1111" i="5" s="1"/>
  <c r="P1111" i="5" s="1"/>
  <c r="K2477" i="5"/>
  <c r="L2477" i="5" s="1"/>
  <c r="P2477" i="5" s="1"/>
  <c r="K286" i="5"/>
  <c r="L286" i="5" s="1"/>
  <c r="P286" i="5" s="1"/>
  <c r="K624" i="5"/>
  <c r="L624" i="5" s="1"/>
  <c r="P624" i="5" s="1"/>
  <c r="K2055" i="5"/>
  <c r="L2055" i="5" s="1"/>
  <c r="P2055" i="5" s="1"/>
  <c r="K8" i="5"/>
  <c r="L8" i="5" s="1"/>
  <c r="P8" i="5" s="1"/>
  <c r="K347" i="5"/>
  <c r="L347" i="5" s="1"/>
  <c r="P347" i="5" s="1"/>
  <c r="K554" i="5"/>
  <c r="L554" i="5" s="1"/>
  <c r="P554" i="5" s="1"/>
  <c r="K738" i="5"/>
  <c r="L738" i="5" s="1"/>
  <c r="P738" i="5" s="1"/>
  <c r="K1212" i="5"/>
  <c r="L1212" i="5" s="1"/>
  <c r="P1212" i="5" s="1"/>
  <c r="K1579" i="5"/>
  <c r="L1579" i="5" s="1"/>
  <c r="P1579" i="5" s="1"/>
  <c r="K1729" i="5"/>
  <c r="L1729" i="5" s="1"/>
  <c r="P1729" i="5" s="1"/>
  <c r="K1821" i="5"/>
  <c r="L1821" i="5" s="1"/>
  <c r="P1821" i="5" s="1"/>
  <c r="K2070" i="5"/>
  <c r="L2070" i="5" s="1"/>
  <c r="P2070" i="5" s="1"/>
  <c r="K593" i="5"/>
  <c r="L593" i="5" s="1"/>
  <c r="P593" i="5" s="1"/>
  <c r="K1994" i="5"/>
  <c r="L1994" i="5" s="1"/>
  <c r="P1994" i="5" s="1"/>
  <c r="K2118" i="5"/>
  <c r="L2118" i="5" s="1"/>
  <c r="P2118" i="5" s="1"/>
  <c r="K1194" i="5"/>
  <c r="L1194" i="5" s="1"/>
  <c r="P1194" i="5" s="1"/>
  <c r="K1196" i="5"/>
  <c r="L1196" i="5" s="1"/>
  <c r="P1196" i="5" s="1"/>
  <c r="K1348" i="5"/>
  <c r="L1348" i="5" s="1"/>
  <c r="P1348" i="5" s="1"/>
  <c r="K1351" i="5"/>
  <c r="L1351" i="5" s="1"/>
  <c r="P1351" i="5" s="1"/>
  <c r="K1486" i="5"/>
  <c r="L1486" i="5" s="1"/>
  <c r="P1486" i="5" s="1"/>
  <c r="K2024" i="5"/>
  <c r="L2024" i="5" s="1"/>
  <c r="P2024" i="5" s="1"/>
  <c r="K581" i="5"/>
  <c r="L581" i="5" s="1"/>
  <c r="P581" i="5" s="1"/>
  <c r="K1253" i="5"/>
  <c r="L1253" i="5" s="1"/>
  <c r="P1253" i="5" s="1"/>
  <c r="K1389" i="5"/>
  <c r="L1389" i="5" s="1"/>
  <c r="P1389" i="5" s="1"/>
  <c r="K1381" i="5"/>
  <c r="L1381" i="5" s="1"/>
  <c r="P1381" i="5" s="1"/>
  <c r="K1897" i="5"/>
  <c r="L1897" i="5" s="1"/>
  <c r="P1897" i="5" s="1"/>
  <c r="K168" i="5"/>
  <c r="L168" i="5" s="1"/>
  <c r="P168" i="5" s="1"/>
  <c r="K436" i="5"/>
  <c r="L436" i="5" s="1"/>
  <c r="P436" i="5" s="1"/>
  <c r="K566" i="5"/>
  <c r="L566" i="5" s="1"/>
  <c r="P566" i="5" s="1"/>
  <c r="K1200" i="5"/>
  <c r="L1200" i="5" s="1"/>
  <c r="P1200" i="5" s="1"/>
  <c r="K1566" i="5"/>
  <c r="L1566" i="5" s="1"/>
  <c r="P1566" i="5" s="1"/>
  <c r="K1891" i="5"/>
  <c r="L1891" i="5" s="1"/>
  <c r="P1891" i="5" s="1"/>
  <c r="K2209" i="5"/>
  <c r="L2209" i="5" s="1"/>
  <c r="P2209" i="5" s="1"/>
  <c r="K2449" i="5"/>
  <c r="L2449" i="5" s="1"/>
  <c r="P2449" i="5" s="1"/>
  <c r="K676" i="5"/>
  <c r="L676" i="5" s="1"/>
  <c r="P676" i="5" s="1"/>
  <c r="K1326" i="5"/>
  <c r="L1326" i="5" s="1"/>
  <c r="P1326" i="5" s="1"/>
  <c r="K1854" i="5"/>
  <c r="L1854" i="5" s="1"/>
  <c r="P1854" i="5" s="1"/>
  <c r="K2267" i="5"/>
  <c r="L2267" i="5" s="1"/>
  <c r="P2267" i="5" s="1"/>
  <c r="K663" i="5"/>
  <c r="L663" i="5" s="1"/>
  <c r="P663" i="5" s="1"/>
  <c r="K1176" i="5"/>
  <c r="L1176" i="5" s="1"/>
  <c r="P1176" i="5" s="1"/>
  <c r="K1355" i="5"/>
  <c r="L1355" i="5" s="1"/>
  <c r="P1355" i="5" s="1"/>
  <c r="K1945" i="5"/>
  <c r="L1945" i="5" s="1"/>
  <c r="P1945" i="5" s="1"/>
  <c r="K149" i="5"/>
  <c r="L149" i="5" s="1"/>
  <c r="P149" i="5" s="1"/>
  <c r="K1080" i="5"/>
  <c r="L1080" i="5" s="1"/>
  <c r="P1080" i="5" s="1"/>
  <c r="K1088" i="5"/>
  <c r="L1088" i="5" s="1"/>
  <c r="P1088" i="5" s="1"/>
  <c r="K441" i="5"/>
  <c r="L441" i="5" s="1"/>
  <c r="P441" i="5" s="1"/>
  <c r="K528" i="5"/>
  <c r="L528" i="5" s="1"/>
  <c r="P528" i="5" s="1"/>
  <c r="K638" i="5"/>
  <c r="L638" i="5" s="1"/>
  <c r="P638" i="5" s="1"/>
  <c r="K1607" i="5"/>
  <c r="L1607" i="5" s="1"/>
  <c r="P1607" i="5" s="1"/>
  <c r="K1661" i="5"/>
  <c r="L1661" i="5" s="1"/>
  <c r="P1661" i="5" s="1"/>
  <c r="K633" i="5"/>
  <c r="L633" i="5" s="1"/>
  <c r="P633" i="5" s="1"/>
  <c r="K1324" i="5"/>
  <c r="L1324" i="5" s="1"/>
  <c r="P1324" i="5" s="1"/>
  <c r="K1970" i="5"/>
  <c r="L1970" i="5" s="1"/>
  <c r="P1970" i="5" s="1"/>
  <c r="K2019" i="5"/>
  <c r="L2019" i="5" s="1"/>
  <c r="P2019" i="5" s="1"/>
  <c r="K2077" i="5"/>
  <c r="L2077" i="5" s="1"/>
  <c r="P2077" i="5" s="1"/>
  <c r="K729" i="5"/>
  <c r="L729" i="5" s="1"/>
  <c r="P729" i="5" s="1"/>
  <c r="K928" i="5"/>
  <c r="L928" i="5" s="1"/>
  <c r="P928" i="5" s="1"/>
  <c r="K1781" i="5"/>
  <c r="L1781" i="5" s="1"/>
  <c r="P1781" i="5" s="1"/>
  <c r="K2268" i="5"/>
  <c r="L2268" i="5" s="1"/>
  <c r="P2268" i="5" s="1"/>
  <c r="K293" i="5"/>
  <c r="L293" i="5" s="1"/>
  <c r="P293" i="5" s="1"/>
  <c r="K576" i="5"/>
  <c r="L576" i="5" s="1"/>
  <c r="P576" i="5" s="1"/>
  <c r="K954" i="5"/>
  <c r="L954" i="5" s="1"/>
  <c r="P954" i="5" s="1"/>
  <c r="K1342" i="5"/>
  <c r="L1342" i="5" s="1"/>
  <c r="P1342" i="5" s="1"/>
  <c r="K223" i="5"/>
  <c r="L223" i="5" s="1"/>
  <c r="P223" i="5" s="1"/>
  <c r="K720" i="5"/>
  <c r="L720" i="5" s="1"/>
  <c r="P720" i="5" s="1"/>
  <c r="K1004" i="5"/>
  <c r="L1004" i="5" s="1"/>
  <c r="P1004" i="5" s="1"/>
  <c r="K1495" i="5"/>
  <c r="L1495" i="5" s="1"/>
  <c r="P1495" i="5" s="1"/>
  <c r="K2028" i="5"/>
  <c r="L2028" i="5" s="1"/>
  <c r="P2028" i="5" s="1"/>
  <c r="K245" i="5"/>
  <c r="L245" i="5" s="1"/>
  <c r="P245" i="5" s="1"/>
  <c r="K252" i="5"/>
  <c r="L252" i="5" s="1"/>
  <c r="P252" i="5" s="1"/>
  <c r="K448" i="5"/>
  <c r="L448" i="5" s="1"/>
  <c r="P448" i="5" s="1"/>
  <c r="K1772" i="5"/>
  <c r="L1772" i="5" s="1"/>
  <c r="P1772" i="5" s="1"/>
  <c r="K688" i="5"/>
  <c r="L688" i="5" s="1"/>
  <c r="P688" i="5" s="1"/>
  <c r="K33" i="5"/>
  <c r="L33" i="5" s="1"/>
  <c r="P33" i="5" s="1"/>
  <c r="K892" i="5"/>
  <c r="L892" i="5" s="1"/>
  <c r="P892" i="5" s="1"/>
  <c r="K1368" i="5"/>
  <c r="L1368" i="5" s="1"/>
  <c r="P1368" i="5" s="1"/>
  <c r="K1399" i="5"/>
  <c r="L1399" i="5" s="1"/>
  <c r="P1399" i="5" s="1"/>
  <c r="K1746" i="5"/>
  <c r="L1746" i="5" s="1"/>
  <c r="P1746" i="5" s="1"/>
  <c r="K2215" i="5"/>
  <c r="L2215" i="5" s="1"/>
  <c r="P2215" i="5" s="1"/>
  <c r="K2274" i="5"/>
  <c r="L2274" i="5" s="1"/>
  <c r="P2274" i="5" s="1"/>
  <c r="K848" i="5"/>
  <c r="L848" i="5" s="1"/>
  <c r="P848" i="5" s="1"/>
  <c r="K1703" i="5"/>
  <c r="L1703" i="5" s="1"/>
  <c r="P1703" i="5" s="1"/>
  <c r="K1712" i="5"/>
  <c r="L1712" i="5" s="1"/>
  <c r="P1712" i="5" s="1"/>
  <c r="K2266" i="5"/>
  <c r="L2266" i="5" s="1"/>
  <c r="P2266" i="5" s="1"/>
  <c r="K2414" i="5"/>
  <c r="L2414" i="5" s="1"/>
  <c r="P2414" i="5" s="1"/>
  <c r="K580" i="5"/>
  <c r="L580" i="5" s="1"/>
  <c r="P580" i="5" s="1"/>
  <c r="K596" i="5"/>
  <c r="L596" i="5" s="1"/>
  <c r="P596" i="5" s="1"/>
  <c r="K1236" i="5"/>
  <c r="L1236" i="5" s="1"/>
  <c r="P1236" i="5" s="1"/>
  <c r="K815" i="5"/>
  <c r="L815" i="5" s="1"/>
  <c r="P815" i="5" s="1"/>
  <c r="K1070" i="5"/>
  <c r="L1070" i="5" s="1"/>
  <c r="P1070" i="5" s="1"/>
  <c r="K1352" i="5"/>
  <c r="L1352" i="5" s="1"/>
  <c r="P1352" i="5" s="1"/>
  <c r="K1535" i="5"/>
  <c r="L1535" i="5" s="1"/>
  <c r="P1535" i="5" s="1"/>
  <c r="K1834" i="5"/>
  <c r="L1834" i="5" s="1"/>
  <c r="P1834" i="5" s="1"/>
  <c r="K2358" i="5"/>
  <c r="L2358" i="5" s="1"/>
  <c r="P2358" i="5" s="1"/>
  <c r="K69" i="5"/>
  <c r="L69" i="5" s="1"/>
  <c r="P69" i="5" s="1"/>
  <c r="K365" i="5"/>
  <c r="L365" i="5" s="1"/>
  <c r="P365" i="5" s="1"/>
  <c r="K781" i="5"/>
  <c r="L781" i="5" s="1"/>
  <c r="P781" i="5" s="1"/>
  <c r="K2191" i="5"/>
  <c r="L2191" i="5" s="1"/>
  <c r="P2191" i="5" s="1"/>
  <c r="K1223" i="5"/>
  <c r="L1223" i="5" s="1"/>
  <c r="P1223" i="5" s="1"/>
  <c r="K1806" i="5"/>
  <c r="L1806" i="5" s="1"/>
  <c r="P1806" i="5" s="1"/>
  <c r="K2196" i="5"/>
  <c r="L2196" i="5" s="1"/>
  <c r="P2196" i="5" s="1"/>
  <c r="K2258" i="5"/>
  <c r="L2258" i="5" s="1"/>
  <c r="P2258" i="5" s="1"/>
  <c r="K79" i="5"/>
  <c r="L79" i="5" s="1"/>
  <c r="P79" i="5" s="1"/>
  <c r="K1581" i="5"/>
  <c r="L1581" i="5" s="1"/>
  <c r="P1581" i="5" s="1"/>
  <c r="K1807" i="5"/>
  <c r="L1807" i="5" s="1"/>
  <c r="P1807" i="5" s="1"/>
  <c r="K2085" i="5"/>
  <c r="L2085" i="5" s="1"/>
  <c r="P2085" i="5" s="1"/>
  <c r="K2243" i="5"/>
  <c r="L2243" i="5" s="1"/>
  <c r="P2243" i="5" s="1"/>
  <c r="K1726" i="5"/>
  <c r="L1726" i="5" s="1"/>
  <c r="P1726" i="5" s="1"/>
  <c r="K1871" i="5"/>
  <c r="L1871" i="5" s="1"/>
  <c r="P1871" i="5" s="1"/>
  <c r="K2111" i="5"/>
  <c r="L2111" i="5" s="1"/>
  <c r="P2111" i="5" s="1"/>
  <c r="K2353" i="5"/>
  <c r="L2353" i="5" s="1"/>
  <c r="P2353" i="5" s="1"/>
  <c r="K64" i="5"/>
  <c r="L64" i="5" s="1"/>
  <c r="P64" i="5" s="1"/>
  <c r="K156" i="5"/>
  <c r="L156" i="5" s="1"/>
  <c r="P156" i="5" s="1"/>
  <c r="K226" i="5"/>
  <c r="L226" i="5" s="1"/>
  <c r="P226" i="5" s="1"/>
  <c r="K289" i="5"/>
  <c r="L289" i="5" s="1"/>
  <c r="P289" i="5" s="1"/>
  <c r="K1572" i="5"/>
  <c r="L1572" i="5" s="1"/>
  <c r="P1572" i="5" s="1"/>
  <c r="K1653" i="5"/>
  <c r="L1653" i="5" s="1"/>
  <c r="P1653" i="5" s="1"/>
  <c r="K1974" i="5"/>
  <c r="L1974" i="5" s="1"/>
  <c r="P1974" i="5" s="1"/>
  <c r="K2202" i="5"/>
  <c r="L2202" i="5" s="1"/>
  <c r="P2202" i="5" s="1"/>
  <c r="K2301" i="5"/>
  <c r="L2301" i="5" s="1"/>
  <c r="P2301" i="5" s="1"/>
  <c r="K211" i="5"/>
  <c r="L211" i="5" s="1"/>
  <c r="P211" i="5" s="1"/>
  <c r="K1009" i="5"/>
  <c r="L1009" i="5" s="1"/>
  <c r="P1009" i="5" s="1"/>
  <c r="K1101" i="5"/>
  <c r="L1101" i="5" s="1"/>
  <c r="P1101" i="5" s="1"/>
  <c r="K2400" i="5"/>
  <c r="L2400" i="5" s="1"/>
  <c r="P2400" i="5" s="1"/>
  <c r="K1958" i="5"/>
  <c r="L1958" i="5" s="1"/>
  <c r="P1958" i="5" s="1"/>
  <c r="K2423" i="5"/>
  <c r="L2423" i="5" s="1"/>
  <c r="P2423" i="5" s="1"/>
  <c r="K215" i="5"/>
  <c r="L215" i="5" s="1"/>
  <c r="P215" i="5" s="1"/>
  <c r="K457" i="5"/>
  <c r="L457" i="5" s="1"/>
  <c r="P457" i="5" s="1"/>
  <c r="K875" i="5"/>
  <c r="L875" i="5" s="1"/>
  <c r="P875" i="5" s="1"/>
  <c r="K2269" i="5"/>
  <c r="L2269" i="5" s="1"/>
  <c r="P2269" i="5" s="1"/>
  <c r="K2432" i="5"/>
  <c r="L2432" i="5" s="1"/>
  <c r="P2432" i="5" s="1"/>
  <c r="K1145" i="5"/>
  <c r="L1145" i="5" s="1"/>
  <c r="P1145" i="5" s="1"/>
  <c r="K2029" i="5"/>
  <c r="L2029" i="5" s="1"/>
  <c r="P2029" i="5" s="1"/>
  <c r="K2081" i="5"/>
  <c r="L2081" i="5" s="1"/>
  <c r="P2081" i="5" s="1"/>
  <c r="K627" i="5"/>
  <c r="L627" i="5" s="1"/>
  <c r="P627" i="5" s="1"/>
  <c r="K1681" i="5"/>
  <c r="L1681" i="5" s="1"/>
  <c r="P1681" i="5" s="1"/>
  <c r="K2038" i="5"/>
  <c r="L2038" i="5" s="1"/>
  <c r="P2038" i="5" s="1"/>
  <c r="K285" i="5"/>
  <c r="L285" i="5" s="1"/>
  <c r="P285" i="5" s="1"/>
  <c r="K1300" i="5"/>
  <c r="L1300" i="5" s="1"/>
  <c r="P1300" i="5" s="1"/>
  <c r="K4" i="5"/>
  <c r="L4" i="5" s="1"/>
  <c r="P4" i="5" s="1"/>
  <c r="K378" i="5"/>
  <c r="L378" i="5" s="1"/>
  <c r="P378" i="5" s="1"/>
  <c r="K462" i="5"/>
  <c r="L462" i="5" s="1"/>
  <c r="P462" i="5" s="1"/>
  <c r="K1209" i="5"/>
  <c r="L1209" i="5" s="1"/>
  <c r="P1209" i="5" s="1"/>
  <c r="K1261" i="5"/>
  <c r="L1261" i="5" s="1"/>
  <c r="P1261" i="5" s="1"/>
  <c r="K1387" i="5"/>
  <c r="L1387" i="5" s="1"/>
  <c r="P1387" i="5" s="1"/>
  <c r="K2309" i="5"/>
  <c r="L2309" i="5" s="1"/>
  <c r="P2309" i="5" s="1"/>
  <c r="K2430" i="5"/>
  <c r="L2430" i="5" s="1"/>
  <c r="P2430" i="5" s="1"/>
  <c r="K124" i="5"/>
  <c r="L124" i="5" s="1"/>
  <c r="P124" i="5" s="1"/>
  <c r="K1204" i="5"/>
  <c r="L1204" i="5" s="1"/>
  <c r="P1204" i="5" s="1"/>
  <c r="K2109" i="5"/>
  <c r="L2109" i="5" s="1"/>
  <c r="P2109" i="5" s="1"/>
  <c r="K335" i="5"/>
  <c r="L335" i="5" s="1"/>
  <c r="P335" i="5" s="1"/>
  <c r="K384" i="5"/>
  <c r="L384" i="5" s="1"/>
  <c r="P384" i="5" s="1"/>
  <c r="K646" i="5"/>
  <c r="L646" i="5" s="1"/>
  <c r="P646" i="5" s="1"/>
  <c r="K726" i="5"/>
  <c r="L726" i="5" s="1"/>
  <c r="P726" i="5" s="1"/>
  <c r="K1929" i="5"/>
  <c r="L1929" i="5" s="1"/>
  <c r="P1929" i="5" s="1"/>
  <c r="K1938" i="5"/>
  <c r="L1938" i="5" s="1"/>
  <c r="P1938" i="5" s="1"/>
  <c r="K2457" i="5"/>
  <c r="L2457" i="5" s="1"/>
  <c r="P2457" i="5" s="1"/>
  <c r="K1431" i="5"/>
  <c r="L1431" i="5" s="1"/>
  <c r="P1431" i="5" s="1"/>
  <c r="K1980" i="5"/>
  <c r="L1980" i="5" s="1"/>
  <c r="P1980" i="5" s="1"/>
  <c r="K54" i="5"/>
  <c r="L54" i="5" s="1"/>
  <c r="P54" i="5" s="1"/>
  <c r="K277" i="5"/>
  <c r="L277" i="5" s="1"/>
  <c r="P277" i="5" s="1"/>
  <c r="K860" i="5"/>
  <c r="L860" i="5" s="1"/>
  <c r="P860" i="5" s="1"/>
  <c r="K919" i="5"/>
  <c r="L919" i="5" s="1"/>
  <c r="P919" i="5" s="1"/>
  <c r="K1033" i="5"/>
  <c r="L1033" i="5" s="1"/>
  <c r="P1033" i="5" s="1"/>
  <c r="K2045" i="5"/>
  <c r="L2045" i="5" s="1"/>
  <c r="P2045" i="5" s="1"/>
  <c r="K2372" i="5"/>
  <c r="L2372" i="5" s="1"/>
  <c r="P2372" i="5" s="1"/>
  <c r="K475" i="5"/>
  <c r="L475" i="5" s="1"/>
  <c r="P475" i="5" s="1"/>
  <c r="K871" i="5"/>
  <c r="L871" i="5" s="1"/>
  <c r="P871" i="5" s="1"/>
  <c r="K1086" i="5"/>
  <c r="L1086" i="5" s="1"/>
  <c r="P1086" i="5" s="1"/>
  <c r="K1537" i="5"/>
  <c r="L1537" i="5" s="1"/>
  <c r="P1537" i="5" s="1"/>
  <c r="K1586" i="5"/>
  <c r="L1586" i="5" s="1"/>
  <c r="P1586" i="5" s="1"/>
  <c r="K1790" i="5"/>
  <c r="L1790" i="5" s="1"/>
  <c r="P1790" i="5" s="1"/>
  <c r="K2302" i="5"/>
  <c r="L2302" i="5" s="1"/>
  <c r="P2302" i="5" s="1"/>
  <c r="K1288" i="5"/>
  <c r="L1288" i="5" s="1"/>
  <c r="P1288" i="5" s="1"/>
  <c r="K1362" i="5"/>
  <c r="L1362" i="5" s="1"/>
  <c r="P1362" i="5" s="1"/>
  <c r="K1984" i="5"/>
  <c r="L1984" i="5" s="1"/>
  <c r="P1984" i="5" s="1"/>
  <c r="K203" i="5"/>
  <c r="L203" i="5" s="1"/>
  <c r="P203" i="5" s="1"/>
  <c r="K1580" i="5"/>
  <c r="L1580" i="5" s="1"/>
  <c r="P1580" i="5" s="1"/>
  <c r="K6" i="5"/>
  <c r="L6" i="5" s="1"/>
  <c r="P6" i="5" s="1"/>
  <c r="K238" i="5"/>
  <c r="L238" i="5" s="1"/>
  <c r="P238" i="5" s="1"/>
  <c r="K263" i="5"/>
  <c r="L263" i="5" s="1"/>
  <c r="P263" i="5" s="1"/>
  <c r="K921" i="5"/>
  <c r="L921" i="5" s="1"/>
  <c r="P921" i="5" s="1"/>
  <c r="K2483" i="5"/>
  <c r="L2483" i="5" s="1"/>
  <c r="P2483" i="5" s="1"/>
  <c r="K160" i="5"/>
  <c r="L160" i="5" s="1"/>
  <c r="P160" i="5" s="1"/>
  <c r="K1240" i="5"/>
  <c r="L1240" i="5" s="1"/>
  <c r="P1240" i="5" s="1"/>
  <c r="K2014" i="5"/>
  <c r="L2014" i="5" s="1"/>
  <c r="P2014" i="5" s="1"/>
  <c r="K469" i="5"/>
  <c r="L469" i="5" s="1"/>
  <c r="P469" i="5" s="1"/>
  <c r="K2136" i="5"/>
  <c r="L2136" i="5" s="1"/>
  <c r="P2136" i="5" s="1"/>
  <c r="K112" i="5"/>
  <c r="L112" i="5" s="1"/>
  <c r="P112" i="5" s="1"/>
  <c r="K1293" i="5"/>
  <c r="L1293" i="5" s="1"/>
  <c r="P1293" i="5" s="1"/>
  <c r="K1424" i="5"/>
  <c r="L1424" i="5" s="1"/>
  <c r="P1424" i="5" s="1"/>
  <c r="K2279" i="5"/>
  <c r="L2279" i="5" s="1"/>
  <c r="P2279" i="5" s="1"/>
  <c r="K2455" i="5"/>
  <c r="L2455" i="5" s="1"/>
  <c r="P2455" i="5" s="1"/>
  <c r="K1094" i="5"/>
  <c r="L1094" i="5" s="1"/>
  <c r="P1094" i="5" s="1"/>
  <c r="K1305" i="5"/>
  <c r="L1305" i="5" s="1"/>
  <c r="P1305" i="5" s="1"/>
  <c r="K1483" i="5"/>
  <c r="L1483" i="5" s="1"/>
  <c r="P1483" i="5" s="1"/>
  <c r="K2323" i="5"/>
  <c r="L2323" i="5" s="1"/>
  <c r="P2323" i="5" s="1"/>
  <c r="K444" i="5"/>
  <c r="L444" i="5" s="1"/>
  <c r="P444" i="5" s="1"/>
  <c r="K923" i="5"/>
  <c r="L923" i="5" s="1"/>
  <c r="P923" i="5" s="1"/>
  <c r="K1553" i="5"/>
  <c r="L1553" i="5" s="1"/>
  <c r="P1553" i="5" s="1"/>
  <c r="K519" i="5"/>
  <c r="L519" i="5" s="1"/>
  <c r="P519" i="5" s="1"/>
  <c r="K719" i="5"/>
  <c r="L719" i="5" s="1"/>
  <c r="P719" i="5" s="1"/>
  <c r="K1002" i="5"/>
  <c r="L1002" i="5" s="1"/>
  <c r="P1002" i="5" s="1"/>
  <c r="K1430" i="5"/>
  <c r="L1430" i="5" s="1"/>
  <c r="P1430" i="5" s="1"/>
  <c r="K1776" i="5"/>
  <c r="L1776" i="5" s="1"/>
  <c r="P1776" i="5" s="1"/>
  <c r="K1802" i="5"/>
  <c r="L1802" i="5" s="1"/>
  <c r="P1802" i="5" s="1"/>
  <c r="K1081" i="5"/>
  <c r="L1081" i="5" s="1"/>
  <c r="P1081" i="5" s="1"/>
  <c r="K1920" i="5"/>
  <c r="L1920" i="5" s="1"/>
  <c r="P1920" i="5" s="1"/>
  <c r="K2131" i="5"/>
  <c r="L2131" i="5" s="1"/>
  <c r="P2131" i="5" s="1"/>
  <c r="K2385" i="5"/>
  <c r="L2385" i="5" s="1"/>
  <c r="P2385" i="5" s="1"/>
  <c r="K155" i="5"/>
  <c r="L155" i="5" s="1"/>
  <c r="P155" i="5" s="1"/>
  <c r="K659" i="5"/>
  <c r="L659" i="5" s="1"/>
  <c r="P659" i="5" s="1"/>
  <c r="K1063" i="5"/>
  <c r="L1063" i="5" s="1"/>
  <c r="P1063" i="5" s="1"/>
  <c r="K2080" i="5"/>
  <c r="L2080" i="5" s="1"/>
  <c r="P2080" i="5" s="1"/>
  <c r="K788" i="5"/>
  <c r="L788" i="5" s="1"/>
  <c r="P788" i="5" s="1"/>
  <c r="K1797" i="5"/>
  <c r="L1797" i="5" s="1"/>
  <c r="P1797" i="5" s="1"/>
  <c r="K1953" i="5"/>
  <c r="L1953" i="5" s="1"/>
  <c r="P1953" i="5" s="1"/>
  <c r="K2026" i="5"/>
  <c r="L2026" i="5" s="1"/>
  <c r="P2026" i="5" s="1"/>
  <c r="K493" i="5"/>
  <c r="L493" i="5" s="1"/>
  <c r="P493" i="5" s="1"/>
  <c r="K894" i="5"/>
  <c r="L894" i="5" s="1"/>
  <c r="P894" i="5" s="1"/>
  <c r="K1446" i="5"/>
  <c r="L1446" i="5" s="1"/>
  <c r="P1446" i="5" s="1"/>
  <c r="K1796" i="5"/>
  <c r="L1796" i="5" s="1"/>
  <c r="P1796" i="5" s="1"/>
  <c r="K2334" i="5"/>
  <c r="L2334" i="5" s="1"/>
  <c r="P2334" i="5" s="1"/>
  <c r="K2475" i="5"/>
  <c r="L2475" i="5" s="1"/>
  <c r="P2475" i="5" s="1"/>
  <c r="K193" i="5"/>
  <c r="L193" i="5" s="1"/>
  <c r="P193" i="5" s="1"/>
  <c r="K1659" i="5"/>
  <c r="L1659" i="5" s="1"/>
  <c r="P1659" i="5" s="1"/>
  <c r="K130" i="5"/>
  <c r="L130" i="5" s="1"/>
  <c r="P130" i="5" s="1"/>
  <c r="K608" i="5"/>
  <c r="L608" i="5" s="1"/>
  <c r="P608" i="5" s="1"/>
  <c r="K810" i="5"/>
  <c r="L810" i="5" s="1"/>
  <c r="P810" i="5" s="1"/>
  <c r="K1476" i="5"/>
  <c r="L1476" i="5" s="1"/>
  <c r="P1476" i="5" s="1"/>
  <c r="K2069" i="5"/>
  <c r="L2069" i="5" s="1"/>
  <c r="P2069" i="5" s="1"/>
  <c r="K903" i="5"/>
  <c r="L903" i="5" s="1"/>
  <c r="P903" i="5" s="1"/>
  <c r="K1731" i="5"/>
  <c r="L1731" i="5" s="1"/>
  <c r="P1731" i="5" s="1"/>
  <c r="K2299" i="5"/>
  <c r="L2299" i="5" s="1"/>
  <c r="P2299" i="5" s="1"/>
  <c r="K2310" i="5"/>
  <c r="L2310" i="5" s="1"/>
  <c r="P2310" i="5" s="1"/>
  <c r="K98" i="5"/>
  <c r="L98" i="5" s="1"/>
  <c r="P98" i="5" s="1"/>
  <c r="K1660" i="5"/>
  <c r="L1660" i="5" s="1"/>
  <c r="P1660" i="5" s="1"/>
  <c r="K667" i="5"/>
  <c r="L667" i="5" s="1"/>
  <c r="P667" i="5" s="1"/>
  <c r="K977" i="5"/>
  <c r="L977" i="5" s="1"/>
  <c r="P977" i="5" s="1"/>
  <c r="K1564" i="5"/>
  <c r="L1564" i="5" s="1"/>
  <c r="P1564" i="5" s="1"/>
  <c r="K1816" i="5"/>
  <c r="L1816" i="5" s="1"/>
  <c r="P1816" i="5" s="1"/>
  <c r="K2082" i="5"/>
  <c r="L2082" i="5" s="1"/>
  <c r="P2082" i="5" s="1"/>
  <c r="K2187" i="5"/>
  <c r="L2187" i="5" s="1"/>
  <c r="P2187" i="5" s="1"/>
  <c r="K2260" i="5"/>
  <c r="L2260" i="5" s="1"/>
  <c r="P2260" i="5" s="1"/>
  <c r="K340" i="5"/>
  <c r="L340" i="5" s="1"/>
  <c r="P340" i="5" s="1"/>
  <c r="K955" i="5"/>
  <c r="L955" i="5" s="1"/>
  <c r="P955" i="5" s="1"/>
  <c r="K1687" i="5"/>
  <c r="L1687" i="5" s="1"/>
  <c r="P1687" i="5" s="1"/>
  <c r="K1885" i="5"/>
  <c r="L1885" i="5" s="1"/>
  <c r="P1885" i="5" s="1"/>
  <c r="K932" i="5"/>
  <c r="L932" i="5" s="1"/>
  <c r="P932" i="5" s="1"/>
  <c r="K1934" i="5"/>
  <c r="L1934" i="5" s="1"/>
  <c r="P1934" i="5" s="1"/>
  <c r="K2123" i="5"/>
  <c r="L2123" i="5" s="1"/>
  <c r="P2123" i="5" s="1"/>
  <c r="K18" i="5"/>
  <c r="L18" i="5" s="1"/>
  <c r="P18" i="5" s="1"/>
  <c r="K337" i="5"/>
  <c r="L337" i="5" s="1"/>
  <c r="P337" i="5" s="1"/>
  <c r="K355" i="5"/>
  <c r="L355" i="5" s="1"/>
  <c r="P355" i="5" s="1"/>
  <c r="K495" i="5"/>
  <c r="L495" i="5" s="1"/>
  <c r="P495" i="5" s="1"/>
  <c r="K653" i="5"/>
  <c r="L653" i="5" s="1"/>
  <c r="P653" i="5" s="1"/>
  <c r="K718" i="5"/>
  <c r="L718" i="5" s="1"/>
  <c r="P718" i="5" s="1"/>
  <c r="K728" i="5"/>
  <c r="L728" i="5" s="1"/>
  <c r="P728" i="5" s="1"/>
  <c r="K751" i="5"/>
  <c r="L751" i="5" s="1"/>
  <c r="P751" i="5" s="1"/>
  <c r="K1238" i="5"/>
  <c r="L1238" i="5" s="1"/>
  <c r="P1238" i="5" s="1"/>
  <c r="K1358" i="5"/>
  <c r="L1358" i="5" s="1"/>
  <c r="P1358" i="5" s="1"/>
  <c r="K2427" i="5"/>
  <c r="L2427" i="5" s="1"/>
  <c r="P2427" i="5" s="1"/>
  <c r="K16" i="5"/>
  <c r="L16" i="5" s="1"/>
  <c r="P16" i="5" s="1"/>
  <c r="K141" i="5"/>
  <c r="L141" i="5" s="1"/>
  <c r="P141" i="5" s="1"/>
  <c r="K143" i="5"/>
  <c r="L143" i="5" s="1"/>
  <c r="P143" i="5" s="1"/>
  <c r="K400" i="5"/>
  <c r="L400" i="5" s="1"/>
  <c r="P400" i="5" s="1"/>
  <c r="K515" i="5"/>
  <c r="L515" i="5" s="1"/>
  <c r="P515" i="5" s="1"/>
  <c r="K1621" i="5"/>
  <c r="L1621" i="5" s="1"/>
  <c r="P1621" i="5" s="1"/>
  <c r="K1742" i="5"/>
  <c r="L1742" i="5" s="1"/>
  <c r="P1742" i="5" s="1"/>
  <c r="K2413" i="5"/>
  <c r="L2413" i="5" s="1"/>
  <c r="P2413" i="5" s="1"/>
  <c r="K142" i="5"/>
  <c r="L142" i="5" s="1"/>
  <c r="P142" i="5" s="1"/>
  <c r="K233" i="5"/>
  <c r="L233" i="5" s="1"/>
  <c r="P233" i="5" s="1"/>
  <c r="K342" i="5"/>
  <c r="L342" i="5" s="1"/>
  <c r="P342" i="5" s="1"/>
  <c r="K404" i="5"/>
  <c r="L404" i="5" s="1"/>
  <c r="P404" i="5" s="1"/>
  <c r="K630" i="5"/>
  <c r="L630" i="5" s="1"/>
  <c r="P630" i="5" s="1"/>
  <c r="K1320" i="5"/>
  <c r="L1320" i="5" s="1"/>
  <c r="P1320" i="5" s="1"/>
  <c r="K1590" i="5"/>
  <c r="L1590" i="5" s="1"/>
  <c r="P1590" i="5" s="1"/>
  <c r="K1691" i="5"/>
  <c r="L1691" i="5" s="1"/>
  <c r="P1691" i="5" s="1"/>
  <c r="K100" i="5"/>
  <c r="L100" i="5" s="1"/>
  <c r="P100" i="5" s="1"/>
  <c r="K275" i="5"/>
  <c r="L275" i="5" s="1"/>
  <c r="P275" i="5" s="1"/>
  <c r="K1636" i="5"/>
  <c r="L1636" i="5" s="1"/>
  <c r="P1636" i="5" s="1"/>
  <c r="K2012" i="5"/>
  <c r="L2012" i="5" s="1"/>
  <c r="P2012" i="5" s="1"/>
  <c r="K2354" i="5"/>
  <c r="L2354" i="5" s="1"/>
  <c r="P2354" i="5" s="1"/>
  <c r="K2389" i="5"/>
  <c r="L2389" i="5" s="1"/>
  <c r="P2389" i="5" s="1"/>
  <c r="K2470" i="5"/>
  <c r="L2470" i="5" s="1"/>
  <c r="P2470" i="5" s="1"/>
  <c r="K85" i="5"/>
  <c r="L85" i="5" s="1"/>
  <c r="P85" i="5" s="1"/>
  <c r="K101" i="5"/>
  <c r="L101" i="5" s="1"/>
  <c r="P101" i="5" s="1"/>
  <c r="K490" i="5"/>
  <c r="L490" i="5" s="1"/>
  <c r="P490" i="5" s="1"/>
  <c r="K1137" i="5"/>
  <c r="L1137" i="5" s="1"/>
  <c r="P1137" i="5" s="1"/>
  <c r="K2078" i="5"/>
  <c r="L2078" i="5" s="1"/>
  <c r="P2078" i="5" s="1"/>
  <c r="K359" i="5"/>
  <c r="L359" i="5" s="1"/>
  <c r="P359" i="5" s="1"/>
  <c r="K687" i="5"/>
  <c r="L687" i="5" s="1"/>
  <c r="P687" i="5" s="1"/>
  <c r="K1124" i="5"/>
  <c r="L1124" i="5" s="1"/>
  <c r="P1124" i="5" s="1"/>
  <c r="K2337" i="5"/>
  <c r="L2337" i="5" s="1"/>
  <c r="P2337" i="5" s="1"/>
  <c r="K333" i="5"/>
  <c r="L333" i="5" s="1"/>
  <c r="P333" i="5" s="1"/>
  <c r="K1179" i="5"/>
  <c r="L1179" i="5" s="1"/>
  <c r="P1179" i="5" s="1"/>
  <c r="K1896" i="5"/>
  <c r="L1896" i="5" s="1"/>
  <c r="P1896" i="5" s="1"/>
  <c r="K2212" i="5"/>
  <c r="L2212" i="5" s="1"/>
  <c r="P2212" i="5" s="1"/>
  <c r="K2392" i="5"/>
  <c r="L2392" i="5" s="1"/>
  <c r="P2392" i="5" s="1"/>
  <c r="K23" i="5"/>
  <c r="L23" i="5" s="1"/>
  <c r="P23" i="5" s="1"/>
  <c r="K409" i="5"/>
  <c r="L409" i="5" s="1"/>
  <c r="P409" i="5" s="1"/>
  <c r="K1076" i="5"/>
  <c r="L1076" i="5" s="1"/>
  <c r="P1076" i="5" s="1"/>
  <c r="K1233" i="5"/>
  <c r="L1233" i="5" s="1"/>
  <c r="P1233" i="5" s="1"/>
  <c r="K1361" i="5"/>
  <c r="L1361" i="5" s="1"/>
  <c r="P1361" i="5" s="1"/>
  <c r="K1401" i="5"/>
  <c r="L1401" i="5" s="1"/>
  <c r="P1401" i="5" s="1"/>
  <c r="K1472" i="5"/>
  <c r="L1472" i="5" s="1"/>
  <c r="P1472" i="5" s="1"/>
  <c r="K1981" i="5"/>
  <c r="L1981" i="5" s="1"/>
  <c r="P1981" i="5" s="1"/>
  <c r="K13" i="5"/>
  <c r="L13" i="5" s="1"/>
  <c r="P13" i="5" s="1"/>
  <c r="K407" i="5"/>
  <c r="L407" i="5" s="1"/>
  <c r="P407" i="5" s="1"/>
  <c r="K583" i="5"/>
  <c r="L583" i="5" s="1"/>
  <c r="P583" i="5" s="1"/>
  <c r="K1041" i="5"/>
  <c r="L1041" i="5" s="1"/>
  <c r="P1041" i="5" s="1"/>
  <c r="K1257" i="5"/>
  <c r="L1257" i="5" s="1"/>
  <c r="P1257" i="5" s="1"/>
  <c r="K1511" i="5"/>
  <c r="L1511" i="5" s="1"/>
  <c r="P1511" i="5" s="1"/>
  <c r="K1738" i="5"/>
  <c r="L1738" i="5" s="1"/>
  <c r="P1738" i="5" s="1"/>
  <c r="K2061" i="5"/>
  <c r="L2061" i="5" s="1"/>
  <c r="P2061" i="5" s="1"/>
  <c r="K496" i="5"/>
  <c r="L496" i="5" s="1"/>
  <c r="P496" i="5" s="1"/>
  <c r="K864" i="5"/>
  <c r="L864" i="5" s="1"/>
  <c r="P864" i="5" s="1"/>
  <c r="K1195" i="5"/>
  <c r="L1195" i="5" s="1"/>
  <c r="P1195" i="5" s="1"/>
  <c r="K1237" i="5"/>
  <c r="L1237" i="5" s="1"/>
  <c r="P1237" i="5" s="1"/>
  <c r="K249" i="5"/>
  <c r="L249" i="5" s="1"/>
  <c r="P249" i="5" s="1"/>
  <c r="K1638" i="5"/>
  <c r="L1638" i="5" s="1"/>
  <c r="P1638" i="5" s="1"/>
  <c r="K1680" i="5"/>
  <c r="L1680" i="5" s="1"/>
  <c r="P1680" i="5" s="1"/>
  <c r="K2099" i="5"/>
  <c r="L2099" i="5" s="1"/>
  <c r="P2099" i="5" s="1"/>
  <c r="K2428" i="5"/>
  <c r="L2428" i="5" s="1"/>
  <c r="P2428" i="5" s="1"/>
  <c r="K694" i="5"/>
  <c r="L694" i="5" s="1"/>
  <c r="P694" i="5" s="1"/>
  <c r="K1618" i="5"/>
  <c r="L1618" i="5" s="1"/>
  <c r="P1618" i="5" s="1"/>
  <c r="K158" i="5"/>
  <c r="L158" i="5" s="1"/>
  <c r="P158" i="5" s="1"/>
  <c r="K435" i="5"/>
  <c r="L435" i="5" s="1"/>
  <c r="P435" i="5" s="1"/>
  <c r="K512" i="5"/>
  <c r="L512" i="5" s="1"/>
  <c r="P512" i="5" s="1"/>
  <c r="K552" i="5"/>
  <c r="L552" i="5" s="1"/>
  <c r="P552" i="5" s="1"/>
  <c r="K567" i="5"/>
  <c r="L567" i="5" s="1"/>
  <c r="P567" i="5" s="1"/>
  <c r="K601" i="5"/>
  <c r="L601" i="5" s="1"/>
  <c r="P601" i="5" s="1"/>
  <c r="K777" i="5"/>
  <c r="L777" i="5" s="1"/>
  <c r="P777" i="5" s="1"/>
  <c r="K873" i="5"/>
  <c r="L873" i="5" s="1"/>
  <c r="P873" i="5" s="1"/>
  <c r="K1514" i="5"/>
  <c r="L1514" i="5" s="1"/>
  <c r="P1514" i="5" s="1"/>
  <c r="K1764" i="5"/>
  <c r="L1764" i="5" s="1"/>
  <c r="P1764" i="5" s="1"/>
  <c r="K2065" i="5"/>
  <c r="L2065" i="5" s="1"/>
  <c r="P2065" i="5" s="1"/>
  <c r="K334" i="5"/>
  <c r="L334" i="5" s="1"/>
  <c r="P334" i="5" s="1"/>
  <c r="K1374" i="5"/>
  <c r="L1374" i="5" s="1"/>
  <c r="P1374" i="5" s="1"/>
  <c r="K1616" i="5"/>
  <c r="L1616" i="5" s="1"/>
  <c r="P1616" i="5" s="1"/>
  <c r="K2272" i="5"/>
  <c r="L2272" i="5" s="1"/>
  <c r="P2272" i="5" s="1"/>
  <c r="K2355" i="5"/>
  <c r="L2355" i="5" s="1"/>
  <c r="P2355" i="5" s="1"/>
  <c r="K122" i="5"/>
  <c r="L122" i="5" s="1"/>
  <c r="P122" i="5" s="1"/>
  <c r="K201" i="5"/>
  <c r="L201" i="5" s="1"/>
  <c r="P201" i="5" s="1"/>
  <c r="K590" i="5"/>
  <c r="L590" i="5" s="1"/>
  <c r="P590" i="5" s="1"/>
  <c r="K1190" i="5"/>
  <c r="L1190" i="5" s="1"/>
  <c r="P1190" i="5" s="1"/>
  <c r="K1269" i="5"/>
  <c r="L1269" i="5" s="1"/>
  <c r="P1269" i="5" s="1"/>
  <c r="K2068" i="5"/>
  <c r="L2068" i="5" s="1"/>
  <c r="P2068" i="5" s="1"/>
  <c r="K2189" i="5"/>
  <c r="L2189" i="5" s="1"/>
  <c r="P2189" i="5" s="1"/>
  <c r="K99" i="5"/>
  <c r="L99" i="5" s="1"/>
  <c r="P99" i="5" s="1"/>
  <c r="K537" i="5"/>
  <c r="L537" i="5" s="1"/>
  <c r="P537" i="5" s="1"/>
  <c r="K1239" i="5"/>
  <c r="L1239" i="5" s="1"/>
  <c r="P1239" i="5" s="1"/>
  <c r="K1515" i="5"/>
  <c r="L1515" i="5" s="1"/>
  <c r="P1515" i="5" s="1"/>
  <c r="K108" i="5"/>
  <c r="L108" i="5" s="1"/>
  <c r="P108" i="5" s="1"/>
  <c r="K1026" i="5"/>
  <c r="L1026" i="5" s="1"/>
  <c r="P1026" i="5" s="1"/>
  <c r="K1838" i="5"/>
  <c r="L1838" i="5" s="1"/>
  <c r="P1838" i="5" s="1"/>
  <c r="K1870" i="5"/>
  <c r="L1870" i="5" s="1"/>
  <c r="P1870" i="5" s="1"/>
  <c r="K2140" i="5"/>
  <c r="L2140" i="5" s="1"/>
  <c r="P2140" i="5" s="1"/>
  <c r="K2164" i="5"/>
  <c r="L2164" i="5" s="1"/>
  <c r="P2164" i="5" s="1"/>
  <c r="K2180" i="5"/>
  <c r="L2180" i="5" s="1"/>
  <c r="P2180" i="5" s="1"/>
  <c r="K240" i="5"/>
  <c r="L240" i="5" s="1"/>
  <c r="P240" i="5" s="1"/>
  <c r="K499" i="5"/>
  <c r="L499" i="5" s="1"/>
  <c r="P499" i="5" s="1"/>
  <c r="K529" i="5"/>
  <c r="L529" i="5" s="1"/>
  <c r="P529" i="5" s="1"/>
  <c r="K760" i="5"/>
  <c r="L760" i="5" s="1"/>
  <c r="P760" i="5" s="1"/>
  <c r="K834" i="5"/>
  <c r="L834" i="5" s="1"/>
  <c r="P834" i="5" s="1"/>
  <c r="K2051" i="5"/>
  <c r="L2051" i="5" s="1"/>
  <c r="P2051" i="5" s="1"/>
  <c r="K196" i="5"/>
  <c r="L196" i="5" s="1"/>
  <c r="P196" i="5" s="1"/>
  <c r="K424" i="5"/>
  <c r="L424" i="5" s="1"/>
  <c r="P424" i="5" s="1"/>
  <c r="K708" i="5"/>
  <c r="L708" i="5" s="1"/>
  <c r="P708" i="5" s="1"/>
  <c r="K1574" i="5"/>
  <c r="L1574" i="5" s="1"/>
  <c r="P1574" i="5" s="1"/>
  <c r="K175" i="5"/>
  <c r="L175" i="5" s="1"/>
  <c r="P175" i="5" s="1"/>
  <c r="K279" i="5"/>
  <c r="L279" i="5" s="1"/>
  <c r="P279" i="5" s="1"/>
  <c r="K563" i="5"/>
  <c r="L563" i="5" s="1"/>
  <c r="P563" i="5" s="1"/>
  <c r="K827" i="5"/>
  <c r="L827" i="5" s="1"/>
  <c r="P827" i="5" s="1"/>
  <c r="K1302" i="5"/>
  <c r="L1302" i="5" s="1"/>
  <c r="P1302" i="5" s="1"/>
  <c r="K1363" i="5"/>
  <c r="L1363" i="5" s="1"/>
  <c r="P1363" i="5" s="1"/>
  <c r="K2453" i="5"/>
  <c r="L2453" i="5" s="1"/>
  <c r="P2453" i="5" s="1"/>
  <c r="K778" i="5"/>
  <c r="L778" i="5" s="1"/>
  <c r="P778" i="5" s="1"/>
  <c r="K851" i="5"/>
  <c r="L851" i="5" s="1"/>
  <c r="P851" i="5" s="1"/>
  <c r="K1104" i="5"/>
  <c r="L1104" i="5" s="1"/>
  <c r="P1104" i="5" s="1"/>
  <c r="K1508" i="5"/>
  <c r="L1508" i="5" s="1"/>
  <c r="P1508" i="5" s="1"/>
  <c r="K2290" i="5"/>
  <c r="L2290" i="5" s="1"/>
  <c r="P2290" i="5" s="1"/>
  <c r="K2349" i="5"/>
  <c r="L2349" i="5" s="1"/>
  <c r="P2349" i="5" s="1"/>
  <c r="K2494" i="5"/>
  <c r="L2494" i="5" s="1"/>
  <c r="P2494" i="5" s="1"/>
  <c r="K477" i="5"/>
  <c r="L477" i="5" s="1"/>
  <c r="P477" i="5" s="1"/>
  <c r="K1761" i="5"/>
  <c r="L1761" i="5" s="1"/>
  <c r="P1761" i="5" s="1"/>
  <c r="K43" i="5"/>
  <c r="L43" i="5" s="1"/>
  <c r="P43" i="5" s="1"/>
  <c r="K1000" i="5"/>
  <c r="L1000" i="5" s="1"/>
  <c r="P1000" i="5" s="1"/>
  <c r="K1666" i="5"/>
  <c r="L1666" i="5" s="1"/>
  <c r="P1666" i="5" s="1"/>
  <c r="K2329" i="5"/>
  <c r="L2329" i="5" s="1"/>
  <c r="P2329" i="5" s="1"/>
  <c r="K128" i="5"/>
  <c r="L128" i="5" s="1"/>
  <c r="P128" i="5" s="1"/>
  <c r="K673" i="5"/>
  <c r="L673" i="5" s="1"/>
  <c r="P673" i="5" s="1"/>
  <c r="K1518" i="5"/>
  <c r="L1518" i="5" s="1"/>
  <c r="P1518" i="5" s="1"/>
  <c r="K1700" i="5"/>
  <c r="L1700" i="5" s="1"/>
  <c r="P1700" i="5" s="1"/>
  <c r="K1817" i="5"/>
  <c r="L1817" i="5" s="1"/>
  <c r="P1817" i="5" s="1"/>
  <c r="K2462" i="5"/>
  <c r="L2462" i="5" s="1"/>
  <c r="P2462" i="5" s="1"/>
  <c r="K377" i="5"/>
  <c r="L377" i="5" s="1"/>
  <c r="P377" i="5" s="1"/>
  <c r="K812" i="5"/>
  <c r="L812" i="5" s="1"/>
  <c r="P812" i="5" s="1"/>
  <c r="K1281" i="5"/>
  <c r="L1281" i="5" s="1"/>
  <c r="P1281" i="5" s="1"/>
  <c r="K1367" i="5"/>
  <c r="L1367" i="5" s="1"/>
  <c r="P1367" i="5" s="1"/>
  <c r="K1663" i="5"/>
  <c r="L1663" i="5" s="1"/>
  <c r="P1663" i="5" s="1"/>
  <c r="K1785" i="5"/>
  <c r="L1785" i="5" s="1"/>
  <c r="P1785" i="5" s="1"/>
  <c r="K137" i="5"/>
  <c r="L137" i="5" s="1"/>
  <c r="P137" i="5" s="1"/>
  <c r="K1459" i="5"/>
  <c r="L1459" i="5" s="1"/>
  <c r="P1459" i="5" s="1"/>
  <c r="K1787" i="5"/>
  <c r="L1787" i="5" s="1"/>
  <c r="P1787" i="5" s="1"/>
  <c r="K1950" i="5"/>
  <c r="L1950" i="5" s="1"/>
  <c r="P1950" i="5" s="1"/>
  <c r="K2239" i="5"/>
  <c r="L2239" i="5" s="1"/>
  <c r="P2239" i="5" s="1"/>
  <c r="K2317" i="5"/>
  <c r="L2317" i="5" s="1"/>
  <c r="P2317" i="5" s="1"/>
  <c r="K198" i="5"/>
  <c r="L198" i="5" s="1"/>
  <c r="P198" i="5" s="1"/>
  <c r="K1371" i="5"/>
  <c r="L1371" i="5" s="1"/>
  <c r="P1371" i="5" s="1"/>
  <c r="K2035" i="5"/>
  <c r="L2035" i="5" s="1"/>
  <c r="P2035" i="5" s="1"/>
  <c r="K1294" i="5"/>
  <c r="L1294" i="5" s="1"/>
  <c r="P1294" i="5" s="1"/>
  <c r="K2066" i="5"/>
  <c r="L2066" i="5" s="1"/>
  <c r="P2066" i="5" s="1"/>
  <c r="K2172" i="5"/>
  <c r="L2172" i="5" s="1"/>
  <c r="P2172" i="5" s="1"/>
  <c r="K605" i="5"/>
  <c r="L605" i="5" s="1"/>
  <c r="P605" i="5" s="1"/>
  <c r="K1018" i="5"/>
  <c r="L1018" i="5" s="1"/>
  <c r="P1018" i="5" s="1"/>
  <c r="K1788" i="5"/>
  <c r="L1788" i="5" s="1"/>
  <c r="P1788" i="5" s="1"/>
  <c r="K1873" i="5"/>
  <c r="L1873" i="5" s="1"/>
  <c r="P1873" i="5" s="1"/>
  <c r="K1923" i="5"/>
  <c r="L1923" i="5" s="1"/>
  <c r="P1923" i="5" s="1"/>
  <c r="K594" i="5"/>
  <c r="L594" i="5" s="1"/>
  <c r="P594" i="5" s="1"/>
  <c r="K986" i="5"/>
  <c r="L986" i="5" s="1"/>
  <c r="P986" i="5" s="1"/>
  <c r="K1336" i="5"/>
  <c r="L1336" i="5" s="1"/>
  <c r="P1336" i="5" s="1"/>
  <c r="K1396" i="5"/>
  <c r="L1396" i="5" s="1"/>
  <c r="P1396" i="5" s="1"/>
  <c r="K1665" i="5"/>
  <c r="L1665" i="5" s="1"/>
  <c r="P1665" i="5" s="1"/>
  <c r="K2236" i="5"/>
  <c r="L2236" i="5" s="1"/>
  <c r="P2236" i="5" s="1"/>
  <c r="K2406" i="5"/>
  <c r="L2406" i="5" s="1"/>
  <c r="P2406" i="5" s="1"/>
  <c r="K140" i="5"/>
  <c r="L140" i="5" s="1"/>
  <c r="P140" i="5" s="1"/>
  <c r="K1504" i="5"/>
  <c r="L1504" i="5" s="1"/>
  <c r="P1504" i="5" s="1"/>
  <c r="K1939" i="5"/>
  <c r="L1939" i="5" s="1"/>
  <c r="P1939" i="5" s="1"/>
  <c r="K589" i="5"/>
  <c r="L589" i="5" s="1"/>
  <c r="P589" i="5" s="1"/>
  <c r="K12" i="5"/>
  <c r="L12" i="5" s="1"/>
  <c r="P12" i="5" s="1"/>
  <c r="K319" i="5"/>
  <c r="L319" i="5" s="1"/>
  <c r="P319" i="5" s="1"/>
  <c r="K2495" i="5"/>
  <c r="L2495" i="5" s="1"/>
  <c r="P2495" i="5" s="1"/>
  <c r="K715" i="5"/>
  <c r="L715" i="5" s="1"/>
  <c r="P715" i="5" s="1"/>
  <c r="K764" i="5"/>
  <c r="L764" i="5" s="1"/>
  <c r="P764" i="5" s="1"/>
  <c r="K1210" i="5"/>
  <c r="L1210" i="5" s="1"/>
  <c r="P1210" i="5" s="1"/>
  <c r="K1221" i="5"/>
  <c r="L1221" i="5" s="1"/>
  <c r="P1221" i="5" s="1"/>
  <c r="K2052" i="5"/>
  <c r="L2052" i="5" s="1"/>
  <c r="P2052" i="5" s="1"/>
  <c r="K2339" i="5"/>
  <c r="L2339" i="5" s="1"/>
  <c r="P2339" i="5" s="1"/>
  <c r="K1457" i="5"/>
  <c r="L1457" i="5" s="1"/>
  <c r="P1457" i="5" s="1"/>
  <c r="K1926" i="5"/>
  <c r="L1926" i="5" s="1"/>
  <c r="P1926" i="5" s="1"/>
  <c r="K1979" i="5"/>
  <c r="L1979" i="5" s="1"/>
  <c r="P1979" i="5" s="1"/>
  <c r="K174" i="5"/>
  <c r="L174" i="5" s="1"/>
  <c r="P174" i="5" s="1"/>
  <c r="K243" i="5"/>
  <c r="L243" i="5" s="1"/>
  <c r="P243" i="5" s="1"/>
  <c r="K447" i="5"/>
  <c r="L447" i="5" s="1"/>
  <c r="P447" i="5" s="1"/>
  <c r="K504" i="5"/>
  <c r="L504" i="5" s="1"/>
  <c r="P504" i="5" s="1"/>
  <c r="K734" i="5"/>
  <c r="L734" i="5" s="1"/>
  <c r="P734" i="5" s="1"/>
  <c r="K2229" i="5"/>
  <c r="L2229" i="5" s="1"/>
  <c r="P2229" i="5" s="1"/>
  <c r="K2282" i="5"/>
  <c r="L2282" i="5" s="1"/>
  <c r="P2282" i="5" s="1"/>
  <c r="K148" i="5"/>
  <c r="L148" i="5" s="1"/>
  <c r="P148" i="5" s="1"/>
  <c r="K412" i="5"/>
  <c r="L412" i="5" s="1"/>
  <c r="P412" i="5" s="1"/>
  <c r="K1714" i="5"/>
  <c r="L1714" i="5" s="1"/>
  <c r="P1714" i="5" s="1"/>
  <c r="K2265" i="5"/>
  <c r="L2265" i="5" s="1"/>
  <c r="P2265" i="5" s="1"/>
  <c r="K361" i="5"/>
  <c r="L361" i="5" s="1"/>
  <c r="P361" i="5" s="1"/>
  <c r="K2183" i="5"/>
  <c r="L2183" i="5" s="1"/>
  <c r="P2183" i="5" s="1"/>
  <c r="K83" i="5"/>
  <c r="L83" i="5" s="1"/>
  <c r="P83" i="5" s="1"/>
  <c r="K639" i="5"/>
  <c r="L639" i="5" s="1"/>
  <c r="P639" i="5" s="1"/>
  <c r="K816" i="5"/>
  <c r="L816" i="5" s="1"/>
  <c r="P816" i="5" s="1"/>
  <c r="K910" i="5"/>
  <c r="L910" i="5" s="1"/>
  <c r="P910" i="5" s="1"/>
  <c r="K999" i="5"/>
  <c r="L999" i="5" s="1"/>
  <c r="P999" i="5" s="1"/>
  <c r="K483" i="5"/>
  <c r="L483" i="5" s="1"/>
  <c r="P483" i="5" s="1"/>
  <c r="K987" i="5"/>
  <c r="L987" i="5" s="1"/>
  <c r="P987" i="5" s="1"/>
  <c r="K1185" i="5"/>
  <c r="L1185" i="5" s="1"/>
  <c r="P1185" i="5" s="1"/>
  <c r="K1440" i="5"/>
  <c r="L1440" i="5" s="1"/>
  <c r="P1440" i="5" s="1"/>
  <c r="K2300" i="5"/>
  <c r="L2300" i="5" s="1"/>
  <c r="P2300" i="5" s="1"/>
  <c r="K2469" i="5"/>
  <c r="L2469" i="5" s="1"/>
  <c r="P2469" i="5" s="1"/>
  <c r="K132" i="5"/>
  <c r="L132" i="5" s="1"/>
  <c r="P132" i="5" s="1"/>
  <c r="K442" i="5"/>
  <c r="L442" i="5" s="1"/>
  <c r="P442" i="5" s="1"/>
  <c r="K757" i="5"/>
  <c r="L757" i="5" s="1"/>
  <c r="P757" i="5" s="1"/>
  <c r="K1157" i="5"/>
  <c r="L1157" i="5" s="1"/>
  <c r="P1157" i="5" s="1"/>
  <c r="K1303" i="5"/>
  <c r="L1303" i="5" s="1"/>
  <c r="P1303" i="5" s="1"/>
  <c r="K2173" i="5"/>
  <c r="L2173" i="5" s="1"/>
  <c r="P2173" i="5" s="1"/>
  <c r="K2271" i="5"/>
  <c r="L2271" i="5" s="1"/>
  <c r="P2271" i="5" s="1"/>
  <c r="K2284" i="5"/>
  <c r="L2284" i="5" s="1"/>
  <c r="P2284" i="5" s="1"/>
  <c r="K2286" i="5"/>
  <c r="L2286" i="5" s="1"/>
  <c r="P2286" i="5" s="1"/>
  <c r="K2311" i="5"/>
  <c r="L2311" i="5" s="1"/>
  <c r="P2311" i="5" s="1"/>
  <c r="K2380" i="5"/>
  <c r="L2380" i="5" s="1"/>
  <c r="P2380" i="5" s="1"/>
  <c r="K194" i="5"/>
  <c r="L194" i="5" s="1"/>
  <c r="P194" i="5" s="1"/>
  <c r="K744" i="5"/>
  <c r="L744" i="5" s="1"/>
  <c r="P744" i="5" s="1"/>
  <c r="K874" i="5"/>
  <c r="L874" i="5" s="1"/>
  <c r="P874" i="5" s="1"/>
  <c r="K929" i="5"/>
  <c r="L929" i="5" s="1"/>
  <c r="P929" i="5" s="1"/>
  <c r="K1118" i="5"/>
  <c r="L1118" i="5" s="1"/>
  <c r="P1118" i="5" s="1"/>
  <c r="K1162" i="5"/>
  <c r="L1162" i="5" s="1"/>
  <c r="P1162" i="5" s="1"/>
  <c r="K1758" i="5"/>
  <c r="L1758" i="5" s="1"/>
  <c r="P1758" i="5" s="1"/>
  <c r="K264" i="5"/>
  <c r="L264" i="5" s="1"/>
  <c r="P264" i="5" s="1"/>
  <c r="K392" i="5"/>
  <c r="L392" i="5" s="1"/>
  <c r="P392" i="5" s="1"/>
  <c r="K1011" i="5"/>
  <c r="L1011" i="5" s="1"/>
  <c r="P1011" i="5" s="1"/>
  <c r="K1219" i="5"/>
  <c r="L1219" i="5" s="1"/>
  <c r="P1219" i="5" s="1"/>
  <c r="K1235" i="5"/>
  <c r="L1235" i="5" s="1"/>
  <c r="P1235" i="5" s="1"/>
  <c r="K1576" i="5"/>
  <c r="L1576" i="5" s="1"/>
  <c r="P1576" i="5" s="1"/>
  <c r="K1913" i="5"/>
  <c r="L1913" i="5" s="1"/>
  <c r="P1913" i="5" s="1"/>
  <c r="K2270" i="5"/>
  <c r="L2270" i="5" s="1"/>
  <c r="P2270" i="5" s="1"/>
  <c r="K1372" i="5"/>
  <c r="L1372" i="5" s="1"/>
  <c r="P1372" i="5" s="1"/>
  <c r="K1930" i="5"/>
  <c r="L1930" i="5" s="1"/>
  <c r="P1930" i="5" s="1"/>
  <c r="K2188" i="5"/>
  <c r="L2188" i="5" s="1"/>
  <c r="P2188" i="5" s="1"/>
  <c r="K2417" i="5"/>
  <c r="L2417" i="5" s="1"/>
  <c r="P2417" i="5" s="1"/>
  <c r="K205" i="5"/>
  <c r="L205" i="5" s="1"/>
  <c r="P205" i="5" s="1"/>
  <c r="K654" i="5"/>
  <c r="L654" i="5" s="1"/>
  <c r="P654" i="5" s="1"/>
  <c r="K883" i="5"/>
  <c r="L883" i="5" s="1"/>
  <c r="P883" i="5" s="1"/>
  <c r="K161" i="5"/>
  <c r="L161" i="5" s="1"/>
  <c r="P161" i="5" s="1"/>
  <c r="K247" i="5"/>
  <c r="L247" i="5" s="1"/>
  <c r="P247" i="5" s="1"/>
  <c r="K362" i="5"/>
  <c r="L362" i="5" s="1"/>
  <c r="P362" i="5" s="1"/>
  <c r="K375" i="5"/>
  <c r="L375" i="5" s="1"/>
  <c r="P375" i="5" s="1"/>
  <c r="K405" i="5"/>
  <c r="L405" i="5" s="1"/>
  <c r="P405" i="5" s="1"/>
  <c r="K173" i="5"/>
  <c r="L173" i="5" s="1"/>
  <c r="P173" i="5" s="1"/>
  <c r="K274" i="5"/>
  <c r="L274" i="5" s="1"/>
  <c r="P274" i="5" s="1"/>
  <c r="K304" i="5"/>
  <c r="L304" i="5" s="1"/>
  <c r="P304" i="5" s="1"/>
  <c r="K102" i="5"/>
  <c r="L102" i="5" s="1"/>
  <c r="P102" i="5" s="1"/>
  <c r="K570" i="5"/>
  <c r="L570" i="5" s="1"/>
  <c r="P570" i="5" s="1"/>
  <c r="K704" i="5"/>
  <c r="L704" i="5" s="1"/>
  <c r="P704" i="5" s="1"/>
  <c r="K739" i="5"/>
  <c r="L739" i="5" s="1"/>
  <c r="P739" i="5" s="1"/>
  <c r="K908" i="5"/>
  <c r="L908" i="5" s="1"/>
  <c r="P908" i="5" s="1"/>
  <c r="K1902" i="5"/>
  <c r="L1902" i="5" s="1"/>
  <c r="P1902" i="5" s="1"/>
  <c r="K1912" i="5"/>
  <c r="L1912" i="5" s="1"/>
  <c r="P1912" i="5" s="1"/>
  <c r="K191" i="5"/>
  <c r="L191" i="5" s="1"/>
  <c r="P191" i="5" s="1"/>
  <c r="K402" i="5"/>
  <c r="L402" i="5" s="1"/>
  <c r="P402" i="5" s="1"/>
  <c r="K1895" i="5"/>
  <c r="L1895" i="5" s="1"/>
  <c r="P1895" i="5" s="1"/>
  <c r="K1942" i="5"/>
  <c r="L1942" i="5" s="1"/>
  <c r="P1942" i="5" s="1"/>
  <c r="K684" i="5"/>
  <c r="L684" i="5" s="1"/>
  <c r="P684" i="5" s="1"/>
  <c r="K1386" i="5"/>
  <c r="L1386" i="5" s="1"/>
  <c r="P1386" i="5" s="1"/>
  <c r="K1443" i="5"/>
  <c r="L1443" i="5" s="1"/>
  <c r="P1443" i="5" s="1"/>
  <c r="K1467" i="5"/>
  <c r="L1467" i="5" s="1"/>
  <c r="P1467" i="5" s="1"/>
  <c r="K1577" i="5"/>
  <c r="L1577" i="5" s="1"/>
  <c r="P1577" i="5" s="1"/>
  <c r="K1775" i="5"/>
  <c r="L1775" i="5" s="1"/>
  <c r="P1775" i="5" s="1"/>
  <c r="K363" i="5"/>
  <c r="L363" i="5" s="1"/>
  <c r="P363" i="5" s="1"/>
  <c r="K796" i="5"/>
  <c r="L796" i="5" s="1"/>
  <c r="P796" i="5" s="1"/>
  <c r="K1295" i="5"/>
  <c r="L1295" i="5" s="1"/>
  <c r="P1295" i="5" s="1"/>
  <c r="K1309" i="5"/>
  <c r="L1309" i="5" s="1"/>
  <c r="P1309" i="5" s="1"/>
  <c r="K1458" i="5"/>
  <c r="L1458" i="5" s="1"/>
  <c r="P1458" i="5" s="1"/>
  <c r="K2426" i="5"/>
  <c r="L2426" i="5" s="1"/>
  <c r="P2426" i="5" s="1"/>
  <c r="K2433" i="5"/>
  <c r="L2433" i="5" s="1"/>
  <c r="P2433" i="5" s="1"/>
  <c r="K534" i="5"/>
  <c r="L534" i="5" s="1"/>
  <c r="P534" i="5" s="1"/>
  <c r="K560" i="5"/>
  <c r="L560" i="5" s="1"/>
  <c r="P560" i="5" s="1"/>
  <c r="K819" i="5"/>
  <c r="L819" i="5" s="1"/>
  <c r="P819" i="5" s="1"/>
  <c r="K1141" i="5"/>
  <c r="L1141" i="5" s="1"/>
  <c r="P1141" i="5" s="1"/>
  <c r="K1814" i="5"/>
  <c r="L1814" i="5" s="1"/>
  <c r="P1814" i="5" s="1"/>
  <c r="K2224" i="5"/>
  <c r="L2224" i="5" s="1"/>
  <c r="P2224" i="5" s="1"/>
  <c r="K989" i="5"/>
  <c r="L989" i="5" s="1"/>
  <c r="P989" i="5" s="1"/>
  <c r="K2152" i="5"/>
  <c r="L2152" i="5" s="1"/>
  <c r="P2152" i="5" s="1"/>
  <c r="K2340" i="5"/>
  <c r="L2340" i="5" s="1"/>
  <c r="P2340" i="5" s="1"/>
  <c r="K2401" i="5"/>
  <c r="L2401" i="5" s="1"/>
  <c r="P2401" i="5" s="1"/>
  <c r="K1627" i="5"/>
  <c r="L1627" i="5" s="1"/>
  <c r="P1627" i="5" s="1"/>
  <c r="K2476" i="5"/>
  <c r="L2476" i="5" s="1"/>
  <c r="P2476" i="5" s="1"/>
  <c r="K192" i="5"/>
  <c r="L192" i="5" s="1"/>
  <c r="P192" i="5" s="1"/>
  <c r="K300" i="5"/>
  <c r="L300" i="5" s="1"/>
  <c r="P300" i="5" s="1"/>
  <c r="K480" i="5"/>
  <c r="L480" i="5" s="1"/>
  <c r="P480" i="5" s="1"/>
  <c r="K615" i="5"/>
  <c r="L615" i="5" s="1"/>
  <c r="P615" i="5" s="1"/>
  <c r="K1456" i="5"/>
  <c r="L1456" i="5" s="1"/>
  <c r="P1456" i="5" s="1"/>
  <c r="K207" i="5"/>
  <c r="L207" i="5" s="1"/>
  <c r="P207" i="5" s="1"/>
  <c r="K327" i="5"/>
  <c r="L327" i="5" s="1"/>
  <c r="P327" i="5" s="1"/>
  <c r="K1428" i="5"/>
  <c r="L1428" i="5" s="1"/>
  <c r="P1428" i="5" s="1"/>
  <c r="K1512" i="5"/>
  <c r="L1512" i="5" s="1"/>
  <c r="P1512" i="5" s="1"/>
  <c r="K1762" i="5"/>
  <c r="L1762" i="5" s="1"/>
  <c r="P1762" i="5" s="1"/>
  <c r="K1983" i="5"/>
  <c r="L1983" i="5" s="1"/>
  <c r="P1983" i="5" s="1"/>
  <c r="K2112" i="5"/>
  <c r="L2112" i="5" s="1"/>
  <c r="P2112" i="5" s="1"/>
  <c r="K2185" i="5"/>
  <c r="L2185" i="5" s="1"/>
  <c r="P2185" i="5" s="1"/>
  <c r="K2326" i="5"/>
  <c r="L2326" i="5" s="1"/>
  <c r="P2326" i="5" s="1"/>
  <c r="K68" i="5"/>
  <c r="L68" i="5" s="1"/>
  <c r="P68" i="5" s="1"/>
  <c r="K1271" i="5"/>
  <c r="L1271" i="5" s="1"/>
  <c r="P1271" i="5" s="1"/>
  <c r="K251" i="5"/>
  <c r="L251" i="5" s="1"/>
  <c r="P251" i="5" s="1"/>
  <c r="K269" i="5"/>
  <c r="L269" i="5" s="1"/>
  <c r="P269" i="5" s="1"/>
  <c r="K446" i="5"/>
  <c r="L446" i="5" s="1"/>
  <c r="P446" i="5" s="1"/>
  <c r="K853" i="5"/>
  <c r="L853" i="5" s="1"/>
  <c r="P853" i="5" s="1"/>
  <c r="K2050" i="5"/>
  <c r="L2050" i="5" s="1"/>
  <c r="P2050" i="5" s="1"/>
  <c r="K2484" i="5"/>
  <c r="L2484" i="5" s="1"/>
  <c r="P2484" i="5" s="1"/>
  <c r="K172" i="5"/>
  <c r="L172" i="5" s="1"/>
  <c r="P172" i="5" s="1"/>
  <c r="K842" i="5"/>
  <c r="L842" i="5" s="1"/>
  <c r="P842" i="5" s="1"/>
  <c r="K918" i="5"/>
  <c r="L918" i="5" s="1"/>
  <c r="P918" i="5" s="1"/>
  <c r="K782" i="5"/>
  <c r="L782" i="5" s="1"/>
  <c r="P782" i="5" s="1"/>
  <c r="K1057" i="5"/>
  <c r="L1057" i="5" s="1"/>
  <c r="P1057" i="5" s="1"/>
  <c r="K1109" i="5"/>
  <c r="L1109" i="5" s="1"/>
  <c r="P1109" i="5" s="1"/>
  <c r="K1321" i="5"/>
  <c r="L1321" i="5" s="1"/>
  <c r="P1321" i="5" s="1"/>
  <c r="K1825" i="5"/>
  <c r="L1825" i="5" s="1"/>
  <c r="P1825" i="5" s="1"/>
  <c r="K898" i="5"/>
  <c r="L898" i="5" s="1"/>
  <c r="P898" i="5" s="1"/>
  <c r="K1721" i="5"/>
  <c r="L1721" i="5" s="1"/>
  <c r="P1721" i="5" s="1"/>
  <c r="K159" i="5"/>
  <c r="L159" i="5" s="1"/>
  <c r="P159" i="5" s="1"/>
  <c r="K685" i="5"/>
  <c r="L685" i="5" s="1"/>
  <c r="P685" i="5" s="1"/>
  <c r="K1722" i="5"/>
  <c r="L1722" i="5" s="1"/>
  <c r="P1722" i="5" s="1"/>
  <c r="K1906" i="5"/>
  <c r="L1906" i="5" s="1"/>
  <c r="P1906" i="5" s="1"/>
  <c r="K1973" i="5"/>
  <c r="L1973" i="5" s="1"/>
  <c r="P1973" i="5" s="1"/>
  <c r="K2048" i="5"/>
  <c r="L2048" i="5" s="1"/>
  <c r="P2048" i="5" s="1"/>
  <c r="K2115" i="5"/>
  <c r="L2115" i="5" s="1"/>
  <c r="P2115" i="5" s="1"/>
  <c r="K61" i="5"/>
  <c r="L61" i="5" s="1"/>
  <c r="P61" i="5" s="1"/>
  <c r="K237" i="5"/>
  <c r="L237" i="5" s="1"/>
  <c r="P237" i="5" s="1"/>
  <c r="K780" i="5"/>
  <c r="L780" i="5" s="1"/>
  <c r="P780" i="5" s="1"/>
  <c r="K966" i="5"/>
  <c r="L966" i="5" s="1"/>
  <c r="P966" i="5" s="1"/>
  <c r="K1106" i="5"/>
  <c r="L1106" i="5" s="1"/>
  <c r="P1106" i="5" s="1"/>
  <c r="K1052" i="5"/>
  <c r="L1052" i="5" s="1"/>
  <c r="P1052" i="5" s="1"/>
  <c r="K1226" i="5"/>
  <c r="L1226" i="5" s="1"/>
  <c r="P1226" i="5" s="1"/>
  <c r="K544" i="5"/>
  <c r="L544" i="5" s="1"/>
  <c r="P544" i="5" s="1"/>
  <c r="K1127" i="5"/>
  <c r="L1127" i="5" s="1"/>
  <c r="P1127" i="5" s="1"/>
  <c r="K2138" i="5"/>
  <c r="L2138" i="5" s="1"/>
  <c r="P2138" i="5" s="1"/>
  <c r="K2144" i="5"/>
  <c r="L2144" i="5" s="1"/>
  <c r="P2144" i="5" s="1"/>
  <c r="K2193" i="5"/>
  <c r="L2193" i="5" s="1"/>
  <c r="P2193" i="5" s="1"/>
  <c r="K2275" i="5"/>
  <c r="L2275" i="5" s="1"/>
  <c r="P2275" i="5" s="1"/>
  <c r="K678" i="5"/>
  <c r="L678" i="5" s="1"/>
  <c r="P678" i="5" s="1"/>
  <c r="K2132" i="5"/>
  <c r="L2132" i="5" s="1"/>
  <c r="P2132" i="5" s="1"/>
  <c r="K969" i="5"/>
  <c r="L969" i="5" s="1"/>
  <c r="P969" i="5" s="1"/>
  <c r="K1251" i="5"/>
  <c r="L1251" i="5" s="1"/>
  <c r="P1251" i="5" s="1"/>
  <c r="K1552" i="5"/>
  <c r="L1552" i="5" s="1"/>
  <c r="P1552" i="5" s="1"/>
  <c r="K2008" i="5"/>
  <c r="L2008" i="5" s="1"/>
  <c r="P2008" i="5" s="1"/>
  <c r="K321" i="5"/>
  <c r="L321" i="5" s="1"/>
  <c r="P321" i="5" s="1"/>
  <c r="K1049" i="5"/>
  <c r="L1049" i="5" s="1"/>
  <c r="P1049" i="5" s="1"/>
  <c r="K1582" i="5"/>
  <c r="L1582" i="5" s="1"/>
  <c r="P1582" i="5" s="1"/>
  <c r="K2257" i="5"/>
  <c r="L2257" i="5" s="1"/>
  <c r="P2257" i="5" s="1"/>
  <c r="K1074" i="5"/>
  <c r="L1074" i="5" s="1"/>
  <c r="P1074" i="5" s="1"/>
  <c r="K2205" i="5"/>
  <c r="L2205" i="5" s="1"/>
  <c r="P2205" i="5" s="1"/>
  <c r="K278" i="5"/>
  <c r="L278" i="5" s="1"/>
  <c r="P278" i="5" s="1"/>
  <c r="K917" i="5"/>
  <c r="L917" i="5" s="1"/>
  <c r="P917" i="5" s="1"/>
  <c r="K974" i="5"/>
  <c r="L974" i="5" s="1"/>
  <c r="P974" i="5" s="1"/>
  <c r="K1452" i="5"/>
  <c r="L1452" i="5" s="1"/>
  <c r="P1452" i="5" s="1"/>
  <c r="K1658" i="5"/>
  <c r="L1658" i="5" s="1"/>
  <c r="P1658" i="5" s="1"/>
  <c r="K1989" i="5"/>
  <c r="L1989" i="5" s="1"/>
  <c r="P1989" i="5" s="1"/>
  <c r="K2160" i="5"/>
  <c r="L2160" i="5" s="1"/>
  <c r="P2160" i="5" s="1"/>
  <c r="K2464" i="5"/>
  <c r="L2464" i="5" s="1"/>
  <c r="P2464" i="5" s="1"/>
  <c r="K227" i="5"/>
  <c r="L227" i="5" s="1"/>
  <c r="P227" i="5" s="1"/>
  <c r="K1506" i="5"/>
  <c r="L1506" i="5" s="1"/>
  <c r="P1506" i="5" s="1"/>
  <c r="K1615" i="5"/>
  <c r="L1615" i="5" s="1"/>
  <c r="P1615" i="5" s="1"/>
  <c r="K388" i="5"/>
  <c r="L388" i="5" s="1"/>
  <c r="P388" i="5" s="1"/>
  <c r="K403" i="5"/>
  <c r="L403" i="5" s="1"/>
  <c r="P403" i="5" s="1"/>
  <c r="K664" i="5"/>
  <c r="L664" i="5" s="1"/>
  <c r="P664" i="5" s="1"/>
  <c r="K1454" i="5"/>
  <c r="L1454" i="5" s="1"/>
  <c r="P1454" i="5" s="1"/>
  <c r="K2391" i="5"/>
  <c r="L2391" i="5" s="1"/>
  <c r="P2391" i="5" s="1"/>
  <c r="K703" i="5"/>
  <c r="L703" i="5" s="1"/>
  <c r="P703" i="5" s="1"/>
  <c r="K1859" i="5"/>
  <c r="L1859" i="5" s="1"/>
  <c r="P1859" i="5" s="1"/>
  <c r="K167" i="5"/>
  <c r="L167" i="5" s="1"/>
  <c r="P167" i="5" s="1"/>
  <c r="K1937" i="5"/>
  <c r="L1937" i="5" s="1"/>
  <c r="P1937" i="5" s="1"/>
  <c r="K2134" i="5"/>
  <c r="L2134" i="5" s="1"/>
  <c r="P2134" i="5" s="1"/>
  <c r="K456" i="5"/>
  <c r="L456" i="5" s="1"/>
  <c r="P456" i="5" s="1"/>
  <c r="K775" i="5"/>
  <c r="L775" i="5" s="1"/>
  <c r="P775" i="5" s="1"/>
  <c r="K1733" i="5"/>
  <c r="L1733" i="5" s="1"/>
  <c r="P1733" i="5" s="1"/>
  <c r="K2472" i="5"/>
  <c r="L2472" i="5" s="1"/>
  <c r="P2472" i="5" s="1"/>
  <c r="K1165" i="5"/>
  <c r="L1165" i="5" s="1"/>
  <c r="P1165" i="5" s="1"/>
  <c r="K1366" i="5"/>
  <c r="L1366" i="5" s="1"/>
  <c r="P1366" i="5" s="1"/>
  <c r="K1600" i="5"/>
  <c r="L1600" i="5" s="1"/>
  <c r="P1600" i="5" s="1"/>
  <c r="K2490" i="5"/>
  <c r="L2490" i="5" s="1"/>
  <c r="P2490" i="5" s="1"/>
  <c r="K139" i="5"/>
  <c r="L139" i="5" s="1"/>
  <c r="P139" i="5" s="1"/>
  <c r="K724" i="5"/>
  <c r="L724" i="5" s="1"/>
  <c r="P724" i="5" s="1"/>
  <c r="K1224" i="5"/>
  <c r="L1224" i="5" s="1"/>
  <c r="P1224" i="5" s="1"/>
  <c r="K1585" i="5"/>
  <c r="L1585" i="5" s="1"/>
  <c r="P1585" i="5" s="1"/>
  <c r="K1982" i="5"/>
  <c r="L1982" i="5" s="1"/>
  <c r="P1982" i="5" s="1"/>
  <c r="K2371" i="5"/>
  <c r="L2371" i="5" s="1"/>
  <c r="P2371" i="5" s="1"/>
  <c r="K452" i="5"/>
  <c r="L452" i="5" s="1"/>
  <c r="P452" i="5" s="1"/>
  <c r="K472" i="5"/>
  <c r="L472" i="5" s="1"/>
  <c r="P472" i="5" s="1"/>
  <c r="K1995" i="5"/>
  <c r="L1995" i="5" s="1"/>
  <c r="P1995" i="5" s="1"/>
  <c r="K2005" i="5"/>
  <c r="L2005" i="5" s="1"/>
  <c r="P2005" i="5" s="1"/>
  <c r="K2199" i="5"/>
  <c r="L2199" i="5" s="1"/>
  <c r="P2199" i="5" s="1"/>
  <c r="K2216" i="5"/>
  <c r="L2216" i="5" s="1"/>
  <c r="P2216" i="5" s="1"/>
  <c r="K2447" i="5"/>
  <c r="L2447" i="5" s="1"/>
  <c r="P2447" i="5" s="1"/>
  <c r="K799" i="5"/>
  <c r="L799" i="5" s="1"/>
  <c r="P799" i="5" s="1"/>
  <c r="K922" i="5"/>
  <c r="L922" i="5" s="1"/>
  <c r="P922" i="5" s="1"/>
  <c r="K1480" i="5"/>
  <c r="L1480" i="5" s="1"/>
  <c r="P1480" i="5" s="1"/>
  <c r="K1059" i="5"/>
  <c r="L1059" i="5" s="1"/>
  <c r="P1059" i="5" s="1"/>
  <c r="K1542" i="5"/>
  <c r="L1542" i="5" s="1"/>
  <c r="P1542" i="5" s="1"/>
  <c r="K756" i="5"/>
  <c r="L756" i="5" s="1"/>
  <c r="P756" i="5" s="1"/>
  <c r="K1053" i="5"/>
  <c r="L1053" i="5" s="1"/>
  <c r="P1053" i="5" s="1"/>
  <c r="K1798" i="5"/>
  <c r="L1798" i="5" s="1"/>
  <c r="P1798" i="5" s="1"/>
  <c r="K1824" i="5"/>
  <c r="L1824" i="5" s="1"/>
  <c r="P1824" i="5" s="1"/>
  <c r="K1869" i="5"/>
  <c r="L1869" i="5" s="1"/>
  <c r="P1869" i="5" s="1"/>
  <c r="K1262" i="5"/>
  <c r="L1262" i="5" s="1"/>
  <c r="P1262" i="5" s="1"/>
  <c r="K1829" i="5"/>
  <c r="L1829" i="5" s="1"/>
  <c r="P1829" i="5" s="1"/>
  <c r="K2060" i="5"/>
  <c r="L2060" i="5" s="1"/>
  <c r="P2060" i="5" s="1"/>
  <c r="K679" i="5"/>
  <c r="L679" i="5" s="1"/>
  <c r="P679" i="5" s="1"/>
  <c r="K683" i="5"/>
  <c r="L683" i="5" s="1"/>
  <c r="P683" i="5" s="1"/>
  <c r="K973" i="5"/>
  <c r="L973" i="5" s="1"/>
  <c r="P973" i="5" s="1"/>
  <c r="K1215" i="5"/>
  <c r="L1215" i="5" s="1"/>
  <c r="P1215" i="5" s="1"/>
  <c r="K1360" i="5"/>
  <c r="L1360" i="5" s="1"/>
  <c r="P1360" i="5" s="1"/>
  <c r="K1715" i="5"/>
  <c r="L1715" i="5" s="1"/>
  <c r="P1715" i="5" s="1"/>
  <c r="K225" i="5"/>
  <c r="L225" i="5" s="1"/>
  <c r="P225" i="5" s="1"/>
  <c r="K732" i="5"/>
  <c r="L732" i="5" s="1"/>
  <c r="P732" i="5" s="1"/>
  <c r="K1061" i="5"/>
  <c r="L1061" i="5" s="1"/>
  <c r="P1061" i="5" s="1"/>
  <c r="K391" i="5"/>
  <c r="L391" i="5" s="1"/>
  <c r="P391" i="5" s="1"/>
  <c r="K1022" i="5"/>
  <c r="L1022" i="5" s="1"/>
  <c r="P1022" i="5" s="1"/>
  <c r="K2434" i="5"/>
  <c r="L2434" i="5" s="1"/>
  <c r="P2434" i="5" s="1"/>
  <c r="K22" i="5"/>
  <c r="L22" i="5" s="1"/>
  <c r="P22" i="5" s="1"/>
  <c r="K835" i="5"/>
  <c r="L835" i="5" s="1"/>
  <c r="P835" i="5" s="1"/>
  <c r="K867" i="5"/>
  <c r="L867" i="5" s="1"/>
  <c r="P867" i="5" s="1"/>
  <c r="K427" i="5"/>
  <c r="L427" i="5" s="1"/>
  <c r="P427" i="5" s="1"/>
  <c r="K1516" i="5"/>
  <c r="L1516" i="5" s="1"/>
  <c r="P1516" i="5" s="1"/>
  <c r="K1001" i="5"/>
  <c r="L1001" i="5" s="1"/>
  <c r="P1001" i="5" s="1"/>
  <c r="K2022" i="5"/>
  <c r="L2022" i="5" s="1"/>
  <c r="P2022" i="5" s="1"/>
  <c r="K522" i="5"/>
  <c r="L522" i="5" s="1"/>
  <c r="P522" i="5" s="1"/>
  <c r="K553" i="5"/>
  <c r="L553" i="5" s="1"/>
  <c r="P553" i="5" s="1"/>
  <c r="K1474" i="5"/>
  <c r="L1474" i="5" s="1"/>
  <c r="P1474" i="5" s="1"/>
  <c r="K1957" i="5"/>
  <c r="L1957" i="5" s="1"/>
  <c r="P1957" i="5" s="1"/>
  <c r="K96" i="5"/>
  <c r="L96" i="5" s="1"/>
  <c r="P96" i="5" s="1"/>
  <c r="K398" i="5"/>
  <c r="L398" i="5" s="1"/>
  <c r="P398" i="5" s="1"/>
  <c r="K564" i="5"/>
  <c r="L564" i="5" s="1"/>
  <c r="P564" i="5" s="1"/>
  <c r="K1172" i="5"/>
  <c r="L1172" i="5" s="1"/>
  <c r="P1172" i="5" s="1"/>
  <c r="K1412" i="5"/>
  <c r="L1412" i="5" s="1"/>
  <c r="P1412" i="5" s="1"/>
  <c r="K1546" i="5"/>
  <c r="L1546" i="5" s="1"/>
  <c r="P1546" i="5" s="1"/>
  <c r="K82" i="5"/>
  <c r="L82" i="5" s="1"/>
  <c r="P82" i="5" s="1"/>
  <c r="K730" i="5"/>
  <c r="L730" i="5" s="1"/>
  <c r="P730" i="5" s="1"/>
  <c r="K84" i="5"/>
  <c r="L84" i="5" s="1"/>
  <c r="P84" i="5" s="1"/>
  <c r="K153" i="5"/>
  <c r="L153" i="5" s="1"/>
  <c r="P153" i="5" s="1"/>
  <c r="K267" i="5"/>
  <c r="L267" i="5" s="1"/>
  <c r="P267" i="5" s="1"/>
  <c r="K766" i="5"/>
  <c r="L766" i="5" s="1"/>
  <c r="P766" i="5" s="1"/>
  <c r="K980" i="5"/>
  <c r="L980" i="5" s="1"/>
  <c r="P980" i="5" s="1"/>
  <c r="K1181" i="5"/>
  <c r="L1181" i="5" s="1"/>
  <c r="P1181" i="5" s="1"/>
  <c r="K1667" i="5"/>
  <c r="L1667" i="5" s="1"/>
  <c r="P1667" i="5" s="1"/>
  <c r="K948" i="5"/>
  <c r="L948" i="5" s="1"/>
  <c r="P948" i="5" s="1"/>
  <c r="K1538" i="5"/>
  <c r="L1538" i="5" s="1"/>
  <c r="P1538" i="5" s="1"/>
  <c r="K381" i="5"/>
  <c r="L381" i="5" s="1"/>
  <c r="P381" i="5" s="1"/>
  <c r="K1901" i="5"/>
  <c r="L1901" i="5" s="1"/>
  <c r="P1901" i="5" s="1"/>
  <c r="K460" i="5"/>
  <c r="L460" i="5" s="1"/>
  <c r="P460" i="5" s="1"/>
  <c r="K637" i="5"/>
  <c r="L637" i="5" s="1"/>
  <c r="P637" i="5" s="1"/>
  <c r="K2379" i="5"/>
  <c r="L2379" i="5" s="1"/>
  <c r="P2379" i="5" s="1"/>
  <c r="K481" i="5"/>
  <c r="L481" i="5" s="1"/>
  <c r="P481" i="5" s="1"/>
  <c r="K912" i="5"/>
  <c r="L912" i="5" s="1"/>
  <c r="P912" i="5" s="1"/>
  <c r="K1102" i="5"/>
  <c r="L1102" i="5" s="1"/>
  <c r="P1102" i="5" s="1"/>
  <c r="K1375" i="5"/>
  <c r="L1375" i="5" s="1"/>
  <c r="P1375" i="5" s="1"/>
  <c r="K1592" i="5"/>
  <c r="L1592" i="5" s="1"/>
  <c r="P1592" i="5" s="1"/>
  <c r="K1800" i="5"/>
  <c r="L1800" i="5" s="1"/>
  <c r="P1800" i="5" s="1"/>
  <c r="K1863" i="5"/>
  <c r="L1863" i="5" s="1"/>
  <c r="P1863" i="5" s="1"/>
  <c r="K34" i="5"/>
  <c r="L34" i="5" s="1"/>
  <c r="P34" i="5" s="1"/>
  <c r="K527" i="5"/>
  <c r="L527" i="5" s="1"/>
  <c r="P527" i="5" s="1"/>
  <c r="K572" i="5"/>
  <c r="L572" i="5" s="1"/>
  <c r="P572" i="5" s="1"/>
  <c r="K672" i="5"/>
  <c r="L672" i="5" s="1"/>
  <c r="P672" i="5" s="1"/>
  <c r="K811" i="5"/>
  <c r="L811" i="5" s="1"/>
  <c r="P811" i="5" s="1"/>
  <c r="K979" i="5"/>
  <c r="L979" i="5" s="1"/>
  <c r="P979" i="5" s="1"/>
  <c r="K1198" i="5"/>
  <c r="L1198" i="5" s="1"/>
  <c r="P1198" i="5" s="1"/>
  <c r="K1550" i="5"/>
  <c r="L1550" i="5" s="1"/>
  <c r="P1550" i="5" s="1"/>
  <c r="K2001" i="5"/>
  <c r="L2001" i="5" s="1"/>
  <c r="P2001" i="5" s="1"/>
  <c r="K2157" i="5"/>
  <c r="L2157" i="5" s="1"/>
  <c r="P2157" i="5" s="1"/>
  <c r="K737" i="5"/>
  <c r="L737" i="5" s="1"/>
  <c r="P737" i="5" s="1"/>
  <c r="K1120" i="5"/>
  <c r="L1120" i="5" s="1"/>
  <c r="P1120" i="5" s="1"/>
  <c r="K1593" i="5"/>
  <c r="L1593" i="5" s="1"/>
  <c r="P1593" i="5" s="1"/>
  <c r="K179" i="5"/>
  <c r="L179" i="5" s="1"/>
  <c r="P179" i="5" s="1"/>
  <c r="K591" i="5"/>
  <c r="L591" i="5" s="1"/>
  <c r="P591" i="5" s="1"/>
  <c r="K1438" i="5"/>
  <c r="L1438" i="5" s="1"/>
  <c r="P1438" i="5" s="1"/>
  <c r="K106" i="5"/>
  <c r="L106" i="5" s="1"/>
  <c r="P106" i="5" s="1"/>
  <c r="K602" i="5"/>
  <c r="L602" i="5" s="1"/>
  <c r="P602" i="5" s="1"/>
  <c r="K670" i="5"/>
  <c r="L670" i="5" s="1"/>
  <c r="P670" i="5" s="1"/>
  <c r="K2063" i="5"/>
  <c r="L2063" i="5" s="1"/>
  <c r="P2063" i="5" s="1"/>
  <c r="K2443" i="5"/>
  <c r="L2443" i="5" s="1"/>
  <c r="P2443" i="5" s="1"/>
  <c r="K147" i="5"/>
  <c r="L147" i="5" s="1"/>
  <c r="P147" i="5" s="1"/>
  <c r="K255" i="5"/>
  <c r="L255" i="5" s="1"/>
  <c r="P255" i="5" s="1"/>
  <c r="K971" i="5"/>
  <c r="L971" i="5" s="1"/>
  <c r="P971" i="5" s="1"/>
  <c r="K1170" i="5"/>
  <c r="L1170" i="5" s="1"/>
  <c r="P1170" i="5" s="1"/>
  <c r="K1325" i="5"/>
  <c r="L1325" i="5" s="1"/>
  <c r="P1325" i="5" s="1"/>
  <c r="K2225" i="5"/>
  <c r="L2225" i="5" s="1"/>
  <c r="P2225" i="5" s="1"/>
  <c r="K229" i="5"/>
  <c r="L229" i="5" s="1"/>
  <c r="P229" i="5" s="1"/>
  <c r="K344" i="5"/>
  <c r="L344" i="5" s="1"/>
  <c r="P344" i="5" s="1"/>
  <c r="K455" i="5"/>
  <c r="L455" i="5" s="1"/>
  <c r="P455" i="5" s="1"/>
  <c r="K926" i="5"/>
  <c r="L926" i="5" s="1"/>
  <c r="P926" i="5" s="1"/>
  <c r="K1028" i="5"/>
  <c r="L1028" i="5" s="1"/>
  <c r="P1028" i="5" s="1"/>
  <c r="K2156" i="5"/>
  <c r="L2156" i="5" s="1"/>
  <c r="P2156" i="5" s="1"/>
  <c r="K2263" i="5"/>
  <c r="L2263" i="5" s="1"/>
  <c r="P2263" i="5" s="1"/>
  <c r="K212" i="5"/>
  <c r="L212" i="5" s="1"/>
  <c r="P212" i="5" s="1"/>
  <c r="K1062" i="5"/>
  <c r="L1062" i="5" s="1"/>
  <c r="P1062" i="5" s="1"/>
  <c r="K1154" i="5"/>
  <c r="L1154" i="5" s="1"/>
  <c r="P1154" i="5" s="1"/>
  <c r="K2383" i="5"/>
  <c r="L2383" i="5" s="1"/>
  <c r="P2383" i="5" s="1"/>
  <c r="K171" i="5"/>
  <c r="L171" i="5" s="1"/>
  <c r="P171" i="5" s="1"/>
  <c r="K186" i="5"/>
  <c r="L186" i="5" s="1"/>
  <c r="P186" i="5" s="1"/>
  <c r="K949" i="5"/>
  <c r="L949" i="5" s="1"/>
  <c r="P949" i="5" s="1"/>
  <c r="K1163" i="5"/>
  <c r="L1163" i="5" s="1"/>
  <c r="P1163" i="5" s="1"/>
  <c r="K2245" i="5"/>
  <c r="L2245" i="5" s="1"/>
  <c r="P2245" i="5" s="1"/>
  <c r="K2333" i="5"/>
  <c r="L2333" i="5" s="1"/>
  <c r="P2333" i="5" s="1"/>
  <c r="K511" i="5"/>
  <c r="L511" i="5" s="1"/>
  <c r="P511" i="5" s="1"/>
  <c r="K1532" i="5"/>
  <c r="L1532" i="5" s="1"/>
  <c r="P1532" i="5" s="1"/>
  <c r="K1628" i="5"/>
  <c r="L1628" i="5" s="1"/>
  <c r="P1628" i="5" s="1"/>
  <c r="K1753" i="5"/>
  <c r="L1753" i="5" s="1"/>
  <c r="P1753" i="5" s="1"/>
  <c r="K1815" i="5"/>
  <c r="L1815" i="5" s="1"/>
  <c r="P1815" i="5" s="1"/>
  <c r="K1832" i="5"/>
  <c r="L1832" i="5" s="1"/>
  <c r="P1832" i="5" s="1"/>
  <c r="K272" i="5"/>
  <c r="L272" i="5" s="1"/>
  <c r="P272" i="5" s="1"/>
  <c r="K314" i="5"/>
  <c r="L314" i="5" s="1"/>
  <c r="P314" i="5" s="1"/>
  <c r="K513" i="5"/>
  <c r="L513" i="5" s="1"/>
  <c r="P513" i="5" s="1"/>
  <c r="K691" i="5"/>
  <c r="L691" i="5" s="1"/>
  <c r="P691" i="5" s="1"/>
  <c r="K825" i="5"/>
  <c r="L825" i="5" s="1"/>
  <c r="P825" i="5" s="1"/>
  <c r="K1243" i="5"/>
  <c r="L1243" i="5" s="1"/>
  <c r="P1243" i="5" s="1"/>
  <c r="K1693" i="5"/>
  <c r="L1693" i="5" s="1"/>
  <c r="P1693" i="5" s="1"/>
  <c r="K1846" i="5"/>
  <c r="L1846" i="5" s="1"/>
  <c r="P1846" i="5" s="1"/>
  <c r="K2210" i="5"/>
  <c r="L2210" i="5" s="1"/>
  <c r="P2210" i="5" s="1"/>
  <c r="K2254" i="5"/>
  <c r="L2254" i="5" s="1"/>
  <c r="P2254" i="5" s="1"/>
  <c r="K74" i="5"/>
  <c r="L74" i="5" s="1"/>
  <c r="P74" i="5" s="1"/>
  <c r="K884" i="5"/>
  <c r="L884" i="5" s="1"/>
  <c r="P884" i="5" s="1"/>
  <c r="K793" i="5"/>
  <c r="L793" i="5" s="1"/>
  <c r="P793" i="5" s="1"/>
  <c r="K1668" i="5"/>
  <c r="L1668" i="5" s="1"/>
  <c r="P1668" i="5" s="1"/>
  <c r="K2098" i="5"/>
  <c r="L2098" i="5" s="1"/>
  <c r="P2098" i="5" s="1"/>
  <c r="K535" i="5"/>
  <c r="L535" i="5" s="1"/>
  <c r="P535" i="5" s="1"/>
  <c r="K561" i="5"/>
  <c r="L561" i="5" s="1"/>
  <c r="P561" i="5" s="1"/>
  <c r="K768" i="5"/>
  <c r="L768" i="5" s="1"/>
  <c r="P768" i="5" s="1"/>
  <c r="K1344" i="5"/>
  <c r="L1344" i="5" s="1"/>
  <c r="P1344" i="5" s="1"/>
  <c r="K2346" i="5"/>
  <c r="L2346" i="5" s="1"/>
  <c r="P2346" i="5" s="1"/>
  <c r="K428" i="5"/>
  <c r="L428" i="5" s="1"/>
  <c r="P428" i="5" s="1"/>
  <c r="K543" i="5"/>
  <c r="L543" i="5" s="1"/>
  <c r="P543" i="5" s="1"/>
  <c r="K721" i="5"/>
  <c r="L721" i="5" s="1"/>
  <c r="P721" i="5" s="1"/>
  <c r="K1169" i="5"/>
  <c r="L1169" i="5" s="1"/>
  <c r="P1169" i="5" s="1"/>
  <c r="K1500" i="5"/>
  <c r="L1500" i="5" s="1"/>
  <c r="P1500" i="5" s="1"/>
  <c r="K1676" i="5"/>
  <c r="L1676" i="5" s="1"/>
  <c r="P1676" i="5" s="1"/>
  <c r="K1311" i="5"/>
  <c r="L1311" i="5" s="1"/>
  <c r="P1311" i="5" s="1"/>
  <c r="K1560" i="5"/>
  <c r="L1560" i="5" s="1"/>
  <c r="P1560" i="5" s="1"/>
  <c r="K1793" i="5"/>
  <c r="L1793" i="5" s="1"/>
  <c r="P1793" i="5" s="1"/>
  <c r="K2181" i="5"/>
  <c r="L2181" i="5" s="1"/>
  <c r="P2181" i="5" s="1"/>
  <c r="K364" i="5"/>
  <c r="L364" i="5" s="1"/>
  <c r="P364" i="5" s="1"/>
  <c r="K951" i="5"/>
  <c r="L951" i="5" s="1"/>
  <c r="P951" i="5" s="1"/>
  <c r="K332" i="5"/>
  <c r="L332" i="5" s="1"/>
  <c r="P332" i="5" s="1"/>
  <c r="K975" i="5"/>
  <c r="L975" i="5" s="1"/>
  <c r="P975" i="5" s="1"/>
  <c r="K1843" i="5"/>
  <c r="L1843" i="5" s="1"/>
  <c r="P1843" i="5" s="1"/>
  <c r="K1853" i="5"/>
  <c r="L1853" i="5" s="1"/>
  <c r="P1853" i="5" s="1"/>
  <c r="K2057" i="5"/>
  <c r="L2057" i="5" s="1"/>
  <c r="P2057" i="5" s="1"/>
  <c r="K60" i="5"/>
  <c r="L60" i="5" s="1"/>
  <c r="P60" i="5" s="1"/>
  <c r="K138" i="5"/>
  <c r="L138" i="5" s="1"/>
  <c r="P138" i="5" s="1"/>
  <c r="K1331" i="5"/>
  <c r="L1331" i="5" s="1"/>
  <c r="P1331" i="5" s="1"/>
  <c r="K1356" i="5"/>
  <c r="L1356" i="5" s="1"/>
  <c r="P1356" i="5" s="1"/>
  <c r="K1385" i="5"/>
  <c r="L1385" i="5" s="1"/>
  <c r="P1385" i="5" s="1"/>
  <c r="K1649" i="5"/>
  <c r="L1649" i="5" s="1"/>
  <c r="P1649" i="5" s="1"/>
  <c r="K464" i="5"/>
  <c r="L464" i="5" s="1"/>
  <c r="P464" i="5" s="1"/>
  <c r="K492" i="5"/>
  <c r="L492" i="5" s="1"/>
  <c r="P492" i="5" s="1"/>
  <c r="K821" i="5"/>
  <c r="L821" i="5" s="1"/>
  <c r="P821" i="5" s="1"/>
  <c r="K1126" i="5"/>
  <c r="L1126" i="5" s="1"/>
  <c r="P1126" i="5" s="1"/>
  <c r="K1286" i="5"/>
  <c r="L1286" i="5" s="1"/>
  <c r="P1286" i="5" s="1"/>
  <c r="K1696" i="5"/>
  <c r="L1696" i="5" s="1"/>
  <c r="P1696" i="5" s="1"/>
  <c r="K1975" i="5"/>
  <c r="L1975" i="5" s="1"/>
  <c r="P1975" i="5" s="1"/>
  <c r="K800" i="5"/>
  <c r="L800" i="5" s="1"/>
  <c r="P800" i="5" s="1"/>
  <c r="K1275" i="5"/>
  <c r="L1275" i="5" s="1"/>
  <c r="P1275" i="5" s="1"/>
  <c r="K1971" i="5"/>
  <c r="L1971" i="5" s="1"/>
  <c r="P1971" i="5" s="1"/>
  <c r="K2410" i="5"/>
  <c r="L2410" i="5" s="1"/>
  <c r="P2410" i="5" s="1"/>
  <c r="K1509" i="5"/>
  <c r="L1509" i="5" s="1"/>
  <c r="P1509" i="5" s="1"/>
  <c r="K1988" i="5"/>
  <c r="L1988" i="5" s="1"/>
  <c r="P1988" i="5" s="1"/>
  <c r="K1129" i="5"/>
  <c r="L1129" i="5" s="1"/>
  <c r="P1129" i="5" s="1"/>
  <c r="K93" i="5"/>
  <c r="L93" i="5" s="1"/>
  <c r="P93" i="5" s="1"/>
  <c r="K997" i="5"/>
  <c r="L997" i="5" s="1"/>
  <c r="P997" i="5" s="1"/>
  <c r="K1777" i="5"/>
  <c r="L1777" i="5" s="1"/>
  <c r="P1777" i="5" s="1"/>
  <c r="K565" i="5"/>
  <c r="L565" i="5" s="1"/>
  <c r="P565" i="5" s="1"/>
  <c r="K1036" i="5"/>
  <c r="L1036" i="5" s="1"/>
  <c r="P1036" i="5" s="1"/>
  <c r="K1099" i="5"/>
  <c r="L1099" i="5" s="1"/>
  <c r="P1099" i="5" s="1"/>
  <c r="K1999" i="5"/>
  <c r="L1999" i="5" s="1"/>
  <c r="P1999" i="5" s="1"/>
  <c r="K10" i="5"/>
  <c r="L10" i="5" s="1"/>
  <c r="P10" i="5" s="1"/>
  <c r="K998" i="5"/>
  <c r="L998" i="5" s="1"/>
  <c r="P998" i="5" s="1"/>
  <c r="K246" i="5"/>
  <c r="L246" i="5" s="1"/>
  <c r="P246" i="5" s="1"/>
  <c r="K306" i="5"/>
  <c r="L306" i="5" s="1"/>
  <c r="P306" i="5" s="1"/>
  <c r="K357" i="5"/>
  <c r="L357" i="5" s="1"/>
  <c r="P357" i="5" s="1"/>
  <c r="K598" i="5"/>
  <c r="L598" i="5" s="1"/>
  <c r="P598" i="5" s="1"/>
  <c r="K1040" i="5"/>
  <c r="L1040" i="5" s="1"/>
  <c r="P1040" i="5" s="1"/>
  <c r="K232" i="5"/>
  <c r="L232" i="5" s="1"/>
  <c r="P232" i="5" s="1"/>
  <c r="K1779" i="5"/>
  <c r="L1779" i="5" s="1"/>
  <c r="P1779" i="5" s="1"/>
  <c r="K310" i="5"/>
  <c r="L310" i="5" s="1"/>
  <c r="P310" i="5" s="1"/>
  <c r="K2059" i="5"/>
  <c r="L2059" i="5" s="1"/>
  <c r="P2059" i="5" s="1"/>
  <c r="K113" i="5"/>
  <c r="L113" i="5" s="1"/>
  <c r="P113" i="5" s="1"/>
  <c r="K865" i="5"/>
  <c r="L865" i="5" s="1"/>
  <c r="P865" i="5" s="1"/>
  <c r="K925" i="5"/>
  <c r="L925" i="5" s="1"/>
  <c r="P925" i="5" s="1"/>
  <c r="K1013" i="5"/>
  <c r="L1013" i="5" s="1"/>
  <c r="P1013" i="5" s="1"/>
  <c r="K1310" i="5"/>
  <c r="L1310" i="5" s="1"/>
  <c r="P1310" i="5" s="1"/>
  <c r="K1903" i="5"/>
  <c r="L1903" i="5" s="1"/>
  <c r="P1903" i="5" s="1"/>
  <c r="K2054" i="5"/>
  <c r="L2054" i="5" s="1"/>
  <c r="P2054" i="5" s="1"/>
  <c r="K2145" i="5"/>
  <c r="L2145" i="5" s="1"/>
  <c r="P2145" i="5" s="1"/>
  <c r="K2218" i="5"/>
  <c r="L2218" i="5" s="1"/>
  <c r="P2218" i="5" s="1"/>
  <c r="K2431" i="5"/>
  <c r="L2431" i="5" s="1"/>
  <c r="P2431" i="5" s="1"/>
  <c r="K771" i="5"/>
  <c r="L771" i="5" s="1"/>
  <c r="P771" i="5" s="1"/>
  <c r="K1503" i="5"/>
  <c r="L1503" i="5" s="1"/>
  <c r="P1503" i="5" s="1"/>
  <c r="K1778" i="5"/>
  <c r="L1778" i="5" s="1"/>
  <c r="P1778" i="5" s="1"/>
  <c r="K259" i="5"/>
  <c r="L259" i="5" s="1"/>
  <c r="P259" i="5" s="1"/>
  <c r="K970" i="5"/>
  <c r="L970" i="5" s="1"/>
  <c r="P970" i="5" s="1"/>
  <c r="K1050" i="5"/>
  <c r="L1050" i="5" s="1"/>
  <c r="P1050" i="5" s="1"/>
  <c r="K1591" i="5"/>
  <c r="L1591" i="5" s="1"/>
  <c r="P1591" i="5" s="1"/>
  <c r="K2496" i="5"/>
  <c r="L2496" i="5" s="1"/>
  <c r="P2496" i="5" s="1"/>
  <c r="K868" i="5"/>
  <c r="L868" i="5" s="1"/>
  <c r="P868" i="5" s="1"/>
  <c r="K2280" i="5"/>
  <c r="L2280" i="5" s="1"/>
  <c r="P2280" i="5" s="1"/>
  <c r="K134" i="5"/>
  <c r="L134" i="5" s="1"/>
  <c r="P134" i="5" s="1"/>
  <c r="K401" i="5"/>
  <c r="L401" i="5" s="1"/>
  <c r="P401" i="5" s="1"/>
  <c r="K109" i="5"/>
  <c r="L109" i="5" s="1"/>
  <c r="P109" i="5" s="1"/>
  <c r="K318" i="5"/>
  <c r="L318" i="5" s="1"/>
  <c r="P318" i="5" s="1"/>
  <c r="K1388" i="5"/>
  <c r="L1388" i="5" s="1"/>
  <c r="P1388" i="5" s="1"/>
  <c r="K1484" i="5"/>
  <c r="L1484" i="5" s="1"/>
  <c r="P1484" i="5" s="1"/>
  <c r="K1682" i="5"/>
  <c r="L1682" i="5" s="1"/>
  <c r="P1682" i="5" s="1"/>
  <c r="K1864" i="5"/>
  <c r="L1864" i="5" s="1"/>
  <c r="P1864" i="5" s="1"/>
  <c r="K2325" i="5"/>
  <c r="L2325" i="5" s="1"/>
  <c r="P2325" i="5" s="1"/>
  <c r="K358" i="5"/>
  <c r="L358" i="5" s="1"/>
  <c r="P358" i="5" s="1"/>
  <c r="K1411" i="5"/>
  <c r="L1411" i="5" s="1"/>
  <c r="P1411" i="5" s="1"/>
  <c r="K1343" i="5"/>
  <c r="L1343" i="5" s="1"/>
  <c r="P1343" i="5" s="1"/>
  <c r="K1419" i="5"/>
  <c r="L1419" i="5" s="1"/>
  <c r="P1419" i="5" s="1"/>
  <c r="K2106" i="5"/>
  <c r="L2106" i="5" s="1"/>
  <c r="P2106" i="5" s="1"/>
  <c r="K2459" i="5"/>
  <c r="L2459" i="5" s="1"/>
  <c r="P2459" i="5" s="1"/>
  <c r="K2422" i="5"/>
  <c r="L2422" i="5" s="1"/>
  <c r="P2422" i="5" s="1"/>
  <c r="K387" i="5"/>
  <c r="L387" i="5" s="1"/>
  <c r="P387" i="5" s="1"/>
  <c r="K1047" i="5"/>
  <c r="L1047" i="5" s="1"/>
  <c r="P1047" i="5" s="1"/>
  <c r="K1756" i="5"/>
  <c r="L1756" i="5" s="1"/>
  <c r="P1756" i="5" s="1"/>
  <c r="K1803" i="5"/>
  <c r="L1803" i="5" s="1"/>
  <c r="P1803" i="5" s="1"/>
  <c r="K1833" i="5"/>
  <c r="L1833" i="5" s="1"/>
  <c r="P1833" i="5" s="1"/>
  <c r="K2327" i="5"/>
  <c r="L2327" i="5" s="1"/>
  <c r="P2327" i="5" s="1"/>
  <c r="K701" i="5"/>
  <c r="L701" i="5" s="1"/>
  <c r="P701" i="5" s="1"/>
  <c r="K1133" i="5"/>
  <c r="L1133" i="5" s="1"/>
  <c r="P1133" i="5" s="1"/>
  <c r="K1416" i="5"/>
  <c r="L1416" i="5" s="1"/>
  <c r="P1416" i="5" s="1"/>
  <c r="K1711" i="5"/>
  <c r="L1711" i="5" s="1"/>
  <c r="P1711" i="5" s="1"/>
  <c r="K467" i="5"/>
  <c r="L467" i="5" s="1"/>
  <c r="P467" i="5" s="1"/>
  <c r="K896" i="5"/>
  <c r="L896" i="5" s="1"/>
  <c r="P896" i="5" s="1"/>
  <c r="K1247" i="5"/>
  <c r="L1247" i="5" s="1"/>
  <c r="P1247" i="5" s="1"/>
  <c r="K2114" i="5"/>
  <c r="L2114" i="5" s="1"/>
  <c r="P2114" i="5" s="1"/>
  <c r="K2170" i="5"/>
  <c r="L2170" i="5" s="1"/>
  <c r="P2170" i="5" s="1"/>
  <c r="K2487" i="5"/>
  <c r="L2487" i="5" s="1"/>
  <c r="P2487" i="5" s="1"/>
  <c r="K959" i="5"/>
  <c r="L959" i="5" s="1"/>
  <c r="P959" i="5" s="1"/>
  <c r="K1090" i="5"/>
  <c r="L1090" i="5" s="1"/>
  <c r="P1090" i="5" s="1"/>
  <c r="K1441" i="5"/>
  <c r="L1441" i="5" s="1"/>
  <c r="P1441" i="5" s="1"/>
  <c r="K1675" i="5"/>
  <c r="L1675" i="5" s="1"/>
  <c r="P1675" i="5" s="1"/>
  <c r="K1741" i="5"/>
  <c r="L1741" i="5" s="1"/>
  <c r="P1741" i="5" s="1"/>
  <c r="K765" i="5"/>
  <c r="L765" i="5" s="1"/>
  <c r="P765" i="5" s="1"/>
  <c r="K1097" i="5"/>
  <c r="L1097" i="5" s="1"/>
  <c r="P1097" i="5" s="1"/>
  <c r="K1867" i="5"/>
  <c r="L1867" i="5" s="1"/>
  <c r="P1867" i="5" s="1"/>
  <c r="K2003" i="5"/>
  <c r="L2003" i="5" s="1"/>
  <c r="P2003" i="5" s="1"/>
  <c r="K2041" i="5"/>
  <c r="L2041" i="5" s="1"/>
  <c r="P2041" i="5" s="1"/>
  <c r="K317" i="5"/>
  <c r="L317" i="5" s="1"/>
  <c r="P317" i="5" s="1"/>
  <c r="K1717" i="5"/>
  <c r="L1717" i="5" s="1"/>
  <c r="P1717" i="5" s="1"/>
  <c r="K1941" i="5"/>
  <c r="L1941" i="5" s="1"/>
  <c r="P1941" i="5" s="1"/>
  <c r="K2411" i="5"/>
  <c r="L2411" i="5" s="1"/>
  <c r="P2411" i="5" s="1"/>
  <c r="K2420" i="5"/>
  <c r="L2420" i="5" s="1"/>
  <c r="P2420" i="5" s="1"/>
  <c r="K2488" i="5"/>
  <c r="L2488" i="5" s="1"/>
  <c r="P2488" i="5" s="1"/>
  <c r="K271" i="5"/>
  <c r="L271" i="5" s="1"/>
  <c r="P271" i="5" s="1"/>
  <c r="K418" i="5"/>
  <c r="L418" i="5" s="1"/>
  <c r="P418" i="5" s="1"/>
  <c r="K568" i="5"/>
  <c r="L568" i="5" s="1"/>
  <c r="P568" i="5" s="1"/>
  <c r="K881" i="5"/>
  <c r="L881" i="5" s="1"/>
  <c r="P881" i="5" s="1"/>
  <c r="K1071" i="5"/>
  <c r="L1071" i="5" s="1"/>
  <c r="P1071" i="5" s="1"/>
  <c r="K1134" i="5"/>
  <c r="L1134" i="5" s="1"/>
  <c r="P1134" i="5" s="1"/>
  <c r="K478" i="5"/>
  <c r="L478" i="5" s="1"/>
  <c r="P478" i="5" s="1"/>
  <c r="K2089" i="5"/>
  <c r="L2089" i="5" s="1"/>
  <c r="P2089" i="5" s="1"/>
  <c r="K2182" i="5"/>
  <c r="L2182" i="5" s="1"/>
  <c r="P2182" i="5" s="1"/>
  <c r="K170" i="5"/>
  <c r="L170" i="5" s="1"/>
  <c r="P170" i="5" s="1"/>
  <c r="K311" i="5"/>
  <c r="L311" i="5" s="1"/>
  <c r="P311" i="5" s="1"/>
  <c r="K343" i="5"/>
  <c r="L343" i="5" s="1"/>
  <c r="P343" i="5" s="1"/>
  <c r="K1048" i="5"/>
  <c r="L1048" i="5" s="1"/>
  <c r="P1048" i="5" s="1"/>
  <c r="K1380" i="5"/>
  <c r="L1380" i="5" s="1"/>
  <c r="P1380" i="5" s="1"/>
  <c r="K843" i="5"/>
  <c r="L843" i="5" s="1"/>
  <c r="P843" i="5" s="1"/>
  <c r="K1449" i="5"/>
  <c r="L1449" i="5" s="1"/>
  <c r="P1449" i="5" s="1"/>
  <c r="K690" i="5"/>
  <c r="L690" i="5" s="1"/>
  <c r="P690" i="5" s="1"/>
  <c r="K1633" i="5"/>
  <c r="L1633" i="5" s="1"/>
  <c r="P1633" i="5" s="1"/>
  <c r="K1655" i="5"/>
  <c r="L1655" i="5" s="1"/>
  <c r="P1655" i="5" s="1"/>
  <c r="K1678" i="5"/>
  <c r="L1678" i="5" s="1"/>
  <c r="P1678" i="5" s="1"/>
  <c r="K2135" i="5"/>
  <c r="L2135" i="5" s="1"/>
  <c r="P2135" i="5" s="1"/>
  <c r="K2312" i="5"/>
  <c r="L2312" i="5" s="1"/>
  <c r="P2312" i="5" s="1"/>
  <c r="K105" i="5"/>
  <c r="L105" i="5" s="1"/>
  <c r="P105" i="5" s="1"/>
  <c r="K200" i="5"/>
  <c r="L200" i="5" s="1"/>
  <c r="P200" i="5" s="1"/>
  <c r="K258" i="5"/>
  <c r="L258" i="5" s="1"/>
  <c r="P258" i="5" s="1"/>
  <c r="K746" i="5"/>
  <c r="L746" i="5" s="1"/>
  <c r="P746" i="5" s="1"/>
  <c r="K1407" i="5"/>
  <c r="L1407" i="5" s="1"/>
  <c r="P1407" i="5" s="1"/>
  <c r="K1569" i="5"/>
  <c r="L1569" i="5" s="1"/>
  <c r="P1569" i="5" s="1"/>
  <c r="K1617" i="5"/>
  <c r="L1617" i="5" s="1"/>
  <c r="P1617" i="5" s="1"/>
  <c r="K1732" i="5"/>
  <c r="L1732" i="5" s="1"/>
  <c r="P1732" i="5" s="1"/>
  <c r="K2107" i="5"/>
  <c r="L2107" i="5" s="1"/>
  <c r="P2107" i="5" s="1"/>
  <c r="K2482" i="5"/>
  <c r="L2482" i="5" s="1"/>
  <c r="P2482" i="5" s="1"/>
  <c r="K36" i="5"/>
  <c r="L36" i="5" s="1"/>
  <c r="P36" i="5" s="1"/>
  <c r="K90" i="5"/>
  <c r="L90" i="5" s="1"/>
  <c r="P90" i="5" s="1"/>
  <c r="K450" i="5"/>
  <c r="L450" i="5" s="1"/>
  <c r="P450" i="5" s="1"/>
  <c r="K1191" i="5"/>
  <c r="L1191" i="5" s="1"/>
  <c r="P1191" i="5" s="1"/>
  <c r="K1290" i="5"/>
  <c r="L1290" i="5" s="1"/>
  <c r="P1290" i="5" s="1"/>
  <c r="K1521" i="5"/>
  <c r="L1521" i="5" s="1"/>
  <c r="P1521" i="5" s="1"/>
  <c r="K2053" i="5"/>
  <c r="L2053" i="5" s="1"/>
  <c r="P2053" i="5" s="1"/>
  <c r="K2316" i="5"/>
  <c r="L2316" i="5" s="1"/>
  <c r="P2316" i="5" s="1"/>
  <c r="K228" i="5"/>
  <c r="L228" i="5" s="1"/>
  <c r="P228" i="5" s="1"/>
  <c r="K2288" i="5"/>
  <c r="L2288" i="5" s="1"/>
  <c r="P2288" i="5" s="1"/>
  <c r="K962" i="5"/>
  <c r="L962" i="5" s="1"/>
  <c r="P962" i="5" s="1"/>
  <c r="K1056" i="5"/>
  <c r="L1056" i="5" s="1"/>
  <c r="P1056" i="5" s="1"/>
  <c r="K1073" i="5"/>
  <c r="L1073" i="5" s="1"/>
  <c r="P1073" i="5" s="1"/>
  <c r="K1130" i="5"/>
  <c r="L1130" i="5" s="1"/>
  <c r="P1130" i="5" s="1"/>
  <c r="K1403" i="5"/>
  <c r="L1403" i="5" s="1"/>
  <c r="P1403" i="5" s="1"/>
  <c r="K1851" i="5"/>
  <c r="L1851" i="5" s="1"/>
  <c r="P1851" i="5" s="1"/>
  <c r="K2370" i="5"/>
  <c r="L2370" i="5" s="1"/>
  <c r="P2370" i="5" s="1"/>
  <c r="K2468" i="5"/>
  <c r="L2468" i="5" s="1"/>
  <c r="P2468" i="5" s="1"/>
  <c r="K199" i="5"/>
  <c r="L199" i="5" s="1"/>
  <c r="P199" i="5" s="1"/>
  <c r="K393" i="5"/>
  <c r="L393" i="5" s="1"/>
  <c r="P393" i="5" s="1"/>
  <c r="K1475" i="5"/>
  <c r="L1475" i="5" s="1"/>
  <c r="P1475" i="5" s="1"/>
  <c r="K1860" i="5"/>
  <c r="L1860" i="5" s="1"/>
  <c r="P1860" i="5" s="1"/>
  <c r="K1948" i="5"/>
  <c r="L1948" i="5" s="1"/>
  <c r="P1948" i="5" s="1"/>
  <c r="K2415" i="5"/>
  <c r="L2415" i="5" s="1"/>
  <c r="P2415" i="5" s="1"/>
  <c r="K1114" i="5"/>
  <c r="L1114" i="5" s="1"/>
  <c r="P1114" i="5" s="1"/>
  <c r="K2220" i="5"/>
  <c r="L2220" i="5" s="1"/>
  <c r="P2220" i="5" s="1"/>
  <c r="K235" i="5"/>
  <c r="L235" i="5" s="1"/>
  <c r="P235" i="5" s="1"/>
  <c r="K656" i="5"/>
  <c r="L656" i="5" s="1"/>
  <c r="P656" i="5" s="1"/>
  <c r="K1760" i="5"/>
  <c r="L1760" i="5" s="1"/>
  <c r="P1760" i="5" s="1"/>
  <c r="K1096" i="5"/>
  <c r="L1096" i="5" s="1"/>
  <c r="P1096" i="5" s="1"/>
  <c r="K1143" i="5"/>
  <c r="L1143" i="5" s="1"/>
  <c r="P1143" i="5" s="1"/>
  <c r="K2421" i="5"/>
  <c r="L2421" i="5" s="1"/>
  <c r="P2421" i="5" s="1"/>
  <c r="K2500" i="5"/>
  <c r="L2500" i="5" s="1"/>
  <c r="P2500" i="5" s="1"/>
  <c r="K2481" i="5"/>
  <c r="L2481" i="5" s="1"/>
  <c r="P2481" i="5" s="1"/>
  <c r="K502" i="5"/>
  <c r="L502" i="5" s="1"/>
  <c r="P502" i="5" s="1"/>
  <c r="K547" i="5"/>
  <c r="L547" i="5" s="1"/>
  <c r="P547" i="5" s="1"/>
  <c r="K1917" i="5"/>
  <c r="L1917" i="5" s="1"/>
  <c r="P1917" i="5" s="1"/>
  <c r="K1996" i="5"/>
  <c r="L1996" i="5" s="1"/>
  <c r="P1996" i="5" s="1"/>
  <c r="K665" i="5"/>
  <c r="L665" i="5" s="1"/>
  <c r="P665" i="5" s="1"/>
  <c r="K1836" i="5"/>
  <c r="L1836" i="5" s="1"/>
  <c r="P1836" i="5" s="1"/>
  <c r="K1857" i="5"/>
  <c r="L1857" i="5" s="1"/>
  <c r="P1857" i="5" s="1"/>
  <c r="K104" i="5"/>
  <c r="L104" i="5" s="1"/>
  <c r="P104" i="5" s="1"/>
  <c r="K629" i="5"/>
  <c r="L629" i="5" s="1"/>
  <c r="P629" i="5" s="1"/>
  <c r="K635" i="5"/>
  <c r="L635" i="5" s="1"/>
  <c r="P635" i="5" s="1"/>
  <c r="K1182" i="5"/>
  <c r="L1182" i="5" s="1"/>
  <c r="P1182" i="5" s="1"/>
  <c r="K1334" i="5"/>
  <c r="L1334" i="5" s="1"/>
  <c r="P1334" i="5" s="1"/>
  <c r="K1840" i="5"/>
  <c r="L1840" i="5" s="1"/>
  <c r="P1840" i="5" s="1"/>
  <c r="K40" i="5"/>
  <c r="L40" i="5" s="1"/>
  <c r="P40" i="5" s="1"/>
  <c r="K426" i="5"/>
  <c r="L426" i="5" s="1"/>
  <c r="P426" i="5" s="1"/>
  <c r="K1027" i="5"/>
  <c r="L1027" i="5" s="1"/>
  <c r="P1027" i="5" s="1"/>
  <c r="K2463" i="5"/>
  <c r="L2463" i="5" s="1"/>
  <c r="P2463" i="5" s="1"/>
  <c r="K308" i="5"/>
  <c r="L308" i="5" s="1"/>
  <c r="P308" i="5" s="1"/>
  <c r="K1670" i="5"/>
  <c r="L1670" i="5" s="1"/>
  <c r="P1670" i="5" s="1"/>
  <c r="K1750" i="5"/>
  <c r="L1750" i="5" s="1"/>
  <c r="P1750" i="5" s="1"/>
  <c r="K1943" i="5"/>
  <c r="L1943" i="5" s="1"/>
  <c r="P1943" i="5" s="1"/>
  <c r="K2184" i="5"/>
  <c r="L2184" i="5" s="1"/>
  <c r="P2184" i="5" s="1"/>
  <c r="K1225" i="5"/>
  <c r="L1225" i="5" s="1"/>
  <c r="P1225" i="5" s="1"/>
  <c r="K1558" i="5"/>
  <c r="L1558" i="5" s="1"/>
  <c r="P1558" i="5" s="1"/>
  <c r="K2004" i="5"/>
  <c r="L2004" i="5" s="1"/>
  <c r="P2004" i="5" s="1"/>
  <c r="K976" i="5"/>
  <c r="L976" i="5" s="1"/>
  <c r="P976" i="5" s="1"/>
  <c r="K1077" i="5"/>
  <c r="L1077" i="5" s="1"/>
  <c r="P1077" i="5" s="1"/>
  <c r="K1335" i="5"/>
  <c r="L1335" i="5" s="1"/>
  <c r="P1335" i="5" s="1"/>
  <c r="K1448" i="5"/>
  <c r="L1448" i="5" s="1"/>
  <c r="P1448" i="5" s="1"/>
  <c r="K2153" i="5"/>
  <c r="L2153" i="5" s="1"/>
  <c r="P2153" i="5" s="1"/>
  <c r="K276" i="5"/>
  <c r="L276" i="5" s="1"/>
  <c r="P276" i="5" s="1"/>
  <c r="K967" i="5"/>
  <c r="L967" i="5" s="1"/>
  <c r="P967" i="5" s="1"/>
  <c r="K2244" i="5"/>
  <c r="L2244" i="5" s="1"/>
  <c r="P2244" i="5" s="1"/>
  <c r="K2461" i="5"/>
  <c r="L2461" i="5" s="1"/>
  <c r="P2461" i="5" s="1"/>
  <c r="K2491" i="5"/>
  <c r="L2491" i="5" s="1"/>
  <c r="P2491" i="5" s="1"/>
  <c r="K75" i="5"/>
  <c r="L75" i="5" s="1"/>
  <c r="P75" i="5" s="1"/>
  <c r="K282" i="5"/>
  <c r="L282" i="5" s="1"/>
  <c r="P282" i="5" s="1"/>
  <c r="K1881" i="5"/>
  <c r="L1881" i="5" s="1"/>
  <c r="P1881" i="5" s="1"/>
  <c r="K1932" i="5"/>
  <c r="L1932" i="5" s="1"/>
  <c r="P1932" i="5" s="1"/>
  <c r="K466" i="5"/>
  <c r="L466" i="5" s="1"/>
  <c r="P466" i="5" s="1"/>
  <c r="K525" i="5"/>
  <c r="L525" i="5" s="1"/>
  <c r="P525" i="5" s="1"/>
  <c r="K1214" i="5"/>
  <c r="L1214" i="5" s="1"/>
  <c r="P1214" i="5" s="1"/>
  <c r="K1524" i="5"/>
  <c r="L1524" i="5" s="1"/>
  <c r="P1524" i="5" s="1"/>
  <c r="K1534" i="5"/>
  <c r="L1534" i="5" s="1"/>
  <c r="P1534" i="5" s="1"/>
  <c r="K1611" i="5"/>
  <c r="L1611" i="5" s="1"/>
  <c r="P1611" i="5" s="1"/>
  <c r="K1706" i="5"/>
  <c r="L1706" i="5" s="1"/>
  <c r="P1706" i="5" s="1"/>
  <c r="K2255" i="5"/>
  <c r="L2255" i="5" s="1"/>
  <c r="P2255" i="5" s="1"/>
  <c r="K2486" i="5"/>
  <c r="L2486" i="5" s="1"/>
  <c r="P2486" i="5" s="1"/>
  <c r="K2000" i="5"/>
  <c r="L2000" i="5" s="1"/>
  <c r="P2000" i="5" s="1"/>
  <c r="K2095" i="5"/>
  <c r="L2095" i="5" s="1"/>
  <c r="P2095" i="5" s="1"/>
  <c r="K44" i="5"/>
  <c r="L44" i="5" s="1"/>
  <c r="P44" i="5" s="1"/>
  <c r="K934" i="5"/>
  <c r="L934" i="5" s="1"/>
  <c r="P934" i="5" s="1"/>
  <c r="K2079" i="5"/>
  <c r="L2079" i="5" s="1"/>
  <c r="P2079" i="5" s="1"/>
  <c r="K2124" i="5"/>
  <c r="L2124" i="5" s="1"/>
  <c r="P2124" i="5" s="1"/>
  <c r="K2125" i="5"/>
  <c r="L2125" i="5" s="1"/>
  <c r="P2125" i="5" s="1"/>
  <c r="K163" i="5"/>
  <c r="L163" i="5" s="1"/>
  <c r="P163" i="5" s="1"/>
  <c r="K551" i="5"/>
  <c r="L551" i="5" s="1"/>
  <c r="P551" i="5" s="1"/>
  <c r="K1144" i="5"/>
  <c r="L1144" i="5" s="1"/>
  <c r="P1144" i="5" s="1"/>
  <c r="K1197" i="5"/>
  <c r="L1197" i="5" s="1"/>
  <c r="P1197" i="5" s="1"/>
  <c r="K1201" i="5"/>
  <c r="L1201" i="5" s="1"/>
  <c r="P1201" i="5" s="1"/>
  <c r="K1629" i="5"/>
  <c r="L1629" i="5" s="1"/>
  <c r="P1629" i="5" s="1"/>
  <c r="K97" i="5"/>
  <c r="L97" i="5" s="1"/>
  <c r="P97" i="5" s="1"/>
  <c r="K479" i="5"/>
  <c r="L479" i="5" s="1"/>
  <c r="P479" i="5" s="1"/>
  <c r="K988" i="5"/>
  <c r="L988" i="5" s="1"/>
  <c r="P988" i="5" s="1"/>
  <c r="K1180" i="5"/>
  <c r="L1180" i="5" s="1"/>
  <c r="P1180" i="5" s="1"/>
  <c r="K1533" i="5"/>
  <c r="L1533" i="5" s="1"/>
  <c r="P1533" i="5" s="1"/>
  <c r="K1536" i="5"/>
  <c r="L1536" i="5" s="1"/>
  <c r="P1536" i="5" s="1"/>
  <c r="K1642" i="5"/>
  <c r="L1642" i="5" s="1"/>
  <c r="P1642" i="5" s="1"/>
  <c r="K1767" i="5"/>
  <c r="L1767" i="5" s="1"/>
  <c r="P1767" i="5" s="1"/>
  <c r="K9" i="5"/>
  <c r="L9" i="5" s="1"/>
  <c r="P9" i="5" s="1"/>
  <c r="K805" i="5"/>
  <c r="L805" i="5" s="1"/>
  <c r="P805" i="5" s="1"/>
  <c r="K820" i="5"/>
  <c r="L820" i="5" s="1"/>
  <c r="P820" i="5" s="1"/>
  <c r="K879" i="5"/>
  <c r="L879" i="5" s="1"/>
  <c r="P879" i="5" s="1"/>
  <c r="K1138" i="5"/>
  <c r="L1138" i="5" s="1"/>
  <c r="P1138" i="5" s="1"/>
  <c r="K2027" i="5"/>
  <c r="L2027" i="5" s="1"/>
  <c r="P2027" i="5" s="1"/>
  <c r="K2357" i="5"/>
  <c r="L2357" i="5" s="1"/>
  <c r="P2357" i="5" s="1"/>
  <c r="K902" i="5"/>
  <c r="L902" i="5" s="1"/>
  <c r="P902" i="5" s="1"/>
  <c r="K1171" i="5"/>
  <c r="L1171" i="5" s="1"/>
  <c r="P1171" i="5" s="1"/>
  <c r="K1394" i="5"/>
  <c r="L1394" i="5" s="1"/>
  <c r="P1394" i="5" s="1"/>
  <c r="K1862" i="5"/>
  <c r="L1862" i="5" s="1"/>
  <c r="P1862" i="5" s="1"/>
  <c r="K31" i="5"/>
  <c r="L31" i="5" s="1"/>
  <c r="P31" i="5" s="1"/>
  <c r="K749" i="5"/>
  <c r="L749" i="5" s="1"/>
  <c r="P749" i="5" s="1"/>
  <c r="K1006" i="5"/>
  <c r="L1006" i="5" s="1"/>
  <c r="P1006" i="5" s="1"/>
  <c r="K1148" i="5"/>
  <c r="L1148" i="5" s="1"/>
  <c r="P1148" i="5" s="1"/>
  <c r="K1736" i="5"/>
  <c r="L1736" i="5" s="1"/>
  <c r="P1736" i="5" s="1"/>
  <c r="K2211" i="5"/>
  <c r="L2211" i="5" s="1"/>
  <c r="P2211" i="5" s="1"/>
  <c r="K2287" i="5"/>
  <c r="L2287" i="5" s="1"/>
  <c r="P2287" i="5" s="1"/>
  <c r="K862" i="5"/>
  <c r="L862" i="5" s="1"/>
  <c r="P862" i="5" s="1"/>
  <c r="K1015" i="5"/>
  <c r="L1015" i="5" s="1"/>
  <c r="P1015" i="5" s="1"/>
  <c r="K1540" i="5"/>
  <c r="L1540" i="5" s="1"/>
  <c r="P1540" i="5" s="1"/>
  <c r="K1677" i="5"/>
  <c r="L1677" i="5" s="1"/>
  <c r="P1677" i="5" s="1"/>
  <c r="K2015" i="5"/>
  <c r="L2015" i="5" s="1"/>
  <c r="P2015" i="5" s="1"/>
  <c r="K2403" i="5"/>
  <c r="L2403" i="5" s="1"/>
  <c r="P2403" i="5" s="1"/>
  <c r="K1907" i="5"/>
  <c r="L1907" i="5" s="1"/>
  <c r="P1907" i="5" s="1"/>
  <c r="K2460" i="5"/>
  <c r="L2460" i="5" s="1"/>
  <c r="P2460" i="5" s="1"/>
  <c r="K516" i="5"/>
  <c r="L516" i="5" s="1"/>
  <c r="P516" i="5" s="1"/>
  <c r="K958" i="5"/>
  <c r="L958" i="5" s="1"/>
  <c r="P958" i="5" s="1"/>
  <c r="K1116" i="5"/>
  <c r="L1116" i="5" s="1"/>
  <c r="P1116" i="5" s="1"/>
  <c r="K1150" i="5"/>
  <c r="L1150" i="5" s="1"/>
  <c r="P1150" i="5" s="1"/>
  <c r="K110" i="5"/>
  <c r="L110" i="5" s="1"/>
  <c r="P110" i="5" s="1"/>
  <c r="K348" i="5"/>
  <c r="L348" i="5" s="1"/>
  <c r="P348" i="5" s="1"/>
  <c r="K588" i="5"/>
  <c r="L588" i="5" s="1"/>
  <c r="P588" i="5" s="1"/>
  <c r="K847" i="5"/>
  <c r="L847" i="5" s="1"/>
  <c r="P847" i="5" s="1"/>
  <c r="K1037" i="5"/>
  <c r="L1037" i="5" s="1"/>
  <c r="P1037" i="5" s="1"/>
  <c r="K2314" i="5"/>
  <c r="L2314" i="5" s="1"/>
  <c r="P2314" i="5" s="1"/>
  <c r="K2388" i="5"/>
  <c r="L2388" i="5" s="1"/>
  <c r="P2388" i="5" s="1"/>
  <c r="K169" i="5"/>
  <c r="L169" i="5" s="1"/>
  <c r="P169" i="5" s="1"/>
  <c r="K283" i="5"/>
  <c r="L283" i="5" s="1"/>
  <c r="P283" i="5" s="1"/>
  <c r="K859" i="5"/>
  <c r="L859" i="5" s="1"/>
  <c r="P859" i="5" s="1"/>
  <c r="K1029" i="5"/>
  <c r="L1029" i="5" s="1"/>
  <c r="P1029" i="5" s="1"/>
  <c r="K1173" i="5"/>
  <c r="L1173" i="5" s="1"/>
  <c r="P1173" i="5" s="1"/>
  <c r="K1409" i="5"/>
  <c r="L1409" i="5" s="1"/>
  <c r="P1409" i="5" s="1"/>
  <c r="K1573" i="5"/>
  <c r="L1573" i="5" s="1"/>
  <c r="P1573" i="5" s="1"/>
  <c r="K1876" i="5"/>
  <c r="L1876" i="5" s="1"/>
  <c r="P1876" i="5" s="1"/>
  <c r="K2407" i="5"/>
  <c r="L2407" i="5" s="1"/>
  <c r="P2407" i="5" s="1"/>
  <c r="K595" i="5"/>
  <c r="L595" i="5" s="1"/>
  <c r="P595" i="5" s="1"/>
  <c r="K681" i="5"/>
  <c r="L681" i="5" s="1"/>
  <c r="P681" i="5" s="1"/>
  <c r="K1754" i="5"/>
  <c r="L1754" i="5" s="1"/>
  <c r="P1754" i="5" s="1"/>
  <c r="K440" i="5"/>
  <c r="L440" i="5" s="1"/>
  <c r="P440" i="5" s="1"/>
  <c r="K582" i="5"/>
  <c r="L582" i="5" s="1"/>
  <c r="P582" i="5" s="1"/>
  <c r="K960" i="5"/>
  <c r="L960" i="5" s="1"/>
  <c r="P960" i="5" s="1"/>
  <c r="K1220" i="5"/>
  <c r="L1220" i="5" s="1"/>
  <c r="P1220" i="5" s="1"/>
  <c r="K2247" i="5"/>
  <c r="L2247" i="5" s="1"/>
  <c r="P2247" i="5" s="1"/>
  <c r="K2363" i="5"/>
  <c r="L2363" i="5" s="1"/>
  <c r="P2363" i="5" s="1"/>
  <c r="K11" i="5"/>
  <c r="L11" i="5" s="1"/>
  <c r="P11" i="5" s="1"/>
  <c r="K623" i="5"/>
  <c r="L623" i="5" s="1"/>
  <c r="P623" i="5" s="1"/>
  <c r="K1083" i="5"/>
  <c r="L1083" i="5" s="1"/>
  <c r="P1083" i="5" s="1"/>
  <c r="K1965" i="5"/>
  <c r="L1965" i="5" s="1"/>
  <c r="P1965" i="5" s="1"/>
  <c r="K489" i="5"/>
  <c r="L489" i="5" s="1"/>
  <c r="P489" i="5" s="1"/>
  <c r="K914" i="5"/>
  <c r="L914" i="5" s="1"/>
  <c r="P914" i="5" s="1"/>
  <c r="K1230" i="5"/>
  <c r="L1230" i="5" s="1"/>
  <c r="P1230" i="5" s="1"/>
  <c r="K1322" i="5"/>
  <c r="L1322" i="5" s="1"/>
  <c r="P1322" i="5" s="1"/>
  <c r="K2438" i="5"/>
  <c r="L2438" i="5" s="1"/>
  <c r="P2438" i="5" s="1"/>
  <c r="K5" i="5"/>
  <c r="L5" i="5" s="1"/>
  <c r="P5" i="5" s="1"/>
  <c r="K256" i="5"/>
  <c r="L256" i="5" s="1"/>
  <c r="P256" i="5" s="1"/>
  <c r="K307" i="5"/>
  <c r="L307" i="5" s="1"/>
  <c r="P307" i="5" s="1"/>
  <c r="K784" i="5"/>
  <c r="L784" i="5" s="1"/>
  <c r="P784" i="5" s="1"/>
  <c r="K1373" i="5"/>
  <c r="L1373" i="5" s="1"/>
  <c r="P1373" i="5" s="1"/>
  <c r="K2319" i="5"/>
  <c r="L2319" i="5" s="1"/>
  <c r="P2319" i="5" s="1"/>
  <c r="K470" i="5"/>
  <c r="L470" i="5" s="1"/>
  <c r="P470" i="5" s="1"/>
  <c r="K657" i="5"/>
  <c r="L657" i="5" s="1"/>
  <c r="P657" i="5" s="1"/>
  <c r="K901" i="5"/>
  <c r="L901" i="5" s="1"/>
  <c r="P901" i="5" s="1"/>
  <c r="K2233" i="5"/>
  <c r="L2233" i="5" s="1"/>
  <c r="P2233" i="5" s="1"/>
  <c r="K145" i="5"/>
  <c r="L145" i="5" s="1"/>
  <c r="P145" i="5" s="1"/>
  <c r="K603" i="5"/>
  <c r="L603" i="5" s="1"/>
  <c r="P603" i="5" s="1"/>
  <c r="K606" i="5"/>
  <c r="L606" i="5" s="1"/>
  <c r="P606" i="5" s="1"/>
  <c r="K1398" i="5"/>
  <c r="L1398" i="5" s="1"/>
  <c r="P1398" i="5" s="1"/>
  <c r="K839" i="5"/>
  <c r="L839" i="5" s="1"/>
  <c r="P839" i="5" s="1"/>
  <c r="K1337" i="5"/>
  <c r="L1337" i="5" s="1"/>
  <c r="P1337" i="5" s="1"/>
  <c r="K1499" i="5"/>
  <c r="L1499" i="5" s="1"/>
  <c r="P1499" i="5" s="1"/>
  <c r="K1595" i="5"/>
  <c r="L1595" i="5" s="1"/>
  <c r="P1595" i="5" s="1"/>
  <c r="K242" i="5"/>
  <c r="L242" i="5" s="1"/>
  <c r="P242" i="5" s="1"/>
  <c r="K1277" i="5"/>
  <c r="L1277" i="5" s="1"/>
  <c r="P1277" i="5" s="1"/>
  <c r="K1095" i="5"/>
  <c r="L1095" i="5" s="1"/>
  <c r="P1095" i="5" s="1"/>
  <c r="G1095" i="5"/>
  <c r="G1619" i="5"/>
  <c r="G1648" i="5"/>
  <c r="G270" i="5"/>
  <c r="G1737" i="5"/>
  <c r="G2203" i="5"/>
  <c r="G248" i="5"/>
  <c r="G1780" i="5"/>
  <c r="G371" i="5"/>
  <c r="G836" i="5"/>
  <c r="G65" i="5"/>
  <c r="G655" i="5"/>
  <c r="G755" i="5"/>
  <c r="G2031" i="5"/>
  <c r="G1819" i="5"/>
  <c r="G1168" i="5"/>
  <c r="G2479" i="5"/>
  <c r="G336" i="5"/>
  <c r="G1274" i="5"/>
  <c r="G1434" i="5"/>
  <c r="G2307" i="5"/>
  <c r="G351" i="5"/>
  <c r="G2294" i="5"/>
  <c r="G37" i="5"/>
  <c r="G1340" i="5"/>
  <c r="G1250" i="5"/>
  <c r="G762" i="5"/>
  <c r="G1610" i="5"/>
  <c r="G2308" i="5"/>
  <c r="G1466" i="5"/>
  <c r="G78" i="5"/>
  <c r="G1125" i="5"/>
  <c r="G1993" i="5"/>
  <c r="G808" i="5"/>
  <c r="G164" i="5"/>
  <c r="G789" i="5"/>
  <c r="G1339" i="5"/>
  <c r="G1314" i="5"/>
  <c r="G1158" i="5"/>
  <c r="G52" i="5"/>
  <c r="G978" i="5"/>
  <c r="G1376" i="5"/>
  <c r="G895" i="5"/>
  <c r="G2318" i="5"/>
  <c r="G2249" i="5"/>
  <c r="G1193" i="5"/>
  <c r="G944" i="5"/>
  <c r="G2116" i="5"/>
  <c r="G1602" i="5"/>
  <c r="G1485" i="5"/>
  <c r="G1517" i="5"/>
  <c r="G1605" i="5"/>
  <c r="G886" i="5"/>
  <c r="G992" i="5"/>
  <c r="G1594" i="5"/>
  <c r="G1306" i="5"/>
  <c r="G1234" i="5"/>
  <c r="G2283" i="5"/>
  <c r="G1279" i="5"/>
  <c r="G2167" i="5"/>
  <c r="G2394" i="5"/>
  <c r="G296" i="5"/>
  <c r="G1151" i="5"/>
  <c r="G1672" i="5"/>
  <c r="G2429" i="5"/>
  <c r="G1625" i="5"/>
  <c r="G2072" i="5"/>
  <c r="G1656" i="5"/>
  <c r="G981" i="5"/>
  <c r="G1105" i="5"/>
  <c r="G2409" i="5"/>
  <c r="G1260" i="5"/>
  <c r="G1435" i="5"/>
  <c r="G2451" i="5"/>
  <c r="G2083" i="5"/>
  <c r="G2362" i="5"/>
  <c r="G129" i="5"/>
  <c r="G803" i="5"/>
  <c r="G822" i="5"/>
  <c r="G1685" i="5"/>
  <c r="G1669" i="5"/>
  <c r="G287" i="5"/>
  <c r="G669" i="5"/>
  <c r="G611" i="5"/>
  <c r="G284" i="5"/>
  <c r="G1122" i="5"/>
  <c r="G982" i="5"/>
  <c r="G996" i="5"/>
  <c r="G849" i="5"/>
  <c r="G2175" i="5"/>
  <c r="G882" i="5"/>
  <c r="G1014" i="5"/>
  <c r="G301" i="5"/>
  <c r="G674" i="5"/>
  <c r="G1087" i="5"/>
  <c r="G1866" i="5"/>
  <c r="G176" i="5"/>
  <c r="G1008" i="5"/>
  <c r="G1341" i="5"/>
  <c r="G1453" i="5"/>
  <c r="G1067" i="5"/>
  <c r="G1427" i="5"/>
  <c r="G741" i="5"/>
  <c r="G1878" i="5"/>
  <c r="G2020" i="5"/>
  <c r="G2155" i="5"/>
  <c r="G2378" i="5"/>
  <c r="G2382" i="5"/>
  <c r="G2285" i="5"/>
  <c r="G299" i="5"/>
  <c r="G1436" i="5"/>
  <c r="G1222" i="5"/>
  <c r="G1246" i="5"/>
  <c r="G501" i="5"/>
  <c r="G2277" i="5"/>
  <c r="G769" i="5"/>
  <c r="G144" i="5"/>
  <c r="G641" i="5"/>
  <c r="G1166" i="5"/>
  <c r="G631" i="5"/>
  <c r="G1705" i="5"/>
  <c r="G1848" i="5"/>
  <c r="G383" i="5"/>
  <c r="G346" i="5"/>
  <c r="G394" i="5"/>
  <c r="G476" i="5"/>
  <c r="G1128" i="5"/>
  <c r="G1437" i="5"/>
  <c r="G680" i="5"/>
  <c r="G735" i="5"/>
  <c r="G647" i="5"/>
  <c r="G1039" i="5"/>
  <c r="G984" i="5"/>
  <c r="G121" i="5"/>
  <c r="G151" i="5"/>
  <c r="G1091" i="5"/>
  <c r="G521" i="5"/>
  <c r="G1723" i="5"/>
  <c r="G2373" i="5"/>
  <c r="G1265" i="5"/>
  <c r="G2364" i="5"/>
  <c r="G2256" i="5"/>
  <c r="G1354" i="5"/>
  <c r="G649" i="5"/>
  <c r="G494" i="5"/>
  <c r="G2119" i="5"/>
  <c r="G2241" i="5"/>
  <c r="G736" i="5"/>
  <c r="G2221" i="5"/>
  <c r="G806" i="5"/>
  <c r="G1708" i="5"/>
  <c r="G157" i="5"/>
  <c r="G1727" i="5"/>
  <c r="G660" i="5"/>
  <c r="G1644" i="5"/>
  <c r="G166" i="5"/>
  <c r="G1445" i="5"/>
  <c r="G219" i="5"/>
  <c r="G1940" i="5"/>
  <c r="G1420" i="5"/>
  <c r="G2086" i="5"/>
  <c r="G562" i="5"/>
  <c r="G1229" i="5"/>
  <c r="G1473" i="5"/>
  <c r="G1568" i="5"/>
  <c r="G1789" i="5"/>
  <c r="G1413" i="5"/>
  <c r="G239" i="5"/>
  <c r="G1997" i="5"/>
  <c r="G1890" i="5"/>
  <c r="G268" i="5"/>
  <c r="G2492" i="5"/>
  <c r="G1914" i="5"/>
  <c r="G1135" i="5"/>
  <c r="G2158" i="5"/>
  <c r="G254" i="5"/>
  <c r="G474" i="5"/>
  <c r="G1620" i="5"/>
  <c r="G1189" i="5"/>
  <c r="G710" i="5"/>
  <c r="G1944" i="5"/>
  <c r="G2439" i="5"/>
  <c r="G830" i="5"/>
  <c r="G1481" i="5"/>
  <c r="G792" i="5"/>
  <c r="G1702" i="5"/>
  <c r="G2110" i="5"/>
  <c r="G72" i="5"/>
  <c r="G1328" i="5"/>
  <c r="G2253" i="5"/>
  <c r="G2390" i="5"/>
  <c r="G59" i="5"/>
  <c r="G421" i="5"/>
  <c r="G1216" i="5"/>
  <c r="G2046" i="5"/>
  <c r="G1089" i="5"/>
  <c r="G613" i="5"/>
  <c r="G2076" i="5"/>
  <c r="G184" i="5"/>
  <c r="G2101" i="5"/>
  <c r="G1967" i="5"/>
  <c r="G618" i="5"/>
  <c r="G794" i="5"/>
  <c r="G1383" i="5"/>
  <c r="G2058" i="5"/>
  <c r="G2149" i="5"/>
  <c r="G2147" i="5"/>
  <c r="G1791" i="5"/>
  <c r="G2006" i="5"/>
  <c r="G2493" i="5"/>
  <c r="G1323" i="5"/>
  <c r="G370" i="5"/>
  <c r="G856" i="5"/>
  <c r="G2276" i="5"/>
  <c r="G1405" i="5"/>
  <c r="G292" i="5"/>
  <c r="G750" i="5"/>
  <c r="G1964" i="5"/>
  <c r="G345" i="5"/>
  <c r="G584" i="5"/>
  <c r="G2292" i="5"/>
  <c r="G577" i="5"/>
  <c r="G81" i="5"/>
  <c r="G1393" i="5"/>
  <c r="G2219" i="5"/>
  <c r="G1583" i="5"/>
  <c r="G539" i="5"/>
  <c r="G386" i="5"/>
  <c r="G1035" i="5"/>
  <c r="G1561" i="5"/>
  <c r="G1291" i="5"/>
  <c r="G20" i="5"/>
  <c r="G1757" i="5"/>
  <c r="G204" i="5"/>
  <c r="G2002" i="5"/>
  <c r="G257" i="5"/>
  <c r="G2150" i="5"/>
  <c r="G1270" i="5"/>
  <c r="G1740" i="5"/>
  <c r="G1604" i="5"/>
  <c r="G2306" i="5"/>
  <c r="G1327" i="5"/>
  <c r="G1408" i="5"/>
  <c r="G1051" i="5"/>
  <c r="G773" i="5"/>
  <c r="G1554" i="5"/>
  <c r="G2011" i="5"/>
  <c r="G1299" i="5"/>
  <c r="G1623" i="5"/>
  <c r="G1258" i="5"/>
  <c r="G2446" i="5"/>
  <c r="G753" i="5"/>
  <c r="G936" i="5"/>
  <c r="G1716" i="5"/>
  <c r="G1684" i="5"/>
  <c r="G845" i="5"/>
  <c r="G797" i="5"/>
  <c r="G1211" i="5"/>
  <c r="G2264" i="5"/>
  <c r="G2474" i="5"/>
  <c r="G1872" i="5"/>
  <c r="G2007" i="5"/>
  <c r="G2100" i="5"/>
  <c r="G840" i="5"/>
  <c r="G733" i="5"/>
  <c r="G1865" i="5"/>
  <c r="G2142" i="5"/>
  <c r="G1046" i="5"/>
  <c r="G182" i="5"/>
  <c r="G1140" i="5"/>
  <c r="G1304" i="5"/>
  <c r="G1482" i="5"/>
  <c r="G536" i="5"/>
  <c r="G2207" i="5"/>
  <c r="G643" i="5"/>
  <c r="G1031" i="5"/>
  <c r="G1156" i="5"/>
  <c r="G837" i="5"/>
  <c r="G651" i="5"/>
  <c r="G1155" i="5"/>
  <c r="G1410" i="5"/>
  <c r="G1725" i="5"/>
  <c r="G41" i="5"/>
  <c r="G1192" i="5"/>
  <c r="G1900" i="5"/>
  <c r="G1404" i="5"/>
  <c r="G451" i="5"/>
  <c r="G165" i="5"/>
  <c r="G1640" i="5"/>
  <c r="G2166" i="5"/>
  <c r="G2176" i="5"/>
  <c r="G1227" i="5"/>
  <c r="G893" i="5"/>
  <c r="G2227" i="5"/>
  <c r="G890" i="5"/>
  <c r="G1465" i="5"/>
  <c r="G1991" i="5"/>
  <c r="G1697" i="5"/>
  <c r="G1007" i="5"/>
  <c r="G1069" i="5"/>
  <c r="G1556" i="5"/>
  <c r="G1159" i="5"/>
  <c r="G1713" i="5"/>
  <c r="G2217" i="5"/>
  <c r="G506" i="5"/>
  <c r="G1085" i="5"/>
  <c r="G1710" i="5"/>
  <c r="G1861" i="5"/>
  <c r="G46" i="5"/>
  <c r="G433" i="5"/>
  <c r="G1855" i="5"/>
  <c r="G2399" i="5"/>
  <c r="G294" i="5"/>
  <c r="G1259" i="5"/>
  <c r="G1599" i="5"/>
  <c r="G1646" i="5"/>
  <c r="G265" i="5"/>
  <c r="G486" i="5"/>
  <c r="G709" i="5"/>
  <c r="G786" i="5"/>
  <c r="G1228" i="5"/>
  <c r="G1397" i="5"/>
  <c r="G1743" i="5"/>
  <c r="G1987" i="5"/>
  <c r="G2117" i="5"/>
  <c r="G14" i="5"/>
  <c r="G89" i="5"/>
  <c r="G220" i="5"/>
  <c r="G2289" i="5"/>
  <c r="G262" i="5"/>
  <c r="G941" i="5"/>
  <c r="G1748" i="5"/>
  <c r="G1952" i="5"/>
  <c r="G2013" i="5"/>
  <c r="G2162" i="5"/>
  <c r="G2186" i="5"/>
  <c r="G2386" i="5"/>
  <c r="G202" i="5"/>
  <c r="G352" i="5"/>
  <c r="G991" i="5"/>
  <c r="G1012" i="5"/>
  <c r="G1093" i="5"/>
  <c r="G1103" i="5"/>
  <c r="G1747" i="5"/>
  <c r="G2273" i="5"/>
  <c r="G51" i="5"/>
  <c r="G454" i="5"/>
  <c r="G1637" i="5"/>
  <c r="G2466" i="5"/>
  <c r="G1353" i="5"/>
  <c r="G1630" i="5"/>
  <c r="G2303" i="5"/>
  <c r="G2416" i="5"/>
  <c r="G71" i="5"/>
  <c r="G517" i="5"/>
  <c r="G1188" i="5"/>
  <c r="G2320" i="5"/>
  <c r="G2343" i="5"/>
  <c r="G754" i="5"/>
  <c r="G861" i="5"/>
  <c r="G1494" i="5"/>
  <c r="G2113" i="5"/>
  <c r="G2458" i="5"/>
  <c r="G29" i="5"/>
  <c r="G498" i="5"/>
  <c r="G1242" i="5"/>
  <c r="G1451" i="5"/>
  <c r="G1694" i="5"/>
  <c r="G2298" i="5"/>
  <c r="G2348" i="5"/>
  <c r="G58" i="5"/>
  <c r="G510" i="5"/>
  <c r="G558" i="5"/>
  <c r="G1232" i="5"/>
  <c r="G1570" i="5"/>
  <c r="G2143" i="5"/>
  <c r="G931" i="5"/>
  <c r="G1019" i="5"/>
  <c r="G1526" i="5"/>
  <c r="G1915" i="5"/>
  <c r="G236" i="5"/>
  <c r="G597" i="5"/>
  <c r="G1107" i="5"/>
  <c r="G1587" i="5"/>
  <c r="G1609" i="5"/>
  <c r="G73" i="5"/>
  <c r="G833" i="5"/>
  <c r="G1075" i="5"/>
  <c r="G1921" i="5"/>
  <c r="G1977" i="5"/>
  <c r="G53" i="5"/>
  <c r="G1276" i="5"/>
  <c r="G1349" i="5"/>
  <c r="G1608" i="5"/>
  <c r="G497" i="5"/>
  <c r="G1471" i="5"/>
  <c r="G2127" i="5"/>
  <c r="G555" i="5"/>
  <c r="G1042" i="5"/>
  <c r="G1422" i="5"/>
  <c r="G2230" i="5"/>
  <c r="G2281" i="5"/>
  <c r="G325" i="5"/>
  <c r="G1032" i="5"/>
  <c r="G2305" i="5"/>
  <c r="G312" i="5"/>
  <c r="G1147" i="5"/>
  <c r="G1992" i="5"/>
  <c r="G2341" i="5"/>
  <c r="G356" i="5"/>
  <c r="G933" i="5"/>
  <c r="G1734" i="5"/>
  <c r="G1751" i="5"/>
  <c r="G2128" i="5"/>
  <c r="G1718" i="5"/>
  <c r="G2018" i="5"/>
  <c r="G520" i="5"/>
  <c r="G1256" i="5"/>
  <c r="G2171" i="5"/>
  <c r="G117" i="5"/>
  <c r="G644" i="5"/>
  <c r="G1312" i="5"/>
  <c r="G1720" i="5"/>
  <c r="G2200" i="5"/>
  <c r="G116" i="5"/>
  <c r="G341" i="5"/>
  <c r="G1755" i="5"/>
  <c r="G850" i="5"/>
  <c r="G1079" i="5"/>
  <c r="G1444" i="5"/>
  <c r="G1808" i="5"/>
  <c r="G438" i="5"/>
  <c r="G804" i="5"/>
  <c r="G876" i="5"/>
  <c r="G1497" i="5"/>
  <c r="G1985" i="5"/>
  <c r="G2198" i="5"/>
  <c r="G2342" i="5"/>
  <c r="G2444" i="5"/>
  <c r="G473" i="5"/>
  <c r="G1810" i="5"/>
  <c r="G2228" i="5"/>
  <c r="G2330" i="5"/>
  <c r="G2412" i="5"/>
  <c r="G48" i="5"/>
  <c r="G295" i="5"/>
  <c r="G488" i="5"/>
  <c r="G2075" i="5"/>
  <c r="G2259" i="5"/>
  <c r="G45" i="5"/>
  <c r="G313" i="5"/>
  <c r="G952" i="5"/>
  <c r="G1545" i="5"/>
  <c r="G1812" i="5"/>
  <c r="G399" i="5"/>
  <c r="G1698" i="5"/>
  <c r="G1771" i="5"/>
  <c r="G338" i="5"/>
  <c r="G801" i="5"/>
  <c r="G953" i="5"/>
  <c r="G1117" i="5"/>
  <c r="G1813" i="5"/>
  <c r="G2074" i="5"/>
  <c r="G2452" i="5"/>
  <c r="G725" i="5"/>
  <c r="G818" i="5"/>
  <c r="G957" i="5"/>
  <c r="G1447" i="5"/>
  <c r="G2161" i="5"/>
  <c r="G965" i="5"/>
  <c r="G1501" i="5"/>
  <c r="G2381" i="5"/>
  <c r="G266" i="5"/>
  <c r="G573" i="5"/>
  <c r="G626" i="5"/>
  <c r="G2404" i="5"/>
  <c r="G430" i="5"/>
  <c r="G904" i="5"/>
  <c r="G1704" i="5"/>
  <c r="G946" i="5"/>
  <c r="G1671" i="5"/>
  <c r="G2010" i="5"/>
  <c r="G2090" i="5"/>
  <c r="G2365" i="5"/>
  <c r="G133" i="5"/>
  <c r="G431" i="5"/>
  <c r="G1888" i="5"/>
  <c r="G2032" i="5"/>
  <c r="G2351" i="5"/>
  <c r="G422" i="5"/>
  <c r="G523" i="5"/>
  <c r="G1315" i="5"/>
  <c r="G1622" i="5"/>
  <c r="G1936" i="5"/>
  <c r="G1092" i="5"/>
  <c r="G1634" i="5"/>
  <c r="G1886" i="5"/>
  <c r="G2223" i="5"/>
  <c r="G86" i="5"/>
  <c r="G714" i="5"/>
  <c r="G1520" i="5"/>
  <c r="G135" i="5"/>
  <c r="G162" i="5"/>
  <c r="G188" i="5"/>
  <c r="G1054" i="5"/>
  <c r="G1346" i="5"/>
  <c r="G1830" i="5"/>
  <c r="G1955" i="5"/>
  <c r="G214" i="5"/>
  <c r="G668" i="5"/>
  <c r="G915" i="5"/>
  <c r="G1207" i="5"/>
  <c r="G1842" i="5"/>
  <c r="G2419" i="5"/>
  <c r="G367" i="5"/>
  <c r="G1023" i="5"/>
  <c r="G76" i="5"/>
  <c r="G686" i="5"/>
  <c r="G1115" i="5"/>
  <c r="G2251" i="5"/>
  <c r="G260" i="5"/>
  <c r="G857" i="5"/>
  <c r="G1782" i="5"/>
  <c r="G2448" i="5"/>
  <c r="G1543" i="5"/>
  <c r="G1657" i="5"/>
  <c r="G2345" i="5"/>
  <c r="G290" i="5"/>
  <c r="G889" i="5"/>
  <c r="G2037" i="5"/>
  <c r="G752" i="5"/>
  <c r="G1439" i="5"/>
  <c r="G1461" i="5"/>
  <c r="G1502" i="5"/>
  <c r="G1946" i="5"/>
  <c r="G2232" i="5"/>
  <c r="G990" i="5"/>
  <c r="G1283" i="5"/>
  <c r="G1831" i="5"/>
  <c r="G2093" i="5"/>
  <c r="G35" i="5"/>
  <c r="G281" i="5"/>
  <c r="G329" i="5"/>
  <c r="G531" i="5"/>
  <c r="G699" i="5"/>
  <c r="G772" i="5"/>
  <c r="G1510" i="5"/>
  <c r="G1528" i="5"/>
  <c r="G1783" i="5"/>
  <c r="G813" i="5"/>
  <c r="G938" i="5"/>
  <c r="G994" i="5"/>
  <c r="G1662" i="5"/>
  <c r="G2296" i="5"/>
  <c r="G783" i="5"/>
  <c r="G906" i="5"/>
  <c r="G995" i="5"/>
  <c r="G1739" i="5"/>
  <c r="G57" i="5"/>
  <c r="G698" i="5"/>
  <c r="G940" i="5"/>
  <c r="G2087" i="5"/>
  <c r="G2108" i="5"/>
  <c r="G2489" i="5"/>
  <c r="G354" i="5"/>
  <c r="G360" i="5"/>
  <c r="G1735" i="5"/>
  <c r="G1688" i="5"/>
  <c r="G855" i="5"/>
  <c r="G1108" i="5"/>
  <c r="G1547" i="5"/>
  <c r="G1598" i="5"/>
  <c r="G2424" i="5"/>
  <c r="G723" i="5"/>
  <c r="G1132" i="5"/>
  <c r="G1415" i="5"/>
  <c r="G2369" i="5"/>
  <c r="G559" i="5"/>
  <c r="G634" i="5"/>
  <c r="G1551" i="5"/>
  <c r="G1899" i="5"/>
  <c r="G622" i="5"/>
  <c r="G2347" i="5"/>
  <c r="G526" i="5"/>
  <c r="G1045" i="5"/>
  <c r="G1811" i="5"/>
  <c r="G2356" i="5"/>
  <c r="G640" i="5"/>
  <c r="G1601" i="5"/>
  <c r="G1801" i="5"/>
  <c r="G2021" i="5"/>
  <c r="G2094" i="5"/>
  <c r="G2165" i="5"/>
  <c r="G2177" i="5"/>
  <c r="G92" i="5"/>
  <c r="G509" i="5"/>
  <c r="G682" i="5"/>
  <c r="G1184" i="5"/>
  <c r="G2194" i="5"/>
  <c r="G2396" i="5"/>
  <c r="G1078" i="5"/>
  <c r="G1119" i="5"/>
  <c r="G206" i="5"/>
  <c r="G416" i="5"/>
  <c r="G1161" i="5"/>
  <c r="G1463" i="5"/>
  <c r="G1728" i="5"/>
  <c r="G1961" i="5"/>
  <c r="G2192" i="5"/>
  <c r="G55" i="5"/>
  <c r="G507" i="5"/>
  <c r="G1199" i="5"/>
  <c r="G1395" i="5"/>
  <c r="G677" i="5"/>
  <c r="G1205" i="5"/>
  <c r="G1632" i="5"/>
  <c r="G1651" i="5"/>
  <c r="G439" i="5"/>
  <c r="G852" i="5"/>
  <c r="G1505" i="5"/>
  <c r="G2350" i="5"/>
  <c r="G231" i="5"/>
  <c r="G964" i="5"/>
  <c r="G1121" i="5"/>
  <c r="G1285" i="5"/>
  <c r="G1519" i="5"/>
  <c r="G1730" i="5"/>
  <c r="G1784" i="5"/>
  <c r="G1925" i="5"/>
  <c r="G2250" i="5"/>
  <c r="G380" i="5"/>
  <c r="G1319" i="5"/>
  <c r="G1766" i="5"/>
  <c r="G1826" i="5"/>
  <c r="G1828" i="5"/>
  <c r="G2097" i="5"/>
  <c r="G645" i="5"/>
  <c r="G727" i="5"/>
  <c r="G2441" i="5"/>
  <c r="G661" i="5"/>
  <c r="G956" i="5"/>
  <c r="G1763" i="5"/>
  <c r="G87" i="5"/>
  <c r="G127" i="5"/>
  <c r="G221" i="5"/>
  <c r="G389" i="5"/>
  <c r="G484" i="5"/>
  <c r="G795" i="5"/>
  <c r="G943" i="5"/>
  <c r="G1664" i="5"/>
  <c r="G2129" i="5"/>
  <c r="G2471" i="5"/>
  <c r="G1491" i="5"/>
  <c r="G1567" i="5"/>
  <c r="G2049" i="5"/>
  <c r="G1297" i="5"/>
  <c r="G1909" i="5"/>
  <c r="G2234" i="5"/>
  <c r="G866" i="5"/>
  <c r="G1525" i="5"/>
  <c r="G1879" i="5"/>
  <c r="G2042" i="5"/>
  <c r="G2139" i="5"/>
  <c r="G298" i="5"/>
  <c r="G628" i="5"/>
  <c r="G2297" i="5"/>
  <c r="G2367" i="5"/>
  <c r="G63" i="5"/>
  <c r="G538" i="5"/>
  <c r="G814" i="5"/>
  <c r="G961" i="5"/>
  <c r="G1382" i="5"/>
  <c r="G1841" i="5"/>
  <c r="G1972" i="5"/>
  <c r="G2137" i="5"/>
  <c r="G425" i="5"/>
  <c r="G722" i="5"/>
  <c r="G2338" i="5"/>
  <c r="G1330" i="5"/>
  <c r="G1522" i="5"/>
  <c r="G2073" i="5"/>
  <c r="G2321" i="5"/>
  <c r="G119" i="5"/>
  <c r="G2226" i="5"/>
  <c r="G823" i="5"/>
  <c r="G1541" i="5"/>
  <c r="G2214" i="5"/>
  <c r="G222" i="5"/>
  <c r="G1123" i="5"/>
  <c r="G1647" i="5"/>
  <c r="G2336" i="5"/>
  <c r="G150" i="5"/>
  <c r="G620" i="5"/>
  <c r="G652" i="5"/>
  <c r="G1112" i="5"/>
  <c r="G1874" i="5"/>
  <c r="G1892" i="5"/>
  <c r="G322" i="5"/>
  <c r="G369" i="5"/>
  <c r="G374" i="5"/>
  <c r="G913" i="5"/>
  <c r="G2067" i="5"/>
  <c r="G250" i="5"/>
  <c r="G382" i="5"/>
  <c r="G458" i="5"/>
  <c r="G863" i="5"/>
  <c r="G1464" i="5"/>
  <c r="G1852" i="5"/>
  <c r="G2096" i="5"/>
  <c r="G218" i="5"/>
  <c r="G549" i="5"/>
  <c r="G1307" i="5"/>
  <c r="G1976" i="5"/>
  <c r="G2174" i="5"/>
  <c r="G91" i="5"/>
  <c r="G303" i="5"/>
  <c r="G571" i="5"/>
  <c r="G697" i="5"/>
  <c r="G1345" i="5"/>
  <c r="G1423" i="5"/>
  <c r="G1928" i="5"/>
  <c r="G2366" i="5"/>
  <c r="G2497" i="5"/>
  <c r="G24" i="5"/>
  <c r="G77" i="5"/>
  <c r="G415" i="5"/>
  <c r="G609" i="5"/>
  <c r="G1082" i="5"/>
  <c r="G1317" i="5"/>
  <c r="G1530" i="5"/>
  <c r="G1918" i="5"/>
  <c r="G1998" i="5"/>
  <c r="G937" i="5"/>
  <c r="G1470" i="5"/>
  <c r="G1588" i="5"/>
  <c r="G2377" i="5"/>
  <c r="G2485" i="5"/>
  <c r="G891" i="5"/>
  <c r="G2204" i="5"/>
  <c r="G1478" i="5"/>
  <c r="G1631" i="5"/>
  <c r="G1707" i="5"/>
  <c r="G2235" i="5"/>
  <c r="G118" i="5"/>
  <c r="G508" i="5"/>
  <c r="G574" i="5"/>
  <c r="G1282" i="5"/>
  <c r="G1292" i="5"/>
  <c r="G950" i="5"/>
  <c r="G1174" i="5"/>
  <c r="G1213" i="5"/>
  <c r="G1856" i="5"/>
  <c r="G2154" i="5"/>
  <c r="G177" i="5"/>
  <c r="G429" i="5"/>
  <c r="G518" i="5"/>
  <c r="G1005" i="5"/>
  <c r="G302" i="5"/>
  <c r="G666" i="5"/>
  <c r="G2169" i="5"/>
  <c r="G443" i="5"/>
  <c r="G662" i="5"/>
  <c r="G711" i="5"/>
  <c r="G1021" i="5"/>
  <c r="G2062" i="5"/>
  <c r="G2242" i="5"/>
  <c r="G39" i="5"/>
  <c r="G197" i="5"/>
  <c r="G546" i="5"/>
  <c r="G1421" i="5"/>
  <c r="G1765" i="5"/>
  <c r="G50" i="5"/>
  <c r="G614" i="5"/>
  <c r="G717" i="5"/>
  <c r="G742" i="5"/>
  <c r="G802" i="5"/>
  <c r="G983" i="5"/>
  <c r="G1065" i="5"/>
  <c r="G1208" i="5"/>
  <c r="G1650" i="5"/>
  <c r="G379" i="5"/>
  <c r="G437" i="5"/>
  <c r="G1084" i="5"/>
  <c r="G1284" i="5"/>
  <c r="G315" i="5"/>
  <c r="G600" i="5"/>
  <c r="G716" i="5"/>
  <c r="G844" i="5"/>
  <c r="G885" i="5"/>
  <c r="G1882" i="5"/>
  <c r="G326" i="5"/>
  <c r="G899" i="5"/>
  <c r="G1392" i="5"/>
  <c r="G1745" i="5"/>
  <c r="G1759" i="5"/>
  <c r="G1786" i="5"/>
  <c r="G578" i="5"/>
  <c r="G761" i="5"/>
  <c r="G1136" i="5"/>
  <c r="G1338" i="5"/>
  <c r="G1818" i="5"/>
  <c r="G190" i="5"/>
  <c r="G253" i="5"/>
  <c r="G417" i="5"/>
  <c r="G2246" i="5"/>
  <c r="G1429" i="5"/>
  <c r="G1203" i="5"/>
  <c r="G2328" i="5"/>
  <c r="G216" i="5"/>
  <c r="G1178" i="5"/>
  <c r="G1624" i="5"/>
  <c r="G1894" i="5"/>
  <c r="G1960" i="5"/>
  <c r="G587" i="5"/>
  <c r="G1318" i="5"/>
  <c r="G1799" i="5"/>
  <c r="G858" i="5"/>
  <c r="G1030" i="5"/>
  <c r="G1218" i="5"/>
  <c r="G1626" i="5"/>
  <c r="G2121" i="5"/>
  <c r="G2222" i="5"/>
  <c r="G2324" i="5"/>
  <c r="G2425" i="5"/>
  <c r="G832" i="5"/>
  <c r="G1098" i="5"/>
  <c r="G1296" i="5"/>
  <c r="G1432" i="5"/>
  <c r="G1462" i="5"/>
  <c r="G420" i="5"/>
  <c r="G790" i="5"/>
  <c r="G872" i="5"/>
  <c r="G1406" i="5"/>
  <c r="G1455" i="5"/>
  <c r="G2047" i="5"/>
  <c r="G2480" i="5"/>
  <c r="G2499" i="5"/>
  <c r="G414" i="5"/>
  <c r="G610" i="5"/>
  <c r="G1596" i="5"/>
  <c r="G1875" i="5"/>
  <c r="G1962" i="5"/>
  <c r="G2322" i="5"/>
  <c r="G468" i="5"/>
  <c r="G1460" i="5"/>
  <c r="G180" i="5"/>
  <c r="G569" i="5"/>
  <c r="G696" i="5"/>
  <c r="G707" i="5"/>
  <c r="G1131" i="5"/>
  <c r="G2092" i="5"/>
  <c r="G2103" i="5"/>
  <c r="G785" i="5"/>
  <c r="G1064" i="5"/>
  <c r="G1493" i="5"/>
  <c r="G1935" i="5"/>
  <c r="G575" i="5"/>
  <c r="G1513" i="5"/>
  <c r="G2387" i="5"/>
  <c r="G1357" i="5"/>
  <c r="G1400" i="5"/>
  <c r="G21" i="5"/>
  <c r="G390" i="5"/>
  <c r="G1264" i="5"/>
  <c r="G1487" i="5"/>
  <c r="G1724" i="5"/>
  <c r="G1949" i="5"/>
  <c r="G2384" i="5"/>
  <c r="G550" i="5"/>
  <c r="G740" i="5"/>
  <c r="G924" i="5"/>
  <c r="G1255" i="5"/>
  <c r="G1880" i="5"/>
  <c r="G1883" i="5"/>
  <c r="G2237" i="5"/>
  <c r="G49" i="5"/>
  <c r="G556" i="5"/>
  <c r="G2126" i="5"/>
  <c r="G1206" i="5"/>
  <c r="G1823" i="5"/>
  <c r="G2033" i="5"/>
  <c r="G67" i="5"/>
  <c r="G244" i="5"/>
  <c r="G463" i="5"/>
  <c r="G1217" i="5"/>
  <c r="G1555" i="5"/>
  <c r="G353" i="5"/>
  <c r="G1254" i="5"/>
  <c r="G1278" i="5"/>
  <c r="G1910" i="5"/>
  <c r="G779" i="5"/>
  <c r="G1749" i="5"/>
  <c r="G1933" i="5"/>
  <c r="G2197" i="5"/>
  <c r="G309" i="5"/>
  <c r="G689" i="5"/>
  <c r="G1308" i="5"/>
  <c r="G2023" i="5"/>
  <c r="G658" i="5"/>
  <c r="G869" i="5"/>
  <c r="G1350" i="5"/>
  <c r="G1614" i="5"/>
  <c r="G26" i="5"/>
  <c r="G599" i="5"/>
  <c r="G1844" i="5"/>
  <c r="G1922" i="5"/>
  <c r="G397" i="5"/>
  <c r="G542" i="5"/>
  <c r="G2195" i="5"/>
  <c r="G2418" i="5"/>
  <c r="G1805" i="5"/>
  <c r="G1847" i="5"/>
  <c r="G2088" i="5"/>
  <c r="G2359" i="5"/>
  <c r="G2465" i="5"/>
  <c r="G291" i="5"/>
  <c r="G471" i="5"/>
  <c r="G838" i="5"/>
  <c r="G877" i="5"/>
  <c r="G985" i="5"/>
  <c r="G1402" i="5"/>
  <c r="G2084" i="5"/>
  <c r="G2361" i="5"/>
  <c r="G770" i="5"/>
  <c r="G1565" i="5"/>
  <c r="G1795" i="5"/>
  <c r="G2017" i="5"/>
  <c r="G2102" i="5"/>
  <c r="G2408" i="5"/>
  <c r="G410" i="5"/>
  <c r="G445" i="5"/>
  <c r="G1820" i="5"/>
  <c r="G2293" i="5"/>
  <c r="G38" i="5"/>
  <c r="G213" i="5"/>
  <c r="G824" i="5"/>
  <c r="G1110" i="5"/>
  <c r="G1187" i="5"/>
  <c r="G1507" i="5"/>
  <c r="G1990" i="5"/>
  <c r="G2395" i="5"/>
  <c r="G1490" i="5"/>
  <c r="G1639" i="5"/>
  <c r="G2252" i="5"/>
  <c r="G1557" i="5"/>
  <c r="G1674" i="5"/>
  <c r="G1924" i="5"/>
  <c r="G19" i="5"/>
  <c r="G261" i="5"/>
  <c r="G619" i="5"/>
  <c r="G787" i="5"/>
  <c r="G1186" i="5"/>
  <c r="G532" i="5"/>
  <c r="G616" i="5"/>
  <c r="G1100" i="5"/>
  <c r="G1177" i="5"/>
  <c r="G1527" i="5"/>
  <c r="G2122" i="5"/>
  <c r="G2467" i="5"/>
  <c r="G1024" i="5"/>
  <c r="G1575" i="5"/>
  <c r="G1889" i="5"/>
  <c r="G1263" i="5"/>
  <c r="G1333" i="5"/>
  <c r="G125" i="5"/>
  <c r="G131" i="5"/>
  <c r="G339" i="5"/>
  <c r="G632" i="5"/>
  <c r="G1968" i="5"/>
  <c r="G2141" i="5"/>
  <c r="G2335" i="5"/>
  <c r="G80" i="5"/>
  <c r="G1365" i="5"/>
  <c r="G2039" i="5"/>
  <c r="G2179" i="5"/>
  <c r="G2352" i="5"/>
  <c r="G115" i="5"/>
  <c r="G178" i="5"/>
  <c r="G224" i="5"/>
  <c r="G461" i="5"/>
  <c r="G972" i="5"/>
  <c r="G1332" i="5"/>
  <c r="G2040" i="5"/>
  <c r="G88" i="5"/>
  <c r="G126" i="5"/>
  <c r="G586" i="5"/>
  <c r="G1231" i="5"/>
  <c r="G1479" i="5"/>
  <c r="G1904" i="5"/>
  <c r="G320" i="5"/>
  <c r="G396" i="5"/>
  <c r="G692" i="5"/>
  <c r="G1149" i="5"/>
  <c r="G1544" i="5"/>
  <c r="G2238" i="5"/>
  <c r="G94" i="5"/>
  <c r="G888" i="5"/>
  <c r="G1837" i="5"/>
  <c r="G2402" i="5"/>
  <c r="G482" i="5"/>
  <c r="G1850" i="5"/>
  <c r="G2445" i="5"/>
  <c r="G183" i="5"/>
  <c r="G395" i="5"/>
  <c r="G465" i="5"/>
  <c r="G1849" i="5"/>
  <c r="G1959" i="5"/>
  <c r="G500" i="5"/>
  <c r="G548" i="5"/>
  <c r="G675" i="5"/>
  <c r="G1003" i="5"/>
  <c r="G1183" i="5"/>
  <c r="G1298" i="5"/>
  <c r="G1316" i="5"/>
  <c r="G28" i="5"/>
  <c r="G1066" i="5"/>
  <c r="G514" i="5"/>
  <c r="G540" i="5"/>
  <c r="G1068" i="5"/>
  <c r="G17" i="5"/>
  <c r="G208" i="5"/>
  <c r="G1329" i="5"/>
  <c r="G1529" i="5"/>
  <c r="G406" i="5"/>
  <c r="G920" i="5"/>
  <c r="G939" i="5"/>
  <c r="G1498" i="5"/>
  <c r="G2315" i="5"/>
  <c r="G2331" i="5"/>
  <c r="G607" i="5"/>
  <c r="G617" i="5"/>
  <c r="G1175" i="5"/>
  <c r="G1280" i="5"/>
  <c r="G1689" i="5"/>
  <c r="G1845" i="5"/>
  <c r="G2374" i="5"/>
  <c r="G297" i="5"/>
  <c r="G695" i="5"/>
  <c r="G2440" i="5"/>
  <c r="G2456" i="5"/>
  <c r="G103" i="5"/>
  <c r="G209" i="5"/>
  <c r="G288" i="5"/>
  <c r="G1364" i="5"/>
  <c r="G1442" i="5"/>
  <c r="G1822" i="5"/>
  <c r="G66" i="5"/>
  <c r="G1563" i="5"/>
  <c r="G1744" i="5"/>
  <c r="G1774" i="5"/>
  <c r="G2405" i="5"/>
  <c r="G459" i="5"/>
  <c r="G1773" i="5"/>
  <c r="G2034" i="5"/>
  <c r="G2376" i="5"/>
  <c r="G120" i="5"/>
  <c r="G411" i="5"/>
  <c r="G1273" i="5"/>
  <c r="G1384" i="5"/>
  <c r="G1578" i="5"/>
  <c r="G1606" i="5"/>
  <c r="G1652" i="5"/>
  <c r="G1571" i="5"/>
  <c r="G487" i="5"/>
  <c r="G942" i="5"/>
  <c r="G1142" i="5"/>
  <c r="G1266" i="5"/>
  <c r="G1268" i="5"/>
  <c r="G1287" i="5"/>
  <c r="G1289" i="5"/>
  <c r="G2295" i="5"/>
  <c r="G154" i="5"/>
  <c r="G432" i="5"/>
  <c r="G1414" i="5"/>
  <c r="G1417" i="5"/>
  <c r="G1523" i="5"/>
  <c r="G1641" i="5"/>
  <c r="G3" i="5"/>
  <c r="G42" i="5"/>
  <c r="G136" i="5"/>
  <c r="G330" i="5"/>
  <c r="G705" i="5"/>
  <c r="G47" i="5"/>
  <c r="G1589" i="5"/>
  <c r="G1911" i="5"/>
  <c r="G2454" i="5"/>
  <c r="G408" i="5"/>
  <c r="G1034" i="5"/>
  <c r="G1919" i="5"/>
  <c r="G2009" i="5"/>
  <c r="G2360" i="5"/>
  <c r="G2044" i="5"/>
  <c r="G2206" i="5"/>
  <c r="G642" i="5"/>
  <c r="G323" i="5"/>
  <c r="G449" i="5"/>
  <c r="G846" i="5"/>
  <c r="G1249" i="5"/>
  <c r="G305" i="5"/>
  <c r="G636" i="5"/>
  <c r="G911" i="5"/>
  <c r="G1272" i="5"/>
  <c r="G1612" i="5"/>
  <c r="G1947" i="5"/>
  <c r="G2025" i="5"/>
  <c r="G2036" i="5"/>
  <c r="G2442" i="5"/>
  <c r="G530" i="5"/>
  <c r="G831" i="5"/>
  <c r="G1597" i="5"/>
  <c r="G152" i="5"/>
  <c r="G1072" i="5"/>
  <c r="G1468" i="5"/>
  <c r="G1562" i="5"/>
  <c r="G1792" i="5"/>
  <c r="G712" i="5"/>
  <c r="G809" i="5"/>
  <c r="G828" i="5"/>
  <c r="G916" i="5"/>
  <c r="G1584" i="5"/>
  <c r="G748" i="5"/>
  <c r="G1613" i="5"/>
  <c r="G2016" i="5"/>
  <c r="G210" i="5"/>
  <c r="G533" i="5"/>
  <c r="G585" i="5"/>
  <c r="G807" i="5"/>
  <c r="G1709" i="5"/>
  <c r="G671" i="5"/>
  <c r="G743" i="5"/>
  <c r="G1690" i="5"/>
  <c r="G2450" i="5"/>
  <c r="G7" i="5"/>
  <c r="G930" i="5"/>
  <c r="G1058" i="5"/>
  <c r="G1267" i="5"/>
  <c r="G1686" i="5"/>
  <c r="G1893" i="5"/>
  <c r="G1916" i="5"/>
  <c r="G2133" i="5"/>
  <c r="G372" i="5"/>
  <c r="G612" i="5"/>
  <c r="G1359" i="5"/>
  <c r="G1469" i="5"/>
  <c r="G1603" i="5"/>
  <c r="G107" i="5"/>
  <c r="G1153" i="5"/>
  <c r="G1559" i="5"/>
  <c r="G2261" i="5"/>
  <c r="G111" i="5"/>
  <c r="G693" i="5"/>
  <c r="G1043" i="5"/>
  <c r="G1113" i="5"/>
  <c r="G1244" i="5"/>
  <c r="G385" i="5"/>
  <c r="G1301" i="5"/>
  <c r="G2104" i="5"/>
  <c r="G2478" i="5"/>
  <c r="G241" i="5"/>
  <c r="G621" i="5"/>
  <c r="G758" i="5"/>
  <c r="G993" i="5"/>
  <c r="G1539" i="5"/>
  <c r="G30" i="5"/>
  <c r="G316" i="5"/>
  <c r="G1673" i="5"/>
  <c r="G2397" i="5"/>
  <c r="G1025" i="5"/>
  <c r="G1752" i="5"/>
  <c r="G2130" i="5"/>
  <c r="G545" i="5"/>
  <c r="G1167" i="5"/>
  <c r="G2056" i="5"/>
  <c r="G702" i="5"/>
  <c r="G817" i="5"/>
  <c r="G963" i="5"/>
  <c r="G2120" i="5"/>
  <c r="G2213" i="5"/>
  <c r="G2375" i="5"/>
  <c r="G1055" i="5"/>
  <c r="G1379" i="5"/>
  <c r="G1986" i="5"/>
  <c r="G2105" i="5"/>
  <c r="G2146" i="5"/>
  <c r="G2344" i="5"/>
  <c r="G648" i="5"/>
  <c r="G1038" i="5"/>
  <c r="G1377" i="5"/>
  <c r="G1905" i="5"/>
  <c r="G2437" i="5"/>
  <c r="G376" i="5"/>
  <c r="G434" i="5"/>
  <c r="G625" i="5"/>
  <c r="G1010" i="5"/>
  <c r="G1692" i="5"/>
  <c r="G1954" i="5"/>
  <c r="G1978" i="5"/>
  <c r="G189" i="5"/>
  <c r="G413" i="5"/>
  <c r="G826" i="5"/>
  <c r="G887" i="5"/>
  <c r="G897" i="5"/>
  <c r="G968" i="5"/>
  <c r="G1963" i="5"/>
  <c r="G32" i="5"/>
  <c r="G947" i="5"/>
  <c r="G195" i="5"/>
  <c r="G234" i="5"/>
  <c r="G331" i="5"/>
  <c r="G1391" i="5"/>
  <c r="G1548" i="5"/>
  <c r="G2064" i="5"/>
  <c r="G2240" i="5"/>
  <c r="G2501" i="5"/>
  <c r="G1202" i="5"/>
  <c r="G1770" i="5"/>
  <c r="G328" i="5"/>
  <c r="G745" i="5"/>
  <c r="G1643" i="5"/>
  <c r="G2313" i="5"/>
  <c r="G187" i="5"/>
  <c r="G1827" i="5"/>
  <c r="G2368" i="5"/>
  <c r="G2436" i="5"/>
  <c r="G747" i="5"/>
  <c r="G1241" i="5"/>
  <c r="G2248" i="5"/>
  <c r="G185" i="5"/>
  <c r="G1152" i="5"/>
  <c r="G114" i="5"/>
  <c r="G485" i="5"/>
  <c r="G927" i="5"/>
  <c r="G935" i="5"/>
  <c r="G1898" i="5"/>
  <c r="G791" i="5"/>
  <c r="G854" i="5"/>
  <c r="G878" i="5"/>
  <c r="G880" i="5"/>
  <c r="G1549" i="5"/>
  <c r="G1768" i="5"/>
  <c r="G1794" i="5"/>
  <c r="G56" i="5"/>
  <c r="G2498" i="5"/>
  <c r="G453" i="5"/>
  <c r="G579" i="5"/>
  <c r="G798" i="5"/>
  <c r="G945" i="5"/>
  <c r="G1164" i="5"/>
  <c r="G1418" i="5"/>
  <c r="G1450" i="5"/>
  <c r="G1679" i="5"/>
  <c r="G1020" i="5"/>
  <c r="G2168" i="5"/>
  <c r="G62" i="5"/>
  <c r="G592" i="5"/>
  <c r="G1969" i="5"/>
  <c r="G2151" i="5"/>
  <c r="G2163" i="5"/>
  <c r="G2332" i="5"/>
  <c r="G713" i="5"/>
  <c r="G759" i="5"/>
  <c r="G900" i="5"/>
  <c r="G1369" i="5"/>
  <c r="G1390" i="5"/>
  <c r="G2393" i="5"/>
  <c r="G2398" i="5"/>
  <c r="G541" i="5"/>
  <c r="G1160" i="5"/>
  <c r="G1245" i="5"/>
  <c r="G1699" i="5"/>
  <c r="G1719" i="5"/>
  <c r="G2201" i="5"/>
  <c r="G2208" i="5"/>
  <c r="G1425" i="5"/>
  <c r="G1248" i="5"/>
  <c r="G1809" i="5"/>
  <c r="G2278" i="5"/>
  <c r="G25" i="5"/>
  <c r="G503" i="5"/>
  <c r="G1966" i="5"/>
  <c r="G2159" i="5"/>
  <c r="G95" i="5"/>
  <c r="G280" i="5"/>
  <c r="G650" i="5"/>
  <c r="G1252" i="5"/>
  <c r="G2435" i="5"/>
  <c r="G324" i="5"/>
  <c r="G419" i="5"/>
  <c r="G767" i="5"/>
  <c r="G1477" i="5"/>
  <c r="G1645" i="5"/>
  <c r="G1877" i="5"/>
  <c r="G1951" i="5"/>
  <c r="G1139" i="5"/>
  <c r="G1313" i="5"/>
  <c r="G146" i="5"/>
  <c r="G350" i="5"/>
  <c r="G373" i="5"/>
  <c r="G604" i="5"/>
  <c r="G1347" i="5"/>
  <c r="G1492" i="5"/>
  <c r="G1496" i="5"/>
  <c r="G1654" i="5"/>
  <c r="G1701" i="5"/>
  <c r="G1927" i="5"/>
  <c r="G505" i="5"/>
  <c r="G123" i="5"/>
  <c r="G870" i="5"/>
  <c r="G1044" i="5"/>
  <c r="G1146" i="5"/>
  <c r="G70" i="5"/>
  <c r="G774" i="5"/>
  <c r="G905" i="5"/>
  <c r="G15" i="5"/>
  <c r="G273" i="5"/>
  <c r="G909" i="5"/>
  <c r="G1378" i="5"/>
  <c r="G1489" i="5"/>
  <c r="G423" i="5"/>
  <c r="G1531" i="5"/>
  <c r="G1908" i="5"/>
  <c r="G2231" i="5"/>
  <c r="G2304" i="5"/>
  <c r="G731" i="5"/>
  <c r="G1060" i="5"/>
  <c r="G1488" i="5"/>
  <c r="G491" i="5"/>
  <c r="G1769" i="5"/>
  <c r="G1858" i="5"/>
  <c r="G181" i="5"/>
  <c r="G1804" i="5"/>
  <c r="G2148" i="5"/>
  <c r="G524" i="5"/>
  <c r="G1017" i="5"/>
  <c r="G1695" i="5"/>
  <c r="G1884" i="5"/>
  <c r="G2071" i="5"/>
  <c r="G2190" i="5"/>
  <c r="G2291" i="5"/>
  <c r="G2473" i="5"/>
  <c r="G1835" i="5"/>
  <c r="G217" i="5"/>
  <c r="G706" i="5"/>
  <c r="G763" i="5"/>
  <c r="G1433" i="5"/>
  <c r="G230" i="5"/>
  <c r="G829" i="5"/>
  <c r="G2262" i="5"/>
  <c r="G349" i="5"/>
  <c r="G1683" i="5"/>
  <c r="G1887" i="5"/>
  <c r="G1931" i="5"/>
  <c r="G2030" i="5"/>
  <c r="G2091" i="5"/>
  <c r="G2178" i="5"/>
  <c r="G27" i="5"/>
  <c r="G368" i="5"/>
  <c r="G1635" i="5"/>
  <c r="G1839" i="5"/>
  <c r="G1868" i="5"/>
  <c r="G2043" i="5"/>
  <c r="G366" i="5"/>
  <c r="G700" i="5"/>
  <c r="G841" i="5"/>
  <c r="G907" i="5"/>
  <c r="G1370" i="5"/>
  <c r="G1956" i="5"/>
  <c r="G1426" i="5"/>
  <c r="G1016" i="5"/>
  <c r="G557" i="5"/>
  <c r="G776" i="5"/>
  <c r="G1111" i="5"/>
  <c r="G2477" i="5"/>
  <c r="G286" i="5"/>
  <c r="G624" i="5"/>
  <c r="G2055" i="5"/>
  <c r="G8" i="5"/>
  <c r="G347" i="5"/>
  <c r="G554" i="5"/>
  <c r="G738" i="5"/>
  <c r="G1212" i="5"/>
  <c r="G1579" i="5"/>
  <c r="G1729" i="5"/>
  <c r="G1821" i="5"/>
  <c r="G2070" i="5"/>
  <c r="G593" i="5"/>
  <c r="G1994" i="5"/>
  <c r="G2118" i="5"/>
  <c r="G1194" i="5"/>
  <c r="G1196" i="5"/>
  <c r="G1348" i="5"/>
  <c r="G1351" i="5"/>
  <c r="G1486" i="5"/>
  <c r="G2024" i="5"/>
  <c r="G581" i="5"/>
  <c r="G1253" i="5"/>
  <c r="G1389" i="5"/>
  <c r="G1381" i="5"/>
  <c r="G1897" i="5"/>
  <c r="G168" i="5"/>
  <c r="G436" i="5"/>
  <c r="G566" i="5"/>
  <c r="G1200" i="5"/>
  <c r="G1566" i="5"/>
  <c r="G1891" i="5"/>
  <c r="G2209" i="5"/>
  <c r="G2449" i="5"/>
  <c r="G676" i="5"/>
  <c r="G1326" i="5"/>
  <c r="G1854" i="5"/>
  <c r="G2267" i="5"/>
  <c r="G663" i="5"/>
  <c r="G1176" i="5"/>
  <c r="G1355" i="5"/>
  <c r="G1945" i="5"/>
  <c r="G149" i="5"/>
  <c r="G1080" i="5"/>
  <c r="G1088" i="5"/>
  <c r="G441" i="5"/>
  <c r="G528" i="5"/>
  <c r="G638" i="5"/>
  <c r="G1607" i="5"/>
  <c r="G1661" i="5"/>
  <c r="G633" i="5"/>
  <c r="G1324" i="5"/>
  <c r="G1970" i="5"/>
  <c r="G2019" i="5"/>
  <c r="G2077" i="5"/>
  <c r="G729" i="5"/>
  <c r="G928" i="5"/>
  <c r="G1781" i="5"/>
  <c r="G2268" i="5"/>
  <c r="G293" i="5"/>
  <c r="G576" i="5"/>
  <c r="G954" i="5"/>
  <c r="G1342" i="5"/>
  <c r="G223" i="5"/>
  <c r="G720" i="5"/>
  <c r="G1004" i="5"/>
  <c r="G1495" i="5"/>
  <c r="G2028" i="5"/>
  <c r="G245" i="5"/>
  <c r="G252" i="5"/>
  <c r="G448" i="5"/>
  <c r="G1772" i="5"/>
  <c r="G688" i="5"/>
  <c r="G33" i="5"/>
  <c r="G892" i="5"/>
  <c r="G1368" i="5"/>
  <c r="G1399" i="5"/>
  <c r="G1746" i="5"/>
  <c r="G2215" i="5"/>
  <c r="G2274" i="5"/>
  <c r="G848" i="5"/>
  <c r="G1703" i="5"/>
  <c r="G1712" i="5"/>
  <c r="G2266" i="5"/>
  <c r="G2414" i="5"/>
  <c r="G580" i="5"/>
  <c r="G596" i="5"/>
  <c r="G1236" i="5"/>
  <c r="G815" i="5"/>
  <c r="G1070" i="5"/>
  <c r="G1352" i="5"/>
  <c r="G1535" i="5"/>
  <c r="G1834" i="5"/>
  <c r="G2358" i="5"/>
  <c r="G69" i="5"/>
  <c r="G365" i="5"/>
  <c r="G781" i="5"/>
  <c r="G2191" i="5"/>
  <c r="G1223" i="5"/>
  <c r="G1806" i="5"/>
  <c r="G2196" i="5"/>
  <c r="G2258" i="5"/>
  <c r="G79" i="5"/>
  <c r="G1581" i="5"/>
  <c r="G1807" i="5"/>
  <c r="G2085" i="5"/>
  <c r="G2243" i="5"/>
  <c r="G1726" i="5"/>
  <c r="G1871" i="5"/>
  <c r="G2111" i="5"/>
  <c r="G2353" i="5"/>
  <c r="G64" i="5"/>
  <c r="G156" i="5"/>
  <c r="G226" i="5"/>
  <c r="G289" i="5"/>
  <c r="G1572" i="5"/>
  <c r="G1653" i="5"/>
  <c r="G1974" i="5"/>
  <c r="G2202" i="5"/>
  <c r="G2301" i="5"/>
  <c r="G211" i="5"/>
  <c r="G1009" i="5"/>
  <c r="G1101" i="5"/>
  <c r="G2400" i="5"/>
  <c r="G1958" i="5"/>
  <c r="G2423" i="5"/>
  <c r="G215" i="5"/>
  <c r="G457" i="5"/>
  <c r="G875" i="5"/>
  <c r="G2269" i="5"/>
  <c r="G2432" i="5"/>
  <c r="G1145" i="5"/>
  <c r="G2029" i="5"/>
  <c r="G2081" i="5"/>
  <c r="G627" i="5"/>
  <c r="G1681" i="5"/>
  <c r="G2038" i="5"/>
  <c r="G285" i="5"/>
  <c r="G1300" i="5"/>
  <c r="G4" i="5"/>
  <c r="G378" i="5"/>
  <c r="G462" i="5"/>
  <c r="G1209" i="5"/>
  <c r="G1261" i="5"/>
  <c r="G1387" i="5"/>
  <c r="G2309" i="5"/>
  <c r="G2430" i="5"/>
  <c r="G124" i="5"/>
  <c r="G1204" i="5"/>
  <c r="G2109" i="5"/>
  <c r="G335" i="5"/>
  <c r="G384" i="5"/>
  <c r="G646" i="5"/>
  <c r="G726" i="5"/>
  <c r="G1929" i="5"/>
  <c r="G1938" i="5"/>
  <c r="G2457" i="5"/>
  <c r="G1431" i="5"/>
  <c r="G1980" i="5"/>
  <c r="G54" i="5"/>
  <c r="G277" i="5"/>
  <c r="G860" i="5"/>
  <c r="G919" i="5"/>
  <c r="G1033" i="5"/>
  <c r="G2045" i="5"/>
  <c r="G2372" i="5"/>
  <c r="G475" i="5"/>
  <c r="G871" i="5"/>
  <c r="G1086" i="5"/>
  <c r="G1537" i="5"/>
  <c r="G1586" i="5"/>
  <c r="G1790" i="5"/>
  <c r="G2302" i="5"/>
  <c r="G1288" i="5"/>
  <c r="G1362" i="5"/>
  <c r="G1984" i="5"/>
  <c r="G203" i="5"/>
  <c r="G1580" i="5"/>
  <c r="G6" i="5"/>
  <c r="G238" i="5"/>
  <c r="G263" i="5"/>
  <c r="G921" i="5"/>
  <c r="G2483" i="5"/>
  <c r="G160" i="5"/>
  <c r="G1240" i="5"/>
  <c r="G2014" i="5"/>
  <c r="G469" i="5"/>
  <c r="G2136" i="5"/>
  <c r="G112" i="5"/>
  <c r="G1293" i="5"/>
  <c r="G1424" i="5"/>
  <c r="G2279" i="5"/>
  <c r="G2455" i="5"/>
  <c r="G1094" i="5"/>
  <c r="G1305" i="5"/>
  <c r="G1483" i="5"/>
  <c r="G2323" i="5"/>
  <c r="G444" i="5"/>
  <c r="G923" i="5"/>
  <c r="G1553" i="5"/>
  <c r="G519" i="5"/>
  <c r="G719" i="5"/>
  <c r="G1002" i="5"/>
  <c r="G1430" i="5"/>
  <c r="G1776" i="5"/>
  <c r="G1802" i="5"/>
  <c r="G1081" i="5"/>
  <c r="G1920" i="5"/>
  <c r="G2131" i="5"/>
  <c r="G2385" i="5"/>
  <c r="G155" i="5"/>
  <c r="G659" i="5"/>
  <c r="G1063" i="5"/>
  <c r="G2080" i="5"/>
  <c r="G788" i="5"/>
  <c r="G1797" i="5"/>
  <c r="G1953" i="5"/>
  <c r="G2026" i="5"/>
  <c r="G493" i="5"/>
  <c r="G894" i="5"/>
  <c r="G1446" i="5"/>
  <c r="G1796" i="5"/>
  <c r="G2334" i="5"/>
  <c r="G2475" i="5"/>
  <c r="G193" i="5"/>
  <c r="G1659" i="5"/>
  <c r="G130" i="5"/>
  <c r="G608" i="5"/>
  <c r="G810" i="5"/>
  <c r="G1476" i="5"/>
  <c r="G2069" i="5"/>
  <c r="G903" i="5"/>
  <c r="G1731" i="5"/>
  <c r="G2299" i="5"/>
  <c r="G2310" i="5"/>
  <c r="G98" i="5"/>
  <c r="G1660" i="5"/>
  <c r="G667" i="5"/>
  <c r="G977" i="5"/>
  <c r="G1564" i="5"/>
  <c r="G1816" i="5"/>
  <c r="G2082" i="5"/>
  <c r="G2187" i="5"/>
  <c r="G2260" i="5"/>
  <c r="G340" i="5"/>
  <c r="G955" i="5"/>
  <c r="G1687" i="5"/>
  <c r="G1885" i="5"/>
  <c r="G932" i="5"/>
  <c r="G1934" i="5"/>
  <c r="G2123" i="5"/>
  <c r="G18" i="5"/>
  <c r="G337" i="5"/>
  <c r="G355" i="5"/>
  <c r="G495" i="5"/>
  <c r="G653" i="5"/>
  <c r="G718" i="5"/>
  <c r="G728" i="5"/>
  <c r="G751" i="5"/>
  <c r="G1238" i="5"/>
  <c r="G1358" i="5"/>
  <c r="G2427" i="5"/>
  <c r="G16" i="5"/>
  <c r="G141" i="5"/>
  <c r="G143" i="5"/>
  <c r="G400" i="5"/>
  <c r="G515" i="5"/>
  <c r="G1621" i="5"/>
  <c r="G1742" i="5"/>
  <c r="G2413" i="5"/>
  <c r="G142" i="5"/>
  <c r="G233" i="5"/>
  <c r="G342" i="5"/>
  <c r="G404" i="5"/>
  <c r="G630" i="5"/>
  <c r="G1320" i="5"/>
  <c r="G1590" i="5"/>
  <c r="G1691" i="5"/>
  <c r="G100" i="5"/>
  <c r="G275" i="5"/>
  <c r="G1636" i="5"/>
  <c r="G2012" i="5"/>
  <c r="G2354" i="5"/>
  <c r="G2389" i="5"/>
  <c r="G2470" i="5"/>
  <c r="G85" i="5"/>
  <c r="G101" i="5"/>
  <c r="G490" i="5"/>
  <c r="G1137" i="5"/>
  <c r="G2078" i="5"/>
  <c r="G359" i="5"/>
  <c r="G687" i="5"/>
  <c r="G1124" i="5"/>
  <c r="G2337" i="5"/>
  <c r="G333" i="5"/>
  <c r="G1179" i="5"/>
  <c r="G1896" i="5"/>
  <c r="G2212" i="5"/>
  <c r="G2392" i="5"/>
  <c r="G23" i="5"/>
  <c r="G409" i="5"/>
  <c r="G1076" i="5"/>
  <c r="G1233" i="5"/>
  <c r="G1361" i="5"/>
  <c r="G1401" i="5"/>
  <c r="G1472" i="5"/>
  <c r="G1981" i="5"/>
  <c r="G13" i="5"/>
  <c r="G407" i="5"/>
  <c r="G583" i="5"/>
  <c r="G1041" i="5"/>
  <c r="G1257" i="5"/>
  <c r="G1511" i="5"/>
  <c r="G1738" i="5"/>
  <c r="G2061" i="5"/>
  <c r="G496" i="5"/>
  <c r="G864" i="5"/>
  <c r="G1195" i="5"/>
  <c r="G1237" i="5"/>
  <c r="G249" i="5"/>
  <c r="G1638" i="5"/>
  <c r="G1680" i="5"/>
  <c r="G2099" i="5"/>
  <c r="G2428" i="5"/>
  <c r="G694" i="5"/>
  <c r="G1618" i="5"/>
  <c r="G158" i="5"/>
  <c r="G435" i="5"/>
  <c r="G512" i="5"/>
  <c r="G552" i="5"/>
  <c r="G567" i="5"/>
  <c r="G601" i="5"/>
  <c r="G777" i="5"/>
  <c r="G873" i="5"/>
  <c r="G1514" i="5"/>
  <c r="G1764" i="5"/>
  <c r="G2065" i="5"/>
  <c r="G334" i="5"/>
  <c r="G1374" i="5"/>
  <c r="G1616" i="5"/>
  <c r="G2272" i="5"/>
  <c r="G2355" i="5"/>
  <c r="G122" i="5"/>
  <c r="G201" i="5"/>
  <c r="G590" i="5"/>
  <c r="G1190" i="5"/>
  <c r="G1269" i="5"/>
  <c r="G2068" i="5"/>
  <c r="G2189" i="5"/>
  <c r="G99" i="5"/>
  <c r="G537" i="5"/>
  <c r="G1239" i="5"/>
  <c r="G1515" i="5"/>
  <c r="G108" i="5"/>
  <c r="G1026" i="5"/>
  <c r="G1838" i="5"/>
  <c r="G1870" i="5"/>
  <c r="G2140" i="5"/>
  <c r="G2164" i="5"/>
  <c r="G2180" i="5"/>
  <c r="G240" i="5"/>
  <c r="G499" i="5"/>
  <c r="G529" i="5"/>
  <c r="G760" i="5"/>
  <c r="G834" i="5"/>
  <c r="G2051" i="5"/>
  <c r="G196" i="5"/>
  <c r="G424" i="5"/>
  <c r="G708" i="5"/>
  <c r="G1574" i="5"/>
  <c r="G175" i="5"/>
  <c r="G279" i="5"/>
  <c r="G563" i="5"/>
  <c r="G827" i="5"/>
  <c r="G1302" i="5"/>
  <c r="G1363" i="5"/>
  <c r="G2453" i="5"/>
  <c r="G778" i="5"/>
  <c r="G851" i="5"/>
  <c r="G1104" i="5"/>
  <c r="G1508" i="5"/>
  <c r="G2290" i="5"/>
  <c r="G2349" i="5"/>
  <c r="G2494" i="5"/>
  <c r="G477" i="5"/>
  <c r="G1761" i="5"/>
  <c r="G43" i="5"/>
  <c r="G1000" i="5"/>
  <c r="G1666" i="5"/>
  <c r="G2329" i="5"/>
  <c r="G128" i="5"/>
  <c r="G673" i="5"/>
  <c r="G1518" i="5"/>
  <c r="G1700" i="5"/>
  <c r="G1817" i="5"/>
  <c r="G2462" i="5"/>
  <c r="G377" i="5"/>
  <c r="G812" i="5"/>
  <c r="G1281" i="5"/>
  <c r="G1367" i="5"/>
  <c r="G1663" i="5"/>
  <c r="G1785" i="5"/>
  <c r="G137" i="5"/>
  <c r="G1459" i="5"/>
  <c r="G1787" i="5"/>
  <c r="G1950" i="5"/>
  <c r="G2239" i="5"/>
  <c r="G2317" i="5"/>
  <c r="G198" i="5"/>
  <c r="G1371" i="5"/>
  <c r="G2035" i="5"/>
  <c r="G1294" i="5"/>
  <c r="G2066" i="5"/>
  <c r="G2172" i="5"/>
  <c r="G605" i="5"/>
  <c r="G1018" i="5"/>
  <c r="G1788" i="5"/>
  <c r="G1873" i="5"/>
  <c r="G1923" i="5"/>
  <c r="G594" i="5"/>
  <c r="G986" i="5"/>
  <c r="G1336" i="5"/>
  <c r="G1396" i="5"/>
  <c r="G1665" i="5"/>
  <c r="G2236" i="5"/>
  <c r="G2406" i="5"/>
  <c r="G140" i="5"/>
  <c r="G1504" i="5"/>
  <c r="G1939" i="5"/>
  <c r="G589" i="5"/>
  <c r="G12" i="5"/>
  <c r="G319" i="5"/>
  <c r="G2495" i="5"/>
  <c r="G715" i="5"/>
  <c r="G764" i="5"/>
  <c r="G1210" i="5"/>
  <c r="G1221" i="5"/>
  <c r="G2052" i="5"/>
  <c r="G2339" i="5"/>
  <c r="G1457" i="5"/>
  <c r="G1926" i="5"/>
  <c r="G1979" i="5"/>
  <c r="G174" i="5"/>
  <c r="G243" i="5"/>
  <c r="G447" i="5"/>
  <c r="G504" i="5"/>
  <c r="G734" i="5"/>
  <c r="G2229" i="5"/>
  <c r="G2282" i="5"/>
  <c r="G148" i="5"/>
  <c r="G412" i="5"/>
  <c r="G1714" i="5"/>
  <c r="G2265" i="5"/>
  <c r="G361" i="5"/>
  <c r="G2183" i="5"/>
  <c r="G83" i="5"/>
  <c r="G639" i="5"/>
  <c r="G816" i="5"/>
  <c r="G910" i="5"/>
  <c r="G999" i="5"/>
  <c r="G483" i="5"/>
  <c r="G987" i="5"/>
  <c r="G1185" i="5"/>
  <c r="G1440" i="5"/>
  <c r="G2300" i="5"/>
  <c r="G2469" i="5"/>
  <c r="G132" i="5"/>
  <c r="G442" i="5"/>
  <c r="G757" i="5"/>
  <c r="G1157" i="5"/>
  <c r="G1303" i="5"/>
  <c r="G2173" i="5"/>
  <c r="G2271" i="5"/>
  <c r="G2284" i="5"/>
  <c r="G2286" i="5"/>
  <c r="G2311" i="5"/>
  <c r="G2380" i="5"/>
  <c r="G194" i="5"/>
  <c r="G744" i="5"/>
  <c r="G874" i="5"/>
  <c r="G929" i="5"/>
  <c r="G1118" i="5"/>
  <c r="G1162" i="5"/>
  <c r="G1758" i="5"/>
  <c r="G264" i="5"/>
  <c r="G392" i="5"/>
  <c r="G1011" i="5"/>
  <c r="G1219" i="5"/>
  <c r="G1235" i="5"/>
  <c r="G1576" i="5"/>
  <c r="G1913" i="5"/>
  <c r="G2270" i="5"/>
  <c r="G1372" i="5"/>
  <c r="G1930" i="5"/>
  <c r="G2188" i="5"/>
  <c r="G2417" i="5"/>
  <c r="G205" i="5"/>
  <c r="G654" i="5"/>
  <c r="G883" i="5"/>
  <c r="G161" i="5"/>
  <c r="G247" i="5"/>
  <c r="G362" i="5"/>
  <c r="G375" i="5"/>
  <c r="G405" i="5"/>
  <c r="G173" i="5"/>
  <c r="G274" i="5"/>
  <c r="G304" i="5"/>
  <c r="G102" i="5"/>
  <c r="G570" i="5"/>
  <c r="G704" i="5"/>
  <c r="G739" i="5"/>
  <c r="G908" i="5"/>
  <c r="G1902" i="5"/>
  <c r="G1912" i="5"/>
  <c r="G191" i="5"/>
  <c r="G402" i="5"/>
  <c r="G1895" i="5"/>
  <c r="G1942" i="5"/>
  <c r="G684" i="5"/>
  <c r="G1386" i="5"/>
  <c r="G1443" i="5"/>
  <c r="G1467" i="5"/>
  <c r="G1577" i="5"/>
  <c r="G1775" i="5"/>
  <c r="G363" i="5"/>
  <c r="G796" i="5"/>
  <c r="G1295" i="5"/>
  <c r="G1309" i="5"/>
  <c r="G1458" i="5"/>
  <c r="G2426" i="5"/>
  <c r="G2433" i="5"/>
  <c r="G534" i="5"/>
  <c r="G560" i="5"/>
  <c r="G819" i="5"/>
  <c r="G1141" i="5"/>
  <c r="G1814" i="5"/>
  <c r="G2224" i="5"/>
  <c r="G989" i="5"/>
  <c r="G2152" i="5"/>
  <c r="G2340" i="5"/>
  <c r="G2401" i="5"/>
  <c r="G1627" i="5"/>
  <c r="G2476" i="5"/>
  <c r="G192" i="5"/>
  <c r="G300" i="5"/>
  <c r="G480" i="5"/>
  <c r="G615" i="5"/>
  <c r="G1456" i="5"/>
  <c r="G207" i="5"/>
  <c r="G327" i="5"/>
  <c r="G1428" i="5"/>
  <c r="G1512" i="5"/>
  <c r="G1762" i="5"/>
  <c r="G1983" i="5"/>
  <c r="G2112" i="5"/>
  <c r="G2185" i="5"/>
  <c r="G2326" i="5"/>
  <c r="G68" i="5"/>
  <c r="G1271" i="5"/>
  <c r="G251" i="5"/>
  <c r="G269" i="5"/>
  <c r="G446" i="5"/>
  <c r="G853" i="5"/>
  <c r="G2050" i="5"/>
  <c r="G2484" i="5"/>
  <c r="G172" i="5"/>
  <c r="G842" i="5"/>
  <c r="G918" i="5"/>
  <c r="G782" i="5"/>
  <c r="G1057" i="5"/>
  <c r="G1109" i="5"/>
  <c r="G1321" i="5"/>
  <c r="G1825" i="5"/>
  <c r="G898" i="5"/>
  <c r="G1721" i="5"/>
  <c r="G159" i="5"/>
  <c r="G685" i="5"/>
  <c r="G1722" i="5"/>
  <c r="G1906" i="5"/>
  <c r="G1973" i="5"/>
  <c r="G2048" i="5"/>
  <c r="G2115" i="5"/>
  <c r="G61" i="5"/>
  <c r="G237" i="5"/>
  <c r="G780" i="5"/>
  <c r="G966" i="5"/>
  <c r="G1106" i="5"/>
  <c r="G1052" i="5"/>
  <c r="G1226" i="5"/>
  <c r="G544" i="5"/>
  <c r="G1127" i="5"/>
  <c r="G2138" i="5"/>
  <c r="G2144" i="5"/>
  <c r="G2193" i="5"/>
  <c r="G2275" i="5"/>
  <c r="G678" i="5"/>
  <c r="G2132" i="5"/>
  <c r="G969" i="5"/>
  <c r="G1251" i="5"/>
  <c r="G1552" i="5"/>
  <c r="G2008" i="5"/>
  <c r="G321" i="5"/>
  <c r="G1049" i="5"/>
  <c r="G1582" i="5"/>
  <c r="G2257" i="5"/>
  <c r="G1074" i="5"/>
  <c r="G2205" i="5"/>
  <c r="G278" i="5"/>
  <c r="G917" i="5"/>
  <c r="G974" i="5"/>
  <c r="G1452" i="5"/>
  <c r="G1658" i="5"/>
  <c r="G1989" i="5"/>
  <c r="G2160" i="5"/>
  <c r="G2464" i="5"/>
  <c r="G227" i="5"/>
  <c r="G1506" i="5"/>
  <c r="G1615" i="5"/>
  <c r="G388" i="5"/>
  <c r="G403" i="5"/>
  <c r="G664" i="5"/>
  <c r="G1454" i="5"/>
  <c r="G2391" i="5"/>
  <c r="G703" i="5"/>
  <c r="G1859" i="5"/>
  <c r="G167" i="5"/>
  <c r="G1937" i="5"/>
  <c r="G2134" i="5"/>
  <c r="G456" i="5"/>
  <c r="G775" i="5"/>
  <c r="G1733" i="5"/>
  <c r="G2472" i="5"/>
  <c r="G1165" i="5"/>
  <c r="G1366" i="5"/>
  <c r="G1600" i="5"/>
  <c r="G2490" i="5"/>
  <c r="G139" i="5"/>
  <c r="G724" i="5"/>
  <c r="G1224" i="5"/>
  <c r="G1585" i="5"/>
  <c r="G1982" i="5"/>
  <c r="G2371" i="5"/>
  <c r="G452" i="5"/>
  <c r="G472" i="5"/>
  <c r="G1995" i="5"/>
  <c r="G2005" i="5"/>
  <c r="G2199" i="5"/>
  <c r="G2216" i="5"/>
  <c r="G2447" i="5"/>
  <c r="G799" i="5"/>
  <c r="G922" i="5"/>
  <c r="G1480" i="5"/>
  <c r="G1059" i="5"/>
  <c r="G1542" i="5"/>
  <c r="G756" i="5"/>
  <c r="G1053" i="5"/>
  <c r="G1798" i="5"/>
  <c r="G1824" i="5"/>
  <c r="G1869" i="5"/>
  <c r="G1262" i="5"/>
  <c r="G1829" i="5"/>
  <c r="G2060" i="5"/>
  <c r="G679" i="5"/>
  <c r="G683" i="5"/>
  <c r="G973" i="5"/>
  <c r="G1215" i="5"/>
  <c r="G1360" i="5"/>
  <c r="G1715" i="5"/>
  <c r="G225" i="5"/>
  <c r="G732" i="5"/>
  <c r="G1061" i="5"/>
  <c r="G391" i="5"/>
  <c r="G1022" i="5"/>
  <c r="G2434" i="5"/>
  <c r="G22" i="5"/>
  <c r="G835" i="5"/>
  <c r="G867" i="5"/>
  <c r="G427" i="5"/>
  <c r="G1516" i="5"/>
  <c r="G1001" i="5"/>
  <c r="G2022" i="5"/>
  <c r="G522" i="5"/>
  <c r="G553" i="5"/>
  <c r="G1474" i="5"/>
  <c r="G1957" i="5"/>
  <c r="G96" i="5"/>
  <c r="G398" i="5"/>
  <c r="G564" i="5"/>
  <c r="G1172" i="5"/>
  <c r="G1412" i="5"/>
  <c r="G1546" i="5"/>
  <c r="G82" i="5"/>
  <c r="G730" i="5"/>
  <c r="G84" i="5"/>
  <c r="G153" i="5"/>
  <c r="G267" i="5"/>
  <c r="G766" i="5"/>
  <c r="G980" i="5"/>
  <c r="G1181" i="5"/>
  <c r="G1667" i="5"/>
  <c r="G948" i="5"/>
  <c r="G1538" i="5"/>
  <c r="G381" i="5"/>
  <c r="G1901" i="5"/>
  <c r="G460" i="5"/>
  <c r="G637" i="5"/>
  <c r="G2379" i="5"/>
  <c r="G481" i="5"/>
  <c r="G912" i="5"/>
  <c r="G1102" i="5"/>
  <c r="G1375" i="5"/>
  <c r="G1592" i="5"/>
  <c r="G1800" i="5"/>
  <c r="G1863" i="5"/>
  <c r="G34" i="5"/>
  <c r="G527" i="5"/>
  <c r="G572" i="5"/>
  <c r="G672" i="5"/>
  <c r="G811" i="5"/>
  <c r="G979" i="5"/>
  <c r="G1198" i="5"/>
  <c r="G1550" i="5"/>
  <c r="G2001" i="5"/>
  <c r="G2157" i="5"/>
  <c r="G737" i="5"/>
  <c r="G1120" i="5"/>
  <c r="G1593" i="5"/>
  <c r="G179" i="5"/>
  <c r="G591" i="5"/>
  <c r="G1438" i="5"/>
  <c r="G106" i="5"/>
  <c r="G602" i="5"/>
  <c r="G670" i="5"/>
  <c r="G2063" i="5"/>
  <c r="G2443" i="5"/>
  <c r="G147" i="5"/>
  <c r="G255" i="5"/>
  <c r="G971" i="5"/>
  <c r="G1170" i="5"/>
  <c r="G1325" i="5"/>
  <c r="G2225" i="5"/>
  <c r="G229" i="5"/>
  <c r="G344" i="5"/>
  <c r="G455" i="5"/>
  <c r="G926" i="5"/>
  <c r="G1028" i="5"/>
  <c r="G2156" i="5"/>
  <c r="G2263" i="5"/>
  <c r="G212" i="5"/>
  <c r="G1062" i="5"/>
  <c r="G1154" i="5"/>
  <c r="G2383" i="5"/>
  <c r="G171" i="5"/>
  <c r="G186" i="5"/>
  <c r="G949" i="5"/>
  <c r="G1163" i="5"/>
  <c r="G2245" i="5"/>
  <c r="G2333" i="5"/>
  <c r="G511" i="5"/>
  <c r="G1532" i="5"/>
  <c r="G1628" i="5"/>
  <c r="G1753" i="5"/>
  <c r="G1815" i="5"/>
  <c r="G1832" i="5"/>
  <c r="G272" i="5"/>
  <c r="G314" i="5"/>
  <c r="G513" i="5"/>
  <c r="G691" i="5"/>
  <c r="G825" i="5"/>
  <c r="G1243" i="5"/>
  <c r="G1693" i="5"/>
  <c r="G1846" i="5"/>
  <c r="G2210" i="5"/>
  <c r="G2254" i="5"/>
  <c r="G74" i="5"/>
  <c r="G884" i="5"/>
  <c r="G793" i="5"/>
  <c r="G1668" i="5"/>
  <c r="G2098" i="5"/>
  <c r="G535" i="5"/>
  <c r="G561" i="5"/>
  <c r="G768" i="5"/>
  <c r="G1344" i="5"/>
  <c r="G2346" i="5"/>
  <c r="G428" i="5"/>
  <c r="G543" i="5"/>
  <c r="G721" i="5"/>
  <c r="G1169" i="5"/>
  <c r="G1500" i="5"/>
  <c r="G1676" i="5"/>
  <c r="G1311" i="5"/>
  <c r="G1560" i="5"/>
  <c r="G1793" i="5"/>
  <c r="G2181" i="5"/>
  <c r="G364" i="5"/>
  <c r="G951" i="5"/>
  <c r="G332" i="5"/>
  <c r="G975" i="5"/>
  <c r="G1843" i="5"/>
  <c r="G1853" i="5"/>
  <c r="G2057" i="5"/>
  <c r="G60" i="5"/>
  <c r="G138" i="5"/>
  <c r="G1331" i="5"/>
  <c r="G1356" i="5"/>
  <c r="G1385" i="5"/>
  <c r="G1649" i="5"/>
  <c r="G464" i="5"/>
  <c r="G492" i="5"/>
  <c r="G821" i="5"/>
  <c r="G1126" i="5"/>
  <c r="G1286" i="5"/>
  <c r="G1696" i="5"/>
  <c r="G1975" i="5"/>
  <c r="G800" i="5"/>
  <c r="G1275" i="5"/>
  <c r="G1971" i="5"/>
  <c r="G2410" i="5"/>
  <c r="G1509" i="5"/>
  <c r="G1988" i="5"/>
  <c r="G1129" i="5"/>
  <c r="G93" i="5"/>
  <c r="G997" i="5"/>
  <c r="G1777" i="5"/>
  <c r="G565" i="5"/>
  <c r="G1036" i="5"/>
  <c r="G1099" i="5"/>
  <c r="G1999" i="5"/>
  <c r="G10" i="5"/>
  <c r="G998" i="5"/>
  <c r="G246" i="5"/>
  <c r="G306" i="5"/>
  <c r="G357" i="5"/>
  <c r="G598" i="5"/>
  <c r="G1040" i="5"/>
  <c r="G232" i="5"/>
  <c r="G1779" i="5"/>
  <c r="G310" i="5"/>
  <c r="G2059" i="5"/>
  <c r="G113" i="5"/>
  <c r="G865" i="5"/>
  <c r="G925" i="5"/>
  <c r="G1013" i="5"/>
  <c r="G1310" i="5"/>
  <c r="G1903" i="5"/>
  <c r="G2054" i="5"/>
  <c r="G2145" i="5"/>
  <c r="G2218" i="5"/>
  <c r="G2431" i="5"/>
  <c r="G771" i="5"/>
  <c r="G1503" i="5"/>
  <c r="G1778" i="5"/>
  <c r="G259" i="5"/>
  <c r="G970" i="5"/>
  <c r="G1050" i="5"/>
  <c r="G1591" i="5"/>
  <c r="G2496" i="5"/>
  <c r="G868" i="5"/>
  <c r="G2280" i="5"/>
  <c r="G134" i="5"/>
  <c r="G401" i="5"/>
  <c r="G109" i="5"/>
  <c r="G318" i="5"/>
  <c r="G1388" i="5"/>
  <c r="G1484" i="5"/>
  <c r="G1682" i="5"/>
  <c r="G1864" i="5"/>
  <c r="G2325" i="5"/>
  <c r="G358" i="5"/>
  <c r="G1411" i="5"/>
  <c r="G1343" i="5"/>
  <c r="G1419" i="5"/>
  <c r="G2106" i="5"/>
  <c r="G2459" i="5"/>
  <c r="G2422" i="5"/>
  <c r="G387" i="5"/>
  <c r="G1047" i="5"/>
  <c r="G1756" i="5"/>
  <c r="G1803" i="5"/>
  <c r="G1833" i="5"/>
  <c r="G2327" i="5"/>
  <c r="G701" i="5"/>
  <c r="G1133" i="5"/>
  <c r="G1416" i="5"/>
  <c r="G1711" i="5"/>
  <c r="G467" i="5"/>
  <c r="G896" i="5"/>
  <c r="G1247" i="5"/>
  <c r="G2114" i="5"/>
  <c r="G2170" i="5"/>
  <c r="G2487" i="5"/>
  <c r="G959" i="5"/>
  <c r="G1090" i="5"/>
  <c r="G1441" i="5"/>
  <c r="G1675" i="5"/>
  <c r="G1741" i="5"/>
  <c r="G765" i="5"/>
  <c r="G1097" i="5"/>
  <c r="G1867" i="5"/>
  <c r="G2003" i="5"/>
  <c r="G2041" i="5"/>
  <c r="G317" i="5"/>
  <c r="G1717" i="5"/>
  <c r="G1941" i="5"/>
  <c r="G2411" i="5"/>
  <c r="G2420" i="5"/>
  <c r="G2488" i="5"/>
  <c r="G271" i="5"/>
  <c r="G418" i="5"/>
  <c r="G568" i="5"/>
  <c r="G881" i="5"/>
  <c r="G1071" i="5"/>
  <c r="G1134" i="5"/>
  <c r="G478" i="5"/>
  <c r="G2089" i="5"/>
  <c r="G2182" i="5"/>
  <c r="G170" i="5"/>
  <c r="G311" i="5"/>
  <c r="G343" i="5"/>
  <c r="G1048" i="5"/>
  <c r="G1380" i="5"/>
  <c r="G843" i="5"/>
  <c r="G1449" i="5"/>
  <c r="G690" i="5"/>
  <c r="G1633" i="5"/>
  <c r="G1655" i="5"/>
  <c r="G1678" i="5"/>
  <c r="G2135" i="5"/>
  <c r="G2312" i="5"/>
  <c r="G105" i="5"/>
  <c r="G200" i="5"/>
  <c r="G258" i="5"/>
  <c r="G746" i="5"/>
  <c r="G1407" i="5"/>
  <c r="G1569" i="5"/>
  <c r="G1617" i="5"/>
  <c r="G1732" i="5"/>
  <c r="G2107" i="5"/>
  <c r="G2482" i="5"/>
  <c r="G36" i="5"/>
  <c r="G90" i="5"/>
  <c r="G450" i="5"/>
  <c r="G1191" i="5"/>
  <c r="G1290" i="5"/>
  <c r="G1521" i="5"/>
  <c r="G2053" i="5"/>
  <c r="G2316" i="5"/>
  <c r="G228" i="5"/>
  <c r="G2288" i="5"/>
  <c r="G962" i="5"/>
  <c r="G1056" i="5"/>
  <c r="G1073" i="5"/>
  <c r="G1130" i="5"/>
  <c r="G1403" i="5"/>
  <c r="G1851" i="5"/>
  <c r="G2370" i="5"/>
  <c r="G2468" i="5"/>
  <c r="G199" i="5"/>
  <c r="G393" i="5"/>
  <c r="G1475" i="5"/>
  <c r="G1860" i="5"/>
  <c r="G1948" i="5"/>
  <c r="G2415" i="5"/>
  <c r="G1114" i="5"/>
  <c r="G2220" i="5"/>
  <c r="G235" i="5"/>
  <c r="G656" i="5"/>
  <c r="G1760" i="5"/>
  <c r="G1096" i="5"/>
  <c r="G1143" i="5"/>
  <c r="G2421" i="5"/>
  <c r="G2500" i="5"/>
  <c r="G2481" i="5"/>
  <c r="G502" i="5"/>
  <c r="G547" i="5"/>
  <c r="G1917" i="5"/>
  <c r="G1996" i="5"/>
  <c r="G665" i="5"/>
  <c r="G1836" i="5"/>
  <c r="G1857" i="5"/>
  <c r="G104" i="5"/>
  <c r="G629" i="5"/>
  <c r="G635" i="5"/>
  <c r="G1182" i="5"/>
  <c r="G1334" i="5"/>
  <c r="G1840" i="5"/>
  <c r="G40" i="5"/>
  <c r="G426" i="5"/>
  <c r="G1027" i="5"/>
  <c r="G2463" i="5"/>
  <c r="G308" i="5"/>
  <c r="G1670" i="5"/>
  <c r="G1750" i="5"/>
  <c r="G1943" i="5"/>
  <c r="G2184" i="5"/>
  <c r="G1225" i="5"/>
  <c r="G1558" i="5"/>
  <c r="G2004" i="5"/>
  <c r="G976" i="5"/>
  <c r="G1077" i="5"/>
  <c r="G1335" i="5"/>
  <c r="G1448" i="5"/>
  <c r="G2153" i="5"/>
  <c r="G276" i="5"/>
  <c r="G967" i="5"/>
  <c r="G2244" i="5"/>
  <c r="G2461" i="5"/>
  <c r="G2491" i="5"/>
  <c r="G75" i="5"/>
  <c r="G282" i="5"/>
  <c r="G1881" i="5"/>
  <c r="G1932" i="5"/>
  <c r="G466" i="5"/>
  <c r="G525" i="5"/>
  <c r="G1214" i="5"/>
  <c r="G1524" i="5"/>
  <c r="G1534" i="5"/>
  <c r="G1611" i="5"/>
  <c r="G1706" i="5"/>
  <c r="G2255" i="5"/>
  <c r="G2486" i="5"/>
  <c r="G2000" i="5"/>
  <c r="G2095" i="5"/>
  <c r="G44" i="5"/>
  <c r="G934" i="5"/>
  <c r="G2079" i="5"/>
  <c r="G2124" i="5"/>
  <c r="G2125" i="5"/>
  <c r="G163" i="5"/>
  <c r="G551" i="5"/>
  <c r="G1144" i="5"/>
  <c r="G1197" i="5"/>
  <c r="G1201" i="5"/>
  <c r="G1629" i="5"/>
  <c r="G97" i="5"/>
  <c r="G479" i="5"/>
  <c r="G988" i="5"/>
  <c r="G1180" i="5"/>
  <c r="G1533" i="5"/>
  <c r="G1536" i="5"/>
  <c r="G1642" i="5"/>
  <c r="G1767" i="5"/>
  <c r="G9" i="5"/>
  <c r="G805" i="5"/>
  <c r="G820" i="5"/>
  <c r="G879" i="5"/>
  <c r="G1138" i="5"/>
  <c r="G2027" i="5"/>
  <c r="G2357" i="5"/>
  <c r="G902" i="5"/>
  <c r="G1171" i="5"/>
  <c r="G1394" i="5"/>
  <c r="G1862" i="5"/>
  <c r="G31" i="5"/>
  <c r="G749" i="5"/>
  <c r="G1006" i="5"/>
  <c r="G1148" i="5"/>
  <c r="G1736" i="5"/>
  <c r="G2211" i="5"/>
  <c r="G2287" i="5"/>
  <c r="G862" i="5"/>
  <c r="G1015" i="5"/>
  <c r="G1540" i="5"/>
  <c r="G1677" i="5"/>
  <c r="G2015" i="5"/>
  <c r="G2403" i="5"/>
  <c r="G1907" i="5"/>
  <c r="G2460" i="5"/>
  <c r="G516" i="5"/>
  <c r="G958" i="5"/>
  <c r="G1116" i="5"/>
  <c r="G1150" i="5"/>
  <c r="G110" i="5"/>
  <c r="G348" i="5"/>
  <c r="G588" i="5"/>
  <c r="G847" i="5"/>
  <c r="G1037" i="5"/>
  <c r="G2314" i="5"/>
  <c r="G2388" i="5"/>
  <c r="G169" i="5"/>
  <c r="G283" i="5"/>
  <c r="G859" i="5"/>
  <c r="G1029" i="5"/>
  <c r="G1173" i="5"/>
  <c r="G1409" i="5"/>
  <c r="G1573" i="5"/>
  <c r="G1876" i="5"/>
  <c r="G2407" i="5"/>
  <c r="G595" i="5"/>
  <c r="G681" i="5"/>
  <c r="G1754" i="5"/>
  <c r="G440" i="5"/>
  <c r="G582" i="5"/>
  <c r="G960" i="5"/>
  <c r="G1220" i="5"/>
  <c r="G2247" i="5"/>
  <c r="G2363" i="5"/>
  <c r="G11" i="5"/>
  <c r="G623" i="5"/>
  <c r="G1083" i="5"/>
  <c r="G1965" i="5"/>
  <c r="G489" i="5"/>
  <c r="G914" i="5"/>
  <c r="G1230" i="5"/>
  <c r="G1322" i="5"/>
  <c r="G2438" i="5"/>
  <c r="G5" i="5"/>
  <c r="G256" i="5"/>
  <c r="G307" i="5"/>
  <c r="G784" i="5"/>
  <c r="G1373" i="5"/>
  <c r="G2319" i="5"/>
  <c r="G470" i="5"/>
  <c r="G657" i="5"/>
  <c r="G901" i="5"/>
  <c r="G2233" i="5"/>
  <c r="G145" i="5"/>
  <c r="G603" i="5"/>
  <c r="G606" i="5"/>
  <c r="G1398" i="5"/>
  <c r="G839" i="5"/>
  <c r="G1337" i="5"/>
  <c r="G1499" i="5"/>
  <c r="G1595" i="5"/>
  <c r="G242" i="5"/>
  <c r="G1277" i="5"/>
  <c r="F1095" i="5"/>
  <c r="F1619" i="5"/>
  <c r="F1648" i="5"/>
  <c r="F270" i="5"/>
  <c r="F1737" i="5"/>
  <c r="F2203" i="5"/>
  <c r="F248" i="5"/>
  <c r="F1780" i="5"/>
  <c r="F371" i="5"/>
  <c r="F836" i="5"/>
  <c r="F65" i="5"/>
  <c r="F655" i="5"/>
  <c r="F755" i="5"/>
  <c r="F2031" i="5"/>
  <c r="F1819" i="5"/>
  <c r="F1168" i="5"/>
  <c r="F2479" i="5"/>
  <c r="F336" i="5"/>
  <c r="F1274" i="5"/>
  <c r="F1434" i="5"/>
  <c r="F2307" i="5"/>
  <c r="F351" i="5"/>
  <c r="F2294" i="5"/>
  <c r="F37" i="5"/>
  <c r="F1340" i="5"/>
  <c r="F1250" i="5"/>
  <c r="F762" i="5"/>
  <c r="F1610" i="5"/>
  <c r="F2308" i="5"/>
  <c r="F1466" i="5"/>
  <c r="F78" i="5"/>
  <c r="F1125" i="5"/>
  <c r="F1993" i="5"/>
  <c r="F808" i="5"/>
  <c r="F164" i="5"/>
  <c r="F789" i="5"/>
  <c r="F1339" i="5"/>
  <c r="F1314" i="5"/>
  <c r="F1158" i="5"/>
  <c r="F52" i="5"/>
  <c r="F978" i="5"/>
  <c r="F1376" i="5"/>
  <c r="F895" i="5"/>
  <c r="F2318" i="5"/>
  <c r="F2249" i="5"/>
  <c r="F1193" i="5"/>
  <c r="F944" i="5"/>
  <c r="F2116" i="5"/>
  <c r="F1602" i="5"/>
  <c r="F1485" i="5"/>
  <c r="F1517" i="5"/>
  <c r="F1605" i="5"/>
  <c r="F886" i="5"/>
  <c r="F992" i="5"/>
  <c r="F1594" i="5"/>
  <c r="F1306" i="5"/>
  <c r="F1234" i="5"/>
  <c r="F2283" i="5"/>
  <c r="F1279" i="5"/>
  <c r="F2167" i="5"/>
  <c r="F2394" i="5"/>
  <c r="F296" i="5"/>
  <c r="F1151" i="5"/>
  <c r="F1672" i="5"/>
  <c r="F2429" i="5"/>
  <c r="F1625" i="5"/>
  <c r="F2072" i="5"/>
  <c r="F1656" i="5"/>
  <c r="F981" i="5"/>
  <c r="F1105" i="5"/>
  <c r="F2409" i="5"/>
  <c r="F1260" i="5"/>
  <c r="F1435" i="5"/>
  <c r="F2451" i="5"/>
  <c r="F2083" i="5"/>
  <c r="F2362" i="5"/>
  <c r="F129" i="5"/>
  <c r="F803" i="5"/>
  <c r="F822" i="5"/>
  <c r="F1685" i="5"/>
  <c r="F1669" i="5"/>
  <c r="F287" i="5"/>
  <c r="F669" i="5"/>
  <c r="F611" i="5"/>
  <c r="F284" i="5"/>
  <c r="F1122" i="5"/>
  <c r="F982" i="5"/>
  <c r="F996" i="5"/>
  <c r="F849" i="5"/>
  <c r="F2175" i="5"/>
  <c r="F882" i="5"/>
  <c r="F1014" i="5"/>
  <c r="F301" i="5"/>
  <c r="F674" i="5"/>
  <c r="F1087" i="5"/>
  <c r="F1866" i="5"/>
  <c r="F176" i="5"/>
  <c r="F1008" i="5"/>
  <c r="F1341" i="5"/>
  <c r="F1453" i="5"/>
  <c r="F1067" i="5"/>
  <c r="F1427" i="5"/>
  <c r="F741" i="5"/>
  <c r="F1878" i="5"/>
  <c r="F2020" i="5"/>
  <c r="F2155" i="5"/>
  <c r="F2378" i="5"/>
  <c r="F2382" i="5"/>
  <c r="F2285" i="5"/>
  <c r="F299" i="5"/>
  <c r="F1436" i="5"/>
  <c r="F1222" i="5"/>
  <c r="F1246" i="5"/>
  <c r="F501" i="5"/>
  <c r="F2277" i="5"/>
  <c r="F769" i="5"/>
  <c r="F144" i="5"/>
  <c r="F641" i="5"/>
  <c r="F1166" i="5"/>
  <c r="F631" i="5"/>
  <c r="F1705" i="5"/>
  <c r="F1848" i="5"/>
  <c r="F383" i="5"/>
  <c r="F346" i="5"/>
  <c r="F394" i="5"/>
  <c r="F476" i="5"/>
  <c r="F1128" i="5"/>
  <c r="F1437" i="5"/>
  <c r="F680" i="5"/>
  <c r="F735" i="5"/>
  <c r="F647" i="5"/>
  <c r="F1039" i="5"/>
  <c r="F984" i="5"/>
  <c r="F121" i="5"/>
  <c r="F151" i="5"/>
  <c r="F1091" i="5"/>
  <c r="F521" i="5"/>
  <c r="F1723" i="5"/>
  <c r="F2373" i="5"/>
  <c r="F1265" i="5"/>
  <c r="F2364" i="5"/>
  <c r="F2256" i="5"/>
  <c r="F1354" i="5"/>
  <c r="F649" i="5"/>
  <c r="F494" i="5"/>
  <c r="F2119" i="5"/>
  <c r="F2241" i="5"/>
  <c r="F736" i="5"/>
  <c r="F2221" i="5"/>
  <c r="F806" i="5"/>
  <c r="F1708" i="5"/>
  <c r="F157" i="5"/>
  <c r="F1727" i="5"/>
  <c r="F660" i="5"/>
  <c r="F1644" i="5"/>
  <c r="F166" i="5"/>
  <c r="F1445" i="5"/>
  <c r="F219" i="5"/>
  <c r="F1940" i="5"/>
  <c r="F1420" i="5"/>
  <c r="F2086" i="5"/>
  <c r="F562" i="5"/>
  <c r="F1229" i="5"/>
  <c r="F1473" i="5"/>
  <c r="F1568" i="5"/>
  <c r="F1789" i="5"/>
  <c r="F1413" i="5"/>
  <c r="F239" i="5"/>
  <c r="F1997" i="5"/>
  <c r="F1890" i="5"/>
  <c r="F268" i="5"/>
  <c r="F2492" i="5"/>
  <c r="F1914" i="5"/>
  <c r="F1135" i="5"/>
  <c r="F2158" i="5"/>
  <c r="F254" i="5"/>
  <c r="F474" i="5"/>
  <c r="F1620" i="5"/>
  <c r="F1189" i="5"/>
  <c r="F710" i="5"/>
  <c r="F1944" i="5"/>
  <c r="F2439" i="5"/>
  <c r="F830" i="5"/>
  <c r="F1481" i="5"/>
  <c r="F792" i="5"/>
  <c r="F1702" i="5"/>
  <c r="F2110" i="5"/>
  <c r="F72" i="5"/>
  <c r="F1328" i="5"/>
  <c r="F2253" i="5"/>
  <c r="F2390" i="5"/>
  <c r="F59" i="5"/>
  <c r="F421" i="5"/>
  <c r="F1216" i="5"/>
  <c r="F2046" i="5"/>
  <c r="F1089" i="5"/>
  <c r="F613" i="5"/>
  <c r="F2076" i="5"/>
  <c r="F184" i="5"/>
  <c r="F2101" i="5"/>
  <c r="F1967" i="5"/>
  <c r="F618" i="5"/>
  <c r="F794" i="5"/>
  <c r="F1383" i="5"/>
  <c r="F2058" i="5"/>
  <c r="F2149" i="5"/>
  <c r="F2147" i="5"/>
  <c r="F1791" i="5"/>
  <c r="F2006" i="5"/>
  <c r="F2493" i="5"/>
  <c r="F1323" i="5"/>
  <c r="F370" i="5"/>
  <c r="F856" i="5"/>
  <c r="F2276" i="5"/>
  <c r="F1405" i="5"/>
  <c r="F292" i="5"/>
  <c r="F750" i="5"/>
  <c r="F1964" i="5"/>
  <c r="F345" i="5"/>
  <c r="F584" i="5"/>
  <c r="F2292" i="5"/>
  <c r="F577" i="5"/>
  <c r="F81" i="5"/>
  <c r="F1393" i="5"/>
  <c r="F2219" i="5"/>
  <c r="F1583" i="5"/>
  <c r="F539" i="5"/>
  <c r="F386" i="5"/>
  <c r="F1035" i="5"/>
  <c r="F1561" i="5"/>
  <c r="F1291" i="5"/>
  <c r="F20" i="5"/>
  <c r="F1757" i="5"/>
  <c r="F204" i="5"/>
  <c r="F2002" i="5"/>
  <c r="F257" i="5"/>
  <c r="F2150" i="5"/>
  <c r="F1270" i="5"/>
  <c r="F1740" i="5"/>
  <c r="F1604" i="5"/>
  <c r="F2306" i="5"/>
  <c r="F1327" i="5"/>
  <c r="F1408" i="5"/>
  <c r="F1051" i="5"/>
  <c r="F773" i="5"/>
  <c r="F1554" i="5"/>
  <c r="F2011" i="5"/>
  <c r="F1299" i="5"/>
  <c r="F1623" i="5"/>
  <c r="F1258" i="5"/>
  <c r="F2446" i="5"/>
  <c r="F753" i="5"/>
  <c r="F936" i="5"/>
  <c r="F1716" i="5"/>
  <c r="F1684" i="5"/>
  <c r="F845" i="5"/>
  <c r="F797" i="5"/>
  <c r="F1211" i="5"/>
  <c r="F2264" i="5"/>
  <c r="F2474" i="5"/>
  <c r="F1872" i="5"/>
  <c r="F2007" i="5"/>
  <c r="F2100" i="5"/>
  <c r="F840" i="5"/>
  <c r="F733" i="5"/>
  <c r="F1865" i="5"/>
  <c r="F2142" i="5"/>
  <c r="F1046" i="5"/>
  <c r="F182" i="5"/>
  <c r="F1140" i="5"/>
  <c r="F1304" i="5"/>
  <c r="F1482" i="5"/>
  <c r="F536" i="5"/>
  <c r="F2207" i="5"/>
  <c r="F643" i="5"/>
  <c r="F1031" i="5"/>
  <c r="F1156" i="5"/>
  <c r="F837" i="5"/>
  <c r="F651" i="5"/>
  <c r="F1155" i="5"/>
  <c r="F1410" i="5"/>
  <c r="F1725" i="5"/>
  <c r="F41" i="5"/>
  <c r="F1192" i="5"/>
  <c r="F1900" i="5"/>
  <c r="F1404" i="5"/>
  <c r="F451" i="5"/>
  <c r="F165" i="5"/>
  <c r="F1640" i="5"/>
  <c r="F2166" i="5"/>
  <c r="F2176" i="5"/>
  <c r="F1227" i="5"/>
  <c r="F893" i="5"/>
  <c r="F2227" i="5"/>
  <c r="F890" i="5"/>
  <c r="F1465" i="5"/>
  <c r="F1991" i="5"/>
  <c r="F1697" i="5"/>
  <c r="F1007" i="5"/>
  <c r="F1069" i="5"/>
  <c r="F1556" i="5"/>
  <c r="F1159" i="5"/>
  <c r="F1713" i="5"/>
  <c r="F2217" i="5"/>
  <c r="F506" i="5"/>
  <c r="F1085" i="5"/>
  <c r="F1710" i="5"/>
  <c r="F1861" i="5"/>
  <c r="F46" i="5"/>
  <c r="F433" i="5"/>
  <c r="F1855" i="5"/>
  <c r="F2399" i="5"/>
  <c r="F294" i="5"/>
  <c r="F1259" i="5"/>
  <c r="F1599" i="5"/>
  <c r="F1646" i="5"/>
  <c r="F265" i="5"/>
  <c r="F486" i="5"/>
  <c r="F709" i="5"/>
  <c r="F786" i="5"/>
  <c r="F1228" i="5"/>
  <c r="F1397" i="5"/>
  <c r="F1743" i="5"/>
  <c r="F1987" i="5"/>
  <c r="F2117" i="5"/>
  <c r="F14" i="5"/>
  <c r="F89" i="5"/>
  <c r="F220" i="5"/>
  <c r="F2289" i="5"/>
  <c r="F262" i="5"/>
  <c r="F941" i="5"/>
  <c r="F1748" i="5"/>
  <c r="F1952" i="5"/>
  <c r="F2013" i="5"/>
  <c r="F2162" i="5"/>
  <c r="F2186" i="5"/>
  <c r="F2386" i="5"/>
  <c r="F202" i="5"/>
  <c r="F352" i="5"/>
  <c r="F991" i="5"/>
  <c r="F1012" i="5"/>
  <c r="F1093" i="5"/>
  <c r="F1103" i="5"/>
  <c r="F1747" i="5"/>
  <c r="F2273" i="5"/>
  <c r="F51" i="5"/>
  <c r="F454" i="5"/>
  <c r="F1637" i="5"/>
  <c r="F2466" i="5"/>
  <c r="F1353" i="5"/>
  <c r="F1630" i="5"/>
  <c r="F2303" i="5"/>
  <c r="F2416" i="5"/>
  <c r="F71" i="5"/>
  <c r="F517" i="5"/>
  <c r="F1188" i="5"/>
  <c r="F2320" i="5"/>
  <c r="F2343" i="5"/>
  <c r="F754" i="5"/>
  <c r="F861" i="5"/>
  <c r="F1494" i="5"/>
  <c r="F2113" i="5"/>
  <c r="F2458" i="5"/>
  <c r="F29" i="5"/>
  <c r="F498" i="5"/>
  <c r="F1242" i="5"/>
  <c r="F1451" i="5"/>
  <c r="F1694" i="5"/>
  <c r="F2298" i="5"/>
  <c r="F2348" i="5"/>
  <c r="F58" i="5"/>
  <c r="F510" i="5"/>
  <c r="F558" i="5"/>
  <c r="F1232" i="5"/>
  <c r="F1570" i="5"/>
  <c r="F2143" i="5"/>
  <c r="F931" i="5"/>
  <c r="F1019" i="5"/>
  <c r="F1526" i="5"/>
  <c r="F1915" i="5"/>
  <c r="F236" i="5"/>
  <c r="F597" i="5"/>
  <c r="F1107" i="5"/>
  <c r="F1587" i="5"/>
  <c r="F1609" i="5"/>
  <c r="F73" i="5"/>
  <c r="F833" i="5"/>
  <c r="F1075" i="5"/>
  <c r="F1921" i="5"/>
  <c r="F1977" i="5"/>
  <c r="F53" i="5"/>
  <c r="F1276" i="5"/>
  <c r="F1349" i="5"/>
  <c r="F1608" i="5"/>
  <c r="F497" i="5"/>
  <c r="F1471" i="5"/>
  <c r="F2127" i="5"/>
  <c r="F555" i="5"/>
  <c r="F1042" i="5"/>
  <c r="F1422" i="5"/>
  <c r="F2230" i="5"/>
  <c r="F2281" i="5"/>
  <c r="F325" i="5"/>
  <c r="F1032" i="5"/>
  <c r="F2305" i="5"/>
  <c r="F312" i="5"/>
  <c r="F1147" i="5"/>
  <c r="F1992" i="5"/>
  <c r="F2341" i="5"/>
  <c r="F356" i="5"/>
  <c r="F933" i="5"/>
  <c r="F1734" i="5"/>
  <c r="F1751" i="5"/>
  <c r="F2128" i="5"/>
  <c r="F1718" i="5"/>
  <c r="F2018" i="5"/>
  <c r="F520" i="5"/>
  <c r="F1256" i="5"/>
  <c r="F2171" i="5"/>
  <c r="F117" i="5"/>
  <c r="F644" i="5"/>
  <c r="F1312" i="5"/>
  <c r="F1720" i="5"/>
  <c r="F2200" i="5"/>
  <c r="F116" i="5"/>
  <c r="F341" i="5"/>
  <c r="F1755" i="5"/>
  <c r="F850" i="5"/>
  <c r="F1079" i="5"/>
  <c r="F1444" i="5"/>
  <c r="F1808" i="5"/>
  <c r="F438" i="5"/>
  <c r="F804" i="5"/>
  <c r="F876" i="5"/>
  <c r="F1497" i="5"/>
  <c r="F1985" i="5"/>
  <c r="F2198" i="5"/>
  <c r="F2342" i="5"/>
  <c r="F2444" i="5"/>
  <c r="F473" i="5"/>
  <c r="F1810" i="5"/>
  <c r="F2228" i="5"/>
  <c r="F2330" i="5"/>
  <c r="F2412" i="5"/>
  <c r="F48" i="5"/>
  <c r="F295" i="5"/>
  <c r="F488" i="5"/>
  <c r="F2075" i="5"/>
  <c r="F2259" i="5"/>
  <c r="F45" i="5"/>
  <c r="F313" i="5"/>
  <c r="F952" i="5"/>
  <c r="F1545" i="5"/>
  <c r="F1812" i="5"/>
  <c r="F399" i="5"/>
  <c r="F1698" i="5"/>
  <c r="F1771" i="5"/>
  <c r="F338" i="5"/>
  <c r="F801" i="5"/>
  <c r="F953" i="5"/>
  <c r="F1117" i="5"/>
  <c r="F1813" i="5"/>
  <c r="F2074" i="5"/>
  <c r="F2452" i="5"/>
  <c r="F725" i="5"/>
  <c r="F818" i="5"/>
  <c r="F957" i="5"/>
  <c r="F1447" i="5"/>
  <c r="F2161" i="5"/>
  <c r="F965" i="5"/>
  <c r="F1501" i="5"/>
  <c r="F2381" i="5"/>
  <c r="F266" i="5"/>
  <c r="F573" i="5"/>
  <c r="F626" i="5"/>
  <c r="F2404" i="5"/>
  <c r="F430" i="5"/>
  <c r="F904" i="5"/>
  <c r="F1704" i="5"/>
  <c r="F946" i="5"/>
  <c r="F1671" i="5"/>
  <c r="F2010" i="5"/>
  <c r="F2090" i="5"/>
  <c r="F2365" i="5"/>
  <c r="F133" i="5"/>
  <c r="F431" i="5"/>
  <c r="F1888" i="5"/>
  <c r="F2032" i="5"/>
  <c r="F2351" i="5"/>
  <c r="F422" i="5"/>
  <c r="F523" i="5"/>
  <c r="F1315" i="5"/>
  <c r="F1622" i="5"/>
  <c r="F1936" i="5"/>
  <c r="F1092" i="5"/>
  <c r="F1634" i="5"/>
  <c r="F1886" i="5"/>
  <c r="F2223" i="5"/>
  <c r="F86" i="5"/>
  <c r="F714" i="5"/>
  <c r="F1520" i="5"/>
  <c r="F135" i="5"/>
  <c r="F162" i="5"/>
  <c r="F188" i="5"/>
  <c r="F1054" i="5"/>
  <c r="F1346" i="5"/>
  <c r="F1830" i="5"/>
  <c r="F1955" i="5"/>
  <c r="F214" i="5"/>
  <c r="F668" i="5"/>
  <c r="F915" i="5"/>
  <c r="F1207" i="5"/>
  <c r="F1842" i="5"/>
  <c r="F2419" i="5"/>
  <c r="F367" i="5"/>
  <c r="F1023" i="5"/>
  <c r="F76" i="5"/>
  <c r="F686" i="5"/>
  <c r="F1115" i="5"/>
  <c r="F2251" i="5"/>
  <c r="F260" i="5"/>
  <c r="F857" i="5"/>
  <c r="F1782" i="5"/>
  <c r="F2448" i="5"/>
  <c r="F1543" i="5"/>
  <c r="F1657" i="5"/>
  <c r="F2345" i="5"/>
  <c r="F290" i="5"/>
  <c r="F889" i="5"/>
  <c r="F2037" i="5"/>
  <c r="F752" i="5"/>
  <c r="F1439" i="5"/>
  <c r="F1461" i="5"/>
  <c r="F1502" i="5"/>
  <c r="F1946" i="5"/>
  <c r="F2232" i="5"/>
  <c r="F990" i="5"/>
  <c r="F1283" i="5"/>
  <c r="F1831" i="5"/>
  <c r="F2093" i="5"/>
  <c r="F35" i="5"/>
  <c r="F281" i="5"/>
  <c r="F329" i="5"/>
  <c r="F531" i="5"/>
  <c r="F699" i="5"/>
  <c r="F772" i="5"/>
  <c r="F1510" i="5"/>
  <c r="F1528" i="5"/>
  <c r="F1783" i="5"/>
  <c r="F813" i="5"/>
  <c r="F938" i="5"/>
  <c r="F994" i="5"/>
  <c r="F1662" i="5"/>
  <c r="F2296" i="5"/>
  <c r="F783" i="5"/>
  <c r="F906" i="5"/>
  <c r="F995" i="5"/>
  <c r="F1739" i="5"/>
  <c r="F57" i="5"/>
  <c r="F698" i="5"/>
  <c r="F940" i="5"/>
  <c r="F2087" i="5"/>
  <c r="F2108" i="5"/>
  <c r="F2489" i="5"/>
  <c r="F354" i="5"/>
  <c r="F360" i="5"/>
  <c r="F1735" i="5"/>
  <c r="F1688" i="5"/>
  <c r="F855" i="5"/>
  <c r="F1108" i="5"/>
  <c r="F1547" i="5"/>
  <c r="F1598" i="5"/>
  <c r="F2424" i="5"/>
  <c r="F723" i="5"/>
  <c r="F1132" i="5"/>
  <c r="F1415" i="5"/>
  <c r="F2369" i="5"/>
  <c r="F559" i="5"/>
  <c r="F634" i="5"/>
  <c r="F1551" i="5"/>
  <c r="F1899" i="5"/>
  <c r="F622" i="5"/>
  <c r="F2347" i="5"/>
  <c r="F526" i="5"/>
  <c r="F1045" i="5"/>
  <c r="F1811" i="5"/>
  <c r="F2356" i="5"/>
  <c r="F640" i="5"/>
  <c r="F1601" i="5"/>
  <c r="F1801" i="5"/>
  <c r="F2021" i="5"/>
  <c r="F2094" i="5"/>
  <c r="F2165" i="5"/>
  <c r="F2177" i="5"/>
  <c r="F92" i="5"/>
  <c r="F509" i="5"/>
  <c r="F682" i="5"/>
  <c r="F1184" i="5"/>
  <c r="F2194" i="5"/>
  <c r="F2396" i="5"/>
  <c r="F1078" i="5"/>
  <c r="F1119" i="5"/>
  <c r="F206" i="5"/>
  <c r="F416" i="5"/>
  <c r="F1161" i="5"/>
  <c r="F1463" i="5"/>
  <c r="F1728" i="5"/>
  <c r="F1961" i="5"/>
  <c r="F2192" i="5"/>
  <c r="F55" i="5"/>
  <c r="F507" i="5"/>
  <c r="F1199" i="5"/>
  <c r="F1395" i="5"/>
  <c r="F677" i="5"/>
  <c r="F1205" i="5"/>
  <c r="F1632" i="5"/>
  <c r="F1651" i="5"/>
  <c r="F439" i="5"/>
  <c r="F852" i="5"/>
  <c r="F1505" i="5"/>
  <c r="F2350" i="5"/>
  <c r="F231" i="5"/>
  <c r="F964" i="5"/>
  <c r="F1121" i="5"/>
  <c r="F1285" i="5"/>
  <c r="F1519" i="5"/>
  <c r="F1730" i="5"/>
  <c r="F1784" i="5"/>
  <c r="F1925" i="5"/>
  <c r="F2250" i="5"/>
  <c r="F380" i="5"/>
  <c r="F1319" i="5"/>
  <c r="F1766" i="5"/>
  <c r="F1826" i="5"/>
  <c r="F1828" i="5"/>
  <c r="F2097" i="5"/>
  <c r="F645" i="5"/>
  <c r="F727" i="5"/>
  <c r="F2441" i="5"/>
  <c r="F661" i="5"/>
  <c r="F956" i="5"/>
  <c r="F1763" i="5"/>
  <c r="F87" i="5"/>
  <c r="F127" i="5"/>
  <c r="F221" i="5"/>
  <c r="F389" i="5"/>
  <c r="F484" i="5"/>
  <c r="F795" i="5"/>
  <c r="F943" i="5"/>
  <c r="F1664" i="5"/>
  <c r="F2129" i="5"/>
  <c r="F2471" i="5"/>
  <c r="F1491" i="5"/>
  <c r="F1567" i="5"/>
  <c r="F2049" i="5"/>
  <c r="F1297" i="5"/>
  <c r="F1909" i="5"/>
  <c r="F2234" i="5"/>
  <c r="F866" i="5"/>
  <c r="F1525" i="5"/>
  <c r="F1879" i="5"/>
  <c r="F2042" i="5"/>
  <c r="F2139" i="5"/>
  <c r="F298" i="5"/>
  <c r="F628" i="5"/>
  <c r="F2297" i="5"/>
  <c r="F2367" i="5"/>
  <c r="F63" i="5"/>
  <c r="F538" i="5"/>
  <c r="F814" i="5"/>
  <c r="F961" i="5"/>
  <c r="F1382" i="5"/>
  <c r="F1841" i="5"/>
  <c r="F1972" i="5"/>
  <c r="F2137" i="5"/>
  <c r="F425" i="5"/>
  <c r="F722" i="5"/>
  <c r="F2338" i="5"/>
  <c r="F1330" i="5"/>
  <c r="F1522" i="5"/>
  <c r="F2073" i="5"/>
  <c r="F2321" i="5"/>
  <c r="F119" i="5"/>
  <c r="F2226" i="5"/>
  <c r="F823" i="5"/>
  <c r="F1541" i="5"/>
  <c r="F2214" i="5"/>
  <c r="F222" i="5"/>
  <c r="F1123" i="5"/>
  <c r="F1647" i="5"/>
  <c r="F2336" i="5"/>
  <c r="F150" i="5"/>
  <c r="F620" i="5"/>
  <c r="F652" i="5"/>
  <c r="F1112" i="5"/>
  <c r="F1874" i="5"/>
  <c r="F1892" i="5"/>
  <c r="F322" i="5"/>
  <c r="F369" i="5"/>
  <c r="F374" i="5"/>
  <c r="F913" i="5"/>
  <c r="F2067" i="5"/>
  <c r="F250" i="5"/>
  <c r="F382" i="5"/>
  <c r="F458" i="5"/>
  <c r="F863" i="5"/>
  <c r="F1464" i="5"/>
  <c r="F1852" i="5"/>
  <c r="F2096" i="5"/>
  <c r="F218" i="5"/>
  <c r="F549" i="5"/>
  <c r="F1307" i="5"/>
  <c r="F1976" i="5"/>
  <c r="F2174" i="5"/>
  <c r="F91" i="5"/>
  <c r="F303" i="5"/>
  <c r="F571" i="5"/>
  <c r="F697" i="5"/>
  <c r="F1345" i="5"/>
  <c r="F1423" i="5"/>
  <c r="F1928" i="5"/>
  <c r="F2366" i="5"/>
  <c r="F2497" i="5"/>
  <c r="F24" i="5"/>
  <c r="F77" i="5"/>
  <c r="F415" i="5"/>
  <c r="F609" i="5"/>
  <c r="F1082" i="5"/>
  <c r="F1317" i="5"/>
  <c r="F1530" i="5"/>
  <c r="F1918" i="5"/>
  <c r="F1998" i="5"/>
  <c r="F937" i="5"/>
  <c r="F1470" i="5"/>
  <c r="F1588" i="5"/>
  <c r="F2377" i="5"/>
  <c r="F2485" i="5"/>
  <c r="F891" i="5"/>
  <c r="F2204" i="5"/>
  <c r="F1478" i="5"/>
  <c r="F1631" i="5"/>
  <c r="F1707" i="5"/>
  <c r="F2235" i="5"/>
  <c r="F118" i="5"/>
  <c r="F508" i="5"/>
  <c r="F574" i="5"/>
  <c r="F1282" i="5"/>
  <c r="F1292" i="5"/>
  <c r="F950" i="5"/>
  <c r="F1174" i="5"/>
  <c r="F1213" i="5"/>
  <c r="F1856" i="5"/>
  <c r="F2154" i="5"/>
  <c r="F177" i="5"/>
  <c r="F429" i="5"/>
  <c r="F518" i="5"/>
  <c r="F1005" i="5"/>
  <c r="F302" i="5"/>
  <c r="F666" i="5"/>
  <c r="F2169" i="5"/>
  <c r="F443" i="5"/>
  <c r="F662" i="5"/>
  <c r="F711" i="5"/>
  <c r="F1021" i="5"/>
  <c r="F2062" i="5"/>
  <c r="F2242" i="5"/>
  <c r="F39" i="5"/>
  <c r="F197" i="5"/>
  <c r="F546" i="5"/>
  <c r="F1421" i="5"/>
  <c r="F1765" i="5"/>
  <c r="F50" i="5"/>
  <c r="F614" i="5"/>
  <c r="F717" i="5"/>
  <c r="F742" i="5"/>
  <c r="F802" i="5"/>
  <c r="F983" i="5"/>
  <c r="F1065" i="5"/>
  <c r="F1208" i="5"/>
  <c r="F1650" i="5"/>
  <c r="F379" i="5"/>
  <c r="F437" i="5"/>
  <c r="F1084" i="5"/>
  <c r="F1284" i="5"/>
  <c r="F315" i="5"/>
  <c r="F600" i="5"/>
  <c r="F716" i="5"/>
  <c r="F844" i="5"/>
  <c r="F885" i="5"/>
  <c r="F1882" i="5"/>
  <c r="F326" i="5"/>
  <c r="F899" i="5"/>
  <c r="F1392" i="5"/>
  <c r="F1745" i="5"/>
  <c r="F1759" i="5"/>
  <c r="F1786" i="5"/>
  <c r="F578" i="5"/>
  <c r="F761" i="5"/>
  <c r="F1136" i="5"/>
  <c r="F1338" i="5"/>
  <c r="F1818" i="5"/>
  <c r="F190" i="5"/>
  <c r="F253" i="5"/>
  <c r="F417" i="5"/>
  <c r="F2246" i="5"/>
  <c r="F1429" i="5"/>
  <c r="F1203" i="5"/>
  <c r="F2328" i="5"/>
  <c r="F216" i="5"/>
  <c r="F1178" i="5"/>
  <c r="F1624" i="5"/>
  <c r="F1894" i="5"/>
  <c r="F1960" i="5"/>
  <c r="F587" i="5"/>
  <c r="F1318" i="5"/>
  <c r="F1799" i="5"/>
  <c r="F858" i="5"/>
  <c r="F1030" i="5"/>
  <c r="F1218" i="5"/>
  <c r="F1626" i="5"/>
  <c r="F2121" i="5"/>
  <c r="F2222" i="5"/>
  <c r="F2324" i="5"/>
  <c r="F2425" i="5"/>
  <c r="F832" i="5"/>
  <c r="F1098" i="5"/>
  <c r="F1296" i="5"/>
  <c r="F1432" i="5"/>
  <c r="F1462" i="5"/>
  <c r="F420" i="5"/>
  <c r="F790" i="5"/>
  <c r="F872" i="5"/>
  <c r="F1406" i="5"/>
  <c r="F1455" i="5"/>
  <c r="F2047" i="5"/>
  <c r="F2480" i="5"/>
  <c r="F2499" i="5"/>
  <c r="F414" i="5"/>
  <c r="F610" i="5"/>
  <c r="F1596" i="5"/>
  <c r="F1875" i="5"/>
  <c r="F1962" i="5"/>
  <c r="F2322" i="5"/>
  <c r="F468" i="5"/>
  <c r="F1460" i="5"/>
  <c r="F180" i="5"/>
  <c r="F569" i="5"/>
  <c r="F696" i="5"/>
  <c r="F707" i="5"/>
  <c r="F1131" i="5"/>
  <c r="F2092" i="5"/>
  <c r="F2103" i="5"/>
  <c r="F785" i="5"/>
  <c r="F1064" i="5"/>
  <c r="F1493" i="5"/>
  <c r="F1935" i="5"/>
  <c r="F575" i="5"/>
  <c r="F1513" i="5"/>
  <c r="F2387" i="5"/>
  <c r="F1357" i="5"/>
  <c r="F1400" i="5"/>
  <c r="F21" i="5"/>
  <c r="F390" i="5"/>
  <c r="F1264" i="5"/>
  <c r="F1487" i="5"/>
  <c r="F1724" i="5"/>
  <c r="F1949" i="5"/>
  <c r="F2384" i="5"/>
  <c r="F550" i="5"/>
  <c r="F740" i="5"/>
  <c r="F924" i="5"/>
  <c r="F1255" i="5"/>
  <c r="F1880" i="5"/>
  <c r="F1883" i="5"/>
  <c r="F2237" i="5"/>
  <c r="F49" i="5"/>
  <c r="F556" i="5"/>
  <c r="F2126" i="5"/>
  <c r="F1206" i="5"/>
  <c r="F1823" i="5"/>
  <c r="F2033" i="5"/>
  <c r="F67" i="5"/>
  <c r="F244" i="5"/>
  <c r="F463" i="5"/>
  <c r="F1217" i="5"/>
  <c r="F1555" i="5"/>
  <c r="F353" i="5"/>
  <c r="F1254" i="5"/>
  <c r="F1278" i="5"/>
  <c r="F1910" i="5"/>
  <c r="F779" i="5"/>
  <c r="F1749" i="5"/>
  <c r="F1933" i="5"/>
  <c r="F2197" i="5"/>
  <c r="F309" i="5"/>
  <c r="F689" i="5"/>
  <c r="F1308" i="5"/>
  <c r="F2023" i="5"/>
  <c r="F658" i="5"/>
  <c r="F869" i="5"/>
  <c r="F1350" i="5"/>
  <c r="F1614" i="5"/>
  <c r="F26" i="5"/>
  <c r="F599" i="5"/>
  <c r="F1844" i="5"/>
  <c r="F1922" i="5"/>
  <c r="F397" i="5"/>
  <c r="F542" i="5"/>
  <c r="F2195" i="5"/>
  <c r="F2418" i="5"/>
  <c r="F1805" i="5"/>
  <c r="F1847" i="5"/>
  <c r="F2088" i="5"/>
  <c r="F2359" i="5"/>
  <c r="F2465" i="5"/>
  <c r="F291" i="5"/>
  <c r="F471" i="5"/>
  <c r="F838" i="5"/>
  <c r="F877" i="5"/>
  <c r="F985" i="5"/>
  <c r="F1402" i="5"/>
  <c r="F2084" i="5"/>
  <c r="F2361" i="5"/>
  <c r="F770" i="5"/>
  <c r="F1565" i="5"/>
  <c r="F1795" i="5"/>
  <c r="F2017" i="5"/>
  <c r="F2102" i="5"/>
  <c r="F2408" i="5"/>
  <c r="F410" i="5"/>
  <c r="F445" i="5"/>
  <c r="F1820" i="5"/>
  <c r="F2293" i="5"/>
  <c r="F38" i="5"/>
  <c r="F213" i="5"/>
  <c r="F824" i="5"/>
  <c r="F1110" i="5"/>
  <c r="F1187" i="5"/>
  <c r="F1507" i="5"/>
  <c r="F1990" i="5"/>
  <c r="F2395" i="5"/>
  <c r="F1490" i="5"/>
  <c r="F1639" i="5"/>
  <c r="F2252" i="5"/>
  <c r="F1557" i="5"/>
  <c r="F1674" i="5"/>
  <c r="F1924" i="5"/>
  <c r="F19" i="5"/>
  <c r="F261" i="5"/>
  <c r="F619" i="5"/>
  <c r="F787" i="5"/>
  <c r="F1186" i="5"/>
  <c r="F532" i="5"/>
  <c r="F616" i="5"/>
  <c r="F1100" i="5"/>
  <c r="F1177" i="5"/>
  <c r="F1527" i="5"/>
  <c r="F2122" i="5"/>
  <c r="F2467" i="5"/>
  <c r="F1024" i="5"/>
  <c r="F1575" i="5"/>
  <c r="F1889" i="5"/>
  <c r="F1263" i="5"/>
  <c r="F1333" i="5"/>
  <c r="F125" i="5"/>
  <c r="F131" i="5"/>
  <c r="F339" i="5"/>
  <c r="F632" i="5"/>
  <c r="F1968" i="5"/>
  <c r="F2141" i="5"/>
  <c r="F2335" i="5"/>
  <c r="F80" i="5"/>
  <c r="F1365" i="5"/>
  <c r="F2039" i="5"/>
  <c r="F2179" i="5"/>
  <c r="F2352" i="5"/>
  <c r="F115" i="5"/>
  <c r="F178" i="5"/>
  <c r="F224" i="5"/>
  <c r="F461" i="5"/>
  <c r="F972" i="5"/>
  <c r="F1332" i="5"/>
  <c r="F2040" i="5"/>
  <c r="F88" i="5"/>
  <c r="F126" i="5"/>
  <c r="F586" i="5"/>
  <c r="F1231" i="5"/>
  <c r="F1479" i="5"/>
  <c r="F1904" i="5"/>
  <c r="F320" i="5"/>
  <c r="F396" i="5"/>
  <c r="F692" i="5"/>
  <c r="F1149" i="5"/>
  <c r="F1544" i="5"/>
  <c r="F2238" i="5"/>
  <c r="F94" i="5"/>
  <c r="F888" i="5"/>
  <c r="F1837" i="5"/>
  <c r="F2402" i="5"/>
  <c r="F482" i="5"/>
  <c r="F1850" i="5"/>
  <c r="F2445" i="5"/>
  <c r="F183" i="5"/>
  <c r="F395" i="5"/>
  <c r="F465" i="5"/>
  <c r="F1849" i="5"/>
  <c r="F1959" i="5"/>
  <c r="F500" i="5"/>
  <c r="F548" i="5"/>
  <c r="F675" i="5"/>
  <c r="F1003" i="5"/>
  <c r="F1183" i="5"/>
  <c r="F1298" i="5"/>
  <c r="F1316" i="5"/>
  <c r="F28" i="5"/>
  <c r="F1066" i="5"/>
  <c r="F514" i="5"/>
  <c r="F540" i="5"/>
  <c r="F1068" i="5"/>
  <c r="F17" i="5"/>
  <c r="F208" i="5"/>
  <c r="F1329" i="5"/>
  <c r="F1529" i="5"/>
  <c r="F406" i="5"/>
  <c r="F920" i="5"/>
  <c r="F939" i="5"/>
  <c r="F1498" i="5"/>
  <c r="F2315" i="5"/>
  <c r="F2331" i="5"/>
  <c r="F607" i="5"/>
  <c r="F617" i="5"/>
  <c r="F1175" i="5"/>
  <c r="F1280" i="5"/>
  <c r="F1689" i="5"/>
  <c r="F1845" i="5"/>
  <c r="F2374" i="5"/>
  <c r="F297" i="5"/>
  <c r="F695" i="5"/>
  <c r="F2440" i="5"/>
  <c r="F2456" i="5"/>
  <c r="F103" i="5"/>
  <c r="F209" i="5"/>
  <c r="F288" i="5"/>
  <c r="F1364" i="5"/>
  <c r="F1442" i="5"/>
  <c r="F1822" i="5"/>
  <c r="F66" i="5"/>
  <c r="F1563" i="5"/>
  <c r="F1744" i="5"/>
  <c r="F1774" i="5"/>
  <c r="F2405" i="5"/>
  <c r="F459" i="5"/>
  <c r="F1773" i="5"/>
  <c r="F2034" i="5"/>
  <c r="F2376" i="5"/>
  <c r="F120" i="5"/>
  <c r="F411" i="5"/>
  <c r="F1273" i="5"/>
  <c r="F1384" i="5"/>
  <c r="F1578" i="5"/>
  <c r="F1606" i="5"/>
  <c r="F1652" i="5"/>
  <c r="F1571" i="5"/>
  <c r="F487" i="5"/>
  <c r="F942" i="5"/>
  <c r="F1142" i="5"/>
  <c r="F1266" i="5"/>
  <c r="F1268" i="5"/>
  <c r="F1287" i="5"/>
  <c r="F1289" i="5"/>
  <c r="F2295" i="5"/>
  <c r="F154" i="5"/>
  <c r="F432" i="5"/>
  <c r="F1414" i="5"/>
  <c r="F1417" i="5"/>
  <c r="F1523" i="5"/>
  <c r="F1641" i="5"/>
  <c r="F3" i="5"/>
  <c r="F42" i="5"/>
  <c r="F136" i="5"/>
  <c r="F330" i="5"/>
  <c r="F705" i="5"/>
  <c r="F47" i="5"/>
  <c r="F1589" i="5"/>
  <c r="F1911" i="5"/>
  <c r="F2454" i="5"/>
  <c r="F408" i="5"/>
  <c r="F1034" i="5"/>
  <c r="F1919" i="5"/>
  <c r="F2009" i="5"/>
  <c r="F2360" i="5"/>
  <c r="F2044" i="5"/>
  <c r="F2206" i="5"/>
  <c r="F642" i="5"/>
  <c r="F323" i="5"/>
  <c r="F449" i="5"/>
  <c r="F846" i="5"/>
  <c r="F1249" i="5"/>
  <c r="F305" i="5"/>
  <c r="F636" i="5"/>
  <c r="F911" i="5"/>
  <c r="F1272" i="5"/>
  <c r="F1612" i="5"/>
  <c r="F1947" i="5"/>
  <c r="F2025" i="5"/>
  <c r="F2036" i="5"/>
  <c r="F2442" i="5"/>
  <c r="F530" i="5"/>
  <c r="F831" i="5"/>
  <c r="F1597" i="5"/>
  <c r="F152" i="5"/>
  <c r="F1072" i="5"/>
  <c r="F1468" i="5"/>
  <c r="F1562" i="5"/>
  <c r="F1792" i="5"/>
  <c r="F712" i="5"/>
  <c r="F809" i="5"/>
  <c r="F828" i="5"/>
  <c r="F916" i="5"/>
  <c r="F1584" i="5"/>
  <c r="F748" i="5"/>
  <c r="F1613" i="5"/>
  <c r="F2016" i="5"/>
  <c r="F210" i="5"/>
  <c r="F533" i="5"/>
  <c r="F585" i="5"/>
  <c r="F807" i="5"/>
  <c r="F1709" i="5"/>
  <c r="F671" i="5"/>
  <c r="F743" i="5"/>
  <c r="F1690" i="5"/>
  <c r="F2450" i="5"/>
  <c r="F7" i="5"/>
  <c r="F930" i="5"/>
  <c r="F1058" i="5"/>
  <c r="F1267" i="5"/>
  <c r="F1686" i="5"/>
  <c r="F1893" i="5"/>
  <c r="F1916" i="5"/>
  <c r="F2133" i="5"/>
  <c r="F372" i="5"/>
  <c r="F612" i="5"/>
  <c r="F1359" i="5"/>
  <c r="F1469" i="5"/>
  <c r="F1603" i="5"/>
  <c r="F107" i="5"/>
  <c r="F1153" i="5"/>
  <c r="F1559" i="5"/>
  <c r="F2261" i="5"/>
  <c r="F111" i="5"/>
  <c r="F693" i="5"/>
  <c r="F1043" i="5"/>
  <c r="F1113" i="5"/>
  <c r="F1244" i="5"/>
  <c r="F385" i="5"/>
  <c r="F1301" i="5"/>
  <c r="F2104" i="5"/>
  <c r="F2478" i="5"/>
  <c r="F241" i="5"/>
  <c r="F621" i="5"/>
  <c r="F758" i="5"/>
  <c r="F993" i="5"/>
  <c r="F1539" i="5"/>
  <c r="F30" i="5"/>
  <c r="F316" i="5"/>
  <c r="F1673" i="5"/>
  <c r="F2397" i="5"/>
  <c r="F1025" i="5"/>
  <c r="F1752" i="5"/>
  <c r="F2130" i="5"/>
  <c r="F545" i="5"/>
  <c r="F1167" i="5"/>
  <c r="F2056" i="5"/>
  <c r="F702" i="5"/>
  <c r="F817" i="5"/>
  <c r="F963" i="5"/>
  <c r="F2120" i="5"/>
  <c r="F2213" i="5"/>
  <c r="F2375" i="5"/>
  <c r="F1055" i="5"/>
  <c r="F1379" i="5"/>
  <c r="F1986" i="5"/>
  <c r="F2105" i="5"/>
  <c r="F2146" i="5"/>
  <c r="F2344" i="5"/>
  <c r="F648" i="5"/>
  <c r="F1038" i="5"/>
  <c r="F1377" i="5"/>
  <c r="F1905" i="5"/>
  <c r="F2437" i="5"/>
  <c r="F376" i="5"/>
  <c r="F434" i="5"/>
  <c r="F625" i="5"/>
  <c r="F1010" i="5"/>
  <c r="F1692" i="5"/>
  <c r="F1954" i="5"/>
  <c r="F1978" i="5"/>
  <c r="F189" i="5"/>
  <c r="F413" i="5"/>
  <c r="F826" i="5"/>
  <c r="F887" i="5"/>
  <c r="F897" i="5"/>
  <c r="F968" i="5"/>
  <c r="F1963" i="5"/>
  <c r="F32" i="5"/>
  <c r="F947" i="5"/>
  <c r="F195" i="5"/>
  <c r="F234" i="5"/>
  <c r="F331" i="5"/>
  <c r="F1391" i="5"/>
  <c r="F1548" i="5"/>
  <c r="F2064" i="5"/>
  <c r="F2240" i="5"/>
  <c r="F2501" i="5"/>
  <c r="F1202" i="5"/>
  <c r="F1770" i="5"/>
  <c r="F328" i="5"/>
  <c r="F745" i="5"/>
  <c r="F1643" i="5"/>
  <c r="F2313" i="5"/>
  <c r="F187" i="5"/>
  <c r="F1827" i="5"/>
  <c r="F2368" i="5"/>
  <c r="F2436" i="5"/>
  <c r="F747" i="5"/>
  <c r="F1241" i="5"/>
  <c r="F2248" i="5"/>
  <c r="F185" i="5"/>
  <c r="F1152" i="5"/>
  <c r="F114" i="5"/>
  <c r="F485" i="5"/>
  <c r="F927" i="5"/>
  <c r="F935" i="5"/>
  <c r="F1898" i="5"/>
  <c r="F791" i="5"/>
  <c r="F854" i="5"/>
  <c r="F878" i="5"/>
  <c r="F880" i="5"/>
  <c r="F1549" i="5"/>
  <c r="F1768" i="5"/>
  <c r="F1794" i="5"/>
  <c r="F56" i="5"/>
  <c r="F2498" i="5"/>
  <c r="F453" i="5"/>
  <c r="F579" i="5"/>
  <c r="F798" i="5"/>
  <c r="F945" i="5"/>
  <c r="F1164" i="5"/>
  <c r="F1418" i="5"/>
  <c r="F1450" i="5"/>
  <c r="F1679" i="5"/>
  <c r="F1020" i="5"/>
  <c r="F2168" i="5"/>
  <c r="F62" i="5"/>
  <c r="F592" i="5"/>
  <c r="F1969" i="5"/>
  <c r="F2151" i="5"/>
  <c r="F2163" i="5"/>
  <c r="F2332" i="5"/>
  <c r="F713" i="5"/>
  <c r="F759" i="5"/>
  <c r="F900" i="5"/>
  <c r="F1369" i="5"/>
  <c r="F1390" i="5"/>
  <c r="F2393" i="5"/>
  <c r="F2398" i="5"/>
  <c r="F541" i="5"/>
  <c r="F1160" i="5"/>
  <c r="F1245" i="5"/>
  <c r="F1699" i="5"/>
  <c r="F1719" i="5"/>
  <c r="F2201" i="5"/>
  <c r="F2208" i="5"/>
  <c r="F1425" i="5"/>
  <c r="F1248" i="5"/>
  <c r="F1809" i="5"/>
  <c r="F2278" i="5"/>
  <c r="F25" i="5"/>
  <c r="F503" i="5"/>
  <c r="F1966" i="5"/>
  <c r="F2159" i="5"/>
  <c r="F95" i="5"/>
  <c r="F280" i="5"/>
  <c r="F650" i="5"/>
  <c r="F1252" i="5"/>
  <c r="F2435" i="5"/>
  <c r="F324" i="5"/>
  <c r="F419" i="5"/>
  <c r="F767" i="5"/>
  <c r="F1477" i="5"/>
  <c r="F1645" i="5"/>
  <c r="F1877" i="5"/>
  <c r="F1951" i="5"/>
  <c r="F1139" i="5"/>
  <c r="F1313" i="5"/>
  <c r="F146" i="5"/>
  <c r="F350" i="5"/>
  <c r="F373" i="5"/>
  <c r="F604" i="5"/>
  <c r="F1347" i="5"/>
  <c r="F1492" i="5"/>
  <c r="F1496" i="5"/>
  <c r="F1654" i="5"/>
  <c r="F1701" i="5"/>
  <c r="F1927" i="5"/>
  <c r="F505" i="5"/>
  <c r="F123" i="5"/>
  <c r="F870" i="5"/>
  <c r="F1044" i="5"/>
  <c r="F1146" i="5"/>
  <c r="F70" i="5"/>
  <c r="F774" i="5"/>
  <c r="F905" i="5"/>
  <c r="F15" i="5"/>
  <c r="F273" i="5"/>
  <c r="F909" i="5"/>
  <c r="F1378" i="5"/>
  <c r="F1489" i="5"/>
  <c r="F423" i="5"/>
  <c r="F1531" i="5"/>
  <c r="F1908" i="5"/>
  <c r="F2231" i="5"/>
  <c r="F2304" i="5"/>
  <c r="F731" i="5"/>
  <c r="F1060" i="5"/>
  <c r="F1488" i="5"/>
  <c r="F491" i="5"/>
  <c r="F1769" i="5"/>
  <c r="F1858" i="5"/>
  <c r="F181" i="5"/>
  <c r="F1804" i="5"/>
  <c r="F2148" i="5"/>
  <c r="F524" i="5"/>
  <c r="F1017" i="5"/>
  <c r="F1695" i="5"/>
  <c r="F1884" i="5"/>
  <c r="F2071" i="5"/>
  <c r="F2190" i="5"/>
  <c r="F2291" i="5"/>
  <c r="F2473" i="5"/>
  <c r="F1835" i="5"/>
  <c r="F217" i="5"/>
  <c r="F706" i="5"/>
  <c r="F763" i="5"/>
  <c r="F1433" i="5"/>
  <c r="F230" i="5"/>
  <c r="F829" i="5"/>
  <c r="F2262" i="5"/>
  <c r="F349" i="5"/>
  <c r="F1683" i="5"/>
  <c r="F1887" i="5"/>
  <c r="F1931" i="5"/>
  <c r="F2030" i="5"/>
  <c r="F2091" i="5"/>
  <c r="F2178" i="5"/>
  <c r="F27" i="5"/>
  <c r="F368" i="5"/>
  <c r="F1635" i="5"/>
  <c r="F1839" i="5"/>
  <c r="F1868" i="5"/>
  <c r="F2043" i="5"/>
  <c r="F366" i="5"/>
  <c r="F700" i="5"/>
  <c r="F841" i="5"/>
  <c r="F907" i="5"/>
  <c r="F1370" i="5"/>
  <c r="F1956" i="5"/>
  <c r="F1426" i="5"/>
  <c r="F1016" i="5"/>
  <c r="F557" i="5"/>
  <c r="F776" i="5"/>
  <c r="F1111" i="5"/>
  <c r="F2477" i="5"/>
  <c r="F286" i="5"/>
  <c r="F624" i="5"/>
  <c r="F2055" i="5"/>
  <c r="F8" i="5"/>
  <c r="F347" i="5"/>
  <c r="F554" i="5"/>
  <c r="F738" i="5"/>
  <c r="F1212" i="5"/>
  <c r="F1579" i="5"/>
  <c r="F1729" i="5"/>
  <c r="F1821" i="5"/>
  <c r="F2070" i="5"/>
  <c r="F593" i="5"/>
  <c r="F1994" i="5"/>
  <c r="F2118" i="5"/>
  <c r="F1194" i="5"/>
  <c r="F1196" i="5"/>
  <c r="F1348" i="5"/>
  <c r="F1351" i="5"/>
  <c r="F1486" i="5"/>
  <c r="F2024" i="5"/>
  <c r="F581" i="5"/>
  <c r="F1253" i="5"/>
  <c r="F1389" i="5"/>
  <c r="F1381" i="5"/>
  <c r="F1897" i="5"/>
  <c r="F168" i="5"/>
  <c r="F436" i="5"/>
  <c r="F566" i="5"/>
  <c r="F1200" i="5"/>
  <c r="F1566" i="5"/>
  <c r="F1891" i="5"/>
  <c r="F2209" i="5"/>
  <c r="F2449" i="5"/>
  <c r="F676" i="5"/>
  <c r="F1326" i="5"/>
  <c r="F1854" i="5"/>
  <c r="F2267" i="5"/>
  <c r="F663" i="5"/>
  <c r="F1176" i="5"/>
  <c r="F1355" i="5"/>
  <c r="F1945" i="5"/>
  <c r="F149" i="5"/>
  <c r="F1080" i="5"/>
  <c r="F1088" i="5"/>
  <c r="F441" i="5"/>
  <c r="F528" i="5"/>
  <c r="F638" i="5"/>
  <c r="F1607" i="5"/>
  <c r="F1661" i="5"/>
  <c r="F633" i="5"/>
  <c r="F1324" i="5"/>
  <c r="F1970" i="5"/>
  <c r="F2019" i="5"/>
  <c r="F2077" i="5"/>
  <c r="F729" i="5"/>
  <c r="F928" i="5"/>
  <c r="F1781" i="5"/>
  <c r="F2268" i="5"/>
  <c r="F293" i="5"/>
  <c r="F576" i="5"/>
  <c r="F954" i="5"/>
  <c r="F1342" i="5"/>
  <c r="F223" i="5"/>
  <c r="F720" i="5"/>
  <c r="F1004" i="5"/>
  <c r="F1495" i="5"/>
  <c r="F2028" i="5"/>
  <c r="F245" i="5"/>
  <c r="F252" i="5"/>
  <c r="F448" i="5"/>
  <c r="F1772" i="5"/>
  <c r="F688" i="5"/>
  <c r="F33" i="5"/>
  <c r="F892" i="5"/>
  <c r="F1368" i="5"/>
  <c r="F1399" i="5"/>
  <c r="F1746" i="5"/>
  <c r="F2215" i="5"/>
  <c r="F2274" i="5"/>
  <c r="F848" i="5"/>
  <c r="F1703" i="5"/>
  <c r="F1712" i="5"/>
  <c r="F2266" i="5"/>
  <c r="F2414" i="5"/>
  <c r="F580" i="5"/>
  <c r="F596" i="5"/>
  <c r="F1236" i="5"/>
  <c r="F815" i="5"/>
  <c r="F1070" i="5"/>
  <c r="F1352" i="5"/>
  <c r="F1535" i="5"/>
  <c r="F1834" i="5"/>
  <c r="F2358" i="5"/>
  <c r="F69" i="5"/>
  <c r="F365" i="5"/>
  <c r="F781" i="5"/>
  <c r="F2191" i="5"/>
  <c r="F1223" i="5"/>
  <c r="F1806" i="5"/>
  <c r="F2196" i="5"/>
  <c r="F2258" i="5"/>
  <c r="F79" i="5"/>
  <c r="F1581" i="5"/>
  <c r="F1807" i="5"/>
  <c r="F2085" i="5"/>
  <c r="F2243" i="5"/>
  <c r="F1726" i="5"/>
  <c r="F1871" i="5"/>
  <c r="F2111" i="5"/>
  <c r="F2353" i="5"/>
  <c r="F64" i="5"/>
  <c r="F156" i="5"/>
  <c r="F226" i="5"/>
  <c r="F289" i="5"/>
  <c r="F1572" i="5"/>
  <c r="F1653" i="5"/>
  <c r="F1974" i="5"/>
  <c r="F2202" i="5"/>
  <c r="F2301" i="5"/>
  <c r="F211" i="5"/>
  <c r="F1009" i="5"/>
  <c r="F1101" i="5"/>
  <c r="F2400" i="5"/>
  <c r="F1958" i="5"/>
  <c r="F2423" i="5"/>
  <c r="F215" i="5"/>
  <c r="F457" i="5"/>
  <c r="F875" i="5"/>
  <c r="F2269" i="5"/>
  <c r="F2432" i="5"/>
  <c r="F1145" i="5"/>
  <c r="F2029" i="5"/>
  <c r="F2081" i="5"/>
  <c r="F627" i="5"/>
  <c r="F1681" i="5"/>
  <c r="F2038" i="5"/>
  <c r="F285" i="5"/>
  <c r="F1300" i="5"/>
  <c r="F4" i="5"/>
  <c r="F378" i="5"/>
  <c r="F462" i="5"/>
  <c r="F1209" i="5"/>
  <c r="F1261" i="5"/>
  <c r="F1387" i="5"/>
  <c r="F2309" i="5"/>
  <c r="F2430" i="5"/>
  <c r="F124" i="5"/>
  <c r="F1204" i="5"/>
  <c r="F2109" i="5"/>
  <c r="F335" i="5"/>
  <c r="F384" i="5"/>
  <c r="F646" i="5"/>
  <c r="F726" i="5"/>
  <c r="F1929" i="5"/>
  <c r="F1938" i="5"/>
  <c r="F2457" i="5"/>
  <c r="F1431" i="5"/>
  <c r="F1980" i="5"/>
  <c r="F54" i="5"/>
  <c r="F277" i="5"/>
  <c r="F860" i="5"/>
  <c r="F919" i="5"/>
  <c r="F1033" i="5"/>
  <c r="F2045" i="5"/>
  <c r="F2372" i="5"/>
  <c r="F475" i="5"/>
  <c r="F871" i="5"/>
  <c r="F1086" i="5"/>
  <c r="F1537" i="5"/>
  <c r="F1586" i="5"/>
  <c r="F1790" i="5"/>
  <c r="F2302" i="5"/>
  <c r="F1288" i="5"/>
  <c r="F1362" i="5"/>
  <c r="F1984" i="5"/>
  <c r="F203" i="5"/>
  <c r="F1580" i="5"/>
  <c r="F6" i="5"/>
  <c r="F238" i="5"/>
  <c r="F263" i="5"/>
  <c r="F921" i="5"/>
  <c r="F2483" i="5"/>
  <c r="F160" i="5"/>
  <c r="F1240" i="5"/>
  <c r="F2014" i="5"/>
  <c r="F469" i="5"/>
  <c r="F2136" i="5"/>
  <c r="F112" i="5"/>
  <c r="F1293" i="5"/>
  <c r="F1424" i="5"/>
  <c r="F2279" i="5"/>
  <c r="F2455" i="5"/>
  <c r="F1094" i="5"/>
  <c r="F1305" i="5"/>
  <c r="F1483" i="5"/>
  <c r="F2323" i="5"/>
  <c r="F444" i="5"/>
  <c r="F923" i="5"/>
  <c r="F1553" i="5"/>
  <c r="F519" i="5"/>
  <c r="F719" i="5"/>
  <c r="F1002" i="5"/>
  <c r="F1430" i="5"/>
  <c r="F1776" i="5"/>
  <c r="F1802" i="5"/>
  <c r="F1081" i="5"/>
  <c r="F1920" i="5"/>
  <c r="F2131" i="5"/>
  <c r="F2385" i="5"/>
  <c r="F155" i="5"/>
  <c r="F659" i="5"/>
  <c r="F1063" i="5"/>
  <c r="F2080" i="5"/>
  <c r="F788" i="5"/>
  <c r="F1797" i="5"/>
  <c r="F1953" i="5"/>
  <c r="F2026" i="5"/>
  <c r="F493" i="5"/>
  <c r="F894" i="5"/>
  <c r="F1446" i="5"/>
  <c r="F1796" i="5"/>
  <c r="F2334" i="5"/>
  <c r="F2475" i="5"/>
  <c r="F193" i="5"/>
  <c r="F1659" i="5"/>
  <c r="F130" i="5"/>
  <c r="F608" i="5"/>
  <c r="F810" i="5"/>
  <c r="F1476" i="5"/>
  <c r="F2069" i="5"/>
  <c r="F903" i="5"/>
  <c r="F1731" i="5"/>
  <c r="F2299" i="5"/>
  <c r="F2310" i="5"/>
  <c r="F98" i="5"/>
  <c r="F1660" i="5"/>
  <c r="F667" i="5"/>
  <c r="F977" i="5"/>
  <c r="F1564" i="5"/>
  <c r="F1816" i="5"/>
  <c r="F2082" i="5"/>
  <c r="F2187" i="5"/>
  <c r="F2260" i="5"/>
  <c r="F340" i="5"/>
  <c r="F955" i="5"/>
  <c r="F1687" i="5"/>
  <c r="F1885" i="5"/>
  <c r="F932" i="5"/>
  <c r="F1934" i="5"/>
  <c r="F2123" i="5"/>
  <c r="F18" i="5"/>
  <c r="F337" i="5"/>
  <c r="F355" i="5"/>
  <c r="F495" i="5"/>
  <c r="F653" i="5"/>
  <c r="F718" i="5"/>
  <c r="F728" i="5"/>
  <c r="F751" i="5"/>
  <c r="F1238" i="5"/>
  <c r="F1358" i="5"/>
  <c r="F2427" i="5"/>
  <c r="F16" i="5"/>
  <c r="F141" i="5"/>
  <c r="F143" i="5"/>
  <c r="F400" i="5"/>
  <c r="F515" i="5"/>
  <c r="F1621" i="5"/>
  <c r="F1742" i="5"/>
  <c r="F2413" i="5"/>
  <c r="F142" i="5"/>
  <c r="F233" i="5"/>
  <c r="F342" i="5"/>
  <c r="F404" i="5"/>
  <c r="F630" i="5"/>
  <c r="F1320" i="5"/>
  <c r="F1590" i="5"/>
  <c r="F1691" i="5"/>
  <c r="F100" i="5"/>
  <c r="F275" i="5"/>
  <c r="F1636" i="5"/>
  <c r="F2012" i="5"/>
  <c r="F2354" i="5"/>
  <c r="F2389" i="5"/>
  <c r="F2470" i="5"/>
  <c r="F85" i="5"/>
  <c r="F101" i="5"/>
  <c r="F490" i="5"/>
  <c r="F1137" i="5"/>
  <c r="F2078" i="5"/>
  <c r="F359" i="5"/>
  <c r="F687" i="5"/>
  <c r="F1124" i="5"/>
  <c r="F2337" i="5"/>
  <c r="F333" i="5"/>
  <c r="F1179" i="5"/>
  <c r="F1896" i="5"/>
  <c r="F2212" i="5"/>
  <c r="F2392" i="5"/>
  <c r="F23" i="5"/>
  <c r="F409" i="5"/>
  <c r="F1076" i="5"/>
  <c r="F1233" i="5"/>
  <c r="F1361" i="5"/>
  <c r="F1401" i="5"/>
  <c r="F1472" i="5"/>
  <c r="F1981" i="5"/>
  <c r="F13" i="5"/>
  <c r="F407" i="5"/>
  <c r="F583" i="5"/>
  <c r="F1041" i="5"/>
  <c r="F1257" i="5"/>
  <c r="F1511" i="5"/>
  <c r="F1738" i="5"/>
  <c r="F2061" i="5"/>
  <c r="F496" i="5"/>
  <c r="F864" i="5"/>
  <c r="F1195" i="5"/>
  <c r="F1237" i="5"/>
  <c r="F249" i="5"/>
  <c r="F1638" i="5"/>
  <c r="F1680" i="5"/>
  <c r="F2099" i="5"/>
  <c r="F2428" i="5"/>
  <c r="F694" i="5"/>
  <c r="F1618" i="5"/>
  <c r="F158" i="5"/>
  <c r="F435" i="5"/>
  <c r="F512" i="5"/>
  <c r="F552" i="5"/>
  <c r="F567" i="5"/>
  <c r="F601" i="5"/>
  <c r="F777" i="5"/>
  <c r="F873" i="5"/>
  <c r="F1514" i="5"/>
  <c r="F1764" i="5"/>
  <c r="F2065" i="5"/>
  <c r="F334" i="5"/>
  <c r="F1374" i="5"/>
  <c r="F1616" i="5"/>
  <c r="F2272" i="5"/>
  <c r="F2355" i="5"/>
  <c r="F122" i="5"/>
  <c r="F201" i="5"/>
  <c r="F590" i="5"/>
  <c r="F1190" i="5"/>
  <c r="F1269" i="5"/>
  <c r="F2068" i="5"/>
  <c r="F2189" i="5"/>
  <c r="F99" i="5"/>
  <c r="F537" i="5"/>
  <c r="F1239" i="5"/>
  <c r="F1515" i="5"/>
  <c r="F108" i="5"/>
  <c r="F1026" i="5"/>
  <c r="F1838" i="5"/>
  <c r="F1870" i="5"/>
  <c r="F2140" i="5"/>
  <c r="F2164" i="5"/>
  <c r="F2180" i="5"/>
  <c r="F240" i="5"/>
  <c r="F499" i="5"/>
  <c r="F529" i="5"/>
  <c r="F760" i="5"/>
  <c r="F834" i="5"/>
  <c r="F2051" i="5"/>
  <c r="F196" i="5"/>
  <c r="F424" i="5"/>
  <c r="F708" i="5"/>
  <c r="F1574" i="5"/>
  <c r="F175" i="5"/>
  <c r="F279" i="5"/>
  <c r="F563" i="5"/>
  <c r="F827" i="5"/>
  <c r="F1302" i="5"/>
  <c r="F1363" i="5"/>
  <c r="F2453" i="5"/>
  <c r="F778" i="5"/>
  <c r="F851" i="5"/>
  <c r="F1104" i="5"/>
  <c r="F1508" i="5"/>
  <c r="F2290" i="5"/>
  <c r="F2349" i="5"/>
  <c r="F2494" i="5"/>
  <c r="F477" i="5"/>
  <c r="F1761" i="5"/>
  <c r="F43" i="5"/>
  <c r="F1000" i="5"/>
  <c r="F1666" i="5"/>
  <c r="F2329" i="5"/>
  <c r="F128" i="5"/>
  <c r="F673" i="5"/>
  <c r="F1518" i="5"/>
  <c r="F1700" i="5"/>
  <c r="F1817" i="5"/>
  <c r="F2462" i="5"/>
  <c r="F377" i="5"/>
  <c r="F812" i="5"/>
  <c r="F1281" i="5"/>
  <c r="F1367" i="5"/>
  <c r="F1663" i="5"/>
  <c r="F1785" i="5"/>
  <c r="F137" i="5"/>
  <c r="F1459" i="5"/>
  <c r="F1787" i="5"/>
  <c r="F1950" i="5"/>
  <c r="F2239" i="5"/>
  <c r="F2317" i="5"/>
  <c r="F198" i="5"/>
  <c r="F1371" i="5"/>
  <c r="F2035" i="5"/>
  <c r="F1294" i="5"/>
  <c r="F2066" i="5"/>
  <c r="F2172" i="5"/>
  <c r="F605" i="5"/>
  <c r="F1018" i="5"/>
  <c r="F1788" i="5"/>
  <c r="F1873" i="5"/>
  <c r="F1923" i="5"/>
  <c r="F594" i="5"/>
  <c r="F986" i="5"/>
  <c r="F1336" i="5"/>
  <c r="F1396" i="5"/>
  <c r="F1665" i="5"/>
  <c r="F2236" i="5"/>
  <c r="F2406" i="5"/>
  <c r="F140" i="5"/>
  <c r="F1504" i="5"/>
  <c r="F1939" i="5"/>
  <c r="F589" i="5"/>
  <c r="F12" i="5"/>
  <c r="F319" i="5"/>
  <c r="F2495" i="5"/>
  <c r="F715" i="5"/>
  <c r="F764" i="5"/>
  <c r="F1210" i="5"/>
  <c r="F1221" i="5"/>
  <c r="F2052" i="5"/>
  <c r="F2339" i="5"/>
  <c r="F1457" i="5"/>
  <c r="F1926" i="5"/>
  <c r="F1979" i="5"/>
  <c r="F174" i="5"/>
  <c r="F243" i="5"/>
  <c r="F447" i="5"/>
  <c r="F504" i="5"/>
  <c r="F734" i="5"/>
  <c r="F2229" i="5"/>
  <c r="F2282" i="5"/>
  <c r="F148" i="5"/>
  <c r="F412" i="5"/>
  <c r="F1714" i="5"/>
  <c r="F2265" i="5"/>
  <c r="F361" i="5"/>
  <c r="F2183" i="5"/>
  <c r="F83" i="5"/>
  <c r="F639" i="5"/>
  <c r="F816" i="5"/>
  <c r="F910" i="5"/>
  <c r="F999" i="5"/>
  <c r="F483" i="5"/>
  <c r="F987" i="5"/>
  <c r="F1185" i="5"/>
  <c r="F1440" i="5"/>
  <c r="F2300" i="5"/>
  <c r="F2469" i="5"/>
  <c r="F132" i="5"/>
  <c r="F442" i="5"/>
  <c r="F757" i="5"/>
  <c r="F1157" i="5"/>
  <c r="F1303" i="5"/>
  <c r="F2173" i="5"/>
  <c r="F2271" i="5"/>
  <c r="F2284" i="5"/>
  <c r="F2286" i="5"/>
  <c r="F2311" i="5"/>
  <c r="F2380" i="5"/>
  <c r="F194" i="5"/>
  <c r="F744" i="5"/>
  <c r="F874" i="5"/>
  <c r="F929" i="5"/>
  <c r="F1118" i="5"/>
  <c r="F1162" i="5"/>
  <c r="F1758" i="5"/>
  <c r="F264" i="5"/>
  <c r="F392" i="5"/>
  <c r="F1011" i="5"/>
  <c r="F1219" i="5"/>
  <c r="F1235" i="5"/>
  <c r="F1576" i="5"/>
  <c r="F1913" i="5"/>
  <c r="F2270" i="5"/>
  <c r="F1372" i="5"/>
  <c r="F1930" i="5"/>
  <c r="F2188" i="5"/>
  <c r="F2417" i="5"/>
  <c r="F205" i="5"/>
  <c r="F654" i="5"/>
  <c r="F883" i="5"/>
  <c r="F161" i="5"/>
  <c r="F247" i="5"/>
  <c r="F362" i="5"/>
  <c r="F375" i="5"/>
  <c r="F405" i="5"/>
  <c r="F173" i="5"/>
  <c r="F274" i="5"/>
  <c r="F304" i="5"/>
  <c r="F102" i="5"/>
  <c r="F570" i="5"/>
  <c r="F704" i="5"/>
  <c r="F739" i="5"/>
  <c r="F908" i="5"/>
  <c r="F1902" i="5"/>
  <c r="F1912" i="5"/>
  <c r="F191" i="5"/>
  <c r="F402" i="5"/>
  <c r="F1895" i="5"/>
  <c r="F1942" i="5"/>
  <c r="F684" i="5"/>
  <c r="F1386" i="5"/>
  <c r="F1443" i="5"/>
  <c r="F1467" i="5"/>
  <c r="F1577" i="5"/>
  <c r="F1775" i="5"/>
  <c r="F363" i="5"/>
  <c r="F796" i="5"/>
  <c r="F1295" i="5"/>
  <c r="F1309" i="5"/>
  <c r="F1458" i="5"/>
  <c r="F2426" i="5"/>
  <c r="F2433" i="5"/>
  <c r="F534" i="5"/>
  <c r="F560" i="5"/>
  <c r="F819" i="5"/>
  <c r="F1141" i="5"/>
  <c r="F1814" i="5"/>
  <c r="F2224" i="5"/>
  <c r="F989" i="5"/>
  <c r="F2152" i="5"/>
  <c r="F2340" i="5"/>
  <c r="F2401" i="5"/>
  <c r="F1627" i="5"/>
  <c r="F2476" i="5"/>
  <c r="F192" i="5"/>
  <c r="F300" i="5"/>
  <c r="F480" i="5"/>
  <c r="F615" i="5"/>
  <c r="F1456" i="5"/>
  <c r="F207" i="5"/>
  <c r="F327" i="5"/>
  <c r="F1428" i="5"/>
  <c r="F1512" i="5"/>
  <c r="F1762" i="5"/>
  <c r="F1983" i="5"/>
  <c r="F2112" i="5"/>
  <c r="F2185" i="5"/>
  <c r="F2326" i="5"/>
  <c r="F68" i="5"/>
  <c r="F1271" i="5"/>
  <c r="F251" i="5"/>
  <c r="F269" i="5"/>
  <c r="F446" i="5"/>
  <c r="F853" i="5"/>
  <c r="F2050" i="5"/>
  <c r="F2484" i="5"/>
  <c r="F172" i="5"/>
  <c r="F842" i="5"/>
  <c r="F918" i="5"/>
  <c r="F782" i="5"/>
  <c r="F1057" i="5"/>
  <c r="F1109" i="5"/>
  <c r="F1321" i="5"/>
  <c r="F1825" i="5"/>
  <c r="F898" i="5"/>
  <c r="F1721" i="5"/>
  <c r="F159" i="5"/>
  <c r="F685" i="5"/>
  <c r="F1722" i="5"/>
  <c r="F1906" i="5"/>
  <c r="F1973" i="5"/>
  <c r="F2048" i="5"/>
  <c r="F2115" i="5"/>
  <c r="F61" i="5"/>
  <c r="F237" i="5"/>
  <c r="F780" i="5"/>
  <c r="F966" i="5"/>
  <c r="F1106" i="5"/>
  <c r="F1052" i="5"/>
  <c r="F1226" i="5"/>
  <c r="F544" i="5"/>
  <c r="F1127" i="5"/>
  <c r="F2138" i="5"/>
  <c r="F2144" i="5"/>
  <c r="F2193" i="5"/>
  <c r="F2275" i="5"/>
  <c r="F678" i="5"/>
  <c r="F2132" i="5"/>
  <c r="F969" i="5"/>
  <c r="F1251" i="5"/>
  <c r="F1552" i="5"/>
  <c r="F2008" i="5"/>
  <c r="F321" i="5"/>
  <c r="F1049" i="5"/>
  <c r="F1582" i="5"/>
  <c r="F2257" i="5"/>
  <c r="F1074" i="5"/>
  <c r="F2205" i="5"/>
  <c r="F278" i="5"/>
  <c r="F917" i="5"/>
  <c r="F974" i="5"/>
  <c r="F1452" i="5"/>
  <c r="F1658" i="5"/>
  <c r="F1989" i="5"/>
  <c r="F2160" i="5"/>
  <c r="F2464" i="5"/>
  <c r="F227" i="5"/>
  <c r="F1506" i="5"/>
  <c r="F1615" i="5"/>
  <c r="F388" i="5"/>
  <c r="F403" i="5"/>
  <c r="F664" i="5"/>
  <c r="F1454" i="5"/>
  <c r="F2391" i="5"/>
  <c r="F703" i="5"/>
  <c r="F1859" i="5"/>
  <c r="F167" i="5"/>
  <c r="F1937" i="5"/>
  <c r="F2134" i="5"/>
  <c r="F456" i="5"/>
  <c r="F775" i="5"/>
  <c r="F1733" i="5"/>
  <c r="F2472" i="5"/>
  <c r="F1165" i="5"/>
  <c r="F1366" i="5"/>
  <c r="F1600" i="5"/>
  <c r="F2490" i="5"/>
  <c r="F139" i="5"/>
  <c r="F724" i="5"/>
  <c r="F1224" i="5"/>
  <c r="F1585" i="5"/>
  <c r="F1982" i="5"/>
  <c r="F2371" i="5"/>
  <c r="F452" i="5"/>
  <c r="F472" i="5"/>
  <c r="F1995" i="5"/>
  <c r="F2005" i="5"/>
  <c r="F2199" i="5"/>
  <c r="F2216" i="5"/>
  <c r="F2447" i="5"/>
  <c r="F799" i="5"/>
  <c r="F922" i="5"/>
  <c r="F1480" i="5"/>
  <c r="F1059" i="5"/>
  <c r="F1542" i="5"/>
  <c r="F756" i="5"/>
  <c r="F1053" i="5"/>
  <c r="F1798" i="5"/>
  <c r="F1824" i="5"/>
  <c r="F1869" i="5"/>
  <c r="F1262" i="5"/>
  <c r="F1829" i="5"/>
  <c r="F2060" i="5"/>
  <c r="F679" i="5"/>
  <c r="F683" i="5"/>
  <c r="F973" i="5"/>
  <c r="F1215" i="5"/>
  <c r="F1360" i="5"/>
  <c r="F1715" i="5"/>
  <c r="F225" i="5"/>
  <c r="F732" i="5"/>
  <c r="F1061" i="5"/>
  <c r="F391" i="5"/>
  <c r="F1022" i="5"/>
  <c r="F2434" i="5"/>
  <c r="F22" i="5"/>
  <c r="F835" i="5"/>
  <c r="F867" i="5"/>
  <c r="F427" i="5"/>
  <c r="F1516" i="5"/>
  <c r="F1001" i="5"/>
  <c r="F2022" i="5"/>
  <c r="F522" i="5"/>
  <c r="F553" i="5"/>
  <c r="F1474" i="5"/>
  <c r="F1957" i="5"/>
  <c r="F96" i="5"/>
  <c r="F398" i="5"/>
  <c r="F564" i="5"/>
  <c r="F1172" i="5"/>
  <c r="F1412" i="5"/>
  <c r="F1546" i="5"/>
  <c r="F82" i="5"/>
  <c r="F730" i="5"/>
  <c r="F84" i="5"/>
  <c r="F153" i="5"/>
  <c r="F267" i="5"/>
  <c r="F766" i="5"/>
  <c r="F980" i="5"/>
  <c r="F1181" i="5"/>
  <c r="F1667" i="5"/>
  <c r="F948" i="5"/>
  <c r="F1538" i="5"/>
  <c r="F381" i="5"/>
  <c r="F1901" i="5"/>
  <c r="F460" i="5"/>
  <c r="F637" i="5"/>
  <c r="F2379" i="5"/>
  <c r="F481" i="5"/>
  <c r="F912" i="5"/>
  <c r="F1102" i="5"/>
  <c r="F1375" i="5"/>
  <c r="F1592" i="5"/>
  <c r="F1800" i="5"/>
  <c r="F1863" i="5"/>
  <c r="F34" i="5"/>
  <c r="F527" i="5"/>
  <c r="F572" i="5"/>
  <c r="F672" i="5"/>
  <c r="F811" i="5"/>
  <c r="F979" i="5"/>
  <c r="F1198" i="5"/>
  <c r="F1550" i="5"/>
  <c r="F2001" i="5"/>
  <c r="F2157" i="5"/>
  <c r="F737" i="5"/>
  <c r="F1120" i="5"/>
  <c r="F1593" i="5"/>
  <c r="F179" i="5"/>
  <c r="F591" i="5"/>
  <c r="F1438" i="5"/>
  <c r="F106" i="5"/>
  <c r="F602" i="5"/>
  <c r="F670" i="5"/>
  <c r="F2063" i="5"/>
  <c r="F2443" i="5"/>
  <c r="F147" i="5"/>
  <c r="F255" i="5"/>
  <c r="F971" i="5"/>
  <c r="F1170" i="5"/>
  <c r="F1325" i="5"/>
  <c r="F2225" i="5"/>
  <c r="F229" i="5"/>
  <c r="F344" i="5"/>
  <c r="F455" i="5"/>
  <c r="F926" i="5"/>
  <c r="F1028" i="5"/>
  <c r="F2156" i="5"/>
  <c r="F2263" i="5"/>
  <c r="F212" i="5"/>
  <c r="F1062" i="5"/>
  <c r="F1154" i="5"/>
  <c r="F2383" i="5"/>
  <c r="F171" i="5"/>
  <c r="F186" i="5"/>
  <c r="F949" i="5"/>
  <c r="F1163" i="5"/>
  <c r="F2245" i="5"/>
  <c r="F2333" i="5"/>
  <c r="F511" i="5"/>
  <c r="F1532" i="5"/>
  <c r="F1628" i="5"/>
  <c r="F1753" i="5"/>
  <c r="F1815" i="5"/>
  <c r="F1832" i="5"/>
  <c r="F272" i="5"/>
  <c r="F314" i="5"/>
  <c r="F513" i="5"/>
  <c r="F691" i="5"/>
  <c r="F825" i="5"/>
  <c r="F1243" i="5"/>
  <c r="F1693" i="5"/>
  <c r="F1846" i="5"/>
  <c r="F2210" i="5"/>
  <c r="F2254" i="5"/>
  <c r="F74" i="5"/>
  <c r="F884" i="5"/>
  <c r="F793" i="5"/>
  <c r="F1668" i="5"/>
  <c r="F2098" i="5"/>
  <c r="F535" i="5"/>
  <c r="F561" i="5"/>
  <c r="F768" i="5"/>
  <c r="F1344" i="5"/>
  <c r="F2346" i="5"/>
  <c r="F428" i="5"/>
  <c r="F543" i="5"/>
  <c r="F721" i="5"/>
  <c r="F1169" i="5"/>
  <c r="F1500" i="5"/>
  <c r="F1676" i="5"/>
  <c r="F1311" i="5"/>
  <c r="F1560" i="5"/>
  <c r="F1793" i="5"/>
  <c r="F2181" i="5"/>
  <c r="F364" i="5"/>
  <c r="F951" i="5"/>
  <c r="F332" i="5"/>
  <c r="F975" i="5"/>
  <c r="F1843" i="5"/>
  <c r="F1853" i="5"/>
  <c r="F2057" i="5"/>
  <c r="F60" i="5"/>
  <c r="F138" i="5"/>
  <c r="F1331" i="5"/>
  <c r="F1356" i="5"/>
  <c r="F1385" i="5"/>
  <c r="F1649" i="5"/>
  <c r="F464" i="5"/>
  <c r="F492" i="5"/>
  <c r="F821" i="5"/>
  <c r="F1126" i="5"/>
  <c r="F1286" i="5"/>
  <c r="F1696" i="5"/>
  <c r="F1975" i="5"/>
  <c r="F800" i="5"/>
  <c r="F1275" i="5"/>
  <c r="F1971" i="5"/>
  <c r="F2410" i="5"/>
  <c r="F1509" i="5"/>
  <c r="F1988" i="5"/>
  <c r="F1129" i="5"/>
  <c r="F93" i="5"/>
  <c r="F997" i="5"/>
  <c r="F1777" i="5"/>
  <c r="F565" i="5"/>
  <c r="F1036" i="5"/>
  <c r="F1099" i="5"/>
  <c r="F1999" i="5"/>
  <c r="F10" i="5"/>
  <c r="F998" i="5"/>
  <c r="F246" i="5"/>
  <c r="F306" i="5"/>
  <c r="F357" i="5"/>
  <c r="F598" i="5"/>
  <c r="F1040" i="5"/>
  <c r="F232" i="5"/>
  <c r="F1779" i="5"/>
  <c r="F310" i="5"/>
  <c r="F2059" i="5"/>
  <c r="F113" i="5"/>
  <c r="F865" i="5"/>
  <c r="F925" i="5"/>
  <c r="F1013" i="5"/>
  <c r="F1310" i="5"/>
  <c r="F1903" i="5"/>
  <c r="F2054" i="5"/>
  <c r="F2145" i="5"/>
  <c r="F2218" i="5"/>
  <c r="F2431" i="5"/>
  <c r="F771" i="5"/>
  <c r="F1503" i="5"/>
  <c r="F1778" i="5"/>
  <c r="F259" i="5"/>
  <c r="F970" i="5"/>
  <c r="F1050" i="5"/>
  <c r="F1591" i="5"/>
  <c r="F2496" i="5"/>
  <c r="F868" i="5"/>
  <c r="F2280" i="5"/>
  <c r="F134" i="5"/>
  <c r="F401" i="5"/>
  <c r="F109" i="5"/>
  <c r="F318" i="5"/>
  <c r="F1388" i="5"/>
  <c r="F1484" i="5"/>
  <c r="F1682" i="5"/>
  <c r="F1864" i="5"/>
  <c r="F2325" i="5"/>
  <c r="F358" i="5"/>
  <c r="F1411" i="5"/>
  <c r="F1343" i="5"/>
  <c r="F1419" i="5"/>
  <c r="F2106" i="5"/>
  <c r="F2459" i="5"/>
  <c r="F2422" i="5"/>
  <c r="F387" i="5"/>
  <c r="F1047" i="5"/>
  <c r="F1756" i="5"/>
  <c r="F1803" i="5"/>
  <c r="F1833" i="5"/>
  <c r="F2327" i="5"/>
  <c r="F701" i="5"/>
  <c r="F1133" i="5"/>
  <c r="F1416" i="5"/>
  <c r="F1711" i="5"/>
  <c r="F467" i="5"/>
  <c r="F896" i="5"/>
  <c r="F1247" i="5"/>
  <c r="F2114" i="5"/>
  <c r="F2170" i="5"/>
  <c r="F2487" i="5"/>
  <c r="F959" i="5"/>
  <c r="F1090" i="5"/>
  <c r="F1441" i="5"/>
  <c r="F1675" i="5"/>
  <c r="F1741" i="5"/>
  <c r="F765" i="5"/>
  <c r="F1097" i="5"/>
  <c r="F1867" i="5"/>
  <c r="F2003" i="5"/>
  <c r="F2041" i="5"/>
  <c r="F317" i="5"/>
  <c r="F1717" i="5"/>
  <c r="F1941" i="5"/>
  <c r="F2411" i="5"/>
  <c r="F2420" i="5"/>
  <c r="F2488" i="5"/>
  <c r="F271" i="5"/>
  <c r="F418" i="5"/>
  <c r="F568" i="5"/>
  <c r="F881" i="5"/>
  <c r="F1071" i="5"/>
  <c r="F1134" i="5"/>
  <c r="F478" i="5"/>
  <c r="F2089" i="5"/>
  <c r="F2182" i="5"/>
  <c r="F170" i="5"/>
  <c r="F311" i="5"/>
  <c r="F343" i="5"/>
  <c r="F1048" i="5"/>
  <c r="F1380" i="5"/>
  <c r="F843" i="5"/>
  <c r="F1449" i="5"/>
  <c r="F690" i="5"/>
  <c r="F1633" i="5"/>
  <c r="F1655" i="5"/>
  <c r="F1678" i="5"/>
  <c r="F2135" i="5"/>
  <c r="F2312" i="5"/>
  <c r="F105" i="5"/>
  <c r="F200" i="5"/>
  <c r="F258" i="5"/>
  <c r="F746" i="5"/>
  <c r="F1407" i="5"/>
  <c r="F1569" i="5"/>
  <c r="F1617" i="5"/>
  <c r="F1732" i="5"/>
  <c r="F2107" i="5"/>
  <c r="F2482" i="5"/>
  <c r="F36" i="5"/>
  <c r="F90" i="5"/>
  <c r="F450" i="5"/>
  <c r="F1191" i="5"/>
  <c r="F1290" i="5"/>
  <c r="F1521" i="5"/>
  <c r="F2053" i="5"/>
  <c r="F2316" i="5"/>
  <c r="F228" i="5"/>
  <c r="F2288" i="5"/>
  <c r="F962" i="5"/>
  <c r="F1056" i="5"/>
  <c r="F1073" i="5"/>
  <c r="F1130" i="5"/>
  <c r="F1403" i="5"/>
  <c r="F1851" i="5"/>
  <c r="F2370" i="5"/>
  <c r="F2468" i="5"/>
  <c r="F199" i="5"/>
  <c r="F393" i="5"/>
  <c r="F1475" i="5"/>
  <c r="F1860" i="5"/>
  <c r="F1948" i="5"/>
  <c r="F2415" i="5"/>
  <c r="F1114" i="5"/>
  <c r="F2220" i="5"/>
  <c r="F235" i="5"/>
  <c r="F656" i="5"/>
  <c r="F1760" i="5"/>
  <c r="F1096" i="5"/>
  <c r="F1143" i="5"/>
  <c r="F2421" i="5"/>
  <c r="F2500" i="5"/>
  <c r="F2481" i="5"/>
  <c r="F502" i="5"/>
  <c r="F547" i="5"/>
  <c r="F1917" i="5"/>
  <c r="F1996" i="5"/>
  <c r="F665" i="5"/>
  <c r="F1836" i="5"/>
  <c r="F1857" i="5"/>
  <c r="F104" i="5"/>
  <c r="F629" i="5"/>
  <c r="F635" i="5"/>
  <c r="F1182" i="5"/>
  <c r="F1334" i="5"/>
  <c r="F1840" i="5"/>
  <c r="F40" i="5"/>
  <c r="F426" i="5"/>
  <c r="F1027" i="5"/>
  <c r="F2463" i="5"/>
  <c r="F308" i="5"/>
  <c r="F1670" i="5"/>
  <c r="F1750" i="5"/>
  <c r="F1943" i="5"/>
  <c r="F2184" i="5"/>
  <c r="F1225" i="5"/>
  <c r="F1558" i="5"/>
  <c r="F2004" i="5"/>
  <c r="F976" i="5"/>
  <c r="F1077" i="5"/>
  <c r="F1335" i="5"/>
  <c r="F1448" i="5"/>
  <c r="F2153" i="5"/>
  <c r="F276" i="5"/>
  <c r="F967" i="5"/>
  <c r="F2244" i="5"/>
  <c r="F2461" i="5"/>
  <c r="F2491" i="5"/>
  <c r="F75" i="5"/>
  <c r="F282" i="5"/>
  <c r="F1881" i="5"/>
  <c r="F1932" i="5"/>
  <c r="F466" i="5"/>
  <c r="F525" i="5"/>
  <c r="F1214" i="5"/>
  <c r="F1524" i="5"/>
  <c r="F1534" i="5"/>
  <c r="F1611" i="5"/>
  <c r="F1706" i="5"/>
  <c r="F2255" i="5"/>
  <c r="F2486" i="5"/>
  <c r="F2000" i="5"/>
  <c r="F2095" i="5"/>
  <c r="F44" i="5"/>
  <c r="F934" i="5"/>
  <c r="F2079" i="5"/>
  <c r="F2124" i="5"/>
  <c r="F2125" i="5"/>
  <c r="F163" i="5"/>
  <c r="F551" i="5"/>
  <c r="F1144" i="5"/>
  <c r="F1197" i="5"/>
  <c r="F1201" i="5"/>
  <c r="F1629" i="5"/>
  <c r="F97" i="5"/>
  <c r="F479" i="5"/>
  <c r="F988" i="5"/>
  <c r="F1180" i="5"/>
  <c r="F1533" i="5"/>
  <c r="F1536" i="5"/>
  <c r="F1642" i="5"/>
  <c r="F1767" i="5"/>
  <c r="F9" i="5"/>
  <c r="F805" i="5"/>
  <c r="F820" i="5"/>
  <c r="F879" i="5"/>
  <c r="F1138" i="5"/>
  <c r="F2027" i="5"/>
  <c r="F2357" i="5"/>
  <c r="F902" i="5"/>
  <c r="F1171" i="5"/>
  <c r="F1394" i="5"/>
  <c r="F1862" i="5"/>
  <c r="F31" i="5"/>
  <c r="F749" i="5"/>
  <c r="F1006" i="5"/>
  <c r="F1148" i="5"/>
  <c r="F1736" i="5"/>
  <c r="F2211" i="5"/>
  <c r="F2287" i="5"/>
  <c r="F862" i="5"/>
  <c r="F1015" i="5"/>
  <c r="F1540" i="5"/>
  <c r="F1677" i="5"/>
  <c r="F2015" i="5"/>
  <c r="F2403" i="5"/>
  <c r="F1907" i="5"/>
  <c r="F2460" i="5"/>
  <c r="F516" i="5"/>
  <c r="F958" i="5"/>
  <c r="F1116" i="5"/>
  <c r="F1150" i="5"/>
  <c r="F110" i="5"/>
  <c r="F348" i="5"/>
  <c r="F588" i="5"/>
  <c r="F847" i="5"/>
  <c r="F1037" i="5"/>
  <c r="F2314" i="5"/>
  <c r="F2388" i="5"/>
  <c r="F169" i="5"/>
  <c r="F283" i="5"/>
  <c r="F859" i="5"/>
  <c r="F1029" i="5"/>
  <c r="F1173" i="5"/>
  <c r="F1409" i="5"/>
  <c r="F1573" i="5"/>
  <c r="F1876" i="5"/>
  <c r="F2407" i="5"/>
  <c r="F595" i="5"/>
  <c r="F681" i="5"/>
  <c r="F1754" i="5"/>
  <c r="F440" i="5"/>
  <c r="F582" i="5"/>
  <c r="F960" i="5"/>
  <c r="F1220" i="5"/>
  <c r="F2247" i="5"/>
  <c r="F2363" i="5"/>
  <c r="F11" i="5"/>
  <c r="F623" i="5"/>
  <c r="F1083" i="5"/>
  <c r="F1965" i="5"/>
  <c r="F489" i="5"/>
  <c r="F914" i="5"/>
  <c r="F1230" i="5"/>
  <c r="F1322" i="5"/>
  <c r="F2438" i="5"/>
  <c r="F5" i="5"/>
  <c r="F256" i="5"/>
  <c r="F307" i="5"/>
  <c r="F784" i="5"/>
  <c r="F1373" i="5"/>
  <c r="F2319" i="5"/>
  <c r="F470" i="5"/>
  <c r="F657" i="5"/>
  <c r="F901" i="5"/>
  <c r="F2233" i="5"/>
  <c r="F145" i="5"/>
  <c r="F603" i="5"/>
  <c r="F606" i="5"/>
  <c r="F1398" i="5"/>
  <c r="F839" i="5"/>
  <c r="F1337" i="5"/>
  <c r="F1499" i="5"/>
  <c r="F1595" i="5"/>
  <c r="F242" i="5"/>
  <c r="F1277" i="5"/>
  <c r="E1095" i="5"/>
  <c r="E1619" i="5"/>
  <c r="E1648" i="5"/>
  <c r="E270" i="5"/>
  <c r="E1737" i="5"/>
  <c r="E2203" i="5"/>
  <c r="E248" i="5"/>
  <c r="E1780" i="5"/>
  <c r="E371" i="5"/>
  <c r="E836" i="5"/>
  <c r="E65" i="5"/>
  <c r="E655" i="5"/>
  <c r="E755" i="5"/>
  <c r="E2031" i="5"/>
  <c r="E1819" i="5"/>
  <c r="E1168" i="5"/>
  <c r="E2479" i="5"/>
  <c r="E336" i="5"/>
  <c r="E1274" i="5"/>
  <c r="E1434" i="5"/>
  <c r="E2307" i="5"/>
  <c r="E351" i="5"/>
  <c r="E2294" i="5"/>
  <c r="E37" i="5"/>
  <c r="E1340" i="5"/>
  <c r="E1250" i="5"/>
  <c r="E762" i="5"/>
  <c r="E1610" i="5"/>
  <c r="E2308" i="5"/>
  <c r="E1466" i="5"/>
  <c r="E78" i="5"/>
  <c r="E1125" i="5"/>
  <c r="E1993" i="5"/>
  <c r="E808" i="5"/>
  <c r="E164" i="5"/>
  <c r="E789" i="5"/>
  <c r="E1339" i="5"/>
  <c r="E1314" i="5"/>
  <c r="E1158" i="5"/>
  <c r="E52" i="5"/>
  <c r="E978" i="5"/>
  <c r="E1376" i="5"/>
  <c r="E895" i="5"/>
  <c r="E2318" i="5"/>
  <c r="E2249" i="5"/>
  <c r="E1193" i="5"/>
  <c r="E944" i="5"/>
  <c r="E2116" i="5"/>
  <c r="E1602" i="5"/>
  <c r="E1485" i="5"/>
  <c r="E1517" i="5"/>
  <c r="E1605" i="5"/>
  <c r="E886" i="5"/>
  <c r="E992" i="5"/>
  <c r="E1594" i="5"/>
  <c r="E1306" i="5"/>
  <c r="E1234" i="5"/>
  <c r="E2283" i="5"/>
  <c r="E1279" i="5"/>
  <c r="E2167" i="5"/>
  <c r="E2394" i="5"/>
  <c r="E296" i="5"/>
  <c r="E1151" i="5"/>
  <c r="E1672" i="5"/>
  <c r="E2429" i="5"/>
  <c r="E1625" i="5"/>
  <c r="E2072" i="5"/>
  <c r="E1656" i="5"/>
  <c r="E981" i="5"/>
  <c r="E1105" i="5"/>
  <c r="E2409" i="5"/>
  <c r="E1260" i="5"/>
  <c r="E1435" i="5"/>
  <c r="E2451" i="5"/>
  <c r="E2083" i="5"/>
  <c r="E2362" i="5"/>
  <c r="E129" i="5"/>
  <c r="E803" i="5"/>
  <c r="E822" i="5"/>
  <c r="E1685" i="5"/>
  <c r="E1669" i="5"/>
  <c r="E287" i="5"/>
  <c r="E669" i="5"/>
  <c r="E611" i="5"/>
  <c r="E284" i="5"/>
  <c r="E1122" i="5"/>
  <c r="E982" i="5"/>
  <c r="E996" i="5"/>
  <c r="E849" i="5"/>
  <c r="E2175" i="5"/>
  <c r="E882" i="5"/>
  <c r="E1014" i="5"/>
  <c r="E301" i="5"/>
  <c r="E674" i="5"/>
  <c r="E1087" i="5"/>
  <c r="E1866" i="5"/>
  <c r="E176" i="5"/>
  <c r="E1008" i="5"/>
  <c r="E1341" i="5"/>
  <c r="E1453" i="5"/>
  <c r="E1067" i="5"/>
  <c r="E1427" i="5"/>
  <c r="E741" i="5"/>
  <c r="E1878" i="5"/>
  <c r="E2020" i="5"/>
  <c r="E2155" i="5"/>
  <c r="E2378" i="5"/>
  <c r="E2382" i="5"/>
  <c r="E2285" i="5"/>
  <c r="E299" i="5"/>
  <c r="E1436" i="5"/>
  <c r="E1222" i="5"/>
  <c r="E1246" i="5"/>
  <c r="E501" i="5"/>
  <c r="E2277" i="5"/>
  <c r="E769" i="5"/>
  <c r="E144" i="5"/>
  <c r="E641" i="5"/>
  <c r="E1166" i="5"/>
  <c r="E631" i="5"/>
  <c r="E1705" i="5"/>
  <c r="E1848" i="5"/>
  <c r="E383" i="5"/>
  <c r="E346" i="5"/>
  <c r="E394" i="5"/>
  <c r="E476" i="5"/>
  <c r="E1128" i="5"/>
  <c r="E1437" i="5"/>
  <c r="E680" i="5"/>
  <c r="E735" i="5"/>
  <c r="E647" i="5"/>
  <c r="E1039" i="5"/>
  <c r="E984" i="5"/>
  <c r="E121" i="5"/>
  <c r="E151" i="5"/>
  <c r="E1091" i="5"/>
  <c r="E521" i="5"/>
  <c r="E1723" i="5"/>
  <c r="E2373" i="5"/>
  <c r="E1265" i="5"/>
  <c r="E2364" i="5"/>
  <c r="E2256" i="5"/>
  <c r="E1354" i="5"/>
  <c r="E649" i="5"/>
  <c r="E494" i="5"/>
  <c r="E2119" i="5"/>
  <c r="E2241" i="5"/>
  <c r="E736" i="5"/>
  <c r="E2221" i="5"/>
  <c r="E806" i="5"/>
  <c r="E1708" i="5"/>
  <c r="E157" i="5"/>
  <c r="E1727" i="5"/>
  <c r="E660" i="5"/>
  <c r="E1644" i="5"/>
  <c r="E166" i="5"/>
  <c r="E1445" i="5"/>
  <c r="E219" i="5"/>
  <c r="E1940" i="5"/>
  <c r="E1420" i="5"/>
  <c r="E2086" i="5"/>
  <c r="E562" i="5"/>
  <c r="E1229" i="5"/>
  <c r="E1473" i="5"/>
  <c r="E1568" i="5"/>
  <c r="E1789" i="5"/>
  <c r="E1413" i="5"/>
  <c r="E239" i="5"/>
  <c r="E1997" i="5"/>
  <c r="E1890" i="5"/>
  <c r="E268" i="5"/>
  <c r="E2492" i="5"/>
  <c r="E1914" i="5"/>
  <c r="E1135" i="5"/>
  <c r="E2158" i="5"/>
  <c r="E254" i="5"/>
  <c r="E474" i="5"/>
  <c r="E1620" i="5"/>
  <c r="E1189" i="5"/>
  <c r="E710" i="5"/>
  <c r="E1944" i="5"/>
  <c r="E2439" i="5"/>
  <c r="E830" i="5"/>
  <c r="E1481" i="5"/>
  <c r="E792" i="5"/>
  <c r="E1702" i="5"/>
  <c r="E2110" i="5"/>
  <c r="E72" i="5"/>
  <c r="E1328" i="5"/>
  <c r="E2253" i="5"/>
  <c r="E2390" i="5"/>
  <c r="E59" i="5"/>
  <c r="E421" i="5"/>
  <c r="E1216" i="5"/>
  <c r="E2046" i="5"/>
  <c r="E1089" i="5"/>
  <c r="E613" i="5"/>
  <c r="E2076" i="5"/>
  <c r="E184" i="5"/>
  <c r="E2101" i="5"/>
  <c r="E1967" i="5"/>
  <c r="E618" i="5"/>
  <c r="E794" i="5"/>
  <c r="E1383" i="5"/>
  <c r="E2058" i="5"/>
  <c r="E2149" i="5"/>
  <c r="E2147" i="5"/>
  <c r="E1791" i="5"/>
  <c r="E2006" i="5"/>
  <c r="E2493" i="5"/>
  <c r="E1323" i="5"/>
  <c r="E370" i="5"/>
  <c r="E856" i="5"/>
  <c r="E2276" i="5"/>
  <c r="E1405" i="5"/>
  <c r="E292" i="5"/>
  <c r="E750" i="5"/>
  <c r="E1964" i="5"/>
  <c r="E345" i="5"/>
  <c r="E584" i="5"/>
  <c r="E2292" i="5"/>
  <c r="E577" i="5"/>
  <c r="E81" i="5"/>
  <c r="E1393" i="5"/>
  <c r="E2219" i="5"/>
  <c r="E1583" i="5"/>
  <c r="E539" i="5"/>
  <c r="E386" i="5"/>
  <c r="E1035" i="5"/>
  <c r="E1561" i="5"/>
  <c r="E1291" i="5"/>
  <c r="E20" i="5"/>
  <c r="E1757" i="5"/>
  <c r="E204" i="5"/>
  <c r="E2002" i="5"/>
  <c r="E257" i="5"/>
  <c r="E2150" i="5"/>
  <c r="E1270" i="5"/>
  <c r="E1740" i="5"/>
  <c r="E1604" i="5"/>
  <c r="E2306" i="5"/>
  <c r="E1327" i="5"/>
  <c r="E1408" i="5"/>
  <c r="E1051" i="5"/>
  <c r="E773" i="5"/>
  <c r="E1554" i="5"/>
  <c r="E2011" i="5"/>
  <c r="E1299" i="5"/>
  <c r="E1623" i="5"/>
  <c r="E1258" i="5"/>
  <c r="E2446" i="5"/>
  <c r="E753" i="5"/>
  <c r="E936" i="5"/>
  <c r="E1716" i="5"/>
  <c r="E1684" i="5"/>
  <c r="E845" i="5"/>
  <c r="E797" i="5"/>
  <c r="E1211" i="5"/>
  <c r="E2264" i="5"/>
  <c r="E2474" i="5"/>
  <c r="E1872" i="5"/>
  <c r="E2007" i="5"/>
  <c r="E2100" i="5"/>
  <c r="E840" i="5"/>
  <c r="E733" i="5"/>
  <c r="E1865" i="5"/>
  <c r="E2142" i="5"/>
  <c r="E1046" i="5"/>
  <c r="E182" i="5"/>
  <c r="E1140" i="5"/>
  <c r="E1304" i="5"/>
  <c r="E1482" i="5"/>
  <c r="E536" i="5"/>
  <c r="E2207" i="5"/>
  <c r="E643" i="5"/>
  <c r="E1031" i="5"/>
  <c r="E1156" i="5"/>
  <c r="E837" i="5"/>
  <c r="E651" i="5"/>
  <c r="E1155" i="5"/>
  <c r="E1410" i="5"/>
  <c r="E1725" i="5"/>
  <c r="E41" i="5"/>
  <c r="E1192" i="5"/>
  <c r="E1900" i="5"/>
  <c r="E1404" i="5"/>
  <c r="E451" i="5"/>
  <c r="E165" i="5"/>
  <c r="E1640" i="5"/>
  <c r="E2166" i="5"/>
  <c r="E2176" i="5"/>
  <c r="E1227" i="5"/>
  <c r="E893" i="5"/>
  <c r="E2227" i="5"/>
  <c r="E890" i="5"/>
  <c r="E1465" i="5"/>
  <c r="E1991" i="5"/>
  <c r="E1697" i="5"/>
  <c r="E1007" i="5"/>
  <c r="E1069" i="5"/>
  <c r="E1556" i="5"/>
  <c r="E1159" i="5"/>
  <c r="E1713" i="5"/>
  <c r="E2217" i="5"/>
  <c r="E506" i="5"/>
  <c r="E1085" i="5"/>
  <c r="E1710" i="5"/>
  <c r="E1861" i="5"/>
  <c r="E46" i="5"/>
  <c r="E433" i="5"/>
  <c r="E1855" i="5"/>
  <c r="E2399" i="5"/>
  <c r="E294" i="5"/>
  <c r="E1259" i="5"/>
  <c r="E1599" i="5"/>
  <c r="E1646" i="5"/>
  <c r="E265" i="5"/>
  <c r="E486" i="5"/>
  <c r="E709" i="5"/>
  <c r="E786" i="5"/>
  <c r="E1228" i="5"/>
  <c r="E1397" i="5"/>
  <c r="E1743" i="5"/>
  <c r="E1987" i="5"/>
  <c r="E2117" i="5"/>
  <c r="E14" i="5"/>
  <c r="E89" i="5"/>
  <c r="E220" i="5"/>
  <c r="E2289" i="5"/>
  <c r="E262" i="5"/>
  <c r="E941" i="5"/>
  <c r="E1748" i="5"/>
  <c r="E1952" i="5"/>
  <c r="E2013" i="5"/>
  <c r="E2162" i="5"/>
  <c r="E2186" i="5"/>
  <c r="E2386" i="5"/>
  <c r="E202" i="5"/>
  <c r="E352" i="5"/>
  <c r="E991" i="5"/>
  <c r="E1012" i="5"/>
  <c r="E1093" i="5"/>
  <c r="E1103" i="5"/>
  <c r="E1747" i="5"/>
  <c r="E2273" i="5"/>
  <c r="E51" i="5"/>
  <c r="E454" i="5"/>
  <c r="E1637" i="5"/>
  <c r="E2466" i="5"/>
  <c r="E1353" i="5"/>
  <c r="E1630" i="5"/>
  <c r="E2303" i="5"/>
  <c r="E2416" i="5"/>
  <c r="E71" i="5"/>
  <c r="E517" i="5"/>
  <c r="E1188" i="5"/>
  <c r="E2320" i="5"/>
  <c r="E2343" i="5"/>
  <c r="E754" i="5"/>
  <c r="E861" i="5"/>
  <c r="E1494" i="5"/>
  <c r="E2113" i="5"/>
  <c r="E2458" i="5"/>
  <c r="E29" i="5"/>
  <c r="E498" i="5"/>
  <c r="E1242" i="5"/>
  <c r="E1451" i="5"/>
  <c r="E1694" i="5"/>
  <c r="E2298" i="5"/>
  <c r="E2348" i="5"/>
  <c r="E58" i="5"/>
  <c r="E510" i="5"/>
  <c r="E558" i="5"/>
  <c r="E1232" i="5"/>
  <c r="E1570" i="5"/>
  <c r="E2143" i="5"/>
  <c r="E931" i="5"/>
  <c r="E1019" i="5"/>
  <c r="E1526" i="5"/>
  <c r="E1915" i="5"/>
  <c r="E236" i="5"/>
  <c r="E597" i="5"/>
  <c r="E1107" i="5"/>
  <c r="E1587" i="5"/>
  <c r="E1609" i="5"/>
  <c r="E73" i="5"/>
  <c r="E833" i="5"/>
  <c r="E1075" i="5"/>
  <c r="E1921" i="5"/>
  <c r="E1977" i="5"/>
  <c r="E53" i="5"/>
  <c r="E1276" i="5"/>
  <c r="E1349" i="5"/>
  <c r="E1608" i="5"/>
  <c r="E497" i="5"/>
  <c r="E1471" i="5"/>
  <c r="E2127" i="5"/>
  <c r="E555" i="5"/>
  <c r="E1042" i="5"/>
  <c r="E1422" i="5"/>
  <c r="E2230" i="5"/>
  <c r="E2281" i="5"/>
  <c r="E325" i="5"/>
  <c r="E1032" i="5"/>
  <c r="E2305" i="5"/>
  <c r="E312" i="5"/>
  <c r="E1147" i="5"/>
  <c r="E1992" i="5"/>
  <c r="E2341" i="5"/>
  <c r="E356" i="5"/>
  <c r="E933" i="5"/>
  <c r="E1734" i="5"/>
  <c r="E1751" i="5"/>
  <c r="E2128" i="5"/>
  <c r="E1718" i="5"/>
  <c r="E2018" i="5"/>
  <c r="E520" i="5"/>
  <c r="E1256" i="5"/>
  <c r="E2171" i="5"/>
  <c r="E117" i="5"/>
  <c r="E644" i="5"/>
  <c r="E1312" i="5"/>
  <c r="E1720" i="5"/>
  <c r="E2200" i="5"/>
  <c r="E116" i="5"/>
  <c r="E341" i="5"/>
  <c r="E1755" i="5"/>
  <c r="E850" i="5"/>
  <c r="E1079" i="5"/>
  <c r="E1444" i="5"/>
  <c r="E1808" i="5"/>
  <c r="E438" i="5"/>
  <c r="E804" i="5"/>
  <c r="E876" i="5"/>
  <c r="E1497" i="5"/>
  <c r="E1985" i="5"/>
  <c r="E2198" i="5"/>
  <c r="E2342" i="5"/>
  <c r="E2444" i="5"/>
  <c r="E473" i="5"/>
  <c r="E1810" i="5"/>
  <c r="E2228" i="5"/>
  <c r="E2330" i="5"/>
  <c r="E2412" i="5"/>
  <c r="E48" i="5"/>
  <c r="E295" i="5"/>
  <c r="E488" i="5"/>
  <c r="E2075" i="5"/>
  <c r="E2259" i="5"/>
  <c r="E45" i="5"/>
  <c r="E313" i="5"/>
  <c r="E952" i="5"/>
  <c r="E1545" i="5"/>
  <c r="E1812" i="5"/>
  <c r="E399" i="5"/>
  <c r="E1698" i="5"/>
  <c r="E1771" i="5"/>
  <c r="E338" i="5"/>
  <c r="E801" i="5"/>
  <c r="E953" i="5"/>
  <c r="E1117" i="5"/>
  <c r="E1813" i="5"/>
  <c r="E2074" i="5"/>
  <c r="E2452" i="5"/>
  <c r="E725" i="5"/>
  <c r="E818" i="5"/>
  <c r="E957" i="5"/>
  <c r="E1447" i="5"/>
  <c r="E2161" i="5"/>
  <c r="E965" i="5"/>
  <c r="E1501" i="5"/>
  <c r="E2381" i="5"/>
  <c r="E266" i="5"/>
  <c r="E573" i="5"/>
  <c r="E626" i="5"/>
  <c r="E2404" i="5"/>
  <c r="E430" i="5"/>
  <c r="E904" i="5"/>
  <c r="E1704" i="5"/>
  <c r="E946" i="5"/>
  <c r="E1671" i="5"/>
  <c r="E2010" i="5"/>
  <c r="E2090" i="5"/>
  <c r="E2365" i="5"/>
  <c r="E133" i="5"/>
  <c r="E431" i="5"/>
  <c r="E1888" i="5"/>
  <c r="E2032" i="5"/>
  <c r="E2351" i="5"/>
  <c r="E422" i="5"/>
  <c r="E523" i="5"/>
  <c r="E1315" i="5"/>
  <c r="E1622" i="5"/>
  <c r="E1936" i="5"/>
  <c r="E1092" i="5"/>
  <c r="E1634" i="5"/>
  <c r="E1886" i="5"/>
  <c r="E2223" i="5"/>
  <c r="E86" i="5"/>
  <c r="E714" i="5"/>
  <c r="E1520" i="5"/>
  <c r="E135" i="5"/>
  <c r="E162" i="5"/>
  <c r="E188" i="5"/>
  <c r="E1054" i="5"/>
  <c r="E1346" i="5"/>
  <c r="E1830" i="5"/>
  <c r="E1955" i="5"/>
  <c r="E214" i="5"/>
  <c r="E668" i="5"/>
  <c r="E915" i="5"/>
  <c r="E1207" i="5"/>
  <c r="E1842" i="5"/>
  <c r="E2419" i="5"/>
  <c r="E367" i="5"/>
  <c r="E1023" i="5"/>
  <c r="E76" i="5"/>
  <c r="E686" i="5"/>
  <c r="E1115" i="5"/>
  <c r="E2251" i="5"/>
  <c r="E260" i="5"/>
  <c r="E857" i="5"/>
  <c r="E1782" i="5"/>
  <c r="E2448" i="5"/>
  <c r="E1543" i="5"/>
  <c r="E1657" i="5"/>
  <c r="E2345" i="5"/>
  <c r="E290" i="5"/>
  <c r="E889" i="5"/>
  <c r="E2037" i="5"/>
  <c r="E752" i="5"/>
  <c r="E1439" i="5"/>
  <c r="E1461" i="5"/>
  <c r="E1502" i="5"/>
  <c r="E1946" i="5"/>
  <c r="E2232" i="5"/>
  <c r="E990" i="5"/>
  <c r="E1283" i="5"/>
  <c r="E1831" i="5"/>
  <c r="E2093" i="5"/>
  <c r="E35" i="5"/>
  <c r="E281" i="5"/>
  <c r="E329" i="5"/>
  <c r="E531" i="5"/>
  <c r="E699" i="5"/>
  <c r="E772" i="5"/>
  <c r="E1510" i="5"/>
  <c r="E1528" i="5"/>
  <c r="E1783" i="5"/>
  <c r="E813" i="5"/>
  <c r="E938" i="5"/>
  <c r="E994" i="5"/>
  <c r="E1662" i="5"/>
  <c r="E2296" i="5"/>
  <c r="E783" i="5"/>
  <c r="E906" i="5"/>
  <c r="E995" i="5"/>
  <c r="E1739" i="5"/>
  <c r="E57" i="5"/>
  <c r="E698" i="5"/>
  <c r="E940" i="5"/>
  <c r="E2087" i="5"/>
  <c r="E2108" i="5"/>
  <c r="E2489" i="5"/>
  <c r="E354" i="5"/>
  <c r="E360" i="5"/>
  <c r="E1735" i="5"/>
  <c r="E1688" i="5"/>
  <c r="E855" i="5"/>
  <c r="E1108" i="5"/>
  <c r="E1547" i="5"/>
  <c r="E1598" i="5"/>
  <c r="E2424" i="5"/>
  <c r="E723" i="5"/>
  <c r="E1132" i="5"/>
  <c r="E1415" i="5"/>
  <c r="E2369" i="5"/>
  <c r="E559" i="5"/>
  <c r="E634" i="5"/>
  <c r="E1551" i="5"/>
  <c r="E1899" i="5"/>
  <c r="E622" i="5"/>
  <c r="E2347" i="5"/>
  <c r="E526" i="5"/>
  <c r="E1045" i="5"/>
  <c r="E1811" i="5"/>
  <c r="E2356" i="5"/>
  <c r="E640" i="5"/>
  <c r="E1601" i="5"/>
  <c r="E1801" i="5"/>
  <c r="E2021" i="5"/>
  <c r="E2094" i="5"/>
  <c r="E2165" i="5"/>
  <c r="E2177" i="5"/>
  <c r="E92" i="5"/>
  <c r="E509" i="5"/>
  <c r="E682" i="5"/>
  <c r="E1184" i="5"/>
  <c r="E2194" i="5"/>
  <c r="E2396" i="5"/>
  <c r="E1078" i="5"/>
  <c r="E1119" i="5"/>
  <c r="E206" i="5"/>
  <c r="E416" i="5"/>
  <c r="E1161" i="5"/>
  <c r="E1463" i="5"/>
  <c r="E1728" i="5"/>
  <c r="E1961" i="5"/>
  <c r="E2192" i="5"/>
  <c r="E55" i="5"/>
  <c r="E507" i="5"/>
  <c r="E1199" i="5"/>
  <c r="E1395" i="5"/>
  <c r="E677" i="5"/>
  <c r="E1205" i="5"/>
  <c r="E1632" i="5"/>
  <c r="E1651" i="5"/>
  <c r="E439" i="5"/>
  <c r="E852" i="5"/>
  <c r="E1505" i="5"/>
  <c r="E2350" i="5"/>
  <c r="E231" i="5"/>
  <c r="E964" i="5"/>
  <c r="E1121" i="5"/>
  <c r="E1285" i="5"/>
  <c r="E1519" i="5"/>
  <c r="E1730" i="5"/>
  <c r="E1784" i="5"/>
  <c r="E1925" i="5"/>
  <c r="E2250" i="5"/>
  <c r="E380" i="5"/>
  <c r="E1319" i="5"/>
  <c r="E1766" i="5"/>
  <c r="E1826" i="5"/>
  <c r="E1828" i="5"/>
  <c r="E2097" i="5"/>
  <c r="E645" i="5"/>
  <c r="E727" i="5"/>
  <c r="E2441" i="5"/>
  <c r="E661" i="5"/>
  <c r="E956" i="5"/>
  <c r="E1763" i="5"/>
  <c r="E87" i="5"/>
  <c r="E127" i="5"/>
  <c r="E221" i="5"/>
  <c r="E389" i="5"/>
  <c r="E484" i="5"/>
  <c r="E795" i="5"/>
  <c r="E943" i="5"/>
  <c r="E1664" i="5"/>
  <c r="E2129" i="5"/>
  <c r="E2471" i="5"/>
  <c r="E1491" i="5"/>
  <c r="E1567" i="5"/>
  <c r="E2049" i="5"/>
  <c r="E1297" i="5"/>
  <c r="E1909" i="5"/>
  <c r="E2234" i="5"/>
  <c r="E866" i="5"/>
  <c r="E1525" i="5"/>
  <c r="E1879" i="5"/>
  <c r="E2042" i="5"/>
  <c r="E2139" i="5"/>
  <c r="E298" i="5"/>
  <c r="E628" i="5"/>
  <c r="E2297" i="5"/>
  <c r="E2367" i="5"/>
  <c r="E63" i="5"/>
  <c r="E538" i="5"/>
  <c r="E814" i="5"/>
  <c r="E961" i="5"/>
  <c r="E1382" i="5"/>
  <c r="E1841" i="5"/>
  <c r="E1972" i="5"/>
  <c r="E2137" i="5"/>
  <c r="E425" i="5"/>
  <c r="E722" i="5"/>
  <c r="E2338" i="5"/>
  <c r="E1330" i="5"/>
  <c r="E1522" i="5"/>
  <c r="E2073" i="5"/>
  <c r="E2321" i="5"/>
  <c r="E119" i="5"/>
  <c r="E2226" i="5"/>
  <c r="E823" i="5"/>
  <c r="E1541" i="5"/>
  <c r="E2214" i="5"/>
  <c r="E222" i="5"/>
  <c r="E1123" i="5"/>
  <c r="E1647" i="5"/>
  <c r="E2336" i="5"/>
  <c r="E150" i="5"/>
  <c r="E620" i="5"/>
  <c r="E652" i="5"/>
  <c r="E1112" i="5"/>
  <c r="E1874" i="5"/>
  <c r="E1892" i="5"/>
  <c r="E322" i="5"/>
  <c r="E369" i="5"/>
  <c r="E374" i="5"/>
  <c r="E913" i="5"/>
  <c r="E2067" i="5"/>
  <c r="E250" i="5"/>
  <c r="E382" i="5"/>
  <c r="E458" i="5"/>
  <c r="E863" i="5"/>
  <c r="E1464" i="5"/>
  <c r="E1852" i="5"/>
  <c r="E2096" i="5"/>
  <c r="E218" i="5"/>
  <c r="E549" i="5"/>
  <c r="E1307" i="5"/>
  <c r="E1976" i="5"/>
  <c r="E2174" i="5"/>
  <c r="E91" i="5"/>
  <c r="E303" i="5"/>
  <c r="E571" i="5"/>
  <c r="E697" i="5"/>
  <c r="E1345" i="5"/>
  <c r="E1423" i="5"/>
  <c r="E1928" i="5"/>
  <c r="E2366" i="5"/>
  <c r="E2497" i="5"/>
  <c r="E24" i="5"/>
  <c r="E77" i="5"/>
  <c r="E415" i="5"/>
  <c r="E609" i="5"/>
  <c r="E1082" i="5"/>
  <c r="E1317" i="5"/>
  <c r="E1530" i="5"/>
  <c r="E1918" i="5"/>
  <c r="E1998" i="5"/>
  <c r="E937" i="5"/>
  <c r="E1470" i="5"/>
  <c r="E1588" i="5"/>
  <c r="E2377" i="5"/>
  <c r="E2485" i="5"/>
  <c r="E891" i="5"/>
  <c r="E2204" i="5"/>
  <c r="E1478" i="5"/>
  <c r="E1631" i="5"/>
  <c r="E1707" i="5"/>
  <c r="E2235" i="5"/>
  <c r="E118" i="5"/>
  <c r="E508" i="5"/>
  <c r="E574" i="5"/>
  <c r="E1282" i="5"/>
  <c r="E1292" i="5"/>
  <c r="E950" i="5"/>
  <c r="E1174" i="5"/>
  <c r="E1213" i="5"/>
  <c r="E1856" i="5"/>
  <c r="E2154" i="5"/>
  <c r="E177" i="5"/>
  <c r="E429" i="5"/>
  <c r="E518" i="5"/>
  <c r="E1005" i="5"/>
  <c r="E302" i="5"/>
  <c r="E666" i="5"/>
  <c r="E2169" i="5"/>
  <c r="E443" i="5"/>
  <c r="E662" i="5"/>
  <c r="E711" i="5"/>
  <c r="E1021" i="5"/>
  <c r="E2062" i="5"/>
  <c r="E2242" i="5"/>
  <c r="E39" i="5"/>
  <c r="E197" i="5"/>
  <c r="E546" i="5"/>
  <c r="E1421" i="5"/>
  <c r="E1765" i="5"/>
  <c r="E50" i="5"/>
  <c r="E614" i="5"/>
  <c r="E717" i="5"/>
  <c r="E742" i="5"/>
  <c r="E802" i="5"/>
  <c r="E983" i="5"/>
  <c r="E1065" i="5"/>
  <c r="E1208" i="5"/>
  <c r="E1650" i="5"/>
  <c r="E379" i="5"/>
  <c r="E437" i="5"/>
  <c r="E1084" i="5"/>
  <c r="E1284" i="5"/>
  <c r="E315" i="5"/>
  <c r="E600" i="5"/>
  <c r="E716" i="5"/>
  <c r="E844" i="5"/>
  <c r="E885" i="5"/>
  <c r="E1882" i="5"/>
  <c r="E326" i="5"/>
  <c r="E899" i="5"/>
  <c r="E1392" i="5"/>
  <c r="E1745" i="5"/>
  <c r="E1759" i="5"/>
  <c r="E1786" i="5"/>
  <c r="E578" i="5"/>
  <c r="E761" i="5"/>
  <c r="E1136" i="5"/>
  <c r="E1338" i="5"/>
  <c r="E1818" i="5"/>
  <c r="E190" i="5"/>
  <c r="E253" i="5"/>
  <c r="E417" i="5"/>
  <c r="E2246" i="5"/>
  <c r="E1429" i="5"/>
  <c r="E1203" i="5"/>
  <c r="E2328" i="5"/>
  <c r="E216" i="5"/>
  <c r="E1178" i="5"/>
  <c r="E1624" i="5"/>
  <c r="E1894" i="5"/>
  <c r="E1960" i="5"/>
  <c r="E587" i="5"/>
  <c r="E1318" i="5"/>
  <c r="E1799" i="5"/>
  <c r="E858" i="5"/>
  <c r="E1030" i="5"/>
  <c r="E1218" i="5"/>
  <c r="E1626" i="5"/>
  <c r="E2121" i="5"/>
  <c r="E2222" i="5"/>
  <c r="E2324" i="5"/>
  <c r="E2425" i="5"/>
  <c r="E832" i="5"/>
  <c r="E1098" i="5"/>
  <c r="E1296" i="5"/>
  <c r="E1432" i="5"/>
  <c r="E1462" i="5"/>
  <c r="E420" i="5"/>
  <c r="E790" i="5"/>
  <c r="E872" i="5"/>
  <c r="E1406" i="5"/>
  <c r="E1455" i="5"/>
  <c r="E2047" i="5"/>
  <c r="E2480" i="5"/>
  <c r="E2499" i="5"/>
  <c r="E414" i="5"/>
  <c r="E610" i="5"/>
  <c r="E1596" i="5"/>
  <c r="E1875" i="5"/>
  <c r="E1962" i="5"/>
  <c r="E2322" i="5"/>
  <c r="E468" i="5"/>
  <c r="E1460" i="5"/>
  <c r="E180" i="5"/>
  <c r="E569" i="5"/>
  <c r="E696" i="5"/>
  <c r="E707" i="5"/>
  <c r="E1131" i="5"/>
  <c r="E2092" i="5"/>
  <c r="E2103" i="5"/>
  <c r="E785" i="5"/>
  <c r="E1064" i="5"/>
  <c r="E1493" i="5"/>
  <c r="E1935" i="5"/>
  <c r="E575" i="5"/>
  <c r="E1513" i="5"/>
  <c r="E2387" i="5"/>
  <c r="E1357" i="5"/>
  <c r="E1400" i="5"/>
  <c r="E21" i="5"/>
  <c r="E390" i="5"/>
  <c r="E1264" i="5"/>
  <c r="E1487" i="5"/>
  <c r="E1724" i="5"/>
  <c r="E1949" i="5"/>
  <c r="E2384" i="5"/>
  <c r="E550" i="5"/>
  <c r="E740" i="5"/>
  <c r="E924" i="5"/>
  <c r="E1255" i="5"/>
  <c r="E1880" i="5"/>
  <c r="E1883" i="5"/>
  <c r="E2237" i="5"/>
  <c r="E49" i="5"/>
  <c r="E556" i="5"/>
  <c r="E2126" i="5"/>
  <c r="E1206" i="5"/>
  <c r="E1823" i="5"/>
  <c r="E2033" i="5"/>
  <c r="E67" i="5"/>
  <c r="E244" i="5"/>
  <c r="E463" i="5"/>
  <c r="E1217" i="5"/>
  <c r="E1555" i="5"/>
  <c r="E353" i="5"/>
  <c r="E1254" i="5"/>
  <c r="E1278" i="5"/>
  <c r="E1910" i="5"/>
  <c r="E779" i="5"/>
  <c r="E1749" i="5"/>
  <c r="E1933" i="5"/>
  <c r="E2197" i="5"/>
  <c r="E309" i="5"/>
  <c r="E689" i="5"/>
  <c r="E1308" i="5"/>
  <c r="E2023" i="5"/>
  <c r="E658" i="5"/>
  <c r="E869" i="5"/>
  <c r="E1350" i="5"/>
  <c r="E1614" i="5"/>
  <c r="E26" i="5"/>
  <c r="E599" i="5"/>
  <c r="E1844" i="5"/>
  <c r="E1922" i="5"/>
  <c r="E397" i="5"/>
  <c r="E542" i="5"/>
  <c r="E2195" i="5"/>
  <c r="E2418" i="5"/>
  <c r="E1805" i="5"/>
  <c r="E1847" i="5"/>
  <c r="E2088" i="5"/>
  <c r="E2359" i="5"/>
  <c r="E2465" i="5"/>
  <c r="E291" i="5"/>
  <c r="E471" i="5"/>
  <c r="E838" i="5"/>
  <c r="E877" i="5"/>
  <c r="E985" i="5"/>
  <c r="E1402" i="5"/>
  <c r="E2084" i="5"/>
  <c r="E2361" i="5"/>
  <c r="E770" i="5"/>
  <c r="E1565" i="5"/>
  <c r="E1795" i="5"/>
  <c r="E2017" i="5"/>
  <c r="E2102" i="5"/>
  <c r="E2408" i="5"/>
  <c r="E410" i="5"/>
  <c r="E445" i="5"/>
  <c r="E1820" i="5"/>
  <c r="E2293" i="5"/>
  <c r="E38" i="5"/>
  <c r="E213" i="5"/>
  <c r="E824" i="5"/>
  <c r="E1110" i="5"/>
  <c r="E1187" i="5"/>
  <c r="E1507" i="5"/>
  <c r="E1990" i="5"/>
  <c r="E2395" i="5"/>
  <c r="E1490" i="5"/>
  <c r="E1639" i="5"/>
  <c r="E2252" i="5"/>
  <c r="E1557" i="5"/>
  <c r="E1674" i="5"/>
  <c r="E1924" i="5"/>
  <c r="E19" i="5"/>
  <c r="E261" i="5"/>
  <c r="E619" i="5"/>
  <c r="E787" i="5"/>
  <c r="E1186" i="5"/>
  <c r="E532" i="5"/>
  <c r="E616" i="5"/>
  <c r="E1100" i="5"/>
  <c r="E1177" i="5"/>
  <c r="E1527" i="5"/>
  <c r="E2122" i="5"/>
  <c r="E2467" i="5"/>
  <c r="E1024" i="5"/>
  <c r="E1575" i="5"/>
  <c r="E1889" i="5"/>
  <c r="E1263" i="5"/>
  <c r="E1333" i="5"/>
  <c r="E125" i="5"/>
  <c r="E131" i="5"/>
  <c r="E339" i="5"/>
  <c r="E632" i="5"/>
  <c r="E1968" i="5"/>
  <c r="E2141" i="5"/>
  <c r="E2335" i="5"/>
  <c r="E80" i="5"/>
  <c r="E1365" i="5"/>
  <c r="E2039" i="5"/>
  <c r="E2179" i="5"/>
  <c r="E2352" i="5"/>
  <c r="E115" i="5"/>
  <c r="E178" i="5"/>
  <c r="E224" i="5"/>
  <c r="E461" i="5"/>
  <c r="E972" i="5"/>
  <c r="E1332" i="5"/>
  <c r="E2040" i="5"/>
  <c r="E88" i="5"/>
  <c r="E126" i="5"/>
  <c r="E586" i="5"/>
  <c r="E1231" i="5"/>
  <c r="E1479" i="5"/>
  <c r="E1904" i="5"/>
  <c r="E320" i="5"/>
  <c r="E396" i="5"/>
  <c r="E692" i="5"/>
  <c r="E1149" i="5"/>
  <c r="E1544" i="5"/>
  <c r="E2238" i="5"/>
  <c r="E94" i="5"/>
  <c r="E888" i="5"/>
  <c r="E1837" i="5"/>
  <c r="E2402" i="5"/>
  <c r="E482" i="5"/>
  <c r="E1850" i="5"/>
  <c r="E2445" i="5"/>
  <c r="E183" i="5"/>
  <c r="E395" i="5"/>
  <c r="E465" i="5"/>
  <c r="E1849" i="5"/>
  <c r="E1959" i="5"/>
  <c r="E500" i="5"/>
  <c r="E548" i="5"/>
  <c r="E675" i="5"/>
  <c r="E1003" i="5"/>
  <c r="E1183" i="5"/>
  <c r="E1298" i="5"/>
  <c r="E1316" i="5"/>
  <c r="E28" i="5"/>
  <c r="E1066" i="5"/>
  <c r="E514" i="5"/>
  <c r="E540" i="5"/>
  <c r="E1068" i="5"/>
  <c r="E17" i="5"/>
  <c r="E208" i="5"/>
  <c r="E1329" i="5"/>
  <c r="E1529" i="5"/>
  <c r="E406" i="5"/>
  <c r="E920" i="5"/>
  <c r="E939" i="5"/>
  <c r="E1498" i="5"/>
  <c r="E2315" i="5"/>
  <c r="E2331" i="5"/>
  <c r="E607" i="5"/>
  <c r="E617" i="5"/>
  <c r="E1175" i="5"/>
  <c r="E1280" i="5"/>
  <c r="E1689" i="5"/>
  <c r="E1845" i="5"/>
  <c r="E2374" i="5"/>
  <c r="E297" i="5"/>
  <c r="E695" i="5"/>
  <c r="E2440" i="5"/>
  <c r="E2456" i="5"/>
  <c r="E103" i="5"/>
  <c r="E209" i="5"/>
  <c r="E288" i="5"/>
  <c r="E1364" i="5"/>
  <c r="E1442" i="5"/>
  <c r="E1822" i="5"/>
  <c r="E66" i="5"/>
  <c r="E1563" i="5"/>
  <c r="E1744" i="5"/>
  <c r="E1774" i="5"/>
  <c r="E2405" i="5"/>
  <c r="E459" i="5"/>
  <c r="E1773" i="5"/>
  <c r="E2034" i="5"/>
  <c r="E2376" i="5"/>
  <c r="E120" i="5"/>
  <c r="E411" i="5"/>
  <c r="E1273" i="5"/>
  <c r="E1384" i="5"/>
  <c r="E1578" i="5"/>
  <c r="E1606" i="5"/>
  <c r="E1652" i="5"/>
  <c r="E1571" i="5"/>
  <c r="E487" i="5"/>
  <c r="E942" i="5"/>
  <c r="E1142" i="5"/>
  <c r="E1266" i="5"/>
  <c r="E1268" i="5"/>
  <c r="E1287" i="5"/>
  <c r="E1289" i="5"/>
  <c r="E2295" i="5"/>
  <c r="E154" i="5"/>
  <c r="E432" i="5"/>
  <c r="E1414" i="5"/>
  <c r="E1417" i="5"/>
  <c r="E1523" i="5"/>
  <c r="E1641" i="5"/>
  <c r="E3" i="5"/>
  <c r="E42" i="5"/>
  <c r="E136" i="5"/>
  <c r="E330" i="5"/>
  <c r="E705" i="5"/>
  <c r="E47" i="5"/>
  <c r="E1589" i="5"/>
  <c r="E1911" i="5"/>
  <c r="E2454" i="5"/>
  <c r="E408" i="5"/>
  <c r="E1034" i="5"/>
  <c r="E1919" i="5"/>
  <c r="E2009" i="5"/>
  <c r="E2360" i="5"/>
  <c r="E2044" i="5"/>
  <c r="E2206" i="5"/>
  <c r="E642" i="5"/>
  <c r="E323" i="5"/>
  <c r="E449" i="5"/>
  <c r="E846" i="5"/>
  <c r="E1249" i="5"/>
  <c r="E305" i="5"/>
  <c r="E636" i="5"/>
  <c r="E911" i="5"/>
  <c r="E1272" i="5"/>
  <c r="E1612" i="5"/>
  <c r="E1947" i="5"/>
  <c r="E2025" i="5"/>
  <c r="E2036" i="5"/>
  <c r="E2442" i="5"/>
  <c r="E530" i="5"/>
  <c r="E831" i="5"/>
  <c r="E1597" i="5"/>
  <c r="E152" i="5"/>
  <c r="E1072" i="5"/>
  <c r="E1468" i="5"/>
  <c r="E1562" i="5"/>
  <c r="E1792" i="5"/>
  <c r="E712" i="5"/>
  <c r="E809" i="5"/>
  <c r="E828" i="5"/>
  <c r="E916" i="5"/>
  <c r="E1584" i="5"/>
  <c r="E748" i="5"/>
  <c r="E1613" i="5"/>
  <c r="E2016" i="5"/>
  <c r="E210" i="5"/>
  <c r="E533" i="5"/>
  <c r="E585" i="5"/>
  <c r="E807" i="5"/>
  <c r="E1709" i="5"/>
  <c r="E671" i="5"/>
  <c r="E743" i="5"/>
  <c r="E1690" i="5"/>
  <c r="E2450" i="5"/>
  <c r="E7" i="5"/>
  <c r="E930" i="5"/>
  <c r="E1058" i="5"/>
  <c r="E1267" i="5"/>
  <c r="E1686" i="5"/>
  <c r="E1893" i="5"/>
  <c r="E1916" i="5"/>
  <c r="E2133" i="5"/>
  <c r="E372" i="5"/>
  <c r="E612" i="5"/>
  <c r="E1359" i="5"/>
  <c r="E1469" i="5"/>
  <c r="E1603" i="5"/>
  <c r="E107" i="5"/>
  <c r="E1153" i="5"/>
  <c r="E1559" i="5"/>
  <c r="E2261" i="5"/>
  <c r="E111" i="5"/>
  <c r="E693" i="5"/>
  <c r="E1043" i="5"/>
  <c r="E1113" i="5"/>
  <c r="E1244" i="5"/>
  <c r="E385" i="5"/>
  <c r="E1301" i="5"/>
  <c r="E2104" i="5"/>
  <c r="E2478" i="5"/>
  <c r="E241" i="5"/>
  <c r="E621" i="5"/>
  <c r="E758" i="5"/>
  <c r="E993" i="5"/>
  <c r="E1539" i="5"/>
  <c r="E30" i="5"/>
  <c r="E316" i="5"/>
  <c r="E1673" i="5"/>
  <c r="E2397" i="5"/>
  <c r="E1025" i="5"/>
  <c r="E1752" i="5"/>
  <c r="E2130" i="5"/>
  <c r="E545" i="5"/>
  <c r="E1167" i="5"/>
  <c r="E2056" i="5"/>
  <c r="E702" i="5"/>
  <c r="E817" i="5"/>
  <c r="E963" i="5"/>
  <c r="E2120" i="5"/>
  <c r="E2213" i="5"/>
  <c r="E2375" i="5"/>
  <c r="E1055" i="5"/>
  <c r="E1379" i="5"/>
  <c r="E1986" i="5"/>
  <c r="E2105" i="5"/>
  <c r="E2146" i="5"/>
  <c r="E2344" i="5"/>
  <c r="E648" i="5"/>
  <c r="E1038" i="5"/>
  <c r="E1377" i="5"/>
  <c r="E1905" i="5"/>
  <c r="E2437" i="5"/>
  <c r="E376" i="5"/>
  <c r="E434" i="5"/>
  <c r="E625" i="5"/>
  <c r="E1010" i="5"/>
  <c r="E1692" i="5"/>
  <c r="E1954" i="5"/>
  <c r="E1978" i="5"/>
  <c r="E189" i="5"/>
  <c r="E413" i="5"/>
  <c r="E826" i="5"/>
  <c r="E887" i="5"/>
  <c r="E897" i="5"/>
  <c r="E968" i="5"/>
  <c r="E1963" i="5"/>
  <c r="E32" i="5"/>
  <c r="E947" i="5"/>
  <c r="E195" i="5"/>
  <c r="E234" i="5"/>
  <c r="E331" i="5"/>
  <c r="E1391" i="5"/>
  <c r="E1548" i="5"/>
  <c r="E2064" i="5"/>
  <c r="E2240" i="5"/>
  <c r="E2501" i="5"/>
  <c r="E1202" i="5"/>
  <c r="E1770" i="5"/>
  <c r="E328" i="5"/>
  <c r="E745" i="5"/>
  <c r="E1643" i="5"/>
  <c r="E2313" i="5"/>
  <c r="E187" i="5"/>
  <c r="E1827" i="5"/>
  <c r="E2368" i="5"/>
  <c r="E2436" i="5"/>
  <c r="E747" i="5"/>
  <c r="E1241" i="5"/>
  <c r="E2248" i="5"/>
  <c r="E185" i="5"/>
  <c r="E1152" i="5"/>
  <c r="E114" i="5"/>
  <c r="E485" i="5"/>
  <c r="E927" i="5"/>
  <c r="E935" i="5"/>
  <c r="E1898" i="5"/>
  <c r="E791" i="5"/>
  <c r="E854" i="5"/>
  <c r="E878" i="5"/>
  <c r="E880" i="5"/>
  <c r="E1549" i="5"/>
  <c r="E1768" i="5"/>
  <c r="E1794" i="5"/>
  <c r="E56" i="5"/>
  <c r="E2498" i="5"/>
  <c r="E453" i="5"/>
  <c r="E579" i="5"/>
  <c r="E798" i="5"/>
  <c r="E945" i="5"/>
  <c r="E1164" i="5"/>
  <c r="E1418" i="5"/>
  <c r="E1450" i="5"/>
  <c r="E1679" i="5"/>
  <c r="E1020" i="5"/>
  <c r="E2168" i="5"/>
  <c r="E62" i="5"/>
  <c r="E592" i="5"/>
  <c r="E1969" i="5"/>
  <c r="E2151" i="5"/>
  <c r="E2163" i="5"/>
  <c r="E2332" i="5"/>
  <c r="E713" i="5"/>
  <c r="E759" i="5"/>
  <c r="E900" i="5"/>
  <c r="E1369" i="5"/>
  <c r="E1390" i="5"/>
  <c r="E2393" i="5"/>
  <c r="E2398" i="5"/>
  <c r="E541" i="5"/>
  <c r="E1160" i="5"/>
  <c r="E1245" i="5"/>
  <c r="E1699" i="5"/>
  <c r="E1719" i="5"/>
  <c r="E2201" i="5"/>
  <c r="E2208" i="5"/>
  <c r="E1425" i="5"/>
  <c r="E1248" i="5"/>
  <c r="E1809" i="5"/>
  <c r="E2278" i="5"/>
  <c r="E25" i="5"/>
  <c r="E503" i="5"/>
  <c r="E1966" i="5"/>
  <c r="E2159" i="5"/>
  <c r="E95" i="5"/>
  <c r="E280" i="5"/>
  <c r="E650" i="5"/>
  <c r="E1252" i="5"/>
  <c r="E2435" i="5"/>
  <c r="E324" i="5"/>
  <c r="E419" i="5"/>
  <c r="E767" i="5"/>
  <c r="E1477" i="5"/>
  <c r="E1645" i="5"/>
  <c r="E1877" i="5"/>
  <c r="E1951" i="5"/>
  <c r="E1139" i="5"/>
  <c r="E1313" i="5"/>
  <c r="E146" i="5"/>
  <c r="E350" i="5"/>
  <c r="E373" i="5"/>
  <c r="E604" i="5"/>
  <c r="E1347" i="5"/>
  <c r="E1492" i="5"/>
  <c r="E1496" i="5"/>
  <c r="E1654" i="5"/>
  <c r="E1701" i="5"/>
  <c r="E1927" i="5"/>
  <c r="E505" i="5"/>
  <c r="E123" i="5"/>
  <c r="E870" i="5"/>
  <c r="E1044" i="5"/>
  <c r="E1146" i="5"/>
  <c r="E70" i="5"/>
  <c r="E774" i="5"/>
  <c r="E905" i="5"/>
  <c r="E15" i="5"/>
  <c r="E273" i="5"/>
  <c r="E909" i="5"/>
  <c r="E1378" i="5"/>
  <c r="E1489" i="5"/>
  <c r="E423" i="5"/>
  <c r="E1531" i="5"/>
  <c r="E1908" i="5"/>
  <c r="E2231" i="5"/>
  <c r="E2304" i="5"/>
  <c r="E731" i="5"/>
  <c r="E1060" i="5"/>
  <c r="E1488" i="5"/>
  <c r="E491" i="5"/>
  <c r="E1769" i="5"/>
  <c r="E1858" i="5"/>
  <c r="E181" i="5"/>
  <c r="E1804" i="5"/>
  <c r="E2148" i="5"/>
  <c r="E524" i="5"/>
  <c r="E1017" i="5"/>
  <c r="E1695" i="5"/>
  <c r="E1884" i="5"/>
  <c r="E2071" i="5"/>
  <c r="E2190" i="5"/>
  <c r="E2291" i="5"/>
  <c r="E2473" i="5"/>
  <c r="E1835" i="5"/>
  <c r="E217" i="5"/>
  <c r="E706" i="5"/>
  <c r="E763" i="5"/>
  <c r="E1433" i="5"/>
  <c r="E230" i="5"/>
  <c r="E829" i="5"/>
  <c r="E2262" i="5"/>
  <c r="E349" i="5"/>
  <c r="E1683" i="5"/>
  <c r="E1887" i="5"/>
  <c r="E1931" i="5"/>
  <c r="E2030" i="5"/>
  <c r="E2091" i="5"/>
  <c r="E2178" i="5"/>
  <c r="E27" i="5"/>
  <c r="E368" i="5"/>
  <c r="E1635" i="5"/>
  <c r="E1839" i="5"/>
  <c r="E1868" i="5"/>
  <c r="E2043" i="5"/>
  <c r="E366" i="5"/>
  <c r="E700" i="5"/>
  <c r="E841" i="5"/>
  <c r="E907" i="5"/>
  <c r="E1370" i="5"/>
  <c r="E1956" i="5"/>
  <c r="E1426" i="5"/>
  <c r="E1016" i="5"/>
  <c r="E557" i="5"/>
  <c r="E776" i="5"/>
  <c r="E1111" i="5"/>
  <c r="E2477" i="5"/>
  <c r="E286" i="5"/>
  <c r="E624" i="5"/>
  <c r="E2055" i="5"/>
  <c r="E8" i="5"/>
  <c r="E347" i="5"/>
  <c r="E554" i="5"/>
  <c r="E738" i="5"/>
  <c r="E1212" i="5"/>
  <c r="E1579" i="5"/>
  <c r="E1729" i="5"/>
  <c r="E1821" i="5"/>
  <c r="E2070" i="5"/>
  <c r="E593" i="5"/>
  <c r="E1994" i="5"/>
  <c r="E2118" i="5"/>
  <c r="E1194" i="5"/>
  <c r="E1196" i="5"/>
  <c r="E1348" i="5"/>
  <c r="E1351" i="5"/>
  <c r="E1486" i="5"/>
  <c r="E2024" i="5"/>
  <c r="E581" i="5"/>
  <c r="E1253" i="5"/>
  <c r="E1389" i="5"/>
  <c r="E1381" i="5"/>
  <c r="E1897" i="5"/>
  <c r="E168" i="5"/>
  <c r="E436" i="5"/>
  <c r="E566" i="5"/>
  <c r="E1200" i="5"/>
  <c r="E1566" i="5"/>
  <c r="E1891" i="5"/>
  <c r="E2209" i="5"/>
  <c r="E2449" i="5"/>
  <c r="E676" i="5"/>
  <c r="E1326" i="5"/>
  <c r="E1854" i="5"/>
  <c r="E2267" i="5"/>
  <c r="E663" i="5"/>
  <c r="E1176" i="5"/>
  <c r="E1355" i="5"/>
  <c r="E1945" i="5"/>
  <c r="E149" i="5"/>
  <c r="E1080" i="5"/>
  <c r="E1088" i="5"/>
  <c r="E441" i="5"/>
  <c r="E528" i="5"/>
  <c r="E638" i="5"/>
  <c r="E1607" i="5"/>
  <c r="E1661" i="5"/>
  <c r="E633" i="5"/>
  <c r="E1324" i="5"/>
  <c r="E1970" i="5"/>
  <c r="E2019" i="5"/>
  <c r="E2077" i="5"/>
  <c r="E729" i="5"/>
  <c r="E928" i="5"/>
  <c r="E1781" i="5"/>
  <c r="E2268" i="5"/>
  <c r="E293" i="5"/>
  <c r="E576" i="5"/>
  <c r="E954" i="5"/>
  <c r="E1342" i="5"/>
  <c r="E223" i="5"/>
  <c r="E720" i="5"/>
  <c r="E1004" i="5"/>
  <c r="E1495" i="5"/>
  <c r="E2028" i="5"/>
  <c r="E245" i="5"/>
  <c r="E252" i="5"/>
  <c r="E448" i="5"/>
  <c r="E1772" i="5"/>
  <c r="E688" i="5"/>
  <c r="E33" i="5"/>
  <c r="E892" i="5"/>
  <c r="E1368" i="5"/>
  <c r="E1399" i="5"/>
  <c r="E1746" i="5"/>
  <c r="E2215" i="5"/>
  <c r="E2274" i="5"/>
  <c r="E848" i="5"/>
  <c r="E1703" i="5"/>
  <c r="E1712" i="5"/>
  <c r="E2266" i="5"/>
  <c r="E2414" i="5"/>
  <c r="E580" i="5"/>
  <c r="E596" i="5"/>
  <c r="E1236" i="5"/>
  <c r="E815" i="5"/>
  <c r="E1070" i="5"/>
  <c r="E1352" i="5"/>
  <c r="E1535" i="5"/>
  <c r="E1834" i="5"/>
  <c r="E2358" i="5"/>
  <c r="E69" i="5"/>
  <c r="E365" i="5"/>
  <c r="E781" i="5"/>
  <c r="E2191" i="5"/>
  <c r="E1223" i="5"/>
  <c r="E1806" i="5"/>
  <c r="E2196" i="5"/>
  <c r="E2258" i="5"/>
  <c r="E79" i="5"/>
  <c r="E1581" i="5"/>
  <c r="E1807" i="5"/>
  <c r="E2085" i="5"/>
  <c r="E2243" i="5"/>
  <c r="E1726" i="5"/>
  <c r="E1871" i="5"/>
  <c r="E2111" i="5"/>
  <c r="E2353" i="5"/>
  <c r="E64" i="5"/>
  <c r="E156" i="5"/>
  <c r="E226" i="5"/>
  <c r="E289" i="5"/>
  <c r="E1572" i="5"/>
  <c r="E1653" i="5"/>
  <c r="E1974" i="5"/>
  <c r="E2202" i="5"/>
  <c r="E2301" i="5"/>
  <c r="E211" i="5"/>
  <c r="E1009" i="5"/>
  <c r="E1101" i="5"/>
  <c r="E2400" i="5"/>
  <c r="E1958" i="5"/>
  <c r="E2423" i="5"/>
  <c r="E215" i="5"/>
  <c r="E457" i="5"/>
  <c r="E875" i="5"/>
  <c r="E2269" i="5"/>
  <c r="E2432" i="5"/>
  <c r="E1145" i="5"/>
  <c r="E2029" i="5"/>
  <c r="E2081" i="5"/>
  <c r="E627" i="5"/>
  <c r="E1681" i="5"/>
  <c r="E2038" i="5"/>
  <c r="E285" i="5"/>
  <c r="E1300" i="5"/>
  <c r="E4" i="5"/>
  <c r="E378" i="5"/>
  <c r="E462" i="5"/>
  <c r="E1209" i="5"/>
  <c r="E1261" i="5"/>
  <c r="E1387" i="5"/>
  <c r="E2309" i="5"/>
  <c r="E2430" i="5"/>
  <c r="E124" i="5"/>
  <c r="E1204" i="5"/>
  <c r="E2109" i="5"/>
  <c r="E335" i="5"/>
  <c r="E384" i="5"/>
  <c r="E646" i="5"/>
  <c r="E726" i="5"/>
  <c r="E1929" i="5"/>
  <c r="E1938" i="5"/>
  <c r="E2457" i="5"/>
  <c r="E1431" i="5"/>
  <c r="E1980" i="5"/>
  <c r="E54" i="5"/>
  <c r="E277" i="5"/>
  <c r="E860" i="5"/>
  <c r="E919" i="5"/>
  <c r="E1033" i="5"/>
  <c r="E2045" i="5"/>
  <c r="E2372" i="5"/>
  <c r="E475" i="5"/>
  <c r="E871" i="5"/>
  <c r="E1086" i="5"/>
  <c r="E1537" i="5"/>
  <c r="E1586" i="5"/>
  <c r="E1790" i="5"/>
  <c r="E2302" i="5"/>
  <c r="E1288" i="5"/>
  <c r="E1362" i="5"/>
  <c r="E1984" i="5"/>
  <c r="E203" i="5"/>
  <c r="E1580" i="5"/>
  <c r="E6" i="5"/>
  <c r="E238" i="5"/>
  <c r="E263" i="5"/>
  <c r="E921" i="5"/>
  <c r="E2483" i="5"/>
  <c r="E160" i="5"/>
  <c r="E1240" i="5"/>
  <c r="E2014" i="5"/>
  <c r="E469" i="5"/>
  <c r="E2136" i="5"/>
  <c r="E112" i="5"/>
  <c r="E1293" i="5"/>
  <c r="E1424" i="5"/>
  <c r="E2279" i="5"/>
  <c r="E2455" i="5"/>
  <c r="E1094" i="5"/>
  <c r="E1305" i="5"/>
  <c r="E1483" i="5"/>
  <c r="E2323" i="5"/>
  <c r="E444" i="5"/>
  <c r="E923" i="5"/>
  <c r="E1553" i="5"/>
  <c r="E519" i="5"/>
  <c r="E719" i="5"/>
  <c r="E1002" i="5"/>
  <c r="E1430" i="5"/>
  <c r="E1776" i="5"/>
  <c r="E1802" i="5"/>
  <c r="E1081" i="5"/>
  <c r="E1920" i="5"/>
  <c r="E2131" i="5"/>
  <c r="E2385" i="5"/>
  <c r="E155" i="5"/>
  <c r="E659" i="5"/>
  <c r="E1063" i="5"/>
  <c r="E2080" i="5"/>
  <c r="E788" i="5"/>
  <c r="E1797" i="5"/>
  <c r="E1953" i="5"/>
  <c r="E2026" i="5"/>
  <c r="E493" i="5"/>
  <c r="E894" i="5"/>
  <c r="E1446" i="5"/>
  <c r="E1796" i="5"/>
  <c r="E2334" i="5"/>
  <c r="E2475" i="5"/>
  <c r="E193" i="5"/>
  <c r="E1659" i="5"/>
  <c r="E130" i="5"/>
  <c r="E608" i="5"/>
  <c r="E810" i="5"/>
  <c r="E1476" i="5"/>
  <c r="E2069" i="5"/>
  <c r="E903" i="5"/>
  <c r="E1731" i="5"/>
  <c r="E2299" i="5"/>
  <c r="E2310" i="5"/>
  <c r="E98" i="5"/>
  <c r="E1660" i="5"/>
  <c r="E667" i="5"/>
  <c r="E977" i="5"/>
  <c r="E1564" i="5"/>
  <c r="E1816" i="5"/>
  <c r="E2082" i="5"/>
  <c r="E2187" i="5"/>
  <c r="E2260" i="5"/>
  <c r="E340" i="5"/>
  <c r="E955" i="5"/>
  <c r="E1687" i="5"/>
  <c r="E1885" i="5"/>
  <c r="E932" i="5"/>
  <c r="E1934" i="5"/>
  <c r="E2123" i="5"/>
  <c r="E18" i="5"/>
  <c r="E337" i="5"/>
  <c r="E355" i="5"/>
  <c r="E495" i="5"/>
  <c r="E653" i="5"/>
  <c r="E718" i="5"/>
  <c r="E728" i="5"/>
  <c r="E751" i="5"/>
  <c r="E1238" i="5"/>
  <c r="E1358" i="5"/>
  <c r="E2427" i="5"/>
  <c r="E16" i="5"/>
  <c r="E141" i="5"/>
  <c r="E143" i="5"/>
  <c r="E400" i="5"/>
  <c r="E515" i="5"/>
  <c r="E1621" i="5"/>
  <c r="E1742" i="5"/>
  <c r="E2413" i="5"/>
  <c r="E142" i="5"/>
  <c r="E233" i="5"/>
  <c r="E342" i="5"/>
  <c r="E404" i="5"/>
  <c r="E630" i="5"/>
  <c r="E1320" i="5"/>
  <c r="E1590" i="5"/>
  <c r="E1691" i="5"/>
  <c r="E100" i="5"/>
  <c r="E275" i="5"/>
  <c r="E1636" i="5"/>
  <c r="E2012" i="5"/>
  <c r="E2354" i="5"/>
  <c r="E2389" i="5"/>
  <c r="E2470" i="5"/>
  <c r="E85" i="5"/>
  <c r="E101" i="5"/>
  <c r="E490" i="5"/>
  <c r="E1137" i="5"/>
  <c r="E2078" i="5"/>
  <c r="E359" i="5"/>
  <c r="E687" i="5"/>
  <c r="E1124" i="5"/>
  <c r="E2337" i="5"/>
  <c r="E333" i="5"/>
  <c r="E1179" i="5"/>
  <c r="E1896" i="5"/>
  <c r="E2212" i="5"/>
  <c r="E2392" i="5"/>
  <c r="E23" i="5"/>
  <c r="E409" i="5"/>
  <c r="E1076" i="5"/>
  <c r="E1233" i="5"/>
  <c r="E1361" i="5"/>
  <c r="E1401" i="5"/>
  <c r="E1472" i="5"/>
  <c r="E1981" i="5"/>
  <c r="E13" i="5"/>
  <c r="E407" i="5"/>
  <c r="E583" i="5"/>
  <c r="E1041" i="5"/>
  <c r="E1257" i="5"/>
  <c r="E1511" i="5"/>
  <c r="E1738" i="5"/>
  <c r="E2061" i="5"/>
  <c r="E496" i="5"/>
  <c r="E864" i="5"/>
  <c r="E1195" i="5"/>
  <c r="E1237" i="5"/>
  <c r="E249" i="5"/>
  <c r="E1638" i="5"/>
  <c r="E1680" i="5"/>
  <c r="E2099" i="5"/>
  <c r="E2428" i="5"/>
  <c r="E694" i="5"/>
  <c r="E1618" i="5"/>
  <c r="E158" i="5"/>
  <c r="E435" i="5"/>
  <c r="E512" i="5"/>
  <c r="E552" i="5"/>
  <c r="E567" i="5"/>
  <c r="E601" i="5"/>
  <c r="E777" i="5"/>
  <c r="E873" i="5"/>
  <c r="E1514" i="5"/>
  <c r="E1764" i="5"/>
  <c r="E2065" i="5"/>
  <c r="E334" i="5"/>
  <c r="E1374" i="5"/>
  <c r="E1616" i="5"/>
  <c r="E2272" i="5"/>
  <c r="E2355" i="5"/>
  <c r="E122" i="5"/>
  <c r="E201" i="5"/>
  <c r="E590" i="5"/>
  <c r="E1190" i="5"/>
  <c r="E1269" i="5"/>
  <c r="E2068" i="5"/>
  <c r="E2189" i="5"/>
  <c r="E99" i="5"/>
  <c r="E537" i="5"/>
  <c r="E1239" i="5"/>
  <c r="E1515" i="5"/>
  <c r="E108" i="5"/>
  <c r="E1026" i="5"/>
  <c r="E1838" i="5"/>
  <c r="E1870" i="5"/>
  <c r="E2140" i="5"/>
  <c r="E2164" i="5"/>
  <c r="E2180" i="5"/>
  <c r="E240" i="5"/>
  <c r="E499" i="5"/>
  <c r="E529" i="5"/>
  <c r="E760" i="5"/>
  <c r="E834" i="5"/>
  <c r="E2051" i="5"/>
  <c r="E196" i="5"/>
  <c r="E424" i="5"/>
  <c r="E708" i="5"/>
  <c r="E1574" i="5"/>
  <c r="E175" i="5"/>
  <c r="E279" i="5"/>
  <c r="E563" i="5"/>
  <c r="E827" i="5"/>
  <c r="E1302" i="5"/>
  <c r="E1363" i="5"/>
  <c r="E2453" i="5"/>
  <c r="E778" i="5"/>
  <c r="E851" i="5"/>
  <c r="E1104" i="5"/>
  <c r="E1508" i="5"/>
  <c r="E2290" i="5"/>
  <c r="E2349" i="5"/>
  <c r="E2494" i="5"/>
  <c r="E477" i="5"/>
  <c r="E1761" i="5"/>
  <c r="E43" i="5"/>
  <c r="E1000" i="5"/>
  <c r="E1666" i="5"/>
  <c r="E2329" i="5"/>
  <c r="E128" i="5"/>
  <c r="E673" i="5"/>
  <c r="E1518" i="5"/>
  <c r="E1700" i="5"/>
  <c r="E1817" i="5"/>
  <c r="E2462" i="5"/>
  <c r="E377" i="5"/>
  <c r="E812" i="5"/>
  <c r="E1281" i="5"/>
  <c r="E1367" i="5"/>
  <c r="E1663" i="5"/>
  <c r="E1785" i="5"/>
  <c r="E137" i="5"/>
  <c r="E1459" i="5"/>
  <c r="E1787" i="5"/>
  <c r="E1950" i="5"/>
  <c r="E2239" i="5"/>
  <c r="E2317" i="5"/>
  <c r="E198" i="5"/>
  <c r="E1371" i="5"/>
  <c r="E2035" i="5"/>
  <c r="E1294" i="5"/>
  <c r="E2066" i="5"/>
  <c r="E2172" i="5"/>
  <c r="E605" i="5"/>
  <c r="E1018" i="5"/>
  <c r="E1788" i="5"/>
  <c r="E1873" i="5"/>
  <c r="E1923" i="5"/>
  <c r="E594" i="5"/>
  <c r="E986" i="5"/>
  <c r="E1336" i="5"/>
  <c r="E1396" i="5"/>
  <c r="E1665" i="5"/>
  <c r="E2236" i="5"/>
  <c r="E2406" i="5"/>
  <c r="E140" i="5"/>
  <c r="E1504" i="5"/>
  <c r="E1939" i="5"/>
  <c r="E589" i="5"/>
  <c r="E12" i="5"/>
  <c r="E319" i="5"/>
  <c r="E2495" i="5"/>
  <c r="E715" i="5"/>
  <c r="E764" i="5"/>
  <c r="E1210" i="5"/>
  <c r="E1221" i="5"/>
  <c r="E2052" i="5"/>
  <c r="E2339" i="5"/>
  <c r="E1457" i="5"/>
  <c r="E1926" i="5"/>
  <c r="E1979" i="5"/>
  <c r="E174" i="5"/>
  <c r="E243" i="5"/>
  <c r="E447" i="5"/>
  <c r="E504" i="5"/>
  <c r="E734" i="5"/>
  <c r="E2229" i="5"/>
  <c r="E2282" i="5"/>
  <c r="E148" i="5"/>
  <c r="E412" i="5"/>
  <c r="E1714" i="5"/>
  <c r="E2265" i="5"/>
  <c r="E361" i="5"/>
  <c r="E2183" i="5"/>
  <c r="E83" i="5"/>
  <c r="E639" i="5"/>
  <c r="E816" i="5"/>
  <c r="E910" i="5"/>
  <c r="E999" i="5"/>
  <c r="E483" i="5"/>
  <c r="E987" i="5"/>
  <c r="E1185" i="5"/>
  <c r="E1440" i="5"/>
  <c r="E2300" i="5"/>
  <c r="E2469" i="5"/>
  <c r="E132" i="5"/>
  <c r="E442" i="5"/>
  <c r="E757" i="5"/>
  <c r="E1157" i="5"/>
  <c r="E1303" i="5"/>
  <c r="E2173" i="5"/>
  <c r="E2271" i="5"/>
  <c r="E2284" i="5"/>
  <c r="E2286" i="5"/>
  <c r="E2311" i="5"/>
  <c r="E2380" i="5"/>
  <c r="E194" i="5"/>
  <c r="E744" i="5"/>
  <c r="E874" i="5"/>
  <c r="E929" i="5"/>
  <c r="E1118" i="5"/>
  <c r="E1162" i="5"/>
  <c r="E1758" i="5"/>
  <c r="E264" i="5"/>
  <c r="E392" i="5"/>
  <c r="E1011" i="5"/>
  <c r="E1219" i="5"/>
  <c r="E1235" i="5"/>
  <c r="E1576" i="5"/>
  <c r="E1913" i="5"/>
  <c r="E2270" i="5"/>
  <c r="E1372" i="5"/>
  <c r="E1930" i="5"/>
  <c r="E2188" i="5"/>
  <c r="E2417" i="5"/>
  <c r="E205" i="5"/>
  <c r="E654" i="5"/>
  <c r="E883" i="5"/>
  <c r="E161" i="5"/>
  <c r="E247" i="5"/>
  <c r="E362" i="5"/>
  <c r="E375" i="5"/>
  <c r="E405" i="5"/>
  <c r="E173" i="5"/>
  <c r="E274" i="5"/>
  <c r="E304" i="5"/>
  <c r="E102" i="5"/>
  <c r="E570" i="5"/>
  <c r="E704" i="5"/>
  <c r="E739" i="5"/>
  <c r="E908" i="5"/>
  <c r="E1902" i="5"/>
  <c r="E1912" i="5"/>
  <c r="E191" i="5"/>
  <c r="E402" i="5"/>
  <c r="E1895" i="5"/>
  <c r="E1942" i="5"/>
  <c r="E684" i="5"/>
  <c r="E1386" i="5"/>
  <c r="E1443" i="5"/>
  <c r="E1467" i="5"/>
  <c r="E1577" i="5"/>
  <c r="E1775" i="5"/>
  <c r="E363" i="5"/>
  <c r="E796" i="5"/>
  <c r="E1295" i="5"/>
  <c r="E1309" i="5"/>
  <c r="E1458" i="5"/>
  <c r="E2426" i="5"/>
  <c r="E2433" i="5"/>
  <c r="E534" i="5"/>
  <c r="E560" i="5"/>
  <c r="E819" i="5"/>
  <c r="E1141" i="5"/>
  <c r="E1814" i="5"/>
  <c r="E2224" i="5"/>
  <c r="E989" i="5"/>
  <c r="E2152" i="5"/>
  <c r="E2340" i="5"/>
  <c r="E2401" i="5"/>
  <c r="E1627" i="5"/>
  <c r="E2476" i="5"/>
  <c r="E192" i="5"/>
  <c r="E300" i="5"/>
  <c r="E480" i="5"/>
  <c r="E615" i="5"/>
  <c r="E1456" i="5"/>
  <c r="E207" i="5"/>
  <c r="E327" i="5"/>
  <c r="E1428" i="5"/>
  <c r="E1512" i="5"/>
  <c r="E1762" i="5"/>
  <c r="E1983" i="5"/>
  <c r="E2112" i="5"/>
  <c r="E2185" i="5"/>
  <c r="E2326" i="5"/>
  <c r="E68" i="5"/>
  <c r="E1271" i="5"/>
  <c r="E251" i="5"/>
  <c r="E269" i="5"/>
  <c r="E446" i="5"/>
  <c r="E853" i="5"/>
  <c r="E2050" i="5"/>
  <c r="E2484" i="5"/>
  <c r="E172" i="5"/>
  <c r="E842" i="5"/>
  <c r="E918" i="5"/>
  <c r="E782" i="5"/>
  <c r="E1057" i="5"/>
  <c r="E1109" i="5"/>
  <c r="E1321" i="5"/>
  <c r="E1825" i="5"/>
  <c r="E898" i="5"/>
  <c r="E1721" i="5"/>
  <c r="E159" i="5"/>
  <c r="E685" i="5"/>
  <c r="E1722" i="5"/>
  <c r="E1906" i="5"/>
  <c r="E1973" i="5"/>
  <c r="E2048" i="5"/>
  <c r="E2115" i="5"/>
  <c r="E61" i="5"/>
  <c r="E237" i="5"/>
  <c r="E780" i="5"/>
  <c r="E966" i="5"/>
  <c r="E1106" i="5"/>
  <c r="E1052" i="5"/>
  <c r="E1226" i="5"/>
  <c r="E544" i="5"/>
  <c r="E1127" i="5"/>
  <c r="E2138" i="5"/>
  <c r="E2144" i="5"/>
  <c r="E2193" i="5"/>
  <c r="E2275" i="5"/>
  <c r="E678" i="5"/>
  <c r="E2132" i="5"/>
  <c r="E969" i="5"/>
  <c r="E1251" i="5"/>
  <c r="E1552" i="5"/>
  <c r="E2008" i="5"/>
  <c r="E321" i="5"/>
  <c r="E1049" i="5"/>
  <c r="E1582" i="5"/>
  <c r="E2257" i="5"/>
  <c r="E1074" i="5"/>
  <c r="E2205" i="5"/>
  <c r="E278" i="5"/>
  <c r="E917" i="5"/>
  <c r="E974" i="5"/>
  <c r="E1452" i="5"/>
  <c r="E1658" i="5"/>
  <c r="E1989" i="5"/>
  <c r="E2160" i="5"/>
  <c r="E2464" i="5"/>
  <c r="E227" i="5"/>
  <c r="E1506" i="5"/>
  <c r="E1615" i="5"/>
  <c r="E388" i="5"/>
  <c r="E403" i="5"/>
  <c r="E664" i="5"/>
  <c r="E1454" i="5"/>
  <c r="E2391" i="5"/>
  <c r="E703" i="5"/>
  <c r="E1859" i="5"/>
  <c r="E167" i="5"/>
  <c r="E1937" i="5"/>
  <c r="E2134" i="5"/>
  <c r="E456" i="5"/>
  <c r="E775" i="5"/>
  <c r="E1733" i="5"/>
  <c r="E2472" i="5"/>
  <c r="E1165" i="5"/>
  <c r="E1366" i="5"/>
  <c r="E1600" i="5"/>
  <c r="E2490" i="5"/>
  <c r="E139" i="5"/>
  <c r="E724" i="5"/>
  <c r="E1224" i="5"/>
  <c r="E1585" i="5"/>
  <c r="E1982" i="5"/>
  <c r="E2371" i="5"/>
  <c r="E452" i="5"/>
  <c r="E472" i="5"/>
  <c r="E1995" i="5"/>
  <c r="E2005" i="5"/>
  <c r="E2199" i="5"/>
  <c r="E2216" i="5"/>
  <c r="E2447" i="5"/>
  <c r="E799" i="5"/>
  <c r="E922" i="5"/>
  <c r="E1480" i="5"/>
  <c r="E1059" i="5"/>
  <c r="E1542" i="5"/>
  <c r="E756" i="5"/>
  <c r="E1053" i="5"/>
  <c r="E1798" i="5"/>
  <c r="E1824" i="5"/>
  <c r="E1869" i="5"/>
  <c r="E1262" i="5"/>
  <c r="E1829" i="5"/>
  <c r="E2060" i="5"/>
  <c r="E679" i="5"/>
  <c r="E683" i="5"/>
  <c r="E973" i="5"/>
  <c r="E1215" i="5"/>
  <c r="E1360" i="5"/>
  <c r="E1715" i="5"/>
  <c r="E225" i="5"/>
  <c r="E732" i="5"/>
  <c r="E1061" i="5"/>
  <c r="E391" i="5"/>
  <c r="E1022" i="5"/>
  <c r="E2434" i="5"/>
  <c r="E22" i="5"/>
  <c r="E835" i="5"/>
  <c r="E867" i="5"/>
  <c r="E427" i="5"/>
  <c r="E1516" i="5"/>
  <c r="E1001" i="5"/>
  <c r="E2022" i="5"/>
  <c r="E522" i="5"/>
  <c r="E553" i="5"/>
  <c r="E1474" i="5"/>
  <c r="E1957" i="5"/>
  <c r="E96" i="5"/>
  <c r="E398" i="5"/>
  <c r="E564" i="5"/>
  <c r="E1172" i="5"/>
  <c r="E1412" i="5"/>
  <c r="E1546" i="5"/>
  <c r="E82" i="5"/>
  <c r="E730" i="5"/>
  <c r="E84" i="5"/>
  <c r="E153" i="5"/>
  <c r="E267" i="5"/>
  <c r="E766" i="5"/>
  <c r="E980" i="5"/>
  <c r="E1181" i="5"/>
  <c r="E1667" i="5"/>
  <c r="E948" i="5"/>
  <c r="E1538" i="5"/>
  <c r="E381" i="5"/>
  <c r="E1901" i="5"/>
  <c r="E460" i="5"/>
  <c r="E637" i="5"/>
  <c r="E2379" i="5"/>
  <c r="E481" i="5"/>
  <c r="E912" i="5"/>
  <c r="E1102" i="5"/>
  <c r="E1375" i="5"/>
  <c r="E1592" i="5"/>
  <c r="E1800" i="5"/>
  <c r="E1863" i="5"/>
  <c r="E34" i="5"/>
  <c r="E527" i="5"/>
  <c r="E572" i="5"/>
  <c r="E672" i="5"/>
  <c r="E811" i="5"/>
  <c r="E979" i="5"/>
  <c r="E1198" i="5"/>
  <c r="E1550" i="5"/>
  <c r="E2001" i="5"/>
  <c r="E2157" i="5"/>
  <c r="E737" i="5"/>
  <c r="E1120" i="5"/>
  <c r="E1593" i="5"/>
  <c r="E179" i="5"/>
  <c r="E591" i="5"/>
  <c r="E1438" i="5"/>
  <c r="E106" i="5"/>
  <c r="E602" i="5"/>
  <c r="E670" i="5"/>
  <c r="E2063" i="5"/>
  <c r="E2443" i="5"/>
  <c r="E147" i="5"/>
  <c r="E255" i="5"/>
  <c r="E971" i="5"/>
  <c r="E1170" i="5"/>
  <c r="E1325" i="5"/>
  <c r="E2225" i="5"/>
  <c r="E229" i="5"/>
  <c r="E344" i="5"/>
  <c r="E455" i="5"/>
  <c r="E926" i="5"/>
  <c r="E1028" i="5"/>
  <c r="E2156" i="5"/>
  <c r="E2263" i="5"/>
  <c r="E212" i="5"/>
  <c r="E1062" i="5"/>
  <c r="E1154" i="5"/>
  <c r="E2383" i="5"/>
  <c r="E171" i="5"/>
  <c r="E186" i="5"/>
  <c r="E949" i="5"/>
  <c r="E1163" i="5"/>
  <c r="E2245" i="5"/>
  <c r="E2333" i="5"/>
  <c r="E511" i="5"/>
  <c r="E1532" i="5"/>
  <c r="E1628" i="5"/>
  <c r="E1753" i="5"/>
  <c r="E1815" i="5"/>
  <c r="E1832" i="5"/>
  <c r="E272" i="5"/>
  <c r="E314" i="5"/>
  <c r="E513" i="5"/>
  <c r="E691" i="5"/>
  <c r="E825" i="5"/>
  <c r="E1243" i="5"/>
  <c r="E1693" i="5"/>
  <c r="E1846" i="5"/>
  <c r="E2210" i="5"/>
  <c r="E2254" i="5"/>
  <c r="E74" i="5"/>
  <c r="E884" i="5"/>
  <c r="E793" i="5"/>
  <c r="E1668" i="5"/>
  <c r="E2098" i="5"/>
  <c r="E535" i="5"/>
  <c r="E561" i="5"/>
  <c r="E768" i="5"/>
  <c r="E1344" i="5"/>
  <c r="E2346" i="5"/>
  <c r="E428" i="5"/>
  <c r="E543" i="5"/>
  <c r="E721" i="5"/>
  <c r="E1169" i="5"/>
  <c r="E1500" i="5"/>
  <c r="E1676" i="5"/>
  <c r="E1311" i="5"/>
  <c r="E1560" i="5"/>
  <c r="E1793" i="5"/>
  <c r="E2181" i="5"/>
  <c r="E364" i="5"/>
  <c r="E951" i="5"/>
  <c r="E332" i="5"/>
  <c r="E975" i="5"/>
  <c r="E1843" i="5"/>
  <c r="E1853" i="5"/>
  <c r="E2057" i="5"/>
  <c r="E60" i="5"/>
  <c r="E138" i="5"/>
  <c r="E1331" i="5"/>
  <c r="E1356" i="5"/>
  <c r="E1385" i="5"/>
  <c r="E1649" i="5"/>
  <c r="E464" i="5"/>
  <c r="E492" i="5"/>
  <c r="E821" i="5"/>
  <c r="E1126" i="5"/>
  <c r="E1286" i="5"/>
  <c r="E1696" i="5"/>
  <c r="E1975" i="5"/>
  <c r="E800" i="5"/>
  <c r="E1275" i="5"/>
  <c r="E1971" i="5"/>
  <c r="E2410" i="5"/>
  <c r="E1509" i="5"/>
  <c r="E1988" i="5"/>
  <c r="E1129" i="5"/>
  <c r="E93" i="5"/>
  <c r="E997" i="5"/>
  <c r="E1777" i="5"/>
  <c r="E565" i="5"/>
  <c r="E1036" i="5"/>
  <c r="E1099" i="5"/>
  <c r="E1999" i="5"/>
  <c r="E10" i="5"/>
  <c r="E998" i="5"/>
  <c r="E246" i="5"/>
  <c r="E306" i="5"/>
  <c r="E357" i="5"/>
  <c r="E598" i="5"/>
  <c r="E1040" i="5"/>
  <c r="E232" i="5"/>
  <c r="E1779" i="5"/>
  <c r="E310" i="5"/>
  <c r="E2059" i="5"/>
  <c r="E113" i="5"/>
  <c r="E865" i="5"/>
  <c r="E925" i="5"/>
  <c r="E1013" i="5"/>
  <c r="E1310" i="5"/>
  <c r="E1903" i="5"/>
  <c r="E2054" i="5"/>
  <c r="E2145" i="5"/>
  <c r="E2218" i="5"/>
  <c r="E2431" i="5"/>
  <c r="E771" i="5"/>
  <c r="E1503" i="5"/>
  <c r="E1778" i="5"/>
  <c r="E259" i="5"/>
  <c r="E970" i="5"/>
  <c r="E1050" i="5"/>
  <c r="E1591" i="5"/>
  <c r="E2496" i="5"/>
  <c r="E868" i="5"/>
  <c r="E2280" i="5"/>
  <c r="E134" i="5"/>
  <c r="E401" i="5"/>
  <c r="E109" i="5"/>
  <c r="E318" i="5"/>
  <c r="E1388" i="5"/>
  <c r="E1484" i="5"/>
  <c r="E1682" i="5"/>
  <c r="E1864" i="5"/>
  <c r="E2325" i="5"/>
  <c r="E358" i="5"/>
  <c r="E1411" i="5"/>
  <c r="E1343" i="5"/>
  <c r="E1419" i="5"/>
  <c r="E2106" i="5"/>
  <c r="E2459" i="5"/>
  <c r="E2422" i="5"/>
  <c r="E387" i="5"/>
  <c r="E1047" i="5"/>
  <c r="E1756" i="5"/>
  <c r="E1803" i="5"/>
  <c r="E1833" i="5"/>
  <c r="E2327" i="5"/>
  <c r="E701" i="5"/>
  <c r="E1133" i="5"/>
  <c r="E1416" i="5"/>
  <c r="E1711" i="5"/>
  <c r="E467" i="5"/>
  <c r="E896" i="5"/>
  <c r="E1247" i="5"/>
  <c r="E2114" i="5"/>
  <c r="E2170" i="5"/>
  <c r="E2487" i="5"/>
  <c r="E959" i="5"/>
  <c r="E1090" i="5"/>
  <c r="E1441" i="5"/>
  <c r="E1675" i="5"/>
  <c r="E1741" i="5"/>
  <c r="E765" i="5"/>
  <c r="E1097" i="5"/>
  <c r="E1867" i="5"/>
  <c r="E2003" i="5"/>
  <c r="E2041" i="5"/>
  <c r="E317" i="5"/>
  <c r="E1717" i="5"/>
  <c r="E1941" i="5"/>
  <c r="E2411" i="5"/>
  <c r="E2420" i="5"/>
  <c r="E2488" i="5"/>
  <c r="E271" i="5"/>
  <c r="E418" i="5"/>
  <c r="E568" i="5"/>
  <c r="E881" i="5"/>
  <c r="E1071" i="5"/>
  <c r="E1134" i="5"/>
  <c r="E478" i="5"/>
  <c r="E2089" i="5"/>
  <c r="E2182" i="5"/>
  <c r="E170" i="5"/>
  <c r="E311" i="5"/>
  <c r="E343" i="5"/>
  <c r="E1048" i="5"/>
  <c r="E1380" i="5"/>
  <c r="E843" i="5"/>
  <c r="E1449" i="5"/>
  <c r="E690" i="5"/>
  <c r="E1633" i="5"/>
  <c r="E1655" i="5"/>
  <c r="E1678" i="5"/>
  <c r="E2135" i="5"/>
  <c r="E2312" i="5"/>
  <c r="E105" i="5"/>
  <c r="E200" i="5"/>
  <c r="E258" i="5"/>
  <c r="E746" i="5"/>
  <c r="E1407" i="5"/>
  <c r="E1569" i="5"/>
  <c r="E1617" i="5"/>
  <c r="E1732" i="5"/>
  <c r="E2107" i="5"/>
  <c r="E2482" i="5"/>
  <c r="E36" i="5"/>
  <c r="E90" i="5"/>
  <c r="E450" i="5"/>
  <c r="E1191" i="5"/>
  <c r="E1290" i="5"/>
  <c r="E1521" i="5"/>
  <c r="E2053" i="5"/>
  <c r="E2316" i="5"/>
  <c r="E228" i="5"/>
  <c r="E2288" i="5"/>
  <c r="E962" i="5"/>
  <c r="E1056" i="5"/>
  <c r="E1073" i="5"/>
  <c r="E1130" i="5"/>
  <c r="E1403" i="5"/>
  <c r="E1851" i="5"/>
  <c r="E2370" i="5"/>
  <c r="E2468" i="5"/>
  <c r="E199" i="5"/>
  <c r="E393" i="5"/>
  <c r="E1475" i="5"/>
  <c r="E1860" i="5"/>
  <c r="E1948" i="5"/>
  <c r="E2415" i="5"/>
  <c r="E1114" i="5"/>
  <c r="E2220" i="5"/>
  <c r="E235" i="5"/>
  <c r="E656" i="5"/>
  <c r="E1760" i="5"/>
  <c r="E1096" i="5"/>
  <c r="E1143" i="5"/>
  <c r="E2421" i="5"/>
  <c r="E2500" i="5"/>
  <c r="E2481" i="5"/>
  <c r="E502" i="5"/>
  <c r="E547" i="5"/>
  <c r="E1917" i="5"/>
  <c r="E1996" i="5"/>
  <c r="E665" i="5"/>
  <c r="E1836" i="5"/>
  <c r="E1857" i="5"/>
  <c r="E104" i="5"/>
  <c r="E629" i="5"/>
  <c r="E635" i="5"/>
  <c r="E1182" i="5"/>
  <c r="E1334" i="5"/>
  <c r="E1840" i="5"/>
  <c r="E40" i="5"/>
  <c r="E426" i="5"/>
  <c r="E1027" i="5"/>
  <c r="E2463" i="5"/>
  <c r="E308" i="5"/>
  <c r="E1670" i="5"/>
  <c r="E1750" i="5"/>
  <c r="E1943" i="5"/>
  <c r="E2184" i="5"/>
  <c r="E1225" i="5"/>
  <c r="E1558" i="5"/>
  <c r="E2004" i="5"/>
  <c r="E976" i="5"/>
  <c r="E1077" i="5"/>
  <c r="E1335" i="5"/>
  <c r="E1448" i="5"/>
  <c r="E2153" i="5"/>
  <c r="E276" i="5"/>
  <c r="E967" i="5"/>
  <c r="E2244" i="5"/>
  <c r="E2461" i="5"/>
  <c r="E2491" i="5"/>
  <c r="E75" i="5"/>
  <c r="E282" i="5"/>
  <c r="E1881" i="5"/>
  <c r="E1932" i="5"/>
  <c r="E466" i="5"/>
  <c r="E525" i="5"/>
  <c r="E1214" i="5"/>
  <c r="E1524" i="5"/>
  <c r="E1534" i="5"/>
  <c r="E1611" i="5"/>
  <c r="E1706" i="5"/>
  <c r="E2255" i="5"/>
  <c r="E2486" i="5"/>
  <c r="E2000" i="5"/>
  <c r="E2095" i="5"/>
  <c r="E44" i="5"/>
  <c r="E934" i="5"/>
  <c r="E2079" i="5"/>
  <c r="E2124" i="5"/>
  <c r="E2125" i="5"/>
  <c r="E163" i="5"/>
  <c r="E551" i="5"/>
  <c r="E1144" i="5"/>
  <c r="E1197" i="5"/>
  <c r="E1201" i="5"/>
  <c r="E1629" i="5"/>
  <c r="E97" i="5"/>
  <c r="E479" i="5"/>
  <c r="E988" i="5"/>
  <c r="E1180" i="5"/>
  <c r="E1533" i="5"/>
  <c r="E1536" i="5"/>
  <c r="E1642" i="5"/>
  <c r="E1767" i="5"/>
  <c r="E9" i="5"/>
  <c r="E805" i="5"/>
  <c r="E820" i="5"/>
  <c r="E879" i="5"/>
  <c r="E1138" i="5"/>
  <c r="E2027" i="5"/>
  <c r="E2357" i="5"/>
  <c r="E902" i="5"/>
  <c r="E1171" i="5"/>
  <c r="E1394" i="5"/>
  <c r="E1862" i="5"/>
  <c r="E31" i="5"/>
  <c r="E749" i="5"/>
  <c r="E1006" i="5"/>
  <c r="E1148" i="5"/>
  <c r="E1736" i="5"/>
  <c r="E2211" i="5"/>
  <c r="E2287" i="5"/>
  <c r="E862" i="5"/>
  <c r="E1015" i="5"/>
  <c r="E1540" i="5"/>
  <c r="E1677" i="5"/>
  <c r="E2015" i="5"/>
  <c r="E2403" i="5"/>
  <c r="E1907" i="5"/>
  <c r="E2460" i="5"/>
  <c r="E516" i="5"/>
  <c r="E958" i="5"/>
  <c r="E1116" i="5"/>
  <c r="E1150" i="5"/>
  <c r="E110" i="5"/>
  <c r="E348" i="5"/>
  <c r="E588" i="5"/>
  <c r="E847" i="5"/>
  <c r="E1037" i="5"/>
  <c r="E2314" i="5"/>
  <c r="E2388" i="5"/>
  <c r="E169" i="5"/>
  <c r="E283" i="5"/>
  <c r="E859" i="5"/>
  <c r="E1029" i="5"/>
  <c r="E1173" i="5"/>
  <c r="E1409" i="5"/>
  <c r="E1573" i="5"/>
  <c r="E1876" i="5"/>
  <c r="E2407" i="5"/>
  <c r="E595" i="5"/>
  <c r="E681" i="5"/>
  <c r="E1754" i="5"/>
  <c r="E440" i="5"/>
  <c r="E582" i="5"/>
  <c r="E960" i="5"/>
  <c r="E1220" i="5"/>
  <c r="E2247" i="5"/>
  <c r="E2363" i="5"/>
  <c r="E11" i="5"/>
  <c r="E623" i="5"/>
  <c r="E1083" i="5"/>
  <c r="E1965" i="5"/>
  <c r="E489" i="5"/>
  <c r="E914" i="5"/>
  <c r="E1230" i="5"/>
  <c r="E1322" i="5"/>
  <c r="E2438" i="5"/>
  <c r="E5" i="5"/>
  <c r="E256" i="5"/>
  <c r="E307" i="5"/>
  <c r="E784" i="5"/>
  <c r="E1373" i="5"/>
  <c r="E2319" i="5"/>
  <c r="E470" i="5"/>
  <c r="E657" i="5"/>
  <c r="E901" i="5"/>
  <c r="E2233" i="5"/>
  <c r="E145" i="5"/>
  <c r="E603" i="5"/>
  <c r="E606" i="5"/>
  <c r="E1398" i="5"/>
  <c r="E839" i="5"/>
  <c r="E1337" i="5"/>
  <c r="E1499" i="5"/>
  <c r="E1595" i="5"/>
  <c r="E242" i="5"/>
  <c r="E1277" i="5"/>
  <c r="D1095" i="5"/>
  <c r="D1619" i="5"/>
  <c r="D1648" i="5"/>
  <c r="D270" i="5"/>
  <c r="D1737" i="5"/>
  <c r="D2203" i="5"/>
  <c r="D248" i="5"/>
  <c r="D1780" i="5"/>
  <c r="D371" i="5"/>
  <c r="D836" i="5"/>
  <c r="D65" i="5"/>
  <c r="D655" i="5"/>
  <c r="D755" i="5"/>
  <c r="D2031" i="5"/>
  <c r="D1819" i="5"/>
  <c r="D1168" i="5"/>
  <c r="D2479" i="5"/>
  <c r="D336" i="5"/>
  <c r="D1274" i="5"/>
  <c r="D1434" i="5"/>
  <c r="D2307" i="5"/>
  <c r="D351" i="5"/>
  <c r="D2294" i="5"/>
  <c r="D37" i="5"/>
  <c r="D1340" i="5"/>
  <c r="D1250" i="5"/>
  <c r="D762" i="5"/>
  <c r="D1610" i="5"/>
  <c r="D2308" i="5"/>
  <c r="D1466" i="5"/>
  <c r="D78" i="5"/>
  <c r="D1125" i="5"/>
  <c r="D1993" i="5"/>
  <c r="D808" i="5"/>
  <c r="D164" i="5"/>
  <c r="D789" i="5"/>
  <c r="D1339" i="5"/>
  <c r="D1314" i="5"/>
  <c r="D1158" i="5"/>
  <c r="D52" i="5"/>
  <c r="D978" i="5"/>
  <c r="D1376" i="5"/>
  <c r="D895" i="5"/>
  <c r="D2318" i="5"/>
  <c r="D2249" i="5"/>
  <c r="D1193" i="5"/>
  <c r="D944" i="5"/>
  <c r="D2116" i="5"/>
  <c r="D1602" i="5"/>
  <c r="D1485" i="5"/>
  <c r="D1517" i="5"/>
  <c r="D1605" i="5"/>
  <c r="D886" i="5"/>
  <c r="D992" i="5"/>
  <c r="D1594" i="5"/>
  <c r="D1306" i="5"/>
  <c r="D1234" i="5"/>
  <c r="D2283" i="5"/>
  <c r="D1279" i="5"/>
  <c r="D2167" i="5"/>
  <c r="D2394" i="5"/>
  <c r="D296" i="5"/>
  <c r="D1151" i="5"/>
  <c r="D1672" i="5"/>
  <c r="D2429" i="5"/>
  <c r="D1625" i="5"/>
  <c r="D2072" i="5"/>
  <c r="D1656" i="5"/>
  <c r="D981" i="5"/>
  <c r="D1105" i="5"/>
  <c r="D2409" i="5"/>
  <c r="D1260" i="5"/>
  <c r="D1435" i="5"/>
  <c r="D2451" i="5"/>
  <c r="D2083" i="5"/>
  <c r="D2362" i="5"/>
  <c r="D129" i="5"/>
  <c r="D803" i="5"/>
  <c r="D822" i="5"/>
  <c r="D1685" i="5"/>
  <c r="D1669" i="5"/>
  <c r="D287" i="5"/>
  <c r="D669" i="5"/>
  <c r="D611" i="5"/>
  <c r="D284" i="5"/>
  <c r="D1122" i="5"/>
  <c r="D982" i="5"/>
  <c r="D996" i="5"/>
  <c r="D849" i="5"/>
  <c r="D2175" i="5"/>
  <c r="D882" i="5"/>
  <c r="D1014" i="5"/>
  <c r="D301" i="5"/>
  <c r="D674" i="5"/>
  <c r="D1087" i="5"/>
  <c r="D1866" i="5"/>
  <c r="D176" i="5"/>
  <c r="D1008" i="5"/>
  <c r="D1341" i="5"/>
  <c r="D1453" i="5"/>
  <c r="D1067" i="5"/>
  <c r="D1427" i="5"/>
  <c r="D741" i="5"/>
  <c r="D1878" i="5"/>
  <c r="D2020" i="5"/>
  <c r="D2155" i="5"/>
  <c r="D2378" i="5"/>
  <c r="D2382" i="5"/>
  <c r="D2285" i="5"/>
  <c r="D299" i="5"/>
  <c r="D1436" i="5"/>
  <c r="D1222" i="5"/>
  <c r="D1246" i="5"/>
  <c r="D501" i="5"/>
  <c r="D2277" i="5"/>
  <c r="D769" i="5"/>
  <c r="D144" i="5"/>
  <c r="D641" i="5"/>
  <c r="D1166" i="5"/>
  <c r="D631" i="5"/>
  <c r="D1705" i="5"/>
  <c r="D1848" i="5"/>
  <c r="D383" i="5"/>
  <c r="D346" i="5"/>
  <c r="D394" i="5"/>
  <c r="D476" i="5"/>
  <c r="D1128" i="5"/>
  <c r="D1437" i="5"/>
  <c r="D680" i="5"/>
  <c r="D735" i="5"/>
  <c r="D647" i="5"/>
  <c r="D1039" i="5"/>
  <c r="D984" i="5"/>
  <c r="D121" i="5"/>
  <c r="D151" i="5"/>
  <c r="D1091" i="5"/>
  <c r="D521" i="5"/>
  <c r="D1723" i="5"/>
  <c r="D2373" i="5"/>
  <c r="D1265" i="5"/>
  <c r="D2364" i="5"/>
  <c r="D2256" i="5"/>
  <c r="D1354" i="5"/>
  <c r="D649" i="5"/>
  <c r="D494" i="5"/>
  <c r="D2119" i="5"/>
  <c r="D2241" i="5"/>
  <c r="D736" i="5"/>
  <c r="D2221" i="5"/>
  <c r="D806" i="5"/>
  <c r="D1708" i="5"/>
  <c r="D157" i="5"/>
  <c r="D1727" i="5"/>
  <c r="D660" i="5"/>
  <c r="D1644" i="5"/>
  <c r="D166" i="5"/>
  <c r="D1445" i="5"/>
  <c r="D219" i="5"/>
  <c r="D1940" i="5"/>
  <c r="D1420" i="5"/>
  <c r="D2086" i="5"/>
  <c r="D562" i="5"/>
  <c r="D1229" i="5"/>
  <c r="D1473" i="5"/>
  <c r="D1568" i="5"/>
  <c r="D1789" i="5"/>
  <c r="D1413" i="5"/>
  <c r="D239" i="5"/>
  <c r="D1997" i="5"/>
  <c r="D1890" i="5"/>
  <c r="D268" i="5"/>
  <c r="D2492" i="5"/>
  <c r="D1914" i="5"/>
  <c r="D1135" i="5"/>
  <c r="D2158" i="5"/>
  <c r="D254" i="5"/>
  <c r="D474" i="5"/>
  <c r="D1620" i="5"/>
  <c r="D1189" i="5"/>
  <c r="D710" i="5"/>
  <c r="D1944" i="5"/>
  <c r="D2439" i="5"/>
  <c r="D830" i="5"/>
  <c r="D1481" i="5"/>
  <c r="D792" i="5"/>
  <c r="D1702" i="5"/>
  <c r="D2110" i="5"/>
  <c r="D72" i="5"/>
  <c r="D1328" i="5"/>
  <c r="D2253" i="5"/>
  <c r="D2390" i="5"/>
  <c r="D59" i="5"/>
  <c r="D421" i="5"/>
  <c r="D1216" i="5"/>
  <c r="D2046" i="5"/>
  <c r="D1089" i="5"/>
  <c r="D613" i="5"/>
  <c r="D2076" i="5"/>
  <c r="D184" i="5"/>
  <c r="D2101" i="5"/>
  <c r="D1967" i="5"/>
  <c r="D618" i="5"/>
  <c r="D794" i="5"/>
  <c r="D1383" i="5"/>
  <c r="D2058" i="5"/>
  <c r="D2149" i="5"/>
  <c r="D2147" i="5"/>
  <c r="D1791" i="5"/>
  <c r="D2006" i="5"/>
  <c r="D2493" i="5"/>
  <c r="D1323" i="5"/>
  <c r="D370" i="5"/>
  <c r="D856" i="5"/>
  <c r="D2276" i="5"/>
  <c r="D1405" i="5"/>
  <c r="D292" i="5"/>
  <c r="D750" i="5"/>
  <c r="D1964" i="5"/>
  <c r="D345" i="5"/>
  <c r="D584" i="5"/>
  <c r="D2292" i="5"/>
  <c r="D577" i="5"/>
  <c r="D81" i="5"/>
  <c r="D1393" i="5"/>
  <c r="D2219" i="5"/>
  <c r="D1583" i="5"/>
  <c r="D539" i="5"/>
  <c r="D386" i="5"/>
  <c r="D1035" i="5"/>
  <c r="D1561" i="5"/>
  <c r="D1291" i="5"/>
  <c r="D20" i="5"/>
  <c r="D1757" i="5"/>
  <c r="D204" i="5"/>
  <c r="D2002" i="5"/>
  <c r="D257" i="5"/>
  <c r="D2150" i="5"/>
  <c r="D1270" i="5"/>
  <c r="D1740" i="5"/>
  <c r="D1604" i="5"/>
  <c r="D2306" i="5"/>
  <c r="D1327" i="5"/>
  <c r="D1408" i="5"/>
  <c r="D1051" i="5"/>
  <c r="D773" i="5"/>
  <c r="D1554" i="5"/>
  <c r="D2011" i="5"/>
  <c r="D1299" i="5"/>
  <c r="D1623" i="5"/>
  <c r="D1258" i="5"/>
  <c r="D2446" i="5"/>
  <c r="D753" i="5"/>
  <c r="D936" i="5"/>
  <c r="D1716" i="5"/>
  <c r="D1684" i="5"/>
  <c r="D845" i="5"/>
  <c r="D797" i="5"/>
  <c r="D1211" i="5"/>
  <c r="D2264" i="5"/>
  <c r="D2474" i="5"/>
  <c r="D1872" i="5"/>
  <c r="D2007" i="5"/>
  <c r="D2100" i="5"/>
  <c r="D840" i="5"/>
  <c r="D733" i="5"/>
  <c r="D1865" i="5"/>
  <c r="D2142" i="5"/>
  <c r="D1046" i="5"/>
  <c r="D182" i="5"/>
  <c r="D1140" i="5"/>
  <c r="D1304" i="5"/>
  <c r="D1482" i="5"/>
  <c r="D536" i="5"/>
  <c r="D2207" i="5"/>
  <c r="D643" i="5"/>
  <c r="D1031" i="5"/>
  <c r="D1156" i="5"/>
  <c r="D837" i="5"/>
  <c r="D651" i="5"/>
  <c r="D1155" i="5"/>
  <c r="D1410" i="5"/>
  <c r="D1725" i="5"/>
  <c r="D41" i="5"/>
  <c r="D1192" i="5"/>
  <c r="D1900" i="5"/>
  <c r="D1404" i="5"/>
  <c r="D451" i="5"/>
  <c r="D165" i="5"/>
  <c r="D1640" i="5"/>
  <c r="D2166" i="5"/>
  <c r="D2176" i="5"/>
  <c r="D1227" i="5"/>
  <c r="D893" i="5"/>
  <c r="D2227" i="5"/>
  <c r="D890" i="5"/>
  <c r="D1465" i="5"/>
  <c r="D1991" i="5"/>
  <c r="D1697" i="5"/>
  <c r="D1007" i="5"/>
  <c r="D1069" i="5"/>
  <c r="D1556" i="5"/>
  <c r="D1159" i="5"/>
  <c r="D1713" i="5"/>
  <c r="D2217" i="5"/>
  <c r="D506" i="5"/>
  <c r="D1085" i="5"/>
  <c r="D1710" i="5"/>
  <c r="D1861" i="5"/>
  <c r="D46" i="5"/>
  <c r="D433" i="5"/>
  <c r="D1855" i="5"/>
  <c r="D2399" i="5"/>
  <c r="D294" i="5"/>
  <c r="D1259" i="5"/>
  <c r="D1599" i="5"/>
  <c r="D1646" i="5"/>
  <c r="D265" i="5"/>
  <c r="D486" i="5"/>
  <c r="D709" i="5"/>
  <c r="D786" i="5"/>
  <c r="D1228" i="5"/>
  <c r="D1397" i="5"/>
  <c r="D1743" i="5"/>
  <c r="D1987" i="5"/>
  <c r="D2117" i="5"/>
  <c r="D14" i="5"/>
  <c r="D89" i="5"/>
  <c r="D220" i="5"/>
  <c r="D2289" i="5"/>
  <c r="D262" i="5"/>
  <c r="D941" i="5"/>
  <c r="D1748" i="5"/>
  <c r="D1952" i="5"/>
  <c r="D2013" i="5"/>
  <c r="D2162" i="5"/>
  <c r="D2186" i="5"/>
  <c r="D2386" i="5"/>
  <c r="D202" i="5"/>
  <c r="D352" i="5"/>
  <c r="D991" i="5"/>
  <c r="D1012" i="5"/>
  <c r="D1093" i="5"/>
  <c r="D1103" i="5"/>
  <c r="D1747" i="5"/>
  <c r="D2273" i="5"/>
  <c r="D51" i="5"/>
  <c r="D454" i="5"/>
  <c r="D1637" i="5"/>
  <c r="D2466" i="5"/>
  <c r="D1353" i="5"/>
  <c r="D1630" i="5"/>
  <c r="D2303" i="5"/>
  <c r="D2416" i="5"/>
  <c r="D71" i="5"/>
  <c r="D517" i="5"/>
  <c r="D1188" i="5"/>
  <c r="D2320" i="5"/>
  <c r="D2343" i="5"/>
  <c r="D754" i="5"/>
  <c r="D861" i="5"/>
  <c r="D1494" i="5"/>
  <c r="D2113" i="5"/>
  <c r="D2458" i="5"/>
  <c r="D29" i="5"/>
  <c r="D498" i="5"/>
  <c r="D1242" i="5"/>
  <c r="D1451" i="5"/>
  <c r="D1694" i="5"/>
  <c r="D2298" i="5"/>
  <c r="D2348" i="5"/>
  <c r="D58" i="5"/>
  <c r="D510" i="5"/>
  <c r="D558" i="5"/>
  <c r="D1232" i="5"/>
  <c r="D1570" i="5"/>
  <c r="D2143" i="5"/>
  <c r="D931" i="5"/>
  <c r="D1019" i="5"/>
  <c r="D1526" i="5"/>
  <c r="D1915" i="5"/>
  <c r="D236" i="5"/>
  <c r="D597" i="5"/>
  <c r="D1107" i="5"/>
  <c r="D1587" i="5"/>
  <c r="D1609" i="5"/>
  <c r="D73" i="5"/>
  <c r="D833" i="5"/>
  <c r="D1075" i="5"/>
  <c r="D1921" i="5"/>
  <c r="D1977" i="5"/>
  <c r="D53" i="5"/>
  <c r="D1276" i="5"/>
  <c r="D1349" i="5"/>
  <c r="D1608" i="5"/>
  <c r="D497" i="5"/>
  <c r="D1471" i="5"/>
  <c r="D2127" i="5"/>
  <c r="D555" i="5"/>
  <c r="D1042" i="5"/>
  <c r="D1422" i="5"/>
  <c r="D2230" i="5"/>
  <c r="D2281" i="5"/>
  <c r="D325" i="5"/>
  <c r="D1032" i="5"/>
  <c r="D2305" i="5"/>
  <c r="D312" i="5"/>
  <c r="D1147" i="5"/>
  <c r="D1992" i="5"/>
  <c r="D2341" i="5"/>
  <c r="D356" i="5"/>
  <c r="D933" i="5"/>
  <c r="D1734" i="5"/>
  <c r="D1751" i="5"/>
  <c r="D2128" i="5"/>
  <c r="D1718" i="5"/>
  <c r="D2018" i="5"/>
  <c r="D520" i="5"/>
  <c r="D1256" i="5"/>
  <c r="D2171" i="5"/>
  <c r="D117" i="5"/>
  <c r="D644" i="5"/>
  <c r="D1312" i="5"/>
  <c r="D1720" i="5"/>
  <c r="D2200" i="5"/>
  <c r="D116" i="5"/>
  <c r="D341" i="5"/>
  <c r="D1755" i="5"/>
  <c r="D850" i="5"/>
  <c r="D1079" i="5"/>
  <c r="D1444" i="5"/>
  <c r="D1808" i="5"/>
  <c r="D438" i="5"/>
  <c r="D804" i="5"/>
  <c r="D876" i="5"/>
  <c r="D1497" i="5"/>
  <c r="D1985" i="5"/>
  <c r="D2198" i="5"/>
  <c r="D2342" i="5"/>
  <c r="D2444" i="5"/>
  <c r="D473" i="5"/>
  <c r="D1810" i="5"/>
  <c r="D2228" i="5"/>
  <c r="D2330" i="5"/>
  <c r="D2412" i="5"/>
  <c r="D48" i="5"/>
  <c r="D295" i="5"/>
  <c r="D488" i="5"/>
  <c r="D2075" i="5"/>
  <c r="D2259" i="5"/>
  <c r="D45" i="5"/>
  <c r="D313" i="5"/>
  <c r="D952" i="5"/>
  <c r="D1545" i="5"/>
  <c r="D1812" i="5"/>
  <c r="D399" i="5"/>
  <c r="D1698" i="5"/>
  <c r="D1771" i="5"/>
  <c r="D338" i="5"/>
  <c r="D801" i="5"/>
  <c r="D953" i="5"/>
  <c r="D1117" i="5"/>
  <c r="D1813" i="5"/>
  <c r="D2074" i="5"/>
  <c r="D2452" i="5"/>
  <c r="D725" i="5"/>
  <c r="D818" i="5"/>
  <c r="D957" i="5"/>
  <c r="D1447" i="5"/>
  <c r="D2161" i="5"/>
  <c r="D965" i="5"/>
  <c r="D1501" i="5"/>
  <c r="D2381" i="5"/>
  <c r="D266" i="5"/>
  <c r="D573" i="5"/>
  <c r="D626" i="5"/>
  <c r="D2404" i="5"/>
  <c r="D430" i="5"/>
  <c r="D904" i="5"/>
  <c r="D1704" i="5"/>
  <c r="D946" i="5"/>
  <c r="D1671" i="5"/>
  <c r="D2010" i="5"/>
  <c r="D2090" i="5"/>
  <c r="D2365" i="5"/>
  <c r="D133" i="5"/>
  <c r="D431" i="5"/>
  <c r="D1888" i="5"/>
  <c r="D2032" i="5"/>
  <c r="D2351" i="5"/>
  <c r="D422" i="5"/>
  <c r="D523" i="5"/>
  <c r="D1315" i="5"/>
  <c r="D1622" i="5"/>
  <c r="D1936" i="5"/>
  <c r="D1092" i="5"/>
  <c r="D1634" i="5"/>
  <c r="D1886" i="5"/>
  <c r="D2223" i="5"/>
  <c r="D86" i="5"/>
  <c r="D714" i="5"/>
  <c r="D1520" i="5"/>
  <c r="D135" i="5"/>
  <c r="D162" i="5"/>
  <c r="D188" i="5"/>
  <c r="D1054" i="5"/>
  <c r="D1346" i="5"/>
  <c r="D1830" i="5"/>
  <c r="D1955" i="5"/>
  <c r="D214" i="5"/>
  <c r="D668" i="5"/>
  <c r="D915" i="5"/>
  <c r="D1207" i="5"/>
  <c r="D1842" i="5"/>
  <c r="D2419" i="5"/>
  <c r="D367" i="5"/>
  <c r="D1023" i="5"/>
  <c r="D76" i="5"/>
  <c r="D686" i="5"/>
  <c r="D1115" i="5"/>
  <c r="D2251" i="5"/>
  <c r="D260" i="5"/>
  <c r="D857" i="5"/>
  <c r="D1782" i="5"/>
  <c r="D2448" i="5"/>
  <c r="D1543" i="5"/>
  <c r="D1657" i="5"/>
  <c r="D2345" i="5"/>
  <c r="D290" i="5"/>
  <c r="D889" i="5"/>
  <c r="D2037" i="5"/>
  <c r="D752" i="5"/>
  <c r="D1439" i="5"/>
  <c r="D1461" i="5"/>
  <c r="D1502" i="5"/>
  <c r="D1946" i="5"/>
  <c r="D2232" i="5"/>
  <c r="D990" i="5"/>
  <c r="D1283" i="5"/>
  <c r="D1831" i="5"/>
  <c r="D2093" i="5"/>
  <c r="D35" i="5"/>
  <c r="D281" i="5"/>
  <c r="D329" i="5"/>
  <c r="D531" i="5"/>
  <c r="D699" i="5"/>
  <c r="D772" i="5"/>
  <c r="D1510" i="5"/>
  <c r="D1528" i="5"/>
  <c r="D1783" i="5"/>
  <c r="D813" i="5"/>
  <c r="D938" i="5"/>
  <c r="D994" i="5"/>
  <c r="D1662" i="5"/>
  <c r="D2296" i="5"/>
  <c r="D783" i="5"/>
  <c r="D906" i="5"/>
  <c r="D995" i="5"/>
  <c r="D1739" i="5"/>
  <c r="D57" i="5"/>
  <c r="D698" i="5"/>
  <c r="D940" i="5"/>
  <c r="D2087" i="5"/>
  <c r="D2108" i="5"/>
  <c r="D2489" i="5"/>
  <c r="D354" i="5"/>
  <c r="D360" i="5"/>
  <c r="D1735" i="5"/>
  <c r="D1688" i="5"/>
  <c r="D855" i="5"/>
  <c r="D1108" i="5"/>
  <c r="D1547" i="5"/>
  <c r="D1598" i="5"/>
  <c r="D2424" i="5"/>
  <c r="D723" i="5"/>
  <c r="D1132" i="5"/>
  <c r="D1415" i="5"/>
  <c r="D2369" i="5"/>
  <c r="D559" i="5"/>
  <c r="D634" i="5"/>
  <c r="D1551" i="5"/>
  <c r="D1899" i="5"/>
  <c r="D622" i="5"/>
  <c r="D2347" i="5"/>
  <c r="D526" i="5"/>
  <c r="D1045" i="5"/>
  <c r="D1811" i="5"/>
  <c r="D2356" i="5"/>
  <c r="D640" i="5"/>
  <c r="D1601" i="5"/>
  <c r="D1801" i="5"/>
  <c r="D2021" i="5"/>
  <c r="D2094" i="5"/>
  <c r="D2165" i="5"/>
  <c r="D2177" i="5"/>
  <c r="D92" i="5"/>
  <c r="D509" i="5"/>
  <c r="D682" i="5"/>
  <c r="D1184" i="5"/>
  <c r="D2194" i="5"/>
  <c r="D2396" i="5"/>
  <c r="D1078" i="5"/>
  <c r="D1119" i="5"/>
  <c r="D206" i="5"/>
  <c r="D416" i="5"/>
  <c r="D1161" i="5"/>
  <c r="D1463" i="5"/>
  <c r="D1728" i="5"/>
  <c r="D1961" i="5"/>
  <c r="D2192" i="5"/>
  <c r="D55" i="5"/>
  <c r="D507" i="5"/>
  <c r="D1199" i="5"/>
  <c r="D1395" i="5"/>
  <c r="D677" i="5"/>
  <c r="D1205" i="5"/>
  <c r="D1632" i="5"/>
  <c r="D1651" i="5"/>
  <c r="D439" i="5"/>
  <c r="D852" i="5"/>
  <c r="D1505" i="5"/>
  <c r="D2350" i="5"/>
  <c r="D231" i="5"/>
  <c r="D964" i="5"/>
  <c r="D1121" i="5"/>
  <c r="D1285" i="5"/>
  <c r="D1519" i="5"/>
  <c r="D1730" i="5"/>
  <c r="D1784" i="5"/>
  <c r="D1925" i="5"/>
  <c r="D2250" i="5"/>
  <c r="D380" i="5"/>
  <c r="D1319" i="5"/>
  <c r="D1766" i="5"/>
  <c r="D1826" i="5"/>
  <c r="D1828" i="5"/>
  <c r="D2097" i="5"/>
  <c r="D645" i="5"/>
  <c r="D727" i="5"/>
  <c r="D2441" i="5"/>
  <c r="D661" i="5"/>
  <c r="D956" i="5"/>
  <c r="D1763" i="5"/>
  <c r="D87" i="5"/>
  <c r="D127" i="5"/>
  <c r="D221" i="5"/>
  <c r="D389" i="5"/>
  <c r="D484" i="5"/>
  <c r="D795" i="5"/>
  <c r="D943" i="5"/>
  <c r="D1664" i="5"/>
  <c r="D2129" i="5"/>
  <c r="D2471" i="5"/>
  <c r="D1491" i="5"/>
  <c r="D1567" i="5"/>
  <c r="D2049" i="5"/>
  <c r="D1297" i="5"/>
  <c r="D1909" i="5"/>
  <c r="D2234" i="5"/>
  <c r="D866" i="5"/>
  <c r="D1525" i="5"/>
  <c r="D1879" i="5"/>
  <c r="D2042" i="5"/>
  <c r="D2139" i="5"/>
  <c r="D298" i="5"/>
  <c r="D628" i="5"/>
  <c r="D2297" i="5"/>
  <c r="D2367" i="5"/>
  <c r="D63" i="5"/>
  <c r="D538" i="5"/>
  <c r="D814" i="5"/>
  <c r="D961" i="5"/>
  <c r="D1382" i="5"/>
  <c r="D1841" i="5"/>
  <c r="D1972" i="5"/>
  <c r="D2137" i="5"/>
  <c r="D425" i="5"/>
  <c r="D722" i="5"/>
  <c r="D2338" i="5"/>
  <c r="D1330" i="5"/>
  <c r="D1522" i="5"/>
  <c r="D2073" i="5"/>
  <c r="D2321" i="5"/>
  <c r="D119" i="5"/>
  <c r="D2226" i="5"/>
  <c r="D823" i="5"/>
  <c r="D1541" i="5"/>
  <c r="D2214" i="5"/>
  <c r="D222" i="5"/>
  <c r="D1123" i="5"/>
  <c r="D1647" i="5"/>
  <c r="D2336" i="5"/>
  <c r="D150" i="5"/>
  <c r="D620" i="5"/>
  <c r="D652" i="5"/>
  <c r="D1112" i="5"/>
  <c r="D1874" i="5"/>
  <c r="D1892" i="5"/>
  <c r="D322" i="5"/>
  <c r="D369" i="5"/>
  <c r="D374" i="5"/>
  <c r="D913" i="5"/>
  <c r="D2067" i="5"/>
  <c r="D250" i="5"/>
  <c r="D382" i="5"/>
  <c r="D458" i="5"/>
  <c r="D863" i="5"/>
  <c r="D1464" i="5"/>
  <c r="D1852" i="5"/>
  <c r="D2096" i="5"/>
  <c r="D218" i="5"/>
  <c r="D549" i="5"/>
  <c r="D1307" i="5"/>
  <c r="D1976" i="5"/>
  <c r="D2174" i="5"/>
  <c r="D91" i="5"/>
  <c r="D303" i="5"/>
  <c r="D571" i="5"/>
  <c r="D697" i="5"/>
  <c r="D1345" i="5"/>
  <c r="D1423" i="5"/>
  <c r="D1928" i="5"/>
  <c r="D2366" i="5"/>
  <c r="D2497" i="5"/>
  <c r="D24" i="5"/>
  <c r="D77" i="5"/>
  <c r="D415" i="5"/>
  <c r="D609" i="5"/>
  <c r="D1082" i="5"/>
  <c r="D1317" i="5"/>
  <c r="D1530" i="5"/>
  <c r="D1918" i="5"/>
  <c r="D1998" i="5"/>
  <c r="D937" i="5"/>
  <c r="D1470" i="5"/>
  <c r="D1588" i="5"/>
  <c r="D2377" i="5"/>
  <c r="D2485" i="5"/>
  <c r="D891" i="5"/>
  <c r="D2204" i="5"/>
  <c r="D1478" i="5"/>
  <c r="D1631" i="5"/>
  <c r="D1707" i="5"/>
  <c r="D2235" i="5"/>
  <c r="D118" i="5"/>
  <c r="D508" i="5"/>
  <c r="D574" i="5"/>
  <c r="D1282" i="5"/>
  <c r="D1292" i="5"/>
  <c r="D950" i="5"/>
  <c r="D1174" i="5"/>
  <c r="D1213" i="5"/>
  <c r="D1856" i="5"/>
  <c r="D2154" i="5"/>
  <c r="D177" i="5"/>
  <c r="D429" i="5"/>
  <c r="D518" i="5"/>
  <c r="D1005" i="5"/>
  <c r="D302" i="5"/>
  <c r="D666" i="5"/>
  <c r="D2169" i="5"/>
  <c r="D443" i="5"/>
  <c r="D662" i="5"/>
  <c r="D711" i="5"/>
  <c r="D1021" i="5"/>
  <c r="D2062" i="5"/>
  <c r="D2242" i="5"/>
  <c r="D39" i="5"/>
  <c r="D197" i="5"/>
  <c r="D546" i="5"/>
  <c r="D1421" i="5"/>
  <c r="D1765" i="5"/>
  <c r="D50" i="5"/>
  <c r="D614" i="5"/>
  <c r="D717" i="5"/>
  <c r="D742" i="5"/>
  <c r="D802" i="5"/>
  <c r="D983" i="5"/>
  <c r="D1065" i="5"/>
  <c r="D1208" i="5"/>
  <c r="D1650" i="5"/>
  <c r="D379" i="5"/>
  <c r="D437" i="5"/>
  <c r="D1084" i="5"/>
  <c r="D1284" i="5"/>
  <c r="D315" i="5"/>
  <c r="D600" i="5"/>
  <c r="D716" i="5"/>
  <c r="D844" i="5"/>
  <c r="D885" i="5"/>
  <c r="D1882" i="5"/>
  <c r="D326" i="5"/>
  <c r="D899" i="5"/>
  <c r="D1392" i="5"/>
  <c r="D1745" i="5"/>
  <c r="D1759" i="5"/>
  <c r="D1786" i="5"/>
  <c r="D578" i="5"/>
  <c r="D761" i="5"/>
  <c r="D1136" i="5"/>
  <c r="D1338" i="5"/>
  <c r="D1818" i="5"/>
  <c r="D190" i="5"/>
  <c r="D253" i="5"/>
  <c r="D417" i="5"/>
  <c r="D2246" i="5"/>
  <c r="D1429" i="5"/>
  <c r="D1203" i="5"/>
  <c r="D2328" i="5"/>
  <c r="D216" i="5"/>
  <c r="D1178" i="5"/>
  <c r="D1624" i="5"/>
  <c r="D1894" i="5"/>
  <c r="D1960" i="5"/>
  <c r="D587" i="5"/>
  <c r="D1318" i="5"/>
  <c r="D1799" i="5"/>
  <c r="D858" i="5"/>
  <c r="D1030" i="5"/>
  <c r="D1218" i="5"/>
  <c r="D1626" i="5"/>
  <c r="D2121" i="5"/>
  <c r="D2222" i="5"/>
  <c r="D2324" i="5"/>
  <c r="D2425" i="5"/>
  <c r="D832" i="5"/>
  <c r="D1098" i="5"/>
  <c r="D1296" i="5"/>
  <c r="D1432" i="5"/>
  <c r="D1462" i="5"/>
  <c r="D420" i="5"/>
  <c r="D790" i="5"/>
  <c r="D872" i="5"/>
  <c r="D1406" i="5"/>
  <c r="D1455" i="5"/>
  <c r="D2047" i="5"/>
  <c r="D2480" i="5"/>
  <c r="D2499" i="5"/>
  <c r="D414" i="5"/>
  <c r="D610" i="5"/>
  <c r="D1596" i="5"/>
  <c r="D1875" i="5"/>
  <c r="D1962" i="5"/>
  <c r="D2322" i="5"/>
  <c r="D468" i="5"/>
  <c r="D1460" i="5"/>
  <c r="D180" i="5"/>
  <c r="D569" i="5"/>
  <c r="D696" i="5"/>
  <c r="D707" i="5"/>
  <c r="D1131" i="5"/>
  <c r="D2092" i="5"/>
  <c r="D2103" i="5"/>
  <c r="D785" i="5"/>
  <c r="D1064" i="5"/>
  <c r="D1493" i="5"/>
  <c r="D1935" i="5"/>
  <c r="D575" i="5"/>
  <c r="D1513" i="5"/>
  <c r="D2387" i="5"/>
  <c r="D1357" i="5"/>
  <c r="D1400" i="5"/>
  <c r="D21" i="5"/>
  <c r="D390" i="5"/>
  <c r="D1264" i="5"/>
  <c r="D1487" i="5"/>
  <c r="D1724" i="5"/>
  <c r="D1949" i="5"/>
  <c r="D2384" i="5"/>
  <c r="D550" i="5"/>
  <c r="D740" i="5"/>
  <c r="D924" i="5"/>
  <c r="D1255" i="5"/>
  <c r="D1880" i="5"/>
  <c r="D1883" i="5"/>
  <c r="D2237" i="5"/>
  <c r="D49" i="5"/>
  <c r="D556" i="5"/>
  <c r="D2126" i="5"/>
  <c r="D1206" i="5"/>
  <c r="D1823" i="5"/>
  <c r="D2033" i="5"/>
  <c r="D67" i="5"/>
  <c r="D244" i="5"/>
  <c r="D463" i="5"/>
  <c r="D1217" i="5"/>
  <c r="D1555" i="5"/>
  <c r="D353" i="5"/>
  <c r="D1254" i="5"/>
  <c r="D1278" i="5"/>
  <c r="D1910" i="5"/>
  <c r="D779" i="5"/>
  <c r="D1749" i="5"/>
  <c r="D1933" i="5"/>
  <c r="D2197" i="5"/>
  <c r="D309" i="5"/>
  <c r="D689" i="5"/>
  <c r="D1308" i="5"/>
  <c r="D2023" i="5"/>
  <c r="D658" i="5"/>
  <c r="D869" i="5"/>
  <c r="D1350" i="5"/>
  <c r="D1614" i="5"/>
  <c r="D26" i="5"/>
  <c r="D599" i="5"/>
  <c r="D1844" i="5"/>
  <c r="D1922" i="5"/>
  <c r="D397" i="5"/>
  <c r="D542" i="5"/>
  <c r="D2195" i="5"/>
  <c r="D2418" i="5"/>
  <c r="D1805" i="5"/>
  <c r="D1847" i="5"/>
  <c r="D2088" i="5"/>
  <c r="D2359" i="5"/>
  <c r="D2465" i="5"/>
  <c r="D291" i="5"/>
  <c r="D471" i="5"/>
  <c r="D838" i="5"/>
  <c r="D877" i="5"/>
  <c r="D985" i="5"/>
  <c r="D1402" i="5"/>
  <c r="D2084" i="5"/>
  <c r="D2361" i="5"/>
  <c r="D770" i="5"/>
  <c r="D1565" i="5"/>
  <c r="D1795" i="5"/>
  <c r="D2017" i="5"/>
  <c r="D2102" i="5"/>
  <c r="D2408" i="5"/>
  <c r="D410" i="5"/>
  <c r="D445" i="5"/>
  <c r="D1820" i="5"/>
  <c r="D2293" i="5"/>
  <c r="D38" i="5"/>
  <c r="D213" i="5"/>
  <c r="D824" i="5"/>
  <c r="D1110" i="5"/>
  <c r="D1187" i="5"/>
  <c r="D1507" i="5"/>
  <c r="D1990" i="5"/>
  <c r="D2395" i="5"/>
  <c r="D1490" i="5"/>
  <c r="D1639" i="5"/>
  <c r="D2252" i="5"/>
  <c r="D1557" i="5"/>
  <c r="D1674" i="5"/>
  <c r="D1924" i="5"/>
  <c r="D19" i="5"/>
  <c r="D261" i="5"/>
  <c r="D619" i="5"/>
  <c r="D787" i="5"/>
  <c r="D1186" i="5"/>
  <c r="D532" i="5"/>
  <c r="D616" i="5"/>
  <c r="D1100" i="5"/>
  <c r="D1177" i="5"/>
  <c r="D1527" i="5"/>
  <c r="D2122" i="5"/>
  <c r="D2467" i="5"/>
  <c r="D1024" i="5"/>
  <c r="D1575" i="5"/>
  <c r="D1889" i="5"/>
  <c r="D1263" i="5"/>
  <c r="D1333" i="5"/>
  <c r="D125" i="5"/>
  <c r="D131" i="5"/>
  <c r="D339" i="5"/>
  <c r="D632" i="5"/>
  <c r="D1968" i="5"/>
  <c r="D2141" i="5"/>
  <c r="D2335" i="5"/>
  <c r="D80" i="5"/>
  <c r="D1365" i="5"/>
  <c r="D2039" i="5"/>
  <c r="D2179" i="5"/>
  <c r="D2352" i="5"/>
  <c r="D115" i="5"/>
  <c r="D178" i="5"/>
  <c r="D224" i="5"/>
  <c r="D461" i="5"/>
  <c r="D972" i="5"/>
  <c r="D1332" i="5"/>
  <c r="D2040" i="5"/>
  <c r="D88" i="5"/>
  <c r="D126" i="5"/>
  <c r="D586" i="5"/>
  <c r="D1231" i="5"/>
  <c r="D1479" i="5"/>
  <c r="D1904" i="5"/>
  <c r="D320" i="5"/>
  <c r="D396" i="5"/>
  <c r="D692" i="5"/>
  <c r="D1149" i="5"/>
  <c r="D1544" i="5"/>
  <c r="D2238" i="5"/>
  <c r="D94" i="5"/>
  <c r="D888" i="5"/>
  <c r="D1837" i="5"/>
  <c r="D2402" i="5"/>
  <c r="D482" i="5"/>
  <c r="D1850" i="5"/>
  <c r="D2445" i="5"/>
  <c r="D183" i="5"/>
  <c r="D395" i="5"/>
  <c r="D465" i="5"/>
  <c r="D1849" i="5"/>
  <c r="D1959" i="5"/>
  <c r="D500" i="5"/>
  <c r="D548" i="5"/>
  <c r="D675" i="5"/>
  <c r="D1003" i="5"/>
  <c r="D1183" i="5"/>
  <c r="D1298" i="5"/>
  <c r="D1316" i="5"/>
  <c r="D28" i="5"/>
  <c r="D1066" i="5"/>
  <c r="D514" i="5"/>
  <c r="D540" i="5"/>
  <c r="D1068" i="5"/>
  <c r="D17" i="5"/>
  <c r="D208" i="5"/>
  <c r="D1329" i="5"/>
  <c r="D1529" i="5"/>
  <c r="D406" i="5"/>
  <c r="D920" i="5"/>
  <c r="D939" i="5"/>
  <c r="D1498" i="5"/>
  <c r="D2315" i="5"/>
  <c r="D2331" i="5"/>
  <c r="D607" i="5"/>
  <c r="D617" i="5"/>
  <c r="D1175" i="5"/>
  <c r="D1280" i="5"/>
  <c r="D1689" i="5"/>
  <c r="D1845" i="5"/>
  <c r="D2374" i="5"/>
  <c r="D297" i="5"/>
  <c r="D695" i="5"/>
  <c r="D2440" i="5"/>
  <c r="D2456" i="5"/>
  <c r="D103" i="5"/>
  <c r="D209" i="5"/>
  <c r="D288" i="5"/>
  <c r="D1364" i="5"/>
  <c r="D1442" i="5"/>
  <c r="D1822" i="5"/>
  <c r="D66" i="5"/>
  <c r="D1563" i="5"/>
  <c r="D1744" i="5"/>
  <c r="D1774" i="5"/>
  <c r="D2405" i="5"/>
  <c r="D459" i="5"/>
  <c r="D1773" i="5"/>
  <c r="D2034" i="5"/>
  <c r="D2376" i="5"/>
  <c r="D120" i="5"/>
  <c r="D411" i="5"/>
  <c r="D1273" i="5"/>
  <c r="D1384" i="5"/>
  <c r="D1578" i="5"/>
  <c r="D1606" i="5"/>
  <c r="D1652" i="5"/>
  <c r="D1571" i="5"/>
  <c r="D487" i="5"/>
  <c r="D942" i="5"/>
  <c r="D1142" i="5"/>
  <c r="D1266" i="5"/>
  <c r="D1268" i="5"/>
  <c r="D1287" i="5"/>
  <c r="D1289" i="5"/>
  <c r="D2295" i="5"/>
  <c r="D154" i="5"/>
  <c r="D432" i="5"/>
  <c r="D1414" i="5"/>
  <c r="D1417" i="5"/>
  <c r="D1523" i="5"/>
  <c r="D1641" i="5"/>
  <c r="D3" i="5"/>
  <c r="D42" i="5"/>
  <c r="D136" i="5"/>
  <c r="D330" i="5"/>
  <c r="D705" i="5"/>
  <c r="D47" i="5"/>
  <c r="D1589" i="5"/>
  <c r="D1911" i="5"/>
  <c r="D2454" i="5"/>
  <c r="D408" i="5"/>
  <c r="D1034" i="5"/>
  <c r="D1919" i="5"/>
  <c r="D2009" i="5"/>
  <c r="D2360" i="5"/>
  <c r="D2044" i="5"/>
  <c r="D2206" i="5"/>
  <c r="D642" i="5"/>
  <c r="D323" i="5"/>
  <c r="D449" i="5"/>
  <c r="D846" i="5"/>
  <c r="D1249" i="5"/>
  <c r="D305" i="5"/>
  <c r="D636" i="5"/>
  <c r="D911" i="5"/>
  <c r="D1272" i="5"/>
  <c r="D1612" i="5"/>
  <c r="D1947" i="5"/>
  <c r="D2025" i="5"/>
  <c r="D2036" i="5"/>
  <c r="D2442" i="5"/>
  <c r="D530" i="5"/>
  <c r="D831" i="5"/>
  <c r="D1597" i="5"/>
  <c r="D152" i="5"/>
  <c r="D1072" i="5"/>
  <c r="D1468" i="5"/>
  <c r="D1562" i="5"/>
  <c r="D1792" i="5"/>
  <c r="D712" i="5"/>
  <c r="D809" i="5"/>
  <c r="D828" i="5"/>
  <c r="D916" i="5"/>
  <c r="D1584" i="5"/>
  <c r="D748" i="5"/>
  <c r="D1613" i="5"/>
  <c r="D2016" i="5"/>
  <c r="D210" i="5"/>
  <c r="D533" i="5"/>
  <c r="D585" i="5"/>
  <c r="D807" i="5"/>
  <c r="D1709" i="5"/>
  <c r="D671" i="5"/>
  <c r="D743" i="5"/>
  <c r="D1690" i="5"/>
  <c r="D2450" i="5"/>
  <c r="D7" i="5"/>
  <c r="D930" i="5"/>
  <c r="D1058" i="5"/>
  <c r="D1267" i="5"/>
  <c r="D1686" i="5"/>
  <c r="D1893" i="5"/>
  <c r="D1916" i="5"/>
  <c r="D2133" i="5"/>
  <c r="D372" i="5"/>
  <c r="D612" i="5"/>
  <c r="D1359" i="5"/>
  <c r="D1469" i="5"/>
  <c r="D1603" i="5"/>
  <c r="D107" i="5"/>
  <c r="D1153" i="5"/>
  <c r="D1559" i="5"/>
  <c r="D2261" i="5"/>
  <c r="D111" i="5"/>
  <c r="D693" i="5"/>
  <c r="D1043" i="5"/>
  <c r="D1113" i="5"/>
  <c r="D1244" i="5"/>
  <c r="D385" i="5"/>
  <c r="D1301" i="5"/>
  <c r="D2104" i="5"/>
  <c r="D2478" i="5"/>
  <c r="D241" i="5"/>
  <c r="D621" i="5"/>
  <c r="D758" i="5"/>
  <c r="D993" i="5"/>
  <c r="D1539" i="5"/>
  <c r="D30" i="5"/>
  <c r="D316" i="5"/>
  <c r="D1673" i="5"/>
  <c r="D2397" i="5"/>
  <c r="D1025" i="5"/>
  <c r="D1752" i="5"/>
  <c r="D2130" i="5"/>
  <c r="D545" i="5"/>
  <c r="D1167" i="5"/>
  <c r="D2056" i="5"/>
  <c r="D702" i="5"/>
  <c r="D817" i="5"/>
  <c r="D963" i="5"/>
  <c r="D2120" i="5"/>
  <c r="D2213" i="5"/>
  <c r="D2375" i="5"/>
  <c r="D1055" i="5"/>
  <c r="D1379" i="5"/>
  <c r="D1986" i="5"/>
  <c r="D2105" i="5"/>
  <c r="D2146" i="5"/>
  <c r="D2344" i="5"/>
  <c r="D648" i="5"/>
  <c r="D1038" i="5"/>
  <c r="D1377" i="5"/>
  <c r="D1905" i="5"/>
  <c r="D2437" i="5"/>
  <c r="D376" i="5"/>
  <c r="D434" i="5"/>
  <c r="D625" i="5"/>
  <c r="D1010" i="5"/>
  <c r="D1692" i="5"/>
  <c r="D1954" i="5"/>
  <c r="D1978" i="5"/>
  <c r="D189" i="5"/>
  <c r="D413" i="5"/>
  <c r="D826" i="5"/>
  <c r="D887" i="5"/>
  <c r="D897" i="5"/>
  <c r="D968" i="5"/>
  <c r="D1963" i="5"/>
  <c r="D32" i="5"/>
  <c r="D947" i="5"/>
  <c r="D195" i="5"/>
  <c r="D234" i="5"/>
  <c r="D331" i="5"/>
  <c r="D1391" i="5"/>
  <c r="D1548" i="5"/>
  <c r="D2064" i="5"/>
  <c r="D2240" i="5"/>
  <c r="D2501" i="5"/>
  <c r="D1202" i="5"/>
  <c r="D1770" i="5"/>
  <c r="D328" i="5"/>
  <c r="D745" i="5"/>
  <c r="D1643" i="5"/>
  <c r="D2313" i="5"/>
  <c r="D187" i="5"/>
  <c r="D1827" i="5"/>
  <c r="D2368" i="5"/>
  <c r="D2436" i="5"/>
  <c r="D747" i="5"/>
  <c r="D1241" i="5"/>
  <c r="D2248" i="5"/>
  <c r="D185" i="5"/>
  <c r="D1152" i="5"/>
  <c r="D114" i="5"/>
  <c r="D485" i="5"/>
  <c r="D927" i="5"/>
  <c r="D935" i="5"/>
  <c r="D1898" i="5"/>
  <c r="D791" i="5"/>
  <c r="D854" i="5"/>
  <c r="D878" i="5"/>
  <c r="D880" i="5"/>
  <c r="D1549" i="5"/>
  <c r="D1768" i="5"/>
  <c r="D1794" i="5"/>
  <c r="D56" i="5"/>
  <c r="D2498" i="5"/>
  <c r="D453" i="5"/>
  <c r="D579" i="5"/>
  <c r="D798" i="5"/>
  <c r="D945" i="5"/>
  <c r="D1164" i="5"/>
  <c r="D1418" i="5"/>
  <c r="D1450" i="5"/>
  <c r="D1679" i="5"/>
  <c r="D1020" i="5"/>
  <c r="D2168" i="5"/>
  <c r="D62" i="5"/>
  <c r="D592" i="5"/>
  <c r="D1969" i="5"/>
  <c r="D2151" i="5"/>
  <c r="D2163" i="5"/>
  <c r="D2332" i="5"/>
  <c r="D713" i="5"/>
  <c r="D759" i="5"/>
  <c r="D900" i="5"/>
  <c r="D1369" i="5"/>
  <c r="D1390" i="5"/>
  <c r="D2393" i="5"/>
  <c r="D2398" i="5"/>
  <c r="D541" i="5"/>
  <c r="D1160" i="5"/>
  <c r="D1245" i="5"/>
  <c r="D1699" i="5"/>
  <c r="D1719" i="5"/>
  <c r="D2201" i="5"/>
  <c r="D2208" i="5"/>
  <c r="D1425" i="5"/>
  <c r="D1248" i="5"/>
  <c r="D1809" i="5"/>
  <c r="D2278" i="5"/>
  <c r="D25" i="5"/>
  <c r="D503" i="5"/>
  <c r="D1966" i="5"/>
  <c r="D2159" i="5"/>
  <c r="D95" i="5"/>
  <c r="D280" i="5"/>
  <c r="D650" i="5"/>
  <c r="D1252" i="5"/>
  <c r="D2435" i="5"/>
  <c r="D324" i="5"/>
  <c r="D419" i="5"/>
  <c r="D767" i="5"/>
  <c r="D1477" i="5"/>
  <c r="D1645" i="5"/>
  <c r="D1877" i="5"/>
  <c r="D1951" i="5"/>
  <c r="D1139" i="5"/>
  <c r="D1313" i="5"/>
  <c r="D146" i="5"/>
  <c r="D350" i="5"/>
  <c r="D373" i="5"/>
  <c r="D604" i="5"/>
  <c r="D1347" i="5"/>
  <c r="D1492" i="5"/>
  <c r="D1496" i="5"/>
  <c r="D1654" i="5"/>
  <c r="D1701" i="5"/>
  <c r="D1927" i="5"/>
  <c r="D505" i="5"/>
  <c r="D123" i="5"/>
  <c r="D870" i="5"/>
  <c r="D1044" i="5"/>
  <c r="D1146" i="5"/>
  <c r="D70" i="5"/>
  <c r="D774" i="5"/>
  <c r="D905" i="5"/>
  <c r="D15" i="5"/>
  <c r="D273" i="5"/>
  <c r="D909" i="5"/>
  <c r="D1378" i="5"/>
  <c r="D1489" i="5"/>
  <c r="D423" i="5"/>
  <c r="D1531" i="5"/>
  <c r="D1908" i="5"/>
  <c r="D2231" i="5"/>
  <c r="D2304" i="5"/>
  <c r="D731" i="5"/>
  <c r="D1060" i="5"/>
  <c r="D1488" i="5"/>
  <c r="D491" i="5"/>
  <c r="D1769" i="5"/>
  <c r="D1858" i="5"/>
  <c r="D181" i="5"/>
  <c r="D1804" i="5"/>
  <c r="D2148" i="5"/>
  <c r="D524" i="5"/>
  <c r="D1017" i="5"/>
  <c r="D1695" i="5"/>
  <c r="D1884" i="5"/>
  <c r="D2071" i="5"/>
  <c r="D2190" i="5"/>
  <c r="D2291" i="5"/>
  <c r="D2473" i="5"/>
  <c r="D1835" i="5"/>
  <c r="D217" i="5"/>
  <c r="D706" i="5"/>
  <c r="D763" i="5"/>
  <c r="D1433" i="5"/>
  <c r="D230" i="5"/>
  <c r="D829" i="5"/>
  <c r="D2262" i="5"/>
  <c r="D349" i="5"/>
  <c r="D1683" i="5"/>
  <c r="D1887" i="5"/>
  <c r="D1931" i="5"/>
  <c r="D2030" i="5"/>
  <c r="D2091" i="5"/>
  <c r="D2178" i="5"/>
  <c r="D27" i="5"/>
  <c r="D368" i="5"/>
  <c r="D1635" i="5"/>
  <c r="D1839" i="5"/>
  <c r="D1868" i="5"/>
  <c r="D2043" i="5"/>
  <c r="D366" i="5"/>
  <c r="D700" i="5"/>
  <c r="D841" i="5"/>
  <c r="D907" i="5"/>
  <c r="D1370" i="5"/>
  <c r="D1956" i="5"/>
  <c r="D1426" i="5"/>
  <c r="D1016" i="5"/>
  <c r="D557" i="5"/>
  <c r="D776" i="5"/>
  <c r="D1111" i="5"/>
  <c r="D2477" i="5"/>
  <c r="D286" i="5"/>
  <c r="D624" i="5"/>
  <c r="D2055" i="5"/>
  <c r="D8" i="5"/>
  <c r="D347" i="5"/>
  <c r="D554" i="5"/>
  <c r="D738" i="5"/>
  <c r="D1212" i="5"/>
  <c r="D1579" i="5"/>
  <c r="D1729" i="5"/>
  <c r="D1821" i="5"/>
  <c r="D2070" i="5"/>
  <c r="D593" i="5"/>
  <c r="D1994" i="5"/>
  <c r="D2118" i="5"/>
  <c r="D1194" i="5"/>
  <c r="D1196" i="5"/>
  <c r="D1348" i="5"/>
  <c r="D1351" i="5"/>
  <c r="D1486" i="5"/>
  <c r="D2024" i="5"/>
  <c r="D581" i="5"/>
  <c r="D1253" i="5"/>
  <c r="D1389" i="5"/>
  <c r="D1381" i="5"/>
  <c r="D1897" i="5"/>
  <c r="D168" i="5"/>
  <c r="D436" i="5"/>
  <c r="D566" i="5"/>
  <c r="D1200" i="5"/>
  <c r="D1566" i="5"/>
  <c r="D1891" i="5"/>
  <c r="D2209" i="5"/>
  <c r="D2449" i="5"/>
  <c r="D676" i="5"/>
  <c r="D1326" i="5"/>
  <c r="D1854" i="5"/>
  <c r="D2267" i="5"/>
  <c r="D663" i="5"/>
  <c r="D1176" i="5"/>
  <c r="D1355" i="5"/>
  <c r="D1945" i="5"/>
  <c r="D149" i="5"/>
  <c r="D1080" i="5"/>
  <c r="D1088" i="5"/>
  <c r="D441" i="5"/>
  <c r="D528" i="5"/>
  <c r="D638" i="5"/>
  <c r="D1607" i="5"/>
  <c r="D1661" i="5"/>
  <c r="D633" i="5"/>
  <c r="D1324" i="5"/>
  <c r="D1970" i="5"/>
  <c r="D2019" i="5"/>
  <c r="D2077" i="5"/>
  <c r="D729" i="5"/>
  <c r="D928" i="5"/>
  <c r="D1781" i="5"/>
  <c r="D2268" i="5"/>
  <c r="D293" i="5"/>
  <c r="D576" i="5"/>
  <c r="D954" i="5"/>
  <c r="D1342" i="5"/>
  <c r="D223" i="5"/>
  <c r="D720" i="5"/>
  <c r="D1004" i="5"/>
  <c r="D1495" i="5"/>
  <c r="D2028" i="5"/>
  <c r="D245" i="5"/>
  <c r="D252" i="5"/>
  <c r="D448" i="5"/>
  <c r="D1772" i="5"/>
  <c r="D688" i="5"/>
  <c r="D33" i="5"/>
  <c r="D892" i="5"/>
  <c r="D1368" i="5"/>
  <c r="D1399" i="5"/>
  <c r="D1746" i="5"/>
  <c r="D2215" i="5"/>
  <c r="D2274" i="5"/>
  <c r="D848" i="5"/>
  <c r="D1703" i="5"/>
  <c r="D1712" i="5"/>
  <c r="D2266" i="5"/>
  <c r="D2414" i="5"/>
  <c r="D580" i="5"/>
  <c r="D596" i="5"/>
  <c r="D1236" i="5"/>
  <c r="D815" i="5"/>
  <c r="D1070" i="5"/>
  <c r="D1352" i="5"/>
  <c r="D1535" i="5"/>
  <c r="D1834" i="5"/>
  <c r="D2358" i="5"/>
  <c r="D69" i="5"/>
  <c r="D365" i="5"/>
  <c r="D781" i="5"/>
  <c r="D2191" i="5"/>
  <c r="D1223" i="5"/>
  <c r="D1806" i="5"/>
  <c r="D2196" i="5"/>
  <c r="D2258" i="5"/>
  <c r="D79" i="5"/>
  <c r="D1581" i="5"/>
  <c r="D1807" i="5"/>
  <c r="D2085" i="5"/>
  <c r="D2243" i="5"/>
  <c r="D1726" i="5"/>
  <c r="D1871" i="5"/>
  <c r="D2111" i="5"/>
  <c r="D2353" i="5"/>
  <c r="D64" i="5"/>
  <c r="D156" i="5"/>
  <c r="D226" i="5"/>
  <c r="D289" i="5"/>
  <c r="D1572" i="5"/>
  <c r="D1653" i="5"/>
  <c r="D1974" i="5"/>
  <c r="D2202" i="5"/>
  <c r="D2301" i="5"/>
  <c r="D211" i="5"/>
  <c r="D1009" i="5"/>
  <c r="D1101" i="5"/>
  <c r="D2400" i="5"/>
  <c r="D1958" i="5"/>
  <c r="D2423" i="5"/>
  <c r="D215" i="5"/>
  <c r="D457" i="5"/>
  <c r="D875" i="5"/>
  <c r="D2269" i="5"/>
  <c r="D2432" i="5"/>
  <c r="D1145" i="5"/>
  <c r="D2029" i="5"/>
  <c r="D2081" i="5"/>
  <c r="D627" i="5"/>
  <c r="D1681" i="5"/>
  <c r="D2038" i="5"/>
  <c r="D285" i="5"/>
  <c r="D1300" i="5"/>
  <c r="D4" i="5"/>
  <c r="D378" i="5"/>
  <c r="D462" i="5"/>
  <c r="D1209" i="5"/>
  <c r="D1261" i="5"/>
  <c r="D1387" i="5"/>
  <c r="D2309" i="5"/>
  <c r="D2430" i="5"/>
  <c r="D124" i="5"/>
  <c r="D1204" i="5"/>
  <c r="D2109" i="5"/>
  <c r="D335" i="5"/>
  <c r="D384" i="5"/>
  <c r="D646" i="5"/>
  <c r="D726" i="5"/>
  <c r="D1929" i="5"/>
  <c r="D1938" i="5"/>
  <c r="D2457" i="5"/>
  <c r="D1431" i="5"/>
  <c r="D1980" i="5"/>
  <c r="D54" i="5"/>
  <c r="D277" i="5"/>
  <c r="D860" i="5"/>
  <c r="D919" i="5"/>
  <c r="D1033" i="5"/>
  <c r="D2045" i="5"/>
  <c r="D2372" i="5"/>
  <c r="D475" i="5"/>
  <c r="D871" i="5"/>
  <c r="D1086" i="5"/>
  <c r="D1537" i="5"/>
  <c r="D1586" i="5"/>
  <c r="D1790" i="5"/>
  <c r="D2302" i="5"/>
  <c r="D1288" i="5"/>
  <c r="D1362" i="5"/>
  <c r="D1984" i="5"/>
  <c r="D203" i="5"/>
  <c r="D1580" i="5"/>
  <c r="D6" i="5"/>
  <c r="D238" i="5"/>
  <c r="D263" i="5"/>
  <c r="D921" i="5"/>
  <c r="D2483" i="5"/>
  <c r="D160" i="5"/>
  <c r="D1240" i="5"/>
  <c r="D2014" i="5"/>
  <c r="D469" i="5"/>
  <c r="D2136" i="5"/>
  <c r="D112" i="5"/>
  <c r="D1293" i="5"/>
  <c r="D1424" i="5"/>
  <c r="D2279" i="5"/>
  <c r="D2455" i="5"/>
  <c r="D1094" i="5"/>
  <c r="D1305" i="5"/>
  <c r="D1483" i="5"/>
  <c r="D2323" i="5"/>
  <c r="D444" i="5"/>
  <c r="D923" i="5"/>
  <c r="D1553" i="5"/>
  <c r="D519" i="5"/>
  <c r="D719" i="5"/>
  <c r="D1002" i="5"/>
  <c r="D1430" i="5"/>
  <c r="D1776" i="5"/>
  <c r="D1802" i="5"/>
  <c r="D1081" i="5"/>
  <c r="D1920" i="5"/>
  <c r="D2131" i="5"/>
  <c r="D2385" i="5"/>
  <c r="D155" i="5"/>
  <c r="D659" i="5"/>
  <c r="D1063" i="5"/>
  <c r="D2080" i="5"/>
  <c r="D788" i="5"/>
  <c r="D1797" i="5"/>
  <c r="D1953" i="5"/>
  <c r="D2026" i="5"/>
  <c r="D493" i="5"/>
  <c r="D894" i="5"/>
  <c r="D1446" i="5"/>
  <c r="D1796" i="5"/>
  <c r="D2334" i="5"/>
  <c r="D2475" i="5"/>
  <c r="D193" i="5"/>
  <c r="D1659" i="5"/>
  <c r="D130" i="5"/>
  <c r="D608" i="5"/>
  <c r="D810" i="5"/>
  <c r="D1476" i="5"/>
  <c r="D2069" i="5"/>
  <c r="D903" i="5"/>
  <c r="D1731" i="5"/>
  <c r="D2299" i="5"/>
  <c r="D2310" i="5"/>
  <c r="D98" i="5"/>
  <c r="D1660" i="5"/>
  <c r="D667" i="5"/>
  <c r="D977" i="5"/>
  <c r="D1564" i="5"/>
  <c r="D1816" i="5"/>
  <c r="D2082" i="5"/>
  <c r="D2187" i="5"/>
  <c r="D2260" i="5"/>
  <c r="D340" i="5"/>
  <c r="D955" i="5"/>
  <c r="D1687" i="5"/>
  <c r="D1885" i="5"/>
  <c r="D932" i="5"/>
  <c r="D1934" i="5"/>
  <c r="D2123" i="5"/>
  <c r="D18" i="5"/>
  <c r="D337" i="5"/>
  <c r="D355" i="5"/>
  <c r="D495" i="5"/>
  <c r="D653" i="5"/>
  <c r="D718" i="5"/>
  <c r="D728" i="5"/>
  <c r="D751" i="5"/>
  <c r="D1238" i="5"/>
  <c r="D1358" i="5"/>
  <c r="D2427" i="5"/>
  <c r="D16" i="5"/>
  <c r="D141" i="5"/>
  <c r="D143" i="5"/>
  <c r="D400" i="5"/>
  <c r="D515" i="5"/>
  <c r="D1621" i="5"/>
  <c r="D1742" i="5"/>
  <c r="D2413" i="5"/>
  <c r="D142" i="5"/>
  <c r="D233" i="5"/>
  <c r="D342" i="5"/>
  <c r="D404" i="5"/>
  <c r="D630" i="5"/>
  <c r="D1320" i="5"/>
  <c r="D1590" i="5"/>
  <c r="D1691" i="5"/>
  <c r="D100" i="5"/>
  <c r="D275" i="5"/>
  <c r="D1636" i="5"/>
  <c r="D2012" i="5"/>
  <c r="D2354" i="5"/>
  <c r="D2389" i="5"/>
  <c r="D2470" i="5"/>
  <c r="D85" i="5"/>
  <c r="D101" i="5"/>
  <c r="D490" i="5"/>
  <c r="D1137" i="5"/>
  <c r="D2078" i="5"/>
  <c r="D359" i="5"/>
  <c r="D687" i="5"/>
  <c r="D1124" i="5"/>
  <c r="D2337" i="5"/>
  <c r="D333" i="5"/>
  <c r="D1179" i="5"/>
  <c r="D1896" i="5"/>
  <c r="D2212" i="5"/>
  <c r="D2392" i="5"/>
  <c r="D23" i="5"/>
  <c r="D409" i="5"/>
  <c r="D1076" i="5"/>
  <c r="D1233" i="5"/>
  <c r="D1361" i="5"/>
  <c r="D1401" i="5"/>
  <c r="D1472" i="5"/>
  <c r="D1981" i="5"/>
  <c r="D13" i="5"/>
  <c r="D407" i="5"/>
  <c r="D583" i="5"/>
  <c r="D1041" i="5"/>
  <c r="D1257" i="5"/>
  <c r="D1511" i="5"/>
  <c r="D1738" i="5"/>
  <c r="D2061" i="5"/>
  <c r="D496" i="5"/>
  <c r="D864" i="5"/>
  <c r="D1195" i="5"/>
  <c r="D1237" i="5"/>
  <c r="D249" i="5"/>
  <c r="D1638" i="5"/>
  <c r="D1680" i="5"/>
  <c r="D2099" i="5"/>
  <c r="D2428" i="5"/>
  <c r="D694" i="5"/>
  <c r="D1618" i="5"/>
  <c r="D158" i="5"/>
  <c r="D435" i="5"/>
  <c r="D512" i="5"/>
  <c r="D552" i="5"/>
  <c r="D567" i="5"/>
  <c r="D601" i="5"/>
  <c r="D777" i="5"/>
  <c r="D873" i="5"/>
  <c r="D1514" i="5"/>
  <c r="D1764" i="5"/>
  <c r="D2065" i="5"/>
  <c r="D334" i="5"/>
  <c r="D1374" i="5"/>
  <c r="D1616" i="5"/>
  <c r="D2272" i="5"/>
  <c r="D2355" i="5"/>
  <c r="D122" i="5"/>
  <c r="D201" i="5"/>
  <c r="D590" i="5"/>
  <c r="D1190" i="5"/>
  <c r="D1269" i="5"/>
  <c r="D2068" i="5"/>
  <c r="D2189" i="5"/>
  <c r="D99" i="5"/>
  <c r="D537" i="5"/>
  <c r="D1239" i="5"/>
  <c r="D1515" i="5"/>
  <c r="D108" i="5"/>
  <c r="D1026" i="5"/>
  <c r="D1838" i="5"/>
  <c r="D1870" i="5"/>
  <c r="D2140" i="5"/>
  <c r="D2164" i="5"/>
  <c r="D2180" i="5"/>
  <c r="D240" i="5"/>
  <c r="D499" i="5"/>
  <c r="D529" i="5"/>
  <c r="D760" i="5"/>
  <c r="D834" i="5"/>
  <c r="D2051" i="5"/>
  <c r="D196" i="5"/>
  <c r="D424" i="5"/>
  <c r="D708" i="5"/>
  <c r="D1574" i="5"/>
  <c r="D175" i="5"/>
  <c r="D279" i="5"/>
  <c r="D563" i="5"/>
  <c r="D827" i="5"/>
  <c r="D1302" i="5"/>
  <c r="D1363" i="5"/>
  <c r="D2453" i="5"/>
  <c r="D778" i="5"/>
  <c r="D851" i="5"/>
  <c r="D1104" i="5"/>
  <c r="D1508" i="5"/>
  <c r="D2290" i="5"/>
  <c r="D2349" i="5"/>
  <c r="D2494" i="5"/>
  <c r="D477" i="5"/>
  <c r="D1761" i="5"/>
  <c r="D43" i="5"/>
  <c r="D1000" i="5"/>
  <c r="D1666" i="5"/>
  <c r="D2329" i="5"/>
  <c r="D128" i="5"/>
  <c r="D673" i="5"/>
  <c r="D1518" i="5"/>
  <c r="D1700" i="5"/>
  <c r="D1817" i="5"/>
  <c r="D2462" i="5"/>
  <c r="D377" i="5"/>
  <c r="D812" i="5"/>
  <c r="D1281" i="5"/>
  <c r="D1367" i="5"/>
  <c r="D1663" i="5"/>
  <c r="D1785" i="5"/>
  <c r="D137" i="5"/>
  <c r="D1459" i="5"/>
  <c r="D1787" i="5"/>
  <c r="D1950" i="5"/>
  <c r="D2239" i="5"/>
  <c r="D2317" i="5"/>
  <c r="D198" i="5"/>
  <c r="D1371" i="5"/>
  <c r="D2035" i="5"/>
  <c r="D1294" i="5"/>
  <c r="D2066" i="5"/>
  <c r="D2172" i="5"/>
  <c r="D605" i="5"/>
  <c r="D1018" i="5"/>
  <c r="D1788" i="5"/>
  <c r="D1873" i="5"/>
  <c r="D1923" i="5"/>
  <c r="D594" i="5"/>
  <c r="D986" i="5"/>
  <c r="D1336" i="5"/>
  <c r="D1396" i="5"/>
  <c r="D1665" i="5"/>
  <c r="D2236" i="5"/>
  <c r="D2406" i="5"/>
  <c r="D140" i="5"/>
  <c r="D1504" i="5"/>
  <c r="D1939" i="5"/>
  <c r="D589" i="5"/>
  <c r="D12" i="5"/>
  <c r="D319" i="5"/>
  <c r="D2495" i="5"/>
  <c r="D715" i="5"/>
  <c r="D764" i="5"/>
  <c r="D1210" i="5"/>
  <c r="D1221" i="5"/>
  <c r="D2052" i="5"/>
  <c r="D2339" i="5"/>
  <c r="D1457" i="5"/>
  <c r="D1926" i="5"/>
  <c r="D1979" i="5"/>
  <c r="D174" i="5"/>
  <c r="D243" i="5"/>
  <c r="D447" i="5"/>
  <c r="D504" i="5"/>
  <c r="D734" i="5"/>
  <c r="D2229" i="5"/>
  <c r="D2282" i="5"/>
  <c r="D148" i="5"/>
  <c r="D412" i="5"/>
  <c r="D1714" i="5"/>
  <c r="D2265" i="5"/>
  <c r="D361" i="5"/>
  <c r="D2183" i="5"/>
  <c r="D83" i="5"/>
  <c r="D639" i="5"/>
  <c r="D816" i="5"/>
  <c r="D910" i="5"/>
  <c r="D999" i="5"/>
  <c r="D483" i="5"/>
  <c r="D987" i="5"/>
  <c r="D1185" i="5"/>
  <c r="D1440" i="5"/>
  <c r="D2300" i="5"/>
  <c r="D2469" i="5"/>
  <c r="D132" i="5"/>
  <c r="D442" i="5"/>
  <c r="D757" i="5"/>
  <c r="D1157" i="5"/>
  <c r="D1303" i="5"/>
  <c r="D2173" i="5"/>
  <c r="D2271" i="5"/>
  <c r="D2284" i="5"/>
  <c r="D2286" i="5"/>
  <c r="D2311" i="5"/>
  <c r="D2380" i="5"/>
  <c r="D194" i="5"/>
  <c r="D744" i="5"/>
  <c r="D874" i="5"/>
  <c r="D929" i="5"/>
  <c r="D1118" i="5"/>
  <c r="D1162" i="5"/>
  <c r="D1758" i="5"/>
  <c r="D264" i="5"/>
  <c r="D392" i="5"/>
  <c r="D1011" i="5"/>
  <c r="D1219" i="5"/>
  <c r="D1235" i="5"/>
  <c r="D1576" i="5"/>
  <c r="D1913" i="5"/>
  <c r="D2270" i="5"/>
  <c r="D1372" i="5"/>
  <c r="D1930" i="5"/>
  <c r="D2188" i="5"/>
  <c r="D2417" i="5"/>
  <c r="D205" i="5"/>
  <c r="D654" i="5"/>
  <c r="D883" i="5"/>
  <c r="D161" i="5"/>
  <c r="D247" i="5"/>
  <c r="D362" i="5"/>
  <c r="D375" i="5"/>
  <c r="D405" i="5"/>
  <c r="D173" i="5"/>
  <c r="D274" i="5"/>
  <c r="D304" i="5"/>
  <c r="D102" i="5"/>
  <c r="D570" i="5"/>
  <c r="D704" i="5"/>
  <c r="D739" i="5"/>
  <c r="D908" i="5"/>
  <c r="D1902" i="5"/>
  <c r="D1912" i="5"/>
  <c r="D191" i="5"/>
  <c r="D402" i="5"/>
  <c r="D1895" i="5"/>
  <c r="D1942" i="5"/>
  <c r="D684" i="5"/>
  <c r="D1386" i="5"/>
  <c r="D1443" i="5"/>
  <c r="D1467" i="5"/>
  <c r="D1577" i="5"/>
  <c r="D1775" i="5"/>
  <c r="D363" i="5"/>
  <c r="D796" i="5"/>
  <c r="D1295" i="5"/>
  <c r="D1309" i="5"/>
  <c r="D1458" i="5"/>
  <c r="D2426" i="5"/>
  <c r="D2433" i="5"/>
  <c r="D534" i="5"/>
  <c r="D560" i="5"/>
  <c r="D819" i="5"/>
  <c r="D1141" i="5"/>
  <c r="D1814" i="5"/>
  <c r="D2224" i="5"/>
  <c r="D989" i="5"/>
  <c r="D2152" i="5"/>
  <c r="D2340" i="5"/>
  <c r="D2401" i="5"/>
  <c r="D1627" i="5"/>
  <c r="D2476" i="5"/>
  <c r="D192" i="5"/>
  <c r="D300" i="5"/>
  <c r="D480" i="5"/>
  <c r="D615" i="5"/>
  <c r="D1456" i="5"/>
  <c r="D207" i="5"/>
  <c r="D327" i="5"/>
  <c r="D1428" i="5"/>
  <c r="D1512" i="5"/>
  <c r="D1762" i="5"/>
  <c r="D1983" i="5"/>
  <c r="D2112" i="5"/>
  <c r="D2185" i="5"/>
  <c r="D2326" i="5"/>
  <c r="D68" i="5"/>
  <c r="D1271" i="5"/>
  <c r="D251" i="5"/>
  <c r="D269" i="5"/>
  <c r="D446" i="5"/>
  <c r="D853" i="5"/>
  <c r="D2050" i="5"/>
  <c r="D2484" i="5"/>
  <c r="D172" i="5"/>
  <c r="D842" i="5"/>
  <c r="D918" i="5"/>
  <c r="D782" i="5"/>
  <c r="D1057" i="5"/>
  <c r="D1109" i="5"/>
  <c r="D1321" i="5"/>
  <c r="D1825" i="5"/>
  <c r="D898" i="5"/>
  <c r="D1721" i="5"/>
  <c r="D159" i="5"/>
  <c r="D685" i="5"/>
  <c r="D1722" i="5"/>
  <c r="D1906" i="5"/>
  <c r="D1973" i="5"/>
  <c r="D2048" i="5"/>
  <c r="D2115" i="5"/>
  <c r="D61" i="5"/>
  <c r="D237" i="5"/>
  <c r="D780" i="5"/>
  <c r="D966" i="5"/>
  <c r="D1106" i="5"/>
  <c r="D1052" i="5"/>
  <c r="D1226" i="5"/>
  <c r="D544" i="5"/>
  <c r="D1127" i="5"/>
  <c r="D2138" i="5"/>
  <c r="D2144" i="5"/>
  <c r="D2193" i="5"/>
  <c r="D2275" i="5"/>
  <c r="D678" i="5"/>
  <c r="D2132" i="5"/>
  <c r="D969" i="5"/>
  <c r="D1251" i="5"/>
  <c r="D1552" i="5"/>
  <c r="D2008" i="5"/>
  <c r="D321" i="5"/>
  <c r="D1049" i="5"/>
  <c r="D1582" i="5"/>
  <c r="D2257" i="5"/>
  <c r="D1074" i="5"/>
  <c r="D2205" i="5"/>
  <c r="D278" i="5"/>
  <c r="D917" i="5"/>
  <c r="D974" i="5"/>
  <c r="D1452" i="5"/>
  <c r="D1658" i="5"/>
  <c r="D1989" i="5"/>
  <c r="D2160" i="5"/>
  <c r="D2464" i="5"/>
  <c r="D227" i="5"/>
  <c r="D1506" i="5"/>
  <c r="D1615" i="5"/>
  <c r="D388" i="5"/>
  <c r="D403" i="5"/>
  <c r="D664" i="5"/>
  <c r="D1454" i="5"/>
  <c r="D2391" i="5"/>
  <c r="D703" i="5"/>
  <c r="D1859" i="5"/>
  <c r="D167" i="5"/>
  <c r="D1937" i="5"/>
  <c r="D2134" i="5"/>
  <c r="D456" i="5"/>
  <c r="D775" i="5"/>
  <c r="D1733" i="5"/>
  <c r="D2472" i="5"/>
  <c r="D1165" i="5"/>
  <c r="D1366" i="5"/>
  <c r="D1600" i="5"/>
  <c r="D2490" i="5"/>
  <c r="D139" i="5"/>
  <c r="D724" i="5"/>
  <c r="D1224" i="5"/>
  <c r="D1585" i="5"/>
  <c r="D1982" i="5"/>
  <c r="D2371" i="5"/>
  <c r="D452" i="5"/>
  <c r="D472" i="5"/>
  <c r="D1995" i="5"/>
  <c r="D2005" i="5"/>
  <c r="D2199" i="5"/>
  <c r="D2216" i="5"/>
  <c r="D2447" i="5"/>
  <c r="D799" i="5"/>
  <c r="D922" i="5"/>
  <c r="D1480" i="5"/>
  <c r="D1059" i="5"/>
  <c r="D1542" i="5"/>
  <c r="D756" i="5"/>
  <c r="D1053" i="5"/>
  <c r="D1798" i="5"/>
  <c r="D1824" i="5"/>
  <c r="D1869" i="5"/>
  <c r="D1262" i="5"/>
  <c r="D1829" i="5"/>
  <c r="D2060" i="5"/>
  <c r="D679" i="5"/>
  <c r="D683" i="5"/>
  <c r="D973" i="5"/>
  <c r="D1215" i="5"/>
  <c r="D1360" i="5"/>
  <c r="D1715" i="5"/>
  <c r="D225" i="5"/>
  <c r="D732" i="5"/>
  <c r="D1061" i="5"/>
  <c r="D391" i="5"/>
  <c r="D1022" i="5"/>
  <c r="D2434" i="5"/>
  <c r="D22" i="5"/>
  <c r="D835" i="5"/>
  <c r="D867" i="5"/>
  <c r="D427" i="5"/>
  <c r="D1516" i="5"/>
  <c r="D1001" i="5"/>
  <c r="D2022" i="5"/>
  <c r="D522" i="5"/>
  <c r="D553" i="5"/>
  <c r="D1474" i="5"/>
  <c r="D1957" i="5"/>
  <c r="D96" i="5"/>
  <c r="D398" i="5"/>
  <c r="D564" i="5"/>
  <c r="D1172" i="5"/>
  <c r="D1412" i="5"/>
  <c r="D1546" i="5"/>
  <c r="D82" i="5"/>
  <c r="D730" i="5"/>
  <c r="D84" i="5"/>
  <c r="D153" i="5"/>
  <c r="D267" i="5"/>
  <c r="D766" i="5"/>
  <c r="D980" i="5"/>
  <c r="D1181" i="5"/>
  <c r="D1667" i="5"/>
  <c r="D948" i="5"/>
  <c r="D1538" i="5"/>
  <c r="D381" i="5"/>
  <c r="D1901" i="5"/>
  <c r="D460" i="5"/>
  <c r="D637" i="5"/>
  <c r="D2379" i="5"/>
  <c r="D481" i="5"/>
  <c r="D912" i="5"/>
  <c r="D1102" i="5"/>
  <c r="D1375" i="5"/>
  <c r="D1592" i="5"/>
  <c r="D1800" i="5"/>
  <c r="D1863" i="5"/>
  <c r="D34" i="5"/>
  <c r="D527" i="5"/>
  <c r="D572" i="5"/>
  <c r="D672" i="5"/>
  <c r="D811" i="5"/>
  <c r="D979" i="5"/>
  <c r="D1198" i="5"/>
  <c r="D1550" i="5"/>
  <c r="D2001" i="5"/>
  <c r="D2157" i="5"/>
  <c r="D737" i="5"/>
  <c r="D1120" i="5"/>
  <c r="D1593" i="5"/>
  <c r="D179" i="5"/>
  <c r="D591" i="5"/>
  <c r="D1438" i="5"/>
  <c r="D106" i="5"/>
  <c r="D602" i="5"/>
  <c r="D670" i="5"/>
  <c r="D2063" i="5"/>
  <c r="D2443" i="5"/>
  <c r="D147" i="5"/>
  <c r="D255" i="5"/>
  <c r="D971" i="5"/>
  <c r="D1170" i="5"/>
  <c r="D1325" i="5"/>
  <c r="D2225" i="5"/>
  <c r="D229" i="5"/>
  <c r="D344" i="5"/>
  <c r="D455" i="5"/>
  <c r="D926" i="5"/>
  <c r="D1028" i="5"/>
  <c r="D2156" i="5"/>
  <c r="D2263" i="5"/>
  <c r="D212" i="5"/>
  <c r="D1062" i="5"/>
  <c r="D1154" i="5"/>
  <c r="D2383" i="5"/>
  <c r="D171" i="5"/>
  <c r="D186" i="5"/>
  <c r="D949" i="5"/>
  <c r="D1163" i="5"/>
  <c r="D2245" i="5"/>
  <c r="D2333" i="5"/>
  <c r="D511" i="5"/>
  <c r="D1532" i="5"/>
  <c r="D1628" i="5"/>
  <c r="D1753" i="5"/>
  <c r="D1815" i="5"/>
  <c r="D1832" i="5"/>
  <c r="D272" i="5"/>
  <c r="D314" i="5"/>
  <c r="D513" i="5"/>
  <c r="D691" i="5"/>
  <c r="D825" i="5"/>
  <c r="D1243" i="5"/>
  <c r="D1693" i="5"/>
  <c r="D1846" i="5"/>
  <c r="D2210" i="5"/>
  <c r="D2254" i="5"/>
  <c r="D74" i="5"/>
  <c r="D884" i="5"/>
  <c r="D793" i="5"/>
  <c r="D1668" i="5"/>
  <c r="D2098" i="5"/>
  <c r="D535" i="5"/>
  <c r="D561" i="5"/>
  <c r="D768" i="5"/>
  <c r="D1344" i="5"/>
  <c r="D2346" i="5"/>
  <c r="D428" i="5"/>
  <c r="D543" i="5"/>
  <c r="D721" i="5"/>
  <c r="D1169" i="5"/>
  <c r="D1500" i="5"/>
  <c r="D1676" i="5"/>
  <c r="D1311" i="5"/>
  <c r="D1560" i="5"/>
  <c r="D1793" i="5"/>
  <c r="D2181" i="5"/>
  <c r="D364" i="5"/>
  <c r="D951" i="5"/>
  <c r="D332" i="5"/>
  <c r="D975" i="5"/>
  <c r="D1843" i="5"/>
  <c r="D1853" i="5"/>
  <c r="D2057" i="5"/>
  <c r="D60" i="5"/>
  <c r="D138" i="5"/>
  <c r="D1331" i="5"/>
  <c r="D1356" i="5"/>
  <c r="D1385" i="5"/>
  <c r="D1649" i="5"/>
  <c r="D464" i="5"/>
  <c r="D492" i="5"/>
  <c r="D821" i="5"/>
  <c r="D1126" i="5"/>
  <c r="D1286" i="5"/>
  <c r="D1696" i="5"/>
  <c r="D1975" i="5"/>
  <c r="D800" i="5"/>
  <c r="D1275" i="5"/>
  <c r="D1971" i="5"/>
  <c r="D2410" i="5"/>
  <c r="D1509" i="5"/>
  <c r="D1988" i="5"/>
  <c r="D1129" i="5"/>
  <c r="D93" i="5"/>
  <c r="D997" i="5"/>
  <c r="D1777" i="5"/>
  <c r="D565" i="5"/>
  <c r="D1036" i="5"/>
  <c r="D1099" i="5"/>
  <c r="D1999" i="5"/>
  <c r="D10" i="5"/>
  <c r="D998" i="5"/>
  <c r="D246" i="5"/>
  <c r="D306" i="5"/>
  <c r="D357" i="5"/>
  <c r="D598" i="5"/>
  <c r="D1040" i="5"/>
  <c r="D232" i="5"/>
  <c r="D1779" i="5"/>
  <c r="D310" i="5"/>
  <c r="D2059" i="5"/>
  <c r="D113" i="5"/>
  <c r="D865" i="5"/>
  <c r="D925" i="5"/>
  <c r="D1013" i="5"/>
  <c r="D1310" i="5"/>
  <c r="D1903" i="5"/>
  <c r="D2054" i="5"/>
  <c r="D2145" i="5"/>
  <c r="D2218" i="5"/>
  <c r="D2431" i="5"/>
  <c r="D771" i="5"/>
  <c r="D1503" i="5"/>
  <c r="D1778" i="5"/>
  <c r="D259" i="5"/>
  <c r="D970" i="5"/>
  <c r="D1050" i="5"/>
  <c r="D1591" i="5"/>
  <c r="D2496" i="5"/>
  <c r="D868" i="5"/>
  <c r="D2280" i="5"/>
  <c r="D134" i="5"/>
  <c r="D401" i="5"/>
  <c r="D109" i="5"/>
  <c r="D318" i="5"/>
  <c r="D1388" i="5"/>
  <c r="D1484" i="5"/>
  <c r="D1682" i="5"/>
  <c r="D1864" i="5"/>
  <c r="D2325" i="5"/>
  <c r="D358" i="5"/>
  <c r="D1411" i="5"/>
  <c r="D1343" i="5"/>
  <c r="D1419" i="5"/>
  <c r="D2106" i="5"/>
  <c r="D2459" i="5"/>
  <c r="D2422" i="5"/>
  <c r="D387" i="5"/>
  <c r="D1047" i="5"/>
  <c r="D1756" i="5"/>
  <c r="D1803" i="5"/>
  <c r="D1833" i="5"/>
  <c r="D2327" i="5"/>
  <c r="D701" i="5"/>
  <c r="D1133" i="5"/>
  <c r="D1416" i="5"/>
  <c r="D1711" i="5"/>
  <c r="D467" i="5"/>
  <c r="D896" i="5"/>
  <c r="D1247" i="5"/>
  <c r="D2114" i="5"/>
  <c r="D2170" i="5"/>
  <c r="D2487" i="5"/>
  <c r="D959" i="5"/>
  <c r="D1090" i="5"/>
  <c r="D1441" i="5"/>
  <c r="D1675" i="5"/>
  <c r="D1741" i="5"/>
  <c r="D765" i="5"/>
  <c r="D1097" i="5"/>
  <c r="D1867" i="5"/>
  <c r="D2003" i="5"/>
  <c r="D2041" i="5"/>
  <c r="D317" i="5"/>
  <c r="D1717" i="5"/>
  <c r="D1941" i="5"/>
  <c r="D2411" i="5"/>
  <c r="D2420" i="5"/>
  <c r="D2488" i="5"/>
  <c r="D271" i="5"/>
  <c r="D418" i="5"/>
  <c r="D568" i="5"/>
  <c r="D881" i="5"/>
  <c r="D1071" i="5"/>
  <c r="D1134" i="5"/>
  <c r="D478" i="5"/>
  <c r="D2089" i="5"/>
  <c r="D2182" i="5"/>
  <c r="D170" i="5"/>
  <c r="D311" i="5"/>
  <c r="D343" i="5"/>
  <c r="D1048" i="5"/>
  <c r="D1380" i="5"/>
  <c r="D843" i="5"/>
  <c r="D1449" i="5"/>
  <c r="D690" i="5"/>
  <c r="D1633" i="5"/>
  <c r="D1655" i="5"/>
  <c r="D1678" i="5"/>
  <c r="D2135" i="5"/>
  <c r="D2312" i="5"/>
  <c r="D105" i="5"/>
  <c r="D200" i="5"/>
  <c r="D258" i="5"/>
  <c r="D746" i="5"/>
  <c r="D1407" i="5"/>
  <c r="D1569" i="5"/>
  <c r="D1617" i="5"/>
  <c r="D1732" i="5"/>
  <c r="D2107" i="5"/>
  <c r="D2482" i="5"/>
  <c r="D36" i="5"/>
  <c r="D90" i="5"/>
  <c r="D450" i="5"/>
  <c r="D1191" i="5"/>
  <c r="D1290" i="5"/>
  <c r="D1521" i="5"/>
  <c r="D2053" i="5"/>
  <c r="D2316" i="5"/>
  <c r="D228" i="5"/>
  <c r="D2288" i="5"/>
  <c r="D962" i="5"/>
  <c r="D1056" i="5"/>
  <c r="D1073" i="5"/>
  <c r="D1130" i="5"/>
  <c r="D1403" i="5"/>
  <c r="D1851" i="5"/>
  <c r="D2370" i="5"/>
  <c r="D2468" i="5"/>
  <c r="D199" i="5"/>
  <c r="D393" i="5"/>
  <c r="D1475" i="5"/>
  <c r="D1860" i="5"/>
  <c r="D1948" i="5"/>
  <c r="D2415" i="5"/>
  <c r="D1114" i="5"/>
  <c r="D2220" i="5"/>
  <c r="D235" i="5"/>
  <c r="D656" i="5"/>
  <c r="D1760" i="5"/>
  <c r="D1096" i="5"/>
  <c r="D1143" i="5"/>
  <c r="D2421" i="5"/>
  <c r="D2500" i="5"/>
  <c r="D2481" i="5"/>
  <c r="D502" i="5"/>
  <c r="D547" i="5"/>
  <c r="D1917" i="5"/>
  <c r="D1996" i="5"/>
  <c r="D665" i="5"/>
  <c r="D1836" i="5"/>
  <c r="D1857" i="5"/>
  <c r="D104" i="5"/>
  <c r="D629" i="5"/>
  <c r="D635" i="5"/>
  <c r="D1182" i="5"/>
  <c r="D1334" i="5"/>
  <c r="D1840" i="5"/>
  <c r="D40" i="5"/>
  <c r="D426" i="5"/>
  <c r="D1027" i="5"/>
  <c r="D2463" i="5"/>
  <c r="D308" i="5"/>
  <c r="D1670" i="5"/>
  <c r="D1750" i="5"/>
  <c r="D1943" i="5"/>
  <c r="D2184" i="5"/>
  <c r="D1225" i="5"/>
  <c r="D1558" i="5"/>
  <c r="D2004" i="5"/>
  <c r="D976" i="5"/>
  <c r="D1077" i="5"/>
  <c r="D1335" i="5"/>
  <c r="D1448" i="5"/>
  <c r="D2153" i="5"/>
  <c r="D276" i="5"/>
  <c r="D967" i="5"/>
  <c r="D2244" i="5"/>
  <c r="D2461" i="5"/>
  <c r="D2491" i="5"/>
  <c r="D75" i="5"/>
  <c r="D282" i="5"/>
  <c r="D1881" i="5"/>
  <c r="D1932" i="5"/>
  <c r="D466" i="5"/>
  <c r="D525" i="5"/>
  <c r="D1214" i="5"/>
  <c r="D1524" i="5"/>
  <c r="D1534" i="5"/>
  <c r="D1611" i="5"/>
  <c r="D1706" i="5"/>
  <c r="D2255" i="5"/>
  <c r="D2486" i="5"/>
  <c r="D2000" i="5"/>
  <c r="D2095" i="5"/>
  <c r="D44" i="5"/>
  <c r="D934" i="5"/>
  <c r="D2079" i="5"/>
  <c r="D2124" i="5"/>
  <c r="D2125" i="5"/>
  <c r="D163" i="5"/>
  <c r="D551" i="5"/>
  <c r="D1144" i="5"/>
  <c r="D1197" i="5"/>
  <c r="D1201" i="5"/>
  <c r="D1629" i="5"/>
  <c r="D97" i="5"/>
  <c r="D479" i="5"/>
  <c r="D988" i="5"/>
  <c r="D1180" i="5"/>
  <c r="D1533" i="5"/>
  <c r="D1536" i="5"/>
  <c r="D1642" i="5"/>
  <c r="D1767" i="5"/>
  <c r="D9" i="5"/>
  <c r="D805" i="5"/>
  <c r="D820" i="5"/>
  <c r="D879" i="5"/>
  <c r="D1138" i="5"/>
  <c r="D2027" i="5"/>
  <c r="D2357" i="5"/>
  <c r="D902" i="5"/>
  <c r="D1171" i="5"/>
  <c r="D1394" i="5"/>
  <c r="D1862" i="5"/>
  <c r="D31" i="5"/>
  <c r="D749" i="5"/>
  <c r="D1006" i="5"/>
  <c r="D1148" i="5"/>
  <c r="D1736" i="5"/>
  <c r="D2211" i="5"/>
  <c r="D2287" i="5"/>
  <c r="D862" i="5"/>
  <c r="D1015" i="5"/>
  <c r="D1540" i="5"/>
  <c r="D1677" i="5"/>
  <c r="D2015" i="5"/>
  <c r="D2403" i="5"/>
  <c r="D1907" i="5"/>
  <c r="D2460" i="5"/>
  <c r="D516" i="5"/>
  <c r="D958" i="5"/>
  <c r="D1116" i="5"/>
  <c r="D1150" i="5"/>
  <c r="D110" i="5"/>
  <c r="D348" i="5"/>
  <c r="D588" i="5"/>
  <c r="D847" i="5"/>
  <c r="D1037" i="5"/>
  <c r="D2314" i="5"/>
  <c r="D2388" i="5"/>
  <c r="D169" i="5"/>
  <c r="D283" i="5"/>
  <c r="D859" i="5"/>
  <c r="D1029" i="5"/>
  <c r="D1173" i="5"/>
  <c r="D1409" i="5"/>
  <c r="D1573" i="5"/>
  <c r="D1876" i="5"/>
  <c r="D2407" i="5"/>
  <c r="D595" i="5"/>
  <c r="D681" i="5"/>
  <c r="D1754" i="5"/>
  <c r="D440" i="5"/>
  <c r="D582" i="5"/>
  <c r="D960" i="5"/>
  <c r="D1220" i="5"/>
  <c r="D2247" i="5"/>
  <c r="D2363" i="5"/>
  <c r="D11" i="5"/>
  <c r="D623" i="5"/>
  <c r="D1083" i="5"/>
  <c r="D1965" i="5"/>
  <c r="D489" i="5"/>
  <c r="D914" i="5"/>
  <c r="D1230" i="5"/>
  <c r="D1322" i="5"/>
  <c r="D2438" i="5"/>
  <c r="D5" i="5"/>
  <c r="D256" i="5"/>
  <c r="D307" i="5"/>
  <c r="D784" i="5"/>
  <c r="D1373" i="5"/>
  <c r="D2319" i="5"/>
  <c r="D470" i="5"/>
  <c r="D657" i="5"/>
  <c r="D901" i="5"/>
  <c r="D2233" i="5"/>
  <c r="D145" i="5"/>
  <c r="D603" i="5"/>
  <c r="D606" i="5"/>
  <c r="D1398" i="5"/>
  <c r="D839" i="5"/>
  <c r="D1337" i="5"/>
  <c r="D1499" i="5"/>
  <c r="D1595" i="5"/>
  <c r="D242" i="5"/>
  <c r="D1277" i="5"/>
  <c r="R52" i="6"/>
  <c r="R70" i="6"/>
  <c r="R92" i="6"/>
  <c r="R137" i="6"/>
  <c r="R143" i="6"/>
  <c r="R171" i="6"/>
  <c r="R181" i="6"/>
  <c r="R197" i="6"/>
  <c r="R201" i="6"/>
  <c r="R209" i="6"/>
  <c r="R216" i="6"/>
  <c r="R229" i="6"/>
  <c r="R359" i="6"/>
  <c r="R408" i="6"/>
  <c r="R411" i="6"/>
  <c r="R415" i="6"/>
  <c r="R425" i="6"/>
  <c r="R452" i="6"/>
  <c r="R465" i="6"/>
  <c r="R565" i="6"/>
  <c r="R584" i="6"/>
  <c r="R605" i="6"/>
  <c r="R649" i="6"/>
  <c r="R686" i="6"/>
  <c r="R693" i="6"/>
  <c r="R738" i="6"/>
  <c r="R782" i="6"/>
  <c r="R836" i="6"/>
  <c r="R845" i="6"/>
  <c r="R859" i="6"/>
  <c r="R885" i="6"/>
  <c r="R897" i="6"/>
  <c r="R910" i="6"/>
  <c r="R941" i="6"/>
  <c r="R995" i="6"/>
  <c r="R1005" i="6"/>
  <c r="R1024" i="6"/>
  <c r="R1047" i="6"/>
  <c r="R1053" i="6"/>
  <c r="R1058" i="6"/>
  <c r="R1077" i="6"/>
  <c r="R1190" i="6"/>
  <c r="R1239" i="6"/>
  <c r="R1342" i="6"/>
  <c r="R1402" i="6"/>
  <c r="R1442" i="6"/>
  <c r="R1511" i="6"/>
  <c r="R1564" i="6"/>
  <c r="R1568" i="6"/>
  <c r="R1610" i="6"/>
  <c r="R1674" i="6"/>
  <c r="R1677" i="6"/>
  <c r="R1719" i="6"/>
  <c r="R1736" i="6"/>
  <c r="R1764" i="6"/>
  <c r="R1780" i="6"/>
  <c r="R1826" i="6"/>
  <c r="R1859" i="6"/>
  <c r="R1908" i="6"/>
  <c r="R1918" i="6"/>
  <c r="R1932" i="6"/>
  <c r="R2010" i="6"/>
  <c r="R2093" i="6"/>
  <c r="R2100" i="6"/>
  <c r="R2104" i="6"/>
  <c r="R2106" i="6"/>
  <c r="R2109" i="6"/>
  <c r="R2113" i="6"/>
  <c r="R2118" i="6"/>
  <c r="R2150" i="6"/>
  <c r="R2206" i="6"/>
  <c r="R2256" i="6"/>
  <c r="R2279" i="6"/>
  <c r="R2293" i="6"/>
  <c r="R2342" i="6"/>
  <c r="R2353" i="6"/>
  <c r="R2366" i="6"/>
  <c r="R2390" i="6"/>
  <c r="R2395" i="6"/>
  <c r="R2438" i="6"/>
  <c r="R2508" i="6"/>
  <c r="R2513" i="6"/>
  <c r="R2542" i="6"/>
  <c r="R2585" i="6"/>
  <c r="R2604" i="6"/>
  <c r="R2618" i="6"/>
  <c r="R2621" i="6"/>
  <c r="R2629" i="6"/>
  <c r="R2656" i="6"/>
  <c r="R2688" i="6"/>
  <c r="R2735" i="6"/>
  <c r="R2759" i="6"/>
  <c r="R2761" i="6"/>
  <c r="R2771" i="6"/>
  <c r="R2773" i="6"/>
  <c r="R2830" i="6"/>
  <c r="R2841" i="6"/>
  <c r="R2897" i="6"/>
  <c r="R2906" i="6"/>
  <c r="R2921" i="6"/>
  <c r="R2944" i="6"/>
  <c r="R2970" i="6"/>
  <c r="R2982" i="6"/>
  <c r="R3074" i="6"/>
  <c r="R3116" i="6"/>
  <c r="R3124" i="6"/>
  <c r="R3136" i="6"/>
  <c r="R3176" i="6"/>
  <c r="R3196" i="6"/>
  <c r="R3208" i="6"/>
  <c r="R3214" i="6"/>
  <c r="R3418" i="6"/>
  <c r="R3454" i="6"/>
  <c r="R3552" i="6"/>
  <c r="R3553" i="6"/>
  <c r="R3556" i="6"/>
  <c r="R3583" i="6"/>
  <c r="R3612" i="6"/>
  <c r="R3725" i="6"/>
  <c r="R3756" i="6"/>
  <c r="R3826" i="6"/>
  <c r="R3846" i="6"/>
  <c r="R3879" i="6"/>
  <c r="R3900" i="6"/>
  <c r="R3954" i="6"/>
  <c r="R3997" i="6"/>
  <c r="R4033" i="6"/>
  <c r="R4069" i="6"/>
  <c r="R4087" i="6"/>
  <c r="R4172" i="6"/>
  <c r="R4203" i="6"/>
  <c r="R4259" i="6"/>
  <c r="R4325" i="6"/>
  <c r="R4361" i="6"/>
  <c r="R4399" i="6"/>
  <c r="R4490" i="6"/>
  <c r="R4511" i="6"/>
  <c r="R4541" i="6"/>
  <c r="R4545" i="6"/>
  <c r="R4558" i="6"/>
  <c r="R4866" i="6"/>
  <c r="R4886" i="6"/>
  <c r="R4984" i="6"/>
  <c r="R499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Q861" i="6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81" i="6"/>
  <c r="Q882" i="6"/>
  <c r="Q883" i="6"/>
  <c r="Q884" i="6"/>
  <c r="Q885" i="6"/>
  <c r="Q886" i="6"/>
  <c r="Q887" i="6"/>
  <c r="Q888" i="6"/>
  <c r="Q889" i="6"/>
  <c r="Q890" i="6"/>
  <c r="Q891" i="6"/>
  <c r="Q892" i="6"/>
  <c r="Q893" i="6"/>
  <c r="Q894" i="6"/>
  <c r="Q895" i="6"/>
  <c r="Q896" i="6"/>
  <c r="Q897" i="6"/>
  <c r="Q898" i="6"/>
  <c r="Q899" i="6"/>
  <c r="Q900" i="6"/>
  <c r="Q901" i="6"/>
  <c r="Q902" i="6"/>
  <c r="Q903" i="6"/>
  <c r="Q904" i="6"/>
  <c r="Q905" i="6"/>
  <c r="Q906" i="6"/>
  <c r="Q907" i="6"/>
  <c r="Q908" i="6"/>
  <c r="Q909" i="6"/>
  <c r="Q910" i="6"/>
  <c r="Q911" i="6"/>
  <c r="Q912" i="6"/>
  <c r="Q913" i="6"/>
  <c r="Q914" i="6"/>
  <c r="Q915" i="6"/>
  <c r="Q916" i="6"/>
  <c r="Q917" i="6"/>
  <c r="Q918" i="6"/>
  <c r="Q919" i="6"/>
  <c r="Q920" i="6"/>
  <c r="Q921" i="6"/>
  <c r="Q922" i="6"/>
  <c r="Q923" i="6"/>
  <c r="Q924" i="6"/>
  <c r="Q925" i="6"/>
  <c r="Q926" i="6"/>
  <c r="Q927" i="6"/>
  <c r="Q928" i="6"/>
  <c r="Q929" i="6"/>
  <c r="Q930" i="6"/>
  <c r="Q931" i="6"/>
  <c r="Q932" i="6"/>
  <c r="Q933" i="6"/>
  <c r="Q934" i="6"/>
  <c r="Q935" i="6"/>
  <c r="Q936" i="6"/>
  <c r="Q937" i="6"/>
  <c r="Q938" i="6"/>
  <c r="Q939" i="6"/>
  <c r="Q940" i="6"/>
  <c r="Q941" i="6"/>
  <c r="Q942" i="6"/>
  <c r="Q943" i="6"/>
  <c r="Q944" i="6"/>
  <c r="Q945" i="6"/>
  <c r="Q946" i="6"/>
  <c r="Q947" i="6"/>
  <c r="Q948" i="6"/>
  <c r="Q949" i="6"/>
  <c r="Q950" i="6"/>
  <c r="Q951" i="6"/>
  <c r="Q952" i="6"/>
  <c r="Q953" i="6"/>
  <c r="Q954" i="6"/>
  <c r="Q955" i="6"/>
  <c r="Q956" i="6"/>
  <c r="Q957" i="6"/>
  <c r="Q958" i="6"/>
  <c r="Q959" i="6"/>
  <c r="Q960" i="6"/>
  <c r="Q961" i="6"/>
  <c r="Q962" i="6"/>
  <c r="Q963" i="6"/>
  <c r="Q964" i="6"/>
  <c r="Q965" i="6"/>
  <c r="Q966" i="6"/>
  <c r="Q967" i="6"/>
  <c r="Q968" i="6"/>
  <c r="Q969" i="6"/>
  <c r="Q970" i="6"/>
  <c r="Q971" i="6"/>
  <c r="Q972" i="6"/>
  <c r="Q973" i="6"/>
  <c r="Q974" i="6"/>
  <c r="Q975" i="6"/>
  <c r="Q976" i="6"/>
  <c r="Q977" i="6"/>
  <c r="Q978" i="6"/>
  <c r="Q979" i="6"/>
  <c r="Q980" i="6"/>
  <c r="Q981" i="6"/>
  <c r="Q982" i="6"/>
  <c r="Q983" i="6"/>
  <c r="Q984" i="6"/>
  <c r="Q985" i="6"/>
  <c r="Q986" i="6"/>
  <c r="Q987" i="6"/>
  <c r="Q988" i="6"/>
  <c r="Q989" i="6"/>
  <c r="Q990" i="6"/>
  <c r="Q991" i="6"/>
  <c r="Q992" i="6"/>
  <c r="Q993" i="6"/>
  <c r="Q994" i="6"/>
  <c r="Q995" i="6"/>
  <c r="Q996" i="6"/>
  <c r="Q997" i="6"/>
  <c r="Q998" i="6"/>
  <c r="Q999" i="6"/>
  <c r="Q1000" i="6"/>
  <c r="Q1001" i="6"/>
  <c r="Q1002" i="6"/>
  <c r="Q1003" i="6"/>
  <c r="Q1004" i="6"/>
  <c r="Q1005" i="6"/>
  <c r="Q1006" i="6"/>
  <c r="Q1007" i="6"/>
  <c r="Q1008" i="6"/>
  <c r="Q1009" i="6"/>
  <c r="Q1010" i="6"/>
  <c r="Q1011" i="6"/>
  <c r="Q1012" i="6"/>
  <c r="Q1013" i="6"/>
  <c r="Q1014" i="6"/>
  <c r="Q1015" i="6"/>
  <c r="Q1016" i="6"/>
  <c r="Q1017" i="6"/>
  <c r="Q1018" i="6"/>
  <c r="Q1019" i="6"/>
  <c r="Q1020" i="6"/>
  <c r="Q1021" i="6"/>
  <c r="Q1022" i="6"/>
  <c r="Q1023" i="6"/>
  <c r="Q1024" i="6"/>
  <c r="Q1025" i="6"/>
  <c r="Q1026" i="6"/>
  <c r="Q1027" i="6"/>
  <c r="Q1028" i="6"/>
  <c r="Q1029" i="6"/>
  <c r="Q1030" i="6"/>
  <c r="Q1031" i="6"/>
  <c r="Q1032" i="6"/>
  <c r="Q1033" i="6"/>
  <c r="Q1034" i="6"/>
  <c r="Q1035" i="6"/>
  <c r="Q1036" i="6"/>
  <c r="Q1037" i="6"/>
  <c r="Q1038" i="6"/>
  <c r="Q1039" i="6"/>
  <c r="Q1040" i="6"/>
  <c r="Q1041" i="6"/>
  <c r="Q1042" i="6"/>
  <c r="Q1043" i="6"/>
  <c r="Q1044" i="6"/>
  <c r="Q1045" i="6"/>
  <c r="Q1046" i="6"/>
  <c r="Q1047" i="6"/>
  <c r="Q1048" i="6"/>
  <c r="Q1049" i="6"/>
  <c r="Q1050" i="6"/>
  <c r="Q1051" i="6"/>
  <c r="Q1052" i="6"/>
  <c r="Q1053" i="6"/>
  <c r="Q1054" i="6"/>
  <c r="Q1055" i="6"/>
  <c r="Q1056" i="6"/>
  <c r="Q1057" i="6"/>
  <c r="Q1058" i="6"/>
  <c r="Q1059" i="6"/>
  <c r="Q1060" i="6"/>
  <c r="Q1061" i="6"/>
  <c r="Q1062" i="6"/>
  <c r="Q1063" i="6"/>
  <c r="Q1064" i="6"/>
  <c r="Q1065" i="6"/>
  <c r="Q1066" i="6"/>
  <c r="Q1067" i="6"/>
  <c r="Q1068" i="6"/>
  <c r="Q1069" i="6"/>
  <c r="Q1070" i="6"/>
  <c r="Q1071" i="6"/>
  <c r="Q1072" i="6"/>
  <c r="Q1073" i="6"/>
  <c r="Q1074" i="6"/>
  <c r="Q1075" i="6"/>
  <c r="Q1076" i="6"/>
  <c r="Q1077" i="6"/>
  <c r="Q1078" i="6"/>
  <c r="Q1079" i="6"/>
  <c r="Q1080" i="6"/>
  <c r="Q1081" i="6"/>
  <c r="Q1082" i="6"/>
  <c r="Q1083" i="6"/>
  <c r="Q1084" i="6"/>
  <c r="Q1085" i="6"/>
  <c r="Q1086" i="6"/>
  <c r="Q1087" i="6"/>
  <c r="Q1088" i="6"/>
  <c r="Q1089" i="6"/>
  <c r="Q1090" i="6"/>
  <c r="Q1091" i="6"/>
  <c r="Q1092" i="6"/>
  <c r="Q1093" i="6"/>
  <c r="Q1094" i="6"/>
  <c r="Q1095" i="6"/>
  <c r="Q1096" i="6"/>
  <c r="Q1097" i="6"/>
  <c r="Q1098" i="6"/>
  <c r="Q1099" i="6"/>
  <c r="Q1100" i="6"/>
  <c r="Q1101" i="6"/>
  <c r="Q1102" i="6"/>
  <c r="Q1103" i="6"/>
  <c r="Q1104" i="6"/>
  <c r="Q1105" i="6"/>
  <c r="Q1106" i="6"/>
  <c r="Q1107" i="6"/>
  <c r="Q1108" i="6"/>
  <c r="Q1109" i="6"/>
  <c r="Q1110" i="6"/>
  <c r="Q1111" i="6"/>
  <c r="Q1112" i="6"/>
  <c r="Q1113" i="6"/>
  <c r="Q1114" i="6"/>
  <c r="Q1115" i="6"/>
  <c r="Q1116" i="6"/>
  <c r="Q1117" i="6"/>
  <c r="Q1118" i="6"/>
  <c r="Q1119" i="6"/>
  <c r="Q1120" i="6"/>
  <c r="Q1121" i="6"/>
  <c r="Q1122" i="6"/>
  <c r="Q1123" i="6"/>
  <c r="Q1124" i="6"/>
  <c r="Q1125" i="6"/>
  <c r="Q1126" i="6"/>
  <c r="Q1127" i="6"/>
  <c r="Q1128" i="6"/>
  <c r="Q1129" i="6"/>
  <c r="Q1130" i="6"/>
  <c r="Q1131" i="6"/>
  <c r="Q1132" i="6"/>
  <c r="Q1133" i="6"/>
  <c r="Q1134" i="6"/>
  <c r="Q1135" i="6"/>
  <c r="Q1136" i="6"/>
  <c r="Q1137" i="6"/>
  <c r="Q1138" i="6"/>
  <c r="Q1139" i="6"/>
  <c r="Q1140" i="6"/>
  <c r="Q1141" i="6"/>
  <c r="Q1142" i="6"/>
  <c r="Q1143" i="6"/>
  <c r="Q1144" i="6"/>
  <c r="Q1145" i="6"/>
  <c r="Q1146" i="6"/>
  <c r="Q1147" i="6"/>
  <c r="Q1148" i="6"/>
  <c r="Q1149" i="6"/>
  <c r="Q1150" i="6"/>
  <c r="Q1151" i="6"/>
  <c r="Q1152" i="6"/>
  <c r="Q1153" i="6"/>
  <c r="Q1154" i="6"/>
  <c r="Q1155" i="6"/>
  <c r="Q1156" i="6"/>
  <c r="Q1157" i="6"/>
  <c r="Q1158" i="6"/>
  <c r="Q1159" i="6"/>
  <c r="Q1160" i="6"/>
  <c r="Q1161" i="6"/>
  <c r="Q1162" i="6"/>
  <c r="Q1163" i="6"/>
  <c r="Q1164" i="6"/>
  <c r="Q1165" i="6"/>
  <c r="Q1166" i="6"/>
  <c r="Q1167" i="6"/>
  <c r="Q1168" i="6"/>
  <c r="Q1169" i="6"/>
  <c r="Q1170" i="6"/>
  <c r="Q1171" i="6"/>
  <c r="Q1172" i="6"/>
  <c r="Q1173" i="6"/>
  <c r="Q1174" i="6"/>
  <c r="Q1175" i="6"/>
  <c r="Q1176" i="6"/>
  <c r="Q1177" i="6"/>
  <c r="Q1178" i="6"/>
  <c r="Q1179" i="6"/>
  <c r="Q1180" i="6"/>
  <c r="Q1181" i="6"/>
  <c r="Q1182" i="6"/>
  <c r="Q1183" i="6"/>
  <c r="Q1184" i="6"/>
  <c r="Q1185" i="6"/>
  <c r="Q1186" i="6"/>
  <c r="Q1187" i="6"/>
  <c r="Q1188" i="6"/>
  <c r="Q1189" i="6"/>
  <c r="Q1190" i="6"/>
  <c r="Q1191" i="6"/>
  <c r="Q1192" i="6"/>
  <c r="Q1193" i="6"/>
  <c r="Q1194" i="6"/>
  <c r="Q1195" i="6"/>
  <c r="Q1196" i="6"/>
  <c r="Q1197" i="6"/>
  <c r="Q1198" i="6"/>
  <c r="Q1199" i="6"/>
  <c r="Q1200" i="6"/>
  <c r="Q1201" i="6"/>
  <c r="Q1202" i="6"/>
  <c r="Q1203" i="6"/>
  <c r="Q1204" i="6"/>
  <c r="Q1205" i="6"/>
  <c r="Q1206" i="6"/>
  <c r="Q1207" i="6"/>
  <c r="Q1208" i="6"/>
  <c r="Q1209" i="6"/>
  <c r="Q1210" i="6"/>
  <c r="Q1211" i="6"/>
  <c r="Q1212" i="6"/>
  <c r="Q1213" i="6"/>
  <c r="Q1214" i="6"/>
  <c r="Q1215" i="6"/>
  <c r="Q1216" i="6"/>
  <c r="Q1217" i="6"/>
  <c r="Q1218" i="6"/>
  <c r="Q1219" i="6"/>
  <c r="Q1220" i="6"/>
  <c r="Q1221" i="6"/>
  <c r="Q1222" i="6"/>
  <c r="Q1223" i="6"/>
  <c r="Q1224" i="6"/>
  <c r="Q1225" i="6"/>
  <c r="Q1226" i="6"/>
  <c r="Q1227" i="6"/>
  <c r="Q1228" i="6"/>
  <c r="Q1229" i="6"/>
  <c r="Q1230" i="6"/>
  <c r="Q1231" i="6"/>
  <c r="Q1232" i="6"/>
  <c r="Q1233" i="6"/>
  <c r="Q1234" i="6"/>
  <c r="Q1235" i="6"/>
  <c r="Q1236" i="6"/>
  <c r="Q1237" i="6"/>
  <c r="Q1238" i="6"/>
  <c r="Q1239" i="6"/>
  <c r="Q1240" i="6"/>
  <c r="Q1241" i="6"/>
  <c r="Q1242" i="6"/>
  <c r="Q1243" i="6"/>
  <c r="Q1244" i="6"/>
  <c r="Q1245" i="6"/>
  <c r="Q1246" i="6"/>
  <c r="Q1247" i="6"/>
  <c r="Q1248" i="6"/>
  <c r="Q1249" i="6"/>
  <c r="Q1250" i="6"/>
  <c r="Q1251" i="6"/>
  <c r="Q1252" i="6"/>
  <c r="Q1253" i="6"/>
  <c r="Q1254" i="6"/>
  <c r="Q1255" i="6"/>
  <c r="Q1256" i="6"/>
  <c r="Q1257" i="6"/>
  <c r="Q1258" i="6"/>
  <c r="Q1259" i="6"/>
  <c r="Q1260" i="6"/>
  <c r="Q1261" i="6"/>
  <c r="Q1262" i="6"/>
  <c r="Q1263" i="6"/>
  <c r="Q1264" i="6"/>
  <c r="Q1265" i="6"/>
  <c r="Q1266" i="6"/>
  <c r="Q1267" i="6"/>
  <c r="Q1268" i="6"/>
  <c r="Q1269" i="6"/>
  <c r="Q1270" i="6"/>
  <c r="Q1271" i="6"/>
  <c r="Q1272" i="6"/>
  <c r="Q1273" i="6"/>
  <c r="Q1274" i="6"/>
  <c r="Q1275" i="6"/>
  <c r="Q1276" i="6"/>
  <c r="Q1277" i="6"/>
  <c r="Q1278" i="6"/>
  <c r="Q1279" i="6"/>
  <c r="Q1280" i="6"/>
  <c r="Q1281" i="6"/>
  <c r="Q1282" i="6"/>
  <c r="Q1283" i="6"/>
  <c r="Q1284" i="6"/>
  <c r="Q1285" i="6"/>
  <c r="Q1286" i="6"/>
  <c r="Q1287" i="6"/>
  <c r="Q1288" i="6"/>
  <c r="Q1289" i="6"/>
  <c r="Q1290" i="6"/>
  <c r="Q1291" i="6"/>
  <c r="Q1292" i="6"/>
  <c r="Q1293" i="6"/>
  <c r="Q1294" i="6"/>
  <c r="Q1295" i="6"/>
  <c r="Q1296" i="6"/>
  <c r="Q1297" i="6"/>
  <c r="Q1298" i="6"/>
  <c r="Q1299" i="6"/>
  <c r="Q1300" i="6"/>
  <c r="Q1301" i="6"/>
  <c r="Q1302" i="6"/>
  <c r="Q1303" i="6"/>
  <c r="Q1304" i="6"/>
  <c r="Q1305" i="6"/>
  <c r="Q1306" i="6"/>
  <c r="Q1307" i="6"/>
  <c r="Q1308" i="6"/>
  <c r="Q1309" i="6"/>
  <c r="Q1310" i="6"/>
  <c r="Q1311" i="6"/>
  <c r="Q1312" i="6"/>
  <c r="Q1313" i="6"/>
  <c r="Q1314" i="6"/>
  <c r="Q1315" i="6"/>
  <c r="Q1316" i="6"/>
  <c r="Q1317" i="6"/>
  <c r="Q1318" i="6"/>
  <c r="Q1319" i="6"/>
  <c r="Q1320" i="6"/>
  <c r="Q1321" i="6"/>
  <c r="Q1322" i="6"/>
  <c r="Q1323" i="6"/>
  <c r="Q1324" i="6"/>
  <c r="Q1325" i="6"/>
  <c r="Q1326" i="6"/>
  <c r="Q1327" i="6"/>
  <c r="Q1328" i="6"/>
  <c r="Q1329" i="6"/>
  <c r="Q1330" i="6"/>
  <c r="Q1331" i="6"/>
  <c r="Q1332" i="6"/>
  <c r="Q1333" i="6"/>
  <c r="Q1334" i="6"/>
  <c r="Q1335" i="6"/>
  <c r="Q1336" i="6"/>
  <c r="Q1337" i="6"/>
  <c r="Q1338" i="6"/>
  <c r="Q1339" i="6"/>
  <c r="Q1340" i="6"/>
  <c r="Q1341" i="6"/>
  <c r="Q1342" i="6"/>
  <c r="Q1343" i="6"/>
  <c r="Q1344" i="6"/>
  <c r="Q1345" i="6"/>
  <c r="Q1346" i="6"/>
  <c r="Q1347" i="6"/>
  <c r="Q1348" i="6"/>
  <c r="Q1349" i="6"/>
  <c r="Q1350" i="6"/>
  <c r="Q1351" i="6"/>
  <c r="Q1352" i="6"/>
  <c r="Q1353" i="6"/>
  <c r="Q1354" i="6"/>
  <c r="Q1355" i="6"/>
  <c r="Q1356" i="6"/>
  <c r="Q1357" i="6"/>
  <c r="Q1358" i="6"/>
  <c r="Q1359" i="6"/>
  <c r="Q1360" i="6"/>
  <c r="Q1361" i="6"/>
  <c r="Q1362" i="6"/>
  <c r="Q1363" i="6"/>
  <c r="Q1364" i="6"/>
  <c r="Q1365" i="6"/>
  <c r="Q1366" i="6"/>
  <c r="Q1367" i="6"/>
  <c r="Q1368" i="6"/>
  <c r="Q1369" i="6"/>
  <c r="Q1370" i="6"/>
  <c r="Q1371" i="6"/>
  <c r="Q1372" i="6"/>
  <c r="Q1373" i="6"/>
  <c r="Q1374" i="6"/>
  <c r="Q1375" i="6"/>
  <c r="Q1376" i="6"/>
  <c r="Q1377" i="6"/>
  <c r="Q1378" i="6"/>
  <c r="Q1379" i="6"/>
  <c r="Q1380" i="6"/>
  <c r="Q1381" i="6"/>
  <c r="Q1382" i="6"/>
  <c r="Q1383" i="6"/>
  <c r="Q1384" i="6"/>
  <c r="Q1385" i="6"/>
  <c r="Q1386" i="6"/>
  <c r="Q1387" i="6"/>
  <c r="Q1388" i="6"/>
  <c r="Q1389" i="6"/>
  <c r="Q1390" i="6"/>
  <c r="Q1391" i="6"/>
  <c r="Q1392" i="6"/>
  <c r="Q1393" i="6"/>
  <c r="Q1394" i="6"/>
  <c r="Q1395" i="6"/>
  <c r="Q1396" i="6"/>
  <c r="Q1397" i="6"/>
  <c r="Q1398" i="6"/>
  <c r="Q1399" i="6"/>
  <c r="Q1400" i="6"/>
  <c r="Q1401" i="6"/>
  <c r="Q1402" i="6"/>
  <c r="Q1403" i="6"/>
  <c r="Q1404" i="6"/>
  <c r="Q1405" i="6"/>
  <c r="Q1406" i="6"/>
  <c r="Q1407" i="6"/>
  <c r="Q1408" i="6"/>
  <c r="Q1409" i="6"/>
  <c r="Q1410" i="6"/>
  <c r="Q1411" i="6"/>
  <c r="Q1412" i="6"/>
  <c r="Q1413" i="6"/>
  <c r="Q1414" i="6"/>
  <c r="Q1415" i="6"/>
  <c r="Q1416" i="6"/>
  <c r="Q1417" i="6"/>
  <c r="Q1418" i="6"/>
  <c r="Q1419" i="6"/>
  <c r="Q1420" i="6"/>
  <c r="Q1421" i="6"/>
  <c r="Q1422" i="6"/>
  <c r="Q1423" i="6"/>
  <c r="Q1424" i="6"/>
  <c r="Q1425" i="6"/>
  <c r="Q1426" i="6"/>
  <c r="Q1427" i="6"/>
  <c r="Q1428" i="6"/>
  <c r="Q1429" i="6"/>
  <c r="Q1430" i="6"/>
  <c r="Q1431" i="6"/>
  <c r="Q1432" i="6"/>
  <c r="Q1433" i="6"/>
  <c r="Q1434" i="6"/>
  <c r="Q1435" i="6"/>
  <c r="Q1436" i="6"/>
  <c r="Q1437" i="6"/>
  <c r="Q1438" i="6"/>
  <c r="Q1439" i="6"/>
  <c r="Q1440" i="6"/>
  <c r="Q1441" i="6"/>
  <c r="Q1442" i="6"/>
  <c r="Q1443" i="6"/>
  <c r="Q1444" i="6"/>
  <c r="Q1445" i="6"/>
  <c r="Q1446" i="6"/>
  <c r="Q1447" i="6"/>
  <c r="Q1448" i="6"/>
  <c r="Q1449" i="6"/>
  <c r="Q1450" i="6"/>
  <c r="Q1451" i="6"/>
  <c r="Q1452" i="6"/>
  <c r="Q1453" i="6"/>
  <c r="Q1454" i="6"/>
  <c r="Q1455" i="6"/>
  <c r="Q1456" i="6"/>
  <c r="Q1457" i="6"/>
  <c r="Q1458" i="6"/>
  <c r="Q1459" i="6"/>
  <c r="Q1460" i="6"/>
  <c r="Q1461" i="6"/>
  <c r="Q1462" i="6"/>
  <c r="Q1463" i="6"/>
  <c r="Q1464" i="6"/>
  <c r="Q1465" i="6"/>
  <c r="Q1466" i="6"/>
  <c r="Q1467" i="6"/>
  <c r="Q1468" i="6"/>
  <c r="Q1469" i="6"/>
  <c r="Q1470" i="6"/>
  <c r="Q1471" i="6"/>
  <c r="Q1472" i="6"/>
  <c r="Q1473" i="6"/>
  <c r="Q1474" i="6"/>
  <c r="Q1475" i="6"/>
  <c r="Q1476" i="6"/>
  <c r="Q1477" i="6"/>
  <c r="Q1478" i="6"/>
  <c r="Q1479" i="6"/>
  <c r="Q1480" i="6"/>
  <c r="Q1481" i="6"/>
  <c r="Q1482" i="6"/>
  <c r="Q1483" i="6"/>
  <c r="Q1484" i="6"/>
  <c r="Q1485" i="6"/>
  <c r="Q1486" i="6"/>
  <c r="Q1487" i="6"/>
  <c r="Q1488" i="6"/>
  <c r="Q1489" i="6"/>
  <c r="Q1490" i="6"/>
  <c r="Q1491" i="6"/>
  <c r="Q1492" i="6"/>
  <c r="Q1493" i="6"/>
  <c r="Q1494" i="6"/>
  <c r="Q1495" i="6"/>
  <c r="Q1496" i="6"/>
  <c r="Q1497" i="6"/>
  <c r="Q1498" i="6"/>
  <c r="Q1499" i="6"/>
  <c r="Q1500" i="6"/>
  <c r="Q1501" i="6"/>
  <c r="Q1502" i="6"/>
  <c r="Q1503" i="6"/>
  <c r="Q1504" i="6"/>
  <c r="Q1505" i="6"/>
  <c r="Q1506" i="6"/>
  <c r="Q1507" i="6"/>
  <c r="Q1508" i="6"/>
  <c r="Q1509" i="6"/>
  <c r="Q1510" i="6"/>
  <c r="Q1511" i="6"/>
  <c r="Q1512" i="6"/>
  <c r="Q1513" i="6"/>
  <c r="Q1514" i="6"/>
  <c r="Q1515" i="6"/>
  <c r="Q1516" i="6"/>
  <c r="Q1517" i="6"/>
  <c r="Q1518" i="6"/>
  <c r="Q1519" i="6"/>
  <c r="Q1520" i="6"/>
  <c r="Q1521" i="6"/>
  <c r="Q1522" i="6"/>
  <c r="Q1523" i="6"/>
  <c r="Q1524" i="6"/>
  <c r="Q1525" i="6"/>
  <c r="Q1526" i="6"/>
  <c r="Q1527" i="6"/>
  <c r="Q1528" i="6"/>
  <c r="Q1529" i="6"/>
  <c r="Q1530" i="6"/>
  <c r="Q1531" i="6"/>
  <c r="Q1532" i="6"/>
  <c r="Q1533" i="6"/>
  <c r="Q1534" i="6"/>
  <c r="Q1535" i="6"/>
  <c r="Q1536" i="6"/>
  <c r="Q1537" i="6"/>
  <c r="Q1538" i="6"/>
  <c r="Q1539" i="6"/>
  <c r="Q1540" i="6"/>
  <c r="Q1541" i="6"/>
  <c r="Q1542" i="6"/>
  <c r="Q1543" i="6"/>
  <c r="Q1544" i="6"/>
  <c r="Q1545" i="6"/>
  <c r="Q1546" i="6"/>
  <c r="Q1547" i="6"/>
  <c r="Q1548" i="6"/>
  <c r="Q1549" i="6"/>
  <c r="Q1550" i="6"/>
  <c r="Q1551" i="6"/>
  <c r="Q1552" i="6"/>
  <c r="Q1553" i="6"/>
  <c r="Q1554" i="6"/>
  <c r="Q1555" i="6"/>
  <c r="Q1556" i="6"/>
  <c r="Q1557" i="6"/>
  <c r="Q1558" i="6"/>
  <c r="Q1559" i="6"/>
  <c r="Q1560" i="6"/>
  <c r="Q1561" i="6"/>
  <c r="Q1562" i="6"/>
  <c r="Q1563" i="6"/>
  <c r="Q1564" i="6"/>
  <c r="Q1565" i="6"/>
  <c r="Q1566" i="6"/>
  <c r="Q1567" i="6"/>
  <c r="Q1568" i="6"/>
  <c r="Q1569" i="6"/>
  <c r="Q1570" i="6"/>
  <c r="Q1571" i="6"/>
  <c r="Q1572" i="6"/>
  <c r="Q1573" i="6"/>
  <c r="Q1574" i="6"/>
  <c r="Q1575" i="6"/>
  <c r="Q1576" i="6"/>
  <c r="Q1577" i="6"/>
  <c r="Q1578" i="6"/>
  <c r="Q1579" i="6"/>
  <c r="Q1580" i="6"/>
  <c r="Q1581" i="6"/>
  <c r="Q1582" i="6"/>
  <c r="Q1583" i="6"/>
  <c r="Q1584" i="6"/>
  <c r="Q1585" i="6"/>
  <c r="Q1586" i="6"/>
  <c r="Q1587" i="6"/>
  <c r="Q1588" i="6"/>
  <c r="Q1589" i="6"/>
  <c r="Q1590" i="6"/>
  <c r="Q1591" i="6"/>
  <c r="Q1592" i="6"/>
  <c r="Q1593" i="6"/>
  <c r="Q1594" i="6"/>
  <c r="Q1595" i="6"/>
  <c r="Q1596" i="6"/>
  <c r="Q1597" i="6"/>
  <c r="Q1598" i="6"/>
  <c r="Q1599" i="6"/>
  <c r="Q1600" i="6"/>
  <c r="Q1601" i="6"/>
  <c r="Q1602" i="6"/>
  <c r="Q1603" i="6"/>
  <c r="Q1604" i="6"/>
  <c r="Q1605" i="6"/>
  <c r="Q1606" i="6"/>
  <c r="Q1607" i="6"/>
  <c r="Q1608" i="6"/>
  <c r="Q1609" i="6"/>
  <c r="Q1610" i="6"/>
  <c r="Q1611" i="6"/>
  <c r="Q1612" i="6"/>
  <c r="Q1613" i="6"/>
  <c r="Q1614" i="6"/>
  <c r="Q1615" i="6"/>
  <c r="Q1616" i="6"/>
  <c r="Q1617" i="6"/>
  <c r="Q1618" i="6"/>
  <c r="Q1619" i="6"/>
  <c r="Q1620" i="6"/>
  <c r="Q1621" i="6"/>
  <c r="Q1622" i="6"/>
  <c r="Q1623" i="6"/>
  <c r="Q1624" i="6"/>
  <c r="Q1625" i="6"/>
  <c r="Q1626" i="6"/>
  <c r="Q1627" i="6"/>
  <c r="Q1628" i="6"/>
  <c r="Q1629" i="6"/>
  <c r="Q1630" i="6"/>
  <c r="Q1631" i="6"/>
  <c r="Q1632" i="6"/>
  <c r="Q1633" i="6"/>
  <c r="Q1634" i="6"/>
  <c r="Q1635" i="6"/>
  <c r="Q1636" i="6"/>
  <c r="Q1637" i="6"/>
  <c r="Q1638" i="6"/>
  <c r="Q1639" i="6"/>
  <c r="Q1640" i="6"/>
  <c r="Q1641" i="6"/>
  <c r="Q1642" i="6"/>
  <c r="Q1643" i="6"/>
  <c r="Q1644" i="6"/>
  <c r="Q1645" i="6"/>
  <c r="Q1646" i="6"/>
  <c r="Q1647" i="6"/>
  <c r="Q1648" i="6"/>
  <c r="Q1649" i="6"/>
  <c r="Q1650" i="6"/>
  <c r="Q1651" i="6"/>
  <c r="Q1652" i="6"/>
  <c r="Q1653" i="6"/>
  <c r="Q1654" i="6"/>
  <c r="Q1655" i="6"/>
  <c r="Q1656" i="6"/>
  <c r="Q1657" i="6"/>
  <c r="Q1658" i="6"/>
  <c r="Q1659" i="6"/>
  <c r="Q1660" i="6"/>
  <c r="Q1661" i="6"/>
  <c r="Q1662" i="6"/>
  <c r="Q1663" i="6"/>
  <c r="Q1664" i="6"/>
  <c r="Q1665" i="6"/>
  <c r="Q1666" i="6"/>
  <c r="Q1667" i="6"/>
  <c r="Q1668" i="6"/>
  <c r="Q1669" i="6"/>
  <c r="Q1670" i="6"/>
  <c r="Q1671" i="6"/>
  <c r="Q1672" i="6"/>
  <c r="Q1673" i="6"/>
  <c r="Q1674" i="6"/>
  <c r="Q1675" i="6"/>
  <c r="Q1676" i="6"/>
  <c r="Q1677" i="6"/>
  <c r="Q1678" i="6"/>
  <c r="Q1679" i="6"/>
  <c r="Q1680" i="6"/>
  <c r="Q1681" i="6"/>
  <c r="Q1682" i="6"/>
  <c r="Q1683" i="6"/>
  <c r="Q1684" i="6"/>
  <c r="Q1685" i="6"/>
  <c r="Q1686" i="6"/>
  <c r="Q1687" i="6"/>
  <c r="Q1688" i="6"/>
  <c r="Q1689" i="6"/>
  <c r="Q1690" i="6"/>
  <c r="Q1691" i="6"/>
  <c r="Q1692" i="6"/>
  <c r="Q1693" i="6"/>
  <c r="Q1694" i="6"/>
  <c r="Q1695" i="6"/>
  <c r="Q1696" i="6"/>
  <c r="Q1697" i="6"/>
  <c r="Q1698" i="6"/>
  <c r="Q1699" i="6"/>
  <c r="Q1700" i="6"/>
  <c r="Q1701" i="6"/>
  <c r="Q1702" i="6"/>
  <c r="Q1703" i="6"/>
  <c r="Q1704" i="6"/>
  <c r="Q1705" i="6"/>
  <c r="Q1706" i="6"/>
  <c r="Q1707" i="6"/>
  <c r="Q1708" i="6"/>
  <c r="Q1709" i="6"/>
  <c r="Q1710" i="6"/>
  <c r="Q1711" i="6"/>
  <c r="Q1712" i="6"/>
  <c r="Q1713" i="6"/>
  <c r="Q1714" i="6"/>
  <c r="Q1715" i="6"/>
  <c r="Q1716" i="6"/>
  <c r="Q1717" i="6"/>
  <c r="Q1718" i="6"/>
  <c r="Q1719" i="6"/>
  <c r="Q1720" i="6"/>
  <c r="Q1721" i="6"/>
  <c r="Q1722" i="6"/>
  <c r="Q1723" i="6"/>
  <c r="Q1724" i="6"/>
  <c r="Q1725" i="6"/>
  <c r="Q1726" i="6"/>
  <c r="Q1727" i="6"/>
  <c r="Q1728" i="6"/>
  <c r="Q1729" i="6"/>
  <c r="Q1730" i="6"/>
  <c r="Q1731" i="6"/>
  <c r="Q1732" i="6"/>
  <c r="Q1733" i="6"/>
  <c r="Q1734" i="6"/>
  <c r="Q1735" i="6"/>
  <c r="Q1736" i="6"/>
  <c r="Q1737" i="6"/>
  <c r="Q1738" i="6"/>
  <c r="Q1739" i="6"/>
  <c r="Q1740" i="6"/>
  <c r="Q1741" i="6"/>
  <c r="Q1742" i="6"/>
  <c r="Q1743" i="6"/>
  <c r="Q1744" i="6"/>
  <c r="Q1745" i="6"/>
  <c r="Q1746" i="6"/>
  <c r="Q1747" i="6"/>
  <c r="Q1748" i="6"/>
  <c r="Q1749" i="6"/>
  <c r="Q1750" i="6"/>
  <c r="Q1751" i="6"/>
  <c r="Q1752" i="6"/>
  <c r="Q1753" i="6"/>
  <c r="Q1754" i="6"/>
  <c r="Q1755" i="6"/>
  <c r="Q1756" i="6"/>
  <c r="Q1757" i="6"/>
  <c r="Q1758" i="6"/>
  <c r="Q1759" i="6"/>
  <c r="Q1760" i="6"/>
  <c r="Q1761" i="6"/>
  <c r="Q1762" i="6"/>
  <c r="Q1763" i="6"/>
  <c r="Q1764" i="6"/>
  <c r="Q1765" i="6"/>
  <c r="Q1766" i="6"/>
  <c r="Q1767" i="6"/>
  <c r="Q1768" i="6"/>
  <c r="Q1769" i="6"/>
  <c r="Q1770" i="6"/>
  <c r="Q1771" i="6"/>
  <c r="Q1772" i="6"/>
  <c r="Q1773" i="6"/>
  <c r="Q1774" i="6"/>
  <c r="Q1775" i="6"/>
  <c r="Q1776" i="6"/>
  <c r="Q1777" i="6"/>
  <c r="Q1778" i="6"/>
  <c r="Q1779" i="6"/>
  <c r="Q1780" i="6"/>
  <c r="Q1781" i="6"/>
  <c r="Q1782" i="6"/>
  <c r="Q1783" i="6"/>
  <c r="Q1784" i="6"/>
  <c r="Q1785" i="6"/>
  <c r="Q1786" i="6"/>
  <c r="Q1787" i="6"/>
  <c r="Q1788" i="6"/>
  <c r="Q1789" i="6"/>
  <c r="Q1790" i="6"/>
  <c r="Q1791" i="6"/>
  <c r="Q1792" i="6"/>
  <c r="Q1793" i="6"/>
  <c r="Q1794" i="6"/>
  <c r="Q1795" i="6"/>
  <c r="Q1796" i="6"/>
  <c r="Q1797" i="6"/>
  <c r="Q1798" i="6"/>
  <c r="Q1799" i="6"/>
  <c r="Q1800" i="6"/>
  <c r="Q1801" i="6"/>
  <c r="Q1802" i="6"/>
  <c r="Q1803" i="6"/>
  <c r="Q1804" i="6"/>
  <c r="Q1805" i="6"/>
  <c r="Q1806" i="6"/>
  <c r="Q1807" i="6"/>
  <c r="Q1808" i="6"/>
  <c r="Q1809" i="6"/>
  <c r="Q1810" i="6"/>
  <c r="Q1811" i="6"/>
  <c r="Q1812" i="6"/>
  <c r="Q1813" i="6"/>
  <c r="Q1814" i="6"/>
  <c r="Q1815" i="6"/>
  <c r="Q1816" i="6"/>
  <c r="Q1817" i="6"/>
  <c r="Q1818" i="6"/>
  <c r="Q1819" i="6"/>
  <c r="Q1820" i="6"/>
  <c r="Q1821" i="6"/>
  <c r="Q1822" i="6"/>
  <c r="Q1823" i="6"/>
  <c r="Q1824" i="6"/>
  <c r="Q1825" i="6"/>
  <c r="Q1826" i="6"/>
  <c r="Q1827" i="6"/>
  <c r="Q1828" i="6"/>
  <c r="Q1829" i="6"/>
  <c r="Q1830" i="6"/>
  <c r="Q1831" i="6"/>
  <c r="Q1832" i="6"/>
  <c r="Q1833" i="6"/>
  <c r="Q1834" i="6"/>
  <c r="Q1835" i="6"/>
  <c r="Q1836" i="6"/>
  <c r="Q1837" i="6"/>
  <c r="Q1838" i="6"/>
  <c r="Q1839" i="6"/>
  <c r="Q1840" i="6"/>
  <c r="Q1841" i="6"/>
  <c r="Q1842" i="6"/>
  <c r="Q1843" i="6"/>
  <c r="Q1844" i="6"/>
  <c r="Q1845" i="6"/>
  <c r="Q1846" i="6"/>
  <c r="Q1847" i="6"/>
  <c r="Q1848" i="6"/>
  <c r="Q1849" i="6"/>
  <c r="Q1850" i="6"/>
  <c r="Q1851" i="6"/>
  <c r="Q1852" i="6"/>
  <c r="Q1853" i="6"/>
  <c r="Q1854" i="6"/>
  <c r="Q1855" i="6"/>
  <c r="Q1856" i="6"/>
  <c r="Q1857" i="6"/>
  <c r="Q1858" i="6"/>
  <c r="Q1859" i="6"/>
  <c r="Q1860" i="6"/>
  <c r="Q1861" i="6"/>
  <c r="Q1862" i="6"/>
  <c r="Q1863" i="6"/>
  <c r="Q1864" i="6"/>
  <c r="Q1865" i="6"/>
  <c r="Q1866" i="6"/>
  <c r="Q1867" i="6"/>
  <c r="Q1868" i="6"/>
  <c r="Q1869" i="6"/>
  <c r="Q1870" i="6"/>
  <c r="Q1871" i="6"/>
  <c r="Q1872" i="6"/>
  <c r="Q1873" i="6"/>
  <c r="Q1874" i="6"/>
  <c r="Q1875" i="6"/>
  <c r="Q1876" i="6"/>
  <c r="Q1877" i="6"/>
  <c r="Q1878" i="6"/>
  <c r="Q1879" i="6"/>
  <c r="Q1880" i="6"/>
  <c r="Q1881" i="6"/>
  <c r="Q1882" i="6"/>
  <c r="Q1883" i="6"/>
  <c r="Q1884" i="6"/>
  <c r="Q1885" i="6"/>
  <c r="Q1886" i="6"/>
  <c r="Q1887" i="6"/>
  <c r="Q1888" i="6"/>
  <c r="Q1889" i="6"/>
  <c r="Q1890" i="6"/>
  <c r="Q1891" i="6"/>
  <c r="Q1892" i="6"/>
  <c r="Q1893" i="6"/>
  <c r="Q1894" i="6"/>
  <c r="Q1895" i="6"/>
  <c r="Q1896" i="6"/>
  <c r="Q1897" i="6"/>
  <c r="Q1898" i="6"/>
  <c r="Q1899" i="6"/>
  <c r="Q1900" i="6"/>
  <c r="Q1901" i="6"/>
  <c r="Q1902" i="6"/>
  <c r="Q1903" i="6"/>
  <c r="Q1904" i="6"/>
  <c r="Q1905" i="6"/>
  <c r="Q1906" i="6"/>
  <c r="Q1907" i="6"/>
  <c r="Q1908" i="6"/>
  <c r="Q1909" i="6"/>
  <c r="Q1910" i="6"/>
  <c r="Q1911" i="6"/>
  <c r="Q1912" i="6"/>
  <c r="Q1913" i="6"/>
  <c r="Q1914" i="6"/>
  <c r="Q1915" i="6"/>
  <c r="Q1916" i="6"/>
  <c r="Q1917" i="6"/>
  <c r="Q1918" i="6"/>
  <c r="Q1919" i="6"/>
  <c r="Q1920" i="6"/>
  <c r="Q1921" i="6"/>
  <c r="Q1922" i="6"/>
  <c r="Q1923" i="6"/>
  <c r="Q1924" i="6"/>
  <c r="Q1925" i="6"/>
  <c r="Q1926" i="6"/>
  <c r="Q1927" i="6"/>
  <c r="Q1928" i="6"/>
  <c r="Q1929" i="6"/>
  <c r="Q1930" i="6"/>
  <c r="Q1931" i="6"/>
  <c r="Q1932" i="6"/>
  <c r="Q1933" i="6"/>
  <c r="Q1934" i="6"/>
  <c r="Q1935" i="6"/>
  <c r="Q1936" i="6"/>
  <c r="Q1937" i="6"/>
  <c r="Q1938" i="6"/>
  <c r="Q1939" i="6"/>
  <c r="Q1940" i="6"/>
  <c r="Q1941" i="6"/>
  <c r="Q1942" i="6"/>
  <c r="Q1943" i="6"/>
  <c r="Q1944" i="6"/>
  <c r="Q1945" i="6"/>
  <c r="Q1946" i="6"/>
  <c r="Q1947" i="6"/>
  <c r="Q1948" i="6"/>
  <c r="Q1949" i="6"/>
  <c r="Q1950" i="6"/>
  <c r="Q1951" i="6"/>
  <c r="Q1952" i="6"/>
  <c r="Q1953" i="6"/>
  <c r="Q1954" i="6"/>
  <c r="Q1955" i="6"/>
  <c r="Q1956" i="6"/>
  <c r="Q1957" i="6"/>
  <c r="Q1958" i="6"/>
  <c r="Q1959" i="6"/>
  <c r="Q1960" i="6"/>
  <c r="Q1961" i="6"/>
  <c r="Q1962" i="6"/>
  <c r="Q1963" i="6"/>
  <c r="Q1964" i="6"/>
  <c r="Q1965" i="6"/>
  <c r="Q1966" i="6"/>
  <c r="Q1967" i="6"/>
  <c r="Q1968" i="6"/>
  <c r="Q1969" i="6"/>
  <c r="Q1970" i="6"/>
  <c r="Q1971" i="6"/>
  <c r="Q1972" i="6"/>
  <c r="Q1973" i="6"/>
  <c r="Q1974" i="6"/>
  <c r="Q1975" i="6"/>
  <c r="Q1976" i="6"/>
  <c r="Q1977" i="6"/>
  <c r="Q1978" i="6"/>
  <c r="Q1979" i="6"/>
  <c r="Q1980" i="6"/>
  <c r="Q1981" i="6"/>
  <c r="Q1982" i="6"/>
  <c r="Q1983" i="6"/>
  <c r="Q1984" i="6"/>
  <c r="Q1985" i="6"/>
  <c r="Q1986" i="6"/>
  <c r="Q1987" i="6"/>
  <c r="Q1988" i="6"/>
  <c r="Q1989" i="6"/>
  <c r="Q1990" i="6"/>
  <c r="Q1991" i="6"/>
  <c r="Q1992" i="6"/>
  <c r="Q1993" i="6"/>
  <c r="Q1994" i="6"/>
  <c r="Q1995" i="6"/>
  <c r="Q1996" i="6"/>
  <c r="Q1997" i="6"/>
  <c r="Q1998" i="6"/>
  <c r="Q1999" i="6"/>
  <c r="Q2000" i="6"/>
  <c r="Q2001" i="6"/>
  <c r="Q2002" i="6"/>
  <c r="Q2003" i="6"/>
  <c r="Q2004" i="6"/>
  <c r="Q2005" i="6"/>
  <c r="Q2006" i="6"/>
  <c r="Q2007" i="6"/>
  <c r="Q2008" i="6"/>
  <c r="Q2009" i="6"/>
  <c r="Q2010" i="6"/>
  <c r="Q2011" i="6"/>
  <c r="Q2012" i="6"/>
  <c r="Q2013" i="6"/>
  <c r="Q2014" i="6"/>
  <c r="Q2015" i="6"/>
  <c r="Q2016" i="6"/>
  <c r="Q2017" i="6"/>
  <c r="Q2018" i="6"/>
  <c r="Q2019" i="6"/>
  <c r="Q2020" i="6"/>
  <c r="Q2021" i="6"/>
  <c r="Q2022" i="6"/>
  <c r="Q2023" i="6"/>
  <c r="Q2024" i="6"/>
  <c r="Q2025" i="6"/>
  <c r="Q2026" i="6"/>
  <c r="Q2027" i="6"/>
  <c r="Q2028" i="6"/>
  <c r="Q2029" i="6"/>
  <c r="Q2030" i="6"/>
  <c r="Q2031" i="6"/>
  <c r="Q2032" i="6"/>
  <c r="Q2033" i="6"/>
  <c r="Q2034" i="6"/>
  <c r="Q2035" i="6"/>
  <c r="Q2036" i="6"/>
  <c r="Q2037" i="6"/>
  <c r="Q2038" i="6"/>
  <c r="Q2039" i="6"/>
  <c r="Q2040" i="6"/>
  <c r="Q2041" i="6"/>
  <c r="Q2042" i="6"/>
  <c r="Q2043" i="6"/>
  <c r="Q2044" i="6"/>
  <c r="Q2045" i="6"/>
  <c r="Q2046" i="6"/>
  <c r="Q2047" i="6"/>
  <c r="Q2048" i="6"/>
  <c r="Q2049" i="6"/>
  <c r="Q2050" i="6"/>
  <c r="Q2051" i="6"/>
  <c r="Q2052" i="6"/>
  <c r="Q2053" i="6"/>
  <c r="Q2054" i="6"/>
  <c r="Q2055" i="6"/>
  <c r="Q2056" i="6"/>
  <c r="Q2057" i="6"/>
  <c r="Q2058" i="6"/>
  <c r="Q2059" i="6"/>
  <c r="Q2060" i="6"/>
  <c r="Q2061" i="6"/>
  <c r="Q2062" i="6"/>
  <c r="Q2063" i="6"/>
  <c r="Q2064" i="6"/>
  <c r="Q2065" i="6"/>
  <c r="Q2066" i="6"/>
  <c r="Q2067" i="6"/>
  <c r="Q2068" i="6"/>
  <c r="Q2069" i="6"/>
  <c r="Q2070" i="6"/>
  <c r="Q2071" i="6"/>
  <c r="Q2072" i="6"/>
  <c r="Q2073" i="6"/>
  <c r="Q2074" i="6"/>
  <c r="Q2075" i="6"/>
  <c r="Q2076" i="6"/>
  <c r="Q2077" i="6"/>
  <c r="Q2078" i="6"/>
  <c r="Q2079" i="6"/>
  <c r="Q2080" i="6"/>
  <c r="Q2081" i="6"/>
  <c r="Q2082" i="6"/>
  <c r="Q2083" i="6"/>
  <c r="Q2084" i="6"/>
  <c r="Q2085" i="6"/>
  <c r="Q2086" i="6"/>
  <c r="Q2087" i="6"/>
  <c r="Q2088" i="6"/>
  <c r="Q2089" i="6"/>
  <c r="Q2090" i="6"/>
  <c r="Q2091" i="6"/>
  <c r="Q2092" i="6"/>
  <c r="Q2093" i="6"/>
  <c r="Q2094" i="6"/>
  <c r="Q2095" i="6"/>
  <c r="Q2096" i="6"/>
  <c r="Q2097" i="6"/>
  <c r="Q2098" i="6"/>
  <c r="Q2099" i="6"/>
  <c r="Q2100" i="6"/>
  <c r="Q2101" i="6"/>
  <c r="Q2102" i="6"/>
  <c r="Q2103" i="6"/>
  <c r="Q2104" i="6"/>
  <c r="Q2105" i="6"/>
  <c r="Q2106" i="6"/>
  <c r="Q2107" i="6"/>
  <c r="Q2108" i="6"/>
  <c r="Q2109" i="6"/>
  <c r="Q2110" i="6"/>
  <c r="Q2111" i="6"/>
  <c r="Q2112" i="6"/>
  <c r="Q2113" i="6"/>
  <c r="Q2114" i="6"/>
  <c r="Q2115" i="6"/>
  <c r="Q2116" i="6"/>
  <c r="Q2117" i="6"/>
  <c r="Q2118" i="6"/>
  <c r="Q2119" i="6"/>
  <c r="Q2120" i="6"/>
  <c r="Q2121" i="6"/>
  <c r="Q2122" i="6"/>
  <c r="Q2123" i="6"/>
  <c r="Q2124" i="6"/>
  <c r="Q2125" i="6"/>
  <c r="Q2126" i="6"/>
  <c r="Q2127" i="6"/>
  <c r="Q2128" i="6"/>
  <c r="Q2129" i="6"/>
  <c r="Q2130" i="6"/>
  <c r="Q2131" i="6"/>
  <c r="Q2132" i="6"/>
  <c r="Q2133" i="6"/>
  <c r="Q2134" i="6"/>
  <c r="Q2135" i="6"/>
  <c r="Q2136" i="6"/>
  <c r="Q2137" i="6"/>
  <c r="Q2138" i="6"/>
  <c r="Q2139" i="6"/>
  <c r="Q2140" i="6"/>
  <c r="Q2141" i="6"/>
  <c r="Q2142" i="6"/>
  <c r="Q2143" i="6"/>
  <c r="Q2144" i="6"/>
  <c r="Q2145" i="6"/>
  <c r="Q2146" i="6"/>
  <c r="Q2147" i="6"/>
  <c r="Q2148" i="6"/>
  <c r="Q2149" i="6"/>
  <c r="Q2150" i="6"/>
  <c r="Q2151" i="6"/>
  <c r="Q2152" i="6"/>
  <c r="Q2153" i="6"/>
  <c r="Q2154" i="6"/>
  <c r="Q2155" i="6"/>
  <c r="Q2156" i="6"/>
  <c r="Q2157" i="6"/>
  <c r="Q2158" i="6"/>
  <c r="Q2159" i="6"/>
  <c r="Q2160" i="6"/>
  <c r="Q2161" i="6"/>
  <c r="Q2162" i="6"/>
  <c r="Q2163" i="6"/>
  <c r="Q2164" i="6"/>
  <c r="Q2165" i="6"/>
  <c r="Q2166" i="6"/>
  <c r="Q2167" i="6"/>
  <c r="Q2168" i="6"/>
  <c r="Q2169" i="6"/>
  <c r="Q2170" i="6"/>
  <c r="Q2171" i="6"/>
  <c r="Q2172" i="6"/>
  <c r="Q2173" i="6"/>
  <c r="Q2174" i="6"/>
  <c r="Q2175" i="6"/>
  <c r="Q2176" i="6"/>
  <c r="Q2177" i="6"/>
  <c r="Q2178" i="6"/>
  <c r="Q2179" i="6"/>
  <c r="Q2180" i="6"/>
  <c r="Q2181" i="6"/>
  <c r="Q2182" i="6"/>
  <c r="Q2183" i="6"/>
  <c r="Q2184" i="6"/>
  <c r="Q2185" i="6"/>
  <c r="Q2186" i="6"/>
  <c r="Q2187" i="6"/>
  <c r="Q2188" i="6"/>
  <c r="Q2189" i="6"/>
  <c r="Q2190" i="6"/>
  <c r="Q2191" i="6"/>
  <c r="Q2192" i="6"/>
  <c r="Q2193" i="6"/>
  <c r="Q2194" i="6"/>
  <c r="Q2195" i="6"/>
  <c r="Q2196" i="6"/>
  <c r="Q2197" i="6"/>
  <c r="Q2198" i="6"/>
  <c r="Q2199" i="6"/>
  <c r="Q2200" i="6"/>
  <c r="Q2201" i="6"/>
  <c r="Q2202" i="6"/>
  <c r="Q2203" i="6"/>
  <c r="Q2204" i="6"/>
  <c r="Q2205" i="6"/>
  <c r="Q2206" i="6"/>
  <c r="Q2207" i="6"/>
  <c r="Q2208" i="6"/>
  <c r="Q2209" i="6"/>
  <c r="Q2210" i="6"/>
  <c r="Q2211" i="6"/>
  <c r="Q2212" i="6"/>
  <c r="Q2213" i="6"/>
  <c r="Q2214" i="6"/>
  <c r="Q2215" i="6"/>
  <c r="Q2216" i="6"/>
  <c r="Q2217" i="6"/>
  <c r="Q2218" i="6"/>
  <c r="Q2219" i="6"/>
  <c r="Q2220" i="6"/>
  <c r="Q2221" i="6"/>
  <c r="Q2222" i="6"/>
  <c r="Q2223" i="6"/>
  <c r="Q2224" i="6"/>
  <c r="Q2225" i="6"/>
  <c r="Q2226" i="6"/>
  <c r="Q2227" i="6"/>
  <c r="Q2228" i="6"/>
  <c r="Q2229" i="6"/>
  <c r="Q2230" i="6"/>
  <c r="Q2231" i="6"/>
  <c r="Q2232" i="6"/>
  <c r="Q2233" i="6"/>
  <c r="Q2234" i="6"/>
  <c r="Q2235" i="6"/>
  <c r="Q2236" i="6"/>
  <c r="Q2237" i="6"/>
  <c r="Q2238" i="6"/>
  <c r="Q2239" i="6"/>
  <c r="Q2240" i="6"/>
  <c r="Q2241" i="6"/>
  <c r="Q2242" i="6"/>
  <c r="Q2243" i="6"/>
  <c r="Q2244" i="6"/>
  <c r="Q2245" i="6"/>
  <c r="Q2246" i="6"/>
  <c r="Q2247" i="6"/>
  <c r="Q2248" i="6"/>
  <c r="Q2249" i="6"/>
  <c r="Q2250" i="6"/>
  <c r="Q2251" i="6"/>
  <c r="Q2252" i="6"/>
  <c r="Q2253" i="6"/>
  <c r="Q2254" i="6"/>
  <c r="Q2255" i="6"/>
  <c r="Q2256" i="6"/>
  <c r="Q2257" i="6"/>
  <c r="Q2258" i="6"/>
  <c r="Q2259" i="6"/>
  <c r="Q2260" i="6"/>
  <c r="Q2261" i="6"/>
  <c r="Q2262" i="6"/>
  <c r="Q2263" i="6"/>
  <c r="Q2264" i="6"/>
  <c r="Q2265" i="6"/>
  <c r="Q2266" i="6"/>
  <c r="Q2267" i="6"/>
  <c r="Q2268" i="6"/>
  <c r="Q2269" i="6"/>
  <c r="Q2270" i="6"/>
  <c r="Q2271" i="6"/>
  <c r="Q2272" i="6"/>
  <c r="Q2273" i="6"/>
  <c r="Q2274" i="6"/>
  <c r="Q2275" i="6"/>
  <c r="Q2276" i="6"/>
  <c r="Q2277" i="6"/>
  <c r="Q2278" i="6"/>
  <c r="Q2279" i="6"/>
  <c r="Q2280" i="6"/>
  <c r="Q2281" i="6"/>
  <c r="Q2282" i="6"/>
  <c r="Q2283" i="6"/>
  <c r="Q2284" i="6"/>
  <c r="Q2285" i="6"/>
  <c r="Q2286" i="6"/>
  <c r="Q2287" i="6"/>
  <c r="Q2288" i="6"/>
  <c r="Q2289" i="6"/>
  <c r="Q2290" i="6"/>
  <c r="Q2291" i="6"/>
  <c r="Q2292" i="6"/>
  <c r="Q2293" i="6"/>
  <c r="Q2294" i="6"/>
  <c r="Q2295" i="6"/>
  <c r="Q2296" i="6"/>
  <c r="Q2297" i="6"/>
  <c r="Q2298" i="6"/>
  <c r="Q2299" i="6"/>
  <c r="Q2300" i="6"/>
  <c r="Q2301" i="6"/>
  <c r="Q2302" i="6"/>
  <c r="Q2303" i="6"/>
  <c r="Q2304" i="6"/>
  <c r="Q2305" i="6"/>
  <c r="Q2306" i="6"/>
  <c r="Q2307" i="6"/>
  <c r="Q2308" i="6"/>
  <c r="Q2309" i="6"/>
  <c r="Q2310" i="6"/>
  <c r="Q2311" i="6"/>
  <c r="Q2312" i="6"/>
  <c r="Q2313" i="6"/>
  <c r="Q2314" i="6"/>
  <c r="Q2315" i="6"/>
  <c r="Q2316" i="6"/>
  <c r="Q2317" i="6"/>
  <c r="Q2318" i="6"/>
  <c r="Q2319" i="6"/>
  <c r="Q2320" i="6"/>
  <c r="Q2321" i="6"/>
  <c r="Q2322" i="6"/>
  <c r="Q2323" i="6"/>
  <c r="Q2324" i="6"/>
  <c r="Q2325" i="6"/>
  <c r="Q2326" i="6"/>
  <c r="Q2327" i="6"/>
  <c r="Q2328" i="6"/>
  <c r="Q2329" i="6"/>
  <c r="Q2330" i="6"/>
  <c r="Q2331" i="6"/>
  <c r="Q2332" i="6"/>
  <c r="Q2333" i="6"/>
  <c r="Q2334" i="6"/>
  <c r="Q2335" i="6"/>
  <c r="Q2336" i="6"/>
  <c r="Q2337" i="6"/>
  <c r="Q2338" i="6"/>
  <c r="Q2339" i="6"/>
  <c r="Q2340" i="6"/>
  <c r="Q2341" i="6"/>
  <c r="Q2342" i="6"/>
  <c r="Q2343" i="6"/>
  <c r="Q2344" i="6"/>
  <c r="Q2345" i="6"/>
  <c r="Q2346" i="6"/>
  <c r="Q2347" i="6"/>
  <c r="Q2348" i="6"/>
  <c r="Q2349" i="6"/>
  <c r="Q2350" i="6"/>
  <c r="Q2351" i="6"/>
  <c r="Q2352" i="6"/>
  <c r="Q2353" i="6"/>
  <c r="Q2354" i="6"/>
  <c r="Q2355" i="6"/>
  <c r="Q2356" i="6"/>
  <c r="Q2357" i="6"/>
  <c r="Q2358" i="6"/>
  <c r="Q2359" i="6"/>
  <c r="Q2360" i="6"/>
  <c r="Q2361" i="6"/>
  <c r="Q2362" i="6"/>
  <c r="Q2363" i="6"/>
  <c r="Q2364" i="6"/>
  <c r="Q2365" i="6"/>
  <c r="Q2366" i="6"/>
  <c r="Q2367" i="6"/>
  <c r="Q2368" i="6"/>
  <c r="Q2369" i="6"/>
  <c r="Q2370" i="6"/>
  <c r="Q2371" i="6"/>
  <c r="Q2372" i="6"/>
  <c r="Q2373" i="6"/>
  <c r="Q2374" i="6"/>
  <c r="Q2375" i="6"/>
  <c r="Q2376" i="6"/>
  <c r="Q2377" i="6"/>
  <c r="Q2378" i="6"/>
  <c r="Q2379" i="6"/>
  <c r="Q2380" i="6"/>
  <c r="Q2381" i="6"/>
  <c r="Q2382" i="6"/>
  <c r="Q2383" i="6"/>
  <c r="Q2384" i="6"/>
  <c r="Q2385" i="6"/>
  <c r="Q2386" i="6"/>
  <c r="Q2387" i="6"/>
  <c r="Q2388" i="6"/>
  <c r="Q2389" i="6"/>
  <c r="Q2390" i="6"/>
  <c r="Q2391" i="6"/>
  <c r="Q2392" i="6"/>
  <c r="Q2393" i="6"/>
  <c r="Q2394" i="6"/>
  <c r="Q2395" i="6"/>
  <c r="Q2396" i="6"/>
  <c r="Q2397" i="6"/>
  <c r="Q2398" i="6"/>
  <c r="Q2399" i="6"/>
  <c r="Q2400" i="6"/>
  <c r="Q2401" i="6"/>
  <c r="Q2402" i="6"/>
  <c r="Q2403" i="6"/>
  <c r="Q2404" i="6"/>
  <c r="Q2405" i="6"/>
  <c r="Q2406" i="6"/>
  <c r="Q2407" i="6"/>
  <c r="Q2408" i="6"/>
  <c r="Q2409" i="6"/>
  <c r="Q2410" i="6"/>
  <c r="Q2411" i="6"/>
  <c r="Q2412" i="6"/>
  <c r="Q2413" i="6"/>
  <c r="Q2414" i="6"/>
  <c r="Q2415" i="6"/>
  <c r="Q2416" i="6"/>
  <c r="Q2417" i="6"/>
  <c r="Q2418" i="6"/>
  <c r="Q2419" i="6"/>
  <c r="Q2420" i="6"/>
  <c r="Q2421" i="6"/>
  <c r="Q2422" i="6"/>
  <c r="Q2423" i="6"/>
  <c r="Q2424" i="6"/>
  <c r="Q2425" i="6"/>
  <c r="Q2426" i="6"/>
  <c r="Q2427" i="6"/>
  <c r="Q2428" i="6"/>
  <c r="Q2429" i="6"/>
  <c r="Q2430" i="6"/>
  <c r="Q2431" i="6"/>
  <c r="Q2432" i="6"/>
  <c r="Q2433" i="6"/>
  <c r="Q2434" i="6"/>
  <c r="Q2435" i="6"/>
  <c r="Q2436" i="6"/>
  <c r="Q2437" i="6"/>
  <c r="Q2438" i="6"/>
  <c r="Q2439" i="6"/>
  <c r="Q2440" i="6"/>
  <c r="Q2441" i="6"/>
  <c r="Q2442" i="6"/>
  <c r="Q2443" i="6"/>
  <c r="Q2444" i="6"/>
  <c r="Q2445" i="6"/>
  <c r="Q2446" i="6"/>
  <c r="Q2447" i="6"/>
  <c r="Q2448" i="6"/>
  <c r="Q2449" i="6"/>
  <c r="Q2450" i="6"/>
  <c r="Q2451" i="6"/>
  <c r="Q2452" i="6"/>
  <c r="Q2453" i="6"/>
  <c r="Q2454" i="6"/>
  <c r="Q2455" i="6"/>
  <c r="Q2456" i="6"/>
  <c r="Q2457" i="6"/>
  <c r="Q2458" i="6"/>
  <c r="Q2459" i="6"/>
  <c r="Q2460" i="6"/>
  <c r="Q2461" i="6"/>
  <c r="Q2462" i="6"/>
  <c r="Q2463" i="6"/>
  <c r="Q2464" i="6"/>
  <c r="Q2465" i="6"/>
  <c r="Q2466" i="6"/>
  <c r="Q2467" i="6"/>
  <c r="Q2468" i="6"/>
  <c r="Q2469" i="6"/>
  <c r="Q2470" i="6"/>
  <c r="Q2471" i="6"/>
  <c r="Q2472" i="6"/>
  <c r="Q2473" i="6"/>
  <c r="Q2474" i="6"/>
  <c r="Q2475" i="6"/>
  <c r="Q2476" i="6"/>
  <c r="Q2477" i="6"/>
  <c r="Q2478" i="6"/>
  <c r="Q2479" i="6"/>
  <c r="Q2480" i="6"/>
  <c r="Q2481" i="6"/>
  <c r="Q2482" i="6"/>
  <c r="Q2483" i="6"/>
  <c r="Q2484" i="6"/>
  <c r="Q2485" i="6"/>
  <c r="Q2486" i="6"/>
  <c r="Q2487" i="6"/>
  <c r="Q2488" i="6"/>
  <c r="Q2489" i="6"/>
  <c r="Q2490" i="6"/>
  <c r="Q2491" i="6"/>
  <c r="Q2492" i="6"/>
  <c r="Q2493" i="6"/>
  <c r="Q2494" i="6"/>
  <c r="Q2495" i="6"/>
  <c r="Q2496" i="6"/>
  <c r="Q2497" i="6"/>
  <c r="Q2498" i="6"/>
  <c r="Q2499" i="6"/>
  <c r="Q2500" i="6"/>
  <c r="Q2501" i="6"/>
  <c r="Q2502" i="6"/>
  <c r="Q2503" i="6"/>
  <c r="Q2504" i="6"/>
  <c r="Q2505" i="6"/>
  <c r="Q2506" i="6"/>
  <c r="Q2507" i="6"/>
  <c r="Q2508" i="6"/>
  <c r="Q2509" i="6"/>
  <c r="Q2510" i="6"/>
  <c r="Q2511" i="6"/>
  <c r="Q2512" i="6"/>
  <c r="Q2513" i="6"/>
  <c r="Q2514" i="6"/>
  <c r="Q2515" i="6"/>
  <c r="Q2516" i="6"/>
  <c r="Q2517" i="6"/>
  <c r="Q2518" i="6"/>
  <c r="Q2519" i="6"/>
  <c r="Q2520" i="6"/>
  <c r="Q2521" i="6"/>
  <c r="Q2522" i="6"/>
  <c r="Q2523" i="6"/>
  <c r="Q2524" i="6"/>
  <c r="Q2525" i="6"/>
  <c r="Q2526" i="6"/>
  <c r="Q2527" i="6"/>
  <c r="Q2528" i="6"/>
  <c r="Q2529" i="6"/>
  <c r="Q2530" i="6"/>
  <c r="Q2531" i="6"/>
  <c r="Q2532" i="6"/>
  <c r="Q2533" i="6"/>
  <c r="Q2534" i="6"/>
  <c r="Q2535" i="6"/>
  <c r="Q2536" i="6"/>
  <c r="Q2537" i="6"/>
  <c r="Q2538" i="6"/>
  <c r="Q2539" i="6"/>
  <c r="Q2540" i="6"/>
  <c r="Q2541" i="6"/>
  <c r="Q2542" i="6"/>
  <c r="Q2543" i="6"/>
  <c r="Q2544" i="6"/>
  <c r="Q2545" i="6"/>
  <c r="Q2546" i="6"/>
  <c r="Q2547" i="6"/>
  <c r="Q2548" i="6"/>
  <c r="Q2549" i="6"/>
  <c r="Q2550" i="6"/>
  <c r="Q2551" i="6"/>
  <c r="Q2552" i="6"/>
  <c r="Q2553" i="6"/>
  <c r="Q2554" i="6"/>
  <c r="Q2555" i="6"/>
  <c r="Q2556" i="6"/>
  <c r="Q2557" i="6"/>
  <c r="Q2558" i="6"/>
  <c r="Q2559" i="6"/>
  <c r="Q2560" i="6"/>
  <c r="Q2561" i="6"/>
  <c r="Q2562" i="6"/>
  <c r="Q2563" i="6"/>
  <c r="Q2564" i="6"/>
  <c r="Q2565" i="6"/>
  <c r="Q2566" i="6"/>
  <c r="Q2567" i="6"/>
  <c r="Q2568" i="6"/>
  <c r="Q2569" i="6"/>
  <c r="Q2570" i="6"/>
  <c r="Q2571" i="6"/>
  <c r="Q2572" i="6"/>
  <c r="Q2573" i="6"/>
  <c r="Q2574" i="6"/>
  <c r="Q2575" i="6"/>
  <c r="Q2576" i="6"/>
  <c r="Q2577" i="6"/>
  <c r="Q2578" i="6"/>
  <c r="Q2579" i="6"/>
  <c r="Q2580" i="6"/>
  <c r="Q2581" i="6"/>
  <c r="Q2582" i="6"/>
  <c r="Q2583" i="6"/>
  <c r="Q2584" i="6"/>
  <c r="Q2585" i="6"/>
  <c r="Q2586" i="6"/>
  <c r="Q2587" i="6"/>
  <c r="Q2588" i="6"/>
  <c r="Q2589" i="6"/>
  <c r="Q2590" i="6"/>
  <c r="Q2591" i="6"/>
  <c r="Q2592" i="6"/>
  <c r="Q2593" i="6"/>
  <c r="Q2594" i="6"/>
  <c r="Q2595" i="6"/>
  <c r="Q2596" i="6"/>
  <c r="Q2597" i="6"/>
  <c r="Q2598" i="6"/>
  <c r="Q2599" i="6"/>
  <c r="Q2600" i="6"/>
  <c r="Q2601" i="6"/>
  <c r="Q2602" i="6"/>
  <c r="Q2603" i="6"/>
  <c r="Q2604" i="6"/>
  <c r="Q2605" i="6"/>
  <c r="Q2606" i="6"/>
  <c r="Q2607" i="6"/>
  <c r="Q2608" i="6"/>
  <c r="Q2609" i="6"/>
  <c r="Q2610" i="6"/>
  <c r="Q2611" i="6"/>
  <c r="Q2612" i="6"/>
  <c r="Q2613" i="6"/>
  <c r="Q2614" i="6"/>
  <c r="Q2615" i="6"/>
  <c r="Q2616" i="6"/>
  <c r="Q2617" i="6"/>
  <c r="Q2618" i="6"/>
  <c r="Q2619" i="6"/>
  <c r="Q2620" i="6"/>
  <c r="Q2621" i="6"/>
  <c r="Q2622" i="6"/>
  <c r="Q2623" i="6"/>
  <c r="Q2624" i="6"/>
  <c r="Q2625" i="6"/>
  <c r="Q2626" i="6"/>
  <c r="Q2627" i="6"/>
  <c r="Q2628" i="6"/>
  <c r="Q2629" i="6"/>
  <c r="Q2630" i="6"/>
  <c r="Q2631" i="6"/>
  <c r="Q2632" i="6"/>
  <c r="Q2633" i="6"/>
  <c r="Q2634" i="6"/>
  <c r="Q2635" i="6"/>
  <c r="Q2636" i="6"/>
  <c r="Q2637" i="6"/>
  <c r="Q2638" i="6"/>
  <c r="Q2639" i="6"/>
  <c r="Q2640" i="6"/>
  <c r="Q2641" i="6"/>
  <c r="Q2642" i="6"/>
  <c r="Q2643" i="6"/>
  <c r="Q2644" i="6"/>
  <c r="Q2645" i="6"/>
  <c r="Q2646" i="6"/>
  <c r="Q2647" i="6"/>
  <c r="Q2648" i="6"/>
  <c r="Q2649" i="6"/>
  <c r="Q2650" i="6"/>
  <c r="Q2651" i="6"/>
  <c r="Q2652" i="6"/>
  <c r="Q2653" i="6"/>
  <c r="Q2654" i="6"/>
  <c r="Q2655" i="6"/>
  <c r="Q2656" i="6"/>
  <c r="Q2657" i="6"/>
  <c r="Q2658" i="6"/>
  <c r="Q2659" i="6"/>
  <c r="Q2660" i="6"/>
  <c r="Q2661" i="6"/>
  <c r="Q2662" i="6"/>
  <c r="Q2663" i="6"/>
  <c r="Q2664" i="6"/>
  <c r="Q2665" i="6"/>
  <c r="Q2666" i="6"/>
  <c r="Q2667" i="6"/>
  <c r="Q2668" i="6"/>
  <c r="Q2669" i="6"/>
  <c r="Q2670" i="6"/>
  <c r="Q2671" i="6"/>
  <c r="Q2672" i="6"/>
  <c r="Q2673" i="6"/>
  <c r="Q2674" i="6"/>
  <c r="Q2675" i="6"/>
  <c r="Q2676" i="6"/>
  <c r="Q2677" i="6"/>
  <c r="Q2678" i="6"/>
  <c r="Q2679" i="6"/>
  <c r="Q2680" i="6"/>
  <c r="Q2681" i="6"/>
  <c r="Q2682" i="6"/>
  <c r="Q2683" i="6"/>
  <c r="Q2684" i="6"/>
  <c r="Q2685" i="6"/>
  <c r="Q2686" i="6"/>
  <c r="Q2687" i="6"/>
  <c r="Q2688" i="6"/>
  <c r="Q2689" i="6"/>
  <c r="Q2690" i="6"/>
  <c r="Q2691" i="6"/>
  <c r="Q2692" i="6"/>
  <c r="Q2693" i="6"/>
  <c r="Q2694" i="6"/>
  <c r="Q2695" i="6"/>
  <c r="Q2696" i="6"/>
  <c r="Q2697" i="6"/>
  <c r="Q2698" i="6"/>
  <c r="Q2699" i="6"/>
  <c r="Q2700" i="6"/>
  <c r="Q2701" i="6"/>
  <c r="Q2702" i="6"/>
  <c r="Q2703" i="6"/>
  <c r="Q2704" i="6"/>
  <c r="Q2705" i="6"/>
  <c r="Q2706" i="6"/>
  <c r="Q2707" i="6"/>
  <c r="Q2708" i="6"/>
  <c r="Q2709" i="6"/>
  <c r="Q2710" i="6"/>
  <c r="Q2711" i="6"/>
  <c r="Q2712" i="6"/>
  <c r="Q2713" i="6"/>
  <c r="Q2714" i="6"/>
  <c r="Q2715" i="6"/>
  <c r="Q2716" i="6"/>
  <c r="Q2717" i="6"/>
  <c r="Q2718" i="6"/>
  <c r="Q2719" i="6"/>
  <c r="Q2720" i="6"/>
  <c r="Q2721" i="6"/>
  <c r="Q2722" i="6"/>
  <c r="Q2723" i="6"/>
  <c r="Q2724" i="6"/>
  <c r="Q2725" i="6"/>
  <c r="Q2726" i="6"/>
  <c r="Q2727" i="6"/>
  <c r="Q2728" i="6"/>
  <c r="Q2729" i="6"/>
  <c r="Q2730" i="6"/>
  <c r="Q2731" i="6"/>
  <c r="Q2732" i="6"/>
  <c r="Q2733" i="6"/>
  <c r="Q2734" i="6"/>
  <c r="Q2735" i="6"/>
  <c r="Q2736" i="6"/>
  <c r="Q2737" i="6"/>
  <c r="Q2738" i="6"/>
  <c r="Q2739" i="6"/>
  <c r="Q2740" i="6"/>
  <c r="Q2741" i="6"/>
  <c r="Q2742" i="6"/>
  <c r="Q2743" i="6"/>
  <c r="Q2744" i="6"/>
  <c r="Q2745" i="6"/>
  <c r="Q2746" i="6"/>
  <c r="Q2747" i="6"/>
  <c r="Q2748" i="6"/>
  <c r="Q2749" i="6"/>
  <c r="Q2750" i="6"/>
  <c r="Q2751" i="6"/>
  <c r="Q2752" i="6"/>
  <c r="Q2753" i="6"/>
  <c r="Q2754" i="6"/>
  <c r="Q2755" i="6"/>
  <c r="Q2756" i="6"/>
  <c r="Q2757" i="6"/>
  <c r="Q2758" i="6"/>
  <c r="Q2759" i="6"/>
  <c r="Q2760" i="6"/>
  <c r="Q2761" i="6"/>
  <c r="Q2762" i="6"/>
  <c r="Q2763" i="6"/>
  <c r="Q2764" i="6"/>
  <c r="Q2765" i="6"/>
  <c r="Q2766" i="6"/>
  <c r="Q2767" i="6"/>
  <c r="Q2768" i="6"/>
  <c r="Q2769" i="6"/>
  <c r="Q2770" i="6"/>
  <c r="Q2771" i="6"/>
  <c r="Q2772" i="6"/>
  <c r="Q2773" i="6"/>
  <c r="Q2774" i="6"/>
  <c r="Q2775" i="6"/>
  <c r="Q2776" i="6"/>
  <c r="Q2777" i="6"/>
  <c r="Q2778" i="6"/>
  <c r="Q2779" i="6"/>
  <c r="Q2780" i="6"/>
  <c r="Q2781" i="6"/>
  <c r="Q2782" i="6"/>
  <c r="Q2783" i="6"/>
  <c r="Q2784" i="6"/>
  <c r="Q2785" i="6"/>
  <c r="Q2786" i="6"/>
  <c r="Q2787" i="6"/>
  <c r="Q2788" i="6"/>
  <c r="Q2789" i="6"/>
  <c r="Q2790" i="6"/>
  <c r="Q2791" i="6"/>
  <c r="Q2792" i="6"/>
  <c r="Q2793" i="6"/>
  <c r="Q2794" i="6"/>
  <c r="Q2795" i="6"/>
  <c r="Q2796" i="6"/>
  <c r="Q2797" i="6"/>
  <c r="Q2798" i="6"/>
  <c r="Q2799" i="6"/>
  <c r="Q2800" i="6"/>
  <c r="Q2801" i="6"/>
  <c r="Q2802" i="6"/>
  <c r="Q2803" i="6"/>
  <c r="Q2804" i="6"/>
  <c r="Q2805" i="6"/>
  <c r="Q2806" i="6"/>
  <c r="Q2807" i="6"/>
  <c r="Q2808" i="6"/>
  <c r="Q2809" i="6"/>
  <c r="Q2810" i="6"/>
  <c r="Q2811" i="6"/>
  <c r="Q2812" i="6"/>
  <c r="Q2813" i="6"/>
  <c r="Q2814" i="6"/>
  <c r="Q2815" i="6"/>
  <c r="Q2816" i="6"/>
  <c r="Q2817" i="6"/>
  <c r="Q2818" i="6"/>
  <c r="Q2819" i="6"/>
  <c r="Q2820" i="6"/>
  <c r="Q2821" i="6"/>
  <c r="Q2822" i="6"/>
  <c r="Q2823" i="6"/>
  <c r="Q2824" i="6"/>
  <c r="Q2825" i="6"/>
  <c r="Q2826" i="6"/>
  <c r="Q2827" i="6"/>
  <c r="Q2828" i="6"/>
  <c r="Q2829" i="6"/>
  <c r="Q2830" i="6"/>
  <c r="Q2831" i="6"/>
  <c r="Q2832" i="6"/>
  <c r="Q2833" i="6"/>
  <c r="Q2834" i="6"/>
  <c r="Q2835" i="6"/>
  <c r="Q2836" i="6"/>
  <c r="Q2837" i="6"/>
  <c r="Q2838" i="6"/>
  <c r="Q2839" i="6"/>
  <c r="Q2840" i="6"/>
  <c r="Q2841" i="6"/>
  <c r="Q2842" i="6"/>
  <c r="Q2843" i="6"/>
  <c r="Q2844" i="6"/>
  <c r="Q2845" i="6"/>
  <c r="Q2846" i="6"/>
  <c r="Q2847" i="6"/>
  <c r="Q2848" i="6"/>
  <c r="Q2849" i="6"/>
  <c r="Q2850" i="6"/>
  <c r="Q2851" i="6"/>
  <c r="Q2852" i="6"/>
  <c r="Q2853" i="6"/>
  <c r="Q2854" i="6"/>
  <c r="Q2855" i="6"/>
  <c r="Q2856" i="6"/>
  <c r="Q2857" i="6"/>
  <c r="Q2858" i="6"/>
  <c r="Q2859" i="6"/>
  <c r="Q2860" i="6"/>
  <c r="Q2861" i="6"/>
  <c r="Q2862" i="6"/>
  <c r="Q2863" i="6"/>
  <c r="Q2864" i="6"/>
  <c r="Q2865" i="6"/>
  <c r="Q2866" i="6"/>
  <c r="Q2867" i="6"/>
  <c r="Q2868" i="6"/>
  <c r="Q2869" i="6"/>
  <c r="Q2870" i="6"/>
  <c r="Q2871" i="6"/>
  <c r="Q2872" i="6"/>
  <c r="Q2873" i="6"/>
  <c r="Q2874" i="6"/>
  <c r="Q2875" i="6"/>
  <c r="Q2876" i="6"/>
  <c r="Q2877" i="6"/>
  <c r="Q2878" i="6"/>
  <c r="Q2879" i="6"/>
  <c r="Q2880" i="6"/>
  <c r="Q2881" i="6"/>
  <c r="Q2882" i="6"/>
  <c r="Q2883" i="6"/>
  <c r="Q2884" i="6"/>
  <c r="Q2885" i="6"/>
  <c r="Q2886" i="6"/>
  <c r="Q2887" i="6"/>
  <c r="Q2888" i="6"/>
  <c r="Q2889" i="6"/>
  <c r="Q2890" i="6"/>
  <c r="Q2891" i="6"/>
  <c r="Q2892" i="6"/>
  <c r="Q2893" i="6"/>
  <c r="Q2894" i="6"/>
  <c r="Q2895" i="6"/>
  <c r="Q2896" i="6"/>
  <c r="Q2897" i="6"/>
  <c r="Q2898" i="6"/>
  <c r="Q2899" i="6"/>
  <c r="Q2900" i="6"/>
  <c r="Q2901" i="6"/>
  <c r="Q2902" i="6"/>
  <c r="Q2903" i="6"/>
  <c r="Q2904" i="6"/>
  <c r="Q2905" i="6"/>
  <c r="Q2906" i="6"/>
  <c r="Q2907" i="6"/>
  <c r="Q2908" i="6"/>
  <c r="Q2909" i="6"/>
  <c r="Q2910" i="6"/>
  <c r="Q2911" i="6"/>
  <c r="Q2912" i="6"/>
  <c r="Q2913" i="6"/>
  <c r="Q2914" i="6"/>
  <c r="Q2915" i="6"/>
  <c r="Q2916" i="6"/>
  <c r="Q2917" i="6"/>
  <c r="Q2918" i="6"/>
  <c r="Q2919" i="6"/>
  <c r="Q2920" i="6"/>
  <c r="Q2921" i="6"/>
  <c r="Q2922" i="6"/>
  <c r="Q2923" i="6"/>
  <c r="Q2924" i="6"/>
  <c r="Q2925" i="6"/>
  <c r="Q2926" i="6"/>
  <c r="Q2927" i="6"/>
  <c r="Q2928" i="6"/>
  <c r="Q2929" i="6"/>
  <c r="Q2930" i="6"/>
  <c r="Q2931" i="6"/>
  <c r="Q2932" i="6"/>
  <c r="Q2933" i="6"/>
  <c r="Q2934" i="6"/>
  <c r="Q2935" i="6"/>
  <c r="Q2936" i="6"/>
  <c r="Q2937" i="6"/>
  <c r="Q2938" i="6"/>
  <c r="Q2939" i="6"/>
  <c r="Q2940" i="6"/>
  <c r="Q2941" i="6"/>
  <c r="Q2942" i="6"/>
  <c r="Q2943" i="6"/>
  <c r="Q2944" i="6"/>
  <c r="Q2945" i="6"/>
  <c r="Q2946" i="6"/>
  <c r="Q2947" i="6"/>
  <c r="Q2948" i="6"/>
  <c r="Q2949" i="6"/>
  <c r="Q2950" i="6"/>
  <c r="Q2951" i="6"/>
  <c r="Q2952" i="6"/>
  <c r="Q2953" i="6"/>
  <c r="Q2954" i="6"/>
  <c r="Q2955" i="6"/>
  <c r="Q2956" i="6"/>
  <c r="Q2957" i="6"/>
  <c r="Q2958" i="6"/>
  <c r="Q2959" i="6"/>
  <c r="Q2960" i="6"/>
  <c r="Q2961" i="6"/>
  <c r="Q2962" i="6"/>
  <c r="Q2963" i="6"/>
  <c r="Q2964" i="6"/>
  <c r="Q2965" i="6"/>
  <c r="Q2966" i="6"/>
  <c r="Q2967" i="6"/>
  <c r="Q2968" i="6"/>
  <c r="Q2969" i="6"/>
  <c r="Q2970" i="6"/>
  <c r="Q2971" i="6"/>
  <c r="Q2972" i="6"/>
  <c r="Q2973" i="6"/>
  <c r="Q2974" i="6"/>
  <c r="Q2975" i="6"/>
  <c r="Q2976" i="6"/>
  <c r="Q2977" i="6"/>
  <c r="Q2978" i="6"/>
  <c r="Q2979" i="6"/>
  <c r="Q2980" i="6"/>
  <c r="Q2981" i="6"/>
  <c r="Q2982" i="6"/>
  <c r="Q2983" i="6"/>
  <c r="Q2984" i="6"/>
  <c r="Q2985" i="6"/>
  <c r="Q2986" i="6"/>
  <c r="Q2987" i="6"/>
  <c r="Q2988" i="6"/>
  <c r="Q2989" i="6"/>
  <c r="Q2990" i="6"/>
  <c r="Q2991" i="6"/>
  <c r="Q2992" i="6"/>
  <c r="Q2993" i="6"/>
  <c r="Q2994" i="6"/>
  <c r="Q2995" i="6"/>
  <c r="Q2996" i="6"/>
  <c r="Q2997" i="6"/>
  <c r="Q2998" i="6"/>
  <c r="Q2999" i="6"/>
  <c r="Q3000" i="6"/>
  <c r="Q3001" i="6"/>
  <c r="Q3002" i="6"/>
  <c r="Q3003" i="6"/>
  <c r="Q3004" i="6"/>
  <c r="Q3005" i="6"/>
  <c r="Q3006" i="6"/>
  <c r="Q3007" i="6"/>
  <c r="Q3008" i="6"/>
  <c r="Q3009" i="6"/>
  <c r="Q3010" i="6"/>
  <c r="Q3011" i="6"/>
  <c r="Q3012" i="6"/>
  <c r="Q3013" i="6"/>
  <c r="Q3014" i="6"/>
  <c r="Q3015" i="6"/>
  <c r="Q3016" i="6"/>
  <c r="Q3017" i="6"/>
  <c r="Q3018" i="6"/>
  <c r="Q3019" i="6"/>
  <c r="Q3020" i="6"/>
  <c r="Q3021" i="6"/>
  <c r="Q3022" i="6"/>
  <c r="Q3023" i="6"/>
  <c r="Q3024" i="6"/>
  <c r="Q3025" i="6"/>
  <c r="Q3026" i="6"/>
  <c r="Q3027" i="6"/>
  <c r="Q3028" i="6"/>
  <c r="Q3029" i="6"/>
  <c r="Q3030" i="6"/>
  <c r="Q3031" i="6"/>
  <c r="Q3032" i="6"/>
  <c r="Q3033" i="6"/>
  <c r="Q3034" i="6"/>
  <c r="Q3035" i="6"/>
  <c r="Q3036" i="6"/>
  <c r="Q3037" i="6"/>
  <c r="Q3038" i="6"/>
  <c r="Q3039" i="6"/>
  <c r="Q3040" i="6"/>
  <c r="Q3041" i="6"/>
  <c r="Q3042" i="6"/>
  <c r="Q3043" i="6"/>
  <c r="Q3044" i="6"/>
  <c r="Q3045" i="6"/>
  <c r="Q3046" i="6"/>
  <c r="Q3047" i="6"/>
  <c r="Q3048" i="6"/>
  <c r="Q3049" i="6"/>
  <c r="Q3050" i="6"/>
  <c r="Q3051" i="6"/>
  <c r="Q3052" i="6"/>
  <c r="Q3053" i="6"/>
  <c r="Q3054" i="6"/>
  <c r="Q3055" i="6"/>
  <c r="Q3056" i="6"/>
  <c r="Q3057" i="6"/>
  <c r="Q3058" i="6"/>
  <c r="Q3059" i="6"/>
  <c r="Q3060" i="6"/>
  <c r="Q3061" i="6"/>
  <c r="Q3062" i="6"/>
  <c r="Q3063" i="6"/>
  <c r="Q3064" i="6"/>
  <c r="Q3065" i="6"/>
  <c r="Q3066" i="6"/>
  <c r="Q3067" i="6"/>
  <c r="Q3068" i="6"/>
  <c r="Q3069" i="6"/>
  <c r="Q3070" i="6"/>
  <c r="Q3071" i="6"/>
  <c r="Q3072" i="6"/>
  <c r="Q3073" i="6"/>
  <c r="Q3074" i="6"/>
  <c r="Q3075" i="6"/>
  <c r="Q3076" i="6"/>
  <c r="Q3077" i="6"/>
  <c r="Q3078" i="6"/>
  <c r="Q3079" i="6"/>
  <c r="Q3080" i="6"/>
  <c r="Q3081" i="6"/>
  <c r="Q3082" i="6"/>
  <c r="Q3083" i="6"/>
  <c r="Q3084" i="6"/>
  <c r="Q3085" i="6"/>
  <c r="Q3086" i="6"/>
  <c r="Q3087" i="6"/>
  <c r="Q3088" i="6"/>
  <c r="Q3089" i="6"/>
  <c r="Q3090" i="6"/>
  <c r="Q3091" i="6"/>
  <c r="Q3092" i="6"/>
  <c r="Q3093" i="6"/>
  <c r="Q3094" i="6"/>
  <c r="Q3095" i="6"/>
  <c r="Q3096" i="6"/>
  <c r="Q3097" i="6"/>
  <c r="Q3098" i="6"/>
  <c r="Q3099" i="6"/>
  <c r="Q3100" i="6"/>
  <c r="Q3101" i="6"/>
  <c r="Q3102" i="6"/>
  <c r="Q3103" i="6"/>
  <c r="Q3104" i="6"/>
  <c r="Q3105" i="6"/>
  <c r="Q3106" i="6"/>
  <c r="Q3107" i="6"/>
  <c r="Q3108" i="6"/>
  <c r="Q3109" i="6"/>
  <c r="Q3110" i="6"/>
  <c r="Q3111" i="6"/>
  <c r="Q3112" i="6"/>
  <c r="Q3113" i="6"/>
  <c r="Q3114" i="6"/>
  <c r="Q3115" i="6"/>
  <c r="Q3116" i="6"/>
  <c r="Q3117" i="6"/>
  <c r="Q3118" i="6"/>
  <c r="Q3119" i="6"/>
  <c r="Q3120" i="6"/>
  <c r="Q3121" i="6"/>
  <c r="Q3122" i="6"/>
  <c r="Q3123" i="6"/>
  <c r="Q3124" i="6"/>
  <c r="Q3125" i="6"/>
  <c r="Q3126" i="6"/>
  <c r="Q3127" i="6"/>
  <c r="Q3128" i="6"/>
  <c r="Q3129" i="6"/>
  <c r="Q3130" i="6"/>
  <c r="Q3131" i="6"/>
  <c r="Q3132" i="6"/>
  <c r="Q3133" i="6"/>
  <c r="Q3134" i="6"/>
  <c r="Q3135" i="6"/>
  <c r="Q3136" i="6"/>
  <c r="Q3137" i="6"/>
  <c r="Q3138" i="6"/>
  <c r="Q3139" i="6"/>
  <c r="Q3140" i="6"/>
  <c r="Q3141" i="6"/>
  <c r="Q3142" i="6"/>
  <c r="Q3143" i="6"/>
  <c r="Q3144" i="6"/>
  <c r="Q3145" i="6"/>
  <c r="Q3146" i="6"/>
  <c r="Q3147" i="6"/>
  <c r="Q3148" i="6"/>
  <c r="Q3149" i="6"/>
  <c r="Q3150" i="6"/>
  <c r="Q3151" i="6"/>
  <c r="Q3152" i="6"/>
  <c r="Q3153" i="6"/>
  <c r="Q3154" i="6"/>
  <c r="Q3155" i="6"/>
  <c r="Q3156" i="6"/>
  <c r="Q3157" i="6"/>
  <c r="Q3158" i="6"/>
  <c r="Q3159" i="6"/>
  <c r="Q3160" i="6"/>
  <c r="Q3161" i="6"/>
  <c r="Q3162" i="6"/>
  <c r="Q3163" i="6"/>
  <c r="Q3164" i="6"/>
  <c r="Q3165" i="6"/>
  <c r="Q3166" i="6"/>
  <c r="Q3167" i="6"/>
  <c r="Q3168" i="6"/>
  <c r="Q3169" i="6"/>
  <c r="Q3170" i="6"/>
  <c r="Q3171" i="6"/>
  <c r="Q3172" i="6"/>
  <c r="Q3173" i="6"/>
  <c r="Q3174" i="6"/>
  <c r="Q3175" i="6"/>
  <c r="Q3176" i="6"/>
  <c r="Q3177" i="6"/>
  <c r="Q3178" i="6"/>
  <c r="Q3179" i="6"/>
  <c r="Q3180" i="6"/>
  <c r="Q3181" i="6"/>
  <c r="Q3182" i="6"/>
  <c r="Q3183" i="6"/>
  <c r="Q3184" i="6"/>
  <c r="Q3185" i="6"/>
  <c r="Q3186" i="6"/>
  <c r="Q3187" i="6"/>
  <c r="Q3188" i="6"/>
  <c r="Q3189" i="6"/>
  <c r="Q3190" i="6"/>
  <c r="Q3191" i="6"/>
  <c r="Q3192" i="6"/>
  <c r="Q3193" i="6"/>
  <c r="Q3194" i="6"/>
  <c r="Q3195" i="6"/>
  <c r="Q3196" i="6"/>
  <c r="Q3197" i="6"/>
  <c r="Q3198" i="6"/>
  <c r="Q3199" i="6"/>
  <c r="Q3200" i="6"/>
  <c r="Q3201" i="6"/>
  <c r="Q3202" i="6"/>
  <c r="Q3203" i="6"/>
  <c r="Q3204" i="6"/>
  <c r="Q3205" i="6"/>
  <c r="Q3206" i="6"/>
  <c r="Q3207" i="6"/>
  <c r="Q3208" i="6"/>
  <c r="Q3209" i="6"/>
  <c r="Q3210" i="6"/>
  <c r="Q3211" i="6"/>
  <c r="Q3212" i="6"/>
  <c r="Q3213" i="6"/>
  <c r="Q3214" i="6"/>
  <c r="Q3215" i="6"/>
  <c r="Q3216" i="6"/>
  <c r="Q3217" i="6"/>
  <c r="Q3218" i="6"/>
  <c r="Q3219" i="6"/>
  <c r="Q3220" i="6"/>
  <c r="Q3221" i="6"/>
  <c r="Q3222" i="6"/>
  <c r="Q3223" i="6"/>
  <c r="Q3224" i="6"/>
  <c r="Q3225" i="6"/>
  <c r="Q3226" i="6"/>
  <c r="Q3227" i="6"/>
  <c r="Q3228" i="6"/>
  <c r="Q3229" i="6"/>
  <c r="Q3230" i="6"/>
  <c r="Q3231" i="6"/>
  <c r="Q3232" i="6"/>
  <c r="Q3233" i="6"/>
  <c r="Q3234" i="6"/>
  <c r="Q3235" i="6"/>
  <c r="Q3236" i="6"/>
  <c r="Q3237" i="6"/>
  <c r="Q3238" i="6"/>
  <c r="Q3239" i="6"/>
  <c r="Q3240" i="6"/>
  <c r="Q3241" i="6"/>
  <c r="Q3242" i="6"/>
  <c r="Q3243" i="6"/>
  <c r="Q3244" i="6"/>
  <c r="Q3245" i="6"/>
  <c r="Q3246" i="6"/>
  <c r="Q3247" i="6"/>
  <c r="Q3248" i="6"/>
  <c r="Q3249" i="6"/>
  <c r="Q3250" i="6"/>
  <c r="Q3251" i="6"/>
  <c r="Q3252" i="6"/>
  <c r="Q3253" i="6"/>
  <c r="Q3254" i="6"/>
  <c r="Q3255" i="6"/>
  <c r="Q3256" i="6"/>
  <c r="Q3257" i="6"/>
  <c r="Q3258" i="6"/>
  <c r="Q3259" i="6"/>
  <c r="Q3260" i="6"/>
  <c r="Q3261" i="6"/>
  <c r="Q3262" i="6"/>
  <c r="Q3263" i="6"/>
  <c r="Q3264" i="6"/>
  <c r="Q3265" i="6"/>
  <c r="Q3266" i="6"/>
  <c r="Q3267" i="6"/>
  <c r="Q3268" i="6"/>
  <c r="Q3269" i="6"/>
  <c r="Q3270" i="6"/>
  <c r="Q3271" i="6"/>
  <c r="Q3272" i="6"/>
  <c r="Q3273" i="6"/>
  <c r="Q3274" i="6"/>
  <c r="Q3275" i="6"/>
  <c r="Q3276" i="6"/>
  <c r="Q3277" i="6"/>
  <c r="Q3278" i="6"/>
  <c r="Q3279" i="6"/>
  <c r="Q3280" i="6"/>
  <c r="Q3281" i="6"/>
  <c r="Q3282" i="6"/>
  <c r="Q3283" i="6"/>
  <c r="Q3284" i="6"/>
  <c r="Q3285" i="6"/>
  <c r="Q3286" i="6"/>
  <c r="Q3287" i="6"/>
  <c r="Q3288" i="6"/>
  <c r="Q3289" i="6"/>
  <c r="Q3290" i="6"/>
  <c r="Q3291" i="6"/>
  <c r="Q3292" i="6"/>
  <c r="Q3293" i="6"/>
  <c r="Q3294" i="6"/>
  <c r="Q3295" i="6"/>
  <c r="Q3296" i="6"/>
  <c r="Q3297" i="6"/>
  <c r="Q3298" i="6"/>
  <c r="Q3299" i="6"/>
  <c r="Q3300" i="6"/>
  <c r="Q3301" i="6"/>
  <c r="Q3302" i="6"/>
  <c r="Q3303" i="6"/>
  <c r="Q3304" i="6"/>
  <c r="Q3305" i="6"/>
  <c r="Q3306" i="6"/>
  <c r="Q3307" i="6"/>
  <c r="Q3308" i="6"/>
  <c r="Q3309" i="6"/>
  <c r="Q3310" i="6"/>
  <c r="Q3311" i="6"/>
  <c r="Q3312" i="6"/>
  <c r="Q3313" i="6"/>
  <c r="Q3314" i="6"/>
  <c r="Q3315" i="6"/>
  <c r="Q3316" i="6"/>
  <c r="Q3317" i="6"/>
  <c r="Q3318" i="6"/>
  <c r="Q3319" i="6"/>
  <c r="Q3320" i="6"/>
  <c r="Q3321" i="6"/>
  <c r="Q3322" i="6"/>
  <c r="Q3323" i="6"/>
  <c r="Q3324" i="6"/>
  <c r="Q3325" i="6"/>
  <c r="Q3326" i="6"/>
  <c r="Q3327" i="6"/>
  <c r="Q3328" i="6"/>
  <c r="Q3329" i="6"/>
  <c r="Q3330" i="6"/>
  <c r="Q3331" i="6"/>
  <c r="Q3332" i="6"/>
  <c r="Q3333" i="6"/>
  <c r="Q3334" i="6"/>
  <c r="Q3335" i="6"/>
  <c r="Q3336" i="6"/>
  <c r="Q3337" i="6"/>
  <c r="Q3338" i="6"/>
  <c r="Q3339" i="6"/>
  <c r="Q3340" i="6"/>
  <c r="Q3341" i="6"/>
  <c r="Q3342" i="6"/>
  <c r="Q3343" i="6"/>
  <c r="Q3344" i="6"/>
  <c r="Q3345" i="6"/>
  <c r="Q3346" i="6"/>
  <c r="Q3347" i="6"/>
  <c r="Q3348" i="6"/>
  <c r="Q3349" i="6"/>
  <c r="Q3350" i="6"/>
  <c r="Q3351" i="6"/>
  <c r="Q3352" i="6"/>
  <c r="Q3353" i="6"/>
  <c r="Q3354" i="6"/>
  <c r="Q3355" i="6"/>
  <c r="Q3356" i="6"/>
  <c r="Q3357" i="6"/>
  <c r="Q3358" i="6"/>
  <c r="Q3359" i="6"/>
  <c r="Q3360" i="6"/>
  <c r="Q3361" i="6"/>
  <c r="Q3362" i="6"/>
  <c r="Q3363" i="6"/>
  <c r="Q3364" i="6"/>
  <c r="Q3365" i="6"/>
  <c r="Q3366" i="6"/>
  <c r="Q3367" i="6"/>
  <c r="Q3368" i="6"/>
  <c r="Q3369" i="6"/>
  <c r="Q3370" i="6"/>
  <c r="Q3371" i="6"/>
  <c r="Q3372" i="6"/>
  <c r="Q3373" i="6"/>
  <c r="Q3374" i="6"/>
  <c r="Q3375" i="6"/>
  <c r="Q3376" i="6"/>
  <c r="Q3377" i="6"/>
  <c r="Q3378" i="6"/>
  <c r="Q3379" i="6"/>
  <c r="Q3380" i="6"/>
  <c r="Q3381" i="6"/>
  <c r="Q3382" i="6"/>
  <c r="Q3383" i="6"/>
  <c r="Q3384" i="6"/>
  <c r="Q3385" i="6"/>
  <c r="Q3386" i="6"/>
  <c r="Q3387" i="6"/>
  <c r="Q3388" i="6"/>
  <c r="Q3389" i="6"/>
  <c r="Q3390" i="6"/>
  <c r="Q3391" i="6"/>
  <c r="Q3392" i="6"/>
  <c r="Q3393" i="6"/>
  <c r="Q3394" i="6"/>
  <c r="Q3395" i="6"/>
  <c r="Q3396" i="6"/>
  <c r="Q3397" i="6"/>
  <c r="Q3398" i="6"/>
  <c r="Q3399" i="6"/>
  <c r="Q3400" i="6"/>
  <c r="Q3401" i="6"/>
  <c r="Q3402" i="6"/>
  <c r="Q3403" i="6"/>
  <c r="Q3404" i="6"/>
  <c r="Q3405" i="6"/>
  <c r="Q3406" i="6"/>
  <c r="Q3407" i="6"/>
  <c r="Q3408" i="6"/>
  <c r="Q3409" i="6"/>
  <c r="Q3410" i="6"/>
  <c r="Q3411" i="6"/>
  <c r="Q3412" i="6"/>
  <c r="Q3413" i="6"/>
  <c r="Q3414" i="6"/>
  <c r="Q3415" i="6"/>
  <c r="Q3416" i="6"/>
  <c r="Q3417" i="6"/>
  <c r="Q3418" i="6"/>
  <c r="Q3419" i="6"/>
  <c r="Q3420" i="6"/>
  <c r="Q3421" i="6"/>
  <c r="Q3422" i="6"/>
  <c r="Q3423" i="6"/>
  <c r="Q3424" i="6"/>
  <c r="Q3425" i="6"/>
  <c r="Q3426" i="6"/>
  <c r="Q3427" i="6"/>
  <c r="Q3428" i="6"/>
  <c r="Q3429" i="6"/>
  <c r="Q3430" i="6"/>
  <c r="Q3431" i="6"/>
  <c r="Q3432" i="6"/>
  <c r="Q3433" i="6"/>
  <c r="Q3434" i="6"/>
  <c r="Q3435" i="6"/>
  <c r="Q3436" i="6"/>
  <c r="Q3437" i="6"/>
  <c r="Q3438" i="6"/>
  <c r="Q3439" i="6"/>
  <c r="Q3440" i="6"/>
  <c r="Q3441" i="6"/>
  <c r="Q3442" i="6"/>
  <c r="Q3443" i="6"/>
  <c r="Q3444" i="6"/>
  <c r="Q3445" i="6"/>
  <c r="Q3446" i="6"/>
  <c r="Q3447" i="6"/>
  <c r="Q3448" i="6"/>
  <c r="Q3449" i="6"/>
  <c r="Q3450" i="6"/>
  <c r="Q3451" i="6"/>
  <c r="Q3452" i="6"/>
  <c r="Q3453" i="6"/>
  <c r="Q3454" i="6"/>
  <c r="Q3455" i="6"/>
  <c r="Q3456" i="6"/>
  <c r="Q3457" i="6"/>
  <c r="Q3458" i="6"/>
  <c r="Q3459" i="6"/>
  <c r="Q3460" i="6"/>
  <c r="Q3461" i="6"/>
  <c r="Q3462" i="6"/>
  <c r="Q3463" i="6"/>
  <c r="Q3464" i="6"/>
  <c r="Q3465" i="6"/>
  <c r="Q3466" i="6"/>
  <c r="Q3467" i="6"/>
  <c r="Q3468" i="6"/>
  <c r="Q3469" i="6"/>
  <c r="Q3470" i="6"/>
  <c r="Q3471" i="6"/>
  <c r="Q3472" i="6"/>
  <c r="Q3473" i="6"/>
  <c r="Q3474" i="6"/>
  <c r="Q3475" i="6"/>
  <c r="Q3476" i="6"/>
  <c r="Q3477" i="6"/>
  <c r="Q3478" i="6"/>
  <c r="Q3479" i="6"/>
  <c r="Q3480" i="6"/>
  <c r="Q3481" i="6"/>
  <c r="Q3482" i="6"/>
  <c r="Q3483" i="6"/>
  <c r="Q3484" i="6"/>
  <c r="Q3485" i="6"/>
  <c r="Q3486" i="6"/>
  <c r="Q3487" i="6"/>
  <c r="Q3488" i="6"/>
  <c r="Q3489" i="6"/>
  <c r="Q3490" i="6"/>
  <c r="Q3491" i="6"/>
  <c r="Q3492" i="6"/>
  <c r="Q3493" i="6"/>
  <c r="Q3494" i="6"/>
  <c r="Q3495" i="6"/>
  <c r="Q3496" i="6"/>
  <c r="Q3497" i="6"/>
  <c r="Q3498" i="6"/>
  <c r="Q3499" i="6"/>
  <c r="Q3500" i="6"/>
  <c r="Q3501" i="6"/>
  <c r="Q3502" i="6"/>
  <c r="Q3503" i="6"/>
  <c r="Q3504" i="6"/>
  <c r="Q3505" i="6"/>
  <c r="Q3506" i="6"/>
  <c r="Q3507" i="6"/>
  <c r="Q3508" i="6"/>
  <c r="Q3509" i="6"/>
  <c r="Q3510" i="6"/>
  <c r="Q3511" i="6"/>
  <c r="Q3512" i="6"/>
  <c r="Q3513" i="6"/>
  <c r="Q3514" i="6"/>
  <c r="Q3515" i="6"/>
  <c r="Q3516" i="6"/>
  <c r="Q3517" i="6"/>
  <c r="Q3518" i="6"/>
  <c r="Q3519" i="6"/>
  <c r="Q3520" i="6"/>
  <c r="Q3521" i="6"/>
  <c r="Q3522" i="6"/>
  <c r="Q3523" i="6"/>
  <c r="Q3524" i="6"/>
  <c r="Q3525" i="6"/>
  <c r="Q3526" i="6"/>
  <c r="Q3527" i="6"/>
  <c r="Q3528" i="6"/>
  <c r="Q3529" i="6"/>
  <c r="Q3530" i="6"/>
  <c r="Q3531" i="6"/>
  <c r="Q3532" i="6"/>
  <c r="Q3533" i="6"/>
  <c r="Q3534" i="6"/>
  <c r="Q3535" i="6"/>
  <c r="Q3536" i="6"/>
  <c r="Q3537" i="6"/>
  <c r="Q3538" i="6"/>
  <c r="Q3539" i="6"/>
  <c r="Q3540" i="6"/>
  <c r="Q3541" i="6"/>
  <c r="Q3542" i="6"/>
  <c r="Q3543" i="6"/>
  <c r="Q3544" i="6"/>
  <c r="Q3545" i="6"/>
  <c r="Q3546" i="6"/>
  <c r="Q3547" i="6"/>
  <c r="Q3548" i="6"/>
  <c r="Q3549" i="6"/>
  <c r="Q3550" i="6"/>
  <c r="Q3551" i="6"/>
  <c r="Q3552" i="6"/>
  <c r="Q3553" i="6"/>
  <c r="Q3554" i="6"/>
  <c r="Q3555" i="6"/>
  <c r="Q3556" i="6"/>
  <c r="Q3557" i="6"/>
  <c r="Q3558" i="6"/>
  <c r="Q3559" i="6"/>
  <c r="Q3560" i="6"/>
  <c r="Q3561" i="6"/>
  <c r="Q3562" i="6"/>
  <c r="Q3563" i="6"/>
  <c r="Q3564" i="6"/>
  <c r="Q3565" i="6"/>
  <c r="Q3566" i="6"/>
  <c r="Q3567" i="6"/>
  <c r="Q3568" i="6"/>
  <c r="Q3569" i="6"/>
  <c r="Q3570" i="6"/>
  <c r="Q3571" i="6"/>
  <c r="Q3572" i="6"/>
  <c r="Q3573" i="6"/>
  <c r="Q3574" i="6"/>
  <c r="Q3575" i="6"/>
  <c r="Q3576" i="6"/>
  <c r="Q3577" i="6"/>
  <c r="Q3578" i="6"/>
  <c r="Q3579" i="6"/>
  <c r="Q3580" i="6"/>
  <c r="Q3581" i="6"/>
  <c r="Q3582" i="6"/>
  <c r="Q3583" i="6"/>
  <c r="Q3584" i="6"/>
  <c r="Q3585" i="6"/>
  <c r="Q3586" i="6"/>
  <c r="Q3587" i="6"/>
  <c r="Q3588" i="6"/>
  <c r="Q3589" i="6"/>
  <c r="Q3590" i="6"/>
  <c r="Q3591" i="6"/>
  <c r="Q3592" i="6"/>
  <c r="Q3593" i="6"/>
  <c r="Q3594" i="6"/>
  <c r="Q3595" i="6"/>
  <c r="Q3596" i="6"/>
  <c r="Q3597" i="6"/>
  <c r="Q3598" i="6"/>
  <c r="Q3599" i="6"/>
  <c r="Q3600" i="6"/>
  <c r="Q3601" i="6"/>
  <c r="Q3602" i="6"/>
  <c r="Q3603" i="6"/>
  <c r="Q3604" i="6"/>
  <c r="Q3605" i="6"/>
  <c r="Q3606" i="6"/>
  <c r="Q3607" i="6"/>
  <c r="Q3608" i="6"/>
  <c r="Q3609" i="6"/>
  <c r="Q3610" i="6"/>
  <c r="Q3611" i="6"/>
  <c r="Q3612" i="6"/>
  <c r="Q3613" i="6"/>
  <c r="Q3614" i="6"/>
  <c r="Q3615" i="6"/>
  <c r="Q3616" i="6"/>
  <c r="Q3617" i="6"/>
  <c r="Q3618" i="6"/>
  <c r="Q3619" i="6"/>
  <c r="Q3620" i="6"/>
  <c r="Q3621" i="6"/>
  <c r="Q3622" i="6"/>
  <c r="Q3623" i="6"/>
  <c r="Q3624" i="6"/>
  <c r="Q3625" i="6"/>
  <c r="Q3626" i="6"/>
  <c r="Q3627" i="6"/>
  <c r="Q3628" i="6"/>
  <c r="Q3629" i="6"/>
  <c r="Q3630" i="6"/>
  <c r="Q3631" i="6"/>
  <c r="Q3632" i="6"/>
  <c r="Q3633" i="6"/>
  <c r="Q3634" i="6"/>
  <c r="Q3635" i="6"/>
  <c r="Q3636" i="6"/>
  <c r="Q3637" i="6"/>
  <c r="Q3638" i="6"/>
  <c r="Q3639" i="6"/>
  <c r="Q3640" i="6"/>
  <c r="Q3641" i="6"/>
  <c r="Q3642" i="6"/>
  <c r="Q3643" i="6"/>
  <c r="Q3644" i="6"/>
  <c r="Q3645" i="6"/>
  <c r="Q3646" i="6"/>
  <c r="Q3647" i="6"/>
  <c r="Q3648" i="6"/>
  <c r="Q3649" i="6"/>
  <c r="Q3650" i="6"/>
  <c r="Q3651" i="6"/>
  <c r="Q3652" i="6"/>
  <c r="Q3653" i="6"/>
  <c r="Q3654" i="6"/>
  <c r="Q3655" i="6"/>
  <c r="Q3656" i="6"/>
  <c r="Q3657" i="6"/>
  <c r="Q3658" i="6"/>
  <c r="Q3659" i="6"/>
  <c r="Q3660" i="6"/>
  <c r="Q3661" i="6"/>
  <c r="Q3662" i="6"/>
  <c r="Q3663" i="6"/>
  <c r="Q3664" i="6"/>
  <c r="Q3665" i="6"/>
  <c r="Q3666" i="6"/>
  <c r="Q3667" i="6"/>
  <c r="Q3668" i="6"/>
  <c r="Q3669" i="6"/>
  <c r="Q3670" i="6"/>
  <c r="Q3671" i="6"/>
  <c r="Q3672" i="6"/>
  <c r="Q3673" i="6"/>
  <c r="Q3674" i="6"/>
  <c r="Q3675" i="6"/>
  <c r="Q3676" i="6"/>
  <c r="Q3677" i="6"/>
  <c r="Q3678" i="6"/>
  <c r="Q3679" i="6"/>
  <c r="Q3680" i="6"/>
  <c r="Q3681" i="6"/>
  <c r="Q3682" i="6"/>
  <c r="Q3683" i="6"/>
  <c r="Q3684" i="6"/>
  <c r="Q3685" i="6"/>
  <c r="Q3686" i="6"/>
  <c r="Q3687" i="6"/>
  <c r="Q3688" i="6"/>
  <c r="Q3689" i="6"/>
  <c r="Q3690" i="6"/>
  <c r="Q3691" i="6"/>
  <c r="Q3692" i="6"/>
  <c r="Q3693" i="6"/>
  <c r="Q3694" i="6"/>
  <c r="Q3695" i="6"/>
  <c r="Q3696" i="6"/>
  <c r="Q3697" i="6"/>
  <c r="Q3698" i="6"/>
  <c r="Q3699" i="6"/>
  <c r="Q3700" i="6"/>
  <c r="Q3701" i="6"/>
  <c r="Q3702" i="6"/>
  <c r="Q3703" i="6"/>
  <c r="Q3704" i="6"/>
  <c r="Q3705" i="6"/>
  <c r="Q3706" i="6"/>
  <c r="Q3707" i="6"/>
  <c r="Q3708" i="6"/>
  <c r="Q3709" i="6"/>
  <c r="Q3710" i="6"/>
  <c r="Q3711" i="6"/>
  <c r="Q3712" i="6"/>
  <c r="Q3713" i="6"/>
  <c r="Q3714" i="6"/>
  <c r="Q3715" i="6"/>
  <c r="Q3716" i="6"/>
  <c r="Q3717" i="6"/>
  <c r="Q3718" i="6"/>
  <c r="Q3719" i="6"/>
  <c r="Q3720" i="6"/>
  <c r="Q3721" i="6"/>
  <c r="Q3722" i="6"/>
  <c r="Q3723" i="6"/>
  <c r="Q3724" i="6"/>
  <c r="Q3725" i="6"/>
  <c r="Q3726" i="6"/>
  <c r="Q3727" i="6"/>
  <c r="Q3728" i="6"/>
  <c r="Q3729" i="6"/>
  <c r="Q3730" i="6"/>
  <c r="Q3731" i="6"/>
  <c r="Q3732" i="6"/>
  <c r="Q3733" i="6"/>
  <c r="Q3734" i="6"/>
  <c r="Q3735" i="6"/>
  <c r="Q3736" i="6"/>
  <c r="Q3737" i="6"/>
  <c r="Q3738" i="6"/>
  <c r="Q3739" i="6"/>
  <c r="Q3740" i="6"/>
  <c r="Q3741" i="6"/>
  <c r="Q3742" i="6"/>
  <c r="Q3743" i="6"/>
  <c r="Q3744" i="6"/>
  <c r="Q3745" i="6"/>
  <c r="Q3746" i="6"/>
  <c r="Q3747" i="6"/>
  <c r="Q3748" i="6"/>
  <c r="Q3749" i="6"/>
  <c r="Q3750" i="6"/>
  <c r="Q3751" i="6"/>
  <c r="Q3752" i="6"/>
  <c r="Q3753" i="6"/>
  <c r="Q3754" i="6"/>
  <c r="Q3755" i="6"/>
  <c r="Q3756" i="6"/>
  <c r="Q3757" i="6"/>
  <c r="Q3758" i="6"/>
  <c r="Q3759" i="6"/>
  <c r="Q3760" i="6"/>
  <c r="Q3761" i="6"/>
  <c r="Q3762" i="6"/>
  <c r="Q3763" i="6"/>
  <c r="Q3764" i="6"/>
  <c r="Q3765" i="6"/>
  <c r="Q3766" i="6"/>
  <c r="Q3767" i="6"/>
  <c r="Q3768" i="6"/>
  <c r="Q3769" i="6"/>
  <c r="Q3770" i="6"/>
  <c r="Q3771" i="6"/>
  <c r="Q3772" i="6"/>
  <c r="Q3773" i="6"/>
  <c r="Q3774" i="6"/>
  <c r="Q3775" i="6"/>
  <c r="Q3776" i="6"/>
  <c r="Q3777" i="6"/>
  <c r="Q3778" i="6"/>
  <c r="Q3779" i="6"/>
  <c r="Q3780" i="6"/>
  <c r="Q3781" i="6"/>
  <c r="Q3782" i="6"/>
  <c r="Q3783" i="6"/>
  <c r="Q3784" i="6"/>
  <c r="Q3785" i="6"/>
  <c r="Q3786" i="6"/>
  <c r="Q3787" i="6"/>
  <c r="Q3788" i="6"/>
  <c r="Q3789" i="6"/>
  <c r="Q3790" i="6"/>
  <c r="Q3791" i="6"/>
  <c r="Q3792" i="6"/>
  <c r="Q3793" i="6"/>
  <c r="Q3794" i="6"/>
  <c r="Q3795" i="6"/>
  <c r="Q3796" i="6"/>
  <c r="Q3797" i="6"/>
  <c r="Q3798" i="6"/>
  <c r="Q3799" i="6"/>
  <c r="Q3800" i="6"/>
  <c r="Q3801" i="6"/>
  <c r="Q3802" i="6"/>
  <c r="Q3803" i="6"/>
  <c r="Q3804" i="6"/>
  <c r="Q3805" i="6"/>
  <c r="Q3806" i="6"/>
  <c r="Q3807" i="6"/>
  <c r="Q3808" i="6"/>
  <c r="Q3809" i="6"/>
  <c r="Q3810" i="6"/>
  <c r="Q3811" i="6"/>
  <c r="Q3812" i="6"/>
  <c r="Q3813" i="6"/>
  <c r="Q3814" i="6"/>
  <c r="Q3815" i="6"/>
  <c r="Q3816" i="6"/>
  <c r="Q3817" i="6"/>
  <c r="Q3818" i="6"/>
  <c r="Q3819" i="6"/>
  <c r="Q3820" i="6"/>
  <c r="Q3821" i="6"/>
  <c r="Q3822" i="6"/>
  <c r="Q3823" i="6"/>
  <c r="Q3824" i="6"/>
  <c r="Q3825" i="6"/>
  <c r="Q3826" i="6"/>
  <c r="Q3827" i="6"/>
  <c r="Q3828" i="6"/>
  <c r="Q3829" i="6"/>
  <c r="Q3830" i="6"/>
  <c r="Q3831" i="6"/>
  <c r="Q3832" i="6"/>
  <c r="Q3833" i="6"/>
  <c r="Q3834" i="6"/>
  <c r="Q3835" i="6"/>
  <c r="Q3836" i="6"/>
  <c r="Q3837" i="6"/>
  <c r="Q3838" i="6"/>
  <c r="Q3839" i="6"/>
  <c r="Q3840" i="6"/>
  <c r="Q3841" i="6"/>
  <c r="Q3842" i="6"/>
  <c r="Q3843" i="6"/>
  <c r="Q3844" i="6"/>
  <c r="Q3845" i="6"/>
  <c r="Q3846" i="6"/>
  <c r="Q3847" i="6"/>
  <c r="Q3848" i="6"/>
  <c r="Q3849" i="6"/>
  <c r="Q3850" i="6"/>
  <c r="Q3851" i="6"/>
  <c r="Q3852" i="6"/>
  <c r="Q3853" i="6"/>
  <c r="Q3854" i="6"/>
  <c r="Q3855" i="6"/>
  <c r="Q3856" i="6"/>
  <c r="Q3857" i="6"/>
  <c r="Q3858" i="6"/>
  <c r="Q3859" i="6"/>
  <c r="Q3860" i="6"/>
  <c r="Q3861" i="6"/>
  <c r="Q3862" i="6"/>
  <c r="Q3863" i="6"/>
  <c r="Q3864" i="6"/>
  <c r="Q3865" i="6"/>
  <c r="Q3866" i="6"/>
  <c r="Q3867" i="6"/>
  <c r="Q3868" i="6"/>
  <c r="Q3869" i="6"/>
  <c r="Q3870" i="6"/>
  <c r="Q3871" i="6"/>
  <c r="Q3872" i="6"/>
  <c r="Q3873" i="6"/>
  <c r="Q3874" i="6"/>
  <c r="Q3875" i="6"/>
  <c r="Q3876" i="6"/>
  <c r="Q3877" i="6"/>
  <c r="Q3878" i="6"/>
  <c r="Q3879" i="6"/>
  <c r="Q3880" i="6"/>
  <c r="Q3881" i="6"/>
  <c r="Q3882" i="6"/>
  <c r="Q3883" i="6"/>
  <c r="Q3884" i="6"/>
  <c r="Q3885" i="6"/>
  <c r="Q3886" i="6"/>
  <c r="Q3887" i="6"/>
  <c r="Q3888" i="6"/>
  <c r="Q3889" i="6"/>
  <c r="Q3890" i="6"/>
  <c r="Q3891" i="6"/>
  <c r="Q3892" i="6"/>
  <c r="Q3893" i="6"/>
  <c r="Q3894" i="6"/>
  <c r="Q3895" i="6"/>
  <c r="Q3896" i="6"/>
  <c r="Q3897" i="6"/>
  <c r="Q3898" i="6"/>
  <c r="Q3899" i="6"/>
  <c r="Q3900" i="6"/>
  <c r="Q3901" i="6"/>
  <c r="Q3902" i="6"/>
  <c r="Q3903" i="6"/>
  <c r="Q3904" i="6"/>
  <c r="Q3905" i="6"/>
  <c r="Q3906" i="6"/>
  <c r="Q3907" i="6"/>
  <c r="Q3908" i="6"/>
  <c r="Q3909" i="6"/>
  <c r="Q3910" i="6"/>
  <c r="Q3911" i="6"/>
  <c r="Q3912" i="6"/>
  <c r="Q3913" i="6"/>
  <c r="Q3914" i="6"/>
  <c r="Q3915" i="6"/>
  <c r="Q3916" i="6"/>
  <c r="Q3917" i="6"/>
  <c r="Q3918" i="6"/>
  <c r="Q3919" i="6"/>
  <c r="Q3920" i="6"/>
  <c r="Q3921" i="6"/>
  <c r="Q3922" i="6"/>
  <c r="Q3923" i="6"/>
  <c r="Q3924" i="6"/>
  <c r="Q3925" i="6"/>
  <c r="Q3926" i="6"/>
  <c r="Q3927" i="6"/>
  <c r="Q3928" i="6"/>
  <c r="Q3929" i="6"/>
  <c r="Q3930" i="6"/>
  <c r="Q3931" i="6"/>
  <c r="Q3932" i="6"/>
  <c r="Q3933" i="6"/>
  <c r="Q3934" i="6"/>
  <c r="Q3935" i="6"/>
  <c r="Q3936" i="6"/>
  <c r="Q3937" i="6"/>
  <c r="Q3938" i="6"/>
  <c r="Q3939" i="6"/>
  <c r="Q3940" i="6"/>
  <c r="Q3941" i="6"/>
  <c r="Q3942" i="6"/>
  <c r="Q3943" i="6"/>
  <c r="Q3944" i="6"/>
  <c r="Q3945" i="6"/>
  <c r="Q3946" i="6"/>
  <c r="Q3947" i="6"/>
  <c r="Q3948" i="6"/>
  <c r="Q3949" i="6"/>
  <c r="Q3950" i="6"/>
  <c r="Q3951" i="6"/>
  <c r="Q3952" i="6"/>
  <c r="Q3953" i="6"/>
  <c r="Q3954" i="6"/>
  <c r="Q3955" i="6"/>
  <c r="Q3956" i="6"/>
  <c r="Q3957" i="6"/>
  <c r="Q3958" i="6"/>
  <c r="Q3959" i="6"/>
  <c r="Q3960" i="6"/>
  <c r="Q3961" i="6"/>
  <c r="Q3962" i="6"/>
  <c r="Q3963" i="6"/>
  <c r="Q3964" i="6"/>
  <c r="Q3965" i="6"/>
  <c r="Q3966" i="6"/>
  <c r="Q3967" i="6"/>
  <c r="Q3968" i="6"/>
  <c r="Q3969" i="6"/>
  <c r="Q3970" i="6"/>
  <c r="Q3971" i="6"/>
  <c r="Q3972" i="6"/>
  <c r="Q3973" i="6"/>
  <c r="Q3974" i="6"/>
  <c r="Q3975" i="6"/>
  <c r="Q3976" i="6"/>
  <c r="Q3977" i="6"/>
  <c r="Q3978" i="6"/>
  <c r="Q3979" i="6"/>
  <c r="Q3980" i="6"/>
  <c r="Q3981" i="6"/>
  <c r="Q3982" i="6"/>
  <c r="Q3983" i="6"/>
  <c r="Q3984" i="6"/>
  <c r="Q3985" i="6"/>
  <c r="Q3986" i="6"/>
  <c r="Q3987" i="6"/>
  <c r="Q3988" i="6"/>
  <c r="Q3989" i="6"/>
  <c r="Q3990" i="6"/>
  <c r="Q3991" i="6"/>
  <c r="Q3992" i="6"/>
  <c r="Q3993" i="6"/>
  <c r="Q3994" i="6"/>
  <c r="Q3995" i="6"/>
  <c r="Q3996" i="6"/>
  <c r="Q3997" i="6"/>
  <c r="Q3998" i="6"/>
  <c r="Q3999" i="6"/>
  <c r="Q4000" i="6"/>
  <c r="Q4001" i="6"/>
  <c r="Q4002" i="6"/>
  <c r="Q4003" i="6"/>
  <c r="Q4004" i="6"/>
  <c r="Q4005" i="6"/>
  <c r="Q4006" i="6"/>
  <c r="Q4007" i="6"/>
  <c r="Q4008" i="6"/>
  <c r="Q4009" i="6"/>
  <c r="Q4010" i="6"/>
  <c r="Q4011" i="6"/>
  <c r="Q4012" i="6"/>
  <c r="Q4013" i="6"/>
  <c r="Q4014" i="6"/>
  <c r="Q4015" i="6"/>
  <c r="Q4016" i="6"/>
  <c r="Q4017" i="6"/>
  <c r="Q4018" i="6"/>
  <c r="Q4019" i="6"/>
  <c r="Q4020" i="6"/>
  <c r="Q4021" i="6"/>
  <c r="Q4022" i="6"/>
  <c r="Q4023" i="6"/>
  <c r="Q4024" i="6"/>
  <c r="Q4025" i="6"/>
  <c r="Q4026" i="6"/>
  <c r="Q4027" i="6"/>
  <c r="Q4028" i="6"/>
  <c r="Q4029" i="6"/>
  <c r="Q4030" i="6"/>
  <c r="Q4031" i="6"/>
  <c r="Q4032" i="6"/>
  <c r="Q4033" i="6"/>
  <c r="Q4034" i="6"/>
  <c r="Q4035" i="6"/>
  <c r="Q4036" i="6"/>
  <c r="Q4037" i="6"/>
  <c r="Q4038" i="6"/>
  <c r="Q4039" i="6"/>
  <c r="Q4040" i="6"/>
  <c r="Q4041" i="6"/>
  <c r="Q4042" i="6"/>
  <c r="Q4043" i="6"/>
  <c r="Q4044" i="6"/>
  <c r="Q4045" i="6"/>
  <c r="Q4046" i="6"/>
  <c r="Q4047" i="6"/>
  <c r="Q4048" i="6"/>
  <c r="Q4049" i="6"/>
  <c r="Q4050" i="6"/>
  <c r="Q4051" i="6"/>
  <c r="Q4052" i="6"/>
  <c r="Q4053" i="6"/>
  <c r="Q4054" i="6"/>
  <c r="Q4055" i="6"/>
  <c r="Q4056" i="6"/>
  <c r="Q4057" i="6"/>
  <c r="Q4058" i="6"/>
  <c r="Q4059" i="6"/>
  <c r="Q4060" i="6"/>
  <c r="Q4061" i="6"/>
  <c r="Q4062" i="6"/>
  <c r="Q4063" i="6"/>
  <c r="Q4064" i="6"/>
  <c r="Q4065" i="6"/>
  <c r="Q4066" i="6"/>
  <c r="Q4067" i="6"/>
  <c r="Q4068" i="6"/>
  <c r="Q4069" i="6"/>
  <c r="Q4070" i="6"/>
  <c r="Q4071" i="6"/>
  <c r="Q4072" i="6"/>
  <c r="Q4073" i="6"/>
  <c r="Q4074" i="6"/>
  <c r="Q4075" i="6"/>
  <c r="Q4076" i="6"/>
  <c r="Q4077" i="6"/>
  <c r="Q4078" i="6"/>
  <c r="Q4079" i="6"/>
  <c r="Q4080" i="6"/>
  <c r="Q4081" i="6"/>
  <c r="Q4082" i="6"/>
  <c r="Q4083" i="6"/>
  <c r="Q4084" i="6"/>
  <c r="Q4085" i="6"/>
  <c r="Q4086" i="6"/>
  <c r="Q4087" i="6"/>
  <c r="Q4088" i="6"/>
  <c r="Q4089" i="6"/>
  <c r="Q4090" i="6"/>
  <c r="Q4091" i="6"/>
  <c r="Q4092" i="6"/>
  <c r="Q4093" i="6"/>
  <c r="Q4094" i="6"/>
  <c r="Q4095" i="6"/>
  <c r="Q4096" i="6"/>
  <c r="Q4097" i="6"/>
  <c r="Q4098" i="6"/>
  <c r="Q4099" i="6"/>
  <c r="Q4100" i="6"/>
  <c r="Q4101" i="6"/>
  <c r="Q4102" i="6"/>
  <c r="Q4103" i="6"/>
  <c r="Q4104" i="6"/>
  <c r="Q4105" i="6"/>
  <c r="Q4106" i="6"/>
  <c r="Q4107" i="6"/>
  <c r="Q4108" i="6"/>
  <c r="Q4109" i="6"/>
  <c r="Q4110" i="6"/>
  <c r="Q4111" i="6"/>
  <c r="Q4112" i="6"/>
  <c r="Q4113" i="6"/>
  <c r="Q4114" i="6"/>
  <c r="Q4115" i="6"/>
  <c r="Q4116" i="6"/>
  <c r="Q4117" i="6"/>
  <c r="Q4118" i="6"/>
  <c r="Q4119" i="6"/>
  <c r="Q4120" i="6"/>
  <c r="Q4121" i="6"/>
  <c r="Q4122" i="6"/>
  <c r="Q4123" i="6"/>
  <c r="Q4124" i="6"/>
  <c r="Q4125" i="6"/>
  <c r="Q4126" i="6"/>
  <c r="Q4127" i="6"/>
  <c r="Q4128" i="6"/>
  <c r="Q4129" i="6"/>
  <c r="Q4130" i="6"/>
  <c r="Q4131" i="6"/>
  <c r="Q4132" i="6"/>
  <c r="Q4133" i="6"/>
  <c r="Q4134" i="6"/>
  <c r="Q4135" i="6"/>
  <c r="Q4136" i="6"/>
  <c r="Q4137" i="6"/>
  <c r="Q4138" i="6"/>
  <c r="Q4139" i="6"/>
  <c r="Q4140" i="6"/>
  <c r="Q4141" i="6"/>
  <c r="Q4142" i="6"/>
  <c r="Q4143" i="6"/>
  <c r="Q4144" i="6"/>
  <c r="Q4145" i="6"/>
  <c r="Q4146" i="6"/>
  <c r="Q4147" i="6"/>
  <c r="Q4148" i="6"/>
  <c r="Q4149" i="6"/>
  <c r="Q4150" i="6"/>
  <c r="Q4151" i="6"/>
  <c r="Q4152" i="6"/>
  <c r="Q4153" i="6"/>
  <c r="Q4154" i="6"/>
  <c r="Q4155" i="6"/>
  <c r="Q4156" i="6"/>
  <c r="Q4157" i="6"/>
  <c r="Q4158" i="6"/>
  <c r="Q4159" i="6"/>
  <c r="Q4160" i="6"/>
  <c r="Q4161" i="6"/>
  <c r="Q4162" i="6"/>
  <c r="Q4163" i="6"/>
  <c r="Q4164" i="6"/>
  <c r="Q4165" i="6"/>
  <c r="Q4166" i="6"/>
  <c r="Q4167" i="6"/>
  <c r="Q4168" i="6"/>
  <c r="Q4169" i="6"/>
  <c r="Q4170" i="6"/>
  <c r="Q4171" i="6"/>
  <c r="Q4172" i="6"/>
  <c r="Q4173" i="6"/>
  <c r="Q4174" i="6"/>
  <c r="Q4175" i="6"/>
  <c r="Q4176" i="6"/>
  <c r="Q4177" i="6"/>
  <c r="Q4178" i="6"/>
  <c r="Q4179" i="6"/>
  <c r="Q4180" i="6"/>
  <c r="Q4181" i="6"/>
  <c r="Q4182" i="6"/>
  <c r="Q4183" i="6"/>
  <c r="Q4184" i="6"/>
  <c r="Q4185" i="6"/>
  <c r="Q4186" i="6"/>
  <c r="Q4187" i="6"/>
  <c r="Q4188" i="6"/>
  <c r="Q4189" i="6"/>
  <c r="Q4190" i="6"/>
  <c r="Q4191" i="6"/>
  <c r="Q4192" i="6"/>
  <c r="Q4193" i="6"/>
  <c r="Q4194" i="6"/>
  <c r="Q4195" i="6"/>
  <c r="Q4196" i="6"/>
  <c r="Q4197" i="6"/>
  <c r="Q4198" i="6"/>
  <c r="Q4199" i="6"/>
  <c r="Q4200" i="6"/>
  <c r="Q4201" i="6"/>
  <c r="Q4202" i="6"/>
  <c r="Q4203" i="6"/>
  <c r="Q4204" i="6"/>
  <c r="Q4205" i="6"/>
  <c r="Q4206" i="6"/>
  <c r="Q4207" i="6"/>
  <c r="Q4208" i="6"/>
  <c r="Q4209" i="6"/>
  <c r="Q4210" i="6"/>
  <c r="Q4211" i="6"/>
  <c r="Q4212" i="6"/>
  <c r="Q4213" i="6"/>
  <c r="Q4214" i="6"/>
  <c r="Q4215" i="6"/>
  <c r="Q4216" i="6"/>
  <c r="Q4217" i="6"/>
  <c r="Q4218" i="6"/>
  <c r="Q4219" i="6"/>
  <c r="Q4220" i="6"/>
  <c r="Q4221" i="6"/>
  <c r="Q4222" i="6"/>
  <c r="Q4223" i="6"/>
  <c r="Q4224" i="6"/>
  <c r="Q4225" i="6"/>
  <c r="Q4226" i="6"/>
  <c r="Q4227" i="6"/>
  <c r="Q4228" i="6"/>
  <c r="Q4229" i="6"/>
  <c r="Q4230" i="6"/>
  <c r="Q4231" i="6"/>
  <c r="Q4232" i="6"/>
  <c r="Q4233" i="6"/>
  <c r="Q4234" i="6"/>
  <c r="Q4235" i="6"/>
  <c r="Q4236" i="6"/>
  <c r="Q4237" i="6"/>
  <c r="Q4238" i="6"/>
  <c r="Q4239" i="6"/>
  <c r="Q4240" i="6"/>
  <c r="Q4241" i="6"/>
  <c r="Q4242" i="6"/>
  <c r="Q4243" i="6"/>
  <c r="Q4244" i="6"/>
  <c r="Q4245" i="6"/>
  <c r="Q4246" i="6"/>
  <c r="Q4247" i="6"/>
  <c r="Q4248" i="6"/>
  <c r="Q4249" i="6"/>
  <c r="Q4250" i="6"/>
  <c r="Q4251" i="6"/>
  <c r="Q4252" i="6"/>
  <c r="Q4253" i="6"/>
  <c r="Q4254" i="6"/>
  <c r="Q4255" i="6"/>
  <c r="Q4256" i="6"/>
  <c r="Q4257" i="6"/>
  <c r="Q4258" i="6"/>
  <c r="Q4259" i="6"/>
  <c r="Q4260" i="6"/>
  <c r="Q4261" i="6"/>
  <c r="Q4262" i="6"/>
  <c r="Q4263" i="6"/>
  <c r="Q4264" i="6"/>
  <c r="Q4265" i="6"/>
  <c r="Q4266" i="6"/>
  <c r="Q4267" i="6"/>
  <c r="Q4268" i="6"/>
  <c r="Q4269" i="6"/>
  <c r="Q4270" i="6"/>
  <c r="Q4271" i="6"/>
  <c r="Q4272" i="6"/>
  <c r="Q4273" i="6"/>
  <c r="Q4274" i="6"/>
  <c r="Q4275" i="6"/>
  <c r="Q4276" i="6"/>
  <c r="Q4277" i="6"/>
  <c r="Q4278" i="6"/>
  <c r="Q4279" i="6"/>
  <c r="Q4280" i="6"/>
  <c r="Q4281" i="6"/>
  <c r="Q4282" i="6"/>
  <c r="Q4283" i="6"/>
  <c r="Q4284" i="6"/>
  <c r="Q4285" i="6"/>
  <c r="Q4286" i="6"/>
  <c r="Q4287" i="6"/>
  <c r="Q4288" i="6"/>
  <c r="Q4289" i="6"/>
  <c r="Q4290" i="6"/>
  <c r="Q4291" i="6"/>
  <c r="Q4292" i="6"/>
  <c r="Q4293" i="6"/>
  <c r="Q4294" i="6"/>
  <c r="Q4295" i="6"/>
  <c r="Q4296" i="6"/>
  <c r="Q4297" i="6"/>
  <c r="Q4298" i="6"/>
  <c r="Q4299" i="6"/>
  <c r="Q4300" i="6"/>
  <c r="Q4301" i="6"/>
  <c r="Q4302" i="6"/>
  <c r="Q4303" i="6"/>
  <c r="Q4304" i="6"/>
  <c r="Q4305" i="6"/>
  <c r="Q4306" i="6"/>
  <c r="Q4307" i="6"/>
  <c r="Q4308" i="6"/>
  <c r="Q4309" i="6"/>
  <c r="Q4310" i="6"/>
  <c r="Q4311" i="6"/>
  <c r="Q4312" i="6"/>
  <c r="Q4313" i="6"/>
  <c r="Q4314" i="6"/>
  <c r="Q4315" i="6"/>
  <c r="Q4316" i="6"/>
  <c r="Q4317" i="6"/>
  <c r="Q4318" i="6"/>
  <c r="Q4319" i="6"/>
  <c r="Q4320" i="6"/>
  <c r="Q4321" i="6"/>
  <c r="Q4322" i="6"/>
  <c r="Q4323" i="6"/>
  <c r="Q4324" i="6"/>
  <c r="Q4325" i="6"/>
  <c r="Q4326" i="6"/>
  <c r="Q4327" i="6"/>
  <c r="Q4328" i="6"/>
  <c r="Q4329" i="6"/>
  <c r="Q4330" i="6"/>
  <c r="Q4331" i="6"/>
  <c r="Q4332" i="6"/>
  <c r="Q4333" i="6"/>
  <c r="Q4334" i="6"/>
  <c r="Q4335" i="6"/>
  <c r="Q4336" i="6"/>
  <c r="Q4337" i="6"/>
  <c r="Q4338" i="6"/>
  <c r="Q4339" i="6"/>
  <c r="Q4340" i="6"/>
  <c r="Q4341" i="6"/>
  <c r="Q4342" i="6"/>
  <c r="Q4343" i="6"/>
  <c r="Q4344" i="6"/>
  <c r="Q4345" i="6"/>
  <c r="Q4346" i="6"/>
  <c r="Q4347" i="6"/>
  <c r="Q4348" i="6"/>
  <c r="Q4349" i="6"/>
  <c r="Q4350" i="6"/>
  <c r="Q4351" i="6"/>
  <c r="Q4352" i="6"/>
  <c r="Q4353" i="6"/>
  <c r="Q4354" i="6"/>
  <c r="Q4355" i="6"/>
  <c r="Q4356" i="6"/>
  <c r="Q4357" i="6"/>
  <c r="Q4358" i="6"/>
  <c r="Q4359" i="6"/>
  <c r="Q4360" i="6"/>
  <c r="Q4361" i="6"/>
  <c r="Q4362" i="6"/>
  <c r="Q4363" i="6"/>
  <c r="Q4364" i="6"/>
  <c r="Q4365" i="6"/>
  <c r="Q4366" i="6"/>
  <c r="Q4367" i="6"/>
  <c r="Q4368" i="6"/>
  <c r="Q4369" i="6"/>
  <c r="Q4370" i="6"/>
  <c r="Q4371" i="6"/>
  <c r="Q4372" i="6"/>
  <c r="Q4373" i="6"/>
  <c r="Q4374" i="6"/>
  <c r="Q4375" i="6"/>
  <c r="Q4376" i="6"/>
  <c r="Q4377" i="6"/>
  <c r="Q4378" i="6"/>
  <c r="Q4379" i="6"/>
  <c r="Q4380" i="6"/>
  <c r="Q4381" i="6"/>
  <c r="Q4382" i="6"/>
  <c r="Q4383" i="6"/>
  <c r="Q4384" i="6"/>
  <c r="Q4385" i="6"/>
  <c r="Q4386" i="6"/>
  <c r="Q4387" i="6"/>
  <c r="Q4388" i="6"/>
  <c r="Q4389" i="6"/>
  <c r="Q4390" i="6"/>
  <c r="Q4391" i="6"/>
  <c r="Q4392" i="6"/>
  <c r="Q4393" i="6"/>
  <c r="Q4394" i="6"/>
  <c r="Q4395" i="6"/>
  <c r="Q4396" i="6"/>
  <c r="Q4397" i="6"/>
  <c r="Q4398" i="6"/>
  <c r="Q4399" i="6"/>
  <c r="Q4400" i="6"/>
  <c r="Q4401" i="6"/>
  <c r="Q4402" i="6"/>
  <c r="Q4403" i="6"/>
  <c r="Q4404" i="6"/>
  <c r="Q4405" i="6"/>
  <c r="Q4406" i="6"/>
  <c r="Q4407" i="6"/>
  <c r="Q4408" i="6"/>
  <c r="Q4409" i="6"/>
  <c r="Q4410" i="6"/>
  <c r="Q4411" i="6"/>
  <c r="Q4412" i="6"/>
  <c r="Q4413" i="6"/>
  <c r="Q4414" i="6"/>
  <c r="Q4415" i="6"/>
  <c r="Q4416" i="6"/>
  <c r="Q4417" i="6"/>
  <c r="Q4418" i="6"/>
  <c r="Q4419" i="6"/>
  <c r="Q4420" i="6"/>
  <c r="Q4421" i="6"/>
  <c r="Q4422" i="6"/>
  <c r="Q4423" i="6"/>
  <c r="Q4424" i="6"/>
  <c r="Q4425" i="6"/>
  <c r="Q4426" i="6"/>
  <c r="Q4427" i="6"/>
  <c r="Q4428" i="6"/>
  <c r="Q4429" i="6"/>
  <c r="Q4430" i="6"/>
  <c r="Q4431" i="6"/>
  <c r="Q4432" i="6"/>
  <c r="Q4433" i="6"/>
  <c r="Q4434" i="6"/>
  <c r="Q4435" i="6"/>
  <c r="Q4436" i="6"/>
  <c r="Q4437" i="6"/>
  <c r="Q4438" i="6"/>
  <c r="Q4439" i="6"/>
  <c r="Q4440" i="6"/>
  <c r="Q4441" i="6"/>
  <c r="Q4442" i="6"/>
  <c r="Q4443" i="6"/>
  <c r="Q4444" i="6"/>
  <c r="Q4445" i="6"/>
  <c r="Q4446" i="6"/>
  <c r="Q4447" i="6"/>
  <c r="Q4448" i="6"/>
  <c r="Q4449" i="6"/>
  <c r="Q4450" i="6"/>
  <c r="Q4451" i="6"/>
  <c r="Q4452" i="6"/>
  <c r="Q4453" i="6"/>
  <c r="Q4454" i="6"/>
  <c r="Q4455" i="6"/>
  <c r="Q4456" i="6"/>
  <c r="Q4457" i="6"/>
  <c r="Q4458" i="6"/>
  <c r="Q4459" i="6"/>
  <c r="Q4460" i="6"/>
  <c r="Q4461" i="6"/>
  <c r="Q4462" i="6"/>
  <c r="Q4463" i="6"/>
  <c r="Q4464" i="6"/>
  <c r="Q4465" i="6"/>
  <c r="Q4466" i="6"/>
  <c r="Q4467" i="6"/>
  <c r="Q4468" i="6"/>
  <c r="Q4469" i="6"/>
  <c r="Q4470" i="6"/>
  <c r="Q4471" i="6"/>
  <c r="Q4472" i="6"/>
  <c r="Q4473" i="6"/>
  <c r="Q4474" i="6"/>
  <c r="Q4475" i="6"/>
  <c r="Q4476" i="6"/>
  <c r="Q4477" i="6"/>
  <c r="Q4478" i="6"/>
  <c r="Q4479" i="6"/>
  <c r="Q4480" i="6"/>
  <c r="Q4481" i="6"/>
  <c r="Q4482" i="6"/>
  <c r="Q4483" i="6"/>
  <c r="Q4484" i="6"/>
  <c r="Q4485" i="6"/>
  <c r="Q4486" i="6"/>
  <c r="Q4487" i="6"/>
  <c r="Q4488" i="6"/>
  <c r="Q4489" i="6"/>
  <c r="Q4490" i="6"/>
  <c r="Q4491" i="6"/>
  <c r="Q4492" i="6"/>
  <c r="Q4493" i="6"/>
  <c r="Q4494" i="6"/>
  <c r="Q4495" i="6"/>
  <c r="Q4496" i="6"/>
  <c r="Q4497" i="6"/>
  <c r="Q4498" i="6"/>
  <c r="Q4499" i="6"/>
  <c r="Q4500" i="6"/>
  <c r="Q4501" i="6"/>
  <c r="Q4502" i="6"/>
  <c r="Q4503" i="6"/>
  <c r="Q4504" i="6"/>
  <c r="Q4505" i="6"/>
  <c r="Q4506" i="6"/>
  <c r="Q4507" i="6"/>
  <c r="Q4508" i="6"/>
  <c r="Q4509" i="6"/>
  <c r="Q4510" i="6"/>
  <c r="Q4511" i="6"/>
  <c r="Q4512" i="6"/>
  <c r="Q4513" i="6"/>
  <c r="Q4514" i="6"/>
  <c r="Q4515" i="6"/>
  <c r="Q4516" i="6"/>
  <c r="Q4517" i="6"/>
  <c r="Q4518" i="6"/>
  <c r="Q4519" i="6"/>
  <c r="Q4520" i="6"/>
  <c r="Q4521" i="6"/>
  <c r="Q4522" i="6"/>
  <c r="Q4523" i="6"/>
  <c r="Q4524" i="6"/>
  <c r="Q4525" i="6"/>
  <c r="Q4526" i="6"/>
  <c r="Q4527" i="6"/>
  <c r="Q4528" i="6"/>
  <c r="Q4529" i="6"/>
  <c r="Q4530" i="6"/>
  <c r="Q4531" i="6"/>
  <c r="Q4532" i="6"/>
  <c r="Q4533" i="6"/>
  <c r="Q4534" i="6"/>
  <c r="Q4535" i="6"/>
  <c r="Q4536" i="6"/>
  <c r="Q4537" i="6"/>
  <c r="Q4538" i="6"/>
  <c r="Q4539" i="6"/>
  <c r="Q4540" i="6"/>
  <c r="Q4541" i="6"/>
  <c r="Q4542" i="6"/>
  <c r="Q4543" i="6"/>
  <c r="Q4544" i="6"/>
  <c r="Q4545" i="6"/>
  <c r="Q4546" i="6"/>
  <c r="Q4547" i="6"/>
  <c r="Q4548" i="6"/>
  <c r="Q4549" i="6"/>
  <c r="Q4550" i="6"/>
  <c r="Q4551" i="6"/>
  <c r="Q4552" i="6"/>
  <c r="Q4553" i="6"/>
  <c r="Q4554" i="6"/>
  <c r="Q4555" i="6"/>
  <c r="Q4556" i="6"/>
  <c r="Q4557" i="6"/>
  <c r="Q4558" i="6"/>
  <c r="Q4559" i="6"/>
  <c r="Q4560" i="6"/>
  <c r="Q4561" i="6"/>
  <c r="Q4562" i="6"/>
  <c r="Q4563" i="6"/>
  <c r="Q4564" i="6"/>
  <c r="Q4565" i="6"/>
  <c r="Q4566" i="6"/>
  <c r="Q4567" i="6"/>
  <c r="Q4568" i="6"/>
  <c r="Q4569" i="6"/>
  <c r="Q4570" i="6"/>
  <c r="Q4571" i="6"/>
  <c r="Q4572" i="6"/>
  <c r="Q4573" i="6"/>
  <c r="Q4574" i="6"/>
  <c r="Q4575" i="6"/>
  <c r="Q4576" i="6"/>
  <c r="Q4577" i="6"/>
  <c r="Q4578" i="6"/>
  <c r="Q4579" i="6"/>
  <c r="Q4580" i="6"/>
  <c r="Q4581" i="6"/>
  <c r="Q4582" i="6"/>
  <c r="Q4583" i="6"/>
  <c r="Q4584" i="6"/>
  <c r="Q4585" i="6"/>
  <c r="Q4586" i="6"/>
  <c r="Q4587" i="6"/>
  <c r="Q4588" i="6"/>
  <c r="Q4589" i="6"/>
  <c r="Q4590" i="6"/>
  <c r="Q4591" i="6"/>
  <c r="Q4592" i="6"/>
  <c r="Q4593" i="6"/>
  <c r="Q4594" i="6"/>
  <c r="Q4595" i="6"/>
  <c r="Q4596" i="6"/>
  <c r="Q4597" i="6"/>
  <c r="Q4598" i="6"/>
  <c r="Q4599" i="6"/>
  <c r="Q4600" i="6"/>
  <c r="Q4601" i="6"/>
  <c r="Q4602" i="6"/>
  <c r="Q4603" i="6"/>
  <c r="Q4604" i="6"/>
  <c r="Q4605" i="6"/>
  <c r="Q4606" i="6"/>
  <c r="Q4607" i="6"/>
  <c r="Q4608" i="6"/>
  <c r="Q4609" i="6"/>
  <c r="Q4610" i="6"/>
  <c r="Q4611" i="6"/>
  <c r="Q4612" i="6"/>
  <c r="Q4613" i="6"/>
  <c r="Q4614" i="6"/>
  <c r="Q4615" i="6"/>
  <c r="Q4616" i="6"/>
  <c r="Q4617" i="6"/>
  <c r="Q4618" i="6"/>
  <c r="Q4619" i="6"/>
  <c r="Q4620" i="6"/>
  <c r="Q4621" i="6"/>
  <c r="Q4622" i="6"/>
  <c r="Q4623" i="6"/>
  <c r="Q4624" i="6"/>
  <c r="Q4625" i="6"/>
  <c r="Q4626" i="6"/>
  <c r="Q4627" i="6"/>
  <c r="Q4628" i="6"/>
  <c r="Q4629" i="6"/>
  <c r="Q4630" i="6"/>
  <c r="Q4631" i="6"/>
  <c r="Q4632" i="6"/>
  <c r="Q4633" i="6"/>
  <c r="Q4634" i="6"/>
  <c r="Q4635" i="6"/>
  <c r="Q4636" i="6"/>
  <c r="Q4637" i="6"/>
  <c r="Q4638" i="6"/>
  <c r="Q4639" i="6"/>
  <c r="Q4640" i="6"/>
  <c r="Q4641" i="6"/>
  <c r="Q4642" i="6"/>
  <c r="Q4643" i="6"/>
  <c r="Q4644" i="6"/>
  <c r="Q4645" i="6"/>
  <c r="Q4646" i="6"/>
  <c r="Q4647" i="6"/>
  <c r="Q4648" i="6"/>
  <c r="Q4649" i="6"/>
  <c r="Q4650" i="6"/>
  <c r="Q4651" i="6"/>
  <c r="Q4652" i="6"/>
  <c r="Q4653" i="6"/>
  <c r="Q4654" i="6"/>
  <c r="Q4655" i="6"/>
  <c r="Q4656" i="6"/>
  <c r="Q4657" i="6"/>
  <c r="Q4658" i="6"/>
  <c r="Q4659" i="6"/>
  <c r="Q4660" i="6"/>
  <c r="Q4661" i="6"/>
  <c r="Q4662" i="6"/>
  <c r="Q4663" i="6"/>
  <c r="Q4664" i="6"/>
  <c r="Q4665" i="6"/>
  <c r="Q4666" i="6"/>
  <c r="Q4667" i="6"/>
  <c r="Q4668" i="6"/>
  <c r="Q4669" i="6"/>
  <c r="Q4670" i="6"/>
  <c r="Q4671" i="6"/>
  <c r="Q4672" i="6"/>
  <c r="Q4673" i="6"/>
  <c r="Q4674" i="6"/>
  <c r="Q4675" i="6"/>
  <c r="Q4676" i="6"/>
  <c r="Q4677" i="6"/>
  <c r="Q4678" i="6"/>
  <c r="Q4679" i="6"/>
  <c r="Q4680" i="6"/>
  <c r="Q4681" i="6"/>
  <c r="Q4682" i="6"/>
  <c r="Q4683" i="6"/>
  <c r="Q4684" i="6"/>
  <c r="Q4685" i="6"/>
  <c r="Q4686" i="6"/>
  <c r="Q4687" i="6"/>
  <c r="Q4688" i="6"/>
  <c r="Q4689" i="6"/>
  <c r="Q4690" i="6"/>
  <c r="Q4691" i="6"/>
  <c r="Q4692" i="6"/>
  <c r="Q4693" i="6"/>
  <c r="Q4694" i="6"/>
  <c r="Q4695" i="6"/>
  <c r="Q4696" i="6"/>
  <c r="Q4697" i="6"/>
  <c r="Q4698" i="6"/>
  <c r="Q4699" i="6"/>
  <c r="Q4700" i="6"/>
  <c r="Q4701" i="6"/>
  <c r="Q4702" i="6"/>
  <c r="Q4703" i="6"/>
  <c r="Q4704" i="6"/>
  <c r="Q4705" i="6"/>
  <c r="Q4706" i="6"/>
  <c r="Q4707" i="6"/>
  <c r="Q4708" i="6"/>
  <c r="Q4709" i="6"/>
  <c r="Q4710" i="6"/>
  <c r="Q4711" i="6"/>
  <c r="Q4712" i="6"/>
  <c r="Q4713" i="6"/>
  <c r="Q4714" i="6"/>
  <c r="Q4715" i="6"/>
  <c r="Q4716" i="6"/>
  <c r="Q4717" i="6"/>
  <c r="Q4718" i="6"/>
  <c r="Q4719" i="6"/>
  <c r="Q4720" i="6"/>
  <c r="Q4721" i="6"/>
  <c r="Q4722" i="6"/>
  <c r="Q4723" i="6"/>
  <c r="Q4724" i="6"/>
  <c r="Q4725" i="6"/>
  <c r="Q4726" i="6"/>
  <c r="Q4727" i="6"/>
  <c r="Q4728" i="6"/>
  <c r="Q4729" i="6"/>
  <c r="Q4730" i="6"/>
  <c r="Q4731" i="6"/>
  <c r="Q4732" i="6"/>
  <c r="Q4733" i="6"/>
  <c r="Q4734" i="6"/>
  <c r="Q4735" i="6"/>
  <c r="Q4736" i="6"/>
  <c r="Q4737" i="6"/>
  <c r="Q4738" i="6"/>
  <c r="Q4739" i="6"/>
  <c r="Q4740" i="6"/>
  <c r="Q4741" i="6"/>
  <c r="Q4742" i="6"/>
  <c r="Q4743" i="6"/>
  <c r="Q4744" i="6"/>
  <c r="Q4745" i="6"/>
  <c r="Q4746" i="6"/>
  <c r="Q4747" i="6"/>
  <c r="Q4748" i="6"/>
  <c r="Q4749" i="6"/>
  <c r="Q4750" i="6"/>
  <c r="Q4751" i="6"/>
  <c r="Q4752" i="6"/>
  <c r="Q4753" i="6"/>
  <c r="Q4754" i="6"/>
  <c r="Q4755" i="6"/>
  <c r="Q4756" i="6"/>
  <c r="Q4757" i="6"/>
  <c r="Q4758" i="6"/>
  <c r="Q4759" i="6"/>
  <c r="Q4760" i="6"/>
  <c r="Q4761" i="6"/>
  <c r="Q4762" i="6"/>
  <c r="Q4763" i="6"/>
  <c r="Q4764" i="6"/>
  <c r="Q4765" i="6"/>
  <c r="Q4766" i="6"/>
  <c r="Q4767" i="6"/>
  <c r="Q4768" i="6"/>
  <c r="Q4769" i="6"/>
  <c r="Q4770" i="6"/>
  <c r="Q4771" i="6"/>
  <c r="Q4772" i="6"/>
  <c r="Q4773" i="6"/>
  <c r="Q4774" i="6"/>
  <c r="Q4775" i="6"/>
  <c r="Q4776" i="6"/>
  <c r="Q4777" i="6"/>
  <c r="Q4778" i="6"/>
  <c r="Q4779" i="6"/>
  <c r="Q4780" i="6"/>
  <c r="Q4781" i="6"/>
  <c r="Q4782" i="6"/>
  <c r="Q4783" i="6"/>
  <c r="Q4784" i="6"/>
  <c r="Q4785" i="6"/>
  <c r="Q4786" i="6"/>
  <c r="Q4787" i="6"/>
  <c r="Q4788" i="6"/>
  <c r="Q4789" i="6"/>
  <c r="Q4790" i="6"/>
  <c r="Q4791" i="6"/>
  <c r="Q4792" i="6"/>
  <c r="Q4793" i="6"/>
  <c r="Q4794" i="6"/>
  <c r="Q4795" i="6"/>
  <c r="Q4796" i="6"/>
  <c r="Q4797" i="6"/>
  <c r="Q4798" i="6"/>
  <c r="Q4799" i="6"/>
  <c r="Q4800" i="6"/>
  <c r="Q4801" i="6"/>
  <c r="Q4802" i="6"/>
  <c r="Q4803" i="6"/>
  <c r="Q4804" i="6"/>
  <c r="Q4805" i="6"/>
  <c r="Q4806" i="6"/>
  <c r="Q4807" i="6"/>
  <c r="Q4808" i="6"/>
  <c r="Q4809" i="6"/>
  <c r="Q4810" i="6"/>
  <c r="Q4811" i="6"/>
  <c r="Q4812" i="6"/>
  <c r="Q4813" i="6"/>
  <c r="Q4814" i="6"/>
  <c r="Q4815" i="6"/>
  <c r="Q4816" i="6"/>
  <c r="Q4817" i="6"/>
  <c r="Q4818" i="6"/>
  <c r="Q4819" i="6"/>
  <c r="Q4820" i="6"/>
  <c r="Q4821" i="6"/>
  <c r="Q4822" i="6"/>
  <c r="Q4823" i="6"/>
  <c r="Q4824" i="6"/>
  <c r="Q4825" i="6"/>
  <c r="Q4826" i="6"/>
  <c r="Q4827" i="6"/>
  <c r="Q4828" i="6"/>
  <c r="Q4829" i="6"/>
  <c r="Q4830" i="6"/>
  <c r="Q4831" i="6"/>
  <c r="Q4832" i="6"/>
  <c r="Q4833" i="6"/>
  <c r="Q4834" i="6"/>
  <c r="Q4835" i="6"/>
  <c r="Q4836" i="6"/>
  <c r="Q4837" i="6"/>
  <c r="Q4838" i="6"/>
  <c r="Q4839" i="6"/>
  <c r="Q4840" i="6"/>
  <c r="Q4841" i="6"/>
  <c r="Q4842" i="6"/>
  <c r="Q4843" i="6"/>
  <c r="Q4844" i="6"/>
  <c r="Q4845" i="6"/>
  <c r="Q4846" i="6"/>
  <c r="Q4847" i="6"/>
  <c r="Q4848" i="6"/>
  <c r="Q4849" i="6"/>
  <c r="Q4850" i="6"/>
  <c r="Q4851" i="6"/>
  <c r="Q4852" i="6"/>
  <c r="Q4853" i="6"/>
  <c r="Q4854" i="6"/>
  <c r="Q4855" i="6"/>
  <c r="Q4856" i="6"/>
  <c r="Q4857" i="6"/>
  <c r="Q4858" i="6"/>
  <c r="Q4859" i="6"/>
  <c r="Q4860" i="6"/>
  <c r="Q4861" i="6"/>
  <c r="Q4862" i="6"/>
  <c r="Q4863" i="6"/>
  <c r="Q4864" i="6"/>
  <c r="Q4865" i="6"/>
  <c r="Q4866" i="6"/>
  <c r="Q4867" i="6"/>
  <c r="Q4868" i="6"/>
  <c r="Q4869" i="6"/>
  <c r="Q4870" i="6"/>
  <c r="Q4871" i="6"/>
  <c r="Q4872" i="6"/>
  <c r="Q4873" i="6"/>
  <c r="Q4874" i="6"/>
  <c r="Q4875" i="6"/>
  <c r="Q4876" i="6"/>
  <c r="Q4877" i="6"/>
  <c r="Q4878" i="6"/>
  <c r="Q4879" i="6"/>
  <c r="Q4880" i="6"/>
  <c r="Q4881" i="6"/>
  <c r="Q4882" i="6"/>
  <c r="Q4883" i="6"/>
  <c r="Q4884" i="6"/>
  <c r="Q4885" i="6"/>
  <c r="Q4886" i="6"/>
  <c r="Q4887" i="6"/>
  <c r="Q4888" i="6"/>
  <c r="Q4889" i="6"/>
  <c r="Q4890" i="6"/>
  <c r="Q4891" i="6"/>
  <c r="Q4892" i="6"/>
  <c r="Q4893" i="6"/>
  <c r="Q4894" i="6"/>
  <c r="Q4895" i="6"/>
  <c r="Q4896" i="6"/>
  <c r="Q4897" i="6"/>
  <c r="Q4898" i="6"/>
  <c r="Q4899" i="6"/>
  <c r="Q4900" i="6"/>
  <c r="Q4901" i="6"/>
  <c r="Q4902" i="6"/>
  <c r="Q4903" i="6"/>
  <c r="Q4904" i="6"/>
  <c r="Q4905" i="6"/>
  <c r="Q4906" i="6"/>
  <c r="Q4907" i="6"/>
  <c r="Q4908" i="6"/>
  <c r="Q4909" i="6"/>
  <c r="Q4910" i="6"/>
  <c r="Q4911" i="6"/>
  <c r="Q4912" i="6"/>
  <c r="Q4913" i="6"/>
  <c r="Q4914" i="6"/>
  <c r="Q4915" i="6"/>
  <c r="Q4916" i="6"/>
  <c r="Q4917" i="6"/>
  <c r="Q4918" i="6"/>
  <c r="Q4919" i="6"/>
  <c r="Q4920" i="6"/>
  <c r="Q4921" i="6"/>
  <c r="Q4922" i="6"/>
  <c r="Q4923" i="6"/>
  <c r="Q4924" i="6"/>
  <c r="Q4925" i="6"/>
  <c r="Q4926" i="6"/>
  <c r="Q4927" i="6"/>
  <c r="Q4928" i="6"/>
  <c r="Q4929" i="6"/>
  <c r="Q4930" i="6"/>
  <c r="Q4931" i="6"/>
  <c r="Q4932" i="6"/>
  <c r="Q4933" i="6"/>
  <c r="Q4934" i="6"/>
  <c r="Q4935" i="6"/>
  <c r="Q4936" i="6"/>
  <c r="Q4937" i="6"/>
  <c r="Q4938" i="6"/>
  <c r="Q4939" i="6"/>
  <c r="Q4940" i="6"/>
  <c r="Q4941" i="6"/>
  <c r="Q4942" i="6"/>
  <c r="Q4943" i="6"/>
  <c r="Q4944" i="6"/>
  <c r="Q4945" i="6"/>
  <c r="Q4946" i="6"/>
  <c r="Q4947" i="6"/>
  <c r="Q4948" i="6"/>
  <c r="Q4949" i="6"/>
  <c r="Q4950" i="6"/>
  <c r="Q4951" i="6"/>
  <c r="Q4952" i="6"/>
  <c r="Q4953" i="6"/>
  <c r="Q4954" i="6"/>
  <c r="Q4955" i="6"/>
  <c r="Q4956" i="6"/>
  <c r="Q4957" i="6"/>
  <c r="Q4958" i="6"/>
  <c r="Q4959" i="6"/>
  <c r="Q4960" i="6"/>
  <c r="Q4961" i="6"/>
  <c r="Q4962" i="6"/>
  <c r="Q4963" i="6"/>
  <c r="Q4964" i="6"/>
  <c r="Q4965" i="6"/>
  <c r="Q4966" i="6"/>
  <c r="Q4967" i="6"/>
  <c r="Q4968" i="6"/>
  <c r="Q4969" i="6"/>
  <c r="Q4970" i="6"/>
  <c r="Q4971" i="6"/>
  <c r="Q4972" i="6"/>
  <c r="Q4973" i="6"/>
  <c r="Q4974" i="6"/>
  <c r="Q4975" i="6"/>
  <c r="Q4976" i="6"/>
  <c r="Q4977" i="6"/>
  <c r="Q4978" i="6"/>
  <c r="Q4979" i="6"/>
  <c r="Q4980" i="6"/>
  <c r="Q4981" i="6"/>
  <c r="Q4982" i="6"/>
  <c r="Q4983" i="6"/>
  <c r="Q4984" i="6"/>
  <c r="Q4985" i="6"/>
  <c r="Q4986" i="6"/>
  <c r="Q4987" i="6"/>
  <c r="Q4988" i="6"/>
  <c r="Q4989" i="6"/>
  <c r="Q4990" i="6"/>
  <c r="Q4991" i="6"/>
  <c r="Q4992" i="6"/>
  <c r="Q4993" i="6"/>
  <c r="Q4994" i="6"/>
  <c r="Q4995" i="6"/>
  <c r="Q4996" i="6"/>
  <c r="Q4997" i="6"/>
  <c r="Q4998" i="6"/>
  <c r="Q4999" i="6"/>
  <c r="Q5000" i="6"/>
  <c r="Q5001" i="6"/>
  <c r="Q5002" i="6"/>
  <c r="H3" i="6"/>
  <c r="I3" i="6" s="1"/>
  <c r="H4" i="6"/>
  <c r="I4" i="6" s="1"/>
  <c r="H5" i="6"/>
  <c r="I5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H19" i="6"/>
  <c r="I19" i="6" s="1"/>
  <c r="H20" i="6"/>
  <c r="I20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36" i="6"/>
  <c r="I36" i="6" s="1"/>
  <c r="H37" i="6"/>
  <c r="I37" i="6" s="1"/>
  <c r="H38" i="6"/>
  <c r="I38" i="6" s="1"/>
  <c r="H39" i="6"/>
  <c r="I39" i="6" s="1"/>
  <c r="H40" i="6"/>
  <c r="I40" i="6" s="1"/>
  <c r="H41" i="6"/>
  <c r="I41" i="6" s="1"/>
  <c r="H42" i="6"/>
  <c r="I42" i="6" s="1"/>
  <c r="H43" i="6"/>
  <c r="I43" i="6" s="1"/>
  <c r="H44" i="6"/>
  <c r="I44" i="6" s="1"/>
  <c r="H45" i="6"/>
  <c r="I45" i="6" s="1"/>
  <c r="H46" i="6"/>
  <c r="I46" i="6" s="1"/>
  <c r="H47" i="6"/>
  <c r="I47" i="6" s="1"/>
  <c r="H48" i="6"/>
  <c r="I48" i="6" s="1"/>
  <c r="H49" i="6"/>
  <c r="I49" i="6" s="1"/>
  <c r="H50" i="6"/>
  <c r="I50" i="6" s="1"/>
  <c r="H51" i="6"/>
  <c r="I51" i="6" s="1"/>
  <c r="H52" i="6"/>
  <c r="I52" i="6" s="1"/>
  <c r="H53" i="6"/>
  <c r="I53" i="6" s="1"/>
  <c r="H54" i="6"/>
  <c r="I54" i="6" s="1"/>
  <c r="H55" i="6"/>
  <c r="I55" i="6" s="1"/>
  <c r="H56" i="6"/>
  <c r="I56" i="6" s="1"/>
  <c r="H57" i="6"/>
  <c r="I57" i="6" s="1"/>
  <c r="H58" i="6"/>
  <c r="I58" i="6" s="1"/>
  <c r="H59" i="6"/>
  <c r="I59" i="6" s="1"/>
  <c r="H60" i="6"/>
  <c r="I60" i="6" s="1"/>
  <c r="H61" i="6"/>
  <c r="I61" i="6" s="1"/>
  <c r="H62" i="6"/>
  <c r="I62" i="6" s="1"/>
  <c r="H63" i="6"/>
  <c r="I63" i="6" s="1"/>
  <c r="H64" i="6"/>
  <c r="I64" i="6" s="1"/>
  <c r="H65" i="6"/>
  <c r="I65" i="6" s="1"/>
  <c r="H66" i="6"/>
  <c r="I66" i="6" s="1"/>
  <c r="H67" i="6"/>
  <c r="I67" i="6" s="1"/>
  <c r="H68" i="6"/>
  <c r="I68" i="6" s="1"/>
  <c r="H69" i="6"/>
  <c r="I69" i="6" s="1"/>
  <c r="H70" i="6"/>
  <c r="I70" i="6" s="1"/>
  <c r="H71" i="6"/>
  <c r="I71" i="6" s="1"/>
  <c r="H72" i="6"/>
  <c r="I72" i="6" s="1"/>
  <c r="H73" i="6"/>
  <c r="I73" i="6" s="1"/>
  <c r="H74" i="6"/>
  <c r="I74" i="6" s="1"/>
  <c r="H75" i="6"/>
  <c r="I75" i="6" s="1"/>
  <c r="H76" i="6"/>
  <c r="I76" i="6" s="1"/>
  <c r="H77" i="6"/>
  <c r="I77" i="6" s="1"/>
  <c r="H78" i="6"/>
  <c r="I78" i="6" s="1"/>
  <c r="H79" i="6"/>
  <c r="I79" i="6" s="1"/>
  <c r="H80" i="6"/>
  <c r="I80" i="6" s="1"/>
  <c r="H81" i="6"/>
  <c r="I81" i="6" s="1"/>
  <c r="H82" i="6"/>
  <c r="I82" i="6" s="1"/>
  <c r="H83" i="6"/>
  <c r="I83" i="6" s="1"/>
  <c r="H84" i="6"/>
  <c r="I84" i="6" s="1"/>
  <c r="H85" i="6"/>
  <c r="I85" i="6" s="1"/>
  <c r="H86" i="6"/>
  <c r="I86" i="6" s="1"/>
  <c r="H87" i="6"/>
  <c r="I87" i="6" s="1"/>
  <c r="H88" i="6"/>
  <c r="I88" i="6" s="1"/>
  <c r="H89" i="6"/>
  <c r="I89" i="6" s="1"/>
  <c r="H90" i="6"/>
  <c r="I90" i="6" s="1"/>
  <c r="H91" i="6"/>
  <c r="I91" i="6" s="1"/>
  <c r="H92" i="6"/>
  <c r="I92" i="6" s="1"/>
  <c r="H93" i="6"/>
  <c r="I93" i="6" s="1"/>
  <c r="H94" i="6"/>
  <c r="I94" i="6" s="1"/>
  <c r="H95" i="6"/>
  <c r="I95" i="6" s="1"/>
  <c r="H96" i="6"/>
  <c r="I96" i="6" s="1"/>
  <c r="H97" i="6"/>
  <c r="I97" i="6" s="1"/>
  <c r="H98" i="6"/>
  <c r="I98" i="6" s="1"/>
  <c r="H99" i="6"/>
  <c r="I99" i="6" s="1"/>
  <c r="H100" i="6"/>
  <c r="I100" i="6" s="1"/>
  <c r="H101" i="6"/>
  <c r="I101" i="6" s="1"/>
  <c r="H102" i="6"/>
  <c r="I102" i="6" s="1"/>
  <c r="H103" i="6"/>
  <c r="I103" i="6" s="1"/>
  <c r="H104" i="6"/>
  <c r="I104" i="6" s="1"/>
  <c r="H105" i="6"/>
  <c r="I105" i="6" s="1"/>
  <c r="H106" i="6"/>
  <c r="I106" i="6" s="1"/>
  <c r="H107" i="6"/>
  <c r="I107" i="6" s="1"/>
  <c r="H108" i="6"/>
  <c r="I108" i="6" s="1"/>
  <c r="H109" i="6"/>
  <c r="I109" i="6" s="1"/>
  <c r="H110" i="6"/>
  <c r="I110" i="6" s="1"/>
  <c r="H111" i="6"/>
  <c r="I111" i="6" s="1"/>
  <c r="H112" i="6"/>
  <c r="I112" i="6" s="1"/>
  <c r="H113" i="6"/>
  <c r="I113" i="6" s="1"/>
  <c r="H114" i="6"/>
  <c r="I114" i="6" s="1"/>
  <c r="H115" i="6"/>
  <c r="I115" i="6" s="1"/>
  <c r="H116" i="6"/>
  <c r="I116" i="6" s="1"/>
  <c r="H117" i="6"/>
  <c r="I117" i="6" s="1"/>
  <c r="H118" i="6"/>
  <c r="I118" i="6" s="1"/>
  <c r="H119" i="6"/>
  <c r="I119" i="6" s="1"/>
  <c r="H120" i="6"/>
  <c r="I120" i="6" s="1"/>
  <c r="H121" i="6"/>
  <c r="I121" i="6" s="1"/>
  <c r="H122" i="6"/>
  <c r="I122" i="6" s="1"/>
  <c r="H123" i="6"/>
  <c r="I123" i="6" s="1"/>
  <c r="H124" i="6"/>
  <c r="I124" i="6" s="1"/>
  <c r="H125" i="6"/>
  <c r="I125" i="6" s="1"/>
  <c r="H126" i="6"/>
  <c r="I126" i="6" s="1"/>
  <c r="H127" i="6"/>
  <c r="I127" i="6" s="1"/>
  <c r="H128" i="6"/>
  <c r="I128" i="6" s="1"/>
  <c r="H129" i="6"/>
  <c r="I129" i="6" s="1"/>
  <c r="H130" i="6"/>
  <c r="I130" i="6" s="1"/>
  <c r="H131" i="6"/>
  <c r="I131" i="6" s="1"/>
  <c r="H132" i="6"/>
  <c r="I132" i="6" s="1"/>
  <c r="H133" i="6"/>
  <c r="I133" i="6" s="1"/>
  <c r="H134" i="6"/>
  <c r="I134" i="6" s="1"/>
  <c r="H135" i="6"/>
  <c r="I135" i="6" s="1"/>
  <c r="H136" i="6"/>
  <c r="I136" i="6" s="1"/>
  <c r="H137" i="6"/>
  <c r="I137" i="6" s="1"/>
  <c r="H138" i="6"/>
  <c r="I138" i="6" s="1"/>
  <c r="H139" i="6"/>
  <c r="I139" i="6" s="1"/>
  <c r="H140" i="6"/>
  <c r="I140" i="6" s="1"/>
  <c r="H141" i="6"/>
  <c r="I141" i="6" s="1"/>
  <c r="H142" i="6"/>
  <c r="I142" i="6" s="1"/>
  <c r="H143" i="6"/>
  <c r="I143" i="6" s="1"/>
  <c r="H144" i="6"/>
  <c r="I144" i="6" s="1"/>
  <c r="H145" i="6"/>
  <c r="I145" i="6" s="1"/>
  <c r="H146" i="6"/>
  <c r="I146" i="6" s="1"/>
  <c r="H147" i="6"/>
  <c r="I147" i="6" s="1"/>
  <c r="H148" i="6"/>
  <c r="I148" i="6" s="1"/>
  <c r="H149" i="6"/>
  <c r="I149" i="6" s="1"/>
  <c r="H150" i="6"/>
  <c r="I150" i="6" s="1"/>
  <c r="H151" i="6"/>
  <c r="I151" i="6" s="1"/>
  <c r="H152" i="6"/>
  <c r="I152" i="6" s="1"/>
  <c r="H153" i="6"/>
  <c r="I153" i="6" s="1"/>
  <c r="H154" i="6"/>
  <c r="I154" i="6" s="1"/>
  <c r="H155" i="6"/>
  <c r="I155" i="6" s="1"/>
  <c r="H156" i="6"/>
  <c r="I156" i="6" s="1"/>
  <c r="H157" i="6"/>
  <c r="I157" i="6" s="1"/>
  <c r="H158" i="6"/>
  <c r="I158" i="6" s="1"/>
  <c r="H159" i="6"/>
  <c r="I159" i="6" s="1"/>
  <c r="H160" i="6"/>
  <c r="I160" i="6" s="1"/>
  <c r="H161" i="6"/>
  <c r="I161" i="6" s="1"/>
  <c r="H162" i="6"/>
  <c r="I162" i="6" s="1"/>
  <c r="H163" i="6"/>
  <c r="I163" i="6" s="1"/>
  <c r="H164" i="6"/>
  <c r="I164" i="6" s="1"/>
  <c r="H165" i="6"/>
  <c r="I165" i="6" s="1"/>
  <c r="H166" i="6"/>
  <c r="I166" i="6" s="1"/>
  <c r="H167" i="6"/>
  <c r="I167" i="6" s="1"/>
  <c r="H168" i="6"/>
  <c r="I168" i="6" s="1"/>
  <c r="H169" i="6"/>
  <c r="I169" i="6" s="1"/>
  <c r="H170" i="6"/>
  <c r="I170" i="6" s="1"/>
  <c r="H171" i="6"/>
  <c r="I171" i="6" s="1"/>
  <c r="H172" i="6"/>
  <c r="I172" i="6" s="1"/>
  <c r="H173" i="6"/>
  <c r="I173" i="6" s="1"/>
  <c r="H174" i="6"/>
  <c r="I174" i="6" s="1"/>
  <c r="H175" i="6"/>
  <c r="I175" i="6" s="1"/>
  <c r="H176" i="6"/>
  <c r="I176" i="6" s="1"/>
  <c r="H177" i="6"/>
  <c r="I177" i="6" s="1"/>
  <c r="H178" i="6"/>
  <c r="I178" i="6" s="1"/>
  <c r="H179" i="6"/>
  <c r="I179" i="6" s="1"/>
  <c r="H180" i="6"/>
  <c r="I180" i="6" s="1"/>
  <c r="H181" i="6"/>
  <c r="I181" i="6" s="1"/>
  <c r="H182" i="6"/>
  <c r="I182" i="6" s="1"/>
  <c r="H183" i="6"/>
  <c r="I183" i="6" s="1"/>
  <c r="H184" i="6"/>
  <c r="I184" i="6" s="1"/>
  <c r="H185" i="6"/>
  <c r="I185" i="6" s="1"/>
  <c r="H186" i="6"/>
  <c r="I186" i="6" s="1"/>
  <c r="H187" i="6"/>
  <c r="I187" i="6" s="1"/>
  <c r="H188" i="6"/>
  <c r="I188" i="6" s="1"/>
  <c r="H189" i="6"/>
  <c r="I189" i="6" s="1"/>
  <c r="H190" i="6"/>
  <c r="I190" i="6" s="1"/>
  <c r="H191" i="6"/>
  <c r="I191" i="6" s="1"/>
  <c r="H192" i="6"/>
  <c r="I192" i="6" s="1"/>
  <c r="H193" i="6"/>
  <c r="I193" i="6" s="1"/>
  <c r="H194" i="6"/>
  <c r="I194" i="6" s="1"/>
  <c r="H195" i="6"/>
  <c r="I195" i="6" s="1"/>
  <c r="H196" i="6"/>
  <c r="I196" i="6" s="1"/>
  <c r="H197" i="6"/>
  <c r="I197" i="6" s="1"/>
  <c r="H198" i="6"/>
  <c r="I198" i="6" s="1"/>
  <c r="H199" i="6"/>
  <c r="I199" i="6" s="1"/>
  <c r="H200" i="6"/>
  <c r="I200" i="6" s="1"/>
  <c r="H201" i="6"/>
  <c r="I201" i="6" s="1"/>
  <c r="H202" i="6"/>
  <c r="I202" i="6" s="1"/>
  <c r="H203" i="6"/>
  <c r="I203" i="6" s="1"/>
  <c r="H204" i="6"/>
  <c r="I204" i="6" s="1"/>
  <c r="H205" i="6"/>
  <c r="I205" i="6" s="1"/>
  <c r="H206" i="6"/>
  <c r="I206" i="6" s="1"/>
  <c r="H207" i="6"/>
  <c r="I207" i="6" s="1"/>
  <c r="H208" i="6"/>
  <c r="I208" i="6" s="1"/>
  <c r="H209" i="6"/>
  <c r="I209" i="6" s="1"/>
  <c r="H210" i="6"/>
  <c r="I210" i="6" s="1"/>
  <c r="H211" i="6"/>
  <c r="I211" i="6" s="1"/>
  <c r="H212" i="6"/>
  <c r="I212" i="6" s="1"/>
  <c r="H213" i="6"/>
  <c r="I213" i="6" s="1"/>
  <c r="H214" i="6"/>
  <c r="I214" i="6" s="1"/>
  <c r="H215" i="6"/>
  <c r="I215" i="6" s="1"/>
  <c r="H216" i="6"/>
  <c r="I216" i="6" s="1"/>
  <c r="H217" i="6"/>
  <c r="I217" i="6" s="1"/>
  <c r="H218" i="6"/>
  <c r="I218" i="6" s="1"/>
  <c r="H219" i="6"/>
  <c r="I219" i="6" s="1"/>
  <c r="H220" i="6"/>
  <c r="I220" i="6" s="1"/>
  <c r="H221" i="6"/>
  <c r="I221" i="6" s="1"/>
  <c r="H222" i="6"/>
  <c r="I222" i="6" s="1"/>
  <c r="H223" i="6"/>
  <c r="I223" i="6" s="1"/>
  <c r="H224" i="6"/>
  <c r="I224" i="6" s="1"/>
  <c r="H225" i="6"/>
  <c r="I225" i="6" s="1"/>
  <c r="H226" i="6"/>
  <c r="I226" i="6" s="1"/>
  <c r="H227" i="6"/>
  <c r="I227" i="6" s="1"/>
  <c r="H228" i="6"/>
  <c r="I228" i="6" s="1"/>
  <c r="H229" i="6"/>
  <c r="I229" i="6" s="1"/>
  <c r="H230" i="6"/>
  <c r="I230" i="6" s="1"/>
  <c r="H231" i="6"/>
  <c r="I231" i="6" s="1"/>
  <c r="H232" i="6"/>
  <c r="I232" i="6" s="1"/>
  <c r="H233" i="6"/>
  <c r="I233" i="6" s="1"/>
  <c r="H234" i="6"/>
  <c r="I234" i="6" s="1"/>
  <c r="H235" i="6"/>
  <c r="I235" i="6" s="1"/>
  <c r="H236" i="6"/>
  <c r="I236" i="6" s="1"/>
  <c r="H237" i="6"/>
  <c r="I237" i="6" s="1"/>
  <c r="H238" i="6"/>
  <c r="I238" i="6" s="1"/>
  <c r="H239" i="6"/>
  <c r="I239" i="6" s="1"/>
  <c r="H240" i="6"/>
  <c r="I240" i="6" s="1"/>
  <c r="H241" i="6"/>
  <c r="I241" i="6" s="1"/>
  <c r="H242" i="6"/>
  <c r="I242" i="6" s="1"/>
  <c r="H243" i="6"/>
  <c r="I243" i="6" s="1"/>
  <c r="H244" i="6"/>
  <c r="I244" i="6" s="1"/>
  <c r="H245" i="6"/>
  <c r="I245" i="6" s="1"/>
  <c r="H246" i="6"/>
  <c r="I246" i="6" s="1"/>
  <c r="H247" i="6"/>
  <c r="I247" i="6" s="1"/>
  <c r="H248" i="6"/>
  <c r="I248" i="6" s="1"/>
  <c r="H249" i="6"/>
  <c r="I249" i="6" s="1"/>
  <c r="H250" i="6"/>
  <c r="I250" i="6" s="1"/>
  <c r="H251" i="6"/>
  <c r="I251" i="6" s="1"/>
  <c r="H252" i="6"/>
  <c r="I252" i="6" s="1"/>
  <c r="H253" i="6"/>
  <c r="I253" i="6" s="1"/>
  <c r="H254" i="6"/>
  <c r="I254" i="6" s="1"/>
  <c r="H255" i="6"/>
  <c r="I255" i="6" s="1"/>
  <c r="H256" i="6"/>
  <c r="I256" i="6" s="1"/>
  <c r="H257" i="6"/>
  <c r="I257" i="6" s="1"/>
  <c r="H258" i="6"/>
  <c r="I258" i="6" s="1"/>
  <c r="H259" i="6"/>
  <c r="I259" i="6" s="1"/>
  <c r="H260" i="6"/>
  <c r="I260" i="6" s="1"/>
  <c r="H261" i="6"/>
  <c r="I261" i="6" s="1"/>
  <c r="H262" i="6"/>
  <c r="I262" i="6" s="1"/>
  <c r="H263" i="6"/>
  <c r="I263" i="6" s="1"/>
  <c r="H264" i="6"/>
  <c r="I264" i="6" s="1"/>
  <c r="H265" i="6"/>
  <c r="I265" i="6" s="1"/>
  <c r="H266" i="6"/>
  <c r="I266" i="6" s="1"/>
  <c r="H267" i="6"/>
  <c r="I267" i="6" s="1"/>
  <c r="H268" i="6"/>
  <c r="I268" i="6" s="1"/>
  <c r="H269" i="6"/>
  <c r="I269" i="6" s="1"/>
  <c r="H270" i="6"/>
  <c r="I270" i="6" s="1"/>
  <c r="H271" i="6"/>
  <c r="I271" i="6" s="1"/>
  <c r="H272" i="6"/>
  <c r="I272" i="6" s="1"/>
  <c r="H273" i="6"/>
  <c r="I273" i="6" s="1"/>
  <c r="H274" i="6"/>
  <c r="I274" i="6" s="1"/>
  <c r="H275" i="6"/>
  <c r="I275" i="6" s="1"/>
  <c r="H276" i="6"/>
  <c r="I276" i="6" s="1"/>
  <c r="H277" i="6"/>
  <c r="I277" i="6" s="1"/>
  <c r="H278" i="6"/>
  <c r="I278" i="6" s="1"/>
  <c r="H279" i="6"/>
  <c r="I279" i="6" s="1"/>
  <c r="H280" i="6"/>
  <c r="I280" i="6" s="1"/>
  <c r="H281" i="6"/>
  <c r="I281" i="6" s="1"/>
  <c r="H282" i="6"/>
  <c r="I282" i="6" s="1"/>
  <c r="H283" i="6"/>
  <c r="I283" i="6" s="1"/>
  <c r="H284" i="6"/>
  <c r="I284" i="6" s="1"/>
  <c r="H285" i="6"/>
  <c r="I285" i="6" s="1"/>
  <c r="H286" i="6"/>
  <c r="I286" i="6" s="1"/>
  <c r="H287" i="6"/>
  <c r="I287" i="6" s="1"/>
  <c r="H288" i="6"/>
  <c r="I288" i="6" s="1"/>
  <c r="H289" i="6"/>
  <c r="I289" i="6" s="1"/>
  <c r="H290" i="6"/>
  <c r="I290" i="6" s="1"/>
  <c r="H291" i="6"/>
  <c r="I291" i="6" s="1"/>
  <c r="H292" i="6"/>
  <c r="I292" i="6" s="1"/>
  <c r="H293" i="6"/>
  <c r="I293" i="6" s="1"/>
  <c r="H294" i="6"/>
  <c r="I294" i="6" s="1"/>
  <c r="H295" i="6"/>
  <c r="I295" i="6" s="1"/>
  <c r="H296" i="6"/>
  <c r="I296" i="6" s="1"/>
  <c r="H297" i="6"/>
  <c r="I297" i="6" s="1"/>
  <c r="H298" i="6"/>
  <c r="I298" i="6" s="1"/>
  <c r="H299" i="6"/>
  <c r="I299" i="6" s="1"/>
  <c r="H300" i="6"/>
  <c r="I300" i="6" s="1"/>
  <c r="H301" i="6"/>
  <c r="I301" i="6" s="1"/>
  <c r="H302" i="6"/>
  <c r="I302" i="6" s="1"/>
  <c r="H303" i="6"/>
  <c r="I303" i="6" s="1"/>
  <c r="H304" i="6"/>
  <c r="I304" i="6" s="1"/>
  <c r="H305" i="6"/>
  <c r="I305" i="6" s="1"/>
  <c r="H306" i="6"/>
  <c r="I306" i="6" s="1"/>
  <c r="H307" i="6"/>
  <c r="I307" i="6" s="1"/>
  <c r="H308" i="6"/>
  <c r="I308" i="6" s="1"/>
  <c r="H309" i="6"/>
  <c r="I309" i="6" s="1"/>
  <c r="H310" i="6"/>
  <c r="I310" i="6" s="1"/>
  <c r="H311" i="6"/>
  <c r="I311" i="6" s="1"/>
  <c r="H312" i="6"/>
  <c r="I312" i="6" s="1"/>
  <c r="H313" i="6"/>
  <c r="I313" i="6" s="1"/>
  <c r="H314" i="6"/>
  <c r="I314" i="6" s="1"/>
  <c r="H315" i="6"/>
  <c r="I315" i="6" s="1"/>
  <c r="H316" i="6"/>
  <c r="I316" i="6" s="1"/>
  <c r="H317" i="6"/>
  <c r="I317" i="6" s="1"/>
  <c r="H318" i="6"/>
  <c r="I318" i="6" s="1"/>
  <c r="H319" i="6"/>
  <c r="I319" i="6" s="1"/>
  <c r="H320" i="6"/>
  <c r="I320" i="6" s="1"/>
  <c r="H321" i="6"/>
  <c r="I321" i="6" s="1"/>
  <c r="H322" i="6"/>
  <c r="I322" i="6" s="1"/>
  <c r="H323" i="6"/>
  <c r="I323" i="6" s="1"/>
  <c r="H324" i="6"/>
  <c r="I324" i="6" s="1"/>
  <c r="H325" i="6"/>
  <c r="I325" i="6" s="1"/>
  <c r="H326" i="6"/>
  <c r="I326" i="6" s="1"/>
  <c r="H327" i="6"/>
  <c r="I327" i="6" s="1"/>
  <c r="H328" i="6"/>
  <c r="I328" i="6" s="1"/>
  <c r="H329" i="6"/>
  <c r="I329" i="6" s="1"/>
  <c r="H330" i="6"/>
  <c r="I330" i="6" s="1"/>
  <c r="H331" i="6"/>
  <c r="I331" i="6" s="1"/>
  <c r="H332" i="6"/>
  <c r="I332" i="6" s="1"/>
  <c r="H333" i="6"/>
  <c r="I333" i="6" s="1"/>
  <c r="H334" i="6"/>
  <c r="I334" i="6" s="1"/>
  <c r="H335" i="6"/>
  <c r="I335" i="6" s="1"/>
  <c r="H336" i="6"/>
  <c r="I336" i="6" s="1"/>
  <c r="H337" i="6"/>
  <c r="I337" i="6" s="1"/>
  <c r="H338" i="6"/>
  <c r="I338" i="6" s="1"/>
  <c r="H339" i="6"/>
  <c r="I339" i="6" s="1"/>
  <c r="H340" i="6"/>
  <c r="I340" i="6" s="1"/>
  <c r="H341" i="6"/>
  <c r="I341" i="6" s="1"/>
  <c r="H342" i="6"/>
  <c r="I342" i="6" s="1"/>
  <c r="H343" i="6"/>
  <c r="I343" i="6" s="1"/>
  <c r="H344" i="6"/>
  <c r="I344" i="6" s="1"/>
  <c r="H345" i="6"/>
  <c r="I345" i="6" s="1"/>
  <c r="H346" i="6"/>
  <c r="I346" i="6" s="1"/>
  <c r="H347" i="6"/>
  <c r="I347" i="6" s="1"/>
  <c r="H348" i="6"/>
  <c r="I348" i="6" s="1"/>
  <c r="H349" i="6"/>
  <c r="I349" i="6" s="1"/>
  <c r="H350" i="6"/>
  <c r="I350" i="6" s="1"/>
  <c r="H351" i="6"/>
  <c r="I351" i="6" s="1"/>
  <c r="H352" i="6"/>
  <c r="I352" i="6" s="1"/>
  <c r="H353" i="6"/>
  <c r="I353" i="6" s="1"/>
  <c r="H354" i="6"/>
  <c r="I354" i="6" s="1"/>
  <c r="H355" i="6"/>
  <c r="I355" i="6" s="1"/>
  <c r="H356" i="6"/>
  <c r="I356" i="6" s="1"/>
  <c r="H357" i="6"/>
  <c r="I357" i="6" s="1"/>
  <c r="H358" i="6"/>
  <c r="I358" i="6" s="1"/>
  <c r="H359" i="6"/>
  <c r="I359" i="6" s="1"/>
  <c r="H360" i="6"/>
  <c r="I360" i="6" s="1"/>
  <c r="H361" i="6"/>
  <c r="I361" i="6" s="1"/>
  <c r="H362" i="6"/>
  <c r="I362" i="6" s="1"/>
  <c r="H363" i="6"/>
  <c r="I363" i="6" s="1"/>
  <c r="H364" i="6"/>
  <c r="I364" i="6" s="1"/>
  <c r="H365" i="6"/>
  <c r="I365" i="6" s="1"/>
  <c r="H366" i="6"/>
  <c r="I366" i="6" s="1"/>
  <c r="H367" i="6"/>
  <c r="I367" i="6" s="1"/>
  <c r="H368" i="6"/>
  <c r="I368" i="6" s="1"/>
  <c r="H369" i="6"/>
  <c r="I369" i="6" s="1"/>
  <c r="H370" i="6"/>
  <c r="I370" i="6" s="1"/>
  <c r="H371" i="6"/>
  <c r="I371" i="6" s="1"/>
  <c r="H372" i="6"/>
  <c r="I372" i="6" s="1"/>
  <c r="H373" i="6"/>
  <c r="I373" i="6" s="1"/>
  <c r="H374" i="6"/>
  <c r="I374" i="6" s="1"/>
  <c r="H375" i="6"/>
  <c r="I375" i="6" s="1"/>
  <c r="H376" i="6"/>
  <c r="I376" i="6" s="1"/>
  <c r="H377" i="6"/>
  <c r="I377" i="6" s="1"/>
  <c r="H378" i="6"/>
  <c r="I378" i="6" s="1"/>
  <c r="H379" i="6"/>
  <c r="I379" i="6" s="1"/>
  <c r="H380" i="6"/>
  <c r="I380" i="6" s="1"/>
  <c r="H381" i="6"/>
  <c r="I381" i="6" s="1"/>
  <c r="H382" i="6"/>
  <c r="I382" i="6" s="1"/>
  <c r="H383" i="6"/>
  <c r="I383" i="6" s="1"/>
  <c r="H384" i="6"/>
  <c r="I384" i="6" s="1"/>
  <c r="H385" i="6"/>
  <c r="I385" i="6" s="1"/>
  <c r="H386" i="6"/>
  <c r="I386" i="6" s="1"/>
  <c r="H387" i="6"/>
  <c r="I387" i="6" s="1"/>
  <c r="H388" i="6"/>
  <c r="I388" i="6" s="1"/>
  <c r="H389" i="6"/>
  <c r="I389" i="6" s="1"/>
  <c r="H390" i="6"/>
  <c r="I390" i="6" s="1"/>
  <c r="H391" i="6"/>
  <c r="I391" i="6" s="1"/>
  <c r="H392" i="6"/>
  <c r="I392" i="6" s="1"/>
  <c r="H393" i="6"/>
  <c r="I393" i="6" s="1"/>
  <c r="H394" i="6"/>
  <c r="I394" i="6" s="1"/>
  <c r="H395" i="6"/>
  <c r="I395" i="6" s="1"/>
  <c r="H396" i="6"/>
  <c r="I396" i="6" s="1"/>
  <c r="H397" i="6"/>
  <c r="I397" i="6" s="1"/>
  <c r="H398" i="6"/>
  <c r="I398" i="6" s="1"/>
  <c r="H399" i="6"/>
  <c r="I399" i="6" s="1"/>
  <c r="H400" i="6"/>
  <c r="I400" i="6" s="1"/>
  <c r="H401" i="6"/>
  <c r="I401" i="6" s="1"/>
  <c r="H402" i="6"/>
  <c r="I402" i="6" s="1"/>
  <c r="H403" i="6"/>
  <c r="I403" i="6" s="1"/>
  <c r="H404" i="6"/>
  <c r="I404" i="6" s="1"/>
  <c r="H405" i="6"/>
  <c r="I405" i="6" s="1"/>
  <c r="H406" i="6"/>
  <c r="I406" i="6" s="1"/>
  <c r="H407" i="6"/>
  <c r="I407" i="6" s="1"/>
  <c r="H408" i="6"/>
  <c r="I408" i="6" s="1"/>
  <c r="H409" i="6"/>
  <c r="I409" i="6" s="1"/>
  <c r="H410" i="6"/>
  <c r="I410" i="6" s="1"/>
  <c r="H411" i="6"/>
  <c r="I411" i="6" s="1"/>
  <c r="H412" i="6"/>
  <c r="I412" i="6" s="1"/>
  <c r="H413" i="6"/>
  <c r="I413" i="6" s="1"/>
  <c r="H414" i="6"/>
  <c r="I414" i="6" s="1"/>
  <c r="H415" i="6"/>
  <c r="I415" i="6" s="1"/>
  <c r="H416" i="6"/>
  <c r="I416" i="6" s="1"/>
  <c r="H417" i="6"/>
  <c r="I417" i="6" s="1"/>
  <c r="H418" i="6"/>
  <c r="I418" i="6" s="1"/>
  <c r="H419" i="6"/>
  <c r="I419" i="6" s="1"/>
  <c r="H420" i="6"/>
  <c r="I420" i="6" s="1"/>
  <c r="H421" i="6"/>
  <c r="I421" i="6" s="1"/>
  <c r="H422" i="6"/>
  <c r="I422" i="6" s="1"/>
  <c r="H423" i="6"/>
  <c r="I423" i="6" s="1"/>
  <c r="H424" i="6"/>
  <c r="I424" i="6" s="1"/>
  <c r="H425" i="6"/>
  <c r="I425" i="6" s="1"/>
  <c r="H426" i="6"/>
  <c r="I426" i="6" s="1"/>
  <c r="H427" i="6"/>
  <c r="I427" i="6" s="1"/>
  <c r="H428" i="6"/>
  <c r="I428" i="6" s="1"/>
  <c r="H429" i="6"/>
  <c r="I429" i="6" s="1"/>
  <c r="H430" i="6"/>
  <c r="I430" i="6" s="1"/>
  <c r="H431" i="6"/>
  <c r="I431" i="6" s="1"/>
  <c r="H432" i="6"/>
  <c r="I432" i="6" s="1"/>
  <c r="H433" i="6"/>
  <c r="I433" i="6" s="1"/>
  <c r="H434" i="6"/>
  <c r="I434" i="6" s="1"/>
  <c r="H435" i="6"/>
  <c r="I435" i="6" s="1"/>
  <c r="H436" i="6"/>
  <c r="I436" i="6" s="1"/>
  <c r="H437" i="6"/>
  <c r="I437" i="6" s="1"/>
  <c r="H438" i="6"/>
  <c r="I438" i="6" s="1"/>
  <c r="H439" i="6"/>
  <c r="I439" i="6" s="1"/>
  <c r="H440" i="6"/>
  <c r="I440" i="6" s="1"/>
  <c r="H441" i="6"/>
  <c r="I441" i="6" s="1"/>
  <c r="H442" i="6"/>
  <c r="I442" i="6" s="1"/>
  <c r="H443" i="6"/>
  <c r="I443" i="6" s="1"/>
  <c r="H444" i="6"/>
  <c r="I444" i="6" s="1"/>
  <c r="H445" i="6"/>
  <c r="I445" i="6" s="1"/>
  <c r="H446" i="6"/>
  <c r="I446" i="6" s="1"/>
  <c r="H447" i="6"/>
  <c r="I447" i="6" s="1"/>
  <c r="H448" i="6"/>
  <c r="I448" i="6" s="1"/>
  <c r="H449" i="6"/>
  <c r="I449" i="6" s="1"/>
  <c r="H450" i="6"/>
  <c r="I450" i="6" s="1"/>
  <c r="H451" i="6"/>
  <c r="I451" i="6" s="1"/>
  <c r="H452" i="6"/>
  <c r="I452" i="6" s="1"/>
  <c r="H453" i="6"/>
  <c r="I453" i="6" s="1"/>
  <c r="H454" i="6"/>
  <c r="I454" i="6" s="1"/>
  <c r="H455" i="6"/>
  <c r="I455" i="6" s="1"/>
  <c r="H456" i="6"/>
  <c r="I456" i="6" s="1"/>
  <c r="H457" i="6"/>
  <c r="I457" i="6" s="1"/>
  <c r="H458" i="6"/>
  <c r="I458" i="6" s="1"/>
  <c r="H459" i="6"/>
  <c r="I459" i="6" s="1"/>
  <c r="H460" i="6"/>
  <c r="I460" i="6" s="1"/>
  <c r="H461" i="6"/>
  <c r="I461" i="6" s="1"/>
  <c r="H462" i="6"/>
  <c r="I462" i="6" s="1"/>
  <c r="H463" i="6"/>
  <c r="I463" i="6" s="1"/>
  <c r="H464" i="6"/>
  <c r="I464" i="6" s="1"/>
  <c r="H465" i="6"/>
  <c r="I465" i="6" s="1"/>
  <c r="H466" i="6"/>
  <c r="I466" i="6" s="1"/>
  <c r="H467" i="6"/>
  <c r="I467" i="6" s="1"/>
  <c r="H468" i="6"/>
  <c r="I468" i="6" s="1"/>
  <c r="H469" i="6"/>
  <c r="I469" i="6" s="1"/>
  <c r="H470" i="6"/>
  <c r="I470" i="6" s="1"/>
  <c r="H471" i="6"/>
  <c r="I471" i="6" s="1"/>
  <c r="H472" i="6"/>
  <c r="I472" i="6" s="1"/>
  <c r="H473" i="6"/>
  <c r="I473" i="6" s="1"/>
  <c r="H474" i="6"/>
  <c r="I474" i="6" s="1"/>
  <c r="H475" i="6"/>
  <c r="I475" i="6" s="1"/>
  <c r="H476" i="6"/>
  <c r="I476" i="6" s="1"/>
  <c r="H477" i="6"/>
  <c r="I477" i="6" s="1"/>
  <c r="H478" i="6"/>
  <c r="I478" i="6" s="1"/>
  <c r="H479" i="6"/>
  <c r="I479" i="6" s="1"/>
  <c r="H480" i="6"/>
  <c r="I480" i="6" s="1"/>
  <c r="H481" i="6"/>
  <c r="I481" i="6" s="1"/>
  <c r="H482" i="6"/>
  <c r="I482" i="6" s="1"/>
  <c r="H483" i="6"/>
  <c r="I483" i="6" s="1"/>
  <c r="H484" i="6"/>
  <c r="I484" i="6" s="1"/>
  <c r="H485" i="6"/>
  <c r="I485" i="6" s="1"/>
  <c r="H486" i="6"/>
  <c r="I486" i="6" s="1"/>
  <c r="H487" i="6"/>
  <c r="I487" i="6" s="1"/>
  <c r="H488" i="6"/>
  <c r="I488" i="6" s="1"/>
  <c r="H489" i="6"/>
  <c r="I489" i="6" s="1"/>
  <c r="H490" i="6"/>
  <c r="I490" i="6" s="1"/>
  <c r="H491" i="6"/>
  <c r="I491" i="6" s="1"/>
  <c r="H492" i="6"/>
  <c r="I492" i="6" s="1"/>
  <c r="H493" i="6"/>
  <c r="I493" i="6" s="1"/>
  <c r="H494" i="6"/>
  <c r="I494" i="6" s="1"/>
  <c r="H495" i="6"/>
  <c r="I495" i="6" s="1"/>
  <c r="H496" i="6"/>
  <c r="I496" i="6" s="1"/>
  <c r="H497" i="6"/>
  <c r="I497" i="6" s="1"/>
  <c r="H498" i="6"/>
  <c r="I498" i="6" s="1"/>
  <c r="H499" i="6"/>
  <c r="I499" i="6" s="1"/>
  <c r="H500" i="6"/>
  <c r="I500" i="6" s="1"/>
  <c r="H501" i="6"/>
  <c r="I501" i="6" s="1"/>
  <c r="H502" i="6"/>
  <c r="I502" i="6" s="1"/>
  <c r="H503" i="6"/>
  <c r="I503" i="6" s="1"/>
  <c r="H504" i="6"/>
  <c r="I504" i="6" s="1"/>
  <c r="H505" i="6"/>
  <c r="I505" i="6" s="1"/>
  <c r="H506" i="6"/>
  <c r="I506" i="6" s="1"/>
  <c r="H507" i="6"/>
  <c r="I507" i="6" s="1"/>
  <c r="H508" i="6"/>
  <c r="I508" i="6" s="1"/>
  <c r="H509" i="6"/>
  <c r="I509" i="6" s="1"/>
  <c r="H510" i="6"/>
  <c r="I510" i="6" s="1"/>
  <c r="H511" i="6"/>
  <c r="I511" i="6" s="1"/>
  <c r="H512" i="6"/>
  <c r="I512" i="6" s="1"/>
  <c r="H513" i="6"/>
  <c r="I513" i="6" s="1"/>
  <c r="H514" i="6"/>
  <c r="I514" i="6" s="1"/>
  <c r="H515" i="6"/>
  <c r="I515" i="6" s="1"/>
  <c r="H516" i="6"/>
  <c r="I516" i="6" s="1"/>
  <c r="H517" i="6"/>
  <c r="I517" i="6" s="1"/>
  <c r="H518" i="6"/>
  <c r="I518" i="6" s="1"/>
  <c r="H519" i="6"/>
  <c r="I519" i="6" s="1"/>
  <c r="H520" i="6"/>
  <c r="I520" i="6" s="1"/>
  <c r="H521" i="6"/>
  <c r="I521" i="6" s="1"/>
  <c r="H522" i="6"/>
  <c r="I522" i="6" s="1"/>
  <c r="H523" i="6"/>
  <c r="I523" i="6" s="1"/>
  <c r="H524" i="6"/>
  <c r="I524" i="6" s="1"/>
  <c r="H525" i="6"/>
  <c r="I525" i="6" s="1"/>
  <c r="H526" i="6"/>
  <c r="I526" i="6" s="1"/>
  <c r="H527" i="6"/>
  <c r="I527" i="6" s="1"/>
  <c r="H528" i="6"/>
  <c r="I528" i="6" s="1"/>
  <c r="H529" i="6"/>
  <c r="I529" i="6" s="1"/>
  <c r="H530" i="6"/>
  <c r="I530" i="6" s="1"/>
  <c r="H531" i="6"/>
  <c r="I531" i="6" s="1"/>
  <c r="H532" i="6"/>
  <c r="I532" i="6" s="1"/>
  <c r="H533" i="6"/>
  <c r="I533" i="6" s="1"/>
  <c r="H534" i="6"/>
  <c r="I534" i="6" s="1"/>
  <c r="H535" i="6"/>
  <c r="I535" i="6" s="1"/>
  <c r="H536" i="6"/>
  <c r="I536" i="6" s="1"/>
  <c r="H537" i="6"/>
  <c r="I537" i="6" s="1"/>
  <c r="H538" i="6"/>
  <c r="I538" i="6" s="1"/>
  <c r="H539" i="6"/>
  <c r="I539" i="6" s="1"/>
  <c r="H540" i="6"/>
  <c r="I540" i="6" s="1"/>
  <c r="H541" i="6"/>
  <c r="I541" i="6" s="1"/>
  <c r="H542" i="6"/>
  <c r="I542" i="6" s="1"/>
  <c r="H543" i="6"/>
  <c r="I543" i="6" s="1"/>
  <c r="H544" i="6"/>
  <c r="I544" i="6" s="1"/>
  <c r="H545" i="6"/>
  <c r="I545" i="6" s="1"/>
  <c r="H546" i="6"/>
  <c r="I546" i="6" s="1"/>
  <c r="H547" i="6"/>
  <c r="I547" i="6" s="1"/>
  <c r="H548" i="6"/>
  <c r="I548" i="6" s="1"/>
  <c r="H549" i="6"/>
  <c r="I549" i="6" s="1"/>
  <c r="H550" i="6"/>
  <c r="I550" i="6" s="1"/>
  <c r="H551" i="6"/>
  <c r="I551" i="6" s="1"/>
  <c r="H552" i="6"/>
  <c r="I552" i="6" s="1"/>
  <c r="H553" i="6"/>
  <c r="I553" i="6" s="1"/>
  <c r="H554" i="6"/>
  <c r="I554" i="6" s="1"/>
  <c r="H555" i="6"/>
  <c r="I555" i="6" s="1"/>
  <c r="H556" i="6"/>
  <c r="I556" i="6" s="1"/>
  <c r="H557" i="6"/>
  <c r="I557" i="6" s="1"/>
  <c r="H558" i="6"/>
  <c r="I558" i="6" s="1"/>
  <c r="H559" i="6"/>
  <c r="I559" i="6" s="1"/>
  <c r="H560" i="6"/>
  <c r="I560" i="6" s="1"/>
  <c r="H561" i="6"/>
  <c r="I561" i="6" s="1"/>
  <c r="H562" i="6"/>
  <c r="I562" i="6" s="1"/>
  <c r="H563" i="6"/>
  <c r="I563" i="6" s="1"/>
  <c r="H564" i="6"/>
  <c r="I564" i="6" s="1"/>
  <c r="H565" i="6"/>
  <c r="I565" i="6" s="1"/>
  <c r="H566" i="6"/>
  <c r="I566" i="6" s="1"/>
  <c r="H567" i="6"/>
  <c r="I567" i="6" s="1"/>
  <c r="H568" i="6"/>
  <c r="I568" i="6" s="1"/>
  <c r="H569" i="6"/>
  <c r="I569" i="6" s="1"/>
  <c r="H570" i="6"/>
  <c r="I570" i="6" s="1"/>
  <c r="H571" i="6"/>
  <c r="I571" i="6" s="1"/>
  <c r="H572" i="6"/>
  <c r="I572" i="6" s="1"/>
  <c r="H573" i="6"/>
  <c r="I573" i="6" s="1"/>
  <c r="H574" i="6"/>
  <c r="I574" i="6" s="1"/>
  <c r="H575" i="6"/>
  <c r="I575" i="6" s="1"/>
  <c r="H576" i="6"/>
  <c r="I576" i="6" s="1"/>
  <c r="H577" i="6"/>
  <c r="I577" i="6" s="1"/>
  <c r="H578" i="6"/>
  <c r="I578" i="6" s="1"/>
  <c r="H579" i="6"/>
  <c r="I579" i="6" s="1"/>
  <c r="H580" i="6"/>
  <c r="I580" i="6" s="1"/>
  <c r="H581" i="6"/>
  <c r="I581" i="6" s="1"/>
  <c r="H582" i="6"/>
  <c r="I582" i="6" s="1"/>
  <c r="H583" i="6"/>
  <c r="I583" i="6" s="1"/>
  <c r="H584" i="6"/>
  <c r="I584" i="6" s="1"/>
  <c r="H585" i="6"/>
  <c r="I585" i="6" s="1"/>
  <c r="H586" i="6"/>
  <c r="I586" i="6" s="1"/>
  <c r="H587" i="6"/>
  <c r="I587" i="6" s="1"/>
  <c r="H588" i="6"/>
  <c r="I588" i="6" s="1"/>
  <c r="H589" i="6"/>
  <c r="I589" i="6" s="1"/>
  <c r="H590" i="6"/>
  <c r="I590" i="6" s="1"/>
  <c r="H591" i="6"/>
  <c r="I591" i="6" s="1"/>
  <c r="H592" i="6"/>
  <c r="I592" i="6" s="1"/>
  <c r="H593" i="6"/>
  <c r="I593" i="6" s="1"/>
  <c r="H594" i="6"/>
  <c r="I594" i="6" s="1"/>
  <c r="H595" i="6"/>
  <c r="I595" i="6" s="1"/>
  <c r="H596" i="6"/>
  <c r="I596" i="6" s="1"/>
  <c r="H597" i="6"/>
  <c r="I597" i="6" s="1"/>
  <c r="H598" i="6"/>
  <c r="I598" i="6" s="1"/>
  <c r="H599" i="6"/>
  <c r="I599" i="6" s="1"/>
  <c r="H600" i="6"/>
  <c r="I600" i="6" s="1"/>
  <c r="H601" i="6"/>
  <c r="I601" i="6" s="1"/>
  <c r="H602" i="6"/>
  <c r="I602" i="6" s="1"/>
  <c r="H603" i="6"/>
  <c r="I603" i="6" s="1"/>
  <c r="H604" i="6"/>
  <c r="I604" i="6" s="1"/>
  <c r="H605" i="6"/>
  <c r="I605" i="6" s="1"/>
  <c r="H606" i="6"/>
  <c r="I606" i="6" s="1"/>
  <c r="H607" i="6"/>
  <c r="I607" i="6" s="1"/>
  <c r="H608" i="6"/>
  <c r="I608" i="6" s="1"/>
  <c r="H609" i="6"/>
  <c r="I609" i="6" s="1"/>
  <c r="H610" i="6"/>
  <c r="I610" i="6" s="1"/>
  <c r="H611" i="6"/>
  <c r="I611" i="6" s="1"/>
  <c r="H612" i="6"/>
  <c r="I612" i="6" s="1"/>
  <c r="H613" i="6"/>
  <c r="I613" i="6" s="1"/>
  <c r="H614" i="6"/>
  <c r="I614" i="6" s="1"/>
  <c r="H615" i="6"/>
  <c r="I615" i="6" s="1"/>
  <c r="H616" i="6"/>
  <c r="I616" i="6" s="1"/>
  <c r="H617" i="6"/>
  <c r="I617" i="6" s="1"/>
  <c r="H618" i="6"/>
  <c r="I618" i="6" s="1"/>
  <c r="H619" i="6"/>
  <c r="I619" i="6" s="1"/>
  <c r="H620" i="6"/>
  <c r="I620" i="6" s="1"/>
  <c r="H621" i="6"/>
  <c r="I621" i="6" s="1"/>
  <c r="H622" i="6"/>
  <c r="I622" i="6" s="1"/>
  <c r="H623" i="6"/>
  <c r="I623" i="6" s="1"/>
  <c r="H624" i="6"/>
  <c r="I624" i="6" s="1"/>
  <c r="H625" i="6"/>
  <c r="I625" i="6" s="1"/>
  <c r="H626" i="6"/>
  <c r="I626" i="6" s="1"/>
  <c r="H627" i="6"/>
  <c r="I627" i="6" s="1"/>
  <c r="H628" i="6"/>
  <c r="I628" i="6" s="1"/>
  <c r="H629" i="6"/>
  <c r="I629" i="6" s="1"/>
  <c r="H630" i="6"/>
  <c r="I630" i="6" s="1"/>
  <c r="H631" i="6"/>
  <c r="I631" i="6" s="1"/>
  <c r="H632" i="6"/>
  <c r="I632" i="6" s="1"/>
  <c r="H633" i="6"/>
  <c r="I633" i="6" s="1"/>
  <c r="H634" i="6"/>
  <c r="I634" i="6" s="1"/>
  <c r="H635" i="6"/>
  <c r="I635" i="6" s="1"/>
  <c r="H636" i="6"/>
  <c r="I636" i="6" s="1"/>
  <c r="H637" i="6"/>
  <c r="I637" i="6" s="1"/>
  <c r="H638" i="6"/>
  <c r="I638" i="6" s="1"/>
  <c r="H639" i="6"/>
  <c r="I639" i="6" s="1"/>
  <c r="H640" i="6"/>
  <c r="I640" i="6" s="1"/>
  <c r="H641" i="6"/>
  <c r="I641" i="6" s="1"/>
  <c r="H642" i="6"/>
  <c r="I642" i="6" s="1"/>
  <c r="H643" i="6"/>
  <c r="I643" i="6" s="1"/>
  <c r="H644" i="6"/>
  <c r="I644" i="6" s="1"/>
  <c r="H645" i="6"/>
  <c r="I645" i="6" s="1"/>
  <c r="H646" i="6"/>
  <c r="I646" i="6" s="1"/>
  <c r="H647" i="6"/>
  <c r="I647" i="6" s="1"/>
  <c r="H648" i="6"/>
  <c r="I648" i="6" s="1"/>
  <c r="H649" i="6"/>
  <c r="I649" i="6" s="1"/>
  <c r="H650" i="6"/>
  <c r="I650" i="6" s="1"/>
  <c r="H651" i="6"/>
  <c r="I651" i="6" s="1"/>
  <c r="H652" i="6"/>
  <c r="I652" i="6" s="1"/>
  <c r="H653" i="6"/>
  <c r="I653" i="6" s="1"/>
  <c r="H654" i="6"/>
  <c r="I654" i="6" s="1"/>
  <c r="H655" i="6"/>
  <c r="I655" i="6" s="1"/>
  <c r="H656" i="6"/>
  <c r="I656" i="6" s="1"/>
  <c r="H657" i="6"/>
  <c r="I657" i="6" s="1"/>
  <c r="H658" i="6"/>
  <c r="I658" i="6" s="1"/>
  <c r="H659" i="6"/>
  <c r="I659" i="6" s="1"/>
  <c r="H660" i="6"/>
  <c r="I660" i="6" s="1"/>
  <c r="H661" i="6"/>
  <c r="I661" i="6" s="1"/>
  <c r="H662" i="6"/>
  <c r="I662" i="6" s="1"/>
  <c r="H663" i="6"/>
  <c r="I663" i="6" s="1"/>
  <c r="H664" i="6"/>
  <c r="I664" i="6" s="1"/>
  <c r="H665" i="6"/>
  <c r="I665" i="6" s="1"/>
  <c r="H666" i="6"/>
  <c r="I666" i="6" s="1"/>
  <c r="H667" i="6"/>
  <c r="I667" i="6" s="1"/>
  <c r="H668" i="6"/>
  <c r="I668" i="6" s="1"/>
  <c r="H669" i="6"/>
  <c r="I669" i="6" s="1"/>
  <c r="H670" i="6"/>
  <c r="I670" i="6" s="1"/>
  <c r="H671" i="6"/>
  <c r="I671" i="6" s="1"/>
  <c r="H672" i="6"/>
  <c r="I672" i="6" s="1"/>
  <c r="H673" i="6"/>
  <c r="I673" i="6" s="1"/>
  <c r="H674" i="6"/>
  <c r="I674" i="6" s="1"/>
  <c r="H675" i="6"/>
  <c r="I675" i="6" s="1"/>
  <c r="H676" i="6"/>
  <c r="I676" i="6" s="1"/>
  <c r="H677" i="6"/>
  <c r="I677" i="6" s="1"/>
  <c r="H678" i="6"/>
  <c r="I678" i="6" s="1"/>
  <c r="H679" i="6"/>
  <c r="I679" i="6" s="1"/>
  <c r="H680" i="6"/>
  <c r="I680" i="6" s="1"/>
  <c r="H681" i="6"/>
  <c r="I681" i="6" s="1"/>
  <c r="H682" i="6"/>
  <c r="I682" i="6" s="1"/>
  <c r="H683" i="6"/>
  <c r="I683" i="6" s="1"/>
  <c r="H684" i="6"/>
  <c r="I684" i="6" s="1"/>
  <c r="H685" i="6"/>
  <c r="I685" i="6" s="1"/>
  <c r="H686" i="6"/>
  <c r="I686" i="6" s="1"/>
  <c r="H687" i="6"/>
  <c r="I687" i="6" s="1"/>
  <c r="H688" i="6"/>
  <c r="I688" i="6" s="1"/>
  <c r="H689" i="6"/>
  <c r="I689" i="6" s="1"/>
  <c r="H690" i="6"/>
  <c r="I690" i="6" s="1"/>
  <c r="H691" i="6"/>
  <c r="I691" i="6" s="1"/>
  <c r="H692" i="6"/>
  <c r="I692" i="6" s="1"/>
  <c r="H693" i="6"/>
  <c r="I693" i="6" s="1"/>
  <c r="H694" i="6"/>
  <c r="I694" i="6" s="1"/>
  <c r="H695" i="6"/>
  <c r="I695" i="6" s="1"/>
  <c r="H696" i="6"/>
  <c r="I696" i="6" s="1"/>
  <c r="H697" i="6"/>
  <c r="I697" i="6" s="1"/>
  <c r="H698" i="6"/>
  <c r="I698" i="6" s="1"/>
  <c r="H699" i="6"/>
  <c r="I699" i="6" s="1"/>
  <c r="H700" i="6"/>
  <c r="I700" i="6" s="1"/>
  <c r="H701" i="6"/>
  <c r="I701" i="6" s="1"/>
  <c r="H702" i="6"/>
  <c r="I702" i="6" s="1"/>
  <c r="H703" i="6"/>
  <c r="I703" i="6" s="1"/>
  <c r="H704" i="6"/>
  <c r="I704" i="6" s="1"/>
  <c r="H705" i="6"/>
  <c r="I705" i="6" s="1"/>
  <c r="H706" i="6"/>
  <c r="I706" i="6" s="1"/>
  <c r="H707" i="6"/>
  <c r="I707" i="6" s="1"/>
  <c r="H708" i="6"/>
  <c r="I708" i="6" s="1"/>
  <c r="H709" i="6"/>
  <c r="I709" i="6" s="1"/>
  <c r="H710" i="6"/>
  <c r="I710" i="6" s="1"/>
  <c r="H711" i="6"/>
  <c r="I711" i="6" s="1"/>
  <c r="H712" i="6"/>
  <c r="I712" i="6" s="1"/>
  <c r="H713" i="6"/>
  <c r="I713" i="6" s="1"/>
  <c r="H714" i="6"/>
  <c r="I714" i="6" s="1"/>
  <c r="H715" i="6"/>
  <c r="I715" i="6" s="1"/>
  <c r="H716" i="6"/>
  <c r="I716" i="6" s="1"/>
  <c r="H717" i="6"/>
  <c r="I717" i="6" s="1"/>
  <c r="H718" i="6"/>
  <c r="I718" i="6" s="1"/>
  <c r="H719" i="6"/>
  <c r="I719" i="6" s="1"/>
  <c r="H720" i="6"/>
  <c r="I720" i="6" s="1"/>
  <c r="H721" i="6"/>
  <c r="I721" i="6" s="1"/>
  <c r="H722" i="6"/>
  <c r="I722" i="6" s="1"/>
  <c r="H723" i="6"/>
  <c r="I723" i="6" s="1"/>
  <c r="H724" i="6"/>
  <c r="I724" i="6" s="1"/>
  <c r="H725" i="6"/>
  <c r="I725" i="6" s="1"/>
  <c r="H726" i="6"/>
  <c r="I726" i="6" s="1"/>
  <c r="H727" i="6"/>
  <c r="I727" i="6" s="1"/>
  <c r="H728" i="6"/>
  <c r="I728" i="6" s="1"/>
  <c r="H729" i="6"/>
  <c r="I729" i="6" s="1"/>
  <c r="H730" i="6"/>
  <c r="I730" i="6" s="1"/>
  <c r="H731" i="6"/>
  <c r="I731" i="6" s="1"/>
  <c r="H732" i="6"/>
  <c r="I732" i="6" s="1"/>
  <c r="H733" i="6"/>
  <c r="I733" i="6" s="1"/>
  <c r="H734" i="6"/>
  <c r="I734" i="6" s="1"/>
  <c r="H735" i="6"/>
  <c r="I735" i="6" s="1"/>
  <c r="H736" i="6"/>
  <c r="I736" i="6" s="1"/>
  <c r="H737" i="6"/>
  <c r="I737" i="6" s="1"/>
  <c r="H738" i="6"/>
  <c r="I738" i="6" s="1"/>
  <c r="H739" i="6"/>
  <c r="I739" i="6" s="1"/>
  <c r="H740" i="6"/>
  <c r="I740" i="6" s="1"/>
  <c r="H741" i="6"/>
  <c r="I741" i="6" s="1"/>
  <c r="H742" i="6"/>
  <c r="I742" i="6" s="1"/>
  <c r="H743" i="6"/>
  <c r="I743" i="6" s="1"/>
  <c r="H744" i="6"/>
  <c r="I744" i="6" s="1"/>
  <c r="H745" i="6"/>
  <c r="I745" i="6" s="1"/>
  <c r="H746" i="6"/>
  <c r="I746" i="6" s="1"/>
  <c r="H747" i="6"/>
  <c r="I747" i="6" s="1"/>
  <c r="H748" i="6"/>
  <c r="I748" i="6" s="1"/>
  <c r="H749" i="6"/>
  <c r="I749" i="6" s="1"/>
  <c r="H750" i="6"/>
  <c r="I750" i="6" s="1"/>
  <c r="H751" i="6"/>
  <c r="I751" i="6" s="1"/>
  <c r="H752" i="6"/>
  <c r="I752" i="6" s="1"/>
  <c r="H753" i="6"/>
  <c r="I753" i="6" s="1"/>
  <c r="H754" i="6"/>
  <c r="I754" i="6" s="1"/>
  <c r="H755" i="6"/>
  <c r="I755" i="6" s="1"/>
  <c r="H756" i="6"/>
  <c r="I756" i="6" s="1"/>
  <c r="H757" i="6"/>
  <c r="I757" i="6" s="1"/>
  <c r="H758" i="6"/>
  <c r="I758" i="6" s="1"/>
  <c r="H759" i="6"/>
  <c r="I759" i="6" s="1"/>
  <c r="H760" i="6"/>
  <c r="I760" i="6" s="1"/>
  <c r="H761" i="6"/>
  <c r="I761" i="6" s="1"/>
  <c r="H762" i="6"/>
  <c r="I762" i="6" s="1"/>
  <c r="H763" i="6"/>
  <c r="I763" i="6" s="1"/>
  <c r="H764" i="6"/>
  <c r="I764" i="6" s="1"/>
  <c r="H765" i="6"/>
  <c r="I765" i="6" s="1"/>
  <c r="H766" i="6"/>
  <c r="I766" i="6" s="1"/>
  <c r="H767" i="6"/>
  <c r="I767" i="6" s="1"/>
  <c r="H768" i="6"/>
  <c r="I768" i="6" s="1"/>
  <c r="H769" i="6"/>
  <c r="I769" i="6" s="1"/>
  <c r="H770" i="6"/>
  <c r="I770" i="6" s="1"/>
  <c r="H771" i="6"/>
  <c r="I771" i="6" s="1"/>
  <c r="H772" i="6"/>
  <c r="I772" i="6" s="1"/>
  <c r="H773" i="6"/>
  <c r="I773" i="6" s="1"/>
  <c r="H774" i="6"/>
  <c r="I774" i="6" s="1"/>
  <c r="H775" i="6"/>
  <c r="I775" i="6" s="1"/>
  <c r="H776" i="6"/>
  <c r="I776" i="6" s="1"/>
  <c r="H777" i="6"/>
  <c r="I777" i="6" s="1"/>
  <c r="H778" i="6"/>
  <c r="I778" i="6" s="1"/>
  <c r="H779" i="6"/>
  <c r="I779" i="6" s="1"/>
  <c r="H780" i="6"/>
  <c r="I780" i="6" s="1"/>
  <c r="H781" i="6"/>
  <c r="I781" i="6" s="1"/>
  <c r="H782" i="6"/>
  <c r="I782" i="6" s="1"/>
  <c r="H783" i="6"/>
  <c r="I783" i="6" s="1"/>
  <c r="H784" i="6"/>
  <c r="I784" i="6" s="1"/>
  <c r="H785" i="6"/>
  <c r="I785" i="6" s="1"/>
  <c r="H786" i="6"/>
  <c r="I786" i="6" s="1"/>
  <c r="H787" i="6"/>
  <c r="I787" i="6" s="1"/>
  <c r="H788" i="6"/>
  <c r="I788" i="6" s="1"/>
  <c r="H789" i="6"/>
  <c r="I789" i="6" s="1"/>
  <c r="H790" i="6"/>
  <c r="I790" i="6" s="1"/>
  <c r="H791" i="6"/>
  <c r="I791" i="6" s="1"/>
  <c r="H792" i="6"/>
  <c r="I792" i="6" s="1"/>
  <c r="H793" i="6"/>
  <c r="I793" i="6" s="1"/>
  <c r="H794" i="6"/>
  <c r="I794" i="6" s="1"/>
  <c r="H795" i="6"/>
  <c r="I795" i="6" s="1"/>
  <c r="H796" i="6"/>
  <c r="I796" i="6" s="1"/>
  <c r="H797" i="6"/>
  <c r="I797" i="6" s="1"/>
  <c r="H798" i="6"/>
  <c r="I798" i="6" s="1"/>
  <c r="H799" i="6"/>
  <c r="I799" i="6" s="1"/>
  <c r="H800" i="6"/>
  <c r="I800" i="6" s="1"/>
  <c r="H801" i="6"/>
  <c r="I801" i="6" s="1"/>
  <c r="H802" i="6"/>
  <c r="I802" i="6" s="1"/>
  <c r="H803" i="6"/>
  <c r="I803" i="6" s="1"/>
  <c r="H804" i="6"/>
  <c r="I804" i="6" s="1"/>
  <c r="H805" i="6"/>
  <c r="I805" i="6" s="1"/>
  <c r="H806" i="6"/>
  <c r="I806" i="6" s="1"/>
  <c r="H807" i="6"/>
  <c r="I807" i="6" s="1"/>
  <c r="H808" i="6"/>
  <c r="I808" i="6" s="1"/>
  <c r="H809" i="6"/>
  <c r="I809" i="6" s="1"/>
  <c r="H810" i="6"/>
  <c r="I810" i="6" s="1"/>
  <c r="H811" i="6"/>
  <c r="I811" i="6" s="1"/>
  <c r="H812" i="6"/>
  <c r="I812" i="6" s="1"/>
  <c r="H813" i="6"/>
  <c r="I813" i="6" s="1"/>
  <c r="H814" i="6"/>
  <c r="I814" i="6" s="1"/>
  <c r="H815" i="6"/>
  <c r="I815" i="6" s="1"/>
  <c r="H816" i="6"/>
  <c r="I816" i="6" s="1"/>
  <c r="H817" i="6"/>
  <c r="I817" i="6" s="1"/>
  <c r="H818" i="6"/>
  <c r="I818" i="6" s="1"/>
  <c r="H819" i="6"/>
  <c r="I819" i="6" s="1"/>
  <c r="H820" i="6"/>
  <c r="I820" i="6" s="1"/>
  <c r="H821" i="6"/>
  <c r="I821" i="6" s="1"/>
  <c r="H822" i="6"/>
  <c r="I822" i="6" s="1"/>
  <c r="H823" i="6"/>
  <c r="I823" i="6" s="1"/>
  <c r="H824" i="6"/>
  <c r="I824" i="6" s="1"/>
  <c r="H825" i="6"/>
  <c r="I825" i="6" s="1"/>
  <c r="H826" i="6"/>
  <c r="I826" i="6" s="1"/>
  <c r="H827" i="6"/>
  <c r="I827" i="6" s="1"/>
  <c r="H828" i="6"/>
  <c r="I828" i="6" s="1"/>
  <c r="H829" i="6"/>
  <c r="I829" i="6" s="1"/>
  <c r="H830" i="6"/>
  <c r="I830" i="6" s="1"/>
  <c r="H831" i="6"/>
  <c r="I831" i="6" s="1"/>
  <c r="H832" i="6"/>
  <c r="I832" i="6" s="1"/>
  <c r="H833" i="6"/>
  <c r="I833" i="6" s="1"/>
  <c r="H834" i="6"/>
  <c r="I834" i="6" s="1"/>
  <c r="H835" i="6"/>
  <c r="I835" i="6" s="1"/>
  <c r="H836" i="6"/>
  <c r="I836" i="6" s="1"/>
  <c r="H837" i="6"/>
  <c r="I837" i="6" s="1"/>
  <c r="H838" i="6"/>
  <c r="I838" i="6" s="1"/>
  <c r="H839" i="6"/>
  <c r="I839" i="6" s="1"/>
  <c r="H840" i="6"/>
  <c r="I840" i="6" s="1"/>
  <c r="H841" i="6"/>
  <c r="I841" i="6" s="1"/>
  <c r="H842" i="6"/>
  <c r="I842" i="6" s="1"/>
  <c r="H843" i="6"/>
  <c r="I843" i="6" s="1"/>
  <c r="H844" i="6"/>
  <c r="I844" i="6" s="1"/>
  <c r="H845" i="6"/>
  <c r="I845" i="6" s="1"/>
  <c r="H846" i="6"/>
  <c r="I846" i="6" s="1"/>
  <c r="H847" i="6"/>
  <c r="I847" i="6" s="1"/>
  <c r="H848" i="6"/>
  <c r="I848" i="6" s="1"/>
  <c r="H849" i="6"/>
  <c r="I849" i="6" s="1"/>
  <c r="H850" i="6"/>
  <c r="I850" i="6" s="1"/>
  <c r="H851" i="6"/>
  <c r="I851" i="6" s="1"/>
  <c r="H852" i="6"/>
  <c r="I852" i="6" s="1"/>
  <c r="H853" i="6"/>
  <c r="I853" i="6" s="1"/>
  <c r="H854" i="6"/>
  <c r="I854" i="6" s="1"/>
  <c r="H855" i="6"/>
  <c r="I855" i="6" s="1"/>
  <c r="H856" i="6"/>
  <c r="I856" i="6" s="1"/>
  <c r="H857" i="6"/>
  <c r="I857" i="6" s="1"/>
  <c r="H858" i="6"/>
  <c r="I858" i="6" s="1"/>
  <c r="H859" i="6"/>
  <c r="I859" i="6" s="1"/>
  <c r="H860" i="6"/>
  <c r="I860" i="6" s="1"/>
  <c r="H861" i="6"/>
  <c r="I861" i="6" s="1"/>
  <c r="H862" i="6"/>
  <c r="I862" i="6" s="1"/>
  <c r="H863" i="6"/>
  <c r="I863" i="6" s="1"/>
  <c r="H864" i="6"/>
  <c r="I864" i="6" s="1"/>
  <c r="H865" i="6"/>
  <c r="I865" i="6" s="1"/>
  <c r="H866" i="6"/>
  <c r="I866" i="6" s="1"/>
  <c r="H867" i="6"/>
  <c r="I867" i="6" s="1"/>
  <c r="H868" i="6"/>
  <c r="I868" i="6" s="1"/>
  <c r="H869" i="6"/>
  <c r="I869" i="6" s="1"/>
  <c r="H870" i="6"/>
  <c r="I870" i="6" s="1"/>
  <c r="H871" i="6"/>
  <c r="I871" i="6" s="1"/>
  <c r="H872" i="6"/>
  <c r="I872" i="6" s="1"/>
  <c r="H873" i="6"/>
  <c r="I873" i="6" s="1"/>
  <c r="H874" i="6"/>
  <c r="I874" i="6" s="1"/>
  <c r="H875" i="6"/>
  <c r="I875" i="6" s="1"/>
  <c r="H876" i="6"/>
  <c r="I876" i="6" s="1"/>
  <c r="H877" i="6"/>
  <c r="I877" i="6" s="1"/>
  <c r="H878" i="6"/>
  <c r="I878" i="6" s="1"/>
  <c r="H879" i="6"/>
  <c r="I879" i="6" s="1"/>
  <c r="H880" i="6"/>
  <c r="I880" i="6" s="1"/>
  <c r="H881" i="6"/>
  <c r="I881" i="6" s="1"/>
  <c r="H882" i="6"/>
  <c r="I882" i="6" s="1"/>
  <c r="H883" i="6"/>
  <c r="I883" i="6" s="1"/>
  <c r="H884" i="6"/>
  <c r="I884" i="6" s="1"/>
  <c r="H885" i="6"/>
  <c r="I885" i="6" s="1"/>
  <c r="H886" i="6"/>
  <c r="I886" i="6" s="1"/>
  <c r="H887" i="6"/>
  <c r="I887" i="6" s="1"/>
  <c r="H888" i="6"/>
  <c r="I888" i="6" s="1"/>
  <c r="H889" i="6"/>
  <c r="I889" i="6" s="1"/>
  <c r="H890" i="6"/>
  <c r="I890" i="6" s="1"/>
  <c r="H891" i="6"/>
  <c r="I891" i="6" s="1"/>
  <c r="H892" i="6"/>
  <c r="I892" i="6" s="1"/>
  <c r="H893" i="6"/>
  <c r="I893" i="6" s="1"/>
  <c r="H894" i="6"/>
  <c r="I894" i="6" s="1"/>
  <c r="H895" i="6"/>
  <c r="I895" i="6" s="1"/>
  <c r="H896" i="6"/>
  <c r="I896" i="6" s="1"/>
  <c r="H897" i="6"/>
  <c r="I897" i="6" s="1"/>
  <c r="H898" i="6"/>
  <c r="I898" i="6" s="1"/>
  <c r="H899" i="6"/>
  <c r="I899" i="6" s="1"/>
  <c r="H900" i="6"/>
  <c r="I900" i="6" s="1"/>
  <c r="H901" i="6"/>
  <c r="I901" i="6" s="1"/>
  <c r="H902" i="6"/>
  <c r="I902" i="6" s="1"/>
  <c r="H903" i="6"/>
  <c r="I903" i="6" s="1"/>
  <c r="H904" i="6"/>
  <c r="I904" i="6" s="1"/>
  <c r="H905" i="6"/>
  <c r="I905" i="6" s="1"/>
  <c r="H906" i="6"/>
  <c r="I906" i="6" s="1"/>
  <c r="H907" i="6"/>
  <c r="I907" i="6" s="1"/>
  <c r="H908" i="6"/>
  <c r="I908" i="6" s="1"/>
  <c r="H909" i="6"/>
  <c r="I909" i="6" s="1"/>
  <c r="H910" i="6"/>
  <c r="I910" i="6" s="1"/>
  <c r="H911" i="6"/>
  <c r="I911" i="6" s="1"/>
  <c r="H912" i="6"/>
  <c r="I912" i="6" s="1"/>
  <c r="H913" i="6"/>
  <c r="I913" i="6" s="1"/>
  <c r="H914" i="6"/>
  <c r="I914" i="6" s="1"/>
  <c r="H915" i="6"/>
  <c r="I915" i="6" s="1"/>
  <c r="H916" i="6"/>
  <c r="I916" i="6" s="1"/>
  <c r="H917" i="6"/>
  <c r="I917" i="6" s="1"/>
  <c r="H918" i="6"/>
  <c r="I918" i="6" s="1"/>
  <c r="H919" i="6"/>
  <c r="I919" i="6" s="1"/>
  <c r="H920" i="6"/>
  <c r="I920" i="6" s="1"/>
  <c r="H921" i="6"/>
  <c r="I921" i="6" s="1"/>
  <c r="H922" i="6"/>
  <c r="I922" i="6" s="1"/>
  <c r="H923" i="6"/>
  <c r="I923" i="6" s="1"/>
  <c r="H924" i="6"/>
  <c r="I924" i="6" s="1"/>
  <c r="H925" i="6"/>
  <c r="I925" i="6" s="1"/>
  <c r="H926" i="6"/>
  <c r="I926" i="6" s="1"/>
  <c r="H927" i="6"/>
  <c r="I927" i="6" s="1"/>
  <c r="H928" i="6"/>
  <c r="I928" i="6" s="1"/>
  <c r="H929" i="6"/>
  <c r="I929" i="6" s="1"/>
  <c r="H930" i="6"/>
  <c r="I930" i="6" s="1"/>
  <c r="H931" i="6"/>
  <c r="I931" i="6" s="1"/>
  <c r="H932" i="6"/>
  <c r="I932" i="6" s="1"/>
  <c r="H933" i="6"/>
  <c r="I933" i="6" s="1"/>
  <c r="H934" i="6"/>
  <c r="I934" i="6" s="1"/>
  <c r="H935" i="6"/>
  <c r="I935" i="6" s="1"/>
  <c r="H936" i="6"/>
  <c r="I936" i="6" s="1"/>
  <c r="H937" i="6"/>
  <c r="I937" i="6" s="1"/>
  <c r="H938" i="6"/>
  <c r="I938" i="6" s="1"/>
  <c r="H939" i="6"/>
  <c r="I939" i="6" s="1"/>
  <c r="H940" i="6"/>
  <c r="I940" i="6" s="1"/>
  <c r="H941" i="6"/>
  <c r="I941" i="6" s="1"/>
  <c r="H942" i="6"/>
  <c r="I942" i="6" s="1"/>
  <c r="H943" i="6"/>
  <c r="I943" i="6" s="1"/>
  <c r="H944" i="6"/>
  <c r="I944" i="6" s="1"/>
  <c r="H945" i="6"/>
  <c r="I945" i="6" s="1"/>
  <c r="H946" i="6"/>
  <c r="I946" i="6" s="1"/>
  <c r="H947" i="6"/>
  <c r="I947" i="6" s="1"/>
  <c r="H948" i="6"/>
  <c r="I948" i="6" s="1"/>
  <c r="H949" i="6"/>
  <c r="I949" i="6" s="1"/>
  <c r="H950" i="6"/>
  <c r="I950" i="6" s="1"/>
  <c r="H951" i="6"/>
  <c r="I951" i="6" s="1"/>
  <c r="H952" i="6"/>
  <c r="I952" i="6" s="1"/>
  <c r="H953" i="6"/>
  <c r="I953" i="6" s="1"/>
  <c r="H954" i="6"/>
  <c r="I954" i="6" s="1"/>
  <c r="H955" i="6"/>
  <c r="I955" i="6" s="1"/>
  <c r="H956" i="6"/>
  <c r="I956" i="6" s="1"/>
  <c r="H957" i="6"/>
  <c r="I957" i="6" s="1"/>
  <c r="H958" i="6"/>
  <c r="I958" i="6" s="1"/>
  <c r="H959" i="6"/>
  <c r="I959" i="6" s="1"/>
  <c r="H960" i="6"/>
  <c r="I960" i="6" s="1"/>
  <c r="H961" i="6"/>
  <c r="I961" i="6" s="1"/>
  <c r="H962" i="6"/>
  <c r="I962" i="6" s="1"/>
  <c r="H963" i="6"/>
  <c r="I963" i="6" s="1"/>
  <c r="H964" i="6"/>
  <c r="I964" i="6" s="1"/>
  <c r="H965" i="6"/>
  <c r="I965" i="6" s="1"/>
  <c r="H966" i="6"/>
  <c r="I966" i="6" s="1"/>
  <c r="H967" i="6"/>
  <c r="I967" i="6" s="1"/>
  <c r="H968" i="6"/>
  <c r="I968" i="6" s="1"/>
  <c r="H969" i="6"/>
  <c r="I969" i="6" s="1"/>
  <c r="H970" i="6"/>
  <c r="I970" i="6" s="1"/>
  <c r="H971" i="6"/>
  <c r="I971" i="6" s="1"/>
  <c r="H972" i="6"/>
  <c r="I972" i="6" s="1"/>
  <c r="H973" i="6"/>
  <c r="I973" i="6" s="1"/>
  <c r="H974" i="6"/>
  <c r="I974" i="6" s="1"/>
  <c r="H975" i="6"/>
  <c r="I975" i="6" s="1"/>
  <c r="H976" i="6"/>
  <c r="I976" i="6" s="1"/>
  <c r="H977" i="6"/>
  <c r="I977" i="6" s="1"/>
  <c r="H978" i="6"/>
  <c r="I978" i="6" s="1"/>
  <c r="H979" i="6"/>
  <c r="I979" i="6" s="1"/>
  <c r="H980" i="6"/>
  <c r="I980" i="6" s="1"/>
  <c r="H981" i="6"/>
  <c r="I981" i="6" s="1"/>
  <c r="H982" i="6"/>
  <c r="I982" i="6" s="1"/>
  <c r="H983" i="6"/>
  <c r="I983" i="6" s="1"/>
  <c r="H984" i="6"/>
  <c r="I984" i="6" s="1"/>
  <c r="H985" i="6"/>
  <c r="I985" i="6" s="1"/>
  <c r="H986" i="6"/>
  <c r="I986" i="6" s="1"/>
  <c r="H987" i="6"/>
  <c r="I987" i="6" s="1"/>
  <c r="H988" i="6"/>
  <c r="I988" i="6" s="1"/>
  <c r="H989" i="6"/>
  <c r="I989" i="6" s="1"/>
  <c r="H990" i="6"/>
  <c r="I990" i="6" s="1"/>
  <c r="H991" i="6"/>
  <c r="I991" i="6" s="1"/>
  <c r="H992" i="6"/>
  <c r="I992" i="6" s="1"/>
  <c r="H993" i="6"/>
  <c r="I993" i="6" s="1"/>
  <c r="H994" i="6"/>
  <c r="I994" i="6" s="1"/>
  <c r="H995" i="6"/>
  <c r="I995" i="6" s="1"/>
  <c r="H996" i="6"/>
  <c r="I996" i="6" s="1"/>
  <c r="H997" i="6"/>
  <c r="I997" i="6" s="1"/>
  <c r="H998" i="6"/>
  <c r="I998" i="6" s="1"/>
  <c r="H999" i="6"/>
  <c r="I999" i="6" s="1"/>
  <c r="H1000" i="6"/>
  <c r="I1000" i="6" s="1"/>
  <c r="H1001" i="6"/>
  <c r="I1001" i="6" s="1"/>
  <c r="H1002" i="6"/>
  <c r="I1002" i="6" s="1"/>
  <c r="H1003" i="6"/>
  <c r="I1003" i="6" s="1"/>
  <c r="H1004" i="6"/>
  <c r="I1004" i="6" s="1"/>
  <c r="H1005" i="6"/>
  <c r="I1005" i="6" s="1"/>
  <c r="H1006" i="6"/>
  <c r="I1006" i="6" s="1"/>
  <c r="H1007" i="6"/>
  <c r="I1007" i="6" s="1"/>
  <c r="H1008" i="6"/>
  <c r="I1008" i="6" s="1"/>
  <c r="H1009" i="6"/>
  <c r="I1009" i="6" s="1"/>
  <c r="H1010" i="6"/>
  <c r="I1010" i="6" s="1"/>
  <c r="H1011" i="6"/>
  <c r="I1011" i="6" s="1"/>
  <c r="H1012" i="6"/>
  <c r="I1012" i="6" s="1"/>
  <c r="H1013" i="6"/>
  <c r="I1013" i="6" s="1"/>
  <c r="H1014" i="6"/>
  <c r="I1014" i="6" s="1"/>
  <c r="H1015" i="6"/>
  <c r="I1015" i="6" s="1"/>
  <c r="H1016" i="6"/>
  <c r="I1016" i="6" s="1"/>
  <c r="H1017" i="6"/>
  <c r="I1017" i="6" s="1"/>
  <c r="H1018" i="6"/>
  <c r="I1018" i="6" s="1"/>
  <c r="H1019" i="6"/>
  <c r="I1019" i="6" s="1"/>
  <c r="H1020" i="6"/>
  <c r="I1020" i="6" s="1"/>
  <c r="H1021" i="6"/>
  <c r="I1021" i="6" s="1"/>
  <c r="H1022" i="6"/>
  <c r="I1022" i="6" s="1"/>
  <c r="H1023" i="6"/>
  <c r="I1023" i="6" s="1"/>
  <c r="H1024" i="6"/>
  <c r="I1024" i="6" s="1"/>
  <c r="H1025" i="6"/>
  <c r="I1025" i="6" s="1"/>
  <c r="H1026" i="6"/>
  <c r="I1026" i="6" s="1"/>
  <c r="H1027" i="6"/>
  <c r="I1027" i="6" s="1"/>
  <c r="H1028" i="6"/>
  <c r="I1028" i="6" s="1"/>
  <c r="H1029" i="6"/>
  <c r="I1029" i="6" s="1"/>
  <c r="H1030" i="6"/>
  <c r="I1030" i="6" s="1"/>
  <c r="H1031" i="6"/>
  <c r="I1031" i="6" s="1"/>
  <c r="H1032" i="6"/>
  <c r="I1032" i="6" s="1"/>
  <c r="H1033" i="6"/>
  <c r="I1033" i="6" s="1"/>
  <c r="H1034" i="6"/>
  <c r="I1034" i="6" s="1"/>
  <c r="H1035" i="6"/>
  <c r="I1035" i="6" s="1"/>
  <c r="H1036" i="6"/>
  <c r="I1036" i="6" s="1"/>
  <c r="H1037" i="6"/>
  <c r="I1037" i="6" s="1"/>
  <c r="H1038" i="6"/>
  <c r="I1038" i="6" s="1"/>
  <c r="H1039" i="6"/>
  <c r="I1039" i="6" s="1"/>
  <c r="H1040" i="6"/>
  <c r="I1040" i="6" s="1"/>
  <c r="H1041" i="6"/>
  <c r="I1041" i="6" s="1"/>
  <c r="H1042" i="6"/>
  <c r="I1042" i="6" s="1"/>
  <c r="H1043" i="6"/>
  <c r="I1043" i="6" s="1"/>
  <c r="H1044" i="6"/>
  <c r="I1044" i="6" s="1"/>
  <c r="H1045" i="6"/>
  <c r="I1045" i="6" s="1"/>
  <c r="H1046" i="6"/>
  <c r="I1046" i="6" s="1"/>
  <c r="H1047" i="6"/>
  <c r="I1047" i="6" s="1"/>
  <c r="H1048" i="6"/>
  <c r="I1048" i="6" s="1"/>
  <c r="H1049" i="6"/>
  <c r="I1049" i="6" s="1"/>
  <c r="H1050" i="6"/>
  <c r="I1050" i="6" s="1"/>
  <c r="H1051" i="6"/>
  <c r="I1051" i="6" s="1"/>
  <c r="H1052" i="6"/>
  <c r="I1052" i="6" s="1"/>
  <c r="H1053" i="6"/>
  <c r="I1053" i="6" s="1"/>
  <c r="H1054" i="6"/>
  <c r="I1054" i="6" s="1"/>
  <c r="H1055" i="6"/>
  <c r="I1055" i="6" s="1"/>
  <c r="H1056" i="6"/>
  <c r="I1056" i="6" s="1"/>
  <c r="H1057" i="6"/>
  <c r="I1057" i="6" s="1"/>
  <c r="H1058" i="6"/>
  <c r="I1058" i="6" s="1"/>
  <c r="H1059" i="6"/>
  <c r="I1059" i="6" s="1"/>
  <c r="H1060" i="6"/>
  <c r="I1060" i="6" s="1"/>
  <c r="H1061" i="6"/>
  <c r="I1061" i="6" s="1"/>
  <c r="H1062" i="6"/>
  <c r="I1062" i="6" s="1"/>
  <c r="H1063" i="6"/>
  <c r="I1063" i="6" s="1"/>
  <c r="H1064" i="6"/>
  <c r="I1064" i="6" s="1"/>
  <c r="H1065" i="6"/>
  <c r="I1065" i="6" s="1"/>
  <c r="H1066" i="6"/>
  <c r="I1066" i="6" s="1"/>
  <c r="H1067" i="6"/>
  <c r="I1067" i="6" s="1"/>
  <c r="H1068" i="6"/>
  <c r="I1068" i="6" s="1"/>
  <c r="H1069" i="6"/>
  <c r="I1069" i="6" s="1"/>
  <c r="H1070" i="6"/>
  <c r="I1070" i="6" s="1"/>
  <c r="H1071" i="6"/>
  <c r="I1071" i="6" s="1"/>
  <c r="H1072" i="6"/>
  <c r="I1072" i="6" s="1"/>
  <c r="H1073" i="6"/>
  <c r="I1073" i="6" s="1"/>
  <c r="H1074" i="6"/>
  <c r="I1074" i="6" s="1"/>
  <c r="H1075" i="6"/>
  <c r="I1075" i="6" s="1"/>
  <c r="H1076" i="6"/>
  <c r="I1076" i="6" s="1"/>
  <c r="H1077" i="6"/>
  <c r="I1077" i="6" s="1"/>
  <c r="H1078" i="6"/>
  <c r="I1078" i="6" s="1"/>
  <c r="H1079" i="6"/>
  <c r="I1079" i="6" s="1"/>
  <c r="H1080" i="6"/>
  <c r="I1080" i="6" s="1"/>
  <c r="H1081" i="6"/>
  <c r="I1081" i="6" s="1"/>
  <c r="H1082" i="6"/>
  <c r="I1082" i="6" s="1"/>
  <c r="H1083" i="6"/>
  <c r="I1083" i="6" s="1"/>
  <c r="H1084" i="6"/>
  <c r="I1084" i="6" s="1"/>
  <c r="H1085" i="6"/>
  <c r="I1085" i="6" s="1"/>
  <c r="H1086" i="6"/>
  <c r="I1086" i="6" s="1"/>
  <c r="H1087" i="6"/>
  <c r="I1087" i="6" s="1"/>
  <c r="H1088" i="6"/>
  <c r="I1088" i="6" s="1"/>
  <c r="H1089" i="6"/>
  <c r="I1089" i="6" s="1"/>
  <c r="H1090" i="6"/>
  <c r="I1090" i="6" s="1"/>
  <c r="H1091" i="6"/>
  <c r="I1091" i="6" s="1"/>
  <c r="H1092" i="6"/>
  <c r="I1092" i="6" s="1"/>
  <c r="H1093" i="6"/>
  <c r="I1093" i="6" s="1"/>
  <c r="H1094" i="6"/>
  <c r="I1094" i="6" s="1"/>
  <c r="H1095" i="6"/>
  <c r="I1095" i="6" s="1"/>
  <c r="H1096" i="6"/>
  <c r="I1096" i="6" s="1"/>
  <c r="H1097" i="6"/>
  <c r="I1097" i="6" s="1"/>
  <c r="H1098" i="6"/>
  <c r="I1098" i="6" s="1"/>
  <c r="H1099" i="6"/>
  <c r="I1099" i="6" s="1"/>
  <c r="H1100" i="6"/>
  <c r="I1100" i="6" s="1"/>
  <c r="H1101" i="6"/>
  <c r="I1101" i="6" s="1"/>
  <c r="H1102" i="6"/>
  <c r="I1102" i="6" s="1"/>
  <c r="H1103" i="6"/>
  <c r="I1103" i="6" s="1"/>
  <c r="H1104" i="6"/>
  <c r="I1104" i="6" s="1"/>
  <c r="H1105" i="6"/>
  <c r="I1105" i="6" s="1"/>
  <c r="H1106" i="6"/>
  <c r="I1106" i="6" s="1"/>
  <c r="H1107" i="6"/>
  <c r="I1107" i="6" s="1"/>
  <c r="H1108" i="6"/>
  <c r="I1108" i="6" s="1"/>
  <c r="H1109" i="6"/>
  <c r="I1109" i="6" s="1"/>
  <c r="H1110" i="6"/>
  <c r="I1110" i="6" s="1"/>
  <c r="H1111" i="6"/>
  <c r="I1111" i="6" s="1"/>
  <c r="H1112" i="6"/>
  <c r="I1112" i="6" s="1"/>
  <c r="H1113" i="6"/>
  <c r="I1113" i="6" s="1"/>
  <c r="H1114" i="6"/>
  <c r="I1114" i="6" s="1"/>
  <c r="H1115" i="6"/>
  <c r="I1115" i="6" s="1"/>
  <c r="H1116" i="6"/>
  <c r="I1116" i="6" s="1"/>
  <c r="H1117" i="6"/>
  <c r="I1117" i="6" s="1"/>
  <c r="H1118" i="6"/>
  <c r="I1118" i="6" s="1"/>
  <c r="H1119" i="6"/>
  <c r="I1119" i="6" s="1"/>
  <c r="H1120" i="6"/>
  <c r="I1120" i="6" s="1"/>
  <c r="H1121" i="6"/>
  <c r="I1121" i="6" s="1"/>
  <c r="H1122" i="6"/>
  <c r="I1122" i="6" s="1"/>
  <c r="H1123" i="6"/>
  <c r="I1123" i="6" s="1"/>
  <c r="H1124" i="6"/>
  <c r="I1124" i="6" s="1"/>
  <c r="H1125" i="6"/>
  <c r="I1125" i="6" s="1"/>
  <c r="H1126" i="6"/>
  <c r="I1126" i="6" s="1"/>
  <c r="H1127" i="6"/>
  <c r="I1127" i="6" s="1"/>
  <c r="H1128" i="6"/>
  <c r="I1128" i="6" s="1"/>
  <c r="H1129" i="6"/>
  <c r="I1129" i="6" s="1"/>
  <c r="H1130" i="6"/>
  <c r="I1130" i="6" s="1"/>
  <c r="H1131" i="6"/>
  <c r="I1131" i="6" s="1"/>
  <c r="H1132" i="6"/>
  <c r="I1132" i="6" s="1"/>
  <c r="H1133" i="6"/>
  <c r="I1133" i="6" s="1"/>
  <c r="H1134" i="6"/>
  <c r="I1134" i="6" s="1"/>
  <c r="H1135" i="6"/>
  <c r="I1135" i="6" s="1"/>
  <c r="H1136" i="6"/>
  <c r="I1136" i="6" s="1"/>
  <c r="H1137" i="6"/>
  <c r="I1137" i="6" s="1"/>
  <c r="H1138" i="6"/>
  <c r="I1138" i="6" s="1"/>
  <c r="H1139" i="6"/>
  <c r="I1139" i="6" s="1"/>
  <c r="H1140" i="6"/>
  <c r="I1140" i="6" s="1"/>
  <c r="H1141" i="6"/>
  <c r="I1141" i="6" s="1"/>
  <c r="H1142" i="6"/>
  <c r="I1142" i="6" s="1"/>
  <c r="H1143" i="6"/>
  <c r="I1143" i="6" s="1"/>
  <c r="H1144" i="6"/>
  <c r="I1144" i="6" s="1"/>
  <c r="H1145" i="6"/>
  <c r="I1145" i="6" s="1"/>
  <c r="H1146" i="6"/>
  <c r="I1146" i="6" s="1"/>
  <c r="H1147" i="6"/>
  <c r="I1147" i="6" s="1"/>
  <c r="H1148" i="6"/>
  <c r="I1148" i="6" s="1"/>
  <c r="H1149" i="6"/>
  <c r="I1149" i="6" s="1"/>
  <c r="H1150" i="6"/>
  <c r="I1150" i="6" s="1"/>
  <c r="H1151" i="6"/>
  <c r="I1151" i="6" s="1"/>
  <c r="H1152" i="6"/>
  <c r="I1152" i="6" s="1"/>
  <c r="H1153" i="6"/>
  <c r="I1153" i="6" s="1"/>
  <c r="H1154" i="6"/>
  <c r="I1154" i="6" s="1"/>
  <c r="H1155" i="6"/>
  <c r="I1155" i="6" s="1"/>
  <c r="H1156" i="6"/>
  <c r="I1156" i="6" s="1"/>
  <c r="H1157" i="6"/>
  <c r="I1157" i="6" s="1"/>
  <c r="H1158" i="6"/>
  <c r="I1158" i="6" s="1"/>
  <c r="H1159" i="6"/>
  <c r="I1159" i="6" s="1"/>
  <c r="H1160" i="6"/>
  <c r="I1160" i="6" s="1"/>
  <c r="H1161" i="6"/>
  <c r="I1161" i="6" s="1"/>
  <c r="H1162" i="6"/>
  <c r="I1162" i="6" s="1"/>
  <c r="H1163" i="6"/>
  <c r="I1163" i="6" s="1"/>
  <c r="H1164" i="6"/>
  <c r="I1164" i="6" s="1"/>
  <c r="H1165" i="6"/>
  <c r="I1165" i="6" s="1"/>
  <c r="H1166" i="6"/>
  <c r="I1166" i="6" s="1"/>
  <c r="H1167" i="6"/>
  <c r="I1167" i="6" s="1"/>
  <c r="H1168" i="6"/>
  <c r="I1168" i="6" s="1"/>
  <c r="H1169" i="6"/>
  <c r="I1169" i="6" s="1"/>
  <c r="H1170" i="6"/>
  <c r="I1170" i="6" s="1"/>
  <c r="H1171" i="6"/>
  <c r="I1171" i="6" s="1"/>
  <c r="H1172" i="6"/>
  <c r="I1172" i="6" s="1"/>
  <c r="H1173" i="6"/>
  <c r="I1173" i="6" s="1"/>
  <c r="H1174" i="6"/>
  <c r="I1174" i="6" s="1"/>
  <c r="H1175" i="6"/>
  <c r="I1175" i="6" s="1"/>
  <c r="H1176" i="6"/>
  <c r="I1176" i="6" s="1"/>
  <c r="H1177" i="6"/>
  <c r="I1177" i="6" s="1"/>
  <c r="H1178" i="6"/>
  <c r="I1178" i="6" s="1"/>
  <c r="H1179" i="6"/>
  <c r="I1179" i="6" s="1"/>
  <c r="H1180" i="6"/>
  <c r="I1180" i="6" s="1"/>
  <c r="H1181" i="6"/>
  <c r="I1181" i="6" s="1"/>
  <c r="H1182" i="6"/>
  <c r="I1182" i="6" s="1"/>
  <c r="H1183" i="6"/>
  <c r="I1183" i="6" s="1"/>
  <c r="H1184" i="6"/>
  <c r="I1184" i="6" s="1"/>
  <c r="H1185" i="6"/>
  <c r="I1185" i="6" s="1"/>
  <c r="H1186" i="6"/>
  <c r="I1186" i="6" s="1"/>
  <c r="H1187" i="6"/>
  <c r="I1187" i="6" s="1"/>
  <c r="H1188" i="6"/>
  <c r="I1188" i="6" s="1"/>
  <c r="H1189" i="6"/>
  <c r="I1189" i="6" s="1"/>
  <c r="H1190" i="6"/>
  <c r="I1190" i="6" s="1"/>
  <c r="H1191" i="6"/>
  <c r="I1191" i="6" s="1"/>
  <c r="H1192" i="6"/>
  <c r="I1192" i="6" s="1"/>
  <c r="H1193" i="6"/>
  <c r="I1193" i="6" s="1"/>
  <c r="H1194" i="6"/>
  <c r="I1194" i="6" s="1"/>
  <c r="H1195" i="6"/>
  <c r="I1195" i="6" s="1"/>
  <c r="H1196" i="6"/>
  <c r="I1196" i="6" s="1"/>
  <c r="H1197" i="6"/>
  <c r="I1197" i="6" s="1"/>
  <c r="H1198" i="6"/>
  <c r="I1198" i="6" s="1"/>
  <c r="H1199" i="6"/>
  <c r="I1199" i="6" s="1"/>
  <c r="H1200" i="6"/>
  <c r="I1200" i="6" s="1"/>
  <c r="H1201" i="6"/>
  <c r="I1201" i="6" s="1"/>
  <c r="H1202" i="6"/>
  <c r="I1202" i="6" s="1"/>
  <c r="H1203" i="6"/>
  <c r="I1203" i="6" s="1"/>
  <c r="H1204" i="6"/>
  <c r="I1204" i="6" s="1"/>
  <c r="H1205" i="6"/>
  <c r="I1205" i="6" s="1"/>
  <c r="H1206" i="6"/>
  <c r="I1206" i="6" s="1"/>
  <c r="H1207" i="6"/>
  <c r="I1207" i="6" s="1"/>
  <c r="H1208" i="6"/>
  <c r="I1208" i="6" s="1"/>
  <c r="H1209" i="6"/>
  <c r="I1209" i="6" s="1"/>
  <c r="H1210" i="6"/>
  <c r="I1210" i="6" s="1"/>
  <c r="H1211" i="6"/>
  <c r="I1211" i="6" s="1"/>
  <c r="H1212" i="6"/>
  <c r="I1212" i="6" s="1"/>
  <c r="H1213" i="6"/>
  <c r="I1213" i="6" s="1"/>
  <c r="H1214" i="6"/>
  <c r="I1214" i="6" s="1"/>
  <c r="H1215" i="6"/>
  <c r="I1215" i="6" s="1"/>
  <c r="H1216" i="6"/>
  <c r="I1216" i="6" s="1"/>
  <c r="H1217" i="6"/>
  <c r="I1217" i="6" s="1"/>
  <c r="H1218" i="6"/>
  <c r="I1218" i="6" s="1"/>
  <c r="H1219" i="6"/>
  <c r="I1219" i="6" s="1"/>
  <c r="H1220" i="6"/>
  <c r="I1220" i="6" s="1"/>
  <c r="H1221" i="6"/>
  <c r="I1221" i="6" s="1"/>
  <c r="H1222" i="6"/>
  <c r="I1222" i="6" s="1"/>
  <c r="H1223" i="6"/>
  <c r="I1223" i="6" s="1"/>
  <c r="H1224" i="6"/>
  <c r="I1224" i="6" s="1"/>
  <c r="H1225" i="6"/>
  <c r="I1225" i="6" s="1"/>
  <c r="H1226" i="6"/>
  <c r="I1226" i="6" s="1"/>
  <c r="H1227" i="6"/>
  <c r="I1227" i="6" s="1"/>
  <c r="H1228" i="6"/>
  <c r="I1228" i="6" s="1"/>
  <c r="H1229" i="6"/>
  <c r="I1229" i="6" s="1"/>
  <c r="H1230" i="6"/>
  <c r="I1230" i="6" s="1"/>
  <c r="H1231" i="6"/>
  <c r="I1231" i="6" s="1"/>
  <c r="H1232" i="6"/>
  <c r="I1232" i="6" s="1"/>
  <c r="H1233" i="6"/>
  <c r="I1233" i="6" s="1"/>
  <c r="H1234" i="6"/>
  <c r="I1234" i="6" s="1"/>
  <c r="H1235" i="6"/>
  <c r="I1235" i="6" s="1"/>
  <c r="H1236" i="6"/>
  <c r="I1236" i="6" s="1"/>
  <c r="H1237" i="6"/>
  <c r="I1237" i="6" s="1"/>
  <c r="H1238" i="6"/>
  <c r="I1238" i="6" s="1"/>
  <c r="H1239" i="6"/>
  <c r="I1239" i="6" s="1"/>
  <c r="H1240" i="6"/>
  <c r="I1240" i="6" s="1"/>
  <c r="H1241" i="6"/>
  <c r="I1241" i="6" s="1"/>
  <c r="H1242" i="6"/>
  <c r="I1242" i="6" s="1"/>
  <c r="H1243" i="6"/>
  <c r="I1243" i="6" s="1"/>
  <c r="H1244" i="6"/>
  <c r="I1244" i="6" s="1"/>
  <c r="H1245" i="6"/>
  <c r="I1245" i="6" s="1"/>
  <c r="H1246" i="6"/>
  <c r="I1246" i="6" s="1"/>
  <c r="H1247" i="6"/>
  <c r="I1247" i="6" s="1"/>
  <c r="H1248" i="6"/>
  <c r="I1248" i="6" s="1"/>
  <c r="H1249" i="6"/>
  <c r="I1249" i="6" s="1"/>
  <c r="H1250" i="6"/>
  <c r="I1250" i="6" s="1"/>
  <c r="H1251" i="6"/>
  <c r="I1251" i="6" s="1"/>
  <c r="H1252" i="6"/>
  <c r="I1252" i="6" s="1"/>
  <c r="H1253" i="6"/>
  <c r="I1253" i="6" s="1"/>
  <c r="H1254" i="6"/>
  <c r="I1254" i="6" s="1"/>
  <c r="H1255" i="6"/>
  <c r="I1255" i="6" s="1"/>
  <c r="H1256" i="6"/>
  <c r="I1256" i="6" s="1"/>
  <c r="H1257" i="6"/>
  <c r="I1257" i="6" s="1"/>
  <c r="H1258" i="6"/>
  <c r="I1258" i="6" s="1"/>
  <c r="H1259" i="6"/>
  <c r="I1259" i="6" s="1"/>
  <c r="H1260" i="6"/>
  <c r="I1260" i="6" s="1"/>
  <c r="H1261" i="6"/>
  <c r="I1261" i="6" s="1"/>
  <c r="H1262" i="6"/>
  <c r="I1262" i="6" s="1"/>
  <c r="H1263" i="6"/>
  <c r="I1263" i="6" s="1"/>
  <c r="H1264" i="6"/>
  <c r="I1264" i="6" s="1"/>
  <c r="H1265" i="6"/>
  <c r="I1265" i="6" s="1"/>
  <c r="H1266" i="6"/>
  <c r="I1266" i="6" s="1"/>
  <c r="H1267" i="6"/>
  <c r="I1267" i="6" s="1"/>
  <c r="H1268" i="6"/>
  <c r="I1268" i="6" s="1"/>
  <c r="H1269" i="6"/>
  <c r="I1269" i="6" s="1"/>
  <c r="H1270" i="6"/>
  <c r="I1270" i="6" s="1"/>
  <c r="H1271" i="6"/>
  <c r="I1271" i="6" s="1"/>
  <c r="H1272" i="6"/>
  <c r="I1272" i="6" s="1"/>
  <c r="H1273" i="6"/>
  <c r="I1273" i="6" s="1"/>
  <c r="H1274" i="6"/>
  <c r="I1274" i="6" s="1"/>
  <c r="H1275" i="6"/>
  <c r="I1275" i="6" s="1"/>
  <c r="H1276" i="6"/>
  <c r="I1276" i="6" s="1"/>
  <c r="H1277" i="6"/>
  <c r="I1277" i="6" s="1"/>
  <c r="H1278" i="6"/>
  <c r="I1278" i="6" s="1"/>
  <c r="H1279" i="6"/>
  <c r="I1279" i="6" s="1"/>
  <c r="H1280" i="6"/>
  <c r="I1280" i="6" s="1"/>
  <c r="H1281" i="6"/>
  <c r="I1281" i="6" s="1"/>
  <c r="H1282" i="6"/>
  <c r="I1282" i="6" s="1"/>
  <c r="H1283" i="6"/>
  <c r="I1283" i="6" s="1"/>
  <c r="H1284" i="6"/>
  <c r="I1284" i="6" s="1"/>
  <c r="H1285" i="6"/>
  <c r="I1285" i="6" s="1"/>
  <c r="H1286" i="6"/>
  <c r="I1286" i="6" s="1"/>
  <c r="H1287" i="6"/>
  <c r="I1287" i="6" s="1"/>
  <c r="H1288" i="6"/>
  <c r="I1288" i="6" s="1"/>
  <c r="H1289" i="6"/>
  <c r="I1289" i="6" s="1"/>
  <c r="H1290" i="6"/>
  <c r="I1290" i="6" s="1"/>
  <c r="H1291" i="6"/>
  <c r="I1291" i="6" s="1"/>
  <c r="H1292" i="6"/>
  <c r="I1292" i="6" s="1"/>
  <c r="H1293" i="6"/>
  <c r="I1293" i="6" s="1"/>
  <c r="H1294" i="6"/>
  <c r="I1294" i="6" s="1"/>
  <c r="H1295" i="6"/>
  <c r="I1295" i="6" s="1"/>
  <c r="H1296" i="6"/>
  <c r="I1296" i="6" s="1"/>
  <c r="H1297" i="6"/>
  <c r="I1297" i="6" s="1"/>
  <c r="H1298" i="6"/>
  <c r="I1298" i="6" s="1"/>
  <c r="H1299" i="6"/>
  <c r="I1299" i="6" s="1"/>
  <c r="H1300" i="6"/>
  <c r="I1300" i="6" s="1"/>
  <c r="H1301" i="6"/>
  <c r="I1301" i="6" s="1"/>
  <c r="H1302" i="6"/>
  <c r="I1302" i="6" s="1"/>
  <c r="H1303" i="6"/>
  <c r="I1303" i="6" s="1"/>
  <c r="H1304" i="6"/>
  <c r="I1304" i="6" s="1"/>
  <c r="H1305" i="6"/>
  <c r="I1305" i="6" s="1"/>
  <c r="H1306" i="6"/>
  <c r="I1306" i="6" s="1"/>
  <c r="H1307" i="6"/>
  <c r="I1307" i="6" s="1"/>
  <c r="H1308" i="6"/>
  <c r="I1308" i="6" s="1"/>
  <c r="H1309" i="6"/>
  <c r="I1309" i="6" s="1"/>
  <c r="H1310" i="6"/>
  <c r="I1310" i="6" s="1"/>
  <c r="H1311" i="6"/>
  <c r="I1311" i="6" s="1"/>
  <c r="H1312" i="6"/>
  <c r="I1312" i="6" s="1"/>
  <c r="H1313" i="6"/>
  <c r="I1313" i="6" s="1"/>
  <c r="H1314" i="6"/>
  <c r="I1314" i="6" s="1"/>
  <c r="H1315" i="6"/>
  <c r="I1315" i="6" s="1"/>
  <c r="H1316" i="6"/>
  <c r="I1316" i="6" s="1"/>
  <c r="H1317" i="6"/>
  <c r="I1317" i="6" s="1"/>
  <c r="H1318" i="6"/>
  <c r="I1318" i="6" s="1"/>
  <c r="H1319" i="6"/>
  <c r="I1319" i="6" s="1"/>
  <c r="H1320" i="6"/>
  <c r="I1320" i="6" s="1"/>
  <c r="H1321" i="6"/>
  <c r="I1321" i="6" s="1"/>
  <c r="H1322" i="6"/>
  <c r="I1322" i="6" s="1"/>
  <c r="H1323" i="6"/>
  <c r="I1323" i="6" s="1"/>
  <c r="H1324" i="6"/>
  <c r="I1324" i="6" s="1"/>
  <c r="H1325" i="6"/>
  <c r="I1325" i="6" s="1"/>
  <c r="H1326" i="6"/>
  <c r="I1326" i="6" s="1"/>
  <c r="H1327" i="6"/>
  <c r="I1327" i="6" s="1"/>
  <c r="H1328" i="6"/>
  <c r="I1328" i="6" s="1"/>
  <c r="H1329" i="6"/>
  <c r="I1329" i="6" s="1"/>
  <c r="H1330" i="6"/>
  <c r="I1330" i="6" s="1"/>
  <c r="H1331" i="6"/>
  <c r="I1331" i="6" s="1"/>
  <c r="H1332" i="6"/>
  <c r="I1332" i="6" s="1"/>
  <c r="H1333" i="6"/>
  <c r="I1333" i="6" s="1"/>
  <c r="H1334" i="6"/>
  <c r="I1334" i="6" s="1"/>
  <c r="H1335" i="6"/>
  <c r="I1335" i="6" s="1"/>
  <c r="H1336" i="6"/>
  <c r="I1336" i="6" s="1"/>
  <c r="H1337" i="6"/>
  <c r="I1337" i="6" s="1"/>
  <c r="H1338" i="6"/>
  <c r="I1338" i="6" s="1"/>
  <c r="H1339" i="6"/>
  <c r="I1339" i="6" s="1"/>
  <c r="H1340" i="6"/>
  <c r="I1340" i="6" s="1"/>
  <c r="H1341" i="6"/>
  <c r="I1341" i="6" s="1"/>
  <c r="H1342" i="6"/>
  <c r="I1342" i="6" s="1"/>
  <c r="H1343" i="6"/>
  <c r="I1343" i="6" s="1"/>
  <c r="H1344" i="6"/>
  <c r="I1344" i="6" s="1"/>
  <c r="H1345" i="6"/>
  <c r="I1345" i="6" s="1"/>
  <c r="H1346" i="6"/>
  <c r="I1346" i="6" s="1"/>
  <c r="H1347" i="6"/>
  <c r="I1347" i="6" s="1"/>
  <c r="H1348" i="6"/>
  <c r="I1348" i="6" s="1"/>
  <c r="H1349" i="6"/>
  <c r="I1349" i="6" s="1"/>
  <c r="H1350" i="6"/>
  <c r="I1350" i="6" s="1"/>
  <c r="H1351" i="6"/>
  <c r="I1351" i="6" s="1"/>
  <c r="H1352" i="6"/>
  <c r="I1352" i="6" s="1"/>
  <c r="H1353" i="6"/>
  <c r="I1353" i="6" s="1"/>
  <c r="H1354" i="6"/>
  <c r="I1354" i="6" s="1"/>
  <c r="H1355" i="6"/>
  <c r="I1355" i="6" s="1"/>
  <c r="H1356" i="6"/>
  <c r="I1356" i="6" s="1"/>
  <c r="H1357" i="6"/>
  <c r="I1357" i="6" s="1"/>
  <c r="H1358" i="6"/>
  <c r="I1358" i="6" s="1"/>
  <c r="H1359" i="6"/>
  <c r="I1359" i="6" s="1"/>
  <c r="H1360" i="6"/>
  <c r="I1360" i="6" s="1"/>
  <c r="H1361" i="6"/>
  <c r="I1361" i="6" s="1"/>
  <c r="H1362" i="6"/>
  <c r="I1362" i="6" s="1"/>
  <c r="H1363" i="6"/>
  <c r="I1363" i="6" s="1"/>
  <c r="H1364" i="6"/>
  <c r="I1364" i="6" s="1"/>
  <c r="H1365" i="6"/>
  <c r="I1365" i="6" s="1"/>
  <c r="H1366" i="6"/>
  <c r="I1366" i="6" s="1"/>
  <c r="H1367" i="6"/>
  <c r="I1367" i="6" s="1"/>
  <c r="H1368" i="6"/>
  <c r="I1368" i="6" s="1"/>
  <c r="H1369" i="6"/>
  <c r="I1369" i="6" s="1"/>
  <c r="H1370" i="6"/>
  <c r="I1370" i="6" s="1"/>
  <c r="H1371" i="6"/>
  <c r="I1371" i="6" s="1"/>
  <c r="H1372" i="6"/>
  <c r="I1372" i="6" s="1"/>
  <c r="H1373" i="6"/>
  <c r="I1373" i="6" s="1"/>
  <c r="H1374" i="6"/>
  <c r="I1374" i="6" s="1"/>
  <c r="H1375" i="6"/>
  <c r="I1375" i="6" s="1"/>
  <c r="H1376" i="6"/>
  <c r="I1376" i="6" s="1"/>
  <c r="H1377" i="6"/>
  <c r="I1377" i="6" s="1"/>
  <c r="H1378" i="6"/>
  <c r="I1378" i="6" s="1"/>
  <c r="H1379" i="6"/>
  <c r="I1379" i="6" s="1"/>
  <c r="H1380" i="6"/>
  <c r="I1380" i="6" s="1"/>
  <c r="H1381" i="6"/>
  <c r="I1381" i="6" s="1"/>
  <c r="H1382" i="6"/>
  <c r="I1382" i="6" s="1"/>
  <c r="H1383" i="6"/>
  <c r="I1383" i="6" s="1"/>
  <c r="H1384" i="6"/>
  <c r="I1384" i="6" s="1"/>
  <c r="H1385" i="6"/>
  <c r="I1385" i="6" s="1"/>
  <c r="H1386" i="6"/>
  <c r="I1386" i="6" s="1"/>
  <c r="H1387" i="6"/>
  <c r="I1387" i="6" s="1"/>
  <c r="H1388" i="6"/>
  <c r="I1388" i="6" s="1"/>
  <c r="H1389" i="6"/>
  <c r="I1389" i="6" s="1"/>
  <c r="H1390" i="6"/>
  <c r="I1390" i="6" s="1"/>
  <c r="H1391" i="6"/>
  <c r="I1391" i="6" s="1"/>
  <c r="H1392" i="6"/>
  <c r="I1392" i="6" s="1"/>
  <c r="H1393" i="6"/>
  <c r="I1393" i="6" s="1"/>
  <c r="H1394" i="6"/>
  <c r="I1394" i="6" s="1"/>
  <c r="H1395" i="6"/>
  <c r="I1395" i="6" s="1"/>
  <c r="H1396" i="6"/>
  <c r="I1396" i="6" s="1"/>
  <c r="H1397" i="6"/>
  <c r="I1397" i="6" s="1"/>
  <c r="H1398" i="6"/>
  <c r="I1398" i="6" s="1"/>
  <c r="H1399" i="6"/>
  <c r="I1399" i="6" s="1"/>
  <c r="H1400" i="6"/>
  <c r="I1400" i="6" s="1"/>
  <c r="H1401" i="6"/>
  <c r="I1401" i="6" s="1"/>
  <c r="H1402" i="6"/>
  <c r="I1402" i="6" s="1"/>
  <c r="H1403" i="6"/>
  <c r="I1403" i="6" s="1"/>
  <c r="H1404" i="6"/>
  <c r="I1404" i="6" s="1"/>
  <c r="H1405" i="6"/>
  <c r="I1405" i="6" s="1"/>
  <c r="H1406" i="6"/>
  <c r="I1406" i="6" s="1"/>
  <c r="H1407" i="6"/>
  <c r="I1407" i="6" s="1"/>
  <c r="H1408" i="6"/>
  <c r="I1408" i="6" s="1"/>
  <c r="H1409" i="6"/>
  <c r="I1409" i="6" s="1"/>
  <c r="H1410" i="6"/>
  <c r="I1410" i="6" s="1"/>
  <c r="H1411" i="6"/>
  <c r="I1411" i="6" s="1"/>
  <c r="H1412" i="6"/>
  <c r="I1412" i="6" s="1"/>
  <c r="H1413" i="6"/>
  <c r="I1413" i="6" s="1"/>
  <c r="H1414" i="6"/>
  <c r="I1414" i="6" s="1"/>
  <c r="H1415" i="6"/>
  <c r="I1415" i="6" s="1"/>
  <c r="H1416" i="6"/>
  <c r="I1416" i="6" s="1"/>
  <c r="H1417" i="6"/>
  <c r="I1417" i="6" s="1"/>
  <c r="H1418" i="6"/>
  <c r="I1418" i="6" s="1"/>
  <c r="H1419" i="6"/>
  <c r="I1419" i="6" s="1"/>
  <c r="H1420" i="6"/>
  <c r="I1420" i="6" s="1"/>
  <c r="H1421" i="6"/>
  <c r="I1421" i="6" s="1"/>
  <c r="H1422" i="6"/>
  <c r="I1422" i="6" s="1"/>
  <c r="H1423" i="6"/>
  <c r="I1423" i="6" s="1"/>
  <c r="H1424" i="6"/>
  <c r="I1424" i="6" s="1"/>
  <c r="H1425" i="6"/>
  <c r="I1425" i="6" s="1"/>
  <c r="H1426" i="6"/>
  <c r="I1426" i="6" s="1"/>
  <c r="H1427" i="6"/>
  <c r="I1427" i="6" s="1"/>
  <c r="H1428" i="6"/>
  <c r="I1428" i="6" s="1"/>
  <c r="H1429" i="6"/>
  <c r="I1429" i="6" s="1"/>
  <c r="H1430" i="6"/>
  <c r="I1430" i="6" s="1"/>
  <c r="H1431" i="6"/>
  <c r="I1431" i="6" s="1"/>
  <c r="H1432" i="6"/>
  <c r="I1432" i="6" s="1"/>
  <c r="H1433" i="6"/>
  <c r="I1433" i="6" s="1"/>
  <c r="H1434" i="6"/>
  <c r="I1434" i="6" s="1"/>
  <c r="H1435" i="6"/>
  <c r="I1435" i="6" s="1"/>
  <c r="H1436" i="6"/>
  <c r="I1436" i="6" s="1"/>
  <c r="H1437" i="6"/>
  <c r="I1437" i="6" s="1"/>
  <c r="H1438" i="6"/>
  <c r="I1438" i="6" s="1"/>
  <c r="H1439" i="6"/>
  <c r="I1439" i="6" s="1"/>
  <c r="H1440" i="6"/>
  <c r="I1440" i="6" s="1"/>
  <c r="H1441" i="6"/>
  <c r="I1441" i="6" s="1"/>
  <c r="H1442" i="6"/>
  <c r="I1442" i="6" s="1"/>
  <c r="H1443" i="6"/>
  <c r="I1443" i="6" s="1"/>
  <c r="H1444" i="6"/>
  <c r="I1444" i="6" s="1"/>
  <c r="H1445" i="6"/>
  <c r="I1445" i="6" s="1"/>
  <c r="H1446" i="6"/>
  <c r="I1446" i="6" s="1"/>
  <c r="H1447" i="6"/>
  <c r="I1447" i="6" s="1"/>
  <c r="H1448" i="6"/>
  <c r="I1448" i="6" s="1"/>
  <c r="H1449" i="6"/>
  <c r="I1449" i="6" s="1"/>
  <c r="H1450" i="6"/>
  <c r="I1450" i="6" s="1"/>
  <c r="H1451" i="6"/>
  <c r="I1451" i="6" s="1"/>
  <c r="H1452" i="6"/>
  <c r="I1452" i="6" s="1"/>
  <c r="H1453" i="6"/>
  <c r="I1453" i="6" s="1"/>
  <c r="H1454" i="6"/>
  <c r="I1454" i="6" s="1"/>
  <c r="H1455" i="6"/>
  <c r="I1455" i="6" s="1"/>
  <c r="H1456" i="6"/>
  <c r="I1456" i="6" s="1"/>
  <c r="H1457" i="6"/>
  <c r="I1457" i="6" s="1"/>
  <c r="H1458" i="6"/>
  <c r="I1458" i="6" s="1"/>
  <c r="H1459" i="6"/>
  <c r="I1459" i="6" s="1"/>
  <c r="H1460" i="6"/>
  <c r="I1460" i="6" s="1"/>
  <c r="H1461" i="6"/>
  <c r="I1461" i="6" s="1"/>
  <c r="H1462" i="6"/>
  <c r="I1462" i="6" s="1"/>
  <c r="H1463" i="6"/>
  <c r="I1463" i="6" s="1"/>
  <c r="H1464" i="6"/>
  <c r="I1464" i="6" s="1"/>
  <c r="H1465" i="6"/>
  <c r="I1465" i="6" s="1"/>
  <c r="H1466" i="6"/>
  <c r="I1466" i="6" s="1"/>
  <c r="H1467" i="6"/>
  <c r="I1467" i="6" s="1"/>
  <c r="H1468" i="6"/>
  <c r="I1468" i="6" s="1"/>
  <c r="H1469" i="6"/>
  <c r="I1469" i="6" s="1"/>
  <c r="H1470" i="6"/>
  <c r="I1470" i="6" s="1"/>
  <c r="H1471" i="6"/>
  <c r="I1471" i="6" s="1"/>
  <c r="H1472" i="6"/>
  <c r="I1472" i="6" s="1"/>
  <c r="H1473" i="6"/>
  <c r="I1473" i="6" s="1"/>
  <c r="H1474" i="6"/>
  <c r="I1474" i="6" s="1"/>
  <c r="H1475" i="6"/>
  <c r="I1475" i="6" s="1"/>
  <c r="H1476" i="6"/>
  <c r="I1476" i="6" s="1"/>
  <c r="H1477" i="6"/>
  <c r="I1477" i="6" s="1"/>
  <c r="H1478" i="6"/>
  <c r="I1478" i="6" s="1"/>
  <c r="H1479" i="6"/>
  <c r="I1479" i="6" s="1"/>
  <c r="H1480" i="6"/>
  <c r="I1480" i="6" s="1"/>
  <c r="H1481" i="6"/>
  <c r="I1481" i="6" s="1"/>
  <c r="H1482" i="6"/>
  <c r="I1482" i="6" s="1"/>
  <c r="H1483" i="6"/>
  <c r="I1483" i="6" s="1"/>
  <c r="H1484" i="6"/>
  <c r="I1484" i="6" s="1"/>
  <c r="H1485" i="6"/>
  <c r="I1485" i="6" s="1"/>
  <c r="H1486" i="6"/>
  <c r="I1486" i="6" s="1"/>
  <c r="H1487" i="6"/>
  <c r="I1487" i="6" s="1"/>
  <c r="H1488" i="6"/>
  <c r="I1488" i="6" s="1"/>
  <c r="H1489" i="6"/>
  <c r="I1489" i="6" s="1"/>
  <c r="H1490" i="6"/>
  <c r="I1490" i="6" s="1"/>
  <c r="H1491" i="6"/>
  <c r="I1491" i="6" s="1"/>
  <c r="H1492" i="6"/>
  <c r="I1492" i="6" s="1"/>
  <c r="H1493" i="6"/>
  <c r="I1493" i="6" s="1"/>
  <c r="H1494" i="6"/>
  <c r="I1494" i="6" s="1"/>
  <c r="H1495" i="6"/>
  <c r="I1495" i="6" s="1"/>
  <c r="H1496" i="6"/>
  <c r="I1496" i="6" s="1"/>
  <c r="H1497" i="6"/>
  <c r="I1497" i="6" s="1"/>
  <c r="H1498" i="6"/>
  <c r="I1498" i="6" s="1"/>
  <c r="H1499" i="6"/>
  <c r="I1499" i="6" s="1"/>
  <c r="H1500" i="6"/>
  <c r="I1500" i="6" s="1"/>
  <c r="H1501" i="6"/>
  <c r="I1501" i="6" s="1"/>
  <c r="H1502" i="6"/>
  <c r="I1502" i="6" s="1"/>
  <c r="H1503" i="6"/>
  <c r="I1503" i="6" s="1"/>
  <c r="H1504" i="6"/>
  <c r="I1504" i="6" s="1"/>
  <c r="H1505" i="6"/>
  <c r="I1505" i="6" s="1"/>
  <c r="H1506" i="6"/>
  <c r="I1506" i="6" s="1"/>
  <c r="H1507" i="6"/>
  <c r="I1507" i="6" s="1"/>
  <c r="H1508" i="6"/>
  <c r="I1508" i="6" s="1"/>
  <c r="H1509" i="6"/>
  <c r="I1509" i="6" s="1"/>
  <c r="H1510" i="6"/>
  <c r="I1510" i="6" s="1"/>
  <c r="H1511" i="6"/>
  <c r="I1511" i="6" s="1"/>
  <c r="H1512" i="6"/>
  <c r="I1512" i="6" s="1"/>
  <c r="H1513" i="6"/>
  <c r="I1513" i="6" s="1"/>
  <c r="H1514" i="6"/>
  <c r="I1514" i="6" s="1"/>
  <c r="H1515" i="6"/>
  <c r="I1515" i="6" s="1"/>
  <c r="H1516" i="6"/>
  <c r="I1516" i="6" s="1"/>
  <c r="H1517" i="6"/>
  <c r="I1517" i="6" s="1"/>
  <c r="H1518" i="6"/>
  <c r="I1518" i="6" s="1"/>
  <c r="H1519" i="6"/>
  <c r="I1519" i="6" s="1"/>
  <c r="H1520" i="6"/>
  <c r="I1520" i="6" s="1"/>
  <c r="H1521" i="6"/>
  <c r="I1521" i="6" s="1"/>
  <c r="H1522" i="6"/>
  <c r="I1522" i="6" s="1"/>
  <c r="H1523" i="6"/>
  <c r="I1523" i="6" s="1"/>
  <c r="H1524" i="6"/>
  <c r="I1524" i="6" s="1"/>
  <c r="H1525" i="6"/>
  <c r="I1525" i="6" s="1"/>
  <c r="H1526" i="6"/>
  <c r="I1526" i="6" s="1"/>
  <c r="H1527" i="6"/>
  <c r="I1527" i="6" s="1"/>
  <c r="H1528" i="6"/>
  <c r="I1528" i="6" s="1"/>
  <c r="H1529" i="6"/>
  <c r="I1529" i="6" s="1"/>
  <c r="H1530" i="6"/>
  <c r="I1530" i="6" s="1"/>
  <c r="H1531" i="6"/>
  <c r="I1531" i="6" s="1"/>
  <c r="H1532" i="6"/>
  <c r="I1532" i="6" s="1"/>
  <c r="H1533" i="6"/>
  <c r="I1533" i="6" s="1"/>
  <c r="H1534" i="6"/>
  <c r="I1534" i="6" s="1"/>
  <c r="H1535" i="6"/>
  <c r="I1535" i="6" s="1"/>
  <c r="H1536" i="6"/>
  <c r="I1536" i="6" s="1"/>
  <c r="H1537" i="6"/>
  <c r="I1537" i="6" s="1"/>
  <c r="H1538" i="6"/>
  <c r="I1538" i="6" s="1"/>
  <c r="H1539" i="6"/>
  <c r="I1539" i="6" s="1"/>
  <c r="H1540" i="6"/>
  <c r="I1540" i="6" s="1"/>
  <c r="H1541" i="6"/>
  <c r="I1541" i="6" s="1"/>
  <c r="H1542" i="6"/>
  <c r="I1542" i="6" s="1"/>
  <c r="H1543" i="6"/>
  <c r="I1543" i="6" s="1"/>
  <c r="H1544" i="6"/>
  <c r="I1544" i="6" s="1"/>
  <c r="H1545" i="6"/>
  <c r="I1545" i="6" s="1"/>
  <c r="H1546" i="6"/>
  <c r="I1546" i="6" s="1"/>
  <c r="H1547" i="6"/>
  <c r="I1547" i="6" s="1"/>
  <c r="H1548" i="6"/>
  <c r="I1548" i="6" s="1"/>
  <c r="H1549" i="6"/>
  <c r="I1549" i="6" s="1"/>
  <c r="H1550" i="6"/>
  <c r="I1550" i="6" s="1"/>
  <c r="H1551" i="6"/>
  <c r="I1551" i="6" s="1"/>
  <c r="H1552" i="6"/>
  <c r="I1552" i="6" s="1"/>
  <c r="H1553" i="6"/>
  <c r="I1553" i="6" s="1"/>
  <c r="H1554" i="6"/>
  <c r="I1554" i="6" s="1"/>
  <c r="H1555" i="6"/>
  <c r="I1555" i="6" s="1"/>
  <c r="H1556" i="6"/>
  <c r="I1556" i="6" s="1"/>
  <c r="H1557" i="6"/>
  <c r="I1557" i="6" s="1"/>
  <c r="H1558" i="6"/>
  <c r="I1558" i="6" s="1"/>
  <c r="H1559" i="6"/>
  <c r="I1559" i="6" s="1"/>
  <c r="H1560" i="6"/>
  <c r="I1560" i="6" s="1"/>
  <c r="H1561" i="6"/>
  <c r="I1561" i="6" s="1"/>
  <c r="H1562" i="6"/>
  <c r="I1562" i="6" s="1"/>
  <c r="H1563" i="6"/>
  <c r="I1563" i="6" s="1"/>
  <c r="H1564" i="6"/>
  <c r="I1564" i="6" s="1"/>
  <c r="H1565" i="6"/>
  <c r="I1565" i="6" s="1"/>
  <c r="H1566" i="6"/>
  <c r="I1566" i="6" s="1"/>
  <c r="H1567" i="6"/>
  <c r="I1567" i="6" s="1"/>
  <c r="H1568" i="6"/>
  <c r="I1568" i="6" s="1"/>
  <c r="H1569" i="6"/>
  <c r="I1569" i="6" s="1"/>
  <c r="H1570" i="6"/>
  <c r="I1570" i="6" s="1"/>
  <c r="H1571" i="6"/>
  <c r="I1571" i="6" s="1"/>
  <c r="H1572" i="6"/>
  <c r="I1572" i="6" s="1"/>
  <c r="H1573" i="6"/>
  <c r="I1573" i="6" s="1"/>
  <c r="H1574" i="6"/>
  <c r="I1574" i="6" s="1"/>
  <c r="H1575" i="6"/>
  <c r="I1575" i="6" s="1"/>
  <c r="H1576" i="6"/>
  <c r="I1576" i="6" s="1"/>
  <c r="H1577" i="6"/>
  <c r="I1577" i="6" s="1"/>
  <c r="H1578" i="6"/>
  <c r="I1578" i="6" s="1"/>
  <c r="H1579" i="6"/>
  <c r="I1579" i="6" s="1"/>
  <c r="H1580" i="6"/>
  <c r="I1580" i="6" s="1"/>
  <c r="H1581" i="6"/>
  <c r="I1581" i="6" s="1"/>
  <c r="H1582" i="6"/>
  <c r="I1582" i="6" s="1"/>
  <c r="H1583" i="6"/>
  <c r="I1583" i="6" s="1"/>
  <c r="H1584" i="6"/>
  <c r="I1584" i="6" s="1"/>
  <c r="H1585" i="6"/>
  <c r="I1585" i="6" s="1"/>
  <c r="H1586" i="6"/>
  <c r="I1586" i="6" s="1"/>
  <c r="H1587" i="6"/>
  <c r="I1587" i="6" s="1"/>
  <c r="H1588" i="6"/>
  <c r="I1588" i="6" s="1"/>
  <c r="H1589" i="6"/>
  <c r="I1589" i="6" s="1"/>
  <c r="H1590" i="6"/>
  <c r="I1590" i="6" s="1"/>
  <c r="H1591" i="6"/>
  <c r="I1591" i="6" s="1"/>
  <c r="H1592" i="6"/>
  <c r="I1592" i="6" s="1"/>
  <c r="H1593" i="6"/>
  <c r="I1593" i="6" s="1"/>
  <c r="H1594" i="6"/>
  <c r="I1594" i="6" s="1"/>
  <c r="H1595" i="6"/>
  <c r="I1595" i="6" s="1"/>
  <c r="H1596" i="6"/>
  <c r="I1596" i="6" s="1"/>
  <c r="H1597" i="6"/>
  <c r="I1597" i="6" s="1"/>
  <c r="H1598" i="6"/>
  <c r="I1598" i="6" s="1"/>
  <c r="H1599" i="6"/>
  <c r="I1599" i="6" s="1"/>
  <c r="H1600" i="6"/>
  <c r="I1600" i="6" s="1"/>
  <c r="H1601" i="6"/>
  <c r="I1601" i="6" s="1"/>
  <c r="H1602" i="6"/>
  <c r="I1602" i="6" s="1"/>
  <c r="H1603" i="6"/>
  <c r="I1603" i="6" s="1"/>
  <c r="H1604" i="6"/>
  <c r="I1604" i="6" s="1"/>
  <c r="H1605" i="6"/>
  <c r="I1605" i="6" s="1"/>
  <c r="H1606" i="6"/>
  <c r="I1606" i="6" s="1"/>
  <c r="H1607" i="6"/>
  <c r="I1607" i="6" s="1"/>
  <c r="H1608" i="6"/>
  <c r="I1608" i="6" s="1"/>
  <c r="H1609" i="6"/>
  <c r="I1609" i="6" s="1"/>
  <c r="H1610" i="6"/>
  <c r="I1610" i="6" s="1"/>
  <c r="H1611" i="6"/>
  <c r="I1611" i="6" s="1"/>
  <c r="H1612" i="6"/>
  <c r="I1612" i="6" s="1"/>
  <c r="H1613" i="6"/>
  <c r="I1613" i="6" s="1"/>
  <c r="H1614" i="6"/>
  <c r="I1614" i="6" s="1"/>
  <c r="H1615" i="6"/>
  <c r="I1615" i="6" s="1"/>
  <c r="H1616" i="6"/>
  <c r="I1616" i="6" s="1"/>
  <c r="H1617" i="6"/>
  <c r="I1617" i="6" s="1"/>
  <c r="H1618" i="6"/>
  <c r="I1618" i="6" s="1"/>
  <c r="H1619" i="6"/>
  <c r="I1619" i="6" s="1"/>
  <c r="H1620" i="6"/>
  <c r="I1620" i="6" s="1"/>
  <c r="H1621" i="6"/>
  <c r="I1621" i="6" s="1"/>
  <c r="H1622" i="6"/>
  <c r="I1622" i="6" s="1"/>
  <c r="H1623" i="6"/>
  <c r="I1623" i="6" s="1"/>
  <c r="H1624" i="6"/>
  <c r="I1624" i="6" s="1"/>
  <c r="H1625" i="6"/>
  <c r="I1625" i="6" s="1"/>
  <c r="H1626" i="6"/>
  <c r="I1626" i="6" s="1"/>
  <c r="H1627" i="6"/>
  <c r="I1627" i="6" s="1"/>
  <c r="H1628" i="6"/>
  <c r="I1628" i="6" s="1"/>
  <c r="H1629" i="6"/>
  <c r="I1629" i="6" s="1"/>
  <c r="H1630" i="6"/>
  <c r="I1630" i="6" s="1"/>
  <c r="H1631" i="6"/>
  <c r="I1631" i="6" s="1"/>
  <c r="H1632" i="6"/>
  <c r="I1632" i="6" s="1"/>
  <c r="H1633" i="6"/>
  <c r="I1633" i="6" s="1"/>
  <c r="H1634" i="6"/>
  <c r="I1634" i="6" s="1"/>
  <c r="H1635" i="6"/>
  <c r="I1635" i="6" s="1"/>
  <c r="H1636" i="6"/>
  <c r="I1636" i="6" s="1"/>
  <c r="H1637" i="6"/>
  <c r="I1637" i="6" s="1"/>
  <c r="H1638" i="6"/>
  <c r="I1638" i="6" s="1"/>
  <c r="H1639" i="6"/>
  <c r="I1639" i="6" s="1"/>
  <c r="H1640" i="6"/>
  <c r="I1640" i="6" s="1"/>
  <c r="H1641" i="6"/>
  <c r="I1641" i="6" s="1"/>
  <c r="H1642" i="6"/>
  <c r="I1642" i="6" s="1"/>
  <c r="H1643" i="6"/>
  <c r="I1643" i="6" s="1"/>
  <c r="H1644" i="6"/>
  <c r="I1644" i="6" s="1"/>
  <c r="H1645" i="6"/>
  <c r="I1645" i="6" s="1"/>
  <c r="H1646" i="6"/>
  <c r="I1646" i="6" s="1"/>
  <c r="H1647" i="6"/>
  <c r="I1647" i="6" s="1"/>
  <c r="H1648" i="6"/>
  <c r="I1648" i="6" s="1"/>
  <c r="H1649" i="6"/>
  <c r="I1649" i="6" s="1"/>
  <c r="H1650" i="6"/>
  <c r="I1650" i="6" s="1"/>
  <c r="H1651" i="6"/>
  <c r="I1651" i="6" s="1"/>
  <c r="H1652" i="6"/>
  <c r="I1652" i="6" s="1"/>
  <c r="H1653" i="6"/>
  <c r="I1653" i="6" s="1"/>
  <c r="H1654" i="6"/>
  <c r="I1654" i="6" s="1"/>
  <c r="H1655" i="6"/>
  <c r="I1655" i="6" s="1"/>
  <c r="H1656" i="6"/>
  <c r="I1656" i="6" s="1"/>
  <c r="H1657" i="6"/>
  <c r="I1657" i="6" s="1"/>
  <c r="H1658" i="6"/>
  <c r="I1658" i="6" s="1"/>
  <c r="H1659" i="6"/>
  <c r="I1659" i="6" s="1"/>
  <c r="H1660" i="6"/>
  <c r="I1660" i="6" s="1"/>
  <c r="H1661" i="6"/>
  <c r="I1661" i="6" s="1"/>
  <c r="H1662" i="6"/>
  <c r="I1662" i="6" s="1"/>
  <c r="H1663" i="6"/>
  <c r="I1663" i="6" s="1"/>
  <c r="H1664" i="6"/>
  <c r="I1664" i="6" s="1"/>
  <c r="H1665" i="6"/>
  <c r="I1665" i="6" s="1"/>
  <c r="H1666" i="6"/>
  <c r="I1666" i="6" s="1"/>
  <c r="H1667" i="6"/>
  <c r="I1667" i="6" s="1"/>
  <c r="H1668" i="6"/>
  <c r="I1668" i="6" s="1"/>
  <c r="H1669" i="6"/>
  <c r="I1669" i="6" s="1"/>
  <c r="H1670" i="6"/>
  <c r="I1670" i="6" s="1"/>
  <c r="H1671" i="6"/>
  <c r="I1671" i="6" s="1"/>
  <c r="H1672" i="6"/>
  <c r="I1672" i="6" s="1"/>
  <c r="H1673" i="6"/>
  <c r="I1673" i="6" s="1"/>
  <c r="H1674" i="6"/>
  <c r="I1674" i="6" s="1"/>
  <c r="H1675" i="6"/>
  <c r="I1675" i="6" s="1"/>
  <c r="H1676" i="6"/>
  <c r="I1676" i="6" s="1"/>
  <c r="H1677" i="6"/>
  <c r="I1677" i="6" s="1"/>
  <c r="H1678" i="6"/>
  <c r="I1678" i="6" s="1"/>
  <c r="H1679" i="6"/>
  <c r="I1679" i="6" s="1"/>
  <c r="H1680" i="6"/>
  <c r="I1680" i="6" s="1"/>
  <c r="H1681" i="6"/>
  <c r="I1681" i="6" s="1"/>
  <c r="H1682" i="6"/>
  <c r="I1682" i="6" s="1"/>
  <c r="H1683" i="6"/>
  <c r="I1683" i="6" s="1"/>
  <c r="H1684" i="6"/>
  <c r="I1684" i="6" s="1"/>
  <c r="H1685" i="6"/>
  <c r="I1685" i="6" s="1"/>
  <c r="H1686" i="6"/>
  <c r="I1686" i="6" s="1"/>
  <c r="H1687" i="6"/>
  <c r="I1687" i="6" s="1"/>
  <c r="H1688" i="6"/>
  <c r="I1688" i="6" s="1"/>
  <c r="H1689" i="6"/>
  <c r="I1689" i="6" s="1"/>
  <c r="H1690" i="6"/>
  <c r="I1690" i="6" s="1"/>
  <c r="H1691" i="6"/>
  <c r="I1691" i="6" s="1"/>
  <c r="H1692" i="6"/>
  <c r="I1692" i="6" s="1"/>
  <c r="H1693" i="6"/>
  <c r="I1693" i="6" s="1"/>
  <c r="H1694" i="6"/>
  <c r="I1694" i="6" s="1"/>
  <c r="H1695" i="6"/>
  <c r="I1695" i="6" s="1"/>
  <c r="H1696" i="6"/>
  <c r="I1696" i="6" s="1"/>
  <c r="H1697" i="6"/>
  <c r="I1697" i="6" s="1"/>
  <c r="H1698" i="6"/>
  <c r="I1698" i="6" s="1"/>
  <c r="H1699" i="6"/>
  <c r="I1699" i="6" s="1"/>
  <c r="H1700" i="6"/>
  <c r="I1700" i="6" s="1"/>
  <c r="H1701" i="6"/>
  <c r="I1701" i="6" s="1"/>
  <c r="H1702" i="6"/>
  <c r="I1702" i="6" s="1"/>
  <c r="H1703" i="6"/>
  <c r="I1703" i="6" s="1"/>
  <c r="H1704" i="6"/>
  <c r="I1704" i="6" s="1"/>
  <c r="H1705" i="6"/>
  <c r="I1705" i="6" s="1"/>
  <c r="H1706" i="6"/>
  <c r="I1706" i="6" s="1"/>
  <c r="H1707" i="6"/>
  <c r="I1707" i="6" s="1"/>
  <c r="H1708" i="6"/>
  <c r="I1708" i="6" s="1"/>
  <c r="H1709" i="6"/>
  <c r="I1709" i="6" s="1"/>
  <c r="H1710" i="6"/>
  <c r="I1710" i="6" s="1"/>
  <c r="H1711" i="6"/>
  <c r="I1711" i="6" s="1"/>
  <c r="H1712" i="6"/>
  <c r="I1712" i="6" s="1"/>
  <c r="H1713" i="6"/>
  <c r="I1713" i="6" s="1"/>
  <c r="H1714" i="6"/>
  <c r="I1714" i="6" s="1"/>
  <c r="H1715" i="6"/>
  <c r="I1715" i="6" s="1"/>
  <c r="H1716" i="6"/>
  <c r="I1716" i="6" s="1"/>
  <c r="H1717" i="6"/>
  <c r="I1717" i="6" s="1"/>
  <c r="H1718" i="6"/>
  <c r="I1718" i="6" s="1"/>
  <c r="H1719" i="6"/>
  <c r="I1719" i="6" s="1"/>
  <c r="H1720" i="6"/>
  <c r="I1720" i="6" s="1"/>
  <c r="H1721" i="6"/>
  <c r="I1721" i="6" s="1"/>
  <c r="H1722" i="6"/>
  <c r="I1722" i="6" s="1"/>
  <c r="H1723" i="6"/>
  <c r="I1723" i="6" s="1"/>
  <c r="H1724" i="6"/>
  <c r="I1724" i="6" s="1"/>
  <c r="H1725" i="6"/>
  <c r="I1725" i="6" s="1"/>
  <c r="H1726" i="6"/>
  <c r="I1726" i="6" s="1"/>
  <c r="H1727" i="6"/>
  <c r="I1727" i="6" s="1"/>
  <c r="H1728" i="6"/>
  <c r="I1728" i="6" s="1"/>
  <c r="H1729" i="6"/>
  <c r="I1729" i="6" s="1"/>
  <c r="H1730" i="6"/>
  <c r="I1730" i="6" s="1"/>
  <c r="H1731" i="6"/>
  <c r="I1731" i="6" s="1"/>
  <c r="H1732" i="6"/>
  <c r="I1732" i="6" s="1"/>
  <c r="H1733" i="6"/>
  <c r="I1733" i="6" s="1"/>
  <c r="H1734" i="6"/>
  <c r="I1734" i="6" s="1"/>
  <c r="H1735" i="6"/>
  <c r="I1735" i="6" s="1"/>
  <c r="H1736" i="6"/>
  <c r="I1736" i="6" s="1"/>
  <c r="H1737" i="6"/>
  <c r="I1737" i="6" s="1"/>
  <c r="H1738" i="6"/>
  <c r="I1738" i="6" s="1"/>
  <c r="H1739" i="6"/>
  <c r="I1739" i="6" s="1"/>
  <c r="H1740" i="6"/>
  <c r="I1740" i="6" s="1"/>
  <c r="H1741" i="6"/>
  <c r="I1741" i="6" s="1"/>
  <c r="H1742" i="6"/>
  <c r="I1742" i="6" s="1"/>
  <c r="H1743" i="6"/>
  <c r="I1743" i="6" s="1"/>
  <c r="H1744" i="6"/>
  <c r="I1744" i="6" s="1"/>
  <c r="H1745" i="6"/>
  <c r="I1745" i="6" s="1"/>
  <c r="H1746" i="6"/>
  <c r="I1746" i="6" s="1"/>
  <c r="H1747" i="6"/>
  <c r="I1747" i="6" s="1"/>
  <c r="H1748" i="6"/>
  <c r="I1748" i="6" s="1"/>
  <c r="H1749" i="6"/>
  <c r="I1749" i="6" s="1"/>
  <c r="H1750" i="6"/>
  <c r="I1750" i="6" s="1"/>
  <c r="H1751" i="6"/>
  <c r="I1751" i="6" s="1"/>
  <c r="H1752" i="6"/>
  <c r="I1752" i="6" s="1"/>
  <c r="H1753" i="6"/>
  <c r="I1753" i="6" s="1"/>
  <c r="H1754" i="6"/>
  <c r="I1754" i="6" s="1"/>
  <c r="H1755" i="6"/>
  <c r="I1755" i="6" s="1"/>
  <c r="H1756" i="6"/>
  <c r="I1756" i="6" s="1"/>
  <c r="H1757" i="6"/>
  <c r="I1757" i="6" s="1"/>
  <c r="H1758" i="6"/>
  <c r="I1758" i="6" s="1"/>
  <c r="H1759" i="6"/>
  <c r="I1759" i="6" s="1"/>
  <c r="H1760" i="6"/>
  <c r="I1760" i="6" s="1"/>
  <c r="H1761" i="6"/>
  <c r="I1761" i="6" s="1"/>
  <c r="H1762" i="6"/>
  <c r="I1762" i="6" s="1"/>
  <c r="H1763" i="6"/>
  <c r="I1763" i="6" s="1"/>
  <c r="H1764" i="6"/>
  <c r="I1764" i="6" s="1"/>
  <c r="H1765" i="6"/>
  <c r="I1765" i="6" s="1"/>
  <c r="H1766" i="6"/>
  <c r="I1766" i="6" s="1"/>
  <c r="H1767" i="6"/>
  <c r="I1767" i="6" s="1"/>
  <c r="H1768" i="6"/>
  <c r="I1768" i="6" s="1"/>
  <c r="H1769" i="6"/>
  <c r="I1769" i="6" s="1"/>
  <c r="H1770" i="6"/>
  <c r="I1770" i="6" s="1"/>
  <c r="H1771" i="6"/>
  <c r="I1771" i="6" s="1"/>
  <c r="H1772" i="6"/>
  <c r="I1772" i="6" s="1"/>
  <c r="H1773" i="6"/>
  <c r="I1773" i="6" s="1"/>
  <c r="H1774" i="6"/>
  <c r="I1774" i="6" s="1"/>
  <c r="H1775" i="6"/>
  <c r="I1775" i="6" s="1"/>
  <c r="H1776" i="6"/>
  <c r="I1776" i="6" s="1"/>
  <c r="H1777" i="6"/>
  <c r="I1777" i="6" s="1"/>
  <c r="H1778" i="6"/>
  <c r="I1778" i="6" s="1"/>
  <c r="H1779" i="6"/>
  <c r="I1779" i="6" s="1"/>
  <c r="H1780" i="6"/>
  <c r="I1780" i="6" s="1"/>
  <c r="H1781" i="6"/>
  <c r="I1781" i="6" s="1"/>
  <c r="H1782" i="6"/>
  <c r="I1782" i="6" s="1"/>
  <c r="H1783" i="6"/>
  <c r="I1783" i="6" s="1"/>
  <c r="H1784" i="6"/>
  <c r="I1784" i="6" s="1"/>
  <c r="H1785" i="6"/>
  <c r="I1785" i="6" s="1"/>
  <c r="H1786" i="6"/>
  <c r="I1786" i="6" s="1"/>
  <c r="H1787" i="6"/>
  <c r="I1787" i="6" s="1"/>
  <c r="H1788" i="6"/>
  <c r="I1788" i="6" s="1"/>
  <c r="H1789" i="6"/>
  <c r="I1789" i="6" s="1"/>
  <c r="H1790" i="6"/>
  <c r="I1790" i="6" s="1"/>
  <c r="H1791" i="6"/>
  <c r="I1791" i="6" s="1"/>
  <c r="H1792" i="6"/>
  <c r="I1792" i="6" s="1"/>
  <c r="H1793" i="6"/>
  <c r="I1793" i="6" s="1"/>
  <c r="H1794" i="6"/>
  <c r="I1794" i="6" s="1"/>
  <c r="H1795" i="6"/>
  <c r="I1795" i="6" s="1"/>
  <c r="H1796" i="6"/>
  <c r="I1796" i="6" s="1"/>
  <c r="H1797" i="6"/>
  <c r="I1797" i="6" s="1"/>
  <c r="H1798" i="6"/>
  <c r="I1798" i="6" s="1"/>
  <c r="H1799" i="6"/>
  <c r="I1799" i="6" s="1"/>
  <c r="H1800" i="6"/>
  <c r="I1800" i="6" s="1"/>
  <c r="H1801" i="6"/>
  <c r="I1801" i="6" s="1"/>
  <c r="H1802" i="6"/>
  <c r="I1802" i="6" s="1"/>
  <c r="H1803" i="6"/>
  <c r="I1803" i="6" s="1"/>
  <c r="H1804" i="6"/>
  <c r="I1804" i="6" s="1"/>
  <c r="H1805" i="6"/>
  <c r="I1805" i="6" s="1"/>
  <c r="H1806" i="6"/>
  <c r="I1806" i="6" s="1"/>
  <c r="H1807" i="6"/>
  <c r="I1807" i="6" s="1"/>
  <c r="H1808" i="6"/>
  <c r="I1808" i="6" s="1"/>
  <c r="H1809" i="6"/>
  <c r="I1809" i="6" s="1"/>
  <c r="H1810" i="6"/>
  <c r="I1810" i="6" s="1"/>
  <c r="H1811" i="6"/>
  <c r="I1811" i="6" s="1"/>
  <c r="H1812" i="6"/>
  <c r="I1812" i="6" s="1"/>
  <c r="H1813" i="6"/>
  <c r="I1813" i="6" s="1"/>
  <c r="H1814" i="6"/>
  <c r="I1814" i="6" s="1"/>
  <c r="H1815" i="6"/>
  <c r="I1815" i="6" s="1"/>
  <c r="H1816" i="6"/>
  <c r="I1816" i="6" s="1"/>
  <c r="H1817" i="6"/>
  <c r="I1817" i="6" s="1"/>
  <c r="H1818" i="6"/>
  <c r="I1818" i="6" s="1"/>
  <c r="H1819" i="6"/>
  <c r="I1819" i="6" s="1"/>
  <c r="H1820" i="6"/>
  <c r="I1820" i="6" s="1"/>
  <c r="H1821" i="6"/>
  <c r="I1821" i="6" s="1"/>
  <c r="H1822" i="6"/>
  <c r="I1822" i="6" s="1"/>
  <c r="H1823" i="6"/>
  <c r="I1823" i="6" s="1"/>
  <c r="H1824" i="6"/>
  <c r="I1824" i="6" s="1"/>
  <c r="H1825" i="6"/>
  <c r="I1825" i="6" s="1"/>
  <c r="H1826" i="6"/>
  <c r="I1826" i="6" s="1"/>
  <c r="H1827" i="6"/>
  <c r="I1827" i="6" s="1"/>
  <c r="H1828" i="6"/>
  <c r="I1828" i="6" s="1"/>
  <c r="H1829" i="6"/>
  <c r="I1829" i="6" s="1"/>
  <c r="H1830" i="6"/>
  <c r="I1830" i="6" s="1"/>
  <c r="H1831" i="6"/>
  <c r="I1831" i="6" s="1"/>
  <c r="H1832" i="6"/>
  <c r="I1832" i="6" s="1"/>
  <c r="H1833" i="6"/>
  <c r="I1833" i="6" s="1"/>
  <c r="H1834" i="6"/>
  <c r="I1834" i="6" s="1"/>
  <c r="H1835" i="6"/>
  <c r="I1835" i="6" s="1"/>
  <c r="H1836" i="6"/>
  <c r="I1836" i="6" s="1"/>
  <c r="H1837" i="6"/>
  <c r="I1837" i="6" s="1"/>
  <c r="H1838" i="6"/>
  <c r="I1838" i="6" s="1"/>
  <c r="H1839" i="6"/>
  <c r="I1839" i="6" s="1"/>
  <c r="H1840" i="6"/>
  <c r="I1840" i="6" s="1"/>
  <c r="H1841" i="6"/>
  <c r="I1841" i="6" s="1"/>
  <c r="H1842" i="6"/>
  <c r="I1842" i="6" s="1"/>
  <c r="H1843" i="6"/>
  <c r="I1843" i="6" s="1"/>
  <c r="H1844" i="6"/>
  <c r="I1844" i="6" s="1"/>
  <c r="H1845" i="6"/>
  <c r="I1845" i="6" s="1"/>
  <c r="H1846" i="6"/>
  <c r="I1846" i="6" s="1"/>
  <c r="H1847" i="6"/>
  <c r="I1847" i="6" s="1"/>
  <c r="H1848" i="6"/>
  <c r="I1848" i="6" s="1"/>
  <c r="H1849" i="6"/>
  <c r="I1849" i="6" s="1"/>
  <c r="H1850" i="6"/>
  <c r="I1850" i="6" s="1"/>
  <c r="H1851" i="6"/>
  <c r="I1851" i="6" s="1"/>
  <c r="H1852" i="6"/>
  <c r="I1852" i="6" s="1"/>
  <c r="H1853" i="6"/>
  <c r="I1853" i="6" s="1"/>
  <c r="H1854" i="6"/>
  <c r="I1854" i="6" s="1"/>
  <c r="H1855" i="6"/>
  <c r="I1855" i="6" s="1"/>
  <c r="H1856" i="6"/>
  <c r="I1856" i="6" s="1"/>
  <c r="H1857" i="6"/>
  <c r="I1857" i="6" s="1"/>
  <c r="H1858" i="6"/>
  <c r="I1858" i="6" s="1"/>
  <c r="H1859" i="6"/>
  <c r="I1859" i="6" s="1"/>
  <c r="H1860" i="6"/>
  <c r="I1860" i="6" s="1"/>
  <c r="H1861" i="6"/>
  <c r="I1861" i="6" s="1"/>
  <c r="H1862" i="6"/>
  <c r="I1862" i="6" s="1"/>
  <c r="H1863" i="6"/>
  <c r="I1863" i="6" s="1"/>
  <c r="H1864" i="6"/>
  <c r="I1864" i="6" s="1"/>
  <c r="H1865" i="6"/>
  <c r="I1865" i="6" s="1"/>
  <c r="H1866" i="6"/>
  <c r="I1866" i="6" s="1"/>
  <c r="H1867" i="6"/>
  <c r="I1867" i="6" s="1"/>
  <c r="H1868" i="6"/>
  <c r="I1868" i="6" s="1"/>
  <c r="H1869" i="6"/>
  <c r="I1869" i="6" s="1"/>
  <c r="H1870" i="6"/>
  <c r="I1870" i="6" s="1"/>
  <c r="H1871" i="6"/>
  <c r="I1871" i="6" s="1"/>
  <c r="H1872" i="6"/>
  <c r="I1872" i="6" s="1"/>
  <c r="H1873" i="6"/>
  <c r="I1873" i="6" s="1"/>
  <c r="H1874" i="6"/>
  <c r="I1874" i="6" s="1"/>
  <c r="H1875" i="6"/>
  <c r="I1875" i="6" s="1"/>
  <c r="H1876" i="6"/>
  <c r="I1876" i="6" s="1"/>
  <c r="H1877" i="6"/>
  <c r="I1877" i="6" s="1"/>
  <c r="H1878" i="6"/>
  <c r="I1878" i="6" s="1"/>
  <c r="H1879" i="6"/>
  <c r="I1879" i="6" s="1"/>
  <c r="H1880" i="6"/>
  <c r="I1880" i="6" s="1"/>
  <c r="H1881" i="6"/>
  <c r="I1881" i="6" s="1"/>
  <c r="H1882" i="6"/>
  <c r="I1882" i="6" s="1"/>
  <c r="H1883" i="6"/>
  <c r="I1883" i="6" s="1"/>
  <c r="H1884" i="6"/>
  <c r="I1884" i="6" s="1"/>
  <c r="H1885" i="6"/>
  <c r="I1885" i="6" s="1"/>
  <c r="H1886" i="6"/>
  <c r="I1886" i="6" s="1"/>
  <c r="H1887" i="6"/>
  <c r="I1887" i="6" s="1"/>
  <c r="H1888" i="6"/>
  <c r="I1888" i="6" s="1"/>
  <c r="H1889" i="6"/>
  <c r="I1889" i="6" s="1"/>
  <c r="H1890" i="6"/>
  <c r="I1890" i="6" s="1"/>
  <c r="H1891" i="6"/>
  <c r="I1891" i="6" s="1"/>
  <c r="H1892" i="6"/>
  <c r="I1892" i="6" s="1"/>
  <c r="H1893" i="6"/>
  <c r="I1893" i="6" s="1"/>
  <c r="H1894" i="6"/>
  <c r="I1894" i="6" s="1"/>
  <c r="H1895" i="6"/>
  <c r="I1895" i="6" s="1"/>
  <c r="H1896" i="6"/>
  <c r="I1896" i="6" s="1"/>
  <c r="H1897" i="6"/>
  <c r="I1897" i="6" s="1"/>
  <c r="H1898" i="6"/>
  <c r="I1898" i="6" s="1"/>
  <c r="H1899" i="6"/>
  <c r="I1899" i="6" s="1"/>
  <c r="H1900" i="6"/>
  <c r="I1900" i="6" s="1"/>
  <c r="H1901" i="6"/>
  <c r="I1901" i="6" s="1"/>
  <c r="H1902" i="6"/>
  <c r="I1902" i="6" s="1"/>
  <c r="H1903" i="6"/>
  <c r="I1903" i="6" s="1"/>
  <c r="H1904" i="6"/>
  <c r="I1904" i="6" s="1"/>
  <c r="H1905" i="6"/>
  <c r="I1905" i="6" s="1"/>
  <c r="H1906" i="6"/>
  <c r="I1906" i="6" s="1"/>
  <c r="H1907" i="6"/>
  <c r="I1907" i="6" s="1"/>
  <c r="H1908" i="6"/>
  <c r="I1908" i="6" s="1"/>
  <c r="H1909" i="6"/>
  <c r="I1909" i="6" s="1"/>
  <c r="H1910" i="6"/>
  <c r="I1910" i="6" s="1"/>
  <c r="H1911" i="6"/>
  <c r="I1911" i="6" s="1"/>
  <c r="H1912" i="6"/>
  <c r="I1912" i="6" s="1"/>
  <c r="H1913" i="6"/>
  <c r="I1913" i="6" s="1"/>
  <c r="H1914" i="6"/>
  <c r="I1914" i="6" s="1"/>
  <c r="H1915" i="6"/>
  <c r="I1915" i="6" s="1"/>
  <c r="H1916" i="6"/>
  <c r="I1916" i="6" s="1"/>
  <c r="H1917" i="6"/>
  <c r="I1917" i="6" s="1"/>
  <c r="H1918" i="6"/>
  <c r="I1918" i="6" s="1"/>
  <c r="H1919" i="6"/>
  <c r="I1919" i="6" s="1"/>
  <c r="H1920" i="6"/>
  <c r="I1920" i="6" s="1"/>
  <c r="H1921" i="6"/>
  <c r="I1921" i="6" s="1"/>
  <c r="H1922" i="6"/>
  <c r="I1922" i="6" s="1"/>
  <c r="H1923" i="6"/>
  <c r="I1923" i="6" s="1"/>
  <c r="H1924" i="6"/>
  <c r="I1924" i="6" s="1"/>
  <c r="H1925" i="6"/>
  <c r="I1925" i="6" s="1"/>
  <c r="H1926" i="6"/>
  <c r="I1926" i="6" s="1"/>
  <c r="H1927" i="6"/>
  <c r="I1927" i="6" s="1"/>
  <c r="H1928" i="6"/>
  <c r="I1928" i="6" s="1"/>
  <c r="H1929" i="6"/>
  <c r="I1929" i="6" s="1"/>
  <c r="H1930" i="6"/>
  <c r="I1930" i="6" s="1"/>
  <c r="H1931" i="6"/>
  <c r="I1931" i="6" s="1"/>
  <c r="H1932" i="6"/>
  <c r="I1932" i="6" s="1"/>
  <c r="H1933" i="6"/>
  <c r="I1933" i="6" s="1"/>
  <c r="H1934" i="6"/>
  <c r="I1934" i="6" s="1"/>
  <c r="H1935" i="6"/>
  <c r="I1935" i="6" s="1"/>
  <c r="H1936" i="6"/>
  <c r="I1936" i="6" s="1"/>
  <c r="H1937" i="6"/>
  <c r="I1937" i="6" s="1"/>
  <c r="H1938" i="6"/>
  <c r="I1938" i="6" s="1"/>
  <c r="H1939" i="6"/>
  <c r="I1939" i="6" s="1"/>
  <c r="H1940" i="6"/>
  <c r="I1940" i="6" s="1"/>
  <c r="H1941" i="6"/>
  <c r="I1941" i="6" s="1"/>
  <c r="H1942" i="6"/>
  <c r="I1942" i="6" s="1"/>
  <c r="H1943" i="6"/>
  <c r="I1943" i="6" s="1"/>
  <c r="H1944" i="6"/>
  <c r="I1944" i="6" s="1"/>
  <c r="H1945" i="6"/>
  <c r="I1945" i="6" s="1"/>
  <c r="H1946" i="6"/>
  <c r="I1946" i="6" s="1"/>
  <c r="H1947" i="6"/>
  <c r="I1947" i="6" s="1"/>
  <c r="H1948" i="6"/>
  <c r="I1948" i="6" s="1"/>
  <c r="H1949" i="6"/>
  <c r="I1949" i="6" s="1"/>
  <c r="H1950" i="6"/>
  <c r="I1950" i="6" s="1"/>
  <c r="H1951" i="6"/>
  <c r="I1951" i="6" s="1"/>
  <c r="H1952" i="6"/>
  <c r="I1952" i="6" s="1"/>
  <c r="H1953" i="6"/>
  <c r="I1953" i="6" s="1"/>
  <c r="H1954" i="6"/>
  <c r="I1954" i="6" s="1"/>
  <c r="H1955" i="6"/>
  <c r="I1955" i="6" s="1"/>
  <c r="H1956" i="6"/>
  <c r="I1956" i="6" s="1"/>
  <c r="H1957" i="6"/>
  <c r="I1957" i="6" s="1"/>
  <c r="H1958" i="6"/>
  <c r="I1958" i="6" s="1"/>
  <c r="H1959" i="6"/>
  <c r="I1959" i="6" s="1"/>
  <c r="H1960" i="6"/>
  <c r="I1960" i="6" s="1"/>
  <c r="H1961" i="6"/>
  <c r="I1961" i="6" s="1"/>
  <c r="H1962" i="6"/>
  <c r="I1962" i="6" s="1"/>
  <c r="H1963" i="6"/>
  <c r="I1963" i="6" s="1"/>
  <c r="H1964" i="6"/>
  <c r="I1964" i="6" s="1"/>
  <c r="H1965" i="6"/>
  <c r="I1965" i="6" s="1"/>
  <c r="H1966" i="6"/>
  <c r="I1966" i="6" s="1"/>
  <c r="H1967" i="6"/>
  <c r="I1967" i="6" s="1"/>
  <c r="H1968" i="6"/>
  <c r="I1968" i="6" s="1"/>
  <c r="H1969" i="6"/>
  <c r="I1969" i="6" s="1"/>
  <c r="H1970" i="6"/>
  <c r="I1970" i="6" s="1"/>
  <c r="H1971" i="6"/>
  <c r="I1971" i="6" s="1"/>
  <c r="H1972" i="6"/>
  <c r="I1972" i="6" s="1"/>
  <c r="H1973" i="6"/>
  <c r="I1973" i="6" s="1"/>
  <c r="H1974" i="6"/>
  <c r="I1974" i="6" s="1"/>
  <c r="H1975" i="6"/>
  <c r="I1975" i="6" s="1"/>
  <c r="H1976" i="6"/>
  <c r="I1976" i="6" s="1"/>
  <c r="H1977" i="6"/>
  <c r="I1977" i="6" s="1"/>
  <c r="H1978" i="6"/>
  <c r="I1978" i="6" s="1"/>
  <c r="H1979" i="6"/>
  <c r="I1979" i="6" s="1"/>
  <c r="H1980" i="6"/>
  <c r="I1980" i="6" s="1"/>
  <c r="H1981" i="6"/>
  <c r="I1981" i="6" s="1"/>
  <c r="H1982" i="6"/>
  <c r="I1982" i="6" s="1"/>
  <c r="H1983" i="6"/>
  <c r="I1983" i="6" s="1"/>
  <c r="H1984" i="6"/>
  <c r="I1984" i="6" s="1"/>
  <c r="H1985" i="6"/>
  <c r="I1985" i="6" s="1"/>
  <c r="H1986" i="6"/>
  <c r="I1986" i="6" s="1"/>
  <c r="H1987" i="6"/>
  <c r="I1987" i="6" s="1"/>
  <c r="H1988" i="6"/>
  <c r="I1988" i="6" s="1"/>
  <c r="H1989" i="6"/>
  <c r="I1989" i="6" s="1"/>
  <c r="H1990" i="6"/>
  <c r="I1990" i="6" s="1"/>
  <c r="H1991" i="6"/>
  <c r="I1991" i="6" s="1"/>
  <c r="H1992" i="6"/>
  <c r="I1992" i="6" s="1"/>
  <c r="H1993" i="6"/>
  <c r="I1993" i="6" s="1"/>
  <c r="H1994" i="6"/>
  <c r="I1994" i="6" s="1"/>
  <c r="H1995" i="6"/>
  <c r="I1995" i="6" s="1"/>
  <c r="H1996" i="6"/>
  <c r="I1996" i="6" s="1"/>
  <c r="H1997" i="6"/>
  <c r="I1997" i="6" s="1"/>
  <c r="H1998" i="6"/>
  <c r="I1998" i="6" s="1"/>
  <c r="H1999" i="6"/>
  <c r="I1999" i="6" s="1"/>
  <c r="H2000" i="6"/>
  <c r="I2000" i="6" s="1"/>
  <c r="H2001" i="6"/>
  <c r="I2001" i="6" s="1"/>
  <c r="H2002" i="6"/>
  <c r="I2002" i="6" s="1"/>
  <c r="H2003" i="6"/>
  <c r="I2003" i="6" s="1"/>
  <c r="H2004" i="6"/>
  <c r="I2004" i="6" s="1"/>
  <c r="H2005" i="6"/>
  <c r="I2005" i="6" s="1"/>
  <c r="H2006" i="6"/>
  <c r="I2006" i="6" s="1"/>
  <c r="H2007" i="6"/>
  <c r="I2007" i="6" s="1"/>
  <c r="H2008" i="6"/>
  <c r="I2008" i="6" s="1"/>
  <c r="H2009" i="6"/>
  <c r="I2009" i="6" s="1"/>
  <c r="H2010" i="6"/>
  <c r="I2010" i="6" s="1"/>
  <c r="H2011" i="6"/>
  <c r="I2011" i="6" s="1"/>
  <c r="H2012" i="6"/>
  <c r="I2012" i="6" s="1"/>
  <c r="H2013" i="6"/>
  <c r="I2013" i="6" s="1"/>
  <c r="H2014" i="6"/>
  <c r="I2014" i="6" s="1"/>
  <c r="H2015" i="6"/>
  <c r="I2015" i="6" s="1"/>
  <c r="H2016" i="6"/>
  <c r="I2016" i="6" s="1"/>
  <c r="H2017" i="6"/>
  <c r="I2017" i="6" s="1"/>
  <c r="H2018" i="6"/>
  <c r="I2018" i="6" s="1"/>
  <c r="H2019" i="6"/>
  <c r="I2019" i="6" s="1"/>
  <c r="H2020" i="6"/>
  <c r="I2020" i="6" s="1"/>
  <c r="H2021" i="6"/>
  <c r="I2021" i="6" s="1"/>
  <c r="H2022" i="6"/>
  <c r="I2022" i="6" s="1"/>
  <c r="H2023" i="6"/>
  <c r="I2023" i="6" s="1"/>
  <c r="H2024" i="6"/>
  <c r="I2024" i="6" s="1"/>
  <c r="H2025" i="6"/>
  <c r="I2025" i="6" s="1"/>
  <c r="H2026" i="6"/>
  <c r="I2026" i="6" s="1"/>
  <c r="H2027" i="6"/>
  <c r="I2027" i="6" s="1"/>
  <c r="H2028" i="6"/>
  <c r="I2028" i="6" s="1"/>
  <c r="H2029" i="6"/>
  <c r="I2029" i="6" s="1"/>
  <c r="H2030" i="6"/>
  <c r="I2030" i="6" s="1"/>
  <c r="H2031" i="6"/>
  <c r="I2031" i="6" s="1"/>
  <c r="H2032" i="6"/>
  <c r="I2032" i="6" s="1"/>
  <c r="H2033" i="6"/>
  <c r="I2033" i="6" s="1"/>
  <c r="H2034" i="6"/>
  <c r="I2034" i="6" s="1"/>
  <c r="H2035" i="6"/>
  <c r="I2035" i="6" s="1"/>
  <c r="H2036" i="6"/>
  <c r="I2036" i="6" s="1"/>
  <c r="H2037" i="6"/>
  <c r="I2037" i="6" s="1"/>
  <c r="H2038" i="6"/>
  <c r="I2038" i="6" s="1"/>
  <c r="H2039" i="6"/>
  <c r="I2039" i="6" s="1"/>
  <c r="H2040" i="6"/>
  <c r="I2040" i="6" s="1"/>
  <c r="H2041" i="6"/>
  <c r="I2041" i="6" s="1"/>
  <c r="H2042" i="6"/>
  <c r="I2042" i="6" s="1"/>
  <c r="H2043" i="6"/>
  <c r="I2043" i="6" s="1"/>
  <c r="H2044" i="6"/>
  <c r="I2044" i="6" s="1"/>
  <c r="H2045" i="6"/>
  <c r="I2045" i="6" s="1"/>
  <c r="H2046" i="6"/>
  <c r="I2046" i="6" s="1"/>
  <c r="H2047" i="6"/>
  <c r="I2047" i="6" s="1"/>
  <c r="H2048" i="6"/>
  <c r="I2048" i="6" s="1"/>
  <c r="H2049" i="6"/>
  <c r="I2049" i="6" s="1"/>
  <c r="H2050" i="6"/>
  <c r="I2050" i="6" s="1"/>
  <c r="H2051" i="6"/>
  <c r="I2051" i="6" s="1"/>
  <c r="H2052" i="6"/>
  <c r="I2052" i="6" s="1"/>
  <c r="H2053" i="6"/>
  <c r="I2053" i="6" s="1"/>
  <c r="H2054" i="6"/>
  <c r="I2054" i="6" s="1"/>
  <c r="H2055" i="6"/>
  <c r="I2055" i="6" s="1"/>
  <c r="H2056" i="6"/>
  <c r="I2056" i="6" s="1"/>
  <c r="H2057" i="6"/>
  <c r="I2057" i="6" s="1"/>
  <c r="H2058" i="6"/>
  <c r="I2058" i="6" s="1"/>
  <c r="H2059" i="6"/>
  <c r="I2059" i="6" s="1"/>
  <c r="H2060" i="6"/>
  <c r="I2060" i="6" s="1"/>
  <c r="H2061" i="6"/>
  <c r="I2061" i="6" s="1"/>
  <c r="H2062" i="6"/>
  <c r="I2062" i="6" s="1"/>
  <c r="H2063" i="6"/>
  <c r="I2063" i="6" s="1"/>
  <c r="H2064" i="6"/>
  <c r="I2064" i="6" s="1"/>
  <c r="H2065" i="6"/>
  <c r="I2065" i="6" s="1"/>
  <c r="H2066" i="6"/>
  <c r="I2066" i="6" s="1"/>
  <c r="H2067" i="6"/>
  <c r="I2067" i="6" s="1"/>
  <c r="H2068" i="6"/>
  <c r="I2068" i="6" s="1"/>
  <c r="H2069" i="6"/>
  <c r="I2069" i="6" s="1"/>
  <c r="H2070" i="6"/>
  <c r="I2070" i="6" s="1"/>
  <c r="H2071" i="6"/>
  <c r="I2071" i="6" s="1"/>
  <c r="H2072" i="6"/>
  <c r="I2072" i="6" s="1"/>
  <c r="H2073" i="6"/>
  <c r="I2073" i="6" s="1"/>
  <c r="H2074" i="6"/>
  <c r="I2074" i="6" s="1"/>
  <c r="H2075" i="6"/>
  <c r="I2075" i="6" s="1"/>
  <c r="H2076" i="6"/>
  <c r="I2076" i="6" s="1"/>
  <c r="H2077" i="6"/>
  <c r="I2077" i="6" s="1"/>
  <c r="H2078" i="6"/>
  <c r="I2078" i="6" s="1"/>
  <c r="H2079" i="6"/>
  <c r="I2079" i="6" s="1"/>
  <c r="H2080" i="6"/>
  <c r="I2080" i="6" s="1"/>
  <c r="H2081" i="6"/>
  <c r="I2081" i="6" s="1"/>
  <c r="H2082" i="6"/>
  <c r="I2082" i="6" s="1"/>
  <c r="H2083" i="6"/>
  <c r="I2083" i="6" s="1"/>
  <c r="H2084" i="6"/>
  <c r="I2084" i="6" s="1"/>
  <c r="H2085" i="6"/>
  <c r="I2085" i="6" s="1"/>
  <c r="H2086" i="6"/>
  <c r="I2086" i="6" s="1"/>
  <c r="H2087" i="6"/>
  <c r="I2087" i="6" s="1"/>
  <c r="H2088" i="6"/>
  <c r="I2088" i="6" s="1"/>
  <c r="H2089" i="6"/>
  <c r="I2089" i="6" s="1"/>
  <c r="H2090" i="6"/>
  <c r="I2090" i="6" s="1"/>
  <c r="H2091" i="6"/>
  <c r="I2091" i="6" s="1"/>
  <c r="H2092" i="6"/>
  <c r="I2092" i="6" s="1"/>
  <c r="H2093" i="6"/>
  <c r="I2093" i="6" s="1"/>
  <c r="H2094" i="6"/>
  <c r="I2094" i="6" s="1"/>
  <c r="H2095" i="6"/>
  <c r="I2095" i="6" s="1"/>
  <c r="H2096" i="6"/>
  <c r="I2096" i="6" s="1"/>
  <c r="H2097" i="6"/>
  <c r="I2097" i="6" s="1"/>
  <c r="H2098" i="6"/>
  <c r="I2098" i="6" s="1"/>
  <c r="H2099" i="6"/>
  <c r="I2099" i="6" s="1"/>
  <c r="H2100" i="6"/>
  <c r="I2100" i="6" s="1"/>
  <c r="H2101" i="6"/>
  <c r="I2101" i="6" s="1"/>
  <c r="H2102" i="6"/>
  <c r="I2102" i="6" s="1"/>
  <c r="H2103" i="6"/>
  <c r="I2103" i="6" s="1"/>
  <c r="H2104" i="6"/>
  <c r="I2104" i="6" s="1"/>
  <c r="H2105" i="6"/>
  <c r="I2105" i="6" s="1"/>
  <c r="H2106" i="6"/>
  <c r="I2106" i="6" s="1"/>
  <c r="H2107" i="6"/>
  <c r="I2107" i="6" s="1"/>
  <c r="H2108" i="6"/>
  <c r="I2108" i="6" s="1"/>
  <c r="H2109" i="6"/>
  <c r="I2109" i="6" s="1"/>
  <c r="H2110" i="6"/>
  <c r="I2110" i="6" s="1"/>
  <c r="H2111" i="6"/>
  <c r="I2111" i="6" s="1"/>
  <c r="H2112" i="6"/>
  <c r="I2112" i="6" s="1"/>
  <c r="H2113" i="6"/>
  <c r="I2113" i="6" s="1"/>
  <c r="H2114" i="6"/>
  <c r="I2114" i="6" s="1"/>
  <c r="H2115" i="6"/>
  <c r="I2115" i="6" s="1"/>
  <c r="H2116" i="6"/>
  <c r="I2116" i="6" s="1"/>
  <c r="H2117" i="6"/>
  <c r="I2117" i="6" s="1"/>
  <c r="H2118" i="6"/>
  <c r="I2118" i="6" s="1"/>
  <c r="H2119" i="6"/>
  <c r="I2119" i="6" s="1"/>
  <c r="H2120" i="6"/>
  <c r="I2120" i="6" s="1"/>
  <c r="H2121" i="6"/>
  <c r="I2121" i="6" s="1"/>
  <c r="H2122" i="6"/>
  <c r="I2122" i="6" s="1"/>
  <c r="H2123" i="6"/>
  <c r="I2123" i="6" s="1"/>
  <c r="H2124" i="6"/>
  <c r="I2124" i="6" s="1"/>
  <c r="H2125" i="6"/>
  <c r="I2125" i="6" s="1"/>
  <c r="H2126" i="6"/>
  <c r="I2126" i="6" s="1"/>
  <c r="H2127" i="6"/>
  <c r="I2127" i="6" s="1"/>
  <c r="H2128" i="6"/>
  <c r="I2128" i="6" s="1"/>
  <c r="H2129" i="6"/>
  <c r="I2129" i="6" s="1"/>
  <c r="H2130" i="6"/>
  <c r="I2130" i="6" s="1"/>
  <c r="H2131" i="6"/>
  <c r="I2131" i="6" s="1"/>
  <c r="H2132" i="6"/>
  <c r="I2132" i="6" s="1"/>
  <c r="H2133" i="6"/>
  <c r="I2133" i="6" s="1"/>
  <c r="H2134" i="6"/>
  <c r="I2134" i="6" s="1"/>
  <c r="H2135" i="6"/>
  <c r="I2135" i="6" s="1"/>
  <c r="H2136" i="6"/>
  <c r="I2136" i="6" s="1"/>
  <c r="H2137" i="6"/>
  <c r="I2137" i="6" s="1"/>
  <c r="H2138" i="6"/>
  <c r="I2138" i="6" s="1"/>
  <c r="H2139" i="6"/>
  <c r="I2139" i="6" s="1"/>
  <c r="H2140" i="6"/>
  <c r="I2140" i="6" s="1"/>
  <c r="H2141" i="6"/>
  <c r="I2141" i="6" s="1"/>
  <c r="H2142" i="6"/>
  <c r="I2142" i="6" s="1"/>
  <c r="H2143" i="6"/>
  <c r="I2143" i="6" s="1"/>
  <c r="H2144" i="6"/>
  <c r="I2144" i="6" s="1"/>
  <c r="H2145" i="6"/>
  <c r="I2145" i="6" s="1"/>
  <c r="H2146" i="6"/>
  <c r="I2146" i="6" s="1"/>
  <c r="H2147" i="6"/>
  <c r="I2147" i="6" s="1"/>
  <c r="H2148" i="6"/>
  <c r="I2148" i="6" s="1"/>
  <c r="H2149" i="6"/>
  <c r="I2149" i="6" s="1"/>
  <c r="H2150" i="6"/>
  <c r="I2150" i="6" s="1"/>
  <c r="H2151" i="6"/>
  <c r="I2151" i="6" s="1"/>
  <c r="H2152" i="6"/>
  <c r="I2152" i="6" s="1"/>
  <c r="H2153" i="6"/>
  <c r="I2153" i="6" s="1"/>
  <c r="H2154" i="6"/>
  <c r="I2154" i="6" s="1"/>
  <c r="H2155" i="6"/>
  <c r="I2155" i="6" s="1"/>
  <c r="H2156" i="6"/>
  <c r="I2156" i="6" s="1"/>
  <c r="H2157" i="6"/>
  <c r="I2157" i="6" s="1"/>
  <c r="H2158" i="6"/>
  <c r="I2158" i="6" s="1"/>
  <c r="H2159" i="6"/>
  <c r="I2159" i="6" s="1"/>
  <c r="H2160" i="6"/>
  <c r="I2160" i="6" s="1"/>
  <c r="H2161" i="6"/>
  <c r="I2161" i="6" s="1"/>
  <c r="H2162" i="6"/>
  <c r="I2162" i="6" s="1"/>
  <c r="H2163" i="6"/>
  <c r="I2163" i="6" s="1"/>
  <c r="H2164" i="6"/>
  <c r="I2164" i="6" s="1"/>
  <c r="H2165" i="6"/>
  <c r="I2165" i="6" s="1"/>
  <c r="H2166" i="6"/>
  <c r="I2166" i="6" s="1"/>
  <c r="H2167" i="6"/>
  <c r="I2167" i="6" s="1"/>
  <c r="H2168" i="6"/>
  <c r="I2168" i="6" s="1"/>
  <c r="H2169" i="6"/>
  <c r="I2169" i="6" s="1"/>
  <c r="H2170" i="6"/>
  <c r="I2170" i="6" s="1"/>
  <c r="H2171" i="6"/>
  <c r="I2171" i="6" s="1"/>
  <c r="H2172" i="6"/>
  <c r="I2172" i="6" s="1"/>
  <c r="H2173" i="6"/>
  <c r="I2173" i="6" s="1"/>
  <c r="H2174" i="6"/>
  <c r="I2174" i="6" s="1"/>
  <c r="H2175" i="6"/>
  <c r="I2175" i="6" s="1"/>
  <c r="H2176" i="6"/>
  <c r="I2176" i="6" s="1"/>
  <c r="H2177" i="6"/>
  <c r="I2177" i="6" s="1"/>
  <c r="H2178" i="6"/>
  <c r="I2178" i="6" s="1"/>
  <c r="H2179" i="6"/>
  <c r="I2179" i="6" s="1"/>
  <c r="H2180" i="6"/>
  <c r="I2180" i="6" s="1"/>
  <c r="H2181" i="6"/>
  <c r="I2181" i="6" s="1"/>
  <c r="H2182" i="6"/>
  <c r="I2182" i="6" s="1"/>
  <c r="H2183" i="6"/>
  <c r="I2183" i="6" s="1"/>
  <c r="H2184" i="6"/>
  <c r="I2184" i="6" s="1"/>
  <c r="H2185" i="6"/>
  <c r="I2185" i="6" s="1"/>
  <c r="H2186" i="6"/>
  <c r="I2186" i="6" s="1"/>
  <c r="H2187" i="6"/>
  <c r="I2187" i="6" s="1"/>
  <c r="H2188" i="6"/>
  <c r="I2188" i="6" s="1"/>
  <c r="H2189" i="6"/>
  <c r="I2189" i="6" s="1"/>
  <c r="H2190" i="6"/>
  <c r="I2190" i="6" s="1"/>
  <c r="H2191" i="6"/>
  <c r="I2191" i="6" s="1"/>
  <c r="H2192" i="6"/>
  <c r="I2192" i="6" s="1"/>
  <c r="H2193" i="6"/>
  <c r="I2193" i="6" s="1"/>
  <c r="H2194" i="6"/>
  <c r="I2194" i="6" s="1"/>
  <c r="H2195" i="6"/>
  <c r="I2195" i="6" s="1"/>
  <c r="H2196" i="6"/>
  <c r="I2196" i="6" s="1"/>
  <c r="H2197" i="6"/>
  <c r="I2197" i="6" s="1"/>
  <c r="H2198" i="6"/>
  <c r="I2198" i="6" s="1"/>
  <c r="H2199" i="6"/>
  <c r="I2199" i="6" s="1"/>
  <c r="H2200" i="6"/>
  <c r="I2200" i="6" s="1"/>
  <c r="H2201" i="6"/>
  <c r="I2201" i="6" s="1"/>
  <c r="H2202" i="6"/>
  <c r="I2202" i="6" s="1"/>
  <c r="H2203" i="6"/>
  <c r="I2203" i="6" s="1"/>
  <c r="H2204" i="6"/>
  <c r="I2204" i="6" s="1"/>
  <c r="H2205" i="6"/>
  <c r="I2205" i="6" s="1"/>
  <c r="H2206" i="6"/>
  <c r="I2206" i="6" s="1"/>
  <c r="H2207" i="6"/>
  <c r="I2207" i="6" s="1"/>
  <c r="H2208" i="6"/>
  <c r="I2208" i="6" s="1"/>
  <c r="H2209" i="6"/>
  <c r="I2209" i="6" s="1"/>
  <c r="H2210" i="6"/>
  <c r="I2210" i="6" s="1"/>
  <c r="H2211" i="6"/>
  <c r="I2211" i="6" s="1"/>
  <c r="H2212" i="6"/>
  <c r="I2212" i="6" s="1"/>
  <c r="H2213" i="6"/>
  <c r="I2213" i="6" s="1"/>
  <c r="H2214" i="6"/>
  <c r="I2214" i="6" s="1"/>
  <c r="H2215" i="6"/>
  <c r="I2215" i="6" s="1"/>
  <c r="H2216" i="6"/>
  <c r="I2216" i="6" s="1"/>
  <c r="H2217" i="6"/>
  <c r="I2217" i="6" s="1"/>
  <c r="H2218" i="6"/>
  <c r="I2218" i="6" s="1"/>
  <c r="H2219" i="6"/>
  <c r="I2219" i="6" s="1"/>
  <c r="H2220" i="6"/>
  <c r="I2220" i="6" s="1"/>
  <c r="H2221" i="6"/>
  <c r="I2221" i="6" s="1"/>
  <c r="H2222" i="6"/>
  <c r="I2222" i="6" s="1"/>
  <c r="H2223" i="6"/>
  <c r="I2223" i="6" s="1"/>
  <c r="H2224" i="6"/>
  <c r="I2224" i="6" s="1"/>
  <c r="H2225" i="6"/>
  <c r="I2225" i="6" s="1"/>
  <c r="H2226" i="6"/>
  <c r="I2226" i="6" s="1"/>
  <c r="H2227" i="6"/>
  <c r="I2227" i="6" s="1"/>
  <c r="H2228" i="6"/>
  <c r="I2228" i="6" s="1"/>
  <c r="H2229" i="6"/>
  <c r="I2229" i="6" s="1"/>
  <c r="H2230" i="6"/>
  <c r="I2230" i="6" s="1"/>
  <c r="H2231" i="6"/>
  <c r="I2231" i="6" s="1"/>
  <c r="H2232" i="6"/>
  <c r="I2232" i="6" s="1"/>
  <c r="H2233" i="6"/>
  <c r="I2233" i="6" s="1"/>
  <c r="H2234" i="6"/>
  <c r="I2234" i="6" s="1"/>
  <c r="H2235" i="6"/>
  <c r="I2235" i="6" s="1"/>
  <c r="H2236" i="6"/>
  <c r="I2236" i="6" s="1"/>
  <c r="H2237" i="6"/>
  <c r="I2237" i="6" s="1"/>
  <c r="H2238" i="6"/>
  <c r="I2238" i="6" s="1"/>
  <c r="H2239" i="6"/>
  <c r="I2239" i="6" s="1"/>
  <c r="H2240" i="6"/>
  <c r="I2240" i="6" s="1"/>
  <c r="H2241" i="6"/>
  <c r="I2241" i="6" s="1"/>
  <c r="H2242" i="6"/>
  <c r="I2242" i="6" s="1"/>
  <c r="H2243" i="6"/>
  <c r="I2243" i="6" s="1"/>
  <c r="H2244" i="6"/>
  <c r="I2244" i="6" s="1"/>
  <c r="H2245" i="6"/>
  <c r="I2245" i="6" s="1"/>
  <c r="H2246" i="6"/>
  <c r="I2246" i="6" s="1"/>
  <c r="H2247" i="6"/>
  <c r="I2247" i="6" s="1"/>
  <c r="H2248" i="6"/>
  <c r="I2248" i="6" s="1"/>
  <c r="H2249" i="6"/>
  <c r="I2249" i="6" s="1"/>
  <c r="H2250" i="6"/>
  <c r="I2250" i="6" s="1"/>
  <c r="H2251" i="6"/>
  <c r="I2251" i="6" s="1"/>
  <c r="H2252" i="6"/>
  <c r="I2252" i="6" s="1"/>
  <c r="H2253" i="6"/>
  <c r="I2253" i="6" s="1"/>
  <c r="H2254" i="6"/>
  <c r="I2254" i="6" s="1"/>
  <c r="H2255" i="6"/>
  <c r="I2255" i="6" s="1"/>
  <c r="H2256" i="6"/>
  <c r="I2256" i="6" s="1"/>
  <c r="H2257" i="6"/>
  <c r="I2257" i="6" s="1"/>
  <c r="H2258" i="6"/>
  <c r="I2258" i="6" s="1"/>
  <c r="H2259" i="6"/>
  <c r="I2259" i="6" s="1"/>
  <c r="H2260" i="6"/>
  <c r="I2260" i="6" s="1"/>
  <c r="H2261" i="6"/>
  <c r="I2261" i="6" s="1"/>
  <c r="H2262" i="6"/>
  <c r="I2262" i="6" s="1"/>
  <c r="H2263" i="6"/>
  <c r="I2263" i="6" s="1"/>
  <c r="H2264" i="6"/>
  <c r="I2264" i="6" s="1"/>
  <c r="H2265" i="6"/>
  <c r="I2265" i="6" s="1"/>
  <c r="H2266" i="6"/>
  <c r="I2266" i="6" s="1"/>
  <c r="H2267" i="6"/>
  <c r="I2267" i="6" s="1"/>
  <c r="H2268" i="6"/>
  <c r="I2268" i="6" s="1"/>
  <c r="H2269" i="6"/>
  <c r="I2269" i="6" s="1"/>
  <c r="H2270" i="6"/>
  <c r="I2270" i="6" s="1"/>
  <c r="H2271" i="6"/>
  <c r="I2271" i="6" s="1"/>
  <c r="H2272" i="6"/>
  <c r="I2272" i="6" s="1"/>
  <c r="H2273" i="6"/>
  <c r="I2273" i="6" s="1"/>
  <c r="H2274" i="6"/>
  <c r="I2274" i="6" s="1"/>
  <c r="H2275" i="6"/>
  <c r="I2275" i="6" s="1"/>
  <c r="H2276" i="6"/>
  <c r="I2276" i="6" s="1"/>
  <c r="H2277" i="6"/>
  <c r="I2277" i="6" s="1"/>
  <c r="H2278" i="6"/>
  <c r="I2278" i="6" s="1"/>
  <c r="H2279" i="6"/>
  <c r="I2279" i="6" s="1"/>
  <c r="H2280" i="6"/>
  <c r="I2280" i="6" s="1"/>
  <c r="H2281" i="6"/>
  <c r="I2281" i="6" s="1"/>
  <c r="H2282" i="6"/>
  <c r="I2282" i="6" s="1"/>
  <c r="H2283" i="6"/>
  <c r="I2283" i="6" s="1"/>
  <c r="H2284" i="6"/>
  <c r="I2284" i="6" s="1"/>
  <c r="H2285" i="6"/>
  <c r="I2285" i="6" s="1"/>
  <c r="H2286" i="6"/>
  <c r="I2286" i="6" s="1"/>
  <c r="H2287" i="6"/>
  <c r="I2287" i="6" s="1"/>
  <c r="H2288" i="6"/>
  <c r="I2288" i="6" s="1"/>
  <c r="H2289" i="6"/>
  <c r="I2289" i="6" s="1"/>
  <c r="H2290" i="6"/>
  <c r="I2290" i="6" s="1"/>
  <c r="H2291" i="6"/>
  <c r="I2291" i="6" s="1"/>
  <c r="H2292" i="6"/>
  <c r="I2292" i="6" s="1"/>
  <c r="H2293" i="6"/>
  <c r="I2293" i="6" s="1"/>
  <c r="H2294" i="6"/>
  <c r="I2294" i="6" s="1"/>
  <c r="H2295" i="6"/>
  <c r="I2295" i="6" s="1"/>
  <c r="H2296" i="6"/>
  <c r="I2296" i="6" s="1"/>
  <c r="H2297" i="6"/>
  <c r="I2297" i="6" s="1"/>
  <c r="H2298" i="6"/>
  <c r="I2298" i="6" s="1"/>
  <c r="H2299" i="6"/>
  <c r="I2299" i="6" s="1"/>
  <c r="H2300" i="6"/>
  <c r="I2300" i="6" s="1"/>
  <c r="H2301" i="6"/>
  <c r="I2301" i="6" s="1"/>
  <c r="H2302" i="6"/>
  <c r="I2302" i="6" s="1"/>
  <c r="H2303" i="6"/>
  <c r="I2303" i="6" s="1"/>
  <c r="H2304" i="6"/>
  <c r="I2304" i="6" s="1"/>
  <c r="H2305" i="6"/>
  <c r="I2305" i="6" s="1"/>
  <c r="H2306" i="6"/>
  <c r="I2306" i="6" s="1"/>
  <c r="H2307" i="6"/>
  <c r="I2307" i="6" s="1"/>
  <c r="H2308" i="6"/>
  <c r="I2308" i="6" s="1"/>
  <c r="H2309" i="6"/>
  <c r="I2309" i="6" s="1"/>
  <c r="H2310" i="6"/>
  <c r="I2310" i="6" s="1"/>
  <c r="H2311" i="6"/>
  <c r="I2311" i="6" s="1"/>
  <c r="H2312" i="6"/>
  <c r="I2312" i="6" s="1"/>
  <c r="H2313" i="6"/>
  <c r="I2313" i="6" s="1"/>
  <c r="H2314" i="6"/>
  <c r="I2314" i="6" s="1"/>
  <c r="H2315" i="6"/>
  <c r="I2315" i="6" s="1"/>
  <c r="H2316" i="6"/>
  <c r="I2316" i="6" s="1"/>
  <c r="H2317" i="6"/>
  <c r="I2317" i="6" s="1"/>
  <c r="H2318" i="6"/>
  <c r="I2318" i="6" s="1"/>
  <c r="H2319" i="6"/>
  <c r="I2319" i="6" s="1"/>
  <c r="H2320" i="6"/>
  <c r="I2320" i="6" s="1"/>
  <c r="H2321" i="6"/>
  <c r="I2321" i="6" s="1"/>
  <c r="H2322" i="6"/>
  <c r="I2322" i="6" s="1"/>
  <c r="H2323" i="6"/>
  <c r="I2323" i="6" s="1"/>
  <c r="H2324" i="6"/>
  <c r="I2324" i="6" s="1"/>
  <c r="H2325" i="6"/>
  <c r="I2325" i="6" s="1"/>
  <c r="H2326" i="6"/>
  <c r="I2326" i="6" s="1"/>
  <c r="H2327" i="6"/>
  <c r="I2327" i="6" s="1"/>
  <c r="H2328" i="6"/>
  <c r="I2328" i="6" s="1"/>
  <c r="H2329" i="6"/>
  <c r="I2329" i="6" s="1"/>
  <c r="H2330" i="6"/>
  <c r="I2330" i="6" s="1"/>
  <c r="H2331" i="6"/>
  <c r="I2331" i="6" s="1"/>
  <c r="H2332" i="6"/>
  <c r="I2332" i="6" s="1"/>
  <c r="H2333" i="6"/>
  <c r="I2333" i="6" s="1"/>
  <c r="H2334" i="6"/>
  <c r="I2334" i="6" s="1"/>
  <c r="H2335" i="6"/>
  <c r="I2335" i="6" s="1"/>
  <c r="H2336" i="6"/>
  <c r="I2336" i="6" s="1"/>
  <c r="H2337" i="6"/>
  <c r="I2337" i="6" s="1"/>
  <c r="H2338" i="6"/>
  <c r="I2338" i="6" s="1"/>
  <c r="H2339" i="6"/>
  <c r="I2339" i="6" s="1"/>
  <c r="H2340" i="6"/>
  <c r="I2340" i="6" s="1"/>
  <c r="H2341" i="6"/>
  <c r="I2341" i="6" s="1"/>
  <c r="H2342" i="6"/>
  <c r="I2342" i="6" s="1"/>
  <c r="H2343" i="6"/>
  <c r="I2343" i="6" s="1"/>
  <c r="H2344" i="6"/>
  <c r="I2344" i="6" s="1"/>
  <c r="H2345" i="6"/>
  <c r="I2345" i="6" s="1"/>
  <c r="H2346" i="6"/>
  <c r="I2346" i="6" s="1"/>
  <c r="H2347" i="6"/>
  <c r="I2347" i="6" s="1"/>
  <c r="H2348" i="6"/>
  <c r="I2348" i="6" s="1"/>
  <c r="H2349" i="6"/>
  <c r="I2349" i="6" s="1"/>
  <c r="H2350" i="6"/>
  <c r="I2350" i="6" s="1"/>
  <c r="H2351" i="6"/>
  <c r="I2351" i="6" s="1"/>
  <c r="H2352" i="6"/>
  <c r="I2352" i="6" s="1"/>
  <c r="H2353" i="6"/>
  <c r="I2353" i="6" s="1"/>
  <c r="H2354" i="6"/>
  <c r="I2354" i="6" s="1"/>
  <c r="H2355" i="6"/>
  <c r="I2355" i="6" s="1"/>
  <c r="H2356" i="6"/>
  <c r="I2356" i="6" s="1"/>
  <c r="H2357" i="6"/>
  <c r="I2357" i="6" s="1"/>
  <c r="H2358" i="6"/>
  <c r="I2358" i="6" s="1"/>
  <c r="H2359" i="6"/>
  <c r="I2359" i="6" s="1"/>
  <c r="H2360" i="6"/>
  <c r="I2360" i="6" s="1"/>
  <c r="H2361" i="6"/>
  <c r="I2361" i="6" s="1"/>
  <c r="H2362" i="6"/>
  <c r="I2362" i="6" s="1"/>
  <c r="H2363" i="6"/>
  <c r="I2363" i="6" s="1"/>
  <c r="H2364" i="6"/>
  <c r="I2364" i="6" s="1"/>
  <c r="H2365" i="6"/>
  <c r="I2365" i="6" s="1"/>
  <c r="H2366" i="6"/>
  <c r="I2366" i="6" s="1"/>
  <c r="H2367" i="6"/>
  <c r="I2367" i="6" s="1"/>
  <c r="H2368" i="6"/>
  <c r="I2368" i="6" s="1"/>
  <c r="H2369" i="6"/>
  <c r="I2369" i="6" s="1"/>
  <c r="H2370" i="6"/>
  <c r="I2370" i="6" s="1"/>
  <c r="H2371" i="6"/>
  <c r="I2371" i="6" s="1"/>
  <c r="H2372" i="6"/>
  <c r="I2372" i="6" s="1"/>
  <c r="H2373" i="6"/>
  <c r="I2373" i="6" s="1"/>
  <c r="H2374" i="6"/>
  <c r="I2374" i="6" s="1"/>
  <c r="H2375" i="6"/>
  <c r="I2375" i="6" s="1"/>
  <c r="H2376" i="6"/>
  <c r="I2376" i="6" s="1"/>
  <c r="H2377" i="6"/>
  <c r="I2377" i="6" s="1"/>
  <c r="H2378" i="6"/>
  <c r="I2378" i="6" s="1"/>
  <c r="H2379" i="6"/>
  <c r="I2379" i="6" s="1"/>
  <c r="H2380" i="6"/>
  <c r="I2380" i="6" s="1"/>
  <c r="H2381" i="6"/>
  <c r="I2381" i="6" s="1"/>
  <c r="H2382" i="6"/>
  <c r="I2382" i="6" s="1"/>
  <c r="H2383" i="6"/>
  <c r="I2383" i="6" s="1"/>
  <c r="H2384" i="6"/>
  <c r="I2384" i="6" s="1"/>
  <c r="H2385" i="6"/>
  <c r="I2385" i="6" s="1"/>
  <c r="H2386" i="6"/>
  <c r="I2386" i="6" s="1"/>
  <c r="H2387" i="6"/>
  <c r="I2387" i="6" s="1"/>
  <c r="H2388" i="6"/>
  <c r="I2388" i="6" s="1"/>
  <c r="H2389" i="6"/>
  <c r="I2389" i="6" s="1"/>
  <c r="H2390" i="6"/>
  <c r="I2390" i="6" s="1"/>
  <c r="H2391" i="6"/>
  <c r="I2391" i="6" s="1"/>
  <c r="H2392" i="6"/>
  <c r="I2392" i="6" s="1"/>
  <c r="H2393" i="6"/>
  <c r="I2393" i="6" s="1"/>
  <c r="H2394" i="6"/>
  <c r="I2394" i="6" s="1"/>
  <c r="H2395" i="6"/>
  <c r="I2395" i="6" s="1"/>
  <c r="H2396" i="6"/>
  <c r="I2396" i="6" s="1"/>
  <c r="H2397" i="6"/>
  <c r="I2397" i="6" s="1"/>
  <c r="H2398" i="6"/>
  <c r="I2398" i="6" s="1"/>
  <c r="H2399" i="6"/>
  <c r="I2399" i="6" s="1"/>
  <c r="H2400" i="6"/>
  <c r="I2400" i="6" s="1"/>
  <c r="H2401" i="6"/>
  <c r="I2401" i="6" s="1"/>
  <c r="H2402" i="6"/>
  <c r="I2402" i="6" s="1"/>
  <c r="H2403" i="6"/>
  <c r="I2403" i="6" s="1"/>
  <c r="H2404" i="6"/>
  <c r="I2404" i="6" s="1"/>
  <c r="H2405" i="6"/>
  <c r="I2405" i="6" s="1"/>
  <c r="H2406" i="6"/>
  <c r="I2406" i="6" s="1"/>
  <c r="H2407" i="6"/>
  <c r="I2407" i="6" s="1"/>
  <c r="H2408" i="6"/>
  <c r="I2408" i="6" s="1"/>
  <c r="H2409" i="6"/>
  <c r="I2409" i="6" s="1"/>
  <c r="H2410" i="6"/>
  <c r="I2410" i="6" s="1"/>
  <c r="H2411" i="6"/>
  <c r="I2411" i="6" s="1"/>
  <c r="H2412" i="6"/>
  <c r="I2412" i="6" s="1"/>
  <c r="H2413" i="6"/>
  <c r="I2413" i="6" s="1"/>
  <c r="H2414" i="6"/>
  <c r="I2414" i="6" s="1"/>
  <c r="H2415" i="6"/>
  <c r="I2415" i="6" s="1"/>
  <c r="H2416" i="6"/>
  <c r="I2416" i="6" s="1"/>
  <c r="H2417" i="6"/>
  <c r="I2417" i="6" s="1"/>
  <c r="H2418" i="6"/>
  <c r="I2418" i="6" s="1"/>
  <c r="H2419" i="6"/>
  <c r="I2419" i="6" s="1"/>
  <c r="H2420" i="6"/>
  <c r="I2420" i="6" s="1"/>
  <c r="H2421" i="6"/>
  <c r="I2421" i="6" s="1"/>
  <c r="H2422" i="6"/>
  <c r="I2422" i="6" s="1"/>
  <c r="H2423" i="6"/>
  <c r="I2423" i="6" s="1"/>
  <c r="H2424" i="6"/>
  <c r="I2424" i="6" s="1"/>
  <c r="H2425" i="6"/>
  <c r="I2425" i="6" s="1"/>
  <c r="H2426" i="6"/>
  <c r="I2426" i="6" s="1"/>
  <c r="H2427" i="6"/>
  <c r="I2427" i="6" s="1"/>
  <c r="H2428" i="6"/>
  <c r="I2428" i="6" s="1"/>
  <c r="H2429" i="6"/>
  <c r="I2429" i="6" s="1"/>
  <c r="H2430" i="6"/>
  <c r="I2430" i="6" s="1"/>
  <c r="H2431" i="6"/>
  <c r="I2431" i="6" s="1"/>
  <c r="H2432" i="6"/>
  <c r="I2432" i="6" s="1"/>
  <c r="H2433" i="6"/>
  <c r="I2433" i="6" s="1"/>
  <c r="H2434" i="6"/>
  <c r="I2434" i="6" s="1"/>
  <c r="H2435" i="6"/>
  <c r="I2435" i="6" s="1"/>
  <c r="H2436" i="6"/>
  <c r="I2436" i="6" s="1"/>
  <c r="H2437" i="6"/>
  <c r="I2437" i="6" s="1"/>
  <c r="H2438" i="6"/>
  <c r="I2438" i="6" s="1"/>
  <c r="H2439" i="6"/>
  <c r="I2439" i="6" s="1"/>
  <c r="H2440" i="6"/>
  <c r="I2440" i="6" s="1"/>
  <c r="H2441" i="6"/>
  <c r="I2441" i="6" s="1"/>
  <c r="H2442" i="6"/>
  <c r="I2442" i="6" s="1"/>
  <c r="H2443" i="6"/>
  <c r="I2443" i="6" s="1"/>
  <c r="H2444" i="6"/>
  <c r="I2444" i="6" s="1"/>
  <c r="H2445" i="6"/>
  <c r="I2445" i="6" s="1"/>
  <c r="H2446" i="6"/>
  <c r="I2446" i="6" s="1"/>
  <c r="H2447" i="6"/>
  <c r="I2447" i="6" s="1"/>
  <c r="H2448" i="6"/>
  <c r="I2448" i="6" s="1"/>
  <c r="H2449" i="6"/>
  <c r="I2449" i="6" s="1"/>
  <c r="H2450" i="6"/>
  <c r="I2450" i="6" s="1"/>
  <c r="H2451" i="6"/>
  <c r="I2451" i="6" s="1"/>
  <c r="H2452" i="6"/>
  <c r="I2452" i="6" s="1"/>
  <c r="H2453" i="6"/>
  <c r="I2453" i="6" s="1"/>
  <c r="H2454" i="6"/>
  <c r="I2454" i="6" s="1"/>
  <c r="H2455" i="6"/>
  <c r="I2455" i="6" s="1"/>
  <c r="H2456" i="6"/>
  <c r="I2456" i="6" s="1"/>
  <c r="H2457" i="6"/>
  <c r="I2457" i="6" s="1"/>
  <c r="H2458" i="6"/>
  <c r="I2458" i="6" s="1"/>
  <c r="H2459" i="6"/>
  <c r="I2459" i="6" s="1"/>
  <c r="H2460" i="6"/>
  <c r="I2460" i="6" s="1"/>
  <c r="H2461" i="6"/>
  <c r="I2461" i="6" s="1"/>
  <c r="H2462" i="6"/>
  <c r="I2462" i="6" s="1"/>
  <c r="H2463" i="6"/>
  <c r="I2463" i="6" s="1"/>
  <c r="H2464" i="6"/>
  <c r="I2464" i="6" s="1"/>
  <c r="H2465" i="6"/>
  <c r="I2465" i="6" s="1"/>
  <c r="H2466" i="6"/>
  <c r="I2466" i="6" s="1"/>
  <c r="H2467" i="6"/>
  <c r="I2467" i="6" s="1"/>
  <c r="H2468" i="6"/>
  <c r="I2468" i="6" s="1"/>
  <c r="H2469" i="6"/>
  <c r="I2469" i="6" s="1"/>
  <c r="H2470" i="6"/>
  <c r="I2470" i="6" s="1"/>
  <c r="H2471" i="6"/>
  <c r="I2471" i="6" s="1"/>
  <c r="H2472" i="6"/>
  <c r="I2472" i="6" s="1"/>
  <c r="H2473" i="6"/>
  <c r="I2473" i="6" s="1"/>
  <c r="H2474" i="6"/>
  <c r="I2474" i="6" s="1"/>
  <c r="H2475" i="6"/>
  <c r="I2475" i="6" s="1"/>
  <c r="H2476" i="6"/>
  <c r="I2476" i="6" s="1"/>
  <c r="H2477" i="6"/>
  <c r="I2477" i="6" s="1"/>
  <c r="H2478" i="6"/>
  <c r="I2478" i="6" s="1"/>
  <c r="H2479" i="6"/>
  <c r="I2479" i="6" s="1"/>
  <c r="H2480" i="6"/>
  <c r="I2480" i="6" s="1"/>
  <c r="H2481" i="6"/>
  <c r="I2481" i="6" s="1"/>
  <c r="H2482" i="6"/>
  <c r="I2482" i="6" s="1"/>
  <c r="H2483" i="6"/>
  <c r="I2483" i="6" s="1"/>
  <c r="H2484" i="6"/>
  <c r="I2484" i="6" s="1"/>
  <c r="H2485" i="6"/>
  <c r="I2485" i="6" s="1"/>
  <c r="H2486" i="6"/>
  <c r="I2486" i="6" s="1"/>
  <c r="H2487" i="6"/>
  <c r="I2487" i="6" s="1"/>
  <c r="H2488" i="6"/>
  <c r="I2488" i="6" s="1"/>
  <c r="H2489" i="6"/>
  <c r="I2489" i="6" s="1"/>
  <c r="H2490" i="6"/>
  <c r="I2490" i="6" s="1"/>
  <c r="H2491" i="6"/>
  <c r="I2491" i="6" s="1"/>
  <c r="H2492" i="6"/>
  <c r="I2492" i="6" s="1"/>
  <c r="H2493" i="6"/>
  <c r="I2493" i="6" s="1"/>
  <c r="H2494" i="6"/>
  <c r="I2494" i="6" s="1"/>
  <c r="H2495" i="6"/>
  <c r="I2495" i="6" s="1"/>
  <c r="H2496" i="6"/>
  <c r="I2496" i="6" s="1"/>
  <c r="H2497" i="6"/>
  <c r="I2497" i="6" s="1"/>
  <c r="H2498" i="6"/>
  <c r="I2498" i="6" s="1"/>
  <c r="H2499" i="6"/>
  <c r="I2499" i="6" s="1"/>
  <c r="H2500" i="6"/>
  <c r="I2500" i="6" s="1"/>
  <c r="H2501" i="6"/>
  <c r="I2501" i="6" s="1"/>
  <c r="H2502" i="6"/>
  <c r="I2502" i="6" s="1"/>
  <c r="H2503" i="6"/>
  <c r="I2503" i="6" s="1"/>
  <c r="H2504" i="6"/>
  <c r="I2504" i="6" s="1"/>
  <c r="H2505" i="6"/>
  <c r="I2505" i="6" s="1"/>
  <c r="H2506" i="6"/>
  <c r="I2506" i="6" s="1"/>
  <c r="H2507" i="6"/>
  <c r="I2507" i="6" s="1"/>
  <c r="H2508" i="6"/>
  <c r="I2508" i="6" s="1"/>
  <c r="H2509" i="6"/>
  <c r="I2509" i="6" s="1"/>
  <c r="H2510" i="6"/>
  <c r="I2510" i="6" s="1"/>
  <c r="H2511" i="6"/>
  <c r="I2511" i="6" s="1"/>
  <c r="H2512" i="6"/>
  <c r="I2512" i="6" s="1"/>
  <c r="H2513" i="6"/>
  <c r="I2513" i="6" s="1"/>
  <c r="H2514" i="6"/>
  <c r="I2514" i="6" s="1"/>
  <c r="H2515" i="6"/>
  <c r="I2515" i="6" s="1"/>
  <c r="H2516" i="6"/>
  <c r="I2516" i="6" s="1"/>
  <c r="H2517" i="6"/>
  <c r="I2517" i="6" s="1"/>
  <c r="H2518" i="6"/>
  <c r="I2518" i="6" s="1"/>
  <c r="H2519" i="6"/>
  <c r="I2519" i="6" s="1"/>
  <c r="H2520" i="6"/>
  <c r="I2520" i="6" s="1"/>
  <c r="H2521" i="6"/>
  <c r="I2521" i="6" s="1"/>
  <c r="H2522" i="6"/>
  <c r="I2522" i="6" s="1"/>
  <c r="H2523" i="6"/>
  <c r="I2523" i="6" s="1"/>
  <c r="H2524" i="6"/>
  <c r="I2524" i="6" s="1"/>
  <c r="H2525" i="6"/>
  <c r="I2525" i="6" s="1"/>
  <c r="H2526" i="6"/>
  <c r="I2526" i="6" s="1"/>
  <c r="H2527" i="6"/>
  <c r="I2527" i="6" s="1"/>
  <c r="H2528" i="6"/>
  <c r="I2528" i="6" s="1"/>
  <c r="H2529" i="6"/>
  <c r="I2529" i="6" s="1"/>
  <c r="H2530" i="6"/>
  <c r="I2530" i="6" s="1"/>
  <c r="H2531" i="6"/>
  <c r="I2531" i="6" s="1"/>
  <c r="H2532" i="6"/>
  <c r="I2532" i="6" s="1"/>
  <c r="H2533" i="6"/>
  <c r="I2533" i="6" s="1"/>
  <c r="H2534" i="6"/>
  <c r="I2534" i="6" s="1"/>
  <c r="H2535" i="6"/>
  <c r="I2535" i="6" s="1"/>
  <c r="H2536" i="6"/>
  <c r="I2536" i="6" s="1"/>
  <c r="H2537" i="6"/>
  <c r="I2537" i="6" s="1"/>
  <c r="H2538" i="6"/>
  <c r="I2538" i="6" s="1"/>
  <c r="H2539" i="6"/>
  <c r="I2539" i="6" s="1"/>
  <c r="H2540" i="6"/>
  <c r="I2540" i="6" s="1"/>
  <c r="H2541" i="6"/>
  <c r="I2541" i="6" s="1"/>
  <c r="H2542" i="6"/>
  <c r="I2542" i="6" s="1"/>
  <c r="H2543" i="6"/>
  <c r="I2543" i="6" s="1"/>
  <c r="H2544" i="6"/>
  <c r="I2544" i="6" s="1"/>
  <c r="H2545" i="6"/>
  <c r="I2545" i="6" s="1"/>
  <c r="H2546" i="6"/>
  <c r="I2546" i="6" s="1"/>
  <c r="H2547" i="6"/>
  <c r="I2547" i="6" s="1"/>
  <c r="H2548" i="6"/>
  <c r="I2548" i="6" s="1"/>
  <c r="H2549" i="6"/>
  <c r="I2549" i="6" s="1"/>
  <c r="H2550" i="6"/>
  <c r="I2550" i="6" s="1"/>
  <c r="H2551" i="6"/>
  <c r="I2551" i="6" s="1"/>
  <c r="H2552" i="6"/>
  <c r="I2552" i="6" s="1"/>
  <c r="H2553" i="6"/>
  <c r="I2553" i="6" s="1"/>
  <c r="H2554" i="6"/>
  <c r="I2554" i="6" s="1"/>
  <c r="H2555" i="6"/>
  <c r="I2555" i="6" s="1"/>
  <c r="H2556" i="6"/>
  <c r="I2556" i="6" s="1"/>
  <c r="H2557" i="6"/>
  <c r="I2557" i="6" s="1"/>
  <c r="H2558" i="6"/>
  <c r="I2558" i="6" s="1"/>
  <c r="H2559" i="6"/>
  <c r="I2559" i="6" s="1"/>
  <c r="H2560" i="6"/>
  <c r="I2560" i="6" s="1"/>
  <c r="H2561" i="6"/>
  <c r="I2561" i="6" s="1"/>
  <c r="H2562" i="6"/>
  <c r="I2562" i="6" s="1"/>
  <c r="H2563" i="6"/>
  <c r="I2563" i="6" s="1"/>
  <c r="H2564" i="6"/>
  <c r="I2564" i="6" s="1"/>
  <c r="H2565" i="6"/>
  <c r="I2565" i="6" s="1"/>
  <c r="H2566" i="6"/>
  <c r="I2566" i="6" s="1"/>
  <c r="H2567" i="6"/>
  <c r="I2567" i="6" s="1"/>
  <c r="H2568" i="6"/>
  <c r="I2568" i="6" s="1"/>
  <c r="H2569" i="6"/>
  <c r="I2569" i="6" s="1"/>
  <c r="H2570" i="6"/>
  <c r="I2570" i="6" s="1"/>
  <c r="H2571" i="6"/>
  <c r="I2571" i="6" s="1"/>
  <c r="H2572" i="6"/>
  <c r="I2572" i="6" s="1"/>
  <c r="H2573" i="6"/>
  <c r="I2573" i="6" s="1"/>
  <c r="H2574" i="6"/>
  <c r="I2574" i="6" s="1"/>
  <c r="H2575" i="6"/>
  <c r="I2575" i="6" s="1"/>
  <c r="H2576" i="6"/>
  <c r="I2576" i="6" s="1"/>
  <c r="H2577" i="6"/>
  <c r="I2577" i="6" s="1"/>
  <c r="H2578" i="6"/>
  <c r="I2578" i="6" s="1"/>
  <c r="H2579" i="6"/>
  <c r="I2579" i="6" s="1"/>
  <c r="H2580" i="6"/>
  <c r="I2580" i="6" s="1"/>
  <c r="H2581" i="6"/>
  <c r="I2581" i="6" s="1"/>
  <c r="H2582" i="6"/>
  <c r="I2582" i="6" s="1"/>
  <c r="H2583" i="6"/>
  <c r="I2583" i="6" s="1"/>
  <c r="H2584" i="6"/>
  <c r="I2584" i="6" s="1"/>
  <c r="H2585" i="6"/>
  <c r="I2585" i="6" s="1"/>
  <c r="H2586" i="6"/>
  <c r="I2586" i="6" s="1"/>
  <c r="H2587" i="6"/>
  <c r="I2587" i="6" s="1"/>
  <c r="H2588" i="6"/>
  <c r="I2588" i="6" s="1"/>
  <c r="H2589" i="6"/>
  <c r="I2589" i="6" s="1"/>
  <c r="H2590" i="6"/>
  <c r="I2590" i="6" s="1"/>
  <c r="H2591" i="6"/>
  <c r="I2591" i="6" s="1"/>
  <c r="H2592" i="6"/>
  <c r="I2592" i="6" s="1"/>
  <c r="H2593" i="6"/>
  <c r="I2593" i="6" s="1"/>
  <c r="H2594" i="6"/>
  <c r="I2594" i="6" s="1"/>
  <c r="H2595" i="6"/>
  <c r="I2595" i="6" s="1"/>
  <c r="H2596" i="6"/>
  <c r="I2596" i="6" s="1"/>
  <c r="H2597" i="6"/>
  <c r="I2597" i="6" s="1"/>
  <c r="H2598" i="6"/>
  <c r="I2598" i="6" s="1"/>
  <c r="H2599" i="6"/>
  <c r="I2599" i="6" s="1"/>
  <c r="H2600" i="6"/>
  <c r="I2600" i="6" s="1"/>
  <c r="H2601" i="6"/>
  <c r="I2601" i="6" s="1"/>
  <c r="H2602" i="6"/>
  <c r="I2602" i="6" s="1"/>
  <c r="H2603" i="6"/>
  <c r="I2603" i="6" s="1"/>
  <c r="H2604" i="6"/>
  <c r="I2604" i="6" s="1"/>
  <c r="H2605" i="6"/>
  <c r="I2605" i="6" s="1"/>
  <c r="H2606" i="6"/>
  <c r="I2606" i="6" s="1"/>
  <c r="H2607" i="6"/>
  <c r="I2607" i="6" s="1"/>
  <c r="H2608" i="6"/>
  <c r="I2608" i="6" s="1"/>
  <c r="H2609" i="6"/>
  <c r="I2609" i="6" s="1"/>
  <c r="H2610" i="6"/>
  <c r="I2610" i="6" s="1"/>
  <c r="H2611" i="6"/>
  <c r="I2611" i="6" s="1"/>
  <c r="H2612" i="6"/>
  <c r="I2612" i="6" s="1"/>
  <c r="H2613" i="6"/>
  <c r="I2613" i="6" s="1"/>
  <c r="H2614" i="6"/>
  <c r="I2614" i="6" s="1"/>
  <c r="H2615" i="6"/>
  <c r="I2615" i="6" s="1"/>
  <c r="H2616" i="6"/>
  <c r="I2616" i="6" s="1"/>
  <c r="H2617" i="6"/>
  <c r="I2617" i="6" s="1"/>
  <c r="H2618" i="6"/>
  <c r="I2618" i="6" s="1"/>
  <c r="H2619" i="6"/>
  <c r="I2619" i="6" s="1"/>
  <c r="H2620" i="6"/>
  <c r="I2620" i="6" s="1"/>
  <c r="H2621" i="6"/>
  <c r="I2621" i="6" s="1"/>
  <c r="H2622" i="6"/>
  <c r="I2622" i="6" s="1"/>
  <c r="H2623" i="6"/>
  <c r="I2623" i="6" s="1"/>
  <c r="H2624" i="6"/>
  <c r="I2624" i="6" s="1"/>
  <c r="H2625" i="6"/>
  <c r="I2625" i="6" s="1"/>
  <c r="H2626" i="6"/>
  <c r="I2626" i="6" s="1"/>
  <c r="H2627" i="6"/>
  <c r="I2627" i="6" s="1"/>
  <c r="H2628" i="6"/>
  <c r="I2628" i="6" s="1"/>
  <c r="H2629" i="6"/>
  <c r="I2629" i="6" s="1"/>
  <c r="H2630" i="6"/>
  <c r="I2630" i="6" s="1"/>
  <c r="H2631" i="6"/>
  <c r="I2631" i="6" s="1"/>
  <c r="H2632" i="6"/>
  <c r="I2632" i="6" s="1"/>
  <c r="H2633" i="6"/>
  <c r="I2633" i="6" s="1"/>
  <c r="H2634" i="6"/>
  <c r="I2634" i="6" s="1"/>
  <c r="H2635" i="6"/>
  <c r="I2635" i="6" s="1"/>
  <c r="H2636" i="6"/>
  <c r="I2636" i="6" s="1"/>
  <c r="H2637" i="6"/>
  <c r="I2637" i="6" s="1"/>
  <c r="H2638" i="6"/>
  <c r="I2638" i="6" s="1"/>
  <c r="H2639" i="6"/>
  <c r="I2639" i="6" s="1"/>
  <c r="H2640" i="6"/>
  <c r="I2640" i="6" s="1"/>
  <c r="H2641" i="6"/>
  <c r="I2641" i="6" s="1"/>
  <c r="H2642" i="6"/>
  <c r="I2642" i="6" s="1"/>
  <c r="H2643" i="6"/>
  <c r="I2643" i="6" s="1"/>
  <c r="H2644" i="6"/>
  <c r="I2644" i="6" s="1"/>
  <c r="H2645" i="6"/>
  <c r="I2645" i="6" s="1"/>
  <c r="H2646" i="6"/>
  <c r="I2646" i="6" s="1"/>
  <c r="H2647" i="6"/>
  <c r="I2647" i="6" s="1"/>
  <c r="H2648" i="6"/>
  <c r="I2648" i="6" s="1"/>
  <c r="H2649" i="6"/>
  <c r="I2649" i="6" s="1"/>
  <c r="H2650" i="6"/>
  <c r="I2650" i="6" s="1"/>
  <c r="H2651" i="6"/>
  <c r="I2651" i="6" s="1"/>
  <c r="H2652" i="6"/>
  <c r="I2652" i="6" s="1"/>
  <c r="H2653" i="6"/>
  <c r="I2653" i="6" s="1"/>
  <c r="H2654" i="6"/>
  <c r="I2654" i="6" s="1"/>
  <c r="H2655" i="6"/>
  <c r="I2655" i="6" s="1"/>
  <c r="H2656" i="6"/>
  <c r="I2656" i="6" s="1"/>
  <c r="H2657" i="6"/>
  <c r="I2657" i="6" s="1"/>
  <c r="H2658" i="6"/>
  <c r="I2658" i="6" s="1"/>
  <c r="H2659" i="6"/>
  <c r="I2659" i="6" s="1"/>
  <c r="H2660" i="6"/>
  <c r="I2660" i="6" s="1"/>
  <c r="H2661" i="6"/>
  <c r="I2661" i="6" s="1"/>
  <c r="H2662" i="6"/>
  <c r="I2662" i="6" s="1"/>
  <c r="H2663" i="6"/>
  <c r="I2663" i="6" s="1"/>
  <c r="H2664" i="6"/>
  <c r="I2664" i="6" s="1"/>
  <c r="H2665" i="6"/>
  <c r="I2665" i="6" s="1"/>
  <c r="H2666" i="6"/>
  <c r="I2666" i="6" s="1"/>
  <c r="H2667" i="6"/>
  <c r="I2667" i="6" s="1"/>
  <c r="H2668" i="6"/>
  <c r="I2668" i="6" s="1"/>
  <c r="H2669" i="6"/>
  <c r="I2669" i="6" s="1"/>
  <c r="H2670" i="6"/>
  <c r="I2670" i="6" s="1"/>
  <c r="H2671" i="6"/>
  <c r="I2671" i="6" s="1"/>
  <c r="H2672" i="6"/>
  <c r="I2672" i="6" s="1"/>
  <c r="H2673" i="6"/>
  <c r="I2673" i="6" s="1"/>
  <c r="H2674" i="6"/>
  <c r="I2674" i="6" s="1"/>
  <c r="H2675" i="6"/>
  <c r="I2675" i="6" s="1"/>
  <c r="H2676" i="6"/>
  <c r="I2676" i="6" s="1"/>
  <c r="H2677" i="6"/>
  <c r="I2677" i="6" s="1"/>
  <c r="H2678" i="6"/>
  <c r="I2678" i="6" s="1"/>
  <c r="H2679" i="6"/>
  <c r="I2679" i="6" s="1"/>
  <c r="H2680" i="6"/>
  <c r="I2680" i="6" s="1"/>
  <c r="H2681" i="6"/>
  <c r="I2681" i="6" s="1"/>
  <c r="H2682" i="6"/>
  <c r="I2682" i="6" s="1"/>
  <c r="H2683" i="6"/>
  <c r="I2683" i="6" s="1"/>
  <c r="H2684" i="6"/>
  <c r="I2684" i="6" s="1"/>
  <c r="H2685" i="6"/>
  <c r="I2685" i="6" s="1"/>
  <c r="H2686" i="6"/>
  <c r="I2686" i="6" s="1"/>
  <c r="H2687" i="6"/>
  <c r="I2687" i="6" s="1"/>
  <c r="H2688" i="6"/>
  <c r="I2688" i="6" s="1"/>
  <c r="H2689" i="6"/>
  <c r="I2689" i="6" s="1"/>
  <c r="H2690" i="6"/>
  <c r="I2690" i="6" s="1"/>
  <c r="H2691" i="6"/>
  <c r="I2691" i="6" s="1"/>
  <c r="H2692" i="6"/>
  <c r="I2692" i="6" s="1"/>
  <c r="H2693" i="6"/>
  <c r="I2693" i="6" s="1"/>
  <c r="H2694" i="6"/>
  <c r="I2694" i="6" s="1"/>
  <c r="H2695" i="6"/>
  <c r="I2695" i="6" s="1"/>
  <c r="H2696" i="6"/>
  <c r="I2696" i="6" s="1"/>
  <c r="H2697" i="6"/>
  <c r="I2697" i="6" s="1"/>
  <c r="H2698" i="6"/>
  <c r="I2698" i="6" s="1"/>
  <c r="H2699" i="6"/>
  <c r="I2699" i="6" s="1"/>
  <c r="H2700" i="6"/>
  <c r="I2700" i="6" s="1"/>
  <c r="H2701" i="6"/>
  <c r="I2701" i="6" s="1"/>
  <c r="H2702" i="6"/>
  <c r="I2702" i="6" s="1"/>
  <c r="H2703" i="6"/>
  <c r="I2703" i="6" s="1"/>
  <c r="H2704" i="6"/>
  <c r="I2704" i="6" s="1"/>
  <c r="H2705" i="6"/>
  <c r="I2705" i="6" s="1"/>
  <c r="H2706" i="6"/>
  <c r="I2706" i="6" s="1"/>
  <c r="H2707" i="6"/>
  <c r="I2707" i="6" s="1"/>
  <c r="H2708" i="6"/>
  <c r="I2708" i="6" s="1"/>
  <c r="H2709" i="6"/>
  <c r="I2709" i="6" s="1"/>
  <c r="H2710" i="6"/>
  <c r="I2710" i="6" s="1"/>
  <c r="H2711" i="6"/>
  <c r="I2711" i="6" s="1"/>
  <c r="H2712" i="6"/>
  <c r="I2712" i="6" s="1"/>
  <c r="H2713" i="6"/>
  <c r="I2713" i="6" s="1"/>
  <c r="H2714" i="6"/>
  <c r="I2714" i="6" s="1"/>
  <c r="H2715" i="6"/>
  <c r="I2715" i="6" s="1"/>
  <c r="H2716" i="6"/>
  <c r="I2716" i="6" s="1"/>
  <c r="H2717" i="6"/>
  <c r="I2717" i="6" s="1"/>
  <c r="H2718" i="6"/>
  <c r="I2718" i="6" s="1"/>
  <c r="H2719" i="6"/>
  <c r="I2719" i="6" s="1"/>
  <c r="H2720" i="6"/>
  <c r="I2720" i="6" s="1"/>
  <c r="H2721" i="6"/>
  <c r="I2721" i="6" s="1"/>
  <c r="H2722" i="6"/>
  <c r="I2722" i="6" s="1"/>
  <c r="H2723" i="6"/>
  <c r="I2723" i="6" s="1"/>
  <c r="H2724" i="6"/>
  <c r="I2724" i="6" s="1"/>
  <c r="H2725" i="6"/>
  <c r="I2725" i="6" s="1"/>
  <c r="H2726" i="6"/>
  <c r="I2726" i="6" s="1"/>
  <c r="H2727" i="6"/>
  <c r="I2727" i="6" s="1"/>
  <c r="H2728" i="6"/>
  <c r="I2728" i="6" s="1"/>
  <c r="H2729" i="6"/>
  <c r="I2729" i="6" s="1"/>
  <c r="H2730" i="6"/>
  <c r="I2730" i="6" s="1"/>
  <c r="H2731" i="6"/>
  <c r="I2731" i="6" s="1"/>
  <c r="H2732" i="6"/>
  <c r="I2732" i="6" s="1"/>
  <c r="H2733" i="6"/>
  <c r="I2733" i="6" s="1"/>
  <c r="H2734" i="6"/>
  <c r="I2734" i="6" s="1"/>
  <c r="H2735" i="6"/>
  <c r="I2735" i="6" s="1"/>
  <c r="H2736" i="6"/>
  <c r="I2736" i="6" s="1"/>
  <c r="H2737" i="6"/>
  <c r="I2737" i="6" s="1"/>
  <c r="H2738" i="6"/>
  <c r="I2738" i="6" s="1"/>
  <c r="H2739" i="6"/>
  <c r="I2739" i="6" s="1"/>
  <c r="H2740" i="6"/>
  <c r="I2740" i="6" s="1"/>
  <c r="H2741" i="6"/>
  <c r="I2741" i="6" s="1"/>
  <c r="H2742" i="6"/>
  <c r="I2742" i="6" s="1"/>
  <c r="H2743" i="6"/>
  <c r="I2743" i="6" s="1"/>
  <c r="H2744" i="6"/>
  <c r="I2744" i="6" s="1"/>
  <c r="H2745" i="6"/>
  <c r="I2745" i="6" s="1"/>
  <c r="H2746" i="6"/>
  <c r="I2746" i="6" s="1"/>
  <c r="H2747" i="6"/>
  <c r="I2747" i="6" s="1"/>
  <c r="H2748" i="6"/>
  <c r="I2748" i="6" s="1"/>
  <c r="H2749" i="6"/>
  <c r="I2749" i="6" s="1"/>
  <c r="H2750" i="6"/>
  <c r="I2750" i="6" s="1"/>
  <c r="H2751" i="6"/>
  <c r="I2751" i="6" s="1"/>
  <c r="H2752" i="6"/>
  <c r="I2752" i="6" s="1"/>
  <c r="H2753" i="6"/>
  <c r="I2753" i="6" s="1"/>
  <c r="H2754" i="6"/>
  <c r="I2754" i="6" s="1"/>
  <c r="H2755" i="6"/>
  <c r="I2755" i="6" s="1"/>
  <c r="H2756" i="6"/>
  <c r="I2756" i="6" s="1"/>
  <c r="H2757" i="6"/>
  <c r="I2757" i="6" s="1"/>
  <c r="H2758" i="6"/>
  <c r="I2758" i="6" s="1"/>
  <c r="H2759" i="6"/>
  <c r="I2759" i="6" s="1"/>
  <c r="H2760" i="6"/>
  <c r="I2760" i="6" s="1"/>
  <c r="H2761" i="6"/>
  <c r="I2761" i="6" s="1"/>
  <c r="H2762" i="6"/>
  <c r="I2762" i="6" s="1"/>
  <c r="H2763" i="6"/>
  <c r="I2763" i="6" s="1"/>
  <c r="H2764" i="6"/>
  <c r="I2764" i="6" s="1"/>
  <c r="H2765" i="6"/>
  <c r="I2765" i="6" s="1"/>
  <c r="H2766" i="6"/>
  <c r="I2766" i="6" s="1"/>
  <c r="H2767" i="6"/>
  <c r="I2767" i="6" s="1"/>
  <c r="H2768" i="6"/>
  <c r="I2768" i="6" s="1"/>
  <c r="H2769" i="6"/>
  <c r="I2769" i="6" s="1"/>
  <c r="H2770" i="6"/>
  <c r="I2770" i="6" s="1"/>
  <c r="H2771" i="6"/>
  <c r="I2771" i="6" s="1"/>
  <c r="H2772" i="6"/>
  <c r="I2772" i="6" s="1"/>
  <c r="H2773" i="6"/>
  <c r="I2773" i="6" s="1"/>
  <c r="H2774" i="6"/>
  <c r="I2774" i="6" s="1"/>
  <c r="H2775" i="6"/>
  <c r="I2775" i="6" s="1"/>
  <c r="H2776" i="6"/>
  <c r="I2776" i="6" s="1"/>
  <c r="H2777" i="6"/>
  <c r="I2777" i="6" s="1"/>
  <c r="H2778" i="6"/>
  <c r="I2778" i="6" s="1"/>
  <c r="H2779" i="6"/>
  <c r="I2779" i="6" s="1"/>
  <c r="H2780" i="6"/>
  <c r="I2780" i="6" s="1"/>
  <c r="H2781" i="6"/>
  <c r="I2781" i="6" s="1"/>
  <c r="H2782" i="6"/>
  <c r="I2782" i="6" s="1"/>
  <c r="H2783" i="6"/>
  <c r="I2783" i="6" s="1"/>
  <c r="H2784" i="6"/>
  <c r="I2784" i="6" s="1"/>
  <c r="H2785" i="6"/>
  <c r="I2785" i="6" s="1"/>
  <c r="H2786" i="6"/>
  <c r="I2786" i="6" s="1"/>
  <c r="H2787" i="6"/>
  <c r="I2787" i="6" s="1"/>
  <c r="H2788" i="6"/>
  <c r="I2788" i="6" s="1"/>
  <c r="H2789" i="6"/>
  <c r="I2789" i="6" s="1"/>
  <c r="H2790" i="6"/>
  <c r="I2790" i="6" s="1"/>
  <c r="H2791" i="6"/>
  <c r="I2791" i="6" s="1"/>
  <c r="H2792" i="6"/>
  <c r="I2792" i="6" s="1"/>
  <c r="H2793" i="6"/>
  <c r="I2793" i="6" s="1"/>
  <c r="H2794" i="6"/>
  <c r="I2794" i="6" s="1"/>
  <c r="H2795" i="6"/>
  <c r="I2795" i="6" s="1"/>
  <c r="H2796" i="6"/>
  <c r="I2796" i="6" s="1"/>
  <c r="H2797" i="6"/>
  <c r="I2797" i="6" s="1"/>
  <c r="H2798" i="6"/>
  <c r="I2798" i="6" s="1"/>
  <c r="H2799" i="6"/>
  <c r="I2799" i="6" s="1"/>
  <c r="H2800" i="6"/>
  <c r="I2800" i="6" s="1"/>
  <c r="H2801" i="6"/>
  <c r="I2801" i="6" s="1"/>
  <c r="H2802" i="6"/>
  <c r="I2802" i="6" s="1"/>
  <c r="H2803" i="6"/>
  <c r="I2803" i="6" s="1"/>
  <c r="H2804" i="6"/>
  <c r="I2804" i="6" s="1"/>
  <c r="H2805" i="6"/>
  <c r="I2805" i="6" s="1"/>
  <c r="H2806" i="6"/>
  <c r="I2806" i="6" s="1"/>
  <c r="H2807" i="6"/>
  <c r="I2807" i="6" s="1"/>
  <c r="H2808" i="6"/>
  <c r="I2808" i="6" s="1"/>
  <c r="H2809" i="6"/>
  <c r="I2809" i="6" s="1"/>
  <c r="H2810" i="6"/>
  <c r="I2810" i="6" s="1"/>
  <c r="H2811" i="6"/>
  <c r="I2811" i="6" s="1"/>
  <c r="H2812" i="6"/>
  <c r="I2812" i="6" s="1"/>
  <c r="H2813" i="6"/>
  <c r="I2813" i="6" s="1"/>
  <c r="H2814" i="6"/>
  <c r="I2814" i="6" s="1"/>
  <c r="H2815" i="6"/>
  <c r="I2815" i="6" s="1"/>
  <c r="H2816" i="6"/>
  <c r="I2816" i="6" s="1"/>
  <c r="H2817" i="6"/>
  <c r="I2817" i="6" s="1"/>
  <c r="H2818" i="6"/>
  <c r="I2818" i="6" s="1"/>
  <c r="H2819" i="6"/>
  <c r="I2819" i="6" s="1"/>
  <c r="H2820" i="6"/>
  <c r="I2820" i="6" s="1"/>
  <c r="H2821" i="6"/>
  <c r="I2821" i="6" s="1"/>
  <c r="H2822" i="6"/>
  <c r="I2822" i="6" s="1"/>
  <c r="H2823" i="6"/>
  <c r="I2823" i="6" s="1"/>
  <c r="H2824" i="6"/>
  <c r="I2824" i="6" s="1"/>
  <c r="H2825" i="6"/>
  <c r="I2825" i="6" s="1"/>
  <c r="H2826" i="6"/>
  <c r="I2826" i="6" s="1"/>
  <c r="H2827" i="6"/>
  <c r="I2827" i="6" s="1"/>
  <c r="H2828" i="6"/>
  <c r="I2828" i="6" s="1"/>
  <c r="H2829" i="6"/>
  <c r="I2829" i="6" s="1"/>
  <c r="H2830" i="6"/>
  <c r="I2830" i="6" s="1"/>
  <c r="H2831" i="6"/>
  <c r="I2831" i="6" s="1"/>
  <c r="H2832" i="6"/>
  <c r="I2832" i="6" s="1"/>
  <c r="H2833" i="6"/>
  <c r="I2833" i="6" s="1"/>
  <c r="H2834" i="6"/>
  <c r="I2834" i="6" s="1"/>
  <c r="H2835" i="6"/>
  <c r="I2835" i="6" s="1"/>
  <c r="H2836" i="6"/>
  <c r="I2836" i="6" s="1"/>
  <c r="H2837" i="6"/>
  <c r="I2837" i="6" s="1"/>
  <c r="H2838" i="6"/>
  <c r="I2838" i="6" s="1"/>
  <c r="H2839" i="6"/>
  <c r="I2839" i="6" s="1"/>
  <c r="H2840" i="6"/>
  <c r="I2840" i="6" s="1"/>
  <c r="H2841" i="6"/>
  <c r="I2841" i="6" s="1"/>
  <c r="H2842" i="6"/>
  <c r="I2842" i="6" s="1"/>
  <c r="H2843" i="6"/>
  <c r="I2843" i="6" s="1"/>
  <c r="H2844" i="6"/>
  <c r="I2844" i="6" s="1"/>
  <c r="H2845" i="6"/>
  <c r="I2845" i="6" s="1"/>
  <c r="H2846" i="6"/>
  <c r="I2846" i="6" s="1"/>
  <c r="H2847" i="6"/>
  <c r="I2847" i="6" s="1"/>
  <c r="H2848" i="6"/>
  <c r="I2848" i="6" s="1"/>
  <c r="H2849" i="6"/>
  <c r="I2849" i="6" s="1"/>
  <c r="H2850" i="6"/>
  <c r="I2850" i="6" s="1"/>
  <c r="H2851" i="6"/>
  <c r="I2851" i="6" s="1"/>
  <c r="H2852" i="6"/>
  <c r="I2852" i="6" s="1"/>
  <c r="H2853" i="6"/>
  <c r="I2853" i="6" s="1"/>
  <c r="H2854" i="6"/>
  <c r="I2854" i="6" s="1"/>
  <c r="H2855" i="6"/>
  <c r="I2855" i="6" s="1"/>
  <c r="H2856" i="6"/>
  <c r="I2856" i="6" s="1"/>
  <c r="H2857" i="6"/>
  <c r="I2857" i="6" s="1"/>
  <c r="H2858" i="6"/>
  <c r="I2858" i="6" s="1"/>
  <c r="H2859" i="6"/>
  <c r="I2859" i="6" s="1"/>
  <c r="H2860" i="6"/>
  <c r="I2860" i="6" s="1"/>
  <c r="H2861" i="6"/>
  <c r="I2861" i="6" s="1"/>
  <c r="H2862" i="6"/>
  <c r="I2862" i="6" s="1"/>
  <c r="H2863" i="6"/>
  <c r="I2863" i="6" s="1"/>
  <c r="H2864" i="6"/>
  <c r="I2864" i="6" s="1"/>
  <c r="H2865" i="6"/>
  <c r="I2865" i="6" s="1"/>
  <c r="H2866" i="6"/>
  <c r="I2866" i="6" s="1"/>
  <c r="H2867" i="6"/>
  <c r="I2867" i="6" s="1"/>
  <c r="H2868" i="6"/>
  <c r="I2868" i="6" s="1"/>
  <c r="H2869" i="6"/>
  <c r="I2869" i="6" s="1"/>
  <c r="H2870" i="6"/>
  <c r="I2870" i="6" s="1"/>
  <c r="H2871" i="6"/>
  <c r="I2871" i="6" s="1"/>
  <c r="H2872" i="6"/>
  <c r="I2872" i="6" s="1"/>
  <c r="H2873" i="6"/>
  <c r="I2873" i="6" s="1"/>
  <c r="H2874" i="6"/>
  <c r="I2874" i="6" s="1"/>
  <c r="H2875" i="6"/>
  <c r="I2875" i="6" s="1"/>
  <c r="H2876" i="6"/>
  <c r="I2876" i="6" s="1"/>
  <c r="H2877" i="6"/>
  <c r="I2877" i="6" s="1"/>
  <c r="H2878" i="6"/>
  <c r="I2878" i="6" s="1"/>
  <c r="H2879" i="6"/>
  <c r="I2879" i="6" s="1"/>
  <c r="H2880" i="6"/>
  <c r="I2880" i="6" s="1"/>
  <c r="H2881" i="6"/>
  <c r="I2881" i="6" s="1"/>
  <c r="H2882" i="6"/>
  <c r="I2882" i="6" s="1"/>
  <c r="H2883" i="6"/>
  <c r="I2883" i="6" s="1"/>
  <c r="H2884" i="6"/>
  <c r="I2884" i="6" s="1"/>
  <c r="H2885" i="6"/>
  <c r="I2885" i="6" s="1"/>
  <c r="H2886" i="6"/>
  <c r="I2886" i="6" s="1"/>
  <c r="H2887" i="6"/>
  <c r="I2887" i="6" s="1"/>
  <c r="H2888" i="6"/>
  <c r="I2888" i="6" s="1"/>
  <c r="H2889" i="6"/>
  <c r="I2889" i="6" s="1"/>
  <c r="H2890" i="6"/>
  <c r="I2890" i="6" s="1"/>
  <c r="H2891" i="6"/>
  <c r="I2891" i="6" s="1"/>
  <c r="H2892" i="6"/>
  <c r="I2892" i="6" s="1"/>
  <c r="H2893" i="6"/>
  <c r="I2893" i="6" s="1"/>
  <c r="H2894" i="6"/>
  <c r="I2894" i="6" s="1"/>
  <c r="H2895" i="6"/>
  <c r="I2895" i="6" s="1"/>
  <c r="H2896" i="6"/>
  <c r="I2896" i="6" s="1"/>
  <c r="H2897" i="6"/>
  <c r="I2897" i="6" s="1"/>
  <c r="H2898" i="6"/>
  <c r="I2898" i="6" s="1"/>
  <c r="H2899" i="6"/>
  <c r="I2899" i="6" s="1"/>
  <c r="H2900" i="6"/>
  <c r="I2900" i="6" s="1"/>
  <c r="H2901" i="6"/>
  <c r="I2901" i="6" s="1"/>
  <c r="H2902" i="6"/>
  <c r="I2902" i="6" s="1"/>
  <c r="H2903" i="6"/>
  <c r="I2903" i="6" s="1"/>
  <c r="H2904" i="6"/>
  <c r="I2904" i="6" s="1"/>
  <c r="H2905" i="6"/>
  <c r="I2905" i="6" s="1"/>
  <c r="H2906" i="6"/>
  <c r="I2906" i="6" s="1"/>
  <c r="H2907" i="6"/>
  <c r="I2907" i="6" s="1"/>
  <c r="H2908" i="6"/>
  <c r="I2908" i="6" s="1"/>
  <c r="H2909" i="6"/>
  <c r="I2909" i="6" s="1"/>
  <c r="H2910" i="6"/>
  <c r="I2910" i="6" s="1"/>
  <c r="H2911" i="6"/>
  <c r="I2911" i="6" s="1"/>
  <c r="H2912" i="6"/>
  <c r="I2912" i="6" s="1"/>
  <c r="H2913" i="6"/>
  <c r="I2913" i="6" s="1"/>
  <c r="H2914" i="6"/>
  <c r="I2914" i="6" s="1"/>
  <c r="H2915" i="6"/>
  <c r="I2915" i="6" s="1"/>
  <c r="H2916" i="6"/>
  <c r="I2916" i="6" s="1"/>
  <c r="H2917" i="6"/>
  <c r="I2917" i="6" s="1"/>
  <c r="H2918" i="6"/>
  <c r="I2918" i="6" s="1"/>
  <c r="H2919" i="6"/>
  <c r="I2919" i="6" s="1"/>
  <c r="H2920" i="6"/>
  <c r="I2920" i="6" s="1"/>
  <c r="H2921" i="6"/>
  <c r="I2921" i="6" s="1"/>
  <c r="H2922" i="6"/>
  <c r="I2922" i="6" s="1"/>
  <c r="H2923" i="6"/>
  <c r="I2923" i="6" s="1"/>
  <c r="H2924" i="6"/>
  <c r="I2924" i="6" s="1"/>
  <c r="H2925" i="6"/>
  <c r="I2925" i="6" s="1"/>
  <c r="H2926" i="6"/>
  <c r="I2926" i="6" s="1"/>
  <c r="H2927" i="6"/>
  <c r="I2927" i="6" s="1"/>
  <c r="H2928" i="6"/>
  <c r="I2928" i="6" s="1"/>
  <c r="H2929" i="6"/>
  <c r="I2929" i="6" s="1"/>
  <c r="H2930" i="6"/>
  <c r="I2930" i="6" s="1"/>
  <c r="H2931" i="6"/>
  <c r="I2931" i="6" s="1"/>
  <c r="H2932" i="6"/>
  <c r="I2932" i="6" s="1"/>
  <c r="H2933" i="6"/>
  <c r="I2933" i="6" s="1"/>
  <c r="H2934" i="6"/>
  <c r="I2934" i="6" s="1"/>
  <c r="H2935" i="6"/>
  <c r="I2935" i="6" s="1"/>
  <c r="H2936" i="6"/>
  <c r="I2936" i="6" s="1"/>
  <c r="H2937" i="6"/>
  <c r="I2937" i="6" s="1"/>
  <c r="H2938" i="6"/>
  <c r="I2938" i="6" s="1"/>
  <c r="H2939" i="6"/>
  <c r="I2939" i="6" s="1"/>
  <c r="H2940" i="6"/>
  <c r="I2940" i="6" s="1"/>
  <c r="H2941" i="6"/>
  <c r="I2941" i="6" s="1"/>
  <c r="H2942" i="6"/>
  <c r="I2942" i="6" s="1"/>
  <c r="H2943" i="6"/>
  <c r="I2943" i="6" s="1"/>
  <c r="H2944" i="6"/>
  <c r="I2944" i="6" s="1"/>
  <c r="H2945" i="6"/>
  <c r="I2945" i="6" s="1"/>
  <c r="H2946" i="6"/>
  <c r="I2946" i="6" s="1"/>
  <c r="H2947" i="6"/>
  <c r="I2947" i="6" s="1"/>
  <c r="H2948" i="6"/>
  <c r="I2948" i="6" s="1"/>
  <c r="H2949" i="6"/>
  <c r="I2949" i="6" s="1"/>
  <c r="H2950" i="6"/>
  <c r="I2950" i="6" s="1"/>
  <c r="H2951" i="6"/>
  <c r="I2951" i="6" s="1"/>
  <c r="H2952" i="6"/>
  <c r="I2952" i="6" s="1"/>
  <c r="H2953" i="6"/>
  <c r="I2953" i="6" s="1"/>
  <c r="H2954" i="6"/>
  <c r="I2954" i="6" s="1"/>
  <c r="H2955" i="6"/>
  <c r="I2955" i="6" s="1"/>
  <c r="H2956" i="6"/>
  <c r="I2956" i="6" s="1"/>
  <c r="H2957" i="6"/>
  <c r="I2957" i="6" s="1"/>
  <c r="H2958" i="6"/>
  <c r="I2958" i="6" s="1"/>
  <c r="H2959" i="6"/>
  <c r="I2959" i="6" s="1"/>
  <c r="H2960" i="6"/>
  <c r="I2960" i="6" s="1"/>
  <c r="H2961" i="6"/>
  <c r="I2961" i="6" s="1"/>
  <c r="H2962" i="6"/>
  <c r="I2962" i="6" s="1"/>
  <c r="H2963" i="6"/>
  <c r="I2963" i="6" s="1"/>
  <c r="H2964" i="6"/>
  <c r="I2964" i="6" s="1"/>
  <c r="H2965" i="6"/>
  <c r="I2965" i="6" s="1"/>
  <c r="H2966" i="6"/>
  <c r="I2966" i="6" s="1"/>
  <c r="H2967" i="6"/>
  <c r="I2967" i="6" s="1"/>
  <c r="H2968" i="6"/>
  <c r="I2968" i="6" s="1"/>
  <c r="H2969" i="6"/>
  <c r="I2969" i="6" s="1"/>
  <c r="H2970" i="6"/>
  <c r="I2970" i="6" s="1"/>
  <c r="H2971" i="6"/>
  <c r="I2971" i="6" s="1"/>
  <c r="H2972" i="6"/>
  <c r="I2972" i="6" s="1"/>
  <c r="H2973" i="6"/>
  <c r="I2973" i="6" s="1"/>
  <c r="H2974" i="6"/>
  <c r="I2974" i="6" s="1"/>
  <c r="H2975" i="6"/>
  <c r="I2975" i="6" s="1"/>
  <c r="H2976" i="6"/>
  <c r="I2976" i="6" s="1"/>
  <c r="H2977" i="6"/>
  <c r="I2977" i="6" s="1"/>
  <c r="H2978" i="6"/>
  <c r="I2978" i="6" s="1"/>
  <c r="H2979" i="6"/>
  <c r="I2979" i="6" s="1"/>
  <c r="H2980" i="6"/>
  <c r="I2980" i="6" s="1"/>
  <c r="H2981" i="6"/>
  <c r="I2981" i="6" s="1"/>
  <c r="H2982" i="6"/>
  <c r="I2982" i="6" s="1"/>
  <c r="H2983" i="6"/>
  <c r="I2983" i="6" s="1"/>
  <c r="H2984" i="6"/>
  <c r="I2984" i="6" s="1"/>
  <c r="H2985" i="6"/>
  <c r="I2985" i="6" s="1"/>
  <c r="H2986" i="6"/>
  <c r="I2986" i="6" s="1"/>
  <c r="H2987" i="6"/>
  <c r="I2987" i="6" s="1"/>
  <c r="H2988" i="6"/>
  <c r="I2988" i="6" s="1"/>
  <c r="H2989" i="6"/>
  <c r="I2989" i="6" s="1"/>
  <c r="H2990" i="6"/>
  <c r="I2990" i="6" s="1"/>
  <c r="H2991" i="6"/>
  <c r="I2991" i="6" s="1"/>
  <c r="H2992" i="6"/>
  <c r="I2992" i="6" s="1"/>
  <c r="H2993" i="6"/>
  <c r="I2993" i="6" s="1"/>
  <c r="H2994" i="6"/>
  <c r="I2994" i="6" s="1"/>
  <c r="H2995" i="6"/>
  <c r="I2995" i="6" s="1"/>
  <c r="H2996" i="6"/>
  <c r="I2996" i="6" s="1"/>
  <c r="H2997" i="6"/>
  <c r="I2997" i="6" s="1"/>
  <c r="H2998" i="6"/>
  <c r="I2998" i="6" s="1"/>
  <c r="H2999" i="6"/>
  <c r="I2999" i="6" s="1"/>
  <c r="H3000" i="6"/>
  <c r="I3000" i="6" s="1"/>
  <c r="H3001" i="6"/>
  <c r="I3001" i="6" s="1"/>
  <c r="H3002" i="6"/>
  <c r="I3002" i="6" s="1"/>
  <c r="H3003" i="6"/>
  <c r="I3003" i="6" s="1"/>
  <c r="H3004" i="6"/>
  <c r="I3004" i="6" s="1"/>
  <c r="H3005" i="6"/>
  <c r="I3005" i="6" s="1"/>
  <c r="H3006" i="6"/>
  <c r="I3006" i="6" s="1"/>
  <c r="H3007" i="6"/>
  <c r="I3007" i="6" s="1"/>
  <c r="H3008" i="6"/>
  <c r="I3008" i="6" s="1"/>
  <c r="H3009" i="6"/>
  <c r="I3009" i="6" s="1"/>
  <c r="H3010" i="6"/>
  <c r="I3010" i="6" s="1"/>
  <c r="H3011" i="6"/>
  <c r="I3011" i="6" s="1"/>
  <c r="H3012" i="6"/>
  <c r="I3012" i="6" s="1"/>
  <c r="H3013" i="6"/>
  <c r="I3013" i="6" s="1"/>
  <c r="H3014" i="6"/>
  <c r="I3014" i="6" s="1"/>
  <c r="H3015" i="6"/>
  <c r="I3015" i="6" s="1"/>
  <c r="H3016" i="6"/>
  <c r="I3016" i="6" s="1"/>
  <c r="H3017" i="6"/>
  <c r="I3017" i="6" s="1"/>
  <c r="H3018" i="6"/>
  <c r="I3018" i="6" s="1"/>
  <c r="H3019" i="6"/>
  <c r="I3019" i="6" s="1"/>
  <c r="H3020" i="6"/>
  <c r="I3020" i="6" s="1"/>
  <c r="H3021" i="6"/>
  <c r="I3021" i="6" s="1"/>
  <c r="H3022" i="6"/>
  <c r="I3022" i="6" s="1"/>
  <c r="H3023" i="6"/>
  <c r="I3023" i="6" s="1"/>
  <c r="H3024" i="6"/>
  <c r="I3024" i="6" s="1"/>
  <c r="H3025" i="6"/>
  <c r="I3025" i="6" s="1"/>
  <c r="H3026" i="6"/>
  <c r="I3026" i="6" s="1"/>
  <c r="H3027" i="6"/>
  <c r="I3027" i="6" s="1"/>
  <c r="H3028" i="6"/>
  <c r="I3028" i="6" s="1"/>
  <c r="H3029" i="6"/>
  <c r="I3029" i="6" s="1"/>
  <c r="H3030" i="6"/>
  <c r="I3030" i="6" s="1"/>
  <c r="H3031" i="6"/>
  <c r="I3031" i="6" s="1"/>
  <c r="H3032" i="6"/>
  <c r="I3032" i="6" s="1"/>
  <c r="H3033" i="6"/>
  <c r="I3033" i="6" s="1"/>
  <c r="H3034" i="6"/>
  <c r="I3034" i="6" s="1"/>
  <c r="H3035" i="6"/>
  <c r="I3035" i="6" s="1"/>
  <c r="H3036" i="6"/>
  <c r="I3036" i="6" s="1"/>
  <c r="H3037" i="6"/>
  <c r="I3037" i="6" s="1"/>
  <c r="H3038" i="6"/>
  <c r="I3038" i="6" s="1"/>
  <c r="H3039" i="6"/>
  <c r="I3039" i="6" s="1"/>
  <c r="H3040" i="6"/>
  <c r="I3040" i="6" s="1"/>
  <c r="H3041" i="6"/>
  <c r="I3041" i="6" s="1"/>
  <c r="H3042" i="6"/>
  <c r="I3042" i="6" s="1"/>
  <c r="H3043" i="6"/>
  <c r="I3043" i="6" s="1"/>
  <c r="H3044" i="6"/>
  <c r="I3044" i="6" s="1"/>
  <c r="H3045" i="6"/>
  <c r="I3045" i="6" s="1"/>
  <c r="H3046" i="6"/>
  <c r="I3046" i="6" s="1"/>
  <c r="H3047" i="6"/>
  <c r="I3047" i="6" s="1"/>
  <c r="H3048" i="6"/>
  <c r="I3048" i="6" s="1"/>
  <c r="H3049" i="6"/>
  <c r="I3049" i="6" s="1"/>
  <c r="H3050" i="6"/>
  <c r="I3050" i="6" s="1"/>
  <c r="H3051" i="6"/>
  <c r="I3051" i="6" s="1"/>
  <c r="H3052" i="6"/>
  <c r="I3052" i="6" s="1"/>
  <c r="H3053" i="6"/>
  <c r="I3053" i="6" s="1"/>
  <c r="H3054" i="6"/>
  <c r="I3054" i="6" s="1"/>
  <c r="H3055" i="6"/>
  <c r="I3055" i="6" s="1"/>
  <c r="H3056" i="6"/>
  <c r="I3056" i="6" s="1"/>
  <c r="H3057" i="6"/>
  <c r="I3057" i="6" s="1"/>
  <c r="H3058" i="6"/>
  <c r="I3058" i="6" s="1"/>
  <c r="H3059" i="6"/>
  <c r="I3059" i="6" s="1"/>
  <c r="H3060" i="6"/>
  <c r="I3060" i="6" s="1"/>
  <c r="H3061" i="6"/>
  <c r="I3061" i="6" s="1"/>
  <c r="H3062" i="6"/>
  <c r="I3062" i="6" s="1"/>
  <c r="H3063" i="6"/>
  <c r="I3063" i="6" s="1"/>
  <c r="H3064" i="6"/>
  <c r="I3064" i="6" s="1"/>
  <c r="H3065" i="6"/>
  <c r="I3065" i="6" s="1"/>
  <c r="H3066" i="6"/>
  <c r="I3066" i="6" s="1"/>
  <c r="H3067" i="6"/>
  <c r="I3067" i="6" s="1"/>
  <c r="H3068" i="6"/>
  <c r="I3068" i="6" s="1"/>
  <c r="H3069" i="6"/>
  <c r="I3069" i="6" s="1"/>
  <c r="H3070" i="6"/>
  <c r="I3070" i="6" s="1"/>
  <c r="H3071" i="6"/>
  <c r="I3071" i="6" s="1"/>
  <c r="H3072" i="6"/>
  <c r="I3072" i="6" s="1"/>
  <c r="H3073" i="6"/>
  <c r="I3073" i="6" s="1"/>
  <c r="H3074" i="6"/>
  <c r="I3074" i="6" s="1"/>
  <c r="H3075" i="6"/>
  <c r="I3075" i="6" s="1"/>
  <c r="H3076" i="6"/>
  <c r="I3076" i="6" s="1"/>
  <c r="H3077" i="6"/>
  <c r="I3077" i="6" s="1"/>
  <c r="H3078" i="6"/>
  <c r="I3078" i="6" s="1"/>
  <c r="H3079" i="6"/>
  <c r="I3079" i="6" s="1"/>
  <c r="H3080" i="6"/>
  <c r="I3080" i="6" s="1"/>
  <c r="H3081" i="6"/>
  <c r="I3081" i="6" s="1"/>
  <c r="H3082" i="6"/>
  <c r="I3082" i="6" s="1"/>
  <c r="H3083" i="6"/>
  <c r="I3083" i="6" s="1"/>
  <c r="H3084" i="6"/>
  <c r="I3084" i="6" s="1"/>
  <c r="H3085" i="6"/>
  <c r="I3085" i="6" s="1"/>
  <c r="H3086" i="6"/>
  <c r="I3086" i="6" s="1"/>
  <c r="H3087" i="6"/>
  <c r="I3087" i="6" s="1"/>
  <c r="H3088" i="6"/>
  <c r="I3088" i="6" s="1"/>
  <c r="H3089" i="6"/>
  <c r="I3089" i="6" s="1"/>
  <c r="H3090" i="6"/>
  <c r="I3090" i="6" s="1"/>
  <c r="H3091" i="6"/>
  <c r="I3091" i="6" s="1"/>
  <c r="H3092" i="6"/>
  <c r="I3092" i="6" s="1"/>
  <c r="H3093" i="6"/>
  <c r="I3093" i="6" s="1"/>
  <c r="H3094" i="6"/>
  <c r="I3094" i="6" s="1"/>
  <c r="H3095" i="6"/>
  <c r="I3095" i="6" s="1"/>
  <c r="H3096" i="6"/>
  <c r="I3096" i="6" s="1"/>
  <c r="H3097" i="6"/>
  <c r="I3097" i="6" s="1"/>
  <c r="H3098" i="6"/>
  <c r="I3098" i="6" s="1"/>
  <c r="H3099" i="6"/>
  <c r="I3099" i="6" s="1"/>
  <c r="H3100" i="6"/>
  <c r="I3100" i="6" s="1"/>
  <c r="H3101" i="6"/>
  <c r="I3101" i="6" s="1"/>
  <c r="H3102" i="6"/>
  <c r="I3102" i="6" s="1"/>
  <c r="H3103" i="6"/>
  <c r="I3103" i="6" s="1"/>
  <c r="H3104" i="6"/>
  <c r="I3104" i="6" s="1"/>
  <c r="H3105" i="6"/>
  <c r="I3105" i="6" s="1"/>
  <c r="H3106" i="6"/>
  <c r="I3106" i="6" s="1"/>
  <c r="H3107" i="6"/>
  <c r="I3107" i="6" s="1"/>
  <c r="H3108" i="6"/>
  <c r="I3108" i="6" s="1"/>
  <c r="H3109" i="6"/>
  <c r="I3109" i="6" s="1"/>
  <c r="H3110" i="6"/>
  <c r="I3110" i="6" s="1"/>
  <c r="H3111" i="6"/>
  <c r="I3111" i="6" s="1"/>
  <c r="H3112" i="6"/>
  <c r="I3112" i="6" s="1"/>
  <c r="H3113" i="6"/>
  <c r="I3113" i="6" s="1"/>
  <c r="H3114" i="6"/>
  <c r="I3114" i="6" s="1"/>
  <c r="H3115" i="6"/>
  <c r="I3115" i="6" s="1"/>
  <c r="H3116" i="6"/>
  <c r="I3116" i="6" s="1"/>
  <c r="H3117" i="6"/>
  <c r="I3117" i="6" s="1"/>
  <c r="H3118" i="6"/>
  <c r="I3118" i="6" s="1"/>
  <c r="H3119" i="6"/>
  <c r="I3119" i="6" s="1"/>
  <c r="H3120" i="6"/>
  <c r="I3120" i="6" s="1"/>
  <c r="H3121" i="6"/>
  <c r="I3121" i="6" s="1"/>
  <c r="H3122" i="6"/>
  <c r="I3122" i="6" s="1"/>
  <c r="H3123" i="6"/>
  <c r="I3123" i="6" s="1"/>
  <c r="H3124" i="6"/>
  <c r="I3124" i="6" s="1"/>
  <c r="H3125" i="6"/>
  <c r="I3125" i="6" s="1"/>
  <c r="H3126" i="6"/>
  <c r="I3126" i="6" s="1"/>
  <c r="H3127" i="6"/>
  <c r="I3127" i="6" s="1"/>
  <c r="H3128" i="6"/>
  <c r="I3128" i="6" s="1"/>
  <c r="H3129" i="6"/>
  <c r="I3129" i="6" s="1"/>
  <c r="H3130" i="6"/>
  <c r="I3130" i="6" s="1"/>
  <c r="H3131" i="6"/>
  <c r="I3131" i="6" s="1"/>
  <c r="H3132" i="6"/>
  <c r="I3132" i="6" s="1"/>
  <c r="H3133" i="6"/>
  <c r="I3133" i="6" s="1"/>
  <c r="H3134" i="6"/>
  <c r="I3134" i="6" s="1"/>
  <c r="H3135" i="6"/>
  <c r="I3135" i="6" s="1"/>
  <c r="H3136" i="6"/>
  <c r="I3136" i="6" s="1"/>
  <c r="H3137" i="6"/>
  <c r="I3137" i="6" s="1"/>
  <c r="H3138" i="6"/>
  <c r="I3138" i="6" s="1"/>
  <c r="H3139" i="6"/>
  <c r="I3139" i="6" s="1"/>
  <c r="H3140" i="6"/>
  <c r="I3140" i="6" s="1"/>
  <c r="H3141" i="6"/>
  <c r="I3141" i="6" s="1"/>
  <c r="H3142" i="6"/>
  <c r="I3142" i="6" s="1"/>
  <c r="H3143" i="6"/>
  <c r="I3143" i="6" s="1"/>
  <c r="H3144" i="6"/>
  <c r="I3144" i="6" s="1"/>
  <c r="H3145" i="6"/>
  <c r="I3145" i="6" s="1"/>
  <c r="H3146" i="6"/>
  <c r="I3146" i="6" s="1"/>
  <c r="H3147" i="6"/>
  <c r="I3147" i="6" s="1"/>
  <c r="H3148" i="6"/>
  <c r="I3148" i="6" s="1"/>
  <c r="H3149" i="6"/>
  <c r="I3149" i="6" s="1"/>
  <c r="H3150" i="6"/>
  <c r="I3150" i="6" s="1"/>
  <c r="H3151" i="6"/>
  <c r="I3151" i="6" s="1"/>
  <c r="H3152" i="6"/>
  <c r="I3152" i="6" s="1"/>
  <c r="H3153" i="6"/>
  <c r="I3153" i="6" s="1"/>
  <c r="H3154" i="6"/>
  <c r="I3154" i="6" s="1"/>
  <c r="H3155" i="6"/>
  <c r="I3155" i="6" s="1"/>
  <c r="H3156" i="6"/>
  <c r="I3156" i="6" s="1"/>
  <c r="H3157" i="6"/>
  <c r="I3157" i="6" s="1"/>
  <c r="H3158" i="6"/>
  <c r="I3158" i="6" s="1"/>
  <c r="H3159" i="6"/>
  <c r="I3159" i="6" s="1"/>
  <c r="H3160" i="6"/>
  <c r="I3160" i="6" s="1"/>
  <c r="H3161" i="6"/>
  <c r="I3161" i="6" s="1"/>
  <c r="H3162" i="6"/>
  <c r="I3162" i="6" s="1"/>
  <c r="H3163" i="6"/>
  <c r="I3163" i="6" s="1"/>
  <c r="H3164" i="6"/>
  <c r="I3164" i="6" s="1"/>
  <c r="H3165" i="6"/>
  <c r="I3165" i="6" s="1"/>
  <c r="H3166" i="6"/>
  <c r="I3166" i="6" s="1"/>
  <c r="H3167" i="6"/>
  <c r="I3167" i="6" s="1"/>
  <c r="H3168" i="6"/>
  <c r="I3168" i="6" s="1"/>
  <c r="H3169" i="6"/>
  <c r="I3169" i="6" s="1"/>
  <c r="H3170" i="6"/>
  <c r="I3170" i="6" s="1"/>
  <c r="H3171" i="6"/>
  <c r="I3171" i="6" s="1"/>
  <c r="H3172" i="6"/>
  <c r="I3172" i="6" s="1"/>
  <c r="H3173" i="6"/>
  <c r="I3173" i="6" s="1"/>
  <c r="H3174" i="6"/>
  <c r="I3174" i="6" s="1"/>
  <c r="H3175" i="6"/>
  <c r="I3175" i="6" s="1"/>
  <c r="H3176" i="6"/>
  <c r="I3176" i="6" s="1"/>
  <c r="H3177" i="6"/>
  <c r="I3177" i="6" s="1"/>
  <c r="H3178" i="6"/>
  <c r="I3178" i="6" s="1"/>
  <c r="H3179" i="6"/>
  <c r="I3179" i="6" s="1"/>
  <c r="H3180" i="6"/>
  <c r="I3180" i="6" s="1"/>
  <c r="H3181" i="6"/>
  <c r="I3181" i="6" s="1"/>
  <c r="H3182" i="6"/>
  <c r="I3182" i="6" s="1"/>
  <c r="H3183" i="6"/>
  <c r="I3183" i="6" s="1"/>
  <c r="H3184" i="6"/>
  <c r="I3184" i="6" s="1"/>
  <c r="H3185" i="6"/>
  <c r="I3185" i="6" s="1"/>
  <c r="H3186" i="6"/>
  <c r="I3186" i="6" s="1"/>
  <c r="H3187" i="6"/>
  <c r="I3187" i="6" s="1"/>
  <c r="H3188" i="6"/>
  <c r="I3188" i="6" s="1"/>
  <c r="H3189" i="6"/>
  <c r="I3189" i="6" s="1"/>
  <c r="H3190" i="6"/>
  <c r="I3190" i="6" s="1"/>
  <c r="H3191" i="6"/>
  <c r="I3191" i="6" s="1"/>
  <c r="H3192" i="6"/>
  <c r="I3192" i="6" s="1"/>
  <c r="H3193" i="6"/>
  <c r="I3193" i="6" s="1"/>
  <c r="H3194" i="6"/>
  <c r="I3194" i="6" s="1"/>
  <c r="H3195" i="6"/>
  <c r="I3195" i="6" s="1"/>
  <c r="H3196" i="6"/>
  <c r="I3196" i="6" s="1"/>
  <c r="H3197" i="6"/>
  <c r="I3197" i="6" s="1"/>
  <c r="H3198" i="6"/>
  <c r="I3198" i="6" s="1"/>
  <c r="H3199" i="6"/>
  <c r="I3199" i="6" s="1"/>
  <c r="H3200" i="6"/>
  <c r="I3200" i="6" s="1"/>
  <c r="H3201" i="6"/>
  <c r="I3201" i="6" s="1"/>
  <c r="H3202" i="6"/>
  <c r="I3202" i="6" s="1"/>
  <c r="H3203" i="6"/>
  <c r="I3203" i="6" s="1"/>
  <c r="H3204" i="6"/>
  <c r="I3204" i="6" s="1"/>
  <c r="H3205" i="6"/>
  <c r="I3205" i="6" s="1"/>
  <c r="H3206" i="6"/>
  <c r="I3206" i="6" s="1"/>
  <c r="H3207" i="6"/>
  <c r="I3207" i="6" s="1"/>
  <c r="H3208" i="6"/>
  <c r="I3208" i="6" s="1"/>
  <c r="H3209" i="6"/>
  <c r="I3209" i="6" s="1"/>
  <c r="H3210" i="6"/>
  <c r="I3210" i="6" s="1"/>
  <c r="H3211" i="6"/>
  <c r="I3211" i="6" s="1"/>
  <c r="H3212" i="6"/>
  <c r="I3212" i="6" s="1"/>
  <c r="H3213" i="6"/>
  <c r="I3213" i="6" s="1"/>
  <c r="H3214" i="6"/>
  <c r="I3214" i="6" s="1"/>
  <c r="H3215" i="6"/>
  <c r="I3215" i="6" s="1"/>
  <c r="H3216" i="6"/>
  <c r="I3216" i="6" s="1"/>
  <c r="H3217" i="6"/>
  <c r="I3217" i="6" s="1"/>
  <c r="H3218" i="6"/>
  <c r="I3218" i="6" s="1"/>
  <c r="H3219" i="6"/>
  <c r="I3219" i="6" s="1"/>
  <c r="H3220" i="6"/>
  <c r="I3220" i="6" s="1"/>
  <c r="H3221" i="6"/>
  <c r="I3221" i="6" s="1"/>
  <c r="H3222" i="6"/>
  <c r="I3222" i="6" s="1"/>
  <c r="H3223" i="6"/>
  <c r="I3223" i="6" s="1"/>
  <c r="H3224" i="6"/>
  <c r="I3224" i="6" s="1"/>
  <c r="H3225" i="6"/>
  <c r="I3225" i="6" s="1"/>
  <c r="H3226" i="6"/>
  <c r="I3226" i="6" s="1"/>
  <c r="H3227" i="6"/>
  <c r="I3227" i="6" s="1"/>
  <c r="H3228" i="6"/>
  <c r="I3228" i="6" s="1"/>
  <c r="H3229" i="6"/>
  <c r="I3229" i="6" s="1"/>
  <c r="H3230" i="6"/>
  <c r="I3230" i="6" s="1"/>
  <c r="H3231" i="6"/>
  <c r="I3231" i="6" s="1"/>
  <c r="H3232" i="6"/>
  <c r="I3232" i="6" s="1"/>
  <c r="H3233" i="6"/>
  <c r="I3233" i="6" s="1"/>
  <c r="H3234" i="6"/>
  <c r="I3234" i="6" s="1"/>
  <c r="H3235" i="6"/>
  <c r="I3235" i="6" s="1"/>
  <c r="H3236" i="6"/>
  <c r="I3236" i="6" s="1"/>
  <c r="H3237" i="6"/>
  <c r="I3237" i="6" s="1"/>
  <c r="H3238" i="6"/>
  <c r="I3238" i="6" s="1"/>
  <c r="H3239" i="6"/>
  <c r="I3239" i="6" s="1"/>
  <c r="H3240" i="6"/>
  <c r="I3240" i="6" s="1"/>
  <c r="H3241" i="6"/>
  <c r="I3241" i="6" s="1"/>
  <c r="H3242" i="6"/>
  <c r="I3242" i="6" s="1"/>
  <c r="H3243" i="6"/>
  <c r="I3243" i="6" s="1"/>
  <c r="H3244" i="6"/>
  <c r="I3244" i="6" s="1"/>
  <c r="H3245" i="6"/>
  <c r="I3245" i="6" s="1"/>
  <c r="H3246" i="6"/>
  <c r="I3246" i="6" s="1"/>
  <c r="H3247" i="6"/>
  <c r="I3247" i="6" s="1"/>
  <c r="H3248" i="6"/>
  <c r="I3248" i="6" s="1"/>
  <c r="H3249" i="6"/>
  <c r="I3249" i="6" s="1"/>
  <c r="H3250" i="6"/>
  <c r="I3250" i="6" s="1"/>
  <c r="H3251" i="6"/>
  <c r="I3251" i="6" s="1"/>
  <c r="H3252" i="6"/>
  <c r="I3252" i="6" s="1"/>
  <c r="H3253" i="6"/>
  <c r="I3253" i="6" s="1"/>
  <c r="H3254" i="6"/>
  <c r="I3254" i="6" s="1"/>
  <c r="H3255" i="6"/>
  <c r="I3255" i="6" s="1"/>
  <c r="H3256" i="6"/>
  <c r="I3256" i="6" s="1"/>
  <c r="H3257" i="6"/>
  <c r="I3257" i="6" s="1"/>
  <c r="H3258" i="6"/>
  <c r="I3258" i="6" s="1"/>
  <c r="H3259" i="6"/>
  <c r="I3259" i="6" s="1"/>
  <c r="H3260" i="6"/>
  <c r="I3260" i="6" s="1"/>
  <c r="H3261" i="6"/>
  <c r="I3261" i="6" s="1"/>
  <c r="H3262" i="6"/>
  <c r="I3262" i="6" s="1"/>
  <c r="H3263" i="6"/>
  <c r="I3263" i="6" s="1"/>
  <c r="H3264" i="6"/>
  <c r="I3264" i="6" s="1"/>
  <c r="H3265" i="6"/>
  <c r="I3265" i="6" s="1"/>
  <c r="H3266" i="6"/>
  <c r="I3266" i="6" s="1"/>
  <c r="H3267" i="6"/>
  <c r="I3267" i="6" s="1"/>
  <c r="H3268" i="6"/>
  <c r="I3268" i="6" s="1"/>
  <c r="H3269" i="6"/>
  <c r="I3269" i="6" s="1"/>
  <c r="H3270" i="6"/>
  <c r="I3270" i="6" s="1"/>
  <c r="H3271" i="6"/>
  <c r="I3271" i="6" s="1"/>
  <c r="H3272" i="6"/>
  <c r="I3272" i="6" s="1"/>
  <c r="H3273" i="6"/>
  <c r="I3273" i="6" s="1"/>
  <c r="H3274" i="6"/>
  <c r="I3274" i="6" s="1"/>
  <c r="H3275" i="6"/>
  <c r="I3275" i="6" s="1"/>
  <c r="H3276" i="6"/>
  <c r="I3276" i="6" s="1"/>
  <c r="H3277" i="6"/>
  <c r="I3277" i="6" s="1"/>
  <c r="H3278" i="6"/>
  <c r="I3278" i="6" s="1"/>
  <c r="H3279" i="6"/>
  <c r="I3279" i="6" s="1"/>
  <c r="H3280" i="6"/>
  <c r="I3280" i="6" s="1"/>
  <c r="H3281" i="6"/>
  <c r="I3281" i="6" s="1"/>
  <c r="H3282" i="6"/>
  <c r="I3282" i="6" s="1"/>
  <c r="H3283" i="6"/>
  <c r="I3283" i="6" s="1"/>
  <c r="H3284" i="6"/>
  <c r="I3284" i="6" s="1"/>
  <c r="H3285" i="6"/>
  <c r="I3285" i="6" s="1"/>
  <c r="H3286" i="6"/>
  <c r="I3286" i="6" s="1"/>
  <c r="H3287" i="6"/>
  <c r="I3287" i="6" s="1"/>
  <c r="H3288" i="6"/>
  <c r="I3288" i="6" s="1"/>
  <c r="H3289" i="6"/>
  <c r="I3289" i="6" s="1"/>
  <c r="H3290" i="6"/>
  <c r="I3290" i="6" s="1"/>
  <c r="H3291" i="6"/>
  <c r="I3291" i="6" s="1"/>
  <c r="H3292" i="6"/>
  <c r="I3292" i="6" s="1"/>
  <c r="H3293" i="6"/>
  <c r="I3293" i="6" s="1"/>
  <c r="H3294" i="6"/>
  <c r="I3294" i="6" s="1"/>
  <c r="H3295" i="6"/>
  <c r="I3295" i="6" s="1"/>
  <c r="H3296" i="6"/>
  <c r="I3296" i="6" s="1"/>
  <c r="H3297" i="6"/>
  <c r="I3297" i="6" s="1"/>
  <c r="H3298" i="6"/>
  <c r="I3298" i="6" s="1"/>
  <c r="H3299" i="6"/>
  <c r="I3299" i="6" s="1"/>
  <c r="H3300" i="6"/>
  <c r="I3300" i="6" s="1"/>
  <c r="H3301" i="6"/>
  <c r="I3301" i="6" s="1"/>
  <c r="H3302" i="6"/>
  <c r="I3302" i="6" s="1"/>
  <c r="H3303" i="6"/>
  <c r="I3303" i="6" s="1"/>
  <c r="H3304" i="6"/>
  <c r="I3304" i="6" s="1"/>
  <c r="H3305" i="6"/>
  <c r="I3305" i="6" s="1"/>
  <c r="H3306" i="6"/>
  <c r="I3306" i="6" s="1"/>
  <c r="H3307" i="6"/>
  <c r="I3307" i="6" s="1"/>
  <c r="H3308" i="6"/>
  <c r="I3308" i="6" s="1"/>
  <c r="H3309" i="6"/>
  <c r="I3309" i="6" s="1"/>
  <c r="H3310" i="6"/>
  <c r="I3310" i="6" s="1"/>
  <c r="H3311" i="6"/>
  <c r="I3311" i="6" s="1"/>
  <c r="H3312" i="6"/>
  <c r="I3312" i="6" s="1"/>
  <c r="H3313" i="6"/>
  <c r="I3313" i="6" s="1"/>
  <c r="H3314" i="6"/>
  <c r="I3314" i="6" s="1"/>
  <c r="H3315" i="6"/>
  <c r="I3315" i="6" s="1"/>
  <c r="H3316" i="6"/>
  <c r="I3316" i="6" s="1"/>
  <c r="H3317" i="6"/>
  <c r="I3317" i="6" s="1"/>
  <c r="H3318" i="6"/>
  <c r="I3318" i="6" s="1"/>
  <c r="H3319" i="6"/>
  <c r="I3319" i="6" s="1"/>
  <c r="H3320" i="6"/>
  <c r="I3320" i="6" s="1"/>
  <c r="H3321" i="6"/>
  <c r="I3321" i="6" s="1"/>
  <c r="H3322" i="6"/>
  <c r="I3322" i="6" s="1"/>
  <c r="H3323" i="6"/>
  <c r="I3323" i="6" s="1"/>
  <c r="H3324" i="6"/>
  <c r="I3324" i="6" s="1"/>
  <c r="H3325" i="6"/>
  <c r="I3325" i="6" s="1"/>
  <c r="H3326" i="6"/>
  <c r="I3326" i="6" s="1"/>
  <c r="H3327" i="6"/>
  <c r="I3327" i="6" s="1"/>
  <c r="H3328" i="6"/>
  <c r="I3328" i="6" s="1"/>
  <c r="H3329" i="6"/>
  <c r="I3329" i="6" s="1"/>
  <c r="H3330" i="6"/>
  <c r="I3330" i="6" s="1"/>
  <c r="H3331" i="6"/>
  <c r="I3331" i="6" s="1"/>
  <c r="H3332" i="6"/>
  <c r="I3332" i="6" s="1"/>
  <c r="H3333" i="6"/>
  <c r="I3333" i="6" s="1"/>
  <c r="H3334" i="6"/>
  <c r="I3334" i="6" s="1"/>
  <c r="H3335" i="6"/>
  <c r="I3335" i="6" s="1"/>
  <c r="H3336" i="6"/>
  <c r="I3336" i="6" s="1"/>
  <c r="H3337" i="6"/>
  <c r="I3337" i="6" s="1"/>
  <c r="H3338" i="6"/>
  <c r="I3338" i="6" s="1"/>
  <c r="H3339" i="6"/>
  <c r="I3339" i="6" s="1"/>
  <c r="H3340" i="6"/>
  <c r="I3340" i="6" s="1"/>
  <c r="H3341" i="6"/>
  <c r="I3341" i="6" s="1"/>
  <c r="H3342" i="6"/>
  <c r="I3342" i="6" s="1"/>
  <c r="H3343" i="6"/>
  <c r="I3343" i="6" s="1"/>
  <c r="H3344" i="6"/>
  <c r="I3344" i="6" s="1"/>
  <c r="H3345" i="6"/>
  <c r="I3345" i="6" s="1"/>
  <c r="H3346" i="6"/>
  <c r="I3346" i="6" s="1"/>
  <c r="H3347" i="6"/>
  <c r="I3347" i="6" s="1"/>
  <c r="H3348" i="6"/>
  <c r="I3348" i="6" s="1"/>
  <c r="H3349" i="6"/>
  <c r="I3349" i="6" s="1"/>
  <c r="H3350" i="6"/>
  <c r="I3350" i="6" s="1"/>
  <c r="H3351" i="6"/>
  <c r="I3351" i="6" s="1"/>
  <c r="H3352" i="6"/>
  <c r="I3352" i="6" s="1"/>
  <c r="H3353" i="6"/>
  <c r="I3353" i="6" s="1"/>
  <c r="H3354" i="6"/>
  <c r="I3354" i="6" s="1"/>
  <c r="H3355" i="6"/>
  <c r="I3355" i="6" s="1"/>
  <c r="H3356" i="6"/>
  <c r="I3356" i="6" s="1"/>
  <c r="H3357" i="6"/>
  <c r="I3357" i="6" s="1"/>
  <c r="H3358" i="6"/>
  <c r="I3358" i="6" s="1"/>
  <c r="H3359" i="6"/>
  <c r="I3359" i="6" s="1"/>
  <c r="H3360" i="6"/>
  <c r="I3360" i="6" s="1"/>
  <c r="H3361" i="6"/>
  <c r="I3361" i="6" s="1"/>
  <c r="H3362" i="6"/>
  <c r="I3362" i="6" s="1"/>
  <c r="H3363" i="6"/>
  <c r="I3363" i="6" s="1"/>
  <c r="H3364" i="6"/>
  <c r="I3364" i="6" s="1"/>
  <c r="H3365" i="6"/>
  <c r="I3365" i="6" s="1"/>
  <c r="H3366" i="6"/>
  <c r="I3366" i="6" s="1"/>
  <c r="H3367" i="6"/>
  <c r="I3367" i="6" s="1"/>
  <c r="H3368" i="6"/>
  <c r="I3368" i="6" s="1"/>
  <c r="H3369" i="6"/>
  <c r="I3369" i="6" s="1"/>
  <c r="H3370" i="6"/>
  <c r="I3370" i="6" s="1"/>
  <c r="H3371" i="6"/>
  <c r="I3371" i="6" s="1"/>
  <c r="H3372" i="6"/>
  <c r="I3372" i="6" s="1"/>
  <c r="H3373" i="6"/>
  <c r="I3373" i="6" s="1"/>
  <c r="H3374" i="6"/>
  <c r="I3374" i="6" s="1"/>
  <c r="H3375" i="6"/>
  <c r="I3375" i="6" s="1"/>
  <c r="H3376" i="6"/>
  <c r="I3376" i="6" s="1"/>
  <c r="H3377" i="6"/>
  <c r="I3377" i="6" s="1"/>
  <c r="H3378" i="6"/>
  <c r="I3378" i="6" s="1"/>
  <c r="H3379" i="6"/>
  <c r="I3379" i="6" s="1"/>
  <c r="H3380" i="6"/>
  <c r="I3380" i="6" s="1"/>
  <c r="H3381" i="6"/>
  <c r="I3381" i="6" s="1"/>
  <c r="H3382" i="6"/>
  <c r="I3382" i="6" s="1"/>
  <c r="H3383" i="6"/>
  <c r="I3383" i="6" s="1"/>
  <c r="H3384" i="6"/>
  <c r="I3384" i="6" s="1"/>
  <c r="H3385" i="6"/>
  <c r="I3385" i="6" s="1"/>
  <c r="H3386" i="6"/>
  <c r="I3386" i="6" s="1"/>
  <c r="H3387" i="6"/>
  <c r="I3387" i="6" s="1"/>
  <c r="H3388" i="6"/>
  <c r="I3388" i="6" s="1"/>
  <c r="H3389" i="6"/>
  <c r="I3389" i="6" s="1"/>
  <c r="H3390" i="6"/>
  <c r="I3390" i="6" s="1"/>
  <c r="H3391" i="6"/>
  <c r="I3391" i="6" s="1"/>
  <c r="H3392" i="6"/>
  <c r="I3392" i="6" s="1"/>
  <c r="H3393" i="6"/>
  <c r="I3393" i="6" s="1"/>
  <c r="H3394" i="6"/>
  <c r="I3394" i="6" s="1"/>
  <c r="H3395" i="6"/>
  <c r="I3395" i="6" s="1"/>
  <c r="H3396" i="6"/>
  <c r="I3396" i="6" s="1"/>
  <c r="H3397" i="6"/>
  <c r="I3397" i="6" s="1"/>
  <c r="H3398" i="6"/>
  <c r="I3398" i="6" s="1"/>
  <c r="H3399" i="6"/>
  <c r="I3399" i="6" s="1"/>
  <c r="H3400" i="6"/>
  <c r="I3400" i="6" s="1"/>
  <c r="H3401" i="6"/>
  <c r="I3401" i="6" s="1"/>
  <c r="H3402" i="6"/>
  <c r="I3402" i="6" s="1"/>
  <c r="H3403" i="6"/>
  <c r="I3403" i="6" s="1"/>
  <c r="H3404" i="6"/>
  <c r="I3404" i="6" s="1"/>
  <c r="H3405" i="6"/>
  <c r="I3405" i="6" s="1"/>
  <c r="H3406" i="6"/>
  <c r="I3406" i="6" s="1"/>
  <c r="H3407" i="6"/>
  <c r="I3407" i="6" s="1"/>
  <c r="H3408" i="6"/>
  <c r="I3408" i="6" s="1"/>
  <c r="H3409" i="6"/>
  <c r="I3409" i="6" s="1"/>
  <c r="H3410" i="6"/>
  <c r="I3410" i="6" s="1"/>
  <c r="H3411" i="6"/>
  <c r="I3411" i="6" s="1"/>
  <c r="H3412" i="6"/>
  <c r="I3412" i="6" s="1"/>
  <c r="H3413" i="6"/>
  <c r="I3413" i="6" s="1"/>
  <c r="H3414" i="6"/>
  <c r="I3414" i="6" s="1"/>
  <c r="H3415" i="6"/>
  <c r="I3415" i="6" s="1"/>
  <c r="H3416" i="6"/>
  <c r="I3416" i="6" s="1"/>
  <c r="H3417" i="6"/>
  <c r="I3417" i="6" s="1"/>
  <c r="H3418" i="6"/>
  <c r="I3418" i="6" s="1"/>
  <c r="H3419" i="6"/>
  <c r="I3419" i="6" s="1"/>
  <c r="H3420" i="6"/>
  <c r="I3420" i="6" s="1"/>
  <c r="H3421" i="6"/>
  <c r="I3421" i="6" s="1"/>
  <c r="H3422" i="6"/>
  <c r="I3422" i="6" s="1"/>
  <c r="H3423" i="6"/>
  <c r="I3423" i="6" s="1"/>
  <c r="H3424" i="6"/>
  <c r="I3424" i="6" s="1"/>
  <c r="H3425" i="6"/>
  <c r="I3425" i="6" s="1"/>
  <c r="H3426" i="6"/>
  <c r="I3426" i="6" s="1"/>
  <c r="H3427" i="6"/>
  <c r="I3427" i="6" s="1"/>
  <c r="H3428" i="6"/>
  <c r="I3428" i="6" s="1"/>
  <c r="H3429" i="6"/>
  <c r="I3429" i="6" s="1"/>
  <c r="H3430" i="6"/>
  <c r="I3430" i="6" s="1"/>
  <c r="H3431" i="6"/>
  <c r="I3431" i="6" s="1"/>
  <c r="H3432" i="6"/>
  <c r="I3432" i="6" s="1"/>
  <c r="H3433" i="6"/>
  <c r="I3433" i="6" s="1"/>
  <c r="H3434" i="6"/>
  <c r="I3434" i="6" s="1"/>
  <c r="H3435" i="6"/>
  <c r="I3435" i="6" s="1"/>
  <c r="H3436" i="6"/>
  <c r="I3436" i="6" s="1"/>
  <c r="H3437" i="6"/>
  <c r="I3437" i="6" s="1"/>
  <c r="H3438" i="6"/>
  <c r="I3438" i="6" s="1"/>
  <c r="H3439" i="6"/>
  <c r="I3439" i="6" s="1"/>
  <c r="H3440" i="6"/>
  <c r="I3440" i="6" s="1"/>
  <c r="H3441" i="6"/>
  <c r="I3441" i="6" s="1"/>
  <c r="H3442" i="6"/>
  <c r="I3442" i="6" s="1"/>
  <c r="H3443" i="6"/>
  <c r="I3443" i="6" s="1"/>
  <c r="H3444" i="6"/>
  <c r="I3444" i="6" s="1"/>
  <c r="H3445" i="6"/>
  <c r="I3445" i="6" s="1"/>
  <c r="H3446" i="6"/>
  <c r="I3446" i="6" s="1"/>
  <c r="H3447" i="6"/>
  <c r="I3447" i="6" s="1"/>
  <c r="H3448" i="6"/>
  <c r="I3448" i="6" s="1"/>
  <c r="H3449" i="6"/>
  <c r="I3449" i="6" s="1"/>
  <c r="H3450" i="6"/>
  <c r="I3450" i="6" s="1"/>
  <c r="H3451" i="6"/>
  <c r="I3451" i="6" s="1"/>
  <c r="H3452" i="6"/>
  <c r="I3452" i="6" s="1"/>
  <c r="H3453" i="6"/>
  <c r="I3453" i="6" s="1"/>
  <c r="H3454" i="6"/>
  <c r="I3454" i="6" s="1"/>
  <c r="H3455" i="6"/>
  <c r="I3455" i="6" s="1"/>
  <c r="H3456" i="6"/>
  <c r="I3456" i="6" s="1"/>
  <c r="H3457" i="6"/>
  <c r="I3457" i="6" s="1"/>
  <c r="H3458" i="6"/>
  <c r="I3458" i="6" s="1"/>
  <c r="H3459" i="6"/>
  <c r="I3459" i="6" s="1"/>
  <c r="H3460" i="6"/>
  <c r="I3460" i="6" s="1"/>
  <c r="H3461" i="6"/>
  <c r="I3461" i="6" s="1"/>
  <c r="H3462" i="6"/>
  <c r="I3462" i="6" s="1"/>
  <c r="H3463" i="6"/>
  <c r="I3463" i="6" s="1"/>
  <c r="H3464" i="6"/>
  <c r="I3464" i="6" s="1"/>
  <c r="H3465" i="6"/>
  <c r="I3465" i="6" s="1"/>
  <c r="H3466" i="6"/>
  <c r="I3466" i="6" s="1"/>
  <c r="H3467" i="6"/>
  <c r="I3467" i="6" s="1"/>
  <c r="H3468" i="6"/>
  <c r="I3468" i="6" s="1"/>
  <c r="H3469" i="6"/>
  <c r="I3469" i="6" s="1"/>
  <c r="H3470" i="6"/>
  <c r="I3470" i="6" s="1"/>
  <c r="H3471" i="6"/>
  <c r="I3471" i="6" s="1"/>
  <c r="H3472" i="6"/>
  <c r="I3472" i="6" s="1"/>
  <c r="H3473" i="6"/>
  <c r="I3473" i="6" s="1"/>
  <c r="H3474" i="6"/>
  <c r="I3474" i="6" s="1"/>
  <c r="H3475" i="6"/>
  <c r="I3475" i="6" s="1"/>
  <c r="H3476" i="6"/>
  <c r="I3476" i="6" s="1"/>
  <c r="H3477" i="6"/>
  <c r="I3477" i="6" s="1"/>
  <c r="H3478" i="6"/>
  <c r="I3478" i="6" s="1"/>
  <c r="H3479" i="6"/>
  <c r="I3479" i="6" s="1"/>
  <c r="H3480" i="6"/>
  <c r="I3480" i="6" s="1"/>
  <c r="H3481" i="6"/>
  <c r="I3481" i="6" s="1"/>
  <c r="H3482" i="6"/>
  <c r="I3482" i="6" s="1"/>
  <c r="H3483" i="6"/>
  <c r="I3483" i="6" s="1"/>
  <c r="H3484" i="6"/>
  <c r="I3484" i="6" s="1"/>
  <c r="H3485" i="6"/>
  <c r="I3485" i="6" s="1"/>
  <c r="H3486" i="6"/>
  <c r="I3486" i="6" s="1"/>
  <c r="H3487" i="6"/>
  <c r="I3487" i="6" s="1"/>
  <c r="H3488" i="6"/>
  <c r="I3488" i="6" s="1"/>
  <c r="H3489" i="6"/>
  <c r="I3489" i="6" s="1"/>
  <c r="H3490" i="6"/>
  <c r="I3490" i="6" s="1"/>
  <c r="H3491" i="6"/>
  <c r="I3491" i="6" s="1"/>
  <c r="H3492" i="6"/>
  <c r="I3492" i="6" s="1"/>
  <c r="H3493" i="6"/>
  <c r="I3493" i="6" s="1"/>
  <c r="H3494" i="6"/>
  <c r="I3494" i="6" s="1"/>
  <c r="H3495" i="6"/>
  <c r="I3495" i="6" s="1"/>
  <c r="H3496" i="6"/>
  <c r="I3496" i="6" s="1"/>
  <c r="H3497" i="6"/>
  <c r="I3497" i="6" s="1"/>
  <c r="H3498" i="6"/>
  <c r="I3498" i="6" s="1"/>
  <c r="H3499" i="6"/>
  <c r="I3499" i="6" s="1"/>
  <c r="H3500" i="6"/>
  <c r="I3500" i="6" s="1"/>
  <c r="H3501" i="6"/>
  <c r="I3501" i="6" s="1"/>
  <c r="H3502" i="6"/>
  <c r="I3502" i="6" s="1"/>
  <c r="H3503" i="6"/>
  <c r="I3503" i="6" s="1"/>
  <c r="H3504" i="6"/>
  <c r="I3504" i="6" s="1"/>
  <c r="H3505" i="6"/>
  <c r="I3505" i="6" s="1"/>
  <c r="H3506" i="6"/>
  <c r="I3506" i="6" s="1"/>
  <c r="H3507" i="6"/>
  <c r="I3507" i="6" s="1"/>
  <c r="H3508" i="6"/>
  <c r="I3508" i="6" s="1"/>
  <c r="H3509" i="6"/>
  <c r="I3509" i="6" s="1"/>
  <c r="H3510" i="6"/>
  <c r="I3510" i="6" s="1"/>
  <c r="H3511" i="6"/>
  <c r="I3511" i="6" s="1"/>
  <c r="H3512" i="6"/>
  <c r="I3512" i="6" s="1"/>
  <c r="H3513" i="6"/>
  <c r="I3513" i="6" s="1"/>
  <c r="H3514" i="6"/>
  <c r="I3514" i="6" s="1"/>
  <c r="H3515" i="6"/>
  <c r="I3515" i="6" s="1"/>
  <c r="H3516" i="6"/>
  <c r="I3516" i="6" s="1"/>
  <c r="H3517" i="6"/>
  <c r="I3517" i="6" s="1"/>
  <c r="H3518" i="6"/>
  <c r="I3518" i="6" s="1"/>
  <c r="H3519" i="6"/>
  <c r="I3519" i="6" s="1"/>
  <c r="H3520" i="6"/>
  <c r="I3520" i="6" s="1"/>
  <c r="H3521" i="6"/>
  <c r="I3521" i="6" s="1"/>
  <c r="H3522" i="6"/>
  <c r="I3522" i="6" s="1"/>
  <c r="H3523" i="6"/>
  <c r="I3523" i="6" s="1"/>
  <c r="H3524" i="6"/>
  <c r="I3524" i="6" s="1"/>
  <c r="H3525" i="6"/>
  <c r="I3525" i="6" s="1"/>
  <c r="H3526" i="6"/>
  <c r="I3526" i="6" s="1"/>
  <c r="H3527" i="6"/>
  <c r="I3527" i="6" s="1"/>
  <c r="H3528" i="6"/>
  <c r="I3528" i="6" s="1"/>
  <c r="H3529" i="6"/>
  <c r="I3529" i="6" s="1"/>
  <c r="H3530" i="6"/>
  <c r="I3530" i="6" s="1"/>
  <c r="H3531" i="6"/>
  <c r="I3531" i="6" s="1"/>
  <c r="H3532" i="6"/>
  <c r="I3532" i="6" s="1"/>
  <c r="H3533" i="6"/>
  <c r="I3533" i="6" s="1"/>
  <c r="H3534" i="6"/>
  <c r="I3534" i="6" s="1"/>
  <c r="H3535" i="6"/>
  <c r="I3535" i="6" s="1"/>
  <c r="H3536" i="6"/>
  <c r="I3536" i="6" s="1"/>
  <c r="H3537" i="6"/>
  <c r="I3537" i="6" s="1"/>
  <c r="H3538" i="6"/>
  <c r="I3538" i="6" s="1"/>
  <c r="H3539" i="6"/>
  <c r="I3539" i="6" s="1"/>
  <c r="H3540" i="6"/>
  <c r="I3540" i="6" s="1"/>
  <c r="H3541" i="6"/>
  <c r="I3541" i="6" s="1"/>
  <c r="H3542" i="6"/>
  <c r="I3542" i="6" s="1"/>
  <c r="H3543" i="6"/>
  <c r="I3543" i="6" s="1"/>
  <c r="H3544" i="6"/>
  <c r="I3544" i="6" s="1"/>
  <c r="H3545" i="6"/>
  <c r="I3545" i="6" s="1"/>
  <c r="H3546" i="6"/>
  <c r="I3546" i="6" s="1"/>
  <c r="H3547" i="6"/>
  <c r="I3547" i="6" s="1"/>
  <c r="H3548" i="6"/>
  <c r="I3548" i="6" s="1"/>
  <c r="H3549" i="6"/>
  <c r="I3549" i="6" s="1"/>
  <c r="H3550" i="6"/>
  <c r="I3550" i="6" s="1"/>
  <c r="H3551" i="6"/>
  <c r="I3551" i="6" s="1"/>
  <c r="H3552" i="6"/>
  <c r="I3552" i="6" s="1"/>
  <c r="H3553" i="6"/>
  <c r="I3553" i="6" s="1"/>
  <c r="H3554" i="6"/>
  <c r="I3554" i="6" s="1"/>
  <c r="H3555" i="6"/>
  <c r="I3555" i="6" s="1"/>
  <c r="H3556" i="6"/>
  <c r="I3556" i="6" s="1"/>
  <c r="H3557" i="6"/>
  <c r="I3557" i="6" s="1"/>
  <c r="H3558" i="6"/>
  <c r="I3558" i="6" s="1"/>
  <c r="H3559" i="6"/>
  <c r="I3559" i="6" s="1"/>
  <c r="H3560" i="6"/>
  <c r="I3560" i="6" s="1"/>
  <c r="H3561" i="6"/>
  <c r="I3561" i="6" s="1"/>
  <c r="H3562" i="6"/>
  <c r="I3562" i="6" s="1"/>
  <c r="H3563" i="6"/>
  <c r="I3563" i="6" s="1"/>
  <c r="H3564" i="6"/>
  <c r="I3564" i="6" s="1"/>
  <c r="H3565" i="6"/>
  <c r="I3565" i="6" s="1"/>
  <c r="H3566" i="6"/>
  <c r="I3566" i="6" s="1"/>
  <c r="H3567" i="6"/>
  <c r="I3567" i="6" s="1"/>
  <c r="H3568" i="6"/>
  <c r="I3568" i="6" s="1"/>
  <c r="H3569" i="6"/>
  <c r="I3569" i="6" s="1"/>
  <c r="H3570" i="6"/>
  <c r="I3570" i="6" s="1"/>
  <c r="H3571" i="6"/>
  <c r="I3571" i="6" s="1"/>
  <c r="H3572" i="6"/>
  <c r="I3572" i="6" s="1"/>
  <c r="H3573" i="6"/>
  <c r="I3573" i="6" s="1"/>
  <c r="H3574" i="6"/>
  <c r="I3574" i="6" s="1"/>
  <c r="H3575" i="6"/>
  <c r="I3575" i="6" s="1"/>
  <c r="H3576" i="6"/>
  <c r="I3576" i="6" s="1"/>
  <c r="H3577" i="6"/>
  <c r="I3577" i="6" s="1"/>
  <c r="H3578" i="6"/>
  <c r="I3578" i="6" s="1"/>
  <c r="H3579" i="6"/>
  <c r="I3579" i="6" s="1"/>
  <c r="H3580" i="6"/>
  <c r="I3580" i="6" s="1"/>
  <c r="H3581" i="6"/>
  <c r="I3581" i="6" s="1"/>
  <c r="H3582" i="6"/>
  <c r="I3582" i="6" s="1"/>
  <c r="H3583" i="6"/>
  <c r="I3583" i="6" s="1"/>
  <c r="H3584" i="6"/>
  <c r="I3584" i="6" s="1"/>
  <c r="H3585" i="6"/>
  <c r="I3585" i="6" s="1"/>
  <c r="H3586" i="6"/>
  <c r="I3586" i="6" s="1"/>
  <c r="H3587" i="6"/>
  <c r="I3587" i="6" s="1"/>
  <c r="H3588" i="6"/>
  <c r="I3588" i="6" s="1"/>
  <c r="H3589" i="6"/>
  <c r="I3589" i="6" s="1"/>
  <c r="H3590" i="6"/>
  <c r="I3590" i="6" s="1"/>
  <c r="H3591" i="6"/>
  <c r="I3591" i="6" s="1"/>
  <c r="H3592" i="6"/>
  <c r="I3592" i="6" s="1"/>
  <c r="H3593" i="6"/>
  <c r="I3593" i="6" s="1"/>
  <c r="H3594" i="6"/>
  <c r="I3594" i="6" s="1"/>
  <c r="H3595" i="6"/>
  <c r="I3595" i="6" s="1"/>
  <c r="H3596" i="6"/>
  <c r="I3596" i="6" s="1"/>
  <c r="H3597" i="6"/>
  <c r="I3597" i="6" s="1"/>
  <c r="H3598" i="6"/>
  <c r="I3598" i="6" s="1"/>
  <c r="H3599" i="6"/>
  <c r="I3599" i="6" s="1"/>
  <c r="H3600" i="6"/>
  <c r="I3600" i="6" s="1"/>
  <c r="H3601" i="6"/>
  <c r="I3601" i="6" s="1"/>
  <c r="H3602" i="6"/>
  <c r="I3602" i="6" s="1"/>
  <c r="H3603" i="6"/>
  <c r="I3603" i="6" s="1"/>
  <c r="H3604" i="6"/>
  <c r="I3604" i="6" s="1"/>
  <c r="H3605" i="6"/>
  <c r="I3605" i="6" s="1"/>
  <c r="H3606" i="6"/>
  <c r="I3606" i="6" s="1"/>
  <c r="H3607" i="6"/>
  <c r="I3607" i="6" s="1"/>
  <c r="H3608" i="6"/>
  <c r="I3608" i="6" s="1"/>
  <c r="H3609" i="6"/>
  <c r="I3609" i="6" s="1"/>
  <c r="H3610" i="6"/>
  <c r="I3610" i="6" s="1"/>
  <c r="H3611" i="6"/>
  <c r="I3611" i="6" s="1"/>
  <c r="H3612" i="6"/>
  <c r="I3612" i="6" s="1"/>
  <c r="H3613" i="6"/>
  <c r="I3613" i="6" s="1"/>
  <c r="H3614" i="6"/>
  <c r="I3614" i="6" s="1"/>
  <c r="H3615" i="6"/>
  <c r="I3615" i="6" s="1"/>
  <c r="H3616" i="6"/>
  <c r="I3616" i="6" s="1"/>
  <c r="H3617" i="6"/>
  <c r="I3617" i="6" s="1"/>
  <c r="H3618" i="6"/>
  <c r="I3618" i="6" s="1"/>
  <c r="H3619" i="6"/>
  <c r="I3619" i="6" s="1"/>
  <c r="H3620" i="6"/>
  <c r="I3620" i="6" s="1"/>
  <c r="H3621" i="6"/>
  <c r="I3621" i="6" s="1"/>
  <c r="H3622" i="6"/>
  <c r="I3622" i="6" s="1"/>
  <c r="H3623" i="6"/>
  <c r="I3623" i="6" s="1"/>
  <c r="H3624" i="6"/>
  <c r="I3624" i="6" s="1"/>
  <c r="H3625" i="6"/>
  <c r="I3625" i="6" s="1"/>
  <c r="H3626" i="6"/>
  <c r="I3626" i="6" s="1"/>
  <c r="H3627" i="6"/>
  <c r="I3627" i="6" s="1"/>
  <c r="H3628" i="6"/>
  <c r="I3628" i="6" s="1"/>
  <c r="H3629" i="6"/>
  <c r="I3629" i="6" s="1"/>
  <c r="H3630" i="6"/>
  <c r="I3630" i="6" s="1"/>
  <c r="H3631" i="6"/>
  <c r="I3631" i="6" s="1"/>
  <c r="H3632" i="6"/>
  <c r="I3632" i="6" s="1"/>
  <c r="H3633" i="6"/>
  <c r="I3633" i="6" s="1"/>
  <c r="H3634" i="6"/>
  <c r="I3634" i="6" s="1"/>
  <c r="H3635" i="6"/>
  <c r="I3635" i="6" s="1"/>
  <c r="H3636" i="6"/>
  <c r="I3636" i="6" s="1"/>
  <c r="H3637" i="6"/>
  <c r="I3637" i="6" s="1"/>
  <c r="H3638" i="6"/>
  <c r="I3638" i="6" s="1"/>
  <c r="H3639" i="6"/>
  <c r="I3639" i="6" s="1"/>
  <c r="H3640" i="6"/>
  <c r="I3640" i="6" s="1"/>
  <c r="H3641" i="6"/>
  <c r="I3641" i="6" s="1"/>
  <c r="H3642" i="6"/>
  <c r="I3642" i="6" s="1"/>
  <c r="H3643" i="6"/>
  <c r="I3643" i="6" s="1"/>
  <c r="H3644" i="6"/>
  <c r="I3644" i="6" s="1"/>
  <c r="H3645" i="6"/>
  <c r="I3645" i="6" s="1"/>
  <c r="H3646" i="6"/>
  <c r="I3646" i="6" s="1"/>
  <c r="H3647" i="6"/>
  <c r="I3647" i="6" s="1"/>
  <c r="H3648" i="6"/>
  <c r="I3648" i="6" s="1"/>
  <c r="H3649" i="6"/>
  <c r="I3649" i="6" s="1"/>
  <c r="H3650" i="6"/>
  <c r="I3650" i="6" s="1"/>
  <c r="H3651" i="6"/>
  <c r="I3651" i="6" s="1"/>
  <c r="H3652" i="6"/>
  <c r="I3652" i="6" s="1"/>
  <c r="H3653" i="6"/>
  <c r="I3653" i="6" s="1"/>
  <c r="H3654" i="6"/>
  <c r="I3654" i="6" s="1"/>
  <c r="H3655" i="6"/>
  <c r="I3655" i="6" s="1"/>
  <c r="H3656" i="6"/>
  <c r="I3656" i="6" s="1"/>
  <c r="H3657" i="6"/>
  <c r="I3657" i="6" s="1"/>
  <c r="H3658" i="6"/>
  <c r="I3658" i="6" s="1"/>
  <c r="H3659" i="6"/>
  <c r="I3659" i="6" s="1"/>
  <c r="H3660" i="6"/>
  <c r="I3660" i="6" s="1"/>
  <c r="H3661" i="6"/>
  <c r="I3661" i="6" s="1"/>
  <c r="H3662" i="6"/>
  <c r="I3662" i="6" s="1"/>
  <c r="H3663" i="6"/>
  <c r="I3663" i="6" s="1"/>
  <c r="H3664" i="6"/>
  <c r="I3664" i="6" s="1"/>
  <c r="H3665" i="6"/>
  <c r="I3665" i="6" s="1"/>
  <c r="H3666" i="6"/>
  <c r="I3666" i="6" s="1"/>
  <c r="H3667" i="6"/>
  <c r="I3667" i="6" s="1"/>
  <c r="H3668" i="6"/>
  <c r="I3668" i="6" s="1"/>
  <c r="H3669" i="6"/>
  <c r="I3669" i="6" s="1"/>
  <c r="H3670" i="6"/>
  <c r="I3670" i="6" s="1"/>
  <c r="H3671" i="6"/>
  <c r="I3671" i="6" s="1"/>
  <c r="H3672" i="6"/>
  <c r="I3672" i="6" s="1"/>
  <c r="H3673" i="6"/>
  <c r="I3673" i="6" s="1"/>
  <c r="H3674" i="6"/>
  <c r="I3674" i="6" s="1"/>
  <c r="H3675" i="6"/>
  <c r="I3675" i="6" s="1"/>
  <c r="H3676" i="6"/>
  <c r="I3676" i="6" s="1"/>
  <c r="H3677" i="6"/>
  <c r="I3677" i="6" s="1"/>
  <c r="H3678" i="6"/>
  <c r="I3678" i="6" s="1"/>
  <c r="H3679" i="6"/>
  <c r="I3679" i="6" s="1"/>
  <c r="H3680" i="6"/>
  <c r="I3680" i="6" s="1"/>
  <c r="H3681" i="6"/>
  <c r="I3681" i="6" s="1"/>
  <c r="H3682" i="6"/>
  <c r="I3682" i="6" s="1"/>
  <c r="H3683" i="6"/>
  <c r="I3683" i="6" s="1"/>
  <c r="H3684" i="6"/>
  <c r="I3684" i="6" s="1"/>
  <c r="H3685" i="6"/>
  <c r="I3685" i="6" s="1"/>
  <c r="H3686" i="6"/>
  <c r="I3686" i="6" s="1"/>
  <c r="H3687" i="6"/>
  <c r="I3687" i="6" s="1"/>
  <c r="H3688" i="6"/>
  <c r="I3688" i="6" s="1"/>
  <c r="H3689" i="6"/>
  <c r="I3689" i="6" s="1"/>
  <c r="H3690" i="6"/>
  <c r="I3690" i="6" s="1"/>
  <c r="H3691" i="6"/>
  <c r="I3691" i="6" s="1"/>
  <c r="H3692" i="6"/>
  <c r="I3692" i="6" s="1"/>
  <c r="H3693" i="6"/>
  <c r="I3693" i="6" s="1"/>
  <c r="H3694" i="6"/>
  <c r="I3694" i="6" s="1"/>
  <c r="H3695" i="6"/>
  <c r="I3695" i="6" s="1"/>
  <c r="H3696" i="6"/>
  <c r="I3696" i="6" s="1"/>
  <c r="H3697" i="6"/>
  <c r="I3697" i="6" s="1"/>
  <c r="H3698" i="6"/>
  <c r="I3698" i="6" s="1"/>
  <c r="H3699" i="6"/>
  <c r="I3699" i="6" s="1"/>
  <c r="H3700" i="6"/>
  <c r="I3700" i="6" s="1"/>
  <c r="H3701" i="6"/>
  <c r="I3701" i="6" s="1"/>
  <c r="H3702" i="6"/>
  <c r="I3702" i="6" s="1"/>
  <c r="H3703" i="6"/>
  <c r="I3703" i="6" s="1"/>
  <c r="H3704" i="6"/>
  <c r="I3704" i="6" s="1"/>
  <c r="H3705" i="6"/>
  <c r="I3705" i="6" s="1"/>
  <c r="H3706" i="6"/>
  <c r="I3706" i="6" s="1"/>
  <c r="H3707" i="6"/>
  <c r="I3707" i="6" s="1"/>
  <c r="H3708" i="6"/>
  <c r="I3708" i="6" s="1"/>
  <c r="H3709" i="6"/>
  <c r="I3709" i="6" s="1"/>
  <c r="H3710" i="6"/>
  <c r="I3710" i="6" s="1"/>
  <c r="H3711" i="6"/>
  <c r="I3711" i="6" s="1"/>
  <c r="H3712" i="6"/>
  <c r="I3712" i="6" s="1"/>
  <c r="H3713" i="6"/>
  <c r="I3713" i="6" s="1"/>
  <c r="H3714" i="6"/>
  <c r="I3714" i="6" s="1"/>
  <c r="H3715" i="6"/>
  <c r="I3715" i="6" s="1"/>
  <c r="H3716" i="6"/>
  <c r="I3716" i="6" s="1"/>
  <c r="H3717" i="6"/>
  <c r="I3717" i="6" s="1"/>
  <c r="H3718" i="6"/>
  <c r="I3718" i="6" s="1"/>
  <c r="H3719" i="6"/>
  <c r="I3719" i="6" s="1"/>
  <c r="H3720" i="6"/>
  <c r="I3720" i="6" s="1"/>
  <c r="H3721" i="6"/>
  <c r="I3721" i="6" s="1"/>
  <c r="H3722" i="6"/>
  <c r="I3722" i="6" s="1"/>
  <c r="H3723" i="6"/>
  <c r="I3723" i="6" s="1"/>
  <c r="H3724" i="6"/>
  <c r="I3724" i="6" s="1"/>
  <c r="H3725" i="6"/>
  <c r="I3725" i="6" s="1"/>
  <c r="H3726" i="6"/>
  <c r="I3726" i="6" s="1"/>
  <c r="H3727" i="6"/>
  <c r="I3727" i="6" s="1"/>
  <c r="H3728" i="6"/>
  <c r="I3728" i="6" s="1"/>
  <c r="H3729" i="6"/>
  <c r="I3729" i="6" s="1"/>
  <c r="H3730" i="6"/>
  <c r="I3730" i="6" s="1"/>
  <c r="H3731" i="6"/>
  <c r="I3731" i="6" s="1"/>
  <c r="H3732" i="6"/>
  <c r="I3732" i="6" s="1"/>
  <c r="H3733" i="6"/>
  <c r="I3733" i="6" s="1"/>
  <c r="H3734" i="6"/>
  <c r="I3734" i="6" s="1"/>
  <c r="H3735" i="6"/>
  <c r="I3735" i="6" s="1"/>
  <c r="H3736" i="6"/>
  <c r="I3736" i="6" s="1"/>
  <c r="H3737" i="6"/>
  <c r="I3737" i="6" s="1"/>
  <c r="H3738" i="6"/>
  <c r="I3738" i="6" s="1"/>
  <c r="H3739" i="6"/>
  <c r="I3739" i="6" s="1"/>
  <c r="H3740" i="6"/>
  <c r="I3740" i="6" s="1"/>
  <c r="H3741" i="6"/>
  <c r="I3741" i="6" s="1"/>
  <c r="H3742" i="6"/>
  <c r="I3742" i="6" s="1"/>
  <c r="H3743" i="6"/>
  <c r="I3743" i="6" s="1"/>
  <c r="H3744" i="6"/>
  <c r="I3744" i="6" s="1"/>
  <c r="H3745" i="6"/>
  <c r="I3745" i="6" s="1"/>
  <c r="H3746" i="6"/>
  <c r="I3746" i="6" s="1"/>
  <c r="H3747" i="6"/>
  <c r="I3747" i="6" s="1"/>
  <c r="H3748" i="6"/>
  <c r="I3748" i="6" s="1"/>
  <c r="H3749" i="6"/>
  <c r="I3749" i="6" s="1"/>
  <c r="H3750" i="6"/>
  <c r="I3750" i="6" s="1"/>
  <c r="H3751" i="6"/>
  <c r="I3751" i="6" s="1"/>
  <c r="H3752" i="6"/>
  <c r="I3752" i="6" s="1"/>
  <c r="H3753" i="6"/>
  <c r="I3753" i="6" s="1"/>
  <c r="H3754" i="6"/>
  <c r="I3754" i="6" s="1"/>
  <c r="H3755" i="6"/>
  <c r="I3755" i="6" s="1"/>
  <c r="H3756" i="6"/>
  <c r="I3756" i="6" s="1"/>
  <c r="H3757" i="6"/>
  <c r="I3757" i="6" s="1"/>
  <c r="H3758" i="6"/>
  <c r="I3758" i="6" s="1"/>
  <c r="H3759" i="6"/>
  <c r="I3759" i="6" s="1"/>
  <c r="H3760" i="6"/>
  <c r="I3760" i="6" s="1"/>
  <c r="H3761" i="6"/>
  <c r="I3761" i="6" s="1"/>
  <c r="H3762" i="6"/>
  <c r="I3762" i="6" s="1"/>
  <c r="H3763" i="6"/>
  <c r="I3763" i="6" s="1"/>
  <c r="H3764" i="6"/>
  <c r="I3764" i="6" s="1"/>
  <c r="H3765" i="6"/>
  <c r="I3765" i="6" s="1"/>
  <c r="H3766" i="6"/>
  <c r="I3766" i="6" s="1"/>
  <c r="H3767" i="6"/>
  <c r="I3767" i="6" s="1"/>
  <c r="H3768" i="6"/>
  <c r="I3768" i="6" s="1"/>
  <c r="H3769" i="6"/>
  <c r="I3769" i="6" s="1"/>
  <c r="H3770" i="6"/>
  <c r="I3770" i="6" s="1"/>
  <c r="H3771" i="6"/>
  <c r="I3771" i="6" s="1"/>
  <c r="H3772" i="6"/>
  <c r="I3772" i="6" s="1"/>
  <c r="H3773" i="6"/>
  <c r="I3773" i="6" s="1"/>
  <c r="H3774" i="6"/>
  <c r="I3774" i="6" s="1"/>
  <c r="H3775" i="6"/>
  <c r="I3775" i="6" s="1"/>
  <c r="H3776" i="6"/>
  <c r="I3776" i="6" s="1"/>
  <c r="H3777" i="6"/>
  <c r="I3777" i="6" s="1"/>
  <c r="H3778" i="6"/>
  <c r="I3778" i="6" s="1"/>
  <c r="H3779" i="6"/>
  <c r="I3779" i="6" s="1"/>
  <c r="H3780" i="6"/>
  <c r="I3780" i="6" s="1"/>
  <c r="H3781" i="6"/>
  <c r="I3781" i="6" s="1"/>
  <c r="H3782" i="6"/>
  <c r="I3782" i="6" s="1"/>
  <c r="H3783" i="6"/>
  <c r="I3783" i="6" s="1"/>
  <c r="H3784" i="6"/>
  <c r="I3784" i="6" s="1"/>
  <c r="H3785" i="6"/>
  <c r="I3785" i="6" s="1"/>
  <c r="H3786" i="6"/>
  <c r="I3786" i="6" s="1"/>
  <c r="H3787" i="6"/>
  <c r="I3787" i="6" s="1"/>
  <c r="H3788" i="6"/>
  <c r="I3788" i="6" s="1"/>
  <c r="H3789" i="6"/>
  <c r="I3789" i="6" s="1"/>
  <c r="H3790" i="6"/>
  <c r="I3790" i="6" s="1"/>
  <c r="H3791" i="6"/>
  <c r="I3791" i="6" s="1"/>
  <c r="H3792" i="6"/>
  <c r="I3792" i="6" s="1"/>
  <c r="H3793" i="6"/>
  <c r="I3793" i="6" s="1"/>
  <c r="H3794" i="6"/>
  <c r="I3794" i="6" s="1"/>
  <c r="H3795" i="6"/>
  <c r="I3795" i="6" s="1"/>
  <c r="H3796" i="6"/>
  <c r="I3796" i="6" s="1"/>
  <c r="H3797" i="6"/>
  <c r="I3797" i="6" s="1"/>
  <c r="H3798" i="6"/>
  <c r="I3798" i="6" s="1"/>
  <c r="H3799" i="6"/>
  <c r="I3799" i="6" s="1"/>
  <c r="H3800" i="6"/>
  <c r="I3800" i="6" s="1"/>
  <c r="H3801" i="6"/>
  <c r="I3801" i="6" s="1"/>
  <c r="H3802" i="6"/>
  <c r="I3802" i="6" s="1"/>
  <c r="H3803" i="6"/>
  <c r="I3803" i="6" s="1"/>
  <c r="H3804" i="6"/>
  <c r="I3804" i="6" s="1"/>
  <c r="H3805" i="6"/>
  <c r="I3805" i="6" s="1"/>
  <c r="H3806" i="6"/>
  <c r="I3806" i="6" s="1"/>
  <c r="H3807" i="6"/>
  <c r="I3807" i="6" s="1"/>
  <c r="H3808" i="6"/>
  <c r="I3808" i="6" s="1"/>
  <c r="H3809" i="6"/>
  <c r="I3809" i="6" s="1"/>
  <c r="H3810" i="6"/>
  <c r="I3810" i="6" s="1"/>
  <c r="H3811" i="6"/>
  <c r="I3811" i="6" s="1"/>
  <c r="H3812" i="6"/>
  <c r="I3812" i="6" s="1"/>
  <c r="H3813" i="6"/>
  <c r="I3813" i="6" s="1"/>
  <c r="H3814" i="6"/>
  <c r="I3814" i="6" s="1"/>
  <c r="H3815" i="6"/>
  <c r="I3815" i="6" s="1"/>
  <c r="H3816" i="6"/>
  <c r="I3816" i="6" s="1"/>
  <c r="H3817" i="6"/>
  <c r="I3817" i="6" s="1"/>
  <c r="H3818" i="6"/>
  <c r="I3818" i="6" s="1"/>
  <c r="H3819" i="6"/>
  <c r="I3819" i="6" s="1"/>
  <c r="H3820" i="6"/>
  <c r="I3820" i="6" s="1"/>
  <c r="H3821" i="6"/>
  <c r="I3821" i="6" s="1"/>
  <c r="H3822" i="6"/>
  <c r="I3822" i="6" s="1"/>
  <c r="H3823" i="6"/>
  <c r="I3823" i="6" s="1"/>
  <c r="H3824" i="6"/>
  <c r="I3824" i="6" s="1"/>
  <c r="H3825" i="6"/>
  <c r="I3825" i="6" s="1"/>
  <c r="H3826" i="6"/>
  <c r="I3826" i="6" s="1"/>
  <c r="H3827" i="6"/>
  <c r="I3827" i="6" s="1"/>
  <c r="H3828" i="6"/>
  <c r="I3828" i="6" s="1"/>
  <c r="H3829" i="6"/>
  <c r="I3829" i="6" s="1"/>
  <c r="H3830" i="6"/>
  <c r="I3830" i="6" s="1"/>
  <c r="H3831" i="6"/>
  <c r="I3831" i="6" s="1"/>
  <c r="H3832" i="6"/>
  <c r="I3832" i="6" s="1"/>
  <c r="H3833" i="6"/>
  <c r="I3833" i="6" s="1"/>
  <c r="H3834" i="6"/>
  <c r="I3834" i="6" s="1"/>
  <c r="H3835" i="6"/>
  <c r="I3835" i="6" s="1"/>
  <c r="H3836" i="6"/>
  <c r="I3836" i="6" s="1"/>
  <c r="H3837" i="6"/>
  <c r="I3837" i="6" s="1"/>
  <c r="H3838" i="6"/>
  <c r="I3838" i="6" s="1"/>
  <c r="H3839" i="6"/>
  <c r="I3839" i="6" s="1"/>
  <c r="H3840" i="6"/>
  <c r="I3840" i="6" s="1"/>
  <c r="H3841" i="6"/>
  <c r="I3841" i="6" s="1"/>
  <c r="H3842" i="6"/>
  <c r="I3842" i="6" s="1"/>
  <c r="H3843" i="6"/>
  <c r="I3843" i="6" s="1"/>
  <c r="H3844" i="6"/>
  <c r="I3844" i="6" s="1"/>
  <c r="H3845" i="6"/>
  <c r="I3845" i="6" s="1"/>
  <c r="H3846" i="6"/>
  <c r="I3846" i="6" s="1"/>
  <c r="H3847" i="6"/>
  <c r="I3847" i="6" s="1"/>
  <c r="H3848" i="6"/>
  <c r="I3848" i="6" s="1"/>
  <c r="H3849" i="6"/>
  <c r="I3849" i="6" s="1"/>
  <c r="H3850" i="6"/>
  <c r="I3850" i="6" s="1"/>
  <c r="H3851" i="6"/>
  <c r="I3851" i="6" s="1"/>
  <c r="H3852" i="6"/>
  <c r="I3852" i="6" s="1"/>
  <c r="H3853" i="6"/>
  <c r="I3853" i="6" s="1"/>
  <c r="H3854" i="6"/>
  <c r="I3854" i="6" s="1"/>
  <c r="H3855" i="6"/>
  <c r="I3855" i="6" s="1"/>
  <c r="H3856" i="6"/>
  <c r="I3856" i="6" s="1"/>
  <c r="H3857" i="6"/>
  <c r="I3857" i="6" s="1"/>
  <c r="H3858" i="6"/>
  <c r="I3858" i="6" s="1"/>
  <c r="H3859" i="6"/>
  <c r="I3859" i="6" s="1"/>
  <c r="H3860" i="6"/>
  <c r="I3860" i="6" s="1"/>
  <c r="H3861" i="6"/>
  <c r="I3861" i="6" s="1"/>
  <c r="H3862" i="6"/>
  <c r="I3862" i="6" s="1"/>
  <c r="H3863" i="6"/>
  <c r="I3863" i="6" s="1"/>
  <c r="H3864" i="6"/>
  <c r="I3864" i="6" s="1"/>
  <c r="H3865" i="6"/>
  <c r="I3865" i="6" s="1"/>
  <c r="H3866" i="6"/>
  <c r="I3866" i="6" s="1"/>
  <c r="H3867" i="6"/>
  <c r="I3867" i="6" s="1"/>
  <c r="H3868" i="6"/>
  <c r="I3868" i="6" s="1"/>
  <c r="H3869" i="6"/>
  <c r="I3869" i="6" s="1"/>
  <c r="H3870" i="6"/>
  <c r="I3870" i="6" s="1"/>
  <c r="H3871" i="6"/>
  <c r="I3871" i="6" s="1"/>
  <c r="H3872" i="6"/>
  <c r="I3872" i="6" s="1"/>
  <c r="H3873" i="6"/>
  <c r="I3873" i="6" s="1"/>
  <c r="H3874" i="6"/>
  <c r="I3874" i="6" s="1"/>
  <c r="H3875" i="6"/>
  <c r="I3875" i="6" s="1"/>
  <c r="H3876" i="6"/>
  <c r="I3876" i="6" s="1"/>
  <c r="H3877" i="6"/>
  <c r="I3877" i="6" s="1"/>
  <c r="H3878" i="6"/>
  <c r="I3878" i="6" s="1"/>
  <c r="H3879" i="6"/>
  <c r="I3879" i="6" s="1"/>
  <c r="H3880" i="6"/>
  <c r="I3880" i="6" s="1"/>
  <c r="H3881" i="6"/>
  <c r="I3881" i="6" s="1"/>
  <c r="H3882" i="6"/>
  <c r="I3882" i="6" s="1"/>
  <c r="H3883" i="6"/>
  <c r="I3883" i="6" s="1"/>
  <c r="H3884" i="6"/>
  <c r="I3884" i="6" s="1"/>
  <c r="H3885" i="6"/>
  <c r="I3885" i="6" s="1"/>
  <c r="H3886" i="6"/>
  <c r="I3886" i="6" s="1"/>
  <c r="H3887" i="6"/>
  <c r="I3887" i="6" s="1"/>
  <c r="H3888" i="6"/>
  <c r="I3888" i="6" s="1"/>
  <c r="H3889" i="6"/>
  <c r="I3889" i="6" s="1"/>
  <c r="H3890" i="6"/>
  <c r="I3890" i="6" s="1"/>
  <c r="H3891" i="6"/>
  <c r="I3891" i="6" s="1"/>
  <c r="H3892" i="6"/>
  <c r="I3892" i="6" s="1"/>
  <c r="H3893" i="6"/>
  <c r="I3893" i="6" s="1"/>
  <c r="H3894" i="6"/>
  <c r="I3894" i="6" s="1"/>
  <c r="H3895" i="6"/>
  <c r="I3895" i="6" s="1"/>
  <c r="H3896" i="6"/>
  <c r="I3896" i="6" s="1"/>
  <c r="H3897" i="6"/>
  <c r="I3897" i="6" s="1"/>
  <c r="H3898" i="6"/>
  <c r="I3898" i="6" s="1"/>
  <c r="H3899" i="6"/>
  <c r="I3899" i="6" s="1"/>
  <c r="H3900" i="6"/>
  <c r="I3900" i="6" s="1"/>
  <c r="H3901" i="6"/>
  <c r="I3901" i="6" s="1"/>
  <c r="H3902" i="6"/>
  <c r="I3902" i="6" s="1"/>
  <c r="H3903" i="6"/>
  <c r="I3903" i="6" s="1"/>
  <c r="H3904" i="6"/>
  <c r="I3904" i="6" s="1"/>
  <c r="H3905" i="6"/>
  <c r="I3905" i="6" s="1"/>
  <c r="H3906" i="6"/>
  <c r="I3906" i="6" s="1"/>
  <c r="H3907" i="6"/>
  <c r="I3907" i="6" s="1"/>
  <c r="H3908" i="6"/>
  <c r="I3908" i="6" s="1"/>
  <c r="H3909" i="6"/>
  <c r="I3909" i="6" s="1"/>
  <c r="H3910" i="6"/>
  <c r="I3910" i="6" s="1"/>
  <c r="H3911" i="6"/>
  <c r="I3911" i="6" s="1"/>
  <c r="H3912" i="6"/>
  <c r="I3912" i="6" s="1"/>
  <c r="H3913" i="6"/>
  <c r="I3913" i="6" s="1"/>
  <c r="H3914" i="6"/>
  <c r="I3914" i="6" s="1"/>
  <c r="H3915" i="6"/>
  <c r="I3915" i="6" s="1"/>
  <c r="H3916" i="6"/>
  <c r="I3916" i="6" s="1"/>
  <c r="H3917" i="6"/>
  <c r="I3917" i="6" s="1"/>
  <c r="H3918" i="6"/>
  <c r="I3918" i="6" s="1"/>
  <c r="H3919" i="6"/>
  <c r="I3919" i="6" s="1"/>
  <c r="H3920" i="6"/>
  <c r="I3920" i="6" s="1"/>
  <c r="H3921" i="6"/>
  <c r="I3921" i="6" s="1"/>
  <c r="H3922" i="6"/>
  <c r="I3922" i="6" s="1"/>
  <c r="H3923" i="6"/>
  <c r="I3923" i="6" s="1"/>
  <c r="H3924" i="6"/>
  <c r="I3924" i="6" s="1"/>
  <c r="H3925" i="6"/>
  <c r="I3925" i="6" s="1"/>
  <c r="H3926" i="6"/>
  <c r="I3926" i="6" s="1"/>
  <c r="H3927" i="6"/>
  <c r="I3927" i="6" s="1"/>
  <c r="H3928" i="6"/>
  <c r="I3928" i="6" s="1"/>
  <c r="H3929" i="6"/>
  <c r="I3929" i="6" s="1"/>
  <c r="H3930" i="6"/>
  <c r="I3930" i="6" s="1"/>
  <c r="H3931" i="6"/>
  <c r="I3931" i="6" s="1"/>
  <c r="H3932" i="6"/>
  <c r="I3932" i="6" s="1"/>
  <c r="H3933" i="6"/>
  <c r="I3933" i="6" s="1"/>
  <c r="H3934" i="6"/>
  <c r="I3934" i="6" s="1"/>
  <c r="H3935" i="6"/>
  <c r="I3935" i="6" s="1"/>
  <c r="H3936" i="6"/>
  <c r="I3936" i="6" s="1"/>
  <c r="H3937" i="6"/>
  <c r="I3937" i="6" s="1"/>
  <c r="H3938" i="6"/>
  <c r="I3938" i="6" s="1"/>
  <c r="H3939" i="6"/>
  <c r="I3939" i="6" s="1"/>
  <c r="H3940" i="6"/>
  <c r="I3940" i="6" s="1"/>
  <c r="H3941" i="6"/>
  <c r="I3941" i="6" s="1"/>
  <c r="H3942" i="6"/>
  <c r="I3942" i="6" s="1"/>
  <c r="H3943" i="6"/>
  <c r="I3943" i="6" s="1"/>
  <c r="H3944" i="6"/>
  <c r="I3944" i="6" s="1"/>
  <c r="H3945" i="6"/>
  <c r="I3945" i="6" s="1"/>
  <c r="H3946" i="6"/>
  <c r="I3946" i="6" s="1"/>
  <c r="H3947" i="6"/>
  <c r="I3947" i="6" s="1"/>
  <c r="H3948" i="6"/>
  <c r="I3948" i="6" s="1"/>
  <c r="H3949" i="6"/>
  <c r="I3949" i="6" s="1"/>
  <c r="H3950" i="6"/>
  <c r="I3950" i="6" s="1"/>
  <c r="H3951" i="6"/>
  <c r="I3951" i="6" s="1"/>
  <c r="H3952" i="6"/>
  <c r="I3952" i="6" s="1"/>
  <c r="H3953" i="6"/>
  <c r="I3953" i="6" s="1"/>
  <c r="H3954" i="6"/>
  <c r="I3954" i="6" s="1"/>
  <c r="H3955" i="6"/>
  <c r="I3955" i="6" s="1"/>
  <c r="H3956" i="6"/>
  <c r="I3956" i="6" s="1"/>
  <c r="H3957" i="6"/>
  <c r="I3957" i="6" s="1"/>
  <c r="H3958" i="6"/>
  <c r="I3958" i="6" s="1"/>
  <c r="H3959" i="6"/>
  <c r="I3959" i="6" s="1"/>
  <c r="H3960" i="6"/>
  <c r="I3960" i="6" s="1"/>
  <c r="H3961" i="6"/>
  <c r="I3961" i="6" s="1"/>
  <c r="H3962" i="6"/>
  <c r="I3962" i="6" s="1"/>
  <c r="H3963" i="6"/>
  <c r="I3963" i="6" s="1"/>
  <c r="H3964" i="6"/>
  <c r="I3964" i="6" s="1"/>
  <c r="H3965" i="6"/>
  <c r="I3965" i="6" s="1"/>
  <c r="H3966" i="6"/>
  <c r="I3966" i="6" s="1"/>
  <c r="H3967" i="6"/>
  <c r="I3967" i="6" s="1"/>
  <c r="H3968" i="6"/>
  <c r="I3968" i="6" s="1"/>
  <c r="H3969" i="6"/>
  <c r="I3969" i="6" s="1"/>
  <c r="H3970" i="6"/>
  <c r="I3970" i="6" s="1"/>
  <c r="H3971" i="6"/>
  <c r="I3971" i="6" s="1"/>
  <c r="H3972" i="6"/>
  <c r="I3972" i="6" s="1"/>
  <c r="H3973" i="6"/>
  <c r="I3973" i="6" s="1"/>
  <c r="H3974" i="6"/>
  <c r="I3974" i="6" s="1"/>
  <c r="H3975" i="6"/>
  <c r="I3975" i="6" s="1"/>
  <c r="H3976" i="6"/>
  <c r="I3976" i="6" s="1"/>
  <c r="H3977" i="6"/>
  <c r="I3977" i="6" s="1"/>
  <c r="H3978" i="6"/>
  <c r="I3978" i="6" s="1"/>
  <c r="H3979" i="6"/>
  <c r="I3979" i="6" s="1"/>
  <c r="H3980" i="6"/>
  <c r="I3980" i="6" s="1"/>
  <c r="H3981" i="6"/>
  <c r="I3981" i="6" s="1"/>
  <c r="H3982" i="6"/>
  <c r="I3982" i="6" s="1"/>
  <c r="H3983" i="6"/>
  <c r="I3983" i="6" s="1"/>
  <c r="H3984" i="6"/>
  <c r="I3984" i="6" s="1"/>
  <c r="H3985" i="6"/>
  <c r="I3985" i="6" s="1"/>
  <c r="H3986" i="6"/>
  <c r="I3986" i="6" s="1"/>
  <c r="H3987" i="6"/>
  <c r="I3987" i="6" s="1"/>
  <c r="H3988" i="6"/>
  <c r="I3988" i="6" s="1"/>
  <c r="H3989" i="6"/>
  <c r="I3989" i="6" s="1"/>
  <c r="H3990" i="6"/>
  <c r="I3990" i="6" s="1"/>
  <c r="H3991" i="6"/>
  <c r="I3991" i="6" s="1"/>
  <c r="H3992" i="6"/>
  <c r="I3992" i="6" s="1"/>
  <c r="H3993" i="6"/>
  <c r="I3993" i="6" s="1"/>
  <c r="H3994" i="6"/>
  <c r="I3994" i="6" s="1"/>
  <c r="H3995" i="6"/>
  <c r="I3995" i="6" s="1"/>
  <c r="H3996" i="6"/>
  <c r="I3996" i="6" s="1"/>
  <c r="H3997" i="6"/>
  <c r="I3997" i="6" s="1"/>
  <c r="H3998" i="6"/>
  <c r="I3998" i="6" s="1"/>
  <c r="H3999" i="6"/>
  <c r="I3999" i="6" s="1"/>
  <c r="H4000" i="6"/>
  <c r="I4000" i="6" s="1"/>
  <c r="H4001" i="6"/>
  <c r="I4001" i="6" s="1"/>
  <c r="H4002" i="6"/>
  <c r="I4002" i="6" s="1"/>
  <c r="H4003" i="6"/>
  <c r="I4003" i="6" s="1"/>
  <c r="H4004" i="6"/>
  <c r="I4004" i="6" s="1"/>
  <c r="H4005" i="6"/>
  <c r="I4005" i="6" s="1"/>
  <c r="H4006" i="6"/>
  <c r="I4006" i="6" s="1"/>
  <c r="H4007" i="6"/>
  <c r="I4007" i="6" s="1"/>
  <c r="H4008" i="6"/>
  <c r="I4008" i="6" s="1"/>
  <c r="H4009" i="6"/>
  <c r="I4009" i="6" s="1"/>
  <c r="H4010" i="6"/>
  <c r="I4010" i="6" s="1"/>
  <c r="H4011" i="6"/>
  <c r="I4011" i="6" s="1"/>
  <c r="H4012" i="6"/>
  <c r="I4012" i="6" s="1"/>
  <c r="H4013" i="6"/>
  <c r="I4013" i="6" s="1"/>
  <c r="H4014" i="6"/>
  <c r="I4014" i="6" s="1"/>
  <c r="H4015" i="6"/>
  <c r="I4015" i="6" s="1"/>
  <c r="H4016" i="6"/>
  <c r="I4016" i="6" s="1"/>
  <c r="H4017" i="6"/>
  <c r="I4017" i="6" s="1"/>
  <c r="H4018" i="6"/>
  <c r="I4018" i="6" s="1"/>
  <c r="H4019" i="6"/>
  <c r="I4019" i="6" s="1"/>
  <c r="H4020" i="6"/>
  <c r="I4020" i="6" s="1"/>
  <c r="H4021" i="6"/>
  <c r="I4021" i="6" s="1"/>
  <c r="H4022" i="6"/>
  <c r="I4022" i="6" s="1"/>
  <c r="H4023" i="6"/>
  <c r="I4023" i="6" s="1"/>
  <c r="H4024" i="6"/>
  <c r="I4024" i="6" s="1"/>
  <c r="H4025" i="6"/>
  <c r="I4025" i="6" s="1"/>
  <c r="H4026" i="6"/>
  <c r="I4026" i="6" s="1"/>
  <c r="H4027" i="6"/>
  <c r="I4027" i="6" s="1"/>
  <c r="H4028" i="6"/>
  <c r="I4028" i="6" s="1"/>
  <c r="H4029" i="6"/>
  <c r="I4029" i="6" s="1"/>
  <c r="H4030" i="6"/>
  <c r="I4030" i="6" s="1"/>
  <c r="H4031" i="6"/>
  <c r="I4031" i="6" s="1"/>
  <c r="H4032" i="6"/>
  <c r="I4032" i="6" s="1"/>
  <c r="H4033" i="6"/>
  <c r="I4033" i="6" s="1"/>
  <c r="H4034" i="6"/>
  <c r="I4034" i="6" s="1"/>
  <c r="H4035" i="6"/>
  <c r="I4035" i="6" s="1"/>
  <c r="H4036" i="6"/>
  <c r="I4036" i="6" s="1"/>
  <c r="H4037" i="6"/>
  <c r="I4037" i="6" s="1"/>
  <c r="H4038" i="6"/>
  <c r="I4038" i="6" s="1"/>
  <c r="H4039" i="6"/>
  <c r="I4039" i="6" s="1"/>
  <c r="H4040" i="6"/>
  <c r="I4040" i="6" s="1"/>
  <c r="H4041" i="6"/>
  <c r="I4041" i="6" s="1"/>
  <c r="H4042" i="6"/>
  <c r="I4042" i="6" s="1"/>
  <c r="H4043" i="6"/>
  <c r="I4043" i="6" s="1"/>
  <c r="H4044" i="6"/>
  <c r="I4044" i="6" s="1"/>
  <c r="H4045" i="6"/>
  <c r="I4045" i="6" s="1"/>
  <c r="H4046" i="6"/>
  <c r="I4046" i="6" s="1"/>
  <c r="H4047" i="6"/>
  <c r="I4047" i="6" s="1"/>
  <c r="H4048" i="6"/>
  <c r="I4048" i="6" s="1"/>
  <c r="H4049" i="6"/>
  <c r="I4049" i="6" s="1"/>
  <c r="H4050" i="6"/>
  <c r="I4050" i="6" s="1"/>
  <c r="H4051" i="6"/>
  <c r="I4051" i="6" s="1"/>
  <c r="H4052" i="6"/>
  <c r="I4052" i="6" s="1"/>
  <c r="H4053" i="6"/>
  <c r="I4053" i="6" s="1"/>
  <c r="H4054" i="6"/>
  <c r="I4054" i="6" s="1"/>
  <c r="H4055" i="6"/>
  <c r="I4055" i="6" s="1"/>
  <c r="H4056" i="6"/>
  <c r="I4056" i="6" s="1"/>
  <c r="H4057" i="6"/>
  <c r="I4057" i="6" s="1"/>
  <c r="H4058" i="6"/>
  <c r="I4058" i="6" s="1"/>
  <c r="H4059" i="6"/>
  <c r="I4059" i="6" s="1"/>
  <c r="H4060" i="6"/>
  <c r="I4060" i="6" s="1"/>
  <c r="H4061" i="6"/>
  <c r="I4061" i="6" s="1"/>
  <c r="H4062" i="6"/>
  <c r="I4062" i="6" s="1"/>
  <c r="H4063" i="6"/>
  <c r="I4063" i="6" s="1"/>
  <c r="H4064" i="6"/>
  <c r="I4064" i="6" s="1"/>
  <c r="H4065" i="6"/>
  <c r="I4065" i="6" s="1"/>
  <c r="H4066" i="6"/>
  <c r="I4066" i="6" s="1"/>
  <c r="H4067" i="6"/>
  <c r="I4067" i="6" s="1"/>
  <c r="H4068" i="6"/>
  <c r="I4068" i="6" s="1"/>
  <c r="H4069" i="6"/>
  <c r="I4069" i="6" s="1"/>
  <c r="H4070" i="6"/>
  <c r="I4070" i="6" s="1"/>
  <c r="H4071" i="6"/>
  <c r="I4071" i="6" s="1"/>
  <c r="H4072" i="6"/>
  <c r="I4072" i="6" s="1"/>
  <c r="H4073" i="6"/>
  <c r="I4073" i="6" s="1"/>
  <c r="H4074" i="6"/>
  <c r="I4074" i="6" s="1"/>
  <c r="H4075" i="6"/>
  <c r="I4075" i="6" s="1"/>
  <c r="H4076" i="6"/>
  <c r="I4076" i="6" s="1"/>
  <c r="H4077" i="6"/>
  <c r="I4077" i="6" s="1"/>
  <c r="H4078" i="6"/>
  <c r="I4078" i="6" s="1"/>
  <c r="H4079" i="6"/>
  <c r="I4079" i="6" s="1"/>
  <c r="H4080" i="6"/>
  <c r="I4080" i="6" s="1"/>
  <c r="H4081" i="6"/>
  <c r="I4081" i="6" s="1"/>
  <c r="H4082" i="6"/>
  <c r="I4082" i="6" s="1"/>
  <c r="H4083" i="6"/>
  <c r="I4083" i="6" s="1"/>
  <c r="H4084" i="6"/>
  <c r="I4084" i="6" s="1"/>
  <c r="H4085" i="6"/>
  <c r="I4085" i="6" s="1"/>
  <c r="H4086" i="6"/>
  <c r="I4086" i="6" s="1"/>
  <c r="H4087" i="6"/>
  <c r="I4087" i="6" s="1"/>
  <c r="H4088" i="6"/>
  <c r="I4088" i="6" s="1"/>
  <c r="H4089" i="6"/>
  <c r="I4089" i="6" s="1"/>
  <c r="H4090" i="6"/>
  <c r="I4090" i="6" s="1"/>
  <c r="H4091" i="6"/>
  <c r="I4091" i="6" s="1"/>
  <c r="H4092" i="6"/>
  <c r="I4092" i="6" s="1"/>
  <c r="H4093" i="6"/>
  <c r="I4093" i="6" s="1"/>
  <c r="H4094" i="6"/>
  <c r="I4094" i="6" s="1"/>
  <c r="H4095" i="6"/>
  <c r="I4095" i="6" s="1"/>
  <c r="H4096" i="6"/>
  <c r="I4096" i="6" s="1"/>
  <c r="H4097" i="6"/>
  <c r="I4097" i="6" s="1"/>
  <c r="H4098" i="6"/>
  <c r="I4098" i="6" s="1"/>
  <c r="H4099" i="6"/>
  <c r="I4099" i="6" s="1"/>
  <c r="H4100" i="6"/>
  <c r="I4100" i="6" s="1"/>
  <c r="H4101" i="6"/>
  <c r="I4101" i="6" s="1"/>
  <c r="H4102" i="6"/>
  <c r="I4102" i="6" s="1"/>
  <c r="H4103" i="6"/>
  <c r="I4103" i="6" s="1"/>
  <c r="H4104" i="6"/>
  <c r="I4104" i="6" s="1"/>
  <c r="H4105" i="6"/>
  <c r="I4105" i="6" s="1"/>
  <c r="H4106" i="6"/>
  <c r="I4106" i="6" s="1"/>
  <c r="H4107" i="6"/>
  <c r="I4107" i="6" s="1"/>
  <c r="H4108" i="6"/>
  <c r="I4108" i="6" s="1"/>
  <c r="H4109" i="6"/>
  <c r="I4109" i="6" s="1"/>
  <c r="H4110" i="6"/>
  <c r="I4110" i="6" s="1"/>
  <c r="H4111" i="6"/>
  <c r="I4111" i="6" s="1"/>
  <c r="H4112" i="6"/>
  <c r="I4112" i="6" s="1"/>
  <c r="H4113" i="6"/>
  <c r="I4113" i="6" s="1"/>
  <c r="H4114" i="6"/>
  <c r="I4114" i="6" s="1"/>
  <c r="H4115" i="6"/>
  <c r="I4115" i="6" s="1"/>
  <c r="H4116" i="6"/>
  <c r="I4116" i="6" s="1"/>
  <c r="H4117" i="6"/>
  <c r="I4117" i="6" s="1"/>
  <c r="H4118" i="6"/>
  <c r="I4118" i="6" s="1"/>
  <c r="H4119" i="6"/>
  <c r="I4119" i="6" s="1"/>
  <c r="H4120" i="6"/>
  <c r="I4120" i="6" s="1"/>
  <c r="H4121" i="6"/>
  <c r="I4121" i="6" s="1"/>
  <c r="H4122" i="6"/>
  <c r="I4122" i="6" s="1"/>
  <c r="H4123" i="6"/>
  <c r="I4123" i="6" s="1"/>
  <c r="H4124" i="6"/>
  <c r="I4124" i="6" s="1"/>
  <c r="H4125" i="6"/>
  <c r="I4125" i="6" s="1"/>
  <c r="H4126" i="6"/>
  <c r="I4126" i="6" s="1"/>
  <c r="H4127" i="6"/>
  <c r="I4127" i="6" s="1"/>
  <c r="H4128" i="6"/>
  <c r="I4128" i="6" s="1"/>
  <c r="H4129" i="6"/>
  <c r="I4129" i="6" s="1"/>
  <c r="H4130" i="6"/>
  <c r="I4130" i="6" s="1"/>
  <c r="H4131" i="6"/>
  <c r="I4131" i="6" s="1"/>
  <c r="H4132" i="6"/>
  <c r="I4132" i="6" s="1"/>
  <c r="H4133" i="6"/>
  <c r="I4133" i="6" s="1"/>
  <c r="H4134" i="6"/>
  <c r="I4134" i="6" s="1"/>
  <c r="H4135" i="6"/>
  <c r="I4135" i="6" s="1"/>
  <c r="H4136" i="6"/>
  <c r="I4136" i="6" s="1"/>
  <c r="H4137" i="6"/>
  <c r="I4137" i="6" s="1"/>
  <c r="H4138" i="6"/>
  <c r="I4138" i="6" s="1"/>
  <c r="H4139" i="6"/>
  <c r="I4139" i="6" s="1"/>
  <c r="H4140" i="6"/>
  <c r="I4140" i="6" s="1"/>
  <c r="H4141" i="6"/>
  <c r="I4141" i="6" s="1"/>
  <c r="H4142" i="6"/>
  <c r="I4142" i="6" s="1"/>
  <c r="H4143" i="6"/>
  <c r="I4143" i="6" s="1"/>
  <c r="H4144" i="6"/>
  <c r="I4144" i="6" s="1"/>
  <c r="H4145" i="6"/>
  <c r="I4145" i="6" s="1"/>
  <c r="H4146" i="6"/>
  <c r="I4146" i="6" s="1"/>
  <c r="H4147" i="6"/>
  <c r="I4147" i="6" s="1"/>
  <c r="H4148" i="6"/>
  <c r="I4148" i="6" s="1"/>
  <c r="H4149" i="6"/>
  <c r="I4149" i="6" s="1"/>
  <c r="H4150" i="6"/>
  <c r="I4150" i="6" s="1"/>
  <c r="H4151" i="6"/>
  <c r="I4151" i="6" s="1"/>
  <c r="H4152" i="6"/>
  <c r="I4152" i="6" s="1"/>
  <c r="H4153" i="6"/>
  <c r="I4153" i="6" s="1"/>
  <c r="H4154" i="6"/>
  <c r="I4154" i="6" s="1"/>
  <c r="H4155" i="6"/>
  <c r="I4155" i="6" s="1"/>
  <c r="H4156" i="6"/>
  <c r="I4156" i="6" s="1"/>
  <c r="H4157" i="6"/>
  <c r="I4157" i="6" s="1"/>
  <c r="H4158" i="6"/>
  <c r="I4158" i="6" s="1"/>
  <c r="H4159" i="6"/>
  <c r="I4159" i="6" s="1"/>
  <c r="H4160" i="6"/>
  <c r="I4160" i="6" s="1"/>
  <c r="H4161" i="6"/>
  <c r="I4161" i="6" s="1"/>
  <c r="H4162" i="6"/>
  <c r="I4162" i="6" s="1"/>
  <c r="H4163" i="6"/>
  <c r="I4163" i="6" s="1"/>
  <c r="H4164" i="6"/>
  <c r="I4164" i="6" s="1"/>
  <c r="H4165" i="6"/>
  <c r="I4165" i="6" s="1"/>
  <c r="H4166" i="6"/>
  <c r="I4166" i="6" s="1"/>
  <c r="H4167" i="6"/>
  <c r="I4167" i="6" s="1"/>
  <c r="H4168" i="6"/>
  <c r="I4168" i="6" s="1"/>
  <c r="H4169" i="6"/>
  <c r="I4169" i="6" s="1"/>
  <c r="H4170" i="6"/>
  <c r="I4170" i="6" s="1"/>
  <c r="H4171" i="6"/>
  <c r="I4171" i="6" s="1"/>
  <c r="H4172" i="6"/>
  <c r="I4172" i="6" s="1"/>
  <c r="H4173" i="6"/>
  <c r="I4173" i="6" s="1"/>
  <c r="H4174" i="6"/>
  <c r="I4174" i="6" s="1"/>
  <c r="H4175" i="6"/>
  <c r="I4175" i="6" s="1"/>
  <c r="H4176" i="6"/>
  <c r="I4176" i="6" s="1"/>
  <c r="H4177" i="6"/>
  <c r="I4177" i="6" s="1"/>
  <c r="H4178" i="6"/>
  <c r="I4178" i="6" s="1"/>
  <c r="H4179" i="6"/>
  <c r="I4179" i="6" s="1"/>
  <c r="H4180" i="6"/>
  <c r="I4180" i="6" s="1"/>
  <c r="H4181" i="6"/>
  <c r="I4181" i="6" s="1"/>
  <c r="H4182" i="6"/>
  <c r="I4182" i="6" s="1"/>
  <c r="H4183" i="6"/>
  <c r="I4183" i="6" s="1"/>
  <c r="H4184" i="6"/>
  <c r="I4184" i="6" s="1"/>
  <c r="H4185" i="6"/>
  <c r="I4185" i="6" s="1"/>
  <c r="H4186" i="6"/>
  <c r="I4186" i="6" s="1"/>
  <c r="H4187" i="6"/>
  <c r="I4187" i="6" s="1"/>
  <c r="H4188" i="6"/>
  <c r="I4188" i="6" s="1"/>
  <c r="H4189" i="6"/>
  <c r="I4189" i="6" s="1"/>
  <c r="H4190" i="6"/>
  <c r="I4190" i="6" s="1"/>
  <c r="H4191" i="6"/>
  <c r="I4191" i="6" s="1"/>
  <c r="H4192" i="6"/>
  <c r="I4192" i="6" s="1"/>
  <c r="H4193" i="6"/>
  <c r="I4193" i="6" s="1"/>
  <c r="H4194" i="6"/>
  <c r="I4194" i="6" s="1"/>
  <c r="H4195" i="6"/>
  <c r="I4195" i="6" s="1"/>
  <c r="H4196" i="6"/>
  <c r="I4196" i="6" s="1"/>
  <c r="H4197" i="6"/>
  <c r="I4197" i="6" s="1"/>
  <c r="H4198" i="6"/>
  <c r="I4198" i="6" s="1"/>
  <c r="H4199" i="6"/>
  <c r="I4199" i="6" s="1"/>
  <c r="H4200" i="6"/>
  <c r="I4200" i="6" s="1"/>
  <c r="H4201" i="6"/>
  <c r="I4201" i="6" s="1"/>
  <c r="H4202" i="6"/>
  <c r="I4202" i="6" s="1"/>
  <c r="H4203" i="6"/>
  <c r="I4203" i="6" s="1"/>
  <c r="H4204" i="6"/>
  <c r="I4204" i="6" s="1"/>
  <c r="H4205" i="6"/>
  <c r="I4205" i="6" s="1"/>
  <c r="H4206" i="6"/>
  <c r="I4206" i="6" s="1"/>
  <c r="H4207" i="6"/>
  <c r="I4207" i="6" s="1"/>
  <c r="H4208" i="6"/>
  <c r="I4208" i="6" s="1"/>
  <c r="H4209" i="6"/>
  <c r="I4209" i="6" s="1"/>
  <c r="H4210" i="6"/>
  <c r="I4210" i="6" s="1"/>
  <c r="H4211" i="6"/>
  <c r="I4211" i="6" s="1"/>
  <c r="H4212" i="6"/>
  <c r="I4212" i="6" s="1"/>
  <c r="H4213" i="6"/>
  <c r="I4213" i="6" s="1"/>
  <c r="H4214" i="6"/>
  <c r="I4214" i="6" s="1"/>
  <c r="H4215" i="6"/>
  <c r="I4215" i="6" s="1"/>
  <c r="H4216" i="6"/>
  <c r="I4216" i="6" s="1"/>
  <c r="H4217" i="6"/>
  <c r="I4217" i="6" s="1"/>
  <c r="H4218" i="6"/>
  <c r="I4218" i="6" s="1"/>
  <c r="H4219" i="6"/>
  <c r="I4219" i="6" s="1"/>
  <c r="H4220" i="6"/>
  <c r="I4220" i="6" s="1"/>
  <c r="H4221" i="6"/>
  <c r="I4221" i="6" s="1"/>
  <c r="H4222" i="6"/>
  <c r="I4222" i="6" s="1"/>
  <c r="H4223" i="6"/>
  <c r="I4223" i="6" s="1"/>
  <c r="H4224" i="6"/>
  <c r="I4224" i="6" s="1"/>
  <c r="H4225" i="6"/>
  <c r="I4225" i="6" s="1"/>
  <c r="H4226" i="6"/>
  <c r="I4226" i="6" s="1"/>
  <c r="H4227" i="6"/>
  <c r="I4227" i="6" s="1"/>
  <c r="H4228" i="6"/>
  <c r="I4228" i="6" s="1"/>
  <c r="H4229" i="6"/>
  <c r="I4229" i="6" s="1"/>
  <c r="H4230" i="6"/>
  <c r="I4230" i="6" s="1"/>
  <c r="H4231" i="6"/>
  <c r="I4231" i="6" s="1"/>
  <c r="H4232" i="6"/>
  <c r="I4232" i="6" s="1"/>
  <c r="H4233" i="6"/>
  <c r="I4233" i="6" s="1"/>
  <c r="H4234" i="6"/>
  <c r="I4234" i="6" s="1"/>
  <c r="H4235" i="6"/>
  <c r="I4235" i="6" s="1"/>
  <c r="H4236" i="6"/>
  <c r="I4236" i="6" s="1"/>
  <c r="H4237" i="6"/>
  <c r="I4237" i="6" s="1"/>
  <c r="H4238" i="6"/>
  <c r="I4238" i="6" s="1"/>
  <c r="H4239" i="6"/>
  <c r="I4239" i="6" s="1"/>
  <c r="H4240" i="6"/>
  <c r="I4240" i="6" s="1"/>
  <c r="H4241" i="6"/>
  <c r="I4241" i="6" s="1"/>
  <c r="H4242" i="6"/>
  <c r="I4242" i="6" s="1"/>
  <c r="H4243" i="6"/>
  <c r="I4243" i="6" s="1"/>
  <c r="H4244" i="6"/>
  <c r="I4244" i="6" s="1"/>
  <c r="H4245" i="6"/>
  <c r="I4245" i="6" s="1"/>
  <c r="H4246" i="6"/>
  <c r="I4246" i="6" s="1"/>
  <c r="H4247" i="6"/>
  <c r="I4247" i="6" s="1"/>
  <c r="H4248" i="6"/>
  <c r="I4248" i="6" s="1"/>
  <c r="H4249" i="6"/>
  <c r="I4249" i="6" s="1"/>
  <c r="H4250" i="6"/>
  <c r="I4250" i="6" s="1"/>
  <c r="H4251" i="6"/>
  <c r="I4251" i="6" s="1"/>
  <c r="H4252" i="6"/>
  <c r="I4252" i="6" s="1"/>
  <c r="H4253" i="6"/>
  <c r="I4253" i="6" s="1"/>
  <c r="H4254" i="6"/>
  <c r="I4254" i="6" s="1"/>
  <c r="H4255" i="6"/>
  <c r="I4255" i="6" s="1"/>
  <c r="H4256" i="6"/>
  <c r="I4256" i="6" s="1"/>
  <c r="H4257" i="6"/>
  <c r="I4257" i="6" s="1"/>
  <c r="H4258" i="6"/>
  <c r="I4258" i="6" s="1"/>
  <c r="H4259" i="6"/>
  <c r="I4259" i="6" s="1"/>
  <c r="H4260" i="6"/>
  <c r="I4260" i="6" s="1"/>
  <c r="H4261" i="6"/>
  <c r="I4261" i="6" s="1"/>
  <c r="H4262" i="6"/>
  <c r="I4262" i="6" s="1"/>
  <c r="H4263" i="6"/>
  <c r="I4263" i="6" s="1"/>
  <c r="H4264" i="6"/>
  <c r="I4264" i="6" s="1"/>
  <c r="H4265" i="6"/>
  <c r="I4265" i="6" s="1"/>
  <c r="H4266" i="6"/>
  <c r="I4266" i="6" s="1"/>
  <c r="H4267" i="6"/>
  <c r="I4267" i="6" s="1"/>
  <c r="H4268" i="6"/>
  <c r="I4268" i="6" s="1"/>
  <c r="H4269" i="6"/>
  <c r="I4269" i="6" s="1"/>
  <c r="H4270" i="6"/>
  <c r="I4270" i="6" s="1"/>
  <c r="H4271" i="6"/>
  <c r="I4271" i="6" s="1"/>
  <c r="H4272" i="6"/>
  <c r="I4272" i="6" s="1"/>
  <c r="H4273" i="6"/>
  <c r="I4273" i="6" s="1"/>
  <c r="H4274" i="6"/>
  <c r="I4274" i="6" s="1"/>
  <c r="H4275" i="6"/>
  <c r="I4275" i="6" s="1"/>
  <c r="H4276" i="6"/>
  <c r="I4276" i="6" s="1"/>
  <c r="H4277" i="6"/>
  <c r="I4277" i="6" s="1"/>
  <c r="H4278" i="6"/>
  <c r="I4278" i="6" s="1"/>
  <c r="H4279" i="6"/>
  <c r="I4279" i="6" s="1"/>
  <c r="H4280" i="6"/>
  <c r="I4280" i="6" s="1"/>
  <c r="H4281" i="6"/>
  <c r="I4281" i="6" s="1"/>
  <c r="H4282" i="6"/>
  <c r="I4282" i="6" s="1"/>
  <c r="H4283" i="6"/>
  <c r="I4283" i="6" s="1"/>
  <c r="H4284" i="6"/>
  <c r="I4284" i="6" s="1"/>
  <c r="H4285" i="6"/>
  <c r="I4285" i="6" s="1"/>
  <c r="H4286" i="6"/>
  <c r="I4286" i="6" s="1"/>
  <c r="H4287" i="6"/>
  <c r="I4287" i="6" s="1"/>
  <c r="H4288" i="6"/>
  <c r="I4288" i="6" s="1"/>
  <c r="H4289" i="6"/>
  <c r="I4289" i="6" s="1"/>
  <c r="H4290" i="6"/>
  <c r="I4290" i="6" s="1"/>
  <c r="H4291" i="6"/>
  <c r="I4291" i="6" s="1"/>
  <c r="H4292" i="6"/>
  <c r="I4292" i="6" s="1"/>
  <c r="H4293" i="6"/>
  <c r="I4293" i="6" s="1"/>
  <c r="H4294" i="6"/>
  <c r="I4294" i="6" s="1"/>
  <c r="H4295" i="6"/>
  <c r="I4295" i="6" s="1"/>
  <c r="H4296" i="6"/>
  <c r="I4296" i="6" s="1"/>
  <c r="H4297" i="6"/>
  <c r="I4297" i="6" s="1"/>
  <c r="H4298" i="6"/>
  <c r="I4298" i="6" s="1"/>
  <c r="H4299" i="6"/>
  <c r="I4299" i="6" s="1"/>
  <c r="H4300" i="6"/>
  <c r="I4300" i="6" s="1"/>
  <c r="H4301" i="6"/>
  <c r="I4301" i="6" s="1"/>
  <c r="H4302" i="6"/>
  <c r="I4302" i="6" s="1"/>
  <c r="H4303" i="6"/>
  <c r="I4303" i="6" s="1"/>
  <c r="H4304" i="6"/>
  <c r="I4304" i="6" s="1"/>
  <c r="H4305" i="6"/>
  <c r="I4305" i="6" s="1"/>
  <c r="H4306" i="6"/>
  <c r="I4306" i="6" s="1"/>
  <c r="H4307" i="6"/>
  <c r="I4307" i="6" s="1"/>
  <c r="H4308" i="6"/>
  <c r="I4308" i="6" s="1"/>
  <c r="H4309" i="6"/>
  <c r="I4309" i="6" s="1"/>
  <c r="H4310" i="6"/>
  <c r="I4310" i="6" s="1"/>
  <c r="H4311" i="6"/>
  <c r="I4311" i="6" s="1"/>
  <c r="H4312" i="6"/>
  <c r="I4312" i="6" s="1"/>
  <c r="H4313" i="6"/>
  <c r="I4313" i="6" s="1"/>
  <c r="H4314" i="6"/>
  <c r="I4314" i="6" s="1"/>
  <c r="H4315" i="6"/>
  <c r="I4315" i="6" s="1"/>
  <c r="H4316" i="6"/>
  <c r="I4316" i="6" s="1"/>
  <c r="H4317" i="6"/>
  <c r="I4317" i="6" s="1"/>
  <c r="H4318" i="6"/>
  <c r="I4318" i="6" s="1"/>
  <c r="H4319" i="6"/>
  <c r="I4319" i="6" s="1"/>
  <c r="H4320" i="6"/>
  <c r="I4320" i="6" s="1"/>
  <c r="H4321" i="6"/>
  <c r="I4321" i="6" s="1"/>
  <c r="H4322" i="6"/>
  <c r="I4322" i="6" s="1"/>
  <c r="H4323" i="6"/>
  <c r="I4323" i="6" s="1"/>
  <c r="H4324" i="6"/>
  <c r="I4324" i="6" s="1"/>
  <c r="H4325" i="6"/>
  <c r="I4325" i="6" s="1"/>
  <c r="H4326" i="6"/>
  <c r="I4326" i="6" s="1"/>
  <c r="H4327" i="6"/>
  <c r="I4327" i="6" s="1"/>
  <c r="H4328" i="6"/>
  <c r="I4328" i="6" s="1"/>
  <c r="H4329" i="6"/>
  <c r="I4329" i="6" s="1"/>
  <c r="H4330" i="6"/>
  <c r="I4330" i="6" s="1"/>
  <c r="H4331" i="6"/>
  <c r="I4331" i="6" s="1"/>
  <c r="H4332" i="6"/>
  <c r="I4332" i="6" s="1"/>
  <c r="H4333" i="6"/>
  <c r="I4333" i="6" s="1"/>
  <c r="H4334" i="6"/>
  <c r="I4334" i="6" s="1"/>
  <c r="H4335" i="6"/>
  <c r="I4335" i="6" s="1"/>
  <c r="H4336" i="6"/>
  <c r="I4336" i="6" s="1"/>
  <c r="H4337" i="6"/>
  <c r="I4337" i="6" s="1"/>
  <c r="H4338" i="6"/>
  <c r="I4338" i="6" s="1"/>
  <c r="H4339" i="6"/>
  <c r="I4339" i="6" s="1"/>
  <c r="H4340" i="6"/>
  <c r="I4340" i="6" s="1"/>
  <c r="H4341" i="6"/>
  <c r="I4341" i="6" s="1"/>
  <c r="H4342" i="6"/>
  <c r="I4342" i="6" s="1"/>
  <c r="H4343" i="6"/>
  <c r="I4343" i="6" s="1"/>
  <c r="H4344" i="6"/>
  <c r="I4344" i="6" s="1"/>
  <c r="H4345" i="6"/>
  <c r="I4345" i="6" s="1"/>
  <c r="H4346" i="6"/>
  <c r="I4346" i="6" s="1"/>
  <c r="H4347" i="6"/>
  <c r="I4347" i="6" s="1"/>
  <c r="H4348" i="6"/>
  <c r="I4348" i="6" s="1"/>
  <c r="H4349" i="6"/>
  <c r="I4349" i="6" s="1"/>
  <c r="H4350" i="6"/>
  <c r="I4350" i="6" s="1"/>
  <c r="H4351" i="6"/>
  <c r="I4351" i="6" s="1"/>
  <c r="H4352" i="6"/>
  <c r="I4352" i="6" s="1"/>
  <c r="H4353" i="6"/>
  <c r="I4353" i="6" s="1"/>
  <c r="H4354" i="6"/>
  <c r="I4354" i="6" s="1"/>
  <c r="H4355" i="6"/>
  <c r="I4355" i="6" s="1"/>
  <c r="H4356" i="6"/>
  <c r="I4356" i="6" s="1"/>
  <c r="H4357" i="6"/>
  <c r="I4357" i="6" s="1"/>
  <c r="H4358" i="6"/>
  <c r="I4358" i="6" s="1"/>
  <c r="H4359" i="6"/>
  <c r="I4359" i="6" s="1"/>
  <c r="H4360" i="6"/>
  <c r="I4360" i="6" s="1"/>
  <c r="H4361" i="6"/>
  <c r="I4361" i="6" s="1"/>
  <c r="H4362" i="6"/>
  <c r="I4362" i="6" s="1"/>
  <c r="H4363" i="6"/>
  <c r="I4363" i="6" s="1"/>
  <c r="H4364" i="6"/>
  <c r="I4364" i="6" s="1"/>
  <c r="H4365" i="6"/>
  <c r="I4365" i="6" s="1"/>
  <c r="H4366" i="6"/>
  <c r="I4366" i="6" s="1"/>
  <c r="H4367" i="6"/>
  <c r="I4367" i="6" s="1"/>
  <c r="H4368" i="6"/>
  <c r="I4368" i="6" s="1"/>
  <c r="H4369" i="6"/>
  <c r="I4369" i="6" s="1"/>
  <c r="H4370" i="6"/>
  <c r="I4370" i="6" s="1"/>
  <c r="H4371" i="6"/>
  <c r="I4371" i="6" s="1"/>
  <c r="H4372" i="6"/>
  <c r="I4372" i="6" s="1"/>
  <c r="H4373" i="6"/>
  <c r="I4373" i="6" s="1"/>
  <c r="H4374" i="6"/>
  <c r="I4374" i="6" s="1"/>
  <c r="H4375" i="6"/>
  <c r="I4375" i="6" s="1"/>
  <c r="H4376" i="6"/>
  <c r="I4376" i="6" s="1"/>
  <c r="H4377" i="6"/>
  <c r="I4377" i="6" s="1"/>
  <c r="H4378" i="6"/>
  <c r="I4378" i="6" s="1"/>
  <c r="H4379" i="6"/>
  <c r="I4379" i="6" s="1"/>
  <c r="H4380" i="6"/>
  <c r="I4380" i="6" s="1"/>
  <c r="H4381" i="6"/>
  <c r="I4381" i="6" s="1"/>
  <c r="H4382" i="6"/>
  <c r="I4382" i="6" s="1"/>
  <c r="H4383" i="6"/>
  <c r="I4383" i="6" s="1"/>
  <c r="H4384" i="6"/>
  <c r="I4384" i="6" s="1"/>
  <c r="H4385" i="6"/>
  <c r="I4385" i="6" s="1"/>
  <c r="H4386" i="6"/>
  <c r="I4386" i="6" s="1"/>
  <c r="H4387" i="6"/>
  <c r="I4387" i="6" s="1"/>
  <c r="H4388" i="6"/>
  <c r="I4388" i="6" s="1"/>
  <c r="H4389" i="6"/>
  <c r="I4389" i="6" s="1"/>
  <c r="H4390" i="6"/>
  <c r="I4390" i="6" s="1"/>
  <c r="H4391" i="6"/>
  <c r="I4391" i="6" s="1"/>
  <c r="H4392" i="6"/>
  <c r="I4392" i="6" s="1"/>
  <c r="H4393" i="6"/>
  <c r="I4393" i="6" s="1"/>
  <c r="H4394" i="6"/>
  <c r="I4394" i="6" s="1"/>
  <c r="H4395" i="6"/>
  <c r="I4395" i="6" s="1"/>
  <c r="H4396" i="6"/>
  <c r="I4396" i="6" s="1"/>
  <c r="H4397" i="6"/>
  <c r="I4397" i="6" s="1"/>
  <c r="H4398" i="6"/>
  <c r="I4398" i="6" s="1"/>
  <c r="H4399" i="6"/>
  <c r="I4399" i="6" s="1"/>
  <c r="H4400" i="6"/>
  <c r="I4400" i="6" s="1"/>
  <c r="H4401" i="6"/>
  <c r="I4401" i="6" s="1"/>
  <c r="H4402" i="6"/>
  <c r="I4402" i="6" s="1"/>
  <c r="H4403" i="6"/>
  <c r="I4403" i="6" s="1"/>
  <c r="H4404" i="6"/>
  <c r="I4404" i="6" s="1"/>
  <c r="H4405" i="6"/>
  <c r="I4405" i="6" s="1"/>
  <c r="H4406" i="6"/>
  <c r="I4406" i="6" s="1"/>
  <c r="H4407" i="6"/>
  <c r="I4407" i="6" s="1"/>
  <c r="H4408" i="6"/>
  <c r="I4408" i="6" s="1"/>
  <c r="H4409" i="6"/>
  <c r="I4409" i="6" s="1"/>
  <c r="H4410" i="6"/>
  <c r="I4410" i="6" s="1"/>
  <c r="H4411" i="6"/>
  <c r="I4411" i="6" s="1"/>
  <c r="H4412" i="6"/>
  <c r="I4412" i="6" s="1"/>
  <c r="H4413" i="6"/>
  <c r="I4413" i="6" s="1"/>
  <c r="H4414" i="6"/>
  <c r="I4414" i="6" s="1"/>
  <c r="H4415" i="6"/>
  <c r="I4415" i="6" s="1"/>
  <c r="H4416" i="6"/>
  <c r="I4416" i="6" s="1"/>
  <c r="H4417" i="6"/>
  <c r="I4417" i="6" s="1"/>
  <c r="H4418" i="6"/>
  <c r="I4418" i="6" s="1"/>
  <c r="H4419" i="6"/>
  <c r="I4419" i="6" s="1"/>
  <c r="H4420" i="6"/>
  <c r="I4420" i="6" s="1"/>
  <c r="H4421" i="6"/>
  <c r="I4421" i="6" s="1"/>
  <c r="H4422" i="6"/>
  <c r="I4422" i="6" s="1"/>
  <c r="H4423" i="6"/>
  <c r="I4423" i="6" s="1"/>
  <c r="H4424" i="6"/>
  <c r="I4424" i="6" s="1"/>
  <c r="H4425" i="6"/>
  <c r="I4425" i="6" s="1"/>
  <c r="H4426" i="6"/>
  <c r="I4426" i="6" s="1"/>
  <c r="H4427" i="6"/>
  <c r="I4427" i="6" s="1"/>
  <c r="H4428" i="6"/>
  <c r="I4428" i="6" s="1"/>
  <c r="H4429" i="6"/>
  <c r="I4429" i="6" s="1"/>
  <c r="H4430" i="6"/>
  <c r="I4430" i="6" s="1"/>
  <c r="H4431" i="6"/>
  <c r="I4431" i="6" s="1"/>
  <c r="H4432" i="6"/>
  <c r="I4432" i="6" s="1"/>
  <c r="H4433" i="6"/>
  <c r="I4433" i="6" s="1"/>
  <c r="H4434" i="6"/>
  <c r="I4434" i="6" s="1"/>
  <c r="H4435" i="6"/>
  <c r="I4435" i="6" s="1"/>
  <c r="H4436" i="6"/>
  <c r="I4436" i="6" s="1"/>
  <c r="H4437" i="6"/>
  <c r="I4437" i="6" s="1"/>
  <c r="H4438" i="6"/>
  <c r="I4438" i="6" s="1"/>
  <c r="H4439" i="6"/>
  <c r="I4439" i="6" s="1"/>
  <c r="H4440" i="6"/>
  <c r="I4440" i="6" s="1"/>
  <c r="H4441" i="6"/>
  <c r="I4441" i="6" s="1"/>
  <c r="H4442" i="6"/>
  <c r="I4442" i="6" s="1"/>
  <c r="H4443" i="6"/>
  <c r="I4443" i="6" s="1"/>
  <c r="H4444" i="6"/>
  <c r="I4444" i="6" s="1"/>
  <c r="H4445" i="6"/>
  <c r="I4445" i="6" s="1"/>
  <c r="H4446" i="6"/>
  <c r="I4446" i="6" s="1"/>
  <c r="H4447" i="6"/>
  <c r="I4447" i="6" s="1"/>
  <c r="H4448" i="6"/>
  <c r="I4448" i="6" s="1"/>
  <c r="H4449" i="6"/>
  <c r="I4449" i="6" s="1"/>
  <c r="H4450" i="6"/>
  <c r="I4450" i="6" s="1"/>
  <c r="H4451" i="6"/>
  <c r="I4451" i="6" s="1"/>
  <c r="H4452" i="6"/>
  <c r="I4452" i="6" s="1"/>
  <c r="H4453" i="6"/>
  <c r="I4453" i="6" s="1"/>
  <c r="H4454" i="6"/>
  <c r="I4454" i="6" s="1"/>
  <c r="H4455" i="6"/>
  <c r="I4455" i="6" s="1"/>
  <c r="H4456" i="6"/>
  <c r="I4456" i="6" s="1"/>
  <c r="H4457" i="6"/>
  <c r="I4457" i="6" s="1"/>
  <c r="H4458" i="6"/>
  <c r="I4458" i="6" s="1"/>
  <c r="H4459" i="6"/>
  <c r="I4459" i="6" s="1"/>
  <c r="H4460" i="6"/>
  <c r="I4460" i="6" s="1"/>
  <c r="H4461" i="6"/>
  <c r="I4461" i="6" s="1"/>
  <c r="H4462" i="6"/>
  <c r="I4462" i="6" s="1"/>
  <c r="H4463" i="6"/>
  <c r="I4463" i="6" s="1"/>
  <c r="H4464" i="6"/>
  <c r="I4464" i="6" s="1"/>
  <c r="H4465" i="6"/>
  <c r="I4465" i="6" s="1"/>
  <c r="H4466" i="6"/>
  <c r="I4466" i="6" s="1"/>
  <c r="H4467" i="6"/>
  <c r="I4467" i="6" s="1"/>
  <c r="H4468" i="6"/>
  <c r="I4468" i="6" s="1"/>
  <c r="H4469" i="6"/>
  <c r="I4469" i="6" s="1"/>
  <c r="H4470" i="6"/>
  <c r="I4470" i="6" s="1"/>
  <c r="H4471" i="6"/>
  <c r="I4471" i="6" s="1"/>
  <c r="H4472" i="6"/>
  <c r="I4472" i="6" s="1"/>
  <c r="H4473" i="6"/>
  <c r="I4473" i="6" s="1"/>
  <c r="H4474" i="6"/>
  <c r="I4474" i="6" s="1"/>
  <c r="H4475" i="6"/>
  <c r="I4475" i="6" s="1"/>
  <c r="H4476" i="6"/>
  <c r="I4476" i="6" s="1"/>
  <c r="H4477" i="6"/>
  <c r="I4477" i="6" s="1"/>
  <c r="H4478" i="6"/>
  <c r="I4478" i="6" s="1"/>
  <c r="H4479" i="6"/>
  <c r="I4479" i="6" s="1"/>
  <c r="H4480" i="6"/>
  <c r="I4480" i="6" s="1"/>
  <c r="H4481" i="6"/>
  <c r="I4481" i="6" s="1"/>
  <c r="H4482" i="6"/>
  <c r="I4482" i="6" s="1"/>
  <c r="H4483" i="6"/>
  <c r="I4483" i="6" s="1"/>
  <c r="H4484" i="6"/>
  <c r="I4484" i="6" s="1"/>
  <c r="H4485" i="6"/>
  <c r="I4485" i="6" s="1"/>
  <c r="H4486" i="6"/>
  <c r="I4486" i="6" s="1"/>
  <c r="H4487" i="6"/>
  <c r="I4487" i="6" s="1"/>
  <c r="H4488" i="6"/>
  <c r="I4488" i="6" s="1"/>
  <c r="H4489" i="6"/>
  <c r="I4489" i="6" s="1"/>
  <c r="H4490" i="6"/>
  <c r="I4490" i="6" s="1"/>
  <c r="H4491" i="6"/>
  <c r="I4491" i="6" s="1"/>
  <c r="H4492" i="6"/>
  <c r="I4492" i="6" s="1"/>
  <c r="H4493" i="6"/>
  <c r="I4493" i="6" s="1"/>
  <c r="H4494" i="6"/>
  <c r="I4494" i="6" s="1"/>
  <c r="H4495" i="6"/>
  <c r="I4495" i="6" s="1"/>
  <c r="H4496" i="6"/>
  <c r="I4496" i="6" s="1"/>
  <c r="H4497" i="6"/>
  <c r="I4497" i="6" s="1"/>
  <c r="H4498" i="6"/>
  <c r="I4498" i="6" s="1"/>
  <c r="H4499" i="6"/>
  <c r="I4499" i="6" s="1"/>
  <c r="H4500" i="6"/>
  <c r="I4500" i="6" s="1"/>
  <c r="H4501" i="6"/>
  <c r="I4501" i="6" s="1"/>
  <c r="H4502" i="6"/>
  <c r="I4502" i="6" s="1"/>
  <c r="H4503" i="6"/>
  <c r="I4503" i="6" s="1"/>
  <c r="H4504" i="6"/>
  <c r="I4504" i="6" s="1"/>
  <c r="H4505" i="6"/>
  <c r="I4505" i="6" s="1"/>
  <c r="H4506" i="6"/>
  <c r="I4506" i="6" s="1"/>
  <c r="H4507" i="6"/>
  <c r="I4507" i="6" s="1"/>
  <c r="H4508" i="6"/>
  <c r="I4508" i="6" s="1"/>
  <c r="H4509" i="6"/>
  <c r="I4509" i="6" s="1"/>
  <c r="H4510" i="6"/>
  <c r="I4510" i="6" s="1"/>
  <c r="H4511" i="6"/>
  <c r="I4511" i="6" s="1"/>
  <c r="H4512" i="6"/>
  <c r="I4512" i="6" s="1"/>
  <c r="H4513" i="6"/>
  <c r="I4513" i="6" s="1"/>
  <c r="H4514" i="6"/>
  <c r="I4514" i="6" s="1"/>
  <c r="H4515" i="6"/>
  <c r="I4515" i="6" s="1"/>
  <c r="H4516" i="6"/>
  <c r="I4516" i="6" s="1"/>
  <c r="H4517" i="6"/>
  <c r="I4517" i="6" s="1"/>
  <c r="H4518" i="6"/>
  <c r="I4518" i="6" s="1"/>
  <c r="H4519" i="6"/>
  <c r="I4519" i="6" s="1"/>
  <c r="H4520" i="6"/>
  <c r="I4520" i="6" s="1"/>
  <c r="H4521" i="6"/>
  <c r="I4521" i="6" s="1"/>
  <c r="H4522" i="6"/>
  <c r="I4522" i="6" s="1"/>
  <c r="H4523" i="6"/>
  <c r="I4523" i="6" s="1"/>
  <c r="H4524" i="6"/>
  <c r="I4524" i="6" s="1"/>
  <c r="H4525" i="6"/>
  <c r="I4525" i="6" s="1"/>
  <c r="H4526" i="6"/>
  <c r="I4526" i="6" s="1"/>
  <c r="H4527" i="6"/>
  <c r="I4527" i="6" s="1"/>
  <c r="H4528" i="6"/>
  <c r="I4528" i="6" s="1"/>
  <c r="H4529" i="6"/>
  <c r="I4529" i="6" s="1"/>
  <c r="H4530" i="6"/>
  <c r="I4530" i="6" s="1"/>
  <c r="H4531" i="6"/>
  <c r="I4531" i="6" s="1"/>
  <c r="H4532" i="6"/>
  <c r="I4532" i="6" s="1"/>
  <c r="H4533" i="6"/>
  <c r="I4533" i="6" s="1"/>
  <c r="H4534" i="6"/>
  <c r="I4534" i="6" s="1"/>
  <c r="H4535" i="6"/>
  <c r="I4535" i="6" s="1"/>
  <c r="H4536" i="6"/>
  <c r="I4536" i="6" s="1"/>
  <c r="H4537" i="6"/>
  <c r="I4537" i="6" s="1"/>
  <c r="H4538" i="6"/>
  <c r="I4538" i="6" s="1"/>
  <c r="H4539" i="6"/>
  <c r="I4539" i="6" s="1"/>
  <c r="H4540" i="6"/>
  <c r="I4540" i="6" s="1"/>
  <c r="H4541" i="6"/>
  <c r="I4541" i="6" s="1"/>
  <c r="H4542" i="6"/>
  <c r="I4542" i="6" s="1"/>
  <c r="H4543" i="6"/>
  <c r="I4543" i="6" s="1"/>
  <c r="H4544" i="6"/>
  <c r="I4544" i="6" s="1"/>
  <c r="H4545" i="6"/>
  <c r="I4545" i="6" s="1"/>
  <c r="H4546" i="6"/>
  <c r="I4546" i="6" s="1"/>
  <c r="H4547" i="6"/>
  <c r="I4547" i="6" s="1"/>
  <c r="H4548" i="6"/>
  <c r="I4548" i="6" s="1"/>
  <c r="H4549" i="6"/>
  <c r="I4549" i="6" s="1"/>
  <c r="H4550" i="6"/>
  <c r="I4550" i="6" s="1"/>
  <c r="H4551" i="6"/>
  <c r="I4551" i="6" s="1"/>
  <c r="H4552" i="6"/>
  <c r="I4552" i="6" s="1"/>
  <c r="H4553" i="6"/>
  <c r="I4553" i="6" s="1"/>
  <c r="H4554" i="6"/>
  <c r="I4554" i="6" s="1"/>
  <c r="H4555" i="6"/>
  <c r="I4555" i="6" s="1"/>
  <c r="H4556" i="6"/>
  <c r="I4556" i="6" s="1"/>
  <c r="H4557" i="6"/>
  <c r="I4557" i="6" s="1"/>
  <c r="H4558" i="6"/>
  <c r="I4558" i="6" s="1"/>
  <c r="H4559" i="6"/>
  <c r="I4559" i="6" s="1"/>
  <c r="H4560" i="6"/>
  <c r="I4560" i="6" s="1"/>
  <c r="H4561" i="6"/>
  <c r="I4561" i="6" s="1"/>
  <c r="H4562" i="6"/>
  <c r="I4562" i="6" s="1"/>
  <c r="H4563" i="6"/>
  <c r="I4563" i="6" s="1"/>
  <c r="H4564" i="6"/>
  <c r="I4564" i="6" s="1"/>
  <c r="H4565" i="6"/>
  <c r="I4565" i="6" s="1"/>
  <c r="H4566" i="6"/>
  <c r="I4566" i="6" s="1"/>
  <c r="H4567" i="6"/>
  <c r="I4567" i="6" s="1"/>
  <c r="H4568" i="6"/>
  <c r="I4568" i="6" s="1"/>
  <c r="H4569" i="6"/>
  <c r="I4569" i="6" s="1"/>
  <c r="H4570" i="6"/>
  <c r="I4570" i="6" s="1"/>
  <c r="H4571" i="6"/>
  <c r="I4571" i="6" s="1"/>
  <c r="H4572" i="6"/>
  <c r="I4572" i="6" s="1"/>
  <c r="H4573" i="6"/>
  <c r="I4573" i="6" s="1"/>
  <c r="H4574" i="6"/>
  <c r="I4574" i="6" s="1"/>
  <c r="H4575" i="6"/>
  <c r="I4575" i="6" s="1"/>
  <c r="H4576" i="6"/>
  <c r="I4576" i="6" s="1"/>
  <c r="H4577" i="6"/>
  <c r="I4577" i="6" s="1"/>
  <c r="H4578" i="6"/>
  <c r="I4578" i="6" s="1"/>
  <c r="H4579" i="6"/>
  <c r="I4579" i="6" s="1"/>
  <c r="H4580" i="6"/>
  <c r="I4580" i="6" s="1"/>
  <c r="H4581" i="6"/>
  <c r="I4581" i="6" s="1"/>
  <c r="H4582" i="6"/>
  <c r="I4582" i="6" s="1"/>
  <c r="H4583" i="6"/>
  <c r="I4583" i="6" s="1"/>
  <c r="H4584" i="6"/>
  <c r="I4584" i="6" s="1"/>
  <c r="H4585" i="6"/>
  <c r="I4585" i="6" s="1"/>
  <c r="H4586" i="6"/>
  <c r="I4586" i="6" s="1"/>
  <c r="H4587" i="6"/>
  <c r="I4587" i="6" s="1"/>
  <c r="H4588" i="6"/>
  <c r="I4588" i="6" s="1"/>
  <c r="H4589" i="6"/>
  <c r="I4589" i="6" s="1"/>
  <c r="H4590" i="6"/>
  <c r="I4590" i="6" s="1"/>
  <c r="H4591" i="6"/>
  <c r="I4591" i="6" s="1"/>
  <c r="H4592" i="6"/>
  <c r="I4592" i="6" s="1"/>
  <c r="H4593" i="6"/>
  <c r="I4593" i="6" s="1"/>
  <c r="H4594" i="6"/>
  <c r="I4594" i="6" s="1"/>
  <c r="H4595" i="6"/>
  <c r="I4595" i="6" s="1"/>
  <c r="H4596" i="6"/>
  <c r="I4596" i="6" s="1"/>
  <c r="H4597" i="6"/>
  <c r="I4597" i="6" s="1"/>
  <c r="H4598" i="6"/>
  <c r="I4598" i="6" s="1"/>
  <c r="H4599" i="6"/>
  <c r="I4599" i="6" s="1"/>
  <c r="H4600" i="6"/>
  <c r="I4600" i="6" s="1"/>
  <c r="H4601" i="6"/>
  <c r="I4601" i="6" s="1"/>
  <c r="H4602" i="6"/>
  <c r="I4602" i="6" s="1"/>
  <c r="H4603" i="6"/>
  <c r="I4603" i="6" s="1"/>
  <c r="H4604" i="6"/>
  <c r="I4604" i="6" s="1"/>
  <c r="H4605" i="6"/>
  <c r="I4605" i="6" s="1"/>
  <c r="H4606" i="6"/>
  <c r="I4606" i="6" s="1"/>
  <c r="H4607" i="6"/>
  <c r="I4607" i="6" s="1"/>
  <c r="H4608" i="6"/>
  <c r="I4608" i="6" s="1"/>
  <c r="H4609" i="6"/>
  <c r="I4609" i="6" s="1"/>
  <c r="H4610" i="6"/>
  <c r="I4610" i="6" s="1"/>
  <c r="H4611" i="6"/>
  <c r="I4611" i="6" s="1"/>
  <c r="H4612" i="6"/>
  <c r="I4612" i="6" s="1"/>
  <c r="H4613" i="6"/>
  <c r="I4613" i="6" s="1"/>
  <c r="H4614" i="6"/>
  <c r="I4614" i="6" s="1"/>
  <c r="H4615" i="6"/>
  <c r="I4615" i="6" s="1"/>
  <c r="H4616" i="6"/>
  <c r="I4616" i="6" s="1"/>
  <c r="H4617" i="6"/>
  <c r="I4617" i="6" s="1"/>
  <c r="H4618" i="6"/>
  <c r="I4618" i="6" s="1"/>
  <c r="H4619" i="6"/>
  <c r="I4619" i="6" s="1"/>
  <c r="H4620" i="6"/>
  <c r="I4620" i="6" s="1"/>
  <c r="H4621" i="6"/>
  <c r="I4621" i="6" s="1"/>
  <c r="H4622" i="6"/>
  <c r="I4622" i="6" s="1"/>
  <c r="H4623" i="6"/>
  <c r="I4623" i="6" s="1"/>
  <c r="H4624" i="6"/>
  <c r="I4624" i="6" s="1"/>
  <c r="H4625" i="6"/>
  <c r="I4625" i="6" s="1"/>
  <c r="H4626" i="6"/>
  <c r="I4626" i="6" s="1"/>
  <c r="H4627" i="6"/>
  <c r="I4627" i="6" s="1"/>
  <c r="H4628" i="6"/>
  <c r="I4628" i="6" s="1"/>
  <c r="H4629" i="6"/>
  <c r="I4629" i="6" s="1"/>
  <c r="H4630" i="6"/>
  <c r="I4630" i="6" s="1"/>
  <c r="H4631" i="6"/>
  <c r="I4631" i="6" s="1"/>
  <c r="H4632" i="6"/>
  <c r="I4632" i="6" s="1"/>
  <c r="H4633" i="6"/>
  <c r="I4633" i="6" s="1"/>
  <c r="H4634" i="6"/>
  <c r="I4634" i="6" s="1"/>
  <c r="H4635" i="6"/>
  <c r="I4635" i="6" s="1"/>
  <c r="H4636" i="6"/>
  <c r="I4636" i="6" s="1"/>
  <c r="H4637" i="6"/>
  <c r="I4637" i="6" s="1"/>
  <c r="H4638" i="6"/>
  <c r="I4638" i="6" s="1"/>
  <c r="H4639" i="6"/>
  <c r="I4639" i="6" s="1"/>
  <c r="H4640" i="6"/>
  <c r="I4640" i="6" s="1"/>
  <c r="H4641" i="6"/>
  <c r="I4641" i="6" s="1"/>
  <c r="H4642" i="6"/>
  <c r="I4642" i="6" s="1"/>
  <c r="H4643" i="6"/>
  <c r="I4643" i="6" s="1"/>
  <c r="H4644" i="6"/>
  <c r="I4644" i="6" s="1"/>
  <c r="H4645" i="6"/>
  <c r="I4645" i="6" s="1"/>
  <c r="H4646" i="6"/>
  <c r="I4646" i="6" s="1"/>
  <c r="H4647" i="6"/>
  <c r="I4647" i="6" s="1"/>
  <c r="H4648" i="6"/>
  <c r="I4648" i="6" s="1"/>
  <c r="H4649" i="6"/>
  <c r="I4649" i="6" s="1"/>
  <c r="H4650" i="6"/>
  <c r="I4650" i="6" s="1"/>
  <c r="H4651" i="6"/>
  <c r="I4651" i="6" s="1"/>
  <c r="H4652" i="6"/>
  <c r="I4652" i="6" s="1"/>
  <c r="H4653" i="6"/>
  <c r="I4653" i="6" s="1"/>
  <c r="H4654" i="6"/>
  <c r="I4654" i="6" s="1"/>
  <c r="H4655" i="6"/>
  <c r="I4655" i="6" s="1"/>
  <c r="H4656" i="6"/>
  <c r="I4656" i="6" s="1"/>
  <c r="H4657" i="6"/>
  <c r="I4657" i="6" s="1"/>
  <c r="H4658" i="6"/>
  <c r="I4658" i="6" s="1"/>
  <c r="H4659" i="6"/>
  <c r="I4659" i="6" s="1"/>
  <c r="H4660" i="6"/>
  <c r="I4660" i="6" s="1"/>
  <c r="H4661" i="6"/>
  <c r="I4661" i="6" s="1"/>
  <c r="H4662" i="6"/>
  <c r="I4662" i="6" s="1"/>
  <c r="H4663" i="6"/>
  <c r="I4663" i="6" s="1"/>
  <c r="H4664" i="6"/>
  <c r="I4664" i="6" s="1"/>
  <c r="H4665" i="6"/>
  <c r="I4665" i="6" s="1"/>
  <c r="H4666" i="6"/>
  <c r="I4666" i="6" s="1"/>
  <c r="H4667" i="6"/>
  <c r="I4667" i="6" s="1"/>
  <c r="H4668" i="6"/>
  <c r="I4668" i="6" s="1"/>
  <c r="H4669" i="6"/>
  <c r="I4669" i="6" s="1"/>
  <c r="H4670" i="6"/>
  <c r="I4670" i="6" s="1"/>
  <c r="H4671" i="6"/>
  <c r="I4671" i="6" s="1"/>
  <c r="H4672" i="6"/>
  <c r="I4672" i="6" s="1"/>
  <c r="H4673" i="6"/>
  <c r="I4673" i="6" s="1"/>
  <c r="H4674" i="6"/>
  <c r="I4674" i="6" s="1"/>
  <c r="H4675" i="6"/>
  <c r="I4675" i="6" s="1"/>
  <c r="H4676" i="6"/>
  <c r="I4676" i="6" s="1"/>
  <c r="H4677" i="6"/>
  <c r="I4677" i="6" s="1"/>
  <c r="H4678" i="6"/>
  <c r="I4678" i="6" s="1"/>
  <c r="H4679" i="6"/>
  <c r="I4679" i="6" s="1"/>
  <c r="H4680" i="6"/>
  <c r="I4680" i="6" s="1"/>
  <c r="H4681" i="6"/>
  <c r="I4681" i="6" s="1"/>
  <c r="H4682" i="6"/>
  <c r="I4682" i="6" s="1"/>
  <c r="H4683" i="6"/>
  <c r="I4683" i="6" s="1"/>
  <c r="H4684" i="6"/>
  <c r="I4684" i="6" s="1"/>
  <c r="H4685" i="6"/>
  <c r="I4685" i="6" s="1"/>
  <c r="H4686" i="6"/>
  <c r="I4686" i="6" s="1"/>
  <c r="H4687" i="6"/>
  <c r="I4687" i="6" s="1"/>
  <c r="H4688" i="6"/>
  <c r="I4688" i="6" s="1"/>
  <c r="H4689" i="6"/>
  <c r="I4689" i="6" s="1"/>
  <c r="H4690" i="6"/>
  <c r="I4690" i="6" s="1"/>
  <c r="H4691" i="6"/>
  <c r="I4691" i="6" s="1"/>
  <c r="H4692" i="6"/>
  <c r="I4692" i="6" s="1"/>
  <c r="H4693" i="6"/>
  <c r="I4693" i="6" s="1"/>
  <c r="H4694" i="6"/>
  <c r="I4694" i="6" s="1"/>
  <c r="H4695" i="6"/>
  <c r="I4695" i="6" s="1"/>
  <c r="H4696" i="6"/>
  <c r="I4696" i="6" s="1"/>
  <c r="H4697" i="6"/>
  <c r="I4697" i="6" s="1"/>
  <c r="H4698" i="6"/>
  <c r="I4698" i="6" s="1"/>
  <c r="H4699" i="6"/>
  <c r="I4699" i="6" s="1"/>
  <c r="H4700" i="6"/>
  <c r="I4700" i="6" s="1"/>
  <c r="H4701" i="6"/>
  <c r="I4701" i="6" s="1"/>
  <c r="H4702" i="6"/>
  <c r="I4702" i="6" s="1"/>
  <c r="H4703" i="6"/>
  <c r="I4703" i="6" s="1"/>
  <c r="H4704" i="6"/>
  <c r="I4704" i="6" s="1"/>
  <c r="H4705" i="6"/>
  <c r="I4705" i="6" s="1"/>
  <c r="H4706" i="6"/>
  <c r="I4706" i="6" s="1"/>
  <c r="H4707" i="6"/>
  <c r="I4707" i="6" s="1"/>
  <c r="H4708" i="6"/>
  <c r="I4708" i="6" s="1"/>
  <c r="H4709" i="6"/>
  <c r="I4709" i="6" s="1"/>
  <c r="H4710" i="6"/>
  <c r="I4710" i="6" s="1"/>
  <c r="H4711" i="6"/>
  <c r="I4711" i="6" s="1"/>
  <c r="H4712" i="6"/>
  <c r="I4712" i="6" s="1"/>
  <c r="H4713" i="6"/>
  <c r="I4713" i="6" s="1"/>
  <c r="H4714" i="6"/>
  <c r="I4714" i="6" s="1"/>
  <c r="H4715" i="6"/>
  <c r="I4715" i="6" s="1"/>
  <c r="H4716" i="6"/>
  <c r="I4716" i="6" s="1"/>
  <c r="H4717" i="6"/>
  <c r="I4717" i="6" s="1"/>
  <c r="H4718" i="6"/>
  <c r="I4718" i="6" s="1"/>
  <c r="H4719" i="6"/>
  <c r="I4719" i="6" s="1"/>
  <c r="H4720" i="6"/>
  <c r="I4720" i="6" s="1"/>
  <c r="H4721" i="6"/>
  <c r="I4721" i="6" s="1"/>
  <c r="H4722" i="6"/>
  <c r="I4722" i="6" s="1"/>
  <c r="H4723" i="6"/>
  <c r="I4723" i="6" s="1"/>
  <c r="H4724" i="6"/>
  <c r="I4724" i="6" s="1"/>
  <c r="H4725" i="6"/>
  <c r="I4725" i="6" s="1"/>
  <c r="H4726" i="6"/>
  <c r="I4726" i="6" s="1"/>
  <c r="H4727" i="6"/>
  <c r="I4727" i="6" s="1"/>
  <c r="H4728" i="6"/>
  <c r="I4728" i="6" s="1"/>
  <c r="H4729" i="6"/>
  <c r="I4729" i="6" s="1"/>
  <c r="H4730" i="6"/>
  <c r="I4730" i="6" s="1"/>
  <c r="H4731" i="6"/>
  <c r="I4731" i="6" s="1"/>
  <c r="H4732" i="6"/>
  <c r="I4732" i="6" s="1"/>
  <c r="H4733" i="6"/>
  <c r="I4733" i="6" s="1"/>
  <c r="H4734" i="6"/>
  <c r="I4734" i="6" s="1"/>
  <c r="H4735" i="6"/>
  <c r="I4735" i="6" s="1"/>
  <c r="H4736" i="6"/>
  <c r="I4736" i="6" s="1"/>
  <c r="H4737" i="6"/>
  <c r="I4737" i="6" s="1"/>
  <c r="H4738" i="6"/>
  <c r="I4738" i="6" s="1"/>
  <c r="H4739" i="6"/>
  <c r="I4739" i="6" s="1"/>
  <c r="H4740" i="6"/>
  <c r="I4740" i="6" s="1"/>
  <c r="H4741" i="6"/>
  <c r="I4741" i="6" s="1"/>
  <c r="H4742" i="6"/>
  <c r="I4742" i="6" s="1"/>
  <c r="H4743" i="6"/>
  <c r="I4743" i="6" s="1"/>
  <c r="H4744" i="6"/>
  <c r="I4744" i="6" s="1"/>
  <c r="H4745" i="6"/>
  <c r="I4745" i="6" s="1"/>
  <c r="H4746" i="6"/>
  <c r="I4746" i="6" s="1"/>
  <c r="H4747" i="6"/>
  <c r="I4747" i="6" s="1"/>
  <c r="H4748" i="6"/>
  <c r="I4748" i="6" s="1"/>
  <c r="H4749" i="6"/>
  <c r="I4749" i="6" s="1"/>
  <c r="H4750" i="6"/>
  <c r="I4750" i="6" s="1"/>
  <c r="H4751" i="6"/>
  <c r="I4751" i="6" s="1"/>
  <c r="H4752" i="6"/>
  <c r="I4752" i="6" s="1"/>
  <c r="H4753" i="6"/>
  <c r="I4753" i="6" s="1"/>
  <c r="H4754" i="6"/>
  <c r="I4754" i="6" s="1"/>
  <c r="H4755" i="6"/>
  <c r="I4755" i="6" s="1"/>
  <c r="H4756" i="6"/>
  <c r="I4756" i="6" s="1"/>
  <c r="H4757" i="6"/>
  <c r="I4757" i="6" s="1"/>
  <c r="H4758" i="6"/>
  <c r="I4758" i="6" s="1"/>
  <c r="H4759" i="6"/>
  <c r="I4759" i="6" s="1"/>
  <c r="H4760" i="6"/>
  <c r="I4760" i="6" s="1"/>
  <c r="H4761" i="6"/>
  <c r="I4761" i="6" s="1"/>
  <c r="H4762" i="6"/>
  <c r="I4762" i="6" s="1"/>
  <c r="H4763" i="6"/>
  <c r="I4763" i="6" s="1"/>
  <c r="H4764" i="6"/>
  <c r="I4764" i="6" s="1"/>
  <c r="H4765" i="6"/>
  <c r="I4765" i="6" s="1"/>
  <c r="H4766" i="6"/>
  <c r="I4766" i="6" s="1"/>
  <c r="H4767" i="6"/>
  <c r="I4767" i="6" s="1"/>
  <c r="H4768" i="6"/>
  <c r="I4768" i="6" s="1"/>
  <c r="H4769" i="6"/>
  <c r="I4769" i="6" s="1"/>
  <c r="H4770" i="6"/>
  <c r="I4770" i="6" s="1"/>
  <c r="H4771" i="6"/>
  <c r="I4771" i="6" s="1"/>
  <c r="H4772" i="6"/>
  <c r="I4772" i="6" s="1"/>
  <c r="H4773" i="6"/>
  <c r="I4773" i="6" s="1"/>
  <c r="H4774" i="6"/>
  <c r="I4774" i="6" s="1"/>
  <c r="H4775" i="6"/>
  <c r="I4775" i="6" s="1"/>
  <c r="H4776" i="6"/>
  <c r="I4776" i="6" s="1"/>
  <c r="H4777" i="6"/>
  <c r="I4777" i="6" s="1"/>
  <c r="H4778" i="6"/>
  <c r="I4778" i="6" s="1"/>
  <c r="H4779" i="6"/>
  <c r="I4779" i="6" s="1"/>
  <c r="H4780" i="6"/>
  <c r="I4780" i="6" s="1"/>
  <c r="H4781" i="6"/>
  <c r="I4781" i="6" s="1"/>
  <c r="H4782" i="6"/>
  <c r="I4782" i="6" s="1"/>
  <c r="H4783" i="6"/>
  <c r="I4783" i="6" s="1"/>
  <c r="H4784" i="6"/>
  <c r="I4784" i="6" s="1"/>
  <c r="H4785" i="6"/>
  <c r="I4785" i="6" s="1"/>
  <c r="H4786" i="6"/>
  <c r="I4786" i="6" s="1"/>
  <c r="H4787" i="6"/>
  <c r="I4787" i="6" s="1"/>
  <c r="H4788" i="6"/>
  <c r="I4788" i="6" s="1"/>
  <c r="H4789" i="6"/>
  <c r="I4789" i="6" s="1"/>
  <c r="H4790" i="6"/>
  <c r="I4790" i="6" s="1"/>
  <c r="H4791" i="6"/>
  <c r="I4791" i="6" s="1"/>
  <c r="H4792" i="6"/>
  <c r="I4792" i="6" s="1"/>
  <c r="H4793" i="6"/>
  <c r="I4793" i="6" s="1"/>
  <c r="H4794" i="6"/>
  <c r="I4794" i="6" s="1"/>
  <c r="H4795" i="6"/>
  <c r="I4795" i="6" s="1"/>
  <c r="H4796" i="6"/>
  <c r="I4796" i="6" s="1"/>
  <c r="H4797" i="6"/>
  <c r="I4797" i="6" s="1"/>
  <c r="H4798" i="6"/>
  <c r="I4798" i="6" s="1"/>
  <c r="H4799" i="6"/>
  <c r="I4799" i="6" s="1"/>
  <c r="H4800" i="6"/>
  <c r="I4800" i="6" s="1"/>
  <c r="H4801" i="6"/>
  <c r="I4801" i="6" s="1"/>
  <c r="H4802" i="6"/>
  <c r="I4802" i="6" s="1"/>
  <c r="H4803" i="6"/>
  <c r="I4803" i="6" s="1"/>
  <c r="H4804" i="6"/>
  <c r="I4804" i="6" s="1"/>
  <c r="H4805" i="6"/>
  <c r="I4805" i="6" s="1"/>
  <c r="H4806" i="6"/>
  <c r="I4806" i="6" s="1"/>
  <c r="H4807" i="6"/>
  <c r="I4807" i="6" s="1"/>
  <c r="H4808" i="6"/>
  <c r="I4808" i="6" s="1"/>
  <c r="H4809" i="6"/>
  <c r="I4809" i="6" s="1"/>
  <c r="H4810" i="6"/>
  <c r="I4810" i="6" s="1"/>
  <c r="H4811" i="6"/>
  <c r="I4811" i="6" s="1"/>
  <c r="H4812" i="6"/>
  <c r="I4812" i="6" s="1"/>
  <c r="H4813" i="6"/>
  <c r="I4813" i="6" s="1"/>
  <c r="H4814" i="6"/>
  <c r="I4814" i="6" s="1"/>
  <c r="H4815" i="6"/>
  <c r="I4815" i="6" s="1"/>
  <c r="H4816" i="6"/>
  <c r="I4816" i="6" s="1"/>
  <c r="H4817" i="6"/>
  <c r="I4817" i="6" s="1"/>
  <c r="H4818" i="6"/>
  <c r="I4818" i="6" s="1"/>
  <c r="H4819" i="6"/>
  <c r="I4819" i="6" s="1"/>
  <c r="H4820" i="6"/>
  <c r="I4820" i="6" s="1"/>
  <c r="H4821" i="6"/>
  <c r="I4821" i="6" s="1"/>
  <c r="H4822" i="6"/>
  <c r="I4822" i="6" s="1"/>
  <c r="H4823" i="6"/>
  <c r="I4823" i="6" s="1"/>
  <c r="H4824" i="6"/>
  <c r="I4824" i="6" s="1"/>
  <c r="H4825" i="6"/>
  <c r="I4825" i="6" s="1"/>
  <c r="H4826" i="6"/>
  <c r="I4826" i="6" s="1"/>
  <c r="H4827" i="6"/>
  <c r="I4827" i="6" s="1"/>
  <c r="H4828" i="6"/>
  <c r="I4828" i="6" s="1"/>
  <c r="H4829" i="6"/>
  <c r="I4829" i="6" s="1"/>
  <c r="H4830" i="6"/>
  <c r="I4830" i="6" s="1"/>
  <c r="H4831" i="6"/>
  <c r="I4831" i="6" s="1"/>
  <c r="H4832" i="6"/>
  <c r="I4832" i="6" s="1"/>
  <c r="H4833" i="6"/>
  <c r="I4833" i="6" s="1"/>
  <c r="H4834" i="6"/>
  <c r="I4834" i="6" s="1"/>
  <c r="H4835" i="6"/>
  <c r="I4835" i="6" s="1"/>
  <c r="H4836" i="6"/>
  <c r="I4836" i="6" s="1"/>
  <c r="H4837" i="6"/>
  <c r="I4837" i="6" s="1"/>
  <c r="H4838" i="6"/>
  <c r="I4838" i="6" s="1"/>
  <c r="H4839" i="6"/>
  <c r="I4839" i="6" s="1"/>
  <c r="H4840" i="6"/>
  <c r="I4840" i="6" s="1"/>
  <c r="H4841" i="6"/>
  <c r="I4841" i="6" s="1"/>
  <c r="H4842" i="6"/>
  <c r="I4842" i="6" s="1"/>
  <c r="H4843" i="6"/>
  <c r="I4843" i="6" s="1"/>
  <c r="H4844" i="6"/>
  <c r="I4844" i="6" s="1"/>
  <c r="H4845" i="6"/>
  <c r="I4845" i="6" s="1"/>
  <c r="H4846" i="6"/>
  <c r="I4846" i="6" s="1"/>
  <c r="H4847" i="6"/>
  <c r="I4847" i="6" s="1"/>
  <c r="H4848" i="6"/>
  <c r="I4848" i="6" s="1"/>
  <c r="H4849" i="6"/>
  <c r="I4849" i="6" s="1"/>
  <c r="H4850" i="6"/>
  <c r="I4850" i="6" s="1"/>
  <c r="H4851" i="6"/>
  <c r="I4851" i="6" s="1"/>
  <c r="H4852" i="6"/>
  <c r="I4852" i="6" s="1"/>
  <c r="H4853" i="6"/>
  <c r="I4853" i="6" s="1"/>
  <c r="H4854" i="6"/>
  <c r="I4854" i="6" s="1"/>
  <c r="H4855" i="6"/>
  <c r="I4855" i="6" s="1"/>
  <c r="H4856" i="6"/>
  <c r="I4856" i="6" s="1"/>
  <c r="H4857" i="6"/>
  <c r="I4857" i="6" s="1"/>
  <c r="H4858" i="6"/>
  <c r="I4858" i="6" s="1"/>
  <c r="H4859" i="6"/>
  <c r="I4859" i="6" s="1"/>
  <c r="H4860" i="6"/>
  <c r="I4860" i="6" s="1"/>
  <c r="H4861" i="6"/>
  <c r="I4861" i="6" s="1"/>
  <c r="H4862" i="6"/>
  <c r="I4862" i="6" s="1"/>
  <c r="H4863" i="6"/>
  <c r="I4863" i="6" s="1"/>
  <c r="H4864" i="6"/>
  <c r="I4864" i="6" s="1"/>
  <c r="H4865" i="6"/>
  <c r="I4865" i="6" s="1"/>
  <c r="H4866" i="6"/>
  <c r="I4866" i="6" s="1"/>
  <c r="H4867" i="6"/>
  <c r="I4867" i="6" s="1"/>
  <c r="H4868" i="6"/>
  <c r="I4868" i="6" s="1"/>
  <c r="H4869" i="6"/>
  <c r="I4869" i="6" s="1"/>
  <c r="H4870" i="6"/>
  <c r="I4870" i="6" s="1"/>
  <c r="H4871" i="6"/>
  <c r="I4871" i="6" s="1"/>
  <c r="H4872" i="6"/>
  <c r="I4872" i="6" s="1"/>
  <c r="H4873" i="6"/>
  <c r="I4873" i="6" s="1"/>
  <c r="H4874" i="6"/>
  <c r="I4874" i="6" s="1"/>
  <c r="H4875" i="6"/>
  <c r="I4875" i="6" s="1"/>
  <c r="H4876" i="6"/>
  <c r="I4876" i="6" s="1"/>
  <c r="H4877" i="6"/>
  <c r="I4877" i="6" s="1"/>
  <c r="H4878" i="6"/>
  <c r="I4878" i="6" s="1"/>
  <c r="H4879" i="6"/>
  <c r="I4879" i="6" s="1"/>
  <c r="H4880" i="6"/>
  <c r="I4880" i="6" s="1"/>
  <c r="H4881" i="6"/>
  <c r="I4881" i="6" s="1"/>
  <c r="H4882" i="6"/>
  <c r="I4882" i="6" s="1"/>
  <c r="H4883" i="6"/>
  <c r="I4883" i="6" s="1"/>
  <c r="H4884" i="6"/>
  <c r="I4884" i="6" s="1"/>
  <c r="H4885" i="6"/>
  <c r="I4885" i="6" s="1"/>
  <c r="H4886" i="6"/>
  <c r="I4886" i="6" s="1"/>
  <c r="H4887" i="6"/>
  <c r="I4887" i="6" s="1"/>
  <c r="H4888" i="6"/>
  <c r="I4888" i="6" s="1"/>
  <c r="H4889" i="6"/>
  <c r="I4889" i="6" s="1"/>
  <c r="H4890" i="6"/>
  <c r="I4890" i="6" s="1"/>
  <c r="H4891" i="6"/>
  <c r="I4891" i="6" s="1"/>
  <c r="H4892" i="6"/>
  <c r="I4892" i="6" s="1"/>
  <c r="H4893" i="6"/>
  <c r="I4893" i="6" s="1"/>
  <c r="H4894" i="6"/>
  <c r="I4894" i="6" s="1"/>
  <c r="H4895" i="6"/>
  <c r="I4895" i="6" s="1"/>
  <c r="H4896" i="6"/>
  <c r="I4896" i="6" s="1"/>
  <c r="H4897" i="6"/>
  <c r="I4897" i="6" s="1"/>
  <c r="H4898" i="6"/>
  <c r="I4898" i="6" s="1"/>
  <c r="H4899" i="6"/>
  <c r="I4899" i="6" s="1"/>
  <c r="H4900" i="6"/>
  <c r="I4900" i="6" s="1"/>
  <c r="H4901" i="6"/>
  <c r="I4901" i="6" s="1"/>
  <c r="H4902" i="6"/>
  <c r="I4902" i="6" s="1"/>
  <c r="H4903" i="6"/>
  <c r="I4903" i="6" s="1"/>
  <c r="H4904" i="6"/>
  <c r="I4904" i="6" s="1"/>
  <c r="H4905" i="6"/>
  <c r="I4905" i="6" s="1"/>
  <c r="H4906" i="6"/>
  <c r="I4906" i="6" s="1"/>
  <c r="H4907" i="6"/>
  <c r="I4907" i="6" s="1"/>
  <c r="H4908" i="6"/>
  <c r="I4908" i="6" s="1"/>
  <c r="H4909" i="6"/>
  <c r="I4909" i="6" s="1"/>
  <c r="H4910" i="6"/>
  <c r="I4910" i="6" s="1"/>
  <c r="H4911" i="6"/>
  <c r="I4911" i="6" s="1"/>
  <c r="H4912" i="6"/>
  <c r="I4912" i="6" s="1"/>
  <c r="H4913" i="6"/>
  <c r="I4913" i="6" s="1"/>
  <c r="H4914" i="6"/>
  <c r="I4914" i="6" s="1"/>
  <c r="H4915" i="6"/>
  <c r="I4915" i="6" s="1"/>
  <c r="H4916" i="6"/>
  <c r="I4916" i="6" s="1"/>
  <c r="H4917" i="6"/>
  <c r="I4917" i="6" s="1"/>
  <c r="H4918" i="6"/>
  <c r="I4918" i="6" s="1"/>
  <c r="H4919" i="6"/>
  <c r="I4919" i="6" s="1"/>
  <c r="H4920" i="6"/>
  <c r="I4920" i="6" s="1"/>
  <c r="H4921" i="6"/>
  <c r="I4921" i="6" s="1"/>
  <c r="H4922" i="6"/>
  <c r="I4922" i="6" s="1"/>
  <c r="H4923" i="6"/>
  <c r="I4923" i="6" s="1"/>
  <c r="H4924" i="6"/>
  <c r="I4924" i="6" s="1"/>
  <c r="H4925" i="6"/>
  <c r="I4925" i="6" s="1"/>
  <c r="H4926" i="6"/>
  <c r="I4926" i="6" s="1"/>
  <c r="H4927" i="6"/>
  <c r="I4927" i="6" s="1"/>
  <c r="H4928" i="6"/>
  <c r="I4928" i="6" s="1"/>
  <c r="H4929" i="6"/>
  <c r="I4929" i="6" s="1"/>
  <c r="H4930" i="6"/>
  <c r="I4930" i="6" s="1"/>
  <c r="H4931" i="6"/>
  <c r="I4931" i="6" s="1"/>
  <c r="H4932" i="6"/>
  <c r="I4932" i="6" s="1"/>
  <c r="H4933" i="6"/>
  <c r="I4933" i="6" s="1"/>
  <c r="H4934" i="6"/>
  <c r="I4934" i="6" s="1"/>
  <c r="H4935" i="6"/>
  <c r="I4935" i="6" s="1"/>
  <c r="H4936" i="6"/>
  <c r="I4936" i="6" s="1"/>
  <c r="H4937" i="6"/>
  <c r="I4937" i="6" s="1"/>
  <c r="H4938" i="6"/>
  <c r="I4938" i="6" s="1"/>
  <c r="H4939" i="6"/>
  <c r="I4939" i="6" s="1"/>
  <c r="H4940" i="6"/>
  <c r="I4940" i="6" s="1"/>
  <c r="H4941" i="6"/>
  <c r="I4941" i="6" s="1"/>
  <c r="H4942" i="6"/>
  <c r="I4942" i="6" s="1"/>
  <c r="H4943" i="6"/>
  <c r="I4943" i="6" s="1"/>
  <c r="H4944" i="6"/>
  <c r="I4944" i="6" s="1"/>
  <c r="H4945" i="6"/>
  <c r="I4945" i="6" s="1"/>
  <c r="H4946" i="6"/>
  <c r="I4946" i="6" s="1"/>
  <c r="H4947" i="6"/>
  <c r="I4947" i="6" s="1"/>
  <c r="H4948" i="6"/>
  <c r="I4948" i="6" s="1"/>
  <c r="H4949" i="6"/>
  <c r="I4949" i="6" s="1"/>
  <c r="H4950" i="6"/>
  <c r="I4950" i="6" s="1"/>
  <c r="H4951" i="6"/>
  <c r="I4951" i="6" s="1"/>
  <c r="H4952" i="6"/>
  <c r="I4952" i="6" s="1"/>
  <c r="H4953" i="6"/>
  <c r="I4953" i="6" s="1"/>
  <c r="H4954" i="6"/>
  <c r="I4954" i="6" s="1"/>
  <c r="H4955" i="6"/>
  <c r="I4955" i="6" s="1"/>
  <c r="H4956" i="6"/>
  <c r="I4956" i="6" s="1"/>
  <c r="H4957" i="6"/>
  <c r="I4957" i="6" s="1"/>
  <c r="H4958" i="6"/>
  <c r="I4958" i="6" s="1"/>
  <c r="H4959" i="6"/>
  <c r="I4959" i="6" s="1"/>
  <c r="H4960" i="6"/>
  <c r="I4960" i="6" s="1"/>
  <c r="H4961" i="6"/>
  <c r="I4961" i="6" s="1"/>
  <c r="H4962" i="6"/>
  <c r="I4962" i="6" s="1"/>
  <c r="H4963" i="6"/>
  <c r="I4963" i="6" s="1"/>
  <c r="H4964" i="6"/>
  <c r="I4964" i="6" s="1"/>
  <c r="H4965" i="6"/>
  <c r="I4965" i="6" s="1"/>
  <c r="H4966" i="6"/>
  <c r="I4966" i="6" s="1"/>
  <c r="H4967" i="6"/>
  <c r="I4967" i="6" s="1"/>
  <c r="H4968" i="6"/>
  <c r="I4968" i="6" s="1"/>
  <c r="H4969" i="6"/>
  <c r="I4969" i="6" s="1"/>
  <c r="H4970" i="6"/>
  <c r="I4970" i="6" s="1"/>
  <c r="H4971" i="6"/>
  <c r="I4971" i="6" s="1"/>
  <c r="H4972" i="6"/>
  <c r="I4972" i="6" s="1"/>
  <c r="H4973" i="6"/>
  <c r="I4973" i="6" s="1"/>
  <c r="H4974" i="6"/>
  <c r="I4974" i="6" s="1"/>
  <c r="H4975" i="6"/>
  <c r="I4975" i="6" s="1"/>
  <c r="H4976" i="6"/>
  <c r="I4976" i="6" s="1"/>
  <c r="H4977" i="6"/>
  <c r="I4977" i="6" s="1"/>
  <c r="H4978" i="6"/>
  <c r="I4978" i="6" s="1"/>
  <c r="H4979" i="6"/>
  <c r="I4979" i="6" s="1"/>
  <c r="H4980" i="6"/>
  <c r="I4980" i="6" s="1"/>
  <c r="H4981" i="6"/>
  <c r="I4981" i="6" s="1"/>
  <c r="H4982" i="6"/>
  <c r="I4982" i="6" s="1"/>
  <c r="H4983" i="6"/>
  <c r="I4983" i="6" s="1"/>
  <c r="H4984" i="6"/>
  <c r="I4984" i="6" s="1"/>
  <c r="H4985" i="6"/>
  <c r="I4985" i="6" s="1"/>
  <c r="H4986" i="6"/>
  <c r="I4986" i="6" s="1"/>
  <c r="H4987" i="6"/>
  <c r="I4987" i="6" s="1"/>
  <c r="H4988" i="6"/>
  <c r="I4988" i="6" s="1"/>
  <c r="H4989" i="6"/>
  <c r="I4989" i="6" s="1"/>
  <c r="H4990" i="6"/>
  <c r="I4990" i="6" s="1"/>
  <c r="H4991" i="6"/>
  <c r="I4991" i="6" s="1"/>
  <c r="H4992" i="6"/>
  <c r="I4992" i="6" s="1"/>
  <c r="H4993" i="6"/>
  <c r="I4993" i="6" s="1"/>
  <c r="H4994" i="6"/>
  <c r="I4994" i="6" s="1"/>
  <c r="H4995" i="6"/>
  <c r="I4995" i="6" s="1"/>
  <c r="H4996" i="6"/>
  <c r="I4996" i="6" s="1"/>
  <c r="H4997" i="6"/>
  <c r="I4997" i="6" s="1"/>
  <c r="H4998" i="6"/>
  <c r="I4998" i="6" s="1"/>
  <c r="H4999" i="6"/>
  <c r="I4999" i="6" s="1"/>
  <c r="H5000" i="6"/>
  <c r="I5000" i="6" s="1"/>
  <c r="H5001" i="6"/>
  <c r="I5001" i="6" s="1"/>
  <c r="H5002" i="6"/>
  <c r="I5002" i="6" s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F3005" i="6"/>
  <c r="F3006" i="6"/>
  <c r="F3007" i="6"/>
  <c r="F3008" i="6"/>
  <c r="F3009" i="6"/>
  <c r="F3010" i="6"/>
  <c r="F3011" i="6"/>
  <c r="F3012" i="6"/>
  <c r="F3013" i="6"/>
  <c r="F3014" i="6"/>
  <c r="F3015" i="6"/>
  <c r="F3016" i="6"/>
  <c r="F3017" i="6"/>
  <c r="F3018" i="6"/>
  <c r="F3019" i="6"/>
  <c r="F3020" i="6"/>
  <c r="F3021" i="6"/>
  <c r="F3022" i="6"/>
  <c r="F3023" i="6"/>
  <c r="F3024" i="6"/>
  <c r="F3025" i="6"/>
  <c r="F3026" i="6"/>
  <c r="F3027" i="6"/>
  <c r="F3028" i="6"/>
  <c r="F3029" i="6"/>
  <c r="F3030" i="6"/>
  <c r="F3031" i="6"/>
  <c r="F3032" i="6"/>
  <c r="F3033" i="6"/>
  <c r="F3034" i="6"/>
  <c r="F3035" i="6"/>
  <c r="F3036" i="6"/>
  <c r="F3037" i="6"/>
  <c r="F3038" i="6"/>
  <c r="F3039" i="6"/>
  <c r="F3040" i="6"/>
  <c r="F3041" i="6"/>
  <c r="F3042" i="6"/>
  <c r="F3043" i="6"/>
  <c r="F3044" i="6"/>
  <c r="F3045" i="6"/>
  <c r="F3046" i="6"/>
  <c r="F3047" i="6"/>
  <c r="F3048" i="6"/>
  <c r="F3049" i="6"/>
  <c r="F3050" i="6"/>
  <c r="F3051" i="6"/>
  <c r="F3052" i="6"/>
  <c r="F3053" i="6"/>
  <c r="F3054" i="6"/>
  <c r="F3055" i="6"/>
  <c r="F3056" i="6"/>
  <c r="F3057" i="6"/>
  <c r="F3058" i="6"/>
  <c r="F3059" i="6"/>
  <c r="F3060" i="6"/>
  <c r="F3061" i="6"/>
  <c r="F3062" i="6"/>
  <c r="F3063" i="6"/>
  <c r="F3064" i="6"/>
  <c r="F3065" i="6"/>
  <c r="F3066" i="6"/>
  <c r="F3067" i="6"/>
  <c r="F3068" i="6"/>
  <c r="F3069" i="6"/>
  <c r="F3070" i="6"/>
  <c r="F3071" i="6"/>
  <c r="F3072" i="6"/>
  <c r="F3073" i="6"/>
  <c r="F3074" i="6"/>
  <c r="F3075" i="6"/>
  <c r="F3076" i="6"/>
  <c r="F3077" i="6"/>
  <c r="F3078" i="6"/>
  <c r="F3079" i="6"/>
  <c r="F3080" i="6"/>
  <c r="F3081" i="6"/>
  <c r="F3082" i="6"/>
  <c r="F3083" i="6"/>
  <c r="F3084" i="6"/>
  <c r="F3085" i="6"/>
  <c r="F3086" i="6"/>
  <c r="F3087" i="6"/>
  <c r="F3088" i="6"/>
  <c r="F3089" i="6"/>
  <c r="F3090" i="6"/>
  <c r="F3091" i="6"/>
  <c r="F3092" i="6"/>
  <c r="F3093" i="6"/>
  <c r="F3094" i="6"/>
  <c r="F3095" i="6"/>
  <c r="F3096" i="6"/>
  <c r="F3097" i="6"/>
  <c r="F3098" i="6"/>
  <c r="F3099" i="6"/>
  <c r="F3100" i="6"/>
  <c r="F3101" i="6"/>
  <c r="F3102" i="6"/>
  <c r="F3103" i="6"/>
  <c r="F3104" i="6"/>
  <c r="F3105" i="6"/>
  <c r="F3106" i="6"/>
  <c r="F3107" i="6"/>
  <c r="F3108" i="6"/>
  <c r="F3109" i="6"/>
  <c r="F3110" i="6"/>
  <c r="F3111" i="6"/>
  <c r="F3112" i="6"/>
  <c r="F3113" i="6"/>
  <c r="F3114" i="6"/>
  <c r="F3115" i="6"/>
  <c r="F3116" i="6"/>
  <c r="F3117" i="6"/>
  <c r="F3118" i="6"/>
  <c r="F3119" i="6"/>
  <c r="F3120" i="6"/>
  <c r="F3121" i="6"/>
  <c r="F3122" i="6"/>
  <c r="F3123" i="6"/>
  <c r="F3124" i="6"/>
  <c r="F3125" i="6"/>
  <c r="F3126" i="6"/>
  <c r="F3127" i="6"/>
  <c r="F3128" i="6"/>
  <c r="F3129" i="6"/>
  <c r="F3130" i="6"/>
  <c r="F3131" i="6"/>
  <c r="F3132" i="6"/>
  <c r="F3133" i="6"/>
  <c r="F3134" i="6"/>
  <c r="F3135" i="6"/>
  <c r="F3136" i="6"/>
  <c r="F3137" i="6"/>
  <c r="F3138" i="6"/>
  <c r="F3139" i="6"/>
  <c r="F3140" i="6"/>
  <c r="F3141" i="6"/>
  <c r="F3142" i="6"/>
  <c r="F3143" i="6"/>
  <c r="F3144" i="6"/>
  <c r="F3145" i="6"/>
  <c r="F3146" i="6"/>
  <c r="F3147" i="6"/>
  <c r="F3148" i="6"/>
  <c r="F3149" i="6"/>
  <c r="F3150" i="6"/>
  <c r="F3151" i="6"/>
  <c r="F3152" i="6"/>
  <c r="F3153" i="6"/>
  <c r="F3154" i="6"/>
  <c r="F3155" i="6"/>
  <c r="F3156" i="6"/>
  <c r="F3157" i="6"/>
  <c r="F3158" i="6"/>
  <c r="F3159" i="6"/>
  <c r="F3160" i="6"/>
  <c r="F3161" i="6"/>
  <c r="F3162" i="6"/>
  <c r="F3163" i="6"/>
  <c r="F3164" i="6"/>
  <c r="F3165" i="6"/>
  <c r="F3166" i="6"/>
  <c r="F3167" i="6"/>
  <c r="F3168" i="6"/>
  <c r="F3169" i="6"/>
  <c r="F3170" i="6"/>
  <c r="F3171" i="6"/>
  <c r="F3172" i="6"/>
  <c r="F3173" i="6"/>
  <c r="F3174" i="6"/>
  <c r="F3175" i="6"/>
  <c r="F3176" i="6"/>
  <c r="F3177" i="6"/>
  <c r="F3178" i="6"/>
  <c r="F3179" i="6"/>
  <c r="F3180" i="6"/>
  <c r="F3181" i="6"/>
  <c r="F3182" i="6"/>
  <c r="F3183" i="6"/>
  <c r="F3184" i="6"/>
  <c r="F3185" i="6"/>
  <c r="F3186" i="6"/>
  <c r="F3187" i="6"/>
  <c r="F3188" i="6"/>
  <c r="F3189" i="6"/>
  <c r="F3190" i="6"/>
  <c r="F3191" i="6"/>
  <c r="F3192" i="6"/>
  <c r="F3193" i="6"/>
  <c r="F3194" i="6"/>
  <c r="F3195" i="6"/>
  <c r="F3196" i="6"/>
  <c r="F3197" i="6"/>
  <c r="F3198" i="6"/>
  <c r="F3199" i="6"/>
  <c r="F3200" i="6"/>
  <c r="F3201" i="6"/>
  <c r="F3202" i="6"/>
  <c r="F3203" i="6"/>
  <c r="F3204" i="6"/>
  <c r="F3205" i="6"/>
  <c r="F3206" i="6"/>
  <c r="F3207" i="6"/>
  <c r="F3208" i="6"/>
  <c r="F3209" i="6"/>
  <c r="F3210" i="6"/>
  <c r="F3211" i="6"/>
  <c r="F3212" i="6"/>
  <c r="F3213" i="6"/>
  <c r="F3214" i="6"/>
  <c r="F3215" i="6"/>
  <c r="F3216" i="6"/>
  <c r="F3217" i="6"/>
  <c r="F3218" i="6"/>
  <c r="F3219" i="6"/>
  <c r="F3220" i="6"/>
  <c r="F3221" i="6"/>
  <c r="F3222" i="6"/>
  <c r="F3223" i="6"/>
  <c r="F3224" i="6"/>
  <c r="F3225" i="6"/>
  <c r="F3226" i="6"/>
  <c r="F3227" i="6"/>
  <c r="F3228" i="6"/>
  <c r="F3229" i="6"/>
  <c r="F3230" i="6"/>
  <c r="F3231" i="6"/>
  <c r="F3232" i="6"/>
  <c r="F3233" i="6"/>
  <c r="F3234" i="6"/>
  <c r="F3235" i="6"/>
  <c r="F3236" i="6"/>
  <c r="F3237" i="6"/>
  <c r="F3238" i="6"/>
  <c r="F3239" i="6"/>
  <c r="F3240" i="6"/>
  <c r="F3241" i="6"/>
  <c r="F3242" i="6"/>
  <c r="F3243" i="6"/>
  <c r="F3244" i="6"/>
  <c r="F3245" i="6"/>
  <c r="F3246" i="6"/>
  <c r="F3247" i="6"/>
  <c r="F3248" i="6"/>
  <c r="F3249" i="6"/>
  <c r="F3250" i="6"/>
  <c r="F3251" i="6"/>
  <c r="F3252" i="6"/>
  <c r="F3253" i="6"/>
  <c r="F3254" i="6"/>
  <c r="F3255" i="6"/>
  <c r="F3256" i="6"/>
  <c r="F3257" i="6"/>
  <c r="F3258" i="6"/>
  <c r="F3259" i="6"/>
  <c r="F3260" i="6"/>
  <c r="F3261" i="6"/>
  <c r="F3262" i="6"/>
  <c r="F3263" i="6"/>
  <c r="F3264" i="6"/>
  <c r="F3265" i="6"/>
  <c r="F3266" i="6"/>
  <c r="F3267" i="6"/>
  <c r="F3268" i="6"/>
  <c r="F3269" i="6"/>
  <c r="F3270" i="6"/>
  <c r="F3271" i="6"/>
  <c r="F3272" i="6"/>
  <c r="F3273" i="6"/>
  <c r="F3274" i="6"/>
  <c r="F3275" i="6"/>
  <c r="F3276" i="6"/>
  <c r="F3277" i="6"/>
  <c r="F3278" i="6"/>
  <c r="F3279" i="6"/>
  <c r="F3280" i="6"/>
  <c r="F3281" i="6"/>
  <c r="F3282" i="6"/>
  <c r="F3283" i="6"/>
  <c r="F3284" i="6"/>
  <c r="F3285" i="6"/>
  <c r="F3286" i="6"/>
  <c r="F3287" i="6"/>
  <c r="F3288" i="6"/>
  <c r="F3289" i="6"/>
  <c r="F3290" i="6"/>
  <c r="F3291" i="6"/>
  <c r="F3292" i="6"/>
  <c r="F3293" i="6"/>
  <c r="F3294" i="6"/>
  <c r="F3295" i="6"/>
  <c r="F3296" i="6"/>
  <c r="F3297" i="6"/>
  <c r="F3298" i="6"/>
  <c r="F3299" i="6"/>
  <c r="F3300" i="6"/>
  <c r="F3301" i="6"/>
  <c r="F3302" i="6"/>
  <c r="F3303" i="6"/>
  <c r="F3304" i="6"/>
  <c r="F3305" i="6"/>
  <c r="F3306" i="6"/>
  <c r="F3307" i="6"/>
  <c r="F3308" i="6"/>
  <c r="F3309" i="6"/>
  <c r="F3310" i="6"/>
  <c r="F3311" i="6"/>
  <c r="F3312" i="6"/>
  <c r="F3313" i="6"/>
  <c r="F3314" i="6"/>
  <c r="F3315" i="6"/>
  <c r="F3316" i="6"/>
  <c r="F3317" i="6"/>
  <c r="F3318" i="6"/>
  <c r="F3319" i="6"/>
  <c r="F3320" i="6"/>
  <c r="F3321" i="6"/>
  <c r="F3322" i="6"/>
  <c r="F3323" i="6"/>
  <c r="F3324" i="6"/>
  <c r="F3325" i="6"/>
  <c r="F3326" i="6"/>
  <c r="F3327" i="6"/>
  <c r="F3328" i="6"/>
  <c r="F3329" i="6"/>
  <c r="F3330" i="6"/>
  <c r="F3331" i="6"/>
  <c r="F3332" i="6"/>
  <c r="F3333" i="6"/>
  <c r="F3334" i="6"/>
  <c r="F3335" i="6"/>
  <c r="F3336" i="6"/>
  <c r="F3337" i="6"/>
  <c r="F3338" i="6"/>
  <c r="F3339" i="6"/>
  <c r="F3340" i="6"/>
  <c r="F3341" i="6"/>
  <c r="F3342" i="6"/>
  <c r="F3343" i="6"/>
  <c r="F3344" i="6"/>
  <c r="F3345" i="6"/>
  <c r="F3346" i="6"/>
  <c r="F3347" i="6"/>
  <c r="F3348" i="6"/>
  <c r="F3349" i="6"/>
  <c r="F3350" i="6"/>
  <c r="F3351" i="6"/>
  <c r="F3352" i="6"/>
  <c r="F3353" i="6"/>
  <c r="F3354" i="6"/>
  <c r="F3355" i="6"/>
  <c r="F3356" i="6"/>
  <c r="F3357" i="6"/>
  <c r="F3358" i="6"/>
  <c r="F3359" i="6"/>
  <c r="F3360" i="6"/>
  <c r="F3361" i="6"/>
  <c r="F3362" i="6"/>
  <c r="F3363" i="6"/>
  <c r="F3364" i="6"/>
  <c r="F3365" i="6"/>
  <c r="F3366" i="6"/>
  <c r="F3367" i="6"/>
  <c r="F3368" i="6"/>
  <c r="F3369" i="6"/>
  <c r="F3370" i="6"/>
  <c r="F3371" i="6"/>
  <c r="F3372" i="6"/>
  <c r="F3373" i="6"/>
  <c r="F3374" i="6"/>
  <c r="F3375" i="6"/>
  <c r="F3376" i="6"/>
  <c r="F3377" i="6"/>
  <c r="F3378" i="6"/>
  <c r="F3379" i="6"/>
  <c r="F3380" i="6"/>
  <c r="F3381" i="6"/>
  <c r="F3382" i="6"/>
  <c r="F3383" i="6"/>
  <c r="F3384" i="6"/>
  <c r="F3385" i="6"/>
  <c r="F3386" i="6"/>
  <c r="F3387" i="6"/>
  <c r="F3388" i="6"/>
  <c r="F3389" i="6"/>
  <c r="F3390" i="6"/>
  <c r="F3391" i="6"/>
  <c r="F3392" i="6"/>
  <c r="F3393" i="6"/>
  <c r="F3394" i="6"/>
  <c r="F3395" i="6"/>
  <c r="F3396" i="6"/>
  <c r="F3397" i="6"/>
  <c r="F3398" i="6"/>
  <c r="F3399" i="6"/>
  <c r="F3400" i="6"/>
  <c r="F3401" i="6"/>
  <c r="F3402" i="6"/>
  <c r="F3403" i="6"/>
  <c r="F3404" i="6"/>
  <c r="F3405" i="6"/>
  <c r="F3406" i="6"/>
  <c r="F3407" i="6"/>
  <c r="F3408" i="6"/>
  <c r="F3409" i="6"/>
  <c r="F3410" i="6"/>
  <c r="F3411" i="6"/>
  <c r="F3412" i="6"/>
  <c r="F3413" i="6"/>
  <c r="F3414" i="6"/>
  <c r="F3415" i="6"/>
  <c r="F3416" i="6"/>
  <c r="F3417" i="6"/>
  <c r="F3418" i="6"/>
  <c r="F3419" i="6"/>
  <c r="F3420" i="6"/>
  <c r="F3421" i="6"/>
  <c r="F3422" i="6"/>
  <c r="F3423" i="6"/>
  <c r="F3424" i="6"/>
  <c r="F3425" i="6"/>
  <c r="F3426" i="6"/>
  <c r="F3427" i="6"/>
  <c r="F3428" i="6"/>
  <c r="F3429" i="6"/>
  <c r="F3430" i="6"/>
  <c r="F3431" i="6"/>
  <c r="F3432" i="6"/>
  <c r="F3433" i="6"/>
  <c r="F3434" i="6"/>
  <c r="F3435" i="6"/>
  <c r="F3436" i="6"/>
  <c r="F3437" i="6"/>
  <c r="F3438" i="6"/>
  <c r="F3439" i="6"/>
  <c r="F3440" i="6"/>
  <c r="F3441" i="6"/>
  <c r="F3442" i="6"/>
  <c r="F3443" i="6"/>
  <c r="F3444" i="6"/>
  <c r="F3445" i="6"/>
  <c r="F3446" i="6"/>
  <c r="F3447" i="6"/>
  <c r="F3448" i="6"/>
  <c r="F3449" i="6"/>
  <c r="F3450" i="6"/>
  <c r="F3451" i="6"/>
  <c r="F3452" i="6"/>
  <c r="F3453" i="6"/>
  <c r="F3454" i="6"/>
  <c r="F3455" i="6"/>
  <c r="F3456" i="6"/>
  <c r="F3457" i="6"/>
  <c r="F3458" i="6"/>
  <c r="F3459" i="6"/>
  <c r="F3460" i="6"/>
  <c r="F3461" i="6"/>
  <c r="F3462" i="6"/>
  <c r="F3463" i="6"/>
  <c r="F3464" i="6"/>
  <c r="F3465" i="6"/>
  <c r="F3466" i="6"/>
  <c r="F3467" i="6"/>
  <c r="F3468" i="6"/>
  <c r="F3469" i="6"/>
  <c r="F3470" i="6"/>
  <c r="F3471" i="6"/>
  <c r="F3472" i="6"/>
  <c r="F3473" i="6"/>
  <c r="F3474" i="6"/>
  <c r="F3475" i="6"/>
  <c r="F3476" i="6"/>
  <c r="F3477" i="6"/>
  <c r="F3478" i="6"/>
  <c r="F3479" i="6"/>
  <c r="F3480" i="6"/>
  <c r="F3481" i="6"/>
  <c r="F3482" i="6"/>
  <c r="F3483" i="6"/>
  <c r="F3484" i="6"/>
  <c r="F3485" i="6"/>
  <c r="F3486" i="6"/>
  <c r="F3487" i="6"/>
  <c r="F3488" i="6"/>
  <c r="F3489" i="6"/>
  <c r="F3490" i="6"/>
  <c r="F3491" i="6"/>
  <c r="F3492" i="6"/>
  <c r="F3493" i="6"/>
  <c r="F3494" i="6"/>
  <c r="F3495" i="6"/>
  <c r="F3496" i="6"/>
  <c r="F3497" i="6"/>
  <c r="F3498" i="6"/>
  <c r="F3499" i="6"/>
  <c r="F3500" i="6"/>
  <c r="F3501" i="6"/>
  <c r="F3502" i="6"/>
  <c r="F3503" i="6"/>
  <c r="F3504" i="6"/>
  <c r="F3505" i="6"/>
  <c r="F3506" i="6"/>
  <c r="F3507" i="6"/>
  <c r="F3508" i="6"/>
  <c r="F3509" i="6"/>
  <c r="F3510" i="6"/>
  <c r="F3511" i="6"/>
  <c r="F3512" i="6"/>
  <c r="F3513" i="6"/>
  <c r="F3514" i="6"/>
  <c r="F3515" i="6"/>
  <c r="F3516" i="6"/>
  <c r="F3517" i="6"/>
  <c r="F3518" i="6"/>
  <c r="F3519" i="6"/>
  <c r="F3520" i="6"/>
  <c r="F3521" i="6"/>
  <c r="F3522" i="6"/>
  <c r="F3523" i="6"/>
  <c r="F3524" i="6"/>
  <c r="F3525" i="6"/>
  <c r="F3526" i="6"/>
  <c r="F3527" i="6"/>
  <c r="F3528" i="6"/>
  <c r="F3529" i="6"/>
  <c r="F3530" i="6"/>
  <c r="F3531" i="6"/>
  <c r="F3532" i="6"/>
  <c r="F3533" i="6"/>
  <c r="F3534" i="6"/>
  <c r="F3535" i="6"/>
  <c r="F3536" i="6"/>
  <c r="F3537" i="6"/>
  <c r="F3538" i="6"/>
  <c r="F3539" i="6"/>
  <c r="F3540" i="6"/>
  <c r="F3541" i="6"/>
  <c r="F3542" i="6"/>
  <c r="F3543" i="6"/>
  <c r="F3544" i="6"/>
  <c r="F3545" i="6"/>
  <c r="F3546" i="6"/>
  <c r="F3547" i="6"/>
  <c r="F3548" i="6"/>
  <c r="F3549" i="6"/>
  <c r="F3550" i="6"/>
  <c r="F3551" i="6"/>
  <c r="F3552" i="6"/>
  <c r="F3553" i="6"/>
  <c r="F3554" i="6"/>
  <c r="F3555" i="6"/>
  <c r="F3556" i="6"/>
  <c r="F3557" i="6"/>
  <c r="F3558" i="6"/>
  <c r="F3559" i="6"/>
  <c r="F3560" i="6"/>
  <c r="F3561" i="6"/>
  <c r="F3562" i="6"/>
  <c r="F3563" i="6"/>
  <c r="F3564" i="6"/>
  <c r="F3565" i="6"/>
  <c r="F3566" i="6"/>
  <c r="F3567" i="6"/>
  <c r="F3568" i="6"/>
  <c r="F3569" i="6"/>
  <c r="F3570" i="6"/>
  <c r="F3571" i="6"/>
  <c r="F3572" i="6"/>
  <c r="F3573" i="6"/>
  <c r="F3574" i="6"/>
  <c r="F3575" i="6"/>
  <c r="F3576" i="6"/>
  <c r="F3577" i="6"/>
  <c r="F3578" i="6"/>
  <c r="F3579" i="6"/>
  <c r="F3580" i="6"/>
  <c r="F3581" i="6"/>
  <c r="F3582" i="6"/>
  <c r="F3583" i="6"/>
  <c r="F3584" i="6"/>
  <c r="F3585" i="6"/>
  <c r="F3586" i="6"/>
  <c r="F3587" i="6"/>
  <c r="F3588" i="6"/>
  <c r="F3589" i="6"/>
  <c r="F3590" i="6"/>
  <c r="F3591" i="6"/>
  <c r="F3592" i="6"/>
  <c r="F3593" i="6"/>
  <c r="F3594" i="6"/>
  <c r="F3595" i="6"/>
  <c r="F3596" i="6"/>
  <c r="F3597" i="6"/>
  <c r="F3598" i="6"/>
  <c r="F3599" i="6"/>
  <c r="F3600" i="6"/>
  <c r="F3601" i="6"/>
  <c r="F3602" i="6"/>
  <c r="F3603" i="6"/>
  <c r="F3604" i="6"/>
  <c r="F3605" i="6"/>
  <c r="F3606" i="6"/>
  <c r="F3607" i="6"/>
  <c r="F3608" i="6"/>
  <c r="F3609" i="6"/>
  <c r="F3610" i="6"/>
  <c r="F3611" i="6"/>
  <c r="F3612" i="6"/>
  <c r="F3613" i="6"/>
  <c r="F3614" i="6"/>
  <c r="F3615" i="6"/>
  <c r="F3616" i="6"/>
  <c r="F3617" i="6"/>
  <c r="F3618" i="6"/>
  <c r="F3619" i="6"/>
  <c r="F3620" i="6"/>
  <c r="F3621" i="6"/>
  <c r="F3622" i="6"/>
  <c r="F3623" i="6"/>
  <c r="F3624" i="6"/>
  <c r="F3625" i="6"/>
  <c r="F3626" i="6"/>
  <c r="F3627" i="6"/>
  <c r="F3628" i="6"/>
  <c r="F3629" i="6"/>
  <c r="F3630" i="6"/>
  <c r="F3631" i="6"/>
  <c r="F3632" i="6"/>
  <c r="F3633" i="6"/>
  <c r="F3634" i="6"/>
  <c r="F3635" i="6"/>
  <c r="F3636" i="6"/>
  <c r="F3637" i="6"/>
  <c r="F3638" i="6"/>
  <c r="F3639" i="6"/>
  <c r="F3640" i="6"/>
  <c r="F3641" i="6"/>
  <c r="F3642" i="6"/>
  <c r="F3643" i="6"/>
  <c r="F3644" i="6"/>
  <c r="F3645" i="6"/>
  <c r="F3646" i="6"/>
  <c r="F3647" i="6"/>
  <c r="F3648" i="6"/>
  <c r="F3649" i="6"/>
  <c r="F3650" i="6"/>
  <c r="F3651" i="6"/>
  <c r="F3652" i="6"/>
  <c r="F3653" i="6"/>
  <c r="F3654" i="6"/>
  <c r="F3655" i="6"/>
  <c r="F3656" i="6"/>
  <c r="F3657" i="6"/>
  <c r="F3658" i="6"/>
  <c r="F3659" i="6"/>
  <c r="F3660" i="6"/>
  <c r="F3661" i="6"/>
  <c r="F3662" i="6"/>
  <c r="F3663" i="6"/>
  <c r="F3664" i="6"/>
  <c r="F3665" i="6"/>
  <c r="F3666" i="6"/>
  <c r="F3667" i="6"/>
  <c r="F3668" i="6"/>
  <c r="F3669" i="6"/>
  <c r="F3670" i="6"/>
  <c r="F3671" i="6"/>
  <c r="F3672" i="6"/>
  <c r="F3673" i="6"/>
  <c r="F3674" i="6"/>
  <c r="F3675" i="6"/>
  <c r="F3676" i="6"/>
  <c r="F3677" i="6"/>
  <c r="F3678" i="6"/>
  <c r="F3679" i="6"/>
  <c r="F3680" i="6"/>
  <c r="F3681" i="6"/>
  <c r="F3682" i="6"/>
  <c r="F3683" i="6"/>
  <c r="F3684" i="6"/>
  <c r="F3685" i="6"/>
  <c r="F3686" i="6"/>
  <c r="F3687" i="6"/>
  <c r="F3688" i="6"/>
  <c r="F3689" i="6"/>
  <c r="F3690" i="6"/>
  <c r="F3691" i="6"/>
  <c r="F3692" i="6"/>
  <c r="F3693" i="6"/>
  <c r="F3694" i="6"/>
  <c r="F3695" i="6"/>
  <c r="F3696" i="6"/>
  <c r="F3697" i="6"/>
  <c r="F3698" i="6"/>
  <c r="F3699" i="6"/>
  <c r="F3700" i="6"/>
  <c r="F3701" i="6"/>
  <c r="F3702" i="6"/>
  <c r="F3703" i="6"/>
  <c r="F3704" i="6"/>
  <c r="F3705" i="6"/>
  <c r="F3706" i="6"/>
  <c r="F3707" i="6"/>
  <c r="F3708" i="6"/>
  <c r="F3709" i="6"/>
  <c r="F3710" i="6"/>
  <c r="F3711" i="6"/>
  <c r="F3712" i="6"/>
  <c r="F3713" i="6"/>
  <c r="F3714" i="6"/>
  <c r="F3715" i="6"/>
  <c r="F3716" i="6"/>
  <c r="F3717" i="6"/>
  <c r="F3718" i="6"/>
  <c r="F3719" i="6"/>
  <c r="F3720" i="6"/>
  <c r="F3721" i="6"/>
  <c r="F3722" i="6"/>
  <c r="F3723" i="6"/>
  <c r="F3724" i="6"/>
  <c r="F3725" i="6"/>
  <c r="F3726" i="6"/>
  <c r="F3727" i="6"/>
  <c r="F3728" i="6"/>
  <c r="F3729" i="6"/>
  <c r="F3730" i="6"/>
  <c r="F3731" i="6"/>
  <c r="F3732" i="6"/>
  <c r="F3733" i="6"/>
  <c r="F3734" i="6"/>
  <c r="F3735" i="6"/>
  <c r="F3736" i="6"/>
  <c r="F3737" i="6"/>
  <c r="F3738" i="6"/>
  <c r="F3739" i="6"/>
  <c r="F3740" i="6"/>
  <c r="F3741" i="6"/>
  <c r="F3742" i="6"/>
  <c r="F3743" i="6"/>
  <c r="F3744" i="6"/>
  <c r="F3745" i="6"/>
  <c r="F3746" i="6"/>
  <c r="F3747" i="6"/>
  <c r="F3748" i="6"/>
  <c r="F3749" i="6"/>
  <c r="F3750" i="6"/>
  <c r="F3751" i="6"/>
  <c r="F3752" i="6"/>
  <c r="F3753" i="6"/>
  <c r="F3754" i="6"/>
  <c r="F3755" i="6"/>
  <c r="F3756" i="6"/>
  <c r="F3757" i="6"/>
  <c r="F3758" i="6"/>
  <c r="F3759" i="6"/>
  <c r="F3760" i="6"/>
  <c r="F3761" i="6"/>
  <c r="F3762" i="6"/>
  <c r="F3763" i="6"/>
  <c r="F3764" i="6"/>
  <c r="F3765" i="6"/>
  <c r="F3766" i="6"/>
  <c r="F3767" i="6"/>
  <c r="F3768" i="6"/>
  <c r="F3769" i="6"/>
  <c r="F3770" i="6"/>
  <c r="F3771" i="6"/>
  <c r="F3772" i="6"/>
  <c r="F3773" i="6"/>
  <c r="F3774" i="6"/>
  <c r="F3775" i="6"/>
  <c r="F3776" i="6"/>
  <c r="F3777" i="6"/>
  <c r="F3778" i="6"/>
  <c r="F3779" i="6"/>
  <c r="F3780" i="6"/>
  <c r="F3781" i="6"/>
  <c r="F3782" i="6"/>
  <c r="F3783" i="6"/>
  <c r="F3784" i="6"/>
  <c r="F3785" i="6"/>
  <c r="F3786" i="6"/>
  <c r="F3787" i="6"/>
  <c r="F3788" i="6"/>
  <c r="F3789" i="6"/>
  <c r="F3790" i="6"/>
  <c r="F3791" i="6"/>
  <c r="F3792" i="6"/>
  <c r="F3793" i="6"/>
  <c r="F3794" i="6"/>
  <c r="F3795" i="6"/>
  <c r="F3796" i="6"/>
  <c r="F3797" i="6"/>
  <c r="F3798" i="6"/>
  <c r="F3799" i="6"/>
  <c r="F3800" i="6"/>
  <c r="F3801" i="6"/>
  <c r="F3802" i="6"/>
  <c r="F3803" i="6"/>
  <c r="F3804" i="6"/>
  <c r="F3805" i="6"/>
  <c r="F3806" i="6"/>
  <c r="F3807" i="6"/>
  <c r="F3808" i="6"/>
  <c r="F3809" i="6"/>
  <c r="F3810" i="6"/>
  <c r="F3811" i="6"/>
  <c r="F3812" i="6"/>
  <c r="F3813" i="6"/>
  <c r="F3814" i="6"/>
  <c r="F3815" i="6"/>
  <c r="F3816" i="6"/>
  <c r="F3817" i="6"/>
  <c r="F3818" i="6"/>
  <c r="F3819" i="6"/>
  <c r="F3820" i="6"/>
  <c r="F3821" i="6"/>
  <c r="F3822" i="6"/>
  <c r="F3823" i="6"/>
  <c r="F3824" i="6"/>
  <c r="F3825" i="6"/>
  <c r="F3826" i="6"/>
  <c r="F3827" i="6"/>
  <c r="F3828" i="6"/>
  <c r="F3829" i="6"/>
  <c r="F3830" i="6"/>
  <c r="F3831" i="6"/>
  <c r="F3832" i="6"/>
  <c r="F3833" i="6"/>
  <c r="F3834" i="6"/>
  <c r="F3835" i="6"/>
  <c r="F3836" i="6"/>
  <c r="F3837" i="6"/>
  <c r="F3838" i="6"/>
  <c r="F3839" i="6"/>
  <c r="F3840" i="6"/>
  <c r="F3841" i="6"/>
  <c r="F3842" i="6"/>
  <c r="F3843" i="6"/>
  <c r="F3844" i="6"/>
  <c r="F3845" i="6"/>
  <c r="F3846" i="6"/>
  <c r="F3847" i="6"/>
  <c r="F3848" i="6"/>
  <c r="F3849" i="6"/>
  <c r="F3850" i="6"/>
  <c r="F3851" i="6"/>
  <c r="F3852" i="6"/>
  <c r="F3853" i="6"/>
  <c r="F3854" i="6"/>
  <c r="F3855" i="6"/>
  <c r="F3856" i="6"/>
  <c r="F3857" i="6"/>
  <c r="F3858" i="6"/>
  <c r="F3859" i="6"/>
  <c r="F3860" i="6"/>
  <c r="F3861" i="6"/>
  <c r="F3862" i="6"/>
  <c r="F3863" i="6"/>
  <c r="F3864" i="6"/>
  <c r="F3865" i="6"/>
  <c r="F3866" i="6"/>
  <c r="F3867" i="6"/>
  <c r="F3868" i="6"/>
  <c r="F3869" i="6"/>
  <c r="F3870" i="6"/>
  <c r="F3871" i="6"/>
  <c r="F3872" i="6"/>
  <c r="F3873" i="6"/>
  <c r="F3874" i="6"/>
  <c r="F3875" i="6"/>
  <c r="F3876" i="6"/>
  <c r="F3877" i="6"/>
  <c r="F3878" i="6"/>
  <c r="F3879" i="6"/>
  <c r="F3880" i="6"/>
  <c r="F3881" i="6"/>
  <c r="F3882" i="6"/>
  <c r="F3883" i="6"/>
  <c r="F3884" i="6"/>
  <c r="F3885" i="6"/>
  <c r="F3886" i="6"/>
  <c r="F3887" i="6"/>
  <c r="F3888" i="6"/>
  <c r="F3889" i="6"/>
  <c r="F3890" i="6"/>
  <c r="F3891" i="6"/>
  <c r="F3892" i="6"/>
  <c r="F3893" i="6"/>
  <c r="F3894" i="6"/>
  <c r="F3895" i="6"/>
  <c r="F3896" i="6"/>
  <c r="F3897" i="6"/>
  <c r="F3898" i="6"/>
  <c r="F3899" i="6"/>
  <c r="F3900" i="6"/>
  <c r="F3901" i="6"/>
  <c r="F3902" i="6"/>
  <c r="F3903" i="6"/>
  <c r="F3904" i="6"/>
  <c r="F3905" i="6"/>
  <c r="F3906" i="6"/>
  <c r="F3907" i="6"/>
  <c r="F3908" i="6"/>
  <c r="F3909" i="6"/>
  <c r="F3910" i="6"/>
  <c r="F3911" i="6"/>
  <c r="F3912" i="6"/>
  <c r="F3913" i="6"/>
  <c r="F3914" i="6"/>
  <c r="F3915" i="6"/>
  <c r="F3916" i="6"/>
  <c r="F3917" i="6"/>
  <c r="F3918" i="6"/>
  <c r="F3919" i="6"/>
  <c r="F3920" i="6"/>
  <c r="F3921" i="6"/>
  <c r="F3922" i="6"/>
  <c r="F3923" i="6"/>
  <c r="F3924" i="6"/>
  <c r="F3925" i="6"/>
  <c r="F3926" i="6"/>
  <c r="F3927" i="6"/>
  <c r="F3928" i="6"/>
  <c r="F3929" i="6"/>
  <c r="F3930" i="6"/>
  <c r="F3931" i="6"/>
  <c r="F3932" i="6"/>
  <c r="F3933" i="6"/>
  <c r="F3934" i="6"/>
  <c r="F3935" i="6"/>
  <c r="F3936" i="6"/>
  <c r="F3937" i="6"/>
  <c r="F3938" i="6"/>
  <c r="F3939" i="6"/>
  <c r="F3940" i="6"/>
  <c r="F3941" i="6"/>
  <c r="F3942" i="6"/>
  <c r="F3943" i="6"/>
  <c r="F3944" i="6"/>
  <c r="F3945" i="6"/>
  <c r="F3946" i="6"/>
  <c r="F3947" i="6"/>
  <c r="F3948" i="6"/>
  <c r="F3949" i="6"/>
  <c r="F3950" i="6"/>
  <c r="F3951" i="6"/>
  <c r="F3952" i="6"/>
  <c r="F3953" i="6"/>
  <c r="F3954" i="6"/>
  <c r="F3955" i="6"/>
  <c r="F3956" i="6"/>
  <c r="F3957" i="6"/>
  <c r="F3958" i="6"/>
  <c r="F3959" i="6"/>
  <c r="F3960" i="6"/>
  <c r="F3961" i="6"/>
  <c r="F3962" i="6"/>
  <c r="F3963" i="6"/>
  <c r="F3964" i="6"/>
  <c r="F3965" i="6"/>
  <c r="F3966" i="6"/>
  <c r="F3967" i="6"/>
  <c r="F3968" i="6"/>
  <c r="F3969" i="6"/>
  <c r="F3970" i="6"/>
  <c r="F3971" i="6"/>
  <c r="F3972" i="6"/>
  <c r="F3973" i="6"/>
  <c r="F3974" i="6"/>
  <c r="F3975" i="6"/>
  <c r="F3976" i="6"/>
  <c r="F3977" i="6"/>
  <c r="F3978" i="6"/>
  <c r="F3979" i="6"/>
  <c r="F3980" i="6"/>
  <c r="F3981" i="6"/>
  <c r="F3982" i="6"/>
  <c r="F3983" i="6"/>
  <c r="F3984" i="6"/>
  <c r="F3985" i="6"/>
  <c r="F3986" i="6"/>
  <c r="F3987" i="6"/>
  <c r="F3988" i="6"/>
  <c r="F3989" i="6"/>
  <c r="F3990" i="6"/>
  <c r="F3991" i="6"/>
  <c r="F3992" i="6"/>
  <c r="F3993" i="6"/>
  <c r="F3994" i="6"/>
  <c r="F3995" i="6"/>
  <c r="F3996" i="6"/>
  <c r="F3997" i="6"/>
  <c r="F3998" i="6"/>
  <c r="F3999" i="6"/>
  <c r="F4000" i="6"/>
  <c r="F4001" i="6"/>
  <c r="F4002" i="6"/>
  <c r="F4003" i="6"/>
  <c r="F4004" i="6"/>
  <c r="F4005" i="6"/>
  <c r="F4006" i="6"/>
  <c r="F4007" i="6"/>
  <c r="F4008" i="6"/>
  <c r="F4009" i="6"/>
  <c r="F4010" i="6"/>
  <c r="F4011" i="6"/>
  <c r="F4012" i="6"/>
  <c r="F4013" i="6"/>
  <c r="F4014" i="6"/>
  <c r="F4015" i="6"/>
  <c r="F4016" i="6"/>
  <c r="F4017" i="6"/>
  <c r="F4018" i="6"/>
  <c r="F4019" i="6"/>
  <c r="F4020" i="6"/>
  <c r="F4021" i="6"/>
  <c r="F4022" i="6"/>
  <c r="F4023" i="6"/>
  <c r="F4024" i="6"/>
  <c r="F4025" i="6"/>
  <c r="F4026" i="6"/>
  <c r="F4027" i="6"/>
  <c r="F4028" i="6"/>
  <c r="F4029" i="6"/>
  <c r="F4030" i="6"/>
  <c r="F4031" i="6"/>
  <c r="F4032" i="6"/>
  <c r="F4033" i="6"/>
  <c r="F4034" i="6"/>
  <c r="F4035" i="6"/>
  <c r="F4036" i="6"/>
  <c r="F4037" i="6"/>
  <c r="F4038" i="6"/>
  <c r="F4039" i="6"/>
  <c r="F4040" i="6"/>
  <c r="F4041" i="6"/>
  <c r="F4042" i="6"/>
  <c r="F4043" i="6"/>
  <c r="F4044" i="6"/>
  <c r="F4045" i="6"/>
  <c r="F4046" i="6"/>
  <c r="F4047" i="6"/>
  <c r="F4048" i="6"/>
  <c r="F4049" i="6"/>
  <c r="F4050" i="6"/>
  <c r="F4051" i="6"/>
  <c r="F4052" i="6"/>
  <c r="F4053" i="6"/>
  <c r="F4054" i="6"/>
  <c r="F4055" i="6"/>
  <c r="F4056" i="6"/>
  <c r="F4057" i="6"/>
  <c r="F4058" i="6"/>
  <c r="F4059" i="6"/>
  <c r="F4060" i="6"/>
  <c r="F4061" i="6"/>
  <c r="F4062" i="6"/>
  <c r="F4063" i="6"/>
  <c r="F4064" i="6"/>
  <c r="F4065" i="6"/>
  <c r="F4066" i="6"/>
  <c r="F4067" i="6"/>
  <c r="F4068" i="6"/>
  <c r="F4069" i="6"/>
  <c r="F4070" i="6"/>
  <c r="F4071" i="6"/>
  <c r="F4072" i="6"/>
  <c r="F4073" i="6"/>
  <c r="F4074" i="6"/>
  <c r="F4075" i="6"/>
  <c r="F4076" i="6"/>
  <c r="F4077" i="6"/>
  <c r="F4078" i="6"/>
  <c r="F4079" i="6"/>
  <c r="F4080" i="6"/>
  <c r="F4081" i="6"/>
  <c r="F4082" i="6"/>
  <c r="F4083" i="6"/>
  <c r="F4084" i="6"/>
  <c r="F4085" i="6"/>
  <c r="F4086" i="6"/>
  <c r="F4087" i="6"/>
  <c r="F4088" i="6"/>
  <c r="F4089" i="6"/>
  <c r="F4090" i="6"/>
  <c r="F4091" i="6"/>
  <c r="F4092" i="6"/>
  <c r="F4093" i="6"/>
  <c r="F4094" i="6"/>
  <c r="F4095" i="6"/>
  <c r="F4096" i="6"/>
  <c r="F4097" i="6"/>
  <c r="F4098" i="6"/>
  <c r="F4099" i="6"/>
  <c r="F4100" i="6"/>
  <c r="F4101" i="6"/>
  <c r="F4102" i="6"/>
  <c r="F4103" i="6"/>
  <c r="F4104" i="6"/>
  <c r="F4105" i="6"/>
  <c r="F4106" i="6"/>
  <c r="F4107" i="6"/>
  <c r="F4108" i="6"/>
  <c r="F4109" i="6"/>
  <c r="F4110" i="6"/>
  <c r="F4111" i="6"/>
  <c r="F4112" i="6"/>
  <c r="F4113" i="6"/>
  <c r="F4114" i="6"/>
  <c r="F4115" i="6"/>
  <c r="F4116" i="6"/>
  <c r="F4117" i="6"/>
  <c r="F4118" i="6"/>
  <c r="F4119" i="6"/>
  <c r="F4120" i="6"/>
  <c r="F4121" i="6"/>
  <c r="F4122" i="6"/>
  <c r="F4123" i="6"/>
  <c r="F4124" i="6"/>
  <c r="F4125" i="6"/>
  <c r="F4126" i="6"/>
  <c r="F4127" i="6"/>
  <c r="F4128" i="6"/>
  <c r="F4129" i="6"/>
  <c r="F4130" i="6"/>
  <c r="F4131" i="6"/>
  <c r="F4132" i="6"/>
  <c r="F4133" i="6"/>
  <c r="F4134" i="6"/>
  <c r="F4135" i="6"/>
  <c r="F4136" i="6"/>
  <c r="F4137" i="6"/>
  <c r="F4138" i="6"/>
  <c r="F4139" i="6"/>
  <c r="F4140" i="6"/>
  <c r="F4141" i="6"/>
  <c r="F4142" i="6"/>
  <c r="F4143" i="6"/>
  <c r="F4144" i="6"/>
  <c r="F4145" i="6"/>
  <c r="F4146" i="6"/>
  <c r="F4147" i="6"/>
  <c r="F4148" i="6"/>
  <c r="F4149" i="6"/>
  <c r="F4150" i="6"/>
  <c r="F4151" i="6"/>
  <c r="F4152" i="6"/>
  <c r="F4153" i="6"/>
  <c r="F4154" i="6"/>
  <c r="F4155" i="6"/>
  <c r="F4156" i="6"/>
  <c r="F4157" i="6"/>
  <c r="F4158" i="6"/>
  <c r="F4159" i="6"/>
  <c r="F4160" i="6"/>
  <c r="F4161" i="6"/>
  <c r="F4162" i="6"/>
  <c r="F4163" i="6"/>
  <c r="F4164" i="6"/>
  <c r="F4165" i="6"/>
  <c r="F4166" i="6"/>
  <c r="F4167" i="6"/>
  <c r="F4168" i="6"/>
  <c r="F4169" i="6"/>
  <c r="F4170" i="6"/>
  <c r="F4171" i="6"/>
  <c r="F4172" i="6"/>
  <c r="F4173" i="6"/>
  <c r="F4174" i="6"/>
  <c r="F4175" i="6"/>
  <c r="F4176" i="6"/>
  <c r="F4177" i="6"/>
  <c r="F4178" i="6"/>
  <c r="F4179" i="6"/>
  <c r="F4180" i="6"/>
  <c r="F4181" i="6"/>
  <c r="F4182" i="6"/>
  <c r="F4183" i="6"/>
  <c r="F4184" i="6"/>
  <c r="F4185" i="6"/>
  <c r="F4186" i="6"/>
  <c r="F4187" i="6"/>
  <c r="F4188" i="6"/>
  <c r="F4189" i="6"/>
  <c r="F4190" i="6"/>
  <c r="F4191" i="6"/>
  <c r="F4192" i="6"/>
  <c r="F4193" i="6"/>
  <c r="F4194" i="6"/>
  <c r="F4195" i="6"/>
  <c r="F4196" i="6"/>
  <c r="F4197" i="6"/>
  <c r="F4198" i="6"/>
  <c r="F4199" i="6"/>
  <c r="F4200" i="6"/>
  <c r="F4201" i="6"/>
  <c r="F4202" i="6"/>
  <c r="F4203" i="6"/>
  <c r="F4204" i="6"/>
  <c r="F4205" i="6"/>
  <c r="F4206" i="6"/>
  <c r="F4207" i="6"/>
  <c r="F4208" i="6"/>
  <c r="F4209" i="6"/>
  <c r="F4210" i="6"/>
  <c r="F4211" i="6"/>
  <c r="F4212" i="6"/>
  <c r="F4213" i="6"/>
  <c r="F4214" i="6"/>
  <c r="F4215" i="6"/>
  <c r="F4216" i="6"/>
  <c r="F4217" i="6"/>
  <c r="F4218" i="6"/>
  <c r="F4219" i="6"/>
  <c r="F4220" i="6"/>
  <c r="F4221" i="6"/>
  <c r="F4222" i="6"/>
  <c r="F4223" i="6"/>
  <c r="F4224" i="6"/>
  <c r="F4225" i="6"/>
  <c r="F4226" i="6"/>
  <c r="F4227" i="6"/>
  <c r="F4228" i="6"/>
  <c r="F4229" i="6"/>
  <c r="F4230" i="6"/>
  <c r="F4231" i="6"/>
  <c r="F4232" i="6"/>
  <c r="F4233" i="6"/>
  <c r="F4234" i="6"/>
  <c r="F4235" i="6"/>
  <c r="F4236" i="6"/>
  <c r="F4237" i="6"/>
  <c r="F4238" i="6"/>
  <c r="F4239" i="6"/>
  <c r="F4240" i="6"/>
  <c r="F4241" i="6"/>
  <c r="F4242" i="6"/>
  <c r="F4243" i="6"/>
  <c r="F4244" i="6"/>
  <c r="F4245" i="6"/>
  <c r="F4246" i="6"/>
  <c r="F4247" i="6"/>
  <c r="F4248" i="6"/>
  <c r="F4249" i="6"/>
  <c r="F4250" i="6"/>
  <c r="F4251" i="6"/>
  <c r="F4252" i="6"/>
  <c r="F4253" i="6"/>
  <c r="F4254" i="6"/>
  <c r="F4255" i="6"/>
  <c r="F4256" i="6"/>
  <c r="F4257" i="6"/>
  <c r="F4258" i="6"/>
  <c r="F4259" i="6"/>
  <c r="F4260" i="6"/>
  <c r="F4261" i="6"/>
  <c r="F4262" i="6"/>
  <c r="F4263" i="6"/>
  <c r="F4264" i="6"/>
  <c r="F4265" i="6"/>
  <c r="F4266" i="6"/>
  <c r="F4267" i="6"/>
  <c r="F4268" i="6"/>
  <c r="F4269" i="6"/>
  <c r="F4270" i="6"/>
  <c r="F4271" i="6"/>
  <c r="F4272" i="6"/>
  <c r="F4273" i="6"/>
  <c r="F4274" i="6"/>
  <c r="F4275" i="6"/>
  <c r="F4276" i="6"/>
  <c r="F4277" i="6"/>
  <c r="F4278" i="6"/>
  <c r="F4279" i="6"/>
  <c r="F4280" i="6"/>
  <c r="F4281" i="6"/>
  <c r="F4282" i="6"/>
  <c r="F4283" i="6"/>
  <c r="F4284" i="6"/>
  <c r="F4285" i="6"/>
  <c r="F4286" i="6"/>
  <c r="F4287" i="6"/>
  <c r="F4288" i="6"/>
  <c r="F4289" i="6"/>
  <c r="F4290" i="6"/>
  <c r="F4291" i="6"/>
  <c r="F4292" i="6"/>
  <c r="F4293" i="6"/>
  <c r="F4294" i="6"/>
  <c r="F4295" i="6"/>
  <c r="F4296" i="6"/>
  <c r="F4297" i="6"/>
  <c r="F4298" i="6"/>
  <c r="F4299" i="6"/>
  <c r="F4300" i="6"/>
  <c r="F4301" i="6"/>
  <c r="F4302" i="6"/>
  <c r="F4303" i="6"/>
  <c r="F4304" i="6"/>
  <c r="F4305" i="6"/>
  <c r="F4306" i="6"/>
  <c r="F4307" i="6"/>
  <c r="F4308" i="6"/>
  <c r="F4309" i="6"/>
  <c r="F4310" i="6"/>
  <c r="F4311" i="6"/>
  <c r="F4312" i="6"/>
  <c r="F4313" i="6"/>
  <c r="F4314" i="6"/>
  <c r="F4315" i="6"/>
  <c r="F4316" i="6"/>
  <c r="F4317" i="6"/>
  <c r="F4318" i="6"/>
  <c r="F4319" i="6"/>
  <c r="F4320" i="6"/>
  <c r="F4321" i="6"/>
  <c r="F4322" i="6"/>
  <c r="F4323" i="6"/>
  <c r="F4324" i="6"/>
  <c r="F4325" i="6"/>
  <c r="F4326" i="6"/>
  <c r="F4327" i="6"/>
  <c r="F4328" i="6"/>
  <c r="F4329" i="6"/>
  <c r="F4330" i="6"/>
  <c r="F4331" i="6"/>
  <c r="F4332" i="6"/>
  <c r="F4333" i="6"/>
  <c r="F4334" i="6"/>
  <c r="F4335" i="6"/>
  <c r="F4336" i="6"/>
  <c r="F4337" i="6"/>
  <c r="F4338" i="6"/>
  <c r="F4339" i="6"/>
  <c r="F4340" i="6"/>
  <c r="F4341" i="6"/>
  <c r="F4342" i="6"/>
  <c r="F4343" i="6"/>
  <c r="F4344" i="6"/>
  <c r="F4345" i="6"/>
  <c r="F4346" i="6"/>
  <c r="F4347" i="6"/>
  <c r="F4348" i="6"/>
  <c r="F4349" i="6"/>
  <c r="F4350" i="6"/>
  <c r="F4351" i="6"/>
  <c r="F4352" i="6"/>
  <c r="F4353" i="6"/>
  <c r="F4354" i="6"/>
  <c r="F4355" i="6"/>
  <c r="F4356" i="6"/>
  <c r="F4357" i="6"/>
  <c r="F4358" i="6"/>
  <c r="F4359" i="6"/>
  <c r="F4360" i="6"/>
  <c r="F4361" i="6"/>
  <c r="F4362" i="6"/>
  <c r="F4363" i="6"/>
  <c r="F4364" i="6"/>
  <c r="F4365" i="6"/>
  <c r="F4366" i="6"/>
  <c r="F4367" i="6"/>
  <c r="F4368" i="6"/>
  <c r="F4369" i="6"/>
  <c r="F4370" i="6"/>
  <c r="F4371" i="6"/>
  <c r="F4372" i="6"/>
  <c r="F4373" i="6"/>
  <c r="F4374" i="6"/>
  <c r="F4375" i="6"/>
  <c r="F4376" i="6"/>
  <c r="F4377" i="6"/>
  <c r="F4378" i="6"/>
  <c r="F4379" i="6"/>
  <c r="F4380" i="6"/>
  <c r="F4381" i="6"/>
  <c r="F4382" i="6"/>
  <c r="F4383" i="6"/>
  <c r="F4384" i="6"/>
  <c r="F4385" i="6"/>
  <c r="F4386" i="6"/>
  <c r="F4387" i="6"/>
  <c r="F4388" i="6"/>
  <c r="F4389" i="6"/>
  <c r="F4390" i="6"/>
  <c r="F4391" i="6"/>
  <c r="F4392" i="6"/>
  <c r="F4393" i="6"/>
  <c r="F4394" i="6"/>
  <c r="F4395" i="6"/>
  <c r="F4396" i="6"/>
  <c r="F4397" i="6"/>
  <c r="F4398" i="6"/>
  <c r="F4399" i="6"/>
  <c r="F4400" i="6"/>
  <c r="F4401" i="6"/>
  <c r="F4402" i="6"/>
  <c r="F4403" i="6"/>
  <c r="F4404" i="6"/>
  <c r="F4405" i="6"/>
  <c r="F4406" i="6"/>
  <c r="F4407" i="6"/>
  <c r="F4408" i="6"/>
  <c r="F4409" i="6"/>
  <c r="F4410" i="6"/>
  <c r="F4411" i="6"/>
  <c r="F4412" i="6"/>
  <c r="F4413" i="6"/>
  <c r="F4414" i="6"/>
  <c r="F4415" i="6"/>
  <c r="F4416" i="6"/>
  <c r="F4417" i="6"/>
  <c r="F4418" i="6"/>
  <c r="F4419" i="6"/>
  <c r="F4420" i="6"/>
  <c r="F4421" i="6"/>
  <c r="F4422" i="6"/>
  <c r="F4423" i="6"/>
  <c r="F4424" i="6"/>
  <c r="F4425" i="6"/>
  <c r="F4426" i="6"/>
  <c r="F4427" i="6"/>
  <c r="F4428" i="6"/>
  <c r="F4429" i="6"/>
  <c r="F4430" i="6"/>
  <c r="F4431" i="6"/>
  <c r="F4432" i="6"/>
  <c r="F4433" i="6"/>
  <c r="F4434" i="6"/>
  <c r="F4435" i="6"/>
  <c r="F4436" i="6"/>
  <c r="F4437" i="6"/>
  <c r="F4438" i="6"/>
  <c r="F4439" i="6"/>
  <c r="F4440" i="6"/>
  <c r="F4441" i="6"/>
  <c r="F4442" i="6"/>
  <c r="F4443" i="6"/>
  <c r="F4444" i="6"/>
  <c r="F4445" i="6"/>
  <c r="F4446" i="6"/>
  <c r="F4447" i="6"/>
  <c r="F4448" i="6"/>
  <c r="F4449" i="6"/>
  <c r="F4450" i="6"/>
  <c r="F4451" i="6"/>
  <c r="F4452" i="6"/>
  <c r="F4453" i="6"/>
  <c r="F4454" i="6"/>
  <c r="F4455" i="6"/>
  <c r="F4456" i="6"/>
  <c r="F4457" i="6"/>
  <c r="F4458" i="6"/>
  <c r="F4459" i="6"/>
  <c r="F4460" i="6"/>
  <c r="F4461" i="6"/>
  <c r="F4462" i="6"/>
  <c r="F4463" i="6"/>
  <c r="F4464" i="6"/>
  <c r="F4465" i="6"/>
  <c r="F4466" i="6"/>
  <c r="F4467" i="6"/>
  <c r="F4468" i="6"/>
  <c r="F4469" i="6"/>
  <c r="F4470" i="6"/>
  <c r="F4471" i="6"/>
  <c r="F4472" i="6"/>
  <c r="F4473" i="6"/>
  <c r="F4474" i="6"/>
  <c r="F4475" i="6"/>
  <c r="F4476" i="6"/>
  <c r="F4477" i="6"/>
  <c r="F4478" i="6"/>
  <c r="F4479" i="6"/>
  <c r="F4480" i="6"/>
  <c r="F4481" i="6"/>
  <c r="F4482" i="6"/>
  <c r="F4483" i="6"/>
  <c r="F4484" i="6"/>
  <c r="F4485" i="6"/>
  <c r="F4486" i="6"/>
  <c r="F4487" i="6"/>
  <c r="F4488" i="6"/>
  <c r="F4489" i="6"/>
  <c r="F4490" i="6"/>
  <c r="F4491" i="6"/>
  <c r="F4492" i="6"/>
  <c r="F4493" i="6"/>
  <c r="F4494" i="6"/>
  <c r="F4495" i="6"/>
  <c r="F4496" i="6"/>
  <c r="F4497" i="6"/>
  <c r="F4498" i="6"/>
  <c r="F4499" i="6"/>
  <c r="F4500" i="6"/>
  <c r="F4501" i="6"/>
  <c r="F4502" i="6"/>
  <c r="F4503" i="6"/>
  <c r="F4504" i="6"/>
  <c r="F4505" i="6"/>
  <c r="F4506" i="6"/>
  <c r="F4507" i="6"/>
  <c r="F4508" i="6"/>
  <c r="F4509" i="6"/>
  <c r="F4510" i="6"/>
  <c r="F4511" i="6"/>
  <c r="F4512" i="6"/>
  <c r="F4513" i="6"/>
  <c r="F4514" i="6"/>
  <c r="F4515" i="6"/>
  <c r="F4516" i="6"/>
  <c r="F4517" i="6"/>
  <c r="F4518" i="6"/>
  <c r="F4519" i="6"/>
  <c r="F4520" i="6"/>
  <c r="F4521" i="6"/>
  <c r="F4522" i="6"/>
  <c r="F4523" i="6"/>
  <c r="F4524" i="6"/>
  <c r="F4525" i="6"/>
  <c r="F4526" i="6"/>
  <c r="F4527" i="6"/>
  <c r="F4528" i="6"/>
  <c r="F4529" i="6"/>
  <c r="F4530" i="6"/>
  <c r="F4531" i="6"/>
  <c r="F4532" i="6"/>
  <c r="F4533" i="6"/>
  <c r="F4534" i="6"/>
  <c r="F4535" i="6"/>
  <c r="F4536" i="6"/>
  <c r="F4537" i="6"/>
  <c r="F4538" i="6"/>
  <c r="F4539" i="6"/>
  <c r="F4540" i="6"/>
  <c r="F4541" i="6"/>
  <c r="F4542" i="6"/>
  <c r="F4543" i="6"/>
  <c r="F4544" i="6"/>
  <c r="F4545" i="6"/>
  <c r="F4546" i="6"/>
  <c r="F4547" i="6"/>
  <c r="F4548" i="6"/>
  <c r="F4549" i="6"/>
  <c r="F4550" i="6"/>
  <c r="F4551" i="6"/>
  <c r="F4552" i="6"/>
  <c r="F4553" i="6"/>
  <c r="F4554" i="6"/>
  <c r="F4555" i="6"/>
  <c r="F4556" i="6"/>
  <c r="F4557" i="6"/>
  <c r="F4558" i="6"/>
  <c r="F4559" i="6"/>
  <c r="F4560" i="6"/>
  <c r="F4561" i="6"/>
  <c r="F4562" i="6"/>
  <c r="F4563" i="6"/>
  <c r="F4564" i="6"/>
  <c r="F4565" i="6"/>
  <c r="F4566" i="6"/>
  <c r="F4567" i="6"/>
  <c r="F4568" i="6"/>
  <c r="F4569" i="6"/>
  <c r="F4570" i="6"/>
  <c r="F4571" i="6"/>
  <c r="F4572" i="6"/>
  <c r="F4573" i="6"/>
  <c r="F4574" i="6"/>
  <c r="F4575" i="6"/>
  <c r="F4576" i="6"/>
  <c r="F4577" i="6"/>
  <c r="F4578" i="6"/>
  <c r="F4579" i="6"/>
  <c r="F4580" i="6"/>
  <c r="F4581" i="6"/>
  <c r="F4582" i="6"/>
  <c r="F4583" i="6"/>
  <c r="F4584" i="6"/>
  <c r="F4585" i="6"/>
  <c r="F4586" i="6"/>
  <c r="F4587" i="6"/>
  <c r="F4588" i="6"/>
  <c r="F4589" i="6"/>
  <c r="F4590" i="6"/>
  <c r="F4591" i="6"/>
  <c r="F4592" i="6"/>
  <c r="F4593" i="6"/>
  <c r="F4594" i="6"/>
  <c r="F4595" i="6"/>
  <c r="F4596" i="6"/>
  <c r="F4597" i="6"/>
  <c r="F4598" i="6"/>
  <c r="F4599" i="6"/>
  <c r="F4600" i="6"/>
  <c r="F4601" i="6"/>
  <c r="F4602" i="6"/>
  <c r="F4603" i="6"/>
  <c r="F4604" i="6"/>
  <c r="F4605" i="6"/>
  <c r="F4606" i="6"/>
  <c r="F4607" i="6"/>
  <c r="F4608" i="6"/>
  <c r="F4609" i="6"/>
  <c r="F4610" i="6"/>
  <c r="F4611" i="6"/>
  <c r="F4612" i="6"/>
  <c r="F4613" i="6"/>
  <c r="F4614" i="6"/>
  <c r="F4615" i="6"/>
  <c r="F4616" i="6"/>
  <c r="F4617" i="6"/>
  <c r="F4618" i="6"/>
  <c r="F4619" i="6"/>
  <c r="F4620" i="6"/>
  <c r="F4621" i="6"/>
  <c r="F4622" i="6"/>
  <c r="F4623" i="6"/>
  <c r="F4624" i="6"/>
  <c r="F4625" i="6"/>
  <c r="F4626" i="6"/>
  <c r="F4627" i="6"/>
  <c r="F4628" i="6"/>
  <c r="F4629" i="6"/>
  <c r="F4630" i="6"/>
  <c r="F4631" i="6"/>
  <c r="F4632" i="6"/>
  <c r="F4633" i="6"/>
  <c r="F4634" i="6"/>
  <c r="F4635" i="6"/>
  <c r="F4636" i="6"/>
  <c r="F4637" i="6"/>
  <c r="F4638" i="6"/>
  <c r="F4639" i="6"/>
  <c r="F4640" i="6"/>
  <c r="F4641" i="6"/>
  <c r="F4642" i="6"/>
  <c r="F4643" i="6"/>
  <c r="F4644" i="6"/>
  <c r="F4645" i="6"/>
  <c r="F4646" i="6"/>
  <c r="F4647" i="6"/>
  <c r="F4648" i="6"/>
  <c r="F4649" i="6"/>
  <c r="F4650" i="6"/>
  <c r="F4651" i="6"/>
  <c r="F4652" i="6"/>
  <c r="F4653" i="6"/>
  <c r="F4654" i="6"/>
  <c r="F4655" i="6"/>
  <c r="F4656" i="6"/>
  <c r="F4657" i="6"/>
  <c r="F4658" i="6"/>
  <c r="F4659" i="6"/>
  <c r="F4660" i="6"/>
  <c r="F4661" i="6"/>
  <c r="F4662" i="6"/>
  <c r="F4663" i="6"/>
  <c r="F4664" i="6"/>
  <c r="F4665" i="6"/>
  <c r="F4666" i="6"/>
  <c r="F4667" i="6"/>
  <c r="F4668" i="6"/>
  <c r="F4669" i="6"/>
  <c r="F4670" i="6"/>
  <c r="F4671" i="6"/>
  <c r="F4672" i="6"/>
  <c r="F4673" i="6"/>
  <c r="F4674" i="6"/>
  <c r="F4675" i="6"/>
  <c r="F4676" i="6"/>
  <c r="F4677" i="6"/>
  <c r="F4678" i="6"/>
  <c r="F4679" i="6"/>
  <c r="F4680" i="6"/>
  <c r="F4681" i="6"/>
  <c r="F4682" i="6"/>
  <c r="F4683" i="6"/>
  <c r="F4684" i="6"/>
  <c r="F4685" i="6"/>
  <c r="F4686" i="6"/>
  <c r="F4687" i="6"/>
  <c r="F4688" i="6"/>
  <c r="F4689" i="6"/>
  <c r="F4690" i="6"/>
  <c r="F4691" i="6"/>
  <c r="F4692" i="6"/>
  <c r="F4693" i="6"/>
  <c r="F4694" i="6"/>
  <c r="F4695" i="6"/>
  <c r="F4696" i="6"/>
  <c r="F4697" i="6"/>
  <c r="F4698" i="6"/>
  <c r="F4699" i="6"/>
  <c r="F4700" i="6"/>
  <c r="F4701" i="6"/>
  <c r="F4702" i="6"/>
  <c r="F4703" i="6"/>
  <c r="F4704" i="6"/>
  <c r="F4705" i="6"/>
  <c r="F4706" i="6"/>
  <c r="F4707" i="6"/>
  <c r="F4708" i="6"/>
  <c r="F4709" i="6"/>
  <c r="F4710" i="6"/>
  <c r="F4711" i="6"/>
  <c r="F4712" i="6"/>
  <c r="F4713" i="6"/>
  <c r="F4714" i="6"/>
  <c r="F4715" i="6"/>
  <c r="F4716" i="6"/>
  <c r="F4717" i="6"/>
  <c r="F4718" i="6"/>
  <c r="F4719" i="6"/>
  <c r="F4720" i="6"/>
  <c r="F4721" i="6"/>
  <c r="F4722" i="6"/>
  <c r="F4723" i="6"/>
  <c r="F4724" i="6"/>
  <c r="F4725" i="6"/>
  <c r="F4726" i="6"/>
  <c r="F4727" i="6"/>
  <c r="F4728" i="6"/>
  <c r="F4729" i="6"/>
  <c r="F4730" i="6"/>
  <c r="F4731" i="6"/>
  <c r="F4732" i="6"/>
  <c r="F4733" i="6"/>
  <c r="F4734" i="6"/>
  <c r="F4735" i="6"/>
  <c r="F4736" i="6"/>
  <c r="F4737" i="6"/>
  <c r="F4738" i="6"/>
  <c r="F4739" i="6"/>
  <c r="F4740" i="6"/>
  <c r="F4741" i="6"/>
  <c r="F4742" i="6"/>
  <c r="F4743" i="6"/>
  <c r="F4744" i="6"/>
  <c r="F4745" i="6"/>
  <c r="F4746" i="6"/>
  <c r="F4747" i="6"/>
  <c r="F4748" i="6"/>
  <c r="F4749" i="6"/>
  <c r="F4750" i="6"/>
  <c r="F4751" i="6"/>
  <c r="F4752" i="6"/>
  <c r="F4753" i="6"/>
  <c r="F4754" i="6"/>
  <c r="F4755" i="6"/>
  <c r="F4756" i="6"/>
  <c r="F4757" i="6"/>
  <c r="F4758" i="6"/>
  <c r="F4759" i="6"/>
  <c r="F4760" i="6"/>
  <c r="F4761" i="6"/>
  <c r="F4762" i="6"/>
  <c r="F4763" i="6"/>
  <c r="F4764" i="6"/>
  <c r="F4765" i="6"/>
  <c r="F4766" i="6"/>
  <c r="F4767" i="6"/>
  <c r="F4768" i="6"/>
  <c r="F4769" i="6"/>
  <c r="F4770" i="6"/>
  <c r="F4771" i="6"/>
  <c r="F4772" i="6"/>
  <c r="F4773" i="6"/>
  <c r="F4774" i="6"/>
  <c r="F4775" i="6"/>
  <c r="F4776" i="6"/>
  <c r="F4777" i="6"/>
  <c r="F4778" i="6"/>
  <c r="F4779" i="6"/>
  <c r="F4780" i="6"/>
  <c r="F4781" i="6"/>
  <c r="F4782" i="6"/>
  <c r="F4783" i="6"/>
  <c r="F4784" i="6"/>
  <c r="F4785" i="6"/>
  <c r="F4786" i="6"/>
  <c r="F4787" i="6"/>
  <c r="F4788" i="6"/>
  <c r="F4789" i="6"/>
  <c r="F4790" i="6"/>
  <c r="F4791" i="6"/>
  <c r="F4792" i="6"/>
  <c r="F4793" i="6"/>
  <c r="F4794" i="6"/>
  <c r="F4795" i="6"/>
  <c r="F4796" i="6"/>
  <c r="F4797" i="6"/>
  <c r="F4798" i="6"/>
  <c r="F4799" i="6"/>
  <c r="F4800" i="6"/>
  <c r="F4801" i="6"/>
  <c r="F4802" i="6"/>
  <c r="F4803" i="6"/>
  <c r="F4804" i="6"/>
  <c r="F4805" i="6"/>
  <c r="F4806" i="6"/>
  <c r="F4807" i="6"/>
  <c r="F4808" i="6"/>
  <c r="F4809" i="6"/>
  <c r="F4810" i="6"/>
  <c r="F4811" i="6"/>
  <c r="F4812" i="6"/>
  <c r="F4813" i="6"/>
  <c r="F4814" i="6"/>
  <c r="F4815" i="6"/>
  <c r="F4816" i="6"/>
  <c r="F4817" i="6"/>
  <c r="F4818" i="6"/>
  <c r="F4819" i="6"/>
  <c r="F4820" i="6"/>
  <c r="F4821" i="6"/>
  <c r="F4822" i="6"/>
  <c r="F4823" i="6"/>
  <c r="F4824" i="6"/>
  <c r="F4825" i="6"/>
  <c r="F4826" i="6"/>
  <c r="F4827" i="6"/>
  <c r="F4828" i="6"/>
  <c r="F4829" i="6"/>
  <c r="F4830" i="6"/>
  <c r="F4831" i="6"/>
  <c r="F4832" i="6"/>
  <c r="F4833" i="6"/>
  <c r="F4834" i="6"/>
  <c r="F4835" i="6"/>
  <c r="F4836" i="6"/>
  <c r="F4837" i="6"/>
  <c r="F4838" i="6"/>
  <c r="F4839" i="6"/>
  <c r="F4840" i="6"/>
  <c r="F4841" i="6"/>
  <c r="F4842" i="6"/>
  <c r="F4843" i="6"/>
  <c r="F4844" i="6"/>
  <c r="F4845" i="6"/>
  <c r="F4846" i="6"/>
  <c r="F4847" i="6"/>
  <c r="F4848" i="6"/>
  <c r="F4849" i="6"/>
  <c r="F4850" i="6"/>
  <c r="F4851" i="6"/>
  <c r="F4852" i="6"/>
  <c r="F4853" i="6"/>
  <c r="F4854" i="6"/>
  <c r="F4855" i="6"/>
  <c r="F4856" i="6"/>
  <c r="F4857" i="6"/>
  <c r="F4858" i="6"/>
  <c r="F4859" i="6"/>
  <c r="F4860" i="6"/>
  <c r="F4861" i="6"/>
  <c r="F4862" i="6"/>
  <c r="F4863" i="6"/>
  <c r="F4864" i="6"/>
  <c r="F4865" i="6"/>
  <c r="F4866" i="6"/>
  <c r="F4867" i="6"/>
  <c r="F4868" i="6"/>
  <c r="F4869" i="6"/>
  <c r="F4870" i="6"/>
  <c r="F4871" i="6"/>
  <c r="F4872" i="6"/>
  <c r="F4873" i="6"/>
  <c r="F4874" i="6"/>
  <c r="F4875" i="6"/>
  <c r="F4876" i="6"/>
  <c r="F4877" i="6"/>
  <c r="F4878" i="6"/>
  <c r="F4879" i="6"/>
  <c r="F4880" i="6"/>
  <c r="F4881" i="6"/>
  <c r="F4882" i="6"/>
  <c r="F4883" i="6"/>
  <c r="F4884" i="6"/>
  <c r="F4885" i="6"/>
  <c r="F4886" i="6"/>
  <c r="F4887" i="6"/>
  <c r="F4888" i="6"/>
  <c r="F4889" i="6"/>
  <c r="F4890" i="6"/>
  <c r="F4891" i="6"/>
  <c r="F4892" i="6"/>
  <c r="F4893" i="6"/>
  <c r="F4894" i="6"/>
  <c r="F4895" i="6"/>
  <c r="F4896" i="6"/>
  <c r="F4897" i="6"/>
  <c r="F4898" i="6"/>
  <c r="F4899" i="6"/>
  <c r="F4900" i="6"/>
  <c r="F4901" i="6"/>
  <c r="F4902" i="6"/>
  <c r="F4903" i="6"/>
  <c r="F4904" i="6"/>
  <c r="F4905" i="6"/>
  <c r="F4906" i="6"/>
  <c r="F4907" i="6"/>
  <c r="F4908" i="6"/>
  <c r="F4909" i="6"/>
  <c r="F4910" i="6"/>
  <c r="F4911" i="6"/>
  <c r="F4912" i="6"/>
  <c r="F4913" i="6"/>
  <c r="F4914" i="6"/>
  <c r="F4915" i="6"/>
  <c r="F4916" i="6"/>
  <c r="F4917" i="6"/>
  <c r="F4918" i="6"/>
  <c r="F4919" i="6"/>
  <c r="F4920" i="6"/>
  <c r="F4921" i="6"/>
  <c r="F4922" i="6"/>
  <c r="F4923" i="6"/>
  <c r="F4924" i="6"/>
  <c r="F4925" i="6"/>
  <c r="F4926" i="6"/>
  <c r="F4927" i="6"/>
  <c r="F4928" i="6"/>
  <c r="F4929" i="6"/>
  <c r="F4930" i="6"/>
  <c r="F4931" i="6"/>
  <c r="F4932" i="6"/>
  <c r="F4933" i="6"/>
  <c r="F4934" i="6"/>
  <c r="F4935" i="6"/>
  <c r="F4936" i="6"/>
  <c r="F4937" i="6"/>
  <c r="F4938" i="6"/>
  <c r="F4939" i="6"/>
  <c r="F4940" i="6"/>
  <c r="F4941" i="6"/>
  <c r="F4942" i="6"/>
  <c r="F4943" i="6"/>
  <c r="F4944" i="6"/>
  <c r="F4945" i="6"/>
  <c r="F4946" i="6"/>
  <c r="F4947" i="6"/>
  <c r="F4948" i="6"/>
  <c r="F4949" i="6"/>
  <c r="F4950" i="6"/>
  <c r="F4951" i="6"/>
  <c r="F4952" i="6"/>
  <c r="F4953" i="6"/>
  <c r="F4954" i="6"/>
  <c r="F4955" i="6"/>
  <c r="F4956" i="6"/>
  <c r="F4957" i="6"/>
  <c r="F4958" i="6"/>
  <c r="F4959" i="6"/>
  <c r="F4960" i="6"/>
  <c r="F4961" i="6"/>
  <c r="F4962" i="6"/>
  <c r="F4963" i="6"/>
  <c r="F4964" i="6"/>
  <c r="F4965" i="6"/>
  <c r="F4966" i="6"/>
  <c r="F4967" i="6"/>
  <c r="F4968" i="6"/>
  <c r="F4969" i="6"/>
  <c r="F4970" i="6"/>
  <c r="F4971" i="6"/>
  <c r="F4972" i="6"/>
  <c r="F4973" i="6"/>
  <c r="F4974" i="6"/>
  <c r="F4975" i="6"/>
  <c r="F4976" i="6"/>
  <c r="F4977" i="6"/>
  <c r="F4978" i="6"/>
  <c r="F4979" i="6"/>
  <c r="F4980" i="6"/>
  <c r="F4981" i="6"/>
  <c r="F4982" i="6"/>
  <c r="F4983" i="6"/>
  <c r="F4984" i="6"/>
  <c r="F4985" i="6"/>
  <c r="F4986" i="6"/>
  <c r="F4987" i="6"/>
  <c r="F4988" i="6"/>
  <c r="F4989" i="6"/>
  <c r="F4990" i="6"/>
  <c r="F4991" i="6"/>
  <c r="F4992" i="6"/>
  <c r="F4993" i="6"/>
  <c r="F4994" i="6"/>
  <c r="F4995" i="6"/>
  <c r="F4996" i="6"/>
  <c r="F4997" i="6"/>
  <c r="F4998" i="6"/>
  <c r="F4999" i="6"/>
  <c r="F5000" i="6"/>
  <c r="F5001" i="6"/>
  <c r="F500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" i="11"/>
  <c r="D13" i="11"/>
  <c r="D29" i="11"/>
  <c r="D33" i="11"/>
  <c r="D37" i="11"/>
  <c r="D53" i="11"/>
  <c r="D77" i="11"/>
  <c r="D85" i="11"/>
  <c r="D125" i="11"/>
  <c r="D133" i="11"/>
  <c r="D157" i="11"/>
  <c r="D181" i="11"/>
  <c r="D205" i="11"/>
  <c r="D221" i="11"/>
  <c r="D245" i="11"/>
  <c r="D253" i="11"/>
  <c r="D269" i="11"/>
  <c r="D277" i="11"/>
  <c r="D293" i="11"/>
  <c r="D309" i="11"/>
  <c r="D317" i="11"/>
  <c r="D341" i="11"/>
  <c r="D344" i="11"/>
  <c r="D349" i="11"/>
  <c r="D352" i="11"/>
  <c r="D357" i="11"/>
  <c r="D365" i="11"/>
  <c r="D373" i="11"/>
  <c r="D376" i="11"/>
  <c r="D381" i="11"/>
  <c r="D391" i="11"/>
  <c r="D392" i="11"/>
  <c r="D400" i="11"/>
  <c r="D408" i="11"/>
  <c r="D413" i="11"/>
  <c r="D421" i="11"/>
  <c r="D429" i="11"/>
  <c r="D445" i="11"/>
  <c r="D448" i="11"/>
  <c r="D453" i="11"/>
  <c r="D456" i="11"/>
  <c r="D463" i="11"/>
  <c r="D464" i="11"/>
  <c r="D477" i="11"/>
  <c r="D480" i="11"/>
  <c r="D485" i="11"/>
  <c r="D496" i="11"/>
  <c r="D501" i="11"/>
  <c r="C19" i="11"/>
  <c r="C32" i="11"/>
  <c r="C40" i="11"/>
  <c r="C48" i="11"/>
  <c r="C64" i="11"/>
  <c r="C72" i="11"/>
  <c r="C79" i="11"/>
  <c r="C88" i="11"/>
  <c r="C92" i="11"/>
  <c r="C96" i="11"/>
  <c r="C112" i="11"/>
  <c r="C120" i="11"/>
  <c r="C128" i="11"/>
  <c r="C131" i="11"/>
  <c r="C152" i="11"/>
  <c r="C175" i="11"/>
  <c r="C176" i="11"/>
  <c r="C184" i="11"/>
  <c r="C195" i="11"/>
  <c r="C200" i="11"/>
  <c r="C216" i="11"/>
  <c r="C224" i="11"/>
  <c r="C237" i="11"/>
  <c r="C240" i="11"/>
  <c r="C248" i="11"/>
  <c r="C253" i="11"/>
  <c r="C261" i="11"/>
  <c r="C264" i="11"/>
  <c r="C272" i="11"/>
  <c r="C277" i="11"/>
  <c r="C285" i="11"/>
  <c r="C288" i="11"/>
  <c r="C297" i="11"/>
  <c r="C304" i="11"/>
  <c r="C312" i="11"/>
  <c r="C317" i="11"/>
  <c r="C325" i="11"/>
  <c r="C328" i="11"/>
  <c r="C333" i="11"/>
  <c r="C341" i="11"/>
  <c r="C344" i="11"/>
  <c r="C352" i="11"/>
  <c r="C365" i="11"/>
  <c r="C368" i="11"/>
  <c r="C373" i="11"/>
  <c r="C376" i="11"/>
  <c r="C381" i="11"/>
  <c r="C392" i="11"/>
  <c r="C397" i="11"/>
  <c r="C400" i="11"/>
  <c r="C408" i="11"/>
  <c r="C413" i="11"/>
  <c r="C429" i="11"/>
  <c r="C432" i="11"/>
  <c r="C440" i="11"/>
  <c r="C445" i="11"/>
  <c r="C456" i="11"/>
  <c r="C461" i="11"/>
  <c r="C464" i="11"/>
  <c r="C469" i="11"/>
  <c r="C472" i="11"/>
  <c r="C480" i="11"/>
  <c r="C481" i="11"/>
  <c r="C493" i="11"/>
  <c r="C496" i="11"/>
  <c r="C501" i="11"/>
  <c r="B5" i="11"/>
  <c r="B11" i="11"/>
  <c r="B13" i="11"/>
  <c r="B24" i="11"/>
  <c r="B29" i="11"/>
  <c r="B32" i="11"/>
  <c r="B45" i="11"/>
  <c r="B48" i="11"/>
  <c r="B53" i="11"/>
  <c r="B56" i="11"/>
  <c r="B61" i="11"/>
  <c r="B64" i="11"/>
  <c r="B72" i="11"/>
  <c r="B77" i="11"/>
  <c r="B83" i="11"/>
  <c r="B88" i="11"/>
  <c r="B93" i="11"/>
  <c r="B96" i="11"/>
  <c r="B101" i="11"/>
  <c r="B109" i="11"/>
  <c r="B111" i="11"/>
  <c r="B112" i="11"/>
  <c r="B115" i="11"/>
  <c r="B117" i="11"/>
  <c r="B125" i="11"/>
  <c r="B128" i="11"/>
  <c r="B133" i="11"/>
  <c r="B136" i="11"/>
  <c r="B141" i="11"/>
  <c r="B152" i="11"/>
  <c r="B157" i="11"/>
  <c r="B160" i="11"/>
  <c r="B165" i="11"/>
  <c r="B173" i="11"/>
  <c r="B176" i="11"/>
  <c r="B181" i="11"/>
  <c r="B183" i="11"/>
  <c r="B184" i="11"/>
  <c r="B189" i="11"/>
  <c r="B192" i="11"/>
  <c r="B194" i="11"/>
  <c r="B197" i="11"/>
  <c r="B205" i="11"/>
  <c r="B209" i="11"/>
  <c r="B216" i="11"/>
  <c r="B219" i="11"/>
  <c r="B224" i="11"/>
  <c r="B229" i="11"/>
  <c r="B237" i="11"/>
  <c r="B240" i="11"/>
  <c r="B245" i="11"/>
  <c r="B248" i="11"/>
  <c r="B256" i="11"/>
  <c r="B261" i="11"/>
  <c r="B264" i="11"/>
  <c r="B273" i="11"/>
  <c r="B285" i="11"/>
  <c r="B288" i="11"/>
  <c r="B293" i="11"/>
  <c r="B301" i="11"/>
  <c r="B309" i="11"/>
  <c r="B312" i="11"/>
  <c r="B317" i="11"/>
  <c r="B320" i="11"/>
  <c r="B325" i="11"/>
  <c r="B328" i="11"/>
  <c r="B333" i="11"/>
  <c r="B339" i="11"/>
  <c r="B344" i="11"/>
  <c r="B349" i="11"/>
  <c r="B352" i="11"/>
  <c r="B353" i="11"/>
  <c r="B365" i="11"/>
  <c r="B368" i="11"/>
  <c r="B373" i="11"/>
  <c r="B376" i="11"/>
  <c r="B380" i="11"/>
  <c r="B381" i="11"/>
  <c r="B389" i="11"/>
  <c r="B392" i="11"/>
  <c r="B397" i="11"/>
  <c r="B403" i="11"/>
  <c r="B413" i="11"/>
  <c r="B416" i="11"/>
  <c r="B425" i="11"/>
  <c r="B432" i="11"/>
  <c r="B437" i="11"/>
  <c r="B440" i="11"/>
  <c r="B448" i="11"/>
  <c r="B453" i="11"/>
  <c r="B456" i="11"/>
  <c r="B461" i="11"/>
  <c r="B472" i="11"/>
  <c r="B477" i="11"/>
  <c r="B480" i="11"/>
  <c r="B485" i="11"/>
  <c r="B492" i="11"/>
  <c r="B493" i="11"/>
  <c r="B501" i="11"/>
  <c r="A4" i="11"/>
  <c r="C4" i="11" s="1"/>
  <c r="A5" i="11"/>
  <c r="A6" i="11"/>
  <c r="A7" i="11"/>
  <c r="A8" i="11"/>
  <c r="C8" i="11" s="1"/>
  <c r="A9" i="11"/>
  <c r="B9" i="11" s="1"/>
  <c r="A10" i="11"/>
  <c r="A11" i="11"/>
  <c r="A12" i="11"/>
  <c r="A13" i="11"/>
  <c r="A14" i="11"/>
  <c r="A15" i="11"/>
  <c r="A16" i="11"/>
  <c r="A17" i="11"/>
  <c r="B17" i="11" s="1"/>
  <c r="A18" i="11"/>
  <c r="A19" i="11"/>
  <c r="A20" i="11"/>
  <c r="B20" i="11" s="1"/>
  <c r="A21" i="11"/>
  <c r="D21" i="11" s="1"/>
  <c r="A22" i="11"/>
  <c r="A23" i="11"/>
  <c r="A24" i="11"/>
  <c r="A25" i="11"/>
  <c r="A26" i="11"/>
  <c r="A27" i="11"/>
  <c r="B27" i="11" s="1"/>
  <c r="A28" i="11"/>
  <c r="B28" i="11" s="1"/>
  <c r="A29" i="11"/>
  <c r="A30" i="11"/>
  <c r="A31" i="11"/>
  <c r="A32" i="11"/>
  <c r="A33" i="11"/>
  <c r="A34" i="11"/>
  <c r="A35" i="11"/>
  <c r="A36" i="11"/>
  <c r="B36" i="11" s="1"/>
  <c r="A37" i="11"/>
  <c r="B37" i="11" s="1"/>
  <c r="A38" i="11"/>
  <c r="A39" i="11"/>
  <c r="C39" i="11" s="1"/>
  <c r="A40" i="11"/>
  <c r="B40" i="11" s="1"/>
  <c r="A41" i="11"/>
  <c r="A42" i="11"/>
  <c r="A43" i="11"/>
  <c r="A44" i="11"/>
  <c r="B44" i="11" s="1"/>
  <c r="A45" i="11"/>
  <c r="A46" i="11"/>
  <c r="A47" i="11"/>
  <c r="C47" i="11" s="1"/>
  <c r="A48" i="11"/>
  <c r="A49" i="11"/>
  <c r="A50" i="11"/>
  <c r="A51" i="11"/>
  <c r="A52" i="11"/>
  <c r="A53" i="11"/>
  <c r="A54" i="11"/>
  <c r="A55" i="11"/>
  <c r="A56" i="11"/>
  <c r="A57" i="11"/>
  <c r="C57" i="11" s="1"/>
  <c r="A58" i="11"/>
  <c r="A59" i="11"/>
  <c r="C59" i="11" s="1"/>
  <c r="A60" i="11"/>
  <c r="C60" i="11" s="1"/>
  <c r="A61" i="11"/>
  <c r="A62" i="11"/>
  <c r="A63" i="11"/>
  <c r="B63" i="11" s="1"/>
  <c r="A64" i="11"/>
  <c r="A65" i="11"/>
  <c r="A66" i="11"/>
  <c r="D66" i="11" s="1"/>
  <c r="A67" i="11"/>
  <c r="A68" i="11"/>
  <c r="D68" i="11" s="1"/>
  <c r="A69" i="11"/>
  <c r="B69" i="11" s="1"/>
  <c r="A70" i="11"/>
  <c r="A71" i="11"/>
  <c r="A72" i="11"/>
  <c r="A73" i="11"/>
  <c r="A74" i="11"/>
  <c r="B74" i="11" s="1"/>
  <c r="A75" i="11"/>
  <c r="A76" i="11"/>
  <c r="A77" i="11"/>
  <c r="A78" i="11"/>
  <c r="C78" i="11" s="1"/>
  <c r="A79" i="11"/>
  <c r="D79" i="11" s="1"/>
  <c r="A80" i="11"/>
  <c r="A81" i="11"/>
  <c r="A82" i="11"/>
  <c r="A83" i="11"/>
  <c r="A84" i="11"/>
  <c r="B84" i="11" s="1"/>
  <c r="A85" i="11"/>
  <c r="A86" i="11"/>
  <c r="A87" i="11"/>
  <c r="A88" i="11"/>
  <c r="A89" i="11"/>
  <c r="A90" i="11"/>
  <c r="A91" i="11"/>
  <c r="C91" i="11" s="1"/>
  <c r="A92" i="11"/>
  <c r="A93" i="11"/>
  <c r="A94" i="11"/>
  <c r="A95" i="11"/>
  <c r="A96" i="11"/>
  <c r="A97" i="11"/>
  <c r="B97" i="11" s="1"/>
  <c r="A98" i="11"/>
  <c r="A99" i="11"/>
  <c r="C99" i="11" s="1"/>
  <c r="A100" i="11"/>
  <c r="C100" i="11" s="1"/>
  <c r="A101" i="11"/>
  <c r="D101" i="11" s="1"/>
  <c r="A102" i="11"/>
  <c r="A103" i="11"/>
  <c r="B103" i="11" s="1"/>
  <c r="A104" i="11"/>
  <c r="C104" i="11" s="1"/>
  <c r="A105" i="11"/>
  <c r="D105" i="11" s="1"/>
  <c r="A106" i="11"/>
  <c r="A107" i="11"/>
  <c r="A108" i="11"/>
  <c r="A109" i="11"/>
  <c r="A110" i="11"/>
  <c r="A111" i="11"/>
  <c r="A112" i="11"/>
  <c r="A113" i="11"/>
  <c r="A114" i="11"/>
  <c r="A115" i="11"/>
  <c r="A116" i="11"/>
  <c r="D116" i="11" s="1"/>
  <c r="A117" i="11"/>
  <c r="A118" i="11"/>
  <c r="A119" i="11"/>
  <c r="B119" i="11" s="1"/>
  <c r="A120" i="11"/>
  <c r="B120" i="11" s="1"/>
  <c r="A121" i="11"/>
  <c r="A122" i="11"/>
  <c r="A123" i="11"/>
  <c r="A124" i="11"/>
  <c r="B124" i="11" s="1"/>
  <c r="A125" i="11"/>
  <c r="A126" i="11"/>
  <c r="A127" i="11"/>
  <c r="A128" i="11"/>
  <c r="A129" i="11"/>
  <c r="D129" i="11" s="1"/>
  <c r="A130" i="11"/>
  <c r="A131" i="11"/>
  <c r="A132" i="11"/>
  <c r="C132" i="11" s="1"/>
  <c r="A133" i="11"/>
  <c r="A134" i="11"/>
  <c r="C134" i="11" s="1"/>
  <c r="A135" i="11"/>
  <c r="A136" i="11"/>
  <c r="C136" i="11" s="1"/>
  <c r="A137" i="11"/>
  <c r="A138" i="11"/>
  <c r="B138" i="11" s="1"/>
  <c r="A139" i="11"/>
  <c r="B139" i="11" s="1"/>
  <c r="A140" i="11"/>
  <c r="D140" i="11" s="1"/>
  <c r="A141" i="11"/>
  <c r="A142" i="11"/>
  <c r="A143" i="11"/>
  <c r="B143" i="11" s="1"/>
  <c r="A144" i="11"/>
  <c r="A145" i="11"/>
  <c r="B145" i="11" s="1"/>
  <c r="A146" i="11"/>
  <c r="A147" i="11"/>
  <c r="A148" i="11"/>
  <c r="B148" i="11" s="1"/>
  <c r="A149" i="11"/>
  <c r="D149" i="11" s="1"/>
  <c r="A150" i="11"/>
  <c r="A151" i="11"/>
  <c r="A152" i="11"/>
  <c r="A153" i="11"/>
  <c r="A154" i="11"/>
  <c r="A155" i="11"/>
  <c r="C155" i="11" s="1"/>
  <c r="A156" i="11"/>
  <c r="B156" i="11" s="1"/>
  <c r="A157" i="11"/>
  <c r="A158" i="11"/>
  <c r="A159" i="11"/>
  <c r="A160" i="11"/>
  <c r="A161" i="11"/>
  <c r="A162" i="11"/>
  <c r="A163" i="11"/>
  <c r="A164" i="11"/>
  <c r="B164" i="11" s="1"/>
  <c r="A165" i="11"/>
  <c r="A166" i="11"/>
  <c r="A167" i="11"/>
  <c r="B167" i="11" s="1"/>
  <c r="A168" i="11"/>
  <c r="B168" i="11" s="1"/>
  <c r="A169" i="11"/>
  <c r="A170" i="11"/>
  <c r="A171" i="11"/>
  <c r="A172" i="11"/>
  <c r="B172" i="11" s="1"/>
  <c r="A173" i="11"/>
  <c r="A174" i="11"/>
  <c r="A175" i="11"/>
  <c r="A176" i="11"/>
  <c r="A177" i="11"/>
  <c r="A178" i="11"/>
  <c r="A179" i="11"/>
  <c r="B179" i="11" s="1"/>
  <c r="A180" i="11"/>
  <c r="A181" i="11"/>
  <c r="A182" i="11"/>
  <c r="A183" i="11"/>
  <c r="C183" i="11" s="1"/>
  <c r="A184" i="11"/>
  <c r="A185" i="11"/>
  <c r="B185" i="11" s="1"/>
  <c r="A186" i="11"/>
  <c r="A187" i="11"/>
  <c r="A188" i="11"/>
  <c r="D188" i="11" s="1"/>
  <c r="A189" i="11"/>
  <c r="A190" i="11"/>
  <c r="A191" i="11"/>
  <c r="A192" i="11"/>
  <c r="A193" i="11"/>
  <c r="C193" i="11" s="1"/>
  <c r="A194" i="11"/>
  <c r="A195" i="11"/>
  <c r="A196" i="11"/>
  <c r="C196" i="11" s="1"/>
  <c r="A197" i="11"/>
  <c r="A198" i="11"/>
  <c r="A199" i="11"/>
  <c r="D199" i="11" s="1"/>
  <c r="A200" i="11"/>
  <c r="B200" i="11" s="1"/>
  <c r="A201" i="11"/>
  <c r="A202" i="11"/>
  <c r="A203" i="11"/>
  <c r="B203" i="11" s="1"/>
  <c r="A204" i="11"/>
  <c r="A205" i="11"/>
  <c r="A206" i="11"/>
  <c r="A207" i="11"/>
  <c r="C207" i="11" s="1"/>
  <c r="A208" i="11"/>
  <c r="A209" i="11"/>
  <c r="A210" i="11"/>
  <c r="A211" i="11"/>
  <c r="B211" i="11" s="1"/>
  <c r="A212" i="11"/>
  <c r="A213" i="11"/>
  <c r="A214" i="11"/>
  <c r="A215" i="11"/>
  <c r="C215" i="11" s="1"/>
  <c r="A216" i="11"/>
  <c r="A217" i="11"/>
  <c r="A218" i="11"/>
  <c r="A219" i="11"/>
  <c r="A220" i="11"/>
  <c r="B220" i="11" s="1"/>
  <c r="A221" i="11"/>
  <c r="B221" i="11" s="1"/>
  <c r="A222" i="11"/>
  <c r="A223" i="11"/>
  <c r="D223" i="11" s="1"/>
  <c r="A224" i="11"/>
  <c r="A225" i="11"/>
  <c r="B225" i="11" s="1"/>
  <c r="A226" i="11"/>
  <c r="A227" i="11"/>
  <c r="C227" i="11" s="1"/>
  <c r="A228" i="11"/>
  <c r="C228" i="11" s="1"/>
  <c r="A229" i="11"/>
  <c r="A230" i="11"/>
  <c r="A231" i="11"/>
  <c r="B231" i="11" s="1"/>
  <c r="A232" i="11"/>
  <c r="B232" i="11" s="1"/>
  <c r="A233" i="11"/>
  <c r="D233" i="11" s="1"/>
  <c r="A234" i="11"/>
  <c r="A235" i="11"/>
  <c r="D235" i="11" s="1"/>
  <c r="A236" i="11"/>
  <c r="C236" i="11" s="1"/>
  <c r="A237" i="11"/>
  <c r="A238" i="11"/>
  <c r="A239" i="11"/>
  <c r="B239" i="11" s="1"/>
  <c r="A240" i="11"/>
  <c r="A241" i="11"/>
  <c r="A242" i="11"/>
  <c r="A243" i="11"/>
  <c r="A244" i="11"/>
  <c r="C244" i="11" s="1"/>
  <c r="A245" i="11"/>
  <c r="C245" i="11" s="1"/>
  <c r="A246" i="11"/>
  <c r="C246" i="11" s="1"/>
  <c r="A247" i="11"/>
  <c r="B247" i="11" s="1"/>
  <c r="A248" i="11"/>
  <c r="A249" i="11"/>
  <c r="B249" i="11" s="1"/>
  <c r="A250" i="11"/>
  <c r="A251" i="11"/>
  <c r="A252" i="11"/>
  <c r="C252" i="11" s="1"/>
  <c r="A253" i="11"/>
  <c r="B253" i="11" s="1"/>
  <c r="A254" i="11"/>
  <c r="A255" i="11"/>
  <c r="A256" i="11"/>
  <c r="C256" i="11" s="1"/>
  <c r="A257" i="11"/>
  <c r="D257" i="11" s="1"/>
  <c r="A258" i="11"/>
  <c r="B258" i="11" s="1"/>
  <c r="A259" i="11"/>
  <c r="A260" i="11"/>
  <c r="A261" i="11"/>
  <c r="A262" i="11"/>
  <c r="A263" i="11"/>
  <c r="A264" i="11"/>
  <c r="A265" i="11"/>
  <c r="A266" i="11"/>
  <c r="A267" i="11"/>
  <c r="D267" i="11" s="1"/>
  <c r="A268" i="11"/>
  <c r="A269" i="11"/>
  <c r="C269" i="11" s="1"/>
  <c r="A270" i="11"/>
  <c r="C270" i="11" s="1"/>
  <c r="A271" i="11"/>
  <c r="A272" i="11"/>
  <c r="A273" i="11"/>
  <c r="A274" i="11"/>
  <c r="A275" i="11"/>
  <c r="B275" i="11" s="1"/>
  <c r="A276" i="11"/>
  <c r="B276" i="11" s="1"/>
  <c r="A277" i="11"/>
  <c r="A278" i="11"/>
  <c r="A279" i="11"/>
  <c r="D279" i="11" s="1"/>
  <c r="A280" i="11"/>
  <c r="C280" i="11" s="1"/>
  <c r="A281" i="11"/>
  <c r="A282" i="11"/>
  <c r="A283" i="11"/>
  <c r="B283" i="11" s="1"/>
  <c r="A284" i="11"/>
  <c r="B284" i="11" s="1"/>
  <c r="A285" i="11"/>
  <c r="A286" i="11"/>
  <c r="A287" i="11"/>
  <c r="A288" i="11"/>
  <c r="A289" i="11"/>
  <c r="B289" i="11" s="1"/>
  <c r="A290" i="11"/>
  <c r="A291" i="11"/>
  <c r="B291" i="11" s="1"/>
  <c r="A292" i="11"/>
  <c r="C292" i="11" s="1"/>
  <c r="A293" i="11"/>
  <c r="A294" i="11"/>
  <c r="A295" i="11"/>
  <c r="A296" i="11"/>
  <c r="B296" i="11" s="1"/>
  <c r="A297" i="11"/>
  <c r="A298" i="11"/>
  <c r="A299" i="11"/>
  <c r="A300" i="11"/>
  <c r="C300" i="11" s="1"/>
  <c r="A301" i="11"/>
  <c r="C301" i="11" s="1"/>
  <c r="A302" i="11"/>
  <c r="A303" i="11"/>
  <c r="B303" i="11" s="1"/>
  <c r="A304" i="11"/>
  <c r="B304" i="11" s="1"/>
  <c r="A305" i="11"/>
  <c r="D305" i="11" s="1"/>
  <c r="A306" i="11"/>
  <c r="A307" i="11"/>
  <c r="C307" i="11" s="1"/>
  <c r="A308" i="11"/>
  <c r="C308" i="11" s="1"/>
  <c r="A309" i="11"/>
  <c r="C309" i="11" s="1"/>
  <c r="A310" i="11"/>
  <c r="C310" i="11" s="1"/>
  <c r="A311" i="11"/>
  <c r="A312" i="11"/>
  <c r="A313" i="11"/>
  <c r="B313" i="11" s="1"/>
  <c r="A314" i="11"/>
  <c r="A315" i="11"/>
  <c r="A316" i="11"/>
  <c r="B316" i="11" s="1"/>
  <c r="A317" i="11"/>
  <c r="A318" i="11"/>
  <c r="A319" i="11"/>
  <c r="B319" i="11" s="1"/>
  <c r="A320" i="11"/>
  <c r="C320" i="11" s="1"/>
  <c r="A321" i="11"/>
  <c r="A322" i="11"/>
  <c r="A323" i="11"/>
  <c r="A324" i="11"/>
  <c r="A325" i="11"/>
  <c r="D325" i="11" s="1"/>
  <c r="A326" i="11"/>
  <c r="C326" i="11" s="1"/>
  <c r="A327" i="11"/>
  <c r="C327" i="11" s="1"/>
  <c r="A328" i="11"/>
  <c r="A329" i="11"/>
  <c r="A330" i="11"/>
  <c r="B330" i="11" s="1"/>
  <c r="A331" i="11"/>
  <c r="D331" i="11" s="1"/>
  <c r="A332" i="11"/>
  <c r="A333" i="11"/>
  <c r="A334" i="11"/>
  <c r="A335" i="11"/>
  <c r="A336" i="11"/>
  <c r="C336" i="11" s="1"/>
  <c r="A337" i="11"/>
  <c r="C337" i="11" s="1"/>
  <c r="A338" i="11"/>
  <c r="A339" i="11"/>
  <c r="D339" i="11" s="1"/>
  <c r="A340" i="11"/>
  <c r="B340" i="11" s="1"/>
  <c r="A341" i="11"/>
  <c r="A342" i="11"/>
  <c r="A343" i="11"/>
  <c r="C343" i="11" s="1"/>
  <c r="A344" i="11"/>
  <c r="A345" i="11"/>
  <c r="C345" i="11" s="1"/>
  <c r="A346" i="11"/>
  <c r="A347" i="11"/>
  <c r="A348" i="11"/>
  <c r="D348" i="11" s="1"/>
  <c r="A349" i="11"/>
  <c r="C349" i="11" s="1"/>
  <c r="A350" i="11"/>
  <c r="A351" i="11"/>
  <c r="A352" i="11"/>
  <c r="A353" i="11"/>
  <c r="C353" i="11" s="1"/>
  <c r="A354" i="11"/>
  <c r="A355" i="11"/>
  <c r="C355" i="11" s="1"/>
  <c r="A356" i="11"/>
  <c r="B356" i="11" s="1"/>
  <c r="A357" i="11"/>
  <c r="B357" i="11" s="1"/>
  <c r="A358" i="11"/>
  <c r="A359" i="11"/>
  <c r="D359" i="11" s="1"/>
  <c r="A360" i="11"/>
  <c r="B360" i="11" s="1"/>
  <c r="A361" i="11"/>
  <c r="A362" i="11"/>
  <c r="A363" i="11"/>
  <c r="C363" i="11" s="1"/>
  <c r="A364" i="11"/>
  <c r="B364" i="11" s="1"/>
  <c r="A365" i="11"/>
  <c r="A366" i="11"/>
  <c r="A367" i="11"/>
  <c r="A368" i="11"/>
  <c r="D368" i="11" s="1"/>
  <c r="A369" i="11"/>
  <c r="A370" i="11"/>
  <c r="A371" i="11"/>
  <c r="D371" i="11" s="1"/>
  <c r="A372" i="11"/>
  <c r="C372" i="11" s="1"/>
  <c r="A373" i="11"/>
  <c r="A374" i="11"/>
  <c r="A375" i="11"/>
  <c r="A376" i="11"/>
  <c r="A377" i="11"/>
  <c r="B377" i="11" s="1"/>
  <c r="A378" i="11"/>
  <c r="A379" i="11"/>
  <c r="B379" i="11" s="1"/>
  <c r="A380" i="11"/>
  <c r="D380" i="11" s="1"/>
  <c r="A381" i="11"/>
  <c r="A382" i="11"/>
  <c r="C382" i="11" s="1"/>
  <c r="A383" i="11"/>
  <c r="B383" i="11" s="1"/>
  <c r="A384" i="11"/>
  <c r="D384" i="11" s="1"/>
  <c r="A385" i="11"/>
  <c r="A386" i="11"/>
  <c r="A387" i="11"/>
  <c r="A388" i="11"/>
  <c r="B388" i="11" s="1"/>
  <c r="A389" i="11"/>
  <c r="C389" i="11" s="1"/>
  <c r="A390" i="11"/>
  <c r="C390" i="11" s="1"/>
  <c r="A391" i="11"/>
  <c r="C391" i="11" s="1"/>
  <c r="A392" i="11"/>
  <c r="A393" i="11"/>
  <c r="A394" i="11"/>
  <c r="D394" i="11" s="1"/>
  <c r="A395" i="11"/>
  <c r="A396" i="11"/>
  <c r="A397" i="11"/>
  <c r="A398" i="11"/>
  <c r="A399" i="11"/>
  <c r="A400" i="11"/>
  <c r="A401" i="11"/>
  <c r="B401" i="11" s="1"/>
  <c r="A402" i="11"/>
  <c r="A403" i="11"/>
  <c r="A404" i="11"/>
  <c r="B404" i="11" s="1"/>
  <c r="A405" i="11"/>
  <c r="C405" i="11" s="1"/>
  <c r="A406" i="11"/>
  <c r="A407" i="11"/>
  <c r="C407" i="11" s="1"/>
  <c r="A408" i="11"/>
  <c r="B408" i="11" s="1"/>
  <c r="A409" i="11"/>
  <c r="A410" i="11"/>
  <c r="A411" i="11"/>
  <c r="C411" i="11" s="1"/>
  <c r="A412" i="11"/>
  <c r="B412" i="11" s="1"/>
  <c r="A413" i="11"/>
  <c r="A414" i="11"/>
  <c r="D414" i="11" s="1"/>
  <c r="A415" i="11"/>
  <c r="A416" i="11"/>
  <c r="D416" i="11" s="1"/>
  <c r="A417" i="11"/>
  <c r="A418" i="11"/>
  <c r="A419" i="11"/>
  <c r="C419" i="11" s="1"/>
  <c r="A420" i="11"/>
  <c r="C420" i="11" s="1"/>
  <c r="A421" i="11"/>
  <c r="B421" i="11" s="1"/>
  <c r="A422" i="11"/>
  <c r="D422" i="11" s="1"/>
  <c r="A423" i="11"/>
  <c r="A424" i="11"/>
  <c r="B424" i="11" s="1"/>
  <c r="A425" i="11"/>
  <c r="C425" i="11" s="1"/>
  <c r="A426" i="11"/>
  <c r="A427" i="11"/>
  <c r="A428" i="11"/>
  <c r="B428" i="11" s="1"/>
  <c r="A429" i="11"/>
  <c r="B429" i="11" s="1"/>
  <c r="A430" i="11"/>
  <c r="A431" i="11"/>
  <c r="B431" i="11" s="1"/>
  <c r="A432" i="11"/>
  <c r="D432" i="11" s="1"/>
  <c r="A433" i="11"/>
  <c r="A434" i="11"/>
  <c r="A435" i="11"/>
  <c r="B435" i="11" s="1"/>
  <c r="A436" i="11"/>
  <c r="D436" i="11" s="1"/>
  <c r="A437" i="11"/>
  <c r="C437" i="11" s="1"/>
  <c r="A438" i="11"/>
  <c r="C438" i="11" s="1"/>
  <c r="A439" i="11"/>
  <c r="A440" i="11"/>
  <c r="A441" i="11"/>
  <c r="A442" i="11"/>
  <c r="D442" i="11" s="1"/>
  <c r="A443" i="11"/>
  <c r="A444" i="11"/>
  <c r="D444" i="11" s="1"/>
  <c r="A445" i="11"/>
  <c r="B445" i="11" s="1"/>
  <c r="A446" i="11"/>
  <c r="A447" i="11"/>
  <c r="A448" i="11"/>
  <c r="C448" i="11" s="1"/>
  <c r="A449" i="11"/>
  <c r="A450" i="11"/>
  <c r="B450" i="11" s="1"/>
  <c r="A451" i="11"/>
  <c r="A452" i="11"/>
  <c r="B452" i="11" s="1"/>
  <c r="A453" i="11"/>
  <c r="C453" i="11" s="1"/>
  <c r="A454" i="11"/>
  <c r="D454" i="11" s="1"/>
  <c r="A455" i="11"/>
  <c r="C455" i="11" s="1"/>
  <c r="A456" i="11"/>
  <c r="A457" i="11"/>
  <c r="A458" i="11"/>
  <c r="A459" i="11"/>
  <c r="B459" i="11" s="1"/>
  <c r="A460" i="11"/>
  <c r="A461" i="11"/>
  <c r="A462" i="11"/>
  <c r="A463" i="11"/>
  <c r="C463" i="11" s="1"/>
  <c r="A464" i="11"/>
  <c r="A465" i="11"/>
  <c r="C465" i="11" s="1"/>
  <c r="A466" i="11"/>
  <c r="A467" i="11"/>
  <c r="D467" i="11" s="1"/>
  <c r="A468" i="11"/>
  <c r="A469" i="11"/>
  <c r="D469" i="11" s="1"/>
  <c r="A470" i="11"/>
  <c r="A471" i="11"/>
  <c r="C471" i="11" s="1"/>
  <c r="A472" i="11"/>
  <c r="A473" i="11"/>
  <c r="A474" i="11"/>
  <c r="A475" i="11"/>
  <c r="D475" i="11" s="1"/>
  <c r="A476" i="11"/>
  <c r="B476" i="11" s="1"/>
  <c r="A477" i="11"/>
  <c r="C477" i="11" s="1"/>
  <c r="A478" i="11"/>
  <c r="A479" i="11"/>
  <c r="A480" i="11"/>
  <c r="A481" i="11"/>
  <c r="A482" i="11"/>
  <c r="A483" i="11"/>
  <c r="A484" i="11"/>
  <c r="C484" i="11" s="1"/>
  <c r="A485" i="11"/>
  <c r="A486" i="11"/>
  <c r="A487" i="11"/>
  <c r="D487" i="11" s="1"/>
  <c r="A488" i="11"/>
  <c r="B488" i="11" s="1"/>
  <c r="A489" i="11"/>
  <c r="A490" i="11"/>
  <c r="A491" i="11"/>
  <c r="C491" i="11" s="1"/>
  <c r="A492" i="11"/>
  <c r="C492" i="11" s="1"/>
  <c r="A493" i="11"/>
  <c r="D493" i="11" s="1"/>
  <c r="A494" i="11"/>
  <c r="B494" i="11" s="1"/>
  <c r="A495" i="11"/>
  <c r="B495" i="11" s="1"/>
  <c r="A496" i="11"/>
  <c r="B496" i="11" s="1"/>
  <c r="A497" i="11"/>
  <c r="A498" i="11"/>
  <c r="B498" i="11" s="1"/>
  <c r="A499" i="11"/>
  <c r="D499" i="11" s="1"/>
  <c r="A500" i="11"/>
  <c r="C500" i="11" s="1"/>
  <c r="A501" i="11"/>
  <c r="A502" i="11"/>
  <c r="B502" i="11" s="1"/>
  <c r="A3" i="11"/>
  <c r="H16" i="8" l="1"/>
  <c r="L16" i="8" s="1"/>
  <c r="F495" i="11"/>
  <c r="F477" i="11"/>
  <c r="F475" i="11"/>
  <c r="F465" i="11"/>
  <c r="F462" i="11"/>
  <c r="F461" i="11"/>
  <c r="F459" i="11"/>
  <c r="F455" i="11"/>
  <c r="F449" i="11"/>
  <c r="F442" i="11"/>
  <c r="F435" i="11"/>
  <c r="F421" i="11"/>
  <c r="F413" i="11"/>
  <c r="F406" i="11"/>
  <c r="F400" i="11"/>
  <c r="F391" i="11"/>
  <c r="F375" i="11"/>
  <c r="F360" i="11"/>
  <c r="F356" i="11"/>
  <c r="F354" i="11"/>
  <c r="F338" i="11"/>
  <c r="F336" i="11"/>
  <c r="F317" i="11"/>
  <c r="F316" i="11"/>
  <c r="F315" i="11"/>
  <c r="F307" i="11"/>
  <c r="F302" i="11"/>
  <c r="F279" i="11"/>
  <c r="F278" i="11"/>
  <c r="F275" i="11"/>
  <c r="F259" i="11"/>
  <c r="F247" i="11"/>
  <c r="F244" i="11"/>
  <c r="F208" i="11"/>
  <c r="F189" i="11"/>
  <c r="F187" i="11"/>
  <c r="F169" i="11"/>
  <c r="F164" i="11"/>
  <c r="F155" i="11"/>
  <c r="F147" i="11"/>
  <c r="F127" i="11"/>
  <c r="F125" i="11"/>
  <c r="F118" i="11"/>
  <c r="F116" i="11"/>
  <c r="F110" i="11"/>
  <c r="F106" i="11"/>
  <c r="F83" i="11"/>
  <c r="F71" i="11"/>
  <c r="F64" i="11"/>
  <c r="F57" i="11"/>
  <c r="F53" i="11"/>
  <c r="F42" i="11"/>
  <c r="F40" i="11"/>
  <c r="F32" i="11"/>
  <c r="F30" i="11"/>
  <c r="F5" i="11"/>
  <c r="F452" i="11"/>
  <c r="F249" i="11"/>
  <c r="F221" i="11"/>
  <c r="F4" i="11"/>
  <c r="F498" i="11"/>
  <c r="F489" i="11"/>
  <c r="F484" i="11"/>
  <c r="F483" i="11"/>
  <c r="F474" i="11"/>
  <c r="F472" i="11"/>
  <c r="F448" i="11"/>
  <c r="F429" i="11"/>
  <c r="F424" i="11"/>
  <c r="F411" i="11"/>
  <c r="F407" i="11"/>
  <c r="F395" i="11"/>
  <c r="F387" i="11"/>
  <c r="F381" i="11"/>
  <c r="F357" i="11"/>
  <c r="F349" i="11"/>
  <c r="F344" i="11"/>
  <c r="F334" i="11"/>
  <c r="F331" i="11"/>
  <c r="F328" i="11"/>
  <c r="F300" i="11"/>
  <c r="F298" i="11"/>
  <c r="F296" i="11"/>
  <c r="F288" i="11"/>
  <c r="F286" i="11"/>
  <c r="F268" i="11"/>
  <c r="F257" i="11"/>
  <c r="F255" i="11"/>
  <c r="F253" i="11"/>
  <c r="F252" i="11"/>
  <c r="F243" i="11"/>
  <c r="F227" i="11"/>
  <c r="F175" i="11"/>
  <c r="F174" i="11"/>
  <c r="F172" i="11"/>
  <c r="F166" i="11"/>
  <c r="F162" i="11"/>
  <c r="F160" i="11"/>
  <c r="F157" i="11"/>
  <c r="F122" i="11"/>
  <c r="F102" i="11"/>
  <c r="F91" i="11"/>
  <c r="F85" i="11"/>
  <c r="F79" i="11"/>
  <c r="F68" i="11"/>
  <c r="F63" i="11"/>
  <c r="F55" i="11"/>
  <c r="F35" i="11"/>
  <c r="F34" i="11"/>
  <c r="F441" i="11"/>
  <c r="F394" i="11"/>
  <c r="F373" i="11"/>
  <c r="F339" i="11"/>
  <c r="F309" i="11"/>
  <c r="F265" i="11"/>
  <c r="F210" i="11"/>
  <c r="F84" i="11"/>
  <c r="F44" i="11"/>
  <c r="F496" i="11"/>
  <c r="F485" i="11"/>
  <c r="F460" i="11"/>
  <c r="F456" i="11"/>
  <c r="F450" i="11"/>
  <c r="F439" i="11"/>
  <c r="F426" i="11"/>
  <c r="F388" i="11"/>
  <c r="F383" i="11"/>
  <c r="F377" i="11"/>
  <c r="F361" i="11"/>
  <c r="F345" i="11"/>
  <c r="F342" i="11"/>
  <c r="F329" i="11"/>
  <c r="F325" i="11"/>
  <c r="F321" i="11"/>
  <c r="F294" i="11"/>
  <c r="F290" i="11"/>
  <c r="F277" i="11"/>
  <c r="F263" i="11"/>
  <c r="F234" i="11"/>
  <c r="F232" i="11"/>
  <c r="F230" i="11"/>
  <c r="F224" i="11"/>
  <c r="F205" i="11"/>
  <c r="F202" i="11"/>
  <c r="G202" i="11" s="1"/>
  <c r="F195" i="11"/>
  <c r="F185" i="11"/>
  <c r="F182" i="11"/>
  <c r="F179" i="11"/>
  <c r="F170" i="11"/>
  <c r="F163" i="11"/>
  <c r="F141" i="11"/>
  <c r="F139" i="11"/>
  <c r="F137" i="11"/>
  <c r="F135" i="11"/>
  <c r="F115" i="11"/>
  <c r="G115" i="11" s="1"/>
  <c r="F111" i="11"/>
  <c r="F107" i="11"/>
  <c r="F95" i="11"/>
  <c r="F88" i="11"/>
  <c r="F77" i="11"/>
  <c r="F61" i="11"/>
  <c r="F47" i="11"/>
  <c r="F38" i="11"/>
  <c r="F29" i="11"/>
  <c r="F23" i="11"/>
  <c r="F470" i="11"/>
  <c r="F380" i="11"/>
  <c r="F351" i="11"/>
  <c r="G351" i="11" s="1"/>
  <c r="F220" i="11"/>
  <c r="F173" i="11"/>
  <c r="F82" i="11"/>
  <c r="F65" i="11"/>
  <c r="F15" i="11"/>
  <c r="F501" i="11"/>
  <c r="F499" i="11"/>
  <c r="F494" i="11"/>
  <c r="G494" i="11" s="1"/>
  <c r="F492" i="11"/>
  <c r="F478" i="11"/>
  <c r="F467" i="11"/>
  <c r="F453" i="11"/>
  <c r="F438" i="11"/>
  <c r="F432" i="11"/>
  <c r="F422" i="11"/>
  <c r="F420" i="11"/>
  <c r="G420" i="11" s="1"/>
  <c r="F416" i="11"/>
  <c r="F404" i="11"/>
  <c r="F385" i="11"/>
  <c r="F369" i="11"/>
  <c r="F355" i="11"/>
  <c r="F353" i="11"/>
  <c r="F335" i="11"/>
  <c r="F330" i="11"/>
  <c r="G330" i="11" s="1"/>
  <c r="F326" i="11"/>
  <c r="F306" i="11"/>
  <c r="F299" i="11"/>
  <c r="F292" i="11"/>
  <c r="F285" i="11"/>
  <c r="F272" i="11"/>
  <c r="F266" i="11"/>
  <c r="G266" i="11" s="1"/>
  <c r="F264" i="11"/>
  <c r="G264" i="11" s="1"/>
  <c r="F262" i="11"/>
  <c r="F251" i="11"/>
  <c r="F246" i="11"/>
  <c r="F238" i="11"/>
  <c r="F222" i="11"/>
  <c r="F217" i="11"/>
  <c r="F212" i="11"/>
  <c r="F203" i="11"/>
  <c r="G203" i="11" s="1"/>
  <c r="F199" i="11"/>
  <c r="F193" i="11"/>
  <c r="F181" i="11"/>
  <c r="F176" i="11"/>
  <c r="F167" i="11"/>
  <c r="F158" i="11"/>
  <c r="F145" i="11"/>
  <c r="F131" i="11"/>
  <c r="G131" i="11" s="1"/>
  <c r="F129" i="11"/>
  <c r="F124" i="11"/>
  <c r="F121" i="11"/>
  <c r="G121" i="11" s="1"/>
  <c r="F120" i="11"/>
  <c r="F117" i="11"/>
  <c r="F114" i="11"/>
  <c r="F105" i="11"/>
  <c r="G105" i="11" s="1"/>
  <c r="F96" i="11"/>
  <c r="G96" i="11" s="1"/>
  <c r="F76" i="11"/>
  <c r="F74" i="11"/>
  <c r="F67" i="11"/>
  <c r="G67" i="11" s="1"/>
  <c r="F59" i="11"/>
  <c r="F49" i="11"/>
  <c r="F41" i="11"/>
  <c r="F27" i="11"/>
  <c r="G27" i="11" s="1"/>
  <c r="F25" i="11"/>
  <c r="G25" i="11" s="1"/>
  <c r="F13" i="11"/>
  <c r="F9" i="11"/>
  <c r="F226" i="11"/>
  <c r="F219" i="11"/>
  <c r="F191" i="11"/>
  <c r="F146" i="11"/>
  <c r="F119" i="11"/>
  <c r="F493" i="11"/>
  <c r="G493" i="11" s="1"/>
  <c r="F481" i="11"/>
  <c r="F437" i="11"/>
  <c r="F427" i="11"/>
  <c r="F412" i="11"/>
  <c r="F410" i="11"/>
  <c r="F397" i="11"/>
  <c r="F382" i="11"/>
  <c r="F379" i="11"/>
  <c r="G379" i="11" s="1"/>
  <c r="F371" i="11"/>
  <c r="F367" i="11"/>
  <c r="F363" i="11"/>
  <c r="F347" i="11"/>
  <c r="F343" i="11"/>
  <c r="F323" i="11"/>
  <c r="F318" i="11"/>
  <c r="F301" i="11"/>
  <c r="G301" i="11" s="1"/>
  <c r="F287" i="11"/>
  <c r="F282" i="11"/>
  <c r="F271" i="11"/>
  <c r="F260" i="11"/>
  <c r="F258" i="11"/>
  <c r="F240" i="11"/>
  <c r="F237" i="11"/>
  <c r="F236" i="11"/>
  <c r="G236" i="11" s="1"/>
  <c r="F209" i="11"/>
  <c r="F204" i="11"/>
  <c r="F190" i="11"/>
  <c r="F168" i="11"/>
  <c r="F156" i="11"/>
  <c r="F153" i="11"/>
  <c r="F130" i="11"/>
  <c r="G130" i="11" s="1"/>
  <c r="F126" i="11"/>
  <c r="G126" i="11" s="1"/>
  <c r="F112" i="11"/>
  <c r="F109" i="11"/>
  <c r="F103" i="11"/>
  <c r="F99" i="11"/>
  <c r="F90" i="11"/>
  <c r="F81" i="11"/>
  <c r="F78" i="11"/>
  <c r="F62" i="11"/>
  <c r="G62" i="11" s="1"/>
  <c r="F58" i="11"/>
  <c r="F54" i="11"/>
  <c r="F52" i="11"/>
  <c r="F50" i="11"/>
  <c r="F45" i="11"/>
  <c r="F43" i="11"/>
  <c r="F36" i="11"/>
  <c r="G36" i="11" s="1"/>
  <c r="F21" i="11"/>
  <c r="G21" i="11" s="1"/>
  <c r="F8" i="11"/>
  <c r="F6" i="11"/>
  <c r="F447" i="11"/>
  <c r="F225" i="11"/>
  <c r="F218" i="11"/>
  <c r="F207" i="11"/>
  <c r="F133" i="11"/>
  <c r="G133" i="11" s="1"/>
  <c r="F20" i="11"/>
  <c r="G20" i="11" s="1"/>
  <c r="F476" i="11"/>
  <c r="F434" i="11"/>
  <c r="F423" i="11"/>
  <c r="F419" i="11"/>
  <c r="F417" i="11"/>
  <c r="F403" i="11"/>
  <c r="F392" i="11"/>
  <c r="G392" i="11" s="1"/>
  <c r="F390" i="11"/>
  <c r="G390" i="11" s="1"/>
  <c r="F372" i="11"/>
  <c r="F358" i="11"/>
  <c r="F341" i="11"/>
  <c r="F337" i="11"/>
  <c r="F332" i="11"/>
  <c r="F327" i="11"/>
  <c r="F322" i="11"/>
  <c r="G322" i="11" s="1"/>
  <c r="F320" i="11"/>
  <c r="G320" i="11" s="1"/>
  <c r="F314" i="11"/>
  <c r="F311" i="11"/>
  <c r="F310" i="11"/>
  <c r="F308" i="11"/>
  <c r="F297" i="11"/>
  <c r="F295" i="11"/>
  <c r="F283" i="11"/>
  <c r="G283" i="11" s="1"/>
  <c r="F280" i="11"/>
  <c r="G280" i="11" s="1"/>
  <c r="F276" i="11"/>
  <c r="F274" i="11"/>
  <c r="F269" i="11"/>
  <c r="F267" i="11"/>
  <c r="F254" i="11"/>
  <c r="F241" i="11"/>
  <c r="F233" i="11"/>
  <c r="G233" i="11" s="1"/>
  <c r="F216" i="11"/>
  <c r="G216" i="11" s="1"/>
  <c r="F215" i="11"/>
  <c r="F211" i="11"/>
  <c r="F200" i="11"/>
  <c r="F196" i="11"/>
  <c r="F188" i="11"/>
  <c r="F186" i="11"/>
  <c r="F184" i="11"/>
  <c r="G184" i="11" s="1"/>
  <c r="F180" i="11"/>
  <c r="G180" i="11" s="1"/>
  <c r="F171" i="11"/>
  <c r="F165" i="11"/>
  <c r="F159" i="11"/>
  <c r="F154" i="11"/>
  <c r="F149" i="11"/>
  <c r="F143" i="11"/>
  <c r="F142" i="11"/>
  <c r="F132" i="11"/>
  <c r="G132" i="11" s="1"/>
  <c r="F128" i="11"/>
  <c r="F123" i="11"/>
  <c r="F108" i="11"/>
  <c r="F101" i="11"/>
  <c r="F98" i="11"/>
  <c r="F92" i="11"/>
  <c r="F87" i="11"/>
  <c r="G87" i="11" s="1"/>
  <c r="F86" i="11"/>
  <c r="G86" i="11" s="1"/>
  <c r="F69" i="11"/>
  <c r="F33" i="11"/>
  <c r="F31" i="11"/>
  <c r="F16" i="11"/>
  <c r="F445" i="11"/>
  <c r="F428" i="11"/>
  <c r="F376" i="11"/>
  <c r="G376" i="11" s="1"/>
  <c r="F365" i="11"/>
  <c r="G365" i="11" s="1"/>
  <c r="F333" i="11"/>
  <c r="F270" i="11"/>
  <c r="F206" i="11"/>
  <c r="F19" i="11"/>
  <c r="F7" i="11"/>
  <c r="F497" i="11"/>
  <c r="F491" i="11"/>
  <c r="G491" i="11" s="1"/>
  <c r="F486" i="11"/>
  <c r="G486" i="11" s="1"/>
  <c r="F480" i="11"/>
  <c r="F469" i="11"/>
  <c r="F466" i="11"/>
  <c r="F464" i="11"/>
  <c r="F463" i="11"/>
  <c r="G463" i="11" s="1"/>
  <c r="F454" i="11"/>
  <c r="F451" i="11"/>
  <c r="G451" i="11" s="1"/>
  <c r="F443" i="11"/>
  <c r="G443" i="11" s="1"/>
  <c r="F436" i="11"/>
  <c r="G436" i="11" s="1"/>
  <c r="F431" i="11"/>
  <c r="F414" i="11"/>
  <c r="F409" i="11"/>
  <c r="F401" i="11"/>
  <c r="F399" i="11"/>
  <c r="F396" i="11"/>
  <c r="F378" i="11"/>
  <c r="G378" i="11" s="1"/>
  <c r="F370" i="11"/>
  <c r="F368" i="11"/>
  <c r="F366" i="11"/>
  <c r="F362" i="11"/>
  <c r="F350" i="11"/>
  <c r="G350" i="11" s="1"/>
  <c r="F346" i="11"/>
  <c r="F340" i="11"/>
  <c r="G340" i="11" s="1"/>
  <c r="F324" i="11"/>
  <c r="G324" i="11" s="1"/>
  <c r="F312" i="11"/>
  <c r="G312" i="11" s="1"/>
  <c r="F304" i="11"/>
  <c r="F291" i="11"/>
  <c r="G291" i="11" s="1"/>
  <c r="F284" i="11"/>
  <c r="F281" i="11"/>
  <c r="F256" i="11"/>
  <c r="F250" i="11"/>
  <c r="G250" i="11" s="1"/>
  <c r="F229" i="11"/>
  <c r="G229" i="11" s="1"/>
  <c r="F198" i="11"/>
  <c r="G198" i="11" s="1"/>
  <c r="F194" i="11"/>
  <c r="G194" i="11" s="1"/>
  <c r="F183" i="11"/>
  <c r="F178" i="11"/>
  <c r="F161" i="11"/>
  <c r="G161" i="11" s="1"/>
  <c r="F152" i="11"/>
  <c r="F140" i="11"/>
  <c r="G140" i="11" s="1"/>
  <c r="F138" i="11"/>
  <c r="G138" i="11" s="1"/>
  <c r="F136" i="11"/>
  <c r="G136" i="11" s="1"/>
  <c r="F97" i="11"/>
  <c r="G97" i="11" s="1"/>
  <c r="F94" i="11"/>
  <c r="G94" i="11" s="1"/>
  <c r="F89" i="11"/>
  <c r="F80" i="11"/>
  <c r="G80" i="11" s="1"/>
  <c r="F72" i="11"/>
  <c r="F70" i="11"/>
  <c r="G70" i="11" s="1"/>
  <c r="F60" i="11"/>
  <c r="G60" i="11" s="1"/>
  <c r="F56" i="11"/>
  <c r="G56" i="11" s="1"/>
  <c r="F51" i="11"/>
  <c r="G51" i="11" s="1"/>
  <c r="F48" i="11"/>
  <c r="F26" i="11"/>
  <c r="F24" i="11"/>
  <c r="G24" i="11" s="1"/>
  <c r="F17" i="11"/>
  <c r="G17" i="11" s="1"/>
  <c r="F473" i="11"/>
  <c r="G473" i="11" s="1"/>
  <c r="F458" i="11"/>
  <c r="G458" i="11" s="1"/>
  <c r="F374" i="11"/>
  <c r="G374" i="11" s="1"/>
  <c r="F313" i="11"/>
  <c r="F213" i="11"/>
  <c r="G213" i="11" s="1"/>
  <c r="F151" i="11"/>
  <c r="F18" i="11"/>
  <c r="G18" i="11" s="1"/>
  <c r="F502" i="11"/>
  <c r="G502" i="11" s="1"/>
  <c r="F500" i="11"/>
  <c r="G500" i="11" s="1"/>
  <c r="F490" i="11"/>
  <c r="G490" i="11" s="1"/>
  <c r="F487" i="11"/>
  <c r="G487" i="11" s="1"/>
  <c r="F482" i="11"/>
  <c r="G482" i="11" s="1"/>
  <c r="F479" i="11"/>
  <c r="G479" i="11" s="1"/>
  <c r="F471" i="11"/>
  <c r="F468" i="11"/>
  <c r="G468" i="11" s="1"/>
  <c r="F457" i="11"/>
  <c r="G457" i="11" s="1"/>
  <c r="F444" i="11"/>
  <c r="G444" i="11" s="1"/>
  <c r="F440" i="11"/>
  <c r="G440" i="11" s="1"/>
  <c r="F433" i="11"/>
  <c r="G433" i="11" s="1"/>
  <c r="F430" i="11"/>
  <c r="G430" i="11" s="1"/>
  <c r="F425" i="11"/>
  <c r="G425" i="11" s="1"/>
  <c r="F418" i="11"/>
  <c r="F415" i="11"/>
  <c r="G415" i="11" s="1"/>
  <c r="F408" i="11"/>
  <c r="G408" i="11" s="1"/>
  <c r="F402" i="11"/>
  <c r="G402" i="11" s="1"/>
  <c r="F393" i="11"/>
  <c r="G393" i="11" s="1"/>
  <c r="F389" i="11"/>
  <c r="G389" i="11" s="1"/>
  <c r="F386" i="11"/>
  <c r="G386" i="11" s="1"/>
  <c r="F384" i="11"/>
  <c r="G384" i="11" s="1"/>
  <c r="F364" i="11"/>
  <c r="F359" i="11"/>
  <c r="G359" i="11" s="1"/>
  <c r="F352" i="11"/>
  <c r="G352" i="11" s="1"/>
  <c r="F348" i="11"/>
  <c r="G348" i="11" s="1"/>
  <c r="F319" i="11"/>
  <c r="G319" i="11" s="1"/>
  <c r="F305" i="11"/>
  <c r="G305" i="11" s="1"/>
  <c r="F303" i="11"/>
  <c r="G303" i="11" s="1"/>
  <c r="F289" i="11"/>
  <c r="G289" i="11" s="1"/>
  <c r="F273" i="11"/>
  <c r="F261" i="11"/>
  <c r="G261" i="11" s="1"/>
  <c r="F248" i="11"/>
  <c r="G248" i="11" s="1"/>
  <c r="F245" i="11"/>
  <c r="G245" i="11" s="1"/>
  <c r="F242" i="11"/>
  <c r="G242" i="11" s="1"/>
  <c r="F239" i="11"/>
  <c r="G239" i="11" s="1"/>
  <c r="F235" i="11"/>
  <c r="G235" i="11" s="1"/>
  <c r="F231" i="11"/>
  <c r="G231" i="11" s="1"/>
  <c r="F228" i="11"/>
  <c r="F223" i="11"/>
  <c r="G223" i="11" s="1"/>
  <c r="F214" i="11"/>
  <c r="G214" i="11" s="1"/>
  <c r="F201" i="11"/>
  <c r="G201" i="11" s="1"/>
  <c r="F192" i="11"/>
  <c r="G192" i="11" s="1"/>
  <c r="F177" i="11"/>
  <c r="G177" i="11" s="1"/>
  <c r="F148" i="11"/>
  <c r="G148" i="11" s="1"/>
  <c r="F144" i="11"/>
  <c r="G144" i="11" s="1"/>
  <c r="F134" i="11"/>
  <c r="F113" i="11"/>
  <c r="G113" i="11" s="1"/>
  <c r="F104" i="11"/>
  <c r="G104" i="11" s="1"/>
  <c r="F100" i="11"/>
  <c r="G100" i="11" s="1"/>
  <c r="F93" i="11"/>
  <c r="G93" i="11" s="1"/>
  <c r="F75" i="11"/>
  <c r="G75" i="11" s="1"/>
  <c r="F73" i="11"/>
  <c r="G73" i="11" s="1"/>
  <c r="F66" i="11"/>
  <c r="G66" i="11" s="1"/>
  <c r="F46" i="11"/>
  <c r="G46" i="11" s="1"/>
  <c r="F39" i="11"/>
  <c r="G39" i="11" s="1"/>
  <c r="F37" i="11"/>
  <c r="G37" i="11" s="1"/>
  <c r="F28" i="11"/>
  <c r="G28" i="11" s="1"/>
  <c r="F22" i="11"/>
  <c r="G22" i="11" s="1"/>
  <c r="F14" i="11"/>
  <c r="G14" i="11" s="1"/>
  <c r="F12" i="11"/>
  <c r="G12" i="11" s="1"/>
  <c r="F11" i="11"/>
  <c r="G11" i="11" s="1"/>
  <c r="F10" i="11"/>
  <c r="G10" i="11" s="1"/>
  <c r="F398" i="11"/>
  <c r="G398" i="11" s="1"/>
  <c r="F197" i="11"/>
  <c r="G197" i="11" s="1"/>
  <c r="F150" i="11"/>
  <c r="G150" i="11" s="1"/>
  <c r="B487" i="11"/>
  <c r="B463" i="11"/>
  <c r="B300" i="11"/>
  <c r="B269" i="11"/>
  <c r="C499" i="11"/>
  <c r="C235" i="11"/>
  <c r="D389" i="11"/>
  <c r="B444" i="11"/>
  <c r="B420" i="11"/>
  <c r="C436" i="11"/>
  <c r="C36" i="11"/>
  <c r="B484" i="11"/>
  <c r="C371" i="11"/>
  <c r="C291" i="11"/>
  <c r="D484" i="11"/>
  <c r="D412" i="11"/>
  <c r="B236" i="11"/>
  <c r="C17" i="11"/>
  <c r="B500" i="11"/>
  <c r="B100" i="11"/>
  <c r="C172" i="11"/>
  <c r="D196" i="11"/>
  <c r="B384" i="11"/>
  <c r="B280" i="11"/>
  <c r="B155" i="11"/>
  <c r="B8" i="11"/>
  <c r="C416" i="11"/>
  <c r="C356" i="11"/>
  <c r="C168" i="11"/>
  <c r="D185" i="11"/>
  <c r="B475" i="11"/>
  <c r="C383" i="11"/>
  <c r="E486" i="11"/>
  <c r="J486" i="11"/>
  <c r="B486" i="11"/>
  <c r="D486" i="11"/>
  <c r="C486" i="11"/>
  <c r="E462" i="11"/>
  <c r="J462" i="11"/>
  <c r="B462" i="11"/>
  <c r="D462" i="11"/>
  <c r="J430" i="11"/>
  <c r="E430" i="11"/>
  <c r="B430" i="11"/>
  <c r="D430" i="11"/>
  <c r="C430" i="11"/>
  <c r="E398" i="11"/>
  <c r="J398" i="11"/>
  <c r="B398" i="11"/>
  <c r="D398" i="11"/>
  <c r="E374" i="11"/>
  <c r="J374" i="11"/>
  <c r="B374" i="11"/>
  <c r="D374" i="11"/>
  <c r="J342" i="11"/>
  <c r="E342" i="11"/>
  <c r="D342" i="11"/>
  <c r="B342" i="11"/>
  <c r="C342" i="11"/>
  <c r="E334" i="11"/>
  <c r="J334" i="11"/>
  <c r="B334" i="11"/>
  <c r="D334" i="11"/>
  <c r="E310" i="11"/>
  <c r="J310" i="11"/>
  <c r="D310" i="11"/>
  <c r="B310" i="11"/>
  <c r="E286" i="11"/>
  <c r="J286" i="11"/>
  <c r="B286" i="11"/>
  <c r="C286" i="11"/>
  <c r="D286" i="11"/>
  <c r="E278" i="11"/>
  <c r="J278" i="11"/>
  <c r="B278" i="11"/>
  <c r="C278" i="11"/>
  <c r="E254" i="11"/>
  <c r="J254" i="11"/>
  <c r="B254" i="11"/>
  <c r="E230" i="11"/>
  <c r="J230" i="11"/>
  <c r="B230" i="11"/>
  <c r="D230" i="11"/>
  <c r="C230" i="11"/>
  <c r="E214" i="11"/>
  <c r="J214" i="11"/>
  <c r="B214" i="11"/>
  <c r="D214" i="11"/>
  <c r="E190" i="11"/>
  <c r="J190" i="11"/>
  <c r="C190" i="11"/>
  <c r="B190" i="11"/>
  <c r="D190" i="11"/>
  <c r="J174" i="11"/>
  <c r="E174" i="11"/>
  <c r="B174" i="11"/>
  <c r="D174" i="11"/>
  <c r="J158" i="11"/>
  <c r="E158" i="11"/>
  <c r="B158" i="11"/>
  <c r="D158" i="11"/>
  <c r="C158" i="11"/>
  <c r="J142" i="11"/>
  <c r="E142" i="11"/>
  <c r="B142" i="11"/>
  <c r="D142" i="11"/>
  <c r="J126" i="11"/>
  <c r="E126" i="11"/>
  <c r="C126" i="11"/>
  <c r="B126" i="11"/>
  <c r="D126" i="11"/>
  <c r="J118" i="11"/>
  <c r="E118" i="11"/>
  <c r="D118" i="11"/>
  <c r="B118" i="11"/>
  <c r="C118" i="11"/>
  <c r="J102" i="11"/>
  <c r="E102" i="11"/>
  <c r="B102" i="11"/>
  <c r="D102" i="11"/>
  <c r="J94" i="11"/>
  <c r="E94" i="11"/>
  <c r="B94" i="11"/>
  <c r="D94" i="11"/>
  <c r="C94" i="11"/>
  <c r="J86" i="11"/>
  <c r="E86" i="11"/>
  <c r="B86" i="11"/>
  <c r="C86" i="11"/>
  <c r="D86" i="11"/>
  <c r="J70" i="11"/>
  <c r="E70" i="11"/>
  <c r="B70" i="11"/>
  <c r="D70" i="11"/>
  <c r="J62" i="11"/>
  <c r="E62" i="11"/>
  <c r="C62" i="11"/>
  <c r="B62" i="11"/>
  <c r="D62" i="11"/>
  <c r="J54" i="11"/>
  <c r="E54" i="11"/>
  <c r="D54" i="11"/>
  <c r="B54" i="11"/>
  <c r="C54" i="11"/>
  <c r="J46" i="11"/>
  <c r="E46" i="11"/>
  <c r="B46" i="11"/>
  <c r="C46" i="11"/>
  <c r="D46" i="11"/>
  <c r="J38" i="11"/>
  <c r="E38" i="11"/>
  <c r="B38" i="11"/>
  <c r="D38" i="11"/>
  <c r="J30" i="11"/>
  <c r="E30" i="11"/>
  <c r="D30" i="11"/>
  <c r="B30" i="11"/>
  <c r="J22" i="11"/>
  <c r="E22" i="11"/>
  <c r="B22" i="11"/>
  <c r="D22" i="11"/>
  <c r="C22" i="11"/>
  <c r="J14" i="11"/>
  <c r="E14" i="11"/>
  <c r="B14" i="11"/>
  <c r="D14" i="11"/>
  <c r="C14" i="11"/>
  <c r="J6" i="11"/>
  <c r="E6" i="11"/>
  <c r="B6" i="11"/>
  <c r="D6" i="11"/>
  <c r="E483" i="11"/>
  <c r="J483" i="11"/>
  <c r="D483" i="11"/>
  <c r="E459" i="11"/>
  <c r="J459" i="11"/>
  <c r="D459" i="11"/>
  <c r="C459" i="11"/>
  <c r="E443" i="11"/>
  <c r="J443" i="11"/>
  <c r="D443" i="11"/>
  <c r="C443" i="11"/>
  <c r="E419" i="11"/>
  <c r="J419" i="11"/>
  <c r="D419" i="11"/>
  <c r="E403" i="11"/>
  <c r="J403" i="11"/>
  <c r="D403" i="11"/>
  <c r="C403" i="11"/>
  <c r="E387" i="11"/>
  <c r="J387" i="11"/>
  <c r="D387" i="11"/>
  <c r="C387" i="11"/>
  <c r="B387" i="11"/>
  <c r="E371" i="11"/>
  <c r="J371" i="11"/>
  <c r="E347" i="11"/>
  <c r="J347" i="11"/>
  <c r="D347" i="11"/>
  <c r="E331" i="11"/>
  <c r="J331" i="11"/>
  <c r="C331" i="11"/>
  <c r="E315" i="11"/>
  <c r="J315" i="11"/>
  <c r="C315" i="11"/>
  <c r="B315" i="11"/>
  <c r="E299" i="11"/>
  <c r="J299" i="11"/>
  <c r="D299" i="11"/>
  <c r="B299" i="11"/>
  <c r="E275" i="11"/>
  <c r="J275" i="11"/>
  <c r="C275" i="11"/>
  <c r="D275" i="11"/>
  <c r="E259" i="11"/>
  <c r="J259" i="11"/>
  <c r="C259" i="11"/>
  <c r="B259" i="11"/>
  <c r="E243" i="11"/>
  <c r="J243" i="11"/>
  <c r="E219" i="11"/>
  <c r="J219" i="11"/>
  <c r="D219" i="11"/>
  <c r="C219" i="11"/>
  <c r="E195" i="11"/>
  <c r="J195" i="11"/>
  <c r="D195" i="11"/>
  <c r="B195" i="11"/>
  <c r="E179" i="11"/>
  <c r="J179" i="11"/>
  <c r="C179" i="11"/>
  <c r="D179" i="11"/>
  <c r="E163" i="11"/>
  <c r="J163" i="11"/>
  <c r="E147" i="11"/>
  <c r="J147" i="11"/>
  <c r="D147" i="11"/>
  <c r="C147" i="11"/>
  <c r="E131" i="11"/>
  <c r="J131" i="11"/>
  <c r="B131" i="11"/>
  <c r="D131" i="11"/>
  <c r="E115" i="11"/>
  <c r="J115" i="11"/>
  <c r="D115" i="11"/>
  <c r="C115" i="11"/>
  <c r="E107" i="11"/>
  <c r="J107" i="11"/>
  <c r="C107" i="11"/>
  <c r="B107" i="11"/>
  <c r="D107" i="11"/>
  <c r="E99" i="11"/>
  <c r="J99" i="11"/>
  <c r="D99" i="11"/>
  <c r="E83" i="11"/>
  <c r="J83" i="11"/>
  <c r="D83" i="11"/>
  <c r="C83" i="11"/>
  <c r="E75" i="11"/>
  <c r="J75" i="11"/>
  <c r="C75" i="11"/>
  <c r="D75" i="11"/>
  <c r="E67" i="11"/>
  <c r="J67" i="11"/>
  <c r="D67" i="11"/>
  <c r="B67" i="11"/>
  <c r="E59" i="11"/>
  <c r="J59" i="11"/>
  <c r="B59" i="11"/>
  <c r="D59" i="11"/>
  <c r="E51" i="11"/>
  <c r="J51" i="11"/>
  <c r="D51" i="11"/>
  <c r="B51" i="11"/>
  <c r="C51" i="11"/>
  <c r="E43" i="11"/>
  <c r="J43" i="11"/>
  <c r="C43" i="11"/>
  <c r="B43" i="11"/>
  <c r="D43" i="11"/>
  <c r="E35" i="11"/>
  <c r="J35" i="11"/>
  <c r="C35" i="11"/>
  <c r="D35" i="11"/>
  <c r="E27" i="11"/>
  <c r="J27" i="11"/>
  <c r="D27" i="11"/>
  <c r="E19" i="11"/>
  <c r="J19" i="11"/>
  <c r="D19" i="11"/>
  <c r="E11" i="11"/>
  <c r="J11" i="11"/>
  <c r="D11" i="11"/>
  <c r="C11" i="11"/>
  <c r="B467" i="11"/>
  <c r="E498" i="11"/>
  <c r="J498" i="11"/>
  <c r="D498" i="11"/>
  <c r="C498" i="11"/>
  <c r="E490" i="11"/>
  <c r="J490" i="11"/>
  <c r="C490" i="11"/>
  <c r="D490" i="11"/>
  <c r="E482" i="11"/>
  <c r="J482" i="11"/>
  <c r="C482" i="11"/>
  <c r="D482" i="11"/>
  <c r="B482" i="11"/>
  <c r="E474" i="11"/>
  <c r="J474" i="11"/>
  <c r="C474" i="11"/>
  <c r="E466" i="11"/>
  <c r="J466" i="11"/>
  <c r="C466" i="11"/>
  <c r="D466" i="11"/>
  <c r="E458" i="11"/>
  <c r="J458" i="11"/>
  <c r="C458" i="11"/>
  <c r="D458" i="11"/>
  <c r="E450" i="11"/>
  <c r="J450" i="11"/>
  <c r="C450" i="11"/>
  <c r="D450" i="11"/>
  <c r="E442" i="11"/>
  <c r="J442" i="11"/>
  <c r="C442" i="11"/>
  <c r="B442" i="11"/>
  <c r="E434" i="11"/>
  <c r="J434" i="11"/>
  <c r="D434" i="11"/>
  <c r="C434" i="11"/>
  <c r="E426" i="11"/>
  <c r="J426" i="11"/>
  <c r="C426" i="11"/>
  <c r="E418" i="11"/>
  <c r="J418" i="11"/>
  <c r="C418" i="11"/>
  <c r="B418" i="11"/>
  <c r="D418" i="11"/>
  <c r="E410" i="11"/>
  <c r="J410" i="11"/>
  <c r="C410" i="11"/>
  <c r="D410" i="11"/>
  <c r="E402" i="11"/>
  <c r="J402" i="11"/>
  <c r="C402" i="11"/>
  <c r="E394" i="11"/>
  <c r="J394" i="11"/>
  <c r="C394" i="11"/>
  <c r="E386" i="11"/>
  <c r="J386" i="11"/>
  <c r="C386" i="11"/>
  <c r="D386" i="11"/>
  <c r="E378" i="11"/>
  <c r="J378" i="11"/>
  <c r="C378" i="11"/>
  <c r="D378" i="11"/>
  <c r="B378" i="11"/>
  <c r="E370" i="11"/>
  <c r="J370" i="11"/>
  <c r="D370" i="11"/>
  <c r="C370" i="11"/>
  <c r="E362" i="11"/>
  <c r="J362" i="11"/>
  <c r="C362" i="11"/>
  <c r="D362" i="11"/>
  <c r="E354" i="11"/>
  <c r="J354" i="11"/>
  <c r="C354" i="11"/>
  <c r="B354" i="11"/>
  <c r="D354" i="11"/>
  <c r="E346" i="11"/>
  <c r="J346" i="11"/>
  <c r="C346" i="11"/>
  <c r="D346" i="11"/>
  <c r="E338" i="11"/>
  <c r="J338" i="11"/>
  <c r="C338" i="11"/>
  <c r="E330" i="11"/>
  <c r="J330" i="11"/>
  <c r="C330" i="11"/>
  <c r="D330" i="11"/>
  <c r="E322" i="11"/>
  <c r="J322" i="11"/>
  <c r="C322" i="11"/>
  <c r="D322" i="11"/>
  <c r="E314" i="11"/>
  <c r="J314" i="11"/>
  <c r="C314" i="11"/>
  <c r="D314" i="11"/>
  <c r="B314" i="11"/>
  <c r="E306" i="11"/>
  <c r="J306" i="11"/>
  <c r="C306" i="11"/>
  <c r="D306" i="11"/>
  <c r="B306" i="11"/>
  <c r="E298" i="11"/>
  <c r="J298" i="11"/>
  <c r="C298" i="11"/>
  <c r="D298" i="11"/>
  <c r="E290" i="11"/>
  <c r="J290" i="11"/>
  <c r="C290" i="11"/>
  <c r="B290" i="11"/>
  <c r="E282" i="11"/>
  <c r="J282" i="11"/>
  <c r="C282" i="11"/>
  <c r="D282" i="11"/>
  <c r="E274" i="11"/>
  <c r="J274" i="11"/>
  <c r="D274" i="11"/>
  <c r="C274" i="11"/>
  <c r="E266" i="11"/>
  <c r="J266" i="11"/>
  <c r="C266" i="11"/>
  <c r="D266" i="11"/>
  <c r="E258" i="11"/>
  <c r="J258" i="11"/>
  <c r="C258" i="11"/>
  <c r="D258" i="11"/>
  <c r="E250" i="11"/>
  <c r="J250" i="11"/>
  <c r="D250" i="11"/>
  <c r="C250" i="11"/>
  <c r="B250" i="11"/>
  <c r="E242" i="11"/>
  <c r="J242" i="11"/>
  <c r="C242" i="11"/>
  <c r="D242" i="11"/>
  <c r="B242" i="11"/>
  <c r="E234" i="11"/>
  <c r="J234" i="11"/>
  <c r="C234" i="11"/>
  <c r="D234" i="11"/>
  <c r="E226" i="11"/>
  <c r="J226" i="11"/>
  <c r="C226" i="11"/>
  <c r="B226" i="11"/>
  <c r="D226" i="11"/>
  <c r="E218" i="11"/>
  <c r="J218" i="11"/>
  <c r="D218" i="11"/>
  <c r="E210" i="11"/>
  <c r="J210" i="11"/>
  <c r="D210" i="11"/>
  <c r="C210" i="11"/>
  <c r="E202" i="11"/>
  <c r="J202" i="11"/>
  <c r="C202" i="11"/>
  <c r="D202" i="11"/>
  <c r="E194" i="11"/>
  <c r="J194" i="11"/>
  <c r="D194" i="11"/>
  <c r="E186" i="11"/>
  <c r="J186" i="11"/>
  <c r="D186" i="11"/>
  <c r="B186" i="11"/>
  <c r="E178" i="11"/>
  <c r="J178" i="11"/>
  <c r="D178" i="11"/>
  <c r="C178" i="11"/>
  <c r="B178" i="11"/>
  <c r="E170" i="11"/>
  <c r="J170" i="11"/>
  <c r="D170" i="11"/>
  <c r="C170" i="11"/>
  <c r="E162" i="11"/>
  <c r="J162" i="11"/>
  <c r="C162" i="11"/>
  <c r="B162" i="11"/>
  <c r="D162" i="11"/>
  <c r="E154" i="11"/>
  <c r="J154" i="11"/>
  <c r="D154" i="11"/>
  <c r="E146" i="11"/>
  <c r="J146" i="11"/>
  <c r="D146" i="11"/>
  <c r="C146" i="11"/>
  <c r="E138" i="11"/>
  <c r="J138" i="11"/>
  <c r="C138" i="11"/>
  <c r="E130" i="11"/>
  <c r="J130" i="11"/>
  <c r="D130" i="11"/>
  <c r="E122" i="11"/>
  <c r="J122" i="11"/>
  <c r="D122" i="11"/>
  <c r="B122" i="11"/>
  <c r="E114" i="11"/>
  <c r="J114" i="11"/>
  <c r="D114" i="11"/>
  <c r="C114" i="11"/>
  <c r="B114" i="11"/>
  <c r="E106" i="11"/>
  <c r="J106" i="11"/>
  <c r="C106" i="11"/>
  <c r="D106" i="11"/>
  <c r="E98" i="11"/>
  <c r="J98" i="11"/>
  <c r="C98" i="11"/>
  <c r="D98" i="11"/>
  <c r="B98" i="11"/>
  <c r="E90" i="11"/>
  <c r="J90" i="11"/>
  <c r="D90" i="11"/>
  <c r="E82" i="11"/>
  <c r="J82" i="11"/>
  <c r="D82" i="11"/>
  <c r="E74" i="11"/>
  <c r="J74" i="11"/>
  <c r="D74" i="11"/>
  <c r="C74" i="11"/>
  <c r="E66" i="11"/>
  <c r="J66" i="11"/>
  <c r="C66" i="11"/>
  <c r="E58" i="11"/>
  <c r="J58" i="11"/>
  <c r="D58" i="11"/>
  <c r="B58" i="11"/>
  <c r="E50" i="11"/>
  <c r="J50" i="11"/>
  <c r="D50" i="11"/>
  <c r="B50" i="11"/>
  <c r="E42" i="11"/>
  <c r="J42" i="11"/>
  <c r="B42" i="11"/>
  <c r="C42" i="11"/>
  <c r="E34" i="11"/>
  <c r="J34" i="11"/>
  <c r="C34" i="11"/>
  <c r="B34" i="11"/>
  <c r="D34" i="11"/>
  <c r="E26" i="11"/>
  <c r="J26" i="11"/>
  <c r="D26" i="11"/>
  <c r="E18" i="11"/>
  <c r="J18" i="11"/>
  <c r="D18" i="11"/>
  <c r="E10" i="11"/>
  <c r="J10" i="11"/>
  <c r="D10" i="11"/>
  <c r="C10" i="11"/>
  <c r="B490" i="11"/>
  <c r="B466" i="11"/>
  <c r="B443" i="11"/>
  <c r="B419" i="11"/>
  <c r="B407" i="11"/>
  <c r="B394" i="11"/>
  <c r="B371" i="11"/>
  <c r="B359" i="11"/>
  <c r="B347" i="11"/>
  <c r="B307" i="11"/>
  <c r="B292" i="11"/>
  <c r="B266" i="11"/>
  <c r="B130" i="11"/>
  <c r="B91" i="11"/>
  <c r="B47" i="11"/>
  <c r="C316" i="11"/>
  <c r="C283" i="11"/>
  <c r="C218" i="11"/>
  <c r="C163" i="11"/>
  <c r="C142" i="11"/>
  <c r="C122" i="11"/>
  <c r="C102" i="11"/>
  <c r="C82" i="11"/>
  <c r="C27" i="11"/>
  <c r="C6" i="11"/>
  <c r="D402" i="11"/>
  <c r="D316" i="11"/>
  <c r="D290" i="11"/>
  <c r="D243" i="11"/>
  <c r="D163" i="11"/>
  <c r="D42" i="11"/>
  <c r="E478" i="11"/>
  <c r="J478" i="11"/>
  <c r="B478" i="11"/>
  <c r="C478" i="11"/>
  <c r="D478" i="11"/>
  <c r="E438" i="11"/>
  <c r="J438" i="11"/>
  <c r="B438" i="11"/>
  <c r="D438" i="11"/>
  <c r="E358" i="11"/>
  <c r="J358" i="11"/>
  <c r="B358" i="11"/>
  <c r="C358" i="11"/>
  <c r="E497" i="11"/>
  <c r="J497" i="11"/>
  <c r="D497" i="11"/>
  <c r="C497" i="11"/>
  <c r="E489" i="11"/>
  <c r="J489" i="11"/>
  <c r="D489" i="11"/>
  <c r="E481" i="11"/>
  <c r="J481" i="11"/>
  <c r="D481" i="11"/>
  <c r="E473" i="11"/>
  <c r="J473" i="11"/>
  <c r="D473" i="11"/>
  <c r="B473" i="11"/>
  <c r="E465" i="11"/>
  <c r="J465" i="11"/>
  <c r="D465" i="11"/>
  <c r="E457" i="11"/>
  <c r="J457" i="11"/>
  <c r="D457" i="11"/>
  <c r="C457" i="11"/>
  <c r="E449" i="11"/>
  <c r="J449" i="11"/>
  <c r="D449" i="11"/>
  <c r="C449" i="11"/>
  <c r="E441" i="11"/>
  <c r="J441" i="11"/>
  <c r="D441" i="11"/>
  <c r="C441" i="11"/>
  <c r="E433" i="11"/>
  <c r="J433" i="11"/>
  <c r="D433" i="11"/>
  <c r="C433" i="11"/>
  <c r="B433" i="11"/>
  <c r="E425" i="11"/>
  <c r="J425" i="11"/>
  <c r="D425" i="11"/>
  <c r="E417" i="11"/>
  <c r="J417" i="11"/>
  <c r="D417" i="11"/>
  <c r="E409" i="11"/>
  <c r="J409" i="11"/>
  <c r="D409" i="11"/>
  <c r="B409" i="11"/>
  <c r="E401" i="11"/>
  <c r="J401" i="11"/>
  <c r="D401" i="11"/>
  <c r="E393" i="11"/>
  <c r="J393" i="11"/>
  <c r="D393" i="11"/>
  <c r="C393" i="11"/>
  <c r="E385" i="11"/>
  <c r="J385" i="11"/>
  <c r="D385" i="11"/>
  <c r="C385" i="11"/>
  <c r="E377" i="11"/>
  <c r="J377" i="11"/>
  <c r="D377" i="11"/>
  <c r="C377" i="11"/>
  <c r="E369" i="11"/>
  <c r="J369" i="11"/>
  <c r="D369" i="11"/>
  <c r="C369" i="11"/>
  <c r="B369" i="11"/>
  <c r="E361" i="11"/>
  <c r="J361" i="11"/>
  <c r="D361" i="11"/>
  <c r="E353" i="11"/>
  <c r="J353" i="11"/>
  <c r="D353" i="11"/>
  <c r="E345" i="11"/>
  <c r="J345" i="11"/>
  <c r="D345" i="11"/>
  <c r="B345" i="11"/>
  <c r="E337" i="11"/>
  <c r="J337" i="11"/>
  <c r="D337" i="11"/>
  <c r="E329" i="11"/>
  <c r="J329" i="11"/>
  <c r="D329" i="11"/>
  <c r="C329" i="11"/>
  <c r="E321" i="11"/>
  <c r="J321" i="11"/>
  <c r="D321" i="11"/>
  <c r="C321" i="11"/>
  <c r="E313" i="11"/>
  <c r="J313" i="11"/>
  <c r="D313" i="11"/>
  <c r="C313" i="11"/>
  <c r="E305" i="11"/>
  <c r="J305" i="11"/>
  <c r="C305" i="11"/>
  <c r="B305" i="11"/>
  <c r="E297" i="11"/>
  <c r="J297" i="11"/>
  <c r="D297" i="11"/>
  <c r="B297" i="11"/>
  <c r="E289" i="11"/>
  <c r="J289" i="11"/>
  <c r="D289" i="11"/>
  <c r="E281" i="11"/>
  <c r="J281" i="11"/>
  <c r="D281" i="11"/>
  <c r="B281" i="11"/>
  <c r="E273" i="11"/>
  <c r="J273" i="11"/>
  <c r="D273" i="11"/>
  <c r="E265" i="11"/>
  <c r="J265" i="11"/>
  <c r="D265" i="11"/>
  <c r="C265" i="11"/>
  <c r="E257" i="11"/>
  <c r="J257" i="11"/>
  <c r="C257" i="11"/>
  <c r="E249" i="11"/>
  <c r="J249" i="11"/>
  <c r="C249" i="11"/>
  <c r="D249" i="11"/>
  <c r="E241" i="11"/>
  <c r="J241" i="11"/>
  <c r="D241" i="11"/>
  <c r="C241" i="11"/>
  <c r="B241" i="11"/>
  <c r="E233" i="11"/>
  <c r="J233" i="11"/>
  <c r="B233" i="11"/>
  <c r="E225" i="11"/>
  <c r="J225" i="11"/>
  <c r="D225" i="11"/>
  <c r="E217" i="11"/>
  <c r="J217" i="11"/>
  <c r="C217" i="11"/>
  <c r="D217" i="11"/>
  <c r="B217" i="11"/>
  <c r="E209" i="11"/>
  <c r="J209" i="11"/>
  <c r="C209" i="11"/>
  <c r="E201" i="11"/>
  <c r="J201" i="11"/>
  <c r="D201" i="11"/>
  <c r="C201" i="11"/>
  <c r="E193" i="11"/>
  <c r="J193" i="11"/>
  <c r="D193" i="11"/>
  <c r="E185" i="11"/>
  <c r="J185" i="11"/>
  <c r="E177" i="11"/>
  <c r="J177" i="11"/>
  <c r="D177" i="11"/>
  <c r="C177" i="11"/>
  <c r="B177" i="11"/>
  <c r="E169" i="11"/>
  <c r="J169" i="11"/>
  <c r="D169" i="11"/>
  <c r="C169" i="11"/>
  <c r="B169" i="11"/>
  <c r="E161" i="11"/>
  <c r="J161" i="11"/>
  <c r="E153" i="11"/>
  <c r="J153" i="11"/>
  <c r="C153" i="11"/>
  <c r="B153" i="11"/>
  <c r="D153" i="11"/>
  <c r="E145" i="11"/>
  <c r="J145" i="11"/>
  <c r="D145" i="11"/>
  <c r="E137" i="11"/>
  <c r="J137" i="11"/>
  <c r="D137" i="11"/>
  <c r="C137" i="11"/>
  <c r="E129" i="11"/>
  <c r="J129" i="11"/>
  <c r="C129" i="11"/>
  <c r="E121" i="11"/>
  <c r="J121" i="11"/>
  <c r="D121" i="11"/>
  <c r="E113" i="11"/>
  <c r="J113" i="11"/>
  <c r="B113" i="11"/>
  <c r="E105" i="11"/>
  <c r="J105" i="11"/>
  <c r="C105" i="11"/>
  <c r="B105" i="11"/>
  <c r="E97" i="11"/>
  <c r="J97" i="11"/>
  <c r="D97" i="11"/>
  <c r="C97" i="11"/>
  <c r="E89" i="11"/>
  <c r="J89" i="11"/>
  <c r="C89" i="11"/>
  <c r="B89" i="11"/>
  <c r="E81" i="11"/>
  <c r="J81" i="11"/>
  <c r="D81" i="11"/>
  <c r="E73" i="11"/>
  <c r="J73" i="11"/>
  <c r="D73" i="11"/>
  <c r="C73" i="11"/>
  <c r="E65" i="11"/>
  <c r="J65" i="11"/>
  <c r="C65" i="11"/>
  <c r="D65" i="11"/>
  <c r="E57" i="11"/>
  <c r="J57" i="11"/>
  <c r="E49" i="11"/>
  <c r="J49" i="11"/>
  <c r="D49" i="11"/>
  <c r="B49" i="11"/>
  <c r="E41" i="11"/>
  <c r="J41" i="11"/>
  <c r="D41" i="11"/>
  <c r="C41" i="11"/>
  <c r="B41" i="11"/>
  <c r="E33" i="11"/>
  <c r="J33" i="11"/>
  <c r="C33" i="11"/>
  <c r="B33" i="11"/>
  <c r="E25" i="11"/>
  <c r="J25" i="11"/>
  <c r="C25" i="11"/>
  <c r="D25" i="11"/>
  <c r="B25" i="11"/>
  <c r="E17" i="11"/>
  <c r="J17" i="11"/>
  <c r="E9" i="11"/>
  <c r="J9" i="11"/>
  <c r="D9" i="11"/>
  <c r="B489" i="11"/>
  <c r="B465" i="11"/>
  <c r="B441" i="11"/>
  <c r="B417" i="11"/>
  <c r="B393" i="11"/>
  <c r="B370" i="11"/>
  <c r="B346" i="11"/>
  <c r="B331" i="11"/>
  <c r="B265" i="11"/>
  <c r="B252" i="11"/>
  <c r="B210" i="11"/>
  <c r="B170" i="11"/>
  <c r="B129" i="11"/>
  <c r="B90" i="11"/>
  <c r="B75" i="11"/>
  <c r="C483" i="11"/>
  <c r="C454" i="11"/>
  <c r="C374" i="11"/>
  <c r="C361" i="11"/>
  <c r="C299" i="11"/>
  <c r="C281" i="11"/>
  <c r="C161" i="11"/>
  <c r="C140" i="11"/>
  <c r="C121" i="11"/>
  <c r="C81" i="11"/>
  <c r="C26" i="11"/>
  <c r="D358" i="11"/>
  <c r="D338" i="11"/>
  <c r="D315" i="11"/>
  <c r="D284" i="11"/>
  <c r="D259" i="11"/>
  <c r="D161" i="11"/>
  <c r="E3" i="11"/>
  <c r="H3" i="11"/>
  <c r="D3" i="11"/>
  <c r="C3" i="11"/>
  <c r="B3" i="11"/>
  <c r="J3" i="11"/>
  <c r="J495" i="11"/>
  <c r="E495" i="11"/>
  <c r="C495" i="11"/>
  <c r="E487" i="11"/>
  <c r="J487" i="11"/>
  <c r="C487" i="11"/>
  <c r="E479" i="11"/>
  <c r="J479" i="11"/>
  <c r="D479" i="11"/>
  <c r="C479" i="11"/>
  <c r="B479" i="11"/>
  <c r="E471" i="11"/>
  <c r="J471" i="11"/>
  <c r="D471" i="11"/>
  <c r="E463" i="11"/>
  <c r="J463" i="11"/>
  <c r="E455" i="11"/>
  <c r="J455" i="11"/>
  <c r="B455" i="11"/>
  <c r="D455" i="11"/>
  <c r="E447" i="11"/>
  <c r="J447" i="11"/>
  <c r="D447" i="11"/>
  <c r="E439" i="11"/>
  <c r="J439" i="11"/>
  <c r="D439" i="11"/>
  <c r="C439" i="11"/>
  <c r="J431" i="11"/>
  <c r="E431" i="11"/>
  <c r="C431" i="11"/>
  <c r="E423" i="11"/>
  <c r="J423" i="11"/>
  <c r="C423" i="11"/>
  <c r="D423" i="11"/>
  <c r="E415" i="11"/>
  <c r="J415" i="11"/>
  <c r="D415" i="11"/>
  <c r="C415" i="11"/>
  <c r="B415" i="11"/>
  <c r="E407" i="11"/>
  <c r="J407" i="11"/>
  <c r="D407" i="11"/>
  <c r="E399" i="11"/>
  <c r="J399" i="11"/>
  <c r="D399" i="11"/>
  <c r="E391" i="11"/>
  <c r="J391" i="11"/>
  <c r="B391" i="11"/>
  <c r="E383" i="11"/>
  <c r="J383" i="11"/>
  <c r="E375" i="11"/>
  <c r="J375" i="11"/>
  <c r="C375" i="11"/>
  <c r="D375" i="11"/>
  <c r="E367" i="11"/>
  <c r="J367" i="11"/>
  <c r="D367" i="11"/>
  <c r="C367" i="11"/>
  <c r="E359" i="11"/>
  <c r="J359" i="11"/>
  <c r="C359" i="11"/>
  <c r="E351" i="11"/>
  <c r="J351" i="11"/>
  <c r="D351" i="11"/>
  <c r="C351" i="11"/>
  <c r="B351" i="11"/>
  <c r="E343" i="11"/>
  <c r="J343" i="11"/>
  <c r="D343" i="11"/>
  <c r="B343" i="11"/>
  <c r="E335" i="11"/>
  <c r="J335" i="11"/>
  <c r="D335" i="11"/>
  <c r="J327" i="11"/>
  <c r="E327" i="11"/>
  <c r="B327" i="11"/>
  <c r="E319" i="11"/>
  <c r="J319" i="11"/>
  <c r="D319" i="11"/>
  <c r="E311" i="11"/>
  <c r="J311" i="11"/>
  <c r="D311" i="11"/>
  <c r="C311" i="11"/>
  <c r="E303" i="11"/>
  <c r="J303" i="11"/>
  <c r="C303" i="11"/>
  <c r="E295" i="11"/>
  <c r="J295" i="11"/>
  <c r="C295" i="11"/>
  <c r="E287" i="11"/>
  <c r="J287" i="11"/>
  <c r="D287" i="11"/>
  <c r="C287" i="11"/>
  <c r="B287" i="11"/>
  <c r="E279" i="11"/>
  <c r="J279" i="11"/>
  <c r="B279" i="11"/>
  <c r="E271" i="11"/>
  <c r="J271" i="11"/>
  <c r="J263" i="11"/>
  <c r="E263" i="11"/>
  <c r="D263" i="11"/>
  <c r="B263" i="11"/>
  <c r="E255" i="11"/>
  <c r="J255" i="11"/>
  <c r="D255" i="11"/>
  <c r="E247" i="11"/>
  <c r="J247" i="11"/>
  <c r="C247" i="11"/>
  <c r="J239" i="11"/>
  <c r="E239" i="11"/>
  <c r="D239" i="11"/>
  <c r="C239" i="11"/>
  <c r="E231" i="11"/>
  <c r="J231" i="11"/>
  <c r="C231" i="11"/>
  <c r="E223" i="11"/>
  <c r="J223" i="11"/>
  <c r="C223" i="11"/>
  <c r="B223" i="11"/>
  <c r="E215" i="11"/>
  <c r="J215" i="11"/>
  <c r="D215" i="11"/>
  <c r="B215" i="11"/>
  <c r="E207" i="11"/>
  <c r="J207" i="11"/>
  <c r="D207" i="11"/>
  <c r="E199" i="11"/>
  <c r="J199" i="11"/>
  <c r="C199" i="11"/>
  <c r="B199" i="11"/>
  <c r="E191" i="11"/>
  <c r="J191" i="11"/>
  <c r="D191" i="11"/>
  <c r="C191" i="11"/>
  <c r="E183" i="11"/>
  <c r="J183" i="11"/>
  <c r="D183" i="11"/>
  <c r="J175" i="11"/>
  <c r="E175" i="11"/>
  <c r="E167" i="11"/>
  <c r="J167" i="11"/>
  <c r="C167" i="11"/>
  <c r="D167" i="11"/>
  <c r="E159" i="11"/>
  <c r="J159" i="11"/>
  <c r="C159" i="11"/>
  <c r="D159" i="11"/>
  <c r="B159" i="11"/>
  <c r="J151" i="11"/>
  <c r="E151" i="11"/>
  <c r="B151" i="11"/>
  <c r="J143" i="11"/>
  <c r="E143" i="11"/>
  <c r="D143" i="11"/>
  <c r="J135" i="11"/>
  <c r="E135" i="11"/>
  <c r="C135" i="11"/>
  <c r="B135" i="11"/>
  <c r="D135" i="11"/>
  <c r="J127" i="11"/>
  <c r="E127" i="11"/>
  <c r="D127" i="11"/>
  <c r="C127" i="11"/>
  <c r="J119" i="11"/>
  <c r="E119" i="11"/>
  <c r="C119" i="11"/>
  <c r="D119" i="11"/>
  <c r="J111" i="11"/>
  <c r="E111" i="11"/>
  <c r="D111" i="11"/>
  <c r="J103" i="11"/>
  <c r="E103" i="11"/>
  <c r="D103" i="11"/>
  <c r="J95" i="11"/>
  <c r="E95" i="11"/>
  <c r="B95" i="11"/>
  <c r="C95" i="11"/>
  <c r="D95" i="11"/>
  <c r="J87" i="11"/>
  <c r="E87" i="11"/>
  <c r="C87" i="11"/>
  <c r="D87" i="11"/>
  <c r="B87" i="11"/>
  <c r="J79" i="11"/>
  <c r="E79" i="11"/>
  <c r="J71" i="11"/>
  <c r="E71" i="11"/>
  <c r="D71" i="11"/>
  <c r="C71" i="11"/>
  <c r="B71" i="11"/>
  <c r="J63" i="11"/>
  <c r="E63" i="11"/>
  <c r="D63" i="11"/>
  <c r="C63" i="11"/>
  <c r="J55" i="11"/>
  <c r="E55" i="11"/>
  <c r="C55" i="11"/>
  <c r="D55" i="11"/>
  <c r="J47" i="11"/>
  <c r="E47" i="11"/>
  <c r="D47" i="11"/>
  <c r="J39" i="11"/>
  <c r="E39" i="11"/>
  <c r="D39" i="11"/>
  <c r="J31" i="11"/>
  <c r="E31" i="11"/>
  <c r="D31" i="11"/>
  <c r="C31" i="11"/>
  <c r="B31" i="11"/>
  <c r="J23" i="11"/>
  <c r="E23" i="11"/>
  <c r="C23" i="11"/>
  <c r="B23" i="11"/>
  <c r="D23" i="11"/>
  <c r="J15" i="11"/>
  <c r="E15" i="11"/>
  <c r="B15" i="11"/>
  <c r="D15" i="11"/>
  <c r="J7" i="11"/>
  <c r="E7" i="11"/>
  <c r="C7" i="11"/>
  <c r="B7" i="11"/>
  <c r="B497" i="11"/>
  <c r="B474" i="11"/>
  <c r="B449" i="11"/>
  <c r="B439" i="11"/>
  <c r="B426" i="11"/>
  <c r="B402" i="11"/>
  <c r="B367" i="11"/>
  <c r="B355" i="11"/>
  <c r="B329" i="11"/>
  <c r="B274" i="11"/>
  <c r="B234" i="11"/>
  <c r="B207" i="11"/>
  <c r="B193" i="11"/>
  <c r="B154" i="11"/>
  <c r="B127" i="11"/>
  <c r="B99" i="11"/>
  <c r="B73" i="11"/>
  <c r="B57" i="11"/>
  <c r="B39" i="11"/>
  <c r="B26" i="11"/>
  <c r="B10" i="11"/>
  <c r="C447" i="11"/>
  <c r="C435" i="11"/>
  <c r="C417" i="11"/>
  <c r="C401" i="11"/>
  <c r="C279" i="11"/>
  <c r="C263" i="11"/>
  <c r="C233" i="11"/>
  <c r="C214" i="11"/>
  <c r="C194" i="11"/>
  <c r="C174" i="11"/>
  <c r="C154" i="11"/>
  <c r="C113" i="11"/>
  <c r="C58" i="11"/>
  <c r="C38" i="11"/>
  <c r="C18" i="11"/>
  <c r="D327" i="11"/>
  <c r="D307" i="11"/>
  <c r="D278" i="11"/>
  <c r="D254" i="11"/>
  <c r="D231" i="11"/>
  <c r="D151" i="11"/>
  <c r="D113" i="11"/>
  <c r="E502" i="11"/>
  <c r="J502" i="11"/>
  <c r="D502" i="11"/>
  <c r="J470" i="11"/>
  <c r="E470" i="11"/>
  <c r="D470" i="11"/>
  <c r="B470" i="11"/>
  <c r="C470" i="11"/>
  <c r="E446" i="11"/>
  <c r="J446" i="11"/>
  <c r="B446" i="11"/>
  <c r="E422" i="11"/>
  <c r="J422" i="11"/>
  <c r="B422" i="11"/>
  <c r="C422" i="11"/>
  <c r="E390" i="11"/>
  <c r="J390" i="11"/>
  <c r="B390" i="11"/>
  <c r="E366" i="11"/>
  <c r="J366" i="11"/>
  <c r="B366" i="11"/>
  <c r="D366" i="11"/>
  <c r="C366" i="11"/>
  <c r="E326" i="11"/>
  <c r="J326" i="11"/>
  <c r="B326" i="11"/>
  <c r="E302" i="11"/>
  <c r="J302" i="11"/>
  <c r="D302" i="11"/>
  <c r="B302" i="11"/>
  <c r="C302" i="11"/>
  <c r="E262" i="11"/>
  <c r="J262" i="11"/>
  <c r="B262" i="11"/>
  <c r="D262" i="11"/>
  <c r="E246" i="11"/>
  <c r="J246" i="11"/>
  <c r="D246" i="11"/>
  <c r="B246" i="11"/>
  <c r="E222" i="11"/>
  <c r="J222" i="11"/>
  <c r="B222" i="11"/>
  <c r="C222" i="11"/>
  <c r="D222" i="11"/>
  <c r="E206" i="11"/>
  <c r="J206" i="11"/>
  <c r="B206" i="11"/>
  <c r="D206" i="11"/>
  <c r="J182" i="11"/>
  <c r="E182" i="11"/>
  <c r="D182" i="11"/>
  <c r="B182" i="11"/>
  <c r="C182" i="11"/>
  <c r="J166" i="11"/>
  <c r="E166" i="11"/>
  <c r="D166" i="11"/>
  <c r="B166" i="11"/>
  <c r="J150" i="11"/>
  <c r="E150" i="11"/>
  <c r="B150" i="11"/>
  <c r="C150" i="11"/>
  <c r="D150" i="11"/>
  <c r="J134" i="11"/>
  <c r="E134" i="11"/>
  <c r="D134" i="11"/>
  <c r="B134" i="11"/>
  <c r="J110" i="11"/>
  <c r="E110" i="11"/>
  <c r="B110" i="11"/>
  <c r="D110" i="11"/>
  <c r="J78" i="11"/>
  <c r="E78" i="11"/>
  <c r="B78" i="11"/>
  <c r="D78" i="11"/>
  <c r="C446" i="11"/>
  <c r="B471" i="11"/>
  <c r="B447" i="11"/>
  <c r="B423" i="11"/>
  <c r="B411" i="11"/>
  <c r="B399" i="11"/>
  <c r="B338" i="11"/>
  <c r="B298" i="11"/>
  <c r="B271" i="11"/>
  <c r="B257" i="11"/>
  <c r="B218" i="11"/>
  <c r="B191" i="11"/>
  <c r="B163" i="11"/>
  <c r="B137" i="11"/>
  <c r="B82" i="11"/>
  <c r="B55" i="11"/>
  <c r="C475" i="11"/>
  <c r="C462" i="11"/>
  <c r="C399" i="11"/>
  <c r="C319" i="11"/>
  <c r="C289" i="11"/>
  <c r="C273" i="11"/>
  <c r="C206" i="11"/>
  <c r="C186" i="11"/>
  <c r="C151" i="11"/>
  <c r="C130" i="11"/>
  <c r="C111" i="11"/>
  <c r="C70" i="11"/>
  <c r="C50" i="11"/>
  <c r="C15" i="11"/>
  <c r="D495" i="11"/>
  <c r="D431" i="11"/>
  <c r="D411" i="11"/>
  <c r="D390" i="11"/>
  <c r="D303" i="11"/>
  <c r="D271" i="11"/>
  <c r="D247" i="11"/>
  <c r="D57" i="11"/>
  <c r="D17" i="11"/>
  <c r="J494" i="11"/>
  <c r="E494" i="11"/>
  <c r="C494" i="11"/>
  <c r="E454" i="11"/>
  <c r="J454" i="11"/>
  <c r="B454" i="11"/>
  <c r="E414" i="11"/>
  <c r="J414" i="11"/>
  <c r="B414" i="11"/>
  <c r="C414" i="11"/>
  <c r="E382" i="11"/>
  <c r="J382" i="11"/>
  <c r="B382" i="11"/>
  <c r="D382" i="11"/>
  <c r="E350" i="11"/>
  <c r="J350" i="11"/>
  <c r="B350" i="11"/>
  <c r="C350" i="11"/>
  <c r="D350" i="11"/>
  <c r="E318" i="11"/>
  <c r="J318" i="11"/>
  <c r="B318" i="11"/>
  <c r="E294" i="11"/>
  <c r="J294" i="11"/>
  <c r="B294" i="11"/>
  <c r="D294" i="11"/>
  <c r="C294" i="11"/>
  <c r="E270" i="11"/>
  <c r="J270" i="11"/>
  <c r="D270" i="11"/>
  <c r="B270" i="11"/>
  <c r="J238" i="11"/>
  <c r="E238" i="11"/>
  <c r="B238" i="11"/>
  <c r="C238" i="11"/>
  <c r="D238" i="11"/>
  <c r="E198" i="11"/>
  <c r="J198" i="11"/>
  <c r="B198" i="11"/>
  <c r="D198" i="11"/>
  <c r="C198" i="11"/>
  <c r="B483" i="11"/>
  <c r="B458" i="11"/>
  <c r="B386" i="11"/>
  <c r="E500" i="11"/>
  <c r="J500" i="11"/>
  <c r="D500" i="11"/>
  <c r="E492" i="11"/>
  <c r="J492" i="11"/>
  <c r="D492" i="11"/>
  <c r="J484" i="11"/>
  <c r="E484" i="11"/>
  <c r="E476" i="11"/>
  <c r="J476" i="11"/>
  <c r="D476" i="11"/>
  <c r="C476" i="11"/>
  <c r="E468" i="11"/>
  <c r="J468" i="11"/>
  <c r="D468" i="11"/>
  <c r="C468" i="11"/>
  <c r="J460" i="11"/>
  <c r="E460" i="11"/>
  <c r="D460" i="11"/>
  <c r="C460" i="11"/>
  <c r="B460" i="11"/>
  <c r="E452" i="11"/>
  <c r="J452" i="11"/>
  <c r="D452" i="11"/>
  <c r="C452" i="11"/>
  <c r="E444" i="11"/>
  <c r="J444" i="11"/>
  <c r="E436" i="11"/>
  <c r="J436" i="11"/>
  <c r="B436" i="11"/>
  <c r="E428" i="11"/>
  <c r="J428" i="11"/>
  <c r="D428" i="11"/>
  <c r="J420" i="11"/>
  <c r="E420" i="11"/>
  <c r="D420" i="11"/>
  <c r="E412" i="11"/>
  <c r="J412" i="11"/>
  <c r="C412" i="11"/>
  <c r="E404" i="11"/>
  <c r="J404" i="11"/>
  <c r="C404" i="11"/>
  <c r="E396" i="11"/>
  <c r="J396" i="11"/>
  <c r="C396" i="11"/>
  <c r="B396" i="11"/>
  <c r="D396" i="11"/>
  <c r="E388" i="11"/>
  <c r="J388" i="11"/>
  <c r="D388" i="11"/>
  <c r="C388" i="11"/>
  <c r="E380" i="11"/>
  <c r="J380" i="11"/>
  <c r="E372" i="11"/>
  <c r="J372" i="11"/>
  <c r="B372" i="11"/>
  <c r="D372" i="11"/>
  <c r="E364" i="11"/>
  <c r="J364" i="11"/>
  <c r="D364" i="11"/>
  <c r="J356" i="11"/>
  <c r="E356" i="11"/>
  <c r="D356" i="11"/>
  <c r="E348" i="11"/>
  <c r="J348" i="11"/>
  <c r="C348" i="11"/>
  <c r="E340" i="11"/>
  <c r="J340" i="11"/>
  <c r="D340" i="11"/>
  <c r="C340" i="11"/>
  <c r="E332" i="11"/>
  <c r="J332" i="11"/>
  <c r="C332" i="11"/>
  <c r="D332" i="11"/>
  <c r="B332" i="11"/>
  <c r="E324" i="11"/>
  <c r="J324" i="11"/>
  <c r="D324" i="11"/>
  <c r="C324" i="11"/>
  <c r="B324" i="11"/>
  <c r="J316" i="11"/>
  <c r="E316" i="11"/>
  <c r="E308" i="11"/>
  <c r="J308" i="11"/>
  <c r="B308" i="11"/>
  <c r="D308" i="11"/>
  <c r="E300" i="11"/>
  <c r="J300" i="11"/>
  <c r="D300" i="11"/>
  <c r="J292" i="11"/>
  <c r="E292" i="11"/>
  <c r="D292" i="11"/>
  <c r="E284" i="11"/>
  <c r="J284" i="11"/>
  <c r="C284" i="11"/>
  <c r="J276" i="11"/>
  <c r="E276" i="11"/>
  <c r="D276" i="11"/>
  <c r="C276" i="11"/>
  <c r="E268" i="11"/>
  <c r="J268" i="11"/>
  <c r="C268" i="11"/>
  <c r="B268" i="11"/>
  <c r="E260" i="11"/>
  <c r="J260" i="11"/>
  <c r="D260" i="11"/>
  <c r="C260" i="11"/>
  <c r="B260" i="11"/>
  <c r="J252" i="11"/>
  <c r="E252" i="11"/>
  <c r="D252" i="11"/>
  <c r="E244" i="11"/>
  <c r="J244" i="11"/>
  <c r="B244" i="11"/>
  <c r="E236" i="11"/>
  <c r="J236" i="11"/>
  <c r="D236" i="11"/>
  <c r="J228" i="11"/>
  <c r="E228" i="11"/>
  <c r="D228" i="11"/>
  <c r="E220" i="11"/>
  <c r="J220" i="11"/>
  <c r="D220" i="11"/>
  <c r="C220" i="11"/>
  <c r="J212" i="11"/>
  <c r="E212" i="11"/>
  <c r="C212" i="11"/>
  <c r="E204" i="11"/>
  <c r="J204" i="11"/>
  <c r="D204" i="11"/>
  <c r="B204" i="11"/>
  <c r="E196" i="11"/>
  <c r="J196" i="11"/>
  <c r="B196" i="11"/>
  <c r="J188" i="11"/>
  <c r="E188" i="11"/>
  <c r="C188" i="11"/>
  <c r="E180" i="11"/>
  <c r="J180" i="11"/>
  <c r="C180" i="11"/>
  <c r="D180" i="11"/>
  <c r="B180" i="11"/>
  <c r="E172" i="11"/>
  <c r="J172" i="11"/>
  <c r="J164" i="11"/>
  <c r="E164" i="11"/>
  <c r="D164" i="11"/>
  <c r="E156" i="11"/>
  <c r="J156" i="11"/>
  <c r="D156" i="11"/>
  <c r="C156" i="11"/>
  <c r="E148" i="11"/>
  <c r="J148" i="11"/>
  <c r="C148" i="11"/>
  <c r="D148" i="11"/>
  <c r="E140" i="11"/>
  <c r="J140" i="11"/>
  <c r="B140" i="11"/>
  <c r="E132" i="11"/>
  <c r="J132" i="11"/>
  <c r="D132" i="11"/>
  <c r="B132" i="11"/>
  <c r="E124" i="11"/>
  <c r="J124" i="11"/>
  <c r="D124" i="11"/>
  <c r="C124" i="11"/>
  <c r="E116" i="11"/>
  <c r="J116" i="11"/>
  <c r="C116" i="11"/>
  <c r="B116" i="11"/>
  <c r="E108" i="11"/>
  <c r="J108" i="11"/>
  <c r="D108" i="11"/>
  <c r="C108" i="11"/>
  <c r="J100" i="11"/>
  <c r="E100" i="11"/>
  <c r="D100" i="11"/>
  <c r="E92" i="11"/>
  <c r="J92" i="11"/>
  <c r="E84" i="11"/>
  <c r="J84" i="11"/>
  <c r="C84" i="11"/>
  <c r="D84" i="11"/>
  <c r="E76" i="11"/>
  <c r="J76" i="11"/>
  <c r="C76" i="11"/>
  <c r="D76" i="11"/>
  <c r="B76" i="11"/>
  <c r="E68" i="11"/>
  <c r="J68" i="11"/>
  <c r="B68" i="11"/>
  <c r="E60" i="11"/>
  <c r="J60" i="11"/>
  <c r="D60" i="11"/>
  <c r="B60" i="11"/>
  <c r="E52" i="11"/>
  <c r="J52" i="11"/>
  <c r="C52" i="11"/>
  <c r="B52" i="11"/>
  <c r="D52" i="11"/>
  <c r="E44" i="11"/>
  <c r="J44" i="11"/>
  <c r="C44" i="11"/>
  <c r="J36" i="11"/>
  <c r="E36" i="11"/>
  <c r="D36" i="11"/>
  <c r="E28" i="11"/>
  <c r="J28" i="11"/>
  <c r="D28" i="11"/>
  <c r="E20" i="11"/>
  <c r="J20" i="11"/>
  <c r="D20" i="11"/>
  <c r="C20" i="11"/>
  <c r="E12" i="11"/>
  <c r="J12" i="11"/>
  <c r="C12" i="11"/>
  <c r="B12" i="11"/>
  <c r="D12" i="11"/>
  <c r="E4" i="11"/>
  <c r="J4" i="11"/>
  <c r="D4" i="11"/>
  <c r="B4" i="11"/>
  <c r="B481" i="11"/>
  <c r="B468" i="11"/>
  <c r="B457" i="11"/>
  <c r="B434" i="11"/>
  <c r="B410" i="11"/>
  <c r="B385" i="11"/>
  <c r="B375" i="11"/>
  <c r="B362" i="11"/>
  <c r="B337" i="11"/>
  <c r="B322" i="11"/>
  <c r="B311" i="11"/>
  <c r="B295" i="11"/>
  <c r="B243" i="11"/>
  <c r="B228" i="11"/>
  <c r="B202" i="11"/>
  <c r="B175" i="11"/>
  <c r="B161" i="11"/>
  <c r="B147" i="11"/>
  <c r="B121" i="11"/>
  <c r="B108" i="11"/>
  <c r="B81" i="11"/>
  <c r="B66" i="11"/>
  <c r="B35" i="11"/>
  <c r="B19" i="11"/>
  <c r="C473" i="11"/>
  <c r="C444" i="11"/>
  <c r="C428" i="11"/>
  <c r="C398" i="11"/>
  <c r="C335" i="11"/>
  <c r="C318" i="11"/>
  <c r="C255" i="11"/>
  <c r="C243" i="11"/>
  <c r="C225" i="11"/>
  <c r="C204" i="11"/>
  <c r="C185" i="11"/>
  <c r="C166" i="11"/>
  <c r="C145" i="11"/>
  <c r="C110" i="11"/>
  <c r="C90" i="11"/>
  <c r="C68" i="11"/>
  <c r="C49" i="11"/>
  <c r="C30" i="11"/>
  <c r="C9" i="11"/>
  <c r="D494" i="11"/>
  <c r="D474" i="11"/>
  <c r="D318" i="11"/>
  <c r="D295" i="11"/>
  <c r="D212" i="11"/>
  <c r="D175" i="11"/>
  <c r="D138" i="11"/>
  <c r="D92" i="11"/>
  <c r="E406" i="11"/>
  <c r="J406" i="11"/>
  <c r="D406" i="11"/>
  <c r="B406" i="11"/>
  <c r="C406" i="11"/>
  <c r="C262" i="11"/>
  <c r="D326" i="11"/>
  <c r="E499" i="11"/>
  <c r="J499" i="11"/>
  <c r="B499" i="11"/>
  <c r="E491" i="11"/>
  <c r="J491" i="11"/>
  <c r="B491" i="11"/>
  <c r="D491" i="11"/>
  <c r="E475" i="11"/>
  <c r="J475" i="11"/>
  <c r="E467" i="11"/>
  <c r="J467" i="11"/>
  <c r="C467" i="11"/>
  <c r="E451" i="11"/>
  <c r="J451" i="11"/>
  <c r="C451" i="11"/>
  <c r="D451" i="11"/>
  <c r="B451" i="11"/>
  <c r="E435" i="11"/>
  <c r="J435" i="11"/>
  <c r="D435" i="11"/>
  <c r="E427" i="11"/>
  <c r="J427" i="11"/>
  <c r="B427" i="11"/>
  <c r="D427" i="11"/>
  <c r="E411" i="11"/>
  <c r="J411" i="11"/>
  <c r="E395" i="11"/>
  <c r="J395" i="11"/>
  <c r="D395" i="11"/>
  <c r="C395" i="11"/>
  <c r="E379" i="11"/>
  <c r="J379" i="11"/>
  <c r="D379" i="11"/>
  <c r="C379" i="11"/>
  <c r="E363" i="11"/>
  <c r="J363" i="11"/>
  <c r="B363" i="11"/>
  <c r="E355" i="11"/>
  <c r="J355" i="11"/>
  <c r="D355" i="11"/>
  <c r="E339" i="11"/>
  <c r="J339" i="11"/>
  <c r="C339" i="11"/>
  <c r="E323" i="11"/>
  <c r="J323" i="11"/>
  <c r="D323" i="11"/>
  <c r="C323" i="11"/>
  <c r="B323" i="11"/>
  <c r="E307" i="11"/>
  <c r="J307" i="11"/>
  <c r="E291" i="11"/>
  <c r="J291" i="11"/>
  <c r="D291" i="11"/>
  <c r="E283" i="11"/>
  <c r="J283" i="11"/>
  <c r="D283" i="11"/>
  <c r="E267" i="11"/>
  <c r="J267" i="11"/>
  <c r="C267" i="11"/>
  <c r="E251" i="11"/>
  <c r="J251" i="11"/>
  <c r="C251" i="11"/>
  <c r="B251" i="11"/>
  <c r="D251" i="11"/>
  <c r="E235" i="11"/>
  <c r="J235" i="11"/>
  <c r="B235" i="11"/>
  <c r="E227" i="11"/>
  <c r="J227" i="11"/>
  <c r="D227" i="11"/>
  <c r="E211" i="11"/>
  <c r="J211" i="11"/>
  <c r="C211" i="11"/>
  <c r="D211" i="11"/>
  <c r="E203" i="11"/>
  <c r="J203" i="11"/>
  <c r="D203" i="11"/>
  <c r="E187" i="11"/>
  <c r="J187" i="11"/>
  <c r="D187" i="11"/>
  <c r="C187" i="11"/>
  <c r="B187" i="11"/>
  <c r="E171" i="11"/>
  <c r="J171" i="11"/>
  <c r="C171" i="11"/>
  <c r="B171" i="11"/>
  <c r="D171" i="11"/>
  <c r="E155" i="11"/>
  <c r="J155" i="11"/>
  <c r="D155" i="11"/>
  <c r="E139" i="11"/>
  <c r="J139" i="11"/>
  <c r="C139" i="11"/>
  <c r="D139" i="11"/>
  <c r="E123" i="11"/>
  <c r="J123" i="11"/>
  <c r="D123" i="11"/>
  <c r="B123" i="11"/>
  <c r="E91" i="11"/>
  <c r="J91" i="11"/>
  <c r="D91" i="11"/>
  <c r="B395" i="11"/>
  <c r="B361" i="11"/>
  <c r="B348" i="11"/>
  <c r="B335" i="11"/>
  <c r="B321" i="11"/>
  <c r="B282" i="11"/>
  <c r="B267" i="11"/>
  <c r="B255" i="11"/>
  <c r="B227" i="11"/>
  <c r="B212" i="11"/>
  <c r="B201" i="11"/>
  <c r="B188" i="11"/>
  <c r="B146" i="11"/>
  <c r="B106" i="11"/>
  <c r="B92" i="11"/>
  <c r="B79" i="11"/>
  <c r="B65" i="11"/>
  <c r="B18" i="11"/>
  <c r="C502" i="11"/>
  <c r="C489" i="11"/>
  <c r="C427" i="11"/>
  <c r="C409" i="11"/>
  <c r="C380" i="11"/>
  <c r="C364" i="11"/>
  <c r="C347" i="11"/>
  <c r="C334" i="11"/>
  <c r="C271" i="11"/>
  <c r="C254" i="11"/>
  <c r="C203" i="11"/>
  <c r="C164" i="11"/>
  <c r="C143" i="11"/>
  <c r="C123" i="11"/>
  <c r="C103" i="11"/>
  <c r="C67" i="11"/>
  <c r="C28" i="11"/>
  <c r="D446" i="11"/>
  <c r="D426" i="11"/>
  <c r="D404" i="11"/>
  <c r="D383" i="11"/>
  <c r="D363" i="11"/>
  <c r="D268" i="11"/>
  <c r="D244" i="11"/>
  <c r="D209" i="11"/>
  <c r="D172" i="11"/>
  <c r="D89" i="11"/>
  <c r="D44" i="11"/>
  <c r="D7" i="11"/>
  <c r="E501" i="11"/>
  <c r="J501" i="11"/>
  <c r="E493" i="11"/>
  <c r="J493" i="11"/>
  <c r="J485" i="11"/>
  <c r="E485" i="11"/>
  <c r="E477" i="11"/>
  <c r="J477" i="11"/>
  <c r="J469" i="11"/>
  <c r="E469" i="11"/>
  <c r="E461" i="11"/>
  <c r="J461" i="11"/>
  <c r="D461" i="11"/>
  <c r="E453" i="11"/>
  <c r="J453" i="11"/>
  <c r="J445" i="11"/>
  <c r="E445" i="11"/>
  <c r="E437" i="11"/>
  <c r="J437" i="11"/>
  <c r="E429" i="11"/>
  <c r="J429" i="11"/>
  <c r="J421" i="11"/>
  <c r="E421" i="11"/>
  <c r="E413" i="11"/>
  <c r="J413" i="11"/>
  <c r="E405" i="11"/>
  <c r="G405" i="11"/>
  <c r="J405" i="11"/>
  <c r="E397" i="11"/>
  <c r="J397" i="11"/>
  <c r="D397" i="11"/>
  <c r="E389" i="11"/>
  <c r="J389" i="11"/>
  <c r="E381" i="11"/>
  <c r="J381" i="11"/>
  <c r="E373" i="11"/>
  <c r="J373" i="11"/>
  <c r="E365" i="11"/>
  <c r="J365" i="11"/>
  <c r="E357" i="11"/>
  <c r="J357" i="11"/>
  <c r="E349" i="11"/>
  <c r="J349" i="11"/>
  <c r="J341" i="11"/>
  <c r="E341" i="11"/>
  <c r="E333" i="11"/>
  <c r="J333" i="11"/>
  <c r="D333" i="11"/>
  <c r="E325" i="11"/>
  <c r="J325" i="11"/>
  <c r="E317" i="11"/>
  <c r="J317" i="11"/>
  <c r="E309" i="11"/>
  <c r="J309" i="11"/>
  <c r="E301" i="11"/>
  <c r="J301" i="11"/>
  <c r="D301" i="11"/>
  <c r="E293" i="11"/>
  <c r="G293" i="11"/>
  <c r="J293" i="11"/>
  <c r="E285" i="11"/>
  <c r="J285" i="11"/>
  <c r="J277" i="11"/>
  <c r="E277" i="11"/>
  <c r="E269" i="11"/>
  <c r="J269" i="11"/>
  <c r="E261" i="11"/>
  <c r="J261" i="11"/>
  <c r="J253" i="11"/>
  <c r="E253" i="11"/>
  <c r="E245" i="11"/>
  <c r="J245" i="11"/>
  <c r="E237" i="11"/>
  <c r="J237" i="11"/>
  <c r="D237" i="11"/>
  <c r="E229" i="11"/>
  <c r="J229" i="11"/>
  <c r="D229" i="11"/>
  <c r="E221" i="11"/>
  <c r="J221" i="11"/>
  <c r="C221" i="11"/>
  <c r="J213" i="11"/>
  <c r="E213" i="11"/>
  <c r="C213" i="11"/>
  <c r="E205" i="11"/>
  <c r="J205" i="11"/>
  <c r="C205" i="11"/>
  <c r="E197" i="11"/>
  <c r="J197" i="11"/>
  <c r="C197" i="11"/>
  <c r="D197" i="11"/>
  <c r="J189" i="11"/>
  <c r="E189" i="11"/>
  <c r="C189" i="11"/>
  <c r="J181" i="11"/>
  <c r="E181" i="11"/>
  <c r="C181" i="11"/>
  <c r="J173" i="11"/>
  <c r="E173" i="11"/>
  <c r="D173" i="11"/>
  <c r="C173" i="11"/>
  <c r="J165" i="11"/>
  <c r="E165" i="11"/>
  <c r="C165" i="11"/>
  <c r="J157" i="11"/>
  <c r="E157" i="11"/>
  <c r="C157" i="11"/>
  <c r="J149" i="11"/>
  <c r="E149" i="11"/>
  <c r="C149" i="11"/>
  <c r="J141" i="11"/>
  <c r="E141" i="11"/>
  <c r="C141" i="11"/>
  <c r="J133" i="11"/>
  <c r="E133" i="11"/>
  <c r="C133" i="11"/>
  <c r="J125" i="11"/>
  <c r="E125" i="11"/>
  <c r="C125" i="11"/>
  <c r="J117" i="11"/>
  <c r="E117" i="11"/>
  <c r="C117" i="11"/>
  <c r="J109" i="11"/>
  <c r="E109" i="11"/>
  <c r="D109" i="11"/>
  <c r="C109" i="11"/>
  <c r="J101" i="11"/>
  <c r="E101" i="11"/>
  <c r="C101" i="11"/>
  <c r="J93" i="11"/>
  <c r="E93" i="11"/>
  <c r="C93" i="11"/>
  <c r="D93" i="11"/>
  <c r="J85" i="11"/>
  <c r="E85" i="11"/>
  <c r="C85" i="11"/>
  <c r="J77" i="11"/>
  <c r="E77" i="11"/>
  <c r="C77" i="11"/>
  <c r="J69" i="11"/>
  <c r="E69" i="11"/>
  <c r="C69" i="11"/>
  <c r="J61" i="11"/>
  <c r="E61" i="11"/>
  <c r="C61" i="11"/>
  <c r="D61" i="11"/>
  <c r="J53" i="11"/>
  <c r="E53" i="11"/>
  <c r="C53" i="11"/>
  <c r="J45" i="11"/>
  <c r="E45" i="11"/>
  <c r="D45" i="11"/>
  <c r="C45" i="11"/>
  <c r="J37" i="11"/>
  <c r="E37" i="11"/>
  <c r="C37" i="11"/>
  <c r="J29" i="11"/>
  <c r="E29" i="11"/>
  <c r="C29" i="11"/>
  <c r="J21" i="11"/>
  <c r="E21" i="11"/>
  <c r="C21" i="11"/>
  <c r="J13" i="11"/>
  <c r="E13" i="11"/>
  <c r="C13" i="11"/>
  <c r="J5" i="11"/>
  <c r="E5" i="11"/>
  <c r="C5" i="11"/>
  <c r="B469" i="11"/>
  <c r="B405" i="11"/>
  <c r="B341" i="11"/>
  <c r="B277" i="11"/>
  <c r="B213" i="11"/>
  <c r="B149" i="11"/>
  <c r="B104" i="11"/>
  <c r="B85" i="11"/>
  <c r="B21" i="11"/>
  <c r="C485" i="11"/>
  <c r="C421" i="11"/>
  <c r="C384" i="11"/>
  <c r="C357" i="11"/>
  <c r="C293" i="11"/>
  <c r="C229" i="11"/>
  <c r="D437" i="11"/>
  <c r="D405" i="11"/>
  <c r="D285" i="11"/>
  <c r="D261" i="11"/>
  <c r="D213" i="11"/>
  <c r="D189" i="11"/>
  <c r="D165" i="11"/>
  <c r="D141" i="11"/>
  <c r="D117" i="11"/>
  <c r="D69" i="11"/>
  <c r="J496" i="11"/>
  <c r="E496" i="11"/>
  <c r="E488" i="11"/>
  <c r="J488" i="11"/>
  <c r="D488" i="11"/>
  <c r="E480" i="11"/>
  <c r="J480" i="11"/>
  <c r="E472" i="11"/>
  <c r="J472" i="11"/>
  <c r="E464" i="11"/>
  <c r="J464" i="11"/>
  <c r="E456" i="11"/>
  <c r="J456" i="11"/>
  <c r="E448" i="11"/>
  <c r="J448" i="11"/>
  <c r="E440" i="11"/>
  <c r="J440" i="11"/>
  <c r="J432" i="11"/>
  <c r="E432" i="11"/>
  <c r="E424" i="11"/>
  <c r="J424" i="11"/>
  <c r="D424" i="11"/>
  <c r="E416" i="11"/>
  <c r="J416" i="11"/>
  <c r="E408" i="11"/>
  <c r="J408" i="11"/>
  <c r="E400" i="11"/>
  <c r="J400" i="11"/>
  <c r="E392" i="11"/>
  <c r="J392" i="11"/>
  <c r="E384" i="11"/>
  <c r="J384" i="11"/>
  <c r="J376" i="11"/>
  <c r="E376" i="11"/>
  <c r="E368" i="11"/>
  <c r="J368" i="11"/>
  <c r="J360" i="11"/>
  <c r="E360" i="11"/>
  <c r="D360" i="11"/>
  <c r="J352" i="11"/>
  <c r="E352" i="11"/>
  <c r="E344" i="11"/>
  <c r="J344" i="11"/>
  <c r="J336" i="11"/>
  <c r="E336" i="11"/>
  <c r="J328" i="11"/>
  <c r="E328" i="11"/>
  <c r="D328" i="11"/>
  <c r="J320" i="11"/>
  <c r="E320" i="11"/>
  <c r="D320" i="11"/>
  <c r="J312" i="11"/>
  <c r="E312" i="11"/>
  <c r="D312" i="11"/>
  <c r="E304" i="11"/>
  <c r="J304" i="11"/>
  <c r="D304" i="11"/>
  <c r="J296" i="11"/>
  <c r="E296" i="11"/>
  <c r="D296" i="11"/>
  <c r="J288" i="11"/>
  <c r="E288" i="11"/>
  <c r="D288" i="11"/>
  <c r="E280" i="11"/>
  <c r="J280" i="11"/>
  <c r="D280" i="11"/>
  <c r="E272" i="11"/>
  <c r="J272" i="11"/>
  <c r="D272" i="11"/>
  <c r="J264" i="11"/>
  <c r="E264" i="11"/>
  <c r="D264" i="11"/>
  <c r="E256" i="11"/>
  <c r="J256" i="11"/>
  <c r="D256" i="11"/>
  <c r="E248" i="11"/>
  <c r="J248" i="11"/>
  <c r="D248" i="11"/>
  <c r="E240" i="11"/>
  <c r="J240" i="11"/>
  <c r="D240" i="11"/>
  <c r="E232" i="11"/>
  <c r="J232" i="11"/>
  <c r="D232" i="11"/>
  <c r="E224" i="11"/>
  <c r="J224" i="11"/>
  <c r="D224" i="11"/>
  <c r="E216" i="11"/>
  <c r="J216" i="11"/>
  <c r="D216" i="11"/>
  <c r="E208" i="11"/>
  <c r="J208" i="11"/>
  <c r="D208" i="11"/>
  <c r="C208" i="11"/>
  <c r="J200" i="11"/>
  <c r="E200" i="11"/>
  <c r="D200" i="11"/>
  <c r="E192" i="11"/>
  <c r="J192" i="11"/>
  <c r="D192" i="11"/>
  <c r="E184" i="11"/>
  <c r="J184" i="11"/>
  <c r="D184" i="11"/>
  <c r="E176" i="11"/>
  <c r="J176" i="11"/>
  <c r="D176" i="11"/>
  <c r="E168" i="11"/>
  <c r="J168" i="11"/>
  <c r="D168" i="11"/>
  <c r="E160" i="11"/>
  <c r="J160" i="11"/>
  <c r="D160" i="11"/>
  <c r="E152" i="11"/>
  <c r="J152" i="11"/>
  <c r="D152" i="11"/>
  <c r="J144" i="11"/>
  <c r="E144" i="11"/>
  <c r="D144" i="11"/>
  <c r="C144" i="11"/>
  <c r="E136" i="11"/>
  <c r="J136" i="11"/>
  <c r="D136" i="11"/>
  <c r="J128" i="11"/>
  <c r="E128" i="11"/>
  <c r="D128" i="11"/>
  <c r="J120" i="11"/>
  <c r="E120" i="11"/>
  <c r="D120" i="11"/>
  <c r="E112" i="11"/>
  <c r="J112" i="11"/>
  <c r="D112" i="11"/>
  <c r="E104" i="11"/>
  <c r="J104" i="11"/>
  <c r="D104" i="11"/>
  <c r="J96" i="11"/>
  <c r="E96" i="11"/>
  <c r="D96" i="11"/>
  <c r="E88" i="11"/>
  <c r="J88" i="11"/>
  <c r="D88" i="11"/>
  <c r="J80" i="11"/>
  <c r="E80" i="11"/>
  <c r="D80" i="11"/>
  <c r="C80" i="11"/>
  <c r="E72" i="11"/>
  <c r="J72" i="11"/>
  <c r="D72" i="11"/>
  <c r="J64" i="11"/>
  <c r="E64" i="11"/>
  <c r="D64" i="11"/>
  <c r="J56" i="11"/>
  <c r="E56" i="11"/>
  <c r="D56" i="11"/>
  <c r="E48" i="11"/>
  <c r="J48" i="11"/>
  <c r="D48" i="11"/>
  <c r="E40" i="11"/>
  <c r="J40" i="11"/>
  <c r="D40" i="11"/>
  <c r="J32" i="11"/>
  <c r="E32" i="11"/>
  <c r="D32" i="11"/>
  <c r="E24" i="11"/>
  <c r="J24" i="11"/>
  <c r="D24" i="11"/>
  <c r="J16" i="11"/>
  <c r="E16" i="11"/>
  <c r="D16" i="11"/>
  <c r="C16" i="11"/>
  <c r="E8" i="11"/>
  <c r="J8" i="11"/>
  <c r="D8" i="11"/>
  <c r="B464" i="11"/>
  <c r="B400" i="11"/>
  <c r="B336" i="11"/>
  <c r="B272" i="11"/>
  <c r="B208" i="11"/>
  <c r="B144" i="11"/>
  <c r="B80" i="11"/>
  <c r="B16" i="11"/>
  <c r="C488" i="11"/>
  <c r="C424" i="11"/>
  <c r="C360" i="11"/>
  <c r="C296" i="11"/>
  <c r="C232" i="11"/>
  <c r="C192" i="11"/>
  <c r="C160" i="11"/>
  <c r="C56" i="11"/>
  <c r="C24" i="11"/>
  <c r="D472" i="11"/>
  <c r="D440" i="11"/>
  <c r="D336" i="11"/>
  <c r="H277" i="11"/>
  <c r="H258" i="11"/>
  <c r="J31" i="8"/>
  <c r="K31" i="8" s="1"/>
  <c r="J30" i="8"/>
  <c r="K30" i="8" s="1"/>
  <c r="J29" i="8"/>
  <c r="K29" i="8" s="1"/>
  <c r="J28" i="8"/>
  <c r="K28" i="8" s="1"/>
  <c r="K27" i="8"/>
  <c r="J26" i="8"/>
  <c r="K26" i="8" s="1"/>
  <c r="J25" i="8"/>
  <c r="K25" i="8" s="1"/>
  <c r="J24" i="8"/>
  <c r="K24" i="8" s="1"/>
  <c r="J23" i="8"/>
  <c r="K23" i="8" s="1"/>
  <c r="J22" i="8"/>
  <c r="K22" i="8" s="1"/>
  <c r="K21" i="8"/>
  <c r="J17" i="8"/>
  <c r="K17" i="8" s="1"/>
  <c r="J18" i="8"/>
  <c r="K18" i="8" s="1"/>
  <c r="K19" i="8"/>
  <c r="J16" i="8"/>
  <c r="K16" i="8" s="1"/>
  <c r="Q2460" i="5"/>
  <c r="T2460" i="5" s="1"/>
  <c r="Q1373" i="5"/>
  <c r="T1373" i="5" s="1"/>
  <c r="Q2388" i="5"/>
  <c r="T2388" i="5" s="1"/>
  <c r="Q1138" i="5"/>
  <c r="T1138" i="5" s="1"/>
  <c r="Q1214" i="5"/>
  <c r="T1214" i="5" s="1"/>
  <c r="Q635" i="5"/>
  <c r="T635" i="5" s="1"/>
  <c r="Q1056" i="5"/>
  <c r="T1056" i="5" s="1"/>
  <c r="Q343" i="5"/>
  <c r="T343" i="5" s="1"/>
  <c r="Q896" i="5"/>
  <c r="T896" i="5" s="1"/>
  <c r="Q1050" i="5"/>
  <c r="T1050" i="5" s="1"/>
  <c r="Q997" i="5"/>
  <c r="T997" i="5" s="1"/>
  <c r="Q1311" i="5"/>
  <c r="T1311" i="5" s="1"/>
  <c r="Q511" i="5"/>
  <c r="T511" i="5" s="1"/>
  <c r="Q1593" i="5"/>
  <c r="T1593" i="5" s="1"/>
  <c r="Q153" i="5"/>
  <c r="T153" i="5" s="1"/>
  <c r="Q679" i="5"/>
  <c r="T679" i="5" s="1"/>
  <c r="Q1733" i="5"/>
  <c r="T1733" i="5" s="1"/>
  <c r="Q1251" i="5"/>
  <c r="T1251" i="5" s="1"/>
  <c r="Q842" i="5"/>
  <c r="T842" i="5" s="1"/>
  <c r="Q1141" i="5"/>
  <c r="T1141" i="5" s="1"/>
  <c r="Q375" i="5"/>
  <c r="T375" i="5" s="1"/>
  <c r="Q1303" i="5"/>
  <c r="T1303" i="5" s="1"/>
  <c r="Q2339" i="5"/>
  <c r="T2339" i="5" s="1"/>
  <c r="Q2239" i="5"/>
  <c r="T2239" i="5" s="1"/>
  <c r="Q2349" i="5"/>
  <c r="T2349" i="5" s="1"/>
  <c r="Q537" i="5"/>
  <c r="T537" i="5" s="1"/>
  <c r="Q1237" i="5"/>
  <c r="T1237" i="5" s="1"/>
  <c r="Q101" i="5"/>
  <c r="T101" i="5" s="1"/>
  <c r="Q495" i="5"/>
  <c r="T495" i="5" s="1"/>
  <c r="Q2334" i="5"/>
  <c r="T2334" i="5" s="1"/>
  <c r="Q1424" i="5"/>
  <c r="T1424" i="5" s="1"/>
  <c r="Q1980" i="5"/>
  <c r="T1980" i="5" s="1"/>
  <c r="Q215" i="5"/>
  <c r="T215" i="5" s="1"/>
  <c r="Q69" i="5"/>
  <c r="T69" i="5" s="1"/>
  <c r="Q1342" i="5"/>
  <c r="T1342" i="5" s="1"/>
  <c r="Q1253" i="5"/>
  <c r="T1253" i="5" s="1"/>
  <c r="Q841" i="5"/>
  <c r="T841" i="5" s="1"/>
  <c r="Q2473" i="5"/>
  <c r="T2473" i="5" s="1"/>
  <c r="Q870" i="5"/>
  <c r="T870" i="5" s="1"/>
  <c r="Q1809" i="5"/>
  <c r="T1809" i="5" s="1"/>
  <c r="Q453" i="5"/>
  <c r="T453" i="5" s="1"/>
  <c r="Q1963" i="5"/>
  <c r="T1963" i="5" s="1"/>
  <c r="Q1167" i="5"/>
  <c r="T1167" i="5" s="1"/>
  <c r="Q2133" i="5"/>
  <c r="T2133" i="5" s="1"/>
  <c r="Q712" i="5"/>
  <c r="T712" i="5" s="1"/>
  <c r="Q1523" i="5"/>
  <c r="T1523" i="5" s="1"/>
  <c r="Q1364" i="5"/>
  <c r="T1364" i="5" s="1"/>
  <c r="Q1183" i="5"/>
  <c r="T1183" i="5" s="1"/>
  <c r="Q1479" i="5"/>
  <c r="T1479" i="5" s="1"/>
  <c r="Q1333" i="5"/>
  <c r="T1333" i="5" s="1"/>
  <c r="Q770" i="5"/>
  <c r="T770" i="5" s="1"/>
  <c r="Q869" i="5"/>
  <c r="T869" i="5" s="1"/>
  <c r="Q2384" i="5"/>
  <c r="T2384" i="5" s="1"/>
  <c r="Q2480" i="5"/>
  <c r="T2480" i="5" s="1"/>
  <c r="Q1626" i="5"/>
  <c r="T1626" i="5" s="1"/>
  <c r="Q1650" i="5"/>
  <c r="T1650" i="5" s="1"/>
  <c r="Q1292" i="5"/>
  <c r="T1292" i="5" s="1"/>
  <c r="Q1998" i="5"/>
  <c r="T1998" i="5" s="1"/>
  <c r="Q374" i="5"/>
  <c r="T374" i="5" s="1"/>
  <c r="Q1525" i="5"/>
  <c r="T1525" i="5" s="1"/>
  <c r="Q1784" i="5"/>
  <c r="T1784" i="5" s="1"/>
  <c r="Q1199" i="5"/>
  <c r="T1199" i="5" s="1"/>
  <c r="Q1551" i="5"/>
  <c r="T1551" i="5" s="1"/>
  <c r="Q906" i="5"/>
  <c r="T906" i="5" s="1"/>
  <c r="Q1023" i="5"/>
  <c r="T1023" i="5" s="1"/>
  <c r="Q714" i="5"/>
  <c r="T714" i="5" s="1"/>
  <c r="Q953" i="5"/>
  <c r="T953" i="5" s="1"/>
  <c r="Q2412" i="5"/>
  <c r="T2412" i="5" s="1"/>
  <c r="Q1734" i="5"/>
  <c r="T1734" i="5" s="1"/>
  <c r="Q1471" i="5"/>
  <c r="T1471" i="5" s="1"/>
  <c r="Q29" i="5"/>
  <c r="T29" i="5" s="1"/>
  <c r="Q1192" i="5"/>
  <c r="T1192" i="5" s="1"/>
  <c r="Q1046" i="5"/>
  <c r="T1046" i="5" s="1"/>
  <c r="Q257" i="5"/>
  <c r="T257" i="5" s="1"/>
  <c r="Q370" i="5"/>
  <c r="T370" i="5" s="1"/>
  <c r="Q72" i="5"/>
  <c r="T72" i="5" s="1"/>
  <c r="Q1473" i="5"/>
  <c r="T1473" i="5" s="1"/>
  <c r="Q1265" i="5"/>
  <c r="T1265" i="5" s="1"/>
  <c r="Q769" i="5"/>
  <c r="T769" i="5" s="1"/>
  <c r="Q1014" i="5"/>
  <c r="T1014" i="5" s="1"/>
  <c r="Q1656" i="5"/>
  <c r="T1656" i="5" s="1"/>
  <c r="Q789" i="5"/>
  <c r="T789" i="5" s="1"/>
  <c r="Q655" i="5"/>
  <c r="T655" i="5" s="1"/>
  <c r="Q1277" i="5"/>
  <c r="T1277" i="5" s="1"/>
  <c r="Q603" i="5"/>
  <c r="Q784" i="5"/>
  <c r="T784" i="5" s="1"/>
  <c r="Q489" i="5"/>
  <c r="T489" i="5" s="1"/>
  <c r="Q960" i="5"/>
  <c r="T960" i="5" s="1"/>
  <c r="Q1573" i="5"/>
  <c r="T1573" i="5" s="1"/>
  <c r="Q2314" i="5"/>
  <c r="T2314" i="5" s="1"/>
  <c r="Q958" i="5"/>
  <c r="T958" i="5" s="1"/>
  <c r="Q1015" i="5"/>
  <c r="T1015" i="5" s="1"/>
  <c r="Q31" i="5"/>
  <c r="T31" i="5" s="1"/>
  <c r="Q879" i="5"/>
  <c r="T879" i="5" s="1"/>
  <c r="Q1180" i="5"/>
  <c r="T1180" i="5" s="1"/>
  <c r="Q551" i="5"/>
  <c r="T551" i="5" s="1"/>
  <c r="Q2000" i="5"/>
  <c r="T2000" i="5" s="1"/>
  <c r="Q525" i="5"/>
  <c r="Q2244" i="5"/>
  <c r="T2244" i="5" s="1"/>
  <c r="Q2004" i="5"/>
  <c r="T2004" i="5" s="1"/>
  <c r="Q2463" i="5"/>
  <c r="T2463" i="5" s="1"/>
  <c r="Q629" i="5"/>
  <c r="T629" i="5" s="1"/>
  <c r="Q502" i="5"/>
  <c r="T502" i="5" s="1"/>
  <c r="Q235" i="5"/>
  <c r="T235" i="5" s="1"/>
  <c r="Q199" i="5"/>
  <c r="T199" i="5" s="1"/>
  <c r="Q962" i="5"/>
  <c r="T962" i="5" s="1"/>
  <c r="Q450" i="5"/>
  <c r="T450" i="5" s="1"/>
  <c r="Q1407" i="5"/>
  <c r="Q1655" i="5"/>
  <c r="T1655" i="5" s="1"/>
  <c r="Q311" i="5"/>
  <c r="Q568" i="5"/>
  <c r="T568" i="5" s="1"/>
  <c r="Q317" i="5"/>
  <c r="T317" i="5" s="1"/>
  <c r="Q1441" i="5"/>
  <c r="T1441" i="5" s="1"/>
  <c r="Q467" i="5"/>
  <c r="T467" i="5" s="1"/>
  <c r="Q1756" i="5"/>
  <c r="T1756" i="5" s="1"/>
  <c r="Q1411" i="5"/>
  <c r="T1411" i="5" s="1"/>
  <c r="Q109" i="5"/>
  <c r="T109" i="5" s="1"/>
  <c r="Q970" i="5"/>
  <c r="T970" i="5" s="1"/>
  <c r="Q2054" i="5"/>
  <c r="T2054" i="5" s="1"/>
  <c r="Q310" i="5"/>
  <c r="T310" i="5" s="1"/>
  <c r="Q998" i="5"/>
  <c r="T998" i="5" s="1"/>
  <c r="Q93" i="5"/>
  <c r="T93" i="5" s="1"/>
  <c r="Q1975" i="5"/>
  <c r="T1975" i="5" s="1"/>
  <c r="Q1385" i="5"/>
  <c r="T1385" i="5" s="1"/>
  <c r="Q975" i="5"/>
  <c r="T975" i="5" s="1"/>
  <c r="Q1676" i="5"/>
  <c r="T1676" i="5" s="1"/>
  <c r="Q768" i="5"/>
  <c r="T768" i="5" s="1"/>
  <c r="Q2254" i="5"/>
  <c r="T2254" i="5" s="1"/>
  <c r="Q314" i="5"/>
  <c r="T314" i="5" s="1"/>
  <c r="Q2333" i="5"/>
  <c r="T2333" i="5" s="1"/>
  <c r="Q1062" i="5"/>
  <c r="T1062" i="5" s="1"/>
  <c r="Q229" i="5"/>
  <c r="T229" i="5" s="1"/>
  <c r="Q2063" i="5"/>
  <c r="T2063" i="5" s="1"/>
  <c r="Q1120" i="5"/>
  <c r="T1120" i="5" s="1"/>
  <c r="Q672" i="5"/>
  <c r="T672" i="5" s="1"/>
  <c r="Q1102" i="5"/>
  <c r="T1102" i="5" s="1"/>
  <c r="Q1538" i="5"/>
  <c r="T1538" i="5" s="1"/>
  <c r="Q84" i="5"/>
  <c r="T84" i="5" s="1"/>
  <c r="Q96" i="5"/>
  <c r="T96" i="5" s="1"/>
  <c r="Q427" i="5"/>
  <c r="T427" i="5" s="1"/>
  <c r="Q732" i="5"/>
  <c r="T732" i="5" s="1"/>
  <c r="Q2060" i="5"/>
  <c r="T2060" i="5" s="1"/>
  <c r="Q1542" i="5"/>
  <c r="T1542" i="5" s="1"/>
  <c r="Q2005" i="5"/>
  <c r="T2005" i="5" s="1"/>
  <c r="Q724" i="5"/>
  <c r="T724" i="5" s="1"/>
  <c r="Q775" i="5"/>
  <c r="T775" i="5" s="1"/>
  <c r="Q1454" i="5"/>
  <c r="T1454" i="5" s="1"/>
  <c r="Q2160" i="5"/>
  <c r="T2160" i="5" s="1"/>
  <c r="Q1074" i="5"/>
  <c r="T1074" i="5" s="1"/>
  <c r="Q969" i="5"/>
  <c r="T969" i="5" s="1"/>
  <c r="Q544" i="5"/>
  <c r="T544" i="5" s="1"/>
  <c r="Q2115" i="5"/>
  <c r="Q898" i="5"/>
  <c r="T898" i="5" s="1"/>
  <c r="Q172" i="5"/>
  <c r="T172" i="5" s="1"/>
  <c r="Q68" i="5"/>
  <c r="T68" i="5" s="1"/>
  <c r="Q327" i="5"/>
  <c r="T327" i="5" s="1"/>
  <c r="Q1627" i="5"/>
  <c r="T1627" i="5" s="1"/>
  <c r="Q819" i="5"/>
  <c r="T819" i="5" s="1"/>
  <c r="Q796" i="5"/>
  <c r="T796" i="5" s="1"/>
  <c r="Q1942" i="5"/>
  <c r="T1942" i="5" s="1"/>
  <c r="Q704" i="5"/>
  <c r="T704" i="5" s="1"/>
  <c r="Q362" i="5"/>
  <c r="T362" i="5" s="1"/>
  <c r="Q1930" i="5"/>
  <c r="T1930" i="5" s="1"/>
  <c r="Q392" i="5"/>
  <c r="T392" i="5" s="1"/>
  <c r="Q194" i="5"/>
  <c r="T194" i="5" s="1"/>
  <c r="Q1157" i="5"/>
  <c r="T1157" i="5" s="1"/>
  <c r="Q987" i="5"/>
  <c r="T987" i="5" s="1"/>
  <c r="Q361" i="5"/>
  <c r="T361" i="5" s="1"/>
  <c r="Q504" i="5"/>
  <c r="T504" i="5" s="1"/>
  <c r="Q2052" i="5"/>
  <c r="T2052" i="5" s="1"/>
  <c r="Q589" i="5"/>
  <c r="T589" i="5" s="1"/>
  <c r="Q1336" i="5"/>
  <c r="T1336" i="5" s="1"/>
  <c r="Q2172" i="5"/>
  <c r="T2172" i="5" s="1"/>
  <c r="Q1950" i="5"/>
  <c r="T1950" i="5" s="1"/>
  <c r="Q812" i="5"/>
  <c r="T812" i="5" s="1"/>
  <c r="Q2329" i="5"/>
  <c r="T2329" i="5" s="1"/>
  <c r="Q2290" i="5"/>
  <c r="T2290" i="5" s="1"/>
  <c r="Q827" i="5"/>
  <c r="T827" i="5" s="1"/>
  <c r="Q2051" i="5"/>
  <c r="T2051" i="5" s="1"/>
  <c r="Q2140" i="5"/>
  <c r="T2140" i="5" s="1"/>
  <c r="Q99" i="5"/>
  <c r="T99" i="5" s="1"/>
  <c r="Q2355" i="5"/>
  <c r="T2355" i="5" s="1"/>
  <c r="Q873" i="5"/>
  <c r="T873" i="5" s="1"/>
  <c r="Q1618" i="5"/>
  <c r="T1618" i="5" s="1"/>
  <c r="Q1195" i="5"/>
  <c r="T1195" i="5" s="1"/>
  <c r="Q583" i="5"/>
  <c r="T583" i="5" s="1"/>
  <c r="Q1076" i="5"/>
  <c r="T1076" i="5" s="1"/>
  <c r="Q2337" i="5"/>
  <c r="T2337" i="5" s="1"/>
  <c r="Q85" i="5"/>
  <c r="T85" i="5" s="1"/>
  <c r="Q1691" i="5"/>
  <c r="T1691" i="5" s="1"/>
  <c r="Q2413" i="5"/>
  <c r="T2413" i="5" s="1"/>
  <c r="Q2427" i="5"/>
  <c r="T2427" i="5" s="1"/>
  <c r="Q355" i="5"/>
  <c r="T355" i="5" s="1"/>
  <c r="Q955" i="5"/>
  <c r="T955" i="5" s="1"/>
  <c r="Q667" i="5"/>
  <c r="T667" i="5" s="1"/>
  <c r="Q1476" i="5"/>
  <c r="T1476" i="5" s="1"/>
  <c r="Q1796" i="5"/>
  <c r="T1796" i="5" s="1"/>
  <c r="Q2080" i="5"/>
  <c r="T2080" i="5" s="1"/>
  <c r="Q1802" i="5"/>
  <c r="T1802" i="5" s="1"/>
  <c r="Q444" i="5"/>
  <c r="T444" i="5" s="1"/>
  <c r="Q1293" i="5"/>
  <c r="T1293" i="5" s="1"/>
  <c r="Q921" i="5"/>
  <c r="T921" i="5" s="1"/>
  <c r="Q1288" i="5"/>
  <c r="T1288" i="5" s="1"/>
  <c r="Q2372" i="5"/>
  <c r="T2372" i="5" s="1"/>
  <c r="Q1431" i="5"/>
  <c r="T1431" i="5" s="1"/>
  <c r="Q2109" i="5"/>
  <c r="T2109" i="5" s="1"/>
  <c r="Q462" i="5"/>
  <c r="T462" i="5" s="1"/>
  <c r="Q2081" i="5"/>
  <c r="T2081" i="5" s="1"/>
  <c r="Q2423" i="5"/>
  <c r="T2423" i="5" s="1"/>
  <c r="Q1974" i="5"/>
  <c r="Q2111" i="5"/>
  <c r="T2111" i="5" s="1"/>
  <c r="Q2258" i="5"/>
  <c r="Q2358" i="5"/>
  <c r="T2358" i="5" s="1"/>
  <c r="Q580" i="5"/>
  <c r="T580" i="5" s="1"/>
  <c r="Q1746" i="5"/>
  <c r="T1746" i="5" s="1"/>
  <c r="Q252" i="5"/>
  <c r="T252" i="5" s="1"/>
  <c r="Q954" i="5"/>
  <c r="T954" i="5" s="1"/>
  <c r="Q2019" i="5"/>
  <c r="T2019" i="5" s="1"/>
  <c r="Q441" i="5"/>
  <c r="T441" i="5" s="1"/>
  <c r="Q2267" i="5"/>
  <c r="T2267" i="5" s="1"/>
  <c r="Q1200" i="5"/>
  <c r="T1200" i="5" s="1"/>
  <c r="Q581" i="5"/>
  <c r="T581" i="5" s="1"/>
  <c r="Q1994" i="5"/>
  <c r="T1994" i="5" s="1"/>
  <c r="Q554" i="5"/>
  <c r="T554" i="5" s="1"/>
  <c r="Q776" i="5"/>
  <c r="T776" i="5" s="1"/>
  <c r="Q700" i="5"/>
  <c r="T700" i="5" s="1"/>
  <c r="Q2178" i="5"/>
  <c r="T2178" i="5" s="1"/>
  <c r="Q829" i="5"/>
  <c r="T829" i="5" s="1"/>
  <c r="Q2291" i="5"/>
  <c r="T2291" i="5" s="1"/>
  <c r="Q1804" i="5"/>
  <c r="T1804" i="5" s="1"/>
  <c r="Q2304" i="5"/>
  <c r="Q273" i="5"/>
  <c r="T273" i="5" s="1"/>
  <c r="Q123" i="5"/>
  <c r="T123" i="5" s="1"/>
  <c r="Q604" i="5"/>
  <c r="T604" i="5" s="1"/>
  <c r="Q1645" i="5"/>
  <c r="T1645" i="5" s="1"/>
  <c r="Q280" i="5"/>
  <c r="T280" i="5" s="1"/>
  <c r="Q1248" i="5"/>
  <c r="T1248" i="5" s="1"/>
  <c r="Q541" i="5"/>
  <c r="T541" i="5" s="1"/>
  <c r="Q2332" i="5"/>
  <c r="T2332" i="5" s="1"/>
  <c r="Q1679" i="5"/>
  <c r="T1679" i="5" s="1"/>
  <c r="Q2498" i="5"/>
  <c r="T2498" i="5" s="1"/>
  <c r="Q791" i="5"/>
  <c r="T791" i="5" s="1"/>
  <c r="Q2248" i="5"/>
  <c r="T2248" i="5" s="1"/>
  <c r="Q1643" i="5"/>
  <c r="T1643" i="5" s="1"/>
  <c r="Q1548" i="5"/>
  <c r="T1548" i="5" s="1"/>
  <c r="Q968" i="5"/>
  <c r="T968" i="5" s="1"/>
  <c r="Q1692" i="5"/>
  <c r="T1692" i="5" s="1"/>
  <c r="Q1038" i="5"/>
  <c r="T1038" i="5" s="1"/>
  <c r="Q2375" i="5"/>
  <c r="T2375" i="5" s="1"/>
  <c r="Q545" i="5"/>
  <c r="T545" i="5" s="1"/>
  <c r="Q1539" i="5"/>
  <c r="T1539" i="5" s="1"/>
  <c r="Q385" i="5"/>
  <c r="T385" i="5" s="1"/>
  <c r="Q1153" i="5"/>
  <c r="T1153" i="5" s="1"/>
  <c r="Q1916" i="5"/>
  <c r="T1916" i="5" s="1"/>
  <c r="Q1690" i="5"/>
  <c r="T1690" i="5" s="1"/>
  <c r="Q2016" i="5"/>
  <c r="T2016" i="5" s="1"/>
  <c r="Q1792" i="5"/>
  <c r="T1792" i="5" s="1"/>
  <c r="Q2442" i="5"/>
  <c r="T2442" i="5" s="1"/>
  <c r="Q305" i="5"/>
  <c r="T305" i="5" s="1"/>
  <c r="Q2360" i="5"/>
  <c r="T2360" i="5" s="1"/>
  <c r="Q47" i="5"/>
  <c r="T47" i="5" s="1"/>
  <c r="Q1417" i="5"/>
  <c r="T1417" i="5" s="1"/>
  <c r="Q1266" i="5"/>
  <c r="T1266" i="5" s="1"/>
  <c r="Q1384" i="5"/>
  <c r="T1384" i="5" s="1"/>
  <c r="Q2405" i="5"/>
  <c r="Q288" i="5"/>
  <c r="T288" i="5" s="1"/>
  <c r="Q1845" i="5"/>
  <c r="T1845" i="5" s="1"/>
  <c r="Q1498" i="5"/>
  <c r="T1498" i="5" s="1"/>
  <c r="Q1068" i="5"/>
  <c r="T1068" i="5" s="1"/>
  <c r="Q1003" i="5"/>
  <c r="T1003" i="5" s="1"/>
  <c r="Q183" i="5"/>
  <c r="Q2238" i="5"/>
  <c r="T2238" i="5" s="1"/>
  <c r="Q1231" i="5"/>
  <c r="T1231" i="5" s="1"/>
  <c r="Q224" i="5"/>
  <c r="T224" i="5" s="1"/>
  <c r="Q2335" i="5"/>
  <c r="T2335" i="5" s="1"/>
  <c r="Q1263" i="5"/>
  <c r="T1263" i="5" s="1"/>
  <c r="Q1100" i="5"/>
  <c r="T1100" i="5" s="1"/>
  <c r="Q1924" i="5"/>
  <c r="T1924" i="5" s="1"/>
  <c r="Q1507" i="5"/>
  <c r="T1507" i="5" s="1"/>
  <c r="Q445" i="5"/>
  <c r="T445" i="5" s="1"/>
  <c r="Q2361" i="5"/>
  <c r="T2361" i="5" s="1"/>
  <c r="Q2465" i="5"/>
  <c r="T2465" i="5" s="1"/>
  <c r="Q397" i="5"/>
  <c r="T397" i="5" s="1"/>
  <c r="Q658" i="5"/>
  <c r="T658" i="5" s="1"/>
  <c r="Q779" i="5"/>
  <c r="T779" i="5" s="1"/>
  <c r="Q244" i="5"/>
  <c r="T244" i="5" s="1"/>
  <c r="Q2237" i="5"/>
  <c r="T2237" i="5" s="1"/>
  <c r="Q1949" i="5"/>
  <c r="T1949" i="5" s="1"/>
  <c r="Q2387" i="5"/>
  <c r="T2387" i="5" s="1"/>
  <c r="Q2092" i="5"/>
  <c r="T2092" i="5" s="1"/>
  <c r="Q2322" i="5"/>
  <c r="T2322" i="5" s="1"/>
  <c r="Q2047" i="5"/>
  <c r="T2047" i="5" s="1"/>
  <c r="Q1296" i="5"/>
  <c r="T1296" i="5" s="1"/>
  <c r="Q1218" i="5"/>
  <c r="T1218" i="5" s="1"/>
  <c r="Q1624" i="5"/>
  <c r="T1624" i="5" s="1"/>
  <c r="Q253" i="5"/>
  <c r="T253" i="5" s="1"/>
  <c r="Q1759" i="5"/>
  <c r="T1759" i="5" s="1"/>
  <c r="Q716" i="5"/>
  <c r="T716" i="5" s="1"/>
  <c r="Q1208" i="5"/>
  <c r="T1208" i="5" s="1"/>
  <c r="Q1765" i="5"/>
  <c r="T1765" i="5" s="1"/>
  <c r="Q711" i="5"/>
  <c r="T711" i="5" s="1"/>
  <c r="Q429" i="5"/>
  <c r="T429" i="5" s="1"/>
  <c r="Q1282" i="5"/>
  <c r="T1282" i="5" s="1"/>
  <c r="Q2204" i="5"/>
  <c r="T2204" i="5" s="1"/>
  <c r="Q1918" i="5"/>
  <c r="T1918" i="5" s="1"/>
  <c r="Q2497" i="5"/>
  <c r="T2497" i="5" s="1"/>
  <c r="Q91" i="5"/>
  <c r="T91" i="5" s="1"/>
  <c r="Q1464" i="5"/>
  <c r="T1464" i="5" s="1"/>
  <c r="Q369" i="5"/>
  <c r="T369" i="5" s="1"/>
  <c r="Q2336" i="5"/>
  <c r="T2336" i="5" s="1"/>
  <c r="Q119" i="5"/>
  <c r="T119" i="5" s="1"/>
  <c r="Q2137" i="5"/>
  <c r="T2137" i="5" s="1"/>
  <c r="Q2367" i="5"/>
  <c r="T2367" i="5" s="1"/>
  <c r="Q866" i="5"/>
  <c r="T866" i="5" s="1"/>
  <c r="Q2129" i="5"/>
  <c r="T2129" i="5" s="1"/>
  <c r="Q87" i="5"/>
  <c r="T87" i="5" s="1"/>
  <c r="Q1828" i="5"/>
  <c r="T1828" i="5" s="1"/>
  <c r="Q1730" i="5"/>
  <c r="T1730" i="5" s="1"/>
  <c r="Q852" i="5"/>
  <c r="T852" i="5" s="1"/>
  <c r="Q507" i="5"/>
  <c r="T507" i="5" s="1"/>
  <c r="Q206" i="5"/>
  <c r="T206" i="5" s="1"/>
  <c r="Q92" i="5"/>
  <c r="T92" i="5" s="1"/>
  <c r="Q2356" i="5"/>
  <c r="T2356" i="5" s="1"/>
  <c r="Q634" i="5"/>
  <c r="T634" i="5" s="1"/>
  <c r="Q1547" i="5"/>
  <c r="T1547" i="5" s="1"/>
  <c r="Q2108" i="5"/>
  <c r="T2108" i="5" s="1"/>
  <c r="Q783" i="5"/>
  <c r="T783" i="5" s="1"/>
  <c r="Q1510" i="5"/>
  <c r="T1510" i="5" s="1"/>
  <c r="Q1831" i="5"/>
  <c r="T1831" i="5" s="1"/>
  <c r="Q752" i="5"/>
  <c r="T752" i="5" s="1"/>
  <c r="Q1782" i="5"/>
  <c r="Q367" i="5"/>
  <c r="T367" i="5" s="1"/>
  <c r="Q1830" i="5"/>
  <c r="T1830" i="5" s="1"/>
  <c r="Q86" i="5"/>
  <c r="T86" i="5" s="1"/>
  <c r="Q523" i="5"/>
  <c r="T523" i="5" s="1"/>
  <c r="Q2090" i="5"/>
  <c r="T2090" i="5" s="1"/>
  <c r="Q626" i="5"/>
  <c r="T626" i="5" s="1"/>
  <c r="Q957" i="5"/>
  <c r="T957" i="5" s="1"/>
  <c r="Q801" i="5"/>
  <c r="T801" i="5" s="1"/>
  <c r="Q313" i="5"/>
  <c r="T313" i="5" s="1"/>
  <c r="Q2330" i="5"/>
  <c r="T2330" i="5" s="1"/>
  <c r="Q1497" i="5"/>
  <c r="T1497" i="5" s="1"/>
  <c r="Q1755" i="5"/>
  <c r="T1755" i="5" s="1"/>
  <c r="Q2171" i="5"/>
  <c r="T2171" i="5" s="1"/>
  <c r="Q933" i="5"/>
  <c r="Q325" i="5"/>
  <c r="T325" i="5" s="1"/>
  <c r="Q497" i="5"/>
  <c r="T497" i="5" s="1"/>
  <c r="Q833" i="5"/>
  <c r="T833" i="5" s="1"/>
  <c r="Q1526" i="5"/>
  <c r="T1526" i="5" s="1"/>
  <c r="Q58" i="5"/>
  <c r="T58" i="5" s="1"/>
  <c r="Q2458" i="5"/>
  <c r="T2458" i="5" s="1"/>
  <c r="Q517" i="5"/>
  <c r="T517" i="5" s="1"/>
  <c r="Q454" i="5"/>
  <c r="T454" i="5" s="1"/>
  <c r="Q352" i="5"/>
  <c r="T352" i="5" s="1"/>
  <c r="Q941" i="5"/>
  <c r="Q1743" i="5"/>
  <c r="T1743" i="5" s="1"/>
  <c r="Q1599" i="5"/>
  <c r="T1599" i="5" s="1"/>
  <c r="Q1710" i="5"/>
  <c r="T1710" i="5" s="1"/>
  <c r="Q1007" i="5"/>
  <c r="T1007" i="5" s="1"/>
  <c r="Q2176" i="5"/>
  <c r="T2176" i="5" s="1"/>
  <c r="Q41" i="5"/>
  <c r="T41" i="5" s="1"/>
  <c r="Q643" i="5"/>
  <c r="T643" i="5" s="1"/>
  <c r="Q2142" i="5"/>
  <c r="T2142" i="5" s="1"/>
  <c r="Q2264" i="5"/>
  <c r="T2264" i="5" s="1"/>
  <c r="Q2446" i="5"/>
  <c r="T2446" i="5" s="1"/>
  <c r="Q1408" i="5"/>
  <c r="T1408" i="5" s="1"/>
  <c r="Q2002" i="5"/>
  <c r="T2002" i="5" s="1"/>
  <c r="Q539" i="5"/>
  <c r="T539" i="5" s="1"/>
  <c r="Q345" i="5"/>
  <c r="T345" i="5" s="1"/>
  <c r="Q1323" i="5"/>
  <c r="T1323" i="5" s="1"/>
  <c r="Q794" i="5"/>
  <c r="T794" i="5" s="1"/>
  <c r="Q2046" i="5"/>
  <c r="T2046" i="5" s="1"/>
  <c r="Q2110" i="5"/>
  <c r="T2110" i="5" s="1"/>
  <c r="Q1189" i="5"/>
  <c r="T1189" i="5" s="1"/>
  <c r="Q268" i="5"/>
  <c r="T268" i="5" s="1"/>
  <c r="Q1229" i="5"/>
  <c r="Q1644" i="5"/>
  <c r="T1644" i="5" s="1"/>
  <c r="Q2241" i="5"/>
  <c r="T2241" i="5" s="1"/>
  <c r="Q2373" i="5"/>
  <c r="T2373" i="5" s="1"/>
  <c r="Q647" i="5"/>
  <c r="T647" i="5" s="1"/>
  <c r="Q383" i="5"/>
  <c r="T383" i="5" s="1"/>
  <c r="Q2277" i="5"/>
  <c r="T2277" i="5" s="1"/>
  <c r="Q2378" i="5"/>
  <c r="T2378" i="5" s="1"/>
  <c r="Q1341" i="5"/>
  <c r="T1341" i="5" s="1"/>
  <c r="Q882" i="5"/>
  <c r="T882" i="5" s="1"/>
  <c r="Q669" i="5"/>
  <c r="T669" i="5" s="1"/>
  <c r="Q2083" i="5"/>
  <c r="T2083" i="5" s="1"/>
  <c r="Q2072" i="5"/>
  <c r="T2072" i="5" s="1"/>
  <c r="Q1279" i="5"/>
  <c r="T1279" i="5" s="1"/>
  <c r="Q1517" i="5"/>
  <c r="T1517" i="5" s="1"/>
  <c r="Q895" i="5"/>
  <c r="T895" i="5" s="1"/>
  <c r="Q164" i="5"/>
  <c r="T164" i="5" s="1"/>
  <c r="Q762" i="5"/>
  <c r="T762" i="5" s="1"/>
  <c r="Q1274" i="5"/>
  <c r="T1274" i="5" s="1"/>
  <c r="Q65" i="5"/>
  <c r="T65" i="5" s="1"/>
  <c r="Q1648" i="5"/>
  <c r="T1648" i="5" s="1"/>
  <c r="Q1595" i="5"/>
  <c r="T1595" i="5" s="1"/>
  <c r="Q2287" i="5"/>
  <c r="T2287" i="5" s="1"/>
  <c r="Q606" i="5"/>
  <c r="T606" i="5" s="1"/>
  <c r="Q1116" i="5"/>
  <c r="T1116" i="5" s="1"/>
  <c r="Q1533" i="5"/>
  <c r="T1533" i="5" s="1"/>
  <c r="Q2461" i="5"/>
  <c r="T2461" i="5" s="1"/>
  <c r="Q656" i="5"/>
  <c r="T656" i="5" s="1"/>
  <c r="Q1569" i="5"/>
  <c r="T1569" i="5" s="1"/>
  <c r="Q1717" i="5"/>
  <c r="T1717" i="5" s="1"/>
  <c r="Q1343" i="5"/>
  <c r="T1343" i="5" s="1"/>
  <c r="Q2059" i="5"/>
  <c r="T2059" i="5" s="1"/>
  <c r="Q1649" i="5"/>
  <c r="T1649" i="5" s="1"/>
  <c r="Q74" i="5"/>
  <c r="T74" i="5" s="1"/>
  <c r="Q344" i="5"/>
  <c r="T344" i="5" s="1"/>
  <c r="Q1375" i="5"/>
  <c r="T1375" i="5" s="1"/>
  <c r="Q1516" i="5"/>
  <c r="T1516" i="5" s="1"/>
  <c r="Q2199" i="5"/>
  <c r="T2199" i="5" s="1"/>
  <c r="Q2464" i="5"/>
  <c r="T2464" i="5" s="1"/>
  <c r="Q61" i="5"/>
  <c r="T61" i="5" s="1"/>
  <c r="Q1428" i="5"/>
  <c r="T1428" i="5" s="1"/>
  <c r="Q684" i="5"/>
  <c r="T684" i="5" s="1"/>
  <c r="Q744" i="5"/>
  <c r="T744" i="5" s="1"/>
  <c r="Q734" i="5"/>
  <c r="T734" i="5" s="1"/>
  <c r="Q605" i="5"/>
  <c r="T605" i="5" s="1"/>
  <c r="Q1302" i="5"/>
  <c r="T1302" i="5" s="1"/>
  <c r="Q1514" i="5"/>
  <c r="T1514" i="5" s="1"/>
  <c r="Q1233" i="5"/>
  <c r="Q16" i="5"/>
  <c r="T16" i="5" s="1"/>
  <c r="Q2069" i="5"/>
  <c r="T2069" i="5" s="1"/>
  <c r="Q923" i="5"/>
  <c r="T923" i="5" s="1"/>
  <c r="Q475" i="5"/>
  <c r="T475" i="5" s="1"/>
  <c r="Q627" i="5"/>
  <c r="T627" i="5" s="1"/>
  <c r="Q79" i="5"/>
  <c r="T79" i="5" s="1"/>
  <c r="Q448" i="5"/>
  <c r="T448" i="5" s="1"/>
  <c r="Q663" i="5"/>
  <c r="T663" i="5" s="1"/>
  <c r="Q738" i="5"/>
  <c r="T738" i="5" s="1"/>
  <c r="Q2262" i="5"/>
  <c r="T2262" i="5" s="1"/>
  <c r="Q909" i="5"/>
  <c r="T909" i="5" s="1"/>
  <c r="Q650" i="5"/>
  <c r="T650" i="5" s="1"/>
  <c r="Q1020" i="5"/>
  <c r="T1020" i="5" s="1"/>
  <c r="Q2313" i="5"/>
  <c r="T2313" i="5" s="1"/>
  <c r="Q1377" i="5"/>
  <c r="T1377" i="5" s="1"/>
  <c r="Q1301" i="5"/>
  <c r="T1301" i="5" s="1"/>
  <c r="Q210" i="5"/>
  <c r="T210" i="5" s="1"/>
  <c r="Q636" i="5"/>
  <c r="T636" i="5" s="1"/>
  <c r="Q1268" i="5"/>
  <c r="T1268" i="5" s="1"/>
  <c r="Q2374" i="5"/>
  <c r="T2374" i="5" s="1"/>
  <c r="Q395" i="5"/>
  <c r="T395" i="5" s="1"/>
  <c r="Q80" i="5"/>
  <c r="Q19" i="5"/>
  <c r="T19" i="5" s="1"/>
  <c r="Q291" i="5"/>
  <c r="T291" i="5" s="1"/>
  <c r="Q463" i="5"/>
  <c r="Q1357" i="5"/>
  <c r="T1357" i="5" s="1"/>
  <c r="Q1432" i="5"/>
  <c r="T1432" i="5" s="1"/>
  <c r="Q1786" i="5"/>
  <c r="T1786" i="5" s="1"/>
  <c r="Q50" i="5"/>
  <c r="T50" i="5" s="1"/>
  <c r="Q1478" i="5"/>
  <c r="T1478" i="5" s="1"/>
  <c r="Q1852" i="5"/>
  <c r="T1852" i="5" s="1"/>
  <c r="Q2226" i="5"/>
  <c r="T2226" i="5" s="1"/>
  <c r="Q2471" i="5"/>
  <c r="T2471" i="5" s="1"/>
  <c r="Q1505" i="5"/>
  <c r="T1505" i="5" s="1"/>
  <c r="Q640" i="5"/>
  <c r="T640" i="5" s="1"/>
  <c r="Q2489" i="5"/>
  <c r="T2489" i="5" s="1"/>
  <c r="Q1439" i="5"/>
  <c r="T1439" i="5" s="1"/>
  <c r="Q1955" i="5"/>
  <c r="T1955" i="5" s="1"/>
  <c r="Q2365" i="5"/>
  <c r="T2365" i="5" s="1"/>
  <c r="Q2404" i="5"/>
  <c r="T2404" i="5" s="1"/>
  <c r="Q952" i="5"/>
  <c r="T952" i="5" s="1"/>
  <c r="Q850" i="5"/>
  <c r="T850" i="5" s="1"/>
  <c r="Q1032" i="5"/>
  <c r="T1032" i="5" s="1"/>
  <c r="Q1915" i="5"/>
  <c r="T1915" i="5" s="1"/>
  <c r="Q1188" i="5"/>
  <c r="T1188" i="5" s="1"/>
  <c r="Q991" i="5"/>
  <c r="T991" i="5" s="1"/>
  <c r="Q1987" i="5"/>
  <c r="T1987" i="5" s="1"/>
  <c r="Q1646" i="5"/>
  <c r="T1646" i="5" s="1"/>
  <c r="Q1069" i="5"/>
  <c r="T1069" i="5" s="1"/>
  <c r="Q1031" i="5"/>
  <c r="T1031" i="5" s="1"/>
  <c r="Q2474" i="5"/>
  <c r="T2474" i="5" s="1"/>
  <c r="Q1051" i="5"/>
  <c r="T1051" i="5" s="1"/>
  <c r="Q584" i="5"/>
  <c r="T584" i="5" s="1"/>
  <c r="Q1089" i="5"/>
  <c r="T1089" i="5" s="1"/>
  <c r="Q2492" i="5"/>
  <c r="T2492" i="5" s="1"/>
  <c r="Q736" i="5"/>
  <c r="T736" i="5" s="1"/>
  <c r="Q1039" i="5"/>
  <c r="T1039" i="5" s="1"/>
  <c r="Q2382" i="5"/>
  <c r="T2382" i="5" s="1"/>
  <c r="Q611" i="5"/>
  <c r="T611" i="5" s="1"/>
  <c r="Q2167" i="5"/>
  <c r="T2167" i="5" s="1"/>
  <c r="Q2318" i="5"/>
  <c r="T2318" i="5" s="1"/>
  <c r="Q1610" i="5"/>
  <c r="T1610" i="5" s="1"/>
  <c r="Q270" i="5"/>
  <c r="T270" i="5" s="1"/>
  <c r="Q242" i="5"/>
  <c r="T242" i="5" s="1"/>
  <c r="Q145" i="5"/>
  <c r="T145" i="5" s="1"/>
  <c r="Q307" i="5"/>
  <c r="T307" i="5" s="1"/>
  <c r="Q1965" i="5"/>
  <c r="T1965" i="5" s="1"/>
  <c r="Q582" i="5"/>
  <c r="T582" i="5" s="1"/>
  <c r="Q1409" i="5"/>
  <c r="T1409" i="5" s="1"/>
  <c r="Q1037" i="5"/>
  <c r="T1037" i="5" s="1"/>
  <c r="Q516" i="5"/>
  <c r="T516" i="5" s="1"/>
  <c r="Q862" i="5"/>
  <c r="T862" i="5" s="1"/>
  <c r="Q1862" i="5"/>
  <c r="T1862" i="5" s="1"/>
  <c r="Q820" i="5"/>
  <c r="T820" i="5" s="1"/>
  <c r="Q988" i="5"/>
  <c r="T988" i="5" s="1"/>
  <c r="Q163" i="5"/>
  <c r="T163" i="5" s="1"/>
  <c r="Q2486" i="5"/>
  <c r="T2486" i="5" s="1"/>
  <c r="Q466" i="5"/>
  <c r="T466" i="5" s="1"/>
  <c r="Q967" i="5"/>
  <c r="T967" i="5" s="1"/>
  <c r="Q1558" i="5"/>
  <c r="T1558" i="5" s="1"/>
  <c r="Q1027" i="5"/>
  <c r="T1027" i="5" s="1"/>
  <c r="Q104" i="5"/>
  <c r="T104" i="5" s="1"/>
  <c r="Q2481" i="5"/>
  <c r="Q2220" i="5"/>
  <c r="T2220" i="5" s="1"/>
  <c r="Q2468" i="5"/>
  <c r="T2468" i="5" s="1"/>
  <c r="Q2288" i="5"/>
  <c r="T2288" i="5" s="1"/>
  <c r="Q90" i="5"/>
  <c r="Q746" i="5"/>
  <c r="T746" i="5" s="1"/>
  <c r="Q1633" i="5"/>
  <c r="T1633" i="5" s="1"/>
  <c r="Q170" i="5"/>
  <c r="T170" i="5" s="1"/>
  <c r="Q418" i="5"/>
  <c r="T418" i="5" s="1"/>
  <c r="Q2041" i="5"/>
  <c r="T2041" i="5" s="1"/>
  <c r="Q1090" i="5"/>
  <c r="T1090" i="5" s="1"/>
  <c r="Q1711" i="5"/>
  <c r="T1711" i="5" s="1"/>
  <c r="Q1047" i="5"/>
  <c r="T1047" i="5" s="1"/>
  <c r="Q358" i="5"/>
  <c r="T358" i="5" s="1"/>
  <c r="Q401" i="5"/>
  <c r="T401" i="5" s="1"/>
  <c r="Q259" i="5"/>
  <c r="T259" i="5" s="1"/>
  <c r="Q1903" i="5"/>
  <c r="T1903" i="5" s="1"/>
  <c r="Q1779" i="5"/>
  <c r="T1779" i="5" s="1"/>
  <c r="Q10" i="5"/>
  <c r="T10" i="5" s="1"/>
  <c r="Q1129" i="5"/>
  <c r="T1129" i="5" s="1"/>
  <c r="Q1696" i="5"/>
  <c r="T1696" i="5" s="1"/>
  <c r="Q1356" i="5"/>
  <c r="T1356" i="5" s="1"/>
  <c r="Q332" i="5"/>
  <c r="T332" i="5" s="1"/>
  <c r="Q1500" i="5"/>
  <c r="T1500" i="5" s="1"/>
  <c r="Q561" i="5"/>
  <c r="T561" i="5" s="1"/>
  <c r="Q2210" i="5"/>
  <c r="T2210" i="5" s="1"/>
  <c r="Q272" i="5"/>
  <c r="Q2245" i="5"/>
  <c r="T2245" i="5" s="1"/>
  <c r="Q212" i="5"/>
  <c r="T212" i="5" s="1"/>
  <c r="Q2225" i="5"/>
  <c r="T2225" i="5" s="1"/>
  <c r="Q670" i="5"/>
  <c r="T670" i="5" s="1"/>
  <c r="Q737" i="5"/>
  <c r="Q572" i="5"/>
  <c r="T572" i="5" s="1"/>
  <c r="Q912" i="5"/>
  <c r="T912" i="5" s="1"/>
  <c r="Q948" i="5"/>
  <c r="T948" i="5" s="1"/>
  <c r="Q730" i="5"/>
  <c r="T730" i="5" s="1"/>
  <c r="Q1957" i="5"/>
  <c r="T1957" i="5" s="1"/>
  <c r="Q867" i="5"/>
  <c r="T867" i="5" s="1"/>
  <c r="Q225" i="5"/>
  <c r="T225" i="5" s="1"/>
  <c r="Q1829" i="5"/>
  <c r="T1829" i="5" s="1"/>
  <c r="Q1059" i="5"/>
  <c r="T1059" i="5" s="1"/>
  <c r="Q1995" i="5"/>
  <c r="T1995" i="5" s="1"/>
  <c r="Q139" i="5"/>
  <c r="T139" i="5" s="1"/>
  <c r="Q456" i="5"/>
  <c r="T456" i="5" s="1"/>
  <c r="Q664" i="5"/>
  <c r="T664" i="5" s="1"/>
  <c r="Q1989" i="5"/>
  <c r="T1989" i="5" s="1"/>
  <c r="Q2257" i="5"/>
  <c r="T2257" i="5" s="1"/>
  <c r="Q2132" i="5"/>
  <c r="T2132" i="5" s="1"/>
  <c r="Q1226" i="5"/>
  <c r="T1226" i="5" s="1"/>
  <c r="Q2048" i="5"/>
  <c r="T2048" i="5" s="1"/>
  <c r="Q1825" i="5"/>
  <c r="T1825" i="5" s="1"/>
  <c r="Q2484" i="5"/>
  <c r="T2484" i="5" s="1"/>
  <c r="Q2326" i="5"/>
  <c r="T2326" i="5" s="1"/>
  <c r="Q207" i="5"/>
  <c r="T207" i="5" s="1"/>
  <c r="Q2401" i="5"/>
  <c r="T2401" i="5" s="1"/>
  <c r="Q560" i="5"/>
  <c r="T560" i="5" s="1"/>
  <c r="Q363" i="5"/>
  <c r="T363" i="5" s="1"/>
  <c r="Q1895" i="5"/>
  <c r="T1895" i="5" s="1"/>
  <c r="Q570" i="5"/>
  <c r="T570" i="5" s="1"/>
  <c r="Q247" i="5"/>
  <c r="T247" i="5" s="1"/>
  <c r="Q1372" i="5"/>
  <c r="T1372" i="5" s="1"/>
  <c r="Q264" i="5"/>
  <c r="T264" i="5" s="1"/>
  <c r="Q2380" i="5"/>
  <c r="T2380" i="5" s="1"/>
  <c r="Q757" i="5"/>
  <c r="T757" i="5" s="1"/>
  <c r="Q483" i="5"/>
  <c r="T483" i="5" s="1"/>
  <c r="Q2265" i="5"/>
  <c r="T2265" i="5" s="1"/>
  <c r="Q447" i="5"/>
  <c r="T447" i="5" s="1"/>
  <c r="Q1221" i="5"/>
  <c r="T1221" i="5" s="1"/>
  <c r="Q1939" i="5"/>
  <c r="T1939" i="5" s="1"/>
  <c r="Q986" i="5"/>
  <c r="T986" i="5" s="1"/>
  <c r="Q2066" i="5"/>
  <c r="T2066" i="5" s="1"/>
  <c r="Q1787" i="5"/>
  <c r="T1787" i="5" s="1"/>
  <c r="Q377" i="5"/>
  <c r="Q1666" i="5"/>
  <c r="T1666" i="5" s="1"/>
  <c r="Q1508" i="5"/>
  <c r="T1508" i="5" s="1"/>
  <c r="Q563" i="5"/>
  <c r="T563" i="5" s="1"/>
  <c r="Q834" i="5"/>
  <c r="T834" i="5" s="1"/>
  <c r="Q1870" i="5"/>
  <c r="T1870" i="5" s="1"/>
  <c r="Q2189" i="5"/>
  <c r="T2189" i="5" s="1"/>
  <c r="Q2272" i="5"/>
  <c r="T2272" i="5" s="1"/>
  <c r="Q777" i="5"/>
  <c r="T777" i="5" s="1"/>
  <c r="Q694" i="5"/>
  <c r="T694" i="5" s="1"/>
  <c r="Q864" i="5"/>
  <c r="T864" i="5" s="1"/>
  <c r="Q407" i="5"/>
  <c r="Q409" i="5"/>
  <c r="T409" i="5" s="1"/>
  <c r="Q1124" i="5"/>
  <c r="T1124" i="5" s="1"/>
  <c r="Q2470" i="5"/>
  <c r="T2470" i="5" s="1"/>
  <c r="Q1590" i="5"/>
  <c r="T1590" i="5" s="1"/>
  <c r="Q1742" i="5"/>
  <c r="T1742" i="5" s="1"/>
  <c r="Q1358" i="5"/>
  <c r="T1358" i="5" s="1"/>
  <c r="Q337" i="5"/>
  <c r="T337" i="5" s="1"/>
  <c r="Q340" i="5"/>
  <c r="T340" i="5" s="1"/>
  <c r="Q1660" i="5"/>
  <c r="T1660" i="5" s="1"/>
  <c r="Q810" i="5"/>
  <c r="T810" i="5" s="1"/>
  <c r="Q1446" i="5"/>
  <c r="T1446" i="5" s="1"/>
  <c r="Q1063" i="5"/>
  <c r="T1063" i="5" s="1"/>
  <c r="Q1776" i="5"/>
  <c r="T1776" i="5" s="1"/>
  <c r="Q2323" i="5"/>
  <c r="T2323" i="5" s="1"/>
  <c r="Q112" i="5"/>
  <c r="T112" i="5" s="1"/>
  <c r="Q263" i="5"/>
  <c r="T263" i="5" s="1"/>
  <c r="Q2302" i="5"/>
  <c r="T2302" i="5" s="1"/>
  <c r="Q2045" i="5"/>
  <c r="T2045" i="5" s="1"/>
  <c r="Q2457" i="5"/>
  <c r="T2457" i="5" s="1"/>
  <c r="Q1204" i="5"/>
  <c r="T1204" i="5" s="1"/>
  <c r="Q378" i="5"/>
  <c r="T378" i="5" s="1"/>
  <c r="Q2029" i="5"/>
  <c r="Q1958" i="5"/>
  <c r="T1958" i="5" s="1"/>
  <c r="Q1653" i="5"/>
  <c r="T1653" i="5" s="1"/>
  <c r="Q1871" i="5"/>
  <c r="T1871" i="5" s="1"/>
  <c r="Q2196" i="5"/>
  <c r="T2196" i="5" s="1"/>
  <c r="Q1834" i="5"/>
  <c r="T1834" i="5" s="1"/>
  <c r="Q2414" i="5"/>
  <c r="T2414" i="5" s="1"/>
  <c r="Q1399" i="5"/>
  <c r="T1399" i="5" s="1"/>
  <c r="Q245" i="5"/>
  <c r="T245" i="5" s="1"/>
  <c r="Q576" i="5"/>
  <c r="T576" i="5" s="1"/>
  <c r="Q1970" i="5"/>
  <c r="T1970" i="5" s="1"/>
  <c r="Q1088" i="5"/>
  <c r="T1088" i="5" s="1"/>
  <c r="Q1854" i="5"/>
  <c r="T1854" i="5" s="1"/>
  <c r="Q566" i="5"/>
  <c r="T566" i="5" s="1"/>
  <c r="Q2024" i="5"/>
  <c r="T2024" i="5" s="1"/>
  <c r="Q593" i="5"/>
  <c r="T593" i="5" s="1"/>
  <c r="Q347" i="5"/>
  <c r="T347" i="5" s="1"/>
  <c r="Q557" i="5"/>
  <c r="T557" i="5" s="1"/>
  <c r="Q366" i="5"/>
  <c r="T366" i="5" s="1"/>
  <c r="Q2091" i="5"/>
  <c r="T2091" i="5" s="1"/>
  <c r="Q230" i="5"/>
  <c r="T230" i="5" s="1"/>
  <c r="Q2190" i="5"/>
  <c r="T2190" i="5" s="1"/>
  <c r="Q181" i="5"/>
  <c r="T181" i="5" s="1"/>
  <c r="Q2231" i="5"/>
  <c r="T2231" i="5" s="1"/>
  <c r="Q15" i="5"/>
  <c r="T15" i="5" s="1"/>
  <c r="Q505" i="5"/>
  <c r="T505" i="5" s="1"/>
  <c r="Q373" i="5"/>
  <c r="T373" i="5" s="1"/>
  <c r="Q1477" i="5"/>
  <c r="T1477" i="5" s="1"/>
  <c r="Q95" i="5"/>
  <c r="T95" i="5" s="1"/>
  <c r="Q1425" i="5"/>
  <c r="T1425" i="5" s="1"/>
  <c r="Q2398" i="5"/>
  <c r="T2398" i="5" s="1"/>
  <c r="Q2163" i="5"/>
  <c r="T2163" i="5" s="1"/>
  <c r="Q1450" i="5"/>
  <c r="T1450" i="5" s="1"/>
  <c r="Q56" i="5"/>
  <c r="T56" i="5" s="1"/>
  <c r="Q1898" i="5"/>
  <c r="T1898" i="5" s="1"/>
  <c r="Q1241" i="5"/>
  <c r="T1241" i="5" s="1"/>
  <c r="Q745" i="5"/>
  <c r="T745" i="5" s="1"/>
  <c r="Q1391" i="5"/>
  <c r="T1391" i="5" s="1"/>
  <c r="Q897" i="5"/>
  <c r="T897" i="5" s="1"/>
  <c r="Q1010" i="5"/>
  <c r="T1010" i="5" s="1"/>
  <c r="Q648" i="5"/>
  <c r="T648" i="5" s="1"/>
  <c r="Q2213" i="5"/>
  <c r="T2213" i="5" s="1"/>
  <c r="Q2130" i="5"/>
  <c r="Q993" i="5"/>
  <c r="T993" i="5" s="1"/>
  <c r="Q1244" i="5"/>
  <c r="T1244" i="5" s="1"/>
  <c r="Q107" i="5"/>
  <c r="T107" i="5" s="1"/>
  <c r="Q1893" i="5"/>
  <c r="T1893" i="5" s="1"/>
  <c r="Q743" i="5"/>
  <c r="T743" i="5" s="1"/>
  <c r="Q1613" i="5"/>
  <c r="T1613" i="5" s="1"/>
  <c r="Q1562" i="5"/>
  <c r="T1562" i="5" s="1"/>
  <c r="Q2036" i="5"/>
  <c r="T2036" i="5" s="1"/>
  <c r="Q1249" i="5"/>
  <c r="T1249" i="5" s="1"/>
  <c r="Q2009" i="5"/>
  <c r="T2009" i="5" s="1"/>
  <c r="Q705" i="5"/>
  <c r="Q1414" i="5"/>
  <c r="T1414" i="5" s="1"/>
  <c r="Q1142" i="5"/>
  <c r="T1142" i="5" s="1"/>
  <c r="Q1273" i="5"/>
  <c r="Q1774" i="5"/>
  <c r="T1774" i="5" s="1"/>
  <c r="Q209" i="5"/>
  <c r="T209" i="5" s="1"/>
  <c r="Q1689" i="5"/>
  <c r="T1689" i="5" s="1"/>
  <c r="Q939" i="5"/>
  <c r="T939" i="5" s="1"/>
  <c r="Q540" i="5"/>
  <c r="T540" i="5" s="1"/>
  <c r="Q675" i="5"/>
  <c r="T675" i="5" s="1"/>
  <c r="Q2445" i="5"/>
  <c r="T2445" i="5" s="1"/>
  <c r="Q1544" i="5"/>
  <c r="T1544" i="5" s="1"/>
  <c r="Q586" i="5"/>
  <c r="T586" i="5" s="1"/>
  <c r="Q178" i="5"/>
  <c r="T178" i="5" s="1"/>
  <c r="Q2141" i="5"/>
  <c r="T2141" i="5" s="1"/>
  <c r="Q1889" i="5"/>
  <c r="T1889" i="5" s="1"/>
  <c r="Q616" i="5"/>
  <c r="T616" i="5" s="1"/>
  <c r="Q1674" i="5"/>
  <c r="T1674" i="5" s="1"/>
  <c r="Q1187" i="5"/>
  <c r="T1187" i="5" s="1"/>
  <c r="Q410" i="5"/>
  <c r="T410" i="5" s="1"/>
  <c r="Q2084" i="5"/>
  <c r="T2084" i="5" s="1"/>
  <c r="Q2359" i="5"/>
  <c r="T2359" i="5" s="1"/>
  <c r="Q1922" i="5"/>
  <c r="T1922" i="5" s="1"/>
  <c r="Q2023" i="5"/>
  <c r="T2023" i="5" s="1"/>
  <c r="Q1910" i="5"/>
  <c r="T1910" i="5" s="1"/>
  <c r="Q67" i="5"/>
  <c r="T67" i="5" s="1"/>
  <c r="Q1883" i="5"/>
  <c r="T1883" i="5" s="1"/>
  <c r="Q1724" i="5"/>
  <c r="T1724" i="5" s="1"/>
  <c r="Q1513" i="5"/>
  <c r="T1513" i="5" s="1"/>
  <c r="Q1131" i="5"/>
  <c r="T1131" i="5" s="1"/>
  <c r="Q1962" i="5"/>
  <c r="T1962" i="5" s="1"/>
  <c r="Q1455" i="5"/>
  <c r="T1455" i="5" s="1"/>
  <c r="Q1098" i="5"/>
  <c r="T1098" i="5" s="1"/>
  <c r="Q1030" i="5"/>
  <c r="T1030" i="5" s="1"/>
  <c r="Q1178" i="5"/>
  <c r="T1178" i="5" s="1"/>
  <c r="Q190" i="5"/>
  <c r="T190" i="5" s="1"/>
  <c r="Q1745" i="5"/>
  <c r="T1745" i="5" s="1"/>
  <c r="Q600" i="5"/>
  <c r="T600" i="5" s="1"/>
  <c r="Q1065" i="5"/>
  <c r="T1065" i="5" s="1"/>
  <c r="Q1421" i="5"/>
  <c r="T1421" i="5" s="1"/>
  <c r="Q662" i="5"/>
  <c r="T662" i="5" s="1"/>
  <c r="Q177" i="5"/>
  <c r="T177" i="5" s="1"/>
  <c r="Q574" i="5"/>
  <c r="T574" i="5" s="1"/>
  <c r="Q891" i="5"/>
  <c r="T891" i="5" s="1"/>
  <c r="Q1530" i="5"/>
  <c r="T1530" i="5" s="1"/>
  <c r="Q2366" i="5"/>
  <c r="T2366" i="5" s="1"/>
  <c r="Q2174" i="5"/>
  <c r="T2174" i="5" s="1"/>
  <c r="Q863" i="5"/>
  <c r="T863" i="5" s="1"/>
  <c r="Q322" i="5"/>
  <c r="T322" i="5" s="1"/>
  <c r="Q1647" i="5"/>
  <c r="T1647" i="5" s="1"/>
  <c r="Q2321" i="5"/>
  <c r="T2321" i="5" s="1"/>
  <c r="Q1972" i="5"/>
  <c r="T1972" i="5" s="1"/>
  <c r="Q2297" i="5"/>
  <c r="T2297" i="5" s="1"/>
  <c r="Q2234" i="5"/>
  <c r="T2234" i="5" s="1"/>
  <c r="Q1664" i="5"/>
  <c r="T1664" i="5" s="1"/>
  <c r="Q1763" i="5"/>
  <c r="T1763" i="5" s="1"/>
  <c r="Q1826" i="5"/>
  <c r="T1826" i="5" s="1"/>
  <c r="Q1519" i="5"/>
  <c r="T1519" i="5" s="1"/>
  <c r="Q439" i="5"/>
  <c r="T439" i="5" s="1"/>
  <c r="Q55" i="5"/>
  <c r="T55" i="5" s="1"/>
  <c r="Q1119" i="5"/>
  <c r="T1119" i="5" s="1"/>
  <c r="Q2177" i="5"/>
  <c r="T2177" i="5" s="1"/>
  <c r="Q1811" i="5"/>
  <c r="T1811" i="5" s="1"/>
  <c r="Q559" i="5"/>
  <c r="T559" i="5" s="1"/>
  <c r="Q1108" i="5"/>
  <c r="T1108" i="5" s="1"/>
  <c r="Q2087" i="5"/>
  <c r="T2087" i="5" s="1"/>
  <c r="Q2296" i="5"/>
  <c r="T2296" i="5" s="1"/>
  <c r="Q772" i="5"/>
  <c r="T772" i="5" s="1"/>
  <c r="Q1283" i="5"/>
  <c r="Q2037" i="5"/>
  <c r="T2037" i="5" s="1"/>
  <c r="Q857" i="5"/>
  <c r="T857" i="5" s="1"/>
  <c r="Q2419" i="5"/>
  <c r="T2419" i="5" s="1"/>
  <c r="Q1346" i="5"/>
  <c r="T1346" i="5" s="1"/>
  <c r="Q2223" i="5"/>
  <c r="T2223" i="5" s="1"/>
  <c r="Q422" i="5"/>
  <c r="T422" i="5" s="1"/>
  <c r="Q2010" i="5"/>
  <c r="T2010" i="5" s="1"/>
  <c r="Q573" i="5"/>
  <c r="T573" i="5" s="1"/>
  <c r="Q818" i="5"/>
  <c r="Q338" i="5"/>
  <c r="T338" i="5" s="1"/>
  <c r="Q45" i="5"/>
  <c r="T45" i="5" s="1"/>
  <c r="Q2228" i="5"/>
  <c r="T2228" i="5" s="1"/>
  <c r="Q876" i="5"/>
  <c r="T876" i="5" s="1"/>
  <c r="Q341" i="5"/>
  <c r="T341" i="5" s="1"/>
  <c r="Q1256" i="5"/>
  <c r="T1256" i="5" s="1"/>
  <c r="Q356" i="5"/>
  <c r="T356" i="5" s="1"/>
  <c r="Q2281" i="5"/>
  <c r="T2281" i="5" s="1"/>
  <c r="Q1608" i="5"/>
  <c r="T1608" i="5" s="1"/>
  <c r="Q73" i="5"/>
  <c r="T73" i="5" s="1"/>
  <c r="Q1019" i="5"/>
  <c r="T1019" i="5" s="1"/>
  <c r="Q2348" i="5"/>
  <c r="T2348" i="5" s="1"/>
  <c r="Q2113" i="5"/>
  <c r="T2113" i="5" s="1"/>
  <c r="Q71" i="5"/>
  <c r="T71" i="5" s="1"/>
  <c r="Q51" i="5"/>
  <c r="T51" i="5" s="1"/>
  <c r="Q202" i="5"/>
  <c r="T202" i="5" s="1"/>
  <c r="Q262" i="5"/>
  <c r="T262" i="5" s="1"/>
  <c r="Q1397" i="5"/>
  <c r="T1397" i="5" s="1"/>
  <c r="Q1259" i="5"/>
  <c r="T1259" i="5" s="1"/>
  <c r="Q1085" i="5"/>
  <c r="T1085" i="5" s="1"/>
  <c r="Q1697" i="5"/>
  <c r="T1697" i="5" s="1"/>
  <c r="Q2166" i="5"/>
  <c r="T2166" i="5" s="1"/>
  <c r="Q1725" i="5"/>
  <c r="Q2207" i="5"/>
  <c r="T2207" i="5" s="1"/>
  <c r="Q1865" i="5"/>
  <c r="T1865" i="5" s="1"/>
  <c r="Q1211" i="5"/>
  <c r="T1211" i="5" s="1"/>
  <c r="Q1258" i="5"/>
  <c r="T1258" i="5" s="1"/>
  <c r="Q1327" i="5"/>
  <c r="T1327" i="5" s="1"/>
  <c r="Q204" i="5"/>
  <c r="Q1583" i="5"/>
  <c r="T1583" i="5" s="1"/>
  <c r="Q1964" i="5"/>
  <c r="T1964" i="5" s="1"/>
  <c r="Q2493" i="5"/>
  <c r="T2493" i="5" s="1"/>
  <c r="Q618" i="5"/>
  <c r="T618" i="5" s="1"/>
  <c r="Q1216" i="5"/>
  <c r="T1216" i="5" s="1"/>
  <c r="Q1702" i="5"/>
  <c r="T1702" i="5" s="1"/>
  <c r="Q1620" i="5"/>
  <c r="T1620" i="5" s="1"/>
  <c r="Q1890" i="5"/>
  <c r="T1890" i="5" s="1"/>
  <c r="Q562" i="5"/>
  <c r="T562" i="5" s="1"/>
  <c r="Q660" i="5"/>
  <c r="T660" i="5" s="1"/>
  <c r="Q2119" i="5"/>
  <c r="T2119" i="5" s="1"/>
  <c r="Q1723" i="5"/>
  <c r="T1723" i="5" s="1"/>
  <c r="Q735" i="5"/>
  <c r="T735" i="5" s="1"/>
  <c r="Q1848" i="5"/>
  <c r="T1848" i="5" s="1"/>
  <c r="Q501" i="5"/>
  <c r="T501" i="5" s="1"/>
  <c r="Q2155" i="5"/>
  <c r="T2155" i="5" s="1"/>
  <c r="Q1008" i="5"/>
  <c r="T1008" i="5" s="1"/>
  <c r="Q2175" i="5"/>
  <c r="T2175" i="5" s="1"/>
  <c r="Q287" i="5"/>
  <c r="Q2451" i="5"/>
  <c r="T2451" i="5" s="1"/>
  <c r="Q1625" i="5"/>
  <c r="T1625" i="5" s="1"/>
  <c r="Q2283" i="5"/>
  <c r="T2283" i="5" s="1"/>
  <c r="Q1485" i="5"/>
  <c r="T1485" i="5" s="1"/>
  <c r="Q1376" i="5"/>
  <c r="T1376" i="5" s="1"/>
  <c r="Q808" i="5"/>
  <c r="T808" i="5" s="1"/>
  <c r="Q1250" i="5"/>
  <c r="T1250" i="5" s="1"/>
  <c r="Q336" i="5"/>
  <c r="T336" i="5" s="1"/>
  <c r="Q836" i="5"/>
  <c r="T836" i="5" s="1"/>
  <c r="Q1619" i="5"/>
  <c r="T1619" i="5" s="1"/>
  <c r="Q2233" i="5"/>
  <c r="T2233" i="5" s="1"/>
  <c r="Q1394" i="5"/>
  <c r="T1394" i="5" s="1"/>
  <c r="Q914" i="5"/>
  <c r="T914" i="5" s="1"/>
  <c r="Q1876" i="5"/>
  <c r="T1876" i="5" s="1"/>
  <c r="Q749" i="5"/>
  <c r="T749" i="5" s="1"/>
  <c r="Q2095" i="5"/>
  <c r="T2095" i="5" s="1"/>
  <c r="Q308" i="5"/>
  <c r="T308" i="5" s="1"/>
  <c r="Q393" i="5"/>
  <c r="T393" i="5" s="1"/>
  <c r="Q1678" i="5"/>
  <c r="T1678" i="5" s="1"/>
  <c r="Q1675" i="5"/>
  <c r="Q318" i="5"/>
  <c r="T318" i="5" s="1"/>
  <c r="Q246" i="5"/>
  <c r="T246" i="5" s="1"/>
  <c r="Q1843" i="5"/>
  <c r="Q513" i="5"/>
  <c r="T513" i="5" s="1"/>
  <c r="Q2443" i="5"/>
  <c r="T2443" i="5" s="1"/>
  <c r="Q381" i="5"/>
  <c r="T381" i="5" s="1"/>
  <c r="Q1061" i="5"/>
  <c r="T1061" i="5" s="1"/>
  <c r="Q1224" i="5"/>
  <c r="T1224" i="5" s="1"/>
  <c r="Q2205" i="5"/>
  <c r="T2205" i="5" s="1"/>
  <c r="Q1721" i="5"/>
  <c r="T1721" i="5" s="1"/>
  <c r="Q2476" i="5"/>
  <c r="T2476" i="5" s="1"/>
  <c r="Q739" i="5"/>
  <c r="T739" i="5" s="1"/>
  <c r="Q1011" i="5"/>
  <c r="T1011" i="5" s="1"/>
  <c r="Q2183" i="5"/>
  <c r="T2183" i="5" s="1"/>
  <c r="Q1396" i="5"/>
  <c r="T1396" i="5" s="1"/>
  <c r="Q128" i="5"/>
  <c r="T128" i="5" s="1"/>
  <c r="Q2164" i="5"/>
  <c r="T2164" i="5" s="1"/>
  <c r="Q158" i="5"/>
  <c r="T158" i="5" s="1"/>
  <c r="Q333" i="5"/>
  <c r="T333" i="5" s="1"/>
  <c r="Q142" i="5"/>
  <c r="T142" i="5" s="1"/>
  <c r="Q977" i="5"/>
  <c r="T977" i="5" s="1"/>
  <c r="Q1081" i="5"/>
  <c r="T1081" i="5" s="1"/>
  <c r="Q1362" i="5"/>
  <c r="T1362" i="5" s="1"/>
  <c r="Q1209" i="5"/>
  <c r="T1209" i="5" s="1"/>
  <c r="Q2353" i="5"/>
  <c r="T2353" i="5" s="1"/>
  <c r="Q2215" i="5"/>
  <c r="T2215" i="5" s="1"/>
  <c r="Q528" i="5"/>
  <c r="T528" i="5" s="1"/>
  <c r="Q2118" i="5"/>
  <c r="T2118" i="5" s="1"/>
  <c r="Q27" i="5"/>
  <c r="T27" i="5" s="1"/>
  <c r="Q731" i="5"/>
  <c r="T731" i="5" s="1"/>
  <c r="Q1877" i="5"/>
  <c r="T1877" i="5" s="1"/>
  <c r="Q713" i="5"/>
  <c r="T713" i="5" s="1"/>
  <c r="Q185" i="5"/>
  <c r="T185" i="5" s="1"/>
  <c r="Q1954" i="5"/>
  <c r="T1954" i="5" s="1"/>
  <c r="Q30" i="5"/>
  <c r="T30" i="5" s="1"/>
  <c r="Q2450" i="5"/>
  <c r="T2450" i="5" s="1"/>
  <c r="Q2044" i="5"/>
  <c r="T2044" i="5" s="1"/>
  <c r="Q1578" i="5"/>
  <c r="T1578" i="5" s="1"/>
  <c r="Q2315" i="5"/>
  <c r="T2315" i="5" s="1"/>
  <c r="Q461" i="5"/>
  <c r="T461" i="5" s="1"/>
  <c r="Q1990" i="5"/>
  <c r="T1990" i="5" s="1"/>
  <c r="Q1749" i="5"/>
  <c r="T1749" i="5" s="1"/>
  <c r="Q2103" i="5"/>
  <c r="T2103" i="5" s="1"/>
  <c r="Q417" i="5"/>
  <c r="T417" i="5" s="1"/>
  <c r="Q1021" i="5"/>
  <c r="T1021" i="5" s="1"/>
  <c r="Q303" i="5"/>
  <c r="T303" i="5" s="1"/>
  <c r="Q425" i="5"/>
  <c r="T425" i="5" s="1"/>
  <c r="Q127" i="5"/>
  <c r="T127" i="5" s="1"/>
  <c r="Q509" i="5"/>
  <c r="T509" i="5" s="1"/>
  <c r="Q2093" i="5"/>
  <c r="T2093" i="5" s="1"/>
  <c r="Q1227" i="5"/>
  <c r="T1227" i="5" s="1"/>
  <c r="Q753" i="5"/>
  <c r="T753" i="5" s="1"/>
  <c r="Q386" i="5"/>
  <c r="T386" i="5" s="1"/>
  <c r="Q1383" i="5"/>
  <c r="T1383" i="5" s="1"/>
  <c r="Q710" i="5"/>
  <c r="T710" i="5" s="1"/>
  <c r="Q166" i="5"/>
  <c r="T166" i="5" s="1"/>
  <c r="Q346" i="5"/>
  <c r="T346" i="5" s="1"/>
  <c r="Q1453" i="5"/>
  <c r="T1453" i="5" s="1"/>
  <c r="Q2362" i="5"/>
  <c r="T2362" i="5" s="1"/>
  <c r="Q1605" i="5"/>
  <c r="T1605" i="5" s="1"/>
  <c r="Q1434" i="5"/>
  <c r="T1434" i="5" s="1"/>
  <c r="Q276" i="5"/>
  <c r="T276" i="5" s="1"/>
  <c r="Q1225" i="5"/>
  <c r="T1225" i="5" s="1"/>
  <c r="Q426" i="5"/>
  <c r="T426" i="5" s="1"/>
  <c r="Q1857" i="5"/>
  <c r="T1857" i="5" s="1"/>
  <c r="Q2500" i="5"/>
  <c r="T2500" i="5" s="1"/>
  <c r="Q1114" i="5"/>
  <c r="T1114" i="5" s="1"/>
  <c r="Q2370" i="5"/>
  <c r="T2370" i="5" s="1"/>
  <c r="Q228" i="5"/>
  <c r="T228" i="5" s="1"/>
  <c r="Q36" i="5"/>
  <c r="Q258" i="5"/>
  <c r="T258" i="5" s="1"/>
  <c r="Q690" i="5"/>
  <c r="T690" i="5" s="1"/>
  <c r="Q2182" i="5"/>
  <c r="T2182" i="5" s="1"/>
  <c r="Q271" i="5"/>
  <c r="T271" i="5" s="1"/>
  <c r="Q2003" i="5"/>
  <c r="T2003" i="5" s="1"/>
  <c r="Q959" i="5"/>
  <c r="T959" i="5" s="1"/>
  <c r="Q1416" i="5"/>
  <c r="T1416" i="5" s="1"/>
  <c r="Q387" i="5"/>
  <c r="T387" i="5" s="1"/>
  <c r="Q2325" i="5"/>
  <c r="T2325" i="5" s="1"/>
  <c r="Q134" i="5"/>
  <c r="T134" i="5" s="1"/>
  <c r="Q1778" i="5"/>
  <c r="T1778" i="5" s="1"/>
  <c r="Q1310" i="5"/>
  <c r="T1310" i="5" s="1"/>
  <c r="Q232" i="5"/>
  <c r="T232" i="5" s="1"/>
  <c r="Q1999" i="5"/>
  <c r="T1999" i="5" s="1"/>
  <c r="Q1988" i="5"/>
  <c r="T1988" i="5" s="1"/>
  <c r="Q1286" i="5"/>
  <c r="T1286" i="5" s="1"/>
  <c r="Q1331" i="5"/>
  <c r="T1331" i="5" s="1"/>
  <c r="Q951" i="5"/>
  <c r="T951" i="5" s="1"/>
  <c r="Q1169" i="5"/>
  <c r="T1169" i="5" s="1"/>
  <c r="Q535" i="5"/>
  <c r="T535" i="5" s="1"/>
  <c r="Q1846" i="5"/>
  <c r="T1846" i="5" s="1"/>
  <c r="Q1832" i="5"/>
  <c r="T1832" i="5" s="1"/>
  <c r="Q1163" i="5"/>
  <c r="T1163" i="5" s="1"/>
  <c r="Q2263" i="5"/>
  <c r="T2263" i="5" s="1"/>
  <c r="Q1325" i="5"/>
  <c r="Q602" i="5"/>
  <c r="T602" i="5" s="1"/>
  <c r="Q2157" i="5"/>
  <c r="T2157" i="5" s="1"/>
  <c r="Q527" i="5"/>
  <c r="T527" i="5" s="1"/>
  <c r="Q481" i="5"/>
  <c r="T481" i="5" s="1"/>
  <c r="Q1667" i="5"/>
  <c r="T1667" i="5" s="1"/>
  <c r="Q82" i="5"/>
  <c r="T82" i="5" s="1"/>
  <c r="Q1474" i="5"/>
  <c r="T1474" i="5" s="1"/>
  <c r="Q835" i="5"/>
  <c r="T835" i="5" s="1"/>
  <c r="Q1715" i="5"/>
  <c r="T1715" i="5" s="1"/>
  <c r="Q1262" i="5"/>
  <c r="T1262" i="5" s="1"/>
  <c r="Q1480" i="5"/>
  <c r="T1480" i="5" s="1"/>
  <c r="Q472" i="5"/>
  <c r="T472" i="5" s="1"/>
  <c r="Q2490" i="5"/>
  <c r="T2490" i="5" s="1"/>
  <c r="Q2134" i="5"/>
  <c r="T2134" i="5" s="1"/>
  <c r="Q403" i="5"/>
  <c r="T403" i="5" s="1"/>
  <c r="Q1658" i="5"/>
  <c r="T1658" i="5" s="1"/>
  <c r="Q1582" i="5"/>
  <c r="T1582" i="5" s="1"/>
  <c r="Q678" i="5"/>
  <c r="T678" i="5" s="1"/>
  <c r="Q1052" i="5"/>
  <c r="T1052" i="5" s="1"/>
  <c r="Q1973" i="5"/>
  <c r="T1973" i="5" s="1"/>
  <c r="Q1321" i="5"/>
  <c r="T1321" i="5" s="1"/>
  <c r="Q2050" i="5"/>
  <c r="T2050" i="5" s="1"/>
  <c r="Q2185" i="5"/>
  <c r="T2185" i="5" s="1"/>
  <c r="Q1456" i="5"/>
  <c r="T1456" i="5" s="1"/>
  <c r="Q2340" i="5"/>
  <c r="T2340" i="5" s="1"/>
  <c r="Q534" i="5"/>
  <c r="T534" i="5" s="1"/>
  <c r="Q1775" i="5"/>
  <c r="T1775" i="5" s="1"/>
  <c r="Q402" i="5"/>
  <c r="T402" i="5" s="1"/>
  <c r="Q102" i="5"/>
  <c r="T102" i="5" s="1"/>
  <c r="Q161" i="5"/>
  <c r="T161" i="5" s="1"/>
  <c r="Q2270" i="5"/>
  <c r="T2270" i="5" s="1"/>
  <c r="Q1758" i="5"/>
  <c r="T1758" i="5" s="1"/>
  <c r="Q2311" i="5"/>
  <c r="T2311" i="5" s="1"/>
  <c r="Q442" i="5"/>
  <c r="T442" i="5" s="1"/>
  <c r="Q999" i="5"/>
  <c r="T999" i="5" s="1"/>
  <c r="Q1714" i="5"/>
  <c r="T1714" i="5" s="1"/>
  <c r="Q243" i="5"/>
  <c r="T243" i="5" s="1"/>
  <c r="Q1210" i="5"/>
  <c r="T1210" i="5" s="1"/>
  <c r="Q1504" i="5"/>
  <c r="T1504" i="5" s="1"/>
  <c r="Q594" i="5"/>
  <c r="T594" i="5" s="1"/>
  <c r="Q1294" i="5"/>
  <c r="T1294" i="5" s="1"/>
  <c r="Q1459" i="5"/>
  <c r="T1459" i="5" s="1"/>
  <c r="Q2462" i="5"/>
  <c r="T2462" i="5" s="1"/>
  <c r="Q1000" i="5"/>
  <c r="T1000" i="5" s="1"/>
  <c r="Q1104" i="5"/>
  <c r="T1104" i="5" s="1"/>
  <c r="Q279" i="5"/>
  <c r="T279" i="5" s="1"/>
  <c r="Q760" i="5"/>
  <c r="T760" i="5" s="1"/>
  <c r="Q1838" i="5"/>
  <c r="T1838" i="5" s="1"/>
  <c r="Q2068" i="5"/>
  <c r="T2068" i="5" s="1"/>
  <c r="Q1616" i="5"/>
  <c r="T1616" i="5" s="1"/>
  <c r="Q601" i="5"/>
  <c r="T601" i="5" s="1"/>
  <c r="Q2428" i="5"/>
  <c r="T2428" i="5" s="1"/>
  <c r="Q496" i="5"/>
  <c r="T496" i="5" s="1"/>
  <c r="Q13" i="5"/>
  <c r="T13" i="5" s="1"/>
  <c r="Q23" i="5"/>
  <c r="Q687" i="5"/>
  <c r="T687" i="5" s="1"/>
  <c r="Q2389" i="5"/>
  <c r="T2389" i="5" s="1"/>
  <c r="Q1320" i="5"/>
  <c r="T1320" i="5" s="1"/>
  <c r="Q1621" i="5"/>
  <c r="T1621" i="5" s="1"/>
  <c r="Q1238" i="5"/>
  <c r="T1238" i="5" s="1"/>
  <c r="Q18" i="5"/>
  <c r="T18" i="5" s="1"/>
  <c r="Q2260" i="5"/>
  <c r="T2260" i="5" s="1"/>
  <c r="Q98" i="5"/>
  <c r="T98" i="5" s="1"/>
  <c r="Q608" i="5"/>
  <c r="T608" i="5" s="1"/>
  <c r="Q894" i="5"/>
  <c r="T894" i="5" s="1"/>
  <c r="Q659" i="5"/>
  <c r="T659" i="5" s="1"/>
  <c r="Q1430" i="5"/>
  <c r="T1430" i="5" s="1"/>
  <c r="Q1483" i="5"/>
  <c r="T1483" i="5" s="1"/>
  <c r="Q2136" i="5"/>
  <c r="T2136" i="5" s="1"/>
  <c r="Q238" i="5"/>
  <c r="T238" i="5" s="1"/>
  <c r="Q1790" i="5"/>
  <c r="T1790" i="5" s="1"/>
  <c r="Q1033" i="5"/>
  <c r="T1033" i="5" s="1"/>
  <c r="Q1938" i="5"/>
  <c r="T1938" i="5" s="1"/>
  <c r="Q124" i="5"/>
  <c r="T124" i="5" s="1"/>
  <c r="Q4" i="5"/>
  <c r="T4" i="5" s="1"/>
  <c r="Q1145" i="5"/>
  <c r="Q2400" i="5"/>
  <c r="T2400" i="5" s="1"/>
  <c r="Q1572" i="5"/>
  <c r="Q1726" i="5"/>
  <c r="T1726" i="5" s="1"/>
  <c r="Q1806" i="5"/>
  <c r="T1806" i="5" s="1"/>
  <c r="Q1535" i="5"/>
  <c r="T1535" i="5" s="1"/>
  <c r="Q2266" i="5"/>
  <c r="Q1368" i="5"/>
  <c r="T1368" i="5" s="1"/>
  <c r="Q2028" i="5"/>
  <c r="T2028" i="5" s="1"/>
  <c r="Q293" i="5"/>
  <c r="T293" i="5" s="1"/>
  <c r="Q1324" i="5"/>
  <c r="T1324" i="5" s="1"/>
  <c r="Q1080" i="5"/>
  <c r="T1080" i="5" s="1"/>
  <c r="Q1326" i="5"/>
  <c r="T1326" i="5" s="1"/>
  <c r="Q436" i="5"/>
  <c r="T436" i="5" s="1"/>
  <c r="Q1486" i="5"/>
  <c r="T1486" i="5" s="1"/>
  <c r="Q2070" i="5"/>
  <c r="T2070" i="5" s="1"/>
  <c r="Q8" i="5"/>
  <c r="T8" i="5" s="1"/>
  <c r="Q1016" i="5"/>
  <c r="T1016" i="5" s="1"/>
  <c r="Q2043" i="5"/>
  <c r="T2043" i="5" s="1"/>
  <c r="Q2030" i="5"/>
  <c r="T2030" i="5" s="1"/>
  <c r="Q1433" i="5"/>
  <c r="T1433" i="5" s="1"/>
  <c r="Q2071" i="5"/>
  <c r="T2071" i="5" s="1"/>
  <c r="Q1858" i="5"/>
  <c r="T1858" i="5" s="1"/>
  <c r="Q1908" i="5"/>
  <c r="T1908" i="5" s="1"/>
  <c r="Q905" i="5"/>
  <c r="T905" i="5" s="1"/>
  <c r="Q1927" i="5"/>
  <c r="T1927" i="5" s="1"/>
  <c r="Q350" i="5"/>
  <c r="Q767" i="5"/>
  <c r="T767" i="5" s="1"/>
  <c r="Q2159" i="5"/>
  <c r="T2159" i="5" s="1"/>
  <c r="Q2208" i="5"/>
  <c r="T2208" i="5" s="1"/>
  <c r="Q2393" i="5"/>
  <c r="T2393" i="5" s="1"/>
  <c r="Q2151" i="5"/>
  <c r="T2151" i="5" s="1"/>
  <c r="Q1418" i="5"/>
  <c r="T1418" i="5" s="1"/>
  <c r="Q1794" i="5"/>
  <c r="T1794" i="5" s="1"/>
  <c r="Q935" i="5"/>
  <c r="T935" i="5" s="1"/>
  <c r="Q747" i="5"/>
  <c r="T747" i="5" s="1"/>
  <c r="Q328" i="5"/>
  <c r="T328" i="5" s="1"/>
  <c r="Q331" i="5"/>
  <c r="T331" i="5" s="1"/>
  <c r="Q887" i="5"/>
  <c r="T887" i="5" s="1"/>
  <c r="Q625" i="5"/>
  <c r="T625" i="5" s="1"/>
  <c r="Q2344" i="5"/>
  <c r="T2344" i="5" s="1"/>
  <c r="Q2120" i="5"/>
  <c r="T2120" i="5" s="1"/>
  <c r="Q1752" i="5"/>
  <c r="T1752" i="5" s="1"/>
  <c r="Q758" i="5"/>
  <c r="T758" i="5" s="1"/>
  <c r="Q1113" i="5"/>
  <c r="T1113" i="5" s="1"/>
  <c r="Q1603" i="5"/>
  <c r="T1603" i="5" s="1"/>
  <c r="Q1686" i="5"/>
  <c r="T1686" i="5" s="1"/>
  <c r="Q671" i="5"/>
  <c r="T671" i="5" s="1"/>
  <c r="Q748" i="5"/>
  <c r="T748" i="5" s="1"/>
  <c r="Q1468" i="5"/>
  <c r="T1468" i="5" s="1"/>
  <c r="Q2025" i="5"/>
  <c r="Q846" i="5"/>
  <c r="T846" i="5" s="1"/>
  <c r="Q1919" i="5"/>
  <c r="T1919" i="5" s="1"/>
  <c r="Q330" i="5"/>
  <c r="T330" i="5" s="1"/>
  <c r="Q432" i="5"/>
  <c r="T432" i="5" s="1"/>
  <c r="Q942" i="5"/>
  <c r="T942" i="5" s="1"/>
  <c r="Q411" i="5"/>
  <c r="T411" i="5" s="1"/>
  <c r="Q1744" i="5"/>
  <c r="Q103" i="5"/>
  <c r="T103" i="5" s="1"/>
  <c r="Q1280" i="5"/>
  <c r="T1280" i="5" s="1"/>
  <c r="Q920" i="5"/>
  <c r="T920" i="5" s="1"/>
  <c r="Q514" i="5"/>
  <c r="T514" i="5" s="1"/>
  <c r="Q548" i="5"/>
  <c r="T548" i="5" s="1"/>
  <c r="Q1850" i="5"/>
  <c r="T1850" i="5" s="1"/>
  <c r="Q1149" i="5"/>
  <c r="T1149" i="5" s="1"/>
  <c r="Q126" i="5"/>
  <c r="T126" i="5" s="1"/>
  <c r="Q115" i="5"/>
  <c r="T115" i="5" s="1"/>
  <c r="Q1968" i="5"/>
  <c r="T1968" i="5" s="1"/>
  <c r="Q1575" i="5"/>
  <c r="T1575" i="5" s="1"/>
  <c r="Q532" i="5"/>
  <c r="T532" i="5" s="1"/>
  <c r="Q1557" i="5"/>
  <c r="T1557" i="5" s="1"/>
  <c r="Q1110" i="5"/>
  <c r="T1110" i="5" s="1"/>
  <c r="Q2408" i="5"/>
  <c r="T2408" i="5" s="1"/>
  <c r="Q1402" i="5"/>
  <c r="T1402" i="5" s="1"/>
  <c r="Q2088" i="5"/>
  <c r="T2088" i="5" s="1"/>
  <c r="Q1844" i="5"/>
  <c r="T1844" i="5" s="1"/>
  <c r="Q1308" i="5"/>
  <c r="T1308" i="5" s="1"/>
  <c r="Q1278" i="5"/>
  <c r="T1278" i="5" s="1"/>
  <c r="Q2033" i="5"/>
  <c r="T2033" i="5" s="1"/>
  <c r="Q1880" i="5"/>
  <c r="T1880" i="5" s="1"/>
  <c r="Q1487" i="5"/>
  <c r="T1487" i="5" s="1"/>
  <c r="Q575" i="5"/>
  <c r="T575" i="5" s="1"/>
  <c r="Q707" i="5"/>
  <c r="T707" i="5" s="1"/>
  <c r="Q1875" i="5"/>
  <c r="T1875" i="5" s="1"/>
  <c r="Q1406" i="5"/>
  <c r="T1406" i="5" s="1"/>
  <c r="Q832" i="5"/>
  <c r="T832" i="5" s="1"/>
  <c r="Q858" i="5"/>
  <c r="T858" i="5" s="1"/>
  <c r="Q216" i="5"/>
  <c r="T216" i="5" s="1"/>
  <c r="Q1818" i="5"/>
  <c r="T1818" i="5" s="1"/>
  <c r="Q1392" i="5"/>
  <c r="T1392" i="5" s="1"/>
  <c r="Q315" i="5"/>
  <c r="T315" i="5" s="1"/>
  <c r="Q983" i="5"/>
  <c r="T983" i="5" s="1"/>
  <c r="Q546" i="5"/>
  <c r="T546" i="5" s="1"/>
  <c r="Q443" i="5"/>
  <c r="T443" i="5" s="1"/>
  <c r="Q2154" i="5"/>
  <c r="T2154" i="5" s="1"/>
  <c r="Q508" i="5"/>
  <c r="T508" i="5" s="1"/>
  <c r="Q2485" i="5"/>
  <c r="T2485" i="5" s="1"/>
  <c r="Q1317" i="5"/>
  <c r="T1317" i="5" s="1"/>
  <c r="Q1928" i="5"/>
  <c r="T1928" i="5" s="1"/>
  <c r="Q1976" i="5"/>
  <c r="Q458" i="5"/>
  <c r="T458" i="5" s="1"/>
  <c r="Q1892" i="5"/>
  <c r="T1892" i="5" s="1"/>
  <c r="Q1123" i="5"/>
  <c r="T1123" i="5" s="1"/>
  <c r="Q2073" i="5"/>
  <c r="T2073" i="5" s="1"/>
  <c r="Q1841" i="5"/>
  <c r="T1841" i="5" s="1"/>
  <c r="Q628" i="5"/>
  <c r="T628" i="5" s="1"/>
  <c r="Q1909" i="5"/>
  <c r="T1909" i="5" s="1"/>
  <c r="Q943" i="5"/>
  <c r="T943" i="5" s="1"/>
  <c r="Q956" i="5"/>
  <c r="T956" i="5" s="1"/>
  <c r="Q1766" i="5"/>
  <c r="T1766" i="5" s="1"/>
  <c r="Q1285" i="5"/>
  <c r="T1285" i="5" s="1"/>
  <c r="Q1651" i="5"/>
  <c r="T1651" i="5" s="1"/>
  <c r="Q2192" i="5"/>
  <c r="T2192" i="5" s="1"/>
  <c r="Q1078" i="5"/>
  <c r="T1078" i="5" s="1"/>
  <c r="Q2165" i="5"/>
  <c r="T2165" i="5" s="1"/>
  <c r="Q1045" i="5"/>
  <c r="T1045" i="5" s="1"/>
  <c r="Q2369" i="5"/>
  <c r="T2369" i="5" s="1"/>
  <c r="Q855" i="5"/>
  <c r="T855" i="5" s="1"/>
  <c r="Q940" i="5"/>
  <c r="T940" i="5" s="1"/>
  <c r="Q1662" i="5"/>
  <c r="T1662" i="5" s="1"/>
  <c r="Q699" i="5"/>
  <c r="T699" i="5" s="1"/>
  <c r="Q990" i="5"/>
  <c r="T990" i="5" s="1"/>
  <c r="Q889" i="5"/>
  <c r="T889" i="5" s="1"/>
  <c r="Q260" i="5"/>
  <c r="T260" i="5" s="1"/>
  <c r="Q1842" i="5"/>
  <c r="T1842" i="5" s="1"/>
  <c r="Q1054" i="5"/>
  <c r="T1054" i="5" s="1"/>
  <c r="Q1886" i="5"/>
  <c r="T1886" i="5" s="1"/>
  <c r="Q2351" i="5"/>
  <c r="T2351" i="5" s="1"/>
  <c r="Q1671" i="5"/>
  <c r="T1671" i="5" s="1"/>
  <c r="Q266" i="5"/>
  <c r="T266" i="5" s="1"/>
  <c r="Q725" i="5"/>
  <c r="T725" i="5" s="1"/>
  <c r="Q1771" i="5"/>
  <c r="T1771" i="5" s="1"/>
  <c r="Q2259" i="5"/>
  <c r="T2259" i="5" s="1"/>
  <c r="Q1810" i="5"/>
  <c r="T1810" i="5" s="1"/>
  <c r="Q804" i="5"/>
  <c r="T804" i="5" s="1"/>
  <c r="Q116" i="5"/>
  <c r="T116" i="5" s="1"/>
  <c r="Q520" i="5"/>
  <c r="T520" i="5" s="1"/>
  <c r="Q2341" i="5"/>
  <c r="T2341" i="5" s="1"/>
  <c r="Q2230" i="5"/>
  <c r="T2230" i="5" s="1"/>
  <c r="Q1349" i="5"/>
  <c r="T1349" i="5" s="1"/>
  <c r="Q1609" i="5"/>
  <c r="T1609" i="5" s="1"/>
  <c r="Q931" i="5"/>
  <c r="T931" i="5" s="1"/>
  <c r="Q2298" i="5"/>
  <c r="T2298" i="5" s="1"/>
  <c r="Q1494" i="5"/>
  <c r="T1494" i="5" s="1"/>
  <c r="Q2416" i="5"/>
  <c r="T2416" i="5" s="1"/>
  <c r="Q2273" i="5"/>
  <c r="T2273" i="5" s="1"/>
  <c r="Q2386" i="5"/>
  <c r="T2386" i="5" s="1"/>
  <c r="Q2289" i="5"/>
  <c r="T2289" i="5" s="1"/>
  <c r="Q1228" i="5"/>
  <c r="T1228" i="5" s="1"/>
  <c r="Q294" i="5"/>
  <c r="T294" i="5" s="1"/>
  <c r="Q506" i="5"/>
  <c r="T506" i="5" s="1"/>
  <c r="Q1991" i="5"/>
  <c r="T1991" i="5" s="1"/>
  <c r="Q1640" i="5"/>
  <c r="T1640" i="5" s="1"/>
  <c r="Q1410" i="5"/>
  <c r="T1410" i="5" s="1"/>
  <c r="Q536" i="5"/>
  <c r="T536" i="5" s="1"/>
  <c r="Q733" i="5"/>
  <c r="T733" i="5" s="1"/>
  <c r="Q797" i="5"/>
  <c r="T797" i="5" s="1"/>
  <c r="Q1623" i="5"/>
  <c r="T1623" i="5" s="1"/>
  <c r="Q2306" i="5"/>
  <c r="T2306" i="5" s="1"/>
  <c r="Q1757" i="5"/>
  <c r="T1757" i="5" s="1"/>
  <c r="Q2219" i="5"/>
  <c r="T2219" i="5" s="1"/>
  <c r="Q750" i="5"/>
  <c r="T750" i="5" s="1"/>
  <c r="Q2006" i="5"/>
  <c r="T2006" i="5" s="1"/>
  <c r="Q1967" i="5"/>
  <c r="T1967" i="5" s="1"/>
  <c r="Q421" i="5"/>
  <c r="T421" i="5" s="1"/>
  <c r="Q792" i="5"/>
  <c r="T792" i="5" s="1"/>
  <c r="Q474" i="5"/>
  <c r="T474" i="5" s="1"/>
  <c r="Q1997" i="5"/>
  <c r="T1997" i="5" s="1"/>
  <c r="Q2086" i="5"/>
  <c r="T2086" i="5" s="1"/>
  <c r="Q1727" i="5"/>
  <c r="T1727" i="5" s="1"/>
  <c r="Q494" i="5"/>
  <c r="T494" i="5" s="1"/>
  <c r="Q521" i="5"/>
  <c r="Q680" i="5"/>
  <c r="T680" i="5" s="1"/>
  <c r="Q1705" i="5"/>
  <c r="T1705" i="5" s="1"/>
  <c r="Q1246" i="5"/>
  <c r="T1246" i="5" s="1"/>
  <c r="Q2020" i="5"/>
  <c r="T2020" i="5" s="1"/>
  <c r="Q176" i="5"/>
  <c r="T176" i="5" s="1"/>
  <c r="Q849" i="5"/>
  <c r="T849" i="5" s="1"/>
  <c r="Q1669" i="5"/>
  <c r="T1669" i="5" s="1"/>
  <c r="Q1435" i="5"/>
  <c r="T1435" i="5" s="1"/>
  <c r="Q2429" i="5"/>
  <c r="T2429" i="5" s="1"/>
  <c r="Q1234" i="5"/>
  <c r="T1234" i="5" s="1"/>
  <c r="Q1602" i="5"/>
  <c r="T1602" i="5" s="1"/>
  <c r="Q978" i="5"/>
  <c r="T978" i="5" s="1"/>
  <c r="Q1993" i="5"/>
  <c r="Q1340" i="5"/>
  <c r="T1340" i="5" s="1"/>
  <c r="Q2479" i="5"/>
  <c r="Q371" i="5"/>
  <c r="T371" i="5" s="1"/>
  <c r="Q256" i="5"/>
  <c r="T256" i="5" s="1"/>
  <c r="Q805" i="5"/>
  <c r="T805" i="5" s="1"/>
  <c r="Q1095" i="5"/>
  <c r="T1095" i="5" s="1"/>
  <c r="Q1220" i="5"/>
  <c r="T1220" i="5" s="1"/>
  <c r="Q1540" i="5"/>
  <c r="T1540" i="5" s="1"/>
  <c r="Q1144" i="5"/>
  <c r="T1144" i="5" s="1"/>
  <c r="Q976" i="5"/>
  <c r="T976" i="5" s="1"/>
  <c r="Q547" i="5"/>
  <c r="T547" i="5" s="1"/>
  <c r="Q1191" i="5"/>
  <c r="T1191" i="5" s="1"/>
  <c r="Q881" i="5"/>
  <c r="T881" i="5" s="1"/>
  <c r="Q1803" i="5"/>
  <c r="T1803" i="5" s="1"/>
  <c r="Q2145" i="5"/>
  <c r="T2145" i="5" s="1"/>
  <c r="Q800" i="5"/>
  <c r="T800" i="5" s="1"/>
  <c r="Q1344" i="5"/>
  <c r="T1344" i="5" s="1"/>
  <c r="Q1154" i="5"/>
  <c r="T1154" i="5" s="1"/>
  <c r="Q811" i="5"/>
  <c r="T811" i="5" s="1"/>
  <c r="Q398" i="5"/>
  <c r="T398" i="5" s="1"/>
  <c r="Q756" i="5"/>
  <c r="T756" i="5" s="1"/>
  <c r="Q2391" i="5"/>
  <c r="T2391" i="5" s="1"/>
  <c r="Q1127" i="5"/>
  <c r="T1127" i="5" s="1"/>
  <c r="Q1271" i="5"/>
  <c r="T1271" i="5" s="1"/>
  <c r="Q1295" i="5"/>
  <c r="T1295" i="5" s="1"/>
  <c r="Q2188" i="5"/>
  <c r="T2188" i="5" s="1"/>
  <c r="Q1185" i="5"/>
  <c r="T1185" i="5" s="1"/>
  <c r="Q12" i="5"/>
  <c r="T12" i="5" s="1"/>
  <c r="Q1281" i="5"/>
  <c r="T1281" i="5" s="1"/>
  <c r="Q196" i="5"/>
  <c r="T196" i="5" s="1"/>
  <c r="Q122" i="5"/>
  <c r="T122" i="5" s="1"/>
  <c r="Q1041" i="5"/>
  <c r="T1041" i="5" s="1"/>
  <c r="Q100" i="5"/>
  <c r="T100" i="5" s="1"/>
  <c r="Q1687" i="5"/>
  <c r="T1687" i="5" s="1"/>
  <c r="Q788" i="5"/>
  <c r="T788" i="5" s="1"/>
  <c r="Q2483" i="5"/>
  <c r="T2483" i="5" s="1"/>
  <c r="Q335" i="5"/>
  <c r="Q2202" i="5"/>
  <c r="T2202" i="5" s="1"/>
  <c r="Q596" i="5"/>
  <c r="T596" i="5" s="1"/>
  <c r="Q2077" i="5"/>
  <c r="T2077" i="5" s="1"/>
  <c r="Q1566" i="5"/>
  <c r="T1566" i="5" s="1"/>
  <c r="Q1111" i="5"/>
  <c r="T1111" i="5" s="1"/>
  <c r="Q2148" i="5"/>
  <c r="T2148" i="5" s="1"/>
  <c r="Q1347" i="5"/>
  <c r="T1347" i="5" s="1"/>
  <c r="Q1160" i="5"/>
  <c r="T1160" i="5" s="1"/>
  <c r="Q854" i="5"/>
  <c r="T854" i="5" s="1"/>
  <c r="Q2064" i="5"/>
  <c r="T2064" i="5" s="1"/>
  <c r="Q1055" i="5"/>
  <c r="T1055" i="5" s="1"/>
  <c r="Q1559" i="5"/>
  <c r="T1559" i="5" s="1"/>
  <c r="Q530" i="5"/>
  <c r="T530" i="5" s="1"/>
  <c r="Q1589" i="5"/>
  <c r="T1589" i="5" s="1"/>
  <c r="Q459" i="5"/>
  <c r="T459" i="5" s="1"/>
  <c r="Q17" i="5"/>
  <c r="T17" i="5" s="1"/>
  <c r="Q94" i="5"/>
  <c r="T94" i="5" s="1"/>
  <c r="Q1177" i="5"/>
  <c r="T1177" i="5" s="1"/>
  <c r="Q1820" i="5"/>
  <c r="Q542" i="5"/>
  <c r="T542" i="5" s="1"/>
  <c r="Q49" i="5"/>
  <c r="T49" i="5" s="1"/>
  <c r="Q468" i="5"/>
  <c r="Q1894" i="5"/>
  <c r="T1894" i="5" s="1"/>
  <c r="Q844" i="5"/>
  <c r="T844" i="5" s="1"/>
  <c r="Q518" i="5"/>
  <c r="T518" i="5" s="1"/>
  <c r="Q24" i="5"/>
  <c r="T24" i="5" s="1"/>
  <c r="Q150" i="5"/>
  <c r="T150" i="5" s="1"/>
  <c r="Q63" i="5"/>
  <c r="T63" i="5" s="1"/>
  <c r="Q2097" i="5"/>
  <c r="T2097" i="5" s="1"/>
  <c r="Q416" i="5"/>
  <c r="Q1598" i="5"/>
  <c r="Q1528" i="5"/>
  <c r="T1528" i="5" s="1"/>
  <c r="Q2448" i="5"/>
  <c r="T2448" i="5" s="1"/>
  <c r="Q1315" i="5"/>
  <c r="T1315" i="5" s="1"/>
  <c r="Q1447" i="5"/>
  <c r="T1447" i="5" s="1"/>
  <c r="Q1985" i="5"/>
  <c r="T1985" i="5" s="1"/>
  <c r="Q117" i="5"/>
  <c r="T117" i="5" s="1"/>
  <c r="Q1075" i="5"/>
  <c r="T1075" i="5" s="1"/>
  <c r="Q510" i="5"/>
  <c r="T510" i="5" s="1"/>
  <c r="Q1637" i="5"/>
  <c r="T1637" i="5" s="1"/>
  <c r="Q1748" i="5"/>
  <c r="T1748" i="5" s="1"/>
  <c r="Q1861" i="5"/>
  <c r="T1861" i="5" s="1"/>
  <c r="Q1499" i="5"/>
  <c r="T1499" i="5" s="1"/>
  <c r="Q901" i="5"/>
  <c r="Q5" i="5"/>
  <c r="T5" i="5" s="1"/>
  <c r="Q623" i="5"/>
  <c r="T623" i="5" s="1"/>
  <c r="Q1754" i="5"/>
  <c r="T1754" i="5" s="1"/>
  <c r="Q1029" i="5"/>
  <c r="T1029" i="5" s="1"/>
  <c r="Q588" i="5"/>
  <c r="T588" i="5" s="1"/>
  <c r="Q1907" i="5"/>
  <c r="T1907" i="5" s="1"/>
  <c r="Q2211" i="5"/>
  <c r="T2211" i="5" s="1"/>
  <c r="Q1171" i="5"/>
  <c r="T1171" i="5" s="1"/>
  <c r="Q9" i="5"/>
  <c r="T9" i="5" s="1"/>
  <c r="Q97" i="5"/>
  <c r="T97" i="5" s="1"/>
  <c r="Q2124" i="5"/>
  <c r="T2124" i="5" s="1"/>
  <c r="Q1706" i="5"/>
  <c r="T1706" i="5" s="1"/>
  <c r="Q1881" i="5"/>
  <c r="T1881" i="5" s="1"/>
  <c r="Q2153" i="5"/>
  <c r="T2153" i="5" s="1"/>
  <c r="Q2184" i="5"/>
  <c r="T2184" i="5" s="1"/>
  <c r="Q40" i="5"/>
  <c r="T40" i="5" s="1"/>
  <c r="Q1836" i="5"/>
  <c r="T1836" i="5" s="1"/>
  <c r="Q2421" i="5"/>
  <c r="T2421" i="5" s="1"/>
  <c r="Q2415" i="5"/>
  <c r="T2415" i="5" s="1"/>
  <c r="Q1851" i="5"/>
  <c r="T1851" i="5" s="1"/>
  <c r="Q2316" i="5"/>
  <c r="Q2482" i="5"/>
  <c r="T2482" i="5" s="1"/>
  <c r="Q200" i="5"/>
  <c r="T200" i="5" s="1"/>
  <c r="Q1449" i="5"/>
  <c r="T1449" i="5" s="1"/>
  <c r="Q2089" i="5"/>
  <c r="T2089" i="5" s="1"/>
  <c r="Q2488" i="5"/>
  <c r="T2488" i="5" s="1"/>
  <c r="Q1867" i="5"/>
  <c r="T1867" i="5" s="1"/>
  <c r="Q2487" i="5"/>
  <c r="T2487" i="5" s="1"/>
  <c r="Q1133" i="5"/>
  <c r="T1133" i="5" s="1"/>
  <c r="Q2422" i="5"/>
  <c r="T2422" i="5" s="1"/>
  <c r="Q1864" i="5"/>
  <c r="T1864" i="5" s="1"/>
  <c r="Q2280" i="5"/>
  <c r="Q1503" i="5"/>
  <c r="T1503" i="5" s="1"/>
  <c r="Q1013" i="5"/>
  <c r="T1013" i="5" s="1"/>
  <c r="Q1040" i="5"/>
  <c r="T1040" i="5" s="1"/>
  <c r="Q1099" i="5"/>
  <c r="T1099" i="5" s="1"/>
  <c r="Q1509" i="5"/>
  <c r="T1509" i="5" s="1"/>
  <c r="Q1126" i="5"/>
  <c r="T1126" i="5" s="1"/>
  <c r="Q138" i="5"/>
  <c r="T138" i="5" s="1"/>
  <c r="Q364" i="5"/>
  <c r="T364" i="5" s="1"/>
  <c r="Q721" i="5"/>
  <c r="T721" i="5" s="1"/>
  <c r="Q2098" i="5"/>
  <c r="T2098" i="5" s="1"/>
  <c r="Q1693" i="5"/>
  <c r="T1693" i="5" s="1"/>
  <c r="Q1815" i="5"/>
  <c r="T1815" i="5" s="1"/>
  <c r="Q949" i="5"/>
  <c r="T949" i="5" s="1"/>
  <c r="Q2156" i="5"/>
  <c r="T2156" i="5" s="1"/>
  <c r="Q1170" i="5"/>
  <c r="T1170" i="5" s="1"/>
  <c r="Q106" i="5"/>
  <c r="T106" i="5" s="1"/>
  <c r="Q2001" i="5"/>
  <c r="T2001" i="5" s="1"/>
  <c r="Q34" i="5"/>
  <c r="T34" i="5" s="1"/>
  <c r="Q2379" i="5"/>
  <c r="T2379" i="5" s="1"/>
  <c r="Q1181" i="5"/>
  <c r="T1181" i="5" s="1"/>
  <c r="Q1546" i="5"/>
  <c r="Q553" i="5"/>
  <c r="T553" i="5" s="1"/>
  <c r="Q22" i="5"/>
  <c r="T22" i="5" s="1"/>
  <c r="Q1360" i="5"/>
  <c r="T1360" i="5" s="1"/>
  <c r="Q1869" i="5"/>
  <c r="T1869" i="5" s="1"/>
  <c r="Q922" i="5"/>
  <c r="T922" i="5" s="1"/>
  <c r="Q452" i="5"/>
  <c r="T452" i="5" s="1"/>
  <c r="Q1600" i="5"/>
  <c r="T1600" i="5" s="1"/>
  <c r="Q1937" i="5"/>
  <c r="T1937" i="5" s="1"/>
  <c r="Q388" i="5"/>
  <c r="Q1452" i="5"/>
  <c r="T1452" i="5" s="1"/>
  <c r="Q1049" i="5"/>
  <c r="T1049" i="5" s="1"/>
  <c r="Q2275" i="5"/>
  <c r="T2275" i="5" s="1"/>
  <c r="Q1106" i="5"/>
  <c r="T1106" i="5" s="1"/>
  <c r="Q1906" i="5"/>
  <c r="T1906" i="5" s="1"/>
  <c r="Q1109" i="5"/>
  <c r="T1109" i="5" s="1"/>
  <c r="Q853" i="5"/>
  <c r="T853" i="5" s="1"/>
  <c r="Q2112" i="5"/>
  <c r="T2112" i="5" s="1"/>
  <c r="Q615" i="5"/>
  <c r="T615" i="5" s="1"/>
  <c r="Q2152" i="5"/>
  <c r="T2152" i="5" s="1"/>
  <c r="Q2433" i="5"/>
  <c r="T2433" i="5" s="1"/>
  <c r="Q1577" i="5"/>
  <c r="T1577" i="5" s="1"/>
  <c r="Q191" i="5"/>
  <c r="T191" i="5" s="1"/>
  <c r="Q304" i="5"/>
  <c r="T304" i="5" s="1"/>
  <c r="Q883" i="5"/>
  <c r="Q1913" i="5"/>
  <c r="T1913" i="5" s="1"/>
  <c r="Q1162" i="5"/>
  <c r="T1162" i="5" s="1"/>
  <c r="Q2286" i="5"/>
  <c r="T2286" i="5" s="1"/>
  <c r="Q132" i="5"/>
  <c r="T132" i="5" s="1"/>
  <c r="Q910" i="5"/>
  <c r="T910" i="5" s="1"/>
  <c r="Q412" i="5"/>
  <c r="T412" i="5" s="1"/>
  <c r="Q174" i="5"/>
  <c r="T174" i="5" s="1"/>
  <c r="Q764" i="5"/>
  <c r="T764" i="5" s="1"/>
  <c r="Q140" i="5"/>
  <c r="T140" i="5" s="1"/>
  <c r="Q1923" i="5"/>
  <c r="T1923" i="5" s="1"/>
  <c r="Q2035" i="5"/>
  <c r="T2035" i="5" s="1"/>
  <c r="Q137" i="5"/>
  <c r="T137" i="5" s="1"/>
  <c r="Q1817" i="5"/>
  <c r="T1817" i="5" s="1"/>
  <c r="Q43" i="5"/>
  <c r="T43" i="5" s="1"/>
  <c r="Q851" i="5"/>
  <c r="Q175" i="5"/>
  <c r="T175" i="5" s="1"/>
  <c r="Q529" i="5"/>
  <c r="T529" i="5" s="1"/>
  <c r="Q1026" i="5"/>
  <c r="T1026" i="5" s="1"/>
  <c r="Q1269" i="5"/>
  <c r="T1269" i="5" s="1"/>
  <c r="Q1374" i="5"/>
  <c r="T1374" i="5" s="1"/>
  <c r="Q567" i="5"/>
  <c r="T567" i="5" s="1"/>
  <c r="Q2099" i="5"/>
  <c r="T2099" i="5" s="1"/>
  <c r="Q2061" i="5"/>
  <c r="T2061" i="5" s="1"/>
  <c r="Q1981" i="5"/>
  <c r="Q2392" i="5"/>
  <c r="T2392" i="5" s="1"/>
  <c r="Q359" i="5"/>
  <c r="T359" i="5" s="1"/>
  <c r="Q2354" i="5"/>
  <c r="T2354" i="5" s="1"/>
  <c r="Q630" i="5"/>
  <c r="T630" i="5" s="1"/>
  <c r="Q515" i="5"/>
  <c r="T515" i="5" s="1"/>
  <c r="Q751" i="5"/>
  <c r="T751" i="5" s="1"/>
  <c r="Q2123" i="5"/>
  <c r="T2123" i="5" s="1"/>
  <c r="Q2187" i="5"/>
  <c r="T2187" i="5" s="1"/>
  <c r="Q2310" i="5"/>
  <c r="T2310" i="5" s="1"/>
  <c r="Q130" i="5"/>
  <c r="T130" i="5" s="1"/>
  <c r="Q493" i="5"/>
  <c r="T493" i="5" s="1"/>
  <c r="Q155" i="5"/>
  <c r="T155" i="5" s="1"/>
  <c r="Q1002" i="5"/>
  <c r="T1002" i="5" s="1"/>
  <c r="Q1305" i="5"/>
  <c r="T1305" i="5" s="1"/>
  <c r="Q469" i="5"/>
  <c r="T469" i="5" s="1"/>
  <c r="Q6" i="5"/>
  <c r="T6" i="5" s="1"/>
  <c r="Q1586" i="5"/>
  <c r="T1586" i="5" s="1"/>
  <c r="Q919" i="5"/>
  <c r="T919" i="5" s="1"/>
  <c r="Q1929" i="5"/>
  <c r="T1929" i="5" s="1"/>
  <c r="Q2430" i="5"/>
  <c r="T2430" i="5" s="1"/>
  <c r="Q1300" i="5"/>
  <c r="T1300" i="5" s="1"/>
  <c r="Q2432" i="5"/>
  <c r="T2432" i="5" s="1"/>
  <c r="Q1101" i="5"/>
  <c r="T1101" i="5" s="1"/>
  <c r="Q289" i="5"/>
  <c r="T289" i="5" s="1"/>
  <c r="Q2243" i="5"/>
  <c r="T2243" i="5" s="1"/>
  <c r="Q1223" i="5"/>
  <c r="T1223" i="5" s="1"/>
  <c r="Q1352" i="5"/>
  <c r="T1352" i="5" s="1"/>
  <c r="Q1712" i="5"/>
  <c r="T1712" i="5" s="1"/>
  <c r="Q892" i="5"/>
  <c r="T892" i="5" s="1"/>
  <c r="Q1495" i="5"/>
  <c r="T1495" i="5" s="1"/>
  <c r="Q2268" i="5"/>
  <c r="T2268" i="5" s="1"/>
  <c r="Q633" i="5"/>
  <c r="T633" i="5" s="1"/>
  <c r="Q149" i="5"/>
  <c r="T149" i="5" s="1"/>
  <c r="Q676" i="5"/>
  <c r="T676" i="5" s="1"/>
  <c r="Q168" i="5"/>
  <c r="T168" i="5" s="1"/>
  <c r="Q1351" i="5"/>
  <c r="T1351" i="5" s="1"/>
  <c r="Q1821" i="5"/>
  <c r="T1821" i="5" s="1"/>
  <c r="Q2055" i="5"/>
  <c r="T2055" i="5" s="1"/>
  <c r="Q1426" i="5"/>
  <c r="T1426" i="5" s="1"/>
  <c r="Q1868" i="5"/>
  <c r="T1868" i="5" s="1"/>
  <c r="Q1931" i="5"/>
  <c r="T1931" i="5" s="1"/>
  <c r="Q763" i="5"/>
  <c r="T763" i="5" s="1"/>
  <c r="Q1884" i="5"/>
  <c r="T1884" i="5" s="1"/>
  <c r="Q1769" i="5"/>
  <c r="T1769" i="5" s="1"/>
  <c r="Q1531" i="5"/>
  <c r="T1531" i="5" s="1"/>
  <c r="Q774" i="5"/>
  <c r="T774" i="5" s="1"/>
  <c r="Q1701" i="5"/>
  <c r="T1701" i="5" s="1"/>
  <c r="Q146" i="5"/>
  <c r="T146" i="5" s="1"/>
  <c r="Q419" i="5"/>
  <c r="T419" i="5" s="1"/>
  <c r="Q1966" i="5"/>
  <c r="T1966" i="5" s="1"/>
  <c r="Q2201" i="5"/>
  <c r="T2201" i="5" s="1"/>
  <c r="Q1390" i="5"/>
  <c r="T1390" i="5" s="1"/>
  <c r="Q1969" i="5"/>
  <c r="T1969" i="5" s="1"/>
  <c r="Q1164" i="5"/>
  <c r="T1164" i="5" s="1"/>
  <c r="Q1768" i="5"/>
  <c r="T1768" i="5" s="1"/>
  <c r="Q927" i="5"/>
  <c r="T927" i="5" s="1"/>
  <c r="Q2436" i="5"/>
  <c r="T2436" i="5" s="1"/>
  <c r="Q1770" i="5"/>
  <c r="T1770" i="5" s="1"/>
  <c r="Q234" i="5"/>
  <c r="T234" i="5" s="1"/>
  <c r="Q826" i="5"/>
  <c r="T826" i="5" s="1"/>
  <c r="Q434" i="5"/>
  <c r="T434" i="5" s="1"/>
  <c r="Q2146" i="5"/>
  <c r="T2146" i="5" s="1"/>
  <c r="Q963" i="5"/>
  <c r="T963" i="5" s="1"/>
  <c r="Q1025" i="5"/>
  <c r="T1025" i="5" s="1"/>
  <c r="Q621" i="5"/>
  <c r="T621" i="5" s="1"/>
  <c r="Q1043" i="5"/>
  <c r="T1043" i="5" s="1"/>
  <c r="Q1469" i="5"/>
  <c r="T1469" i="5" s="1"/>
  <c r="Q1267" i="5"/>
  <c r="T1267" i="5" s="1"/>
  <c r="Q1709" i="5"/>
  <c r="T1709" i="5" s="1"/>
  <c r="Q1584" i="5"/>
  <c r="T1584" i="5" s="1"/>
  <c r="Q1072" i="5"/>
  <c r="T1072" i="5" s="1"/>
  <c r="Q1947" i="5"/>
  <c r="T1947" i="5" s="1"/>
  <c r="Q449" i="5"/>
  <c r="T449" i="5" s="1"/>
  <c r="Q1034" i="5"/>
  <c r="T1034" i="5" s="1"/>
  <c r="Q136" i="5"/>
  <c r="T136" i="5" s="1"/>
  <c r="Q154" i="5"/>
  <c r="Q487" i="5"/>
  <c r="T487" i="5" s="1"/>
  <c r="Q120" i="5"/>
  <c r="T120" i="5" s="1"/>
  <c r="Q1563" i="5"/>
  <c r="T1563" i="5" s="1"/>
  <c r="Q2456" i="5"/>
  <c r="T2456" i="5" s="1"/>
  <c r="Q1175" i="5"/>
  <c r="T1175" i="5" s="1"/>
  <c r="Q406" i="5"/>
  <c r="T406" i="5" s="1"/>
  <c r="Q1066" i="5"/>
  <c r="T1066" i="5" s="1"/>
  <c r="Q500" i="5"/>
  <c r="T500" i="5" s="1"/>
  <c r="Q482" i="5"/>
  <c r="T482" i="5" s="1"/>
  <c r="Q692" i="5"/>
  <c r="T692" i="5" s="1"/>
  <c r="Q88" i="5"/>
  <c r="T88" i="5" s="1"/>
  <c r="Q2352" i="5"/>
  <c r="T2352" i="5" s="1"/>
  <c r="Q632" i="5"/>
  <c r="T632" i="5" s="1"/>
  <c r="Q1024" i="5"/>
  <c r="T1024" i="5" s="1"/>
  <c r="Q1186" i="5"/>
  <c r="T1186" i="5" s="1"/>
  <c r="Q2252" i="5"/>
  <c r="T2252" i="5" s="1"/>
  <c r="Q824" i="5"/>
  <c r="T824" i="5" s="1"/>
  <c r="Q2102" i="5"/>
  <c r="T2102" i="5" s="1"/>
  <c r="Q985" i="5"/>
  <c r="T985" i="5" s="1"/>
  <c r="Q1847" i="5"/>
  <c r="T1847" i="5" s="1"/>
  <c r="Q599" i="5"/>
  <c r="T599" i="5" s="1"/>
  <c r="Q689" i="5"/>
  <c r="T689" i="5" s="1"/>
  <c r="Q1254" i="5"/>
  <c r="T1254" i="5" s="1"/>
  <c r="Q1823" i="5"/>
  <c r="T1823" i="5" s="1"/>
  <c r="Q1255" i="5"/>
  <c r="T1255" i="5" s="1"/>
  <c r="Q1264" i="5"/>
  <c r="T1264" i="5" s="1"/>
  <c r="Q1935" i="5"/>
  <c r="T1935" i="5" s="1"/>
  <c r="Q696" i="5"/>
  <c r="T696" i="5" s="1"/>
  <c r="Q1596" i="5"/>
  <c r="T1596" i="5" s="1"/>
  <c r="Q872" i="5"/>
  <c r="T872" i="5" s="1"/>
  <c r="Q2425" i="5"/>
  <c r="T2425" i="5" s="1"/>
  <c r="Q1799" i="5"/>
  <c r="T1799" i="5" s="1"/>
  <c r="Q2328" i="5"/>
  <c r="T2328" i="5" s="1"/>
  <c r="Q1338" i="5"/>
  <c r="T1338" i="5" s="1"/>
  <c r="Q899" i="5"/>
  <c r="T899" i="5" s="1"/>
  <c r="Q1284" i="5"/>
  <c r="Q802" i="5"/>
  <c r="T802" i="5" s="1"/>
  <c r="Q197" i="5"/>
  <c r="T197" i="5" s="1"/>
  <c r="Q2169" i="5"/>
  <c r="T2169" i="5" s="1"/>
  <c r="Q1856" i="5"/>
  <c r="T1856" i="5" s="1"/>
  <c r="Q118" i="5"/>
  <c r="T118" i="5" s="1"/>
  <c r="Q2377" i="5"/>
  <c r="T2377" i="5" s="1"/>
  <c r="Q1082" i="5"/>
  <c r="T1082" i="5" s="1"/>
  <c r="Q1423" i="5"/>
  <c r="T1423" i="5" s="1"/>
  <c r="Q1307" i="5"/>
  <c r="T1307" i="5" s="1"/>
  <c r="Q382" i="5"/>
  <c r="T382" i="5" s="1"/>
  <c r="Q1874" i="5"/>
  <c r="T1874" i="5" s="1"/>
  <c r="Q222" i="5"/>
  <c r="T222" i="5" s="1"/>
  <c r="Q1522" i="5"/>
  <c r="T1522" i="5" s="1"/>
  <c r="Q1382" i="5"/>
  <c r="T1382" i="5" s="1"/>
  <c r="Q298" i="5"/>
  <c r="T298" i="5" s="1"/>
  <c r="Q1297" i="5"/>
  <c r="T1297" i="5" s="1"/>
  <c r="Q795" i="5"/>
  <c r="T795" i="5" s="1"/>
  <c r="Q661" i="5"/>
  <c r="T661" i="5" s="1"/>
  <c r="Q1319" i="5"/>
  <c r="T1319" i="5" s="1"/>
  <c r="Q1121" i="5"/>
  <c r="T1121" i="5" s="1"/>
  <c r="Q1632" i="5"/>
  <c r="T1632" i="5" s="1"/>
  <c r="Q1961" i="5"/>
  <c r="T1961" i="5" s="1"/>
  <c r="Q2396" i="5"/>
  <c r="T2396" i="5" s="1"/>
  <c r="Q2094" i="5"/>
  <c r="T2094" i="5" s="1"/>
  <c r="Q526" i="5"/>
  <c r="T526" i="5" s="1"/>
  <c r="Q1415" i="5"/>
  <c r="T1415" i="5" s="1"/>
  <c r="Q1688" i="5"/>
  <c r="T1688" i="5" s="1"/>
  <c r="Q698" i="5"/>
  <c r="Q994" i="5"/>
  <c r="T994" i="5" s="1"/>
  <c r="Q531" i="5"/>
  <c r="T531" i="5" s="1"/>
  <c r="Q2232" i="5"/>
  <c r="T2232" i="5" s="1"/>
  <c r="Q290" i="5"/>
  <c r="T290" i="5" s="1"/>
  <c r="Q2251" i="5"/>
  <c r="T2251" i="5" s="1"/>
  <c r="Q1207" i="5"/>
  <c r="T1207" i="5" s="1"/>
  <c r="Q188" i="5"/>
  <c r="T188" i="5" s="1"/>
  <c r="Q1634" i="5"/>
  <c r="T1634" i="5" s="1"/>
  <c r="Q2032" i="5"/>
  <c r="T2032" i="5" s="1"/>
  <c r="Q946" i="5"/>
  <c r="T946" i="5" s="1"/>
  <c r="Q2381" i="5"/>
  <c r="T2381" i="5" s="1"/>
  <c r="Q2452" i="5"/>
  <c r="T2452" i="5" s="1"/>
  <c r="Q1698" i="5"/>
  <c r="T1698" i="5" s="1"/>
  <c r="Q2075" i="5"/>
  <c r="T2075" i="5" s="1"/>
  <c r="Q473" i="5"/>
  <c r="T473" i="5" s="1"/>
  <c r="Q438" i="5"/>
  <c r="T438" i="5" s="1"/>
  <c r="Q2200" i="5"/>
  <c r="T2200" i="5" s="1"/>
  <c r="Q2018" i="5"/>
  <c r="T2018" i="5" s="1"/>
  <c r="Q1992" i="5"/>
  <c r="T1992" i="5" s="1"/>
  <c r="Q1422" i="5"/>
  <c r="T1422" i="5" s="1"/>
  <c r="Q1276" i="5"/>
  <c r="T1276" i="5" s="1"/>
  <c r="Q1587" i="5"/>
  <c r="T1587" i="5" s="1"/>
  <c r="Q2143" i="5"/>
  <c r="T2143" i="5" s="1"/>
  <c r="Q1694" i="5"/>
  <c r="T1694" i="5" s="1"/>
  <c r="Q861" i="5"/>
  <c r="T861" i="5" s="1"/>
  <c r="Q2303" i="5"/>
  <c r="T2303" i="5" s="1"/>
  <c r="Q1747" i="5"/>
  <c r="T1747" i="5" s="1"/>
  <c r="Q2186" i="5"/>
  <c r="Q220" i="5"/>
  <c r="T220" i="5" s="1"/>
  <c r="Q786" i="5"/>
  <c r="T786" i="5" s="1"/>
  <c r="Q2399" i="5"/>
  <c r="T2399" i="5" s="1"/>
  <c r="Q2217" i="5"/>
  <c r="T2217" i="5" s="1"/>
  <c r="Q1465" i="5"/>
  <c r="T1465" i="5" s="1"/>
  <c r="Q165" i="5"/>
  <c r="T165" i="5" s="1"/>
  <c r="Q1155" i="5"/>
  <c r="T1155" i="5" s="1"/>
  <c r="Q1482" i="5"/>
  <c r="T1482" i="5" s="1"/>
  <c r="Q840" i="5"/>
  <c r="T840" i="5" s="1"/>
  <c r="Q845" i="5"/>
  <c r="T845" i="5" s="1"/>
  <c r="Q1299" i="5"/>
  <c r="Q1604" i="5"/>
  <c r="T1604" i="5" s="1"/>
  <c r="Q20" i="5"/>
  <c r="T20" i="5" s="1"/>
  <c r="Q1393" i="5"/>
  <c r="T1393" i="5" s="1"/>
  <c r="Q292" i="5"/>
  <c r="T292" i="5" s="1"/>
  <c r="Q1791" i="5"/>
  <c r="T1791" i="5" s="1"/>
  <c r="Q2101" i="5"/>
  <c r="T2101" i="5" s="1"/>
  <c r="Q59" i="5"/>
  <c r="T59" i="5" s="1"/>
  <c r="Q1481" i="5"/>
  <c r="T1481" i="5" s="1"/>
  <c r="Q254" i="5"/>
  <c r="T254" i="5" s="1"/>
  <c r="Q239" i="5"/>
  <c r="T239" i="5" s="1"/>
  <c r="Q1420" i="5"/>
  <c r="T1420" i="5" s="1"/>
  <c r="Q157" i="5"/>
  <c r="T157" i="5" s="1"/>
  <c r="Q649" i="5"/>
  <c r="T649" i="5" s="1"/>
  <c r="Q1091" i="5"/>
  <c r="T1091" i="5" s="1"/>
  <c r="Q1437" i="5"/>
  <c r="Q631" i="5"/>
  <c r="T631" i="5" s="1"/>
  <c r="Q1222" i="5"/>
  <c r="T1222" i="5" s="1"/>
  <c r="Q1878" i="5"/>
  <c r="T1878" i="5" s="1"/>
  <c r="Q1866" i="5"/>
  <c r="T1866" i="5" s="1"/>
  <c r="Q996" i="5"/>
  <c r="T996" i="5" s="1"/>
  <c r="Q1685" i="5"/>
  <c r="Q1260" i="5"/>
  <c r="T1260" i="5" s="1"/>
  <c r="Q1672" i="5"/>
  <c r="T1672" i="5" s="1"/>
  <c r="Q1306" i="5"/>
  <c r="T1306" i="5" s="1"/>
  <c r="Q2116" i="5"/>
  <c r="T2116" i="5" s="1"/>
  <c r="Q52" i="5"/>
  <c r="T52" i="5" s="1"/>
  <c r="Q1125" i="5"/>
  <c r="T1125" i="5" s="1"/>
  <c r="Q37" i="5"/>
  <c r="T37" i="5" s="1"/>
  <c r="Q1168" i="5"/>
  <c r="T1168" i="5" s="1"/>
  <c r="Q1780" i="5"/>
  <c r="T1780" i="5" s="1"/>
  <c r="Q1083" i="5"/>
  <c r="T1083" i="5" s="1"/>
  <c r="Q479" i="5"/>
  <c r="T479" i="5" s="1"/>
  <c r="Q2438" i="5"/>
  <c r="T2438" i="5" s="1"/>
  <c r="Q859" i="5"/>
  <c r="T859" i="5" s="1"/>
  <c r="Q1736" i="5"/>
  <c r="T1736" i="5" s="1"/>
  <c r="Q1629" i="5"/>
  <c r="T1629" i="5" s="1"/>
  <c r="Q282" i="5"/>
  <c r="T282" i="5" s="1"/>
  <c r="Q1840" i="5"/>
  <c r="T1840" i="5" s="1"/>
  <c r="Q1948" i="5"/>
  <c r="T1948" i="5" s="1"/>
  <c r="Q2107" i="5"/>
  <c r="T2107" i="5" s="1"/>
  <c r="Q2420" i="5"/>
  <c r="T2420" i="5" s="1"/>
  <c r="Q1118" i="5"/>
  <c r="T1118" i="5" s="1"/>
  <c r="Q2284" i="5"/>
  <c r="T2284" i="5" s="1"/>
  <c r="Q2469" i="5"/>
  <c r="T2469" i="5" s="1"/>
  <c r="Q816" i="5"/>
  <c r="Q148" i="5"/>
  <c r="T148" i="5" s="1"/>
  <c r="Q1979" i="5"/>
  <c r="T1979" i="5" s="1"/>
  <c r="Q715" i="5"/>
  <c r="T715" i="5" s="1"/>
  <c r="Q2406" i="5"/>
  <c r="T2406" i="5" s="1"/>
  <c r="Q1873" i="5"/>
  <c r="T1873" i="5" s="1"/>
  <c r="Q1371" i="5"/>
  <c r="T1371" i="5" s="1"/>
  <c r="Q1785" i="5"/>
  <c r="T1785" i="5" s="1"/>
  <c r="Q1700" i="5"/>
  <c r="T1700" i="5" s="1"/>
  <c r="Q1761" i="5"/>
  <c r="T1761" i="5" s="1"/>
  <c r="Q778" i="5"/>
  <c r="T778" i="5" s="1"/>
  <c r="Q1574" i="5"/>
  <c r="T1574" i="5" s="1"/>
  <c r="Q499" i="5"/>
  <c r="T499" i="5" s="1"/>
  <c r="Q108" i="5"/>
  <c r="T108" i="5" s="1"/>
  <c r="Q1190" i="5"/>
  <c r="T1190" i="5" s="1"/>
  <c r="Q334" i="5"/>
  <c r="T334" i="5" s="1"/>
  <c r="Q552" i="5"/>
  <c r="T552" i="5" s="1"/>
  <c r="Q1680" i="5"/>
  <c r="T1680" i="5" s="1"/>
  <c r="Q1738" i="5"/>
  <c r="T1738" i="5" s="1"/>
  <c r="Q1472" i="5"/>
  <c r="T1472" i="5" s="1"/>
  <c r="Q2212" i="5"/>
  <c r="T2212" i="5" s="1"/>
  <c r="Q2078" i="5"/>
  <c r="T2078" i="5" s="1"/>
  <c r="Q2012" i="5"/>
  <c r="T2012" i="5" s="1"/>
  <c r="Q404" i="5"/>
  <c r="T404" i="5" s="1"/>
  <c r="Q400" i="5"/>
  <c r="T400" i="5" s="1"/>
  <c r="Q728" i="5"/>
  <c r="T728" i="5" s="1"/>
  <c r="Q1934" i="5"/>
  <c r="T1934" i="5" s="1"/>
  <c r="Q2082" i="5"/>
  <c r="T2082" i="5" s="1"/>
  <c r="Q2299" i="5"/>
  <c r="T2299" i="5" s="1"/>
  <c r="Q1659" i="5"/>
  <c r="T1659" i="5" s="1"/>
  <c r="Q2026" i="5"/>
  <c r="T2026" i="5" s="1"/>
  <c r="Q2385" i="5"/>
  <c r="T2385" i="5" s="1"/>
  <c r="Q719" i="5"/>
  <c r="T719" i="5" s="1"/>
  <c r="Q1094" i="5"/>
  <c r="T1094" i="5" s="1"/>
  <c r="Q2014" i="5"/>
  <c r="T2014" i="5" s="1"/>
  <c r="Q1580" i="5"/>
  <c r="T1580" i="5" s="1"/>
  <c r="Q1537" i="5"/>
  <c r="T1537" i="5" s="1"/>
  <c r="Q860" i="5"/>
  <c r="T860" i="5" s="1"/>
  <c r="Q726" i="5"/>
  <c r="T726" i="5" s="1"/>
  <c r="Q2309" i="5"/>
  <c r="T2309" i="5" s="1"/>
  <c r="Q285" i="5"/>
  <c r="T285" i="5" s="1"/>
  <c r="Q2269" i="5"/>
  <c r="T2269" i="5" s="1"/>
  <c r="Q1009" i="5"/>
  <c r="T1009" i="5" s="1"/>
  <c r="Q226" i="5"/>
  <c r="T226" i="5" s="1"/>
  <c r="Q2085" i="5"/>
  <c r="T2085" i="5" s="1"/>
  <c r="Q2191" i="5"/>
  <c r="T2191" i="5" s="1"/>
  <c r="Q1070" i="5"/>
  <c r="T1070" i="5" s="1"/>
  <c r="Q1703" i="5"/>
  <c r="T1703" i="5" s="1"/>
  <c r="Q33" i="5"/>
  <c r="T33" i="5" s="1"/>
  <c r="Q1004" i="5"/>
  <c r="T1004" i="5" s="1"/>
  <c r="Q1781" i="5"/>
  <c r="T1781" i="5" s="1"/>
  <c r="Q1661" i="5"/>
  <c r="T1661" i="5" s="1"/>
  <c r="Q1945" i="5"/>
  <c r="T1945" i="5" s="1"/>
  <c r="Q2449" i="5"/>
  <c r="T2449" i="5" s="1"/>
  <c r="Q1897" i="5"/>
  <c r="T1897" i="5" s="1"/>
  <c r="Q1348" i="5"/>
  <c r="T1348" i="5" s="1"/>
  <c r="Q1729" i="5"/>
  <c r="T1729" i="5" s="1"/>
  <c r="Q624" i="5"/>
  <c r="T624" i="5" s="1"/>
  <c r="Q1956" i="5"/>
  <c r="T1956" i="5" s="1"/>
  <c r="Q1839" i="5"/>
  <c r="T1839" i="5" s="1"/>
  <c r="Q1887" i="5"/>
  <c r="T1887" i="5" s="1"/>
  <c r="Q706" i="5"/>
  <c r="T706" i="5" s="1"/>
  <c r="Q1695" i="5"/>
  <c r="T1695" i="5" s="1"/>
  <c r="Q491" i="5"/>
  <c r="T491" i="5" s="1"/>
  <c r="Q423" i="5"/>
  <c r="T423" i="5" s="1"/>
  <c r="Q70" i="5"/>
  <c r="T70" i="5" s="1"/>
  <c r="Q1654" i="5"/>
  <c r="T1654" i="5" s="1"/>
  <c r="Q1313" i="5"/>
  <c r="T1313" i="5" s="1"/>
  <c r="Q324" i="5"/>
  <c r="T324" i="5" s="1"/>
  <c r="Q503" i="5"/>
  <c r="T503" i="5" s="1"/>
  <c r="Q1719" i="5"/>
  <c r="T1719" i="5" s="1"/>
  <c r="Q1369" i="5"/>
  <c r="T1369" i="5" s="1"/>
  <c r="Q592" i="5"/>
  <c r="T592" i="5" s="1"/>
  <c r="Q945" i="5"/>
  <c r="T945" i="5" s="1"/>
  <c r="Q1549" i="5"/>
  <c r="Q485" i="5"/>
  <c r="Q2368" i="5"/>
  <c r="T2368" i="5" s="1"/>
  <c r="Q1202" i="5"/>
  <c r="T1202" i="5" s="1"/>
  <c r="Q195" i="5"/>
  <c r="T195" i="5" s="1"/>
  <c r="Q413" i="5"/>
  <c r="T413" i="5" s="1"/>
  <c r="Q376" i="5"/>
  <c r="T376" i="5" s="1"/>
  <c r="Q2105" i="5"/>
  <c r="T2105" i="5" s="1"/>
  <c r="Q817" i="5"/>
  <c r="T817" i="5" s="1"/>
  <c r="Q2397" i="5"/>
  <c r="T2397" i="5" s="1"/>
  <c r="Q241" i="5"/>
  <c r="T241" i="5" s="1"/>
  <c r="Q693" i="5"/>
  <c r="T693" i="5" s="1"/>
  <c r="Q1359" i="5"/>
  <c r="T1359" i="5" s="1"/>
  <c r="Q1058" i="5"/>
  <c r="T1058" i="5" s="1"/>
  <c r="Q807" i="5"/>
  <c r="T807" i="5" s="1"/>
  <c r="Q916" i="5"/>
  <c r="T916" i="5" s="1"/>
  <c r="Q152" i="5"/>
  <c r="T152" i="5" s="1"/>
  <c r="Q1612" i="5"/>
  <c r="T1612" i="5" s="1"/>
  <c r="Q323" i="5"/>
  <c r="T323" i="5" s="1"/>
  <c r="Q408" i="5"/>
  <c r="T408" i="5" s="1"/>
  <c r="Q42" i="5"/>
  <c r="T42" i="5" s="1"/>
  <c r="Q2295" i="5"/>
  <c r="T2295" i="5" s="1"/>
  <c r="Q1571" i="5"/>
  <c r="T1571" i="5" s="1"/>
  <c r="Q2376" i="5"/>
  <c r="T2376" i="5" s="1"/>
  <c r="Q66" i="5"/>
  <c r="T66" i="5" s="1"/>
  <c r="Q2440" i="5"/>
  <c r="T2440" i="5" s="1"/>
  <c r="Q617" i="5"/>
  <c r="T617" i="5" s="1"/>
  <c r="Q1529" i="5"/>
  <c r="T1529" i="5" s="1"/>
  <c r="Q28" i="5"/>
  <c r="T28" i="5" s="1"/>
  <c r="Q1959" i="5"/>
  <c r="T1959" i="5" s="1"/>
  <c r="Q2402" i="5"/>
  <c r="T2402" i="5" s="1"/>
  <c r="Q396" i="5"/>
  <c r="T396" i="5" s="1"/>
  <c r="Q2040" i="5"/>
  <c r="T2040" i="5" s="1"/>
  <c r="Q2179" i="5"/>
  <c r="T2179" i="5" s="1"/>
  <c r="Q339" i="5"/>
  <c r="T339" i="5" s="1"/>
  <c r="Q2467" i="5"/>
  <c r="T2467" i="5" s="1"/>
  <c r="Q787" i="5"/>
  <c r="T787" i="5" s="1"/>
  <c r="Q1639" i="5"/>
  <c r="T1639" i="5" s="1"/>
  <c r="Q213" i="5"/>
  <c r="T213" i="5" s="1"/>
  <c r="Q2017" i="5"/>
  <c r="T2017" i="5" s="1"/>
  <c r="Q877" i="5"/>
  <c r="T877" i="5" s="1"/>
  <c r="Q1805" i="5"/>
  <c r="T1805" i="5" s="1"/>
  <c r="Q26" i="5"/>
  <c r="T26" i="5" s="1"/>
  <c r="Q309" i="5"/>
  <c r="T309" i="5" s="1"/>
  <c r="Q353" i="5"/>
  <c r="T353" i="5" s="1"/>
  <c r="Q1206" i="5"/>
  <c r="T1206" i="5" s="1"/>
  <c r="Q924" i="5"/>
  <c r="T924" i="5" s="1"/>
  <c r="Q390" i="5"/>
  <c r="T390" i="5" s="1"/>
  <c r="Q1493" i="5"/>
  <c r="T1493" i="5" s="1"/>
  <c r="Q569" i="5"/>
  <c r="T569" i="5" s="1"/>
  <c r="Q610" i="5"/>
  <c r="T610" i="5" s="1"/>
  <c r="Q790" i="5"/>
  <c r="T790" i="5" s="1"/>
  <c r="Q2324" i="5"/>
  <c r="T2324" i="5" s="1"/>
  <c r="Q1318" i="5"/>
  <c r="T1318" i="5" s="1"/>
  <c r="Q1203" i="5"/>
  <c r="T1203" i="5" s="1"/>
  <c r="Q1136" i="5"/>
  <c r="T1136" i="5" s="1"/>
  <c r="Q326" i="5"/>
  <c r="T326" i="5" s="1"/>
  <c r="Q1084" i="5"/>
  <c r="T1084" i="5" s="1"/>
  <c r="Q742" i="5"/>
  <c r="T742" i="5" s="1"/>
  <c r="Q39" i="5"/>
  <c r="T39" i="5" s="1"/>
  <c r="Q666" i="5"/>
  <c r="T666" i="5" s="1"/>
  <c r="Q1213" i="5"/>
  <c r="T1213" i="5" s="1"/>
  <c r="Q2235" i="5"/>
  <c r="T2235" i="5" s="1"/>
  <c r="Q1588" i="5"/>
  <c r="T1588" i="5" s="1"/>
  <c r="Q609" i="5"/>
  <c r="T609" i="5" s="1"/>
  <c r="Q1345" i="5"/>
  <c r="T1345" i="5" s="1"/>
  <c r="Q549" i="5"/>
  <c r="T549" i="5" s="1"/>
  <c r="Q250" i="5"/>
  <c r="Q1112" i="5"/>
  <c r="Q2214" i="5"/>
  <c r="T2214" i="5" s="1"/>
  <c r="Q1330" i="5"/>
  <c r="T1330" i="5" s="1"/>
  <c r="Q961" i="5"/>
  <c r="Q2139" i="5"/>
  <c r="T2139" i="5" s="1"/>
  <c r="Q2049" i="5"/>
  <c r="T2049" i="5" s="1"/>
  <c r="Q484" i="5"/>
  <c r="T484" i="5" s="1"/>
  <c r="Q2441" i="5"/>
  <c r="T2441" i="5" s="1"/>
  <c r="Q380" i="5"/>
  <c r="T380" i="5" s="1"/>
  <c r="Q964" i="5"/>
  <c r="T964" i="5" s="1"/>
  <c r="Q1205" i="5"/>
  <c r="T1205" i="5" s="1"/>
  <c r="Q1728" i="5"/>
  <c r="T1728" i="5" s="1"/>
  <c r="Q2194" i="5"/>
  <c r="T2194" i="5" s="1"/>
  <c r="Q2021" i="5"/>
  <c r="T2021" i="5" s="1"/>
  <c r="Q2347" i="5"/>
  <c r="T2347" i="5" s="1"/>
  <c r="Q1132" i="5"/>
  <c r="T1132" i="5" s="1"/>
  <c r="Q1735" i="5"/>
  <c r="T1735" i="5" s="1"/>
  <c r="Q57" i="5"/>
  <c r="Q938" i="5"/>
  <c r="T938" i="5" s="1"/>
  <c r="Q329" i="5"/>
  <c r="T329" i="5" s="1"/>
  <c r="Q1946" i="5"/>
  <c r="T1946" i="5" s="1"/>
  <c r="Q2345" i="5"/>
  <c r="T2345" i="5" s="1"/>
  <c r="Q1115" i="5"/>
  <c r="T1115" i="5" s="1"/>
  <c r="Q915" i="5"/>
  <c r="T915" i="5" s="1"/>
  <c r="Q162" i="5"/>
  <c r="T162" i="5" s="1"/>
  <c r="Q1092" i="5"/>
  <c r="T1092" i="5" s="1"/>
  <c r="Q1888" i="5"/>
  <c r="T1888" i="5" s="1"/>
  <c r="Q1704" i="5"/>
  <c r="Q1501" i="5"/>
  <c r="T1501" i="5" s="1"/>
  <c r="Q2074" i="5"/>
  <c r="T2074" i="5" s="1"/>
  <c r="Q399" i="5"/>
  <c r="T399" i="5" s="1"/>
  <c r="Q488" i="5"/>
  <c r="T488" i="5" s="1"/>
  <c r="Q2444" i="5"/>
  <c r="T2444" i="5" s="1"/>
  <c r="Q1808" i="5"/>
  <c r="T1808" i="5" s="1"/>
  <c r="Q1720" i="5"/>
  <c r="T1720" i="5" s="1"/>
  <c r="Q1718" i="5"/>
  <c r="T1718" i="5" s="1"/>
  <c r="Q1147" i="5"/>
  <c r="T1147" i="5" s="1"/>
  <c r="Q1042" i="5"/>
  <c r="T1042" i="5" s="1"/>
  <c r="Q53" i="5"/>
  <c r="T53" i="5" s="1"/>
  <c r="Q1107" i="5"/>
  <c r="T1107" i="5" s="1"/>
  <c r="Q1570" i="5"/>
  <c r="T1570" i="5" s="1"/>
  <c r="Q1451" i="5"/>
  <c r="T1451" i="5" s="1"/>
  <c r="Q754" i="5"/>
  <c r="T754" i="5" s="1"/>
  <c r="Q1630" i="5"/>
  <c r="T1630" i="5" s="1"/>
  <c r="Q1103" i="5"/>
  <c r="T1103" i="5" s="1"/>
  <c r="Q2162" i="5"/>
  <c r="T2162" i="5" s="1"/>
  <c r="Q89" i="5"/>
  <c r="T89" i="5" s="1"/>
  <c r="Q709" i="5"/>
  <c r="T709" i="5" s="1"/>
  <c r="Q1855" i="5"/>
  <c r="T1855" i="5" s="1"/>
  <c r="Q1713" i="5"/>
  <c r="T1713" i="5" s="1"/>
  <c r="Q890" i="5"/>
  <c r="T890" i="5" s="1"/>
  <c r="Q451" i="5"/>
  <c r="T451" i="5" s="1"/>
  <c r="Q651" i="5"/>
  <c r="T651" i="5" s="1"/>
  <c r="Q1304" i="5"/>
  <c r="T1304" i="5" s="1"/>
  <c r="Q2100" i="5"/>
  <c r="T2100" i="5" s="1"/>
  <c r="Q1684" i="5"/>
  <c r="T1684" i="5" s="1"/>
  <c r="Q2011" i="5"/>
  <c r="T2011" i="5" s="1"/>
  <c r="Q1740" i="5"/>
  <c r="T1740" i="5" s="1"/>
  <c r="Q1291" i="5"/>
  <c r="T1291" i="5" s="1"/>
  <c r="Q81" i="5"/>
  <c r="T81" i="5" s="1"/>
  <c r="Q1405" i="5"/>
  <c r="T1405" i="5" s="1"/>
  <c r="Q2147" i="5"/>
  <c r="T2147" i="5" s="1"/>
  <c r="Q184" i="5"/>
  <c r="T184" i="5" s="1"/>
  <c r="Q2390" i="5"/>
  <c r="T2390" i="5" s="1"/>
  <c r="Q830" i="5"/>
  <c r="T830" i="5" s="1"/>
  <c r="Q2158" i="5"/>
  <c r="T2158" i="5" s="1"/>
  <c r="Q1413" i="5"/>
  <c r="T1413" i="5" s="1"/>
  <c r="Q1940" i="5"/>
  <c r="T1940" i="5" s="1"/>
  <c r="Q1708" i="5"/>
  <c r="Q1354" i="5"/>
  <c r="T1354" i="5" s="1"/>
  <c r="Q151" i="5"/>
  <c r="T151" i="5" s="1"/>
  <c r="Q1128" i="5"/>
  <c r="T1128" i="5" s="1"/>
  <c r="Q1166" i="5"/>
  <c r="T1166" i="5" s="1"/>
  <c r="Q1436" i="5"/>
  <c r="T1436" i="5" s="1"/>
  <c r="Q741" i="5"/>
  <c r="T741" i="5" s="1"/>
  <c r="Q1087" i="5"/>
  <c r="T1087" i="5" s="1"/>
  <c r="Q982" i="5"/>
  <c r="T982" i="5" s="1"/>
  <c r="Q822" i="5"/>
  <c r="T822" i="5" s="1"/>
  <c r="Q2409" i="5"/>
  <c r="T2409" i="5" s="1"/>
  <c r="Q1151" i="5"/>
  <c r="T1151" i="5" s="1"/>
  <c r="Q1594" i="5"/>
  <c r="T1594" i="5" s="1"/>
  <c r="Q944" i="5"/>
  <c r="T944" i="5" s="1"/>
  <c r="Q1158" i="5"/>
  <c r="T1158" i="5" s="1"/>
  <c r="Q78" i="5"/>
  <c r="T78" i="5" s="1"/>
  <c r="Q2294" i="5"/>
  <c r="T2294" i="5" s="1"/>
  <c r="Q1819" i="5"/>
  <c r="T1819" i="5" s="1"/>
  <c r="Q248" i="5"/>
  <c r="T248" i="5" s="1"/>
  <c r="Q440" i="5"/>
  <c r="T440" i="5" s="1"/>
  <c r="Q2125" i="5"/>
  <c r="T2125" i="5" s="1"/>
  <c r="Q1337" i="5"/>
  <c r="T1337" i="5" s="1"/>
  <c r="Q11" i="5"/>
  <c r="T11" i="5" s="1"/>
  <c r="Q348" i="5"/>
  <c r="T348" i="5" s="1"/>
  <c r="Q902" i="5"/>
  <c r="T902" i="5" s="1"/>
  <c r="Q2079" i="5"/>
  <c r="T2079" i="5" s="1"/>
  <c r="Q1448" i="5"/>
  <c r="T1448" i="5" s="1"/>
  <c r="Q665" i="5"/>
  <c r="T665" i="5" s="1"/>
  <c r="Q1403" i="5"/>
  <c r="T1403" i="5" s="1"/>
  <c r="Q105" i="5"/>
  <c r="T105" i="5" s="1"/>
  <c r="Q1097" i="5"/>
  <c r="Q701" i="5"/>
  <c r="T701" i="5" s="1"/>
  <c r="Q2459" i="5"/>
  <c r="T2459" i="5" s="1"/>
  <c r="Q868" i="5"/>
  <c r="T868" i="5" s="1"/>
  <c r="Q925" i="5"/>
  <c r="T925" i="5" s="1"/>
  <c r="Q1036" i="5"/>
  <c r="Q821" i="5"/>
  <c r="T821" i="5" s="1"/>
  <c r="Q2181" i="5"/>
  <c r="T2181" i="5" s="1"/>
  <c r="Q1668" i="5"/>
  <c r="T1668" i="5" s="1"/>
  <c r="Q1753" i="5"/>
  <c r="T1753" i="5" s="1"/>
  <c r="Q1028" i="5"/>
  <c r="T1028" i="5" s="1"/>
  <c r="Q1438" i="5"/>
  <c r="T1438" i="5" s="1"/>
  <c r="Q1863" i="5"/>
  <c r="T1863" i="5" s="1"/>
  <c r="Q980" i="5"/>
  <c r="T980" i="5" s="1"/>
  <c r="Q1412" i="5"/>
  <c r="T1412" i="5" s="1"/>
  <c r="Q2434" i="5"/>
  <c r="T2434" i="5" s="1"/>
  <c r="Q1824" i="5"/>
  <c r="T1824" i="5" s="1"/>
  <c r="Q799" i="5"/>
  <c r="T799" i="5" s="1"/>
  <c r="Q1366" i="5"/>
  <c r="T1366" i="5" s="1"/>
  <c r="Q167" i="5"/>
  <c r="T167" i="5" s="1"/>
  <c r="Q974" i="5"/>
  <c r="T974" i="5" s="1"/>
  <c r="Q2193" i="5"/>
  <c r="T2193" i="5" s="1"/>
  <c r="Q1722" i="5"/>
  <c r="T1722" i="5" s="1"/>
  <c r="Q1057" i="5"/>
  <c r="T1057" i="5" s="1"/>
  <c r="Q1983" i="5"/>
  <c r="T1983" i="5" s="1"/>
  <c r="Q989" i="5"/>
  <c r="T989" i="5" s="1"/>
  <c r="Q1467" i="5"/>
  <c r="T1467" i="5" s="1"/>
  <c r="Q274" i="5"/>
  <c r="T274" i="5" s="1"/>
  <c r="Q654" i="5"/>
  <c r="T654" i="5" s="1"/>
  <c r="Q839" i="5"/>
  <c r="T839" i="5" s="1"/>
  <c r="Q470" i="5"/>
  <c r="T470" i="5" s="1"/>
  <c r="Q1322" i="5"/>
  <c r="T1322" i="5" s="1"/>
  <c r="Q2363" i="5"/>
  <c r="T2363" i="5" s="1"/>
  <c r="Q595" i="5"/>
  <c r="T595" i="5" s="1"/>
  <c r="Q283" i="5"/>
  <c r="T283" i="5" s="1"/>
  <c r="Q110" i="5"/>
  <c r="T110" i="5" s="1"/>
  <c r="Q2015" i="5"/>
  <c r="T2015" i="5" s="1"/>
  <c r="Q1148" i="5"/>
  <c r="T1148" i="5" s="1"/>
  <c r="Q2357" i="5"/>
  <c r="T2357" i="5" s="1"/>
  <c r="Q1642" i="5"/>
  <c r="T1642" i="5" s="1"/>
  <c r="Q1201" i="5"/>
  <c r="T1201" i="5" s="1"/>
  <c r="Q934" i="5"/>
  <c r="T934" i="5" s="1"/>
  <c r="Q1534" i="5"/>
  <c r="T1534" i="5" s="1"/>
  <c r="Q75" i="5"/>
  <c r="T75" i="5" s="1"/>
  <c r="Q1335" i="5"/>
  <c r="T1335" i="5" s="1"/>
  <c r="Q1750" i="5"/>
  <c r="T1750" i="5" s="1"/>
  <c r="Q1334" i="5"/>
  <c r="T1334" i="5" s="1"/>
  <c r="Q1996" i="5"/>
  <c r="T1996" i="5" s="1"/>
  <c r="Q1096" i="5"/>
  <c r="T1096" i="5" s="1"/>
  <c r="Q1860" i="5"/>
  <c r="T1860" i="5" s="1"/>
  <c r="Q1130" i="5"/>
  <c r="T1130" i="5" s="1"/>
  <c r="Q1521" i="5"/>
  <c r="T1521" i="5" s="1"/>
  <c r="Q1732" i="5"/>
  <c r="T1732" i="5" s="1"/>
  <c r="Q2312" i="5"/>
  <c r="T2312" i="5" s="1"/>
  <c r="Q1380" i="5"/>
  <c r="T1380" i="5" s="1"/>
  <c r="Q1134" i="5"/>
  <c r="T1134" i="5" s="1"/>
  <c r="Q2411" i="5"/>
  <c r="T2411" i="5" s="1"/>
  <c r="Q765" i="5"/>
  <c r="T765" i="5" s="1"/>
  <c r="Q2114" i="5"/>
  <c r="T2114" i="5" s="1"/>
  <c r="Q2327" i="5"/>
  <c r="T2327" i="5" s="1"/>
  <c r="Q2106" i="5"/>
  <c r="T2106" i="5" s="1"/>
  <c r="Q1484" i="5"/>
  <c r="T1484" i="5" s="1"/>
  <c r="Q2496" i="5"/>
  <c r="T2496" i="5" s="1"/>
  <c r="Q2431" i="5"/>
  <c r="T2431" i="5" s="1"/>
  <c r="Q865" i="5"/>
  <c r="T865" i="5" s="1"/>
  <c r="Q357" i="5"/>
  <c r="T357" i="5" s="1"/>
  <c r="Q565" i="5"/>
  <c r="T565" i="5" s="1"/>
  <c r="Q1971" i="5"/>
  <c r="T1971" i="5" s="1"/>
  <c r="Q492" i="5"/>
  <c r="T492" i="5" s="1"/>
  <c r="Q2057" i="5"/>
  <c r="T2057" i="5" s="1"/>
  <c r="Q1793" i="5"/>
  <c r="T1793" i="5" s="1"/>
  <c r="Q428" i="5"/>
  <c r="Q793" i="5"/>
  <c r="T793" i="5" s="1"/>
  <c r="Q825" i="5"/>
  <c r="T825" i="5" s="1"/>
  <c r="Q1628" i="5"/>
  <c r="T1628" i="5" s="1"/>
  <c r="Q171" i="5"/>
  <c r="T171" i="5" s="1"/>
  <c r="Q926" i="5"/>
  <c r="T926" i="5" s="1"/>
  <c r="Q255" i="5"/>
  <c r="T255" i="5" s="1"/>
  <c r="Q591" i="5"/>
  <c r="T591" i="5" s="1"/>
  <c r="Q1198" i="5"/>
  <c r="T1198" i="5" s="1"/>
  <c r="Q1800" i="5"/>
  <c r="T1800" i="5" s="1"/>
  <c r="Q460" i="5"/>
  <c r="T460" i="5" s="1"/>
  <c r="Q766" i="5"/>
  <c r="T766" i="5" s="1"/>
  <c r="Q1172" i="5"/>
  <c r="T1172" i="5" s="1"/>
  <c r="Q2022" i="5"/>
  <c r="T2022" i="5" s="1"/>
  <c r="Q1022" i="5"/>
  <c r="T1022" i="5" s="1"/>
  <c r="Q973" i="5"/>
  <c r="T973" i="5" s="1"/>
  <c r="Q1798" i="5"/>
  <c r="T1798" i="5" s="1"/>
  <c r="Q2447" i="5"/>
  <c r="T2447" i="5" s="1"/>
  <c r="Q1982" i="5"/>
  <c r="T1982" i="5" s="1"/>
  <c r="Q1165" i="5"/>
  <c r="T1165" i="5" s="1"/>
  <c r="Q1859" i="5"/>
  <c r="T1859" i="5" s="1"/>
  <c r="Q1506" i="5"/>
  <c r="T1506" i="5" s="1"/>
  <c r="Q917" i="5"/>
  <c r="T917" i="5" s="1"/>
  <c r="Q2008" i="5"/>
  <c r="T2008" i="5" s="1"/>
  <c r="Q2144" i="5"/>
  <c r="T2144" i="5" s="1"/>
  <c r="Q780" i="5"/>
  <c r="T780" i="5" s="1"/>
  <c r="Q685" i="5"/>
  <c r="T685" i="5" s="1"/>
  <c r="Q782" i="5"/>
  <c r="T782" i="5" s="1"/>
  <c r="Q269" i="5"/>
  <c r="T269" i="5" s="1"/>
  <c r="Q1762" i="5"/>
  <c r="T1762" i="5" s="1"/>
  <c r="Q300" i="5"/>
  <c r="T300" i="5" s="1"/>
  <c r="Q2224" i="5"/>
  <c r="T2224" i="5" s="1"/>
  <c r="Q1458" i="5"/>
  <c r="T1458" i="5" s="1"/>
  <c r="Q1443" i="5"/>
  <c r="T1443" i="5" s="1"/>
  <c r="Q1902" i="5"/>
  <c r="T1902" i="5" s="1"/>
  <c r="Q173" i="5"/>
  <c r="T173" i="5" s="1"/>
  <c r="Q205" i="5"/>
  <c r="T205" i="5" s="1"/>
  <c r="Q1235" i="5"/>
  <c r="T1235" i="5" s="1"/>
  <c r="Q929" i="5"/>
  <c r="Q2271" i="5"/>
  <c r="T2271" i="5" s="1"/>
  <c r="Q2300" i="5"/>
  <c r="T2300" i="5" s="1"/>
  <c r="Q639" i="5"/>
  <c r="T639" i="5" s="1"/>
  <c r="Q2282" i="5"/>
  <c r="T2282" i="5" s="1"/>
  <c r="Q1926" i="5"/>
  <c r="T1926" i="5" s="1"/>
  <c r="Q2495" i="5"/>
  <c r="T2495" i="5" s="1"/>
  <c r="Q2236" i="5"/>
  <c r="T2236" i="5" s="1"/>
  <c r="Q1788" i="5"/>
  <c r="T1788" i="5" s="1"/>
  <c r="Q198" i="5"/>
  <c r="T198" i="5" s="1"/>
  <c r="Q1663" i="5"/>
  <c r="T1663" i="5" s="1"/>
  <c r="Q1518" i="5"/>
  <c r="T1518" i="5" s="1"/>
  <c r="Q477" i="5"/>
  <c r="T477" i="5" s="1"/>
  <c r="Q2453" i="5"/>
  <c r="T2453" i="5" s="1"/>
  <c r="Q708" i="5"/>
  <c r="T708" i="5" s="1"/>
  <c r="Q240" i="5"/>
  <c r="T240" i="5" s="1"/>
  <c r="Q1515" i="5"/>
  <c r="T1515" i="5" s="1"/>
  <c r="Q590" i="5"/>
  <c r="T590" i="5" s="1"/>
  <c r="Q2065" i="5"/>
  <c r="T2065" i="5" s="1"/>
  <c r="Q512" i="5"/>
  <c r="T512" i="5" s="1"/>
  <c r="Q1638" i="5"/>
  <c r="T1638" i="5" s="1"/>
  <c r="Q1511" i="5"/>
  <c r="T1511" i="5" s="1"/>
  <c r="Q1401" i="5"/>
  <c r="Q1896" i="5"/>
  <c r="T1896" i="5" s="1"/>
  <c r="Q1137" i="5"/>
  <c r="T1137" i="5" s="1"/>
  <c r="Q1636" i="5"/>
  <c r="T1636" i="5" s="1"/>
  <c r="Q342" i="5"/>
  <c r="T342" i="5" s="1"/>
  <c r="Q143" i="5"/>
  <c r="T143" i="5" s="1"/>
  <c r="Q718" i="5"/>
  <c r="T718" i="5" s="1"/>
  <c r="Q932" i="5"/>
  <c r="T932" i="5" s="1"/>
  <c r="Q1816" i="5"/>
  <c r="T1816" i="5" s="1"/>
  <c r="Q1731" i="5"/>
  <c r="T1731" i="5" s="1"/>
  <c r="Q193" i="5"/>
  <c r="T193" i="5" s="1"/>
  <c r="Q1953" i="5"/>
  <c r="T1953" i="5" s="1"/>
  <c r="Q2131" i="5"/>
  <c r="T2131" i="5" s="1"/>
  <c r="Q519" i="5"/>
  <c r="T519" i="5" s="1"/>
  <c r="Q2455" i="5"/>
  <c r="T2455" i="5" s="1"/>
  <c r="Q1240" i="5"/>
  <c r="T1240" i="5" s="1"/>
  <c r="Q203" i="5"/>
  <c r="T203" i="5" s="1"/>
  <c r="Q1086" i="5"/>
  <c r="T1086" i="5" s="1"/>
  <c r="Q277" i="5"/>
  <c r="T277" i="5" s="1"/>
  <c r="Q646" i="5"/>
  <c r="T646" i="5" s="1"/>
  <c r="Q1387" i="5"/>
  <c r="T1387" i="5" s="1"/>
  <c r="Q2038" i="5"/>
  <c r="T2038" i="5" s="1"/>
  <c r="Q875" i="5"/>
  <c r="T875" i="5" s="1"/>
  <c r="Q211" i="5"/>
  <c r="T211" i="5" s="1"/>
  <c r="Q156" i="5"/>
  <c r="T156" i="5" s="1"/>
  <c r="Q1807" i="5"/>
  <c r="T1807" i="5" s="1"/>
  <c r="Q781" i="5"/>
  <c r="T781" i="5" s="1"/>
  <c r="Q815" i="5"/>
  <c r="T815" i="5" s="1"/>
  <c r="Q848" i="5"/>
  <c r="T848" i="5" s="1"/>
  <c r="Q688" i="5"/>
  <c r="T688" i="5" s="1"/>
  <c r="Q720" i="5"/>
  <c r="T720" i="5" s="1"/>
  <c r="Q928" i="5"/>
  <c r="T928" i="5" s="1"/>
  <c r="Q1607" i="5"/>
  <c r="T1607" i="5" s="1"/>
  <c r="Q1355" i="5"/>
  <c r="T1355" i="5" s="1"/>
  <c r="Q2209" i="5"/>
  <c r="T2209" i="5" s="1"/>
  <c r="Q1381" i="5"/>
  <c r="T1381" i="5" s="1"/>
  <c r="Q1196" i="5"/>
  <c r="T1196" i="5" s="1"/>
  <c r="Q1579" i="5"/>
  <c r="T1579" i="5" s="1"/>
  <c r="Q286" i="5"/>
  <c r="T286" i="5" s="1"/>
  <c r="Q1370" i="5"/>
  <c r="T1370" i="5" s="1"/>
  <c r="Q1635" i="5"/>
  <c r="T1635" i="5" s="1"/>
  <c r="Q1683" i="5"/>
  <c r="T1683" i="5" s="1"/>
  <c r="Q217" i="5"/>
  <c r="T217" i="5" s="1"/>
  <c r="Q1017" i="5"/>
  <c r="T1017" i="5" s="1"/>
  <c r="Q1488" i="5"/>
  <c r="T1488" i="5" s="1"/>
  <c r="Q1489" i="5"/>
  <c r="T1489" i="5" s="1"/>
  <c r="Q1146" i="5"/>
  <c r="T1146" i="5" s="1"/>
  <c r="Q1496" i="5"/>
  <c r="T1496" i="5" s="1"/>
  <c r="Q1139" i="5"/>
  <c r="T1139" i="5" s="1"/>
  <c r="Q2435" i="5"/>
  <c r="T2435" i="5" s="1"/>
  <c r="Q25" i="5"/>
  <c r="T25" i="5" s="1"/>
  <c r="Q1699" i="5"/>
  <c r="T1699" i="5" s="1"/>
  <c r="Q900" i="5"/>
  <c r="T900" i="5" s="1"/>
  <c r="Q62" i="5"/>
  <c r="Q798" i="5"/>
  <c r="T798" i="5" s="1"/>
  <c r="Q880" i="5"/>
  <c r="T880" i="5" s="1"/>
  <c r="Q114" i="5"/>
  <c r="T114" i="5" s="1"/>
  <c r="Q1827" i="5"/>
  <c r="T1827" i="5" s="1"/>
  <c r="Q2501" i="5"/>
  <c r="T2501" i="5" s="1"/>
  <c r="Q947" i="5"/>
  <c r="T947" i="5" s="1"/>
  <c r="Q189" i="5"/>
  <c r="T189" i="5" s="1"/>
  <c r="Q2437" i="5"/>
  <c r="T2437" i="5" s="1"/>
  <c r="Q1986" i="5"/>
  <c r="T1986" i="5" s="1"/>
  <c r="Q702" i="5"/>
  <c r="T702" i="5" s="1"/>
  <c r="Q1673" i="5"/>
  <c r="T1673" i="5" s="1"/>
  <c r="Q2478" i="5"/>
  <c r="T2478" i="5" s="1"/>
  <c r="Q111" i="5"/>
  <c r="T111" i="5" s="1"/>
  <c r="Q612" i="5"/>
  <c r="T612" i="5" s="1"/>
  <c r="Q930" i="5"/>
  <c r="T930" i="5" s="1"/>
  <c r="Q585" i="5"/>
  <c r="T585" i="5" s="1"/>
  <c r="Q828" i="5"/>
  <c r="T828" i="5" s="1"/>
  <c r="Q1597" i="5"/>
  <c r="T1597" i="5" s="1"/>
  <c r="Q1272" i="5"/>
  <c r="T1272" i="5" s="1"/>
  <c r="Q642" i="5"/>
  <c r="T642" i="5" s="1"/>
  <c r="Q2454" i="5"/>
  <c r="T2454" i="5" s="1"/>
  <c r="Q3" i="5"/>
  <c r="T3" i="5" s="1"/>
  <c r="Q1289" i="5"/>
  <c r="T1289" i="5" s="1"/>
  <c r="Q1652" i="5"/>
  <c r="T1652" i="5" s="1"/>
  <c r="Q2034" i="5"/>
  <c r="T2034" i="5" s="1"/>
  <c r="Q1822" i="5"/>
  <c r="T1822" i="5" s="1"/>
  <c r="Q695" i="5"/>
  <c r="T695" i="5" s="1"/>
  <c r="Q607" i="5"/>
  <c r="T607" i="5" s="1"/>
  <c r="Q1329" i="5"/>
  <c r="T1329" i="5" s="1"/>
  <c r="Q1316" i="5"/>
  <c r="T1316" i="5" s="1"/>
  <c r="Q1849" i="5"/>
  <c r="T1849" i="5" s="1"/>
  <c r="Q1837" i="5"/>
  <c r="T1837" i="5" s="1"/>
  <c r="Q320" i="5"/>
  <c r="T320" i="5" s="1"/>
  <c r="Q1332" i="5"/>
  <c r="T1332" i="5" s="1"/>
  <c r="Q2039" i="5"/>
  <c r="T2039" i="5" s="1"/>
  <c r="Q131" i="5"/>
  <c r="T131" i="5" s="1"/>
  <c r="Q2122" i="5"/>
  <c r="T2122" i="5" s="1"/>
  <c r="Q619" i="5"/>
  <c r="T619" i="5" s="1"/>
  <c r="Q1490" i="5"/>
  <c r="T1490" i="5" s="1"/>
  <c r="Q38" i="5"/>
  <c r="T38" i="5" s="1"/>
  <c r="Q1795" i="5"/>
  <c r="T1795" i="5" s="1"/>
  <c r="Q838" i="5"/>
  <c r="T838" i="5" s="1"/>
  <c r="Q2418" i="5"/>
  <c r="T2418" i="5" s="1"/>
  <c r="Q1614" i="5"/>
  <c r="T1614" i="5" s="1"/>
  <c r="Q2197" i="5"/>
  <c r="T2197" i="5" s="1"/>
  <c r="Q1555" i="5"/>
  <c r="T1555" i="5" s="1"/>
  <c r="Q2126" i="5"/>
  <c r="T2126" i="5" s="1"/>
  <c r="Q740" i="5"/>
  <c r="T740" i="5" s="1"/>
  <c r="Q21" i="5"/>
  <c r="T21" i="5" s="1"/>
  <c r="Q1064" i="5"/>
  <c r="T1064" i="5" s="1"/>
  <c r="Q180" i="5"/>
  <c r="T180" i="5" s="1"/>
  <c r="Q414" i="5"/>
  <c r="T414" i="5" s="1"/>
  <c r="Q420" i="5"/>
  <c r="T420" i="5" s="1"/>
  <c r="Q2222" i="5"/>
  <c r="T2222" i="5" s="1"/>
  <c r="Q587" i="5"/>
  <c r="T587" i="5" s="1"/>
  <c r="Q1429" i="5"/>
  <c r="T1429" i="5" s="1"/>
  <c r="Q761" i="5"/>
  <c r="T761" i="5" s="1"/>
  <c r="Q1882" i="5"/>
  <c r="T1882" i="5" s="1"/>
  <c r="Q437" i="5"/>
  <c r="T437" i="5" s="1"/>
  <c r="Q717" i="5"/>
  <c r="T717" i="5" s="1"/>
  <c r="Q2242" i="5"/>
  <c r="T2242" i="5" s="1"/>
  <c r="Q302" i="5"/>
  <c r="T302" i="5" s="1"/>
  <c r="Q1174" i="5"/>
  <c r="T1174" i="5" s="1"/>
  <c r="Q1707" i="5"/>
  <c r="T1707" i="5" s="1"/>
  <c r="Q1470" i="5"/>
  <c r="T1470" i="5" s="1"/>
  <c r="Q415" i="5"/>
  <c r="T415" i="5" s="1"/>
  <c r="Q697" i="5"/>
  <c r="T697" i="5" s="1"/>
  <c r="Q218" i="5"/>
  <c r="T218" i="5" s="1"/>
  <c r="Q2067" i="5"/>
  <c r="T2067" i="5" s="1"/>
  <c r="Q652" i="5"/>
  <c r="T652" i="5" s="1"/>
  <c r="Q1541" i="5"/>
  <c r="T1541" i="5" s="1"/>
  <c r="Q2338" i="5"/>
  <c r="T2338" i="5" s="1"/>
  <c r="Q814" i="5"/>
  <c r="T814" i="5" s="1"/>
  <c r="Q2042" i="5"/>
  <c r="T2042" i="5" s="1"/>
  <c r="Q1567" i="5"/>
  <c r="T1567" i="5" s="1"/>
  <c r="Q389" i="5"/>
  <c r="T389" i="5" s="1"/>
  <c r="Q727" i="5"/>
  <c r="T727" i="5" s="1"/>
  <c r="Q2250" i="5"/>
  <c r="T2250" i="5" s="1"/>
  <c r="Q231" i="5"/>
  <c r="T231" i="5" s="1"/>
  <c r="Q677" i="5"/>
  <c r="T677" i="5" s="1"/>
  <c r="Q1463" i="5"/>
  <c r="Q1184" i="5"/>
  <c r="T1184" i="5" s="1"/>
  <c r="Q1801" i="5"/>
  <c r="T1801" i="5" s="1"/>
  <c r="Q622" i="5"/>
  <c r="T622" i="5" s="1"/>
  <c r="Q723" i="5"/>
  <c r="T723" i="5" s="1"/>
  <c r="Q360" i="5"/>
  <c r="T360" i="5" s="1"/>
  <c r="Q1739" i="5"/>
  <c r="T1739" i="5" s="1"/>
  <c r="Q813" i="5"/>
  <c r="T813" i="5" s="1"/>
  <c r="Q281" i="5"/>
  <c r="T281" i="5" s="1"/>
  <c r="Q1502" i="5"/>
  <c r="T1502" i="5" s="1"/>
  <c r="Q1657" i="5"/>
  <c r="T1657" i="5" s="1"/>
  <c r="Q686" i="5"/>
  <c r="T686" i="5" s="1"/>
  <c r="Q668" i="5"/>
  <c r="T668" i="5" s="1"/>
  <c r="Q135" i="5"/>
  <c r="T135" i="5" s="1"/>
  <c r="Q1936" i="5"/>
  <c r="T1936" i="5" s="1"/>
  <c r="Q431" i="5"/>
  <c r="T431" i="5" s="1"/>
  <c r="Q904" i="5"/>
  <c r="T904" i="5" s="1"/>
  <c r="Q965" i="5"/>
  <c r="T965" i="5" s="1"/>
  <c r="Q1813" i="5"/>
  <c r="T1813" i="5" s="1"/>
  <c r="Q1812" i="5"/>
  <c r="T1812" i="5" s="1"/>
  <c r="Q295" i="5"/>
  <c r="T295" i="5" s="1"/>
  <c r="Q2342" i="5"/>
  <c r="T2342" i="5" s="1"/>
  <c r="Q1444" i="5"/>
  <c r="T1444" i="5" s="1"/>
  <c r="Q1312" i="5"/>
  <c r="T1312" i="5" s="1"/>
  <c r="Q2128" i="5"/>
  <c r="Q312" i="5"/>
  <c r="T312" i="5" s="1"/>
  <c r="Q555" i="5"/>
  <c r="T555" i="5" s="1"/>
  <c r="Q1977" i="5"/>
  <c r="T1977" i="5" s="1"/>
  <c r="Q597" i="5"/>
  <c r="T597" i="5" s="1"/>
  <c r="Q1232" i="5"/>
  <c r="T1232" i="5" s="1"/>
  <c r="Q1242" i="5"/>
  <c r="T1242" i="5" s="1"/>
  <c r="Q2343" i="5"/>
  <c r="T2343" i="5" s="1"/>
  <c r="Q1353" i="5"/>
  <c r="T1353" i="5" s="1"/>
  <c r="Q1093" i="5"/>
  <c r="T1093" i="5" s="1"/>
  <c r="Q2013" i="5"/>
  <c r="T2013" i="5" s="1"/>
  <c r="Q14" i="5"/>
  <c r="T14" i="5" s="1"/>
  <c r="Q486" i="5"/>
  <c r="T486" i="5" s="1"/>
  <c r="Q433" i="5"/>
  <c r="T433" i="5" s="1"/>
  <c r="Q1159" i="5"/>
  <c r="T1159" i="5" s="1"/>
  <c r="Q2227" i="5"/>
  <c r="Q1404" i="5"/>
  <c r="T1404" i="5" s="1"/>
  <c r="Q837" i="5"/>
  <c r="T837" i="5" s="1"/>
  <c r="Q1140" i="5"/>
  <c r="T1140" i="5" s="1"/>
  <c r="Q2007" i="5"/>
  <c r="T2007" i="5" s="1"/>
  <c r="Q1716" i="5"/>
  <c r="Q1554" i="5"/>
  <c r="T1554" i="5" s="1"/>
  <c r="Q1270" i="5"/>
  <c r="T1270" i="5" s="1"/>
  <c r="Q1561" i="5"/>
  <c r="T1561" i="5" s="1"/>
  <c r="Q577" i="5"/>
  <c r="T577" i="5" s="1"/>
  <c r="Q2276" i="5"/>
  <c r="T2276" i="5" s="1"/>
  <c r="Q2149" i="5"/>
  <c r="T2149" i="5" s="1"/>
  <c r="Q2076" i="5"/>
  <c r="T2076" i="5" s="1"/>
  <c r="Q2253" i="5"/>
  <c r="T2253" i="5" s="1"/>
  <c r="Q2439" i="5"/>
  <c r="T2439" i="5" s="1"/>
  <c r="Q1135" i="5"/>
  <c r="T1135" i="5" s="1"/>
  <c r="Q1789" i="5"/>
  <c r="T1789" i="5" s="1"/>
  <c r="Q219" i="5"/>
  <c r="T219" i="5" s="1"/>
  <c r="Q806" i="5"/>
  <c r="T806" i="5" s="1"/>
  <c r="Q2256" i="5"/>
  <c r="T2256" i="5" s="1"/>
  <c r="Q121" i="5"/>
  <c r="T121" i="5" s="1"/>
  <c r="Q476" i="5"/>
  <c r="T476" i="5" s="1"/>
  <c r="Q641" i="5"/>
  <c r="T641" i="5" s="1"/>
  <c r="Q299" i="5"/>
  <c r="T299" i="5" s="1"/>
  <c r="Q1427" i="5"/>
  <c r="T1427" i="5" s="1"/>
  <c r="Q674" i="5"/>
  <c r="T674" i="5" s="1"/>
  <c r="Q1122" i="5"/>
  <c r="T1122" i="5" s="1"/>
  <c r="Q803" i="5"/>
  <c r="T803" i="5" s="1"/>
  <c r="Q1105" i="5"/>
  <c r="T1105" i="5" s="1"/>
  <c r="Q296" i="5"/>
  <c r="T296" i="5" s="1"/>
  <c r="Q992" i="5"/>
  <c r="T992" i="5" s="1"/>
  <c r="Q1193" i="5"/>
  <c r="T1193" i="5" s="1"/>
  <c r="Q1314" i="5"/>
  <c r="T1314" i="5" s="1"/>
  <c r="Q1466" i="5"/>
  <c r="T1466" i="5" s="1"/>
  <c r="Q351" i="5"/>
  <c r="T351" i="5" s="1"/>
  <c r="Q2031" i="5"/>
  <c r="T2031" i="5" s="1"/>
  <c r="Q2203" i="5"/>
  <c r="T2203" i="5" s="1"/>
  <c r="Q1173" i="5"/>
  <c r="T1173" i="5" s="1"/>
  <c r="Q2255" i="5"/>
  <c r="T2255" i="5" s="1"/>
  <c r="Q657" i="5"/>
  <c r="T657" i="5" s="1"/>
  <c r="Q681" i="5"/>
  <c r="T681" i="5" s="1"/>
  <c r="Q2403" i="5"/>
  <c r="T2403" i="5" s="1"/>
  <c r="Q1767" i="5"/>
  <c r="T1767" i="5" s="1"/>
  <c r="Q1611" i="5"/>
  <c r="T1611" i="5" s="1"/>
  <c r="Q1943" i="5"/>
  <c r="T1943" i="5" s="1"/>
  <c r="Q1143" i="5"/>
  <c r="T1143" i="5" s="1"/>
  <c r="Q2053" i="5"/>
  <c r="T2053" i="5" s="1"/>
  <c r="Q843" i="5"/>
  <c r="T843" i="5" s="1"/>
  <c r="Q478" i="5"/>
  <c r="T478" i="5" s="1"/>
  <c r="Q2170" i="5"/>
  <c r="T2170" i="5" s="1"/>
  <c r="Q1682" i="5"/>
  <c r="T1682" i="5" s="1"/>
  <c r="Q771" i="5"/>
  <c r="T771" i="5" s="1"/>
  <c r="Q598" i="5"/>
  <c r="T598" i="5" s="1"/>
  <c r="Q2410" i="5"/>
  <c r="T2410" i="5" s="1"/>
  <c r="Q60" i="5"/>
  <c r="T60" i="5" s="1"/>
  <c r="Q543" i="5"/>
  <c r="T543" i="5" s="1"/>
  <c r="Q1243" i="5"/>
  <c r="T1243" i="5" s="1"/>
  <c r="Q186" i="5"/>
  <c r="T186" i="5" s="1"/>
  <c r="Q971" i="5"/>
  <c r="Q1550" i="5"/>
  <c r="T1550" i="5" s="1"/>
  <c r="Q637" i="5"/>
  <c r="T637" i="5" s="1"/>
  <c r="Q522" i="5"/>
  <c r="T522" i="5" s="1"/>
  <c r="Q1215" i="5"/>
  <c r="T1215" i="5" s="1"/>
  <c r="Q2371" i="5"/>
  <c r="T2371" i="5" s="1"/>
  <c r="Q1615" i="5"/>
  <c r="T1615" i="5" s="1"/>
  <c r="Q321" i="5"/>
  <c r="T321" i="5" s="1"/>
  <c r="Q966" i="5"/>
  <c r="T966" i="5" s="1"/>
  <c r="Q446" i="5"/>
  <c r="T446" i="5" s="1"/>
  <c r="Q480" i="5"/>
  <c r="T480" i="5" s="1"/>
  <c r="Q2426" i="5"/>
  <c r="T2426" i="5" s="1"/>
  <c r="Q1912" i="5"/>
  <c r="T1912" i="5" s="1"/>
  <c r="Q1576" i="5"/>
  <c r="T1576" i="5" s="1"/>
  <c r="Q1398" i="5"/>
  <c r="T1398" i="5" s="1"/>
  <c r="Q2319" i="5"/>
  <c r="T2319" i="5" s="1"/>
  <c r="Q1230" i="5"/>
  <c r="T1230" i="5" s="1"/>
  <c r="Q2247" i="5"/>
  <c r="T2247" i="5" s="1"/>
  <c r="Q2407" i="5"/>
  <c r="T2407" i="5" s="1"/>
  <c r="Q169" i="5"/>
  <c r="T169" i="5" s="1"/>
  <c r="Q1150" i="5"/>
  <c r="T1150" i="5" s="1"/>
  <c r="Q1677" i="5"/>
  <c r="T1677" i="5" s="1"/>
  <c r="Q1006" i="5"/>
  <c r="T1006" i="5" s="1"/>
  <c r="Q2027" i="5"/>
  <c r="T2027" i="5" s="1"/>
  <c r="Q1536" i="5"/>
  <c r="T1536" i="5" s="1"/>
  <c r="Q1197" i="5"/>
  <c r="T1197" i="5" s="1"/>
  <c r="Q44" i="5"/>
  <c r="T44" i="5" s="1"/>
  <c r="Q1524" i="5"/>
  <c r="T1524" i="5" s="1"/>
  <c r="Q2491" i="5"/>
  <c r="T2491" i="5" s="1"/>
  <c r="Q1077" i="5"/>
  <c r="T1077" i="5" s="1"/>
  <c r="Q1670" i="5"/>
  <c r="T1670" i="5" s="1"/>
  <c r="Q1182" i="5"/>
  <c r="T1182" i="5" s="1"/>
  <c r="Q1917" i="5"/>
  <c r="T1917" i="5" s="1"/>
  <c r="Q1760" i="5"/>
  <c r="T1760" i="5" s="1"/>
  <c r="Q1475" i="5"/>
  <c r="T1475" i="5" s="1"/>
  <c r="Q1073" i="5"/>
  <c r="T1073" i="5" s="1"/>
  <c r="Q1290" i="5"/>
  <c r="T1290" i="5" s="1"/>
  <c r="Q1617" i="5"/>
  <c r="T1617" i="5" s="1"/>
  <c r="Q2135" i="5"/>
  <c r="T2135" i="5" s="1"/>
  <c r="Q1048" i="5"/>
  <c r="T1048" i="5" s="1"/>
  <c r="Q1071" i="5"/>
  <c r="T1071" i="5" s="1"/>
  <c r="Q1941" i="5"/>
  <c r="T1941" i="5" s="1"/>
  <c r="Q1741" i="5"/>
  <c r="T1741" i="5" s="1"/>
  <c r="Q1247" i="5"/>
  <c r="T1247" i="5" s="1"/>
  <c r="Q1833" i="5"/>
  <c r="T1833" i="5" s="1"/>
  <c r="Q1419" i="5"/>
  <c r="T1419" i="5" s="1"/>
  <c r="Q1388" i="5"/>
  <c r="T1388" i="5" s="1"/>
  <c r="Q1591" i="5"/>
  <c r="T1591" i="5" s="1"/>
  <c r="Q2218" i="5"/>
  <c r="T2218" i="5" s="1"/>
  <c r="Q113" i="5"/>
  <c r="T113" i="5" s="1"/>
  <c r="Q306" i="5"/>
  <c r="T306" i="5" s="1"/>
  <c r="Q1777" i="5"/>
  <c r="T1777" i="5" s="1"/>
  <c r="Q1275" i="5"/>
  <c r="T1275" i="5" s="1"/>
  <c r="Q464" i="5"/>
  <c r="T464" i="5" s="1"/>
  <c r="Q1853" i="5"/>
  <c r="T1853" i="5" s="1"/>
  <c r="Q1560" i="5"/>
  <c r="T1560" i="5" s="1"/>
  <c r="Q2346" i="5"/>
  <c r="T2346" i="5" s="1"/>
  <c r="Q884" i="5"/>
  <c r="T884" i="5" s="1"/>
  <c r="Q691" i="5"/>
  <c r="T691" i="5" s="1"/>
  <c r="Q1532" i="5"/>
  <c r="T1532" i="5" s="1"/>
  <c r="Q2383" i="5"/>
  <c r="T2383" i="5" s="1"/>
  <c r="Q455" i="5"/>
  <c r="T455" i="5" s="1"/>
  <c r="Q147" i="5"/>
  <c r="T147" i="5" s="1"/>
  <c r="Q179" i="5"/>
  <c r="T179" i="5" s="1"/>
  <c r="Q979" i="5"/>
  <c r="T979" i="5" s="1"/>
  <c r="Q1592" i="5"/>
  <c r="T1592" i="5" s="1"/>
  <c r="Q1901" i="5"/>
  <c r="T1901" i="5" s="1"/>
  <c r="Q267" i="5"/>
  <c r="T267" i="5" s="1"/>
  <c r="Q564" i="5"/>
  <c r="T564" i="5" s="1"/>
  <c r="Q1001" i="5"/>
  <c r="T1001" i="5" s="1"/>
  <c r="Q391" i="5"/>
  <c r="T391" i="5" s="1"/>
  <c r="Q683" i="5"/>
  <c r="T683" i="5" s="1"/>
  <c r="Q1053" i="5"/>
  <c r="T1053" i="5" s="1"/>
  <c r="Q2216" i="5"/>
  <c r="T2216" i="5" s="1"/>
  <c r="Q1585" i="5"/>
  <c r="T1585" i="5" s="1"/>
  <c r="Q2472" i="5"/>
  <c r="T2472" i="5" s="1"/>
  <c r="Q703" i="5"/>
  <c r="T703" i="5" s="1"/>
  <c r="Q227" i="5"/>
  <c r="T227" i="5" s="1"/>
  <c r="Q278" i="5"/>
  <c r="T278" i="5" s="1"/>
  <c r="Q1552" i="5"/>
  <c r="T1552" i="5" s="1"/>
  <c r="Q2138" i="5"/>
  <c r="T2138" i="5" s="1"/>
  <c r="Q237" i="5"/>
  <c r="T237" i="5" s="1"/>
  <c r="Q159" i="5"/>
  <c r="T159" i="5" s="1"/>
  <c r="Q918" i="5"/>
  <c r="T918" i="5" s="1"/>
  <c r="Q251" i="5"/>
  <c r="T251" i="5" s="1"/>
  <c r="Q1512" i="5"/>
  <c r="T1512" i="5" s="1"/>
  <c r="Q192" i="5"/>
  <c r="T192" i="5" s="1"/>
  <c r="Q1814" i="5"/>
  <c r="T1814" i="5" s="1"/>
  <c r="Q1309" i="5"/>
  <c r="T1309" i="5" s="1"/>
  <c r="Q1386" i="5"/>
  <c r="T1386" i="5" s="1"/>
  <c r="Q908" i="5"/>
  <c r="T908" i="5" s="1"/>
  <c r="Q405" i="5"/>
  <c r="T405" i="5" s="1"/>
  <c r="Q2417" i="5"/>
  <c r="T2417" i="5" s="1"/>
  <c r="Q1219" i="5"/>
  <c r="T1219" i="5" s="1"/>
  <c r="Q874" i="5"/>
  <c r="Q2173" i="5"/>
  <c r="T2173" i="5" s="1"/>
  <c r="Q1440" i="5"/>
  <c r="T1440" i="5" s="1"/>
  <c r="Q83" i="5"/>
  <c r="T83" i="5" s="1"/>
  <c r="Q2229" i="5"/>
  <c r="T2229" i="5" s="1"/>
  <c r="Q1457" i="5"/>
  <c r="T1457" i="5" s="1"/>
  <c r="Q319" i="5"/>
  <c r="Q1665" i="5"/>
  <c r="T1665" i="5" s="1"/>
  <c r="Q1018" i="5"/>
  <c r="T1018" i="5" s="1"/>
  <c r="Q2317" i="5"/>
  <c r="T2317" i="5" s="1"/>
  <c r="Q1367" i="5"/>
  <c r="T1367" i="5" s="1"/>
  <c r="Q673" i="5"/>
  <c r="T673" i="5" s="1"/>
  <c r="Q2494" i="5"/>
  <c r="T2494" i="5" s="1"/>
  <c r="Q1363" i="5"/>
  <c r="T1363" i="5" s="1"/>
  <c r="Q424" i="5"/>
  <c r="T424" i="5" s="1"/>
  <c r="Q2180" i="5"/>
  <c r="Q1239" i="5"/>
  <c r="T1239" i="5" s="1"/>
  <c r="Q201" i="5"/>
  <c r="T201" i="5" s="1"/>
  <c r="Q1764" i="5"/>
  <c r="T1764" i="5" s="1"/>
  <c r="Q435" i="5"/>
  <c r="T435" i="5" s="1"/>
  <c r="Q249" i="5"/>
  <c r="T249" i="5" s="1"/>
  <c r="Q1257" i="5"/>
  <c r="T1257" i="5" s="1"/>
  <c r="Q1361" i="5"/>
  <c r="T1361" i="5" s="1"/>
  <c r="Q1179" i="5"/>
  <c r="T1179" i="5" s="1"/>
  <c r="Q490" i="5"/>
  <c r="T490" i="5" s="1"/>
  <c r="Q275" i="5"/>
  <c r="T275" i="5" s="1"/>
  <c r="Q233" i="5"/>
  <c r="Q141" i="5"/>
  <c r="T141" i="5" s="1"/>
  <c r="Q653" i="5"/>
  <c r="T653" i="5" s="1"/>
  <c r="Q1885" i="5"/>
  <c r="T1885" i="5" s="1"/>
  <c r="Q1564" i="5"/>
  <c r="T1564" i="5" s="1"/>
  <c r="Q903" i="5"/>
  <c r="T903" i="5" s="1"/>
  <c r="Q2475" i="5"/>
  <c r="T2475" i="5" s="1"/>
  <c r="Q1797" i="5"/>
  <c r="T1797" i="5" s="1"/>
  <c r="Q1920" i="5"/>
  <c r="T1920" i="5" s="1"/>
  <c r="Q1553" i="5"/>
  <c r="T1553" i="5" s="1"/>
  <c r="Q2279" i="5"/>
  <c r="T2279" i="5" s="1"/>
  <c r="Q160" i="5"/>
  <c r="T160" i="5" s="1"/>
  <c r="Q1984" i="5"/>
  <c r="Q871" i="5"/>
  <c r="T871" i="5" s="1"/>
  <c r="Q54" i="5"/>
  <c r="T54" i="5" s="1"/>
  <c r="Q384" i="5"/>
  <c r="T384" i="5" s="1"/>
  <c r="Q1261" i="5"/>
  <c r="T1261" i="5" s="1"/>
  <c r="Q1681" i="5"/>
  <c r="T1681" i="5" s="1"/>
  <c r="Q457" i="5"/>
  <c r="T457" i="5" s="1"/>
  <c r="Q2301" i="5"/>
  <c r="T2301" i="5" s="1"/>
  <c r="Q64" i="5"/>
  <c r="Q1581" i="5"/>
  <c r="T1581" i="5" s="1"/>
  <c r="Q365" i="5"/>
  <c r="T365" i="5" s="1"/>
  <c r="Q1236" i="5"/>
  <c r="Q2274" i="5"/>
  <c r="T2274" i="5" s="1"/>
  <c r="Q1772" i="5"/>
  <c r="T1772" i="5" s="1"/>
  <c r="Q223" i="5"/>
  <c r="T223" i="5" s="1"/>
  <c r="Q729" i="5"/>
  <c r="T729" i="5" s="1"/>
  <c r="Q638" i="5"/>
  <c r="T638" i="5" s="1"/>
  <c r="Q1176" i="5"/>
  <c r="T1176" i="5" s="1"/>
  <c r="Q1891" i="5"/>
  <c r="T1891" i="5" s="1"/>
  <c r="Q1389" i="5"/>
  <c r="T1389" i="5" s="1"/>
  <c r="Q1194" i="5"/>
  <c r="T1194" i="5" s="1"/>
  <c r="Q1212" i="5"/>
  <c r="T1212" i="5" s="1"/>
  <c r="Q2477" i="5"/>
  <c r="T2477" i="5" s="1"/>
  <c r="Q907" i="5"/>
  <c r="T907" i="5" s="1"/>
  <c r="Q368" i="5"/>
  <c r="T368" i="5" s="1"/>
  <c r="Q349" i="5"/>
  <c r="T349" i="5" s="1"/>
  <c r="Q1835" i="5"/>
  <c r="T1835" i="5" s="1"/>
  <c r="Q524" i="5"/>
  <c r="T524" i="5" s="1"/>
  <c r="Q1060" i="5"/>
  <c r="T1060" i="5" s="1"/>
  <c r="Q1378" i="5"/>
  <c r="T1378" i="5" s="1"/>
  <c r="Q1044" i="5"/>
  <c r="T1044" i="5" s="1"/>
  <c r="Q1492" i="5"/>
  <c r="T1492" i="5" s="1"/>
  <c r="Q1951" i="5"/>
  <c r="T1951" i="5" s="1"/>
  <c r="Q1252" i="5"/>
  <c r="T1252" i="5" s="1"/>
  <c r="Q2278" i="5"/>
  <c r="T2278" i="5" s="1"/>
  <c r="Q1245" i="5"/>
  <c r="T1245" i="5" s="1"/>
  <c r="Q759" i="5"/>
  <c r="T759" i="5" s="1"/>
  <c r="Q2168" i="5"/>
  <c r="T2168" i="5" s="1"/>
  <c r="Q579" i="5"/>
  <c r="T579" i="5" s="1"/>
  <c r="Q878" i="5"/>
  <c r="T878" i="5" s="1"/>
  <c r="Q1152" i="5"/>
  <c r="T1152" i="5" s="1"/>
  <c r="Q187" i="5"/>
  <c r="T187" i="5" s="1"/>
  <c r="Q2240" i="5"/>
  <c r="T2240" i="5" s="1"/>
  <c r="Q32" i="5"/>
  <c r="T32" i="5" s="1"/>
  <c r="Q1978" i="5"/>
  <c r="T1978" i="5" s="1"/>
  <c r="Q1905" i="5"/>
  <c r="T1905" i="5" s="1"/>
  <c r="Q1379" i="5"/>
  <c r="T1379" i="5" s="1"/>
  <c r="Q2056" i="5"/>
  <c r="T2056" i="5" s="1"/>
  <c r="Q316" i="5"/>
  <c r="T316" i="5" s="1"/>
  <c r="Q2104" i="5"/>
  <c r="T2104" i="5" s="1"/>
  <c r="Q2261" i="5"/>
  <c r="Q372" i="5"/>
  <c r="T372" i="5" s="1"/>
  <c r="Q7" i="5"/>
  <c r="T7" i="5" s="1"/>
  <c r="Q533" i="5"/>
  <c r="T533" i="5" s="1"/>
  <c r="Q809" i="5"/>
  <c r="Q831" i="5"/>
  <c r="T831" i="5" s="1"/>
  <c r="Q911" i="5"/>
  <c r="T911" i="5" s="1"/>
  <c r="Q2206" i="5"/>
  <c r="T2206" i="5" s="1"/>
  <c r="Q1911" i="5"/>
  <c r="T1911" i="5" s="1"/>
  <c r="Q1641" i="5"/>
  <c r="T1641" i="5" s="1"/>
  <c r="Q1287" i="5"/>
  <c r="T1287" i="5" s="1"/>
  <c r="Q1606" i="5"/>
  <c r="T1606" i="5" s="1"/>
  <c r="Q1773" i="5"/>
  <c r="T1773" i="5" s="1"/>
  <c r="Q1442" i="5"/>
  <c r="T1442" i="5" s="1"/>
  <c r="Q297" i="5"/>
  <c r="T297" i="5" s="1"/>
  <c r="Q2331" i="5"/>
  <c r="T2331" i="5" s="1"/>
  <c r="Q208" i="5"/>
  <c r="T208" i="5" s="1"/>
  <c r="Q1298" i="5"/>
  <c r="T1298" i="5" s="1"/>
  <c r="Q465" i="5"/>
  <c r="T465" i="5" s="1"/>
  <c r="Q888" i="5"/>
  <c r="T888" i="5" s="1"/>
  <c r="Q1904" i="5"/>
  <c r="T1904" i="5" s="1"/>
  <c r="Q972" i="5"/>
  <c r="T972" i="5" s="1"/>
  <c r="Q1365" i="5"/>
  <c r="T1365" i="5" s="1"/>
  <c r="Q125" i="5"/>
  <c r="T125" i="5" s="1"/>
  <c r="Q1527" i="5"/>
  <c r="T1527" i="5" s="1"/>
  <c r="Q261" i="5"/>
  <c r="T261" i="5" s="1"/>
  <c r="Q2395" i="5"/>
  <c r="T2395" i="5" s="1"/>
  <c r="Q2293" i="5"/>
  <c r="T2293" i="5" s="1"/>
  <c r="Q1565" i="5"/>
  <c r="T1565" i="5" s="1"/>
  <c r="Q471" i="5"/>
  <c r="T471" i="5" s="1"/>
  <c r="Q2195" i="5"/>
  <c r="T2195" i="5" s="1"/>
  <c r="Q1350" i="5"/>
  <c r="T1350" i="5" s="1"/>
  <c r="Q1933" i="5"/>
  <c r="T1933" i="5" s="1"/>
  <c r="Q1217" i="5"/>
  <c r="T1217" i="5" s="1"/>
  <c r="Q556" i="5"/>
  <c r="T556" i="5" s="1"/>
  <c r="Q550" i="5"/>
  <c r="T550" i="5" s="1"/>
  <c r="Q1400" i="5"/>
  <c r="T1400" i="5" s="1"/>
  <c r="Q785" i="5"/>
  <c r="T785" i="5" s="1"/>
  <c r="Q1460" i="5"/>
  <c r="T1460" i="5" s="1"/>
  <c r="Q2499" i="5"/>
  <c r="Q1462" i="5"/>
  <c r="T1462" i="5" s="1"/>
  <c r="Q2121" i="5"/>
  <c r="T2121" i="5" s="1"/>
  <c r="Q1960" i="5"/>
  <c r="T1960" i="5" s="1"/>
  <c r="Q2246" i="5"/>
  <c r="T2246" i="5" s="1"/>
  <c r="Q578" i="5"/>
  <c r="T578" i="5" s="1"/>
  <c r="Q885" i="5"/>
  <c r="T885" i="5" s="1"/>
  <c r="Q379" i="5"/>
  <c r="T379" i="5" s="1"/>
  <c r="Q614" i="5"/>
  <c r="T614" i="5" s="1"/>
  <c r="Q2062" i="5"/>
  <c r="T2062" i="5" s="1"/>
  <c r="Q1005" i="5"/>
  <c r="Q950" i="5"/>
  <c r="T950" i="5" s="1"/>
  <c r="Q1631" i="5"/>
  <c r="T1631" i="5" s="1"/>
  <c r="Q937" i="5"/>
  <c r="T937" i="5" s="1"/>
  <c r="Q77" i="5"/>
  <c r="T77" i="5" s="1"/>
  <c r="Q571" i="5"/>
  <c r="T571" i="5" s="1"/>
  <c r="Q2096" i="5"/>
  <c r="T2096" i="5" s="1"/>
  <c r="Q913" i="5"/>
  <c r="T913" i="5" s="1"/>
  <c r="Q620" i="5"/>
  <c r="T620" i="5" s="1"/>
  <c r="Q823" i="5"/>
  <c r="T823" i="5" s="1"/>
  <c r="Q722" i="5"/>
  <c r="T722" i="5" s="1"/>
  <c r="Q538" i="5"/>
  <c r="T538" i="5" s="1"/>
  <c r="Q1879" i="5"/>
  <c r="T1879" i="5" s="1"/>
  <c r="Q1491" i="5"/>
  <c r="T1491" i="5" s="1"/>
  <c r="Q221" i="5"/>
  <c r="T221" i="5" s="1"/>
  <c r="Q645" i="5"/>
  <c r="T645" i="5" s="1"/>
  <c r="Q1925" i="5"/>
  <c r="T1925" i="5" s="1"/>
  <c r="Q2350" i="5"/>
  <c r="T2350" i="5" s="1"/>
  <c r="Q1395" i="5"/>
  <c r="T1395" i="5" s="1"/>
  <c r="Q1161" i="5"/>
  <c r="T1161" i="5" s="1"/>
  <c r="Q682" i="5"/>
  <c r="T682" i="5" s="1"/>
  <c r="Q1601" i="5"/>
  <c r="T1601" i="5" s="1"/>
  <c r="Q1899" i="5"/>
  <c r="T1899" i="5" s="1"/>
  <c r="Q2424" i="5"/>
  <c r="T2424" i="5" s="1"/>
  <c r="Q354" i="5"/>
  <c r="T354" i="5" s="1"/>
  <c r="Q995" i="5"/>
  <c r="Q1783" i="5"/>
  <c r="T1783" i="5" s="1"/>
  <c r="Q35" i="5"/>
  <c r="T35" i="5" s="1"/>
  <c r="Q1461" i="5"/>
  <c r="T1461" i="5" s="1"/>
  <c r="Q1543" i="5"/>
  <c r="T1543" i="5" s="1"/>
  <c r="Q76" i="5"/>
  <c r="T76" i="5" s="1"/>
  <c r="Q214" i="5"/>
  <c r="T214" i="5" s="1"/>
  <c r="Q1520" i="5"/>
  <c r="T1520" i="5" s="1"/>
  <c r="Q1622" i="5"/>
  <c r="T1622" i="5" s="1"/>
  <c r="Q133" i="5"/>
  <c r="T133" i="5" s="1"/>
  <c r="Q430" i="5"/>
  <c r="T430" i="5" s="1"/>
  <c r="Q2161" i="5"/>
  <c r="T2161" i="5" s="1"/>
  <c r="Q1117" i="5"/>
  <c r="T1117" i="5" s="1"/>
  <c r="Q1545" i="5"/>
  <c r="T1545" i="5" s="1"/>
  <c r="Q48" i="5"/>
  <c r="T48" i="5" s="1"/>
  <c r="Q2198" i="5"/>
  <c r="T2198" i="5" s="1"/>
  <c r="Q1079" i="5"/>
  <c r="T1079" i="5" s="1"/>
  <c r="Q644" i="5"/>
  <c r="T644" i="5" s="1"/>
  <c r="Q1751" i="5"/>
  <c r="T1751" i="5" s="1"/>
  <c r="Q2305" i="5"/>
  <c r="T2305" i="5" s="1"/>
  <c r="Q2127" i="5"/>
  <c r="T2127" i="5" s="1"/>
  <c r="Q1921" i="5"/>
  <c r="T1921" i="5" s="1"/>
  <c r="Q236" i="5"/>
  <c r="T236" i="5" s="1"/>
  <c r="Q558" i="5"/>
  <c r="T558" i="5" s="1"/>
  <c r="Q498" i="5"/>
  <c r="T498" i="5" s="1"/>
  <c r="Q2320" i="5"/>
  <c r="T2320" i="5" s="1"/>
  <c r="Q2466" i="5"/>
  <c r="T2466" i="5" s="1"/>
  <c r="Q1012" i="5"/>
  <c r="T1012" i="5" s="1"/>
  <c r="Q1952" i="5"/>
  <c r="T1952" i="5" s="1"/>
  <c r="Q2117" i="5"/>
  <c r="T2117" i="5" s="1"/>
  <c r="Q265" i="5"/>
  <c r="T265" i="5" s="1"/>
  <c r="Q46" i="5"/>
  <c r="T46" i="5" s="1"/>
  <c r="Q1556" i="5"/>
  <c r="T1556" i="5" s="1"/>
  <c r="Q893" i="5"/>
  <c r="T893" i="5" s="1"/>
  <c r="Q1900" i="5"/>
  <c r="T1900" i="5" s="1"/>
  <c r="Q1156" i="5"/>
  <c r="T1156" i="5" s="1"/>
  <c r="Q182" i="5"/>
  <c r="T182" i="5" s="1"/>
  <c r="Q1872" i="5"/>
  <c r="T1872" i="5" s="1"/>
  <c r="Q936" i="5"/>
  <c r="T936" i="5" s="1"/>
  <c r="Q773" i="5"/>
  <c r="T773" i="5" s="1"/>
  <c r="Q2150" i="5"/>
  <c r="Q1035" i="5"/>
  <c r="T1035" i="5" s="1"/>
  <c r="Q2292" i="5"/>
  <c r="T2292" i="5" s="1"/>
  <c r="Q856" i="5"/>
  <c r="T856" i="5" s="1"/>
  <c r="Q2058" i="5"/>
  <c r="T2058" i="5" s="1"/>
  <c r="Q613" i="5"/>
  <c r="Q1328" i="5"/>
  <c r="T1328" i="5" s="1"/>
  <c r="Q1944" i="5"/>
  <c r="T1944" i="5" s="1"/>
  <c r="Q1914" i="5"/>
  <c r="T1914" i="5" s="1"/>
  <c r="Q1568" i="5"/>
  <c r="T1568" i="5" s="1"/>
  <c r="Q1445" i="5"/>
  <c r="T1445" i="5" s="1"/>
  <c r="Q2221" i="5"/>
  <c r="T2221" i="5" s="1"/>
  <c r="Q2364" i="5"/>
  <c r="T2364" i="5" s="1"/>
  <c r="Q984" i="5"/>
  <c r="T984" i="5" s="1"/>
  <c r="Q394" i="5"/>
  <c r="T394" i="5" s="1"/>
  <c r="Q144" i="5"/>
  <c r="T144" i="5" s="1"/>
  <c r="Q2285" i="5"/>
  <c r="T2285" i="5" s="1"/>
  <c r="Q1067" i="5"/>
  <c r="T1067" i="5" s="1"/>
  <c r="Q301" i="5"/>
  <c r="T301" i="5" s="1"/>
  <c r="Q284" i="5"/>
  <c r="T284" i="5" s="1"/>
  <c r="Q129" i="5"/>
  <c r="T129" i="5" s="1"/>
  <c r="Q981" i="5"/>
  <c r="T981" i="5" s="1"/>
  <c r="Q2394" i="5"/>
  <c r="T2394" i="5" s="1"/>
  <c r="Q886" i="5"/>
  <c r="T886" i="5" s="1"/>
  <c r="Q2249" i="5"/>
  <c r="T2249" i="5" s="1"/>
  <c r="Q1339" i="5"/>
  <c r="T1339" i="5" s="1"/>
  <c r="Q2308" i="5"/>
  <c r="T2308" i="5" s="1"/>
  <c r="Q2307" i="5"/>
  <c r="T2307" i="5" s="1"/>
  <c r="Q755" i="5"/>
  <c r="T755" i="5" s="1"/>
  <c r="Q1737" i="5"/>
  <c r="T1737" i="5" s="1"/>
  <c r="Q847" i="5"/>
  <c r="T847" i="5" s="1"/>
  <c r="Q1932" i="5"/>
  <c r="T1932" i="5" s="1"/>
  <c r="M18" i="16"/>
  <c r="N18" i="16" s="1"/>
  <c r="M22" i="16"/>
  <c r="N22" i="16" s="1"/>
  <c r="M16" i="16"/>
  <c r="N16" i="16" s="1"/>
  <c r="M21" i="16"/>
  <c r="N21" i="16" s="1"/>
  <c r="M17" i="16"/>
  <c r="N17" i="16" s="1"/>
  <c r="M23" i="16"/>
  <c r="N23" i="16" s="1"/>
  <c r="M25" i="16"/>
  <c r="N25" i="16" s="1"/>
  <c r="M24" i="16"/>
  <c r="N24" i="16" s="1"/>
  <c r="M29" i="16"/>
  <c r="N29" i="16" s="1"/>
  <c r="M31" i="16"/>
  <c r="N31" i="16" s="1"/>
  <c r="M20" i="16"/>
  <c r="N20" i="16" s="1"/>
  <c r="M28" i="16"/>
  <c r="N28" i="16" s="1"/>
  <c r="M27" i="16"/>
  <c r="N27" i="16" s="1"/>
  <c r="M26" i="16"/>
  <c r="N26" i="16" s="1"/>
  <c r="M30" i="16"/>
  <c r="N30" i="16" s="1"/>
  <c r="J16" i="15"/>
  <c r="K16" i="15" s="1"/>
  <c r="K20" i="8"/>
  <c r="L26" i="8"/>
  <c r="L25" i="8"/>
  <c r="L17" i="8"/>
  <c r="L27" i="8"/>
  <c r="L29" i="8"/>
  <c r="L21" i="8"/>
  <c r="L28" i="8"/>
  <c r="L20" i="8"/>
  <c r="G469" i="11"/>
  <c r="G498" i="11"/>
  <c r="G485" i="11"/>
  <c r="G426" i="11"/>
  <c r="G495" i="11"/>
  <c r="G477" i="11"/>
  <c r="G465" i="11"/>
  <c r="G449" i="11"/>
  <c r="G481" i="11"/>
  <c r="G462" i="11"/>
  <c r="G466" i="11"/>
  <c r="F3" i="11"/>
  <c r="G497" i="11"/>
  <c r="G454" i="11"/>
  <c r="G399" i="11"/>
  <c r="G442" i="11"/>
  <c r="G470" i="11"/>
  <c r="G441" i="11"/>
  <c r="G431" i="11"/>
  <c r="L19" i="8"/>
  <c r="G404" i="11"/>
  <c r="G385" i="11"/>
  <c r="G369" i="11"/>
  <c r="G335" i="11"/>
  <c r="G285" i="11"/>
  <c r="G272" i="11"/>
  <c r="G262" i="11"/>
  <c r="G246" i="11"/>
  <c r="G222" i="11"/>
  <c r="G217" i="11"/>
  <c r="G199" i="11"/>
  <c r="G193" i="11"/>
  <c r="G167" i="11"/>
  <c r="G129" i="11"/>
  <c r="G124" i="11"/>
  <c r="G120" i="11"/>
  <c r="G114" i="11"/>
  <c r="G76" i="11"/>
  <c r="G74" i="11"/>
  <c r="G41" i="11"/>
  <c r="G13" i="11"/>
  <c r="G9" i="11"/>
  <c r="G367" i="11"/>
  <c r="G357" i="11"/>
  <c r="G306" i="11"/>
  <c r="G274" i="11"/>
  <c r="G226" i="11"/>
  <c r="G219" i="11"/>
  <c r="G208" i="11"/>
  <c r="G191" i="11"/>
  <c r="G166" i="11"/>
  <c r="G158" i="11"/>
  <c r="G146" i="11"/>
  <c r="G135" i="11"/>
  <c r="G119" i="11"/>
  <c r="G90" i="11"/>
  <c r="G79" i="11"/>
  <c r="G58" i="11"/>
  <c r="G23" i="11"/>
  <c r="G478" i="11"/>
  <c r="G474" i="11"/>
  <c r="G450" i="11"/>
  <c r="G438" i="11"/>
  <c r="G429" i="11"/>
  <c r="G343" i="11"/>
  <c r="G323" i="11"/>
  <c r="G287" i="11"/>
  <c r="G282" i="11"/>
  <c r="G260" i="11"/>
  <c r="G240" i="11"/>
  <c r="G237" i="11"/>
  <c r="G209" i="11"/>
  <c r="G204" i="11"/>
  <c r="G190" i="11"/>
  <c r="G168" i="11"/>
  <c r="G156" i="11"/>
  <c r="G153" i="11"/>
  <c r="G112" i="11"/>
  <c r="G109" i="11"/>
  <c r="G103" i="11"/>
  <c r="G81" i="11"/>
  <c r="G54" i="11"/>
  <c r="G52" i="11"/>
  <c r="G45" i="11"/>
  <c r="G6" i="11"/>
  <c r="G417" i="11"/>
  <c r="G316" i="11"/>
  <c r="G271" i="11"/>
  <c r="G225" i="11"/>
  <c r="G218" i="11"/>
  <c r="G207" i="11"/>
  <c r="G189" i="11"/>
  <c r="G176" i="11"/>
  <c r="G165" i="11"/>
  <c r="G157" i="11"/>
  <c r="G145" i="11"/>
  <c r="G118" i="11"/>
  <c r="G89" i="11"/>
  <c r="G78" i="11"/>
  <c r="G57" i="11"/>
  <c r="G8" i="11"/>
  <c r="G332" i="11"/>
  <c r="G314" i="11"/>
  <c r="G311" i="11"/>
  <c r="G308" i="11"/>
  <c r="G295" i="11"/>
  <c r="G269" i="11"/>
  <c r="G254" i="11"/>
  <c r="G241" i="11"/>
  <c r="G215" i="11"/>
  <c r="G196" i="11"/>
  <c r="G154" i="11"/>
  <c r="G142" i="11"/>
  <c r="G108" i="11"/>
  <c r="G101" i="11"/>
  <c r="G98" i="11"/>
  <c r="G69" i="11"/>
  <c r="G31" i="11"/>
  <c r="G428" i="11"/>
  <c r="G345" i="11"/>
  <c r="G333" i="11"/>
  <c r="G328" i="11"/>
  <c r="G297" i="11"/>
  <c r="G270" i="11"/>
  <c r="G238" i="11"/>
  <c r="G206" i="11"/>
  <c r="G77" i="11"/>
  <c r="G7" i="11"/>
  <c r="G501" i="11"/>
  <c r="G489" i="11"/>
  <c r="G461" i="11"/>
  <c r="G453" i="11"/>
  <c r="G445" i="11"/>
  <c r="G437" i="11"/>
  <c r="G423" i="11"/>
  <c r="G366" i="11"/>
  <c r="G396" i="11"/>
  <c r="G368" i="11"/>
  <c r="G362" i="11"/>
  <c r="G346" i="11"/>
  <c r="G304" i="11"/>
  <c r="G281" i="11"/>
  <c r="G256" i="11"/>
  <c r="G178" i="11"/>
  <c r="G152" i="11"/>
  <c r="G72" i="11"/>
  <c r="G48" i="11"/>
  <c r="G26" i="11"/>
  <c r="G341" i="11"/>
  <c r="G327" i="11"/>
  <c r="G313" i="11"/>
  <c r="G296" i="11"/>
  <c r="G258" i="11"/>
  <c r="G200" i="11"/>
  <c r="G188" i="11"/>
  <c r="G164" i="11"/>
  <c r="G151" i="11"/>
  <c r="G128" i="11"/>
  <c r="G117" i="11"/>
  <c r="G273" i="11"/>
  <c r="G228" i="11"/>
  <c r="G134" i="11"/>
  <c r="G383" i="11"/>
  <c r="G361" i="11"/>
  <c r="G353" i="11"/>
  <c r="G292" i="11"/>
  <c r="G212" i="11"/>
  <c r="G186" i="11"/>
  <c r="G127" i="11"/>
  <c r="G116" i="11"/>
  <c r="G95" i="11"/>
  <c r="G68" i="11"/>
  <c r="G49" i="11"/>
  <c r="G32" i="11"/>
  <c r="G496" i="11"/>
  <c r="G464" i="11"/>
  <c r="G448" i="11"/>
  <c r="G418" i="11"/>
  <c r="G421" i="11"/>
  <c r="G400" i="11"/>
  <c r="G391" i="11"/>
  <c r="G375" i="11"/>
  <c r="G356" i="11"/>
  <c r="G354" i="11"/>
  <c r="G338" i="11"/>
  <c r="G336" i="11"/>
  <c r="G317" i="11"/>
  <c r="G302" i="11"/>
  <c r="G279" i="11"/>
  <c r="G278" i="11"/>
  <c r="G275" i="11"/>
  <c r="G244" i="11"/>
  <c r="G187" i="11"/>
  <c r="G169" i="11"/>
  <c r="G83" i="11"/>
  <c r="G71" i="11"/>
  <c r="G64" i="11"/>
  <c r="G53" i="11"/>
  <c r="G42" i="11"/>
  <c r="G40" i="11"/>
  <c r="G432" i="11"/>
  <c r="G412" i="11"/>
  <c r="G360" i="11"/>
  <c r="G331" i="11"/>
  <c r="G310" i="11"/>
  <c r="G286" i="11"/>
  <c r="G249" i="11"/>
  <c r="G221" i="11"/>
  <c r="G183" i="11"/>
  <c r="G175" i="11"/>
  <c r="G149" i="11"/>
  <c r="G143" i="11"/>
  <c r="G111" i="11"/>
  <c r="G85" i="11"/>
  <c r="G16" i="11"/>
  <c r="G4" i="11"/>
  <c r="G413" i="11"/>
  <c r="G397" i="11"/>
  <c r="G370" i="11"/>
  <c r="G424" i="11"/>
  <c r="G349" i="11"/>
  <c r="G344" i="11"/>
  <c r="G300" i="11"/>
  <c r="G298" i="11"/>
  <c r="G288" i="11"/>
  <c r="G268" i="11"/>
  <c r="G257" i="11"/>
  <c r="G255" i="11"/>
  <c r="G253" i="11"/>
  <c r="G252" i="11"/>
  <c r="G243" i="11"/>
  <c r="G172" i="11"/>
  <c r="G162" i="11"/>
  <c r="G160" i="11"/>
  <c r="G122" i="11"/>
  <c r="G102" i="11"/>
  <c r="G63" i="11"/>
  <c r="G55" i="11"/>
  <c r="G35" i="11"/>
  <c r="G34" i="11"/>
  <c r="G410" i="11"/>
  <c r="G381" i="11"/>
  <c r="G373" i="11"/>
  <c r="G339" i="11"/>
  <c r="G325" i="11"/>
  <c r="G309" i="11"/>
  <c r="G284" i="11"/>
  <c r="G265" i="11"/>
  <c r="G247" i="11"/>
  <c r="G210" i="11"/>
  <c r="G181" i="11"/>
  <c r="G174" i="11"/>
  <c r="G110" i="11"/>
  <c r="G92" i="11"/>
  <c r="G84" i="11"/>
  <c r="G44" i="11"/>
  <c r="G30" i="11"/>
  <c r="G483" i="11"/>
  <c r="G475" i="11"/>
  <c r="G471" i="11"/>
  <c r="G467" i="11"/>
  <c r="G459" i="11"/>
  <c r="G455" i="11"/>
  <c r="G447" i="11"/>
  <c r="G439" i="11"/>
  <c r="G407" i="11"/>
  <c r="G355" i="11"/>
  <c r="G388" i="11"/>
  <c r="G377" i="11"/>
  <c r="G342" i="11"/>
  <c r="G329" i="11"/>
  <c r="G294" i="11"/>
  <c r="G290" i="11"/>
  <c r="G277" i="11"/>
  <c r="G234" i="11"/>
  <c r="G232" i="11"/>
  <c r="G230" i="11"/>
  <c r="G224" i="11"/>
  <c r="G205" i="11"/>
  <c r="G185" i="11"/>
  <c r="G182" i="11"/>
  <c r="G170" i="11"/>
  <c r="G141" i="11"/>
  <c r="G139" i="11"/>
  <c r="G137" i="11"/>
  <c r="G107" i="11"/>
  <c r="G88" i="11"/>
  <c r="G61" i="11"/>
  <c r="G47" i="11"/>
  <c r="G29" i="11"/>
  <c r="G419" i="11"/>
  <c r="G371" i="11"/>
  <c r="G358" i="11"/>
  <c r="G337" i="11"/>
  <c r="G321" i="11"/>
  <c r="G307" i="11"/>
  <c r="G276" i="11"/>
  <c r="G227" i="11"/>
  <c r="G220" i="11"/>
  <c r="G173" i="11"/>
  <c r="G159" i="11"/>
  <c r="G106" i="11"/>
  <c r="G91" i="11"/>
  <c r="G82" i="11"/>
  <c r="G65" i="11"/>
  <c r="G38" i="11"/>
  <c r="G15" i="11"/>
  <c r="G434" i="11"/>
  <c r="G416" i="11"/>
  <c r="G401" i="11"/>
  <c r="G50" i="11"/>
  <c r="G33" i="11"/>
  <c r="G5" i="11"/>
  <c r="G125" i="11"/>
  <c r="G263" i="11"/>
  <c r="G179" i="11"/>
  <c r="G435" i="11"/>
  <c r="H352" i="11"/>
  <c r="H303" i="11"/>
  <c r="H207" i="11"/>
  <c r="H357" i="11"/>
  <c r="H49" i="11"/>
  <c r="G422" i="11"/>
  <c r="G334" i="11"/>
  <c r="G211" i="11"/>
  <c r="G147" i="11"/>
  <c r="G59" i="11"/>
  <c r="G411" i="11"/>
  <c r="G403" i="11"/>
  <c r="G395" i="11"/>
  <c r="G326" i="11"/>
  <c r="G267" i="11"/>
  <c r="G259" i="11"/>
  <c r="G171" i="11"/>
  <c r="G163" i="11"/>
  <c r="G387" i="11"/>
  <c r="G380" i="11"/>
  <c r="G315" i="11"/>
  <c r="G299" i="11"/>
  <c r="G99" i="11"/>
  <c r="G43" i="11"/>
  <c r="G492" i="11"/>
  <c r="G488" i="11"/>
  <c r="G484" i="11"/>
  <c r="G480" i="11"/>
  <c r="G476" i="11"/>
  <c r="G472" i="11"/>
  <c r="G460" i="11"/>
  <c r="G456" i="11"/>
  <c r="G452" i="11"/>
  <c r="G414" i="11"/>
  <c r="G406" i="11"/>
  <c r="G394" i="11"/>
  <c r="G372" i="11"/>
  <c r="G364" i="11"/>
  <c r="G318" i="11"/>
  <c r="G251" i="11"/>
  <c r="G195" i="11"/>
  <c r="G123" i="11"/>
  <c r="G499" i="11"/>
  <c r="G409" i="11"/>
  <c r="G363" i="11"/>
  <c r="G155" i="11"/>
  <c r="G19" i="11"/>
  <c r="G427" i="11"/>
  <c r="G382" i="11"/>
  <c r="G347" i="11"/>
  <c r="K4996" i="6"/>
  <c r="K4988" i="6"/>
  <c r="K4980" i="6"/>
  <c r="K4972" i="6"/>
  <c r="K4964" i="6"/>
  <c r="K4956" i="6"/>
  <c r="K4948" i="6"/>
  <c r="K4940" i="6"/>
  <c r="K4932" i="6"/>
  <c r="K4924" i="6"/>
  <c r="K4916" i="6"/>
  <c r="K4908" i="6"/>
  <c r="K4900" i="6"/>
  <c r="K4892" i="6"/>
  <c r="K4884" i="6"/>
  <c r="K4876" i="6"/>
  <c r="K4868" i="6"/>
  <c r="K4860" i="6"/>
  <c r="K4852" i="6"/>
  <c r="K4844" i="6"/>
  <c r="K4836" i="6"/>
  <c r="K4828" i="6"/>
  <c r="K4820" i="6"/>
  <c r="K4812" i="6"/>
  <c r="K4804" i="6"/>
  <c r="K4796" i="6"/>
  <c r="K4788" i="6"/>
  <c r="K4780" i="6"/>
  <c r="K4772" i="6"/>
  <c r="K4764" i="6"/>
  <c r="K4756" i="6"/>
  <c r="K4748" i="6"/>
  <c r="K4740" i="6"/>
  <c r="K4732" i="6"/>
  <c r="K4724" i="6"/>
  <c r="K4716" i="6"/>
  <c r="K4708" i="6"/>
  <c r="K4700" i="6"/>
  <c r="K4692" i="6"/>
  <c r="K4684" i="6"/>
  <c r="K4676" i="6"/>
  <c r="K4668" i="6"/>
  <c r="K4660" i="6"/>
  <c r="K4652" i="6"/>
  <c r="K4644" i="6"/>
  <c r="K4636" i="6"/>
  <c r="K4628" i="6"/>
  <c r="K4620" i="6"/>
  <c r="K4612" i="6"/>
  <c r="K4604" i="6"/>
  <c r="K4596" i="6"/>
  <c r="K4588" i="6"/>
  <c r="K4580" i="6"/>
  <c r="K4572" i="6"/>
  <c r="K4564" i="6"/>
  <c r="K4556" i="6"/>
  <c r="K4548" i="6"/>
  <c r="K4540" i="6"/>
  <c r="K4532" i="6"/>
  <c r="K4524" i="6"/>
  <c r="K4516" i="6"/>
  <c r="K4508" i="6"/>
  <c r="K4500" i="6"/>
  <c r="K4492" i="6"/>
  <c r="K4999" i="6"/>
  <c r="K4991" i="6"/>
  <c r="K4983" i="6"/>
  <c r="K4975" i="6"/>
  <c r="K4967" i="6"/>
  <c r="K4959" i="6"/>
  <c r="K4951" i="6"/>
  <c r="K4943" i="6"/>
  <c r="K4935" i="6"/>
  <c r="K4927" i="6"/>
  <c r="K4919" i="6"/>
  <c r="K4911" i="6"/>
  <c r="K4903" i="6"/>
  <c r="K4895" i="6"/>
  <c r="K4887" i="6"/>
  <c r="K4879" i="6"/>
  <c r="K4871" i="6"/>
  <c r="K4863" i="6"/>
  <c r="K4855" i="6"/>
  <c r="K4847" i="6"/>
  <c r="K4839" i="6"/>
  <c r="K4831" i="6"/>
  <c r="K4823" i="6"/>
  <c r="K4815" i="6"/>
  <c r="K4807" i="6"/>
  <c r="K4799" i="6"/>
  <c r="K4791" i="6"/>
  <c r="K4783" i="6"/>
  <c r="K4775" i="6"/>
  <c r="K4767" i="6"/>
  <c r="K4759" i="6"/>
  <c r="K4751" i="6"/>
  <c r="K4743" i="6"/>
  <c r="K4735" i="6"/>
  <c r="K4727" i="6"/>
  <c r="K4719" i="6"/>
  <c r="K4711" i="6"/>
  <c r="K4703" i="6"/>
  <c r="K4695" i="6"/>
  <c r="K4687" i="6"/>
  <c r="K4679" i="6"/>
  <c r="K4671" i="6"/>
  <c r="K4663" i="6"/>
  <c r="K4655" i="6"/>
  <c r="K4647" i="6"/>
  <c r="K4639" i="6"/>
  <c r="K4631" i="6"/>
  <c r="K4623" i="6"/>
  <c r="K4615" i="6"/>
  <c r="K4607" i="6"/>
  <c r="K4599" i="6"/>
  <c r="K4591" i="6"/>
  <c r="K4583" i="6"/>
  <c r="K4575" i="6"/>
  <c r="K4567" i="6"/>
  <c r="K4559" i="6"/>
  <c r="K4551" i="6"/>
  <c r="K4543" i="6"/>
  <c r="K4535" i="6"/>
  <c r="K4527" i="6"/>
  <c r="K4519" i="6"/>
  <c r="K4511" i="6"/>
  <c r="K4503" i="6"/>
  <c r="K4495" i="6"/>
  <c r="K4487" i="6"/>
  <c r="K4479" i="6"/>
  <c r="K4471" i="6"/>
  <c r="K4463" i="6"/>
  <c r="K4455" i="6"/>
  <c r="K4447" i="6"/>
  <c r="K4439" i="6"/>
  <c r="K4431" i="6"/>
  <c r="K4423" i="6"/>
  <c r="K4415" i="6"/>
  <c r="K4407" i="6"/>
  <c r="K4399" i="6"/>
  <c r="K4391" i="6"/>
  <c r="K4383" i="6"/>
  <c r="K4375" i="6"/>
  <c r="K4367" i="6"/>
  <c r="K4359" i="6"/>
  <c r="K4351" i="6"/>
  <c r="K4343" i="6"/>
  <c r="K4335" i="6"/>
  <c r="K4327" i="6"/>
  <c r="K4319" i="6"/>
  <c r="K4311" i="6"/>
  <c r="K4303" i="6"/>
  <c r="K4295" i="6"/>
  <c r="K4287" i="6"/>
  <c r="K4279" i="6"/>
  <c r="K4271" i="6"/>
  <c r="K4263" i="6"/>
  <c r="K4255" i="6"/>
  <c r="K4247" i="6"/>
  <c r="K4239" i="6"/>
  <c r="K4231" i="6"/>
  <c r="K4223" i="6"/>
  <c r="K4215" i="6"/>
  <c r="K4207" i="6"/>
  <c r="K4199" i="6"/>
  <c r="K4191" i="6"/>
  <c r="K4183" i="6"/>
  <c r="K4175" i="6"/>
  <c r="K4167" i="6"/>
  <c r="K4159" i="6"/>
  <c r="K4151" i="6"/>
  <c r="K4143" i="6"/>
  <c r="K4135" i="6"/>
  <c r="K4127" i="6"/>
  <c r="K4119" i="6"/>
  <c r="K4111" i="6"/>
  <c r="K4103" i="6"/>
  <c r="K4095" i="6"/>
  <c r="K4087" i="6"/>
  <c r="K4079" i="6"/>
  <c r="K4071" i="6"/>
  <c r="K4063" i="6"/>
  <c r="K4055" i="6"/>
  <c r="K4047" i="6"/>
  <c r="K4039" i="6"/>
  <c r="K4031" i="6"/>
  <c r="K4023" i="6"/>
  <c r="K4015" i="6"/>
  <c r="K4007" i="6"/>
  <c r="K3999" i="6"/>
  <c r="K3991" i="6"/>
  <c r="K3983" i="6"/>
  <c r="K3975" i="6"/>
  <c r="K3967" i="6"/>
  <c r="K3959" i="6"/>
  <c r="K3951" i="6"/>
  <c r="K3943" i="6"/>
  <c r="K3935" i="6"/>
  <c r="K3927" i="6"/>
  <c r="K3919" i="6"/>
  <c r="K3911" i="6"/>
  <c r="K3903" i="6"/>
  <c r="K3895" i="6"/>
  <c r="K3887" i="6"/>
  <c r="K3879" i="6"/>
  <c r="K3871" i="6"/>
  <c r="K3863" i="6"/>
  <c r="K3855" i="6"/>
  <c r="K3847" i="6"/>
  <c r="K3839" i="6"/>
  <c r="K3831" i="6"/>
  <c r="K3823" i="6"/>
  <c r="K3815" i="6"/>
  <c r="K3807" i="6"/>
  <c r="K3799" i="6"/>
  <c r="K3791" i="6"/>
  <c r="K3783" i="6"/>
  <c r="K3775" i="6"/>
  <c r="K3767" i="6"/>
  <c r="K3759" i="6"/>
  <c r="K3751" i="6"/>
  <c r="K3743" i="6"/>
  <c r="K3735" i="6"/>
  <c r="K3727" i="6"/>
  <c r="K3719" i="6"/>
  <c r="K3711" i="6"/>
  <c r="K3703" i="6"/>
  <c r="K3695" i="6"/>
  <c r="K3687" i="6"/>
  <c r="K3679" i="6"/>
  <c r="K3671" i="6"/>
  <c r="K3663" i="6"/>
  <c r="K3655" i="6"/>
  <c r="K3647" i="6"/>
  <c r="K3639" i="6"/>
  <c r="K3631" i="6"/>
  <c r="K3623" i="6"/>
  <c r="K3615" i="6"/>
  <c r="K3607" i="6"/>
  <c r="K3599" i="6"/>
  <c r="K3591" i="6"/>
  <c r="K3583" i="6"/>
  <c r="K3575" i="6"/>
  <c r="K3567" i="6"/>
  <c r="K3559" i="6"/>
  <c r="K3551" i="6"/>
  <c r="K3543" i="6"/>
  <c r="K3535" i="6"/>
  <c r="K3527" i="6"/>
  <c r="K3519" i="6"/>
  <c r="K3511" i="6"/>
  <c r="K3503" i="6"/>
  <c r="K3495" i="6"/>
  <c r="K3487" i="6"/>
  <c r="K3479" i="6"/>
  <c r="K3471" i="6"/>
  <c r="K3463" i="6"/>
  <c r="K3455" i="6"/>
  <c r="K3447" i="6"/>
  <c r="K3439" i="6"/>
  <c r="K3431" i="6"/>
  <c r="K3423" i="6"/>
  <c r="K3415" i="6"/>
  <c r="K3407" i="6"/>
  <c r="K3399" i="6"/>
  <c r="K3391" i="6"/>
  <c r="K3383" i="6"/>
  <c r="K3375" i="6"/>
  <c r="K3367" i="6"/>
  <c r="K3359" i="6"/>
  <c r="K3351" i="6"/>
  <c r="K3343" i="6"/>
  <c r="K3335" i="6"/>
  <c r="K3327" i="6"/>
  <c r="K3319" i="6"/>
  <c r="K3311" i="6"/>
  <c r="K3303" i="6"/>
  <c r="K3295" i="6"/>
  <c r="K3287" i="6"/>
  <c r="K3279" i="6"/>
  <c r="K3271" i="6"/>
  <c r="K3263" i="6"/>
  <c r="K3255" i="6"/>
  <c r="K3247" i="6"/>
  <c r="K3239" i="6"/>
  <c r="K3231" i="6"/>
  <c r="K3223" i="6"/>
  <c r="K3215" i="6"/>
  <c r="K3207" i="6"/>
  <c r="K3199" i="6"/>
  <c r="K3191" i="6"/>
  <c r="K3183" i="6"/>
  <c r="K3175" i="6"/>
  <c r="K3167" i="6"/>
  <c r="K3159" i="6"/>
  <c r="K3151" i="6"/>
  <c r="K3143" i="6"/>
  <c r="K3135" i="6"/>
  <c r="K3127" i="6"/>
  <c r="K3119" i="6"/>
  <c r="K3111" i="6"/>
  <c r="K3103" i="6"/>
  <c r="K3095" i="6"/>
  <c r="K3087" i="6"/>
  <c r="K3079" i="6"/>
  <c r="K3071" i="6"/>
  <c r="K3063" i="6"/>
  <c r="K3055" i="6"/>
  <c r="K3047" i="6"/>
  <c r="K3039" i="6"/>
  <c r="K3031" i="6"/>
  <c r="K3023" i="6"/>
  <c r="K3015" i="6"/>
  <c r="K3007" i="6"/>
  <c r="K2999" i="6"/>
  <c r="K2991" i="6"/>
  <c r="K2983" i="6"/>
  <c r="K2975" i="6"/>
  <c r="K2967" i="6"/>
  <c r="K2959" i="6"/>
  <c r="K2951" i="6"/>
  <c r="K2943" i="6"/>
  <c r="K2935" i="6"/>
  <c r="K2927" i="6"/>
  <c r="K2919" i="6"/>
  <c r="K2911" i="6"/>
  <c r="K2903" i="6"/>
  <c r="K2895" i="6"/>
  <c r="K2887" i="6"/>
  <c r="K2879" i="6"/>
  <c r="K2871" i="6"/>
  <c r="K2863" i="6"/>
  <c r="K2855" i="6"/>
  <c r="K2847" i="6"/>
  <c r="K2839" i="6"/>
  <c r="K2831" i="6"/>
  <c r="K2823" i="6"/>
  <c r="K2815" i="6"/>
  <c r="K2807" i="6"/>
  <c r="K2799" i="6"/>
  <c r="K2791" i="6"/>
  <c r="K2783" i="6"/>
  <c r="K2775" i="6"/>
  <c r="K2767" i="6"/>
  <c r="K2759" i="6"/>
  <c r="K2751" i="6"/>
  <c r="K2743" i="6"/>
  <c r="K2735" i="6"/>
  <c r="K2727" i="6"/>
  <c r="K2719" i="6"/>
  <c r="K2711" i="6"/>
  <c r="K2703" i="6"/>
  <c r="K2695" i="6"/>
  <c r="K2687" i="6"/>
  <c r="K2679" i="6"/>
  <c r="K2671" i="6"/>
  <c r="K2663" i="6"/>
  <c r="K2655" i="6"/>
  <c r="K2647" i="6"/>
  <c r="K2639" i="6"/>
  <c r="K2631" i="6"/>
  <c r="K2623" i="6"/>
  <c r="K2615" i="6"/>
  <c r="K2607" i="6"/>
  <c r="K2599" i="6"/>
  <c r="K2591" i="6"/>
  <c r="K2583" i="6"/>
  <c r="K2575" i="6"/>
  <c r="K2567" i="6"/>
  <c r="K2559" i="6"/>
  <c r="K2551" i="6"/>
  <c r="K2543" i="6"/>
  <c r="K2535" i="6"/>
  <c r="K2527" i="6"/>
  <c r="K2519" i="6"/>
  <c r="K2511" i="6"/>
  <c r="K2503" i="6"/>
  <c r="K2495" i="6"/>
  <c r="K2487" i="6"/>
  <c r="K2479" i="6"/>
  <c r="K2471" i="6"/>
  <c r="K2463" i="6"/>
  <c r="K2455" i="6"/>
  <c r="K2447" i="6"/>
  <c r="K2439" i="6"/>
  <c r="K2431" i="6"/>
  <c r="K2423" i="6"/>
  <c r="K2415" i="6"/>
  <c r="K2407" i="6"/>
  <c r="K2399" i="6"/>
  <c r="K2391" i="6"/>
  <c r="K2383" i="6"/>
  <c r="K2375" i="6"/>
  <c r="K2367" i="6"/>
  <c r="K2359" i="6"/>
  <c r="K2351" i="6"/>
  <c r="K2343" i="6"/>
  <c r="K2335" i="6"/>
  <c r="K2327" i="6"/>
  <c r="K2319" i="6"/>
  <c r="K2311" i="6"/>
  <c r="K2303" i="6"/>
  <c r="K2295" i="6"/>
  <c r="K2287" i="6"/>
  <c r="K2279" i="6"/>
  <c r="K2271" i="6"/>
  <c r="K2263" i="6"/>
  <c r="K2255" i="6"/>
  <c r="K2247" i="6"/>
  <c r="K2239" i="6"/>
  <c r="K2231" i="6"/>
  <c r="K2223" i="6"/>
  <c r="K2215" i="6"/>
  <c r="K2207" i="6"/>
  <c r="K2199" i="6"/>
  <c r="K2191" i="6"/>
  <c r="K2183" i="6"/>
  <c r="K2175" i="6"/>
  <c r="K2167" i="6"/>
  <c r="K2159" i="6"/>
  <c r="K2151" i="6"/>
  <c r="K2143" i="6"/>
  <c r="K2135" i="6"/>
  <c r="K2127" i="6"/>
  <c r="K2119" i="6"/>
  <c r="K2111" i="6"/>
  <c r="K2103" i="6"/>
  <c r="K2095" i="6"/>
  <c r="K2087" i="6"/>
  <c r="K2079" i="6"/>
  <c r="K2071" i="6"/>
  <c r="K2063" i="6"/>
  <c r="K2055" i="6"/>
  <c r="K2047" i="6"/>
  <c r="K2039" i="6"/>
  <c r="K2031" i="6"/>
  <c r="K2023" i="6"/>
  <c r="K2015" i="6"/>
  <c r="K2007" i="6"/>
  <c r="K1999" i="6"/>
  <c r="K1991" i="6"/>
  <c r="K1983" i="6"/>
  <c r="K1975" i="6"/>
  <c r="K1967" i="6"/>
  <c r="K1959" i="6"/>
  <c r="K1951" i="6"/>
  <c r="K1943" i="6"/>
  <c r="K1935" i="6"/>
  <c r="K1927" i="6"/>
  <c r="K1919" i="6"/>
  <c r="K1911" i="6"/>
  <c r="K1903" i="6"/>
  <c r="K1895" i="6"/>
  <c r="K1887" i="6"/>
  <c r="K1879" i="6"/>
  <c r="K1871" i="6"/>
  <c r="K1863" i="6"/>
  <c r="K1855" i="6"/>
  <c r="K1847" i="6"/>
  <c r="K1839" i="6"/>
  <c r="K1831" i="6"/>
  <c r="K1823" i="6"/>
  <c r="K1815" i="6"/>
  <c r="K1807" i="6"/>
  <c r="K1799" i="6"/>
  <c r="K1791" i="6"/>
  <c r="K1783" i="6"/>
  <c r="K1775" i="6"/>
  <c r="K1767" i="6"/>
  <c r="K1759" i="6"/>
  <c r="K1751" i="6"/>
  <c r="K1743" i="6"/>
  <c r="K1735" i="6"/>
  <c r="K1727" i="6"/>
  <c r="K1719" i="6"/>
  <c r="K1711" i="6"/>
  <c r="K1703" i="6"/>
  <c r="K1695" i="6"/>
  <c r="K1687" i="6"/>
  <c r="K1679" i="6"/>
  <c r="K1671" i="6"/>
  <c r="K1663" i="6"/>
  <c r="K1655" i="6"/>
  <c r="K1647" i="6"/>
  <c r="K1639" i="6"/>
  <c r="K1631" i="6"/>
  <c r="K1623" i="6"/>
  <c r="K1615" i="6"/>
  <c r="K1607" i="6"/>
  <c r="K1599" i="6"/>
  <c r="K1591" i="6"/>
  <c r="K1583" i="6"/>
  <c r="K1575" i="6"/>
  <c r="K1567" i="6"/>
  <c r="K1559" i="6"/>
  <c r="K1551" i="6"/>
  <c r="K1543" i="6"/>
  <c r="K1535" i="6"/>
  <c r="K1527" i="6"/>
  <c r="K1519" i="6"/>
  <c r="K1511" i="6"/>
  <c r="K1503" i="6"/>
  <c r="K1495" i="6"/>
  <c r="K1487" i="6"/>
  <c r="K1479" i="6"/>
  <c r="K1471" i="6"/>
  <c r="K1463" i="6"/>
  <c r="K1455" i="6"/>
  <c r="K1447" i="6"/>
  <c r="K1439" i="6"/>
  <c r="K1431" i="6"/>
  <c r="K1423" i="6"/>
  <c r="K1415" i="6"/>
  <c r="K1407" i="6"/>
  <c r="K1399" i="6"/>
  <c r="K1391" i="6"/>
  <c r="K1383" i="6"/>
  <c r="K1375" i="6"/>
  <c r="K1367" i="6"/>
  <c r="K1359" i="6"/>
  <c r="K1351" i="6"/>
  <c r="K1343" i="6"/>
  <c r="K1335" i="6"/>
  <c r="K1327" i="6"/>
  <c r="K1319" i="6"/>
  <c r="K1311" i="6"/>
  <c r="K1303" i="6"/>
  <c r="K1295" i="6"/>
  <c r="K1287" i="6"/>
  <c r="K1279" i="6"/>
  <c r="K1271" i="6"/>
  <c r="K1263" i="6"/>
  <c r="K1255" i="6"/>
  <c r="K1247" i="6"/>
  <c r="K1239" i="6"/>
  <c r="K1231" i="6"/>
  <c r="K1223" i="6"/>
  <c r="K1215" i="6"/>
  <c r="K1207" i="6"/>
  <c r="K1199" i="6"/>
  <c r="K1191" i="6"/>
  <c r="K1183" i="6"/>
  <c r="K1175" i="6"/>
  <c r="K1167" i="6"/>
  <c r="K1159" i="6"/>
  <c r="K1151" i="6"/>
  <c r="K1143" i="6"/>
  <c r="K1135" i="6"/>
  <c r="K1127" i="6"/>
  <c r="K1119" i="6"/>
  <c r="K1111" i="6"/>
  <c r="K1103" i="6"/>
  <c r="K1095" i="6"/>
  <c r="K1087" i="6"/>
  <c r="K1079" i="6"/>
  <c r="K1071" i="6"/>
  <c r="K1063" i="6"/>
  <c r="K1055" i="6"/>
  <c r="K1047" i="6"/>
  <c r="K1039" i="6"/>
  <c r="K1031" i="6"/>
  <c r="K1023" i="6"/>
  <c r="K1015" i="6"/>
  <c r="K1007" i="6"/>
  <c r="K999" i="6"/>
  <c r="K991" i="6"/>
  <c r="K983" i="6"/>
  <c r="K975" i="6"/>
  <c r="K967" i="6"/>
  <c r="K959" i="6"/>
  <c r="K951" i="6"/>
  <c r="K943" i="6"/>
  <c r="K935" i="6"/>
  <c r="K927" i="6"/>
  <c r="K919" i="6"/>
  <c r="M919" i="6" s="1"/>
  <c r="K911" i="6"/>
  <c r="K903" i="6"/>
  <c r="M903" i="6" s="1"/>
  <c r="K895" i="6"/>
  <c r="K887" i="6"/>
  <c r="K879" i="6"/>
  <c r="K871" i="6"/>
  <c r="K863" i="6"/>
  <c r="K855" i="6"/>
  <c r="M855" i="6" s="1"/>
  <c r="K847" i="6"/>
  <c r="K839" i="6"/>
  <c r="M839" i="6" s="1"/>
  <c r="K831" i="6"/>
  <c r="K823" i="6"/>
  <c r="K815" i="6"/>
  <c r="K807" i="6"/>
  <c r="K799" i="6"/>
  <c r="K791" i="6"/>
  <c r="M791" i="6" s="1"/>
  <c r="K783" i="6"/>
  <c r="K775" i="6"/>
  <c r="M775" i="6" s="1"/>
  <c r="K767" i="6"/>
  <c r="K759" i="6"/>
  <c r="K751" i="6"/>
  <c r="K743" i="6"/>
  <c r="K735" i="6"/>
  <c r="K727" i="6"/>
  <c r="M727" i="6" s="1"/>
  <c r="K719" i="6"/>
  <c r="K711" i="6"/>
  <c r="M711" i="6" s="1"/>
  <c r="K703" i="6"/>
  <c r="K695" i="6"/>
  <c r="K687" i="6"/>
  <c r="K679" i="6"/>
  <c r="K671" i="6"/>
  <c r="K663" i="6"/>
  <c r="M663" i="6" s="1"/>
  <c r="K655" i="6"/>
  <c r="K647" i="6"/>
  <c r="M647" i="6" s="1"/>
  <c r="K639" i="6"/>
  <c r="K631" i="6"/>
  <c r="K623" i="6"/>
  <c r="K615" i="6"/>
  <c r="K607" i="6"/>
  <c r="K599" i="6"/>
  <c r="M599" i="6" s="1"/>
  <c r="K591" i="6"/>
  <c r="K583" i="6"/>
  <c r="M583" i="6" s="1"/>
  <c r="K575" i="6"/>
  <c r="K567" i="6"/>
  <c r="K559" i="6"/>
  <c r="K551" i="6"/>
  <c r="K543" i="6"/>
  <c r="K535" i="6"/>
  <c r="M535" i="6" s="1"/>
  <c r="K527" i="6"/>
  <c r="K519" i="6"/>
  <c r="M519" i="6" s="1"/>
  <c r="K511" i="6"/>
  <c r="K503" i="6"/>
  <c r="K495" i="6"/>
  <c r="K487" i="6"/>
  <c r="K479" i="6"/>
  <c r="K471" i="6"/>
  <c r="M471" i="6" s="1"/>
  <c r="K463" i="6"/>
  <c r="K455" i="6"/>
  <c r="M455" i="6" s="1"/>
  <c r="K447" i="6"/>
  <c r="K439" i="6"/>
  <c r="K431" i="6"/>
  <c r="K423" i="6"/>
  <c r="K415" i="6"/>
  <c r="K407" i="6"/>
  <c r="M407" i="6" s="1"/>
  <c r="K399" i="6"/>
  <c r="K391" i="6"/>
  <c r="M391" i="6" s="1"/>
  <c r="K383" i="6"/>
  <c r="K375" i="6"/>
  <c r="K367" i="6"/>
  <c r="K359" i="6"/>
  <c r="K351" i="6"/>
  <c r="K343" i="6"/>
  <c r="M343" i="6" s="1"/>
  <c r="K335" i="6"/>
  <c r="K327" i="6"/>
  <c r="M327" i="6" s="1"/>
  <c r="K319" i="6"/>
  <c r="K311" i="6"/>
  <c r="K303" i="6"/>
  <c r="K4998" i="6"/>
  <c r="K4990" i="6"/>
  <c r="K4982" i="6"/>
  <c r="K4974" i="6"/>
  <c r="K4966" i="6"/>
  <c r="K4958" i="6"/>
  <c r="K4950" i="6"/>
  <c r="K4942" i="6"/>
  <c r="K4934" i="6"/>
  <c r="K4926" i="6"/>
  <c r="K4918" i="6"/>
  <c r="K4910" i="6"/>
  <c r="K4902" i="6"/>
  <c r="K4894" i="6"/>
  <c r="K4886" i="6"/>
  <c r="K4878" i="6"/>
  <c r="K4870" i="6"/>
  <c r="K4862" i="6"/>
  <c r="K4854" i="6"/>
  <c r="K4846" i="6"/>
  <c r="K4838" i="6"/>
  <c r="K4830" i="6"/>
  <c r="K4822" i="6"/>
  <c r="K4814" i="6"/>
  <c r="K4806" i="6"/>
  <c r="K4798" i="6"/>
  <c r="K4790" i="6"/>
  <c r="K4782" i="6"/>
  <c r="K4774" i="6"/>
  <c r="K4766" i="6"/>
  <c r="K4758" i="6"/>
  <c r="K4750" i="6"/>
  <c r="K4742" i="6"/>
  <c r="K4734" i="6"/>
  <c r="K4726" i="6"/>
  <c r="K4718" i="6"/>
  <c r="K4710" i="6"/>
  <c r="K4702" i="6"/>
  <c r="K4694" i="6"/>
  <c r="K4686" i="6"/>
  <c r="K4678" i="6"/>
  <c r="K4670" i="6"/>
  <c r="K4662" i="6"/>
  <c r="K4654" i="6"/>
  <c r="K4646" i="6"/>
  <c r="K4638" i="6"/>
  <c r="K4630" i="6"/>
  <c r="K4622" i="6"/>
  <c r="K4614" i="6"/>
  <c r="K4606" i="6"/>
  <c r="K4598" i="6"/>
  <c r="K4590" i="6"/>
  <c r="K4582" i="6"/>
  <c r="K4574" i="6"/>
  <c r="K4566" i="6"/>
  <c r="K4558" i="6"/>
  <c r="K4550" i="6"/>
  <c r="K4542" i="6"/>
  <c r="K4534" i="6"/>
  <c r="K4526" i="6"/>
  <c r="K4518" i="6"/>
  <c r="K4510" i="6"/>
  <c r="K4502" i="6"/>
  <c r="K4494" i="6"/>
  <c r="K4486" i="6"/>
  <c r="K4478" i="6"/>
  <c r="K4470" i="6"/>
  <c r="K4462" i="6"/>
  <c r="K4454" i="6"/>
  <c r="K4446" i="6"/>
  <c r="K4438" i="6"/>
  <c r="K4430" i="6"/>
  <c r="K4422" i="6"/>
  <c r="K4414" i="6"/>
  <c r="K4406" i="6"/>
  <c r="K4398" i="6"/>
  <c r="K4390" i="6"/>
  <c r="K4382" i="6"/>
  <c r="K4374" i="6"/>
  <c r="K4366" i="6"/>
  <c r="K4358" i="6"/>
  <c r="K4350" i="6"/>
  <c r="K4342" i="6"/>
  <c r="K4334" i="6"/>
  <c r="K4326" i="6"/>
  <c r="K4318" i="6"/>
  <c r="K4310" i="6"/>
  <c r="K4302" i="6"/>
  <c r="K4294" i="6"/>
  <c r="K4286" i="6"/>
  <c r="K4278" i="6"/>
  <c r="K4270" i="6"/>
  <c r="K4262" i="6"/>
  <c r="K4254" i="6"/>
  <c r="K4246" i="6"/>
  <c r="K4238" i="6"/>
  <c r="K4230" i="6"/>
  <c r="K4222" i="6"/>
  <c r="K4214" i="6"/>
  <c r="K4206" i="6"/>
  <c r="K4198" i="6"/>
  <c r="K4190" i="6"/>
  <c r="K4182" i="6"/>
  <c r="K4174" i="6"/>
  <c r="K4166" i="6"/>
  <c r="K4158" i="6"/>
  <c r="K4150" i="6"/>
  <c r="K4142" i="6"/>
  <c r="K4134" i="6"/>
  <c r="K4126" i="6"/>
  <c r="K4118" i="6"/>
  <c r="K4110" i="6"/>
  <c r="K4102" i="6"/>
  <c r="K4094" i="6"/>
  <c r="K4086" i="6"/>
  <c r="K4078" i="6"/>
  <c r="K4070" i="6"/>
  <c r="K4062" i="6"/>
  <c r="K4054" i="6"/>
  <c r="K4046" i="6"/>
  <c r="K4038" i="6"/>
  <c r="K4030" i="6"/>
  <c r="K4022" i="6"/>
  <c r="K4014" i="6"/>
  <c r="K4006" i="6"/>
  <c r="K3998" i="6"/>
  <c r="K3990" i="6"/>
  <c r="K3982" i="6"/>
  <c r="K3974" i="6"/>
  <c r="K3966" i="6"/>
  <c r="K3958" i="6"/>
  <c r="K3950" i="6"/>
  <c r="K3942" i="6"/>
  <c r="K3934" i="6"/>
  <c r="K3926" i="6"/>
  <c r="K3918" i="6"/>
  <c r="K3910" i="6"/>
  <c r="K3902" i="6"/>
  <c r="K3894" i="6"/>
  <c r="K3886" i="6"/>
  <c r="K3878" i="6"/>
  <c r="K3870" i="6"/>
  <c r="K3862" i="6"/>
  <c r="K3854" i="6"/>
  <c r="K3846" i="6"/>
  <c r="K3838" i="6"/>
  <c r="K3830" i="6"/>
  <c r="K3822" i="6"/>
  <c r="K3814" i="6"/>
  <c r="K3806" i="6"/>
  <c r="K3798" i="6"/>
  <c r="K3790" i="6"/>
  <c r="K3782" i="6"/>
  <c r="K3774" i="6"/>
  <c r="K3766" i="6"/>
  <c r="K3758" i="6"/>
  <c r="K3750" i="6"/>
  <c r="K3742" i="6"/>
  <c r="K3734" i="6"/>
  <c r="K3726" i="6"/>
  <c r="K3718" i="6"/>
  <c r="K3710" i="6"/>
  <c r="K3702" i="6"/>
  <c r="K3694" i="6"/>
  <c r="K3686" i="6"/>
  <c r="K3678" i="6"/>
  <c r="K3670" i="6"/>
  <c r="K3662" i="6"/>
  <c r="K3654" i="6"/>
  <c r="K3646" i="6"/>
  <c r="K3638" i="6"/>
  <c r="K3630" i="6"/>
  <c r="K3622" i="6"/>
  <c r="K3614" i="6"/>
  <c r="K3606" i="6"/>
  <c r="K3598" i="6"/>
  <c r="K3590" i="6"/>
  <c r="K3582" i="6"/>
  <c r="K3574" i="6"/>
  <c r="K3566" i="6"/>
  <c r="K3558" i="6"/>
  <c r="K3550" i="6"/>
  <c r="K3542" i="6"/>
  <c r="K3534" i="6"/>
  <c r="K3526" i="6"/>
  <c r="K3518" i="6"/>
  <c r="K3510" i="6"/>
  <c r="K3502" i="6"/>
  <c r="K3494" i="6"/>
  <c r="K3486" i="6"/>
  <c r="K3478" i="6"/>
  <c r="K3470" i="6"/>
  <c r="K3462" i="6"/>
  <c r="K3454" i="6"/>
  <c r="K3446" i="6"/>
  <c r="K3438" i="6"/>
  <c r="K3430" i="6"/>
  <c r="K3422" i="6"/>
  <c r="K3414" i="6"/>
  <c r="K3406" i="6"/>
  <c r="K3398" i="6"/>
  <c r="K3390" i="6"/>
  <c r="K3382" i="6"/>
  <c r="K3374" i="6"/>
  <c r="K3366" i="6"/>
  <c r="K3358" i="6"/>
  <c r="K3350" i="6"/>
  <c r="K3342" i="6"/>
  <c r="K3334" i="6"/>
  <c r="K3326" i="6"/>
  <c r="K3318" i="6"/>
  <c r="K3310" i="6"/>
  <c r="K3302" i="6"/>
  <c r="K3294" i="6"/>
  <c r="K3286" i="6"/>
  <c r="K3278" i="6"/>
  <c r="K3270" i="6"/>
  <c r="K3262" i="6"/>
  <c r="K3254" i="6"/>
  <c r="K3246" i="6"/>
  <c r="K3238" i="6"/>
  <c r="K3230" i="6"/>
  <c r="K3222" i="6"/>
  <c r="K3214" i="6"/>
  <c r="K3206" i="6"/>
  <c r="K3198" i="6"/>
  <c r="K3190" i="6"/>
  <c r="K3182" i="6"/>
  <c r="K3174" i="6"/>
  <c r="K3166" i="6"/>
  <c r="K3158" i="6"/>
  <c r="K3150" i="6"/>
  <c r="K3142" i="6"/>
  <c r="K3134" i="6"/>
  <c r="K3126" i="6"/>
  <c r="K3118" i="6"/>
  <c r="K3110" i="6"/>
  <c r="K3102" i="6"/>
  <c r="K3094" i="6"/>
  <c r="K3086" i="6"/>
  <c r="K3078" i="6"/>
  <c r="K3070" i="6"/>
  <c r="K3062" i="6"/>
  <c r="K3054" i="6"/>
  <c r="K3046" i="6"/>
  <c r="K3038" i="6"/>
  <c r="K3030" i="6"/>
  <c r="K3022" i="6"/>
  <c r="K3014" i="6"/>
  <c r="K3006" i="6"/>
  <c r="K2998" i="6"/>
  <c r="K2990" i="6"/>
  <c r="K2982" i="6"/>
  <c r="K2974" i="6"/>
  <c r="K2966" i="6"/>
  <c r="K2958" i="6"/>
  <c r="K2950" i="6"/>
  <c r="K2942" i="6"/>
  <c r="K2934" i="6"/>
  <c r="K2926" i="6"/>
  <c r="K2918" i="6"/>
  <c r="K2910" i="6"/>
  <c r="K2902" i="6"/>
  <c r="K2894" i="6"/>
  <c r="K2886" i="6"/>
  <c r="K2878" i="6"/>
  <c r="K2870" i="6"/>
  <c r="K2862" i="6"/>
  <c r="K2854" i="6"/>
  <c r="K2846" i="6"/>
  <c r="K2838" i="6"/>
  <c r="K2830" i="6"/>
  <c r="K2822" i="6"/>
  <c r="K2814" i="6"/>
  <c r="K2806" i="6"/>
  <c r="K2798" i="6"/>
  <c r="K2790" i="6"/>
  <c r="K2782" i="6"/>
  <c r="K2774" i="6"/>
  <c r="K2766" i="6"/>
  <c r="K2758" i="6"/>
  <c r="K2750" i="6"/>
  <c r="K2742" i="6"/>
  <c r="K2734" i="6"/>
  <c r="K2726" i="6"/>
  <c r="K2718" i="6"/>
  <c r="K2710" i="6"/>
  <c r="K2702" i="6"/>
  <c r="K2694" i="6"/>
  <c r="K2686" i="6"/>
  <c r="K2678" i="6"/>
  <c r="K2670" i="6"/>
  <c r="K2662" i="6"/>
  <c r="K2654" i="6"/>
  <c r="K2646" i="6"/>
  <c r="K2638" i="6"/>
  <c r="K2630" i="6"/>
  <c r="K2622" i="6"/>
  <c r="K2614" i="6"/>
  <c r="K2606" i="6"/>
  <c r="K2598" i="6"/>
  <c r="K2590" i="6"/>
  <c r="K2582" i="6"/>
  <c r="K2574" i="6"/>
  <c r="K2566" i="6"/>
  <c r="K2558" i="6"/>
  <c r="K2550" i="6"/>
  <c r="K2542" i="6"/>
  <c r="K2534" i="6"/>
  <c r="K2526" i="6"/>
  <c r="K2518" i="6"/>
  <c r="K2510" i="6"/>
  <c r="K2502" i="6"/>
  <c r="K2494" i="6"/>
  <c r="K2486" i="6"/>
  <c r="K2478" i="6"/>
  <c r="K2470" i="6"/>
  <c r="K2462" i="6"/>
  <c r="K2454" i="6"/>
  <c r="K2446" i="6"/>
  <c r="K2438" i="6"/>
  <c r="K2430" i="6"/>
  <c r="K2422" i="6"/>
  <c r="K2414" i="6"/>
  <c r="K2406" i="6"/>
  <c r="K2398" i="6"/>
  <c r="K2390" i="6"/>
  <c r="K2382" i="6"/>
  <c r="K2374" i="6"/>
  <c r="K2366" i="6"/>
  <c r="K2358" i="6"/>
  <c r="K2350" i="6"/>
  <c r="K2342" i="6"/>
  <c r="K2334" i="6"/>
  <c r="K2326" i="6"/>
  <c r="K2318" i="6"/>
  <c r="K2310" i="6"/>
  <c r="K2302" i="6"/>
  <c r="K2294" i="6"/>
  <c r="K2286" i="6"/>
  <c r="K2278" i="6"/>
  <c r="K2270" i="6"/>
  <c r="K2262" i="6"/>
  <c r="K2254" i="6"/>
  <c r="K2246" i="6"/>
  <c r="K2238" i="6"/>
  <c r="K2230" i="6"/>
  <c r="K2222" i="6"/>
  <c r="K2214" i="6"/>
  <c r="K2206" i="6"/>
  <c r="K2198" i="6"/>
  <c r="K2190" i="6"/>
  <c r="K2182" i="6"/>
  <c r="K2174" i="6"/>
  <c r="K2166" i="6"/>
  <c r="K2158" i="6"/>
  <c r="K2150" i="6"/>
  <c r="K2142" i="6"/>
  <c r="K2134" i="6"/>
  <c r="K2126" i="6"/>
  <c r="K2118" i="6"/>
  <c r="K2110" i="6"/>
  <c r="K2102" i="6"/>
  <c r="K2094" i="6"/>
  <c r="K2086" i="6"/>
  <c r="K2078" i="6"/>
  <c r="K2070" i="6"/>
  <c r="K2062" i="6"/>
  <c r="K2054" i="6"/>
  <c r="K2046" i="6"/>
  <c r="K2038" i="6"/>
  <c r="K2030" i="6"/>
  <c r="K2022" i="6"/>
  <c r="K2014" i="6"/>
  <c r="K2006" i="6"/>
  <c r="K1998" i="6"/>
  <c r="K1990" i="6"/>
  <c r="K1982" i="6"/>
  <c r="K1974" i="6"/>
  <c r="K1966" i="6"/>
  <c r="K1958" i="6"/>
  <c r="K1950" i="6"/>
  <c r="K1942" i="6"/>
  <c r="K1934" i="6"/>
  <c r="K1926" i="6"/>
  <c r="K1918" i="6"/>
  <c r="K1910" i="6"/>
  <c r="K1902" i="6"/>
  <c r="K1894" i="6"/>
  <c r="K1886" i="6"/>
  <c r="K1878" i="6"/>
  <c r="K1870" i="6"/>
  <c r="K1862" i="6"/>
  <c r="K1854" i="6"/>
  <c r="K1846" i="6"/>
  <c r="K1838" i="6"/>
  <c r="K1830" i="6"/>
  <c r="K1822" i="6"/>
  <c r="K1814" i="6"/>
  <c r="K1806" i="6"/>
  <c r="K1798" i="6"/>
  <c r="K1790" i="6"/>
  <c r="K1782" i="6"/>
  <c r="K1774" i="6"/>
  <c r="K1766" i="6"/>
  <c r="K1758" i="6"/>
  <c r="K1750" i="6"/>
  <c r="K1742" i="6"/>
  <c r="K1734" i="6"/>
  <c r="K1726" i="6"/>
  <c r="K1718" i="6"/>
  <c r="K1710" i="6"/>
  <c r="K1702" i="6"/>
  <c r="K1694" i="6"/>
  <c r="K1686" i="6"/>
  <c r="K1678" i="6"/>
  <c r="K1670" i="6"/>
  <c r="K1662" i="6"/>
  <c r="K1654" i="6"/>
  <c r="K1646" i="6"/>
  <c r="K1638" i="6"/>
  <c r="K1630" i="6"/>
  <c r="K1622" i="6"/>
  <c r="K1614" i="6"/>
  <c r="K1606" i="6"/>
  <c r="K1598" i="6"/>
  <c r="K1590" i="6"/>
  <c r="K1582" i="6"/>
  <c r="K1574" i="6"/>
  <c r="K1566" i="6"/>
  <c r="K1558" i="6"/>
  <c r="K1550" i="6"/>
  <c r="K1542" i="6"/>
  <c r="K1534" i="6"/>
  <c r="K1526" i="6"/>
  <c r="K1518" i="6"/>
  <c r="K1510" i="6"/>
  <c r="K1502" i="6"/>
  <c r="K1494" i="6"/>
  <c r="K1486" i="6"/>
  <c r="K1478" i="6"/>
  <c r="K1470" i="6"/>
  <c r="K1462" i="6"/>
  <c r="K1454" i="6"/>
  <c r="K1446" i="6"/>
  <c r="K1438" i="6"/>
  <c r="K1430" i="6"/>
  <c r="K1422" i="6"/>
  <c r="K1414" i="6"/>
  <c r="K1406" i="6"/>
  <c r="K1398" i="6"/>
  <c r="K1390" i="6"/>
  <c r="K1382" i="6"/>
  <c r="K1374" i="6"/>
  <c r="K1366" i="6"/>
  <c r="K1358" i="6"/>
  <c r="K1350" i="6"/>
  <c r="K1342" i="6"/>
  <c r="K1334" i="6"/>
  <c r="K1326" i="6"/>
  <c r="K1318" i="6"/>
  <c r="K1310" i="6"/>
  <c r="K1302" i="6"/>
  <c r="K1294" i="6"/>
  <c r="K1286" i="6"/>
  <c r="K1278" i="6"/>
  <c r="K1270" i="6"/>
  <c r="K1262" i="6"/>
  <c r="K1254" i="6"/>
  <c r="K1246" i="6"/>
  <c r="K1238" i="6"/>
  <c r="K1230" i="6"/>
  <c r="K1222" i="6"/>
  <c r="K1214" i="6"/>
  <c r="K1206" i="6"/>
  <c r="K1198" i="6"/>
  <c r="K1190" i="6"/>
  <c r="K1182" i="6"/>
  <c r="K1174" i="6"/>
  <c r="K1166" i="6"/>
  <c r="K1158" i="6"/>
  <c r="K1150" i="6"/>
  <c r="K1142" i="6"/>
  <c r="K1134" i="6"/>
  <c r="K1126" i="6"/>
  <c r="K1118" i="6"/>
  <c r="K1110" i="6"/>
  <c r="K1102" i="6"/>
  <c r="K1094" i="6"/>
  <c r="K1086" i="6"/>
  <c r="K1078" i="6"/>
  <c r="K1070" i="6"/>
  <c r="K1062" i="6"/>
  <c r="K1054" i="6"/>
  <c r="K1046" i="6"/>
  <c r="K1038" i="6"/>
  <c r="K1030" i="6"/>
  <c r="K1022" i="6"/>
  <c r="K1014" i="6"/>
  <c r="K1006" i="6"/>
  <c r="K998" i="6"/>
  <c r="K990" i="6"/>
  <c r="K982" i="6"/>
  <c r="K974" i="6"/>
  <c r="K966" i="6"/>
  <c r="K958" i="6"/>
  <c r="K950" i="6"/>
  <c r="K942" i="6"/>
  <c r="K934" i="6"/>
  <c r="K926" i="6"/>
  <c r="K918" i="6"/>
  <c r="K910" i="6"/>
  <c r="K902" i="6"/>
  <c r="K894" i="6"/>
  <c r="K886" i="6"/>
  <c r="M886" i="6" s="1"/>
  <c r="K878" i="6"/>
  <c r="K870" i="6"/>
  <c r="K862" i="6"/>
  <c r="K854" i="6"/>
  <c r="K846" i="6"/>
  <c r="K838" i="6"/>
  <c r="K830" i="6"/>
  <c r="K822" i="6"/>
  <c r="M822" i="6" s="1"/>
  <c r="K814" i="6"/>
  <c r="K806" i="6"/>
  <c r="K798" i="6"/>
  <c r="K790" i="6"/>
  <c r="K782" i="6"/>
  <c r="K774" i="6"/>
  <c r="K766" i="6"/>
  <c r="K758" i="6"/>
  <c r="M758" i="6" s="1"/>
  <c r="K750" i="6"/>
  <c r="K742" i="6"/>
  <c r="K734" i="6"/>
  <c r="K726" i="6"/>
  <c r="K718" i="6"/>
  <c r="K710" i="6"/>
  <c r="K702" i="6"/>
  <c r="K694" i="6"/>
  <c r="M694" i="6" s="1"/>
  <c r="K686" i="6"/>
  <c r="K678" i="6"/>
  <c r="K670" i="6"/>
  <c r="K662" i="6"/>
  <c r="K654" i="6"/>
  <c r="K646" i="6"/>
  <c r="K638" i="6"/>
  <c r="K630" i="6"/>
  <c r="M630" i="6" s="1"/>
  <c r="K622" i="6"/>
  <c r="K614" i="6"/>
  <c r="K606" i="6"/>
  <c r="K598" i="6"/>
  <c r="K590" i="6"/>
  <c r="K582" i="6"/>
  <c r="K574" i="6"/>
  <c r="K566" i="6"/>
  <c r="M566" i="6" s="1"/>
  <c r="K558" i="6"/>
  <c r="K550" i="6"/>
  <c r="K542" i="6"/>
  <c r="K534" i="6"/>
  <c r="K526" i="6"/>
  <c r="K518" i="6"/>
  <c r="K510" i="6"/>
  <c r="K502" i="6"/>
  <c r="M502" i="6" s="1"/>
  <c r="K494" i="6"/>
  <c r="K486" i="6"/>
  <c r="K478" i="6"/>
  <c r="K470" i="6"/>
  <c r="K462" i="6"/>
  <c r="K454" i="6"/>
  <c r="K446" i="6"/>
  <c r="K438" i="6"/>
  <c r="M438" i="6" s="1"/>
  <c r="K430" i="6"/>
  <c r="K422" i="6"/>
  <c r="K414" i="6"/>
  <c r="K406" i="6"/>
  <c r="K398" i="6"/>
  <c r="K390" i="6"/>
  <c r="K382" i="6"/>
  <c r="K374" i="6"/>
  <c r="M374" i="6" s="1"/>
  <c r="K366" i="6"/>
  <c r="K358" i="6"/>
  <c r="K350" i="6"/>
  <c r="K342" i="6"/>
  <c r="K334" i="6"/>
  <c r="K214" i="6"/>
  <c r="K86" i="6"/>
  <c r="K4997" i="6"/>
  <c r="K4989" i="6"/>
  <c r="K4981" i="6"/>
  <c r="K4973" i="6"/>
  <c r="K4965" i="6"/>
  <c r="K4957" i="6"/>
  <c r="K4949" i="6"/>
  <c r="K4941" i="6"/>
  <c r="K4933" i="6"/>
  <c r="K4925" i="6"/>
  <c r="K4917" i="6"/>
  <c r="K4909" i="6"/>
  <c r="K4901" i="6"/>
  <c r="K4893" i="6"/>
  <c r="K4885" i="6"/>
  <c r="K4877" i="6"/>
  <c r="K4869" i="6"/>
  <c r="K4861" i="6"/>
  <c r="K4853" i="6"/>
  <c r="K4845" i="6"/>
  <c r="K4837" i="6"/>
  <c r="K4829" i="6"/>
  <c r="K4821" i="6"/>
  <c r="K4813" i="6"/>
  <c r="K4805" i="6"/>
  <c r="K4797" i="6"/>
  <c r="K4789" i="6"/>
  <c r="K4781" i="6"/>
  <c r="K4773" i="6"/>
  <c r="K4765" i="6"/>
  <c r="K4757" i="6"/>
  <c r="K4749" i="6"/>
  <c r="K4741" i="6"/>
  <c r="K4733" i="6"/>
  <c r="K4725" i="6"/>
  <c r="K4717" i="6"/>
  <c r="K4709" i="6"/>
  <c r="K4701" i="6"/>
  <c r="K4693" i="6"/>
  <c r="K4685" i="6"/>
  <c r="K4677" i="6"/>
  <c r="K4669" i="6"/>
  <c r="K4661" i="6"/>
  <c r="K4653" i="6"/>
  <c r="K4645" i="6"/>
  <c r="K4637" i="6"/>
  <c r="K4629" i="6"/>
  <c r="K4621" i="6"/>
  <c r="K4613" i="6"/>
  <c r="K4605" i="6"/>
  <c r="K4597" i="6"/>
  <c r="K4589" i="6"/>
  <c r="K4581" i="6"/>
  <c r="K4573" i="6"/>
  <c r="K4565" i="6"/>
  <c r="K4557" i="6"/>
  <c r="K4549" i="6"/>
  <c r="K4541" i="6"/>
  <c r="K4533" i="6"/>
  <c r="K4525" i="6"/>
  <c r="K4517" i="6"/>
  <c r="K4509" i="6"/>
  <c r="K4501" i="6"/>
  <c r="K4493" i="6"/>
  <c r="K4485" i="6"/>
  <c r="K4477" i="6"/>
  <c r="K4469" i="6"/>
  <c r="K4461" i="6"/>
  <c r="K4453" i="6"/>
  <c r="K4445" i="6"/>
  <c r="K4437" i="6"/>
  <c r="K4429" i="6"/>
  <c r="K4421" i="6"/>
  <c r="K4413" i="6"/>
  <c r="K4405" i="6"/>
  <c r="K4397" i="6"/>
  <c r="K4389" i="6"/>
  <c r="K4381" i="6"/>
  <c r="K4373" i="6"/>
  <c r="K4365" i="6"/>
  <c r="K4357" i="6"/>
  <c r="K4349" i="6"/>
  <c r="K4341" i="6"/>
  <c r="K4333" i="6"/>
  <c r="K4325" i="6"/>
  <c r="K4317" i="6"/>
  <c r="K4309" i="6"/>
  <c r="K4301" i="6"/>
  <c r="K4293" i="6"/>
  <c r="K4285" i="6"/>
  <c r="K4277" i="6"/>
  <c r="K4269" i="6"/>
  <c r="K4261" i="6"/>
  <c r="K4253" i="6"/>
  <c r="K4245" i="6"/>
  <c r="K4237" i="6"/>
  <c r="K4229" i="6"/>
  <c r="K4221" i="6"/>
  <c r="K4213" i="6"/>
  <c r="K4205" i="6"/>
  <c r="K4197" i="6"/>
  <c r="K4189" i="6"/>
  <c r="K4181" i="6"/>
  <c r="K4173" i="6"/>
  <c r="K4165" i="6"/>
  <c r="K4157" i="6"/>
  <c r="K4149" i="6"/>
  <c r="K4141" i="6"/>
  <c r="K4133" i="6"/>
  <c r="K4125" i="6"/>
  <c r="K4117" i="6"/>
  <c r="K4109" i="6"/>
  <c r="K4101" i="6"/>
  <c r="K4093" i="6"/>
  <c r="K4085" i="6"/>
  <c r="K4077" i="6"/>
  <c r="K4069" i="6"/>
  <c r="K4061" i="6"/>
  <c r="K4053" i="6"/>
  <c r="K4045" i="6"/>
  <c r="K4037" i="6"/>
  <c r="K4029" i="6"/>
  <c r="K4021" i="6"/>
  <c r="K4013" i="6"/>
  <c r="K4005" i="6"/>
  <c r="K3997" i="6"/>
  <c r="K3989" i="6"/>
  <c r="K3981" i="6"/>
  <c r="K3973" i="6"/>
  <c r="K3965" i="6"/>
  <c r="K3957" i="6"/>
  <c r="K3949" i="6"/>
  <c r="K3941" i="6"/>
  <c r="K3933" i="6"/>
  <c r="K3925" i="6"/>
  <c r="K3917" i="6"/>
  <c r="K3909" i="6"/>
  <c r="K3901" i="6"/>
  <c r="K3893" i="6"/>
  <c r="K3885" i="6"/>
  <c r="K3877" i="6"/>
  <c r="K3869" i="6"/>
  <c r="K3861" i="6"/>
  <c r="K3853" i="6"/>
  <c r="K3845" i="6"/>
  <c r="K3837" i="6"/>
  <c r="K3829" i="6"/>
  <c r="K3821" i="6"/>
  <c r="K3813" i="6"/>
  <c r="K3805" i="6"/>
  <c r="K3797" i="6"/>
  <c r="K3789" i="6"/>
  <c r="K3781" i="6"/>
  <c r="K3773" i="6"/>
  <c r="K3765" i="6"/>
  <c r="K3757" i="6"/>
  <c r="K3749" i="6"/>
  <c r="K3741" i="6"/>
  <c r="K3733" i="6"/>
  <c r="K3725" i="6"/>
  <c r="K3717" i="6"/>
  <c r="K3709" i="6"/>
  <c r="K3701" i="6"/>
  <c r="K3693" i="6"/>
  <c r="K3685" i="6"/>
  <c r="K3677" i="6"/>
  <c r="K3669" i="6"/>
  <c r="K3661" i="6"/>
  <c r="K3653" i="6"/>
  <c r="K3645" i="6"/>
  <c r="K3637" i="6"/>
  <c r="K3629" i="6"/>
  <c r="K3621" i="6"/>
  <c r="K3613" i="6"/>
  <c r="K3605" i="6"/>
  <c r="K3597" i="6"/>
  <c r="K3589" i="6"/>
  <c r="K3581" i="6"/>
  <c r="K3573" i="6"/>
  <c r="K3565" i="6"/>
  <c r="K3557" i="6"/>
  <c r="K3549" i="6"/>
  <c r="K3541" i="6"/>
  <c r="K3533" i="6"/>
  <c r="K3525" i="6"/>
  <c r="K3517" i="6"/>
  <c r="K3509" i="6"/>
  <c r="K3501" i="6"/>
  <c r="K3493" i="6"/>
  <c r="K3485" i="6"/>
  <c r="K3477" i="6"/>
  <c r="K3469" i="6"/>
  <c r="K3461" i="6"/>
  <c r="K3453" i="6"/>
  <c r="K3445" i="6"/>
  <c r="K3437" i="6"/>
  <c r="K3429" i="6"/>
  <c r="K3421" i="6"/>
  <c r="K3413" i="6"/>
  <c r="K3405" i="6"/>
  <c r="K3397" i="6"/>
  <c r="K3389" i="6"/>
  <c r="K3381" i="6"/>
  <c r="K3373" i="6"/>
  <c r="K3365" i="6"/>
  <c r="K3357" i="6"/>
  <c r="K3349" i="6"/>
  <c r="K3341" i="6"/>
  <c r="K3333" i="6"/>
  <c r="K3325" i="6"/>
  <c r="K3317" i="6"/>
  <c r="K3309" i="6"/>
  <c r="K3301" i="6"/>
  <c r="K3293" i="6"/>
  <c r="K3285" i="6"/>
  <c r="K3277" i="6"/>
  <c r="K3269" i="6"/>
  <c r="K3261" i="6"/>
  <c r="K3253" i="6"/>
  <c r="K3245" i="6"/>
  <c r="K3237" i="6"/>
  <c r="K3229" i="6"/>
  <c r="K3221" i="6"/>
  <c r="K3213" i="6"/>
  <c r="K3205" i="6"/>
  <c r="K3197" i="6"/>
  <c r="K3189" i="6"/>
  <c r="K3181" i="6"/>
  <c r="K3173" i="6"/>
  <c r="K3165" i="6"/>
  <c r="K3157" i="6"/>
  <c r="K3149" i="6"/>
  <c r="K3141" i="6"/>
  <c r="K3133" i="6"/>
  <c r="K3125" i="6"/>
  <c r="K3117" i="6"/>
  <c r="K3109" i="6"/>
  <c r="K3101" i="6"/>
  <c r="K3093" i="6"/>
  <c r="K3085" i="6"/>
  <c r="K3077" i="6"/>
  <c r="K3069" i="6"/>
  <c r="K3061" i="6"/>
  <c r="K3053" i="6"/>
  <c r="K3045" i="6"/>
  <c r="K3037" i="6"/>
  <c r="K3029" i="6"/>
  <c r="K3021" i="6"/>
  <c r="K3013" i="6"/>
  <c r="K3005" i="6"/>
  <c r="K2997" i="6"/>
  <c r="K2989" i="6"/>
  <c r="K2981" i="6"/>
  <c r="K2973" i="6"/>
  <c r="K2965" i="6"/>
  <c r="K2957" i="6"/>
  <c r="K2949" i="6"/>
  <c r="K2941" i="6"/>
  <c r="K2933" i="6"/>
  <c r="K2925" i="6"/>
  <c r="K2917" i="6"/>
  <c r="K2909" i="6"/>
  <c r="K2901" i="6"/>
  <c r="K2893" i="6"/>
  <c r="K2885" i="6"/>
  <c r="K2877" i="6"/>
  <c r="K2869" i="6"/>
  <c r="K2861" i="6"/>
  <c r="K2853" i="6"/>
  <c r="K2845" i="6"/>
  <c r="K2837" i="6"/>
  <c r="K2829" i="6"/>
  <c r="K2821" i="6"/>
  <c r="K2813" i="6"/>
  <c r="K2805" i="6"/>
  <c r="K2797" i="6"/>
  <c r="K2789" i="6"/>
  <c r="K2781" i="6"/>
  <c r="K2773" i="6"/>
  <c r="K2765" i="6"/>
  <c r="K2757" i="6"/>
  <c r="K2749" i="6"/>
  <c r="K2741" i="6"/>
  <c r="K2733" i="6"/>
  <c r="K2725" i="6"/>
  <c r="K2717" i="6"/>
  <c r="K2709" i="6"/>
  <c r="K2701" i="6"/>
  <c r="K2693" i="6"/>
  <c r="K2685" i="6"/>
  <c r="K2677" i="6"/>
  <c r="K2669" i="6"/>
  <c r="K2661" i="6"/>
  <c r="K2653" i="6"/>
  <c r="K2645" i="6"/>
  <c r="K2637" i="6"/>
  <c r="K2629" i="6"/>
  <c r="K2621" i="6"/>
  <c r="K2613" i="6"/>
  <c r="K2605" i="6"/>
  <c r="K2597" i="6"/>
  <c r="K2589" i="6"/>
  <c r="K2581" i="6"/>
  <c r="K2573" i="6"/>
  <c r="K2565" i="6"/>
  <c r="K2557" i="6"/>
  <c r="K2549" i="6"/>
  <c r="K2541" i="6"/>
  <c r="K2533" i="6"/>
  <c r="K2525" i="6"/>
  <c r="K2517" i="6"/>
  <c r="K2509" i="6"/>
  <c r="K2501" i="6"/>
  <c r="K2493" i="6"/>
  <c r="K2485" i="6"/>
  <c r="K2477" i="6"/>
  <c r="K2469" i="6"/>
  <c r="K2461" i="6"/>
  <c r="K2453" i="6"/>
  <c r="K2445" i="6"/>
  <c r="K2437" i="6"/>
  <c r="K2429" i="6"/>
  <c r="K2421" i="6"/>
  <c r="K2413" i="6"/>
  <c r="K2405" i="6"/>
  <c r="K2397" i="6"/>
  <c r="K2389" i="6"/>
  <c r="K2381" i="6"/>
  <c r="K2373" i="6"/>
  <c r="K2365" i="6"/>
  <c r="K2357" i="6"/>
  <c r="K2349" i="6"/>
  <c r="K2341" i="6"/>
  <c r="K2333" i="6"/>
  <c r="K2325" i="6"/>
  <c r="K2317" i="6"/>
  <c r="K2309" i="6"/>
  <c r="K2301" i="6"/>
  <c r="K2293" i="6"/>
  <c r="K2285" i="6"/>
  <c r="K2277" i="6"/>
  <c r="K2269" i="6"/>
  <c r="K2261" i="6"/>
  <c r="K2253" i="6"/>
  <c r="K2245" i="6"/>
  <c r="K2237" i="6"/>
  <c r="K2229" i="6"/>
  <c r="K2221" i="6"/>
  <c r="K2213" i="6"/>
  <c r="K2205" i="6"/>
  <c r="K2197" i="6"/>
  <c r="K2189" i="6"/>
  <c r="K2181" i="6"/>
  <c r="K2173" i="6"/>
  <c r="K2165" i="6"/>
  <c r="K2157" i="6"/>
  <c r="K2149" i="6"/>
  <c r="K2141" i="6"/>
  <c r="K2133" i="6"/>
  <c r="K2125" i="6"/>
  <c r="K2117" i="6"/>
  <c r="K2109" i="6"/>
  <c r="K2101" i="6"/>
  <c r="K2093" i="6"/>
  <c r="K2085" i="6"/>
  <c r="K2077" i="6"/>
  <c r="K2069" i="6"/>
  <c r="K2061" i="6"/>
  <c r="K2053" i="6"/>
  <c r="K2045" i="6"/>
  <c r="K2037" i="6"/>
  <c r="K2029" i="6"/>
  <c r="K2021" i="6"/>
  <c r="K2013" i="6"/>
  <c r="K2005" i="6"/>
  <c r="K1997" i="6"/>
  <c r="K1989" i="6"/>
  <c r="K1981" i="6"/>
  <c r="K1973" i="6"/>
  <c r="K1965" i="6"/>
  <c r="K1957" i="6"/>
  <c r="K1949" i="6"/>
  <c r="K1941" i="6"/>
  <c r="K1933" i="6"/>
  <c r="K1925" i="6"/>
  <c r="K1917" i="6"/>
  <c r="K1909" i="6"/>
  <c r="K1901" i="6"/>
  <c r="K1893" i="6"/>
  <c r="K1885" i="6"/>
  <c r="K1877" i="6"/>
  <c r="K1869" i="6"/>
  <c r="K1861" i="6"/>
  <c r="K1853" i="6"/>
  <c r="K1845" i="6"/>
  <c r="K1837" i="6"/>
  <c r="K1829" i="6"/>
  <c r="K1821" i="6"/>
  <c r="K1813" i="6"/>
  <c r="K1805" i="6"/>
  <c r="K1797" i="6"/>
  <c r="K1789" i="6"/>
  <c r="K1781" i="6"/>
  <c r="K1773" i="6"/>
  <c r="K1765" i="6"/>
  <c r="K1757" i="6"/>
  <c r="K1749" i="6"/>
  <c r="K1741" i="6"/>
  <c r="K1733" i="6"/>
  <c r="K1725" i="6"/>
  <c r="K1717" i="6"/>
  <c r="K1709" i="6"/>
  <c r="K1701" i="6"/>
  <c r="K1693" i="6"/>
  <c r="K1685" i="6"/>
  <c r="K1677" i="6"/>
  <c r="K1669" i="6"/>
  <c r="K1661" i="6"/>
  <c r="K1653" i="6"/>
  <c r="K1645" i="6"/>
  <c r="K1637" i="6"/>
  <c r="K1629" i="6"/>
  <c r="K1621" i="6"/>
  <c r="K1613" i="6"/>
  <c r="K1605" i="6"/>
  <c r="K1597" i="6"/>
  <c r="K1589" i="6"/>
  <c r="K1581" i="6"/>
  <c r="K1573" i="6"/>
  <c r="K1565" i="6"/>
  <c r="K1557" i="6"/>
  <c r="K1549" i="6"/>
  <c r="K1541" i="6"/>
  <c r="K1533" i="6"/>
  <c r="K1525" i="6"/>
  <c r="K1517" i="6"/>
  <c r="K1509" i="6"/>
  <c r="K1501" i="6"/>
  <c r="K1493" i="6"/>
  <c r="K1485" i="6"/>
  <c r="K1477" i="6"/>
  <c r="K1469" i="6"/>
  <c r="K1461" i="6"/>
  <c r="K1453" i="6"/>
  <c r="K1445" i="6"/>
  <c r="K1437" i="6"/>
  <c r="K1429" i="6"/>
  <c r="K1421" i="6"/>
  <c r="K1413" i="6"/>
  <c r="K1405" i="6"/>
  <c r="K1397" i="6"/>
  <c r="K1389" i="6"/>
  <c r="K1381" i="6"/>
  <c r="K1373" i="6"/>
  <c r="K1365" i="6"/>
  <c r="K1357" i="6"/>
  <c r="K1349" i="6"/>
  <c r="K1341" i="6"/>
  <c r="K1333" i="6"/>
  <c r="K1325" i="6"/>
  <c r="K1317" i="6"/>
  <c r="K1309" i="6"/>
  <c r="K1301" i="6"/>
  <c r="K1293" i="6"/>
  <c r="K1285" i="6"/>
  <c r="K1277" i="6"/>
  <c r="K1269" i="6"/>
  <c r="K1261" i="6"/>
  <c r="K1253" i="6"/>
  <c r="K1245" i="6"/>
  <c r="K1237" i="6"/>
  <c r="K1229" i="6"/>
  <c r="K1221" i="6"/>
  <c r="K1213" i="6"/>
  <c r="K1205" i="6"/>
  <c r="K1197" i="6"/>
  <c r="K1189" i="6"/>
  <c r="K1181" i="6"/>
  <c r="K1173" i="6"/>
  <c r="K1165" i="6"/>
  <c r="K1157" i="6"/>
  <c r="K1149" i="6"/>
  <c r="K1141" i="6"/>
  <c r="K1133" i="6"/>
  <c r="K1125" i="6"/>
  <c r="K1117" i="6"/>
  <c r="K1109" i="6"/>
  <c r="K1101" i="6"/>
  <c r="K1093" i="6"/>
  <c r="K1085" i="6"/>
  <c r="K1077" i="6"/>
  <c r="K1069" i="6"/>
  <c r="K1061" i="6"/>
  <c r="K1053" i="6"/>
  <c r="K1045" i="6"/>
  <c r="K1037" i="6"/>
  <c r="K1029" i="6"/>
  <c r="K1021" i="6"/>
  <c r="K1013" i="6"/>
  <c r="K1005" i="6"/>
  <c r="K997" i="6"/>
  <c r="K989" i="6"/>
  <c r="K981" i="6"/>
  <c r="K973" i="6"/>
  <c r="K965" i="6"/>
  <c r="K957" i="6"/>
  <c r="K949" i="6"/>
  <c r="K941" i="6"/>
  <c r="K933" i="6"/>
  <c r="K925" i="6"/>
  <c r="K917" i="6"/>
  <c r="K909" i="6"/>
  <c r="K901" i="6"/>
  <c r="K893" i="6"/>
  <c r="K885" i="6"/>
  <c r="K877" i="6"/>
  <c r="K869" i="6"/>
  <c r="K861" i="6"/>
  <c r="K853" i="6"/>
  <c r="K845" i="6"/>
  <c r="K837" i="6"/>
  <c r="K829" i="6"/>
  <c r="K821" i="6"/>
  <c r="K813" i="6"/>
  <c r="K805" i="6"/>
  <c r="K797" i="6"/>
  <c r="K789" i="6"/>
  <c r="K781" i="6"/>
  <c r="K773" i="6"/>
  <c r="K765" i="6"/>
  <c r="K757" i="6"/>
  <c r="K749" i="6"/>
  <c r="K741" i="6"/>
  <c r="K733" i="6"/>
  <c r="K725" i="6"/>
  <c r="K717" i="6"/>
  <c r="K709" i="6"/>
  <c r="K701" i="6"/>
  <c r="K693" i="6"/>
  <c r="K685" i="6"/>
  <c r="K677" i="6"/>
  <c r="K669" i="6"/>
  <c r="K661" i="6"/>
  <c r="K653" i="6"/>
  <c r="K645" i="6"/>
  <c r="K637" i="6"/>
  <c r="K629" i="6"/>
  <c r="K621" i="6"/>
  <c r="K613" i="6"/>
  <c r="K605" i="6"/>
  <c r="K597" i="6"/>
  <c r="K589" i="6"/>
  <c r="K581" i="6"/>
  <c r="K573" i="6"/>
  <c r="K565" i="6"/>
  <c r="K557" i="6"/>
  <c r="K549" i="6"/>
  <c r="K541" i="6"/>
  <c r="K533" i="6"/>
  <c r="K525" i="6"/>
  <c r="K517" i="6"/>
  <c r="K509" i="6"/>
  <c r="K501" i="6"/>
  <c r="K493" i="6"/>
  <c r="K485" i="6"/>
  <c r="K477" i="6"/>
  <c r="K469" i="6"/>
  <c r="K461" i="6"/>
  <c r="K453" i="6"/>
  <c r="K445" i="6"/>
  <c r="K437" i="6"/>
  <c r="K429" i="6"/>
  <c r="K421" i="6"/>
  <c r="K413" i="6"/>
  <c r="K405" i="6"/>
  <c r="K397" i="6"/>
  <c r="K389" i="6"/>
  <c r="K381" i="6"/>
  <c r="K373" i="6"/>
  <c r="K365" i="6"/>
  <c r="K357" i="6"/>
  <c r="K349" i="6"/>
  <c r="K341" i="6"/>
  <c r="K333" i="6"/>
  <c r="K4484" i="6"/>
  <c r="K4476" i="6"/>
  <c r="K4468" i="6"/>
  <c r="K4460" i="6"/>
  <c r="K4452" i="6"/>
  <c r="K4444" i="6"/>
  <c r="K4436" i="6"/>
  <c r="K4428" i="6"/>
  <c r="K4420" i="6"/>
  <c r="K4412" i="6"/>
  <c r="K4404" i="6"/>
  <c r="K4396" i="6"/>
  <c r="K4388" i="6"/>
  <c r="K4380" i="6"/>
  <c r="K4372" i="6"/>
  <c r="K4364" i="6"/>
  <c r="K4356" i="6"/>
  <c r="K4348" i="6"/>
  <c r="K4340" i="6"/>
  <c r="K4332" i="6"/>
  <c r="K4324" i="6"/>
  <c r="K4316" i="6"/>
  <c r="K4308" i="6"/>
  <c r="K4300" i="6"/>
  <c r="K4292" i="6"/>
  <c r="K4284" i="6"/>
  <c r="K4276" i="6"/>
  <c r="K4268" i="6"/>
  <c r="K4260" i="6"/>
  <c r="K4252" i="6"/>
  <c r="K4244" i="6"/>
  <c r="K4236" i="6"/>
  <c r="K4228" i="6"/>
  <c r="K4220" i="6"/>
  <c r="K4212" i="6"/>
  <c r="K4204" i="6"/>
  <c r="K4196" i="6"/>
  <c r="K4188" i="6"/>
  <c r="K4180" i="6"/>
  <c r="K4172" i="6"/>
  <c r="K4164" i="6"/>
  <c r="K4156" i="6"/>
  <c r="K4148" i="6"/>
  <c r="K4140" i="6"/>
  <c r="K4132" i="6"/>
  <c r="K4124" i="6"/>
  <c r="K4116" i="6"/>
  <c r="K4108" i="6"/>
  <c r="K4100" i="6"/>
  <c r="K4092" i="6"/>
  <c r="K4084" i="6"/>
  <c r="K4076" i="6"/>
  <c r="K4068" i="6"/>
  <c r="K4060" i="6"/>
  <c r="K4052" i="6"/>
  <c r="K4044" i="6"/>
  <c r="K4036" i="6"/>
  <c r="K4028" i="6"/>
  <c r="K4020" i="6"/>
  <c r="K4012" i="6"/>
  <c r="K4004" i="6"/>
  <c r="K3996" i="6"/>
  <c r="K3988" i="6"/>
  <c r="K3980" i="6"/>
  <c r="K3972" i="6"/>
  <c r="K3964" i="6"/>
  <c r="K3956" i="6"/>
  <c r="K3948" i="6"/>
  <c r="K3940" i="6"/>
  <c r="K3932" i="6"/>
  <c r="K3924" i="6"/>
  <c r="K3916" i="6"/>
  <c r="K3908" i="6"/>
  <c r="K3900" i="6"/>
  <c r="K3892" i="6"/>
  <c r="K3884" i="6"/>
  <c r="K3876" i="6"/>
  <c r="K3868" i="6"/>
  <c r="K3860" i="6"/>
  <c r="K3852" i="6"/>
  <c r="K3844" i="6"/>
  <c r="K3836" i="6"/>
  <c r="K3828" i="6"/>
  <c r="K3820" i="6"/>
  <c r="K3812" i="6"/>
  <c r="K3804" i="6"/>
  <c r="K3796" i="6"/>
  <c r="K3788" i="6"/>
  <c r="K3780" i="6"/>
  <c r="K3772" i="6"/>
  <c r="K3764" i="6"/>
  <c r="K3756" i="6"/>
  <c r="K3748" i="6"/>
  <c r="K3740" i="6"/>
  <c r="K3732" i="6"/>
  <c r="K3724" i="6"/>
  <c r="K3716" i="6"/>
  <c r="K3708" i="6"/>
  <c r="K3700" i="6"/>
  <c r="K3692" i="6"/>
  <c r="K3684" i="6"/>
  <c r="K3676" i="6"/>
  <c r="K3668" i="6"/>
  <c r="K3660" i="6"/>
  <c r="K3652" i="6"/>
  <c r="K3644" i="6"/>
  <c r="K3636" i="6"/>
  <c r="K3628" i="6"/>
  <c r="K3620" i="6"/>
  <c r="K3612" i="6"/>
  <c r="K3604" i="6"/>
  <c r="K3596" i="6"/>
  <c r="K3588" i="6"/>
  <c r="K3580" i="6"/>
  <c r="K3572" i="6"/>
  <c r="K3564" i="6"/>
  <c r="K3556" i="6"/>
  <c r="K3548" i="6"/>
  <c r="K3540" i="6"/>
  <c r="K3532" i="6"/>
  <c r="K3524" i="6"/>
  <c r="K3516" i="6"/>
  <c r="K3508" i="6"/>
  <c r="K3500" i="6"/>
  <c r="K3492" i="6"/>
  <c r="K3484" i="6"/>
  <c r="K3476" i="6"/>
  <c r="K3468" i="6"/>
  <c r="K3460" i="6"/>
  <c r="K3452" i="6"/>
  <c r="K3444" i="6"/>
  <c r="K3436" i="6"/>
  <c r="K3428" i="6"/>
  <c r="K3420" i="6"/>
  <c r="K3412" i="6"/>
  <c r="K3404" i="6"/>
  <c r="K3396" i="6"/>
  <c r="K3388" i="6"/>
  <c r="K3380" i="6"/>
  <c r="K3372" i="6"/>
  <c r="K3364" i="6"/>
  <c r="K3356" i="6"/>
  <c r="K3348" i="6"/>
  <c r="K3340" i="6"/>
  <c r="K3332" i="6"/>
  <c r="K3324" i="6"/>
  <c r="K3316" i="6"/>
  <c r="K3308" i="6"/>
  <c r="K3300" i="6"/>
  <c r="K3292" i="6"/>
  <c r="K3284" i="6"/>
  <c r="K3276" i="6"/>
  <c r="K3268" i="6"/>
  <c r="K3260" i="6"/>
  <c r="K3252" i="6"/>
  <c r="K3244" i="6"/>
  <c r="K3236" i="6"/>
  <c r="K3228" i="6"/>
  <c r="K3220" i="6"/>
  <c r="K3212" i="6"/>
  <c r="K3204" i="6"/>
  <c r="K3196" i="6"/>
  <c r="K3188" i="6"/>
  <c r="K3180" i="6"/>
  <c r="K3172" i="6"/>
  <c r="K3164" i="6"/>
  <c r="K3156" i="6"/>
  <c r="K3148" i="6"/>
  <c r="K3140" i="6"/>
  <c r="K3132" i="6"/>
  <c r="K3124" i="6"/>
  <c r="K3116" i="6"/>
  <c r="K3108" i="6"/>
  <c r="K3100" i="6"/>
  <c r="K3092" i="6"/>
  <c r="K3084" i="6"/>
  <c r="K3076" i="6"/>
  <c r="K3068" i="6"/>
  <c r="K3060" i="6"/>
  <c r="K3052" i="6"/>
  <c r="K3044" i="6"/>
  <c r="K3036" i="6"/>
  <c r="K3028" i="6"/>
  <c r="K3020" i="6"/>
  <c r="K3012" i="6"/>
  <c r="K3004" i="6"/>
  <c r="K2996" i="6"/>
  <c r="K2988" i="6"/>
  <c r="K2980" i="6"/>
  <c r="K2972" i="6"/>
  <c r="K2964" i="6"/>
  <c r="K2956" i="6"/>
  <c r="K2948" i="6"/>
  <c r="K2940" i="6"/>
  <c r="K2932" i="6"/>
  <c r="K2924" i="6"/>
  <c r="K2916" i="6"/>
  <c r="K2908" i="6"/>
  <c r="K2900" i="6"/>
  <c r="K2892" i="6"/>
  <c r="K2884" i="6"/>
  <c r="K2876" i="6"/>
  <c r="K2868" i="6"/>
  <c r="K2860" i="6"/>
  <c r="K2852" i="6"/>
  <c r="K2844" i="6"/>
  <c r="K2836" i="6"/>
  <c r="K2828" i="6"/>
  <c r="K2820" i="6"/>
  <c r="K2812" i="6"/>
  <c r="K2804" i="6"/>
  <c r="K2796" i="6"/>
  <c r="K2788" i="6"/>
  <c r="K2780" i="6"/>
  <c r="K2772" i="6"/>
  <c r="K2764" i="6"/>
  <c r="K2756" i="6"/>
  <c r="K2748" i="6"/>
  <c r="K2740" i="6"/>
  <c r="K2732" i="6"/>
  <c r="K2724" i="6"/>
  <c r="K2716" i="6"/>
  <c r="K2708" i="6"/>
  <c r="K2700" i="6"/>
  <c r="K2692" i="6"/>
  <c r="K2684" i="6"/>
  <c r="K2676" i="6"/>
  <c r="K2668" i="6"/>
  <c r="K2660" i="6"/>
  <c r="K2652" i="6"/>
  <c r="K2644" i="6"/>
  <c r="K2636" i="6"/>
  <c r="K2628" i="6"/>
  <c r="K2620" i="6"/>
  <c r="K2612" i="6"/>
  <c r="K2604" i="6"/>
  <c r="K2596" i="6"/>
  <c r="K2588" i="6"/>
  <c r="K2580" i="6"/>
  <c r="K2572" i="6"/>
  <c r="K2564" i="6"/>
  <c r="K2556" i="6"/>
  <c r="K2548" i="6"/>
  <c r="K2540" i="6"/>
  <c r="K2532" i="6"/>
  <c r="K2524" i="6"/>
  <c r="K2516" i="6"/>
  <c r="K2508" i="6"/>
  <c r="K2500" i="6"/>
  <c r="K2492" i="6"/>
  <c r="K2484" i="6"/>
  <c r="K2476" i="6"/>
  <c r="K2468" i="6"/>
  <c r="K2460" i="6"/>
  <c r="K2452" i="6"/>
  <c r="K2444" i="6"/>
  <c r="K2436" i="6"/>
  <c r="K2428" i="6"/>
  <c r="K2420" i="6"/>
  <c r="K2412" i="6"/>
  <c r="K2404" i="6"/>
  <c r="K2396" i="6"/>
  <c r="K2388" i="6"/>
  <c r="K2380" i="6"/>
  <c r="K2372" i="6"/>
  <c r="K2364" i="6"/>
  <c r="K2356" i="6"/>
  <c r="K2348" i="6"/>
  <c r="K2340" i="6"/>
  <c r="K2332" i="6"/>
  <c r="K2324" i="6"/>
  <c r="K2316" i="6"/>
  <c r="K2308" i="6"/>
  <c r="K2300" i="6"/>
  <c r="K2292" i="6"/>
  <c r="K2284" i="6"/>
  <c r="K2276" i="6"/>
  <c r="K2268" i="6"/>
  <c r="K2260" i="6"/>
  <c r="K2252" i="6"/>
  <c r="K2244" i="6"/>
  <c r="K2236" i="6"/>
  <c r="K2228" i="6"/>
  <c r="K2220" i="6"/>
  <c r="K2212" i="6"/>
  <c r="K2204" i="6"/>
  <c r="K2196" i="6"/>
  <c r="K2188" i="6"/>
  <c r="K2180" i="6"/>
  <c r="K2172" i="6"/>
  <c r="K2164" i="6"/>
  <c r="K2156" i="6"/>
  <c r="K2148" i="6"/>
  <c r="K2140" i="6"/>
  <c r="K2132" i="6"/>
  <c r="K2124" i="6"/>
  <c r="K2116" i="6"/>
  <c r="K2108" i="6"/>
  <c r="K2100" i="6"/>
  <c r="K2092" i="6"/>
  <c r="K2084" i="6"/>
  <c r="K2076" i="6"/>
  <c r="K2068" i="6"/>
  <c r="K2060" i="6"/>
  <c r="K2052" i="6"/>
  <c r="K2044" i="6"/>
  <c r="K2036" i="6"/>
  <c r="K2028" i="6"/>
  <c r="K2020" i="6"/>
  <c r="K2012" i="6"/>
  <c r="K2004" i="6"/>
  <c r="K1996" i="6"/>
  <c r="K1988" i="6"/>
  <c r="K1980" i="6"/>
  <c r="K1972" i="6"/>
  <c r="K1964" i="6"/>
  <c r="K1956" i="6"/>
  <c r="K1948" i="6"/>
  <c r="K1940" i="6"/>
  <c r="K1932" i="6"/>
  <c r="K1924" i="6"/>
  <c r="K1916" i="6"/>
  <c r="K1908" i="6"/>
  <c r="K1900" i="6"/>
  <c r="K1892" i="6"/>
  <c r="K1884" i="6"/>
  <c r="K1876" i="6"/>
  <c r="K1868" i="6"/>
  <c r="K1860" i="6"/>
  <c r="K1852" i="6"/>
  <c r="K1844" i="6"/>
  <c r="K1836" i="6"/>
  <c r="K1828" i="6"/>
  <c r="K1820" i="6"/>
  <c r="K1812" i="6"/>
  <c r="K1804" i="6"/>
  <c r="K1796" i="6"/>
  <c r="K1788" i="6"/>
  <c r="K1780" i="6"/>
  <c r="K1772" i="6"/>
  <c r="K1764" i="6"/>
  <c r="K1756" i="6"/>
  <c r="K1748" i="6"/>
  <c r="K1740" i="6"/>
  <c r="K1732" i="6"/>
  <c r="K1724" i="6"/>
  <c r="K1716" i="6"/>
  <c r="K1708" i="6"/>
  <c r="K1700" i="6"/>
  <c r="K1692" i="6"/>
  <c r="K1684" i="6"/>
  <c r="K1676" i="6"/>
  <c r="K1668" i="6"/>
  <c r="K1660" i="6"/>
  <c r="K1652" i="6"/>
  <c r="K1644" i="6"/>
  <c r="K1636" i="6"/>
  <c r="K1628" i="6"/>
  <c r="K1620" i="6"/>
  <c r="K1612" i="6"/>
  <c r="K1604" i="6"/>
  <c r="K1596" i="6"/>
  <c r="K1588" i="6"/>
  <c r="K1580" i="6"/>
  <c r="K1572" i="6"/>
  <c r="K1564" i="6"/>
  <c r="K1556" i="6"/>
  <c r="K1548" i="6"/>
  <c r="K1540" i="6"/>
  <c r="K1532" i="6"/>
  <c r="K1524" i="6"/>
  <c r="K1516" i="6"/>
  <c r="K1508" i="6"/>
  <c r="K1500" i="6"/>
  <c r="K1492" i="6"/>
  <c r="K1484" i="6"/>
  <c r="K1476" i="6"/>
  <c r="K1468" i="6"/>
  <c r="K1460" i="6"/>
  <c r="K1452" i="6"/>
  <c r="K1444" i="6"/>
  <c r="K1436" i="6"/>
  <c r="K1428" i="6"/>
  <c r="K1420" i="6"/>
  <c r="K1412" i="6"/>
  <c r="K1404" i="6"/>
  <c r="K1396" i="6"/>
  <c r="K1388" i="6"/>
  <c r="K1380" i="6"/>
  <c r="K1372" i="6"/>
  <c r="K1364" i="6"/>
  <c r="K1356" i="6"/>
  <c r="K1348" i="6"/>
  <c r="K1340" i="6"/>
  <c r="K1332" i="6"/>
  <c r="K1324" i="6"/>
  <c r="K1316" i="6"/>
  <c r="K1308" i="6"/>
  <c r="K1300" i="6"/>
  <c r="K1292" i="6"/>
  <c r="K1284" i="6"/>
  <c r="K1276" i="6"/>
  <c r="K1268" i="6"/>
  <c r="K1260" i="6"/>
  <c r="K1252" i="6"/>
  <c r="K1244" i="6"/>
  <c r="K1236" i="6"/>
  <c r="K1228" i="6"/>
  <c r="K1220" i="6"/>
  <c r="K1212" i="6"/>
  <c r="K1204" i="6"/>
  <c r="K1196" i="6"/>
  <c r="K1188" i="6"/>
  <c r="K1180" i="6"/>
  <c r="K1172" i="6"/>
  <c r="K1164" i="6"/>
  <c r="K1156" i="6"/>
  <c r="K1148" i="6"/>
  <c r="K1140" i="6"/>
  <c r="K1132" i="6"/>
  <c r="K1124" i="6"/>
  <c r="K1116" i="6"/>
  <c r="K1108" i="6"/>
  <c r="K1100" i="6"/>
  <c r="K1092" i="6"/>
  <c r="K1084" i="6"/>
  <c r="K1076" i="6"/>
  <c r="K1068" i="6"/>
  <c r="K1060" i="6"/>
  <c r="K1052" i="6"/>
  <c r="K1044" i="6"/>
  <c r="K1036" i="6"/>
  <c r="K1028" i="6"/>
  <c r="K1020" i="6"/>
  <c r="K1012" i="6"/>
  <c r="K1004" i="6"/>
  <c r="K996" i="6"/>
  <c r="K988" i="6"/>
  <c r="K980" i="6"/>
  <c r="K972" i="6"/>
  <c r="K964" i="6"/>
  <c r="K956" i="6"/>
  <c r="K948" i="6"/>
  <c r="K940" i="6"/>
  <c r="K932" i="6"/>
  <c r="K924" i="6"/>
  <c r="K916" i="6"/>
  <c r="K908" i="6"/>
  <c r="K900" i="6"/>
  <c r="K892" i="6"/>
  <c r="K884" i="6"/>
  <c r="K876" i="6"/>
  <c r="K868" i="6"/>
  <c r="K860" i="6"/>
  <c r="K852" i="6"/>
  <c r="K844" i="6"/>
  <c r="K836" i="6"/>
  <c r="K828" i="6"/>
  <c r="K820" i="6"/>
  <c r="K812" i="6"/>
  <c r="K804" i="6"/>
  <c r="K796" i="6"/>
  <c r="K788" i="6"/>
  <c r="K780" i="6"/>
  <c r="K772" i="6"/>
  <c r="K764" i="6"/>
  <c r="K756" i="6"/>
  <c r="K748" i="6"/>
  <c r="K740" i="6"/>
  <c r="K732" i="6"/>
  <c r="K724" i="6"/>
  <c r="K716" i="6"/>
  <c r="K708" i="6"/>
  <c r="K700" i="6"/>
  <c r="K692" i="6"/>
  <c r="K684" i="6"/>
  <c r="K676" i="6"/>
  <c r="K668" i="6"/>
  <c r="K660" i="6"/>
  <c r="K652" i="6"/>
  <c r="K644" i="6"/>
  <c r="K636" i="6"/>
  <c r="K628" i="6"/>
  <c r="K620" i="6"/>
  <c r="K612" i="6"/>
  <c r="K604" i="6"/>
  <c r="K596" i="6"/>
  <c r="K588" i="6"/>
  <c r="K580" i="6"/>
  <c r="K572" i="6"/>
  <c r="K564" i="6"/>
  <c r="K556" i="6"/>
  <c r="K548" i="6"/>
  <c r="K540" i="6"/>
  <c r="K532" i="6"/>
  <c r="K524" i="6"/>
  <c r="K516" i="6"/>
  <c r="K508" i="6"/>
  <c r="K500" i="6"/>
  <c r="K492" i="6"/>
  <c r="K484" i="6"/>
  <c r="K476" i="6"/>
  <c r="K468" i="6"/>
  <c r="K460" i="6"/>
  <c r="K452" i="6"/>
  <c r="K444" i="6"/>
  <c r="K436" i="6"/>
  <c r="K428" i="6"/>
  <c r="K420" i="6"/>
  <c r="K412" i="6"/>
  <c r="K404" i="6"/>
  <c r="K396" i="6"/>
  <c r="K388" i="6"/>
  <c r="K380" i="6"/>
  <c r="K372" i="6"/>
  <c r="K364" i="6"/>
  <c r="K356" i="6"/>
  <c r="K348" i="6"/>
  <c r="K340" i="6"/>
  <c r="K332" i="6"/>
  <c r="K324" i="6"/>
  <c r="K316" i="6"/>
  <c r="K308" i="6"/>
  <c r="K300" i="6"/>
  <c r="K292" i="6"/>
  <c r="K284" i="6"/>
  <c r="K276" i="6"/>
  <c r="K268" i="6"/>
  <c r="K260" i="6"/>
  <c r="K252" i="6"/>
  <c r="K244" i="6"/>
  <c r="K236" i="6"/>
  <c r="K228" i="6"/>
  <c r="K220" i="6"/>
  <c r="K212" i="6"/>
  <c r="K204" i="6"/>
  <c r="K196" i="6"/>
  <c r="K188" i="6"/>
  <c r="K180" i="6"/>
  <c r="K172" i="6"/>
  <c r="K164" i="6"/>
  <c r="K156" i="6"/>
  <c r="K148" i="6"/>
  <c r="K140" i="6"/>
  <c r="K132" i="6"/>
  <c r="K124" i="6"/>
  <c r="K116" i="6"/>
  <c r="K108" i="6"/>
  <c r="K100" i="6"/>
  <c r="K92" i="6"/>
  <c r="K84" i="6"/>
  <c r="K76" i="6"/>
  <c r="K68" i="6"/>
  <c r="K60" i="6"/>
  <c r="K52" i="6"/>
  <c r="K44" i="6"/>
  <c r="K36" i="6"/>
  <c r="K28" i="6"/>
  <c r="K20" i="6"/>
  <c r="K12" i="6"/>
  <c r="K4" i="6"/>
  <c r="K4995" i="6"/>
  <c r="K4987" i="6"/>
  <c r="K4979" i="6"/>
  <c r="K4971" i="6"/>
  <c r="K4963" i="6"/>
  <c r="K4955" i="6"/>
  <c r="K4947" i="6"/>
  <c r="K4939" i="6"/>
  <c r="K4931" i="6"/>
  <c r="K4923" i="6"/>
  <c r="K4915" i="6"/>
  <c r="K4907" i="6"/>
  <c r="K4899" i="6"/>
  <c r="K4891" i="6"/>
  <c r="K4883" i="6"/>
  <c r="K4875" i="6"/>
  <c r="K4867" i="6"/>
  <c r="K4859" i="6"/>
  <c r="K4851" i="6"/>
  <c r="K4843" i="6"/>
  <c r="K4835" i="6"/>
  <c r="K4827" i="6"/>
  <c r="K4819" i="6"/>
  <c r="K4811" i="6"/>
  <c r="K4803" i="6"/>
  <c r="K4795" i="6"/>
  <c r="K4787" i="6"/>
  <c r="K4779" i="6"/>
  <c r="K4771" i="6"/>
  <c r="K4763" i="6"/>
  <c r="K4755" i="6"/>
  <c r="K4747" i="6"/>
  <c r="K4739" i="6"/>
  <c r="K4731" i="6"/>
  <c r="K4723" i="6"/>
  <c r="K4715" i="6"/>
  <c r="K4707" i="6"/>
  <c r="K4699" i="6"/>
  <c r="K4691" i="6"/>
  <c r="K4683" i="6"/>
  <c r="K4675" i="6"/>
  <c r="K4667" i="6"/>
  <c r="K4659" i="6"/>
  <c r="K4651" i="6"/>
  <c r="K4643" i="6"/>
  <c r="K4635" i="6"/>
  <c r="K4627" i="6"/>
  <c r="K4619" i="6"/>
  <c r="K4611" i="6"/>
  <c r="K4603" i="6"/>
  <c r="K4595" i="6"/>
  <c r="K4587" i="6"/>
  <c r="K4579" i="6"/>
  <c r="K4571" i="6"/>
  <c r="K4563" i="6"/>
  <c r="K4555" i="6"/>
  <c r="K4547" i="6"/>
  <c r="K4539" i="6"/>
  <c r="K4531" i="6"/>
  <c r="K4523" i="6"/>
  <c r="K4515" i="6"/>
  <c r="K4507" i="6"/>
  <c r="K4499" i="6"/>
  <c r="K4491" i="6"/>
  <c r="K4483" i="6"/>
  <c r="K4475" i="6"/>
  <c r="K4467" i="6"/>
  <c r="K4459" i="6"/>
  <c r="K4451" i="6"/>
  <c r="K4443" i="6"/>
  <c r="K4435" i="6"/>
  <c r="K4427" i="6"/>
  <c r="K4419" i="6"/>
  <c r="K4411" i="6"/>
  <c r="K4403" i="6"/>
  <c r="K4395" i="6"/>
  <c r="K4387" i="6"/>
  <c r="K4379" i="6"/>
  <c r="K4371" i="6"/>
  <c r="K4363" i="6"/>
  <c r="K4355" i="6"/>
  <c r="K4347" i="6"/>
  <c r="K4339" i="6"/>
  <c r="K4331" i="6"/>
  <c r="K4323" i="6"/>
  <c r="K4315" i="6"/>
  <c r="K4307" i="6"/>
  <c r="K4299" i="6"/>
  <c r="K4291" i="6"/>
  <c r="K4283" i="6"/>
  <c r="K4275" i="6"/>
  <c r="K4267" i="6"/>
  <c r="K4259" i="6"/>
  <c r="K4251" i="6"/>
  <c r="K4243" i="6"/>
  <c r="K4235" i="6"/>
  <c r="K4227" i="6"/>
  <c r="K4219" i="6"/>
  <c r="K4211" i="6"/>
  <c r="K4203" i="6"/>
  <c r="K4195" i="6"/>
  <c r="K4187" i="6"/>
  <c r="K4179" i="6"/>
  <c r="K4171" i="6"/>
  <c r="K4163" i="6"/>
  <c r="K4155" i="6"/>
  <c r="K4147" i="6"/>
  <c r="K4139" i="6"/>
  <c r="K4131" i="6"/>
  <c r="K4123" i="6"/>
  <c r="K4115" i="6"/>
  <c r="K4107" i="6"/>
  <c r="K4099" i="6"/>
  <c r="K4091" i="6"/>
  <c r="K4083" i="6"/>
  <c r="K4075" i="6"/>
  <c r="K4067" i="6"/>
  <c r="K4059" i="6"/>
  <c r="K4051" i="6"/>
  <c r="K4043" i="6"/>
  <c r="K4035" i="6"/>
  <c r="K4027" i="6"/>
  <c r="K4019" i="6"/>
  <c r="K4011" i="6"/>
  <c r="K4003" i="6"/>
  <c r="K3995" i="6"/>
  <c r="K3987" i="6"/>
  <c r="K3979" i="6"/>
  <c r="K3971" i="6"/>
  <c r="K3963" i="6"/>
  <c r="K3955" i="6"/>
  <c r="K3947" i="6"/>
  <c r="K3939" i="6"/>
  <c r="K3931" i="6"/>
  <c r="K3923" i="6"/>
  <c r="K3915" i="6"/>
  <c r="K3907" i="6"/>
  <c r="K3899" i="6"/>
  <c r="K3891" i="6"/>
  <c r="K3883" i="6"/>
  <c r="K3875" i="6"/>
  <c r="K3867" i="6"/>
  <c r="K3859" i="6"/>
  <c r="K3851" i="6"/>
  <c r="K3843" i="6"/>
  <c r="K3835" i="6"/>
  <c r="K3827" i="6"/>
  <c r="K3819" i="6"/>
  <c r="K3811" i="6"/>
  <c r="K3803" i="6"/>
  <c r="K3795" i="6"/>
  <c r="K3787" i="6"/>
  <c r="K3779" i="6"/>
  <c r="K3771" i="6"/>
  <c r="K3763" i="6"/>
  <c r="K3755" i="6"/>
  <c r="K3747" i="6"/>
  <c r="K3739" i="6"/>
  <c r="K3731" i="6"/>
  <c r="K3723" i="6"/>
  <c r="K3715" i="6"/>
  <c r="K3707" i="6"/>
  <c r="K3699" i="6"/>
  <c r="K3691" i="6"/>
  <c r="K3683" i="6"/>
  <c r="K3675" i="6"/>
  <c r="K3667" i="6"/>
  <c r="K3659" i="6"/>
  <c r="K3651" i="6"/>
  <c r="K3643" i="6"/>
  <c r="K3635" i="6"/>
  <c r="K3627" i="6"/>
  <c r="K3619" i="6"/>
  <c r="K3611" i="6"/>
  <c r="K3603" i="6"/>
  <c r="K3595" i="6"/>
  <c r="K3587" i="6"/>
  <c r="K3579" i="6"/>
  <c r="K3571" i="6"/>
  <c r="K3563" i="6"/>
  <c r="K3555" i="6"/>
  <c r="K3547" i="6"/>
  <c r="K3539" i="6"/>
  <c r="K3531" i="6"/>
  <c r="K3523" i="6"/>
  <c r="K3515" i="6"/>
  <c r="K3507" i="6"/>
  <c r="K3499" i="6"/>
  <c r="K3491" i="6"/>
  <c r="K3483" i="6"/>
  <c r="K3475" i="6"/>
  <c r="K3467" i="6"/>
  <c r="K3459" i="6"/>
  <c r="K3451" i="6"/>
  <c r="K3443" i="6"/>
  <c r="K3435" i="6"/>
  <c r="K3427" i="6"/>
  <c r="K3419" i="6"/>
  <c r="K3411" i="6"/>
  <c r="K3403" i="6"/>
  <c r="K3395" i="6"/>
  <c r="K3387" i="6"/>
  <c r="K3379" i="6"/>
  <c r="K3371" i="6"/>
  <c r="K3363" i="6"/>
  <c r="K3355" i="6"/>
  <c r="K3347" i="6"/>
  <c r="K3339" i="6"/>
  <c r="K3331" i="6"/>
  <c r="K3323" i="6"/>
  <c r="K3315" i="6"/>
  <c r="K3307" i="6"/>
  <c r="K3299" i="6"/>
  <c r="K3291" i="6"/>
  <c r="K3283" i="6"/>
  <c r="K3275" i="6"/>
  <c r="K3267" i="6"/>
  <c r="K3259" i="6"/>
  <c r="K3251" i="6"/>
  <c r="K3243" i="6"/>
  <c r="K3235" i="6"/>
  <c r="K3227" i="6"/>
  <c r="K3219" i="6"/>
  <c r="K3211" i="6"/>
  <c r="K3203" i="6"/>
  <c r="K3195" i="6"/>
  <c r="K3187" i="6"/>
  <c r="K3179" i="6"/>
  <c r="K3171" i="6"/>
  <c r="K3163" i="6"/>
  <c r="K3155" i="6"/>
  <c r="K3147" i="6"/>
  <c r="K3139" i="6"/>
  <c r="K3131" i="6"/>
  <c r="K3123" i="6"/>
  <c r="K3115" i="6"/>
  <c r="K3107" i="6"/>
  <c r="K3099" i="6"/>
  <c r="K3091" i="6"/>
  <c r="K3083" i="6"/>
  <c r="K3075" i="6"/>
  <c r="K3067" i="6"/>
  <c r="K3059" i="6"/>
  <c r="K3051" i="6"/>
  <c r="K3043" i="6"/>
  <c r="K3035" i="6"/>
  <c r="K3027" i="6"/>
  <c r="K3019" i="6"/>
  <c r="K3011" i="6"/>
  <c r="K3003" i="6"/>
  <c r="K2995" i="6"/>
  <c r="K2987" i="6"/>
  <c r="K2979" i="6"/>
  <c r="K2971" i="6"/>
  <c r="K2963" i="6"/>
  <c r="K2955" i="6"/>
  <c r="K2947" i="6"/>
  <c r="K2939" i="6"/>
  <c r="K2931" i="6"/>
  <c r="K2923" i="6"/>
  <c r="K2915" i="6"/>
  <c r="K2907" i="6"/>
  <c r="K2899" i="6"/>
  <c r="K2891" i="6"/>
  <c r="K2883" i="6"/>
  <c r="K2875" i="6"/>
  <c r="K2867" i="6"/>
  <c r="K2859" i="6"/>
  <c r="K2851" i="6"/>
  <c r="K2843" i="6"/>
  <c r="K2835" i="6"/>
  <c r="K2827" i="6"/>
  <c r="K2819" i="6"/>
  <c r="K2811" i="6"/>
  <c r="K2803" i="6"/>
  <c r="K2795" i="6"/>
  <c r="K2787" i="6"/>
  <c r="K2779" i="6"/>
  <c r="K2771" i="6"/>
  <c r="K2763" i="6"/>
  <c r="K2755" i="6"/>
  <c r="K2747" i="6"/>
  <c r="K2739" i="6"/>
  <c r="K2731" i="6"/>
  <c r="K2723" i="6"/>
  <c r="K2715" i="6"/>
  <c r="K2707" i="6"/>
  <c r="K2699" i="6"/>
  <c r="K2691" i="6"/>
  <c r="K2683" i="6"/>
  <c r="K2675" i="6"/>
  <c r="K2667" i="6"/>
  <c r="K2659" i="6"/>
  <c r="K2651" i="6"/>
  <c r="K2643" i="6"/>
  <c r="K2635" i="6"/>
  <c r="K2627" i="6"/>
  <c r="K2619" i="6"/>
  <c r="K2611" i="6"/>
  <c r="K2603" i="6"/>
  <c r="K2595" i="6"/>
  <c r="K2587" i="6"/>
  <c r="K2579" i="6"/>
  <c r="K2571" i="6"/>
  <c r="K2563" i="6"/>
  <c r="K2555" i="6"/>
  <c r="K2547" i="6"/>
  <c r="K2539" i="6"/>
  <c r="K2531" i="6"/>
  <c r="K2523" i="6"/>
  <c r="K2515" i="6"/>
  <c r="K2507" i="6"/>
  <c r="K2499" i="6"/>
  <c r="K2491" i="6"/>
  <c r="K2483" i="6"/>
  <c r="K2475" i="6"/>
  <c r="K2467" i="6"/>
  <c r="K2459" i="6"/>
  <c r="K2451" i="6"/>
  <c r="K2443" i="6"/>
  <c r="K2435" i="6"/>
  <c r="K2427" i="6"/>
  <c r="K2419" i="6"/>
  <c r="K2411" i="6"/>
  <c r="K2403" i="6"/>
  <c r="K2395" i="6"/>
  <c r="K2387" i="6"/>
  <c r="K2379" i="6"/>
  <c r="K2371" i="6"/>
  <c r="K2363" i="6"/>
  <c r="K2355" i="6"/>
  <c r="K2347" i="6"/>
  <c r="K2339" i="6"/>
  <c r="K2331" i="6"/>
  <c r="K2323" i="6"/>
  <c r="K2315" i="6"/>
  <c r="K2307" i="6"/>
  <c r="K2299" i="6"/>
  <c r="K2291" i="6"/>
  <c r="K2283" i="6"/>
  <c r="K2275" i="6"/>
  <c r="K2267" i="6"/>
  <c r="K2259" i="6"/>
  <c r="K2251" i="6"/>
  <c r="K2243" i="6"/>
  <c r="K2235" i="6"/>
  <c r="K2227" i="6"/>
  <c r="K2219" i="6"/>
  <c r="K2211" i="6"/>
  <c r="K2203" i="6"/>
  <c r="K2195" i="6"/>
  <c r="K2187" i="6"/>
  <c r="K2179" i="6"/>
  <c r="K2171" i="6"/>
  <c r="K2163" i="6"/>
  <c r="K2155" i="6"/>
  <c r="K2147" i="6"/>
  <c r="K2139" i="6"/>
  <c r="K2131" i="6"/>
  <c r="K2123" i="6"/>
  <c r="K2115" i="6"/>
  <c r="K2107" i="6"/>
  <c r="K2099" i="6"/>
  <c r="K2091" i="6"/>
  <c r="K2083" i="6"/>
  <c r="K2075" i="6"/>
  <c r="K2067" i="6"/>
  <c r="K2059" i="6"/>
  <c r="K2051" i="6"/>
  <c r="K2043" i="6"/>
  <c r="K2035" i="6"/>
  <c r="K2027" i="6"/>
  <c r="K2019" i="6"/>
  <c r="K2011" i="6"/>
  <c r="K2003" i="6"/>
  <c r="K1995" i="6"/>
  <c r="K1987" i="6"/>
  <c r="K1979" i="6"/>
  <c r="K1971" i="6"/>
  <c r="K1963" i="6"/>
  <c r="K1955" i="6"/>
  <c r="K1947" i="6"/>
  <c r="K1939" i="6"/>
  <c r="K1931" i="6"/>
  <c r="K1923" i="6"/>
  <c r="K1915" i="6"/>
  <c r="K1907" i="6"/>
  <c r="K1899" i="6"/>
  <c r="K1891" i="6"/>
  <c r="K1883" i="6"/>
  <c r="K1875" i="6"/>
  <c r="K1867" i="6"/>
  <c r="K1859" i="6"/>
  <c r="K1851" i="6"/>
  <c r="K1843" i="6"/>
  <c r="K1835" i="6"/>
  <c r="K1827" i="6"/>
  <c r="K1819" i="6"/>
  <c r="K1811" i="6"/>
  <c r="K1803" i="6"/>
  <c r="K1795" i="6"/>
  <c r="K1787" i="6"/>
  <c r="K1779" i="6"/>
  <c r="K1771" i="6"/>
  <c r="K1763" i="6"/>
  <c r="K1755" i="6"/>
  <c r="K1747" i="6"/>
  <c r="K1739" i="6"/>
  <c r="K1731" i="6"/>
  <c r="K1723" i="6"/>
  <c r="K1715" i="6"/>
  <c r="K1707" i="6"/>
  <c r="K1699" i="6"/>
  <c r="K1691" i="6"/>
  <c r="K1683" i="6"/>
  <c r="K1675" i="6"/>
  <c r="K1667" i="6"/>
  <c r="K1659" i="6"/>
  <c r="K1651" i="6"/>
  <c r="K1643" i="6"/>
  <c r="K1635" i="6"/>
  <c r="K1627" i="6"/>
  <c r="K1619" i="6"/>
  <c r="K1611" i="6"/>
  <c r="K1603" i="6"/>
  <c r="K1595" i="6"/>
  <c r="K1587" i="6"/>
  <c r="K1579" i="6"/>
  <c r="K1571" i="6"/>
  <c r="K1563" i="6"/>
  <c r="K1555" i="6"/>
  <c r="K1547" i="6"/>
  <c r="K1539" i="6"/>
  <c r="K1531" i="6"/>
  <c r="K1523" i="6"/>
  <c r="K1515" i="6"/>
  <c r="K1507" i="6"/>
  <c r="K1499" i="6"/>
  <c r="K1491" i="6"/>
  <c r="K1483" i="6"/>
  <c r="K1475" i="6"/>
  <c r="K1467" i="6"/>
  <c r="K1459" i="6"/>
  <c r="K1451" i="6"/>
  <c r="K1443" i="6"/>
  <c r="K1435" i="6"/>
  <c r="K1427" i="6"/>
  <c r="K1419" i="6"/>
  <c r="K1411" i="6"/>
  <c r="K1403" i="6"/>
  <c r="K1395" i="6"/>
  <c r="K1387" i="6"/>
  <c r="K1379" i="6"/>
  <c r="K1371" i="6"/>
  <c r="K1363" i="6"/>
  <c r="K1355" i="6"/>
  <c r="K1347" i="6"/>
  <c r="K1339" i="6"/>
  <c r="K1331" i="6"/>
  <c r="K1323" i="6"/>
  <c r="K1315" i="6"/>
  <c r="K1307" i="6"/>
  <c r="K1299" i="6"/>
  <c r="K1291" i="6"/>
  <c r="K1283" i="6"/>
  <c r="K1275" i="6"/>
  <c r="K1267" i="6"/>
  <c r="K1259" i="6"/>
  <c r="K1251" i="6"/>
  <c r="K1243" i="6"/>
  <c r="K1235" i="6"/>
  <c r="K1227" i="6"/>
  <c r="K1219" i="6"/>
  <c r="K1211" i="6"/>
  <c r="K1203" i="6"/>
  <c r="K1195" i="6"/>
  <c r="K1187" i="6"/>
  <c r="K1179" i="6"/>
  <c r="K1171" i="6"/>
  <c r="K1163" i="6"/>
  <c r="K1155" i="6"/>
  <c r="K1147" i="6"/>
  <c r="K1139" i="6"/>
  <c r="K1131" i="6"/>
  <c r="K1123" i="6"/>
  <c r="K1115" i="6"/>
  <c r="K1107" i="6"/>
  <c r="K1099" i="6"/>
  <c r="K1091" i="6"/>
  <c r="K1083" i="6"/>
  <c r="K1075" i="6"/>
  <c r="K1067" i="6"/>
  <c r="K1059" i="6"/>
  <c r="K1051" i="6"/>
  <c r="K1043" i="6"/>
  <c r="K1035" i="6"/>
  <c r="K1027" i="6"/>
  <c r="K1019" i="6"/>
  <c r="K1011" i="6"/>
  <c r="K1003" i="6"/>
  <c r="K995" i="6"/>
  <c r="K987" i="6"/>
  <c r="K979" i="6"/>
  <c r="K971" i="6"/>
  <c r="K963" i="6"/>
  <c r="K955" i="6"/>
  <c r="K947" i="6"/>
  <c r="K939" i="6"/>
  <c r="K931" i="6"/>
  <c r="K923" i="6"/>
  <c r="K915" i="6"/>
  <c r="K907" i="6"/>
  <c r="K899" i="6"/>
  <c r="K891" i="6"/>
  <c r="K883" i="6"/>
  <c r="K875" i="6"/>
  <c r="K867" i="6"/>
  <c r="K859" i="6"/>
  <c r="K851" i="6"/>
  <c r="K843" i="6"/>
  <c r="K835" i="6"/>
  <c r="K827" i="6"/>
  <c r="K819" i="6"/>
  <c r="K811" i="6"/>
  <c r="K803" i="6"/>
  <c r="K795" i="6"/>
  <c r="K787" i="6"/>
  <c r="K779" i="6"/>
  <c r="K771" i="6"/>
  <c r="K763" i="6"/>
  <c r="K755" i="6"/>
  <c r="K747" i="6"/>
  <c r="K739" i="6"/>
  <c r="K731" i="6"/>
  <c r="K723" i="6"/>
  <c r="K715" i="6"/>
  <c r="K707" i="6"/>
  <c r="K699" i="6"/>
  <c r="K691" i="6"/>
  <c r="K683" i="6"/>
  <c r="K675" i="6"/>
  <c r="K667" i="6"/>
  <c r="K659" i="6"/>
  <c r="K651" i="6"/>
  <c r="K643" i="6"/>
  <c r="K635" i="6"/>
  <c r="K627" i="6"/>
  <c r="K619" i="6"/>
  <c r="K611" i="6"/>
  <c r="K603" i="6"/>
  <c r="K595" i="6"/>
  <c r="K587" i="6"/>
  <c r="K579" i="6"/>
  <c r="K571" i="6"/>
  <c r="K563" i="6"/>
  <c r="K555" i="6"/>
  <c r="K547" i="6"/>
  <c r="K539" i="6"/>
  <c r="K531" i="6"/>
  <c r="K523" i="6"/>
  <c r="K515" i="6"/>
  <c r="K507" i="6"/>
  <c r="K499" i="6"/>
  <c r="K491" i="6"/>
  <c r="K483" i="6"/>
  <c r="K475" i="6"/>
  <c r="K467" i="6"/>
  <c r="K459" i="6"/>
  <c r="K451" i="6"/>
  <c r="K443" i="6"/>
  <c r="K435" i="6"/>
  <c r="K427" i="6"/>
  <c r="K419" i="6"/>
  <c r="K411" i="6"/>
  <c r="K403" i="6"/>
  <c r="K395" i="6"/>
  <c r="K387" i="6"/>
  <c r="K379" i="6"/>
  <c r="K371" i="6"/>
  <c r="K363" i="6"/>
  <c r="K355" i="6"/>
  <c r="K347" i="6"/>
  <c r="K339" i="6"/>
  <c r="K331" i="6"/>
  <c r="K323" i="6"/>
  <c r="K315" i="6"/>
  <c r="K307" i="6"/>
  <c r="K299" i="6"/>
  <c r="K5002" i="6"/>
  <c r="K4994" i="6"/>
  <c r="K4986" i="6"/>
  <c r="K4978" i="6"/>
  <c r="K4970" i="6"/>
  <c r="K4962" i="6"/>
  <c r="K4954" i="6"/>
  <c r="K4946" i="6"/>
  <c r="K4938" i="6"/>
  <c r="K4930" i="6"/>
  <c r="K4922" i="6"/>
  <c r="K4914" i="6"/>
  <c r="K4906" i="6"/>
  <c r="K4898" i="6"/>
  <c r="K4890" i="6"/>
  <c r="K4882" i="6"/>
  <c r="K4874" i="6"/>
  <c r="K4866" i="6"/>
  <c r="K4858" i="6"/>
  <c r="K4850" i="6"/>
  <c r="K4842" i="6"/>
  <c r="K4834" i="6"/>
  <c r="K4826" i="6"/>
  <c r="K4818" i="6"/>
  <c r="K4810" i="6"/>
  <c r="K4802" i="6"/>
  <c r="K4794" i="6"/>
  <c r="K4786" i="6"/>
  <c r="K4778" i="6"/>
  <c r="K4770" i="6"/>
  <c r="K4762" i="6"/>
  <c r="K4754" i="6"/>
  <c r="K4746" i="6"/>
  <c r="K4738" i="6"/>
  <c r="K4730" i="6"/>
  <c r="K4722" i="6"/>
  <c r="K4714" i="6"/>
  <c r="K4706" i="6"/>
  <c r="K4698" i="6"/>
  <c r="K4690" i="6"/>
  <c r="K4682" i="6"/>
  <c r="K4674" i="6"/>
  <c r="K4666" i="6"/>
  <c r="K4658" i="6"/>
  <c r="K4650" i="6"/>
  <c r="K4642" i="6"/>
  <c r="K4634" i="6"/>
  <c r="K4626" i="6"/>
  <c r="K4618" i="6"/>
  <c r="K4610" i="6"/>
  <c r="K4602" i="6"/>
  <c r="K4594" i="6"/>
  <c r="K4586" i="6"/>
  <c r="K4578" i="6"/>
  <c r="K4570" i="6"/>
  <c r="K4562" i="6"/>
  <c r="K4554" i="6"/>
  <c r="K4546" i="6"/>
  <c r="K4538" i="6"/>
  <c r="K4530" i="6"/>
  <c r="K4522" i="6"/>
  <c r="K4514" i="6"/>
  <c r="K4506" i="6"/>
  <c r="K4498" i="6"/>
  <c r="K4490" i="6"/>
  <c r="K4482" i="6"/>
  <c r="K4474" i="6"/>
  <c r="K4466" i="6"/>
  <c r="K4458" i="6"/>
  <c r="K4450" i="6"/>
  <c r="K4442" i="6"/>
  <c r="K4434" i="6"/>
  <c r="K4426" i="6"/>
  <c r="K4418" i="6"/>
  <c r="K4410" i="6"/>
  <c r="K4402" i="6"/>
  <c r="K4394" i="6"/>
  <c r="K4386" i="6"/>
  <c r="K4378" i="6"/>
  <c r="K4370" i="6"/>
  <c r="K4362" i="6"/>
  <c r="K4354" i="6"/>
  <c r="K4346" i="6"/>
  <c r="K4338" i="6"/>
  <c r="K4330" i="6"/>
  <c r="K4322" i="6"/>
  <c r="K4314" i="6"/>
  <c r="K4306" i="6"/>
  <c r="K4298" i="6"/>
  <c r="K4290" i="6"/>
  <c r="K4282" i="6"/>
  <c r="K4274" i="6"/>
  <c r="K4266" i="6"/>
  <c r="K4258" i="6"/>
  <c r="K4250" i="6"/>
  <c r="K4242" i="6"/>
  <c r="K4234" i="6"/>
  <c r="K4226" i="6"/>
  <c r="K4218" i="6"/>
  <c r="K4210" i="6"/>
  <c r="K4202" i="6"/>
  <c r="K4194" i="6"/>
  <c r="K4186" i="6"/>
  <c r="K4178" i="6"/>
  <c r="K4170" i="6"/>
  <c r="K4162" i="6"/>
  <c r="K4154" i="6"/>
  <c r="K4146" i="6"/>
  <c r="K4138" i="6"/>
  <c r="K4130" i="6"/>
  <c r="K4122" i="6"/>
  <c r="K4114" i="6"/>
  <c r="K4106" i="6"/>
  <c r="K4098" i="6"/>
  <c r="K4090" i="6"/>
  <c r="K4082" i="6"/>
  <c r="K4074" i="6"/>
  <c r="K4066" i="6"/>
  <c r="K4058" i="6"/>
  <c r="K4050" i="6"/>
  <c r="K4042" i="6"/>
  <c r="K4034" i="6"/>
  <c r="K4026" i="6"/>
  <c r="K4018" i="6"/>
  <c r="K4010" i="6"/>
  <c r="K4002" i="6"/>
  <c r="K3994" i="6"/>
  <c r="K3986" i="6"/>
  <c r="K3978" i="6"/>
  <c r="K3970" i="6"/>
  <c r="K3962" i="6"/>
  <c r="K3954" i="6"/>
  <c r="K3946" i="6"/>
  <c r="K3938" i="6"/>
  <c r="K3930" i="6"/>
  <c r="K3922" i="6"/>
  <c r="K3914" i="6"/>
  <c r="K3906" i="6"/>
  <c r="K3898" i="6"/>
  <c r="K3890" i="6"/>
  <c r="K3882" i="6"/>
  <c r="K3874" i="6"/>
  <c r="K3866" i="6"/>
  <c r="K3858" i="6"/>
  <c r="K3850" i="6"/>
  <c r="K3842" i="6"/>
  <c r="K3834" i="6"/>
  <c r="K3826" i="6"/>
  <c r="K3818" i="6"/>
  <c r="K3810" i="6"/>
  <c r="K3802" i="6"/>
  <c r="K3794" i="6"/>
  <c r="K3786" i="6"/>
  <c r="K3778" i="6"/>
  <c r="K3770" i="6"/>
  <c r="K3762" i="6"/>
  <c r="K3754" i="6"/>
  <c r="K3746" i="6"/>
  <c r="K3738" i="6"/>
  <c r="K3730" i="6"/>
  <c r="K3722" i="6"/>
  <c r="K3714" i="6"/>
  <c r="K3706" i="6"/>
  <c r="K3698" i="6"/>
  <c r="K3690" i="6"/>
  <c r="K3682" i="6"/>
  <c r="K3674" i="6"/>
  <c r="K3666" i="6"/>
  <c r="K3658" i="6"/>
  <c r="K3650" i="6"/>
  <c r="K3642" i="6"/>
  <c r="K3634" i="6"/>
  <c r="K3626" i="6"/>
  <c r="K3618" i="6"/>
  <c r="K3610" i="6"/>
  <c r="K3602" i="6"/>
  <c r="K3594" i="6"/>
  <c r="K3586" i="6"/>
  <c r="K3578" i="6"/>
  <c r="K3570" i="6"/>
  <c r="K3562" i="6"/>
  <c r="K3554" i="6"/>
  <c r="K3546" i="6"/>
  <c r="K3538" i="6"/>
  <c r="K3530" i="6"/>
  <c r="K3522" i="6"/>
  <c r="K3514" i="6"/>
  <c r="K3506" i="6"/>
  <c r="K3498" i="6"/>
  <c r="K3490" i="6"/>
  <c r="K3482" i="6"/>
  <c r="K3474" i="6"/>
  <c r="K3466" i="6"/>
  <c r="K3458" i="6"/>
  <c r="K3450" i="6"/>
  <c r="K3442" i="6"/>
  <c r="K3434" i="6"/>
  <c r="K3426" i="6"/>
  <c r="K3418" i="6"/>
  <c r="K3410" i="6"/>
  <c r="K3402" i="6"/>
  <c r="K3394" i="6"/>
  <c r="K3386" i="6"/>
  <c r="K3378" i="6"/>
  <c r="K3370" i="6"/>
  <c r="K3362" i="6"/>
  <c r="K3354" i="6"/>
  <c r="K3346" i="6"/>
  <c r="K3338" i="6"/>
  <c r="K3330" i="6"/>
  <c r="K3322" i="6"/>
  <c r="K3314" i="6"/>
  <c r="K3306" i="6"/>
  <c r="K3298" i="6"/>
  <c r="K3290" i="6"/>
  <c r="K3282" i="6"/>
  <c r="K3274" i="6"/>
  <c r="K3266" i="6"/>
  <c r="K3258" i="6"/>
  <c r="K3250" i="6"/>
  <c r="K3242" i="6"/>
  <c r="K3234" i="6"/>
  <c r="K3226" i="6"/>
  <c r="K3218" i="6"/>
  <c r="K3210" i="6"/>
  <c r="K3202" i="6"/>
  <c r="K3194" i="6"/>
  <c r="K3186" i="6"/>
  <c r="K3178" i="6"/>
  <c r="K3170" i="6"/>
  <c r="K3162" i="6"/>
  <c r="K3154" i="6"/>
  <c r="K3146" i="6"/>
  <c r="K3138" i="6"/>
  <c r="K3130" i="6"/>
  <c r="K3122" i="6"/>
  <c r="K3114" i="6"/>
  <c r="K3106" i="6"/>
  <c r="K3098" i="6"/>
  <c r="K3090" i="6"/>
  <c r="K3082" i="6"/>
  <c r="K3074" i="6"/>
  <c r="K3066" i="6"/>
  <c r="K3058" i="6"/>
  <c r="K3050" i="6"/>
  <c r="K3042" i="6"/>
  <c r="K3034" i="6"/>
  <c r="K3026" i="6"/>
  <c r="K3018" i="6"/>
  <c r="K3010" i="6"/>
  <c r="K3002" i="6"/>
  <c r="K2994" i="6"/>
  <c r="K2986" i="6"/>
  <c r="K2978" i="6"/>
  <c r="K2970" i="6"/>
  <c r="K2962" i="6"/>
  <c r="K2954" i="6"/>
  <c r="K2946" i="6"/>
  <c r="K2938" i="6"/>
  <c r="K2930" i="6"/>
  <c r="K2922" i="6"/>
  <c r="K2914" i="6"/>
  <c r="K2906" i="6"/>
  <c r="K2898" i="6"/>
  <c r="K2890" i="6"/>
  <c r="K2882" i="6"/>
  <c r="K2874" i="6"/>
  <c r="K2866" i="6"/>
  <c r="K2858" i="6"/>
  <c r="K2850" i="6"/>
  <c r="K2842" i="6"/>
  <c r="K2834" i="6"/>
  <c r="K2826" i="6"/>
  <c r="K2818" i="6"/>
  <c r="K2810" i="6"/>
  <c r="K2802" i="6"/>
  <c r="K2794" i="6"/>
  <c r="K2786" i="6"/>
  <c r="K2778" i="6"/>
  <c r="K2770" i="6"/>
  <c r="K2762" i="6"/>
  <c r="K2754" i="6"/>
  <c r="K2746" i="6"/>
  <c r="K2738" i="6"/>
  <c r="K2730" i="6"/>
  <c r="K2722" i="6"/>
  <c r="K2714" i="6"/>
  <c r="K2706" i="6"/>
  <c r="K2698" i="6"/>
  <c r="K2690" i="6"/>
  <c r="K2682" i="6"/>
  <c r="K2674" i="6"/>
  <c r="K2666" i="6"/>
  <c r="K2658" i="6"/>
  <c r="K2650" i="6"/>
  <c r="K2642" i="6"/>
  <c r="K2634" i="6"/>
  <c r="K2626" i="6"/>
  <c r="K2618" i="6"/>
  <c r="K2610" i="6"/>
  <c r="K2602" i="6"/>
  <c r="K2594" i="6"/>
  <c r="K2586" i="6"/>
  <c r="K2578" i="6"/>
  <c r="K2570" i="6"/>
  <c r="K2562" i="6"/>
  <c r="K2554" i="6"/>
  <c r="K2546" i="6"/>
  <c r="K2538" i="6"/>
  <c r="K2530" i="6"/>
  <c r="K2522" i="6"/>
  <c r="K2514" i="6"/>
  <c r="K2506" i="6"/>
  <c r="K2498" i="6"/>
  <c r="K2490" i="6"/>
  <c r="K2482" i="6"/>
  <c r="K2474" i="6"/>
  <c r="K2466" i="6"/>
  <c r="K2458" i="6"/>
  <c r="K2450" i="6"/>
  <c r="K2442" i="6"/>
  <c r="K2434" i="6"/>
  <c r="K2426" i="6"/>
  <c r="K2418" i="6"/>
  <c r="K2410" i="6"/>
  <c r="K2402" i="6"/>
  <c r="K2394" i="6"/>
  <c r="K2386" i="6"/>
  <c r="K2378" i="6"/>
  <c r="K2370" i="6"/>
  <c r="K2362" i="6"/>
  <c r="K2354" i="6"/>
  <c r="K2346" i="6"/>
  <c r="K2338" i="6"/>
  <c r="K2330" i="6"/>
  <c r="K2322" i="6"/>
  <c r="K2314" i="6"/>
  <c r="K2306" i="6"/>
  <c r="K2298" i="6"/>
  <c r="K2290" i="6"/>
  <c r="K2282" i="6"/>
  <c r="K2274" i="6"/>
  <c r="K2266" i="6"/>
  <c r="K2258" i="6"/>
  <c r="K2250" i="6"/>
  <c r="K2242" i="6"/>
  <c r="K2234" i="6"/>
  <c r="K2226" i="6"/>
  <c r="K2218" i="6"/>
  <c r="K2210" i="6"/>
  <c r="K2202" i="6"/>
  <c r="K2194" i="6"/>
  <c r="K2186" i="6"/>
  <c r="K2178" i="6"/>
  <c r="K2170" i="6"/>
  <c r="K2162" i="6"/>
  <c r="K2154" i="6"/>
  <c r="K2146" i="6"/>
  <c r="K2138" i="6"/>
  <c r="K2130" i="6"/>
  <c r="K2122" i="6"/>
  <c r="K2114" i="6"/>
  <c r="K2106" i="6"/>
  <c r="K2098" i="6"/>
  <c r="K2090" i="6"/>
  <c r="K2082" i="6"/>
  <c r="K2074" i="6"/>
  <c r="K2066" i="6"/>
  <c r="K2058" i="6"/>
  <c r="K2050" i="6"/>
  <c r="K2042" i="6"/>
  <c r="K2034" i="6"/>
  <c r="K2026" i="6"/>
  <c r="K2018" i="6"/>
  <c r="K2010" i="6"/>
  <c r="K2002" i="6"/>
  <c r="K1994" i="6"/>
  <c r="K1986" i="6"/>
  <c r="K1978" i="6"/>
  <c r="K1970" i="6"/>
  <c r="K1962" i="6"/>
  <c r="K1954" i="6"/>
  <c r="K1946" i="6"/>
  <c r="K1938" i="6"/>
  <c r="K1930" i="6"/>
  <c r="K1922" i="6"/>
  <c r="K1914" i="6"/>
  <c r="K1906" i="6"/>
  <c r="K1898" i="6"/>
  <c r="K1890" i="6"/>
  <c r="K1882" i="6"/>
  <c r="K1874" i="6"/>
  <c r="K1866" i="6"/>
  <c r="K1858" i="6"/>
  <c r="K1850" i="6"/>
  <c r="K1842" i="6"/>
  <c r="K1834" i="6"/>
  <c r="K1826" i="6"/>
  <c r="K1818" i="6"/>
  <c r="K1810" i="6"/>
  <c r="K1802" i="6"/>
  <c r="K1794" i="6"/>
  <c r="K1786" i="6"/>
  <c r="K1778" i="6"/>
  <c r="K1770" i="6"/>
  <c r="K1762" i="6"/>
  <c r="K1754" i="6"/>
  <c r="K1746" i="6"/>
  <c r="K1738" i="6"/>
  <c r="K1730" i="6"/>
  <c r="K1722" i="6"/>
  <c r="K1714" i="6"/>
  <c r="K1706" i="6"/>
  <c r="K1698" i="6"/>
  <c r="K1690" i="6"/>
  <c r="K1682" i="6"/>
  <c r="K1674" i="6"/>
  <c r="K1666" i="6"/>
  <c r="K1658" i="6"/>
  <c r="K1650" i="6"/>
  <c r="K1642" i="6"/>
  <c r="K1634" i="6"/>
  <c r="K1626" i="6"/>
  <c r="K1618" i="6"/>
  <c r="K1610" i="6"/>
  <c r="K1602" i="6"/>
  <c r="K1594" i="6"/>
  <c r="K1586" i="6"/>
  <c r="K1578" i="6"/>
  <c r="K1570" i="6"/>
  <c r="K1562" i="6"/>
  <c r="K1554" i="6"/>
  <c r="K1546" i="6"/>
  <c r="K1538" i="6"/>
  <c r="K1530" i="6"/>
  <c r="K1522" i="6"/>
  <c r="K1514" i="6"/>
  <c r="K1506" i="6"/>
  <c r="K1498" i="6"/>
  <c r="K1490" i="6"/>
  <c r="K1482" i="6"/>
  <c r="K1474" i="6"/>
  <c r="K1466" i="6"/>
  <c r="K1458" i="6"/>
  <c r="K1450" i="6"/>
  <c r="K1442" i="6"/>
  <c r="K1434" i="6"/>
  <c r="K1426" i="6"/>
  <c r="K1418" i="6"/>
  <c r="K1410" i="6"/>
  <c r="K1402" i="6"/>
  <c r="K1394" i="6"/>
  <c r="K1386" i="6"/>
  <c r="K1378" i="6"/>
  <c r="K1370" i="6"/>
  <c r="K1362" i="6"/>
  <c r="K1354" i="6"/>
  <c r="K1346" i="6"/>
  <c r="K1338" i="6"/>
  <c r="K1330" i="6"/>
  <c r="K1322" i="6"/>
  <c r="K1314" i="6"/>
  <c r="K1306" i="6"/>
  <c r="K1298" i="6"/>
  <c r="K1290" i="6"/>
  <c r="K1282" i="6"/>
  <c r="K1274" i="6"/>
  <c r="K1266" i="6"/>
  <c r="K1258" i="6"/>
  <c r="K1250" i="6"/>
  <c r="K1242" i="6"/>
  <c r="K1234" i="6"/>
  <c r="K1226" i="6"/>
  <c r="K1218" i="6"/>
  <c r="K1210" i="6"/>
  <c r="K1202" i="6"/>
  <c r="K1194" i="6"/>
  <c r="K1186" i="6"/>
  <c r="K1178" i="6"/>
  <c r="K1170" i="6"/>
  <c r="K1162" i="6"/>
  <c r="K1154" i="6"/>
  <c r="K1146" i="6"/>
  <c r="K1138" i="6"/>
  <c r="K1130" i="6"/>
  <c r="K1122" i="6"/>
  <c r="K1114" i="6"/>
  <c r="K1106" i="6"/>
  <c r="K1098" i="6"/>
  <c r="K1090" i="6"/>
  <c r="K1082" i="6"/>
  <c r="K1074" i="6"/>
  <c r="K1066" i="6"/>
  <c r="K1058" i="6"/>
  <c r="K1050" i="6"/>
  <c r="K1042" i="6"/>
  <c r="K1034" i="6"/>
  <c r="K1026" i="6"/>
  <c r="K1018" i="6"/>
  <c r="K1010" i="6"/>
  <c r="K1002" i="6"/>
  <c r="K994" i="6"/>
  <c r="K986" i="6"/>
  <c r="K978" i="6"/>
  <c r="K970" i="6"/>
  <c r="K962" i="6"/>
  <c r="K954" i="6"/>
  <c r="K946" i="6"/>
  <c r="K938" i="6"/>
  <c r="K930" i="6"/>
  <c r="K922" i="6"/>
  <c r="K914" i="6"/>
  <c r="K906" i="6"/>
  <c r="K898" i="6"/>
  <c r="K890" i="6"/>
  <c r="K882" i="6"/>
  <c r="K874" i="6"/>
  <c r="K866" i="6"/>
  <c r="K858" i="6"/>
  <c r="K850" i="6"/>
  <c r="K842" i="6"/>
  <c r="K834" i="6"/>
  <c r="K826" i="6"/>
  <c r="K818" i="6"/>
  <c r="K810" i="6"/>
  <c r="K802" i="6"/>
  <c r="K794" i="6"/>
  <c r="K786" i="6"/>
  <c r="K778" i="6"/>
  <c r="K770" i="6"/>
  <c r="K762" i="6"/>
  <c r="K754" i="6"/>
  <c r="K746" i="6"/>
  <c r="K738" i="6"/>
  <c r="K730" i="6"/>
  <c r="K722" i="6"/>
  <c r="K714" i="6"/>
  <c r="K706" i="6"/>
  <c r="K698" i="6"/>
  <c r="K690" i="6"/>
  <c r="K682" i="6"/>
  <c r="K674" i="6"/>
  <c r="K666" i="6"/>
  <c r="K658" i="6"/>
  <c r="K650" i="6"/>
  <c r="K642" i="6"/>
  <c r="K634" i="6"/>
  <c r="K626" i="6"/>
  <c r="K618" i="6"/>
  <c r="K610" i="6"/>
  <c r="K602" i="6"/>
  <c r="K594" i="6"/>
  <c r="K586" i="6"/>
  <c r="K578" i="6"/>
  <c r="K570" i="6"/>
  <c r="K562" i="6"/>
  <c r="K554" i="6"/>
  <c r="K546" i="6"/>
  <c r="K538" i="6"/>
  <c r="K530" i="6"/>
  <c r="K522" i="6"/>
  <c r="K514" i="6"/>
  <c r="K506" i="6"/>
  <c r="K498" i="6"/>
  <c r="K490" i="6"/>
  <c r="K482" i="6"/>
  <c r="K474" i="6"/>
  <c r="K466" i="6"/>
  <c r="K458" i="6"/>
  <c r="K450" i="6"/>
  <c r="K442" i="6"/>
  <c r="K434" i="6"/>
  <c r="K426" i="6"/>
  <c r="K418" i="6"/>
  <c r="K410" i="6"/>
  <c r="K402" i="6"/>
  <c r="K394" i="6"/>
  <c r="K386" i="6"/>
  <c r="K378" i="6"/>
  <c r="K370" i="6"/>
  <c r="K362" i="6"/>
  <c r="K354" i="6"/>
  <c r="K346" i="6"/>
  <c r="K338" i="6"/>
  <c r="K330" i="6"/>
  <c r="K5001" i="6"/>
  <c r="K4993" i="6"/>
  <c r="K4985" i="6"/>
  <c r="K4977" i="6"/>
  <c r="K4969" i="6"/>
  <c r="K4961" i="6"/>
  <c r="K4953" i="6"/>
  <c r="K4945" i="6"/>
  <c r="K4937" i="6"/>
  <c r="K4929" i="6"/>
  <c r="K4921" i="6"/>
  <c r="K4913" i="6"/>
  <c r="K4905" i="6"/>
  <c r="K4897" i="6"/>
  <c r="K4889" i="6"/>
  <c r="K4881" i="6"/>
  <c r="K4873" i="6"/>
  <c r="K4865" i="6"/>
  <c r="K4857" i="6"/>
  <c r="K4849" i="6"/>
  <c r="K4841" i="6"/>
  <c r="K4833" i="6"/>
  <c r="K4825" i="6"/>
  <c r="K4817" i="6"/>
  <c r="K4809" i="6"/>
  <c r="K4801" i="6"/>
  <c r="K4793" i="6"/>
  <c r="K4785" i="6"/>
  <c r="K4777" i="6"/>
  <c r="K4769" i="6"/>
  <c r="K4761" i="6"/>
  <c r="K4753" i="6"/>
  <c r="K4745" i="6"/>
  <c r="K4737" i="6"/>
  <c r="K4729" i="6"/>
  <c r="K4721" i="6"/>
  <c r="K4713" i="6"/>
  <c r="K4705" i="6"/>
  <c r="K4697" i="6"/>
  <c r="K4689" i="6"/>
  <c r="K4681" i="6"/>
  <c r="K4673" i="6"/>
  <c r="K4665" i="6"/>
  <c r="K4657" i="6"/>
  <c r="K4649" i="6"/>
  <c r="K4641" i="6"/>
  <c r="K4633" i="6"/>
  <c r="K4625" i="6"/>
  <c r="K4617" i="6"/>
  <c r="K4609" i="6"/>
  <c r="K4601" i="6"/>
  <c r="K4593" i="6"/>
  <c r="K4585" i="6"/>
  <c r="K4577" i="6"/>
  <c r="K4569" i="6"/>
  <c r="K4561" i="6"/>
  <c r="K4553" i="6"/>
  <c r="K4545" i="6"/>
  <c r="K4537" i="6"/>
  <c r="K4529" i="6"/>
  <c r="K4521" i="6"/>
  <c r="K4513" i="6"/>
  <c r="K4505" i="6"/>
  <c r="K4497" i="6"/>
  <c r="K4489" i="6"/>
  <c r="K4481" i="6"/>
  <c r="K4473" i="6"/>
  <c r="K4465" i="6"/>
  <c r="K4457" i="6"/>
  <c r="K4449" i="6"/>
  <c r="K4441" i="6"/>
  <c r="K4433" i="6"/>
  <c r="K4425" i="6"/>
  <c r="K4417" i="6"/>
  <c r="K4409" i="6"/>
  <c r="K4401" i="6"/>
  <c r="K4393" i="6"/>
  <c r="K4385" i="6"/>
  <c r="K4377" i="6"/>
  <c r="K4369" i="6"/>
  <c r="K4361" i="6"/>
  <c r="K4353" i="6"/>
  <c r="K4345" i="6"/>
  <c r="K4337" i="6"/>
  <c r="K4329" i="6"/>
  <c r="K4321" i="6"/>
  <c r="K4313" i="6"/>
  <c r="K4305" i="6"/>
  <c r="K4297" i="6"/>
  <c r="K4289" i="6"/>
  <c r="K4281" i="6"/>
  <c r="K4273" i="6"/>
  <c r="K4265" i="6"/>
  <c r="K4257" i="6"/>
  <c r="K4249" i="6"/>
  <c r="K4241" i="6"/>
  <c r="K4233" i="6"/>
  <c r="K4225" i="6"/>
  <c r="K4217" i="6"/>
  <c r="K4209" i="6"/>
  <c r="K4201" i="6"/>
  <c r="K4193" i="6"/>
  <c r="K4185" i="6"/>
  <c r="K4177" i="6"/>
  <c r="K4169" i="6"/>
  <c r="K4161" i="6"/>
  <c r="K4153" i="6"/>
  <c r="K4145" i="6"/>
  <c r="K4137" i="6"/>
  <c r="K4129" i="6"/>
  <c r="K4121" i="6"/>
  <c r="K4113" i="6"/>
  <c r="K4105" i="6"/>
  <c r="K4097" i="6"/>
  <c r="K4089" i="6"/>
  <c r="K4081" i="6"/>
  <c r="K4073" i="6"/>
  <c r="K4065" i="6"/>
  <c r="K4057" i="6"/>
  <c r="K4049" i="6"/>
  <c r="K4041" i="6"/>
  <c r="K4033" i="6"/>
  <c r="K4025" i="6"/>
  <c r="K4017" i="6"/>
  <c r="K4009" i="6"/>
  <c r="K4001" i="6"/>
  <c r="K3993" i="6"/>
  <c r="K3985" i="6"/>
  <c r="K3977" i="6"/>
  <c r="K3969" i="6"/>
  <c r="K3961" i="6"/>
  <c r="K3953" i="6"/>
  <c r="K3945" i="6"/>
  <c r="K3937" i="6"/>
  <c r="K3929" i="6"/>
  <c r="K3921" i="6"/>
  <c r="K3913" i="6"/>
  <c r="K3905" i="6"/>
  <c r="K3897" i="6"/>
  <c r="K3889" i="6"/>
  <c r="K3881" i="6"/>
  <c r="K3873" i="6"/>
  <c r="K3865" i="6"/>
  <c r="K3857" i="6"/>
  <c r="K3849" i="6"/>
  <c r="K3841" i="6"/>
  <c r="K3833" i="6"/>
  <c r="K3825" i="6"/>
  <c r="K3817" i="6"/>
  <c r="K3809" i="6"/>
  <c r="K3801" i="6"/>
  <c r="K3793" i="6"/>
  <c r="K3785" i="6"/>
  <c r="K3777" i="6"/>
  <c r="K3769" i="6"/>
  <c r="K3761" i="6"/>
  <c r="K3753" i="6"/>
  <c r="K3745" i="6"/>
  <c r="K3737" i="6"/>
  <c r="K3729" i="6"/>
  <c r="K3721" i="6"/>
  <c r="K3713" i="6"/>
  <c r="K3705" i="6"/>
  <c r="K3697" i="6"/>
  <c r="K3689" i="6"/>
  <c r="K3681" i="6"/>
  <c r="K3673" i="6"/>
  <c r="K3665" i="6"/>
  <c r="K3657" i="6"/>
  <c r="K3649" i="6"/>
  <c r="K3641" i="6"/>
  <c r="K3633" i="6"/>
  <c r="K3625" i="6"/>
  <c r="K3617" i="6"/>
  <c r="K3609" i="6"/>
  <c r="K3601" i="6"/>
  <c r="K3593" i="6"/>
  <c r="K3585" i="6"/>
  <c r="K3577" i="6"/>
  <c r="K3569" i="6"/>
  <c r="K3561" i="6"/>
  <c r="K3553" i="6"/>
  <c r="K3545" i="6"/>
  <c r="K3537" i="6"/>
  <c r="K3529" i="6"/>
  <c r="K3521" i="6"/>
  <c r="K3513" i="6"/>
  <c r="K3505" i="6"/>
  <c r="K3497" i="6"/>
  <c r="K3489" i="6"/>
  <c r="K3481" i="6"/>
  <c r="K3473" i="6"/>
  <c r="K3465" i="6"/>
  <c r="K3457" i="6"/>
  <c r="K3449" i="6"/>
  <c r="K3441" i="6"/>
  <c r="K3433" i="6"/>
  <c r="K3425" i="6"/>
  <c r="K3417" i="6"/>
  <c r="K3409" i="6"/>
  <c r="K3401" i="6"/>
  <c r="K3393" i="6"/>
  <c r="K3385" i="6"/>
  <c r="K3377" i="6"/>
  <c r="K3369" i="6"/>
  <c r="K3361" i="6"/>
  <c r="K3353" i="6"/>
  <c r="K3345" i="6"/>
  <c r="K3337" i="6"/>
  <c r="K3329" i="6"/>
  <c r="K3321" i="6"/>
  <c r="K3313" i="6"/>
  <c r="K3305" i="6"/>
  <c r="K3297" i="6"/>
  <c r="K3289" i="6"/>
  <c r="K3281" i="6"/>
  <c r="K3273" i="6"/>
  <c r="K3265" i="6"/>
  <c r="K3257" i="6"/>
  <c r="K3249" i="6"/>
  <c r="K3241" i="6"/>
  <c r="K3233" i="6"/>
  <c r="K3225" i="6"/>
  <c r="K3217" i="6"/>
  <c r="K3209" i="6"/>
  <c r="K3201" i="6"/>
  <c r="K3193" i="6"/>
  <c r="K3185" i="6"/>
  <c r="K3177" i="6"/>
  <c r="K3169" i="6"/>
  <c r="K3161" i="6"/>
  <c r="K3153" i="6"/>
  <c r="K3145" i="6"/>
  <c r="K3137" i="6"/>
  <c r="K3129" i="6"/>
  <c r="K3121" i="6"/>
  <c r="K3113" i="6"/>
  <c r="K3105" i="6"/>
  <c r="K3097" i="6"/>
  <c r="K3089" i="6"/>
  <c r="K3081" i="6"/>
  <c r="K3073" i="6"/>
  <c r="K3065" i="6"/>
  <c r="K3057" i="6"/>
  <c r="K3049" i="6"/>
  <c r="K3041" i="6"/>
  <c r="K3033" i="6"/>
  <c r="K3025" i="6"/>
  <c r="K3017" i="6"/>
  <c r="K3009" i="6"/>
  <c r="K3001" i="6"/>
  <c r="K2993" i="6"/>
  <c r="K2985" i="6"/>
  <c r="K2977" i="6"/>
  <c r="K2969" i="6"/>
  <c r="K2961" i="6"/>
  <c r="K2953" i="6"/>
  <c r="K2945" i="6"/>
  <c r="K2937" i="6"/>
  <c r="K2929" i="6"/>
  <c r="K2921" i="6"/>
  <c r="K2913" i="6"/>
  <c r="K2905" i="6"/>
  <c r="K2897" i="6"/>
  <c r="K2889" i="6"/>
  <c r="K2881" i="6"/>
  <c r="K2873" i="6"/>
  <c r="K2865" i="6"/>
  <c r="K2857" i="6"/>
  <c r="K2849" i="6"/>
  <c r="K2841" i="6"/>
  <c r="K2833" i="6"/>
  <c r="K2825" i="6"/>
  <c r="K2817" i="6"/>
  <c r="K2809" i="6"/>
  <c r="K2801" i="6"/>
  <c r="K2793" i="6"/>
  <c r="K2785" i="6"/>
  <c r="K2777" i="6"/>
  <c r="K2769" i="6"/>
  <c r="K2761" i="6"/>
  <c r="K2753" i="6"/>
  <c r="K2745" i="6"/>
  <c r="K2737" i="6"/>
  <c r="K2729" i="6"/>
  <c r="K2721" i="6"/>
  <c r="K2713" i="6"/>
  <c r="K2705" i="6"/>
  <c r="K2697" i="6"/>
  <c r="K2689" i="6"/>
  <c r="K2681" i="6"/>
  <c r="K2673" i="6"/>
  <c r="K2665" i="6"/>
  <c r="K2657" i="6"/>
  <c r="K2649" i="6"/>
  <c r="K2641" i="6"/>
  <c r="K2633" i="6"/>
  <c r="K2625" i="6"/>
  <c r="K2617" i="6"/>
  <c r="K2609" i="6"/>
  <c r="K2601" i="6"/>
  <c r="K2593" i="6"/>
  <c r="K2585" i="6"/>
  <c r="K2577" i="6"/>
  <c r="K2569" i="6"/>
  <c r="K2561" i="6"/>
  <c r="K2553" i="6"/>
  <c r="K2545" i="6"/>
  <c r="K2537" i="6"/>
  <c r="K2529" i="6"/>
  <c r="K2521" i="6"/>
  <c r="K2513" i="6"/>
  <c r="K2505" i="6"/>
  <c r="K2497" i="6"/>
  <c r="K2489" i="6"/>
  <c r="K2481" i="6"/>
  <c r="K2473" i="6"/>
  <c r="K2465" i="6"/>
  <c r="K2457" i="6"/>
  <c r="K2449" i="6"/>
  <c r="K2441" i="6"/>
  <c r="K2433" i="6"/>
  <c r="K2425" i="6"/>
  <c r="K2417" i="6"/>
  <c r="K2409" i="6"/>
  <c r="K2401" i="6"/>
  <c r="K2393" i="6"/>
  <c r="K2385" i="6"/>
  <c r="K2377" i="6"/>
  <c r="K2369" i="6"/>
  <c r="K2361" i="6"/>
  <c r="K2353" i="6"/>
  <c r="K2345" i="6"/>
  <c r="K2337" i="6"/>
  <c r="K2329" i="6"/>
  <c r="K2321" i="6"/>
  <c r="K2313" i="6"/>
  <c r="K2305" i="6"/>
  <c r="K2297" i="6"/>
  <c r="K2289" i="6"/>
  <c r="K2281" i="6"/>
  <c r="K2273" i="6"/>
  <c r="K2265" i="6"/>
  <c r="K2257" i="6"/>
  <c r="K2249" i="6"/>
  <c r="K2241" i="6"/>
  <c r="K2233" i="6"/>
  <c r="K2225" i="6"/>
  <c r="K2217" i="6"/>
  <c r="K2209" i="6"/>
  <c r="K2201" i="6"/>
  <c r="K2193" i="6"/>
  <c r="K2185" i="6"/>
  <c r="K2177" i="6"/>
  <c r="K2169" i="6"/>
  <c r="K2161" i="6"/>
  <c r="K2153" i="6"/>
  <c r="K2145" i="6"/>
  <c r="K2137" i="6"/>
  <c r="K2129" i="6"/>
  <c r="K2121" i="6"/>
  <c r="K2113" i="6"/>
  <c r="K2105" i="6"/>
  <c r="K2097" i="6"/>
  <c r="K2089" i="6"/>
  <c r="K2081" i="6"/>
  <c r="K2073" i="6"/>
  <c r="K2065" i="6"/>
  <c r="K2057" i="6"/>
  <c r="K2049" i="6"/>
  <c r="K2041" i="6"/>
  <c r="K2033" i="6"/>
  <c r="K2025" i="6"/>
  <c r="K2017" i="6"/>
  <c r="K2009" i="6"/>
  <c r="K2001" i="6"/>
  <c r="K1993" i="6"/>
  <c r="K1985" i="6"/>
  <c r="K1977" i="6"/>
  <c r="K1969" i="6"/>
  <c r="K1961" i="6"/>
  <c r="K1953" i="6"/>
  <c r="K1945" i="6"/>
  <c r="K1937" i="6"/>
  <c r="K1929" i="6"/>
  <c r="K1921" i="6"/>
  <c r="K1913" i="6"/>
  <c r="K1905" i="6"/>
  <c r="K1897" i="6"/>
  <c r="K1889" i="6"/>
  <c r="K1881" i="6"/>
  <c r="K1873" i="6"/>
  <c r="K1865" i="6"/>
  <c r="K1857" i="6"/>
  <c r="K1849" i="6"/>
  <c r="K1841" i="6"/>
  <c r="K1833" i="6"/>
  <c r="K1825" i="6"/>
  <c r="K1817" i="6"/>
  <c r="K1809" i="6"/>
  <c r="K1801" i="6"/>
  <c r="K1793" i="6"/>
  <c r="K1785" i="6"/>
  <c r="K1777" i="6"/>
  <c r="K1769" i="6"/>
  <c r="K1761" i="6"/>
  <c r="K1753" i="6"/>
  <c r="K1745" i="6"/>
  <c r="K1737" i="6"/>
  <c r="K1729" i="6"/>
  <c r="K1721" i="6"/>
  <c r="K1713" i="6"/>
  <c r="K1705" i="6"/>
  <c r="K1697" i="6"/>
  <c r="K1689" i="6"/>
  <c r="K1681" i="6"/>
  <c r="K1673" i="6"/>
  <c r="K1665" i="6"/>
  <c r="K1657" i="6"/>
  <c r="K1649" i="6"/>
  <c r="K1641" i="6"/>
  <c r="K1633" i="6"/>
  <c r="K1625" i="6"/>
  <c r="K1617" i="6"/>
  <c r="K1609" i="6"/>
  <c r="K1601" i="6"/>
  <c r="K1593" i="6"/>
  <c r="K1585" i="6"/>
  <c r="K1577" i="6"/>
  <c r="K1569" i="6"/>
  <c r="K1561" i="6"/>
  <c r="K1553" i="6"/>
  <c r="K1545" i="6"/>
  <c r="K1537" i="6"/>
  <c r="K1529" i="6"/>
  <c r="K1521" i="6"/>
  <c r="K1513" i="6"/>
  <c r="K1505" i="6"/>
  <c r="K1497" i="6"/>
  <c r="K1489" i="6"/>
  <c r="K1481" i="6"/>
  <c r="K1473" i="6"/>
  <c r="K1465" i="6"/>
  <c r="K1457" i="6"/>
  <c r="K1449" i="6"/>
  <c r="K1441" i="6"/>
  <c r="K1433" i="6"/>
  <c r="K1425" i="6"/>
  <c r="K1417" i="6"/>
  <c r="K1409" i="6"/>
  <c r="K1401" i="6"/>
  <c r="K1393" i="6"/>
  <c r="K1385" i="6"/>
  <c r="K1377" i="6"/>
  <c r="K1369" i="6"/>
  <c r="K1361" i="6"/>
  <c r="K1353" i="6"/>
  <c r="K1345" i="6"/>
  <c r="K1337" i="6"/>
  <c r="K1329" i="6"/>
  <c r="K1321" i="6"/>
  <c r="K1313" i="6"/>
  <c r="K1305" i="6"/>
  <c r="K1297" i="6"/>
  <c r="K1289" i="6"/>
  <c r="K1281" i="6"/>
  <c r="K1273" i="6"/>
  <c r="K1265" i="6"/>
  <c r="K1257" i="6"/>
  <c r="K1249" i="6"/>
  <c r="K1241" i="6"/>
  <c r="K1233" i="6"/>
  <c r="K1225" i="6"/>
  <c r="K1217" i="6"/>
  <c r="K1209" i="6"/>
  <c r="K1201" i="6"/>
  <c r="K1193" i="6"/>
  <c r="K1185" i="6"/>
  <c r="K1177" i="6"/>
  <c r="K1169" i="6"/>
  <c r="K1161" i="6"/>
  <c r="K1153" i="6"/>
  <c r="K1145" i="6"/>
  <c r="K1137" i="6"/>
  <c r="K1129" i="6"/>
  <c r="K1121" i="6"/>
  <c r="K1113" i="6"/>
  <c r="K1105" i="6"/>
  <c r="K1097" i="6"/>
  <c r="K1089" i="6"/>
  <c r="K1081" i="6"/>
  <c r="K1073" i="6"/>
  <c r="K1065" i="6"/>
  <c r="K1057" i="6"/>
  <c r="K1049" i="6"/>
  <c r="K1041" i="6"/>
  <c r="K1033" i="6"/>
  <c r="K1025" i="6"/>
  <c r="K1017" i="6"/>
  <c r="K1009" i="6"/>
  <c r="K1001" i="6"/>
  <c r="K993" i="6"/>
  <c r="K985" i="6"/>
  <c r="K977" i="6"/>
  <c r="K969" i="6"/>
  <c r="K961" i="6"/>
  <c r="K953" i="6"/>
  <c r="K945" i="6"/>
  <c r="K937" i="6"/>
  <c r="K929" i="6"/>
  <c r="K921" i="6"/>
  <c r="K913" i="6"/>
  <c r="K905" i="6"/>
  <c r="K897" i="6"/>
  <c r="K889" i="6"/>
  <c r="K881" i="6"/>
  <c r="K873" i="6"/>
  <c r="K865" i="6"/>
  <c r="K857" i="6"/>
  <c r="K849" i="6"/>
  <c r="K841" i="6"/>
  <c r="K833" i="6"/>
  <c r="K825" i="6"/>
  <c r="K817" i="6"/>
  <c r="K809" i="6"/>
  <c r="K801" i="6"/>
  <c r="K793" i="6"/>
  <c r="K785" i="6"/>
  <c r="K777" i="6"/>
  <c r="K769" i="6"/>
  <c r="K761" i="6"/>
  <c r="K753" i="6"/>
  <c r="K745" i="6"/>
  <c r="K737" i="6"/>
  <c r="K729" i="6"/>
  <c r="K721" i="6"/>
  <c r="K713" i="6"/>
  <c r="K705" i="6"/>
  <c r="K697" i="6"/>
  <c r="K689" i="6"/>
  <c r="K681" i="6"/>
  <c r="K673" i="6"/>
  <c r="K665" i="6"/>
  <c r="K657" i="6"/>
  <c r="K649" i="6"/>
  <c r="K641" i="6"/>
  <c r="K633" i="6"/>
  <c r="K625" i="6"/>
  <c r="K617" i="6"/>
  <c r="K609" i="6"/>
  <c r="K601" i="6"/>
  <c r="K593" i="6"/>
  <c r="K585" i="6"/>
  <c r="K577" i="6"/>
  <c r="K569" i="6"/>
  <c r="K561" i="6"/>
  <c r="K553" i="6"/>
  <c r="K545" i="6"/>
  <c r="K537" i="6"/>
  <c r="K529" i="6"/>
  <c r="K521" i="6"/>
  <c r="K513" i="6"/>
  <c r="K505" i="6"/>
  <c r="K497" i="6"/>
  <c r="K489" i="6"/>
  <c r="K481" i="6"/>
  <c r="K473" i="6"/>
  <c r="K465" i="6"/>
  <c r="K457" i="6"/>
  <c r="K449" i="6"/>
  <c r="K441" i="6"/>
  <c r="K433" i="6"/>
  <c r="K425" i="6"/>
  <c r="K417" i="6"/>
  <c r="K409" i="6"/>
  <c r="K401" i="6"/>
  <c r="K393" i="6"/>
  <c r="K385" i="6"/>
  <c r="K377" i="6"/>
  <c r="K369" i="6"/>
  <c r="K361" i="6"/>
  <c r="K353" i="6"/>
  <c r="K345" i="6"/>
  <c r="K337" i="6"/>
  <c r="K329" i="6"/>
  <c r="K321" i="6"/>
  <c r="K5000" i="6"/>
  <c r="K4992" i="6"/>
  <c r="K4984" i="6"/>
  <c r="K4976" i="6"/>
  <c r="K4968" i="6"/>
  <c r="K4960" i="6"/>
  <c r="K4952" i="6"/>
  <c r="K4944" i="6"/>
  <c r="K4936" i="6"/>
  <c r="K4928" i="6"/>
  <c r="K4920" i="6"/>
  <c r="K4912" i="6"/>
  <c r="K4904" i="6"/>
  <c r="K4896" i="6"/>
  <c r="K4888" i="6"/>
  <c r="K4880" i="6"/>
  <c r="K4872" i="6"/>
  <c r="K4864" i="6"/>
  <c r="K4856" i="6"/>
  <c r="K4848" i="6"/>
  <c r="K4840" i="6"/>
  <c r="K4832" i="6"/>
  <c r="K4824" i="6"/>
  <c r="K4816" i="6"/>
  <c r="K4808" i="6"/>
  <c r="K4800" i="6"/>
  <c r="K4792" i="6"/>
  <c r="K4784" i="6"/>
  <c r="K4776" i="6"/>
  <c r="K4768" i="6"/>
  <c r="K4760" i="6"/>
  <c r="K4752" i="6"/>
  <c r="K4744" i="6"/>
  <c r="K4736" i="6"/>
  <c r="K4728" i="6"/>
  <c r="K4720" i="6"/>
  <c r="K4712" i="6"/>
  <c r="K4704" i="6"/>
  <c r="K4696" i="6"/>
  <c r="K4688" i="6"/>
  <c r="K4680" i="6"/>
  <c r="K4672" i="6"/>
  <c r="K4664" i="6"/>
  <c r="K4656" i="6"/>
  <c r="K4648" i="6"/>
  <c r="K4640" i="6"/>
  <c r="K4632" i="6"/>
  <c r="K4624" i="6"/>
  <c r="K4616" i="6"/>
  <c r="K4608" i="6"/>
  <c r="K4600" i="6"/>
  <c r="K4592" i="6"/>
  <c r="K4584" i="6"/>
  <c r="K4576" i="6"/>
  <c r="K4568" i="6"/>
  <c r="K4560" i="6"/>
  <c r="K4552" i="6"/>
  <c r="K4544" i="6"/>
  <c r="K4536" i="6"/>
  <c r="K4528" i="6"/>
  <c r="K4520" i="6"/>
  <c r="K4512" i="6"/>
  <c r="K4504" i="6"/>
  <c r="K4496" i="6"/>
  <c r="K4488" i="6"/>
  <c r="K4480" i="6"/>
  <c r="K4472" i="6"/>
  <c r="K4464" i="6"/>
  <c r="K4456" i="6"/>
  <c r="K4448" i="6"/>
  <c r="K4440" i="6"/>
  <c r="K4432" i="6"/>
  <c r="K4424" i="6"/>
  <c r="K4416" i="6"/>
  <c r="K4408" i="6"/>
  <c r="K4400" i="6"/>
  <c r="K4392" i="6"/>
  <c r="K4384" i="6"/>
  <c r="K4376" i="6"/>
  <c r="K4368" i="6"/>
  <c r="K4360" i="6"/>
  <c r="K4352" i="6"/>
  <c r="K4344" i="6"/>
  <c r="K4336" i="6"/>
  <c r="K4328" i="6"/>
  <c r="K4320" i="6"/>
  <c r="K4312" i="6"/>
  <c r="K4304" i="6"/>
  <c r="K4296" i="6"/>
  <c r="K4288" i="6"/>
  <c r="K4280" i="6"/>
  <c r="K4272" i="6"/>
  <c r="K4264" i="6"/>
  <c r="K4256" i="6"/>
  <c r="K4248" i="6"/>
  <c r="K4240" i="6"/>
  <c r="K4232" i="6"/>
  <c r="K4224" i="6"/>
  <c r="K4216" i="6"/>
  <c r="K4208" i="6"/>
  <c r="K4200" i="6"/>
  <c r="K4192" i="6"/>
  <c r="K4184" i="6"/>
  <c r="K4176" i="6"/>
  <c r="K4168" i="6"/>
  <c r="K4160" i="6"/>
  <c r="K4152" i="6"/>
  <c r="K4144" i="6"/>
  <c r="K4136" i="6"/>
  <c r="K4128" i="6"/>
  <c r="K4120" i="6"/>
  <c r="K4112" i="6"/>
  <c r="K4104" i="6"/>
  <c r="K4096" i="6"/>
  <c r="K4088" i="6"/>
  <c r="K4080" i="6"/>
  <c r="K4072" i="6"/>
  <c r="K4064" i="6"/>
  <c r="K4056" i="6"/>
  <c r="K4048" i="6"/>
  <c r="K4040" i="6"/>
  <c r="K4032" i="6"/>
  <c r="K4024" i="6"/>
  <c r="K4016" i="6"/>
  <c r="K4008" i="6"/>
  <c r="K4000" i="6"/>
  <c r="K3992" i="6"/>
  <c r="K3984" i="6"/>
  <c r="K3976" i="6"/>
  <c r="K3968" i="6"/>
  <c r="K3960" i="6"/>
  <c r="K3952" i="6"/>
  <c r="K3944" i="6"/>
  <c r="K3936" i="6"/>
  <c r="K3928" i="6"/>
  <c r="K3920" i="6"/>
  <c r="K3912" i="6"/>
  <c r="K3904" i="6"/>
  <c r="K3896" i="6"/>
  <c r="K3888" i="6"/>
  <c r="K3880" i="6"/>
  <c r="K3872" i="6"/>
  <c r="K3864" i="6"/>
  <c r="K3856" i="6"/>
  <c r="K3848" i="6"/>
  <c r="K3840" i="6"/>
  <c r="K3832" i="6"/>
  <c r="K3824" i="6"/>
  <c r="K3816" i="6"/>
  <c r="K3808" i="6"/>
  <c r="K3800" i="6"/>
  <c r="K3792" i="6"/>
  <c r="K3784" i="6"/>
  <c r="K3776" i="6"/>
  <c r="K3768" i="6"/>
  <c r="K3760" i="6"/>
  <c r="K3752" i="6"/>
  <c r="K3744" i="6"/>
  <c r="K3736" i="6"/>
  <c r="K3728" i="6"/>
  <c r="K3720" i="6"/>
  <c r="K3712" i="6"/>
  <c r="K3704" i="6"/>
  <c r="K3696" i="6"/>
  <c r="K3688" i="6"/>
  <c r="K3680" i="6"/>
  <c r="K3672" i="6"/>
  <c r="K3664" i="6"/>
  <c r="K3656" i="6"/>
  <c r="K3648" i="6"/>
  <c r="K3640" i="6"/>
  <c r="K3632" i="6"/>
  <c r="K3624" i="6"/>
  <c r="K3616" i="6"/>
  <c r="K3608" i="6"/>
  <c r="K3600" i="6"/>
  <c r="K3592" i="6"/>
  <c r="K3584" i="6"/>
  <c r="K3576" i="6"/>
  <c r="K3568" i="6"/>
  <c r="K3560" i="6"/>
  <c r="K3552" i="6"/>
  <c r="K3544" i="6"/>
  <c r="K3536" i="6"/>
  <c r="K3528" i="6"/>
  <c r="K3520" i="6"/>
  <c r="K3512" i="6"/>
  <c r="K3504" i="6"/>
  <c r="K3496" i="6"/>
  <c r="K3488" i="6"/>
  <c r="K3480" i="6"/>
  <c r="K3472" i="6"/>
  <c r="K3464" i="6"/>
  <c r="K3456" i="6"/>
  <c r="K3448" i="6"/>
  <c r="K3440" i="6"/>
  <c r="K3432" i="6"/>
  <c r="K3424" i="6"/>
  <c r="K3416" i="6"/>
  <c r="K3408" i="6"/>
  <c r="K3400" i="6"/>
  <c r="K3392" i="6"/>
  <c r="K3384" i="6"/>
  <c r="K3376" i="6"/>
  <c r="K3368" i="6"/>
  <c r="K3360" i="6"/>
  <c r="K3352" i="6"/>
  <c r="K3344" i="6"/>
  <c r="K3336" i="6"/>
  <c r="K3328" i="6"/>
  <c r="K3320" i="6"/>
  <c r="K3312" i="6"/>
  <c r="K3304" i="6"/>
  <c r="K3296" i="6"/>
  <c r="K3288" i="6"/>
  <c r="K3280" i="6"/>
  <c r="K3272" i="6"/>
  <c r="K3264" i="6"/>
  <c r="K3256" i="6"/>
  <c r="K3248" i="6"/>
  <c r="K3240" i="6"/>
  <c r="K3232" i="6"/>
  <c r="K3224" i="6"/>
  <c r="K3216" i="6"/>
  <c r="K3208" i="6"/>
  <c r="K3200" i="6"/>
  <c r="K3192" i="6"/>
  <c r="K3184" i="6"/>
  <c r="K3176" i="6"/>
  <c r="K3168" i="6"/>
  <c r="K3160" i="6"/>
  <c r="K3152" i="6"/>
  <c r="K3144" i="6"/>
  <c r="K3136" i="6"/>
  <c r="K3128" i="6"/>
  <c r="K3120" i="6"/>
  <c r="K3112" i="6"/>
  <c r="K3104" i="6"/>
  <c r="K3096" i="6"/>
  <c r="K3088" i="6"/>
  <c r="K3080" i="6"/>
  <c r="K3072" i="6"/>
  <c r="K3064" i="6"/>
  <c r="K3056" i="6"/>
  <c r="K3048" i="6"/>
  <c r="K3040" i="6"/>
  <c r="K3032" i="6"/>
  <c r="K3024" i="6"/>
  <c r="K3016" i="6"/>
  <c r="K3008" i="6"/>
  <c r="K3000" i="6"/>
  <c r="K2992" i="6"/>
  <c r="K2984" i="6"/>
  <c r="K2976" i="6"/>
  <c r="K2968" i="6"/>
  <c r="K2960" i="6"/>
  <c r="K2952" i="6"/>
  <c r="K2944" i="6"/>
  <c r="K2936" i="6"/>
  <c r="K2928" i="6"/>
  <c r="K2920" i="6"/>
  <c r="K2912" i="6"/>
  <c r="K2904" i="6"/>
  <c r="K2896" i="6"/>
  <c r="K2888" i="6"/>
  <c r="K2880" i="6"/>
  <c r="K2872" i="6"/>
  <c r="K2864" i="6"/>
  <c r="K2856" i="6"/>
  <c r="K2848" i="6"/>
  <c r="K2840" i="6"/>
  <c r="K2832" i="6"/>
  <c r="K2824" i="6"/>
  <c r="K2816" i="6"/>
  <c r="K2808" i="6"/>
  <c r="K2800" i="6"/>
  <c r="K2792" i="6"/>
  <c r="K2784" i="6"/>
  <c r="K2776" i="6"/>
  <c r="K2768" i="6"/>
  <c r="K2760" i="6"/>
  <c r="K2752" i="6"/>
  <c r="K2744" i="6"/>
  <c r="K2736" i="6"/>
  <c r="K2728" i="6"/>
  <c r="K2720" i="6"/>
  <c r="K2712" i="6"/>
  <c r="K2704" i="6"/>
  <c r="K2696" i="6"/>
  <c r="K2688" i="6"/>
  <c r="K2680" i="6"/>
  <c r="K2672" i="6"/>
  <c r="K2664" i="6"/>
  <c r="K2656" i="6"/>
  <c r="K2648" i="6"/>
  <c r="K2640" i="6"/>
  <c r="K2632" i="6"/>
  <c r="K2624" i="6"/>
  <c r="K2616" i="6"/>
  <c r="K2608" i="6"/>
  <c r="K2600" i="6"/>
  <c r="K2592" i="6"/>
  <c r="K2584" i="6"/>
  <c r="K2576" i="6"/>
  <c r="K2568" i="6"/>
  <c r="K2560" i="6"/>
  <c r="K2552" i="6"/>
  <c r="K2544" i="6"/>
  <c r="K2536" i="6"/>
  <c r="K2528" i="6"/>
  <c r="K2520" i="6"/>
  <c r="K2512" i="6"/>
  <c r="K2504" i="6"/>
  <c r="K2496" i="6"/>
  <c r="K2488" i="6"/>
  <c r="K2480" i="6"/>
  <c r="K2472" i="6"/>
  <c r="K2464" i="6"/>
  <c r="K2456" i="6"/>
  <c r="K2448" i="6"/>
  <c r="K2440" i="6"/>
  <c r="K2432" i="6"/>
  <c r="K2424" i="6"/>
  <c r="K2416" i="6"/>
  <c r="K2408" i="6"/>
  <c r="K2400" i="6"/>
  <c r="K2392" i="6"/>
  <c r="K2384" i="6"/>
  <c r="K2376" i="6"/>
  <c r="K2368" i="6"/>
  <c r="K2360" i="6"/>
  <c r="K2352" i="6"/>
  <c r="K2344" i="6"/>
  <c r="K2336" i="6"/>
  <c r="K2328" i="6"/>
  <c r="K2320" i="6"/>
  <c r="K2312" i="6"/>
  <c r="K2304" i="6"/>
  <c r="K2296" i="6"/>
  <c r="K2288" i="6"/>
  <c r="K2280" i="6"/>
  <c r="K2272" i="6"/>
  <c r="K2264" i="6"/>
  <c r="K2256" i="6"/>
  <c r="K2248" i="6"/>
  <c r="K2240" i="6"/>
  <c r="K2232" i="6"/>
  <c r="K2224" i="6"/>
  <c r="K2216" i="6"/>
  <c r="K2208" i="6"/>
  <c r="K2200" i="6"/>
  <c r="K2192" i="6"/>
  <c r="K2184" i="6"/>
  <c r="K2176" i="6"/>
  <c r="K2168" i="6"/>
  <c r="K2160" i="6"/>
  <c r="K2152" i="6"/>
  <c r="K2144" i="6"/>
  <c r="K2136" i="6"/>
  <c r="K2128" i="6"/>
  <c r="K2120" i="6"/>
  <c r="K2112" i="6"/>
  <c r="K2104" i="6"/>
  <c r="K2096" i="6"/>
  <c r="K2088" i="6"/>
  <c r="K2080" i="6"/>
  <c r="K2072" i="6"/>
  <c r="K2064" i="6"/>
  <c r="K2056" i="6"/>
  <c r="K2048" i="6"/>
  <c r="K2040" i="6"/>
  <c r="K2032" i="6"/>
  <c r="K2024" i="6"/>
  <c r="K2016" i="6"/>
  <c r="K2008" i="6"/>
  <c r="K2000" i="6"/>
  <c r="K1992" i="6"/>
  <c r="K1984" i="6"/>
  <c r="K1976" i="6"/>
  <c r="K1968" i="6"/>
  <c r="K1960" i="6"/>
  <c r="K1952" i="6"/>
  <c r="K1944" i="6"/>
  <c r="K1936" i="6"/>
  <c r="K1928" i="6"/>
  <c r="K1920" i="6"/>
  <c r="K1912" i="6"/>
  <c r="K1904" i="6"/>
  <c r="K1896" i="6"/>
  <c r="K1888" i="6"/>
  <c r="K1880" i="6"/>
  <c r="K1872" i="6"/>
  <c r="K1864" i="6"/>
  <c r="K1856" i="6"/>
  <c r="K1848" i="6"/>
  <c r="K1840" i="6"/>
  <c r="K1832" i="6"/>
  <c r="K1824" i="6"/>
  <c r="K1816" i="6"/>
  <c r="K1808" i="6"/>
  <c r="K1800" i="6"/>
  <c r="K1792" i="6"/>
  <c r="K1784" i="6"/>
  <c r="K1776" i="6"/>
  <c r="K1768" i="6"/>
  <c r="K1760" i="6"/>
  <c r="K1752" i="6"/>
  <c r="K1744" i="6"/>
  <c r="K1736" i="6"/>
  <c r="K1728" i="6"/>
  <c r="K1720" i="6"/>
  <c r="K1712" i="6"/>
  <c r="K1704" i="6"/>
  <c r="K1696" i="6"/>
  <c r="K1688" i="6"/>
  <c r="K1680" i="6"/>
  <c r="K1672" i="6"/>
  <c r="K1664" i="6"/>
  <c r="K1656" i="6"/>
  <c r="K1648" i="6"/>
  <c r="K1640" i="6"/>
  <c r="K1632" i="6"/>
  <c r="K1624" i="6"/>
  <c r="K1616" i="6"/>
  <c r="K1608" i="6"/>
  <c r="K1600" i="6"/>
  <c r="K1592" i="6"/>
  <c r="K1584" i="6"/>
  <c r="K1576" i="6"/>
  <c r="K1568" i="6"/>
  <c r="K1560" i="6"/>
  <c r="K1552" i="6"/>
  <c r="K1544" i="6"/>
  <c r="K1536" i="6"/>
  <c r="K1528" i="6"/>
  <c r="K1520" i="6"/>
  <c r="K1512" i="6"/>
  <c r="K1504" i="6"/>
  <c r="K1496" i="6"/>
  <c r="K1488" i="6"/>
  <c r="K1480" i="6"/>
  <c r="K1472" i="6"/>
  <c r="K1464" i="6"/>
  <c r="K1456" i="6"/>
  <c r="K1448" i="6"/>
  <c r="K1440" i="6"/>
  <c r="K1432" i="6"/>
  <c r="K1424" i="6"/>
  <c r="K1416" i="6"/>
  <c r="K1408" i="6"/>
  <c r="K1400" i="6"/>
  <c r="K1392" i="6"/>
  <c r="K1384" i="6"/>
  <c r="K1376" i="6"/>
  <c r="K1368" i="6"/>
  <c r="K1360" i="6"/>
  <c r="K1352" i="6"/>
  <c r="K1344" i="6"/>
  <c r="K1336" i="6"/>
  <c r="K1328" i="6"/>
  <c r="K1320" i="6"/>
  <c r="K1312" i="6"/>
  <c r="K1304" i="6"/>
  <c r="K1296" i="6"/>
  <c r="K1288" i="6"/>
  <c r="K1280" i="6"/>
  <c r="K1272" i="6"/>
  <c r="K1264" i="6"/>
  <c r="K1256" i="6"/>
  <c r="K1248" i="6"/>
  <c r="K1240" i="6"/>
  <c r="K1232" i="6"/>
  <c r="K1224" i="6"/>
  <c r="K1216" i="6"/>
  <c r="K1208" i="6"/>
  <c r="K1200" i="6"/>
  <c r="K1192" i="6"/>
  <c r="K1184" i="6"/>
  <c r="K1176" i="6"/>
  <c r="K1168" i="6"/>
  <c r="K1160" i="6"/>
  <c r="K1152" i="6"/>
  <c r="K1144" i="6"/>
  <c r="K1136" i="6"/>
  <c r="K1128" i="6"/>
  <c r="K1120" i="6"/>
  <c r="K1112" i="6"/>
  <c r="K1104" i="6"/>
  <c r="K1096" i="6"/>
  <c r="K1088" i="6"/>
  <c r="K1080" i="6"/>
  <c r="K1072" i="6"/>
  <c r="K1064" i="6"/>
  <c r="K1056" i="6"/>
  <c r="K1048" i="6"/>
  <c r="K1040" i="6"/>
  <c r="K1032" i="6"/>
  <c r="K1024" i="6"/>
  <c r="K1016" i="6"/>
  <c r="K1008" i="6"/>
  <c r="K1000" i="6"/>
  <c r="K992" i="6"/>
  <c r="K984" i="6"/>
  <c r="K976" i="6"/>
  <c r="K968" i="6"/>
  <c r="K960" i="6"/>
  <c r="K952" i="6"/>
  <c r="K944" i="6"/>
  <c r="K936" i="6"/>
  <c r="K928" i="6"/>
  <c r="K920" i="6"/>
  <c r="K912" i="6"/>
  <c r="K904" i="6"/>
  <c r="K896" i="6"/>
  <c r="K888" i="6"/>
  <c r="K880" i="6"/>
  <c r="K872" i="6"/>
  <c r="K864" i="6"/>
  <c r="K856" i="6"/>
  <c r="K848" i="6"/>
  <c r="K840" i="6"/>
  <c r="K832" i="6"/>
  <c r="K824" i="6"/>
  <c r="K816" i="6"/>
  <c r="K808" i="6"/>
  <c r="K800" i="6"/>
  <c r="K792" i="6"/>
  <c r="K784" i="6"/>
  <c r="K776" i="6"/>
  <c r="K768" i="6"/>
  <c r="K760" i="6"/>
  <c r="K752" i="6"/>
  <c r="K744" i="6"/>
  <c r="K736" i="6"/>
  <c r="K728" i="6"/>
  <c r="K720" i="6"/>
  <c r="K712" i="6"/>
  <c r="K704" i="6"/>
  <c r="K696" i="6"/>
  <c r="K688" i="6"/>
  <c r="K680" i="6"/>
  <c r="K672" i="6"/>
  <c r="K664" i="6"/>
  <c r="K656" i="6"/>
  <c r="K648" i="6"/>
  <c r="K640" i="6"/>
  <c r="K632" i="6"/>
  <c r="K624" i="6"/>
  <c r="K616" i="6"/>
  <c r="K608" i="6"/>
  <c r="K600" i="6"/>
  <c r="K592" i="6"/>
  <c r="K584" i="6"/>
  <c r="K576" i="6"/>
  <c r="K568" i="6"/>
  <c r="K560" i="6"/>
  <c r="K552" i="6"/>
  <c r="K544" i="6"/>
  <c r="K536" i="6"/>
  <c r="K528" i="6"/>
  <c r="K520" i="6"/>
  <c r="K512" i="6"/>
  <c r="K504" i="6"/>
  <c r="K496" i="6"/>
  <c r="K488" i="6"/>
  <c r="K480" i="6"/>
  <c r="K472" i="6"/>
  <c r="K464" i="6"/>
  <c r="K456" i="6"/>
  <c r="K448" i="6"/>
  <c r="K440" i="6"/>
  <c r="K432" i="6"/>
  <c r="K424" i="6"/>
  <c r="K416" i="6"/>
  <c r="K408" i="6"/>
  <c r="K400" i="6"/>
  <c r="K392" i="6"/>
  <c r="K384" i="6"/>
  <c r="K376" i="6"/>
  <c r="K368" i="6"/>
  <c r="K360" i="6"/>
  <c r="K352" i="6"/>
  <c r="K344" i="6"/>
  <c r="K336" i="6"/>
  <c r="K328" i="6"/>
  <c r="K320" i="6"/>
  <c r="K312" i="6"/>
  <c r="K326" i="6"/>
  <c r="K318" i="6"/>
  <c r="K310" i="6"/>
  <c r="K302" i="6"/>
  <c r="K294" i="6"/>
  <c r="K286" i="6"/>
  <c r="K278" i="6"/>
  <c r="K270" i="6"/>
  <c r="K262" i="6"/>
  <c r="K254" i="6"/>
  <c r="K246" i="6"/>
  <c r="K238" i="6"/>
  <c r="K230" i="6"/>
  <c r="K222" i="6"/>
  <c r="K206" i="6"/>
  <c r="K198" i="6"/>
  <c r="K190" i="6"/>
  <c r="K182" i="6"/>
  <c r="K174" i="6"/>
  <c r="K166" i="6"/>
  <c r="K158" i="6"/>
  <c r="K150" i="6"/>
  <c r="K142" i="6"/>
  <c r="K134" i="6"/>
  <c r="K126" i="6"/>
  <c r="K118" i="6"/>
  <c r="K110" i="6"/>
  <c r="K102" i="6"/>
  <c r="K94" i="6"/>
  <c r="K78" i="6"/>
  <c r="K70" i="6"/>
  <c r="K62" i="6"/>
  <c r="K54" i="6"/>
  <c r="K46" i="6"/>
  <c r="K38" i="6"/>
  <c r="K30" i="6"/>
  <c r="K22" i="6"/>
  <c r="K14" i="6"/>
  <c r="K6" i="6"/>
  <c r="K325" i="6"/>
  <c r="K317" i="6"/>
  <c r="K309" i="6"/>
  <c r="K301" i="6"/>
  <c r="K293" i="6"/>
  <c r="K285" i="6"/>
  <c r="K277" i="6"/>
  <c r="K269" i="6"/>
  <c r="K261" i="6"/>
  <c r="K253" i="6"/>
  <c r="K245" i="6"/>
  <c r="K237" i="6"/>
  <c r="K229" i="6"/>
  <c r="K221" i="6"/>
  <c r="K213" i="6"/>
  <c r="K205" i="6"/>
  <c r="K197" i="6"/>
  <c r="K189" i="6"/>
  <c r="K181" i="6"/>
  <c r="K173" i="6"/>
  <c r="K165" i="6"/>
  <c r="K157" i="6"/>
  <c r="K149" i="6"/>
  <c r="K141" i="6"/>
  <c r="K133" i="6"/>
  <c r="K125" i="6"/>
  <c r="K117" i="6"/>
  <c r="K109" i="6"/>
  <c r="K101" i="6"/>
  <c r="K93" i="6"/>
  <c r="K85" i="6"/>
  <c r="K77" i="6"/>
  <c r="K69" i="6"/>
  <c r="K61" i="6"/>
  <c r="K53" i="6"/>
  <c r="K45" i="6"/>
  <c r="K37" i="6"/>
  <c r="K29" i="6"/>
  <c r="K21" i="6"/>
  <c r="K13" i="6"/>
  <c r="K5" i="6"/>
  <c r="K291" i="6"/>
  <c r="K283" i="6"/>
  <c r="K275" i="6"/>
  <c r="K267" i="6"/>
  <c r="K259" i="6"/>
  <c r="K251" i="6"/>
  <c r="K243" i="6"/>
  <c r="K235" i="6"/>
  <c r="K227" i="6"/>
  <c r="K219" i="6"/>
  <c r="K211" i="6"/>
  <c r="K203" i="6"/>
  <c r="K195" i="6"/>
  <c r="K187" i="6"/>
  <c r="K179" i="6"/>
  <c r="K171" i="6"/>
  <c r="K163" i="6"/>
  <c r="K155" i="6"/>
  <c r="K147" i="6"/>
  <c r="K139" i="6"/>
  <c r="K131" i="6"/>
  <c r="K123" i="6"/>
  <c r="K115" i="6"/>
  <c r="K107" i="6"/>
  <c r="K99" i="6"/>
  <c r="K91" i="6"/>
  <c r="K83" i="6"/>
  <c r="K75" i="6"/>
  <c r="K67" i="6"/>
  <c r="K59" i="6"/>
  <c r="K51" i="6"/>
  <c r="K43" i="6"/>
  <c r="K35" i="6"/>
  <c r="K27" i="6"/>
  <c r="K19" i="6"/>
  <c r="K11" i="6"/>
  <c r="K3" i="6"/>
  <c r="M3" i="6" s="1"/>
  <c r="K322" i="6"/>
  <c r="K314" i="6"/>
  <c r="K306" i="6"/>
  <c r="K298" i="6"/>
  <c r="K290" i="6"/>
  <c r="K282" i="6"/>
  <c r="K274" i="6"/>
  <c r="K266" i="6"/>
  <c r="K258" i="6"/>
  <c r="K250" i="6"/>
  <c r="K242" i="6"/>
  <c r="K234" i="6"/>
  <c r="K226" i="6"/>
  <c r="K218" i="6"/>
  <c r="K210" i="6"/>
  <c r="K202" i="6"/>
  <c r="K194" i="6"/>
  <c r="K186" i="6"/>
  <c r="K178" i="6"/>
  <c r="K170" i="6"/>
  <c r="K162" i="6"/>
  <c r="K154" i="6"/>
  <c r="K146" i="6"/>
  <c r="K138" i="6"/>
  <c r="K130" i="6"/>
  <c r="K122" i="6"/>
  <c r="K114" i="6"/>
  <c r="K106" i="6"/>
  <c r="K98" i="6"/>
  <c r="K90" i="6"/>
  <c r="K82" i="6"/>
  <c r="K74" i="6"/>
  <c r="K66" i="6"/>
  <c r="K58" i="6"/>
  <c r="K50" i="6"/>
  <c r="K42" i="6"/>
  <c r="K34" i="6"/>
  <c r="K26" i="6"/>
  <c r="K18" i="6"/>
  <c r="K10" i="6"/>
  <c r="K313" i="6"/>
  <c r="K305" i="6"/>
  <c r="K297" i="6"/>
  <c r="K289" i="6"/>
  <c r="K281" i="6"/>
  <c r="K273" i="6"/>
  <c r="K265" i="6"/>
  <c r="K257" i="6"/>
  <c r="K249" i="6"/>
  <c r="K241" i="6"/>
  <c r="K233" i="6"/>
  <c r="K225" i="6"/>
  <c r="K217" i="6"/>
  <c r="K209" i="6"/>
  <c r="K201" i="6"/>
  <c r="K193" i="6"/>
  <c r="K185" i="6"/>
  <c r="K177" i="6"/>
  <c r="K169" i="6"/>
  <c r="K161" i="6"/>
  <c r="K153" i="6"/>
  <c r="K145" i="6"/>
  <c r="K137" i="6"/>
  <c r="K129" i="6"/>
  <c r="K121" i="6"/>
  <c r="K113" i="6"/>
  <c r="K105" i="6"/>
  <c r="K97" i="6"/>
  <c r="K89" i="6"/>
  <c r="K81" i="6"/>
  <c r="K73" i="6"/>
  <c r="K65" i="6"/>
  <c r="K57" i="6"/>
  <c r="K49" i="6"/>
  <c r="K41" i="6"/>
  <c r="K33" i="6"/>
  <c r="K25" i="6"/>
  <c r="K17" i="6"/>
  <c r="K9" i="6"/>
  <c r="K304" i="6"/>
  <c r="K296" i="6"/>
  <c r="K288" i="6"/>
  <c r="K280" i="6"/>
  <c r="K272" i="6"/>
  <c r="K264" i="6"/>
  <c r="K256" i="6"/>
  <c r="K248" i="6"/>
  <c r="K240" i="6"/>
  <c r="K232" i="6"/>
  <c r="K224" i="6"/>
  <c r="K216" i="6"/>
  <c r="K208" i="6"/>
  <c r="K200" i="6"/>
  <c r="K192" i="6"/>
  <c r="K184" i="6"/>
  <c r="K176" i="6"/>
  <c r="K168" i="6"/>
  <c r="K160" i="6"/>
  <c r="K152" i="6"/>
  <c r="K144" i="6"/>
  <c r="K136" i="6"/>
  <c r="K128" i="6"/>
  <c r="K120" i="6"/>
  <c r="K112" i="6"/>
  <c r="K104" i="6"/>
  <c r="K96" i="6"/>
  <c r="K88" i="6"/>
  <c r="K80" i="6"/>
  <c r="K72" i="6"/>
  <c r="K64" i="6"/>
  <c r="K56" i="6"/>
  <c r="K48" i="6"/>
  <c r="K40" i="6"/>
  <c r="K32" i="6"/>
  <c r="K24" i="6"/>
  <c r="K16" i="6"/>
  <c r="K8" i="6"/>
  <c r="K295" i="6"/>
  <c r="K287" i="6"/>
  <c r="K279" i="6"/>
  <c r="K271" i="6"/>
  <c r="K263" i="6"/>
  <c r="K255" i="6"/>
  <c r="K247" i="6"/>
  <c r="K239" i="6"/>
  <c r="K231" i="6"/>
  <c r="K223" i="6"/>
  <c r="K215" i="6"/>
  <c r="K207" i="6"/>
  <c r="K199" i="6"/>
  <c r="K191" i="6"/>
  <c r="K183" i="6"/>
  <c r="K175" i="6"/>
  <c r="K167" i="6"/>
  <c r="K159" i="6"/>
  <c r="K151" i="6"/>
  <c r="K143" i="6"/>
  <c r="K135" i="6"/>
  <c r="K127" i="6"/>
  <c r="K119" i="6"/>
  <c r="K111" i="6"/>
  <c r="K103" i="6"/>
  <c r="K95" i="6"/>
  <c r="K87" i="6"/>
  <c r="K79" i="6"/>
  <c r="K71" i="6"/>
  <c r="K63" i="6"/>
  <c r="K55" i="6"/>
  <c r="K47" i="6"/>
  <c r="K39" i="6"/>
  <c r="K31" i="6"/>
  <c r="K23" i="6"/>
  <c r="K15" i="6"/>
  <c r="K7" i="6"/>
  <c r="H155" i="11"/>
  <c r="H190" i="11"/>
  <c r="H257" i="11"/>
  <c r="H466" i="11"/>
  <c r="H106" i="11"/>
  <c r="H226" i="11"/>
  <c r="H306" i="11"/>
  <c r="H168" i="11"/>
  <c r="H175" i="11"/>
  <c r="H385" i="11"/>
  <c r="H185" i="11"/>
  <c r="H101" i="11"/>
  <c r="H177" i="11"/>
  <c r="H76" i="11"/>
  <c r="H188" i="11"/>
  <c r="H492" i="11"/>
  <c r="H356" i="11"/>
  <c r="H338" i="11"/>
  <c r="H390" i="11"/>
  <c r="H124" i="11"/>
  <c r="H212" i="11"/>
  <c r="H159" i="11"/>
  <c r="H406" i="11"/>
  <c r="H24" i="11"/>
  <c r="H320" i="11"/>
  <c r="H490" i="11"/>
  <c r="H309" i="11"/>
  <c r="H87" i="11"/>
  <c r="H296" i="11"/>
  <c r="H108" i="11"/>
  <c r="H52" i="11"/>
  <c r="H472" i="11"/>
  <c r="H129" i="11"/>
  <c r="H48" i="11"/>
  <c r="H383" i="11"/>
  <c r="H302" i="11"/>
  <c r="H128" i="11"/>
  <c r="H75" i="11"/>
  <c r="H318" i="11"/>
  <c r="H484" i="11"/>
  <c r="H343" i="11"/>
  <c r="H384" i="11"/>
  <c r="H307" i="11"/>
  <c r="H14" i="11"/>
  <c r="H268" i="11"/>
  <c r="H283" i="11"/>
  <c r="H152" i="11"/>
  <c r="H249" i="11"/>
  <c r="H451" i="11"/>
  <c r="H45" i="11"/>
  <c r="H13" i="11"/>
  <c r="H467" i="11"/>
  <c r="H122" i="11"/>
  <c r="H161" i="11"/>
  <c r="H140" i="11"/>
  <c r="H481" i="11"/>
  <c r="H471" i="11"/>
  <c r="H294" i="11"/>
  <c r="H15" i="11"/>
  <c r="H308" i="11"/>
  <c r="H398" i="11"/>
  <c r="H329" i="11"/>
  <c r="H102" i="11"/>
  <c r="H409" i="11"/>
  <c r="H12" i="11"/>
  <c r="H386" i="11"/>
  <c r="H319" i="11"/>
  <c r="H399" i="11"/>
  <c r="H404" i="11"/>
  <c r="H144" i="11"/>
  <c r="H313" i="11"/>
  <c r="H494" i="11"/>
  <c r="H88" i="11"/>
  <c r="H174" i="11"/>
  <c r="H196" i="11"/>
  <c r="H222" i="11"/>
  <c r="H153" i="11"/>
  <c r="H441" i="11"/>
  <c r="H426" i="11"/>
  <c r="H440" i="11"/>
  <c r="H223" i="11"/>
  <c r="H132" i="11"/>
  <c r="H455" i="11"/>
  <c r="H339" i="11"/>
  <c r="H113" i="11"/>
  <c r="H444" i="11"/>
  <c r="H381" i="11"/>
  <c r="H202" i="11"/>
  <c r="H22" i="11"/>
  <c r="H171" i="11"/>
  <c r="H247" i="11"/>
  <c r="H77" i="11"/>
  <c r="H194" i="11"/>
  <c r="H198" i="11"/>
  <c r="H355" i="11"/>
  <c r="H402" i="11"/>
  <c r="H221" i="11"/>
  <c r="H71" i="11"/>
  <c r="H165" i="11"/>
  <c r="H264" i="11"/>
  <c r="H121" i="11"/>
  <c r="H138" i="11"/>
  <c r="H50" i="11"/>
  <c r="H438" i="11"/>
  <c r="H463" i="11"/>
  <c r="H388" i="11"/>
  <c r="H361" i="11"/>
  <c r="H374" i="11"/>
  <c r="H458" i="11"/>
  <c r="H270" i="11"/>
  <c r="H237" i="11"/>
  <c r="H348" i="11"/>
  <c r="H447" i="11"/>
  <c r="H241" i="11"/>
  <c r="H485" i="11"/>
  <c r="H376" i="11"/>
  <c r="H156" i="11"/>
  <c r="H359" i="11"/>
  <c r="H182" i="11"/>
  <c r="H141" i="11"/>
  <c r="H431" i="11"/>
  <c r="H40" i="11"/>
  <c r="H344" i="11"/>
  <c r="H42" i="11"/>
  <c r="H495" i="11"/>
  <c r="H342" i="11"/>
  <c r="H90" i="11"/>
  <c r="H305" i="11"/>
  <c r="H78" i="11"/>
  <c r="H170" i="11"/>
  <c r="H254" i="11"/>
  <c r="H200" i="11"/>
  <c r="H231" i="11"/>
  <c r="H82" i="11"/>
  <c r="H351" i="11"/>
  <c r="H120" i="11"/>
  <c r="H279" i="11"/>
  <c r="H501" i="11"/>
  <c r="H47" i="11"/>
  <c r="H62" i="11"/>
  <c r="H163" i="11"/>
  <c r="H137" i="11"/>
  <c r="H53" i="11"/>
  <c r="H315" i="11"/>
  <c r="H452" i="11"/>
  <c r="H278" i="11"/>
  <c r="H208" i="11"/>
  <c r="H499" i="11"/>
  <c r="H197" i="11"/>
  <c r="H145" i="11"/>
  <c r="H261" i="11"/>
  <c r="H287" i="11"/>
  <c r="H219" i="11"/>
  <c r="H130" i="11"/>
  <c r="H148" i="11"/>
  <c r="H298" i="11"/>
  <c r="H272" i="11"/>
  <c r="H379" i="11"/>
  <c r="H64" i="11"/>
  <c r="H461" i="11"/>
  <c r="H205" i="11"/>
  <c r="H285" i="11"/>
  <c r="H97" i="11"/>
  <c r="H89" i="11"/>
  <c r="H104" i="11"/>
  <c r="H189" i="11"/>
  <c r="H4" i="11"/>
  <c r="H405" i="11"/>
  <c r="H46" i="11"/>
  <c r="H364" i="11"/>
  <c r="H265" i="11"/>
  <c r="H353" i="11"/>
  <c r="H149" i="11"/>
  <c r="H242" i="11"/>
  <c r="H91" i="11"/>
  <c r="H93" i="11"/>
  <c r="H260" i="11"/>
  <c r="H110" i="11"/>
  <c r="H311" i="11"/>
  <c r="H245" i="11"/>
  <c r="H445" i="11"/>
  <c r="H392" i="11"/>
  <c r="H256" i="11"/>
  <c r="H414" i="11"/>
  <c r="H5" i="11"/>
  <c r="H369" i="11"/>
  <c r="H460" i="11"/>
  <c r="H234" i="11"/>
  <c r="H498" i="11"/>
  <c r="H125" i="11"/>
  <c r="H119" i="11"/>
  <c r="H6" i="11"/>
  <c r="H235" i="11"/>
  <c r="H289" i="11"/>
  <c r="H434" i="11"/>
  <c r="H395" i="11"/>
  <c r="H210" i="11"/>
  <c r="H292" i="11"/>
  <c r="H275" i="11"/>
  <c r="H206" i="11"/>
  <c r="H408" i="11"/>
  <c r="H131" i="11"/>
  <c r="H18" i="11"/>
  <c r="H295" i="11"/>
  <c r="H81" i="11"/>
  <c r="H262" i="11"/>
  <c r="H375" i="11"/>
  <c r="H225" i="11"/>
  <c r="H251" i="11"/>
  <c r="H263" i="11"/>
  <c r="H489" i="11"/>
  <c r="H79" i="11"/>
  <c r="H139" i="11"/>
  <c r="H253" i="11"/>
  <c r="H8" i="11"/>
  <c r="H377" i="11"/>
  <c r="H59" i="11"/>
  <c r="H98" i="11"/>
  <c r="H230" i="11"/>
  <c r="H164" i="11"/>
  <c r="H84" i="11"/>
  <c r="H271" i="11"/>
  <c r="H239" i="11"/>
  <c r="H478" i="11"/>
  <c r="H453" i="11"/>
  <c r="H366" i="11"/>
  <c r="H203" i="11"/>
  <c r="H160" i="11"/>
  <c r="H136" i="11"/>
  <c r="H135" i="11"/>
  <c r="H86" i="11"/>
  <c r="H334" i="11"/>
  <c r="H345" i="11"/>
  <c r="H187" i="11"/>
  <c r="H55" i="11"/>
  <c r="H180" i="11"/>
  <c r="H483" i="11"/>
  <c r="H421" i="11"/>
  <c r="H413" i="11"/>
  <c r="H340" i="11"/>
  <c r="H63" i="11"/>
  <c r="H323" i="11"/>
  <c r="H439" i="11"/>
  <c r="H476" i="11"/>
  <c r="H57" i="11"/>
  <c r="H427" i="11"/>
  <c r="H346" i="11"/>
  <c r="H288" i="11"/>
  <c r="H382" i="11"/>
  <c r="H407" i="11"/>
  <c r="H290" i="11"/>
  <c r="H150" i="11"/>
  <c r="H146" i="11"/>
  <c r="H233" i="11"/>
  <c r="H336" i="11"/>
  <c r="H326" i="11"/>
  <c r="H112" i="11"/>
  <c r="H172" i="11"/>
  <c r="H372" i="11"/>
  <c r="H216" i="11"/>
  <c r="H95" i="11"/>
  <c r="H178" i="11"/>
  <c r="H310" i="11"/>
  <c r="H85" i="11"/>
  <c r="H133" i="11"/>
  <c r="H117" i="11"/>
  <c r="H154" i="11"/>
  <c r="H37" i="11"/>
  <c r="H126" i="11"/>
  <c r="H403" i="11"/>
  <c r="H204" i="11"/>
  <c r="H61" i="11"/>
  <c r="H314" i="11"/>
  <c r="H488" i="11"/>
  <c r="H321" i="11"/>
  <c r="H479" i="11"/>
  <c r="H360" i="11"/>
  <c r="H31" i="11"/>
  <c r="H486" i="11"/>
  <c r="H38" i="11"/>
  <c r="H127" i="11"/>
  <c r="H16" i="11"/>
  <c r="H209" i="11"/>
  <c r="H184" i="11"/>
  <c r="H32" i="11"/>
  <c r="H430" i="11"/>
  <c r="H54" i="11"/>
  <c r="H424" i="11"/>
  <c r="H192" i="11"/>
  <c r="H327" i="11"/>
  <c r="H380" i="11"/>
  <c r="H162" i="11"/>
  <c r="H65" i="11"/>
  <c r="H358" i="11"/>
  <c r="H28" i="11"/>
  <c r="H491" i="11"/>
  <c r="H349" i="11"/>
  <c r="H116" i="11"/>
  <c r="H195" i="11"/>
  <c r="H493" i="11"/>
  <c r="H332" i="11"/>
  <c r="H147" i="11"/>
  <c r="H100" i="11"/>
  <c r="H437" i="11"/>
  <c r="H487" i="11"/>
  <c r="H244" i="11"/>
  <c r="H211" i="11"/>
  <c r="H450" i="11"/>
  <c r="H43" i="11"/>
  <c r="H412" i="11"/>
  <c r="H11" i="11"/>
  <c r="H446" i="11"/>
  <c r="H362" i="11"/>
  <c r="H411" i="11"/>
  <c r="H259" i="11"/>
  <c r="H109" i="11"/>
  <c r="H236" i="11"/>
  <c r="H267" i="11"/>
  <c r="H417" i="11"/>
  <c r="H347" i="11"/>
  <c r="H229" i="11"/>
  <c r="H410" i="11"/>
  <c r="H477" i="11"/>
  <c r="H25" i="11"/>
  <c r="H27" i="11"/>
  <c r="H73" i="11"/>
  <c r="H19" i="11"/>
  <c r="H72" i="11"/>
  <c r="H391" i="11"/>
  <c r="H92" i="11"/>
  <c r="H134" i="11"/>
  <c r="H214" i="11"/>
  <c r="H363" i="11"/>
  <c r="H416" i="11"/>
  <c r="H176" i="11"/>
  <c r="H449" i="11"/>
  <c r="H69" i="11"/>
  <c r="H324" i="11"/>
  <c r="H103" i="11"/>
  <c r="H151" i="11"/>
  <c r="H387" i="11"/>
  <c r="H213" i="11"/>
  <c r="H299" i="11"/>
  <c r="H83" i="11"/>
  <c r="H67" i="11"/>
  <c r="H436" i="11"/>
  <c r="H217" i="11"/>
  <c r="H220" i="11"/>
  <c r="H282" i="11"/>
  <c r="H10" i="11"/>
  <c r="H371" i="11"/>
  <c r="H425" i="11"/>
  <c r="H181" i="11"/>
  <c r="H325" i="11"/>
  <c r="H462" i="11"/>
  <c r="H243" i="11"/>
  <c r="H397" i="11"/>
  <c r="H238" i="11"/>
  <c r="H341" i="11"/>
  <c r="H331" i="11"/>
  <c r="H123" i="11"/>
  <c r="H60" i="11"/>
  <c r="H35" i="11"/>
  <c r="H276" i="11"/>
  <c r="H297" i="11"/>
  <c r="H39" i="11"/>
  <c r="H337" i="11"/>
  <c r="H111" i="11"/>
  <c r="H368" i="11"/>
  <c r="H284" i="11"/>
  <c r="H396" i="11"/>
  <c r="H51" i="11"/>
  <c r="H370" i="11"/>
  <c r="H480" i="11"/>
  <c r="H335" i="11"/>
  <c r="H58" i="11"/>
  <c r="H33" i="11"/>
  <c r="H422" i="11"/>
  <c r="H429" i="11"/>
  <c r="H7" i="11"/>
  <c r="H280" i="11"/>
  <c r="H330" i="11"/>
  <c r="H420" i="11"/>
  <c r="H34" i="11"/>
  <c r="H328" i="11"/>
  <c r="H365" i="11"/>
  <c r="H215" i="11"/>
  <c r="H118" i="11"/>
  <c r="H367" i="11"/>
  <c r="H300" i="11"/>
  <c r="H115" i="11"/>
  <c r="H312" i="11"/>
  <c r="H26" i="11"/>
  <c r="H316" i="11"/>
  <c r="H286" i="11"/>
  <c r="H400" i="11"/>
  <c r="H255" i="11"/>
  <c r="H459" i="11"/>
  <c r="H80" i="11"/>
  <c r="H186" i="11"/>
  <c r="H428" i="11"/>
  <c r="H166" i="11"/>
  <c r="H273" i="11"/>
  <c r="H401" i="11"/>
  <c r="H373" i="11"/>
  <c r="H107" i="11"/>
  <c r="H191" i="11"/>
  <c r="H448" i="11"/>
  <c r="H193" i="11"/>
  <c r="H266" i="11"/>
  <c r="H183" i="11"/>
  <c r="H470" i="11"/>
  <c r="H465" i="11"/>
  <c r="H418" i="11"/>
  <c r="H44" i="11"/>
  <c r="H94" i="11"/>
  <c r="H56" i="11"/>
  <c r="H469" i="11"/>
  <c r="H419" i="11"/>
  <c r="H232" i="11"/>
  <c r="H443" i="11"/>
  <c r="H29" i="11"/>
  <c r="H157" i="11"/>
  <c r="H468" i="11"/>
  <c r="H143" i="11"/>
  <c r="H114" i="11"/>
  <c r="H389" i="11"/>
  <c r="H269" i="11"/>
  <c r="H322" i="11"/>
  <c r="H74" i="11"/>
  <c r="H224" i="11"/>
  <c r="H246" i="11"/>
  <c r="H41" i="11"/>
  <c r="H482" i="11"/>
  <c r="H454" i="11"/>
  <c r="H394" i="11"/>
  <c r="H17" i="11"/>
  <c r="H250" i="11"/>
  <c r="H274" i="11"/>
  <c r="H435" i="11"/>
  <c r="H354" i="11"/>
  <c r="H457" i="11"/>
  <c r="H474" i="11"/>
  <c r="H301" i="11"/>
  <c r="H70" i="11"/>
  <c r="H433" i="11"/>
  <c r="H30" i="11"/>
  <c r="H464" i="11"/>
  <c r="H432" i="11"/>
  <c r="H473" i="11"/>
  <c r="H293" i="11"/>
  <c r="H21" i="11"/>
  <c r="H142" i="11"/>
  <c r="H158" i="11"/>
  <c r="H248" i="11"/>
  <c r="H240" i="11"/>
  <c r="H179" i="11"/>
  <c r="H23" i="11"/>
  <c r="H199" i="11"/>
  <c r="H201" i="11"/>
  <c r="H333" i="11"/>
  <c r="H502" i="11"/>
  <c r="H475" i="11"/>
  <c r="H497" i="11"/>
  <c r="H496" i="11"/>
  <c r="H456" i="11"/>
  <c r="H9" i="11"/>
  <c r="H317" i="11"/>
  <c r="H36" i="11"/>
  <c r="H252" i="11"/>
  <c r="H218" i="11"/>
  <c r="H173" i="11"/>
  <c r="H415" i="11"/>
  <c r="H68" i="11"/>
  <c r="H423" i="11"/>
  <c r="H281" i="11"/>
  <c r="H228" i="11"/>
  <c r="H169" i="11"/>
  <c r="H442" i="11"/>
  <c r="H99" i="11"/>
  <c r="H291" i="11"/>
  <c r="H66" i="11"/>
  <c r="H350" i="11"/>
  <c r="H304" i="11"/>
  <c r="H500" i="11"/>
  <c r="H96" i="11"/>
  <c r="H378" i="11"/>
  <c r="H20" i="11"/>
  <c r="H227" i="11"/>
  <c r="H105" i="11"/>
  <c r="H167" i="11"/>
  <c r="H393" i="11"/>
  <c r="I219" i="11" l="1"/>
  <c r="K219" i="11" s="1"/>
  <c r="I335" i="11"/>
  <c r="I310" i="11"/>
  <c r="K310" i="11" s="1"/>
  <c r="I429" i="11"/>
  <c r="I86" i="11"/>
  <c r="I191" i="11"/>
  <c r="K191" i="11" s="1"/>
  <c r="I233" i="11"/>
  <c r="K233" i="11" s="1"/>
  <c r="I273" i="11"/>
  <c r="K273" i="11" s="1"/>
  <c r="I249" i="11"/>
  <c r="I76" i="11"/>
  <c r="I441" i="11"/>
  <c r="K441" i="11" s="1"/>
  <c r="I87" i="11"/>
  <c r="K87" i="11" s="1"/>
  <c r="I264" i="11"/>
  <c r="I431" i="11"/>
  <c r="K431" i="11" s="1"/>
  <c r="I204" i="11"/>
  <c r="K204" i="11" s="1"/>
  <c r="I261" i="11"/>
  <c r="K261" i="11" s="1"/>
  <c r="I272" i="11"/>
  <c r="I296" i="11"/>
  <c r="I108" i="11"/>
  <c r="K108" i="11" s="1"/>
  <c r="I417" i="11"/>
  <c r="K417" i="11" s="1"/>
  <c r="I466" i="11"/>
  <c r="K466" i="11" s="1"/>
  <c r="I144" i="11"/>
  <c r="K144" i="11" s="1"/>
  <c r="I53" i="11"/>
  <c r="K53" i="11" s="1"/>
  <c r="I375" i="11"/>
  <c r="K375" i="11" s="1"/>
  <c r="I437" i="11"/>
  <c r="I189" i="11"/>
  <c r="I495" i="11"/>
  <c r="K495" i="11" s="1"/>
  <c r="I64" i="11"/>
  <c r="I340" i="11"/>
  <c r="K340" i="11" s="1"/>
  <c r="I445" i="11"/>
  <c r="K445" i="11" s="1"/>
  <c r="I89" i="11"/>
  <c r="K89" i="11" s="1"/>
  <c r="I352" i="11"/>
  <c r="K352" i="11" s="1"/>
  <c r="I292" i="11"/>
  <c r="I222" i="11"/>
  <c r="K222" i="11" s="1"/>
  <c r="I288" i="11"/>
  <c r="K288" i="11" s="1"/>
  <c r="I140" i="11"/>
  <c r="I156" i="11"/>
  <c r="K156" i="11" s="1"/>
  <c r="I90" i="11"/>
  <c r="K90" i="11" s="1"/>
  <c r="I498" i="11"/>
  <c r="K498" i="11" s="1"/>
  <c r="I24" i="11"/>
  <c r="K24" i="11" s="1"/>
  <c r="I298" i="11"/>
  <c r="I4" i="11"/>
  <c r="K4" i="11" s="1"/>
  <c r="I376" i="11"/>
  <c r="K376" i="11" s="1"/>
  <c r="I303" i="11"/>
  <c r="K303" i="11" s="1"/>
  <c r="I200" i="11"/>
  <c r="I8" i="11"/>
  <c r="K8" i="11" s="1"/>
  <c r="I271" i="11"/>
  <c r="K271" i="11" s="1"/>
  <c r="I239" i="11"/>
  <c r="K239" i="11" s="1"/>
  <c r="I95" i="11"/>
  <c r="K95" i="11" s="1"/>
  <c r="I389" i="11"/>
  <c r="I278" i="11"/>
  <c r="K278" i="11" s="1"/>
  <c r="I241" i="11"/>
  <c r="K241" i="11" s="1"/>
  <c r="I32" i="11"/>
  <c r="I316" i="11"/>
  <c r="K316" i="11" s="1"/>
  <c r="I312" i="11"/>
  <c r="K312" i="11" s="1"/>
  <c r="I111" i="11"/>
  <c r="K111" i="11" s="1"/>
  <c r="I424" i="11"/>
  <c r="I378" i="11"/>
  <c r="I442" i="11"/>
  <c r="K442" i="11" s="1"/>
  <c r="I218" i="11"/>
  <c r="K218" i="11" s="1"/>
  <c r="I274" i="11"/>
  <c r="K274" i="11" s="1"/>
  <c r="I157" i="11"/>
  <c r="K157" i="11" s="1"/>
  <c r="I80" i="11"/>
  <c r="K80" i="11" s="1"/>
  <c r="I54" i="11"/>
  <c r="K54" i="11" s="1"/>
  <c r="I306" i="11"/>
  <c r="K306" i="11" s="1"/>
  <c r="I418" i="11"/>
  <c r="K418" i="11" s="1"/>
  <c r="I423" i="11"/>
  <c r="K423" i="11" s="1"/>
  <c r="I199" i="11"/>
  <c r="K199" i="11" s="1"/>
  <c r="I215" i="11"/>
  <c r="K215" i="11" s="1"/>
  <c r="I134" i="11"/>
  <c r="K134" i="11" s="1"/>
  <c r="I196" i="11"/>
  <c r="K196" i="11" s="1"/>
  <c r="I36" i="11"/>
  <c r="K36" i="11" s="1"/>
  <c r="I450" i="11"/>
  <c r="K450" i="11" s="1"/>
  <c r="I150" i="11"/>
  <c r="K150" i="11" s="1"/>
  <c r="I79" i="11"/>
  <c r="K79" i="11" s="1"/>
  <c r="I295" i="11"/>
  <c r="K295" i="11" s="1"/>
  <c r="I66" i="11"/>
  <c r="K66" i="11" s="1"/>
  <c r="I365" i="11"/>
  <c r="K365" i="11" s="1"/>
  <c r="I289" i="11"/>
  <c r="K289" i="11" s="1"/>
  <c r="I132" i="11"/>
  <c r="K132" i="11" s="1"/>
  <c r="I385" i="11"/>
  <c r="K385" i="11" s="1"/>
  <c r="I487" i="11"/>
  <c r="K487" i="11" s="1"/>
  <c r="I314" i="11"/>
  <c r="K314" i="11" s="1"/>
  <c r="I408" i="11"/>
  <c r="I260" i="11"/>
  <c r="K260" i="11" s="1"/>
  <c r="I20" i="11"/>
  <c r="K20" i="11" s="1"/>
  <c r="I240" i="11"/>
  <c r="K240" i="11" s="1"/>
  <c r="I120" i="11"/>
  <c r="K120" i="11" s="1"/>
  <c r="I493" i="11"/>
  <c r="I454" i="11"/>
  <c r="I490" i="11"/>
  <c r="K490" i="11" s="1"/>
  <c r="I129" i="11"/>
  <c r="I175" i="11"/>
  <c r="I180" i="11"/>
  <c r="K180" i="11" s="1"/>
  <c r="I183" i="11"/>
  <c r="K183" i="11" s="1"/>
  <c r="I103" i="11"/>
  <c r="K103" i="11" s="1"/>
  <c r="I22" i="11"/>
  <c r="I497" i="11"/>
  <c r="K497" i="11" s="1"/>
  <c r="I186" i="11"/>
  <c r="K186" i="11" s="1"/>
  <c r="I72" i="11"/>
  <c r="I332" i="11"/>
  <c r="I146" i="11"/>
  <c r="K146" i="11" s="1"/>
  <c r="I301" i="11"/>
  <c r="K301" i="11" s="1"/>
  <c r="I109" i="11"/>
  <c r="K109" i="11" s="1"/>
  <c r="I167" i="11"/>
  <c r="K167" i="11" s="1"/>
  <c r="I396" i="11"/>
  <c r="K396" i="11" s="1"/>
  <c r="I217" i="11"/>
  <c r="K217" i="11" s="1"/>
  <c r="I477" i="11"/>
  <c r="I209" i="11"/>
  <c r="K209" i="11" s="1"/>
  <c r="I485" i="11"/>
  <c r="I201" i="11"/>
  <c r="K201" i="11" s="1"/>
  <c r="I105" i="11"/>
  <c r="K105" i="11" s="1"/>
  <c r="I23" i="11"/>
  <c r="I457" i="11"/>
  <c r="K457" i="11" s="1"/>
  <c r="I266" i="11"/>
  <c r="K266" i="11" s="1"/>
  <c r="I116" i="11"/>
  <c r="I327" i="11"/>
  <c r="K327" i="11" s="1"/>
  <c r="I323" i="11"/>
  <c r="K323" i="11" s="1"/>
  <c r="I501" i="11"/>
  <c r="K501" i="11" s="1"/>
  <c r="I6" i="11"/>
  <c r="K6" i="11" s="1"/>
  <c r="I158" i="11"/>
  <c r="K158" i="11" s="1"/>
  <c r="I433" i="11"/>
  <c r="K433" i="11" s="1"/>
  <c r="I74" i="11"/>
  <c r="K74" i="11" s="1"/>
  <c r="U3" i="5"/>
  <c r="U11" i="5"/>
  <c r="U19" i="5"/>
  <c r="U27" i="5"/>
  <c r="U35" i="5"/>
  <c r="U43" i="5"/>
  <c r="U51" i="5"/>
  <c r="U59" i="5"/>
  <c r="U67" i="5"/>
  <c r="U75" i="5"/>
  <c r="U83" i="5"/>
  <c r="U91" i="5"/>
  <c r="U99" i="5"/>
  <c r="U107" i="5"/>
  <c r="U115" i="5"/>
  <c r="U123" i="5"/>
  <c r="U131" i="5"/>
  <c r="U139" i="5"/>
  <c r="U147" i="5"/>
  <c r="U155" i="5"/>
  <c r="U163" i="5"/>
  <c r="U171" i="5"/>
  <c r="U179" i="5"/>
  <c r="U187" i="5"/>
  <c r="U195" i="5"/>
  <c r="U203" i="5"/>
  <c r="U211" i="5"/>
  <c r="U219" i="5"/>
  <c r="U227" i="5"/>
  <c r="U235" i="5"/>
  <c r="U243" i="5"/>
  <c r="U251" i="5"/>
  <c r="U259" i="5"/>
  <c r="U267" i="5"/>
  <c r="U275" i="5"/>
  <c r="U283" i="5"/>
  <c r="U291" i="5"/>
  <c r="U299" i="5"/>
  <c r="U307" i="5"/>
  <c r="U315" i="5"/>
  <c r="U323" i="5"/>
  <c r="U331" i="5"/>
  <c r="U339" i="5"/>
  <c r="U347" i="5"/>
  <c r="U355" i="5"/>
  <c r="U363" i="5"/>
  <c r="U371" i="5"/>
  <c r="U379" i="5"/>
  <c r="U387" i="5"/>
  <c r="U395" i="5"/>
  <c r="U403" i="5"/>
  <c r="U411" i="5"/>
  <c r="U419" i="5"/>
  <c r="U427" i="5"/>
  <c r="U435" i="5"/>
  <c r="U443" i="5"/>
  <c r="U451" i="5"/>
  <c r="U459" i="5"/>
  <c r="U467" i="5"/>
  <c r="U475" i="5"/>
  <c r="U483" i="5"/>
  <c r="U491" i="5"/>
  <c r="U499" i="5"/>
  <c r="U507" i="5"/>
  <c r="U515" i="5"/>
  <c r="U523" i="5"/>
  <c r="U531" i="5"/>
  <c r="U539" i="5"/>
  <c r="U547" i="5"/>
  <c r="U555" i="5"/>
  <c r="U563" i="5"/>
  <c r="U571" i="5"/>
  <c r="U579" i="5"/>
  <c r="U587" i="5"/>
  <c r="U595" i="5"/>
  <c r="U603" i="5"/>
  <c r="U611" i="5"/>
  <c r="U619" i="5"/>
  <c r="U627" i="5"/>
  <c r="U635" i="5"/>
  <c r="U643" i="5"/>
  <c r="U651" i="5"/>
  <c r="U659" i="5"/>
  <c r="U667" i="5"/>
  <c r="U675" i="5"/>
  <c r="U4" i="5"/>
  <c r="U12" i="5"/>
  <c r="U20" i="5"/>
  <c r="U28" i="5"/>
  <c r="U36" i="5"/>
  <c r="U44" i="5"/>
  <c r="U52" i="5"/>
  <c r="U60" i="5"/>
  <c r="U68" i="5"/>
  <c r="U76" i="5"/>
  <c r="U84" i="5"/>
  <c r="U92" i="5"/>
  <c r="U100" i="5"/>
  <c r="U108" i="5"/>
  <c r="U116" i="5"/>
  <c r="U124" i="5"/>
  <c r="U132" i="5"/>
  <c r="U140" i="5"/>
  <c r="U148" i="5"/>
  <c r="U156" i="5"/>
  <c r="U164" i="5"/>
  <c r="U172" i="5"/>
  <c r="U180" i="5"/>
  <c r="U188" i="5"/>
  <c r="U196" i="5"/>
  <c r="U204" i="5"/>
  <c r="U212" i="5"/>
  <c r="U220" i="5"/>
  <c r="U228" i="5"/>
  <c r="U236" i="5"/>
  <c r="U244" i="5"/>
  <c r="U252" i="5"/>
  <c r="U260" i="5"/>
  <c r="U268" i="5"/>
  <c r="U276" i="5"/>
  <c r="U284" i="5"/>
  <c r="U292" i="5"/>
  <c r="U300" i="5"/>
  <c r="U308" i="5"/>
  <c r="U316" i="5"/>
  <c r="U324" i="5"/>
  <c r="U332" i="5"/>
  <c r="U340" i="5"/>
  <c r="U348" i="5"/>
  <c r="U356" i="5"/>
  <c r="U364" i="5"/>
  <c r="U372" i="5"/>
  <c r="U380" i="5"/>
  <c r="U388" i="5"/>
  <c r="U396" i="5"/>
  <c r="U404" i="5"/>
  <c r="U412" i="5"/>
  <c r="U420" i="5"/>
  <c r="U428" i="5"/>
  <c r="U436" i="5"/>
  <c r="U444" i="5"/>
  <c r="U452" i="5"/>
  <c r="U460" i="5"/>
  <c r="U468" i="5"/>
  <c r="U476" i="5"/>
  <c r="U484" i="5"/>
  <c r="U492" i="5"/>
  <c r="U500" i="5"/>
  <c r="U508" i="5"/>
  <c r="U516" i="5"/>
  <c r="U524" i="5"/>
  <c r="U532" i="5"/>
  <c r="U540" i="5"/>
  <c r="U548" i="5"/>
  <c r="U556" i="5"/>
  <c r="U564" i="5"/>
  <c r="U572" i="5"/>
  <c r="U580" i="5"/>
  <c r="U588" i="5"/>
  <c r="U596" i="5"/>
  <c r="U604" i="5"/>
  <c r="U612" i="5"/>
  <c r="U620" i="5"/>
  <c r="U628" i="5"/>
  <c r="U636" i="5"/>
  <c r="U644" i="5"/>
  <c r="U652" i="5"/>
  <c r="U660" i="5"/>
  <c r="U5" i="5"/>
  <c r="U13" i="5"/>
  <c r="U21" i="5"/>
  <c r="U29" i="5"/>
  <c r="U37" i="5"/>
  <c r="U45" i="5"/>
  <c r="U53" i="5"/>
  <c r="U61" i="5"/>
  <c r="U69" i="5"/>
  <c r="U77" i="5"/>
  <c r="U85" i="5"/>
  <c r="U93" i="5"/>
  <c r="U101" i="5"/>
  <c r="U109" i="5"/>
  <c r="U117" i="5"/>
  <c r="U125" i="5"/>
  <c r="U133" i="5"/>
  <c r="U141" i="5"/>
  <c r="U149" i="5"/>
  <c r="U157" i="5"/>
  <c r="U165" i="5"/>
  <c r="U173" i="5"/>
  <c r="U181" i="5"/>
  <c r="U189" i="5"/>
  <c r="U197" i="5"/>
  <c r="U205" i="5"/>
  <c r="U213" i="5"/>
  <c r="U221" i="5"/>
  <c r="U229" i="5"/>
  <c r="U237" i="5"/>
  <c r="U245" i="5"/>
  <c r="U253" i="5"/>
  <c r="U261" i="5"/>
  <c r="U269" i="5"/>
  <c r="U277" i="5"/>
  <c r="U285" i="5"/>
  <c r="U293" i="5"/>
  <c r="U301" i="5"/>
  <c r="U309" i="5"/>
  <c r="U317" i="5"/>
  <c r="U325" i="5"/>
  <c r="U333" i="5"/>
  <c r="U341" i="5"/>
  <c r="U349" i="5"/>
  <c r="U357" i="5"/>
  <c r="U365" i="5"/>
  <c r="U373" i="5"/>
  <c r="U381" i="5"/>
  <c r="U389" i="5"/>
  <c r="U397" i="5"/>
  <c r="U405" i="5"/>
  <c r="U413" i="5"/>
  <c r="U421" i="5"/>
  <c r="U429" i="5"/>
  <c r="U437" i="5"/>
  <c r="U445" i="5"/>
  <c r="U453" i="5"/>
  <c r="U461" i="5"/>
  <c r="U469" i="5"/>
  <c r="U477" i="5"/>
  <c r="U485" i="5"/>
  <c r="U493" i="5"/>
  <c r="U501" i="5"/>
  <c r="U509" i="5"/>
  <c r="U517" i="5"/>
  <c r="U525" i="5"/>
  <c r="U533" i="5"/>
  <c r="U541" i="5"/>
  <c r="U549" i="5"/>
  <c r="U557" i="5"/>
  <c r="U565" i="5"/>
  <c r="U573" i="5"/>
  <c r="U581" i="5"/>
  <c r="U589" i="5"/>
  <c r="U597" i="5"/>
  <c r="U605" i="5"/>
  <c r="U613" i="5"/>
  <c r="U621" i="5"/>
  <c r="U629" i="5"/>
  <c r="U637" i="5"/>
  <c r="U645" i="5"/>
  <c r="U653" i="5"/>
  <c r="U661" i="5"/>
  <c r="U669" i="5"/>
  <c r="U677" i="5"/>
  <c r="U6" i="5"/>
  <c r="U14" i="5"/>
  <c r="U22" i="5"/>
  <c r="U30" i="5"/>
  <c r="U38" i="5"/>
  <c r="U46" i="5"/>
  <c r="U54" i="5"/>
  <c r="U62" i="5"/>
  <c r="U70" i="5"/>
  <c r="U78" i="5"/>
  <c r="U86" i="5"/>
  <c r="U94" i="5"/>
  <c r="U102" i="5"/>
  <c r="U110" i="5"/>
  <c r="U118" i="5"/>
  <c r="U126" i="5"/>
  <c r="U134" i="5"/>
  <c r="U142" i="5"/>
  <c r="U150" i="5"/>
  <c r="U158" i="5"/>
  <c r="U166" i="5"/>
  <c r="U174" i="5"/>
  <c r="U182" i="5"/>
  <c r="U190" i="5"/>
  <c r="U198" i="5"/>
  <c r="U206" i="5"/>
  <c r="U214" i="5"/>
  <c r="U222" i="5"/>
  <c r="U230" i="5"/>
  <c r="U238" i="5"/>
  <c r="U246" i="5"/>
  <c r="U254" i="5"/>
  <c r="U262" i="5"/>
  <c r="U270" i="5"/>
  <c r="U278" i="5"/>
  <c r="U286" i="5"/>
  <c r="U294" i="5"/>
  <c r="U302" i="5"/>
  <c r="U310" i="5"/>
  <c r="U318" i="5"/>
  <c r="U326" i="5"/>
  <c r="U334" i="5"/>
  <c r="U342" i="5"/>
  <c r="U350" i="5"/>
  <c r="U358" i="5"/>
  <c r="U366" i="5"/>
  <c r="U374" i="5"/>
  <c r="U382" i="5"/>
  <c r="U390" i="5"/>
  <c r="U398" i="5"/>
  <c r="U406" i="5"/>
  <c r="U414" i="5"/>
  <c r="U422" i="5"/>
  <c r="U430" i="5"/>
  <c r="U438" i="5"/>
  <c r="U446" i="5"/>
  <c r="U454" i="5"/>
  <c r="U462" i="5"/>
  <c r="U470" i="5"/>
  <c r="U478" i="5"/>
  <c r="U486" i="5"/>
  <c r="U494" i="5"/>
  <c r="U502" i="5"/>
  <c r="U510" i="5"/>
  <c r="U518" i="5"/>
  <c r="U526" i="5"/>
  <c r="U534" i="5"/>
  <c r="U542" i="5"/>
  <c r="U550" i="5"/>
  <c r="U558" i="5"/>
  <c r="U566" i="5"/>
  <c r="U574" i="5"/>
  <c r="U582" i="5"/>
  <c r="U590" i="5"/>
  <c r="U598" i="5"/>
  <c r="U606" i="5"/>
  <c r="U614" i="5"/>
  <c r="U622" i="5"/>
  <c r="U630" i="5"/>
  <c r="U638" i="5"/>
  <c r="U646" i="5"/>
  <c r="U654" i="5"/>
  <c r="U662" i="5"/>
  <c r="U670" i="5"/>
  <c r="U7" i="5"/>
  <c r="U15" i="5"/>
  <c r="U23" i="5"/>
  <c r="U31" i="5"/>
  <c r="U39" i="5"/>
  <c r="U47" i="5"/>
  <c r="U55" i="5"/>
  <c r="U63" i="5"/>
  <c r="U71" i="5"/>
  <c r="U79" i="5"/>
  <c r="U87" i="5"/>
  <c r="U95" i="5"/>
  <c r="U103" i="5"/>
  <c r="U111" i="5"/>
  <c r="U119" i="5"/>
  <c r="U127" i="5"/>
  <c r="U135" i="5"/>
  <c r="U143" i="5"/>
  <c r="U151" i="5"/>
  <c r="U159" i="5"/>
  <c r="U167" i="5"/>
  <c r="U175" i="5"/>
  <c r="U183" i="5"/>
  <c r="U191" i="5"/>
  <c r="U199" i="5"/>
  <c r="U207" i="5"/>
  <c r="U215" i="5"/>
  <c r="U223" i="5"/>
  <c r="U231" i="5"/>
  <c r="U239" i="5"/>
  <c r="U247" i="5"/>
  <c r="U255" i="5"/>
  <c r="U263" i="5"/>
  <c r="U271" i="5"/>
  <c r="U279" i="5"/>
  <c r="U287" i="5"/>
  <c r="U295" i="5"/>
  <c r="U303" i="5"/>
  <c r="U311" i="5"/>
  <c r="U319" i="5"/>
  <c r="U327" i="5"/>
  <c r="U335" i="5"/>
  <c r="U343" i="5"/>
  <c r="U351" i="5"/>
  <c r="U359" i="5"/>
  <c r="U367" i="5"/>
  <c r="U375" i="5"/>
  <c r="U383" i="5"/>
  <c r="U391" i="5"/>
  <c r="U399" i="5"/>
  <c r="U407" i="5"/>
  <c r="U415" i="5"/>
  <c r="U423" i="5"/>
  <c r="U431" i="5"/>
  <c r="U439" i="5"/>
  <c r="U447" i="5"/>
  <c r="U455" i="5"/>
  <c r="U463" i="5"/>
  <c r="U471" i="5"/>
  <c r="U479" i="5"/>
  <c r="U487" i="5"/>
  <c r="U495" i="5"/>
  <c r="U503" i="5"/>
  <c r="U511" i="5"/>
  <c r="U519" i="5"/>
  <c r="U527" i="5"/>
  <c r="U535" i="5"/>
  <c r="U543" i="5"/>
  <c r="U551" i="5"/>
  <c r="U559" i="5"/>
  <c r="U567" i="5"/>
  <c r="U575" i="5"/>
  <c r="U583" i="5"/>
  <c r="U591" i="5"/>
  <c r="U599" i="5"/>
  <c r="U607" i="5"/>
  <c r="U615" i="5"/>
  <c r="U623" i="5"/>
  <c r="U631" i="5"/>
  <c r="U639" i="5"/>
  <c r="U647" i="5"/>
  <c r="U655" i="5"/>
  <c r="U663" i="5"/>
  <c r="U671" i="5"/>
  <c r="U8" i="5"/>
  <c r="U16" i="5"/>
  <c r="U24" i="5"/>
  <c r="U32" i="5"/>
  <c r="U40" i="5"/>
  <c r="U48" i="5"/>
  <c r="U56" i="5"/>
  <c r="U64" i="5"/>
  <c r="U72" i="5"/>
  <c r="U80" i="5"/>
  <c r="U88" i="5"/>
  <c r="U96" i="5"/>
  <c r="U104" i="5"/>
  <c r="U112" i="5"/>
  <c r="U120" i="5"/>
  <c r="U128" i="5"/>
  <c r="U136" i="5"/>
  <c r="U144" i="5"/>
  <c r="U152" i="5"/>
  <c r="U160" i="5"/>
  <c r="U168" i="5"/>
  <c r="U176" i="5"/>
  <c r="U184" i="5"/>
  <c r="U192" i="5"/>
  <c r="U200" i="5"/>
  <c r="U208" i="5"/>
  <c r="U216" i="5"/>
  <c r="U224" i="5"/>
  <c r="U232" i="5"/>
  <c r="U240" i="5"/>
  <c r="U248" i="5"/>
  <c r="U256" i="5"/>
  <c r="U264" i="5"/>
  <c r="U272" i="5"/>
  <c r="U280" i="5"/>
  <c r="U288" i="5"/>
  <c r="U296" i="5"/>
  <c r="U304" i="5"/>
  <c r="U312" i="5"/>
  <c r="U320" i="5"/>
  <c r="U328" i="5"/>
  <c r="U336" i="5"/>
  <c r="U344" i="5"/>
  <c r="U352" i="5"/>
  <c r="U360" i="5"/>
  <c r="U368" i="5"/>
  <c r="U376" i="5"/>
  <c r="U384" i="5"/>
  <c r="U392" i="5"/>
  <c r="U400" i="5"/>
  <c r="U408" i="5"/>
  <c r="U416" i="5"/>
  <c r="U424" i="5"/>
  <c r="U432" i="5"/>
  <c r="U440" i="5"/>
  <c r="U448" i="5"/>
  <c r="U456" i="5"/>
  <c r="U464" i="5"/>
  <c r="U472" i="5"/>
  <c r="U480" i="5"/>
  <c r="U488" i="5"/>
  <c r="U496" i="5"/>
  <c r="U504" i="5"/>
  <c r="U512" i="5"/>
  <c r="U520" i="5"/>
  <c r="U528" i="5"/>
  <c r="U536" i="5"/>
  <c r="U544" i="5"/>
  <c r="U552" i="5"/>
  <c r="U560" i="5"/>
  <c r="U568" i="5"/>
  <c r="U576" i="5"/>
  <c r="U584" i="5"/>
  <c r="U592" i="5"/>
  <c r="U600" i="5"/>
  <c r="U608" i="5"/>
  <c r="U616" i="5"/>
  <c r="U624" i="5"/>
  <c r="U632" i="5"/>
  <c r="U640" i="5"/>
  <c r="U648" i="5"/>
  <c r="U656" i="5"/>
  <c r="U664" i="5"/>
  <c r="U672" i="5"/>
  <c r="U9" i="5"/>
  <c r="U10" i="5"/>
  <c r="U18" i="5"/>
  <c r="U26" i="5"/>
  <c r="U34" i="5"/>
  <c r="U42" i="5"/>
  <c r="U50" i="5"/>
  <c r="U58" i="5"/>
  <c r="U66" i="5"/>
  <c r="U74" i="5"/>
  <c r="U82" i="5"/>
  <c r="U90" i="5"/>
  <c r="U98" i="5"/>
  <c r="U106" i="5"/>
  <c r="U114" i="5"/>
  <c r="U122" i="5"/>
  <c r="U130" i="5"/>
  <c r="U138" i="5"/>
  <c r="U146" i="5"/>
  <c r="U154" i="5"/>
  <c r="U162" i="5"/>
  <c r="U170" i="5"/>
  <c r="U178" i="5"/>
  <c r="U186" i="5"/>
  <c r="U194" i="5"/>
  <c r="U202" i="5"/>
  <c r="U210" i="5"/>
  <c r="U218" i="5"/>
  <c r="U226" i="5"/>
  <c r="U234" i="5"/>
  <c r="U242" i="5"/>
  <c r="U250" i="5"/>
  <c r="U258" i="5"/>
  <c r="U266" i="5"/>
  <c r="U274" i="5"/>
  <c r="U282" i="5"/>
  <c r="U290" i="5"/>
  <c r="U298" i="5"/>
  <c r="U306" i="5"/>
  <c r="U314" i="5"/>
  <c r="U322" i="5"/>
  <c r="U330" i="5"/>
  <c r="U338" i="5"/>
  <c r="U346" i="5"/>
  <c r="U354" i="5"/>
  <c r="U362" i="5"/>
  <c r="U370" i="5"/>
  <c r="U378" i="5"/>
  <c r="U386" i="5"/>
  <c r="U394" i="5"/>
  <c r="U402" i="5"/>
  <c r="U410" i="5"/>
  <c r="U418" i="5"/>
  <c r="U426" i="5"/>
  <c r="U434" i="5"/>
  <c r="U442" i="5"/>
  <c r="U450" i="5"/>
  <c r="U458" i="5"/>
  <c r="U466" i="5"/>
  <c r="U474" i="5"/>
  <c r="U482" i="5"/>
  <c r="U490" i="5"/>
  <c r="U498" i="5"/>
  <c r="U506" i="5"/>
  <c r="U514" i="5"/>
  <c r="U522" i="5"/>
  <c r="U530" i="5"/>
  <c r="U538" i="5"/>
  <c r="U546" i="5"/>
  <c r="U554" i="5"/>
  <c r="U562" i="5"/>
  <c r="U570" i="5"/>
  <c r="U578" i="5"/>
  <c r="U586" i="5"/>
  <c r="U594" i="5"/>
  <c r="U602" i="5"/>
  <c r="U610" i="5"/>
  <c r="U618" i="5"/>
  <c r="U626" i="5"/>
  <c r="U634" i="5"/>
  <c r="U642" i="5"/>
  <c r="U650" i="5"/>
  <c r="U658" i="5"/>
  <c r="U666" i="5"/>
  <c r="U674" i="5"/>
  <c r="U17" i="5"/>
  <c r="U81" i="5"/>
  <c r="U145" i="5"/>
  <c r="U209" i="5"/>
  <c r="U273" i="5"/>
  <c r="U337" i="5"/>
  <c r="U401" i="5"/>
  <c r="U465" i="5"/>
  <c r="U529" i="5"/>
  <c r="U593" i="5"/>
  <c r="U657" i="5"/>
  <c r="U681" i="5"/>
  <c r="U689" i="5"/>
  <c r="U697" i="5"/>
  <c r="U705" i="5"/>
  <c r="U713" i="5"/>
  <c r="U721" i="5"/>
  <c r="U729" i="5"/>
  <c r="U737" i="5"/>
  <c r="U745" i="5"/>
  <c r="U753" i="5"/>
  <c r="U761" i="5"/>
  <c r="U769" i="5"/>
  <c r="U777" i="5"/>
  <c r="U785" i="5"/>
  <c r="U793" i="5"/>
  <c r="U801" i="5"/>
  <c r="U809" i="5"/>
  <c r="U817" i="5"/>
  <c r="U825" i="5"/>
  <c r="U833" i="5"/>
  <c r="U841" i="5"/>
  <c r="U849" i="5"/>
  <c r="U857" i="5"/>
  <c r="U865" i="5"/>
  <c r="U873" i="5"/>
  <c r="U881" i="5"/>
  <c r="U889" i="5"/>
  <c r="U897" i="5"/>
  <c r="U905" i="5"/>
  <c r="U913" i="5"/>
  <c r="U921" i="5"/>
  <c r="U929" i="5"/>
  <c r="U937" i="5"/>
  <c r="U945" i="5"/>
  <c r="U953" i="5"/>
  <c r="U961" i="5"/>
  <c r="U969" i="5"/>
  <c r="U977" i="5"/>
  <c r="U985" i="5"/>
  <c r="U993" i="5"/>
  <c r="U1001" i="5"/>
  <c r="U1009" i="5"/>
  <c r="U1017" i="5"/>
  <c r="U1025" i="5"/>
  <c r="U1033" i="5"/>
  <c r="U1041" i="5"/>
  <c r="U1049" i="5"/>
  <c r="U1057" i="5"/>
  <c r="U1065" i="5"/>
  <c r="U1073" i="5"/>
  <c r="U1081" i="5"/>
  <c r="U1089" i="5"/>
  <c r="U1097" i="5"/>
  <c r="U1105" i="5"/>
  <c r="U1113" i="5"/>
  <c r="U1121" i="5"/>
  <c r="U1129" i="5"/>
  <c r="U1137" i="5"/>
  <c r="U1145" i="5"/>
  <c r="U1153" i="5"/>
  <c r="U1161" i="5"/>
  <c r="U1169" i="5"/>
  <c r="U1177" i="5"/>
  <c r="U1185" i="5"/>
  <c r="U1193" i="5"/>
  <c r="U1201" i="5"/>
  <c r="U1209" i="5"/>
  <c r="U1217" i="5"/>
  <c r="U1225" i="5"/>
  <c r="U1233" i="5"/>
  <c r="U1241" i="5"/>
  <c r="U1249" i="5"/>
  <c r="U1257" i="5"/>
  <c r="U1265" i="5"/>
  <c r="U1273" i="5"/>
  <c r="U25" i="5"/>
  <c r="U89" i="5"/>
  <c r="U153" i="5"/>
  <c r="U217" i="5"/>
  <c r="U281" i="5"/>
  <c r="U345" i="5"/>
  <c r="U409" i="5"/>
  <c r="U473" i="5"/>
  <c r="U537" i="5"/>
  <c r="U601" i="5"/>
  <c r="U665" i="5"/>
  <c r="U682" i="5"/>
  <c r="U690" i="5"/>
  <c r="U698" i="5"/>
  <c r="U706" i="5"/>
  <c r="U714" i="5"/>
  <c r="U722" i="5"/>
  <c r="U730" i="5"/>
  <c r="U738" i="5"/>
  <c r="U746" i="5"/>
  <c r="U754" i="5"/>
  <c r="U762" i="5"/>
  <c r="U770" i="5"/>
  <c r="U778" i="5"/>
  <c r="U786" i="5"/>
  <c r="U794" i="5"/>
  <c r="U802" i="5"/>
  <c r="U810" i="5"/>
  <c r="U818" i="5"/>
  <c r="U826" i="5"/>
  <c r="U834" i="5"/>
  <c r="U842" i="5"/>
  <c r="U850" i="5"/>
  <c r="U858" i="5"/>
  <c r="U866" i="5"/>
  <c r="U874" i="5"/>
  <c r="U882" i="5"/>
  <c r="U890" i="5"/>
  <c r="U898" i="5"/>
  <c r="U906" i="5"/>
  <c r="U914" i="5"/>
  <c r="U922" i="5"/>
  <c r="U930" i="5"/>
  <c r="U938" i="5"/>
  <c r="U946" i="5"/>
  <c r="U954" i="5"/>
  <c r="U962" i="5"/>
  <c r="U970" i="5"/>
  <c r="U978" i="5"/>
  <c r="U986" i="5"/>
  <c r="U994" i="5"/>
  <c r="U1002" i="5"/>
  <c r="U1010" i="5"/>
  <c r="U1018" i="5"/>
  <c r="U1026" i="5"/>
  <c r="U1034" i="5"/>
  <c r="U1042" i="5"/>
  <c r="U1050" i="5"/>
  <c r="U1058" i="5"/>
  <c r="U1066" i="5"/>
  <c r="U1074" i="5"/>
  <c r="U1082" i="5"/>
  <c r="U1090" i="5"/>
  <c r="U1098" i="5"/>
  <c r="U1106" i="5"/>
  <c r="U1114" i="5"/>
  <c r="U1122" i="5"/>
  <c r="U1130" i="5"/>
  <c r="U1138" i="5"/>
  <c r="U1146" i="5"/>
  <c r="U1154" i="5"/>
  <c r="U1162" i="5"/>
  <c r="U1170" i="5"/>
  <c r="U1178" i="5"/>
  <c r="U1186" i="5"/>
  <c r="U1194" i="5"/>
  <c r="U1202" i="5"/>
  <c r="U1210" i="5"/>
  <c r="U1218" i="5"/>
  <c r="U1226" i="5"/>
  <c r="U1234" i="5"/>
  <c r="U1242" i="5"/>
  <c r="U33" i="5"/>
  <c r="U97" i="5"/>
  <c r="U161" i="5"/>
  <c r="U225" i="5"/>
  <c r="U289" i="5"/>
  <c r="U353" i="5"/>
  <c r="U417" i="5"/>
  <c r="U481" i="5"/>
  <c r="U545" i="5"/>
  <c r="U609" i="5"/>
  <c r="U668" i="5"/>
  <c r="U683" i="5"/>
  <c r="U691" i="5"/>
  <c r="U699" i="5"/>
  <c r="U707" i="5"/>
  <c r="U715" i="5"/>
  <c r="U723" i="5"/>
  <c r="U731" i="5"/>
  <c r="U739" i="5"/>
  <c r="U747" i="5"/>
  <c r="U755" i="5"/>
  <c r="U763" i="5"/>
  <c r="U771" i="5"/>
  <c r="U779" i="5"/>
  <c r="U787" i="5"/>
  <c r="U795" i="5"/>
  <c r="U803" i="5"/>
  <c r="U811" i="5"/>
  <c r="U819" i="5"/>
  <c r="U827" i="5"/>
  <c r="U835" i="5"/>
  <c r="U843" i="5"/>
  <c r="U851" i="5"/>
  <c r="U859" i="5"/>
  <c r="U867" i="5"/>
  <c r="U875" i="5"/>
  <c r="U883" i="5"/>
  <c r="U891" i="5"/>
  <c r="U899" i="5"/>
  <c r="U907" i="5"/>
  <c r="U915" i="5"/>
  <c r="U923" i="5"/>
  <c r="U931" i="5"/>
  <c r="U939" i="5"/>
  <c r="U947" i="5"/>
  <c r="U955" i="5"/>
  <c r="U963" i="5"/>
  <c r="U971" i="5"/>
  <c r="U979" i="5"/>
  <c r="U987" i="5"/>
  <c r="U995" i="5"/>
  <c r="U1003" i="5"/>
  <c r="U1011" i="5"/>
  <c r="U1019" i="5"/>
  <c r="U1027" i="5"/>
  <c r="U1035" i="5"/>
  <c r="U1043" i="5"/>
  <c r="U1051" i="5"/>
  <c r="U1059" i="5"/>
  <c r="U1067" i="5"/>
  <c r="U1075" i="5"/>
  <c r="U1083" i="5"/>
  <c r="U1091" i="5"/>
  <c r="U1099" i="5"/>
  <c r="U1107" i="5"/>
  <c r="U1115" i="5"/>
  <c r="U1123" i="5"/>
  <c r="U1131" i="5"/>
  <c r="U1139" i="5"/>
  <c r="U1147" i="5"/>
  <c r="U1155" i="5"/>
  <c r="U1163" i="5"/>
  <c r="U1171" i="5"/>
  <c r="U1179" i="5"/>
  <c r="U1187" i="5"/>
  <c r="U1195" i="5"/>
  <c r="U1203" i="5"/>
  <c r="U1211" i="5"/>
  <c r="U1219" i="5"/>
  <c r="U1227" i="5"/>
  <c r="U1235" i="5"/>
  <c r="U1243" i="5"/>
  <c r="U1251" i="5"/>
  <c r="U1259" i="5"/>
  <c r="U1267" i="5"/>
  <c r="U41" i="5"/>
  <c r="U105" i="5"/>
  <c r="U169" i="5"/>
  <c r="U233" i="5"/>
  <c r="U297" i="5"/>
  <c r="U361" i="5"/>
  <c r="U425" i="5"/>
  <c r="U489" i="5"/>
  <c r="U553" i="5"/>
  <c r="U617" i="5"/>
  <c r="U673" i="5"/>
  <c r="U684" i="5"/>
  <c r="U692" i="5"/>
  <c r="U700" i="5"/>
  <c r="U708" i="5"/>
  <c r="U716" i="5"/>
  <c r="U724" i="5"/>
  <c r="U732" i="5"/>
  <c r="U740" i="5"/>
  <c r="U748" i="5"/>
  <c r="U756" i="5"/>
  <c r="U764" i="5"/>
  <c r="U772" i="5"/>
  <c r="U780" i="5"/>
  <c r="U788" i="5"/>
  <c r="U796" i="5"/>
  <c r="U804" i="5"/>
  <c r="U812" i="5"/>
  <c r="U820" i="5"/>
  <c r="U828" i="5"/>
  <c r="U836" i="5"/>
  <c r="U844" i="5"/>
  <c r="U852" i="5"/>
  <c r="U860" i="5"/>
  <c r="U868" i="5"/>
  <c r="U876" i="5"/>
  <c r="U884" i="5"/>
  <c r="U892" i="5"/>
  <c r="U900" i="5"/>
  <c r="U908" i="5"/>
  <c r="U916" i="5"/>
  <c r="U924" i="5"/>
  <c r="U932" i="5"/>
  <c r="U940" i="5"/>
  <c r="U948" i="5"/>
  <c r="U956" i="5"/>
  <c r="U964" i="5"/>
  <c r="U972" i="5"/>
  <c r="U980" i="5"/>
  <c r="U988" i="5"/>
  <c r="U996" i="5"/>
  <c r="U1004" i="5"/>
  <c r="U1012" i="5"/>
  <c r="U1020" i="5"/>
  <c r="U1028" i="5"/>
  <c r="U1036" i="5"/>
  <c r="U1044" i="5"/>
  <c r="U1052" i="5"/>
  <c r="U1060" i="5"/>
  <c r="U1068" i="5"/>
  <c r="U1076" i="5"/>
  <c r="U1084" i="5"/>
  <c r="U1092" i="5"/>
  <c r="U1100" i="5"/>
  <c r="U1108" i="5"/>
  <c r="U1116" i="5"/>
  <c r="U1124" i="5"/>
  <c r="U1132" i="5"/>
  <c r="U1140" i="5"/>
  <c r="U1148" i="5"/>
  <c r="U1156" i="5"/>
  <c r="U1164" i="5"/>
  <c r="U1172" i="5"/>
  <c r="U1180" i="5"/>
  <c r="U1188" i="5"/>
  <c r="U1196" i="5"/>
  <c r="U1204" i="5"/>
  <c r="U1212" i="5"/>
  <c r="U1220" i="5"/>
  <c r="U1228" i="5"/>
  <c r="U49" i="5"/>
  <c r="U113" i="5"/>
  <c r="U177" i="5"/>
  <c r="U241" i="5"/>
  <c r="U305" i="5"/>
  <c r="U369" i="5"/>
  <c r="U433" i="5"/>
  <c r="U497" i="5"/>
  <c r="U561" i="5"/>
  <c r="U625" i="5"/>
  <c r="U676" i="5"/>
  <c r="U685" i="5"/>
  <c r="U693" i="5"/>
  <c r="U701" i="5"/>
  <c r="U709" i="5"/>
  <c r="U717" i="5"/>
  <c r="U725" i="5"/>
  <c r="U733" i="5"/>
  <c r="U741" i="5"/>
  <c r="U749" i="5"/>
  <c r="U757" i="5"/>
  <c r="U765" i="5"/>
  <c r="U773" i="5"/>
  <c r="U781" i="5"/>
  <c r="U789" i="5"/>
  <c r="U797" i="5"/>
  <c r="U805" i="5"/>
  <c r="U813" i="5"/>
  <c r="U821" i="5"/>
  <c r="U829" i="5"/>
  <c r="U837" i="5"/>
  <c r="U845" i="5"/>
  <c r="U853" i="5"/>
  <c r="U861" i="5"/>
  <c r="U869" i="5"/>
  <c r="U877" i="5"/>
  <c r="U885" i="5"/>
  <c r="U893" i="5"/>
  <c r="U901" i="5"/>
  <c r="U909" i="5"/>
  <c r="U917" i="5"/>
  <c r="U925" i="5"/>
  <c r="U933" i="5"/>
  <c r="U941" i="5"/>
  <c r="U949" i="5"/>
  <c r="U957" i="5"/>
  <c r="U965" i="5"/>
  <c r="U973" i="5"/>
  <c r="U981" i="5"/>
  <c r="U989" i="5"/>
  <c r="U997" i="5"/>
  <c r="U1005" i="5"/>
  <c r="U1013" i="5"/>
  <c r="U1021" i="5"/>
  <c r="U1029" i="5"/>
  <c r="U1037" i="5"/>
  <c r="U1045" i="5"/>
  <c r="U1053" i="5"/>
  <c r="U1061" i="5"/>
  <c r="U1069" i="5"/>
  <c r="U1077" i="5"/>
  <c r="U1085" i="5"/>
  <c r="U1093" i="5"/>
  <c r="U1101" i="5"/>
  <c r="U1109" i="5"/>
  <c r="U1117" i="5"/>
  <c r="U1125" i="5"/>
  <c r="U1133" i="5"/>
  <c r="U1141" i="5"/>
  <c r="U1149" i="5"/>
  <c r="U1157" i="5"/>
  <c r="U1165" i="5"/>
  <c r="U1173" i="5"/>
  <c r="U1181" i="5"/>
  <c r="U1189" i="5"/>
  <c r="U1197" i="5"/>
  <c r="U1205" i="5"/>
  <c r="U1213" i="5"/>
  <c r="U1221" i="5"/>
  <c r="U1229" i="5"/>
  <c r="U1237" i="5"/>
  <c r="U1245" i="5"/>
  <c r="U1253" i="5"/>
  <c r="U1261" i="5"/>
  <c r="U1269" i="5"/>
  <c r="U57" i="5"/>
  <c r="U121" i="5"/>
  <c r="U185" i="5"/>
  <c r="U249" i="5"/>
  <c r="U313" i="5"/>
  <c r="U377" i="5"/>
  <c r="U441" i="5"/>
  <c r="U505" i="5"/>
  <c r="U569" i="5"/>
  <c r="U633" i="5"/>
  <c r="U678" i="5"/>
  <c r="U686" i="5"/>
  <c r="U694" i="5"/>
  <c r="U702" i="5"/>
  <c r="U710" i="5"/>
  <c r="U718" i="5"/>
  <c r="U726" i="5"/>
  <c r="U734" i="5"/>
  <c r="U742" i="5"/>
  <c r="U750" i="5"/>
  <c r="U758" i="5"/>
  <c r="U766" i="5"/>
  <c r="U774" i="5"/>
  <c r="U782" i="5"/>
  <c r="U790" i="5"/>
  <c r="U798" i="5"/>
  <c r="U806" i="5"/>
  <c r="U814" i="5"/>
  <c r="U822" i="5"/>
  <c r="U830" i="5"/>
  <c r="U838" i="5"/>
  <c r="U846" i="5"/>
  <c r="U854" i="5"/>
  <c r="U862" i="5"/>
  <c r="U870" i="5"/>
  <c r="U878" i="5"/>
  <c r="U886" i="5"/>
  <c r="U894" i="5"/>
  <c r="U902" i="5"/>
  <c r="U910" i="5"/>
  <c r="U918" i="5"/>
  <c r="U926" i="5"/>
  <c r="U934" i="5"/>
  <c r="U942" i="5"/>
  <c r="U950" i="5"/>
  <c r="U958" i="5"/>
  <c r="U966" i="5"/>
  <c r="U974" i="5"/>
  <c r="U982" i="5"/>
  <c r="U990" i="5"/>
  <c r="U998" i="5"/>
  <c r="U1006" i="5"/>
  <c r="U1014" i="5"/>
  <c r="U1022" i="5"/>
  <c r="U1030" i="5"/>
  <c r="U1038" i="5"/>
  <c r="U1046" i="5"/>
  <c r="U1054" i="5"/>
  <c r="U1062" i="5"/>
  <c r="U1070" i="5"/>
  <c r="U1078" i="5"/>
  <c r="U1086" i="5"/>
  <c r="U1094" i="5"/>
  <c r="U1102" i="5"/>
  <c r="U1110" i="5"/>
  <c r="U1118" i="5"/>
  <c r="U1126" i="5"/>
  <c r="U1134" i="5"/>
  <c r="U1142" i="5"/>
  <c r="U1150" i="5"/>
  <c r="U1158" i="5"/>
  <c r="U65" i="5"/>
  <c r="U129" i="5"/>
  <c r="U193" i="5"/>
  <c r="U257" i="5"/>
  <c r="U321" i="5"/>
  <c r="U385" i="5"/>
  <c r="U449" i="5"/>
  <c r="U513" i="5"/>
  <c r="U577" i="5"/>
  <c r="U641" i="5"/>
  <c r="U679" i="5"/>
  <c r="U687" i="5"/>
  <c r="U695" i="5"/>
  <c r="U703" i="5"/>
  <c r="U711" i="5"/>
  <c r="U719" i="5"/>
  <c r="U727" i="5"/>
  <c r="U735" i="5"/>
  <c r="U743" i="5"/>
  <c r="U751" i="5"/>
  <c r="U759" i="5"/>
  <c r="U767" i="5"/>
  <c r="U775" i="5"/>
  <c r="U783" i="5"/>
  <c r="U791" i="5"/>
  <c r="U799" i="5"/>
  <c r="U807" i="5"/>
  <c r="U815" i="5"/>
  <c r="U823" i="5"/>
  <c r="U831" i="5"/>
  <c r="U839" i="5"/>
  <c r="U847" i="5"/>
  <c r="U855" i="5"/>
  <c r="U863" i="5"/>
  <c r="U871" i="5"/>
  <c r="U879" i="5"/>
  <c r="U887" i="5"/>
  <c r="U895" i="5"/>
  <c r="U903" i="5"/>
  <c r="U911" i="5"/>
  <c r="U919" i="5"/>
  <c r="U927" i="5"/>
  <c r="U935" i="5"/>
  <c r="U943" i="5"/>
  <c r="U951" i="5"/>
  <c r="U959" i="5"/>
  <c r="U967" i="5"/>
  <c r="U975" i="5"/>
  <c r="U983" i="5"/>
  <c r="U991" i="5"/>
  <c r="U999" i="5"/>
  <c r="U1007" i="5"/>
  <c r="U1015" i="5"/>
  <c r="U1023" i="5"/>
  <c r="U1031" i="5"/>
  <c r="U1039" i="5"/>
  <c r="U1047" i="5"/>
  <c r="U1055" i="5"/>
  <c r="U1063" i="5"/>
  <c r="U1071" i="5"/>
  <c r="U1079" i="5"/>
  <c r="U1087" i="5"/>
  <c r="U1095" i="5"/>
  <c r="U1103" i="5"/>
  <c r="U1111" i="5"/>
  <c r="U1119" i="5"/>
  <c r="U1127" i="5"/>
  <c r="U1135" i="5"/>
  <c r="U1143" i="5"/>
  <c r="U1151" i="5"/>
  <c r="U1159" i="5"/>
  <c r="U1167" i="5"/>
  <c r="U1175" i="5"/>
  <c r="U1183" i="5"/>
  <c r="U1191" i="5"/>
  <c r="U1199" i="5"/>
  <c r="U1207" i="5"/>
  <c r="U1215" i="5"/>
  <c r="U1223" i="5"/>
  <c r="U1231" i="5"/>
  <c r="U1239" i="5"/>
  <c r="U1247" i="5"/>
  <c r="U1255" i="5"/>
  <c r="U1263" i="5"/>
  <c r="U1271" i="5"/>
  <c r="U73" i="5"/>
  <c r="U585" i="5"/>
  <c r="U728" i="5"/>
  <c r="U792" i="5"/>
  <c r="U856" i="5"/>
  <c r="U920" i="5"/>
  <c r="U984" i="5"/>
  <c r="U1048" i="5"/>
  <c r="U1112" i="5"/>
  <c r="U1168" i="5"/>
  <c r="U1200" i="5"/>
  <c r="U1232" i="5"/>
  <c r="U1252" i="5"/>
  <c r="U1268" i="5"/>
  <c r="U1279" i="5"/>
  <c r="U1287" i="5"/>
  <c r="U1295" i="5"/>
  <c r="U1303" i="5"/>
  <c r="U1311" i="5"/>
  <c r="U1319" i="5"/>
  <c r="U1327" i="5"/>
  <c r="U1335" i="5"/>
  <c r="U1343" i="5"/>
  <c r="U1351" i="5"/>
  <c r="U1359" i="5"/>
  <c r="U1367" i="5"/>
  <c r="U1375" i="5"/>
  <c r="U1383" i="5"/>
  <c r="U1391" i="5"/>
  <c r="U1399" i="5"/>
  <c r="U1407" i="5"/>
  <c r="U1415" i="5"/>
  <c r="U1423" i="5"/>
  <c r="U1431" i="5"/>
  <c r="U1439" i="5"/>
  <c r="U1447" i="5"/>
  <c r="U1455" i="5"/>
  <c r="U1463" i="5"/>
  <c r="U1471" i="5"/>
  <c r="U1479" i="5"/>
  <c r="U1487" i="5"/>
  <c r="U1495" i="5"/>
  <c r="U1503" i="5"/>
  <c r="U1511" i="5"/>
  <c r="U1519" i="5"/>
  <c r="U1527" i="5"/>
  <c r="U1535" i="5"/>
  <c r="U1543" i="5"/>
  <c r="U1551" i="5"/>
  <c r="U1559" i="5"/>
  <c r="U1567" i="5"/>
  <c r="U1575" i="5"/>
  <c r="U1583" i="5"/>
  <c r="U1591" i="5"/>
  <c r="U1599" i="5"/>
  <c r="U1607" i="5"/>
  <c r="U1615" i="5"/>
  <c r="U1623" i="5"/>
  <c r="U1631" i="5"/>
  <c r="U1639" i="5"/>
  <c r="U1647" i="5"/>
  <c r="U1655" i="5"/>
  <c r="U1663" i="5"/>
  <c r="U1671" i="5"/>
  <c r="U1679" i="5"/>
  <c r="U1687" i="5"/>
  <c r="U1695" i="5"/>
  <c r="U1703" i="5"/>
  <c r="U1711" i="5"/>
  <c r="U1719" i="5"/>
  <c r="U1727" i="5"/>
  <c r="U1735" i="5"/>
  <c r="U1743" i="5"/>
  <c r="U1751" i="5"/>
  <c r="U1759" i="5"/>
  <c r="U1767" i="5"/>
  <c r="U1775" i="5"/>
  <c r="U1783" i="5"/>
  <c r="U1791" i="5"/>
  <c r="U1799" i="5"/>
  <c r="U1807" i="5"/>
  <c r="U1815" i="5"/>
  <c r="U1823" i="5"/>
  <c r="U1831" i="5"/>
  <c r="U1839" i="5"/>
  <c r="U1847" i="5"/>
  <c r="U137" i="5"/>
  <c r="U649" i="5"/>
  <c r="U736" i="5"/>
  <c r="U800" i="5"/>
  <c r="U864" i="5"/>
  <c r="U928" i="5"/>
  <c r="U992" i="5"/>
  <c r="U1056" i="5"/>
  <c r="U1120" i="5"/>
  <c r="U1174" i="5"/>
  <c r="U1206" i="5"/>
  <c r="U1236" i="5"/>
  <c r="U1254" i="5"/>
  <c r="U1270" i="5"/>
  <c r="U1280" i="5"/>
  <c r="U1288" i="5"/>
  <c r="U1296" i="5"/>
  <c r="U1304" i="5"/>
  <c r="U1312" i="5"/>
  <c r="U1320" i="5"/>
  <c r="U1328" i="5"/>
  <c r="U1336" i="5"/>
  <c r="U1344" i="5"/>
  <c r="U1352" i="5"/>
  <c r="U1360" i="5"/>
  <c r="U1368" i="5"/>
  <c r="U1376" i="5"/>
  <c r="U1384" i="5"/>
  <c r="U1392" i="5"/>
  <c r="U1400" i="5"/>
  <c r="U1408" i="5"/>
  <c r="U1416" i="5"/>
  <c r="U1424" i="5"/>
  <c r="U1432" i="5"/>
  <c r="U1440" i="5"/>
  <c r="U1448" i="5"/>
  <c r="U1456" i="5"/>
  <c r="U1464" i="5"/>
  <c r="U1472" i="5"/>
  <c r="U1480" i="5"/>
  <c r="U1488" i="5"/>
  <c r="U1496" i="5"/>
  <c r="U1504" i="5"/>
  <c r="U1512" i="5"/>
  <c r="U1520" i="5"/>
  <c r="U1528" i="5"/>
  <c r="U1536" i="5"/>
  <c r="U1544" i="5"/>
  <c r="U1552" i="5"/>
  <c r="U1560" i="5"/>
  <c r="U1568" i="5"/>
  <c r="U1576" i="5"/>
  <c r="U1584" i="5"/>
  <c r="U1592" i="5"/>
  <c r="U1600" i="5"/>
  <c r="U1608" i="5"/>
  <c r="U1616" i="5"/>
  <c r="U1624" i="5"/>
  <c r="U1632" i="5"/>
  <c r="U1640" i="5"/>
  <c r="U1648" i="5"/>
  <c r="U1656" i="5"/>
  <c r="U1664" i="5"/>
  <c r="U1672" i="5"/>
  <c r="U1680" i="5"/>
  <c r="U1688" i="5"/>
  <c r="U1696" i="5"/>
  <c r="U1704" i="5"/>
  <c r="U1712" i="5"/>
  <c r="U1720" i="5"/>
  <c r="U1728" i="5"/>
  <c r="U1736" i="5"/>
  <c r="U1744" i="5"/>
  <c r="U1752" i="5"/>
  <c r="U1760" i="5"/>
  <c r="U1768" i="5"/>
  <c r="U1776" i="5"/>
  <c r="U1784" i="5"/>
  <c r="U1792" i="5"/>
  <c r="U1800" i="5"/>
  <c r="U1808" i="5"/>
  <c r="U1816" i="5"/>
  <c r="U201" i="5"/>
  <c r="U680" i="5"/>
  <c r="U744" i="5"/>
  <c r="U808" i="5"/>
  <c r="U872" i="5"/>
  <c r="U936" i="5"/>
  <c r="U1000" i="5"/>
  <c r="U1064" i="5"/>
  <c r="U1128" i="5"/>
  <c r="U1176" i="5"/>
  <c r="U1208" i="5"/>
  <c r="U1238" i="5"/>
  <c r="U1256" i="5"/>
  <c r="U1272" i="5"/>
  <c r="U1281" i="5"/>
  <c r="U1289" i="5"/>
  <c r="U1297" i="5"/>
  <c r="U1305" i="5"/>
  <c r="U1313" i="5"/>
  <c r="U1321" i="5"/>
  <c r="U1329" i="5"/>
  <c r="U1337" i="5"/>
  <c r="U1345" i="5"/>
  <c r="U1353" i="5"/>
  <c r="U1361" i="5"/>
  <c r="U1369" i="5"/>
  <c r="U1377" i="5"/>
  <c r="U1385" i="5"/>
  <c r="U1393" i="5"/>
  <c r="U1401" i="5"/>
  <c r="U1409" i="5"/>
  <c r="U1417" i="5"/>
  <c r="U1425" i="5"/>
  <c r="U1433" i="5"/>
  <c r="U1441" i="5"/>
  <c r="U1449" i="5"/>
  <c r="U1457" i="5"/>
  <c r="U1465" i="5"/>
  <c r="U1473" i="5"/>
  <c r="U1481" i="5"/>
  <c r="U1489" i="5"/>
  <c r="U1497" i="5"/>
  <c r="U1505" i="5"/>
  <c r="U1513" i="5"/>
  <c r="U1521" i="5"/>
  <c r="U1529" i="5"/>
  <c r="U1537" i="5"/>
  <c r="U1545" i="5"/>
  <c r="U1553" i="5"/>
  <c r="U1561" i="5"/>
  <c r="U1569" i="5"/>
  <c r="U1577" i="5"/>
  <c r="U1585" i="5"/>
  <c r="U1593" i="5"/>
  <c r="U1601" i="5"/>
  <c r="U1609" i="5"/>
  <c r="U1617" i="5"/>
  <c r="U1625" i="5"/>
  <c r="U1633" i="5"/>
  <c r="U1641" i="5"/>
  <c r="U1649" i="5"/>
  <c r="U1657" i="5"/>
  <c r="U1665" i="5"/>
  <c r="U1673" i="5"/>
  <c r="U1681" i="5"/>
  <c r="U1689" i="5"/>
  <c r="U1697" i="5"/>
  <c r="U1705" i="5"/>
  <c r="U1713" i="5"/>
  <c r="U1721" i="5"/>
  <c r="U1729" i="5"/>
  <c r="U1737" i="5"/>
  <c r="U1745" i="5"/>
  <c r="U1753" i="5"/>
  <c r="U1761" i="5"/>
  <c r="U1769" i="5"/>
  <c r="U1777" i="5"/>
  <c r="U1785" i="5"/>
  <c r="U1793" i="5"/>
  <c r="U1801" i="5"/>
  <c r="U1809" i="5"/>
  <c r="U1817" i="5"/>
  <c r="U1825" i="5"/>
  <c r="U1833" i="5"/>
  <c r="U1841" i="5"/>
  <c r="U1849" i="5"/>
  <c r="U265" i="5"/>
  <c r="U688" i="5"/>
  <c r="U752" i="5"/>
  <c r="U816" i="5"/>
  <c r="U880" i="5"/>
  <c r="U944" i="5"/>
  <c r="U1008" i="5"/>
  <c r="U1072" i="5"/>
  <c r="U1136" i="5"/>
  <c r="U1182" i="5"/>
  <c r="U1214" i="5"/>
  <c r="U1240" i="5"/>
  <c r="U1258" i="5"/>
  <c r="U1274" i="5"/>
  <c r="U1282" i="5"/>
  <c r="U1290" i="5"/>
  <c r="U1298" i="5"/>
  <c r="U1306" i="5"/>
  <c r="U1314" i="5"/>
  <c r="U1322" i="5"/>
  <c r="U1330" i="5"/>
  <c r="U1338" i="5"/>
  <c r="U1346" i="5"/>
  <c r="U1354" i="5"/>
  <c r="U1362" i="5"/>
  <c r="U1370" i="5"/>
  <c r="U1378" i="5"/>
  <c r="U1386" i="5"/>
  <c r="U1394" i="5"/>
  <c r="U1402" i="5"/>
  <c r="U1410" i="5"/>
  <c r="U1418" i="5"/>
  <c r="U1426" i="5"/>
  <c r="U1434" i="5"/>
  <c r="U1442" i="5"/>
  <c r="U1450" i="5"/>
  <c r="U1458" i="5"/>
  <c r="U1466" i="5"/>
  <c r="U1474" i="5"/>
  <c r="U1482" i="5"/>
  <c r="U1490" i="5"/>
  <c r="U1498" i="5"/>
  <c r="U1506" i="5"/>
  <c r="U1514" i="5"/>
  <c r="U1522" i="5"/>
  <c r="U1530" i="5"/>
  <c r="U1538" i="5"/>
  <c r="U1546" i="5"/>
  <c r="U1554" i="5"/>
  <c r="U1562" i="5"/>
  <c r="U1570" i="5"/>
  <c r="U1578" i="5"/>
  <c r="U1586" i="5"/>
  <c r="U1594" i="5"/>
  <c r="U1602" i="5"/>
  <c r="U1610" i="5"/>
  <c r="U1618" i="5"/>
  <c r="U1626" i="5"/>
  <c r="U1634" i="5"/>
  <c r="U1642" i="5"/>
  <c r="U1650" i="5"/>
  <c r="U1658" i="5"/>
  <c r="U1666" i="5"/>
  <c r="U1674" i="5"/>
  <c r="U1682" i="5"/>
  <c r="U1690" i="5"/>
  <c r="U1698" i="5"/>
  <c r="U1706" i="5"/>
  <c r="U1714" i="5"/>
  <c r="U1722" i="5"/>
  <c r="U1730" i="5"/>
  <c r="U1738" i="5"/>
  <c r="U1746" i="5"/>
  <c r="U1754" i="5"/>
  <c r="U1762" i="5"/>
  <c r="U1770" i="5"/>
  <c r="U1778" i="5"/>
  <c r="U1786" i="5"/>
  <c r="U1794" i="5"/>
  <c r="U1802" i="5"/>
  <c r="U1810" i="5"/>
  <c r="U329" i="5"/>
  <c r="U696" i="5"/>
  <c r="U760" i="5"/>
  <c r="U824" i="5"/>
  <c r="U888" i="5"/>
  <c r="U952" i="5"/>
  <c r="U1016" i="5"/>
  <c r="U1080" i="5"/>
  <c r="U1144" i="5"/>
  <c r="U1184" i="5"/>
  <c r="U1216" i="5"/>
  <c r="U1244" i="5"/>
  <c r="U1260" i="5"/>
  <c r="U1275" i="5"/>
  <c r="U1283" i="5"/>
  <c r="U1291" i="5"/>
  <c r="U1299" i="5"/>
  <c r="U1307" i="5"/>
  <c r="U1315" i="5"/>
  <c r="U1323" i="5"/>
  <c r="U1331" i="5"/>
  <c r="U1339" i="5"/>
  <c r="U1347" i="5"/>
  <c r="U1355" i="5"/>
  <c r="U1363" i="5"/>
  <c r="U1371" i="5"/>
  <c r="U1379" i="5"/>
  <c r="U1387" i="5"/>
  <c r="U1395" i="5"/>
  <c r="U1403" i="5"/>
  <c r="U1411" i="5"/>
  <c r="U1419" i="5"/>
  <c r="U1427" i="5"/>
  <c r="U1435" i="5"/>
  <c r="U1443" i="5"/>
  <c r="U1451" i="5"/>
  <c r="U1459" i="5"/>
  <c r="U1467" i="5"/>
  <c r="U1475" i="5"/>
  <c r="U1483" i="5"/>
  <c r="U1491" i="5"/>
  <c r="U1499" i="5"/>
  <c r="U1507" i="5"/>
  <c r="U1515" i="5"/>
  <c r="U1523" i="5"/>
  <c r="U1531" i="5"/>
  <c r="U1539" i="5"/>
  <c r="U1547" i="5"/>
  <c r="U1555" i="5"/>
  <c r="U1563" i="5"/>
  <c r="U1571" i="5"/>
  <c r="U1579" i="5"/>
  <c r="U1587" i="5"/>
  <c r="U1595" i="5"/>
  <c r="U1603" i="5"/>
  <c r="U1611" i="5"/>
  <c r="U1619" i="5"/>
  <c r="U1627" i="5"/>
  <c r="U1635" i="5"/>
  <c r="U1643" i="5"/>
  <c r="U1651" i="5"/>
  <c r="U1659" i="5"/>
  <c r="U1667" i="5"/>
  <c r="U1675" i="5"/>
  <c r="U1683" i="5"/>
  <c r="U1691" i="5"/>
  <c r="U1699" i="5"/>
  <c r="U1707" i="5"/>
  <c r="U1715" i="5"/>
  <c r="U1723" i="5"/>
  <c r="U1731" i="5"/>
  <c r="U1739" i="5"/>
  <c r="U1747" i="5"/>
  <c r="U1755" i="5"/>
  <c r="U1763" i="5"/>
  <c r="U1771" i="5"/>
  <c r="U1779" i="5"/>
  <c r="U1787" i="5"/>
  <c r="U1795" i="5"/>
  <c r="U1803" i="5"/>
  <c r="U1811" i="5"/>
  <c r="U1819" i="5"/>
  <c r="U1827" i="5"/>
  <c r="U1835" i="5"/>
  <c r="U1843" i="5"/>
  <c r="U393" i="5"/>
  <c r="U704" i="5"/>
  <c r="U768" i="5"/>
  <c r="U832" i="5"/>
  <c r="U896" i="5"/>
  <c r="U960" i="5"/>
  <c r="U1024" i="5"/>
  <c r="U1088" i="5"/>
  <c r="U1152" i="5"/>
  <c r="U1190" i="5"/>
  <c r="U1222" i="5"/>
  <c r="U1246" i="5"/>
  <c r="U1262" i="5"/>
  <c r="U1276" i="5"/>
  <c r="U1284" i="5"/>
  <c r="U1292" i="5"/>
  <c r="U1300" i="5"/>
  <c r="U1308" i="5"/>
  <c r="U1316" i="5"/>
  <c r="U1324" i="5"/>
  <c r="U1332" i="5"/>
  <c r="U1340" i="5"/>
  <c r="U1348" i="5"/>
  <c r="U1356" i="5"/>
  <c r="U1364" i="5"/>
  <c r="U1372" i="5"/>
  <c r="U1380" i="5"/>
  <c r="U1388" i="5"/>
  <c r="U1396" i="5"/>
  <c r="U1404" i="5"/>
  <c r="U1412" i="5"/>
  <c r="U1420" i="5"/>
  <c r="U1428" i="5"/>
  <c r="U1436" i="5"/>
  <c r="U1444" i="5"/>
  <c r="U1452" i="5"/>
  <c r="U1460" i="5"/>
  <c r="U1468" i="5"/>
  <c r="U1476" i="5"/>
  <c r="U1484" i="5"/>
  <c r="U1492" i="5"/>
  <c r="U1500" i="5"/>
  <c r="U1508" i="5"/>
  <c r="U1516" i="5"/>
  <c r="U1524" i="5"/>
  <c r="U1532" i="5"/>
  <c r="U1540" i="5"/>
  <c r="U1548" i="5"/>
  <c r="U1556" i="5"/>
  <c r="U1564" i="5"/>
  <c r="U1572" i="5"/>
  <c r="U1580" i="5"/>
  <c r="U1588" i="5"/>
  <c r="U1596" i="5"/>
  <c r="U1604" i="5"/>
  <c r="U1612" i="5"/>
  <c r="U1620" i="5"/>
  <c r="U1628" i="5"/>
  <c r="U1636" i="5"/>
  <c r="U1644" i="5"/>
  <c r="U1652" i="5"/>
  <c r="U1660" i="5"/>
  <c r="U1668" i="5"/>
  <c r="U1676" i="5"/>
  <c r="U1684" i="5"/>
  <c r="U1692" i="5"/>
  <c r="U1700" i="5"/>
  <c r="U1708" i="5"/>
  <c r="U1716" i="5"/>
  <c r="U1724" i="5"/>
  <c r="U1732" i="5"/>
  <c r="U1740" i="5"/>
  <c r="U1748" i="5"/>
  <c r="U457" i="5"/>
  <c r="U712" i="5"/>
  <c r="U776" i="5"/>
  <c r="U840" i="5"/>
  <c r="U904" i="5"/>
  <c r="U968" i="5"/>
  <c r="U1032" i="5"/>
  <c r="U1096" i="5"/>
  <c r="U1160" i="5"/>
  <c r="U1192" i="5"/>
  <c r="U1224" i="5"/>
  <c r="U1248" i="5"/>
  <c r="U1264" i="5"/>
  <c r="U1277" i="5"/>
  <c r="U1285" i="5"/>
  <c r="U1293" i="5"/>
  <c r="U1301" i="5"/>
  <c r="U1309" i="5"/>
  <c r="U1317" i="5"/>
  <c r="U1325" i="5"/>
  <c r="U1333" i="5"/>
  <c r="U1341" i="5"/>
  <c r="U1349" i="5"/>
  <c r="U1357" i="5"/>
  <c r="U1365" i="5"/>
  <c r="U1373" i="5"/>
  <c r="U1381" i="5"/>
  <c r="U1389" i="5"/>
  <c r="U1397" i="5"/>
  <c r="U1405" i="5"/>
  <c r="U1413" i="5"/>
  <c r="U1421" i="5"/>
  <c r="U1429" i="5"/>
  <c r="U1437" i="5"/>
  <c r="U1445" i="5"/>
  <c r="U1453" i="5"/>
  <c r="U1461" i="5"/>
  <c r="U1469" i="5"/>
  <c r="U1477" i="5"/>
  <c r="U1485" i="5"/>
  <c r="U1493" i="5"/>
  <c r="U1501" i="5"/>
  <c r="U1509" i="5"/>
  <c r="U1517" i="5"/>
  <c r="U1525" i="5"/>
  <c r="U1533" i="5"/>
  <c r="U1541" i="5"/>
  <c r="U1549" i="5"/>
  <c r="U1557" i="5"/>
  <c r="U1565" i="5"/>
  <c r="U1573" i="5"/>
  <c r="U1581" i="5"/>
  <c r="U1589" i="5"/>
  <c r="U1597" i="5"/>
  <c r="U1605" i="5"/>
  <c r="U1613" i="5"/>
  <c r="U1621" i="5"/>
  <c r="U1629" i="5"/>
  <c r="U1637" i="5"/>
  <c r="U1645" i="5"/>
  <c r="U1653" i="5"/>
  <c r="U1661" i="5"/>
  <c r="U1669" i="5"/>
  <c r="U1677" i="5"/>
  <c r="U1685" i="5"/>
  <c r="U1693" i="5"/>
  <c r="U1701" i="5"/>
  <c r="U1709" i="5"/>
  <c r="U1717" i="5"/>
  <c r="U1725" i="5"/>
  <c r="U1733" i="5"/>
  <c r="U1741" i="5"/>
  <c r="U1749" i="5"/>
  <c r="U1757" i="5"/>
  <c r="U1765" i="5"/>
  <c r="U1773" i="5"/>
  <c r="U1781" i="5"/>
  <c r="U1789" i="5"/>
  <c r="U1797" i="5"/>
  <c r="U1805" i="5"/>
  <c r="U1813" i="5"/>
  <c r="U1821" i="5"/>
  <c r="U1829" i="5"/>
  <c r="U1837" i="5"/>
  <c r="U1845" i="5"/>
  <c r="U521" i="5"/>
  <c r="U1166" i="5"/>
  <c r="U1302" i="5"/>
  <c r="U1366" i="5"/>
  <c r="U1430" i="5"/>
  <c r="U1494" i="5"/>
  <c r="U1558" i="5"/>
  <c r="U1622" i="5"/>
  <c r="U1686" i="5"/>
  <c r="U1750" i="5"/>
  <c r="U1782" i="5"/>
  <c r="U1814" i="5"/>
  <c r="U1832" i="5"/>
  <c r="U1848" i="5"/>
  <c r="U1857" i="5"/>
  <c r="U1865" i="5"/>
  <c r="U1873" i="5"/>
  <c r="U1881" i="5"/>
  <c r="U1889" i="5"/>
  <c r="U1897" i="5"/>
  <c r="U1905" i="5"/>
  <c r="U1913" i="5"/>
  <c r="U1921" i="5"/>
  <c r="U1929" i="5"/>
  <c r="U1937" i="5"/>
  <c r="U1945" i="5"/>
  <c r="U1953" i="5"/>
  <c r="U1961" i="5"/>
  <c r="U1969" i="5"/>
  <c r="U1977" i="5"/>
  <c r="U1985" i="5"/>
  <c r="U1993" i="5"/>
  <c r="U2001" i="5"/>
  <c r="U2009" i="5"/>
  <c r="U2017" i="5"/>
  <c r="U2025" i="5"/>
  <c r="U2033" i="5"/>
  <c r="U2041" i="5"/>
  <c r="U2049" i="5"/>
  <c r="U2057" i="5"/>
  <c r="U2065" i="5"/>
  <c r="U2073" i="5"/>
  <c r="U2081" i="5"/>
  <c r="U2089" i="5"/>
  <c r="U2097" i="5"/>
  <c r="U2105" i="5"/>
  <c r="U2113" i="5"/>
  <c r="U2121" i="5"/>
  <c r="U2129" i="5"/>
  <c r="U2137" i="5"/>
  <c r="U2145" i="5"/>
  <c r="U2153" i="5"/>
  <c r="U2161" i="5"/>
  <c r="U2169" i="5"/>
  <c r="U2177" i="5"/>
  <c r="U2185" i="5"/>
  <c r="U2193" i="5"/>
  <c r="U2201" i="5"/>
  <c r="U2209" i="5"/>
  <c r="U2217" i="5"/>
  <c r="U2225" i="5"/>
  <c r="U2233" i="5"/>
  <c r="U2241" i="5"/>
  <c r="U2249" i="5"/>
  <c r="U2257" i="5"/>
  <c r="U2265" i="5"/>
  <c r="U2273" i="5"/>
  <c r="U2281" i="5"/>
  <c r="U2289" i="5"/>
  <c r="U2297" i="5"/>
  <c r="U2305" i="5"/>
  <c r="U2313" i="5"/>
  <c r="U2321" i="5"/>
  <c r="U2329" i="5"/>
  <c r="U2337" i="5"/>
  <c r="U2345" i="5"/>
  <c r="U2353" i="5"/>
  <c r="U2361" i="5"/>
  <c r="U2369" i="5"/>
  <c r="U2377" i="5"/>
  <c r="U2385" i="5"/>
  <c r="U2393" i="5"/>
  <c r="U2401" i="5"/>
  <c r="U2409" i="5"/>
  <c r="U2417" i="5"/>
  <c r="U2425" i="5"/>
  <c r="U720" i="5"/>
  <c r="U1198" i="5"/>
  <c r="U1310" i="5"/>
  <c r="U1374" i="5"/>
  <c r="U1438" i="5"/>
  <c r="U1502" i="5"/>
  <c r="U1566" i="5"/>
  <c r="U1630" i="5"/>
  <c r="U1694" i="5"/>
  <c r="U1756" i="5"/>
  <c r="U1788" i="5"/>
  <c r="U1818" i="5"/>
  <c r="U1834" i="5"/>
  <c r="U1850" i="5"/>
  <c r="U1858" i="5"/>
  <c r="U1866" i="5"/>
  <c r="U1874" i="5"/>
  <c r="U1882" i="5"/>
  <c r="U1890" i="5"/>
  <c r="U1898" i="5"/>
  <c r="U1906" i="5"/>
  <c r="U1914" i="5"/>
  <c r="U1922" i="5"/>
  <c r="U1930" i="5"/>
  <c r="U1938" i="5"/>
  <c r="U1946" i="5"/>
  <c r="U1954" i="5"/>
  <c r="U1962" i="5"/>
  <c r="U1970" i="5"/>
  <c r="U1978" i="5"/>
  <c r="U1986" i="5"/>
  <c r="U1994" i="5"/>
  <c r="U2002" i="5"/>
  <c r="U2010" i="5"/>
  <c r="U2018" i="5"/>
  <c r="U2026" i="5"/>
  <c r="U2034" i="5"/>
  <c r="U2042" i="5"/>
  <c r="U2050" i="5"/>
  <c r="U2058" i="5"/>
  <c r="U2066" i="5"/>
  <c r="U2074" i="5"/>
  <c r="U2082" i="5"/>
  <c r="U2090" i="5"/>
  <c r="U2098" i="5"/>
  <c r="U2106" i="5"/>
  <c r="U2114" i="5"/>
  <c r="U2122" i="5"/>
  <c r="U2130" i="5"/>
  <c r="U2138" i="5"/>
  <c r="U2146" i="5"/>
  <c r="U2154" i="5"/>
  <c r="U2162" i="5"/>
  <c r="U2170" i="5"/>
  <c r="U2178" i="5"/>
  <c r="U2186" i="5"/>
  <c r="U2194" i="5"/>
  <c r="U2202" i="5"/>
  <c r="U2210" i="5"/>
  <c r="U2218" i="5"/>
  <c r="U2226" i="5"/>
  <c r="U2234" i="5"/>
  <c r="U2242" i="5"/>
  <c r="U2250" i="5"/>
  <c r="U2258" i="5"/>
  <c r="U2266" i="5"/>
  <c r="U2274" i="5"/>
  <c r="U2282" i="5"/>
  <c r="U2290" i="5"/>
  <c r="U2298" i="5"/>
  <c r="U2306" i="5"/>
  <c r="U2314" i="5"/>
  <c r="U2322" i="5"/>
  <c r="U2330" i="5"/>
  <c r="U2338" i="5"/>
  <c r="U2346" i="5"/>
  <c r="U2354" i="5"/>
  <c r="U2362" i="5"/>
  <c r="U2370" i="5"/>
  <c r="U2378" i="5"/>
  <c r="U2386" i="5"/>
  <c r="U2394" i="5"/>
  <c r="U784" i="5"/>
  <c r="U1230" i="5"/>
  <c r="U1318" i="5"/>
  <c r="U1382" i="5"/>
  <c r="U1446" i="5"/>
  <c r="U1510" i="5"/>
  <c r="U1574" i="5"/>
  <c r="U1638" i="5"/>
  <c r="U1702" i="5"/>
  <c r="U1758" i="5"/>
  <c r="U1790" i="5"/>
  <c r="U1820" i="5"/>
  <c r="U1836" i="5"/>
  <c r="U1851" i="5"/>
  <c r="U1859" i="5"/>
  <c r="U1867" i="5"/>
  <c r="U1875" i="5"/>
  <c r="U1883" i="5"/>
  <c r="U1891" i="5"/>
  <c r="U1899" i="5"/>
  <c r="U1907" i="5"/>
  <c r="U1915" i="5"/>
  <c r="U1923" i="5"/>
  <c r="U1931" i="5"/>
  <c r="U1939" i="5"/>
  <c r="U1947" i="5"/>
  <c r="U1955" i="5"/>
  <c r="U1963" i="5"/>
  <c r="U1971" i="5"/>
  <c r="U1979" i="5"/>
  <c r="U1987" i="5"/>
  <c r="U1995" i="5"/>
  <c r="U2003" i="5"/>
  <c r="U2011" i="5"/>
  <c r="U2019" i="5"/>
  <c r="U2027" i="5"/>
  <c r="U2035" i="5"/>
  <c r="U2043" i="5"/>
  <c r="U2051" i="5"/>
  <c r="U2059" i="5"/>
  <c r="U2067" i="5"/>
  <c r="U2075" i="5"/>
  <c r="U2083" i="5"/>
  <c r="U2091" i="5"/>
  <c r="U2099" i="5"/>
  <c r="U2107" i="5"/>
  <c r="U2115" i="5"/>
  <c r="U2123" i="5"/>
  <c r="U2131" i="5"/>
  <c r="U2139" i="5"/>
  <c r="U2147" i="5"/>
  <c r="U2155" i="5"/>
  <c r="U2163" i="5"/>
  <c r="U2171" i="5"/>
  <c r="U2179" i="5"/>
  <c r="U2187" i="5"/>
  <c r="U2195" i="5"/>
  <c r="U2203" i="5"/>
  <c r="U2211" i="5"/>
  <c r="U2219" i="5"/>
  <c r="U2227" i="5"/>
  <c r="U2235" i="5"/>
  <c r="U2243" i="5"/>
  <c r="U2251" i="5"/>
  <c r="U2259" i="5"/>
  <c r="U2267" i="5"/>
  <c r="U2275" i="5"/>
  <c r="U2283" i="5"/>
  <c r="U2291" i="5"/>
  <c r="U2299" i="5"/>
  <c r="U2307" i="5"/>
  <c r="U2315" i="5"/>
  <c r="U2323" i="5"/>
  <c r="U2331" i="5"/>
  <c r="U2339" i="5"/>
  <c r="U2347" i="5"/>
  <c r="U2355" i="5"/>
  <c r="U2363" i="5"/>
  <c r="U2371" i="5"/>
  <c r="U2379" i="5"/>
  <c r="U2387" i="5"/>
  <c r="U2395" i="5"/>
  <c r="U2403" i="5"/>
  <c r="U2411" i="5"/>
  <c r="U2419" i="5"/>
  <c r="U2427" i="5"/>
  <c r="U848" i="5"/>
  <c r="U1250" i="5"/>
  <c r="U1326" i="5"/>
  <c r="U1390" i="5"/>
  <c r="U1454" i="5"/>
  <c r="U1518" i="5"/>
  <c r="U1582" i="5"/>
  <c r="U1646" i="5"/>
  <c r="U1710" i="5"/>
  <c r="U1764" i="5"/>
  <c r="U1796" i="5"/>
  <c r="U1822" i="5"/>
  <c r="U1838" i="5"/>
  <c r="U1852" i="5"/>
  <c r="U1860" i="5"/>
  <c r="U1868" i="5"/>
  <c r="U1876" i="5"/>
  <c r="U1884" i="5"/>
  <c r="U1892" i="5"/>
  <c r="U1900" i="5"/>
  <c r="U1908" i="5"/>
  <c r="U1916" i="5"/>
  <c r="U1924" i="5"/>
  <c r="U1932" i="5"/>
  <c r="U1940" i="5"/>
  <c r="U1948" i="5"/>
  <c r="U1956" i="5"/>
  <c r="U1964" i="5"/>
  <c r="U1972" i="5"/>
  <c r="U1980" i="5"/>
  <c r="U1988" i="5"/>
  <c r="U1996" i="5"/>
  <c r="U2004" i="5"/>
  <c r="U2012" i="5"/>
  <c r="U2020" i="5"/>
  <c r="U2028" i="5"/>
  <c r="U2036" i="5"/>
  <c r="U2044" i="5"/>
  <c r="U2052" i="5"/>
  <c r="U2060" i="5"/>
  <c r="U2068" i="5"/>
  <c r="U2076" i="5"/>
  <c r="U2084" i="5"/>
  <c r="U2092" i="5"/>
  <c r="U2100" i="5"/>
  <c r="U2108" i="5"/>
  <c r="U2116" i="5"/>
  <c r="U2124" i="5"/>
  <c r="U2132" i="5"/>
  <c r="U2140" i="5"/>
  <c r="U2148" i="5"/>
  <c r="U2156" i="5"/>
  <c r="U2164" i="5"/>
  <c r="U2172" i="5"/>
  <c r="U2180" i="5"/>
  <c r="U2188" i="5"/>
  <c r="U2196" i="5"/>
  <c r="U2204" i="5"/>
  <c r="U2212" i="5"/>
  <c r="U2220" i="5"/>
  <c r="U2228" i="5"/>
  <c r="U2236" i="5"/>
  <c r="U2244" i="5"/>
  <c r="U2252" i="5"/>
  <c r="U2260" i="5"/>
  <c r="U2268" i="5"/>
  <c r="U2276" i="5"/>
  <c r="U2284" i="5"/>
  <c r="U2292" i="5"/>
  <c r="U2300" i="5"/>
  <c r="U2308" i="5"/>
  <c r="U2316" i="5"/>
  <c r="U2324" i="5"/>
  <c r="U2332" i="5"/>
  <c r="U2340" i="5"/>
  <c r="U2348" i="5"/>
  <c r="U2356" i="5"/>
  <c r="U2364" i="5"/>
  <c r="U2372" i="5"/>
  <c r="U2380" i="5"/>
  <c r="U2388" i="5"/>
  <c r="U912" i="5"/>
  <c r="U1266" i="5"/>
  <c r="U1334" i="5"/>
  <c r="U1398" i="5"/>
  <c r="U1462" i="5"/>
  <c r="U1526" i="5"/>
  <c r="U1590" i="5"/>
  <c r="U1654" i="5"/>
  <c r="U1718" i="5"/>
  <c r="U1766" i="5"/>
  <c r="U1798" i="5"/>
  <c r="U1824" i="5"/>
  <c r="U1840" i="5"/>
  <c r="U1853" i="5"/>
  <c r="U1861" i="5"/>
  <c r="U1869" i="5"/>
  <c r="U1877" i="5"/>
  <c r="U1885" i="5"/>
  <c r="U1893" i="5"/>
  <c r="U1901" i="5"/>
  <c r="U1909" i="5"/>
  <c r="U1917" i="5"/>
  <c r="U1925" i="5"/>
  <c r="U1933" i="5"/>
  <c r="U1941" i="5"/>
  <c r="U1949" i="5"/>
  <c r="U1957" i="5"/>
  <c r="U1965" i="5"/>
  <c r="U1973" i="5"/>
  <c r="U1981" i="5"/>
  <c r="U1989" i="5"/>
  <c r="U1997" i="5"/>
  <c r="U2005" i="5"/>
  <c r="U2013" i="5"/>
  <c r="U2021" i="5"/>
  <c r="U2029" i="5"/>
  <c r="U2037" i="5"/>
  <c r="U2045" i="5"/>
  <c r="U2053" i="5"/>
  <c r="U2061" i="5"/>
  <c r="U2069" i="5"/>
  <c r="U2077" i="5"/>
  <c r="U2085" i="5"/>
  <c r="U2093" i="5"/>
  <c r="U2101" i="5"/>
  <c r="U2109" i="5"/>
  <c r="U2117" i="5"/>
  <c r="U2125" i="5"/>
  <c r="U2133" i="5"/>
  <c r="U2141" i="5"/>
  <c r="U2149" i="5"/>
  <c r="U2157" i="5"/>
  <c r="U2165" i="5"/>
  <c r="U2173" i="5"/>
  <c r="U2181" i="5"/>
  <c r="U2189" i="5"/>
  <c r="U2197" i="5"/>
  <c r="U2205" i="5"/>
  <c r="U2213" i="5"/>
  <c r="U2221" i="5"/>
  <c r="U2229" i="5"/>
  <c r="U2237" i="5"/>
  <c r="U2245" i="5"/>
  <c r="U2253" i="5"/>
  <c r="U2261" i="5"/>
  <c r="U2269" i="5"/>
  <c r="U2277" i="5"/>
  <c r="U2285" i="5"/>
  <c r="U2293" i="5"/>
  <c r="U2301" i="5"/>
  <c r="U2309" i="5"/>
  <c r="U2317" i="5"/>
  <c r="U2325" i="5"/>
  <c r="U2333" i="5"/>
  <c r="U2341" i="5"/>
  <c r="U2349" i="5"/>
  <c r="U2357" i="5"/>
  <c r="U2365" i="5"/>
  <c r="U2373" i="5"/>
  <c r="U2381" i="5"/>
  <c r="U2389" i="5"/>
  <c r="U2397" i="5"/>
  <c r="U2405" i="5"/>
  <c r="U2413" i="5"/>
  <c r="U2421" i="5"/>
  <c r="U976" i="5"/>
  <c r="U1278" i="5"/>
  <c r="U1342" i="5"/>
  <c r="U1406" i="5"/>
  <c r="U1470" i="5"/>
  <c r="U1534" i="5"/>
  <c r="U1598" i="5"/>
  <c r="U1662" i="5"/>
  <c r="U1726" i="5"/>
  <c r="U1772" i="5"/>
  <c r="U1804" i="5"/>
  <c r="U1826" i="5"/>
  <c r="U1842" i="5"/>
  <c r="U1854" i="5"/>
  <c r="U1862" i="5"/>
  <c r="U1870" i="5"/>
  <c r="U1878" i="5"/>
  <c r="U1886" i="5"/>
  <c r="U1894" i="5"/>
  <c r="U1902" i="5"/>
  <c r="U1910" i="5"/>
  <c r="U1918" i="5"/>
  <c r="U1926" i="5"/>
  <c r="U1934" i="5"/>
  <c r="U1942" i="5"/>
  <c r="U1950" i="5"/>
  <c r="U1958" i="5"/>
  <c r="U1966" i="5"/>
  <c r="U1974" i="5"/>
  <c r="U1982" i="5"/>
  <c r="U1990" i="5"/>
  <c r="U1998" i="5"/>
  <c r="U2006" i="5"/>
  <c r="U2014" i="5"/>
  <c r="U2022" i="5"/>
  <c r="U2030" i="5"/>
  <c r="U2038" i="5"/>
  <c r="U2046" i="5"/>
  <c r="U2054" i="5"/>
  <c r="U2062" i="5"/>
  <c r="U2070" i="5"/>
  <c r="U2078" i="5"/>
  <c r="U2086" i="5"/>
  <c r="U2094" i="5"/>
  <c r="U2102" i="5"/>
  <c r="U2110" i="5"/>
  <c r="U2118" i="5"/>
  <c r="U2126" i="5"/>
  <c r="U2134" i="5"/>
  <c r="U2142" i="5"/>
  <c r="U2150" i="5"/>
  <c r="U2158" i="5"/>
  <c r="U2166" i="5"/>
  <c r="U2174" i="5"/>
  <c r="U2182" i="5"/>
  <c r="U2190" i="5"/>
  <c r="U2198" i="5"/>
  <c r="U2206" i="5"/>
  <c r="U2214" i="5"/>
  <c r="U2222" i="5"/>
  <c r="U2230" i="5"/>
  <c r="U2238" i="5"/>
  <c r="U2246" i="5"/>
  <c r="U2254" i="5"/>
  <c r="U2262" i="5"/>
  <c r="U2270" i="5"/>
  <c r="U2278" i="5"/>
  <c r="U2286" i="5"/>
  <c r="U2294" i="5"/>
  <c r="U2302" i="5"/>
  <c r="U2310" i="5"/>
  <c r="U2318" i="5"/>
  <c r="U2326" i="5"/>
  <c r="U1040" i="5"/>
  <c r="U1286" i="5"/>
  <c r="U1350" i="5"/>
  <c r="U1414" i="5"/>
  <c r="U1478" i="5"/>
  <c r="U1542" i="5"/>
  <c r="U1606" i="5"/>
  <c r="U1670" i="5"/>
  <c r="U1734" i="5"/>
  <c r="U1774" i="5"/>
  <c r="U1806" i="5"/>
  <c r="U1828" i="5"/>
  <c r="U1844" i="5"/>
  <c r="U1855" i="5"/>
  <c r="U1863" i="5"/>
  <c r="U1871" i="5"/>
  <c r="U1879" i="5"/>
  <c r="U1887" i="5"/>
  <c r="U1895" i="5"/>
  <c r="U1903" i="5"/>
  <c r="U1911" i="5"/>
  <c r="U1919" i="5"/>
  <c r="U1927" i="5"/>
  <c r="U1935" i="5"/>
  <c r="U1943" i="5"/>
  <c r="U1951" i="5"/>
  <c r="U1959" i="5"/>
  <c r="U1967" i="5"/>
  <c r="U1975" i="5"/>
  <c r="U1983" i="5"/>
  <c r="U1991" i="5"/>
  <c r="U1999" i="5"/>
  <c r="U2007" i="5"/>
  <c r="U2015" i="5"/>
  <c r="U2023" i="5"/>
  <c r="U2031" i="5"/>
  <c r="U2039" i="5"/>
  <c r="U2047" i="5"/>
  <c r="U2055" i="5"/>
  <c r="U2063" i="5"/>
  <c r="U2071" i="5"/>
  <c r="U2079" i="5"/>
  <c r="U2087" i="5"/>
  <c r="U2095" i="5"/>
  <c r="U2103" i="5"/>
  <c r="U2111" i="5"/>
  <c r="U2119" i="5"/>
  <c r="U2127" i="5"/>
  <c r="U2135" i="5"/>
  <c r="U2143" i="5"/>
  <c r="U2151" i="5"/>
  <c r="U2159" i="5"/>
  <c r="U2167" i="5"/>
  <c r="U2175" i="5"/>
  <c r="U2183" i="5"/>
  <c r="U2191" i="5"/>
  <c r="U2199" i="5"/>
  <c r="U2207" i="5"/>
  <c r="U2215" i="5"/>
  <c r="U2223" i="5"/>
  <c r="U2231" i="5"/>
  <c r="U2239" i="5"/>
  <c r="U2247" i="5"/>
  <c r="U2255" i="5"/>
  <c r="U2263" i="5"/>
  <c r="U2271" i="5"/>
  <c r="U2279" i="5"/>
  <c r="U2287" i="5"/>
  <c r="U2295" i="5"/>
  <c r="U2303" i="5"/>
  <c r="U2311" i="5"/>
  <c r="U2319" i="5"/>
  <c r="U2327" i="5"/>
  <c r="U2335" i="5"/>
  <c r="U2343" i="5"/>
  <c r="U2351" i="5"/>
  <c r="U2359" i="5"/>
  <c r="U2367" i="5"/>
  <c r="U2375" i="5"/>
  <c r="U2383" i="5"/>
  <c r="U2391" i="5"/>
  <c r="U2399" i="5"/>
  <c r="U2407" i="5"/>
  <c r="U2415" i="5"/>
  <c r="U2423" i="5"/>
  <c r="U1104" i="5"/>
  <c r="U1742" i="5"/>
  <c r="U1880" i="5"/>
  <c r="U1944" i="5"/>
  <c r="U2008" i="5"/>
  <c r="U2072" i="5"/>
  <c r="U2136" i="5"/>
  <c r="U2200" i="5"/>
  <c r="U2264" i="5"/>
  <c r="U2328" i="5"/>
  <c r="U2360" i="5"/>
  <c r="U2392" i="5"/>
  <c r="U2410" i="5"/>
  <c r="U2426" i="5"/>
  <c r="U2435" i="5"/>
  <c r="U2443" i="5"/>
  <c r="U2451" i="5"/>
  <c r="U2459" i="5"/>
  <c r="U2467" i="5"/>
  <c r="U2475" i="5"/>
  <c r="U2483" i="5"/>
  <c r="U2491" i="5"/>
  <c r="U2499" i="5"/>
  <c r="U2484" i="5"/>
  <c r="U2500" i="5"/>
  <c r="U2501" i="5"/>
  <c r="U2486" i="5"/>
  <c r="U2487" i="5"/>
  <c r="U2448" i="5"/>
  <c r="U2496" i="5"/>
  <c r="U1936" i="5"/>
  <c r="U2358" i="5"/>
  <c r="U2458" i="5"/>
  <c r="U2498" i="5"/>
  <c r="U1294" i="5"/>
  <c r="U1780" i="5"/>
  <c r="U1888" i="5"/>
  <c r="U1952" i="5"/>
  <c r="U2016" i="5"/>
  <c r="U2080" i="5"/>
  <c r="U2144" i="5"/>
  <c r="U2208" i="5"/>
  <c r="U2272" i="5"/>
  <c r="U2334" i="5"/>
  <c r="U2366" i="5"/>
  <c r="U2396" i="5"/>
  <c r="U2412" i="5"/>
  <c r="U2428" i="5"/>
  <c r="U2436" i="5"/>
  <c r="U2444" i="5"/>
  <c r="U2452" i="5"/>
  <c r="U2460" i="5"/>
  <c r="U2468" i="5"/>
  <c r="U2476" i="5"/>
  <c r="U2492" i="5"/>
  <c r="U2470" i="5"/>
  <c r="U2479" i="5"/>
  <c r="U2432" i="5"/>
  <c r="U2480" i="5"/>
  <c r="U2489" i="5"/>
  <c r="U2128" i="5"/>
  <c r="U2424" i="5"/>
  <c r="U2482" i="5"/>
  <c r="U1358" i="5"/>
  <c r="U1812" i="5"/>
  <c r="U1896" i="5"/>
  <c r="U1960" i="5"/>
  <c r="U2024" i="5"/>
  <c r="U2088" i="5"/>
  <c r="U2152" i="5"/>
  <c r="U2216" i="5"/>
  <c r="U2280" i="5"/>
  <c r="U2336" i="5"/>
  <c r="U2368" i="5"/>
  <c r="U2398" i="5"/>
  <c r="U2414" i="5"/>
  <c r="U2429" i="5"/>
  <c r="U2437" i="5"/>
  <c r="U2445" i="5"/>
  <c r="U2453" i="5"/>
  <c r="U2461" i="5"/>
  <c r="U2469" i="5"/>
  <c r="U2477" i="5"/>
  <c r="U2485" i="5"/>
  <c r="U2493" i="5"/>
  <c r="U2478" i="5"/>
  <c r="U2471" i="5"/>
  <c r="U2420" i="5"/>
  <c r="U2488" i="5"/>
  <c r="U2497" i="5"/>
  <c r="U2064" i="5"/>
  <c r="U2442" i="5"/>
  <c r="U2490" i="5"/>
  <c r="U1422" i="5"/>
  <c r="U1830" i="5"/>
  <c r="U1904" i="5"/>
  <c r="U1968" i="5"/>
  <c r="U2032" i="5"/>
  <c r="U2096" i="5"/>
  <c r="U2160" i="5"/>
  <c r="U2224" i="5"/>
  <c r="U2288" i="5"/>
  <c r="U2342" i="5"/>
  <c r="U2374" i="5"/>
  <c r="U2400" i="5"/>
  <c r="U2416" i="5"/>
  <c r="U2430" i="5"/>
  <c r="U2438" i="5"/>
  <c r="U2446" i="5"/>
  <c r="U2454" i="5"/>
  <c r="U2462" i="5"/>
  <c r="U2494" i="5"/>
  <c r="U2440" i="5"/>
  <c r="U2472" i="5"/>
  <c r="U1678" i="5"/>
  <c r="U2390" i="5"/>
  <c r="U2474" i="5"/>
  <c r="U1486" i="5"/>
  <c r="U1846" i="5"/>
  <c r="U1912" i="5"/>
  <c r="U1976" i="5"/>
  <c r="U2040" i="5"/>
  <c r="U2104" i="5"/>
  <c r="U2168" i="5"/>
  <c r="U2232" i="5"/>
  <c r="U2296" i="5"/>
  <c r="U2344" i="5"/>
  <c r="U2376" i="5"/>
  <c r="U2402" i="5"/>
  <c r="U2418" i="5"/>
  <c r="U2431" i="5"/>
  <c r="U2439" i="5"/>
  <c r="U2447" i="5"/>
  <c r="U2455" i="5"/>
  <c r="U2463" i="5"/>
  <c r="U2495" i="5"/>
  <c r="U2464" i="5"/>
  <c r="U1872" i="5"/>
  <c r="U2434" i="5"/>
  <c r="U1550" i="5"/>
  <c r="U1856" i="5"/>
  <c r="U1920" i="5"/>
  <c r="U1984" i="5"/>
  <c r="U2048" i="5"/>
  <c r="U2112" i="5"/>
  <c r="U2176" i="5"/>
  <c r="U2240" i="5"/>
  <c r="U2304" i="5"/>
  <c r="U2350" i="5"/>
  <c r="U2382" i="5"/>
  <c r="U2404" i="5"/>
  <c r="U2456" i="5"/>
  <c r="U2481" i="5"/>
  <c r="U2192" i="5"/>
  <c r="U2256" i="5"/>
  <c r="U2408" i="5"/>
  <c r="U2466" i="5"/>
  <c r="U1614" i="5"/>
  <c r="U1864" i="5"/>
  <c r="U1928" i="5"/>
  <c r="U1992" i="5"/>
  <c r="U2056" i="5"/>
  <c r="U2120" i="5"/>
  <c r="U2184" i="5"/>
  <c r="U2248" i="5"/>
  <c r="U2312" i="5"/>
  <c r="U2352" i="5"/>
  <c r="U2384" i="5"/>
  <c r="U2406" i="5"/>
  <c r="U2422" i="5"/>
  <c r="U2433" i="5"/>
  <c r="U2441" i="5"/>
  <c r="U2449" i="5"/>
  <c r="U2457" i="5"/>
  <c r="U2465" i="5"/>
  <c r="U2473" i="5"/>
  <c r="U2000" i="5"/>
  <c r="U2320" i="5"/>
  <c r="U2450" i="5"/>
  <c r="I280" i="11"/>
  <c r="K280" i="11" s="1"/>
  <c r="I297" i="11"/>
  <c r="K297" i="11" s="1"/>
  <c r="I207" i="11"/>
  <c r="K207" i="11" s="1"/>
  <c r="I258" i="11"/>
  <c r="K258" i="11" s="1"/>
  <c r="I12" i="11"/>
  <c r="K12" i="11" s="1"/>
  <c r="I381" i="11"/>
  <c r="K381" i="11" s="1"/>
  <c r="I160" i="11"/>
  <c r="K160" i="11" s="1"/>
  <c r="I268" i="11"/>
  <c r="K268" i="11" s="1"/>
  <c r="I149" i="11"/>
  <c r="K149" i="11" s="1"/>
  <c r="I213" i="11"/>
  <c r="K213" i="11" s="1"/>
  <c r="I94" i="11"/>
  <c r="K94" i="11" s="1"/>
  <c r="I256" i="11"/>
  <c r="K256" i="11" s="1"/>
  <c r="I343" i="11"/>
  <c r="K343" i="11" s="1"/>
  <c r="I449" i="11"/>
  <c r="K449" i="11" s="1"/>
  <c r="I265" i="11"/>
  <c r="K265" i="11" s="1"/>
  <c r="I97" i="11"/>
  <c r="K97" i="11" s="1"/>
  <c r="I225" i="11"/>
  <c r="K225" i="11" s="1"/>
  <c r="I237" i="11"/>
  <c r="K237" i="11" s="1"/>
  <c r="I58" i="11"/>
  <c r="K58" i="11" s="1"/>
  <c r="I357" i="11"/>
  <c r="K357" i="11" s="1"/>
  <c r="I383" i="11"/>
  <c r="K383" i="11" s="1"/>
  <c r="I128" i="11"/>
  <c r="K128" i="11" s="1"/>
  <c r="I138" i="11"/>
  <c r="K138" i="11" s="1"/>
  <c r="I100" i="11"/>
  <c r="K100" i="11" s="1"/>
  <c r="I311" i="11"/>
  <c r="K311" i="11" s="1"/>
  <c r="I145" i="11"/>
  <c r="K145" i="11" s="1"/>
  <c r="I52" i="11"/>
  <c r="K52" i="11" s="1"/>
  <c r="I438" i="11"/>
  <c r="K438" i="11" s="1"/>
  <c r="I208" i="11"/>
  <c r="K208" i="11" s="1"/>
  <c r="I367" i="11"/>
  <c r="K367" i="11" s="1"/>
  <c r="I486" i="11"/>
  <c r="K486" i="11" s="1"/>
  <c r="I55" i="11"/>
  <c r="K55" i="11" s="1"/>
  <c r="I85" i="11"/>
  <c r="K85" i="11" s="1"/>
  <c r="I421" i="11"/>
  <c r="K421" i="11" s="1"/>
  <c r="I212" i="11"/>
  <c r="K212" i="11" s="1"/>
  <c r="I152" i="11"/>
  <c r="K152" i="11" s="1"/>
  <c r="I346" i="11"/>
  <c r="K346" i="11" s="1"/>
  <c r="I320" i="11"/>
  <c r="K320" i="11" s="1"/>
  <c r="I57" i="11"/>
  <c r="K57" i="11" s="1"/>
  <c r="I62" i="11"/>
  <c r="K62" i="11" s="1"/>
  <c r="I168" i="11"/>
  <c r="K168" i="11" s="1"/>
  <c r="I119" i="11"/>
  <c r="K119" i="11" s="1"/>
  <c r="I226" i="11"/>
  <c r="K226" i="11" s="1"/>
  <c r="I246" i="11"/>
  <c r="K246" i="11" s="1"/>
  <c r="I399" i="11"/>
  <c r="K399" i="11" s="1"/>
  <c r="I462" i="11"/>
  <c r="K462" i="11" s="1"/>
  <c r="I426" i="11"/>
  <c r="K426" i="11" s="1"/>
  <c r="I405" i="11"/>
  <c r="K405" i="11" s="1"/>
  <c r="I73" i="11"/>
  <c r="K73" i="11" s="1"/>
  <c r="I336" i="11"/>
  <c r="K336" i="11" s="1"/>
  <c r="I177" i="11"/>
  <c r="K177" i="11" s="1"/>
  <c r="I178" i="11"/>
  <c r="K178" i="11" s="1"/>
  <c r="I461" i="11"/>
  <c r="K461" i="11" s="1"/>
  <c r="I154" i="11"/>
  <c r="K154" i="11" s="1"/>
  <c r="I254" i="11"/>
  <c r="K254" i="11" s="1"/>
  <c r="I176" i="11"/>
  <c r="K176" i="11" s="1"/>
  <c r="I348" i="11"/>
  <c r="K348" i="11" s="1"/>
  <c r="I81" i="11"/>
  <c r="K81" i="11" s="1"/>
  <c r="I190" i="11"/>
  <c r="K190" i="11" s="1"/>
  <c r="I287" i="11"/>
  <c r="K287" i="11" s="1"/>
  <c r="I478" i="11"/>
  <c r="K478" i="11" s="1"/>
  <c r="I135" i="11"/>
  <c r="K135" i="11" s="1"/>
  <c r="I242" i="11"/>
  <c r="K242" i="11" s="1"/>
  <c r="I13" i="11"/>
  <c r="K13" i="11" s="1"/>
  <c r="I124" i="11"/>
  <c r="K124" i="11" s="1"/>
  <c r="I262" i="11"/>
  <c r="K262" i="11" s="1"/>
  <c r="I458" i="11"/>
  <c r="K458" i="11" s="1"/>
  <c r="I481" i="11"/>
  <c r="K481" i="11" s="1"/>
  <c r="I28" i="11"/>
  <c r="K28" i="11" s="1"/>
  <c r="I188" i="11"/>
  <c r="K188" i="11" s="1"/>
  <c r="I198" i="11"/>
  <c r="K198" i="11" s="1"/>
  <c r="I370" i="11"/>
  <c r="K370" i="11" s="1"/>
  <c r="I39" i="11"/>
  <c r="K39" i="11" s="1"/>
  <c r="I319" i="11"/>
  <c r="K319" i="11" s="1"/>
  <c r="I494" i="11"/>
  <c r="K494" i="11" s="1"/>
  <c r="I169" i="11"/>
  <c r="K169" i="11" s="1"/>
  <c r="I151" i="11"/>
  <c r="K151" i="11" s="1"/>
  <c r="I214" i="11"/>
  <c r="K214" i="11" s="1"/>
  <c r="I9" i="11"/>
  <c r="K9" i="11" s="1"/>
  <c r="I293" i="11"/>
  <c r="K293" i="11" s="1"/>
  <c r="I474" i="11"/>
  <c r="K474" i="11" s="1"/>
  <c r="I341" i="11"/>
  <c r="K341" i="11" s="1"/>
  <c r="I275" i="11"/>
  <c r="K275" i="11" s="1"/>
  <c r="I228" i="11"/>
  <c r="K228" i="11" s="1"/>
  <c r="I17" i="11"/>
  <c r="K17" i="11" s="1"/>
  <c r="I465" i="11"/>
  <c r="K465" i="11" s="1"/>
  <c r="I282" i="11"/>
  <c r="K282" i="11" s="1"/>
  <c r="I236" i="11"/>
  <c r="K236" i="11" s="1"/>
  <c r="I231" i="11"/>
  <c r="K231" i="11" s="1"/>
  <c r="I121" i="11"/>
  <c r="K121" i="11" s="1"/>
  <c r="I113" i="11"/>
  <c r="K113" i="11" s="1"/>
  <c r="I153" i="11"/>
  <c r="K153" i="11" s="1"/>
  <c r="I404" i="11"/>
  <c r="K404" i="11" s="1"/>
  <c r="I96" i="11"/>
  <c r="K96" i="11" s="1"/>
  <c r="I252" i="11"/>
  <c r="K252" i="11" s="1"/>
  <c r="I502" i="11"/>
  <c r="K502" i="11" s="1"/>
  <c r="I238" i="11"/>
  <c r="K238" i="11" s="1"/>
  <c r="I10" i="11"/>
  <c r="K10" i="11" s="1"/>
  <c r="I281" i="11"/>
  <c r="K281" i="11" s="1"/>
  <c r="I317" i="11"/>
  <c r="K317" i="11" s="1"/>
  <c r="I21" i="11"/>
  <c r="K21" i="11" s="1"/>
  <c r="I470" i="11"/>
  <c r="K470" i="11" s="1"/>
  <c r="I7" i="11"/>
  <c r="K7" i="11" s="1"/>
  <c r="I37" i="11"/>
  <c r="K37" i="11" s="1"/>
  <c r="I353" i="11"/>
  <c r="K353" i="11" s="1"/>
  <c r="I473" i="11"/>
  <c r="K473" i="11" s="1"/>
  <c r="I285" i="11"/>
  <c r="K285" i="11" s="1"/>
  <c r="I68" i="11"/>
  <c r="K68" i="11" s="1"/>
  <c r="I482" i="11"/>
  <c r="K482" i="11" s="1"/>
  <c r="I114" i="11"/>
  <c r="K114" i="11" s="1"/>
  <c r="I469" i="11"/>
  <c r="K469" i="11" s="1"/>
  <c r="I166" i="11"/>
  <c r="K166" i="11" s="1"/>
  <c r="I60" i="11"/>
  <c r="K60" i="11" s="1"/>
  <c r="I366" i="11"/>
  <c r="K366" i="11" s="1"/>
  <c r="I98" i="11"/>
  <c r="K98" i="11" s="1"/>
  <c r="I369" i="11"/>
  <c r="K369" i="11" s="1"/>
  <c r="I130" i="11"/>
  <c r="K130" i="11" s="1"/>
  <c r="I45" i="11"/>
  <c r="K45" i="11" s="1"/>
  <c r="I415" i="11"/>
  <c r="K415" i="11" s="1"/>
  <c r="I41" i="11"/>
  <c r="K41" i="11" s="1"/>
  <c r="I56" i="11"/>
  <c r="K56" i="11" s="1"/>
  <c r="I193" i="11"/>
  <c r="K193" i="11" s="1"/>
  <c r="I428" i="11"/>
  <c r="K428" i="11" s="1"/>
  <c r="I26" i="11"/>
  <c r="K26" i="11" s="1"/>
  <c r="I328" i="11"/>
  <c r="K328" i="11" s="1"/>
  <c r="I368" i="11"/>
  <c r="K368" i="11" s="1"/>
  <c r="I69" i="11"/>
  <c r="K69" i="11" s="1"/>
  <c r="I229" i="11"/>
  <c r="K229" i="11" s="1"/>
  <c r="I362" i="11"/>
  <c r="K362" i="11" s="1"/>
  <c r="I133" i="11"/>
  <c r="K133" i="11" s="1"/>
  <c r="I112" i="11"/>
  <c r="K112" i="11" s="1"/>
  <c r="I345" i="11"/>
  <c r="K345" i="11" s="1"/>
  <c r="I453" i="11"/>
  <c r="K453" i="11" s="1"/>
  <c r="I78" i="11"/>
  <c r="K78" i="11" s="1"/>
  <c r="I356" i="11"/>
  <c r="K356" i="11" s="1"/>
  <c r="K485" i="11"/>
  <c r="K454" i="11"/>
  <c r="K76" i="11"/>
  <c r="M31" i="6"/>
  <c r="N31" i="6" s="1"/>
  <c r="R31" i="6" s="1"/>
  <c r="M95" i="6"/>
  <c r="N95" i="6" s="1"/>
  <c r="M159" i="6"/>
  <c r="N159" i="6" s="1"/>
  <c r="R159" i="6" s="1"/>
  <c r="M223" i="6"/>
  <c r="N223" i="6" s="1"/>
  <c r="M287" i="6"/>
  <c r="N287" i="6" s="1"/>
  <c r="M56" i="6"/>
  <c r="N56" i="6" s="1"/>
  <c r="R56" i="6" s="1"/>
  <c r="M120" i="6"/>
  <c r="N120" i="6" s="1"/>
  <c r="R120" i="6" s="1"/>
  <c r="M184" i="6"/>
  <c r="N184" i="6" s="1"/>
  <c r="R184" i="6" s="1"/>
  <c r="M248" i="6"/>
  <c r="N248" i="6" s="1"/>
  <c r="R248" i="6" s="1"/>
  <c r="M9" i="6"/>
  <c r="N9" i="6" s="1"/>
  <c r="M73" i="6"/>
  <c r="N73" i="6" s="1"/>
  <c r="R73" i="6" s="1"/>
  <c r="M137" i="6"/>
  <c r="N137" i="6" s="1"/>
  <c r="M201" i="6"/>
  <c r="N201" i="6" s="1"/>
  <c r="M265" i="6"/>
  <c r="N265" i="6" s="1"/>
  <c r="R265" i="6" s="1"/>
  <c r="M18" i="6"/>
  <c r="N18" i="6" s="1"/>
  <c r="R18" i="6" s="1"/>
  <c r="M82" i="6"/>
  <c r="N82" i="6" s="1"/>
  <c r="R82" i="6" s="1"/>
  <c r="M146" i="6"/>
  <c r="N146" i="6" s="1"/>
  <c r="R146" i="6" s="1"/>
  <c r="M210" i="6"/>
  <c r="N210" i="6" s="1"/>
  <c r="M274" i="6"/>
  <c r="N274" i="6" s="1"/>
  <c r="R274" i="6" s="1"/>
  <c r="M11" i="6"/>
  <c r="N11" i="6" s="1"/>
  <c r="M75" i="6"/>
  <c r="N75" i="6" s="1"/>
  <c r="R75" i="6" s="1"/>
  <c r="M139" i="6"/>
  <c r="N139" i="6" s="1"/>
  <c r="R139" i="6" s="1"/>
  <c r="M203" i="6"/>
  <c r="N203" i="6" s="1"/>
  <c r="R203" i="6" s="1"/>
  <c r="M267" i="6"/>
  <c r="N267" i="6" s="1"/>
  <c r="R267" i="6" s="1"/>
  <c r="M37" i="6"/>
  <c r="N37" i="6" s="1"/>
  <c r="R37" i="6" s="1"/>
  <c r="M101" i="6"/>
  <c r="N101" i="6" s="1"/>
  <c r="R101" i="6" s="1"/>
  <c r="M165" i="6"/>
  <c r="N165" i="6" s="1"/>
  <c r="R165" i="6" s="1"/>
  <c r="M293" i="6"/>
  <c r="N293" i="6" s="1"/>
  <c r="R293" i="6" s="1"/>
  <c r="M30" i="6"/>
  <c r="N30" i="6" s="1"/>
  <c r="R30" i="6" s="1"/>
  <c r="M102" i="6"/>
  <c r="N102" i="6" s="1"/>
  <c r="R102" i="6" s="1"/>
  <c r="M166" i="6"/>
  <c r="N166" i="6" s="1"/>
  <c r="R166" i="6" s="1"/>
  <c r="M238" i="6"/>
  <c r="N238" i="6" s="1"/>
  <c r="R238" i="6" s="1"/>
  <c r="M302" i="6"/>
  <c r="N302" i="6" s="1"/>
  <c r="R302" i="6" s="1"/>
  <c r="M344" i="6"/>
  <c r="N344" i="6" s="1"/>
  <c r="M408" i="6"/>
  <c r="N408" i="6" s="1"/>
  <c r="M472" i="6"/>
  <c r="N472" i="6" s="1"/>
  <c r="M536" i="6"/>
  <c r="N536" i="6" s="1"/>
  <c r="R536" i="6" s="1"/>
  <c r="M600" i="6"/>
  <c r="N600" i="6" s="1"/>
  <c r="R600" i="6" s="1"/>
  <c r="M664" i="6"/>
  <c r="N664" i="6" s="1"/>
  <c r="R664" i="6" s="1"/>
  <c r="M728" i="6"/>
  <c r="N728" i="6" s="1"/>
  <c r="R728" i="6" s="1"/>
  <c r="M792" i="6"/>
  <c r="N792" i="6" s="1"/>
  <c r="R792" i="6" s="1"/>
  <c r="M856" i="6"/>
  <c r="N856" i="6" s="1"/>
  <c r="R856" i="6" s="1"/>
  <c r="M920" i="6"/>
  <c r="N920" i="6" s="1"/>
  <c r="M984" i="6"/>
  <c r="N984" i="6" s="1"/>
  <c r="M1048" i="6"/>
  <c r="N1048" i="6" s="1"/>
  <c r="R1048" i="6" s="1"/>
  <c r="M1112" i="6"/>
  <c r="N1112" i="6" s="1"/>
  <c r="R1112" i="6" s="1"/>
  <c r="M1176" i="6"/>
  <c r="N1176" i="6" s="1"/>
  <c r="R1176" i="6" s="1"/>
  <c r="M1240" i="6"/>
  <c r="N1240" i="6" s="1"/>
  <c r="R1240" i="6" s="1"/>
  <c r="M1304" i="6"/>
  <c r="N1304" i="6" s="1"/>
  <c r="M1368" i="6"/>
  <c r="N1368" i="6" s="1"/>
  <c r="R1368" i="6" s="1"/>
  <c r="M1432" i="6"/>
  <c r="N1432" i="6" s="1"/>
  <c r="R1432" i="6" s="1"/>
  <c r="M1496" i="6"/>
  <c r="N1496" i="6" s="1"/>
  <c r="R1496" i="6" s="1"/>
  <c r="M1560" i="6"/>
  <c r="N1560" i="6" s="1"/>
  <c r="R1560" i="6" s="1"/>
  <c r="M1624" i="6"/>
  <c r="N1624" i="6" s="1"/>
  <c r="R1624" i="6" s="1"/>
  <c r="M1688" i="6"/>
  <c r="N1688" i="6" s="1"/>
  <c r="R1688" i="6" s="1"/>
  <c r="M1752" i="6"/>
  <c r="N1752" i="6" s="1"/>
  <c r="R1752" i="6" s="1"/>
  <c r="M1816" i="6"/>
  <c r="N1816" i="6" s="1"/>
  <c r="M1880" i="6"/>
  <c r="N1880" i="6" s="1"/>
  <c r="M1944" i="6"/>
  <c r="N1944" i="6" s="1"/>
  <c r="M2008" i="6"/>
  <c r="N2008" i="6" s="1"/>
  <c r="M2072" i="6"/>
  <c r="N2072" i="6" s="1"/>
  <c r="R2072" i="6" s="1"/>
  <c r="M2136" i="6"/>
  <c r="N2136" i="6" s="1"/>
  <c r="R2136" i="6" s="1"/>
  <c r="M2200" i="6"/>
  <c r="N2200" i="6" s="1"/>
  <c r="R2200" i="6" s="1"/>
  <c r="M2264" i="6"/>
  <c r="N2264" i="6" s="1"/>
  <c r="R2264" i="6" s="1"/>
  <c r="M2328" i="6"/>
  <c r="N2328" i="6" s="1"/>
  <c r="M2392" i="6"/>
  <c r="N2392" i="6" s="1"/>
  <c r="M2456" i="6"/>
  <c r="N2456" i="6" s="1"/>
  <c r="R2456" i="6" s="1"/>
  <c r="M2520" i="6"/>
  <c r="N2520" i="6" s="1"/>
  <c r="R2520" i="6" s="1"/>
  <c r="M2584" i="6"/>
  <c r="N2584" i="6" s="1"/>
  <c r="R2584" i="6" s="1"/>
  <c r="M2712" i="6"/>
  <c r="N2712" i="6" s="1"/>
  <c r="M2776" i="6"/>
  <c r="N2776" i="6" s="1"/>
  <c r="R2776" i="6" s="1"/>
  <c r="M2840" i="6"/>
  <c r="N2840" i="6" s="1"/>
  <c r="R2840" i="6" s="1"/>
  <c r="M2904" i="6"/>
  <c r="N2904" i="6" s="1"/>
  <c r="M2968" i="6"/>
  <c r="N2968" i="6" s="1"/>
  <c r="M3032" i="6"/>
  <c r="N3032" i="6" s="1"/>
  <c r="R3032" i="6" s="1"/>
  <c r="M3096" i="6"/>
  <c r="N3096" i="6" s="1"/>
  <c r="M3160" i="6"/>
  <c r="N3160" i="6" s="1"/>
  <c r="R3160" i="6" s="1"/>
  <c r="M3224" i="6"/>
  <c r="N3224" i="6" s="1"/>
  <c r="R3224" i="6" s="1"/>
  <c r="M3288" i="6"/>
  <c r="N3288" i="6" s="1"/>
  <c r="R3288" i="6" s="1"/>
  <c r="M3352" i="6"/>
  <c r="N3352" i="6" s="1"/>
  <c r="R3352" i="6" s="1"/>
  <c r="M3416" i="6"/>
  <c r="N3416" i="6" s="1"/>
  <c r="M3480" i="6"/>
  <c r="N3480" i="6" s="1"/>
  <c r="M3544" i="6"/>
  <c r="N3544" i="6" s="1"/>
  <c r="M3608" i="6"/>
  <c r="N3608" i="6" s="1"/>
  <c r="M3672" i="6"/>
  <c r="N3672" i="6" s="1"/>
  <c r="R3672" i="6" s="1"/>
  <c r="M3736" i="6"/>
  <c r="N3736" i="6" s="1"/>
  <c r="R3736" i="6" s="1"/>
  <c r="M3800" i="6"/>
  <c r="N3800" i="6" s="1"/>
  <c r="R3800" i="6" s="1"/>
  <c r="M3864" i="6"/>
  <c r="N3864" i="6" s="1"/>
  <c r="R3864" i="6" s="1"/>
  <c r="M3928" i="6"/>
  <c r="N3928" i="6" s="1"/>
  <c r="M3992" i="6"/>
  <c r="N3992" i="6" s="1"/>
  <c r="M4056" i="6"/>
  <c r="N4056" i="6" s="1"/>
  <c r="R4056" i="6" s="1"/>
  <c r="M4120" i="6"/>
  <c r="N4120" i="6" s="1"/>
  <c r="M4184" i="6"/>
  <c r="N4184" i="6" s="1"/>
  <c r="R4184" i="6" s="1"/>
  <c r="M4248" i="6"/>
  <c r="N4248" i="6" s="1"/>
  <c r="R4248" i="6" s="1"/>
  <c r="M4312" i="6"/>
  <c r="N4312" i="6" s="1"/>
  <c r="R4312" i="6" s="1"/>
  <c r="M4376" i="6"/>
  <c r="N4376" i="6" s="1"/>
  <c r="R4376" i="6" s="1"/>
  <c r="M4440" i="6"/>
  <c r="N4440" i="6" s="1"/>
  <c r="R4440" i="6" s="1"/>
  <c r="M4504" i="6"/>
  <c r="N4504" i="6" s="1"/>
  <c r="M4568" i="6"/>
  <c r="N4568" i="6" s="1"/>
  <c r="M4632" i="6"/>
  <c r="N4632" i="6" s="1"/>
  <c r="M4696" i="6"/>
  <c r="N4696" i="6" s="1"/>
  <c r="R4696" i="6" s="1"/>
  <c r="M4760" i="6"/>
  <c r="N4760" i="6" s="1"/>
  <c r="R4760" i="6" s="1"/>
  <c r="M4824" i="6"/>
  <c r="N4824" i="6" s="1"/>
  <c r="R4824" i="6" s="1"/>
  <c r="M4888" i="6"/>
  <c r="N4888" i="6" s="1"/>
  <c r="R4888" i="6" s="1"/>
  <c r="M4952" i="6"/>
  <c r="N4952" i="6" s="1"/>
  <c r="M329" i="6"/>
  <c r="N329" i="6" s="1"/>
  <c r="M393" i="6"/>
  <c r="N393" i="6" s="1"/>
  <c r="R393" i="6" s="1"/>
  <c r="M457" i="6"/>
  <c r="N457" i="6" s="1"/>
  <c r="M521" i="6"/>
  <c r="N521" i="6" s="1"/>
  <c r="R521" i="6" s="1"/>
  <c r="M585" i="6"/>
  <c r="N585" i="6" s="1"/>
  <c r="R585" i="6" s="1"/>
  <c r="M649" i="6"/>
  <c r="N649" i="6" s="1"/>
  <c r="M713" i="6"/>
  <c r="N713" i="6" s="1"/>
  <c r="R713" i="6" s="1"/>
  <c r="M777" i="6"/>
  <c r="N777" i="6" s="1"/>
  <c r="M841" i="6"/>
  <c r="N841" i="6" s="1"/>
  <c r="M905" i="6"/>
  <c r="N905" i="6" s="1"/>
  <c r="R905" i="6" s="1"/>
  <c r="M969" i="6"/>
  <c r="N969" i="6" s="1"/>
  <c r="R969" i="6" s="1"/>
  <c r="M1033" i="6"/>
  <c r="N1033" i="6" s="1"/>
  <c r="R1033" i="6" s="1"/>
  <c r="M1097" i="6"/>
  <c r="N1097" i="6" s="1"/>
  <c r="R1097" i="6" s="1"/>
  <c r="M1161" i="6"/>
  <c r="N1161" i="6" s="1"/>
  <c r="R1161" i="6" s="1"/>
  <c r="M1225" i="6"/>
  <c r="N1225" i="6" s="1"/>
  <c r="R1225" i="6" s="1"/>
  <c r="M1289" i="6"/>
  <c r="N1289" i="6" s="1"/>
  <c r="M1353" i="6"/>
  <c r="N1353" i="6" s="1"/>
  <c r="M1417" i="6"/>
  <c r="N1417" i="6" s="1"/>
  <c r="R1417" i="6" s="1"/>
  <c r="M1481" i="6"/>
  <c r="N1481" i="6" s="1"/>
  <c r="R1481" i="6" s="1"/>
  <c r="M1545" i="6"/>
  <c r="N1545" i="6" s="1"/>
  <c r="R1545" i="6" s="1"/>
  <c r="M1609" i="6"/>
  <c r="N1609" i="6" s="1"/>
  <c r="R1609" i="6" s="1"/>
  <c r="M1673" i="6"/>
  <c r="N1673" i="6" s="1"/>
  <c r="R1673" i="6" s="1"/>
  <c r="M1737" i="6"/>
  <c r="N1737" i="6" s="1"/>
  <c r="R1737" i="6" s="1"/>
  <c r="M1801" i="6"/>
  <c r="N1801" i="6" s="1"/>
  <c r="M1865" i="6"/>
  <c r="N1865" i="6" s="1"/>
  <c r="M1929" i="6"/>
  <c r="N1929" i="6" s="1"/>
  <c r="R1929" i="6" s="1"/>
  <c r="M1993" i="6"/>
  <c r="N1993" i="6" s="1"/>
  <c r="R1993" i="6" s="1"/>
  <c r="M2057" i="6"/>
  <c r="N2057" i="6" s="1"/>
  <c r="R2057" i="6" s="1"/>
  <c r="M2121" i="6"/>
  <c r="N2121" i="6" s="1"/>
  <c r="R2121" i="6" s="1"/>
  <c r="M2185" i="6"/>
  <c r="N2185" i="6" s="1"/>
  <c r="R2185" i="6" s="1"/>
  <c r="M2249" i="6"/>
  <c r="N2249" i="6" s="1"/>
  <c r="R2249" i="6" s="1"/>
  <c r="M2313" i="6"/>
  <c r="N2313" i="6" s="1"/>
  <c r="M2377" i="6"/>
  <c r="N2377" i="6" s="1"/>
  <c r="M2441" i="6"/>
  <c r="N2441" i="6" s="1"/>
  <c r="R2441" i="6" s="1"/>
  <c r="M2505" i="6"/>
  <c r="N2505" i="6" s="1"/>
  <c r="R2505" i="6" s="1"/>
  <c r="M2569" i="6"/>
  <c r="N2569" i="6" s="1"/>
  <c r="R2569" i="6" s="1"/>
  <c r="M2633" i="6"/>
  <c r="N2633" i="6" s="1"/>
  <c r="R2633" i="6" s="1"/>
  <c r="M2697" i="6"/>
  <c r="N2697" i="6" s="1"/>
  <c r="R2697" i="6" s="1"/>
  <c r="M2761" i="6"/>
  <c r="N2761" i="6" s="1"/>
  <c r="M2825" i="6"/>
  <c r="N2825" i="6" s="1"/>
  <c r="M2889" i="6"/>
  <c r="N2889" i="6" s="1"/>
  <c r="M2953" i="6"/>
  <c r="N2953" i="6" s="1"/>
  <c r="R2953" i="6" s="1"/>
  <c r="M3017" i="6"/>
  <c r="N3017" i="6" s="1"/>
  <c r="M3081" i="6"/>
  <c r="N3081" i="6" s="1"/>
  <c r="R3081" i="6" s="1"/>
  <c r="M3145" i="6"/>
  <c r="N3145" i="6" s="1"/>
  <c r="R3145" i="6" s="1"/>
  <c r="M3209" i="6"/>
  <c r="N3209" i="6" s="1"/>
  <c r="R3209" i="6" s="1"/>
  <c r="M3273" i="6"/>
  <c r="N3273" i="6" s="1"/>
  <c r="R3273" i="6" s="1"/>
  <c r="M3337" i="6"/>
  <c r="N3337" i="6" s="1"/>
  <c r="M3401" i="6"/>
  <c r="N3401" i="6" s="1"/>
  <c r="M3529" i="6"/>
  <c r="N3529" i="6" s="1"/>
  <c r="M3657" i="6"/>
  <c r="N3657" i="6" s="1"/>
  <c r="R3657" i="6" s="1"/>
  <c r="M3721" i="6"/>
  <c r="N3721" i="6" s="1"/>
  <c r="R3721" i="6" s="1"/>
  <c r="M3785" i="6"/>
  <c r="N3785" i="6" s="1"/>
  <c r="R3785" i="6" s="1"/>
  <c r="M3849" i="6"/>
  <c r="N3849" i="6" s="1"/>
  <c r="R3849" i="6" s="1"/>
  <c r="M3913" i="6"/>
  <c r="N3913" i="6" s="1"/>
  <c r="R3913" i="6" s="1"/>
  <c r="M4041" i="6"/>
  <c r="N4041" i="6" s="1"/>
  <c r="M4169" i="6"/>
  <c r="N4169" i="6" s="1"/>
  <c r="M4233" i="6"/>
  <c r="N4233" i="6" s="1"/>
  <c r="R4233" i="6" s="1"/>
  <c r="M4297" i="6"/>
  <c r="N4297" i="6" s="1"/>
  <c r="M4425" i="6"/>
  <c r="N4425" i="6" s="1"/>
  <c r="R4425" i="6" s="1"/>
  <c r="M4489" i="6"/>
  <c r="N4489" i="6" s="1"/>
  <c r="R4489" i="6" s="1"/>
  <c r="M4553" i="6"/>
  <c r="N4553" i="6" s="1"/>
  <c r="R4553" i="6" s="1"/>
  <c r="M4617" i="6"/>
  <c r="N4617" i="6" s="1"/>
  <c r="R4617" i="6" s="1"/>
  <c r="M4681" i="6"/>
  <c r="N4681" i="6" s="1"/>
  <c r="M4745" i="6"/>
  <c r="N4745" i="6" s="1"/>
  <c r="M4809" i="6"/>
  <c r="N4809" i="6" s="1"/>
  <c r="R4809" i="6" s="1"/>
  <c r="M4873" i="6"/>
  <c r="N4873" i="6" s="1"/>
  <c r="M4937" i="6"/>
  <c r="N4937" i="6" s="1"/>
  <c r="R4937" i="6" s="1"/>
  <c r="M5001" i="6"/>
  <c r="N5001" i="6" s="1"/>
  <c r="R5001" i="6" s="1"/>
  <c r="M386" i="6"/>
  <c r="N386" i="6" s="1"/>
  <c r="R386" i="6" s="1"/>
  <c r="M450" i="6"/>
  <c r="N450" i="6" s="1"/>
  <c r="R450" i="6" s="1"/>
  <c r="M514" i="6"/>
  <c r="N514" i="6" s="1"/>
  <c r="M578" i="6"/>
  <c r="N578" i="6" s="1"/>
  <c r="M642" i="6"/>
  <c r="N642" i="6" s="1"/>
  <c r="R642" i="6" s="1"/>
  <c r="M706" i="6"/>
  <c r="N706" i="6" s="1"/>
  <c r="R706" i="6" s="1"/>
  <c r="M770" i="6"/>
  <c r="N770" i="6" s="1"/>
  <c r="R770" i="6" s="1"/>
  <c r="M834" i="6"/>
  <c r="N834" i="6" s="1"/>
  <c r="R834" i="6" s="1"/>
  <c r="M898" i="6"/>
  <c r="N898" i="6" s="1"/>
  <c r="R898" i="6" s="1"/>
  <c r="M962" i="6"/>
  <c r="N962" i="6" s="1"/>
  <c r="R962" i="6" s="1"/>
  <c r="M1026" i="6"/>
  <c r="N1026" i="6" s="1"/>
  <c r="M1090" i="6"/>
  <c r="N1090" i="6" s="1"/>
  <c r="M1154" i="6"/>
  <c r="N1154" i="6" s="1"/>
  <c r="R1154" i="6" s="1"/>
  <c r="M1218" i="6"/>
  <c r="N1218" i="6" s="1"/>
  <c r="M1282" i="6"/>
  <c r="N1282" i="6" s="1"/>
  <c r="R1282" i="6" s="1"/>
  <c r="M1346" i="6"/>
  <c r="N1346" i="6" s="1"/>
  <c r="R1346" i="6" s="1"/>
  <c r="M1410" i="6"/>
  <c r="N1410" i="6" s="1"/>
  <c r="R1410" i="6" s="1"/>
  <c r="M1474" i="6"/>
  <c r="N1474" i="6" s="1"/>
  <c r="R1474" i="6" s="1"/>
  <c r="M1538" i="6"/>
  <c r="N1538" i="6" s="1"/>
  <c r="M1602" i="6"/>
  <c r="N1602" i="6" s="1"/>
  <c r="M1666" i="6"/>
  <c r="N1666" i="6" s="1"/>
  <c r="R1666" i="6" s="1"/>
  <c r="M1730" i="6"/>
  <c r="N1730" i="6" s="1"/>
  <c r="R1730" i="6" s="1"/>
  <c r="M1794" i="6"/>
  <c r="N1794" i="6" s="1"/>
  <c r="R1794" i="6" s="1"/>
  <c r="M1858" i="6"/>
  <c r="N1858" i="6" s="1"/>
  <c r="R1858" i="6" s="1"/>
  <c r="M1922" i="6"/>
  <c r="N1922" i="6" s="1"/>
  <c r="R1922" i="6" s="1"/>
  <c r="M1986" i="6"/>
  <c r="N1986" i="6" s="1"/>
  <c r="R1986" i="6" s="1"/>
  <c r="M2050" i="6"/>
  <c r="N2050" i="6" s="1"/>
  <c r="M2114" i="6"/>
  <c r="N2114" i="6" s="1"/>
  <c r="M2178" i="6"/>
  <c r="N2178" i="6" s="1"/>
  <c r="R2178" i="6" s="1"/>
  <c r="M2242" i="6"/>
  <c r="N2242" i="6" s="1"/>
  <c r="M2306" i="6"/>
  <c r="N2306" i="6" s="1"/>
  <c r="R2306" i="6" s="1"/>
  <c r="M2370" i="6"/>
  <c r="N2370" i="6" s="1"/>
  <c r="M2434" i="6"/>
  <c r="N2434" i="6" s="1"/>
  <c r="R2434" i="6" s="1"/>
  <c r="M2498" i="6"/>
  <c r="N2498" i="6" s="1"/>
  <c r="R2498" i="6" s="1"/>
  <c r="M2562" i="6"/>
  <c r="N2562" i="6" s="1"/>
  <c r="M2626" i="6"/>
  <c r="N2626" i="6" s="1"/>
  <c r="M2690" i="6"/>
  <c r="N2690" i="6" s="1"/>
  <c r="M2754" i="6"/>
  <c r="N2754" i="6" s="1"/>
  <c r="M2818" i="6"/>
  <c r="N2818" i="6" s="1"/>
  <c r="R2818" i="6" s="1"/>
  <c r="M2882" i="6"/>
  <c r="N2882" i="6" s="1"/>
  <c r="R2882" i="6" s="1"/>
  <c r="M2946" i="6"/>
  <c r="N2946" i="6" s="1"/>
  <c r="R2946" i="6" s="1"/>
  <c r="M3010" i="6"/>
  <c r="N3010" i="6" s="1"/>
  <c r="R3010" i="6" s="1"/>
  <c r="M3074" i="6"/>
  <c r="N3074" i="6" s="1"/>
  <c r="M3138" i="6"/>
  <c r="N3138" i="6" s="1"/>
  <c r="M3202" i="6"/>
  <c r="N3202" i="6" s="1"/>
  <c r="R3202" i="6" s="1"/>
  <c r="M3266" i="6"/>
  <c r="N3266" i="6" s="1"/>
  <c r="M3330" i="6"/>
  <c r="N3330" i="6" s="1"/>
  <c r="R3330" i="6" s="1"/>
  <c r="M3394" i="6"/>
  <c r="N3394" i="6" s="1"/>
  <c r="R3394" i="6" s="1"/>
  <c r="M3458" i="6"/>
  <c r="N3458" i="6" s="1"/>
  <c r="R3458" i="6" s="1"/>
  <c r="M3522" i="6"/>
  <c r="N3522" i="6" s="1"/>
  <c r="R3522" i="6" s="1"/>
  <c r="M3586" i="6"/>
  <c r="N3586" i="6" s="1"/>
  <c r="M3650" i="6"/>
  <c r="N3650" i="6" s="1"/>
  <c r="M3714" i="6"/>
  <c r="N3714" i="6" s="1"/>
  <c r="R3714" i="6" s="1"/>
  <c r="M3778" i="6"/>
  <c r="N3778" i="6" s="1"/>
  <c r="R3778" i="6" s="1"/>
  <c r="M3906" i="6"/>
  <c r="N3906" i="6" s="1"/>
  <c r="R3906" i="6" s="1"/>
  <c r="M3970" i="6"/>
  <c r="N3970" i="6" s="1"/>
  <c r="R3970" i="6" s="1"/>
  <c r="M4034" i="6"/>
  <c r="N4034" i="6" s="1"/>
  <c r="R4034" i="6" s="1"/>
  <c r="M4098" i="6"/>
  <c r="N4098" i="6" s="1"/>
  <c r="R4098" i="6" s="1"/>
  <c r="M4226" i="6"/>
  <c r="N4226" i="6" s="1"/>
  <c r="M4290" i="6"/>
  <c r="N4290" i="6" s="1"/>
  <c r="M4354" i="6"/>
  <c r="N4354" i="6" s="1"/>
  <c r="R4354" i="6" s="1"/>
  <c r="M4418" i="6"/>
  <c r="N4418" i="6" s="1"/>
  <c r="R4418" i="6" s="1"/>
  <c r="M4482" i="6"/>
  <c r="N4482" i="6" s="1"/>
  <c r="R4482" i="6" s="1"/>
  <c r="M4546" i="6"/>
  <c r="N4546" i="6" s="1"/>
  <c r="R4546" i="6" s="1"/>
  <c r="M4610" i="6"/>
  <c r="N4610" i="6" s="1"/>
  <c r="R4610" i="6" s="1"/>
  <c r="M4674" i="6"/>
  <c r="N4674" i="6" s="1"/>
  <c r="R4674" i="6" s="1"/>
  <c r="M4738" i="6"/>
  <c r="N4738" i="6" s="1"/>
  <c r="M4802" i="6"/>
  <c r="N4802" i="6" s="1"/>
  <c r="M4930" i="6"/>
  <c r="N4930" i="6" s="1"/>
  <c r="R4930" i="6" s="1"/>
  <c r="M4994" i="6"/>
  <c r="N4994" i="6" s="1"/>
  <c r="R4994" i="6" s="1"/>
  <c r="M347" i="6"/>
  <c r="N347" i="6" s="1"/>
  <c r="R347" i="6" s="1"/>
  <c r="M411" i="6"/>
  <c r="N411" i="6" s="1"/>
  <c r="M475" i="6"/>
  <c r="N475" i="6" s="1"/>
  <c r="R475" i="6" s="1"/>
  <c r="M539" i="6"/>
  <c r="N539" i="6" s="1"/>
  <c r="R539" i="6" s="1"/>
  <c r="M603" i="6"/>
  <c r="N603" i="6" s="1"/>
  <c r="R603" i="6" s="1"/>
  <c r="M667" i="6"/>
  <c r="N667" i="6" s="1"/>
  <c r="M731" i="6"/>
  <c r="N731" i="6" s="1"/>
  <c r="R731" i="6" s="1"/>
  <c r="M795" i="6"/>
  <c r="N795" i="6" s="1"/>
  <c r="R795" i="6" s="1"/>
  <c r="M859" i="6"/>
  <c r="N859" i="6" s="1"/>
  <c r="M923" i="6"/>
  <c r="N923" i="6" s="1"/>
  <c r="R923" i="6" s="1"/>
  <c r="M987" i="6"/>
  <c r="N987" i="6" s="1"/>
  <c r="R987" i="6" s="1"/>
  <c r="M1051" i="6"/>
  <c r="N1051" i="6" s="1"/>
  <c r="R1051" i="6" s="1"/>
  <c r="M1115" i="6"/>
  <c r="N1115" i="6" s="1"/>
  <c r="M1179" i="6"/>
  <c r="N1179" i="6" s="1"/>
  <c r="R1179" i="6" s="1"/>
  <c r="M1243" i="6"/>
  <c r="N1243" i="6" s="1"/>
  <c r="M1371" i="6"/>
  <c r="N1371" i="6" s="1"/>
  <c r="M1435" i="6"/>
  <c r="N1435" i="6" s="1"/>
  <c r="R1435" i="6" s="1"/>
  <c r="M1499" i="6"/>
  <c r="N1499" i="6" s="1"/>
  <c r="R1499" i="6" s="1"/>
  <c r="M1563" i="6"/>
  <c r="N1563" i="6" s="1"/>
  <c r="R1563" i="6" s="1"/>
  <c r="M1627" i="6"/>
  <c r="N1627" i="6" s="1"/>
  <c r="R1627" i="6" s="1"/>
  <c r="M1691" i="6"/>
  <c r="N1691" i="6" s="1"/>
  <c r="M1755" i="6"/>
  <c r="N1755" i="6" s="1"/>
  <c r="M1819" i="6"/>
  <c r="N1819" i="6" s="1"/>
  <c r="R1819" i="6" s="1"/>
  <c r="M1883" i="6"/>
  <c r="N1883" i="6" s="1"/>
  <c r="R1883" i="6" s="1"/>
  <c r="M1947" i="6"/>
  <c r="N1947" i="6" s="1"/>
  <c r="R1947" i="6" s="1"/>
  <c r="M2011" i="6"/>
  <c r="N2011" i="6" s="1"/>
  <c r="R2011" i="6" s="1"/>
  <c r="M2075" i="6"/>
  <c r="N2075" i="6" s="1"/>
  <c r="R2075" i="6" s="1"/>
  <c r="M2139" i="6"/>
  <c r="N2139" i="6" s="1"/>
  <c r="R2139" i="6" s="1"/>
  <c r="M2203" i="6"/>
  <c r="N2203" i="6" s="1"/>
  <c r="M2267" i="6"/>
  <c r="N2267" i="6" s="1"/>
  <c r="M2331" i="6"/>
  <c r="N2331" i="6" s="1"/>
  <c r="M2395" i="6"/>
  <c r="N2395" i="6" s="1"/>
  <c r="M2459" i="6"/>
  <c r="N2459" i="6" s="1"/>
  <c r="R2459" i="6" s="1"/>
  <c r="M2587" i="6"/>
  <c r="N2587" i="6" s="1"/>
  <c r="R2587" i="6" s="1"/>
  <c r="M2651" i="6"/>
  <c r="N2651" i="6" s="1"/>
  <c r="R2651" i="6" s="1"/>
  <c r="M2715" i="6"/>
  <c r="N2715" i="6" s="1"/>
  <c r="R2715" i="6" s="1"/>
  <c r="M2779" i="6"/>
  <c r="N2779" i="6" s="1"/>
  <c r="M2843" i="6"/>
  <c r="N2843" i="6" s="1"/>
  <c r="M2907" i="6"/>
  <c r="N2907" i="6" s="1"/>
  <c r="R2907" i="6" s="1"/>
  <c r="M2971" i="6"/>
  <c r="N2971" i="6" s="1"/>
  <c r="R2971" i="6" s="1"/>
  <c r="M3035" i="6"/>
  <c r="N3035" i="6" s="1"/>
  <c r="R3035" i="6" s="1"/>
  <c r="M3099" i="6"/>
  <c r="N3099" i="6" s="1"/>
  <c r="R3099" i="6" s="1"/>
  <c r="M3163" i="6"/>
  <c r="N3163" i="6" s="1"/>
  <c r="R3163" i="6" s="1"/>
  <c r="M3227" i="6"/>
  <c r="N3227" i="6" s="1"/>
  <c r="R3227" i="6" s="1"/>
  <c r="M3291" i="6"/>
  <c r="N3291" i="6" s="1"/>
  <c r="R3291" i="6" s="1"/>
  <c r="M3355" i="6"/>
  <c r="N3355" i="6" s="1"/>
  <c r="M3547" i="6"/>
  <c r="N3547" i="6" s="1"/>
  <c r="R3547" i="6" s="1"/>
  <c r="M3611" i="6"/>
  <c r="N3611" i="6" s="1"/>
  <c r="M3675" i="6"/>
  <c r="N3675" i="6" s="1"/>
  <c r="R3675" i="6" s="1"/>
  <c r="M3739" i="6"/>
  <c r="N3739" i="6" s="1"/>
  <c r="R3739" i="6" s="1"/>
  <c r="M3803" i="6"/>
  <c r="N3803" i="6" s="1"/>
  <c r="R3803" i="6" s="1"/>
  <c r="M3867" i="6"/>
  <c r="N3867" i="6" s="1"/>
  <c r="R3867" i="6" s="1"/>
  <c r="M3931" i="6"/>
  <c r="N3931" i="6" s="1"/>
  <c r="M3995" i="6"/>
  <c r="N3995" i="6" s="1"/>
  <c r="M4059" i="6"/>
  <c r="N4059" i="6" s="1"/>
  <c r="M4123" i="6"/>
  <c r="N4123" i="6" s="1"/>
  <c r="M4187" i="6"/>
  <c r="N4187" i="6" s="1"/>
  <c r="R4187" i="6" s="1"/>
  <c r="M4251" i="6"/>
  <c r="N4251" i="6" s="1"/>
  <c r="R4251" i="6" s="1"/>
  <c r="M4315" i="6"/>
  <c r="N4315" i="6" s="1"/>
  <c r="R4315" i="6" s="1"/>
  <c r="M4379" i="6"/>
  <c r="N4379" i="6" s="1"/>
  <c r="R4379" i="6" s="1"/>
  <c r="M4443" i="6"/>
  <c r="N4443" i="6" s="1"/>
  <c r="M4571" i="6"/>
  <c r="N4571" i="6" s="1"/>
  <c r="M4635" i="6"/>
  <c r="N4635" i="6" s="1"/>
  <c r="R4635" i="6" s="1"/>
  <c r="M4699" i="6"/>
  <c r="N4699" i="6" s="1"/>
  <c r="R4699" i="6" s="1"/>
  <c r="M4763" i="6"/>
  <c r="N4763" i="6" s="1"/>
  <c r="R4763" i="6" s="1"/>
  <c r="M4827" i="6"/>
  <c r="N4827" i="6" s="1"/>
  <c r="R4827" i="6" s="1"/>
  <c r="M4891" i="6"/>
  <c r="N4891" i="6" s="1"/>
  <c r="R4891" i="6" s="1"/>
  <c r="M4955" i="6"/>
  <c r="N4955" i="6" s="1"/>
  <c r="R4955" i="6" s="1"/>
  <c r="M20" i="6"/>
  <c r="N20" i="6" s="1"/>
  <c r="M84" i="6"/>
  <c r="N84" i="6" s="1"/>
  <c r="M148" i="6"/>
  <c r="N148" i="6" s="1"/>
  <c r="R148" i="6" s="1"/>
  <c r="M212" i="6"/>
  <c r="N212" i="6" s="1"/>
  <c r="M276" i="6"/>
  <c r="N276" i="6" s="1"/>
  <c r="R276" i="6" s="1"/>
  <c r="M340" i="6"/>
  <c r="N340" i="6" s="1"/>
  <c r="R340" i="6" s="1"/>
  <c r="M468" i="6"/>
  <c r="N468" i="6" s="1"/>
  <c r="R468" i="6" s="1"/>
  <c r="M532" i="6"/>
  <c r="N532" i="6" s="1"/>
  <c r="R532" i="6" s="1"/>
  <c r="M596" i="6"/>
  <c r="N596" i="6" s="1"/>
  <c r="M660" i="6"/>
  <c r="N660" i="6" s="1"/>
  <c r="M724" i="6"/>
  <c r="N724" i="6" s="1"/>
  <c r="M788" i="6"/>
  <c r="N788" i="6" s="1"/>
  <c r="R788" i="6" s="1"/>
  <c r="M852" i="6"/>
  <c r="N852" i="6" s="1"/>
  <c r="R852" i="6" s="1"/>
  <c r="M916" i="6"/>
  <c r="N916" i="6" s="1"/>
  <c r="R916" i="6" s="1"/>
  <c r="M980" i="6"/>
  <c r="N980" i="6" s="1"/>
  <c r="R980" i="6" s="1"/>
  <c r="M1044" i="6"/>
  <c r="N1044" i="6" s="1"/>
  <c r="R1044" i="6" s="1"/>
  <c r="M1108" i="6"/>
  <c r="N1108" i="6" s="1"/>
  <c r="M1172" i="6"/>
  <c r="N1172" i="6" s="1"/>
  <c r="M1236" i="6"/>
  <c r="N1236" i="6" s="1"/>
  <c r="R1236" i="6" s="1"/>
  <c r="M1364" i="6"/>
  <c r="N1364" i="6" s="1"/>
  <c r="M1428" i="6"/>
  <c r="N1428" i="6" s="1"/>
  <c r="R1428" i="6" s="1"/>
  <c r="M1492" i="6"/>
  <c r="N1492" i="6" s="1"/>
  <c r="R1492" i="6" s="1"/>
  <c r="M1556" i="6"/>
  <c r="N1556" i="6" s="1"/>
  <c r="R1556" i="6" s="1"/>
  <c r="M1620" i="6"/>
  <c r="N1620" i="6" s="1"/>
  <c r="R1620" i="6" s="1"/>
  <c r="M1684" i="6"/>
  <c r="N1684" i="6" s="1"/>
  <c r="M1748" i="6"/>
  <c r="N1748" i="6" s="1"/>
  <c r="M1812" i="6"/>
  <c r="N1812" i="6" s="1"/>
  <c r="M1876" i="6"/>
  <c r="N1876" i="6" s="1"/>
  <c r="R1876" i="6" s="1"/>
  <c r="M1940" i="6"/>
  <c r="N1940" i="6" s="1"/>
  <c r="R1940" i="6" s="1"/>
  <c r="M2004" i="6"/>
  <c r="N2004" i="6" s="1"/>
  <c r="R2004" i="6" s="1"/>
  <c r="M2068" i="6"/>
  <c r="N2068" i="6" s="1"/>
  <c r="R2068" i="6" s="1"/>
  <c r="M2132" i="6"/>
  <c r="N2132" i="6" s="1"/>
  <c r="R2132" i="6" s="1"/>
  <c r="M2196" i="6"/>
  <c r="N2196" i="6" s="1"/>
  <c r="M2260" i="6"/>
  <c r="N2260" i="6" s="1"/>
  <c r="M2324" i="6"/>
  <c r="N2324" i="6" s="1"/>
  <c r="R2324" i="6" s="1"/>
  <c r="M2388" i="6"/>
  <c r="N2388" i="6" s="1"/>
  <c r="R2388" i="6" s="1"/>
  <c r="M2452" i="6"/>
  <c r="N2452" i="6" s="1"/>
  <c r="R2452" i="6" s="1"/>
  <c r="M2516" i="6"/>
  <c r="N2516" i="6" s="1"/>
  <c r="R2516" i="6" s="1"/>
  <c r="M2580" i="6"/>
  <c r="N2580" i="6" s="1"/>
  <c r="R2580" i="6" s="1"/>
  <c r="M2644" i="6"/>
  <c r="N2644" i="6" s="1"/>
  <c r="R2644" i="6" s="1"/>
  <c r="M2708" i="6"/>
  <c r="N2708" i="6" s="1"/>
  <c r="M2772" i="6"/>
  <c r="N2772" i="6" s="1"/>
  <c r="M2836" i="6"/>
  <c r="N2836" i="6" s="1"/>
  <c r="R2836" i="6" s="1"/>
  <c r="M2900" i="6"/>
  <c r="N2900" i="6" s="1"/>
  <c r="R2900" i="6" s="1"/>
  <c r="M2964" i="6"/>
  <c r="N2964" i="6" s="1"/>
  <c r="R2964" i="6" s="1"/>
  <c r="M3028" i="6"/>
  <c r="N3028" i="6" s="1"/>
  <c r="R3028" i="6" s="1"/>
  <c r="M3092" i="6"/>
  <c r="N3092" i="6" s="1"/>
  <c r="R3092" i="6" s="1"/>
  <c r="M3156" i="6"/>
  <c r="N3156" i="6" s="1"/>
  <c r="R3156" i="6" s="1"/>
  <c r="M3220" i="6"/>
  <c r="N3220" i="6" s="1"/>
  <c r="R3220" i="6" s="1"/>
  <c r="M3284" i="6"/>
  <c r="N3284" i="6" s="1"/>
  <c r="M3348" i="6"/>
  <c r="N3348" i="6" s="1"/>
  <c r="M3412" i="6"/>
  <c r="N3412" i="6" s="1"/>
  <c r="M3476" i="6"/>
  <c r="N3476" i="6" s="1"/>
  <c r="R3476" i="6" s="1"/>
  <c r="M3540" i="6"/>
  <c r="N3540" i="6" s="1"/>
  <c r="M3604" i="6"/>
  <c r="N3604" i="6" s="1"/>
  <c r="R3604" i="6" s="1"/>
  <c r="M3668" i="6"/>
  <c r="N3668" i="6" s="1"/>
  <c r="R3668" i="6" s="1"/>
  <c r="M3796" i="6"/>
  <c r="N3796" i="6" s="1"/>
  <c r="M3860" i="6"/>
  <c r="N3860" i="6" s="1"/>
  <c r="M3924" i="6"/>
  <c r="N3924" i="6" s="1"/>
  <c r="R3924" i="6" s="1"/>
  <c r="M3988" i="6"/>
  <c r="N3988" i="6" s="1"/>
  <c r="M4052" i="6"/>
  <c r="N4052" i="6" s="1"/>
  <c r="R4052" i="6" s="1"/>
  <c r="M4116" i="6"/>
  <c r="N4116" i="6" s="1"/>
  <c r="R4116" i="6" s="1"/>
  <c r="M4180" i="6"/>
  <c r="N4180" i="6" s="1"/>
  <c r="R4180" i="6" s="1"/>
  <c r="M4244" i="6"/>
  <c r="N4244" i="6" s="1"/>
  <c r="R4244" i="6" s="1"/>
  <c r="M4372" i="6"/>
  <c r="N4372" i="6" s="1"/>
  <c r="M4436" i="6"/>
  <c r="N4436" i="6" s="1"/>
  <c r="M341" i="6"/>
  <c r="N341" i="6" s="1"/>
  <c r="R341" i="6" s="1"/>
  <c r="M405" i="6"/>
  <c r="N405" i="6" s="1"/>
  <c r="R405" i="6" s="1"/>
  <c r="M469" i="6"/>
  <c r="N469" i="6" s="1"/>
  <c r="R469" i="6" s="1"/>
  <c r="M533" i="6"/>
  <c r="N533" i="6" s="1"/>
  <c r="R533" i="6" s="1"/>
  <c r="M597" i="6"/>
  <c r="N597" i="6" s="1"/>
  <c r="R597" i="6" s="1"/>
  <c r="M661" i="6"/>
  <c r="N661" i="6" s="1"/>
  <c r="R661" i="6" s="1"/>
  <c r="M725" i="6"/>
  <c r="N725" i="6" s="1"/>
  <c r="M789" i="6"/>
  <c r="N789" i="6" s="1"/>
  <c r="M853" i="6"/>
  <c r="N853" i="6" s="1"/>
  <c r="R853" i="6" s="1"/>
  <c r="M917" i="6"/>
  <c r="N917" i="6" s="1"/>
  <c r="M981" i="6"/>
  <c r="N981" i="6" s="1"/>
  <c r="R981" i="6" s="1"/>
  <c r="M1045" i="6"/>
  <c r="N1045" i="6" s="1"/>
  <c r="R1045" i="6" s="1"/>
  <c r="M1109" i="6"/>
  <c r="N1109" i="6" s="1"/>
  <c r="R1109" i="6" s="1"/>
  <c r="M1173" i="6"/>
  <c r="N1173" i="6" s="1"/>
  <c r="R1173" i="6" s="1"/>
  <c r="M1237" i="6"/>
  <c r="N1237" i="6" s="1"/>
  <c r="M1301" i="6"/>
  <c r="N1301" i="6" s="1"/>
  <c r="M1365" i="6"/>
  <c r="N1365" i="6" s="1"/>
  <c r="R1365" i="6" s="1"/>
  <c r="M1429" i="6"/>
  <c r="N1429" i="6" s="1"/>
  <c r="R1429" i="6" s="1"/>
  <c r="M1493" i="6"/>
  <c r="N1493" i="6" s="1"/>
  <c r="R1493" i="6" s="1"/>
  <c r="M1557" i="6"/>
  <c r="N1557" i="6" s="1"/>
  <c r="R1557" i="6" s="1"/>
  <c r="M1621" i="6"/>
  <c r="N1621" i="6" s="1"/>
  <c r="R1621" i="6" s="1"/>
  <c r="M1685" i="6"/>
  <c r="N1685" i="6" s="1"/>
  <c r="R1685" i="6" s="1"/>
  <c r="M1749" i="6"/>
  <c r="N1749" i="6" s="1"/>
  <c r="M1813" i="6"/>
  <c r="N1813" i="6" s="1"/>
  <c r="M1877" i="6"/>
  <c r="N1877" i="6" s="1"/>
  <c r="R1877" i="6" s="1"/>
  <c r="M1941" i="6"/>
  <c r="N1941" i="6" s="1"/>
  <c r="M2005" i="6"/>
  <c r="N2005" i="6" s="1"/>
  <c r="R2005" i="6" s="1"/>
  <c r="M2069" i="6"/>
  <c r="N2069" i="6" s="1"/>
  <c r="R2069" i="6" s="1"/>
  <c r="M2133" i="6"/>
  <c r="N2133" i="6" s="1"/>
  <c r="R2133" i="6" s="1"/>
  <c r="M2197" i="6"/>
  <c r="N2197" i="6" s="1"/>
  <c r="R2197" i="6" s="1"/>
  <c r="M2261" i="6"/>
  <c r="N2261" i="6" s="1"/>
  <c r="M2325" i="6"/>
  <c r="N2325" i="6" s="1"/>
  <c r="M2389" i="6"/>
  <c r="N2389" i="6" s="1"/>
  <c r="R2389" i="6" s="1"/>
  <c r="M2453" i="6"/>
  <c r="N2453" i="6" s="1"/>
  <c r="M2581" i="6"/>
  <c r="N2581" i="6" s="1"/>
  <c r="R2581" i="6" s="1"/>
  <c r="M2709" i="6"/>
  <c r="N2709" i="6" s="1"/>
  <c r="R2709" i="6" s="1"/>
  <c r="M2837" i="6"/>
  <c r="N2837" i="6" s="1"/>
  <c r="R2837" i="6" s="1"/>
  <c r="M2901" i="6"/>
  <c r="N2901" i="6" s="1"/>
  <c r="R2901" i="6" s="1"/>
  <c r="M2965" i="6"/>
  <c r="N2965" i="6" s="1"/>
  <c r="M3029" i="6"/>
  <c r="N3029" i="6" s="1"/>
  <c r="M3093" i="6"/>
  <c r="N3093" i="6" s="1"/>
  <c r="M3157" i="6"/>
  <c r="N3157" i="6" s="1"/>
  <c r="R3157" i="6" s="1"/>
  <c r="M3221" i="6"/>
  <c r="N3221" i="6" s="1"/>
  <c r="R3221" i="6" s="1"/>
  <c r="M3285" i="6"/>
  <c r="N3285" i="6" s="1"/>
  <c r="R3285" i="6" s="1"/>
  <c r="M3349" i="6"/>
  <c r="N3349" i="6" s="1"/>
  <c r="R3349" i="6" s="1"/>
  <c r="M3413" i="6"/>
  <c r="N3413" i="6" s="1"/>
  <c r="R3413" i="6" s="1"/>
  <c r="M3477" i="6"/>
  <c r="N3477" i="6" s="1"/>
  <c r="M3541" i="6"/>
  <c r="N3541" i="6" s="1"/>
  <c r="M3605" i="6"/>
  <c r="N3605" i="6" s="1"/>
  <c r="R3605" i="6" s="1"/>
  <c r="M3669" i="6"/>
  <c r="N3669" i="6" s="1"/>
  <c r="M3733" i="6"/>
  <c r="N3733" i="6" s="1"/>
  <c r="R3733" i="6" s="1"/>
  <c r="M3861" i="6"/>
  <c r="N3861" i="6" s="1"/>
  <c r="R3861" i="6" s="1"/>
  <c r="M3925" i="6"/>
  <c r="N3925" i="6" s="1"/>
  <c r="R3925" i="6" s="1"/>
  <c r="M3989" i="6"/>
  <c r="N3989" i="6" s="1"/>
  <c r="R3989" i="6" s="1"/>
  <c r="M4053" i="6"/>
  <c r="N4053" i="6" s="1"/>
  <c r="M4117" i="6"/>
  <c r="N4117" i="6" s="1"/>
  <c r="M4181" i="6"/>
  <c r="N4181" i="6" s="1"/>
  <c r="R4181" i="6" s="1"/>
  <c r="M4245" i="6"/>
  <c r="N4245" i="6" s="1"/>
  <c r="R4245" i="6" s="1"/>
  <c r="M4309" i="6"/>
  <c r="N4309" i="6" s="1"/>
  <c r="R4309" i="6" s="1"/>
  <c r="M4373" i="6"/>
  <c r="N4373" i="6" s="1"/>
  <c r="R4373" i="6" s="1"/>
  <c r="M4437" i="6"/>
  <c r="N4437" i="6" s="1"/>
  <c r="R4437" i="6" s="1"/>
  <c r="M4501" i="6"/>
  <c r="N4501" i="6" s="1"/>
  <c r="R4501" i="6" s="1"/>
  <c r="M4565" i="6"/>
  <c r="N4565" i="6" s="1"/>
  <c r="M4629" i="6"/>
  <c r="N4629" i="6" s="1"/>
  <c r="M4693" i="6"/>
  <c r="N4693" i="6" s="1"/>
  <c r="M4757" i="6"/>
  <c r="N4757" i="6" s="1"/>
  <c r="M4821" i="6"/>
  <c r="N4821" i="6" s="1"/>
  <c r="R4821" i="6" s="1"/>
  <c r="M4885" i="6"/>
  <c r="N4885" i="6" s="1"/>
  <c r="R4885" i="6" s="1"/>
  <c r="M4949" i="6"/>
  <c r="N4949" i="6" s="1"/>
  <c r="R4949" i="6" s="1"/>
  <c r="M214" i="6"/>
  <c r="N214" i="6" s="1"/>
  <c r="R214" i="6" s="1"/>
  <c r="M390" i="6"/>
  <c r="N390" i="6" s="1"/>
  <c r="M454" i="6"/>
  <c r="N454" i="6" s="1"/>
  <c r="M518" i="6"/>
  <c r="N518" i="6" s="1"/>
  <c r="R518" i="6" s="1"/>
  <c r="M582" i="6"/>
  <c r="N582" i="6" s="1"/>
  <c r="R582" i="6" s="1"/>
  <c r="M646" i="6"/>
  <c r="N646" i="6" s="1"/>
  <c r="R646" i="6" s="1"/>
  <c r="M710" i="6"/>
  <c r="N710" i="6" s="1"/>
  <c r="R710" i="6" s="1"/>
  <c r="M774" i="6"/>
  <c r="N774" i="6" s="1"/>
  <c r="R774" i="6" s="1"/>
  <c r="M838" i="6"/>
  <c r="N838" i="6" s="1"/>
  <c r="R838" i="6" s="1"/>
  <c r="M902" i="6"/>
  <c r="N902" i="6" s="1"/>
  <c r="M966" i="6"/>
  <c r="N966" i="6" s="1"/>
  <c r="M1030" i="6"/>
  <c r="N1030" i="6" s="1"/>
  <c r="R1030" i="6" s="1"/>
  <c r="M1094" i="6"/>
  <c r="N1094" i="6" s="1"/>
  <c r="M1158" i="6"/>
  <c r="N1158" i="6" s="1"/>
  <c r="R1158" i="6" s="1"/>
  <c r="M1222" i="6"/>
  <c r="N1222" i="6" s="1"/>
  <c r="R1222" i="6" s="1"/>
  <c r="M1286" i="6"/>
  <c r="N1286" i="6" s="1"/>
  <c r="R1286" i="6" s="1"/>
  <c r="M1350" i="6"/>
  <c r="N1350" i="6" s="1"/>
  <c r="R1350" i="6" s="1"/>
  <c r="M1414" i="6"/>
  <c r="N1414" i="6" s="1"/>
  <c r="M1478" i="6"/>
  <c r="N1478" i="6" s="1"/>
  <c r="M1542" i="6"/>
  <c r="N1542" i="6" s="1"/>
  <c r="R1542" i="6" s="1"/>
  <c r="M1606" i="6"/>
  <c r="N1606" i="6" s="1"/>
  <c r="R1606" i="6" s="1"/>
  <c r="M1670" i="6"/>
  <c r="N1670" i="6" s="1"/>
  <c r="R1670" i="6" s="1"/>
  <c r="M1734" i="6"/>
  <c r="N1734" i="6" s="1"/>
  <c r="R1734" i="6" s="1"/>
  <c r="M1798" i="6"/>
  <c r="N1798" i="6" s="1"/>
  <c r="R1798" i="6" s="1"/>
  <c r="M1862" i="6"/>
  <c r="N1862" i="6" s="1"/>
  <c r="R1862" i="6" s="1"/>
  <c r="M1926" i="6"/>
  <c r="N1926" i="6" s="1"/>
  <c r="M1990" i="6"/>
  <c r="N1990" i="6" s="1"/>
  <c r="R1990" i="6" s="1"/>
  <c r="M2054" i="6"/>
  <c r="N2054" i="6" s="1"/>
  <c r="R2054" i="6" s="1"/>
  <c r="M2118" i="6"/>
  <c r="N2118" i="6" s="1"/>
  <c r="M2182" i="6"/>
  <c r="N2182" i="6" s="1"/>
  <c r="R2182" i="6" s="1"/>
  <c r="M2246" i="6"/>
  <c r="N2246" i="6" s="1"/>
  <c r="R2246" i="6" s="1"/>
  <c r="M2310" i="6"/>
  <c r="N2310" i="6" s="1"/>
  <c r="R2310" i="6" s="1"/>
  <c r="M2374" i="6"/>
  <c r="N2374" i="6" s="1"/>
  <c r="R2374" i="6" s="1"/>
  <c r="M2438" i="6"/>
  <c r="N2438" i="6" s="1"/>
  <c r="M2502" i="6"/>
  <c r="N2502" i="6" s="1"/>
  <c r="M2566" i="6"/>
  <c r="N2566" i="6" s="1"/>
  <c r="R2566" i="6" s="1"/>
  <c r="M2630" i="6"/>
  <c r="N2630" i="6" s="1"/>
  <c r="R2630" i="6" s="1"/>
  <c r="M2694" i="6"/>
  <c r="N2694" i="6" s="1"/>
  <c r="R2694" i="6" s="1"/>
  <c r="M2758" i="6"/>
  <c r="N2758" i="6" s="1"/>
  <c r="R2758" i="6" s="1"/>
  <c r="M2822" i="6"/>
  <c r="N2822" i="6" s="1"/>
  <c r="R2822" i="6" s="1"/>
  <c r="M2886" i="6"/>
  <c r="N2886" i="6" s="1"/>
  <c r="R2886" i="6" s="1"/>
  <c r="M2950" i="6"/>
  <c r="N2950" i="6" s="1"/>
  <c r="M3014" i="6"/>
  <c r="N3014" i="6" s="1"/>
  <c r="M3078" i="6"/>
  <c r="N3078" i="6" s="1"/>
  <c r="R3078" i="6" s="1"/>
  <c r="M3142" i="6"/>
  <c r="N3142" i="6" s="1"/>
  <c r="R3142" i="6" s="1"/>
  <c r="M3206" i="6"/>
  <c r="N3206" i="6" s="1"/>
  <c r="R3206" i="6" s="1"/>
  <c r="M3270" i="6"/>
  <c r="N3270" i="6" s="1"/>
  <c r="R3270" i="6" s="1"/>
  <c r="M3334" i="6"/>
  <c r="N3334" i="6" s="1"/>
  <c r="R3334" i="6" s="1"/>
  <c r="M3398" i="6"/>
  <c r="N3398" i="6" s="1"/>
  <c r="R3398" i="6" s="1"/>
  <c r="M3462" i="6"/>
  <c r="N3462" i="6" s="1"/>
  <c r="M3526" i="6"/>
  <c r="N3526" i="6" s="1"/>
  <c r="M3590" i="6"/>
  <c r="N3590" i="6" s="1"/>
  <c r="R3590" i="6" s="1"/>
  <c r="M3654" i="6"/>
  <c r="N3654" i="6" s="1"/>
  <c r="R3654" i="6" s="1"/>
  <c r="M3718" i="6"/>
  <c r="N3718" i="6" s="1"/>
  <c r="R3718" i="6" s="1"/>
  <c r="M3782" i="6"/>
  <c r="N3782" i="6" s="1"/>
  <c r="R3782" i="6" s="1"/>
  <c r="M3910" i="6"/>
  <c r="N3910" i="6" s="1"/>
  <c r="R3910" i="6" s="1"/>
  <c r="M3974" i="6"/>
  <c r="N3974" i="6" s="1"/>
  <c r="R3974" i="6" s="1"/>
  <c r="M4038" i="6"/>
  <c r="N4038" i="6" s="1"/>
  <c r="R4038" i="6" s="1"/>
  <c r="M4102" i="6"/>
  <c r="N4102" i="6" s="1"/>
  <c r="M4166" i="6"/>
  <c r="N4166" i="6" s="1"/>
  <c r="R4166" i="6" s="1"/>
  <c r="M4230" i="6"/>
  <c r="N4230" i="6" s="1"/>
  <c r="R4230" i="6" s="1"/>
  <c r="M4294" i="6"/>
  <c r="N4294" i="6" s="1"/>
  <c r="R4294" i="6" s="1"/>
  <c r="M4358" i="6"/>
  <c r="N4358" i="6" s="1"/>
  <c r="R4358" i="6" s="1"/>
  <c r="M4422" i="6"/>
  <c r="N4422" i="6" s="1"/>
  <c r="R4422" i="6" s="1"/>
  <c r="M4486" i="6"/>
  <c r="N4486" i="6" s="1"/>
  <c r="R4486" i="6" s="1"/>
  <c r="M4550" i="6"/>
  <c r="N4550" i="6" s="1"/>
  <c r="M4614" i="6"/>
  <c r="N4614" i="6" s="1"/>
  <c r="M4678" i="6"/>
  <c r="N4678" i="6" s="1"/>
  <c r="R4678" i="6" s="1"/>
  <c r="M4742" i="6"/>
  <c r="N4742" i="6" s="1"/>
  <c r="M4870" i="6"/>
  <c r="N4870" i="6" s="1"/>
  <c r="R4870" i="6" s="1"/>
  <c r="M4934" i="6"/>
  <c r="N4934" i="6" s="1"/>
  <c r="R4934" i="6" s="1"/>
  <c r="M4998" i="6"/>
  <c r="N4998" i="6" s="1"/>
  <c r="R4998" i="6" s="1"/>
  <c r="M359" i="6"/>
  <c r="N359" i="6" s="1"/>
  <c r="M423" i="6"/>
  <c r="N423" i="6" s="1"/>
  <c r="M487" i="6"/>
  <c r="N487" i="6" s="1"/>
  <c r="M551" i="6"/>
  <c r="N551" i="6" s="1"/>
  <c r="R551" i="6" s="1"/>
  <c r="M615" i="6"/>
  <c r="N615" i="6" s="1"/>
  <c r="R615" i="6" s="1"/>
  <c r="M679" i="6"/>
  <c r="N679" i="6" s="1"/>
  <c r="R679" i="6" s="1"/>
  <c r="M743" i="6"/>
  <c r="N743" i="6" s="1"/>
  <c r="R743" i="6" s="1"/>
  <c r="M807" i="6"/>
  <c r="N807" i="6" s="1"/>
  <c r="R807" i="6" s="1"/>
  <c r="M871" i="6"/>
  <c r="N871" i="6" s="1"/>
  <c r="R871" i="6" s="1"/>
  <c r="M935" i="6"/>
  <c r="N935" i="6" s="1"/>
  <c r="M999" i="6"/>
  <c r="N999" i="6" s="1"/>
  <c r="M1063" i="6"/>
  <c r="N1063" i="6" s="1"/>
  <c r="R1063" i="6" s="1"/>
  <c r="M1127" i="6"/>
  <c r="N1127" i="6" s="1"/>
  <c r="M1191" i="6"/>
  <c r="N1191" i="6" s="1"/>
  <c r="R1191" i="6" s="1"/>
  <c r="M1255" i="6"/>
  <c r="N1255" i="6" s="1"/>
  <c r="R1255" i="6" s="1"/>
  <c r="M1319" i="6"/>
  <c r="N1319" i="6" s="1"/>
  <c r="R1319" i="6" s="1"/>
  <c r="M1383" i="6"/>
  <c r="N1383" i="6" s="1"/>
  <c r="R1383" i="6" s="1"/>
  <c r="M1447" i="6"/>
  <c r="N1447" i="6" s="1"/>
  <c r="M1511" i="6"/>
  <c r="N1511" i="6" s="1"/>
  <c r="M1575" i="6"/>
  <c r="N1575" i="6" s="1"/>
  <c r="R1575" i="6" s="1"/>
  <c r="M1639" i="6"/>
  <c r="N1639" i="6" s="1"/>
  <c r="R1639" i="6" s="1"/>
  <c r="M1703" i="6"/>
  <c r="N1703" i="6" s="1"/>
  <c r="R1703" i="6" s="1"/>
  <c r="M1767" i="6"/>
  <c r="N1767" i="6" s="1"/>
  <c r="R1767" i="6" s="1"/>
  <c r="M1831" i="6"/>
  <c r="N1831" i="6" s="1"/>
  <c r="R1831" i="6" s="1"/>
  <c r="M1895" i="6"/>
  <c r="N1895" i="6" s="1"/>
  <c r="R1895" i="6" s="1"/>
  <c r="M1959" i="6"/>
  <c r="N1959" i="6" s="1"/>
  <c r="M2023" i="6"/>
  <c r="N2023" i="6" s="1"/>
  <c r="M2087" i="6"/>
  <c r="N2087" i="6" s="1"/>
  <c r="R2087" i="6" s="1"/>
  <c r="M2151" i="6"/>
  <c r="N2151" i="6" s="1"/>
  <c r="R2151" i="6" s="1"/>
  <c r="M2215" i="6"/>
  <c r="N2215" i="6" s="1"/>
  <c r="R2215" i="6" s="1"/>
  <c r="M2279" i="6"/>
  <c r="N2279" i="6" s="1"/>
  <c r="M2343" i="6"/>
  <c r="N2343" i="6" s="1"/>
  <c r="R2343" i="6" s="1"/>
  <c r="M2407" i="6"/>
  <c r="N2407" i="6" s="1"/>
  <c r="R2407" i="6" s="1"/>
  <c r="M2471" i="6"/>
  <c r="N2471" i="6" s="1"/>
  <c r="M2535" i="6"/>
  <c r="N2535" i="6" s="1"/>
  <c r="M2599" i="6"/>
  <c r="N2599" i="6" s="1"/>
  <c r="R2599" i="6" s="1"/>
  <c r="M2663" i="6"/>
  <c r="N2663" i="6" s="1"/>
  <c r="M2727" i="6"/>
  <c r="N2727" i="6" s="1"/>
  <c r="R2727" i="6" s="1"/>
  <c r="M2791" i="6"/>
  <c r="N2791" i="6" s="1"/>
  <c r="R2791" i="6" s="1"/>
  <c r="M2855" i="6"/>
  <c r="N2855" i="6" s="1"/>
  <c r="R2855" i="6" s="1"/>
  <c r="M2919" i="6"/>
  <c r="N2919" i="6" s="1"/>
  <c r="R2919" i="6" s="1"/>
  <c r="M2983" i="6"/>
  <c r="N2983" i="6" s="1"/>
  <c r="M3047" i="6"/>
  <c r="N3047" i="6" s="1"/>
  <c r="M3111" i="6"/>
  <c r="N3111" i="6" s="1"/>
  <c r="M3175" i="6"/>
  <c r="N3175" i="6" s="1"/>
  <c r="R3175" i="6" s="1"/>
  <c r="M3239" i="6"/>
  <c r="N3239" i="6" s="1"/>
  <c r="R3239" i="6" s="1"/>
  <c r="M3303" i="6"/>
  <c r="N3303" i="6" s="1"/>
  <c r="R3303" i="6" s="1"/>
  <c r="M3367" i="6"/>
  <c r="N3367" i="6" s="1"/>
  <c r="R3367" i="6" s="1"/>
  <c r="M3431" i="6"/>
  <c r="N3431" i="6" s="1"/>
  <c r="R3431" i="6" s="1"/>
  <c r="M3495" i="6"/>
  <c r="N3495" i="6" s="1"/>
  <c r="M3559" i="6"/>
  <c r="N3559" i="6" s="1"/>
  <c r="M3623" i="6"/>
  <c r="N3623" i="6" s="1"/>
  <c r="R3623" i="6" s="1"/>
  <c r="M3687" i="6"/>
  <c r="N3687" i="6" s="1"/>
  <c r="R3687" i="6" s="1"/>
  <c r="M3751" i="6"/>
  <c r="N3751" i="6" s="1"/>
  <c r="R3751" i="6" s="1"/>
  <c r="M3815" i="6"/>
  <c r="N3815" i="6" s="1"/>
  <c r="R3815" i="6" s="1"/>
  <c r="M3879" i="6"/>
  <c r="N3879" i="6" s="1"/>
  <c r="M3943" i="6"/>
  <c r="N3943" i="6" s="1"/>
  <c r="R3943" i="6" s="1"/>
  <c r="M4007" i="6"/>
  <c r="N4007" i="6" s="1"/>
  <c r="M4071" i="6"/>
  <c r="N4071" i="6" s="1"/>
  <c r="M4135" i="6"/>
  <c r="N4135" i="6" s="1"/>
  <c r="R4135" i="6" s="1"/>
  <c r="M4199" i="6"/>
  <c r="N4199" i="6" s="1"/>
  <c r="R4199" i="6" s="1"/>
  <c r="M4263" i="6"/>
  <c r="N4263" i="6" s="1"/>
  <c r="R4263" i="6" s="1"/>
  <c r="M4327" i="6"/>
  <c r="N4327" i="6" s="1"/>
  <c r="R4327" i="6" s="1"/>
  <c r="M4391" i="6"/>
  <c r="N4391" i="6" s="1"/>
  <c r="R4391" i="6" s="1"/>
  <c r="M4455" i="6"/>
  <c r="N4455" i="6" s="1"/>
  <c r="R4455" i="6" s="1"/>
  <c r="M4519" i="6"/>
  <c r="N4519" i="6" s="1"/>
  <c r="M4583" i="6"/>
  <c r="N4583" i="6" s="1"/>
  <c r="M4647" i="6"/>
  <c r="N4647" i="6" s="1"/>
  <c r="R4647" i="6" s="1"/>
  <c r="M4711" i="6"/>
  <c r="N4711" i="6" s="1"/>
  <c r="M4775" i="6"/>
  <c r="N4775" i="6" s="1"/>
  <c r="R4775" i="6" s="1"/>
  <c r="M4839" i="6"/>
  <c r="N4839" i="6" s="1"/>
  <c r="R4839" i="6" s="1"/>
  <c r="M4903" i="6"/>
  <c r="N4903" i="6" s="1"/>
  <c r="R4903" i="6" s="1"/>
  <c r="M4967" i="6"/>
  <c r="N4967" i="6" s="1"/>
  <c r="R4967" i="6" s="1"/>
  <c r="M4516" i="6"/>
  <c r="N4516" i="6" s="1"/>
  <c r="M4580" i="6"/>
  <c r="N4580" i="6" s="1"/>
  <c r="M4644" i="6"/>
  <c r="N4644" i="6" s="1"/>
  <c r="R4644" i="6" s="1"/>
  <c r="M4708" i="6"/>
  <c r="N4708" i="6" s="1"/>
  <c r="M4772" i="6"/>
  <c r="N4772" i="6" s="1"/>
  <c r="R4772" i="6" s="1"/>
  <c r="M4836" i="6"/>
  <c r="N4836" i="6" s="1"/>
  <c r="R4836" i="6" s="1"/>
  <c r="M4900" i="6"/>
  <c r="N4900" i="6" s="1"/>
  <c r="R4900" i="6" s="1"/>
  <c r="M4964" i="6"/>
  <c r="N4964" i="6" s="1"/>
  <c r="R4964" i="6" s="1"/>
  <c r="M39" i="6"/>
  <c r="N39" i="6" s="1"/>
  <c r="M103" i="6"/>
  <c r="N103" i="6" s="1"/>
  <c r="M167" i="6"/>
  <c r="N167" i="6" s="1"/>
  <c r="M231" i="6"/>
  <c r="N231" i="6" s="1"/>
  <c r="R231" i="6" s="1"/>
  <c r="M295" i="6"/>
  <c r="N295" i="6" s="1"/>
  <c r="R295" i="6" s="1"/>
  <c r="M64" i="6"/>
  <c r="N64" i="6" s="1"/>
  <c r="R64" i="6" s="1"/>
  <c r="M128" i="6"/>
  <c r="N128" i="6" s="1"/>
  <c r="R128" i="6" s="1"/>
  <c r="M192" i="6"/>
  <c r="N192" i="6" s="1"/>
  <c r="R192" i="6" s="1"/>
  <c r="M256" i="6"/>
  <c r="N256" i="6" s="1"/>
  <c r="M17" i="6"/>
  <c r="N17" i="6" s="1"/>
  <c r="M81" i="6"/>
  <c r="N81" i="6" s="1"/>
  <c r="R81" i="6" s="1"/>
  <c r="M145" i="6"/>
  <c r="N145" i="6" s="1"/>
  <c r="R145" i="6" s="1"/>
  <c r="M209" i="6"/>
  <c r="N209" i="6" s="1"/>
  <c r="M273" i="6"/>
  <c r="N273" i="6" s="1"/>
  <c r="R273" i="6" s="1"/>
  <c r="M26" i="6"/>
  <c r="N26" i="6" s="1"/>
  <c r="R26" i="6" s="1"/>
  <c r="M90" i="6"/>
  <c r="N90" i="6" s="1"/>
  <c r="R90" i="6" s="1"/>
  <c r="M154" i="6"/>
  <c r="N154" i="6" s="1"/>
  <c r="M218" i="6"/>
  <c r="N218" i="6" s="1"/>
  <c r="M282" i="6"/>
  <c r="N282" i="6" s="1"/>
  <c r="R282" i="6" s="1"/>
  <c r="M19" i="6"/>
  <c r="N19" i="6" s="1"/>
  <c r="R19" i="6" s="1"/>
  <c r="M83" i="6"/>
  <c r="N83" i="6" s="1"/>
  <c r="R83" i="6" s="1"/>
  <c r="M147" i="6"/>
  <c r="N147" i="6" s="1"/>
  <c r="R147" i="6" s="1"/>
  <c r="M211" i="6"/>
  <c r="N211" i="6" s="1"/>
  <c r="R211" i="6" s="1"/>
  <c r="M275" i="6"/>
  <c r="N275" i="6" s="1"/>
  <c r="R275" i="6" s="1"/>
  <c r="M45" i="6"/>
  <c r="N45" i="6" s="1"/>
  <c r="M109" i="6"/>
  <c r="N109" i="6" s="1"/>
  <c r="M173" i="6"/>
  <c r="N173" i="6" s="1"/>
  <c r="R173" i="6" s="1"/>
  <c r="M237" i="6"/>
  <c r="N237" i="6" s="1"/>
  <c r="R237" i="6" s="1"/>
  <c r="M301" i="6"/>
  <c r="N301" i="6" s="1"/>
  <c r="R301" i="6" s="1"/>
  <c r="M38" i="6"/>
  <c r="N38" i="6" s="1"/>
  <c r="R38" i="6" s="1"/>
  <c r="M110" i="6"/>
  <c r="N110" i="6" s="1"/>
  <c r="R110" i="6" s="1"/>
  <c r="M174" i="6"/>
  <c r="N174" i="6" s="1"/>
  <c r="R174" i="6" s="1"/>
  <c r="M246" i="6"/>
  <c r="N246" i="6" s="1"/>
  <c r="M310" i="6"/>
  <c r="N310" i="6" s="1"/>
  <c r="M352" i="6"/>
  <c r="N352" i="6" s="1"/>
  <c r="M416" i="6"/>
  <c r="N416" i="6" s="1"/>
  <c r="M480" i="6"/>
  <c r="N480" i="6" s="1"/>
  <c r="R480" i="6" s="1"/>
  <c r="M544" i="6"/>
  <c r="N544" i="6" s="1"/>
  <c r="R544" i="6" s="1"/>
  <c r="M608" i="6"/>
  <c r="N608" i="6" s="1"/>
  <c r="R608" i="6" s="1"/>
  <c r="M672" i="6"/>
  <c r="N672" i="6" s="1"/>
  <c r="R672" i="6" s="1"/>
  <c r="M736" i="6"/>
  <c r="N736" i="6" s="1"/>
  <c r="M800" i="6"/>
  <c r="N800" i="6" s="1"/>
  <c r="R800" i="6" s="1"/>
  <c r="M864" i="6"/>
  <c r="N864" i="6" s="1"/>
  <c r="R864" i="6" s="1"/>
  <c r="M928" i="6"/>
  <c r="N928" i="6" s="1"/>
  <c r="R928" i="6" s="1"/>
  <c r="M992" i="6"/>
  <c r="N992" i="6" s="1"/>
  <c r="R992" i="6" s="1"/>
  <c r="M1056" i="6"/>
  <c r="N1056" i="6" s="1"/>
  <c r="R1056" i="6" s="1"/>
  <c r="M1120" i="6"/>
  <c r="N1120" i="6" s="1"/>
  <c r="R1120" i="6" s="1"/>
  <c r="M1184" i="6"/>
  <c r="N1184" i="6" s="1"/>
  <c r="R1184" i="6" s="1"/>
  <c r="M1248" i="6"/>
  <c r="N1248" i="6" s="1"/>
  <c r="M1312" i="6"/>
  <c r="N1312" i="6" s="1"/>
  <c r="M1376" i="6"/>
  <c r="N1376" i="6" s="1"/>
  <c r="R1376" i="6" s="1"/>
  <c r="M1440" i="6"/>
  <c r="N1440" i="6" s="1"/>
  <c r="R1440" i="6" s="1"/>
  <c r="M1504" i="6"/>
  <c r="N1504" i="6" s="1"/>
  <c r="R1504" i="6" s="1"/>
  <c r="M1568" i="6"/>
  <c r="N1568" i="6" s="1"/>
  <c r="M1632" i="6"/>
  <c r="N1632" i="6" s="1"/>
  <c r="R1632" i="6" s="1"/>
  <c r="M1696" i="6"/>
  <c r="N1696" i="6" s="1"/>
  <c r="R1696" i="6" s="1"/>
  <c r="M1760" i="6"/>
  <c r="N1760" i="6" s="1"/>
  <c r="M1824" i="6"/>
  <c r="N1824" i="6" s="1"/>
  <c r="M1888" i="6"/>
  <c r="N1888" i="6" s="1"/>
  <c r="M1952" i="6"/>
  <c r="N1952" i="6" s="1"/>
  <c r="M2016" i="6"/>
  <c r="N2016" i="6" s="1"/>
  <c r="R2016" i="6" s="1"/>
  <c r="M2080" i="6"/>
  <c r="N2080" i="6" s="1"/>
  <c r="R2080" i="6" s="1"/>
  <c r="M2144" i="6"/>
  <c r="N2144" i="6" s="1"/>
  <c r="R2144" i="6" s="1"/>
  <c r="M2208" i="6"/>
  <c r="N2208" i="6" s="1"/>
  <c r="R2208" i="6" s="1"/>
  <c r="M2272" i="6"/>
  <c r="N2272" i="6" s="1"/>
  <c r="M2336" i="6"/>
  <c r="N2336" i="6" s="1"/>
  <c r="M2400" i="6"/>
  <c r="N2400" i="6" s="1"/>
  <c r="R2400" i="6" s="1"/>
  <c r="M2464" i="6"/>
  <c r="N2464" i="6" s="1"/>
  <c r="R2464" i="6" s="1"/>
  <c r="M2528" i="6"/>
  <c r="N2528" i="6" s="1"/>
  <c r="R2528" i="6" s="1"/>
  <c r="M2592" i="6"/>
  <c r="N2592" i="6" s="1"/>
  <c r="R2592" i="6" s="1"/>
  <c r="M2656" i="6"/>
  <c r="N2656" i="6" s="1"/>
  <c r="M2720" i="6"/>
  <c r="N2720" i="6" s="1"/>
  <c r="R2720" i="6" s="1"/>
  <c r="M2784" i="6"/>
  <c r="N2784" i="6" s="1"/>
  <c r="M2848" i="6"/>
  <c r="N2848" i="6" s="1"/>
  <c r="M2912" i="6"/>
  <c r="N2912" i="6" s="1"/>
  <c r="R2912" i="6" s="1"/>
  <c r="M2976" i="6"/>
  <c r="N2976" i="6" s="1"/>
  <c r="M3040" i="6"/>
  <c r="N3040" i="6" s="1"/>
  <c r="R3040" i="6" s="1"/>
  <c r="M3104" i="6"/>
  <c r="N3104" i="6" s="1"/>
  <c r="R3104" i="6" s="1"/>
  <c r="M3168" i="6"/>
  <c r="N3168" i="6" s="1"/>
  <c r="R3168" i="6" s="1"/>
  <c r="M3232" i="6"/>
  <c r="N3232" i="6" s="1"/>
  <c r="R3232" i="6" s="1"/>
  <c r="M3296" i="6"/>
  <c r="N3296" i="6" s="1"/>
  <c r="M3360" i="6"/>
  <c r="N3360" i="6" s="1"/>
  <c r="M3424" i="6"/>
  <c r="N3424" i="6" s="1"/>
  <c r="R3424" i="6" s="1"/>
  <c r="M3488" i="6"/>
  <c r="N3488" i="6" s="1"/>
  <c r="R3488" i="6" s="1"/>
  <c r="M3680" i="6"/>
  <c r="N3680" i="6" s="1"/>
  <c r="R3680" i="6" s="1"/>
  <c r="M3744" i="6"/>
  <c r="N3744" i="6" s="1"/>
  <c r="R3744" i="6" s="1"/>
  <c r="M3808" i="6"/>
  <c r="N3808" i="6" s="1"/>
  <c r="R3808" i="6" s="1"/>
  <c r="M3872" i="6"/>
  <c r="N3872" i="6" s="1"/>
  <c r="R3872" i="6" s="1"/>
  <c r="M3936" i="6"/>
  <c r="N3936" i="6" s="1"/>
  <c r="M4000" i="6"/>
  <c r="N4000" i="6" s="1"/>
  <c r="M4064" i="6"/>
  <c r="N4064" i="6" s="1"/>
  <c r="R4064" i="6" s="1"/>
  <c r="M4192" i="6"/>
  <c r="N4192" i="6" s="1"/>
  <c r="R4192" i="6" s="1"/>
  <c r="M4256" i="6"/>
  <c r="N4256" i="6" s="1"/>
  <c r="R4256" i="6" s="1"/>
  <c r="M4320" i="6"/>
  <c r="N4320" i="6" s="1"/>
  <c r="R4320" i="6" s="1"/>
  <c r="M4384" i="6"/>
  <c r="N4384" i="6" s="1"/>
  <c r="R4384" i="6" s="1"/>
  <c r="M4448" i="6"/>
  <c r="N4448" i="6" s="1"/>
  <c r="R4448" i="6" s="1"/>
  <c r="M4512" i="6"/>
  <c r="N4512" i="6" s="1"/>
  <c r="R4512" i="6" s="1"/>
  <c r="M4576" i="6"/>
  <c r="N4576" i="6" s="1"/>
  <c r="M4640" i="6"/>
  <c r="N4640" i="6" s="1"/>
  <c r="R4640" i="6" s="1"/>
  <c r="M4704" i="6"/>
  <c r="N4704" i="6" s="1"/>
  <c r="R4704" i="6" s="1"/>
  <c r="M4768" i="6"/>
  <c r="N4768" i="6" s="1"/>
  <c r="R4768" i="6" s="1"/>
  <c r="M4832" i="6"/>
  <c r="N4832" i="6" s="1"/>
  <c r="R4832" i="6" s="1"/>
  <c r="M4896" i="6"/>
  <c r="N4896" i="6" s="1"/>
  <c r="R4896" i="6" s="1"/>
  <c r="M4960" i="6"/>
  <c r="N4960" i="6" s="1"/>
  <c r="R4960" i="6" s="1"/>
  <c r="M337" i="6"/>
  <c r="N337" i="6" s="1"/>
  <c r="M401" i="6"/>
  <c r="N401" i="6" s="1"/>
  <c r="M465" i="6"/>
  <c r="N465" i="6" s="1"/>
  <c r="M529" i="6"/>
  <c r="N529" i="6" s="1"/>
  <c r="R529" i="6" s="1"/>
  <c r="M593" i="6"/>
  <c r="N593" i="6" s="1"/>
  <c r="R593" i="6" s="1"/>
  <c r="M657" i="6"/>
  <c r="N657" i="6" s="1"/>
  <c r="R657" i="6" s="1"/>
  <c r="M721" i="6"/>
  <c r="N721" i="6" s="1"/>
  <c r="R721" i="6" s="1"/>
  <c r="M785" i="6"/>
  <c r="N785" i="6" s="1"/>
  <c r="R785" i="6" s="1"/>
  <c r="M849" i="6"/>
  <c r="N849" i="6" s="1"/>
  <c r="M913" i="6"/>
  <c r="N913" i="6" s="1"/>
  <c r="M977" i="6"/>
  <c r="N977" i="6" s="1"/>
  <c r="R977" i="6" s="1"/>
  <c r="M1041" i="6"/>
  <c r="N1041" i="6" s="1"/>
  <c r="R1041" i="6" s="1"/>
  <c r="M1105" i="6"/>
  <c r="N1105" i="6" s="1"/>
  <c r="R1105" i="6" s="1"/>
  <c r="M1169" i="6"/>
  <c r="N1169" i="6" s="1"/>
  <c r="R1169" i="6" s="1"/>
  <c r="M1233" i="6"/>
  <c r="N1233" i="6" s="1"/>
  <c r="R1233" i="6" s="1"/>
  <c r="M1297" i="6"/>
  <c r="N1297" i="6" s="1"/>
  <c r="R1297" i="6" s="1"/>
  <c r="M1361" i="6"/>
  <c r="N1361" i="6" s="1"/>
  <c r="M1425" i="6"/>
  <c r="N1425" i="6" s="1"/>
  <c r="M1489" i="6"/>
  <c r="N1489" i="6" s="1"/>
  <c r="R1489" i="6" s="1"/>
  <c r="M1553" i="6"/>
  <c r="N1553" i="6" s="1"/>
  <c r="R1553" i="6" s="1"/>
  <c r="M1617" i="6"/>
  <c r="N1617" i="6" s="1"/>
  <c r="R1617" i="6" s="1"/>
  <c r="M1681" i="6"/>
  <c r="N1681" i="6" s="1"/>
  <c r="R1681" i="6" s="1"/>
  <c r="M1745" i="6"/>
  <c r="N1745" i="6" s="1"/>
  <c r="R1745" i="6" s="1"/>
  <c r="M1809" i="6"/>
  <c r="N1809" i="6" s="1"/>
  <c r="R1809" i="6" s="1"/>
  <c r="M1873" i="6"/>
  <c r="N1873" i="6" s="1"/>
  <c r="M1937" i="6"/>
  <c r="N1937" i="6" s="1"/>
  <c r="M2001" i="6"/>
  <c r="N2001" i="6" s="1"/>
  <c r="R2001" i="6" s="1"/>
  <c r="M2065" i="6"/>
  <c r="N2065" i="6" s="1"/>
  <c r="R2065" i="6" s="1"/>
  <c r="M2129" i="6"/>
  <c r="N2129" i="6" s="1"/>
  <c r="R2129" i="6" s="1"/>
  <c r="M2193" i="6"/>
  <c r="N2193" i="6" s="1"/>
  <c r="R2193" i="6" s="1"/>
  <c r="M2257" i="6"/>
  <c r="N2257" i="6" s="1"/>
  <c r="R2257" i="6" s="1"/>
  <c r="M2321" i="6"/>
  <c r="N2321" i="6" s="1"/>
  <c r="R2321" i="6" s="1"/>
  <c r="M2385" i="6"/>
  <c r="N2385" i="6" s="1"/>
  <c r="M2449" i="6"/>
  <c r="N2449" i="6" s="1"/>
  <c r="M2513" i="6"/>
  <c r="N2513" i="6" s="1"/>
  <c r="M2577" i="6"/>
  <c r="N2577" i="6" s="1"/>
  <c r="R2577" i="6" s="1"/>
  <c r="M2641" i="6"/>
  <c r="N2641" i="6" s="1"/>
  <c r="R2641" i="6" s="1"/>
  <c r="M2705" i="6"/>
  <c r="N2705" i="6" s="1"/>
  <c r="R2705" i="6" s="1"/>
  <c r="M2769" i="6"/>
  <c r="N2769" i="6" s="1"/>
  <c r="R2769" i="6" s="1"/>
  <c r="M2833" i="6"/>
  <c r="N2833" i="6" s="1"/>
  <c r="R2833" i="6" s="1"/>
  <c r="M2961" i="6"/>
  <c r="N2961" i="6" s="1"/>
  <c r="R2961" i="6" s="1"/>
  <c r="M3025" i="6"/>
  <c r="N3025" i="6" s="1"/>
  <c r="M3089" i="6"/>
  <c r="N3089" i="6" s="1"/>
  <c r="R3089" i="6" s="1"/>
  <c r="M3153" i="6"/>
  <c r="N3153" i="6" s="1"/>
  <c r="R3153" i="6" s="1"/>
  <c r="M3217" i="6"/>
  <c r="N3217" i="6" s="1"/>
  <c r="R3217" i="6" s="1"/>
  <c r="M3281" i="6"/>
  <c r="N3281" i="6" s="1"/>
  <c r="R3281" i="6" s="1"/>
  <c r="M3345" i="6"/>
  <c r="N3345" i="6" s="1"/>
  <c r="R3345" i="6" s="1"/>
  <c r="M3409" i="6"/>
  <c r="N3409" i="6" s="1"/>
  <c r="R3409" i="6" s="1"/>
  <c r="M3473" i="6"/>
  <c r="N3473" i="6" s="1"/>
  <c r="M3601" i="6"/>
  <c r="N3601" i="6" s="1"/>
  <c r="M3665" i="6"/>
  <c r="N3665" i="6" s="1"/>
  <c r="R3665" i="6" s="1"/>
  <c r="M3729" i="6"/>
  <c r="N3729" i="6" s="1"/>
  <c r="R3729" i="6" s="1"/>
  <c r="M3793" i="6"/>
  <c r="N3793" i="6" s="1"/>
  <c r="R3793" i="6" s="1"/>
  <c r="M3857" i="6"/>
  <c r="N3857" i="6" s="1"/>
  <c r="R3857" i="6" s="1"/>
  <c r="M3921" i="6"/>
  <c r="N3921" i="6" s="1"/>
  <c r="R3921" i="6" s="1"/>
  <c r="M3985" i="6"/>
  <c r="N3985" i="6" s="1"/>
  <c r="R3985" i="6" s="1"/>
  <c r="M4113" i="6"/>
  <c r="N4113" i="6" s="1"/>
  <c r="M4177" i="6"/>
  <c r="N4177" i="6" s="1"/>
  <c r="M4241" i="6"/>
  <c r="N4241" i="6" s="1"/>
  <c r="R4241" i="6" s="1"/>
  <c r="M4305" i="6"/>
  <c r="N4305" i="6" s="1"/>
  <c r="R4305" i="6" s="1"/>
  <c r="M4369" i="6"/>
  <c r="N4369" i="6" s="1"/>
  <c r="R4369" i="6" s="1"/>
  <c r="M4433" i="6"/>
  <c r="N4433" i="6" s="1"/>
  <c r="R4433" i="6" s="1"/>
  <c r="M4497" i="6"/>
  <c r="N4497" i="6" s="1"/>
  <c r="R4497" i="6" s="1"/>
  <c r="M4561" i="6"/>
  <c r="N4561" i="6" s="1"/>
  <c r="R4561" i="6" s="1"/>
  <c r="M4625" i="6"/>
  <c r="N4625" i="6" s="1"/>
  <c r="M4689" i="6"/>
  <c r="N4689" i="6" s="1"/>
  <c r="M4753" i="6"/>
  <c r="N4753" i="6" s="1"/>
  <c r="R4753" i="6" s="1"/>
  <c r="M4817" i="6"/>
  <c r="N4817" i="6" s="1"/>
  <c r="R4817" i="6" s="1"/>
  <c r="M4881" i="6"/>
  <c r="N4881" i="6" s="1"/>
  <c r="R4881" i="6" s="1"/>
  <c r="M4945" i="6"/>
  <c r="N4945" i="6" s="1"/>
  <c r="R4945" i="6" s="1"/>
  <c r="M330" i="6"/>
  <c r="N330" i="6" s="1"/>
  <c r="R330" i="6" s="1"/>
  <c r="M394" i="6"/>
  <c r="N394" i="6" s="1"/>
  <c r="R394" i="6" s="1"/>
  <c r="M458" i="6"/>
  <c r="N458" i="6" s="1"/>
  <c r="M522" i="6"/>
  <c r="N522" i="6" s="1"/>
  <c r="R522" i="6" s="1"/>
  <c r="M586" i="6"/>
  <c r="N586" i="6" s="1"/>
  <c r="R586" i="6" s="1"/>
  <c r="M650" i="6"/>
  <c r="N650" i="6" s="1"/>
  <c r="M714" i="6"/>
  <c r="N714" i="6" s="1"/>
  <c r="R714" i="6" s="1"/>
  <c r="M778" i="6"/>
  <c r="N778" i="6" s="1"/>
  <c r="R778" i="6" s="1"/>
  <c r="M842" i="6"/>
  <c r="N842" i="6" s="1"/>
  <c r="R842" i="6" s="1"/>
  <c r="M906" i="6"/>
  <c r="N906" i="6" s="1"/>
  <c r="R906" i="6" s="1"/>
  <c r="M970" i="6"/>
  <c r="N970" i="6" s="1"/>
  <c r="M1034" i="6"/>
  <c r="N1034" i="6" s="1"/>
  <c r="M1098" i="6"/>
  <c r="N1098" i="6" s="1"/>
  <c r="R1098" i="6" s="1"/>
  <c r="M1162" i="6"/>
  <c r="N1162" i="6" s="1"/>
  <c r="R1162" i="6" s="1"/>
  <c r="M1226" i="6"/>
  <c r="N1226" i="6" s="1"/>
  <c r="R1226" i="6" s="1"/>
  <c r="M1290" i="6"/>
  <c r="N1290" i="6" s="1"/>
  <c r="R1290" i="6" s="1"/>
  <c r="M1354" i="6"/>
  <c r="N1354" i="6" s="1"/>
  <c r="R1354" i="6" s="1"/>
  <c r="M1418" i="6"/>
  <c r="N1418" i="6" s="1"/>
  <c r="R1418" i="6" s="1"/>
  <c r="M1482" i="6"/>
  <c r="N1482" i="6" s="1"/>
  <c r="M1546" i="6"/>
  <c r="N1546" i="6" s="1"/>
  <c r="M1610" i="6"/>
  <c r="N1610" i="6" s="1"/>
  <c r="M1674" i="6"/>
  <c r="N1674" i="6" s="1"/>
  <c r="M1738" i="6"/>
  <c r="N1738" i="6" s="1"/>
  <c r="R1738" i="6" s="1"/>
  <c r="M1802" i="6"/>
  <c r="N1802" i="6" s="1"/>
  <c r="R1802" i="6" s="1"/>
  <c r="M1866" i="6"/>
  <c r="N1866" i="6" s="1"/>
  <c r="R1866" i="6" s="1"/>
  <c r="M1930" i="6"/>
  <c r="N1930" i="6" s="1"/>
  <c r="R1930" i="6" s="1"/>
  <c r="M1994" i="6"/>
  <c r="N1994" i="6" s="1"/>
  <c r="M2058" i="6"/>
  <c r="N2058" i="6" s="1"/>
  <c r="R2058" i="6" s="1"/>
  <c r="M2122" i="6"/>
  <c r="N2122" i="6" s="1"/>
  <c r="R2122" i="6" s="1"/>
  <c r="M2186" i="6"/>
  <c r="N2186" i="6" s="1"/>
  <c r="R2186" i="6" s="1"/>
  <c r="M2250" i="6"/>
  <c r="N2250" i="6" s="1"/>
  <c r="R2250" i="6" s="1"/>
  <c r="M2314" i="6"/>
  <c r="N2314" i="6" s="1"/>
  <c r="R2314" i="6" s="1"/>
  <c r="M2378" i="6"/>
  <c r="N2378" i="6" s="1"/>
  <c r="R2378" i="6" s="1"/>
  <c r="M2442" i="6"/>
  <c r="N2442" i="6" s="1"/>
  <c r="R2442" i="6" s="1"/>
  <c r="M2506" i="6"/>
  <c r="N2506" i="6" s="1"/>
  <c r="M2570" i="6"/>
  <c r="N2570" i="6" s="1"/>
  <c r="M2634" i="6"/>
  <c r="N2634" i="6" s="1"/>
  <c r="M2698" i="6"/>
  <c r="N2698" i="6" s="1"/>
  <c r="R2698" i="6" s="1"/>
  <c r="M2762" i="6"/>
  <c r="N2762" i="6" s="1"/>
  <c r="R2762" i="6" s="1"/>
  <c r="M2826" i="6"/>
  <c r="N2826" i="6" s="1"/>
  <c r="R2826" i="6" s="1"/>
  <c r="M2954" i="6"/>
  <c r="N2954" i="6" s="1"/>
  <c r="R2954" i="6" s="1"/>
  <c r="M3018" i="6"/>
  <c r="N3018" i="6" s="1"/>
  <c r="R3018" i="6" s="1"/>
  <c r="M3146" i="6"/>
  <c r="N3146" i="6" s="1"/>
  <c r="M3210" i="6"/>
  <c r="N3210" i="6" s="1"/>
  <c r="M3274" i="6"/>
  <c r="N3274" i="6" s="1"/>
  <c r="R3274" i="6" s="1"/>
  <c r="M3402" i="6"/>
  <c r="N3402" i="6" s="1"/>
  <c r="R3402" i="6" s="1"/>
  <c r="M3466" i="6"/>
  <c r="N3466" i="6" s="1"/>
  <c r="R3466" i="6" s="1"/>
  <c r="M3530" i="6"/>
  <c r="N3530" i="6" s="1"/>
  <c r="R3530" i="6" s="1"/>
  <c r="M3594" i="6"/>
  <c r="N3594" i="6" s="1"/>
  <c r="R3594" i="6" s="1"/>
  <c r="M3658" i="6"/>
  <c r="N3658" i="6" s="1"/>
  <c r="R3658" i="6" s="1"/>
  <c r="M3722" i="6"/>
  <c r="N3722" i="6" s="1"/>
  <c r="M3786" i="6"/>
  <c r="N3786" i="6" s="1"/>
  <c r="M3850" i="6"/>
  <c r="N3850" i="6" s="1"/>
  <c r="R3850" i="6" s="1"/>
  <c r="M3914" i="6"/>
  <c r="N3914" i="6" s="1"/>
  <c r="R3914" i="6" s="1"/>
  <c r="M3978" i="6"/>
  <c r="N3978" i="6" s="1"/>
  <c r="R3978" i="6" s="1"/>
  <c r="M4042" i="6"/>
  <c r="N4042" i="6" s="1"/>
  <c r="R4042" i="6" s="1"/>
  <c r="M4106" i="6"/>
  <c r="N4106" i="6" s="1"/>
  <c r="R4106" i="6" s="1"/>
  <c r="M4170" i="6"/>
  <c r="N4170" i="6" s="1"/>
  <c r="R4170" i="6" s="1"/>
  <c r="M4234" i="6"/>
  <c r="N4234" i="6" s="1"/>
  <c r="M4298" i="6"/>
  <c r="N4298" i="6" s="1"/>
  <c r="M4362" i="6"/>
  <c r="N4362" i="6" s="1"/>
  <c r="R4362" i="6" s="1"/>
  <c r="M4426" i="6"/>
  <c r="N4426" i="6" s="1"/>
  <c r="R4426" i="6" s="1"/>
  <c r="M4490" i="6"/>
  <c r="N4490" i="6" s="1"/>
  <c r="M4554" i="6"/>
  <c r="N4554" i="6" s="1"/>
  <c r="R4554" i="6" s="1"/>
  <c r="M4618" i="6"/>
  <c r="N4618" i="6" s="1"/>
  <c r="R4618" i="6" s="1"/>
  <c r="M4682" i="6"/>
  <c r="N4682" i="6" s="1"/>
  <c r="R4682" i="6" s="1"/>
  <c r="M4746" i="6"/>
  <c r="N4746" i="6" s="1"/>
  <c r="M4810" i="6"/>
  <c r="N4810" i="6" s="1"/>
  <c r="M4874" i="6"/>
  <c r="N4874" i="6" s="1"/>
  <c r="R4874" i="6" s="1"/>
  <c r="M4938" i="6"/>
  <c r="N4938" i="6" s="1"/>
  <c r="R4938" i="6" s="1"/>
  <c r="M5002" i="6"/>
  <c r="N5002" i="6" s="1"/>
  <c r="R5002" i="6" s="1"/>
  <c r="M355" i="6"/>
  <c r="N355" i="6" s="1"/>
  <c r="R355" i="6" s="1"/>
  <c r="M419" i="6"/>
  <c r="N419" i="6" s="1"/>
  <c r="R419" i="6" s="1"/>
  <c r="M483" i="6"/>
  <c r="N483" i="6" s="1"/>
  <c r="R483" i="6" s="1"/>
  <c r="M547" i="6"/>
  <c r="N547" i="6" s="1"/>
  <c r="M611" i="6"/>
  <c r="N611" i="6" s="1"/>
  <c r="M675" i="6"/>
  <c r="N675" i="6" s="1"/>
  <c r="R675" i="6" s="1"/>
  <c r="M739" i="6"/>
  <c r="N739" i="6" s="1"/>
  <c r="M803" i="6"/>
  <c r="N803" i="6" s="1"/>
  <c r="R803" i="6" s="1"/>
  <c r="M867" i="6"/>
  <c r="N867" i="6" s="1"/>
  <c r="R867" i="6" s="1"/>
  <c r="M931" i="6"/>
  <c r="N931" i="6" s="1"/>
  <c r="R931" i="6" s="1"/>
  <c r="M995" i="6"/>
  <c r="N995" i="6" s="1"/>
  <c r="M1059" i="6"/>
  <c r="N1059" i="6" s="1"/>
  <c r="M1123" i="6"/>
  <c r="N1123" i="6" s="1"/>
  <c r="M1187" i="6"/>
  <c r="N1187" i="6" s="1"/>
  <c r="R1187" i="6" s="1"/>
  <c r="M1251" i="6"/>
  <c r="N1251" i="6" s="1"/>
  <c r="R1251" i="6" s="1"/>
  <c r="M1315" i="6"/>
  <c r="N1315" i="6" s="1"/>
  <c r="R1315" i="6" s="1"/>
  <c r="M1379" i="6"/>
  <c r="N1379" i="6" s="1"/>
  <c r="R1379" i="6" s="1"/>
  <c r="M1443" i="6"/>
  <c r="N1443" i="6" s="1"/>
  <c r="R1443" i="6" s="1"/>
  <c r="M1507" i="6"/>
  <c r="N1507" i="6" s="1"/>
  <c r="R1507" i="6" s="1"/>
  <c r="M1571" i="6"/>
  <c r="N1571" i="6" s="1"/>
  <c r="M1635" i="6"/>
  <c r="N1635" i="6" s="1"/>
  <c r="M1699" i="6"/>
  <c r="N1699" i="6" s="1"/>
  <c r="R1699" i="6" s="1"/>
  <c r="M1763" i="6"/>
  <c r="N1763" i="6" s="1"/>
  <c r="R1763" i="6" s="1"/>
  <c r="M1827" i="6"/>
  <c r="N1827" i="6" s="1"/>
  <c r="R1827" i="6" s="1"/>
  <c r="M1891" i="6"/>
  <c r="N1891" i="6" s="1"/>
  <c r="R1891" i="6" s="1"/>
  <c r="M1955" i="6"/>
  <c r="N1955" i="6" s="1"/>
  <c r="R1955" i="6" s="1"/>
  <c r="M2019" i="6"/>
  <c r="N2019" i="6" s="1"/>
  <c r="R2019" i="6" s="1"/>
  <c r="M2083" i="6"/>
  <c r="N2083" i="6" s="1"/>
  <c r="M2147" i="6"/>
  <c r="N2147" i="6" s="1"/>
  <c r="M2211" i="6"/>
  <c r="N2211" i="6" s="1"/>
  <c r="R2211" i="6" s="1"/>
  <c r="M2275" i="6"/>
  <c r="N2275" i="6" s="1"/>
  <c r="R2275" i="6" s="1"/>
  <c r="M2339" i="6"/>
  <c r="N2339" i="6" s="1"/>
  <c r="R2339" i="6" s="1"/>
  <c r="M2403" i="6"/>
  <c r="N2403" i="6" s="1"/>
  <c r="R2403" i="6" s="1"/>
  <c r="M2467" i="6"/>
  <c r="N2467" i="6" s="1"/>
  <c r="R2467" i="6" s="1"/>
  <c r="M2531" i="6"/>
  <c r="N2531" i="6" s="1"/>
  <c r="R2531" i="6" s="1"/>
  <c r="M2595" i="6"/>
  <c r="N2595" i="6" s="1"/>
  <c r="M2659" i="6"/>
  <c r="N2659" i="6" s="1"/>
  <c r="M2723" i="6"/>
  <c r="N2723" i="6" s="1"/>
  <c r="R2723" i="6" s="1"/>
  <c r="M2787" i="6"/>
  <c r="N2787" i="6" s="1"/>
  <c r="R2787" i="6" s="1"/>
  <c r="M2851" i="6"/>
  <c r="N2851" i="6" s="1"/>
  <c r="R2851" i="6" s="1"/>
  <c r="M2915" i="6"/>
  <c r="N2915" i="6" s="1"/>
  <c r="R2915" i="6" s="1"/>
  <c r="M2979" i="6"/>
  <c r="N2979" i="6" s="1"/>
  <c r="R2979" i="6" s="1"/>
  <c r="M3043" i="6"/>
  <c r="N3043" i="6" s="1"/>
  <c r="R3043" i="6" s="1"/>
  <c r="M3107" i="6"/>
  <c r="N3107" i="6" s="1"/>
  <c r="M3171" i="6"/>
  <c r="N3171" i="6" s="1"/>
  <c r="M3235" i="6"/>
  <c r="N3235" i="6" s="1"/>
  <c r="R3235" i="6" s="1"/>
  <c r="M3299" i="6"/>
  <c r="N3299" i="6" s="1"/>
  <c r="R3299" i="6" s="1"/>
  <c r="M3363" i="6"/>
  <c r="N3363" i="6" s="1"/>
  <c r="R3363" i="6" s="1"/>
  <c r="M3491" i="6"/>
  <c r="N3491" i="6" s="1"/>
  <c r="R3491" i="6" s="1"/>
  <c r="M3555" i="6"/>
  <c r="N3555" i="6" s="1"/>
  <c r="R3555" i="6" s="1"/>
  <c r="M3619" i="6"/>
  <c r="N3619" i="6" s="1"/>
  <c r="R3619" i="6" s="1"/>
  <c r="M3683" i="6"/>
  <c r="N3683" i="6" s="1"/>
  <c r="M3747" i="6"/>
  <c r="N3747" i="6" s="1"/>
  <c r="M3811" i="6"/>
  <c r="N3811" i="6" s="1"/>
  <c r="R3811" i="6" s="1"/>
  <c r="M3875" i="6"/>
  <c r="N3875" i="6" s="1"/>
  <c r="R3875" i="6" s="1"/>
  <c r="M3939" i="6"/>
  <c r="N3939" i="6" s="1"/>
  <c r="R3939" i="6" s="1"/>
  <c r="M4003" i="6"/>
  <c r="N4003" i="6" s="1"/>
  <c r="R4003" i="6" s="1"/>
  <c r="M4067" i="6"/>
  <c r="N4067" i="6" s="1"/>
  <c r="R4067" i="6" s="1"/>
  <c r="M4131" i="6"/>
  <c r="N4131" i="6" s="1"/>
  <c r="R4131" i="6" s="1"/>
  <c r="M4195" i="6"/>
  <c r="N4195" i="6" s="1"/>
  <c r="M4323" i="6"/>
  <c r="N4323" i="6" s="1"/>
  <c r="M4387" i="6"/>
  <c r="N4387" i="6" s="1"/>
  <c r="R4387" i="6" s="1"/>
  <c r="M4451" i="6"/>
  <c r="N4451" i="6" s="1"/>
  <c r="R4451" i="6" s="1"/>
  <c r="M4515" i="6"/>
  <c r="N4515" i="6" s="1"/>
  <c r="R4515" i="6" s="1"/>
  <c r="M4579" i="6"/>
  <c r="N4579" i="6" s="1"/>
  <c r="R4579" i="6" s="1"/>
  <c r="M4643" i="6"/>
  <c r="N4643" i="6" s="1"/>
  <c r="R4643" i="6" s="1"/>
  <c r="M4707" i="6"/>
  <c r="N4707" i="6" s="1"/>
  <c r="R4707" i="6" s="1"/>
  <c r="M4771" i="6"/>
  <c r="N4771" i="6" s="1"/>
  <c r="M4835" i="6"/>
  <c r="N4835" i="6" s="1"/>
  <c r="M4899" i="6"/>
  <c r="N4899" i="6" s="1"/>
  <c r="R4899" i="6" s="1"/>
  <c r="M4963" i="6"/>
  <c r="N4963" i="6" s="1"/>
  <c r="R4963" i="6" s="1"/>
  <c r="M28" i="6"/>
  <c r="N28" i="6" s="1"/>
  <c r="R28" i="6" s="1"/>
  <c r="M92" i="6"/>
  <c r="N92" i="6" s="1"/>
  <c r="M156" i="6"/>
  <c r="N156" i="6" s="1"/>
  <c r="R156" i="6" s="1"/>
  <c r="M220" i="6"/>
  <c r="N220" i="6" s="1"/>
  <c r="R220" i="6" s="1"/>
  <c r="M284" i="6"/>
  <c r="N284" i="6" s="1"/>
  <c r="M348" i="6"/>
  <c r="N348" i="6" s="1"/>
  <c r="M412" i="6"/>
  <c r="N412" i="6" s="1"/>
  <c r="R412" i="6" s="1"/>
  <c r="M476" i="6"/>
  <c r="N476" i="6" s="1"/>
  <c r="R476" i="6" s="1"/>
  <c r="M540" i="6"/>
  <c r="N540" i="6" s="1"/>
  <c r="R540" i="6" s="1"/>
  <c r="M604" i="6"/>
  <c r="N604" i="6" s="1"/>
  <c r="R604" i="6" s="1"/>
  <c r="M668" i="6"/>
  <c r="N668" i="6" s="1"/>
  <c r="R668" i="6" s="1"/>
  <c r="M732" i="6"/>
  <c r="N732" i="6" s="1"/>
  <c r="R732" i="6" s="1"/>
  <c r="M796" i="6"/>
  <c r="N796" i="6" s="1"/>
  <c r="M924" i="6"/>
  <c r="N924" i="6" s="1"/>
  <c r="M988" i="6"/>
  <c r="N988" i="6" s="1"/>
  <c r="R988" i="6" s="1"/>
  <c r="M1052" i="6"/>
  <c r="N1052" i="6" s="1"/>
  <c r="M1116" i="6"/>
  <c r="N1116" i="6" s="1"/>
  <c r="R1116" i="6" s="1"/>
  <c r="M1180" i="6"/>
  <c r="N1180" i="6" s="1"/>
  <c r="R1180" i="6" s="1"/>
  <c r="M1244" i="6"/>
  <c r="N1244" i="6" s="1"/>
  <c r="R1244" i="6" s="1"/>
  <c r="M1308" i="6"/>
  <c r="N1308" i="6" s="1"/>
  <c r="R1308" i="6" s="1"/>
  <c r="M1372" i="6"/>
  <c r="N1372" i="6" s="1"/>
  <c r="R1372" i="6" s="1"/>
  <c r="M1436" i="6"/>
  <c r="N1436" i="6" s="1"/>
  <c r="M1500" i="6"/>
  <c r="N1500" i="6" s="1"/>
  <c r="R1500" i="6" s="1"/>
  <c r="M1628" i="6"/>
  <c r="N1628" i="6" s="1"/>
  <c r="R1628" i="6" s="1"/>
  <c r="M1692" i="6"/>
  <c r="N1692" i="6" s="1"/>
  <c r="R1692" i="6" s="1"/>
  <c r="M1756" i="6"/>
  <c r="N1756" i="6" s="1"/>
  <c r="R1756" i="6" s="1"/>
  <c r="M1820" i="6"/>
  <c r="N1820" i="6" s="1"/>
  <c r="R1820" i="6" s="1"/>
  <c r="M1884" i="6"/>
  <c r="N1884" i="6" s="1"/>
  <c r="R1884" i="6" s="1"/>
  <c r="M2012" i="6"/>
  <c r="N2012" i="6" s="1"/>
  <c r="M2076" i="6"/>
  <c r="N2076" i="6" s="1"/>
  <c r="M2140" i="6"/>
  <c r="N2140" i="6" s="1"/>
  <c r="R2140" i="6" s="1"/>
  <c r="M2204" i="6"/>
  <c r="N2204" i="6" s="1"/>
  <c r="R2204" i="6" s="1"/>
  <c r="M2268" i="6"/>
  <c r="N2268" i="6" s="1"/>
  <c r="R2268" i="6" s="1"/>
  <c r="M2332" i="6"/>
  <c r="N2332" i="6" s="1"/>
  <c r="R2332" i="6" s="1"/>
  <c r="M2396" i="6"/>
  <c r="N2396" i="6" s="1"/>
  <c r="R2396" i="6" s="1"/>
  <c r="M2460" i="6"/>
  <c r="N2460" i="6" s="1"/>
  <c r="R2460" i="6" s="1"/>
  <c r="M2524" i="6"/>
  <c r="N2524" i="6" s="1"/>
  <c r="M2588" i="6"/>
  <c r="N2588" i="6" s="1"/>
  <c r="M2652" i="6"/>
  <c r="N2652" i="6" s="1"/>
  <c r="R2652" i="6" s="1"/>
  <c r="M2716" i="6"/>
  <c r="N2716" i="6" s="1"/>
  <c r="R2716" i="6" s="1"/>
  <c r="M2780" i="6"/>
  <c r="N2780" i="6" s="1"/>
  <c r="R2780" i="6" s="1"/>
  <c r="M2844" i="6"/>
  <c r="N2844" i="6" s="1"/>
  <c r="R2844" i="6" s="1"/>
  <c r="M2908" i="6"/>
  <c r="N2908" i="6" s="1"/>
  <c r="R2908" i="6" s="1"/>
  <c r="M2972" i="6"/>
  <c r="N2972" i="6" s="1"/>
  <c r="R2972" i="6" s="1"/>
  <c r="M3036" i="6"/>
  <c r="N3036" i="6" s="1"/>
  <c r="M3100" i="6"/>
  <c r="N3100" i="6" s="1"/>
  <c r="M3164" i="6"/>
  <c r="N3164" i="6" s="1"/>
  <c r="R3164" i="6" s="1"/>
  <c r="M3292" i="6"/>
  <c r="N3292" i="6" s="1"/>
  <c r="R3292" i="6" s="1"/>
  <c r="M3356" i="6"/>
  <c r="N3356" i="6" s="1"/>
  <c r="R3356" i="6" s="1"/>
  <c r="M3420" i="6"/>
  <c r="N3420" i="6" s="1"/>
  <c r="R3420" i="6" s="1"/>
  <c r="M3484" i="6"/>
  <c r="N3484" i="6" s="1"/>
  <c r="R3484" i="6" s="1"/>
  <c r="M3548" i="6"/>
  <c r="N3548" i="6" s="1"/>
  <c r="R3548" i="6" s="1"/>
  <c r="M3676" i="6"/>
  <c r="N3676" i="6" s="1"/>
  <c r="M3740" i="6"/>
  <c r="N3740" i="6" s="1"/>
  <c r="M3868" i="6"/>
  <c r="N3868" i="6" s="1"/>
  <c r="M3932" i="6"/>
  <c r="N3932" i="6" s="1"/>
  <c r="R3932" i="6" s="1"/>
  <c r="M3996" i="6"/>
  <c r="N3996" i="6" s="1"/>
  <c r="R3996" i="6" s="1"/>
  <c r="M4060" i="6"/>
  <c r="N4060" i="6" s="1"/>
  <c r="R4060" i="6" s="1"/>
  <c r="M4124" i="6"/>
  <c r="N4124" i="6" s="1"/>
  <c r="R4124" i="6" s="1"/>
  <c r="M4188" i="6"/>
  <c r="N4188" i="6" s="1"/>
  <c r="R4188" i="6" s="1"/>
  <c r="M4252" i="6"/>
  <c r="N4252" i="6" s="1"/>
  <c r="M4316" i="6"/>
  <c r="N4316" i="6" s="1"/>
  <c r="M4380" i="6"/>
  <c r="N4380" i="6" s="1"/>
  <c r="R4380" i="6" s="1"/>
  <c r="M4444" i="6"/>
  <c r="N4444" i="6" s="1"/>
  <c r="R4444" i="6" s="1"/>
  <c r="M349" i="6"/>
  <c r="N349" i="6" s="1"/>
  <c r="R349" i="6" s="1"/>
  <c r="M413" i="6"/>
  <c r="N413" i="6" s="1"/>
  <c r="R413" i="6" s="1"/>
  <c r="M477" i="6"/>
  <c r="N477" i="6" s="1"/>
  <c r="R477" i="6" s="1"/>
  <c r="M541" i="6"/>
  <c r="N541" i="6" s="1"/>
  <c r="R541" i="6" s="1"/>
  <c r="M669" i="6"/>
  <c r="N669" i="6" s="1"/>
  <c r="M733" i="6"/>
  <c r="N733" i="6" s="1"/>
  <c r="M797" i="6"/>
  <c r="N797" i="6" s="1"/>
  <c r="R797" i="6" s="1"/>
  <c r="M861" i="6"/>
  <c r="N861" i="6" s="1"/>
  <c r="R861" i="6" s="1"/>
  <c r="M925" i="6"/>
  <c r="N925" i="6" s="1"/>
  <c r="R925" i="6" s="1"/>
  <c r="M989" i="6"/>
  <c r="N989" i="6" s="1"/>
  <c r="R989" i="6" s="1"/>
  <c r="M1117" i="6"/>
  <c r="N1117" i="6" s="1"/>
  <c r="R1117" i="6" s="1"/>
  <c r="M1181" i="6"/>
  <c r="N1181" i="6" s="1"/>
  <c r="R1181" i="6" s="1"/>
  <c r="M1245" i="6"/>
  <c r="N1245" i="6" s="1"/>
  <c r="M1309" i="6"/>
  <c r="N1309" i="6" s="1"/>
  <c r="M1373" i="6"/>
  <c r="N1373" i="6" s="1"/>
  <c r="R1373" i="6" s="1"/>
  <c r="M1437" i="6"/>
  <c r="N1437" i="6" s="1"/>
  <c r="R1437" i="6" s="1"/>
  <c r="M1501" i="6"/>
  <c r="N1501" i="6" s="1"/>
  <c r="R1501" i="6" s="1"/>
  <c r="M1565" i="6"/>
  <c r="N1565" i="6" s="1"/>
  <c r="R1565" i="6" s="1"/>
  <c r="M1629" i="6"/>
  <c r="N1629" i="6" s="1"/>
  <c r="R1629" i="6" s="1"/>
  <c r="M1693" i="6"/>
  <c r="N1693" i="6" s="1"/>
  <c r="R1693" i="6" s="1"/>
  <c r="M1757" i="6"/>
  <c r="N1757" i="6" s="1"/>
  <c r="R1757" i="6" s="1"/>
  <c r="M1821" i="6"/>
  <c r="N1821" i="6" s="1"/>
  <c r="M1949" i="6"/>
  <c r="N1949" i="6" s="1"/>
  <c r="R1949" i="6" s="1"/>
  <c r="M2013" i="6"/>
  <c r="N2013" i="6" s="1"/>
  <c r="M2077" i="6"/>
  <c r="N2077" i="6" s="1"/>
  <c r="R2077" i="6" s="1"/>
  <c r="M2205" i="6"/>
  <c r="N2205" i="6" s="1"/>
  <c r="R2205" i="6" s="1"/>
  <c r="M2269" i="6"/>
  <c r="N2269" i="6" s="1"/>
  <c r="R2269" i="6" s="1"/>
  <c r="M2333" i="6"/>
  <c r="N2333" i="6" s="1"/>
  <c r="R2333" i="6" s="1"/>
  <c r="M2397" i="6"/>
  <c r="N2397" i="6" s="1"/>
  <c r="M2461" i="6"/>
  <c r="N2461" i="6" s="1"/>
  <c r="M2525" i="6"/>
  <c r="N2525" i="6" s="1"/>
  <c r="R2525" i="6" s="1"/>
  <c r="M2589" i="6"/>
  <c r="N2589" i="6" s="1"/>
  <c r="R2589" i="6" s="1"/>
  <c r="M2653" i="6"/>
  <c r="N2653" i="6" s="1"/>
  <c r="R2653" i="6" s="1"/>
  <c r="M2717" i="6"/>
  <c r="N2717" i="6" s="1"/>
  <c r="R2717" i="6" s="1"/>
  <c r="M2781" i="6"/>
  <c r="N2781" i="6" s="1"/>
  <c r="R2781" i="6" s="1"/>
  <c r="M2845" i="6"/>
  <c r="N2845" i="6" s="1"/>
  <c r="R2845" i="6" s="1"/>
  <c r="M2909" i="6"/>
  <c r="N2909" i="6" s="1"/>
  <c r="M2973" i="6"/>
  <c r="N2973" i="6" s="1"/>
  <c r="M3037" i="6"/>
  <c r="N3037" i="6" s="1"/>
  <c r="R3037" i="6" s="1"/>
  <c r="M3101" i="6"/>
  <c r="N3101" i="6" s="1"/>
  <c r="R3101" i="6" s="1"/>
  <c r="M3165" i="6"/>
  <c r="N3165" i="6" s="1"/>
  <c r="R3165" i="6" s="1"/>
  <c r="M3229" i="6"/>
  <c r="N3229" i="6" s="1"/>
  <c r="R3229" i="6" s="1"/>
  <c r="M3293" i="6"/>
  <c r="N3293" i="6" s="1"/>
  <c r="R3293" i="6" s="1"/>
  <c r="M3357" i="6"/>
  <c r="N3357" i="6" s="1"/>
  <c r="R3357" i="6" s="1"/>
  <c r="M3421" i="6"/>
  <c r="N3421" i="6" s="1"/>
  <c r="M3485" i="6"/>
  <c r="N3485" i="6" s="1"/>
  <c r="M3549" i="6"/>
  <c r="N3549" i="6" s="1"/>
  <c r="R3549" i="6" s="1"/>
  <c r="M3613" i="6"/>
  <c r="N3613" i="6" s="1"/>
  <c r="R3613" i="6" s="1"/>
  <c r="M3677" i="6"/>
  <c r="N3677" i="6" s="1"/>
  <c r="R3677" i="6" s="1"/>
  <c r="M3741" i="6"/>
  <c r="N3741" i="6" s="1"/>
  <c r="R3741" i="6" s="1"/>
  <c r="M3805" i="6"/>
  <c r="N3805" i="6" s="1"/>
  <c r="R3805" i="6" s="1"/>
  <c r="M3869" i="6"/>
  <c r="N3869" i="6" s="1"/>
  <c r="R3869" i="6" s="1"/>
  <c r="M3933" i="6"/>
  <c r="N3933" i="6" s="1"/>
  <c r="M3997" i="6"/>
  <c r="N3997" i="6" s="1"/>
  <c r="M4061" i="6"/>
  <c r="N4061" i="6" s="1"/>
  <c r="R4061" i="6" s="1"/>
  <c r="M4125" i="6"/>
  <c r="N4125" i="6" s="1"/>
  <c r="R4125" i="6" s="1"/>
  <c r="M4189" i="6"/>
  <c r="N4189" i="6" s="1"/>
  <c r="R4189" i="6" s="1"/>
  <c r="M4253" i="6"/>
  <c r="N4253" i="6" s="1"/>
  <c r="R4253" i="6" s="1"/>
  <c r="M4317" i="6"/>
  <c r="N4317" i="6" s="1"/>
  <c r="R4317" i="6" s="1"/>
  <c r="M4381" i="6"/>
  <c r="N4381" i="6" s="1"/>
  <c r="R4381" i="6" s="1"/>
  <c r="M4509" i="6"/>
  <c r="N4509" i="6" s="1"/>
  <c r="M4573" i="6"/>
  <c r="N4573" i="6" s="1"/>
  <c r="M4637" i="6"/>
  <c r="N4637" i="6" s="1"/>
  <c r="M4701" i="6"/>
  <c r="N4701" i="6" s="1"/>
  <c r="R4701" i="6" s="1"/>
  <c r="M4765" i="6"/>
  <c r="N4765" i="6" s="1"/>
  <c r="R4765" i="6" s="1"/>
  <c r="M4829" i="6"/>
  <c r="N4829" i="6" s="1"/>
  <c r="R4829" i="6" s="1"/>
  <c r="M4893" i="6"/>
  <c r="N4893" i="6" s="1"/>
  <c r="R4893" i="6" s="1"/>
  <c r="M4957" i="6"/>
  <c r="N4957" i="6" s="1"/>
  <c r="R4957" i="6" s="1"/>
  <c r="M334" i="6"/>
  <c r="N334" i="6" s="1"/>
  <c r="M398" i="6"/>
  <c r="N398" i="6" s="1"/>
  <c r="M462" i="6"/>
  <c r="N462" i="6" s="1"/>
  <c r="R462" i="6" s="1"/>
  <c r="M526" i="6"/>
  <c r="N526" i="6" s="1"/>
  <c r="R526" i="6" s="1"/>
  <c r="M590" i="6"/>
  <c r="N590" i="6" s="1"/>
  <c r="R590" i="6" s="1"/>
  <c r="M654" i="6"/>
  <c r="N654" i="6" s="1"/>
  <c r="R654" i="6" s="1"/>
  <c r="M718" i="6"/>
  <c r="N718" i="6" s="1"/>
  <c r="R718" i="6" s="1"/>
  <c r="M782" i="6"/>
  <c r="N782" i="6" s="1"/>
  <c r="M846" i="6"/>
  <c r="N846" i="6" s="1"/>
  <c r="M910" i="6"/>
  <c r="N910" i="6" s="1"/>
  <c r="M974" i="6"/>
  <c r="N974" i="6" s="1"/>
  <c r="M1038" i="6"/>
  <c r="N1038" i="6" s="1"/>
  <c r="R1038" i="6" s="1"/>
  <c r="M1102" i="6"/>
  <c r="N1102" i="6" s="1"/>
  <c r="R1102" i="6" s="1"/>
  <c r="M1166" i="6"/>
  <c r="N1166" i="6" s="1"/>
  <c r="R1166" i="6" s="1"/>
  <c r="M1230" i="6"/>
  <c r="N1230" i="6" s="1"/>
  <c r="R1230" i="6" s="1"/>
  <c r="M1294" i="6"/>
  <c r="N1294" i="6" s="1"/>
  <c r="R1294" i="6" s="1"/>
  <c r="M1358" i="6"/>
  <c r="N1358" i="6" s="1"/>
  <c r="M1422" i="6"/>
  <c r="N1422" i="6" s="1"/>
  <c r="M1486" i="6"/>
  <c r="N1486" i="6" s="1"/>
  <c r="R1486" i="6" s="1"/>
  <c r="M1550" i="6"/>
  <c r="N1550" i="6" s="1"/>
  <c r="R1550" i="6" s="1"/>
  <c r="M1614" i="6"/>
  <c r="N1614" i="6" s="1"/>
  <c r="R1614" i="6" s="1"/>
  <c r="M1678" i="6"/>
  <c r="N1678" i="6" s="1"/>
  <c r="R1678" i="6" s="1"/>
  <c r="M1742" i="6"/>
  <c r="N1742" i="6" s="1"/>
  <c r="R1742" i="6" s="1"/>
  <c r="M1806" i="6"/>
  <c r="N1806" i="6" s="1"/>
  <c r="R1806" i="6" s="1"/>
  <c r="M1870" i="6"/>
  <c r="N1870" i="6" s="1"/>
  <c r="M1934" i="6"/>
  <c r="N1934" i="6" s="1"/>
  <c r="M1998" i="6"/>
  <c r="N1998" i="6" s="1"/>
  <c r="R1998" i="6" s="1"/>
  <c r="M2062" i="6"/>
  <c r="N2062" i="6" s="1"/>
  <c r="M2126" i="6"/>
  <c r="N2126" i="6" s="1"/>
  <c r="R2126" i="6" s="1"/>
  <c r="M2190" i="6"/>
  <c r="N2190" i="6" s="1"/>
  <c r="R2190" i="6" s="1"/>
  <c r="M2254" i="6"/>
  <c r="N2254" i="6" s="1"/>
  <c r="R2254" i="6" s="1"/>
  <c r="M2318" i="6"/>
  <c r="N2318" i="6" s="1"/>
  <c r="R2318" i="6" s="1"/>
  <c r="M2382" i="6"/>
  <c r="N2382" i="6" s="1"/>
  <c r="M2446" i="6"/>
  <c r="N2446" i="6" s="1"/>
  <c r="R2446" i="6" s="1"/>
  <c r="M2510" i="6"/>
  <c r="N2510" i="6" s="1"/>
  <c r="R2510" i="6" s="1"/>
  <c r="M2574" i="6"/>
  <c r="N2574" i="6" s="1"/>
  <c r="R2574" i="6" s="1"/>
  <c r="M2638" i="6"/>
  <c r="N2638" i="6" s="1"/>
  <c r="R2638" i="6" s="1"/>
  <c r="M2702" i="6"/>
  <c r="N2702" i="6" s="1"/>
  <c r="R2702" i="6" s="1"/>
  <c r="M2766" i="6"/>
  <c r="N2766" i="6" s="1"/>
  <c r="R2766" i="6" s="1"/>
  <c r="M2830" i="6"/>
  <c r="N2830" i="6" s="1"/>
  <c r="M2894" i="6"/>
  <c r="N2894" i="6" s="1"/>
  <c r="M2958" i="6"/>
  <c r="N2958" i="6" s="1"/>
  <c r="M3022" i="6"/>
  <c r="N3022" i="6" s="1"/>
  <c r="R3022" i="6" s="1"/>
  <c r="M3086" i="6"/>
  <c r="N3086" i="6" s="1"/>
  <c r="R3086" i="6" s="1"/>
  <c r="M3150" i="6"/>
  <c r="N3150" i="6" s="1"/>
  <c r="R3150" i="6" s="1"/>
  <c r="M3214" i="6"/>
  <c r="N3214" i="6" s="1"/>
  <c r="M3278" i="6"/>
  <c r="N3278" i="6" s="1"/>
  <c r="R3278" i="6" s="1"/>
  <c r="M3342" i="6"/>
  <c r="N3342" i="6" s="1"/>
  <c r="R3342" i="6" s="1"/>
  <c r="M3406" i="6"/>
  <c r="N3406" i="6" s="1"/>
  <c r="M3470" i="6"/>
  <c r="N3470" i="6" s="1"/>
  <c r="R3470" i="6" s="1"/>
  <c r="M3534" i="6"/>
  <c r="N3534" i="6" s="1"/>
  <c r="R3534" i="6" s="1"/>
  <c r="M3598" i="6"/>
  <c r="N3598" i="6" s="1"/>
  <c r="R3598" i="6" s="1"/>
  <c r="M3662" i="6"/>
  <c r="N3662" i="6" s="1"/>
  <c r="R3662" i="6" s="1"/>
  <c r="M3726" i="6"/>
  <c r="N3726" i="6" s="1"/>
  <c r="R3726" i="6" s="1"/>
  <c r="M3790" i="6"/>
  <c r="N3790" i="6" s="1"/>
  <c r="R3790" i="6" s="1"/>
  <c r="M3854" i="6"/>
  <c r="N3854" i="6" s="1"/>
  <c r="R3854" i="6" s="1"/>
  <c r="M3918" i="6"/>
  <c r="N3918" i="6" s="1"/>
  <c r="M3982" i="6"/>
  <c r="N3982" i="6" s="1"/>
  <c r="M4046" i="6"/>
  <c r="N4046" i="6" s="1"/>
  <c r="R4046" i="6" s="1"/>
  <c r="M4110" i="6"/>
  <c r="N4110" i="6" s="1"/>
  <c r="R4110" i="6" s="1"/>
  <c r="M4174" i="6"/>
  <c r="N4174" i="6" s="1"/>
  <c r="M4238" i="6"/>
  <c r="N4238" i="6" s="1"/>
  <c r="R4238" i="6" s="1"/>
  <c r="M4302" i="6"/>
  <c r="N4302" i="6" s="1"/>
  <c r="R4302" i="6" s="1"/>
  <c r="M4366" i="6"/>
  <c r="N4366" i="6" s="1"/>
  <c r="R4366" i="6" s="1"/>
  <c r="M4430" i="6"/>
  <c r="N4430" i="6" s="1"/>
  <c r="M4494" i="6"/>
  <c r="N4494" i="6" s="1"/>
  <c r="M4558" i="6"/>
  <c r="N4558" i="6" s="1"/>
  <c r="M4622" i="6"/>
  <c r="N4622" i="6" s="1"/>
  <c r="R4622" i="6" s="1"/>
  <c r="M4686" i="6"/>
  <c r="N4686" i="6" s="1"/>
  <c r="R4686" i="6" s="1"/>
  <c r="M4750" i="6"/>
  <c r="N4750" i="6" s="1"/>
  <c r="R4750" i="6" s="1"/>
  <c r="M4814" i="6"/>
  <c r="N4814" i="6" s="1"/>
  <c r="R4814" i="6" s="1"/>
  <c r="M4878" i="6"/>
  <c r="N4878" i="6" s="1"/>
  <c r="R4878" i="6" s="1"/>
  <c r="M4942" i="6"/>
  <c r="N4942" i="6" s="1"/>
  <c r="M303" i="6"/>
  <c r="N303" i="6" s="1"/>
  <c r="M367" i="6"/>
  <c r="N367" i="6" s="1"/>
  <c r="R367" i="6" s="1"/>
  <c r="M431" i="6"/>
  <c r="N431" i="6" s="1"/>
  <c r="R431" i="6" s="1"/>
  <c r="M495" i="6"/>
  <c r="N495" i="6" s="1"/>
  <c r="R495" i="6" s="1"/>
  <c r="M559" i="6"/>
  <c r="N559" i="6" s="1"/>
  <c r="R559" i="6" s="1"/>
  <c r="M623" i="6"/>
  <c r="N623" i="6" s="1"/>
  <c r="R623" i="6" s="1"/>
  <c r="M687" i="6"/>
  <c r="N687" i="6" s="1"/>
  <c r="R687" i="6" s="1"/>
  <c r="M751" i="6"/>
  <c r="N751" i="6" s="1"/>
  <c r="M815" i="6"/>
  <c r="N815" i="6" s="1"/>
  <c r="M879" i="6"/>
  <c r="N879" i="6" s="1"/>
  <c r="R879" i="6" s="1"/>
  <c r="M943" i="6"/>
  <c r="N943" i="6" s="1"/>
  <c r="R943" i="6" s="1"/>
  <c r="M1007" i="6"/>
  <c r="N1007" i="6" s="1"/>
  <c r="R1007" i="6" s="1"/>
  <c r="M1071" i="6"/>
  <c r="N1071" i="6" s="1"/>
  <c r="R1071" i="6" s="1"/>
  <c r="M1135" i="6"/>
  <c r="N1135" i="6" s="1"/>
  <c r="R1135" i="6" s="1"/>
  <c r="M1199" i="6"/>
  <c r="N1199" i="6" s="1"/>
  <c r="R1199" i="6" s="1"/>
  <c r="M1263" i="6"/>
  <c r="N1263" i="6" s="1"/>
  <c r="M1327" i="6"/>
  <c r="N1327" i="6" s="1"/>
  <c r="M1391" i="6"/>
  <c r="N1391" i="6" s="1"/>
  <c r="R1391" i="6" s="1"/>
  <c r="M1455" i="6"/>
  <c r="N1455" i="6" s="1"/>
  <c r="R1455" i="6" s="1"/>
  <c r="M1519" i="6"/>
  <c r="N1519" i="6" s="1"/>
  <c r="R1519" i="6" s="1"/>
  <c r="M1583" i="6"/>
  <c r="N1583" i="6" s="1"/>
  <c r="R1583" i="6" s="1"/>
  <c r="M1647" i="6"/>
  <c r="N1647" i="6" s="1"/>
  <c r="R1647" i="6" s="1"/>
  <c r="M1711" i="6"/>
  <c r="N1711" i="6" s="1"/>
  <c r="R1711" i="6" s="1"/>
  <c r="M1775" i="6"/>
  <c r="N1775" i="6" s="1"/>
  <c r="M1839" i="6"/>
  <c r="N1839" i="6" s="1"/>
  <c r="M1903" i="6"/>
  <c r="N1903" i="6" s="1"/>
  <c r="R1903" i="6" s="1"/>
  <c r="M1967" i="6"/>
  <c r="N1967" i="6" s="1"/>
  <c r="R1967" i="6" s="1"/>
  <c r="M2031" i="6"/>
  <c r="N2031" i="6" s="1"/>
  <c r="R2031" i="6" s="1"/>
  <c r="M2095" i="6"/>
  <c r="N2095" i="6" s="1"/>
  <c r="R2095" i="6" s="1"/>
  <c r="M2159" i="6"/>
  <c r="N2159" i="6" s="1"/>
  <c r="R2159" i="6" s="1"/>
  <c r="M2223" i="6"/>
  <c r="N2223" i="6" s="1"/>
  <c r="R2223" i="6" s="1"/>
  <c r="M2287" i="6"/>
  <c r="N2287" i="6" s="1"/>
  <c r="M2351" i="6"/>
  <c r="N2351" i="6" s="1"/>
  <c r="M2415" i="6"/>
  <c r="N2415" i="6" s="1"/>
  <c r="R2415" i="6" s="1"/>
  <c r="M2479" i="6"/>
  <c r="N2479" i="6" s="1"/>
  <c r="R2479" i="6" s="1"/>
  <c r="M2543" i="6"/>
  <c r="N2543" i="6" s="1"/>
  <c r="R2543" i="6" s="1"/>
  <c r="M2607" i="6"/>
  <c r="N2607" i="6" s="1"/>
  <c r="R2607" i="6" s="1"/>
  <c r="M2671" i="6"/>
  <c r="N2671" i="6" s="1"/>
  <c r="R2671" i="6" s="1"/>
  <c r="M2735" i="6"/>
  <c r="N2735" i="6" s="1"/>
  <c r="M2799" i="6"/>
  <c r="N2799" i="6" s="1"/>
  <c r="M2863" i="6"/>
  <c r="N2863" i="6" s="1"/>
  <c r="M2927" i="6"/>
  <c r="N2927" i="6" s="1"/>
  <c r="R2927" i="6" s="1"/>
  <c r="M2991" i="6"/>
  <c r="N2991" i="6" s="1"/>
  <c r="R2991" i="6" s="1"/>
  <c r="M3055" i="6"/>
  <c r="N3055" i="6" s="1"/>
  <c r="R3055" i="6" s="1"/>
  <c r="M3119" i="6"/>
  <c r="N3119" i="6" s="1"/>
  <c r="R3119" i="6" s="1"/>
  <c r="M3183" i="6"/>
  <c r="N3183" i="6" s="1"/>
  <c r="R3183" i="6" s="1"/>
  <c r="M3247" i="6"/>
  <c r="N3247" i="6" s="1"/>
  <c r="R3247" i="6" s="1"/>
  <c r="M3311" i="6"/>
  <c r="N3311" i="6" s="1"/>
  <c r="M3375" i="6"/>
  <c r="N3375" i="6" s="1"/>
  <c r="M3439" i="6"/>
  <c r="N3439" i="6" s="1"/>
  <c r="R3439" i="6" s="1"/>
  <c r="M3503" i="6"/>
  <c r="N3503" i="6" s="1"/>
  <c r="R3503" i="6" s="1"/>
  <c r="M3567" i="6"/>
  <c r="N3567" i="6" s="1"/>
  <c r="R3567" i="6" s="1"/>
  <c r="M3631" i="6"/>
  <c r="N3631" i="6" s="1"/>
  <c r="R3631" i="6" s="1"/>
  <c r="M3695" i="6"/>
  <c r="N3695" i="6" s="1"/>
  <c r="R3695" i="6" s="1"/>
  <c r="M3759" i="6"/>
  <c r="N3759" i="6" s="1"/>
  <c r="R3759" i="6" s="1"/>
  <c r="M3823" i="6"/>
  <c r="N3823" i="6" s="1"/>
  <c r="M3887" i="6"/>
  <c r="N3887" i="6" s="1"/>
  <c r="M3951" i="6"/>
  <c r="N3951" i="6" s="1"/>
  <c r="R3951" i="6" s="1"/>
  <c r="M4079" i="6"/>
  <c r="N4079" i="6" s="1"/>
  <c r="R4079" i="6" s="1"/>
  <c r="M4143" i="6"/>
  <c r="N4143" i="6" s="1"/>
  <c r="R4143" i="6" s="1"/>
  <c r="M4207" i="6"/>
  <c r="N4207" i="6" s="1"/>
  <c r="R4207" i="6" s="1"/>
  <c r="M4271" i="6"/>
  <c r="N4271" i="6" s="1"/>
  <c r="R4271" i="6" s="1"/>
  <c r="M4335" i="6"/>
  <c r="N4335" i="6" s="1"/>
  <c r="R4335" i="6" s="1"/>
  <c r="M4463" i="6"/>
  <c r="N4463" i="6" s="1"/>
  <c r="M4527" i="6"/>
  <c r="N4527" i="6" s="1"/>
  <c r="M4591" i="6"/>
  <c r="N4591" i="6" s="1"/>
  <c r="R4591" i="6" s="1"/>
  <c r="M4655" i="6"/>
  <c r="N4655" i="6" s="1"/>
  <c r="R4655" i="6" s="1"/>
  <c r="M4719" i="6"/>
  <c r="N4719" i="6" s="1"/>
  <c r="R4719" i="6" s="1"/>
  <c r="M4783" i="6"/>
  <c r="N4783" i="6" s="1"/>
  <c r="R4783" i="6" s="1"/>
  <c r="M4847" i="6"/>
  <c r="N4847" i="6" s="1"/>
  <c r="R4847" i="6" s="1"/>
  <c r="M4911" i="6"/>
  <c r="N4911" i="6" s="1"/>
  <c r="R4911" i="6" s="1"/>
  <c r="M4975" i="6"/>
  <c r="N4975" i="6" s="1"/>
  <c r="M4524" i="6"/>
  <c r="N4524" i="6" s="1"/>
  <c r="M4588" i="6"/>
  <c r="N4588" i="6" s="1"/>
  <c r="R4588" i="6" s="1"/>
  <c r="M4652" i="6"/>
  <c r="N4652" i="6" s="1"/>
  <c r="R4652" i="6" s="1"/>
  <c r="M4716" i="6"/>
  <c r="N4716" i="6" s="1"/>
  <c r="R4716" i="6" s="1"/>
  <c r="M4780" i="6"/>
  <c r="N4780" i="6" s="1"/>
  <c r="R4780" i="6" s="1"/>
  <c r="M4844" i="6"/>
  <c r="N4844" i="6" s="1"/>
  <c r="R4844" i="6" s="1"/>
  <c r="M4908" i="6"/>
  <c r="N4908" i="6" s="1"/>
  <c r="R4908" i="6" s="1"/>
  <c r="M4972" i="6"/>
  <c r="N4972" i="6" s="1"/>
  <c r="M47" i="6"/>
  <c r="N47" i="6" s="1"/>
  <c r="M111" i="6"/>
  <c r="N111" i="6" s="1"/>
  <c r="R111" i="6" s="1"/>
  <c r="M175" i="6"/>
  <c r="N175" i="6" s="1"/>
  <c r="R175" i="6" s="1"/>
  <c r="M239" i="6"/>
  <c r="N239" i="6" s="1"/>
  <c r="R239" i="6" s="1"/>
  <c r="M8" i="6"/>
  <c r="N8" i="6" s="1"/>
  <c r="R8" i="6" s="1"/>
  <c r="M72" i="6"/>
  <c r="N72" i="6" s="1"/>
  <c r="R72" i="6" s="1"/>
  <c r="M136" i="6"/>
  <c r="N136" i="6" s="1"/>
  <c r="R136" i="6" s="1"/>
  <c r="M200" i="6"/>
  <c r="N200" i="6" s="1"/>
  <c r="M264" i="6"/>
  <c r="N264" i="6" s="1"/>
  <c r="M25" i="6"/>
  <c r="N25" i="6" s="1"/>
  <c r="R25" i="6" s="1"/>
  <c r="M89" i="6"/>
  <c r="N89" i="6" s="1"/>
  <c r="R89" i="6" s="1"/>
  <c r="M153" i="6"/>
  <c r="N153" i="6" s="1"/>
  <c r="R153" i="6" s="1"/>
  <c r="M217" i="6"/>
  <c r="N217" i="6" s="1"/>
  <c r="R217" i="6" s="1"/>
  <c r="M281" i="6"/>
  <c r="N281" i="6" s="1"/>
  <c r="R281" i="6" s="1"/>
  <c r="M34" i="6"/>
  <c r="N34" i="6" s="1"/>
  <c r="R34" i="6" s="1"/>
  <c r="M98" i="6"/>
  <c r="N98" i="6" s="1"/>
  <c r="M162" i="6"/>
  <c r="N162" i="6" s="1"/>
  <c r="M226" i="6"/>
  <c r="N226" i="6" s="1"/>
  <c r="R226" i="6" s="1"/>
  <c r="M290" i="6"/>
  <c r="N290" i="6" s="1"/>
  <c r="R290" i="6" s="1"/>
  <c r="M27" i="6"/>
  <c r="N27" i="6" s="1"/>
  <c r="R27" i="6" s="1"/>
  <c r="M91" i="6"/>
  <c r="N91" i="6" s="1"/>
  <c r="R91" i="6" s="1"/>
  <c r="M155" i="6"/>
  <c r="N155" i="6" s="1"/>
  <c r="R155" i="6" s="1"/>
  <c r="M219" i="6"/>
  <c r="N219" i="6" s="1"/>
  <c r="R219" i="6" s="1"/>
  <c r="M283" i="6"/>
  <c r="N283" i="6" s="1"/>
  <c r="M53" i="6"/>
  <c r="N53" i="6" s="1"/>
  <c r="M117" i="6"/>
  <c r="N117" i="6" s="1"/>
  <c r="M181" i="6"/>
  <c r="N181" i="6" s="1"/>
  <c r="M245" i="6"/>
  <c r="N245" i="6" s="1"/>
  <c r="R245" i="6" s="1"/>
  <c r="M309" i="6"/>
  <c r="N309" i="6" s="1"/>
  <c r="R309" i="6" s="1"/>
  <c r="M46" i="6"/>
  <c r="N46" i="6" s="1"/>
  <c r="R46" i="6" s="1"/>
  <c r="M118" i="6"/>
  <c r="N118" i="6" s="1"/>
  <c r="R118" i="6" s="1"/>
  <c r="M254" i="6"/>
  <c r="N254" i="6" s="1"/>
  <c r="M318" i="6"/>
  <c r="N318" i="6" s="1"/>
  <c r="M360" i="6"/>
  <c r="N360" i="6" s="1"/>
  <c r="R360" i="6" s="1"/>
  <c r="M424" i="6"/>
  <c r="N424" i="6" s="1"/>
  <c r="R424" i="6" s="1"/>
  <c r="M488" i="6"/>
  <c r="N488" i="6" s="1"/>
  <c r="R488" i="6" s="1"/>
  <c r="M552" i="6"/>
  <c r="N552" i="6" s="1"/>
  <c r="R552" i="6" s="1"/>
  <c r="M616" i="6"/>
  <c r="N616" i="6" s="1"/>
  <c r="R616" i="6" s="1"/>
  <c r="M680" i="6"/>
  <c r="N680" i="6" s="1"/>
  <c r="R680" i="6" s="1"/>
  <c r="M744" i="6"/>
  <c r="N744" i="6" s="1"/>
  <c r="M808" i="6"/>
  <c r="N808" i="6" s="1"/>
  <c r="M872" i="6"/>
  <c r="N872" i="6" s="1"/>
  <c r="R872" i="6" s="1"/>
  <c r="M936" i="6"/>
  <c r="N936" i="6" s="1"/>
  <c r="R936" i="6" s="1"/>
  <c r="M1000" i="6"/>
  <c r="N1000" i="6" s="1"/>
  <c r="R1000" i="6" s="1"/>
  <c r="M1064" i="6"/>
  <c r="N1064" i="6" s="1"/>
  <c r="R1064" i="6" s="1"/>
  <c r="M1128" i="6"/>
  <c r="N1128" i="6" s="1"/>
  <c r="R1128" i="6" s="1"/>
  <c r="M1192" i="6"/>
  <c r="N1192" i="6" s="1"/>
  <c r="R1192" i="6" s="1"/>
  <c r="M1256" i="6"/>
  <c r="N1256" i="6" s="1"/>
  <c r="M1320" i="6"/>
  <c r="N1320" i="6" s="1"/>
  <c r="M1384" i="6"/>
  <c r="N1384" i="6" s="1"/>
  <c r="R1384" i="6" s="1"/>
  <c r="M1448" i="6"/>
  <c r="N1448" i="6" s="1"/>
  <c r="R1448" i="6" s="1"/>
  <c r="M1512" i="6"/>
  <c r="N1512" i="6" s="1"/>
  <c r="R1512" i="6" s="1"/>
  <c r="M1576" i="6"/>
  <c r="N1576" i="6" s="1"/>
  <c r="R1576" i="6" s="1"/>
  <c r="M1640" i="6"/>
  <c r="N1640" i="6" s="1"/>
  <c r="R1640" i="6" s="1"/>
  <c r="M1704" i="6"/>
  <c r="N1704" i="6" s="1"/>
  <c r="R1704" i="6" s="1"/>
  <c r="M1768" i="6"/>
  <c r="N1768" i="6" s="1"/>
  <c r="M1832" i="6"/>
  <c r="N1832" i="6" s="1"/>
  <c r="R1832" i="6" s="1"/>
  <c r="M1896" i="6"/>
  <c r="N1896" i="6" s="1"/>
  <c r="R1896" i="6" s="1"/>
  <c r="M1960" i="6"/>
  <c r="N1960" i="6" s="1"/>
  <c r="R1960" i="6" s="1"/>
  <c r="M2024" i="6"/>
  <c r="N2024" i="6" s="1"/>
  <c r="R2024" i="6" s="1"/>
  <c r="M2088" i="6"/>
  <c r="N2088" i="6" s="1"/>
  <c r="R2088" i="6" s="1"/>
  <c r="M2152" i="6"/>
  <c r="N2152" i="6" s="1"/>
  <c r="R2152" i="6" s="1"/>
  <c r="M2216" i="6"/>
  <c r="N2216" i="6" s="1"/>
  <c r="R2216" i="6" s="1"/>
  <c r="M2280" i="6"/>
  <c r="N2280" i="6" s="1"/>
  <c r="M2344" i="6"/>
  <c r="N2344" i="6" s="1"/>
  <c r="M2408" i="6"/>
  <c r="N2408" i="6" s="1"/>
  <c r="R2408" i="6" s="1"/>
  <c r="M2472" i="6"/>
  <c r="N2472" i="6" s="1"/>
  <c r="R2472" i="6" s="1"/>
  <c r="M2536" i="6"/>
  <c r="N2536" i="6" s="1"/>
  <c r="R2536" i="6" s="1"/>
  <c r="M2600" i="6"/>
  <c r="N2600" i="6" s="1"/>
  <c r="R2600" i="6" s="1"/>
  <c r="M2664" i="6"/>
  <c r="N2664" i="6" s="1"/>
  <c r="R2664" i="6" s="1"/>
  <c r="M2728" i="6"/>
  <c r="N2728" i="6" s="1"/>
  <c r="R2728" i="6" s="1"/>
  <c r="M2792" i="6"/>
  <c r="N2792" i="6" s="1"/>
  <c r="M2856" i="6"/>
  <c r="N2856" i="6" s="1"/>
  <c r="M2920" i="6"/>
  <c r="N2920" i="6" s="1"/>
  <c r="R2920" i="6" s="1"/>
  <c r="M2984" i="6"/>
  <c r="N2984" i="6" s="1"/>
  <c r="R2984" i="6" s="1"/>
  <c r="M3048" i="6"/>
  <c r="N3048" i="6" s="1"/>
  <c r="R3048" i="6" s="1"/>
  <c r="M3112" i="6"/>
  <c r="N3112" i="6" s="1"/>
  <c r="R3112" i="6" s="1"/>
  <c r="M3240" i="6"/>
  <c r="N3240" i="6" s="1"/>
  <c r="R3240" i="6" s="1"/>
  <c r="M3304" i="6"/>
  <c r="N3304" i="6" s="1"/>
  <c r="R3304" i="6" s="1"/>
  <c r="M3368" i="6"/>
  <c r="N3368" i="6" s="1"/>
  <c r="M3432" i="6"/>
  <c r="N3432" i="6" s="1"/>
  <c r="M3496" i="6"/>
  <c r="N3496" i="6" s="1"/>
  <c r="R3496" i="6" s="1"/>
  <c r="M3560" i="6"/>
  <c r="N3560" i="6" s="1"/>
  <c r="R3560" i="6" s="1"/>
  <c r="M3624" i="6"/>
  <c r="N3624" i="6" s="1"/>
  <c r="R3624" i="6" s="1"/>
  <c r="M3688" i="6"/>
  <c r="N3688" i="6" s="1"/>
  <c r="R3688" i="6" s="1"/>
  <c r="M3752" i="6"/>
  <c r="N3752" i="6" s="1"/>
  <c r="R3752" i="6" s="1"/>
  <c r="M3816" i="6"/>
  <c r="N3816" i="6" s="1"/>
  <c r="R3816" i="6" s="1"/>
  <c r="M3880" i="6"/>
  <c r="N3880" i="6" s="1"/>
  <c r="M3944" i="6"/>
  <c r="N3944" i="6" s="1"/>
  <c r="M4008" i="6"/>
  <c r="N4008" i="6" s="1"/>
  <c r="R4008" i="6" s="1"/>
  <c r="M4072" i="6"/>
  <c r="N4072" i="6" s="1"/>
  <c r="R4072" i="6" s="1"/>
  <c r="M4136" i="6"/>
  <c r="N4136" i="6" s="1"/>
  <c r="R4136" i="6" s="1"/>
  <c r="M4200" i="6"/>
  <c r="N4200" i="6" s="1"/>
  <c r="R4200" i="6" s="1"/>
  <c r="M4264" i="6"/>
  <c r="N4264" i="6" s="1"/>
  <c r="R4264" i="6" s="1"/>
  <c r="M4328" i="6"/>
  <c r="N4328" i="6" s="1"/>
  <c r="R4328" i="6" s="1"/>
  <c r="M4392" i="6"/>
  <c r="N4392" i="6" s="1"/>
  <c r="M4456" i="6"/>
  <c r="N4456" i="6" s="1"/>
  <c r="M4520" i="6"/>
  <c r="N4520" i="6" s="1"/>
  <c r="R4520" i="6" s="1"/>
  <c r="M4584" i="6"/>
  <c r="N4584" i="6" s="1"/>
  <c r="R4584" i="6" s="1"/>
  <c r="M4648" i="6"/>
  <c r="N4648" i="6" s="1"/>
  <c r="R4648" i="6" s="1"/>
  <c r="M4712" i="6"/>
  <c r="N4712" i="6" s="1"/>
  <c r="R4712" i="6" s="1"/>
  <c r="M4776" i="6"/>
  <c r="N4776" i="6" s="1"/>
  <c r="R4776" i="6" s="1"/>
  <c r="M4840" i="6"/>
  <c r="N4840" i="6" s="1"/>
  <c r="R4840" i="6" s="1"/>
  <c r="M4904" i="6"/>
  <c r="N4904" i="6" s="1"/>
  <c r="M4968" i="6"/>
  <c r="N4968" i="6" s="1"/>
  <c r="M345" i="6"/>
  <c r="N345" i="6" s="1"/>
  <c r="R345" i="6" s="1"/>
  <c r="M409" i="6"/>
  <c r="N409" i="6" s="1"/>
  <c r="R409" i="6" s="1"/>
  <c r="M473" i="6"/>
  <c r="N473" i="6" s="1"/>
  <c r="R473" i="6" s="1"/>
  <c r="M537" i="6"/>
  <c r="N537" i="6" s="1"/>
  <c r="R537" i="6" s="1"/>
  <c r="M601" i="6"/>
  <c r="N601" i="6" s="1"/>
  <c r="R601" i="6" s="1"/>
  <c r="M665" i="6"/>
  <c r="N665" i="6" s="1"/>
  <c r="R665" i="6" s="1"/>
  <c r="M729" i="6"/>
  <c r="N729" i="6" s="1"/>
  <c r="M793" i="6"/>
  <c r="N793" i="6" s="1"/>
  <c r="M857" i="6"/>
  <c r="N857" i="6" s="1"/>
  <c r="R857" i="6" s="1"/>
  <c r="M921" i="6"/>
  <c r="N921" i="6" s="1"/>
  <c r="R921" i="6" s="1"/>
  <c r="M985" i="6"/>
  <c r="N985" i="6" s="1"/>
  <c r="R985" i="6" s="1"/>
  <c r="M1049" i="6"/>
  <c r="N1049" i="6" s="1"/>
  <c r="R1049" i="6" s="1"/>
  <c r="M1113" i="6"/>
  <c r="N1113" i="6" s="1"/>
  <c r="R1113" i="6" s="1"/>
  <c r="M1177" i="6"/>
  <c r="N1177" i="6" s="1"/>
  <c r="R1177" i="6" s="1"/>
  <c r="M1241" i="6"/>
  <c r="N1241" i="6" s="1"/>
  <c r="M1305" i="6"/>
  <c r="N1305" i="6" s="1"/>
  <c r="M1369" i="6"/>
  <c r="N1369" i="6" s="1"/>
  <c r="R1369" i="6" s="1"/>
  <c r="M1433" i="6"/>
  <c r="N1433" i="6" s="1"/>
  <c r="R1433" i="6" s="1"/>
  <c r="M1497" i="6"/>
  <c r="N1497" i="6" s="1"/>
  <c r="R1497" i="6" s="1"/>
  <c r="M1561" i="6"/>
  <c r="N1561" i="6" s="1"/>
  <c r="R1561" i="6" s="1"/>
  <c r="M1625" i="6"/>
  <c r="N1625" i="6" s="1"/>
  <c r="R1625" i="6" s="1"/>
  <c r="M1689" i="6"/>
  <c r="N1689" i="6" s="1"/>
  <c r="R1689" i="6" s="1"/>
  <c r="M1753" i="6"/>
  <c r="N1753" i="6" s="1"/>
  <c r="M1817" i="6"/>
  <c r="N1817" i="6" s="1"/>
  <c r="M1881" i="6"/>
  <c r="N1881" i="6" s="1"/>
  <c r="R1881" i="6" s="1"/>
  <c r="M1945" i="6"/>
  <c r="N1945" i="6" s="1"/>
  <c r="R1945" i="6" s="1"/>
  <c r="M2009" i="6"/>
  <c r="N2009" i="6" s="1"/>
  <c r="R2009" i="6" s="1"/>
  <c r="M2073" i="6"/>
  <c r="N2073" i="6" s="1"/>
  <c r="R2073" i="6" s="1"/>
  <c r="M2137" i="6"/>
  <c r="N2137" i="6" s="1"/>
  <c r="R2137" i="6" s="1"/>
  <c r="M2201" i="6"/>
  <c r="N2201" i="6" s="1"/>
  <c r="R2201" i="6" s="1"/>
  <c r="M2265" i="6"/>
  <c r="N2265" i="6" s="1"/>
  <c r="M2329" i="6"/>
  <c r="N2329" i="6" s="1"/>
  <c r="M2393" i="6"/>
  <c r="N2393" i="6" s="1"/>
  <c r="R2393" i="6" s="1"/>
  <c r="M2457" i="6"/>
  <c r="N2457" i="6" s="1"/>
  <c r="M2521" i="6"/>
  <c r="N2521" i="6" s="1"/>
  <c r="R2521" i="6" s="1"/>
  <c r="M2649" i="6"/>
  <c r="N2649" i="6" s="1"/>
  <c r="R2649" i="6" s="1"/>
  <c r="M2713" i="6"/>
  <c r="N2713" i="6" s="1"/>
  <c r="R2713" i="6" s="1"/>
  <c r="M2777" i="6"/>
  <c r="N2777" i="6" s="1"/>
  <c r="R2777" i="6" s="1"/>
  <c r="M2905" i="6"/>
  <c r="N2905" i="6" s="1"/>
  <c r="M3033" i="6"/>
  <c r="N3033" i="6" s="1"/>
  <c r="M3097" i="6"/>
  <c r="N3097" i="6" s="1"/>
  <c r="R3097" i="6" s="1"/>
  <c r="M3161" i="6"/>
  <c r="N3161" i="6" s="1"/>
  <c r="R3161" i="6" s="1"/>
  <c r="M3225" i="6"/>
  <c r="N3225" i="6" s="1"/>
  <c r="R3225" i="6" s="1"/>
  <c r="M3289" i="6"/>
  <c r="N3289" i="6" s="1"/>
  <c r="R3289" i="6" s="1"/>
  <c r="M3353" i="6"/>
  <c r="N3353" i="6" s="1"/>
  <c r="R3353" i="6" s="1"/>
  <c r="M3417" i="6"/>
  <c r="N3417" i="6" s="1"/>
  <c r="R3417" i="6" s="1"/>
  <c r="M3481" i="6"/>
  <c r="N3481" i="6" s="1"/>
  <c r="M3545" i="6"/>
  <c r="N3545" i="6" s="1"/>
  <c r="M3609" i="6"/>
  <c r="N3609" i="6" s="1"/>
  <c r="R3609" i="6" s="1"/>
  <c r="M3673" i="6"/>
  <c r="N3673" i="6" s="1"/>
  <c r="R3673" i="6" s="1"/>
  <c r="M3737" i="6"/>
  <c r="N3737" i="6" s="1"/>
  <c r="R3737" i="6" s="1"/>
  <c r="M3801" i="6"/>
  <c r="N3801" i="6" s="1"/>
  <c r="R3801" i="6" s="1"/>
  <c r="M3865" i="6"/>
  <c r="N3865" i="6" s="1"/>
  <c r="R3865" i="6" s="1"/>
  <c r="M3929" i="6"/>
  <c r="N3929" i="6" s="1"/>
  <c r="R3929" i="6" s="1"/>
  <c r="M3993" i="6"/>
  <c r="N3993" i="6" s="1"/>
  <c r="M4057" i="6"/>
  <c r="N4057" i="6" s="1"/>
  <c r="M4121" i="6"/>
  <c r="N4121" i="6" s="1"/>
  <c r="R4121" i="6" s="1"/>
  <c r="M4185" i="6"/>
  <c r="N4185" i="6" s="1"/>
  <c r="R4185" i="6" s="1"/>
  <c r="M4249" i="6"/>
  <c r="N4249" i="6" s="1"/>
  <c r="R4249" i="6" s="1"/>
  <c r="M4313" i="6"/>
  <c r="N4313" i="6" s="1"/>
  <c r="R4313" i="6" s="1"/>
  <c r="M4377" i="6"/>
  <c r="N4377" i="6" s="1"/>
  <c r="R4377" i="6" s="1"/>
  <c r="M4441" i="6"/>
  <c r="N4441" i="6" s="1"/>
  <c r="R4441" i="6" s="1"/>
  <c r="M4505" i="6"/>
  <c r="N4505" i="6" s="1"/>
  <c r="M4569" i="6"/>
  <c r="N4569" i="6" s="1"/>
  <c r="M4633" i="6"/>
  <c r="N4633" i="6" s="1"/>
  <c r="R4633" i="6" s="1"/>
  <c r="M4697" i="6"/>
  <c r="N4697" i="6" s="1"/>
  <c r="R4697" i="6" s="1"/>
  <c r="M4761" i="6"/>
  <c r="N4761" i="6" s="1"/>
  <c r="R4761" i="6" s="1"/>
  <c r="M4889" i="6"/>
  <c r="N4889" i="6" s="1"/>
  <c r="R4889" i="6" s="1"/>
  <c r="M4953" i="6"/>
  <c r="N4953" i="6" s="1"/>
  <c r="R4953" i="6" s="1"/>
  <c r="M338" i="6"/>
  <c r="N338" i="6" s="1"/>
  <c r="R338" i="6" s="1"/>
  <c r="M402" i="6"/>
  <c r="N402" i="6" s="1"/>
  <c r="M466" i="6"/>
  <c r="N466" i="6" s="1"/>
  <c r="M530" i="6"/>
  <c r="N530" i="6" s="1"/>
  <c r="R530" i="6" s="1"/>
  <c r="M594" i="6"/>
  <c r="N594" i="6" s="1"/>
  <c r="R594" i="6" s="1"/>
  <c r="M658" i="6"/>
  <c r="N658" i="6" s="1"/>
  <c r="M722" i="6"/>
  <c r="N722" i="6" s="1"/>
  <c r="R722" i="6" s="1"/>
  <c r="M786" i="6"/>
  <c r="N786" i="6" s="1"/>
  <c r="R786" i="6" s="1"/>
  <c r="M850" i="6"/>
  <c r="N850" i="6" s="1"/>
  <c r="R850" i="6" s="1"/>
  <c r="M914" i="6"/>
  <c r="N914" i="6" s="1"/>
  <c r="M978" i="6"/>
  <c r="N978" i="6" s="1"/>
  <c r="M1042" i="6"/>
  <c r="N1042" i="6" s="1"/>
  <c r="R1042" i="6" s="1"/>
  <c r="M1106" i="6"/>
  <c r="N1106" i="6" s="1"/>
  <c r="R1106" i="6" s="1"/>
  <c r="M1170" i="6"/>
  <c r="N1170" i="6" s="1"/>
  <c r="R1170" i="6" s="1"/>
  <c r="M1234" i="6"/>
  <c r="N1234" i="6" s="1"/>
  <c r="R1234" i="6" s="1"/>
  <c r="M1298" i="6"/>
  <c r="N1298" i="6" s="1"/>
  <c r="R1298" i="6" s="1"/>
  <c r="M1362" i="6"/>
  <c r="N1362" i="6" s="1"/>
  <c r="R1362" i="6" s="1"/>
  <c r="M1426" i="6"/>
  <c r="N1426" i="6" s="1"/>
  <c r="M1490" i="6"/>
  <c r="N1490" i="6" s="1"/>
  <c r="M1554" i="6"/>
  <c r="N1554" i="6" s="1"/>
  <c r="R1554" i="6" s="1"/>
  <c r="M1618" i="6"/>
  <c r="N1618" i="6" s="1"/>
  <c r="R1618" i="6" s="1"/>
  <c r="M1682" i="6"/>
  <c r="N1682" i="6" s="1"/>
  <c r="R1682" i="6" s="1"/>
  <c r="M1746" i="6"/>
  <c r="N1746" i="6" s="1"/>
  <c r="R1746" i="6" s="1"/>
  <c r="M1810" i="6"/>
  <c r="N1810" i="6" s="1"/>
  <c r="R1810" i="6" s="1"/>
  <c r="M1874" i="6"/>
  <c r="N1874" i="6" s="1"/>
  <c r="R1874" i="6" s="1"/>
  <c r="M1938" i="6"/>
  <c r="N1938" i="6" s="1"/>
  <c r="M2002" i="6"/>
  <c r="N2002" i="6" s="1"/>
  <c r="M2066" i="6"/>
  <c r="N2066" i="6" s="1"/>
  <c r="R2066" i="6" s="1"/>
  <c r="M2130" i="6"/>
  <c r="N2130" i="6" s="1"/>
  <c r="R2130" i="6" s="1"/>
  <c r="M2194" i="6"/>
  <c r="N2194" i="6" s="1"/>
  <c r="R2194" i="6" s="1"/>
  <c r="M2322" i="6"/>
  <c r="N2322" i="6" s="1"/>
  <c r="R2322" i="6" s="1"/>
  <c r="M2386" i="6"/>
  <c r="N2386" i="6" s="1"/>
  <c r="R2386" i="6" s="1"/>
  <c r="M2450" i="6"/>
  <c r="N2450" i="6" s="1"/>
  <c r="R2450" i="6" s="1"/>
  <c r="M2514" i="6"/>
  <c r="N2514" i="6" s="1"/>
  <c r="M2578" i="6"/>
  <c r="N2578" i="6" s="1"/>
  <c r="M2642" i="6"/>
  <c r="N2642" i="6" s="1"/>
  <c r="R2642" i="6" s="1"/>
  <c r="M2706" i="6"/>
  <c r="N2706" i="6" s="1"/>
  <c r="R2706" i="6" s="1"/>
  <c r="M2770" i="6"/>
  <c r="N2770" i="6" s="1"/>
  <c r="R2770" i="6" s="1"/>
  <c r="M2834" i="6"/>
  <c r="N2834" i="6" s="1"/>
  <c r="R2834" i="6" s="1"/>
  <c r="M2898" i="6"/>
  <c r="N2898" i="6" s="1"/>
  <c r="R2898" i="6" s="1"/>
  <c r="M2962" i="6"/>
  <c r="N2962" i="6" s="1"/>
  <c r="R2962" i="6" s="1"/>
  <c r="M3026" i="6"/>
  <c r="N3026" i="6" s="1"/>
  <c r="R3026" i="6" s="1"/>
  <c r="M3090" i="6"/>
  <c r="N3090" i="6" s="1"/>
  <c r="M3154" i="6"/>
  <c r="N3154" i="6" s="1"/>
  <c r="R3154" i="6" s="1"/>
  <c r="M3346" i="6"/>
  <c r="N3346" i="6" s="1"/>
  <c r="R3346" i="6" s="1"/>
  <c r="M3410" i="6"/>
  <c r="N3410" i="6" s="1"/>
  <c r="R3410" i="6" s="1"/>
  <c r="M3474" i="6"/>
  <c r="N3474" i="6" s="1"/>
  <c r="R3474" i="6" s="1"/>
  <c r="M3538" i="6"/>
  <c r="N3538" i="6" s="1"/>
  <c r="R3538" i="6" s="1"/>
  <c r="M3602" i="6"/>
  <c r="N3602" i="6" s="1"/>
  <c r="R3602" i="6" s="1"/>
  <c r="M3666" i="6"/>
  <c r="N3666" i="6" s="1"/>
  <c r="M3730" i="6"/>
  <c r="N3730" i="6" s="1"/>
  <c r="M3794" i="6"/>
  <c r="N3794" i="6" s="1"/>
  <c r="R3794" i="6" s="1"/>
  <c r="M3858" i="6"/>
  <c r="N3858" i="6" s="1"/>
  <c r="R3858" i="6" s="1"/>
  <c r="M3986" i="6"/>
  <c r="N3986" i="6" s="1"/>
  <c r="R3986" i="6" s="1"/>
  <c r="M4050" i="6"/>
  <c r="N4050" i="6" s="1"/>
  <c r="R4050" i="6" s="1"/>
  <c r="M4114" i="6"/>
  <c r="N4114" i="6" s="1"/>
  <c r="R4114" i="6" s="1"/>
  <c r="M4178" i="6"/>
  <c r="N4178" i="6" s="1"/>
  <c r="R4178" i="6" s="1"/>
  <c r="M4242" i="6"/>
  <c r="N4242" i="6" s="1"/>
  <c r="M4306" i="6"/>
  <c r="N4306" i="6" s="1"/>
  <c r="M4370" i="6"/>
  <c r="N4370" i="6" s="1"/>
  <c r="R4370" i="6" s="1"/>
  <c r="M4434" i="6"/>
  <c r="N4434" i="6" s="1"/>
  <c r="R4434" i="6" s="1"/>
  <c r="M4498" i="6"/>
  <c r="N4498" i="6" s="1"/>
  <c r="R4498" i="6" s="1"/>
  <c r="M4562" i="6"/>
  <c r="N4562" i="6" s="1"/>
  <c r="R4562" i="6" s="1"/>
  <c r="M4626" i="6"/>
  <c r="N4626" i="6" s="1"/>
  <c r="R4626" i="6" s="1"/>
  <c r="M4690" i="6"/>
  <c r="N4690" i="6" s="1"/>
  <c r="R4690" i="6" s="1"/>
  <c r="M4754" i="6"/>
  <c r="N4754" i="6" s="1"/>
  <c r="M4818" i="6"/>
  <c r="N4818" i="6" s="1"/>
  <c r="M4882" i="6"/>
  <c r="N4882" i="6" s="1"/>
  <c r="R4882" i="6" s="1"/>
  <c r="M4946" i="6"/>
  <c r="N4946" i="6" s="1"/>
  <c r="R4946" i="6" s="1"/>
  <c r="M299" i="6"/>
  <c r="N299" i="6" s="1"/>
  <c r="R299" i="6" s="1"/>
  <c r="M363" i="6"/>
  <c r="N363" i="6" s="1"/>
  <c r="R363" i="6" s="1"/>
  <c r="M427" i="6"/>
  <c r="N427" i="6" s="1"/>
  <c r="R427" i="6" s="1"/>
  <c r="M491" i="6"/>
  <c r="N491" i="6" s="1"/>
  <c r="R491" i="6" s="1"/>
  <c r="M555" i="6"/>
  <c r="N555" i="6" s="1"/>
  <c r="M619" i="6"/>
  <c r="N619" i="6" s="1"/>
  <c r="M683" i="6"/>
  <c r="N683" i="6" s="1"/>
  <c r="R683" i="6" s="1"/>
  <c r="M747" i="6"/>
  <c r="N747" i="6" s="1"/>
  <c r="R747" i="6" s="1"/>
  <c r="M811" i="6"/>
  <c r="N811" i="6" s="1"/>
  <c r="R811" i="6" s="1"/>
  <c r="M875" i="6"/>
  <c r="N875" i="6" s="1"/>
  <c r="R875" i="6" s="1"/>
  <c r="M939" i="6"/>
  <c r="N939" i="6" s="1"/>
  <c r="R939" i="6" s="1"/>
  <c r="M1003" i="6"/>
  <c r="N1003" i="6" s="1"/>
  <c r="R1003" i="6" s="1"/>
  <c r="M1067" i="6"/>
  <c r="N1067" i="6" s="1"/>
  <c r="M1131" i="6"/>
  <c r="N1131" i="6" s="1"/>
  <c r="M1195" i="6"/>
  <c r="N1195" i="6" s="1"/>
  <c r="R1195" i="6" s="1"/>
  <c r="M1259" i="6"/>
  <c r="N1259" i="6" s="1"/>
  <c r="R1259" i="6" s="1"/>
  <c r="M1323" i="6"/>
  <c r="N1323" i="6" s="1"/>
  <c r="R1323" i="6" s="1"/>
  <c r="M1387" i="6"/>
  <c r="N1387" i="6" s="1"/>
  <c r="R1387" i="6" s="1"/>
  <c r="M1451" i="6"/>
  <c r="N1451" i="6" s="1"/>
  <c r="R1451" i="6" s="1"/>
  <c r="M1515" i="6"/>
  <c r="N1515" i="6" s="1"/>
  <c r="R1515" i="6" s="1"/>
  <c r="M1579" i="6"/>
  <c r="N1579" i="6" s="1"/>
  <c r="M1643" i="6"/>
  <c r="N1643" i="6" s="1"/>
  <c r="M1707" i="6"/>
  <c r="N1707" i="6" s="1"/>
  <c r="R1707" i="6" s="1"/>
  <c r="M1771" i="6"/>
  <c r="N1771" i="6" s="1"/>
  <c r="R1771" i="6" s="1"/>
  <c r="M1835" i="6"/>
  <c r="N1835" i="6" s="1"/>
  <c r="R1835" i="6" s="1"/>
  <c r="M1899" i="6"/>
  <c r="N1899" i="6" s="1"/>
  <c r="R1899" i="6" s="1"/>
  <c r="M1963" i="6"/>
  <c r="N1963" i="6" s="1"/>
  <c r="R1963" i="6" s="1"/>
  <c r="M2027" i="6"/>
  <c r="N2027" i="6" s="1"/>
  <c r="R2027" i="6" s="1"/>
  <c r="M2091" i="6"/>
  <c r="N2091" i="6" s="1"/>
  <c r="M2155" i="6"/>
  <c r="N2155" i="6" s="1"/>
  <c r="M2219" i="6"/>
  <c r="N2219" i="6" s="1"/>
  <c r="R2219" i="6" s="1"/>
  <c r="M2283" i="6"/>
  <c r="N2283" i="6" s="1"/>
  <c r="R2283" i="6" s="1"/>
  <c r="M2347" i="6"/>
  <c r="N2347" i="6" s="1"/>
  <c r="R2347" i="6" s="1"/>
  <c r="M2411" i="6"/>
  <c r="N2411" i="6" s="1"/>
  <c r="R2411" i="6" s="1"/>
  <c r="M2475" i="6"/>
  <c r="N2475" i="6" s="1"/>
  <c r="R2475" i="6" s="1"/>
  <c r="M2539" i="6"/>
  <c r="N2539" i="6" s="1"/>
  <c r="R2539" i="6" s="1"/>
  <c r="M2603" i="6"/>
  <c r="N2603" i="6" s="1"/>
  <c r="M2667" i="6"/>
  <c r="N2667" i="6" s="1"/>
  <c r="M2731" i="6"/>
  <c r="N2731" i="6" s="1"/>
  <c r="R2731" i="6" s="1"/>
  <c r="M2795" i="6"/>
  <c r="N2795" i="6" s="1"/>
  <c r="R2795" i="6" s="1"/>
  <c r="M2859" i="6"/>
  <c r="N2859" i="6" s="1"/>
  <c r="R2859" i="6" s="1"/>
  <c r="M2923" i="6"/>
  <c r="N2923" i="6" s="1"/>
  <c r="R2923" i="6" s="1"/>
  <c r="M2987" i="6"/>
  <c r="N2987" i="6" s="1"/>
  <c r="R2987" i="6" s="1"/>
  <c r="M3051" i="6"/>
  <c r="N3051" i="6" s="1"/>
  <c r="R3051" i="6" s="1"/>
  <c r="M3115" i="6"/>
  <c r="N3115" i="6" s="1"/>
  <c r="M3179" i="6"/>
  <c r="N3179" i="6" s="1"/>
  <c r="M3243" i="6"/>
  <c r="N3243" i="6" s="1"/>
  <c r="R3243" i="6" s="1"/>
  <c r="M3307" i="6"/>
  <c r="N3307" i="6" s="1"/>
  <c r="R3307" i="6" s="1"/>
  <c r="M3371" i="6"/>
  <c r="N3371" i="6" s="1"/>
  <c r="R3371" i="6" s="1"/>
  <c r="M3435" i="6"/>
  <c r="N3435" i="6" s="1"/>
  <c r="R3435" i="6" s="1"/>
  <c r="M3499" i="6"/>
  <c r="N3499" i="6" s="1"/>
  <c r="R3499" i="6" s="1"/>
  <c r="M3563" i="6"/>
  <c r="N3563" i="6" s="1"/>
  <c r="R3563" i="6" s="1"/>
  <c r="M3627" i="6"/>
  <c r="N3627" i="6" s="1"/>
  <c r="M3691" i="6"/>
  <c r="N3691" i="6" s="1"/>
  <c r="M3755" i="6"/>
  <c r="N3755" i="6" s="1"/>
  <c r="R3755" i="6" s="1"/>
  <c r="M3819" i="6"/>
  <c r="N3819" i="6" s="1"/>
  <c r="R3819" i="6" s="1"/>
  <c r="M3883" i="6"/>
  <c r="N3883" i="6" s="1"/>
  <c r="R3883" i="6" s="1"/>
  <c r="M3947" i="6"/>
  <c r="N3947" i="6" s="1"/>
  <c r="R3947" i="6" s="1"/>
  <c r="M4011" i="6"/>
  <c r="N4011" i="6" s="1"/>
  <c r="R4011" i="6" s="1"/>
  <c r="M4075" i="6"/>
  <c r="N4075" i="6" s="1"/>
  <c r="R4075" i="6" s="1"/>
  <c r="M4139" i="6"/>
  <c r="N4139" i="6" s="1"/>
  <c r="M4203" i="6"/>
  <c r="N4203" i="6" s="1"/>
  <c r="M4267" i="6"/>
  <c r="N4267" i="6" s="1"/>
  <c r="M4331" i="6"/>
  <c r="N4331" i="6" s="1"/>
  <c r="R4331" i="6" s="1"/>
  <c r="M4395" i="6"/>
  <c r="N4395" i="6" s="1"/>
  <c r="R4395" i="6" s="1"/>
  <c r="M4459" i="6"/>
  <c r="N4459" i="6" s="1"/>
  <c r="R4459" i="6" s="1"/>
  <c r="M4523" i="6"/>
  <c r="N4523" i="6" s="1"/>
  <c r="R4523" i="6" s="1"/>
  <c r="M4587" i="6"/>
  <c r="N4587" i="6" s="1"/>
  <c r="R4587" i="6" s="1"/>
  <c r="M4651" i="6"/>
  <c r="N4651" i="6" s="1"/>
  <c r="M4715" i="6"/>
  <c r="N4715" i="6" s="1"/>
  <c r="M4779" i="6"/>
  <c r="N4779" i="6" s="1"/>
  <c r="R4779" i="6" s="1"/>
  <c r="M4843" i="6"/>
  <c r="N4843" i="6" s="1"/>
  <c r="R4843" i="6" s="1"/>
  <c r="M4907" i="6"/>
  <c r="N4907" i="6" s="1"/>
  <c r="R4907" i="6" s="1"/>
  <c r="M4971" i="6"/>
  <c r="N4971" i="6" s="1"/>
  <c r="R4971" i="6" s="1"/>
  <c r="M36" i="6"/>
  <c r="N36" i="6" s="1"/>
  <c r="R36" i="6" s="1"/>
  <c r="M100" i="6"/>
  <c r="N100" i="6" s="1"/>
  <c r="R100" i="6" s="1"/>
  <c r="M164" i="6"/>
  <c r="N164" i="6" s="1"/>
  <c r="M228" i="6"/>
  <c r="N228" i="6" s="1"/>
  <c r="M292" i="6"/>
  <c r="N292" i="6" s="1"/>
  <c r="R292" i="6" s="1"/>
  <c r="M356" i="6"/>
  <c r="N356" i="6" s="1"/>
  <c r="R356" i="6" s="1"/>
  <c r="M420" i="6"/>
  <c r="N420" i="6" s="1"/>
  <c r="R420" i="6" s="1"/>
  <c r="M484" i="6"/>
  <c r="N484" i="6" s="1"/>
  <c r="R484" i="6" s="1"/>
  <c r="M548" i="6"/>
  <c r="N548" i="6" s="1"/>
  <c r="R548" i="6" s="1"/>
  <c r="M612" i="6"/>
  <c r="N612" i="6" s="1"/>
  <c r="R612" i="6" s="1"/>
  <c r="M676" i="6"/>
  <c r="N676" i="6" s="1"/>
  <c r="M740" i="6"/>
  <c r="N740" i="6" s="1"/>
  <c r="M804" i="6"/>
  <c r="N804" i="6" s="1"/>
  <c r="R804" i="6" s="1"/>
  <c r="M868" i="6"/>
  <c r="N868" i="6" s="1"/>
  <c r="R868" i="6" s="1"/>
  <c r="M932" i="6"/>
  <c r="N932" i="6" s="1"/>
  <c r="R932" i="6" s="1"/>
  <c r="M996" i="6"/>
  <c r="N996" i="6" s="1"/>
  <c r="R996" i="6" s="1"/>
  <c r="M1060" i="6"/>
  <c r="N1060" i="6" s="1"/>
  <c r="R1060" i="6" s="1"/>
  <c r="M1124" i="6"/>
  <c r="N1124" i="6" s="1"/>
  <c r="R1124" i="6" s="1"/>
  <c r="M1188" i="6"/>
  <c r="N1188" i="6" s="1"/>
  <c r="M1252" i="6"/>
  <c r="N1252" i="6" s="1"/>
  <c r="M1316" i="6"/>
  <c r="N1316" i="6" s="1"/>
  <c r="R1316" i="6" s="1"/>
  <c r="M1380" i="6"/>
  <c r="N1380" i="6" s="1"/>
  <c r="R1380" i="6" s="1"/>
  <c r="M1444" i="6"/>
  <c r="N1444" i="6" s="1"/>
  <c r="R1444" i="6" s="1"/>
  <c r="M1508" i="6"/>
  <c r="N1508" i="6" s="1"/>
  <c r="R1508" i="6" s="1"/>
  <c r="M1572" i="6"/>
  <c r="N1572" i="6" s="1"/>
  <c r="R1572" i="6" s="1"/>
  <c r="M1636" i="6"/>
  <c r="N1636" i="6" s="1"/>
  <c r="R1636" i="6" s="1"/>
  <c r="M1700" i="6"/>
  <c r="N1700" i="6" s="1"/>
  <c r="M1764" i="6"/>
  <c r="N1764" i="6" s="1"/>
  <c r="M1828" i="6"/>
  <c r="N1828" i="6" s="1"/>
  <c r="R1828" i="6" s="1"/>
  <c r="M1892" i="6"/>
  <c r="N1892" i="6" s="1"/>
  <c r="R1892" i="6" s="1"/>
  <c r="M1956" i="6"/>
  <c r="N1956" i="6" s="1"/>
  <c r="R1956" i="6" s="1"/>
  <c r="M2020" i="6"/>
  <c r="N2020" i="6" s="1"/>
  <c r="R2020" i="6" s="1"/>
  <c r="M2084" i="6"/>
  <c r="N2084" i="6" s="1"/>
  <c r="R2084" i="6" s="1"/>
  <c r="M2148" i="6"/>
  <c r="N2148" i="6" s="1"/>
  <c r="R2148" i="6" s="1"/>
  <c r="M2212" i="6"/>
  <c r="N2212" i="6" s="1"/>
  <c r="M2276" i="6"/>
  <c r="N2276" i="6" s="1"/>
  <c r="M2340" i="6"/>
  <c r="N2340" i="6" s="1"/>
  <c r="R2340" i="6" s="1"/>
  <c r="M2404" i="6"/>
  <c r="N2404" i="6" s="1"/>
  <c r="R2404" i="6" s="1"/>
  <c r="M2468" i="6"/>
  <c r="N2468" i="6" s="1"/>
  <c r="R2468" i="6" s="1"/>
  <c r="M2532" i="6"/>
  <c r="N2532" i="6" s="1"/>
  <c r="R2532" i="6" s="1"/>
  <c r="M2596" i="6"/>
  <c r="N2596" i="6" s="1"/>
  <c r="R2596" i="6" s="1"/>
  <c r="M2660" i="6"/>
  <c r="N2660" i="6" s="1"/>
  <c r="R2660" i="6" s="1"/>
  <c r="M2724" i="6"/>
  <c r="N2724" i="6" s="1"/>
  <c r="M2788" i="6"/>
  <c r="N2788" i="6" s="1"/>
  <c r="M2852" i="6"/>
  <c r="N2852" i="6" s="1"/>
  <c r="R2852" i="6" s="1"/>
  <c r="M2916" i="6"/>
  <c r="N2916" i="6" s="1"/>
  <c r="R2916" i="6" s="1"/>
  <c r="M2980" i="6"/>
  <c r="N2980" i="6" s="1"/>
  <c r="R2980" i="6" s="1"/>
  <c r="M3044" i="6"/>
  <c r="N3044" i="6" s="1"/>
  <c r="R3044" i="6" s="1"/>
  <c r="M3108" i="6"/>
  <c r="N3108" i="6" s="1"/>
  <c r="R3108" i="6" s="1"/>
  <c r="M3172" i="6"/>
  <c r="N3172" i="6" s="1"/>
  <c r="R3172" i="6" s="1"/>
  <c r="M3236" i="6"/>
  <c r="N3236" i="6" s="1"/>
  <c r="M3300" i="6"/>
  <c r="N3300" i="6" s="1"/>
  <c r="M3364" i="6"/>
  <c r="N3364" i="6" s="1"/>
  <c r="R3364" i="6" s="1"/>
  <c r="M3428" i="6"/>
  <c r="N3428" i="6" s="1"/>
  <c r="R3428" i="6" s="1"/>
  <c r="M3492" i="6"/>
  <c r="N3492" i="6" s="1"/>
  <c r="R3492" i="6" s="1"/>
  <c r="M3620" i="6"/>
  <c r="N3620" i="6" s="1"/>
  <c r="R3620" i="6" s="1"/>
  <c r="M3748" i="6"/>
  <c r="N3748" i="6" s="1"/>
  <c r="R3748" i="6" s="1"/>
  <c r="M3812" i="6"/>
  <c r="N3812" i="6" s="1"/>
  <c r="R3812" i="6" s="1"/>
  <c r="M3876" i="6"/>
  <c r="N3876" i="6" s="1"/>
  <c r="M3940" i="6"/>
  <c r="N3940" i="6" s="1"/>
  <c r="M4004" i="6"/>
  <c r="N4004" i="6" s="1"/>
  <c r="R4004" i="6" s="1"/>
  <c r="M4068" i="6"/>
  <c r="N4068" i="6" s="1"/>
  <c r="R4068" i="6" s="1"/>
  <c r="M4132" i="6"/>
  <c r="N4132" i="6" s="1"/>
  <c r="R4132" i="6" s="1"/>
  <c r="M4196" i="6"/>
  <c r="N4196" i="6" s="1"/>
  <c r="R4196" i="6" s="1"/>
  <c r="M4260" i="6"/>
  <c r="N4260" i="6" s="1"/>
  <c r="R4260" i="6" s="1"/>
  <c r="M4324" i="6"/>
  <c r="N4324" i="6" s="1"/>
  <c r="R4324" i="6" s="1"/>
  <c r="M4388" i="6"/>
  <c r="N4388" i="6" s="1"/>
  <c r="M4452" i="6"/>
  <c r="N4452" i="6" s="1"/>
  <c r="M357" i="6"/>
  <c r="N357" i="6" s="1"/>
  <c r="R357" i="6" s="1"/>
  <c r="M421" i="6"/>
  <c r="N421" i="6" s="1"/>
  <c r="R421" i="6" s="1"/>
  <c r="M485" i="6"/>
  <c r="N485" i="6" s="1"/>
  <c r="R485" i="6" s="1"/>
  <c r="M549" i="6"/>
  <c r="N549" i="6" s="1"/>
  <c r="R549" i="6" s="1"/>
  <c r="M613" i="6"/>
  <c r="N613" i="6" s="1"/>
  <c r="R613" i="6" s="1"/>
  <c r="M677" i="6"/>
  <c r="N677" i="6" s="1"/>
  <c r="R677" i="6" s="1"/>
  <c r="M741" i="6"/>
  <c r="N741" i="6" s="1"/>
  <c r="M805" i="6"/>
  <c r="N805" i="6" s="1"/>
  <c r="M869" i="6"/>
  <c r="N869" i="6" s="1"/>
  <c r="R869" i="6" s="1"/>
  <c r="M933" i="6"/>
  <c r="N933" i="6" s="1"/>
  <c r="R933" i="6" s="1"/>
  <c r="M997" i="6"/>
  <c r="N997" i="6" s="1"/>
  <c r="R997" i="6" s="1"/>
  <c r="M1061" i="6"/>
  <c r="N1061" i="6" s="1"/>
  <c r="R1061" i="6" s="1"/>
  <c r="M1125" i="6"/>
  <c r="N1125" i="6" s="1"/>
  <c r="R1125" i="6" s="1"/>
  <c r="M1189" i="6"/>
  <c r="N1189" i="6" s="1"/>
  <c r="R1189" i="6" s="1"/>
  <c r="M1253" i="6"/>
  <c r="N1253" i="6" s="1"/>
  <c r="M1317" i="6"/>
  <c r="N1317" i="6" s="1"/>
  <c r="M1381" i="6"/>
  <c r="N1381" i="6" s="1"/>
  <c r="R1381" i="6" s="1"/>
  <c r="M1445" i="6"/>
  <c r="N1445" i="6" s="1"/>
  <c r="R1445" i="6" s="1"/>
  <c r="M1509" i="6"/>
  <c r="N1509" i="6" s="1"/>
  <c r="R1509" i="6" s="1"/>
  <c r="M1573" i="6"/>
  <c r="N1573" i="6" s="1"/>
  <c r="R1573" i="6" s="1"/>
  <c r="M1637" i="6"/>
  <c r="N1637" i="6" s="1"/>
  <c r="R1637" i="6" s="1"/>
  <c r="M1701" i="6"/>
  <c r="N1701" i="6" s="1"/>
  <c r="R1701" i="6" s="1"/>
  <c r="M1765" i="6"/>
  <c r="N1765" i="6" s="1"/>
  <c r="M1829" i="6"/>
  <c r="N1829" i="6" s="1"/>
  <c r="M1893" i="6"/>
  <c r="N1893" i="6" s="1"/>
  <c r="R1893" i="6" s="1"/>
  <c r="M1957" i="6"/>
  <c r="N1957" i="6" s="1"/>
  <c r="R1957" i="6" s="1"/>
  <c r="M2021" i="6"/>
  <c r="N2021" i="6" s="1"/>
  <c r="R2021" i="6" s="1"/>
  <c r="M2085" i="6"/>
  <c r="N2085" i="6" s="1"/>
  <c r="R2085" i="6" s="1"/>
  <c r="M2149" i="6"/>
  <c r="N2149" i="6" s="1"/>
  <c r="R2149" i="6" s="1"/>
  <c r="M2213" i="6"/>
  <c r="N2213" i="6" s="1"/>
  <c r="R2213" i="6" s="1"/>
  <c r="M2277" i="6"/>
  <c r="N2277" i="6" s="1"/>
  <c r="M2341" i="6"/>
  <c r="N2341" i="6" s="1"/>
  <c r="M2405" i="6"/>
  <c r="N2405" i="6" s="1"/>
  <c r="R2405" i="6" s="1"/>
  <c r="M2469" i="6"/>
  <c r="N2469" i="6" s="1"/>
  <c r="R2469" i="6" s="1"/>
  <c r="M2533" i="6"/>
  <c r="N2533" i="6" s="1"/>
  <c r="R2533" i="6" s="1"/>
  <c r="M2597" i="6"/>
  <c r="N2597" i="6" s="1"/>
  <c r="R2597" i="6" s="1"/>
  <c r="M2661" i="6"/>
  <c r="N2661" i="6" s="1"/>
  <c r="R2661" i="6" s="1"/>
  <c r="M2725" i="6"/>
  <c r="N2725" i="6" s="1"/>
  <c r="R2725" i="6" s="1"/>
  <c r="M2789" i="6"/>
  <c r="N2789" i="6" s="1"/>
  <c r="M2853" i="6"/>
  <c r="N2853" i="6" s="1"/>
  <c r="M2917" i="6"/>
  <c r="N2917" i="6" s="1"/>
  <c r="R2917" i="6" s="1"/>
  <c r="M2981" i="6"/>
  <c r="N2981" i="6" s="1"/>
  <c r="R2981" i="6" s="1"/>
  <c r="M3045" i="6"/>
  <c r="N3045" i="6" s="1"/>
  <c r="R3045" i="6" s="1"/>
  <c r="M3109" i="6"/>
  <c r="N3109" i="6" s="1"/>
  <c r="R3109" i="6" s="1"/>
  <c r="M3173" i="6"/>
  <c r="N3173" i="6" s="1"/>
  <c r="R3173" i="6" s="1"/>
  <c r="M3237" i="6"/>
  <c r="N3237" i="6" s="1"/>
  <c r="R3237" i="6" s="1"/>
  <c r="M3301" i="6"/>
  <c r="N3301" i="6" s="1"/>
  <c r="M3365" i="6"/>
  <c r="N3365" i="6" s="1"/>
  <c r="M3429" i="6"/>
  <c r="N3429" i="6" s="1"/>
  <c r="R3429" i="6" s="1"/>
  <c r="M3493" i="6"/>
  <c r="N3493" i="6" s="1"/>
  <c r="R3493" i="6" s="1"/>
  <c r="M3557" i="6"/>
  <c r="N3557" i="6" s="1"/>
  <c r="R3557" i="6" s="1"/>
  <c r="M3621" i="6"/>
  <c r="N3621" i="6" s="1"/>
  <c r="R3621" i="6" s="1"/>
  <c r="M3749" i="6"/>
  <c r="N3749" i="6" s="1"/>
  <c r="R3749" i="6" s="1"/>
  <c r="M3813" i="6"/>
  <c r="N3813" i="6" s="1"/>
  <c r="R3813" i="6" s="1"/>
  <c r="M3877" i="6"/>
  <c r="N3877" i="6" s="1"/>
  <c r="M3941" i="6"/>
  <c r="N3941" i="6" s="1"/>
  <c r="M4005" i="6"/>
  <c r="N4005" i="6" s="1"/>
  <c r="R4005" i="6" s="1"/>
  <c r="M4133" i="6"/>
  <c r="N4133" i="6" s="1"/>
  <c r="R4133" i="6" s="1"/>
  <c r="M4197" i="6"/>
  <c r="N4197" i="6" s="1"/>
  <c r="R4197" i="6" s="1"/>
  <c r="M4261" i="6"/>
  <c r="N4261" i="6" s="1"/>
  <c r="R4261" i="6" s="1"/>
  <c r="M4389" i="6"/>
  <c r="N4389" i="6" s="1"/>
  <c r="R4389" i="6" s="1"/>
  <c r="M4453" i="6"/>
  <c r="N4453" i="6" s="1"/>
  <c r="R4453" i="6" s="1"/>
  <c r="M4517" i="6"/>
  <c r="N4517" i="6" s="1"/>
  <c r="M4581" i="6"/>
  <c r="N4581" i="6" s="1"/>
  <c r="M4645" i="6"/>
  <c r="N4645" i="6" s="1"/>
  <c r="R4645" i="6" s="1"/>
  <c r="M4709" i="6"/>
  <c r="N4709" i="6" s="1"/>
  <c r="R4709" i="6" s="1"/>
  <c r="M4773" i="6"/>
  <c r="N4773" i="6" s="1"/>
  <c r="R4773" i="6" s="1"/>
  <c r="M4837" i="6"/>
  <c r="N4837" i="6" s="1"/>
  <c r="R4837" i="6" s="1"/>
  <c r="M4901" i="6"/>
  <c r="N4901" i="6" s="1"/>
  <c r="R4901" i="6" s="1"/>
  <c r="M4965" i="6"/>
  <c r="N4965" i="6" s="1"/>
  <c r="R4965" i="6" s="1"/>
  <c r="M342" i="6"/>
  <c r="N342" i="6" s="1"/>
  <c r="M406" i="6"/>
  <c r="N406" i="6" s="1"/>
  <c r="M470" i="6"/>
  <c r="N470" i="6" s="1"/>
  <c r="R470" i="6" s="1"/>
  <c r="M534" i="6"/>
  <c r="N534" i="6" s="1"/>
  <c r="R534" i="6" s="1"/>
  <c r="M598" i="6"/>
  <c r="N598" i="6" s="1"/>
  <c r="R598" i="6" s="1"/>
  <c r="M662" i="6"/>
  <c r="N662" i="6" s="1"/>
  <c r="R662" i="6" s="1"/>
  <c r="M726" i="6"/>
  <c r="N726" i="6" s="1"/>
  <c r="R726" i="6" s="1"/>
  <c r="M790" i="6"/>
  <c r="N790" i="6" s="1"/>
  <c r="R790" i="6" s="1"/>
  <c r="M854" i="6"/>
  <c r="N854" i="6" s="1"/>
  <c r="M918" i="6"/>
  <c r="N918" i="6" s="1"/>
  <c r="M982" i="6"/>
  <c r="N982" i="6" s="1"/>
  <c r="M1046" i="6"/>
  <c r="N1046" i="6" s="1"/>
  <c r="R1046" i="6" s="1"/>
  <c r="M1110" i="6"/>
  <c r="N1110" i="6" s="1"/>
  <c r="R1110" i="6" s="1"/>
  <c r="M1174" i="6"/>
  <c r="N1174" i="6" s="1"/>
  <c r="R1174" i="6" s="1"/>
  <c r="M1238" i="6"/>
  <c r="N1238" i="6" s="1"/>
  <c r="R1238" i="6" s="1"/>
  <c r="M1302" i="6"/>
  <c r="N1302" i="6" s="1"/>
  <c r="R1302" i="6" s="1"/>
  <c r="M1366" i="6"/>
  <c r="N1366" i="6" s="1"/>
  <c r="M1430" i="6"/>
  <c r="N1430" i="6" s="1"/>
  <c r="M1494" i="6"/>
  <c r="N1494" i="6" s="1"/>
  <c r="R1494" i="6" s="1"/>
  <c r="M1558" i="6"/>
  <c r="N1558" i="6" s="1"/>
  <c r="R1558" i="6" s="1"/>
  <c r="M1622" i="6"/>
  <c r="N1622" i="6" s="1"/>
  <c r="R1622" i="6" s="1"/>
  <c r="M1686" i="6"/>
  <c r="N1686" i="6" s="1"/>
  <c r="R1686" i="6" s="1"/>
  <c r="M1750" i="6"/>
  <c r="N1750" i="6" s="1"/>
  <c r="R1750" i="6" s="1"/>
  <c r="M1814" i="6"/>
  <c r="N1814" i="6" s="1"/>
  <c r="R1814" i="6" s="1"/>
  <c r="M1878" i="6"/>
  <c r="N1878" i="6" s="1"/>
  <c r="M1942" i="6"/>
  <c r="N1942" i="6" s="1"/>
  <c r="M2006" i="6"/>
  <c r="N2006" i="6" s="1"/>
  <c r="R2006" i="6" s="1"/>
  <c r="M2070" i="6"/>
  <c r="N2070" i="6" s="1"/>
  <c r="R2070" i="6" s="1"/>
  <c r="M2134" i="6"/>
  <c r="N2134" i="6" s="1"/>
  <c r="R2134" i="6" s="1"/>
  <c r="M2198" i="6"/>
  <c r="N2198" i="6" s="1"/>
  <c r="R2198" i="6" s="1"/>
  <c r="M2262" i="6"/>
  <c r="N2262" i="6" s="1"/>
  <c r="R2262" i="6" s="1"/>
  <c r="M2326" i="6"/>
  <c r="N2326" i="6" s="1"/>
  <c r="R2326" i="6" s="1"/>
  <c r="M2454" i="6"/>
  <c r="N2454" i="6" s="1"/>
  <c r="M2518" i="6"/>
  <c r="N2518" i="6" s="1"/>
  <c r="M2582" i="6"/>
  <c r="N2582" i="6" s="1"/>
  <c r="R2582" i="6" s="1"/>
  <c r="M2646" i="6"/>
  <c r="N2646" i="6" s="1"/>
  <c r="R2646" i="6" s="1"/>
  <c r="M2710" i="6"/>
  <c r="N2710" i="6" s="1"/>
  <c r="R2710" i="6" s="1"/>
  <c r="M2774" i="6"/>
  <c r="N2774" i="6" s="1"/>
  <c r="R2774" i="6" s="1"/>
  <c r="M2838" i="6"/>
  <c r="N2838" i="6" s="1"/>
  <c r="R2838" i="6" s="1"/>
  <c r="M2902" i="6"/>
  <c r="N2902" i="6" s="1"/>
  <c r="R2902" i="6" s="1"/>
  <c r="M2966" i="6"/>
  <c r="N2966" i="6" s="1"/>
  <c r="R2966" i="6" s="1"/>
  <c r="M3030" i="6"/>
  <c r="N3030" i="6" s="1"/>
  <c r="M3094" i="6"/>
  <c r="N3094" i="6" s="1"/>
  <c r="R3094" i="6" s="1"/>
  <c r="M3158" i="6"/>
  <c r="N3158" i="6" s="1"/>
  <c r="R3158" i="6" s="1"/>
  <c r="M3222" i="6"/>
  <c r="N3222" i="6" s="1"/>
  <c r="R3222" i="6" s="1"/>
  <c r="M3286" i="6"/>
  <c r="N3286" i="6" s="1"/>
  <c r="R3286" i="6" s="1"/>
  <c r="M3350" i="6"/>
  <c r="N3350" i="6" s="1"/>
  <c r="R3350" i="6" s="1"/>
  <c r="M3414" i="6"/>
  <c r="N3414" i="6" s="1"/>
  <c r="R3414" i="6" s="1"/>
  <c r="M3478" i="6"/>
  <c r="N3478" i="6" s="1"/>
  <c r="M3542" i="6"/>
  <c r="N3542" i="6" s="1"/>
  <c r="M3606" i="6"/>
  <c r="N3606" i="6" s="1"/>
  <c r="R3606" i="6" s="1"/>
  <c r="M3670" i="6"/>
  <c r="N3670" i="6" s="1"/>
  <c r="R3670" i="6" s="1"/>
  <c r="M3734" i="6"/>
  <c r="N3734" i="6" s="1"/>
  <c r="R3734" i="6" s="1"/>
  <c r="M3798" i="6"/>
  <c r="N3798" i="6" s="1"/>
  <c r="R3798" i="6" s="1"/>
  <c r="M3862" i="6"/>
  <c r="N3862" i="6" s="1"/>
  <c r="R3862" i="6" s="1"/>
  <c r="M3926" i="6"/>
  <c r="N3926" i="6" s="1"/>
  <c r="R3926" i="6" s="1"/>
  <c r="M3990" i="6"/>
  <c r="N3990" i="6" s="1"/>
  <c r="M4054" i="6"/>
  <c r="N4054" i="6" s="1"/>
  <c r="M4118" i="6"/>
  <c r="N4118" i="6" s="1"/>
  <c r="R4118" i="6" s="1"/>
  <c r="M4182" i="6"/>
  <c r="N4182" i="6" s="1"/>
  <c r="R4182" i="6" s="1"/>
  <c r="M4246" i="6"/>
  <c r="N4246" i="6" s="1"/>
  <c r="R4246" i="6" s="1"/>
  <c r="M4310" i="6"/>
  <c r="N4310" i="6" s="1"/>
  <c r="R4310" i="6" s="1"/>
  <c r="M4374" i="6"/>
  <c r="N4374" i="6" s="1"/>
  <c r="R4374" i="6" s="1"/>
  <c r="M4502" i="6"/>
  <c r="N4502" i="6" s="1"/>
  <c r="R4502" i="6" s="1"/>
  <c r="M4566" i="6"/>
  <c r="N4566" i="6" s="1"/>
  <c r="M4630" i="6"/>
  <c r="N4630" i="6" s="1"/>
  <c r="M4694" i="6"/>
  <c r="N4694" i="6" s="1"/>
  <c r="R4694" i="6" s="1"/>
  <c r="M4758" i="6"/>
  <c r="N4758" i="6" s="1"/>
  <c r="R4758" i="6" s="1"/>
  <c r="M4822" i="6"/>
  <c r="N4822" i="6" s="1"/>
  <c r="R4822" i="6" s="1"/>
  <c r="M4950" i="6"/>
  <c r="N4950" i="6" s="1"/>
  <c r="R4950" i="6" s="1"/>
  <c r="M311" i="6"/>
  <c r="N311" i="6" s="1"/>
  <c r="R311" i="6" s="1"/>
  <c r="M375" i="6"/>
  <c r="N375" i="6" s="1"/>
  <c r="R375" i="6" s="1"/>
  <c r="M439" i="6"/>
  <c r="N439" i="6" s="1"/>
  <c r="M503" i="6"/>
  <c r="N503" i="6" s="1"/>
  <c r="M567" i="6"/>
  <c r="N567" i="6" s="1"/>
  <c r="R567" i="6" s="1"/>
  <c r="M631" i="6"/>
  <c r="N631" i="6" s="1"/>
  <c r="R631" i="6" s="1"/>
  <c r="M695" i="6"/>
  <c r="N695" i="6" s="1"/>
  <c r="R695" i="6" s="1"/>
  <c r="M759" i="6"/>
  <c r="N759" i="6" s="1"/>
  <c r="R759" i="6" s="1"/>
  <c r="M823" i="6"/>
  <c r="N823" i="6" s="1"/>
  <c r="R823" i="6" s="1"/>
  <c r="M887" i="6"/>
  <c r="N887" i="6" s="1"/>
  <c r="R887" i="6" s="1"/>
  <c r="M951" i="6"/>
  <c r="N951" i="6" s="1"/>
  <c r="M1015" i="6"/>
  <c r="N1015" i="6" s="1"/>
  <c r="M1079" i="6"/>
  <c r="N1079" i="6" s="1"/>
  <c r="R1079" i="6" s="1"/>
  <c r="M1143" i="6"/>
  <c r="N1143" i="6" s="1"/>
  <c r="R1143" i="6" s="1"/>
  <c r="M1207" i="6"/>
  <c r="N1207" i="6" s="1"/>
  <c r="R1207" i="6" s="1"/>
  <c r="M1271" i="6"/>
  <c r="N1271" i="6" s="1"/>
  <c r="R1271" i="6" s="1"/>
  <c r="M1335" i="6"/>
  <c r="N1335" i="6" s="1"/>
  <c r="R1335" i="6" s="1"/>
  <c r="M1399" i="6"/>
  <c r="N1399" i="6" s="1"/>
  <c r="R1399" i="6" s="1"/>
  <c r="M1463" i="6"/>
  <c r="N1463" i="6" s="1"/>
  <c r="M1527" i="6"/>
  <c r="N1527" i="6" s="1"/>
  <c r="M1591" i="6"/>
  <c r="N1591" i="6" s="1"/>
  <c r="R1591" i="6" s="1"/>
  <c r="M1655" i="6"/>
  <c r="N1655" i="6" s="1"/>
  <c r="R1655" i="6" s="1"/>
  <c r="M1783" i="6"/>
  <c r="N1783" i="6" s="1"/>
  <c r="R1783" i="6" s="1"/>
  <c r="M1847" i="6"/>
  <c r="N1847" i="6" s="1"/>
  <c r="M1911" i="6"/>
  <c r="N1911" i="6" s="1"/>
  <c r="R1911" i="6" s="1"/>
  <c r="M1975" i="6"/>
  <c r="N1975" i="6" s="1"/>
  <c r="R1975" i="6" s="1"/>
  <c r="M2039" i="6"/>
  <c r="N2039" i="6" s="1"/>
  <c r="R2039" i="6" s="1"/>
  <c r="M2103" i="6"/>
  <c r="N2103" i="6" s="1"/>
  <c r="M2167" i="6"/>
  <c r="N2167" i="6" s="1"/>
  <c r="R2167" i="6" s="1"/>
  <c r="M2231" i="6"/>
  <c r="N2231" i="6" s="1"/>
  <c r="R2231" i="6" s="1"/>
  <c r="M2295" i="6"/>
  <c r="N2295" i="6" s="1"/>
  <c r="R2295" i="6" s="1"/>
  <c r="M2359" i="6"/>
  <c r="N2359" i="6" s="1"/>
  <c r="R2359" i="6" s="1"/>
  <c r="M2423" i="6"/>
  <c r="N2423" i="6" s="1"/>
  <c r="R2423" i="6" s="1"/>
  <c r="M2487" i="6"/>
  <c r="N2487" i="6" s="1"/>
  <c r="R2487" i="6" s="1"/>
  <c r="M2615" i="6"/>
  <c r="N2615" i="6" s="1"/>
  <c r="M2679" i="6"/>
  <c r="N2679" i="6" s="1"/>
  <c r="M2743" i="6"/>
  <c r="N2743" i="6" s="1"/>
  <c r="R2743" i="6" s="1"/>
  <c r="M2807" i="6"/>
  <c r="N2807" i="6" s="1"/>
  <c r="R2807" i="6" s="1"/>
  <c r="M2871" i="6"/>
  <c r="N2871" i="6" s="1"/>
  <c r="R2871" i="6" s="1"/>
  <c r="M2935" i="6"/>
  <c r="N2935" i="6" s="1"/>
  <c r="R2935" i="6" s="1"/>
  <c r="M2999" i="6"/>
  <c r="N2999" i="6" s="1"/>
  <c r="R2999" i="6" s="1"/>
  <c r="M3063" i="6"/>
  <c r="N3063" i="6" s="1"/>
  <c r="R3063" i="6" s="1"/>
  <c r="M3127" i="6"/>
  <c r="N3127" i="6" s="1"/>
  <c r="M3191" i="6"/>
  <c r="N3191" i="6" s="1"/>
  <c r="M3255" i="6"/>
  <c r="N3255" i="6" s="1"/>
  <c r="R3255" i="6" s="1"/>
  <c r="M3319" i="6"/>
  <c r="N3319" i="6" s="1"/>
  <c r="R3319" i="6" s="1"/>
  <c r="M3383" i="6"/>
  <c r="N3383" i="6" s="1"/>
  <c r="R3383" i="6" s="1"/>
  <c r="M3447" i="6"/>
  <c r="N3447" i="6" s="1"/>
  <c r="R3447" i="6" s="1"/>
  <c r="M3511" i="6"/>
  <c r="N3511" i="6" s="1"/>
  <c r="R3511" i="6" s="1"/>
  <c r="M3575" i="6"/>
  <c r="N3575" i="6" s="1"/>
  <c r="R3575" i="6" s="1"/>
  <c r="M3639" i="6"/>
  <c r="N3639" i="6" s="1"/>
  <c r="M3703" i="6"/>
  <c r="N3703" i="6" s="1"/>
  <c r="M3767" i="6"/>
  <c r="N3767" i="6" s="1"/>
  <c r="R3767" i="6" s="1"/>
  <c r="M3831" i="6"/>
  <c r="N3831" i="6" s="1"/>
  <c r="R3831" i="6" s="1"/>
  <c r="M3895" i="6"/>
  <c r="N3895" i="6" s="1"/>
  <c r="R3895" i="6" s="1"/>
  <c r="M3959" i="6"/>
  <c r="N3959" i="6" s="1"/>
  <c r="R3959" i="6" s="1"/>
  <c r="M4023" i="6"/>
  <c r="N4023" i="6" s="1"/>
  <c r="R4023" i="6" s="1"/>
  <c r="M4151" i="6"/>
  <c r="N4151" i="6" s="1"/>
  <c r="R4151" i="6" s="1"/>
  <c r="M4215" i="6"/>
  <c r="N4215" i="6" s="1"/>
  <c r="R4215" i="6" s="1"/>
  <c r="M4279" i="6"/>
  <c r="N4279" i="6" s="1"/>
  <c r="M4343" i="6"/>
  <c r="N4343" i="6" s="1"/>
  <c r="R4343" i="6" s="1"/>
  <c r="M4407" i="6"/>
  <c r="N4407" i="6" s="1"/>
  <c r="R4407" i="6" s="1"/>
  <c r="M4471" i="6"/>
  <c r="N4471" i="6" s="1"/>
  <c r="R4471" i="6" s="1"/>
  <c r="M4535" i="6"/>
  <c r="N4535" i="6" s="1"/>
  <c r="R4535" i="6" s="1"/>
  <c r="M4599" i="6"/>
  <c r="N4599" i="6" s="1"/>
  <c r="R4599" i="6" s="1"/>
  <c r="M4663" i="6"/>
  <c r="N4663" i="6" s="1"/>
  <c r="R4663" i="6" s="1"/>
  <c r="M4727" i="6"/>
  <c r="N4727" i="6" s="1"/>
  <c r="M4791" i="6"/>
  <c r="N4791" i="6" s="1"/>
  <c r="R4791" i="6" s="1"/>
  <c r="M4855" i="6"/>
  <c r="N4855" i="6" s="1"/>
  <c r="R4855" i="6" s="1"/>
  <c r="M4919" i="6"/>
  <c r="N4919" i="6" s="1"/>
  <c r="R4919" i="6" s="1"/>
  <c r="M4983" i="6"/>
  <c r="N4983" i="6" s="1"/>
  <c r="R4983" i="6" s="1"/>
  <c r="M4532" i="6"/>
  <c r="N4532" i="6" s="1"/>
  <c r="R4532" i="6" s="1"/>
  <c r="M4596" i="6"/>
  <c r="N4596" i="6" s="1"/>
  <c r="R4596" i="6" s="1"/>
  <c r="M4660" i="6"/>
  <c r="N4660" i="6" s="1"/>
  <c r="R4660" i="6" s="1"/>
  <c r="M4724" i="6"/>
  <c r="N4724" i="6" s="1"/>
  <c r="M4788" i="6"/>
  <c r="N4788" i="6" s="1"/>
  <c r="M4852" i="6"/>
  <c r="N4852" i="6" s="1"/>
  <c r="R4852" i="6" s="1"/>
  <c r="M4916" i="6"/>
  <c r="N4916" i="6" s="1"/>
  <c r="R4916" i="6" s="1"/>
  <c r="M4980" i="6"/>
  <c r="N4980" i="6" s="1"/>
  <c r="R4980" i="6" s="1"/>
  <c r="M55" i="6"/>
  <c r="N55" i="6" s="1"/>
  <c r="R55" i="6" s="1"/>
  <c r="M119" i="6"/>
  <c r="N119" i="6" s="1"/>
  <c r="R119" i="6" s="1"/>
  <c r="M183" i="6"/>
  <c r="N183" i="6" s="1"/>
  <c r="R183" i="6" s="1"/>
  <c r="M247" i="6"/>
  <c r="N247" i="6" s="1"/>
  <c r="M16" i="6"/>
  <c r="N16" i="6" s="1"/>
  <c r="M80" i="6"/>
  <c r="N80" i="6" s="1"/>
  <c r="R80" i="6" s="1"/>
  <c r="M144" i="6"/>
  <c r="N144" i="6" s="1"/>
  <c r="R144" i="6" s="1"/>
  <c r="M208" i="6"/>
  <c r="N208" i="6" s="1"/>
  <c r="R208" i="6" s="1"/>
  <c r="M272" i="6"/>
  <c r="N272" i="6" s="1"/>
  <c r="R272" i="6" s="1"/>
  <c r="M33" i="6"/>
  <c r="N33" i="6" s="1"/>
  <c r="R33" i="6" s="1"/>
  <c r="M97" i="6"/>
  <c r="N97" i="6" s="1"/>
  <c r="R97" i="6" s="1"/>
  <c r="M161" i="6"/>
  <c r="N161" i="6" s="1"/>
  <c r="M225" i="6"/>
  <c r="N225" i="6" s="1"/>
  <c r="M289" i="6"/>
  <c r="N289" i="6" s="1"/>
  <c r="R289" i="6" s="1"/>
  <c r="M42" i="6"/>
  <c r="N42" i="6" s="1"/>
  <c r="R42" i="6" s="1"/>
  <c r="M106" i="6"/>
  <c r="N106" i="6" s="1"/>
  <c r="R106" i="6" s="1"/>
  <c r="M170" i="6"/>
  <c r="N170" i="6" s="1"/>
  <c r="R170" i="6" s="1"/>
  <c r="M234" i="6"/>
  <c r="N234" i="6" s="1"/>
  <c r="R234" i="6" s="1"/>
  <c r="M298" i="6"/>
  <c r="N298" i="6" s="1"/>
  <c r="R298" i="6" s="1"/>
  <c r="M35" i="6"/>
  <c r="N35" i="6" s="1"/>
  <c r="M99" i="6"/>
  <c r="N99" i="6" s="1"/>
  <c r="M163" i="6"/>
  <c r="N163" i="6" s="1"/>
  <c r="R163" i="6" s="1"/>
  <c r="M227" i="6"/>
  <c r="N227" i="6" s="1"/>
  <c r="R227" i="6" s="1"/>
  <c r="M291" i="6"/>
  <c r="N291" i="6" s="1"/>
  <c r="R291" i="6" s="1"/>
  <c r="M61" i="6"/>
  <c r="N61" i="6" s="1"/>
  <c r="R61" i="6" s="1"/>
  <c r="M125" i="6"/>
  <c r="N125" i="6" s="1"/>
  <c r="R125" i="6" s="1"/>
  <c r="M189" i="6"/>
  <c r="N189" i="6" s="1"/>
  <c r="R189" i="6" s="1"/>
  <c r="M253" i="6"/>
  <c r="N253" i="6" s="1"/>
  <c r="M317" i="6"/>
  <c r="N317" i="6" s="1"/>
  <c r="M126" i="6"/>
  <c r="N126" i="6" s="1"/>
  <c r="R126" i="6" s="1"/>
  <c r="M190" i="6"/>
  <c r="N190" i="6" s="1"/>
  <c r="R190" i="6" s="1"/>
  <c r="M262" i="6"/>
  <c r="N262" i="6" s="1"/>
  <c r="R262" i="6" s="1"/>
  <c r="M326" i="6"/>
  <c r="N326" i="6" s="1"/>
  <c r="R326" i="6" s="1"/>
  <c r="M368" i="6"/>
  <c r="N368" i="6" s="1"/>
  <c r="R368" i="6" s="1"/>
  <c r="M432" i="6"/>
  <c r="N432" i="6" s="1"/>
  <c r="R432" i="6" s="1"/>
  <c r="M496" i="6"/>
  <c r="N496" i="6" s="1"/>
  <c r="M560" i="6"/>
  <c r="N560" i="6" s="1"/>
  <c r="R560" i="6" s="1"/>
  <c r="M624" i="6"/>
  <c r="N624" i="6" s="1"/>
  <c r="R624" i="6" s="1"/>
  <c r="M688" i="6"/>
  <c r="N688" i="6" s="1"/>
  <c r="M752" i="6"/>
  <c r="N752" i="6" s="1"/>
  <c r="R752" i="6" s="1"/>
  <c r="M816" i="6"/>
  <c r="N816" i="6" s="1"/>
  <c r="R816" i="6" s="1"/>
  <c r="M880" i="6"/>
  <c r="N880" i="6" s="1"/>
  <c r="R880" i="6" s="1"/>
  <c r="M944" i="6"/>
  <c r="N944" i="6" s="1"/>
  <c r="R944" i="6" s="1"/>
  <c r="M1008" i="6"/>
  <c r="N1008" i="6" s="1"/>
  <c r="M1072" i="6"/>
  <c r="N1072" i="6" s="1"/>
  <c r="R1072" i="6" s="1"/>
  <c r="M1136" i="6"/>
  <c r="N1136" i="6" s="1"/>
  <c r="R1136" i="6" s="1"/>
  <c r="M1200" i="6"/>
  <c r="N1200" i="6" s="1"/>
  <c r="R1200" i="6" s="1"/>
  <c r="M1264" i="6"/>
  <c r="N1264" i="6" s="1"/>
  <c r="R1264" i="6" s="1"/>
  <c r="M1328" i="6"/>
  <c r="N1328" i="6" s="1"/>
  <c r="R1328" i="6" s="1"/>
  <c r="M1392" i="6"/>
  <c r="N1392" i="6" s="1"/>
  <c r="R1392" i="6" s="1"/>
  <c r="M1456" i="6"/>
  <c r="N1456" i="6" s="1"/>
  <c r="R1456" i="6" s="1"/>
  <c r="M1520" i="6"/>
  <c r="N1520" i="6" s="1"/>
  <c r="M1584" i="6"/>
  <c r="N1584" i="6" s="1"/>
  <c r="R1584" i="6" s="1"/>
  <c r="M1648" i="6"/>
  <c r="N1648" i="6" s="1"/>
  <c r="R1648" i="6" s="1"/>
  <c r="M1712" i="6"/>
  <c r="N1712" i="6" s="1"/>
  <c r="R1712" i="6" s="1"/>
  <c r="M1776" i="6"/>
  <c r="N1776" i="6" s="1"/>
  <c r="R1776" i="6" s="1"/>
  <c r="M1840" i="6"/>
  <c r="N1840" i="6" s="1"/>
  <c r="R1840" i="6" s="1"/>
  <c r="M1904" i="6"/>
  <c r="N1904" i="6" s="1"/>
  <c r="R1904" i="6" s="1"/>
  <c r="M1968" i="6"/>
  <c r="N1968" i="6" s="1"/>
  <c r="R1968" i="6" s="1"/>
  <c r="M2032" i="6"/>
  <c r="N2032" i="6" s="1"/>
  <c r="M2096" i="6"/>
  <c r="N2096" i="6" s="1"/>
  <c r="R2096" i="6" s="1"/>
  <c r="M2160" i="6"/>
  <c r="N2160" i="6" s="1"/>
  <c r="M2224" i="6"/>
  <c r="N2224" i="6" s="1"/>
  <c r="R2224" i="6" s="1"/>
  <c r="M2288" i="6"/>
  <c r="N2288" i="6" s="1"/>
  <c r="R2288" i="6" s="1"/>
  <c r="M2352" i="6"/>
  <c r="N2352" i="6" s="1"/>
  <c r="R2352" i="6" s="1"/>
  <c r="M2416" i="6"/>
  <c r="N2416" i="6" s="1"/>
  <c r="R2416" i="6" s="1"/>
  <c r="M2480" i="6"/>
  <c r="N2480" i="6" s="1"/>
  <c r="R2480" i="6" s="1"/>
  <c r="M2544" i="6"/>
  <c r="N2544" i="6" s="1"/>
  <c r="M2608" i="6"/>
  <c r="N2608" i="6" s="1"/>
  <c r="R2608" i="6" s="1"/>
  <c r="M2672" i="6"/>
  <c r="N2672" i="6" s="1"/>
  <c r="R2672" i="6" s="1"/>
  <c r="M2736" i="6"/>
  <c r="N2736" i="6" s="1"/>
  <c r="R2736" i="6" s="1"/>
  <c r="M2800" i="6"/>
  <c r="N2800" i="6" s="1"/>
  <c r="R2800" i="6" s="1"/>
  <c r="M2864" i="6"/>
  <c r="N2864" i="6" s="1"/>
  <c r="R2864" i="6" s="1"/>
  <c r="M2928" i="6"/>
  <c r="N2928" i="6" s="1"/>
  <c r="R2928" i="6" s="1"/>
  <c r="M2992" i="6"/>
  <c r="N2992" i="6" s="1"/>
  <c r="R2992" i="6" s="1"/>
  <c r="M3056" i="6"/>
  <c r="N3056" i="6" s="1"/>
  <c r="M3120" i="6"/>
  <c r="N3120" i="6" s="1"/>
  <c r="R3120" i="6" s="1"/>
  <c r="M3184" i="6"/>
  <c r="N3184" i="6" s="1"/>
  <c r="R3184" i="6" s="1"/>
  <c r="M3248" i="6"/>
  <c r="N3248" i="6" s="1"/>
  <c r="R3248" i="6" s="1"/>
  <c r="M3312" i="6"/>
  <c r="N3312" i="6" s="1"/>
  <c r="R3312" i="6" s="1"/>
  <c r="M3376" i="6"/>
  <c r="N3376" i="6" s="1"/>
  <c r="R3376" i="6" s="1"/>
  <c r="M3440" i="6"/>
  <c r="N3440" i="6" s="1"/>
  <c r="R3440" i="6" s="1"/>
  <c r="M3504" i="6"/>
  <c r="N3504" i="6" s="1"/>
  <c r="R3504" i="6" s="1"/>
  <c r="M3568" i="6"/>
  <c r="N3568" i="6" s="1"/>
  <c r="M3632" i="6"/>
  <c r="N3632" i="6" s="1"/>
  <c r="R3632" i="6" s="1"/>
  <c r="M3696" i="6"/>
  <c r="N3696" i="6" s="1"/>
  <c r="R3696" i="6" s="1"/>
  <c r="M3760" i="6"/>
  <c r="N3760" i="6" s="1"/>
  <c r="M3824" i="6"/>
  <c r="N3824" i="6" s="1"/>
  <c r="R3824" i="6" s="1"/>
  <c r="M3888" i="6"/>
  <c r="N3888" i="6" s="1"/>
  <c r="R3888" i="6" s="1"/>
  <c r="M3952" i="6"/>
  <c r="N3952" i="6" s="1"/>
  <c r="R3952" i="6" s="1"/>
  <c r="M4016" i="6"/>
  <c r="N4016" i="6" s="1"/>
  <c r="R4016" i="6" s="1"/>
  <c r="M4080" i="6"/>
  <c r="N4080" i="6" s="1"/>
  <c r="M4144" i="6"/>
  <c r="N4144" i="6" s="1"/>
  <c r="R4144" i="6" s="1"/>
  <c r="M4208" i="6"/>
  <c r="N4208" i="6" s="1"/>
  <c r="R4208" i="6" s="1"/>
  <c r="M4272" i="6"/>
  <c r="N4272" i="6" s="1"/>
  <c r="R4272" i="6" s="1"/>
  <c r="M4336" i="6"/>
  <c r="N4336" i="6" s="1"/>
  <c r="R4336" i="6" s="1"/>
  <c r="M4400" i="6"/>
  <c r="N4400" i="6" s="1"/>
  <c r="R4400" i="6" s="1"/>
  <c r="M4464" i="6"/>
  <c r="N4464" i="6" s="1"/>
  <c r="R4464" i="6" s="1"/>
  <c r="M4528" i="6"/>
  <c r="N4528" i="6" s="1"/>
  <c r="R4528" i="6" s="1"/>
  <c r="M4592" i="6"/>
  <c r="N4592" i="6" s="1"/>
  <c r="M4656" i="6"/>
  <c r="N4656" i="6" s="1"/>
  <c r="R4656" i="6" s="1"/>
  <c r="M4720" i="6"/>
  <c r="N4720" i="6" s="1"/>
  <c r="R4720" i="6" s="1"/>
  <c r="M4784" i="6"/>
  <c r="N4784" i="6" s="1"/>
  <c r="R4784" i="6" s="1"/>
  <c r="M4848" i="6"/>
  <c r="N4848" i="6" s="1"/>
  <c r="R4848" i="6" s="1"/>
  <c r="M4912" i="6"/>
  <c r="N4912" i="6" s="1"/>
  <c r="R4912" i="6" s="1"/>
  <c r="M4976" i="6"/>
  <c r="N4976" i="6" s="1"/>
  <c r="R4976" i="6" s="1"/>
  <c r="M353" i="6"/>
  <c r="N353" i="6" s="1"/>
  <c r="R353" i="6" s="1"/>
  <c r="M481" i="6"/>
  <c r="N481" i="6" s="1"/>
  <c r="M545" i="6"/>
  <c r="N545" i="6" s="1"/>
  <c r="R545" i="6" s="1"/>
  <c r="M609" i="6"/>
  <c r="N609" i="6" s="1"/>
  <c r="R609" i="6" s="1"/>
  <c r="M673" i="6"/>
  <c r="N673" i="6" s="1"/>
  <c r="R673" i="6" s="1"/>
  <c r="M737" i="6"/>
  <c r="N737" i="6" s="1"/>
  <c r="R737" i="6" s="1"/>
  <c r="M801" i="6"/>
  <c r="N801" i="6" s="1"/>
  <c r="R801" i="6" s="1"/>
  <c r="M865" i="6"/>
  <c r="N865" i="6" s="1"/>
  <c r="R865" i="6" s="1"/>
  <c r="M993" i="6"/>
  <c r="N993" i="6" s="1"/>
  <c r="R993" i="6" s="1"/>
  <c r="M1057" i="6"/>
  <c r="N1057" i="6" s="1"/>
  <c r="M1121" i="6"/>
  <c r="N1121" i="6" s="1"/>
  <c r="R1121" i="6" s="1"/>
  <c r="M1185" i="6"/>
  <c r="N1185" i="6" s="1"/>
  <c r="R1185" i="6" s="1"/>
  <c r="M1249" i="6"/>
  <c r="N1249" i="6" s="1"/>
  <c r="M1313" i="6"/>
  <c r="N1313" i="6" s="1"/>
  <c r="R1313" i="6" s="1"/>
  <c r="M1377" i="6"/>
  <c r="N1377" i="6" s="1"/>
  <c r="R1377" i="6" s="1"/>
  <c r="M1441" i="6"/>
  <c r="N1441" i="6" s="1"/>
  <c r="R1441" i="6" s="1"/>
  <c r="M1505" i="6"/>
  <c r="N1505" i="6" s="1"/>
  <c r="R1505" i="6" s="1"/>
  <c r="M1569" i="6"/>
  <c r="N1569" i="6" s="1"/>
  <c r="M1633" i="6"/>
  <c r="N1633" i="6" s="1"/>
  <c r="R1633" i="6" s="1"/>
  <c r="M1697" i="6"/>
  <c r="N1697" i="6" s="1"/>
  <c r="R1697" i="6" s="1"/>
  <c r="M1761" i="6"/>
  <c r="N1761" i="6" s="1"/>
  <c r="R1761" i="6" s="1"/>
  <c r="M1825" i="6"/>
  <c r="N1825" i="6" s="1"/>
  <c r="R1825" i="6" s="1"/>
  <c r="M1889" i="6"/>
  <c r="N1889" i="6" s="1"/>
  <c r="R1889" i="6" s="1"/>
  <c r="M1953" i="6"/>
  <c r="N1953" i="6" s="1"/>
  <c r="R1953" i="6" s="1"/>
  <c r="M2017" i="6"/>
  <c r="N2017" i="6" s="1"/>
  <c r="R2017" i="6" s="1"/>
  <c r="M2081" i="6"/>
  <c r="N2081" i="6" s="1"/>
  <c r="M2145" i="6"/>
  <c r="N2145" i="6" s="1"/>
  <c r="R2145" i="6" s="1"/>
  <c r="M2209" i="6"/>
  <c r="N2209" i="6" s="1"/>
  <c r="R2209" i="6" s="1"/>
  <c r="M2273" i="6"/>
  <c r="N2273" i="6" s="1"/>
  <c r="R2273" i="6" s="1"/>
  <c r="M2337" i="6"/>
  <c r="N2337" i="6" s="1"/>
  <c r="R2337" i="6" s="1"/>
  <c r="M2401" i="6"/>
  <c r="N2401" i="6" s="1"/>
  <c r="R2401" i="6" s="1"/>
  <c r="M2465" i="6"/>
  <c r="N2465" i="6" s="1"/>
  <c r="R2465" i="6" s="1"/>
  <c r="M2529" i="6"/>
  <c r="N2529" i="6" s="1"/>
  <c r="R2529" i="6" s="1"/>
  <c r="M2593" i="6"/>
  <c r="N2593" i="6" s="1"/>
  <c r="M2657" i="6"/>
  <c r="N2657" i="6" s="1"/>
  <c r="M2721" i="6"/>
  <c r="N2721" i="6" s="1"/>
  <c r="R2721" i="6" s="1"/>
  <c r="M2785" i="6"/>
  <c r="N2785" i="6" s="1"/>
  <c r="R2785" i="6" s="1"/>
  <c r="M2849" i="6"/>
  <c r="N2849" i="6" s="1"/>
  <c r="R2849" i="6" s="1"/>
  <c r="M2913" i="6"/>
  <c r="N2913" i="6" s="1"/>
  <c r="R2913" i="6" s="1"/>
  <c r="M2977" i="6"/>
  <c r="N2977" i="6" s="1"/>
  <c r="R2977" i="6" s="1"/>
  <c r="M3041" i="6"/>
  <c r="N3041" i="6" s="1"/>
  <c r="R3041" i="6" s="1"/>
  <c r="M3105" i="6"/>
  <c r="N3105" i="6" s="1"/>
  <c r="R3105" i="6" s="1"/>
  <c r="M3169" i="6"/>
  <c r="N3169" i="6" s="1"/>
  <c r="R3169" i="6" s="1"/>
  <c r="M3233" i="6"/>
  <c r="N3233" i="6" s="1"/>
  <c r="R3233" i="6" s="1"/>
  <c r="M3297" i="6"/>
  <c r="N3297" i="6" s="1"/>
  <c r="R3297" i="6" s="1"/>
  <c r="M3361" i="6"/>
  <c r="N3361" i="6" s="1"/>
  <c r="R3361" i="6" s="1"/>
  <c r="M3425" i="6"/>
  <c r="N3425" i="6" s="1"/>
  <c r="R3425" i="6" s="1"/>
  <c r="M3489" i="6"/>
  <c r="N3489" i="6" s="1"/>
  <c r="R3489" i="6" s="1"/>
  <c r="M3553" i="6"/>
  <c r="N3553" i="6" s="1"/>
  <c r="M3617" i="6"/>
  <c r="N3617" i="6" s="1"/>
  <c r="M3681" i="6"/>
  <c r="N3681" i="6" s="1"/>
  <c r="M3745" i="6"/>
  <c r="N3745" i="6" s="1"/>
  <c r="R3745" i="6" s="1"/>
  <c r="M3809" i="6"/>
  <c r="N3809" i="6" s="1"/>
  <c r="M3873" i="6"/>
  <c r="N3873" i="6" s="1"/>
  <c r="R3873" i="6" s="1"/>
  <c r="M3937" i="6"/>
  <c r="N3937" i="6" s="1"/>
  <c r="R3937" i="6" s="1"/>
  <c r="M4001" i="6"/>
  <c r="N4001" i="6" s="1"/>
  <c r="R4001" i="6" s="1"/>
  <c r="M4065" i="6"/>
  <c r="N4065" i="6" s="1"/>
  <c r="R4065" i="6" s="1"/>
  <c r="M4129" i="6"/>
  <c r="N4129" i="6" s="1"/>
  <c r="M4193" i="6"/>
  <c r="N4193" i="6" s="1"/>
  <c r="R4193" i="6" s="1"/>
  <c r="M4257" i="6"/>
  <c r="N4257" i="6" s="1"/>
  <c r="R4257" i="6" s="1"/>
  <c r="M4321" i="6"/>
  <c r="N4321" i="6" s="1"/>
  <c r="R4321" i="6" s="1"/>
  <c r="M4385" i="6"/>
  <c r="N4385" i="6" s="1"/>
  <c r="R4385" i="6" s="1"/>
  <c r="M4449" i="6"/>
  <c r="N4449" i="6" s="1"/>
  <c r="R4449" i="6" s="1"/>
  <c r="M4513" i="6"/>
  <c r="N4513" i="6" s="1"/>
  <c r="R4513" i="6" s="1"/>
  <c r="M4577" i="6"/>
  <c r="N4577" i="6" s="1"/>
  <c r="R4577" i="6" s="1"/>
  <c r="M4641" i="6"/>
  <c r="N4641" i="6" s="1"/>
  <c r="R4641" i="6" s="1"/>
  <c r="M4705" i="6"/>
  <c r="N4705" i="6" s="1"/>
  <c r="R4705" i="6" s="1"/>
  <c r="M4769" i="6"/>
  <c r="N4769" i="6" s="1"/>
  <c r="R4769" i="6" s="1"/>
  <c r="M4833" i="6"/>
  <c r="N4833" i="6" s="1"/>
  <c r="R4833" i="6" s="1"/>
  <c r="M4897" i="6"/>
  <c r="N4897" i="6" s="1"/>
  <c r="R4897" i="6" s="1"/>
  <c r="M4961" i="6"/>
  <c r="N4961" i="6" s="1"/>
  <c r="R4961" i="6" s="1"/>
  <c r="M346" i="6"/>
  <c r="N346" i="6" s="1"/>
  <c r="R346" i="6" s="1"/>
  <c r="M410" i="6"/>
  <c r="N410" i="6" s="1"/>
  <c r="R410" i="6" s="1"/>
  <c r="M474" i="6"/>
  <c r="N474" i="6" s="1"/>
  <c r="M538" i="6"/>
  <c r="N538" i="6" s="1"/>
  <c r="R538" i="6" s="1"/>
  <c r="M602" i="6"/>
  <c r="N602" i="6" s="1"/>
  <c r="R602" i="6" s="1"/>
  <c r="M666" i="6"/>
  <c r="N666" i="6" s="1"/>
  <c r="R666" i="6" s="1"/>
  <c r="M730" i="6"/>
  <c r="N730" i="6" s="1"/>
  <c r="R730" i="6" s="1"/>
  <c r="M794" i="6"/>
  <c r="N794" i="6" s="1"/>
  <c r="R794" i="6" s="1"/>
  <c r="M858" i="6"/>
  <c r="N858" i="6" s="1"/>
  <c r="R858" i="6" s="1"/>
  <c r="M922" i="6"/>
  <c r="N922" i="6" s="1"/>
  <c r="R922" i="6" s="1"/>
  <c r="M986" i="6"/>
  <c r="N986" i="6" s="1"/>
  <c r="M1050" i="6"/>
  <c r="N1050" i="6" s="1"/>
  <c r="R1050" i="6" s="1"/>
  <c r="M1114" i="6"/>
  <c r="N1114" i="6" s="1"/>
  <c r="R1114" i="6" s="1"/>
  <c r="M1178" i="6"/>
  <c r="N1178" i="6" s="1"/>
  <c r="R1178" i="6" s="1"/>
  <c r="M1242" i="6"/>
  <c r="N1242" i="6" s="1"/>
  <c r="R1242" i="6" s="1"/>
  <c r="M1306" i="6"/>
  <c r="N1306" i="6" s="1"/>
  <c r="R1306" i="6" s="1"/>
  <c r="M1370" i="6"/>
  <c r="N1370" i="6" s="1"/>
  <c r="R1370" i="6" s="1"/>
  <c r="M1434" i="6"/>
  <c r="N1434" i="6" s="1"/>
  <c r="R1434" i="6" s="1"/>
  <c r="M1498" i="6"/>
  <c r="N1498" i="6" s="1"/>
  <c r="R1498" i="6" s="1"/>
  <c r="M1562" i="6"/>
  <c r="N1562" i="6" s="1"/>
  <c r="R1562" i="6" s="1"/>
  <c r="M1626" i="6"/>
  <c r="N1626" i="6" s="1"/>
  <c r="R1626" i="6" s="1"/>
  <c r="M1690" i="6"/>
  <c r="N1690" i="6" s="1"/>
  <c r="R1690" i="6" s="1"/>
  <c r="M1754" i="6"/>
  <c r="N1754" i="6" s="1"/>
  <c r="R1754" i="6" s="1"/>
  <c r="M1818" i="6"/>
  <c r="N1818" i="6" s="1"/>
  <c r="R1818" i="6" s="1"/>
  <c r="M1882" i="6"/>
  <c r="N1882" i="6" s="1"/>
  <c r="R1882" i="6" s="1"/>
  <c r="M1946" i="6"/>
  <c r="N1946" i="6" s="1"/>
  <c r="R1946" i="6" s="1"/>
  <c r="M2010" i="6"/>
  <c r="N2010" i="6" s="1"/>
  <c r="M2074" i="6"/>
  <c r="N2074" i="6" s="1"/>
  <c r="M2138" i="6"/>
  <c r="N2138" i="6" s="1"/>
  <c r="M2202" i="6"/>
  <c r="N2202" i="6" s="1"/>
  <c r="R2202" i="6" s="1"/>
  <c r="M2266" i="6"/>
  <c r="N2266" i="6" s="1"/>
  <c r="R2266" i="6" s="1"/>
  <c r="M2330" i="6"/>
  <c r="N2330" i="6" s="1"/>
  <c r="R2330" i="6" s="1"/>
  <c r="M2394" i="6"/>
  <c r="N2394" i="6" s="1"/>
  <c r="R2394" i="6" s="1"/>
  <c r="M2458" i="6"/>
  <c r="N2458" i="6" s="1"/>
  <c r="R2458" i="6" s="1"/>
  <c r="M2522" i="6"/>
  <c r="N2522" i="6" s="1"/>
  <c r="R2522" i="6" s="1"/>
  <c r="M2586" i="6"/>
  <c r="N2586" i="6" s="1"/>
  <c r="M2650" i="6"/>
  <c r="N2650" i="6" s="1"/>
  <c r="R2650" i="6" s="1"/>
  <c r="M2714" i="6"/>
  <c r="N2714" i="6" s="1"/>
  <c r="R2714" i="6" s="1"/>
  <c r="M2778" i="6"/>
  <c r="N2778" i="6" s="1"/>
  <c r="R2778" i="6" s="1"/>
  <c r="M3034" i="6"/>
  <c r="N3034" i="6" s="1"/>
  <c r="R3034" i="6" s="1"/>
  <c r="M3098" i="6"/>
  <c r="N3098" i="6" s="1"/>
  <c r="R3098" i="6" s="1"/>
  <c r="M3162" i="6"/>
  <c r="N3162" i="6" s="1"/>
  <c r="R3162" i="6" s="1"/>
  <c r="M3226" i="6"/>
  <c r="N3226" i="6" s="1"/>
  <c r="R3226" i="6" s="1"/>
  <c r="M3290" i="6"/>
  <c r="N3290" i="6" s="1"/>
  <c r="M3354" i="6"/>
  <c r="N3354" i="6" s="1"/>
  <c r="R3354" i="6" s="1"/>
  <c r="M3482" i="6"/>
  <c r="N3482" i="6" s="1"/>
  <c r="R3482" i="6" s="1"/>
  <c r="M3546" i="6"/>
  <c r="N3546" i="6" s="1"/>
  <c r="R3546" i="6" s="1"/>
  <c r="M3610" i="6"/>
  <c r="N3610" i="6" s="1"/>
  <c r="R3610" i="6" s="1"/>
  <c r="M3674" i="6"/>
  <c r="N3674" i="6" s="1"/>
  <c r="R3674" i="6" s="1"/>
  <c r="M3738" i="6"/>
  <c r="N3738" i="6" s="1"/>
  <c r="R3738" i="6" s="1"/>
  <c r="M3802" i="6"/>
  <c r="N3802" i="6" s="1"/>
  <c r="R3802" i="6" s="1"/>
  <c r="M3866" i="6"/>
  <c r="N3866" i="6" s="1"/>
  <c r="M3930" i="6"/>
  <c r="N3930" i="6" s="1"/>
  <c r="R3930" i="6" s="1"/>
  <c r="M3994" i="6"/>
  <c r="N3994" i="6" s="1"/>
  <c r="R3994" i="6" s="1"/>
  <c r="M4058" i="6"/>
  <c r="N4058" i="6" s="1"/>
  <c r="R4058" i="6" s="1"/>
  <c r="M4122" i="6"/>
  <c r="N4122" i="6" s="1"/>
  <c r="R4122" i="6" s="1"/>
  <c r="M4186" i="6"/>
  <c r="N4186" i="6" s="1"/>
  <c r="R4186" i="6" s="1"/>
  <c r="M4250" i="6"/>
  <c r="N4250" i="6" s="1"/>
  <c r="R4250" i="6" s="1"/>
  <c r="M4314" i="6"/>
  <c r="N4314" i="6" s="1"/>
  <c r="R4314" i="6" s="1"/>
  <c r="M4378" i="6"/>
  <c r="N4378" i="6" s="1"/>
  <c r="M4442" i="6"/>
  <c r="N4442" i="6" s="1"/>
  <c r="R4442" i="6" s="1"/>
  <c r="M4506" i="6"/>
  <c r="N4506" i="6" s="1"/>
  <c r="R4506" i="6" s="1"/>
  <c r="M4570" i="6"/>
  <c r="N4570" i="6" s="1"/>
  <c r="R4570" i="6" s="1"/>
  <c r="M4634" i="6"/>
  <c r="N4634" i="6" s="1"/>
  <c r="R4634" i="6" s="1"/>
  <c r="M4698" i="6"/>
  <c r="N4698" i="6" s="1"/>
  <c r="R4698" i="6" s="1"/>
  <c r="M4762" i="6"/>
  <c r="N4762" i="6" s="1"/>
  <c r="R4762" i="6" s="1"/>
  <c r="M4826" i="6"/>
  <c r="N4826" i="6" s="1"/>
  <c r="R4826" i="6" s="1"/>
  <c r="M4890" i="6"/>
  <c r="N4890" i="6" s="1"/>
  <c r="M4954" i="6"/>
  <c r="N4954" i="6" s="1"/>
  <c r="R4954" i="6" s="1"/>
  <c r="M307" i="6"/>
  <c r="N307" i="6" s="1"/>
  <c r="R307" i="6" s="1"/>
  <c r="M371" i="6"/>
  <c r="N371" i="6" s="1"/>
  <c r="R371" i="6" s="1"/>
  <c r="M435" i="6"/>
  <c r="N435" i="6" s="1"/>
  <c r="R435" i="6" s="1"/>
  <c r="M499" i="6"/>
  <c r="N499" i="6" s="1"/>
  <c r="R499" i="6" s="1"/>
  <c r="M563" i="6"/>
  <c r="N563" i="6" s="1"/>
  <c r="R563" i="6" s="1"/>
  <c r="M627" i="6"/>
  <c r="N627" i="6" s="1"/>
  <c r="R627" i="6" s="1"/>
  <c r="M691" i="6"/>
  <c r="N691" i="6" s="1"/>
  <c r="M755" i="6"/>
  <c r="N755" i="6" s="1"/>
  <c r="M819" i="6"/>
  <c r="N819" i="6" s="1"/>
  <c r="M883" i="6"/>
  <c r="N883" i="6" s="1"/>
  <c r="R883" i="6" s="1"/>
  <c r="M947" i="6"/>
  <c r="N947" i="6" s="1"/>
  <c r="R947" i="6" s="1"/>
  <c r="M1011" i="6"/>
  <c r="N1011" i="6" s="1"/>
  <c r="R1011" i="6" s="1"/>
  <c r="M1075" i="6"/>
  <c r="N1075" i="6" s="1"/>
  <c r="R1075" i="6" s="1"/>
  <c r="M1203" i="6"/>
  <c r="N1203" i="6" s="1"/>
  <c r="R1203" i="6" s="1"/>
  <c r="M1267" i="6"/>
  <c r="N1267" i="6" s="1"/>
  <c r="M1331" i="6"/>
  <c r="N1331" i="6" s="1"/>
  <c r="M1395" i="6"/>
  <c r="N1395" i="6" s="1"/>
  <c r="R1395" i="6" s="1"/>
  <c r="M1459" i="6"/>
  <c r="N1459" i="6" s="1"/>
  <c r="R1459" i="6" s="1"/>
  <c r="M1523" i="6"/>
  <c r="N1523" i="6" s="1"/>
  <c r="R1523" i="6" s="1"/>
  <c r="M1587" i="6"/>
  <c r="N1587" i="6" s="1"/>
  <c r="R1587" i="6" s="1"/>
  <c r="M1651" i="6"/>
  <c r="N1651" i="6" s="1"/>
  <c r="R1651" i="6" s="1"/>
  <c r="M1715" i="6"/>
  <c r="N1715" i="6" s="1"/>
  <c r="R1715" i="6" s="1"/>
  <c r="M1779" i="6"/>
  <c r="N1779" i="6" s="1"/>
  <c r="M1843" i="6"/>
  <c r="N1843" i="6" s="1"/>
  <c r="R1843" i="6" s="1"/>
  <c r="M1907" i="6"/>
  <c r="N1907" i="6" s="1"/>
  <c r="R1907" i="6" s="1"/>
  <c r="M1971" i="6"/>
  <c r="N1971" i="6" s="1"/>
  <c r="R1971" i="6" s="1"/>
  <c r="M2035" i="6"/>
  <c r="N2035" i="6" s="1"/>
  <c r="R2035" i="6" s="1"/>
  <c r="M2099" i="6"/>
  <c r="N2099" i="6" s="1"/>
  <c r="R2099" i="6" s="1"/>
  <c r="M2163" i="6"/>
  <c r="N2163" i="6" s="1"/>
  <c r="R2163" i="6" s="1"/>
  <c r="M2227" i="6"/>
  <c r="N2227" i="6" s="1"/>
  <c r="R2227" i="6" s="1"/>
  <c r="M2355" i="6"/>
  <c r="N2355" i="6" s="1"/>
  <c r="M2419" i="6"/>
  <c r="N2419" i="6" s="1"/>
  <c r="R2419" i="6" s="1"/>
  <c r="M2483" i="6"/>
  <c r="N2483" i="6" s="1"/>
  <c r="R2483" i="6" s="1"/>
  <c r="M2547" i="6"/>
  <c r="N2547" i="6" s="1"/>
  <c r="R2547" i="6" s="1"/>
  <c r="M2675" i="6"/>
  <c r="N2675" i="6" s="1"/>
  <c r="R2675" i="6" s="1"/>
  <c r="M2739" i="6"/>
  <c r="N2739" i="6" s="1"/>
  <c r="R2739" i="6" s="1"/>
  <c r="M2803" i="6"/>
  <c r="N2803" i="6" s="1"/>
  <c r="R2803" i="6" s="1"/>
  <c r="M2867" i="6"/>
  <c r="N2867" i="6" s="1"/>
  <c r="R2867" i="6" s="1"/>
  <c r="M2931" i="6"/>
  <c r="N2931" i="6" s="1"/>
  <c r="M2995" i="6"/>
  <c r="N2995" i="6" s="1"/>
  <c r="R2995" i="6" s="1"/>
  <c r="M3059" i="6"/>
  <c r="N3059" i="6" s="1"/>
  <c r="R3059" i="6" s="1"/>
  <c r="M3123" i="6"/>
  <c r="N3123" i="6" s="1"/>
  <c r="R3123" i="6" s="1"/>
  <c r="M3187" i="6"/>
  <c r="N3187" i="6" s="1"/>
  <c r="R3187" i="6" s="1"/>
  <c r="M3251" i="6"/>
  <c r="N3251" i="6" s="1"/>
  <c r="R3251" i="6" s="1"/>
  <c r="M3315" i="6"/>
  <c r="N3315" i="6" s="1"/>
  <c r="R3315" i="6" s="1"/>
  <c r="M3379" i="6"/>
  <c r="N3379" i="6" s="1"/>
  <c r="R3379" i="6" s="1"/>
  <c r="M3443" i="6"/>
  <c r="N3443" i="6" s="1"/>
  <c r="M3507" i="6"/>
  <c r="N3507" i="6" s="1"/>
  <c r="R3507" i="6" s="1"/>
  <c r="M3571" i="6"/>
  <c r="N3571" i="6" s="1"/>
  <c r="R3571" i="6" s="1"/>
  <c r="M3635" i="6"/>
  <c r="N3635" i="6" s="1"/>
  <c r="R3635" i="6" s="1"/>
  <c r="M3699" i="6"/>
  <c r="N3699" i="6" s="1"/>
  <c r="R3699" i="6" s="1"/>
  <c r="M3763" i="6"/>
  <c r="N3763" i="6" s="1"/>
  <c r="R3763" i="6" s="1"/>
  <c r="M3827" i="6"/>
  <c r="N3827" i="6" s="1"/>
  <c r="R3827" i="6" s="1"/>
  <c r="M3891" i="6"/>
  <c r="N3891" i="6" s="1"/>
  <c r="R3891" i="6" s="1"/>
  <c r="M3955" i="6"/>
  <c r="N3955" i="6" s="1"/>
  <c r="M4083" i="6"/>
  <c r="N4083" i="6" s="1"/>
  <c r="R4083" i="6" s="1"/>
  <c r="M4147" i="6"/>
  <c r="N4147" i="6" s="1"/>
  <c r="R4147" i="6" s="1"/>
  <c r="M4211" i="6"/>
  <c r="N4211" i="6" s="1"/>
  <c r="R4211" i="6" s="1"/>
  <c r="M4275" i="6"/>
  <c r="N4275" i="6" s="1"/>
  <c r="R4275" i="6" s="1"/>
  <c r="M4339" i="6"/>
  <c r="N4339" i="6" s="1"/>
  <c r="R4339" i="6" s="1"/>
  <c r="M4403" i="6"/>
  <c r="N4403" i="6" s="1"/>
  <c r="R4403" i="6" s="1"/>
  <c r="M4467" i="6"/>
  <c r="N4467" i="6" s="1"/>
  <c r="R4467" i="6" s="1"/>
  <c r="M4531" i="6"/>
  <c r="N4531" i="6" s="1"/>
  <c r="M4595" i="6"/>
  <c r="N4595" i="6" s="1"/>
  <c r="R4595" i="6" s="1"/>
  <c r="M4659" i="6"/>
  <c r="N4659" i="6" s="1"/>
  <c r="R4659" i="6" s="1"/>
  <c r="M4723" i="6"/>
  <c r="N4723" i="6" s="1"/>
  <c r="R4723" i="6" s="1"/>
  <c r="M4787" i="6"/>
  <c r="N4787" i="6" s="1"/>
  <c r="R4787" i="6" s="1"/>
  <c r="M4851" i="6"/>
  <c r="N4851" i="6" s="1"/>
  <c r="R4851" i="6" s="1"/>
  <c r="M4915" i="6"/>
  <c r="N4915" i="6" s="1"/>
  <c r="R4915" i="6" s="1"/>
  <c r="M4979" i="6"/>
  <c r="N4979" i="6" s="1"/>
  <c r="R4979" i="6" s="1"/>
  <c r="M44" i="6"/>
  <c r="N44" i="6" s="1"/>
  <c r="M108" i="6"/>
  <c r="N108" i="6" s="1"/>
  <c r="R108" i="6" s="1"/>
  <c r="M172" i="6"/>
  <c r="N172" i="6" s="1"/>
  <c r="R172" i="6" s="1"/>
  <c r="M236" i="6"/>
  <c r="N236" i="6" s="1"/>
  <c r="R236" i="6" s="1"/>
  <c r="M300" i="6"/>
  <c r="N300" i="6" s="1"/>
  <c r="R300" i="6" s="1"/>
  <c r="M364" i="6"/>
  <c r="N364" i="6" s="1"/>
  <c r="R364" i="6" s="1"/>
  <c r="M428" i="6"/>
  <c r="N428" i="6" s="1"/>
  <c r="R428" i="6" s="1"/>
  <c r="M492" i="6"/>
  <c r="N492" i="6" s="1"/>
  <c r="R492" i="6" s="1"/>
  <c r="M556" i="6"/>
  <c r="N556" i="6" s="1"/>
  <c r="M620" i="6"/>
  <c r="N620" i="6" s="1"/>
  <c r="R620" i="6" s="1"/>
  <c r="M684" i="6"/>
  <c r="N684" i="6" s="1"/>
  <c r="M748" i="6"/>
  <c r="N748" i="6" s="1"/>
  <c r="R748" i="6" s="1"/>
  <c r="M812" i="6"/>
  <c r="N812" i="6" s="1"/>
  <c r="R812" i="6" s="1"/>
  <c r="M876" i="6"/>
  <c r="N876" i="6" s="1"/>
  <c r="R876" i="6" s="1"/>
  <c r="M940" i="6"/>
  <c r="N940" i="6" s="1"/>
  <c r="R940" i="6" s="1"/>
  <c r="M1004" i="6"/>
  <c r="N1004" i="6" s="1"/>
  <c r="R1004" i="6" s="1"/>
  <c r="M1068" i="6"/>
  <c r="N1068" i="6" s="1"/>
  <c r="M1132" i="6"/>
  <c r="N1132" i="6" s="1"/>
  <c r="R1132" i="6" s="1"/>
  <c r="M1196" i="6"/>
  <c r="N1196" i="6" s="1"/>
  <c r="R1196" i="6" s="1"/>
  <c r="M1260" i="6"/>
  <c r="N1260" i="6" s="1"/>
  <c r="R1260" i="6" s="1"/>
  <c r="M1324" i="6"/>
  <c r="N1324" i="6" s="1"/>
  <c r="R1324" i="6" s="1"/>
  <c r="M1388" i="6"/>
  <c r="N1388" i="6" s="1"/>
  <c r="R1388" i="6" s="1"/>
  <c r="M1452" i="6"/>
  <c r="N1452" i="6" s="1"/>
  <c r="R1452" i="6" s="1"/>
  <c r="M1516" i="6"/>
  <c r="N1516" i="6" s="1"/>
  <c r="R1516" i="6" s="1"/>
  <c r="M1580" i="6"/>
  <c r="N1580" i="6" s="1"/>
  <c r="R1580" i="6" s="1"/>
  <c r="M1644" i="6"/>
  <c r="N1644" i="6" s="1"/>
  <c r="R1644" i="6" s="1"/>
  <c r="M1708" i="6"/>
  <c r="N1708" i="6" s="1"/>
  <c r="R1708" i="6" s="1"/>
  <c r="M1772" i="6"/>
  <c r="N1772" i="6" s="1"/>
  <c r="R1772" i="6" s="1"/>
  <c r="M1836" i="6"/>
  <c r="N1836" i="6" s="1"/>
  <c r="R1836" i="6" s="1"/>
  <c r="M1900" i="6"/>
  <c r="N1900" i="6" s="1"/>
  <c r="R1900" i="6" s="1"/>
  <c r="M1964" i="6"/>
  <c r="N1964" i="6" s="1"/>
  <c r="R1964" i="6" s="1"/>
  <c r="M2028" i="6"/>
  <c r="N2028" i="6" s="1"/>
  <c r="R2028" i="6" s="1"/>
  <c r="M2092" i="6"/>
  <c r="N2092" i="6" s="1"/>
  <c r="M2156" i="6"/>
  <c r="N2156" i="6" s="1"/>
  <c r="R2156" i="6" s="1"/>
  <c r="M2220" i="6"/>
  <c r="N2220" i="6" s="1"/>
  <c r="R2220" i="6" s="1"/>
  <c r="M2284" i="6"/>
  <c r="N2284" i="6" s="1"/>
  <c r="R2284" i="6" s="1"/>
  <c r="M2348" i="6"/>
  <c r="N2348" i="6" s="1"/>
  <c r="R2348" i="6" s="1"/>
  <c r="M2412" i="6"/>
  <c r="N2412" i="6" s="1"/>
  <c r="R2412" i="6" s="1"/>
  <c r="M2476" i="6"/>
  <c r="N2476" i="6" s="1"/>
  <c r="R2476" i="6" s="1"/>
  <c r="M2540" i="6"/>
  <c r="N2540" i="6" s="1"/>
  <c r="R2540" i="6" s="1"/>
  <c r="M2604" i="6"/>
  <c r="N2604" i="6" s="1"/>
  <c r="M2668" i="6"/>
  <c r="N2668" i="6" s="1"/>
  <c r="R2668" i="6" s="1"/>
  <c r="M2732" i="6"/>
  <c r="N2732" i="6" s="1"/>
  <c r="R2732" i="6" s="1"/>
  <c r="M2796" i="6"/>
  <c r="N2796" i="6" s="1"/>
  <c r="M2860" i="6"/>
  <c r="N2860" i="6" s="1"/>
  <c r="R2860" i="6" s="1"/>
  <c r="M2924" i="6"/>
  <c r="N2924" i="6" s="1"/>
  <c r="R2924" i="6" s="1"/>
  <c r="M2988" i="6"/>
  <c r="N2988" i="6" s="1"/>
  <c r="R2988" i="6" s="1"/>
  <c r="M3052" i="6"/>
  <c r="N3052" i="6" s="1"/>
  <c r="R3052" i="6" s="1"/>
  <c r="M3116" i="6"/>
  <c r="N3116" i="6" s="1"/>
  <c r="M3180" i="6"/>
  <c r="N3180" i="6" s="1"/>
  <c r="R3180" i="6" s="1"/>
  <c r="M3244" i="6"/>
  <c r="N3244" i="6" s="1"/>
  <c r="R3244" i="6" s="1"/>
  <c r="M3308" i="6"/>
  <c r="N3308" i="6" s="1"/>
  <c r="R3308" i="6" s="1"/>
  <c r="M3372" i="6"/>
  <c r="N3372" i="6" s="1"/>
  <c r="R3372" i="6" s="1"/>
  <c r="M3436" i="6"/>
  <c r="N3436" i="6" s="1"/>
  <c r="R3436" i="6" s="1"/>
  <c r="M3564" i="6"/>
  <c r="N3564" i="6" s="1"/>
  <c r="R3564" i="6" s="1"/>
  <c r="M3628" i="6"/>
  <c r="N3628" i="6" s="1"/>
  <c r="M3692" i="6"/>
  <c r="N3692" i="6" s="1"/>
  <c r="M3756" i="6"/>
  <c r="N3756" i="6" s="1"/>
  <c r="M3820" i="6"/>
  <c r="N3820" i="6" s="1"/>
  <c r="R3820" i="6" s="1"/>
  <c r="M3884" i="6"/>
  <c r="N3884" i="6" s="1"/>
  <c r="R3884" i="6" s="1"/>
  <c r="M3948" i="6"/>
  <c r="N3948" i="6" s="1"/>
  <c r="R3948" i="6" s="1"/>
  <c r="M4012" i="6"/>
  <c r="N4012" i="6" s="1"/>
  <c r="R4012" i="6" s="1"/>
  <c r="M4076" i="6"/>
  <c r="N4076" i="6" s="1"/>
  <c r="R4076" i="6" s="1"/>
  <c r="M4140" i="6"/>
  <c r="N4140" i="6" s="1"/>
  <c r="R4140" i="6" s="1"/>
  <c r="M4204" i="6"/>
  <c r="N4204" i="6" s="1"/>
  <c r="M4268" i="6"/>
  <c r="N4268" i="6" s="1"/>
  <c r="R4268" i="6" s="1"/>
  <c r="M4396" i="6"/>
  <c r="N4396" i="6" s="1"/>
  <c r="R4396" i="6" s="1"/>
  <c r="M4460" i="6"/>
  <c r="N4460" i="6" s="1"/>
  <c r="R4460" i="6" s="1"/>
  <c r="M365" i="6"/>
  <c r="N365" i="6" s="1"/>
  <c r="R365" i="6" s="1"/>
  <c r="M429" i="6"/>
  <c r="N429" i="6" s="1"/>
  <c r="R429" i="6" s="1"/>
  <c r="M493" i="6"/>
  <c r="N493" i="6" s="1"/>
  <c r="R493" i="6" s="1"/>
  <c r="M557" i="6"/>
  <c r="N557" i="6" s="1"/>
  <c r="R557" i="6" s="1"/>
  <c r="M621" i="6"/>
  <c r="N621" i="6" s="1"/>
  <c r="M685" i="6"/>
  <c r="N685" i="6" s="1"/>
  <c r="R685" i="6" s="1"/>
  <c r="M749" i="6"/>
  <c r="N749" i="6" s="1"/>
  <c r="R749" i="6" s="1"/>
  <c r="M813" i="6"/>
  <c r="N813" i="6" s="1"/>
  <c r="R813" i="6" s="1"/>
  <c r="M877" i="6"/>
  <c r="N877" i="6" s="1"/>
  <c r="R877" i="6" s="1"/>
  <c r="M941" i="6"/>
  <c r="N941" i="6" s="1"/>
  <c r="M1005" i="6"/>
  <c r="N1005" i="6" s="1"/>
  <c r="M1069" i="6"/>
  <c r="N1069" i="6" s="1"/>
  <c r="R1069" i="6" s="1"/>
  <c r="M1133" i="6"/>
  <c r="N1133" i="6" s="1"/>
  <c r="R1133" i="6" s="1"/>
  <c r="M1197" i="6"/>
  <c r="N1197" i="6" s="1"/>
  <c r="R1197" i="6" s="1"/>
  <c r="M1261" i="6"/>
  <c r="N1261" i="6" s="1"/>
  <c r="M1325" i="6"/>
  <c r="N1325" i="6" s="1"/>
  <c r="R1325" i="6" s="1"/>
  <c r="M1389" i="6"/>
  <c r="N1389" i="6" s="1"/>
  <c r="R1389" i="6" s="1"/>
  <c r="M1453" i="6"/>
  <c r="N1453" i="6" s="1"/>
  <c r="R1453" i="6" s="1"/>
  <c r="M1517" i="6"/>
  <c r="N1517" i="6" s="1"/>
  <c r="R1517" i="6" s="1"/>
  <c r="M1581" i="6"/>
  <c r="N1581" i="6" s="1"/>
  <c r="R1581" i="6" s="1"/>
  <c r="M1645" i="6"/>
  <c r="N1645" i="6" s="1"/>
  <c r="M1773" i="6"/>
  <c r="N1773" i="6" s="1"/>
  <c r="R1773" i="6" s="1"/>
  <c r="M1837" i="6"/>
  <c r="N1837" i="6" s="1"/>
  <c r="R1837" i="6" s="1"/>
  <c r="M1901" i="6"/>
  <c r="N1901" i="6" s="1"/>
  <c r="R1901" i="6" s="1"/>
  <c r="M1965" i="6"/>
  <c r="N1965" i="6" s="1"/>
  <c r="R1965" i="6" s="1"/>
  <c r="M2029" i="6"/>
  <c r="N2029" i="6" s="1"/>
  <c r="R2029" i="6" s="1"/>
  <c r="M2157" i="6"/>
  <c r="N2157" i="6" s="1"/>
  <c r="R2157" i="6" s="1"/>
  <c r="M2221" i="6"/>
  <c r="N2221" i="6" s="1"/>
  <c r="M2285" i="6"/>
  <c r="N2285" i="6" s="1"/>
  <c r="M2349" i="6"/>
  <c r="N2349" i="6" s="1"/>
  <c r="M2413" i="6"/>
  <c r="N2413" i="6" s="1"/>
  <c r="R2413" i="6" s="1"/>
  <c r="M2477" i="6"/>
  <c r="N2477" i="6" s="1"/>
  <c r="R2477" i="6" s="1"/>
  <c r="M2541" i="6"/>
  <c r="N2541" i="6" s="1"/>
  <c r="R2541" i="6" s="1"/>
  <c r="M2605" i="6"/>
  <c r="N2605" i="6" s="1"/>
  <c r="R2605" i="6" s="1"/>
  <c r="M2669" i="6"/>
  <c r="N2669" i="6" s="1"/>
  <c r="R2669" i="6" s="1"/>
  <c r="M2733" i="6"/>
  <c r="N2733" i="6" s="1"/>
  <c r="R2733" i="6" s="1"/>
  <c r="M2797" i="6"/>
  <c r="N2797" i="6" s="1"/>
  <c r="M2861" i="6"/>
  <c r="N2861" i="6" s="1"/>
  <c r="R2861" i="6" s="1"/>
  <c r="M2925" i="6"/>
  <c r="N2925" i="6" s="1"/>
  <c r="R2925" i="6" s="1"/>
  <c r="M2989" i="6"/>
  <c r="N2989" i="6" s="1"/>
  <c r="R2989" i="6" s="1"/>
  <c r="M3053" i="6"/>
  <c r="N3053" i="6" s="1"/>
  <c r="R3053" i="6" s="1"/>
  <c r="M3117" i="6"/>
  <c r="N3117" i="6" s="1"/>
  <c r="R3117" i="6" s="1"/>
  <c r="M3181" i="6"/>
  <c r="N3181" i="6" s="1"/>
  <c r="R3181" i="6" s="1"/>
  <c r="M3245" i="6"/>
  <c r="N3245" i="6" s="1"/>
  <c r="R3245" i="6" s="1"/>
  <c r="M3309" i="6"/>
  <c r="N3309" i="6" s="1"/>
  <c r="M3373" i="6"/>
  <c r="N3373" i="6" s="1"/>
  <c r="R3373" i="6" s="1"/>
  <c r="M3437" i="6"/>
  <c r="N3437" i="6" s="1"/>
  <c r="M3501" i="6"/>
  <c r="N3501" i="6" s="1"/>
  <c r="R3501" i="6" s="1"/>
  <c r="M3565" i="6"/>
  <c r="N3565" i="6" s="1"/>
  <c r="R3565" i="6" s="1"/>
  <c r="M3629" i="6"/>
  <c r="N3629" i="6" s="1"/>
  <c r="R3629" i="6" s="1"/>
  <c r="M3693" i="6"/>
  <c r="N3693" i="6" s="1"/>
  <c r="R3693" i="6" s="1"/>
  <c r="M3757" i="6"/>
  <c r="N3757" i="6" s="1"/>
  <c r="R3757" i="6" s="1"/>
  <c r="M3821" i="6"/>
  <c r="N3821" i="6" s="1"/>
  <c r="M3885" i="6"/>
  <c r="N3885" i="6" s="1"/>
  <c r="R3885" i="6" s="1"/>
  <c r="M3949" i="6"/>
  <c r="N3949" i="6" s="1"/>
  <c r="R3949" i="6" s="1"/>
  <c r="M4013" i="6"/>
  <c r="N4013" i="6" s="1"/>
  <c r="R4013" i="6" s="1"/>
  <c r="M4077" i="6"/>
  <c r="N4077" i="6" s="1"/>
  <c r="R4077" i="6" s="1"/>
  <c r="M4141" i="6"/>
  <c r="N4141" i="6" s="1"/>
  <c r="R4141" i="6" s="1"/>
  <c r="M4205" i="6"/>
  <c r="N4205" i="6" s="1"/>
  <c r="R4205" i="6" s="1"/>
  <c r="M4269" i="6"/>
  <c r="N4269" i="6" s="1"/>
  <c r="R4269" i="6" s="1"/>
  <c r="M4333" i="6"/>
  <c r="N4333" i="6" s="1"/>
  <c r="M4397" i="6"/>
  <c r="N4397" i="6" s="1"/>
  <c r="R4397" i="6" s="1"/>
  <c r="M4461" i="6"/>
  <c r="N4461" i="6" s="1"/>
  <c r="R4461" i="6" s="1"/>
  <c r="M4525" i="6"/>
  <c r="N4525" i="6" s="1"/>
  <c r="R4525" i="6" s="1"/>
  <c r="M4589" i="6"/>
  <c r="N4589" i="6" s="1"/>
  <c r="R4589" i="6" s="1"/>
  <c r="M4653" i="6"/>
  <c r="N4653" i="6" s="1"/>
  <c r="R4653" i="6" s="1"/>
  <c r="M4717" i="6"/>
  <c r="N4717" i="6" s="1"/>
  <c r="R4717" i="6" s="1"/>
  <c r="M4781" i="6"/>
  <c r="N4781" i="6" s="1"/>
  <c r="R4781" i="6" s="1"/>
  <c r="M4845" i="6"/>
  <c r="N4845" i="6" s="1"/>
  <c r="M4909" i="6"/>
  <c r="N4909" i="6" s="1"/>
  <c r="R4909" i="6" s="1"/>
  <c r="M4973" i="6"/>
  <c r="N4973" i="6" s="1"/>
  <c r="R4973" i="6" s="1"/>
  <c r="M350" i="6"/>
  <c r="N350" i="6" s="1"/>
  <c r="R350" i="6" s="1"/>
  <c r="M414" i="6"/>
  <c r="N414" i="6" s="1"/>
  <c r="M478" i="6"/>
  <c r="N478" i="6" s="1"/>
  <c r="R478" i="6" s="1"/>
  <c r="M542" i="6"/>
  <c r="N542" i="6" s="1"/>
  <c r="R542" i="6" s="1"/>
  <c r="M606" i="6"/>
  <c r="N606" i="6" s="1"/>
  <c r="R606" i="6" s="1"/>
  <c r="M670" i="6"/>
  <c r="N670" i="6" s="1"/>
  <c r="M734" i="6"/>
  <c r="N734" i="6" s="1"/>
  <c r="M798" i="6"/>
  <c r="N798" i="6" s="1"/>
  <c r="M862" i="6"/>
  <c r="N862" i="6" s="1"/>
  <c r="R862" i="6" s="1"/>
  <c r="M926" i="6"/>
  <c r="N926" i="6" s="1"/>
  <c r="R926" i="6" s="1"/>
  <c r="M990" i="6"/>
  <c r="N990" i="6" s="1"/>
  <c r="R990" i="6" s="1"/>
  <c r="M1054" i="6"/>
  <c r="N1054" i="6" s="1"/>
  <c r="R1054" i="6" s="1"/>
  <c r="M1118" i="6"/>
  <c r="N1118" i="6" s="1"/>
  <c r="R1118" i="6" s="1"/>
  <c r="M1182" i="6"/>
  <c r="N1182" i="6" s="1"/>
  <c r="M1246" i="6"/>
  <c r="N1246" i="6" s="1"/>
  <c r="R1246" i="6" s="1"/>
  <c r="M1310" i="6"/>
  <c r="N1310" i="6" s="1"/>
  <c r="R1310" i="6" s="1"/>
  <c r="M1374" i="6"/>
  <c r="N1374" i="6" s="1"/>
  <c r="R1374" i="6" s="1"/>
  <c r="M1438" i="6"/>
  <c r="N1438" i="6" s="1"/>
  <c r="R1438" i="6" s="1"/>
  <c r="M1502" i="6"/>
  <c r="N1502" i="6" s="1"/>
  <c r="R1502" i="6" s="1"/>
  <c r="M1566" i="6"/>
  <c r="N1566" i="6" s="1"/>
  <c r="R1566" i="6" s="1"/>
  <c r="M1630" i="6"/>
  <c r="N1630" i="6" s="1"/>
  <c r="R1630" i="6" s="1"/>
  <c r="M1694" i="6"/>
  <c r="N1694" i="6" s="1"/>
  <c r="M1758" i="6"/>
  <c r="N1758" i="6" s="1"/>
  <c r="R1758" i="6" s="1"/>
  <c r="M1822" i="6"/>
  <c r="N1822" i="6" s="1"/>
  <c r="R1822" i="6" s="1"/>
  <c r="M1886" i="6"/>
  <c r="N1886" i="6" s="1"/>
  <c r="R1886" i="6" s="1"/>
  <c r="M1950" i="6"/>
  <c r="N1950" i="6" s="1"/>
  <c r="R1950" i="6" s="1"/>
  <c r="M2014" i="6"/>
  <c r="N2014" i="6" s="1"/>
  <c r="R2014" i="6" s="1"/>
  <c r="M2078" i="6"/>
  <c r="N2078" i="6" s="1"/>
  <c r="R2078" i="6" s="1"/>
  <c r="M2142" i="6"/>
  <c r="N2142" i="6" s="1"/>
  <c r="R2142" i="6" s="1"/>
  <c r="M2206" i="6"/>
  <c r="N2206" i="6" s="1"/>
  <c r="M2270" i="6"/>
  <c r="N2270" i="6" s="1"/>
  <c r="R2270" i="6" s="1"/>
  <c r="M2334" i="6"/>
  <c r="N2334" i="6" s="1"/>
  <c r="R2334" i="6" s="1"/>
  <c r="M2398" i="6"/>
  <c r="N2398" i="6" s="1"/>
  <c r="R2398" i="6" s="1"/>
  <c r="M2462" i="6"/>
  <c r="N2462" i="6" s="1"/>
  <c r="R2462" i="6" s="1"/>
  <c r="M2526" i="6"/>
  <c r="N2526" i="6" s="1"/>
  <c r="R2526" i="6" s="1"/>
  <c r="M2590" i="6"/>
  <c r="N2590" i="6" s="1"/>
  <c r="R2590" i="6" s="1"/>
  <c r="M2654" i="6"/>
  <c r="N2654" i="6" s="1"/>
  <c r="M2718" i="6"/>
  <c r="N2718" i="6" s="1"/>
  <c r="M2782" i="6"/>
  <c r="N2782" i="6" s="1"/>
  <c r="R2782" i="6" s="1"/>
  <c r="M2846" i="6"/>
  <c r="N2846" i="6" s="1"/>
  <c r="R2846" i="6" s="1"/>
  <c r="M2910" i="6"/>
  <c r="N2910" i="6" s="1"/>
  <c r="R2910" i="6" s="1"/>
  <c r="M2974" i="6"/>
  <c r="N2974" i="6" s="1"/>
  <c r="R2974" i="6" s="1"/>
  <c r="M3038" i="6"/>
  <c r="N3038" i="6" s="1"/>
  <c r="R3038" i="6" s="1"/>
  <c r="M3166" i="6"/>
  <c r="N3166" i="6" s="1"/>
  <c r="R3166" i="6" s="1"/>
  <c r="M3230" i="6"/>
  <c r="N3230" i="6" s="1"/>
  <c r="M3294" i="6"/>
  <c r="N3294" i="6" s="1"/>
  <c r="M3358" i="6"/>
  <c r="N3358" i="6" s="1"/>
  <c r="R3358" i="6" s="1"/>
  <c r="M3422" i="6"/>
  <c r="N3422" i="6" s="1"/>
  <c r="R3422" i="6" s="1"/>
  <c r="M3486" i="6"/>
  <c r="N3486" i="6" s="1"/>
  <c r="R3486" i="6" s="1"/>
  <c r="M3550" i="6"/>
  <c r="N3550" i="6" s="1"/>
  <c r="R3550" i="6" s="1"/>
  <c r="M3614" i="6"/>
  <c r="N3614" i="6" s="1"/>
  <c r="R3614" i="6" s="1"/>
  <c r="M3678" i="6"/>
  <c r="N3678" i="6" s="1"/>
  <c r="R3678" i="6" s="1"/>
  <c r="M3742" i="6"/>
  <c r="N3742" i="6" s="1"/>
  <c r="M3806" i="6"/>
  <c r="N3806" i="6" s="1"/>
  <c r="M3870" i="6"/>
  <c r="N3870" i="6" s="1"/>
  <c r="M3934" i="6"/>
  <c r="N3934" i="6" s="1"/>
  <c r="R3934" i="6" s="1"/>
  <c r="M3998" i="6"/>
  <c r="N3998" i="6" s="1"/>
  <c r="R3998" i="6" s="1"/>
  <c r="M4062" i="6"/>
  <c r="N4062" i="6" s="1"/>
  <c r="R4062" i="6" s="1"/>
  <c r="M4126" i="6"/>
  <c r="N4126" i="6" s="1"/>
  <c r="R4126" i="6" s="1"/>
  <c r="M4190" i="6"/>
  <c r="N4190" i="6" s="1"/>
  <c r="R4190" i="6" s="1"/>
  <c r="M4254" i="6"/>
  <c r="N4254" i="6" s="1"/>
  <c r="M4318" i="6"/>
  <c r="N4318" i="6" s="1"/>
  <c r="M4382" i="6"/>
  <c r="N4382" i="6" s="1"/>
  <c r="R4382" i="6" s="1"/>
  <c r="M4446" i="6"/>
  <c r="N4446" i="6" s="1"/>
  <c r="R4446" i="6" s="1"/>
  <c r="M4510" i="6"/>
  <c r="N4510" i="6" s="1"/>
  <c r="R4510" i="6" s="1"/>
  <c r="M4574" i="6"/>
  <c r="N4574" i="6" s="1"/>
  <c r="R4574" i="6" s="1"/>
  <c r="M4638" i="6"/>
  <c r="N4638" i="6" s="1"/>
  <c r="R4638" i="6" s="1"/>
  <c r="M4702" i="6"/>
  <c r="N4702" i="6" s="1"/>
  <c r="R4702" i="6" s="1"/>
  <c r="M4766" i="6"/>
  <c r="N4766" i="6" s="1"/>
  <c r="M4830" i="6"/>
  <c r="N4830" i="6" s="1"/>
  <c r="R4830" i="6" s="1"/>
  <c r="M4894" i="6"/>
  <c r="N4894" i="6" s="1"/>
  <c r="R4894" i="6" s="1"/>
  <c r="M4958" i="6"/>
  <c r="N4958" i="6" s="1"/>
  <c r="R4958" i="6" s="1"/>
  <c r="M319" i="6"/>
  <c r="N319" i="6" s="1"/>
  <c r="R319" i="6" s="1"/>
  <c r="M383" i="6"/>
  <c r="N383" i="6" s="1"/>
  <c r="R383" i="6" s="1"/>
  <c r="M447" i="6"/>
  <c r="N447" i="6" s="1"/>
  <c r="R447" i="6" s="1"/>
  <c r="M511" i="6"/>
  <c r="N511" i="6" s="1"/>
  <c r="R511" i="6" s="1"/>
  <c r="M575" i="6"/>
  <c r="N575" i="6" s="1"/>
  <c r="M639" i="6"/>
  <c r="N639" i="6" s="1"/>
  <c r="M703" i="6"/>
  <c r="N703" i="6" s="1"/>
  <c r="M767" i="6"/>
  <c r="N767" i="6" s="1"/>
  <c r="R767" i="6" s="1"/>
  <c r="M831" i="6"/>
  <c r="N831" i="6" s="1"/>
  <c r="R831" i="6" s="1"/>
  <c r="M895" i="6"/>
  <c r="N895" i="6" s="1"/>
  <c r="R895" i="6" s="1"/>
  <c r="M959" i="6"/>
  <c r="N959" i="6" s="1"/>
  <c r="R959" i="6" s="1"/>
  <c r="M1023" i="6"/>
  <c r="N1023" i="6" s="1"/>
  <c r="R1023" i="6" s="1"/>
  <c r="M1087" i="6"/>
  <c r="N1087" i="6" s="1"/>
  <c r="M1151" i="6"/>
  <c r="N1151" i="6" s="1"/>
  <c r="M1215" i="6"/>
  <c r="N1215" i="6" s="1"/>
  <c r="R1215" i="6" s="1"/>
  <c r="M1279" i="6"/>
  <c r="N1279" i="6" s="1"/>
  <c r="M1343" i="6"/>
  <c r="N1343" i="6" s="1"/>
  <c r="R1343" i="6" s="1"/>
  <c r="M1407" i="6"/>
  <c r="N1407" i="6" s="1"/>
  <c r="R1407" i="6" s="1"/>
  <c r="M1471" i="6"/>
  <c r="N1471" i="6" s="1"/>
  <c r="R1471" i="6" s="1"/>
  <c r="M1535" i="6"/>
  <c r="N1535" i="6" s="1"/>
  <c r="R1535" i="6" s="1"/>
  <c r="M1599" i="6"/>
  <c r="N1599" i="6" s="1"/>
  <c r="M1663" i="6"/>
  <c r="N1663" i="6" s="1"/>
  <c r="M1727" i="6"/>
  <c r="N1727" i="6" s="1"/>
  <c r="R1727" i="6" s="1"/>
  <c r="M1791" i="6"/>
  <c r="N1791" i="6" s="1"/>
  <c r="R1791" i="6" s="1"/>
  <c r="M1855" i="6"/>
  <c r="N1855" i="6" s="1"/>
  <c r="R1855" i="6" s="1"/>
  <c r="M1919" i="6"/>
  <c r="N1919" i="6" s="1"/>
  <c r="R1919" i="6" s="1"/>
  <c r="M1983" i="6"/>
  <c r="N1983" i="6" s="1"/>
  <c r="R1983" i="6" s="1"/>
  <c r="M2047" i="6"/>
  <c r="N2047" i="6" s="1"/>
  <c r="R2047" i="6" s="1"/>
  <c r="M2111" i="6"/>
  <c r="N2111" i="6" s="1"/>
  <c r="M2175" i="6"/>
  <c r="N2175" i="6" s="1"/>
  <c r="M2239" i="6"/>
  <c r="N2239" i="6" s="1"/>
  <c r="R2239" i="6" s="1"/>
  <c r="M2303" i="6"/>
  <c r="N2303" i="6" s="1"/>
  <c r="R2303" i="6" s="1"/>
  <c r="M2367" i="6"/>
  <c r="N2367" i="6" s="1"/>
  <c r="R2367" i="6" s="1"/>
  <c r="M2431" i="6"/>
  <c r="N2431" i="6" s="1"/>
  <c r="R2431" i="6" s="1"/>
  <c r="M2495" i="6"/>
  <c r="N2495" i="6" s="1"/>
  <c r="R2495" i="6" s="1"/>
  <c r="M2559" i="6"/>
  <c r="N2559" i="6" s="1"/>
  <c r="R2559" i="6" s="1"/>
  <c r="M2623" i="6"/>
  <c r="N2623" i="6" s="1"/>
  <c r="M2687" i="6"/>
  <c r="N2687" i="6" s="1"/>
  <c r="M2751" i="6"/>
  <c r="N2751" i="6" s="1"/>
  <c r="R2751" i="6" s="1"/>
  <c r="M2815" i="6"/>
  <c r="N2815" i="6" s="1"/>
  <c r="R2815" i="6" s="1"/>
  <c r="M2879" i="6"/>
  <c r="N2879" i="6" s="1"/>
  <c r="R2879" i="6" s="1"/>
  <c r="M2943" i="6"/>
  <c r="N2943" i="6" s="1"/>
  <c r="R2943" i="6" s="1"/>
  <c r="M3007" i="6"/>
  <c r="N3007" i="6" s="1"/>
  <c r="R3007" i="6" s="1"/>
  <c r="M3071" i="6"/>
  <c r="N3071" i="6" s="1"/>
  <c r="R3071" i="6" s="1"/>
  <c r="M3135" i="6"/>
  <c r="N3135" i="6" s="1"/>
  <c r="M3391" i="6"/>
  <c r="N3391" i="6" s="1"/>
  <c r="M3455" i="6"/>
  <c r="N3455" i="6" s="1"/>
  <c r="R3455" i="6" s="1"/>
  <c r="M3519" i="6"/>
  <c r="N3519" i="6" s="1"/>
  <c r="R3519" i="6" s="1"/>
  <c r="M3711" i="6"/>
  <c r="N3711" i="6" s="1"/>
  <c r="R3711" i="6" s="1"/>
  <c r="M3775" i="6"/>
  <c r="N3775" i="6" s="1"/>
  <c r="R3775" i="6" s="1"/>
  <c r="M3839" i="6"/>
  <c r="N3839" i="6" s="1"/>
  <c r="R3839" i="6" s="1"/>
  <c r="M3903" i="6"/>
  <c r="N3903" i="6" s="1"/>
  <c r="R3903" i="6" s="1"/>
  <c r="M3967" i="6"/>
  <c r="N3967" i="6" s="1"/>
  <c r="M4095" i="6"/>
  <c r="N4095" i="6" s="1"/>
  <c r="M4159" i="6"/>
  <c r="N4159" i="6" s="1"/>
  <c r="R4159" i="6" s="1"/>
  <c r="M4223" i="6"/>
  <c r="N4223" i="6" s="1"/>
  <c r="R4223" i="6" s="1"/>
  <c r="M4287" i="6"/>
  <c r="N4287" i="6" s="1"/>
  <c r="R4287" i="6" s="1"/>
  <c r="M4351" i="6"/>
  <c r="N4351" i="6" s="1"/>
  <c r="R4351" i="6" s="1"/>
  <c r="M4415" i="6"/>
  <c r="N4415" i="6" s="1"/>
  <c r="R4415" i="6" s="1"/>
  <c r="M4479" i="6"/>
  <c r="N4479" i="6" s="1"/>
  <c r="R4479" i="6" s="1"/>
  <c r="M4543" i="6"/>
  <c r="N4543" i="6" s="1"/>
  <c r="M4607" i="6"/>
  <c r="N4607" i="6" s="1"/>
  <c r="M4671" i="6"/>
  <c r="N4671" i="6" s="1"/>
  <c r="M4735" i="6"/>
  <c r="N4735" i="6" s="1"/>
  <c r="R4735" i="6" s="1"/>
  <c r="M4799" i="6"/>
  <c r="N4799" i="6" s="1"/>
  <c r="R4799" i="6" s="1"/>
  <c r="M4863" i="6"/>
  <c r="N4863" i="6" s="1"/>
  <c r="R4863" i="6" s="1"/>
  <c r="M4927" i="6"/>
  <c r="N4927" i="6" s="1"/>
  <c r="R4927" i="6" s="1"/>
  <c r="M4991" i="6"/>
  <c r="N4991" i="6" s="1"/>
  <c r="R4991" i="6" s="1"/>
  <c r="M4540" i="6"/>
  <c r="N4540" i="6" s="1"/>
  <c r="M4604" i="6"/>
  <c r="N4604" i="6" s="1"/>
  <c r="M4668" i="6"/>
  <c r="N4668" i="6" s="1"/>
  <c r="R4668" i="6" s="1"/>
  <c r="M4732" i="6"/>
  <c r="N4732" i="6" s="1"/>
  <c r="R4732" i="6" s="1"/>
  <c r="M4796" i="6"/>
  <c r="N4796" i="6" s="1"/>
  <c r="R4796" i="6" s="1"/>
  <c r="M4860" i="6"/>
  <c r="N4860" i="6" s="1"/>
  <c r="R4860" i="6" s="1"/>
  <c r="M4924" i="6"/>
  <c r="N4924" i="6" s="1"/>
  <c r="R4924" i="6" s="1"/>
  <c r="M4988" i="6"/>
  <c r="N4988" i="6" s="1"/>
  <c r="R4988" i="6" s="1"/>
  <c r="M63" i="6"/>
  <c r="N63" i="6" s="1"/>
  <c r="M127" i="6"/>
  <c r="N127" i="6" s="1"/>
  <c r="M191" i="6"/>
  <c r="N191" i="6" s="1"/>
  <c r="R191" i="6" s="1"/>
  <c r="M255" i="6"/>
  <c r="N255" i="6" s="1"/>
  <c r="R255" i="6" s="1"/>
  <c r="M24" i="6"/>
  <c r="N24" i="6" s="1"/>
  <c r="R24" i="6" s="1"/>
  <c r="M88" i="6"/>
  <c r="N88" i="6" s="1"/>
  <c r="R88" i="6" s="1"/>
  <c r="M152" i="6"/>
  <c r="N152" i="6" s="1"/>
  <c r="R152" i="6" s="1"/>
  <c r="M280" i="6"/>
  <c r="N280" i="6" s="1"/>
  <c r="R280" i="6" s="1"/>
  <c r="M41" i="6"/>
  <c r="N41" i="6" s="1"/>
  <c r="M105" i="6"/>
  <c r="N105" i="6" s="1"/>
  <c r="M169" i="6"/>
  <c r="N169" i="6" s="1"/>
  <c r="R169" i="6" s="1"/>
  <c r="M233" i="6"/>
  <c r="N233" i="6" s="1"/>
  <c r="R233" i="6" s="1"/>
  <c r="M297" i="6"/>
  <c r="N297" i="6" s="1"/>
  <c r="R297" i="6" s="1"/>
  <c r="M50" i="6"/>
  <c r="N50" i="6" s="1"/>
  <c r="R50" i="6" s="1"/>
  <c r="M114" i="6"/>
  <c r="N114" i="6" s="1"/>
  <c r="R114" i="6" s="1"/>
  <c r="M178" i="6"/>
  <c r="N178" i="6" s="1"/>
  <c r="R178" i="6" s="1"/>
  <c r="M242" i="6"/>
  <c r="N242" i="6" s="1"/>
  <c r="M306" i="6"/>
  <c r="N306" i="6" s="1"/>
  <c r="M43" i="6"/>
  <c r="N43" i="6" s="1"/>
  <c r="R43" i="6" s="1"/>
  <c r="M107" i="6"/>
  <c r="N107" i="6" s="1"/>
  <c r="M171" i="6"/>
  <c r="N171" i="6" s="1"/>
  <c r="M235" i="6"/>
  <c r="N235" i="6" s="1"/>
  <c r="R235" i="6" s="1"/>
  <c r="M5" i="6"/>
  <c r="N5" i="6" s="1"/>
  <c r="R5" i="6" s="1"/>
  <c r="M69" i="6"/>
  <c r="N69" i="6" s="1"/>
  <c r="R69" i="6" s="1"/>
  <c r="M133" i="6"/>
  <c r="N133" i="6" s="1"/>
  <c r="M261" i="6"/>
  <c r="N261" i="6" s="1"/>
  <c r="M325" i="6"/>
  <c r="N325" i="6" s="1"/>
  <c r="R325" i="6" s="1"/>
  <c r="M62" i="6"/>
  <c r="N62" i="6" s="1"/>
  <c r="R62" i="6" s="1"/>
  <c r="M134" i="6"/>
  <c r="N134" i="6" s="1"/>
  <c r="R134" i="6" s="1"/>
  <c r="M198" i="6"/>
  <c r="N198" i="6" s="1"/>
  <c r="R198" i="6" s="1"/>
  <c r="M270" i="6"/>
  <c r="N270" i="6" s="1"/>
  <c r="R270" i="6" s="1"/>
  <c r="M312" i="6"/>
  <c r="N312" i="6" s="1"/>
  <c r="R312" i="6" s="1"/>
  <c r="M376" i="6"/>
  <c r="N376" i="6" s="1"/>
  <c r="M440" i="6"/>
  <c r="N440" i="6" s="1"/>
  <c r="M504" i="6"/>
  <c r="N504" i="6" s="1"/>
  <c r="R504" i="6" s="1"/>
  <c r="M568" i="6"/>
  <c r="N568" i="6" s="1"/>
  <c r="R568" i="6" s="1"/>
  <c r="M632" i="6"/>
  <c r="N632" i="6" s="1"/>
  <c r="R632" i="6" s="1"/>
  <c r="M696" i="6"/>
  <c r="N696" i="6" s="1"/>
  <c r="R696" i="6" s="1"/>
  <c r="M760" i="6"/>
  <c r="N760" i="6" s="1"/>
  <c r="R760" i="6" s="1"/>
  <c r="M824" i="6"/>
  <c r="N824" i="6" s="1"/>
  <c r="R824" i="6" s="1"/>
  <c r="M888" i="6"/>
  <c r="N888" i="6" s="1"/>
  <c r="M952" i="6"/>
  <c r="N952" i="6" s="1"/>
  <c r="M1016" i="6"/>
  <c r="N1016" i="6" s="1"/>
  <c r="R1016" i="6" s="1"/>
  <c r="M1080" i="6"/>
  <c r="N1080" i="6" s="1"/>
  <c r="R1080" i="6" s="1"/>
  <c r="M1144" i="6"/>
  <c r="N1144" i="6" s="1"/>
  <c r="R1144" i="6" s="1"/>
  <c r="M1208" i="6"/>
  <c r="N1208" i="6" s="1"/>
  <c r="R1208" i="6" s="1"/>
  <c r="M1272" i="6"/>
  <c r="N1272" i="6" s="1"/>
  <c r="R1272" i="6" s="1"/>
  <c r="M1336" i="6"/>
  <c r="N1336" i="6" s="1"/>
  <c r="R1336" i="6" s="1"/>
  <c r="M1400" i="6"/>
  <c r="N1400" i="6" s="1"/>
  <c r="M1464" i="6"/>
  <c r="N1464" i="6" s="1"/>
  <c r="M1528" i="6"/>
  <c r="N1528" i="6" s="1"/>
  <c r="R1528" i="6" s="1"/>
  <c r="M1592" i="6"/>
  <c r="N1592" i="6" s="1"/>
  <c r="R1592" i="6" s="1"/>
  <c r="M1656" i="6"/>
  <c r="N1656" i="6" s="1"/>
  <c r="R1656" i="6" s="1"/>
  <c r="M1720" i="6"/>
  <c r="N1720" i="6" s="1"/>
  <c r="R1720" i="6" s="1"/>
  <c r="M1784" i="6"/>
  <c r="N1784" i="6" s="1"/>
  <c r="R1784" i="6" s="1"/>
  <c r="M1848" i="6"/>
  <c r="N1848" i="6" s="1"/>
  <c r="R1848" i="6" s="1"/>
  <c r="M1912" i="6"/>
  <c r="N1912" i="6" s="1"/>
  <c r="M1976" i="6"/>
  <c r="N1976" i="6" s="1"/>
  <c r="M2040" i="6"/>
  <c r="N2040" i="6" s="1"/>
  <c r="R2040" i="6" s="1"/>
  <c r="M2168" i="6"/>
  <c r="N2168" i="6" s="1"/>
  <c r="R2168" i="6" s="1"/>
  <c r="M2232" i="6"/>
  <c r="N2232" i="6" s="1"/>
  <c r="R2232" i="6" s="1"/>
  <c r="M2296" i="6"/>
  <c r="N2296" i="6" s="1"/>
  <c r="R2296" i="6" s="1"/>
  <c r="M2360" i="6"/>
  <c r="N2360" i="6" s="1"/>
  <c r="R2360" i="6" s="1"/>
  <c r="M2424" i="6"/>
  <c r="N2424" i="6" s="1"/>
  <c r="R2424" i="6" s="1"/>
  <c r="M2488" i="6"/>
  <c r="N2488" i="6" s="1"/>
  <c r="M2552" i="6"/>
  <c r="N2552" i="6" s="1"/>
  <c r="M2616" i="6"/>
  <c r="N2616" i="6" s="1"/>
  <c r="R2616" i="6" s="1"/>
  <c r="M2680" i="6"/>
  <c r="N2680" i="6" s="1"/>
  <c r="R2680" i="6" s="1"/>
  <c r="M2744" i="6"/>
  <c r="N2744" i="6" s="1"/>
  <c r="R2744" i="6" s="1"/>
  <c r="M2808" i="6"/>
  <c r="N2808" i="6" s="1"/>
  <c r="R2808" i="6" s="1"/>
  <c r="M2872" i="6"/>
  <c r="N2872" i="6" s="1"/>
  <c r="R2872" i="6" s="1"/>
  <c r="M2936" i="6"/>
  <c r="N2936" i="6" s="1"/>
  <c r="R2936" i="6" s="1"/>
  <c r="M3000" i="6"/>
  <c r="N3000" i="6" s="1"/>
  <c r="M3064" i="6"/>
  <c r="N3064" i="6" s="1"/>
  <c r="M3128" i="6"/>
  <c r="N3128" i="6" s="1"/>
  <c r="R3128" i="6" s="1"/>
  <c r="M3192" i="6"/>
  <c r="N3192" i="6" s="1"/>
  <c r="R3192" i="6" s="1"/>
  <c r="M3256" i="6"/>
  <c r="N3256" i="6" s="1"/>
  <c r="R3256" i="6" s="1"/>
  <c r="M3320" i="6"/>
  <c r="N3320" i="6" s="1"/>
  <c r="R3320" i="6" s="1"/>
  <c r="M3384" i="6"/>
  <c r="N3384" i="6" s="1"/>
  <c r="R3384" i="6" s="1"/>
  <c r="M3448" i="6"/>
  <c r="N3448" i="6" s="1"/>
  <c r="R3448" i="6" s="1"/>
  <c r="M3512" i="6"/>
  <c r="N3512" i="6" s="1"/>
  <c r="M3576" i="6"/>
  <c r="N3576" i="6" s="1"/>
  <c r="M3640" i="6"/>
  <c r="N3640" i="6" s="1"/>
  <c r="R3640" i="6" s="1"/>
  <c r="M3704" i="6"/>
  <c r="N3704" i="6" s="1"/>
  <c r="M3768" i="6"/>
  <c r="N3768" i="6" s="1"/>
  <c r="R3768" i="6" s="1"/>
  <c r="M3832" i="6"/>
  <c r="N3832" i="6" s="1"/>
  <c r="R3832" i="6" s="1"/>
  <c r="M3896" i="6"/>
  <c r="N3896" i="6" s="1"/>
  <c r="R3896" i="6" s="1"/>
  <c r="M3960" i="6"/>
  <c r="N3960" i="6" s="1"/>
  <c r="R3960" i="6" s="1"/>
  <c r="M4024" i="6"/>
  <c r="N4024" i="6" s="1"/>
  <c r="M4088" i="6"/>
  <c r="N4088" i="6" s="1"/>
  <c r="M4152" i="6"/>
  <c r="N4152" i="6" s="1"/>
  <c r="R4152" i="6" s="1"/>
  <c r="M4216" i="6"/>
  <c r="N4216" i="6" s="1"/>
  <c r="R4216" i="6" s="1"/>
  <c r="M4280" i="6"/>
  <c r="N4280" i="6" s="1"/>
  <c r="R4280" i="6" s="1"/>
  <c r="M4344" i="6"/>
  <c r="N4344" i="6" s="1"/>
  <c r="R4344" i="6" s="1"/>
  <c r="M4408" i="6"/>
  <c r="N4408" i="6" s="1"/>
  <c r="R4408" i="6" s="1"/>
  <c r="M4472" i="6"/>
  <c r="N4472" i="6" s="1"/>
  <c r="R4472" i="6" s="1"/>
  <c r="M4536" i="6"/>
  <c r="N4536" i="6" s="1"/>
  <c r="R4536" i="6" s="1"/>
  <c r="M4600" i="6"/>
  <c r="N4600" i="6" s="1"/>
  <c r="M4664" i="6"/>
  <c r="N4664" i="6" s="1"/>
  <c r="R4664" i="6" s="1"/>
  <c r="M4728" i="6"/>
  <c r="N4728" i="6" s="1"/>
  <c r="R4728" i="6" s="1"/>
  <c r="M4792" i="6"/>
  <c r="N4792" i="6" s="1"/>
  <c r="R4792" i="6" s="1"/>
  <c r="M4856" i="6"/>
  <c r="N4856" i="6" s="1"/>
  <c r="R4856" i="6" s="1"/>
  <c r="M4920" i="6"/>
  <c r="N4920" i="6" s="1"/>
  <c r="R4920" i="6" s="1"/>
  <c r="M4984" i="6"/>
  <c r="N4984" i="6" s="1"/>
  <c r="M361" i="6"/>
  <c r="N361" i="6" s="1"/>
  <c r="M425" i="6"/>
  <c r="N425" i="6" s="1"/>
  <c r="M489" i="6"/>
  <c r="N489" i="6" s="1"/>
  <c r="R489" i="6" s="1"/>
  <c r="M553" i="6"/>
  <c r="N553" i="6" s="1"/>
  <c r="M617" i="6"/>
  <c r="N617" i="6" s="1"/>
  <c r="R617" i="6" s="1"/>
  <c r="M681" i="6"/>
  <c r="N681" i="6" s="1"/>
  <c r="R681" i="6" s="1"/>
  <c r="M745" i="6"/>
  <c r="N745" i="6" s="1"/>
  <c r="R745" i="6" s="1"/>
  <c r="M809" i="6"/>
  <c r="N809" i="6" s="1"/>
  <c r="R809" i="6" s="1"/>
  <c r="M873" i="6"/>
  <c r="N873" i="6" s="1"/>
  <c r="M937" i="6"/>
  <c r="N937" i="6" s="1"/>
  <c r="M1001" i="6"/>
  <c r="N1001" i="6" s="1"/>
  <c r="R1001" i="6" s="1"/>
  <c r="M1065" i="6"/>
  <c r="N1065" i="6" s="1"/>
  <c r="R1065" i="6" s="1"/>
  <c r="M1129" i="6"/>
  <c r="N1129" i="6" s="1"/>
  <c r="R1129" i="6" s="1"/>
  <c r="M1193" i="6"/>
  <c r="N1193" i="6" s="1"/>
  <c r="R1193" i="6" s="1"/>
  <c r="M1257" i="6"/>
  <c r="N1257" i="6" s="1"/>
  <c r="R1257" i="6" s="1"/>
  <c r="M1321" i="6"/>
  <c r="N1321" i="6" s="1"/>
  <c r="R1321" i="6" s="1"/>
  <c r="M1385" i="6"/>
  <c r="N1385" i="6" s="1"/>
  <c r="M1449" i="6"/>
  <c r="N1449" i="6" s="1"/>
  <c r="M1513" i="6"/>
  <c r="N1513" i="6" s="1"/>
  <c r="R1513" i="6" s="1"/>
  <c r="M1577" i="6"/>
  <c r="N1577" i="6" s="1"/>
  <c r="R1577" i="6" s="1"/>
  <c r="M1641" i="6"/>
  <c r="N1641" i="6" s="1"/>
  <c r="R1641" i="6" s="1"/>
  <c r="M1705" i="6"/>
  <c r="N1705" i="6" s="1"/>
  <c r="R1705" i="6" s="1"/>
  <c r="M1769" i="6"/>
  <c r="N1769" i="6" s="1"/>
  <c r="R1769" i="6" s="1"/>
  <c r="M1833" i="6"/>
  <c r="N1833" i="6" s="1"/>
  <c r="R1833" i="6" s="1"/>
  <c r="M1897" i="6"/>
  <c r="N1897" i="6" s="1"/>
  <c r="M1961" i="6"/>
  <c r="N1961" i="6" s="1"/>
  <c r="M2025" i="6"/>
  <c r="N2025" i="6" s="1"/>
  <c r="R2025" i="6" s="1"/>
  <c r="M2089" i="6"/>
  <c r="N2089" i="6" s="1"/>
  <c r="M2153" i="6"/>
  <c r="N2153" i="6" s="1"/>
  <c r="R2153" i="6" s="1"/>
  <c r="M2217" i="6"/>
  <c r="N2217" i="6" s="1"/>
  <c r="R2217" i="6" s="1"/>
  <c r="M2281" i="6"/>
  <c r="N2281" i="6" s="1"/>
  <c r="R2281" i="6" s="1"/>
  <c r="M2345" i="6"/>
  <c r="N2345" i="6" s="1"/>
  <c r="R2345" i="6" s="1"/>
  <c r="M2409" i="6"/>
  <c r="N2409" i="6" s="1"/>
  <c r="M2473" i="6"/>
  <c r="N2473" i="6" s="1"/>
  <c r="M2537" i="6"/>
  <c r="N2537" i="6" s="1"/>
  <c r="R2537" i="6" s="1"/>
  <c r="M2601" i="6"/>
  <c r="N2601" i="6" s="1"/>
  <c r="R2601" i="6" s="1"/>
  <c r="M2665" i="6"/>
  <c r="N2665" i="6" s="1"/>
  <c r="R2665" i="6" s="1"/>
  <c r="M2729" i="6"/>
  <c r="N2729" i="6" s="1"/>
  <c r="R2729" i="6" s="1"/>
  <c r="M2793" i="6"/>
  <c r="N2793" i="6" s="1"/>
  <c r="R2793" i="6" s="1"/>
  <c r="M2857" i="6"/>
  <c r="N2857" i="6" s="1"/>
  <c r="R2857" i="6" s="1"/>
  <c r="M2921" i="6"/>
  <c r="N2921" i="6" s="1"/>
  <c r="M2985" i="6"/>
  <c r="N2985" i="6" s="1"/>
  <c r="M3049" i="6"/>
  <c r="N3049" i="6" s="1"/>
  <c r="R3049" i="6" s="1"/>
  <c r="M3113" i="6"/>
  <c r="N3113" i="6" s="1"/>
  <c r="R3113" i="6" s="1"/>
  <c r="M3177" i="6"/>
  <c r="N3177" i="6" s="1"/>
  <c r="R3177" i="6" s="1"/>
  <c r="M3241" i="6"/>
  <c r="N3241" i="6" s="1"/>
  <c r="R3241" i="6" s="1"/>
  <c r="M3305" i="6"/>
  <c r="N3305" i="6" s="1"/>
  <c r="R3305" i="6" s="1"/>
  <c r="M3369" i="6"/>
  <c r="N3369" i="6" s="1"/>
  <c r="R3369" i="6" s="1"/>
  <c r="M3433" i="6"/>
  <c r="N3433" i="6" s="1"/>
  <c r="M3497" i="6"/>
  <c r="N3497" i="6" s="1"/>
  <c r="M3561" i="6"/>
  <c r="N3561" i="6" s="1"/>
  <c r="R3561" i="6" s="1"/>
  <c r="M3625" i="6"/>
  <c r="N3625" i="6" s="1"/>
  <c r="R3625" i="6" s="1"/>
  <c r="M3689" i="6"/>
  <c r="N3689" i="6" s="1"/>
  <c r="R3689" i="6" s="1"/>
  <c r="M3753" i="6"/>
  <c r="N3753" i="6" s="1"/>
  <c r="R3753" i="6" s="1"/>
  <c r="M3817" i="6"/>
  <c r="N3817" i="6" s="1"/>
  <c r="R3817" i="6" s="1"/>
  <c r="M3945" i="6"/>
  <c r="N3945" i="6" s="1"/>
  <c r="R3945" i="6" s="1"/>
  <c r="M4009" i="6"/>
  <c r="N4009" i="6" s="1"/>
  <c r="M4073" i="6"/>
  <c r="N4073" i="6" s="1"/>
  <c r="R4073" i="6" s="1"/>
  <c r="M4137" i="6"/>
  <c r="N4137" i="6" s="1"/>
  <c r="R4137" i="6" s="1"/>
  <c r="M4201" i="6"/>
  <c r="N4201" i="6" s="1"/>
  <c r="R4201" i="6" s="1"/>
  <c r="M4265" i="6"/>
  <c r="N4265" i="6" s="1"/>
  <c r="R4265" i="6" s="1"/>
  <c r="M4329" i="6"/>
  <c r="N4329" i="6" s="1"/>
  <c r="R4329" i="6" s="1"/>
  <c r="M4393" i="6"/>
  <c r="N4393" i="6" s="1"/>
  <c r="R4393" i="6" s="1"/>
  <c r="M4457" i="6"/>
  <c r="N4457" i="6" s="1"/>
  <c r="R4457" i="6" s="1"/>
  <c r="M4521" i="6"/>
  <c r="N4521" i="6" s="1"/>
  <c r="M4585" i="6"/>
  <c r="N4585" i="6" s="1"/>
  <c r="M4649" i="6"/>
  <c r="N4649" i="6" s="1"/>
  <c r="R4649" i="6" s="1"/>
  <c r="M4713" i="6"/>
  <c r="N4713" i="6" s="1"/>
  <c r="R4713" i="6" s="1"/>
  <c r="M4777" i="6"/>
  <c r="N4777" i="6" s="1"/>
  <c r="R4777" i="6" s="1"/>
  <c r="M4841" i="6"/>
  <c r="N4841" i="6" s="1"/>
  <c r="R4841" i="6" s="1"/>
  <c r="M4905" i="6"/>
  <c r="N4905" i="6" s="1"/>
  <c r="R4905" i="6" s="1"/>
  <c r="M4969" i="6"/>
  <c r="N4969" i="6" s="1"/>
  <c r="R4969" i="6" s="1"/>
  <c r="M354" i="6"/>
  <c r="N354" i="6" s="1"/>
  <c r="M418" i="6"/>
  <c r="N418" i="6" s="1"/>
  <c r="R418" i="6" s="1"/>
  <c r="M482" i="6"/>
  <c r="N482" i="6" s="1"/>
  <c r="R482" i="6" s="1"/>
  <c r="M546" i="6"/>
  <c r="N546" i="6" s="1"/>
  <c r="R546" i="6" s="1"/>
  <c r="M610" i="6"/>
  <c r="N610" i="6" s="1"/>
  <c r="R610" i="6" s="1"/>
  <c r="M674" i="6"/>
  <c r="N674" i="6" s="1"/>
  <c r="R674" i="6" s="1"/>
  <c r="M802" i="6"/>
  <c r="N802" i="6" s="1"/>
  <c r="R802" i="6" s="1"/>
  <c r="M866" i="6"/>
  <c r="N866" i="6" s="1"/>
  <c r="R866" i="6" s="1"/>
  <c r="M930" i="6"/>
  <c r="N930" i="6" s="1"/>
  <c r="M994" i="6"/>
  <c r="N994" i="6" s="1"/>
  <c r="M1122" i="6"/>
  <c r="N1122" i="6" s="1"/>
  <c r="R1122" i="6" s="1"/>
  <c r="M1186" i="6"/>
  <c r="N1186" i="6" s="1"/>
  <c r="R1186" i="6" s="1"/>
  <c r="M1250" i="6"/>
  <c r="N1250" i="6" s="1"/>
  <c r="R1250" i="6" s="1"/>
  <c r="M1314" i="6"/>
  <c r="N1314" i="6" s="1"/>
  <c r="R1314" i="6" s="1"/>
  <c r="M1378" i="6"/>
  <c r="N1378" i="6" s="1"/>
  <c r="R1378" i="6" s="1"/>
  <c r="M1442" i="6"/>
  <c r="N1442" i="6" s="1"/>
  <c r="M1506" i="6"/>
  <c r="N1506" i="6" s="1"/>
  <c r="R1506" i="6" s="1"/>
  <c r="M1570" i="6"/>
  <c r="N1570" i="6" s="1"/>
  <c r="R1570" i="6" s="1"/>
  <c r="M1634" i="6"/>
  <c r="N1634" i="6" s="1"/>
  <c r="R1634" i="6" s="1"/>
  <c r="M1698" i="6"/>
  <c r="N1698" i="6" s="1"/>
  <c r="R1698" i="6" s="1"/>
  <c r="M1762" i="6"/>
  <c r="N1762" i="6" s="1"/>
  <c r="R1762" i="6" s="1"/>
  <c r="M1826" i="6"/>
  <c r="N1826" i="6" s="1"/>
  <c r="M1890" i="6"/>
  <c r="N1890" i="6" s="1"/>
  <c r="R1890" i="6" s="1"/>
  <c r="M1954" i="6"/>
  <c r="N1954" i="6" s="1"/>
  <c r="R1954" i="6" s="1"/>
  <c r="M2018" i="6"/>
  <c r="N2018" i="6" s="1"/>
  <c r="M2082" i="6"/>
  <c r="N2082" i="6" s="1"/>
  <c r="M2146" i="6"/>
  <c r="N2146" i="6" s="1"/>
  <c r="R2146" i="6" s="1"/>
  <c r="M2210" i="6"/>
  <c r="N2210" i="6" s="1"/>
  <c r="R2210" i="6" s="1"/>
  <c r="M2274" i="6"/>
  <c r="N2274" i="6" s="1"/>
  <c r="R2274" i="6" s="1"/>
  <c r="M2338" i="6"/>
  <c r="N2338" i="6" s="1"/>
  <c r="R2338" i="6" s="1"/>
  <c r="M2402" i="6"/>
  <c r="N2402" i="6" s="1"/>
  <c r="R2402" i="6" s="1"/>
  <c r="M2466" i="6"/>
  <c r="N2466" i="6" s="1"/>
  <c r="R2466" i="6" s="1"/>
  <c r="M2530" i="6"/>
  <c r="N2530" i="6" s="1"/>
  <c r="M2594" i="6"/>
  <c r="N2594" i="6" s="1"/>
  <c r="M2658" i="6"/>
  <c r="N2658" i="6" s="1"/>
  <c r="R2658" i="6" s="1"/>
  <c r="M2722" i="6"/>
  <c r="N2722" i="6" s="1"/>
  <c r="R2722" i="6" s="1"/>
  <c r="M2786" i="6"/>
  <c r="N2786" i="6" s="1"/>
  <c r="R2786" i="6" s="1"/>
  <c r="M2850" i="6"/>
  <c r="N2850" i="6" s="1"/>
  <c r="R2850" i="6" s="1"/>
  <c r="M2914" i="6"/>
  <c r="N2914" i="6" s="1"/>
  <c r="R2914" i="6" s="1"/>
  <c r="M2978" i="6"/>
  <c r="N2978" i="6" s="1"/>
  <c r="R2978" i="6" s="1"/>
  <c r="M3042" i="6"/>
  <c r="N3042" i="6" s="1"/>
  <c r="R3042" i="6" s="1"/>
  <c r="M3106" i="6"/>
  <c r="N3106" i="6" s="1"/>
  <c r="M3170" i="6"/>
  <c r="N3170" i="6" s="1"/>
  <c r="R3170" i="6" s="1"/>
  <c r="M3234" i="6"/>
  <c r="N3234" i="6" s="1"/>
  <c r="R3234" i="6" s="1"/>
  <c r="M3298" i="6"/>
  <c r="N3298" i="6" s="1"/>
  <c r="R3298" i="6" s="1"/>
  <c r="M3362" i="6"/>
  <c r="N3362" i="6" s="1"/>
  <c r="R3362" i="6" s="1"/>
  <c r="M3426" i="6"/>
  <c r="N3426" i="6" s="1"/>
  <c r="R3426" i="6" s="1"/>
  <c r="M3490" i="6"/>
  <c r="N3490" i="6" s="1"/>
  <c r="R3490" i="6" s="1"/>
  <c r="M3618" i="6"/>
  <c r="N3618" i="6" s="1"/>
  <c r="R3618" i="6" s="1"/>
  <c r="M3682" i="6"/>
  <c r="N3682" i="6" s="1"/>
  <c r="R3682" i="6" s="1"/>
  <c r="M3746" i="6"/>
  <c r="N3746" i="6" s="1"/>
  <c r="R3746" i="6" s="1"/>
  <c r="M3810" i="6"/>
  <c r="N3810" i="6" s="1"/>
  <c r="R3810" i="6" s="1"/>
  <c r="M3874" i="6"/>
  <c r="N3874" i="6" s="1"/>
  <c r="R3874" i="6" s="1"/>
  <c r="M3938" i="6"/>
  <c r="N3938" i="6" s="1"/>
  <c r="R3938" i="6" s="1"/>
  <c r="M4002" i="6"/>
  <c r="N4002" i="6" s="1"/>
  <c r="R4002" i="6" s="1"/>
  <c r="M4066" i="6"/>
  <c r="N4066" i="6" s="1"/>
  <c r="R4066" i="6" s="1"/>
  <c r="M4130" i="6"/>
  <c r="N4130" i="6" s="1"/>
  <c r="M4194" i="6"/>
  <c r="N4194" i="6" s="1"/>
  <c r="R4194" i="6" s="1"/>
  <c r="M4258" i="6"/>
  <c r="N4258" i="6" s="1"/>
  <c r="R4258" i="6" s="1"/>
  <c r="M4322" i="6"/>
  <c r="N4322" i="6" s="1"/>
  <c r="R4322" i="6" s="1"/>
  <c r="M4386" i="6"/>
  <c r="N4386" i="6" s="1"/>
  <c r="R4386" i="6" s="1"/>
  <c r="M4450" i="6"/>
  <c r="N4450" i="6" s="1"/>
  <c r="R4450" i="6" s="1"/>
  <c r="M4514" i="6"/>
  <c r="N4514" i="6" s="1"/>
  <c r="R4514" i="6" s="1"/>
  <c r="M4578" i="6"/>
  <c r="N4578" i="6" s="1"/>
  <c r="R4578" i="6" s="1"/>
  <c r="M4642" i="6"/>
  <c r="N4642" i="6" s="1"/>
  <c r="M4706" i="6"/>
  <c r="N4706" i="6" s="1"/>
  <c r="M4770" i="6"/>
  <c r="N4770" i="6" s="1"/>
  <c r="R4770" i="6" s="1"/>
  <c r="M4834" i="6"/>
  <c r="N4834" i="6" s="1"/>
  <c r="R4834" i="6" s="1"/>
  <c r="M4898" i="6"/>
  <c r="N4898" i="6" s="1"/>
  <c r="R4898" i="6" s="1"/>
  <c r="M4962" i="6"/>
  <c r="N4962" i="6" s="1"/>
  <c r="R4962" i="6" s="1"/>
  <c r="M315" i="6"/>
  <c r="N315" i="6" s="1"/>
  <c r="R315" i="6" s="1"/>
  <c r="M379" i="6"/>
  <c r="N379" i="6" s="1"/>
  <c r="R379" i="6" s="1"/>
  <c r="M443" i="6"/>
  <c r="N443" i="6" s="1"/>
  <c r="R443" i="6" s="1"/>
  <c r="M507" i="6"/>
  <c r="N507" i="6" s="1"/>
  <c r="M571" i="6"/>
  <c r="N571" i="6" s="1"/>
  <c r="R571" i="6" s="1"/>
  <c r="M635" i="6"/>
  <c r="N635" i="6" s="1"/>
  <c r="R635" i="6" s="1"/>
  <c r="M699" i="6"/>
  <c r="N699" i="6" s="1"/>
  <c r="R699" i="6" s="1"/>
  <c r="M763" i="6"/>
  <c r="N763" i="6" s="1"/>
  <c r="R763" i="6" s="1"/>
  <c r="M827" i="6"/>
  <c r="N827" i="6" s="1"/>
  <c r="R827" i="6" s="1"/>
  <c r="M891" i="6"/>
  <c r="N891" i="6" s="1"/>
  <c r="R891" i="6" s="1"/>
  <c r="M955" i="6"/>
  <c r="N955" i="6" s="1"/>
  <c r="R955" i="6" s="1"/>
  <c r="M1019" i="6"/>
  <c r="N1019" i="6" s="1"/>
  <c r="M1147" i="6"/>
  <c r="N1147" i="6" s="1"/>
  <c r="R1147" i="6" s="1"/>
  <c r="M1211" i="6"/>
  <c r="N1211" i="6" s="1"/>
  <c r="R1211" i="6" s="1"/>
  <c r="M1275" i="6"/>
  <c r="N1275" i="6" s="1"/>
  <c r="R1275" i="6" s="1"/>
  <c r="M1339" i="6"/>
  <c r="N1339" i="6" s="1"/>
  <c r="R1339" i="6" s="1"/>
  <c r="M1403" i="6"/>
  <c r="N1403" i="6" s="1"/>
  <c r="R1403" i="6" s="1"/>
  <c r="M1467" i="6"/>
  <c r="N1467" i="6" s="1"/>
  <c r="R1467" i="6" s="1"/>
  <c r="M1531" i="6"/>
  <c r="N1531" i="6" s="1"/>
  <c r="R1531" i="6" s="1"/>
  <c r="M1595" i="6"/>
  <c r="N1595" i="6" s="1"/>
  <c r="M1659" i="6"/>
  <c r="N1659" i="6" s="1"/>
  <c r="R1659" i="6" s="1"/>
  <c r="M1723" i="6"/>
  <c r="N1723" i="6" s="1"/>
  <c r="R1723" i="6" s="1"/>
  <c r="M1787" i="6"/>
  <c r="N1787" i="6" s="1"/>
  <c r="R1787" i="6" s="1"/>
  <c r="M1851" i="6"/>
  <c r="N1851" i="6" s="1"/>
  <c r="R1851" i="6" s="1"/>
  <c r="M1915" i="6"/>
  <c r="N1915" i="6" s="1"/>
  <c r="R1915" i="6" s="1"/>
  <c r="M1979" i="6"/>
  <c r="N1979" i="6" s="1"/>
  <c r="R1979" i="6" s="1"/>
  <c r="M2043" i="6"/>
  <c r="N2043" i="6" s="1"/>
  <c r="M2171" i="6"/>
  <c r="N2171" i="6" s="1"/>
  <c r="M2235" i="6"/>
  <c r="N2235" i="6" s="1"/>
  <c r="R2235" i="6" s="1"/>
  <c r="M2299" i="6"/>
  <c r="N2299" i="6" s="1"/>
  <c r="R2299" i="6" s="1"/>
  <c r="M2363" i="6"/>
  <c r="N2363" i="6" s="1"/>
  <c r="R2363" i="6" s="1"/>
  <c r="M2491" i="6"/>
  <c r="N2491" i="6" s="1"/>
  <c r="R2491" i="6" s="1"/>
  <c r="M2555" i="6"/>
  <c r="N2555" i="6" s="1"/>
  <c r="R2555" i="6" s="1"/>
  <c r="M2619" i="6"/>
  <c r="N2619" i="6" s="1"/>
  <c r="R2619" i="6" s="1"/>
  <c r="M2683" i="6"/>
  <c r="N2683" i="6" s="1"/>
  <c r="M2747" i="6"/>
  <c r="N2747" i="6" s="1"/>
  <c r="M2811" i="6"/>
  <c r="N2811" i="6" s="1"/>
  <c r="R2811" i="6" s="1"/>
  <c r="M2875" i="6"/>
  <c r="N2875" i="6" s="1"/>
  <c r="R2875" i="6" s="1"/>
  <c r="M2939" i="6"/>
  <c r="N2939" i="6" s="1"/>
  <c r="R2939" i="6" s="1"/>
  <c r="M3003" i="6"/>
  <c r="N3003" i="6" s="1"/>
  <c r="R3003" i="6" s="1"/>
  <c r="M3067" i="6"/>
  <c r="N3067" i="6" s="1"/>
  <c r="R3067" i="6" s="1"/>
  <c r="M3131" i="6"/>
  <c r="N3131" i="6" s="1"/>
  <c r="R3131" i="6" s="1"/>
  <c r="M3195" i="6"/>
  <c r="N3195" i="6" s="1"/>
  <c r="M3323" i="6"/>
  <c r="N3323" i="6" s="1"/>
  <c r="M3387" i="6"/>
  <c r="N3387" i="6" s="1"/>
  <c r="R3387" i="6" s="1"/>
  <c r="M3451" i="6"/>
  <c r="N3451" i="6" s="1"/>
  <c r="R3451" i="6" s="1"/>
  <c r="M3515" i="6"/>
  <c r="N3515" i="6" s="1"/>
  <c r="R3515" i="6" s="1"/>
  <c r="M3579" i="6"/>
  <c r="N3579" i="6" s="1"/>
  <c r="R3579" i="6" s="1"/>
  <c r="M3643" i="6"/>
  <c r="N3643" i="6" s="1"/>
  <c r="R3643" i="6" s="1"/>
  <c r="M3707" i="6"/>
  <c r="N3707" i="6" s="1"/>
  <c r="R3707" i="6" s="1"/>
  <c r="M3771" i="6"/>
  <c r="N3771" i="6" s="1"/>
  <c r="R3771" i="6" s="1"/>
  <c r="M3835" i="6"/>
  <c r="N3835" i="6" s="1"/>
  <c r="M3899" i="6"/>
  <c r="N3899" i="6" s="1"/>
  <c r="R3899" i="6" s="1"/>
  <c r="M3963" i="6"/>
  <c r="N3963" i="6" s="1"/>
  <c r="R3963" i="6" s="1"/>
  <c r="M4027" i="6"/>
  <c r="N4027" i="6" s="1"/>
  <c r="R4027" i="6" s="1"/>
  <c r="M4091" i="6"/>
  <c r="N4091" i="6" s="1"/>
  <c r="R4091" i="6" s="1"/>
  <c r="M4155" i="6"/>
  <c r="N4155" i="6" s="1"/>
  <c r="R4155" i="6" s="1"/>
  <c r="M4219" i="6"/>
  <c r="N4219" i="6" s="1"/>
  <c r="R4219" i="6" s="1"/>
  <c r="M4283" i="6"/>
  <c r="N4283" i="6" s="1"/>
  <c r="M4347" i="6"/>
  <c r="N4347" i="6" s="1"/>
  <c r="M4411" i="6"/>
  <c r="N4411" i="6" s="1"/>
  <c r="R4411" i="6" s="1"/>
  <c r="M4475" i="6"/>
  <c r="N4475" i="6" s="1"/>
  <c r="R4475" i="6" s="1"/>
  <c r="M4539" i="6"/>
  <c r="N4539" i="6" s="1"/>
  <c r="R4539" i="6" s="1"/>
  <c r="M4603" i="6"/>
  <c r="N4603" i="6" s="1"/>
  <c r="R4603" i="6" s="1"/>
  <c r="M4667" i="6"/>
  <c r="N4667" i="6" s="1"/>
  <c r="R4667" i="6" s="1"/>
  <c r="M4731" i="6"/>
  <c r="N4731" i="6" s="1"/>
  <c r="R4731" i="6" s="1"/>
  <c r="M4795" i="6"/>
  <c r="N4795" i="6" s="1"/>
  <c r="M4859" i="6"/>
  <c r="N4859" i="6" s="1"/>
  <c r="M4923" i="6"/>
  <c r="N4923" i="6" s="1"/>
  <c r="R4923" i="6" s="1"/>
  <c r="M4987" i="6"/>
  <c r="N4987" i="6" s="1"/>
  <c r="R4987" i="6" s="1"/>
  <c r="M116" i="6"/>
  <c r="N116" i="6" s="1"/>
  <c r="R116" i="6" s="1"/>
  <c r="M180" i="6"/>
  <c r="N180" i="6" s="1"/>
  <c r="R180" i="6" s="1"/>
  <c r="M244" i="6"/>
  <c r="N244" i="6" s="1"/>
  <c r="R244" i="6" s="1"/>
  <c r="M308" i="6"/>
  <c r="N308" i="6" s="1"/>
  <c r="R308" i="6" s="1"/>
  <c r="M372" i="6"/>
  <c r="N372" i="6" s="1"/>
  <c r="M436" i="6"/>
  <c r="N436" i="6" s="1"/>
  <c r="M500" i="6"/>
  <c r="N500" i="6" s="1"/>
  <c r="R500" i="6" s="1"/>
  <c r="M564" i="6"/>
  <c r="N564" i="6" s="1"/>
  <c r="R564" i="6" s="1"/>
  <c r="M628" i="6"/>
  <c r="N628" i="6" s="1"/>
  <c r="R628" i="6" s="1"/>
  <c r="M692" i="6"/>
  <c r="N692" i="6" s="1"/>
  <c r="R692" i="6" s="1"/>
  <c r="M756" i="6"/>
  <c r="N756" i="6" s="1"/>
  <c r="R756" i="6" s="1"/>
  <c r="M820" i="6"/>
  <c r="N820" i="6" s="1"/>
  <c r="R820" i="6" s="1"/>
  <c r="M884" i="6"/>
  <c r="N884" i="6" s="1"/>
  <c r="M948" i="6"/>
  <c r="N948" i="6" s="1"/>
  <c r="M1012" i="6"/>
  <c r="N1012" i="6" s="1"/>
  <c r="R1012" i="6" s="1"/>
  <c r="M1076" i="6"/>
  <c r="N1076" i="6" s="1"/>
  <c r="R1076" i="6" s="1"/>
  <c r="M1140" i="6"/>
  <c r="N1140" i="6" s="1"/>
  <c r="R1140" i="6" s="1"/>
  <c r="M1204" i="6"/>
  <c r="N1204" i="6" s="1"/>
  <c r="R1204" i="6" s="1"/>
  <c r="M1268" i="6"/>
  <c r="N1268" i="6" s="1"/>
  <c r="R1268" i="6" s="1"/>
  <c r="M1332" i="6"/>
  <c r="N1332" i="6" s="1"/>
  <c r="R1332" i="6" s="1"/>
  <c r="M1396" i="6"/>
  <c r="N1396" i="6" s="1"/>
  <c r="M1460" i="6"/>
  <c r="N1460" i="6" s="1"/>
  <c r="M1524" i="6"/>
  <c r="N1524" i="6" s="1"/>
  <c r="R1524" i="6" s="1"/>
  <c r="M1588" i="6"/>
  <c r="N1588" i="6" s="1"/>
  <c r="R1588" i="6" s="1"/>
  <c r="M1652" i="6"/>
  <c r="N1652" i="6" s="1"/>
  <c r="R1652" i="6" s="1"/>
  <c r="M1716" i="6"/>
  <c r="N1716" i="6" s="1"/>
  <c r="R1716" i="6" s="1"/>
  <c r="M1844" i="6"/>
  <c r="N1844" i="6" s="1"/>
  <c r="R1844" i="6" s="1"/>
  <c r="M1972" i="6"/>
  <c r="N1972" i="6" s="1"/>
  <c r="R1972" i="6" s="1"/>
  <c r="M2036" i="6"/>
  <c r="N2036" i="6" s="1"/>
  <c r="M2228" i="6"/>
  <c r="N2228" i="6" s="1"/>
  <c r="M2292" i="6"/>
  <c r="N2292" i="6" s="1"/>
  <c r="R2292" i="6" s="1"/>
  <c r="M2356" i="6"/>
  <c r="N2356" i="6" s="1"/>
  <c r="R2356" i="6" s="1"/>
  <c r="M2420" i="6"/>
  <c r="N2420" i="6" s="1"/>
  <c r="R2420" i="6" s="1"/>
  <c r="M2484" i="6"/>
  <c r="N2484" i="6" s="1"/>
  <c r="R2484" i="6" s="1"/>
  <c r="M2548" i="6"/>
  <c r="N2548" i="6" s="1"/>
  <c r="R2548" i="6" s="1"/>
  <c r="M2612" i="6"/>
  <c r="N2612" i="6" s="1"/>
  <c r="R2612" i="6" s="1"/>
  <c r="M2676" i="6"/>
  <c r="N2676" i="6" s="1"/>
  <c r="M2740" i="6"/>
  <c r="N2740" i="6" s="1"/>
  <c r="M2804" i="6"/>
  <c r="N2804" i="6" s="1"/>
  <c r="R2804" i="6" s="1"/>
  <c r="M2868" i="6"/>
  <c r="N2868" i="6" s="1"/>
  <c r="R2868" i="6" s="1"/>
  <c r="M2932" i="6"/>
  <c r="N2932" i="6" s="1"/>
  <c r="R2932" i="6" s="1"/>
  <c r="M2996" i="6"/>
  <c r="N2996" i="6" s="1"/>
  <c r="R2996" i="6" s="1"/>
  <c r="M3060" i="6"/>
  <c r="N3060" i="6" s="1"/>
  <c r="R3060" i="6" s="1"/>
  <c r="M3188" i="6"/>
  <c r="N3188" i="6" s="1"/>
  <c r="R3188" i="6" s="1"/>
  <c r="M3252" i="6"/>
  <c r="N3252" i="6" s="1"/>
  <c r="M3316" i="6"/>
  <c r="N3316" i="6" s="1"/>
  <c r="M3380" i="6"/>
  <c r="N3380" i="6" s="1"/>
  <c r="R3380" i="6" s="1"/>
  <c r="M3444" i="6"/>
  <c r="N3444" i="6" s="1"/>
  <c r="R3444" i="6" s="1"/>
  <c r="M3572" i="6"/>
  <c r="N3572" i="6" s="1"/>
  <c r="R3572" i="6" s="1"/>
  <c r="M3636" i="6"/>
  <c r="N3636" i="6" s="1"/>
  <c r="R3636" i="6" s="1"/>
  <c r="M3700" i="6"/>
  <c r="N3700" i="6" s="1"/>
  <c r="R3700" i="6" s="1"/>
  <c r="M3764" i="6"/>
  <c r="N3764" i="6" s="1"/>
  <c r="R3764" i="6" s="1"/>
  <c r="M3828" i="6"/>
  <c r="N3828" i="6" s="1"/>
  <c r="M3892" i="6"/>
  <c r="N3892" i="6" s="1"/>
  <c r="M4020" i="6"/>
  <c r="N4020" i="6" s="1"/>
  <c r="R4020" i="6" s="1"/>
  <c r="M4084" i="6"/>
  <c r="N4084" i="6" s="1"/>
  <c r="R4084" i="6" s="1"/>
  <c r="M4148" i="6"/>
  <c r="N4148" i="6" s="1"/>
  <c r="R4148" i="6" s="1"/>
  <c r="M4276" i="6"/>
  <c r="N4276" i="6" s="1"/>
  <c r="R4276" i="6" s="1"/>
  <c r="M4340" i="6"/>
  <c r="N4340" i="6" s="1"/>
  <c r="R4340" i="6" s="1"/>
  <c r="M4404" i="6"/>
  <c r="N4404" i="6" s="1"/>
  <c r="R4404" i="6" s="1"/>
  <c r="M373" i="6"/>
  <c r="N373" i="6" s="1"/>
  <c r="M437" i="6"/>
  <c r="N437" i="6" s="1"/>
  <c r="M501" i="6"/>
  <c r="N501" i="6" s="1"/>
  <c r="R501" i="6" s="1"/>
  <c r="M565" i="6"/>
  <c r="N565" i="6" s="1"/>
  <c r="M629" i="6"/>
  <c r="N629" i="6" s="1"/>
  <c r="R629" i="6" s="1"/>
  <c r="M693" i="6"/>
  <c r="N693" i="6" s="1"/>
  <c r="M757" i="6"/>
  <c r="N757" i="6" s="1"/>
  <c r="R757" i="6" s="1"/>
  <c r="M821" i="6"/>
  <c r="N821" i="6" s="1"/>
  <c r="R821" i="6" s="1"/>
  <c r="M885" i="6"/>
  <c r="N885" i="6" s="1"/>
  <c r="M949" i="6"/>
  <c r="N949" i="6" s="1"/>
  <c r="M1013" i="6"/>
  <c r="N1013" i="6" s="1"/>
  <c r="R1013" i="6" s="1"/>
  <c r="M1077" i="6"/>
  <c r="N1077" i="6" s="1"/>
  <c r="M1141" i="6"/>
  <c r="N1141" i="6" s="1"/>
  <c r="R1141" i="6" s="1"/>
  <c r="M1205" i="6"/>
  <c r="N1205" i="6" s="1"/>
  <c r="R1205" i="6" s="1"/>
  <c r="M1269" i="6"/>
  <c r="N1269" i="6" s="1"/>
  <c r="R1269" i="6" s="1"/>
  <c r="M1333" i="6"/>
  <c r="N1333" i="6" s="1"/>
  <c r="R1333" i="6" s="1"/>
  <c r="M1397" i="6"/>
  <c r="N1397" i="6" s="1"/>
  <c r="M1461" i="6"/>
  <c r="N1461" i="6" s="1"/>
  <c r="M1525" i="6"/>
  <c r="N1525" i="6" s="1"/>
  <c r="R1525" i="6" s="1"/>
  <c r="M1589" i="6"/>
  <c r="N1589" i="6" s="1"/>
  <c r="M1653" i="6"/>
  <c r="N1653" i="6" s="1"/>
  <c r="R1653" i="6" s="1"/>
  <c r="M1717" i="6"/>
  <c r="N1717" i="6" s="1"/>
  <c r="R1717" i="6" s="1"/>
  <c r="M1781" i="6"/>
  <c r="N1781" i="6" s="1"/>
  <c r="R1781" i="6" s="1"/>
  <c r="M1845" i="6"/>
  <c r="N1845" i="6" s="1"/>
  <c r="R1845" i="6" s="1"/>
  <c r="M1909" i="6"/>
  <c r="N1909" i="6" s="1"/>
  <c r="M1973" i="6"/>
  <c r="N1973" i="6" s="1"/>
  <c r="M2037" i="6"/>
  <c r="N2037" i="6" s="1"/>
  <c r="R2037" i="6" s="1"/>
  <c r="M2101" i="6"/>
  <c r="N2101" i="6" s="1"/>
  <c r="R2101" i="6" s="1"/>
  <c r="M2165" i="6"/>
  <c r="N2165" i="6" s="1"/>
  <c r="R2165" i="6" s="1"/>
  <c r="M2229" i="6"/>
  <c r="N2229" i="6" s="1"/>
  <c r="R2229" i="6" s="1"/>
  <c r="M2357" i="6"/>
  <c r="N2357" i="6" s="1"/>
  <c r="R2357" i="6" s="1"/>
  <c r="M2421" i="6"/>
  <c r="N2421" i="6" s="1"/>
  <c r="R2421" i="6" s="1"/>
  <c r="M2549" i="6"/>
  <c r="N2549" i="6" s="1"/>
  <c r="M2613" i="6"/>
  <c r="N2613" i="6" s="1"/>
  <c r="M2677" i="6"/>
  <c r="N2677" i="6" s="1"/>
  <c r="R2677" i="6" s="1"/>
  <c r="M2741" i="6"/>
  <c r="N2741" i="6" s="1"/>
  <c r="R2741" i="6" s="1"/>
  <c r="M2805" i="6"/>
  <c r="N2805" i="6" s="1"/>
  <c r="R2805" i="6" s="1"/>
  <c r="M2869" i="6"/>
  <c r="N2869" i="6" s="1"/>
  <c r="R2869" i="6" s="1"/>
  <c r="M2933" i="6"/>
  <c r="N2933" i="6" s="1"/>
  <c r="R2933" i="6" s="1"/>
  <c r="M2997" i="6"/>
  <c r="N2997" i="6" s="1"/>
  <c r="R2997" i="6" s="1"/>
  <c r="M3061" i="6"/>
  <c r="N3061" i="6" s="1"/>
  <c r="M3125" i="6"/>
  <c r="N3125" i="6" s="1"/>
  <c r="R3125" i="6" s="1"/>
  <c r="M3189" i="6"/>
  <c r="N3189" i="6" s="1"/>
  <c r="R3189" i="6" s="1"/>
  <c r="M3253" i="6"/>
  <c r="N3253" i="6" s="1"/>
  <c r="R3253" i="6" s="1"/>
  <c r="M3317" i="6"/>
  <c r="N3317" i="6" s="1"/>
  <c r="R3317" i="6" s="1"/>
  <c r="M3381" i="6"/>
  <c r="N3381" i="6" s="1"/>
  <c r="R3381" i="6" s="1"/>
  <c r="M3445" i="6"/>
  <c r="N3445" i="6" s="1"/>
  <c r="R3445" i="6" s="1"/>
  <c r="M3509" i="6"/>
  <c r="N3509" i="6" s="1"/>
  <c r="R3509" i="6" s="1"/>
  <c r="M3573" i="6"/>
  <c r="N3573" i="6" s="1"/>
  <c r="M3637" i="6"/>
  <c r="N3637" i="6" s="1"/>
  <c r="M3701" i="6"/>
  <c r="N3701" i="6" s="1"/>
  <c r="R3701" i="6" s="1"/>
  <c r="M3765" i="6"/>
  <c r="N3765" i="6" s="1"/>
  <c r="R3765" i="6" s="1"/>
  <c r="M3829" i="6"/>
  <c r="N3829" i="6" s="1"/>
  <c r="R3829" i="6" s="1"/>
  <c r="M3893" i="6"/>
  <c r="N3893" i="6" s="1"/>
  <c r="R3893" i="6" s="1"/>
  <c r="M3957" i="6"/>
  <c r="N3957" i="6" s="1"/>
  <c r="R3957" i="6" s="1"/>
  <c r="M4021" i="6"/>
  <c r="N4021" i="6" s="1"/>
  <c r="R4021" i="6" s="1"/>
  <c r="M4085" i="6"/>
  <c r="N4085" i="6" s="1"/>
  <c r="R4085" i="6" s="1"/>
  <c r="M4149" i="6"/>
  <c r="N4149" i="6" s="1"/>
  <c r="R4149" i="6" s="1"/>
  <c r="M4213" i="6"/>
  <c r="N4213" i="6" s="1"/>
  <c r="R4213" i="6" s="1"/>
  <c r="M4277" i="6"/>
  <c r="N4277" i="6" s="1"/>
  <c r="R4277" i="6" s="1"/>
  <c r="M4341" i="6"/>
  <c r="N4341" i="6" s="1"/>
  <c r="R4341" i="6" s="1"/>
  <c r="M4405" i="6"/>
  <c r="N4405" i="6" s="1"/>
  <c r="R4405" i="6" s="1"/>
  <c r="M4469" i="6"/>
  <c r="N4469" i="6" s="1"/>
  <c r="R4469" i="6" s="1"/>
  <c r="M4533" i="6"/>
  <c r="N4533" i="6" s="1"/>
  <c r="R4533" i="6" s="1"/>
  <c r="M4597" i="6"/>
  <c r="N4597" i="6" s="1"/>
  <c r="M4661" i="6"/>
  <c r="N4661" i="6" s="1"/>
  <c r="R4661" i="6" s="1"/>
  <c r="M4725" i="6"/>
  <c r="N4725" i="6" s="1"/>
  <c r="R4725" i="6" s="1"/>
  <c r="M4789" i="6"/>
  <c r="N4789" i="6" s="1"/>
  <c r="R4789" i="6" s="1"/>
  <c r="M4853" i="6"/>
  <c r="N4853" i="6" s="1"/>
  <c r="R4853" i="6" s="1"/>
  <c r="M4917" i="6"/>
  <c r="N4917" i="6" s="1"/>
  <c r="R4917" i="6" s="1"/>
  <c r="M4981" i="6"/>
  <c r="N4981" i="6" s="1"/>
  <c r="R4981" i="6" s="1"/>
  <c r="M358" i="6"/>
  <c r="N358" i="6" s="1"/>
  <c r="R358" i="6" s="1"/>
  <c r="M422" i="6"/>
  <c r="N422" i="6" s="1"/>
  <c r="M486" i="6"/>
  <c r="N486" i="6" s="1"/>
  <c r="M550" i="6"/>
  <c r="N550" i="6" s="1"/>
  <c r="R550" i="6" s="1"/>
  <c r="M614" i="6"/>
  <c r="N614" i="6" s="1"/>
  <c r="R614" i="6" s="1"/>
  <c r="M678" i="6"/>
  <c r="N678" i="6" s="1"/>
  <c r="R678" i="6" s="1"/>
  <c r="M742" i="6"/>
  <c r="N742" i="6" s="1"/>
  <c r="R742" i="6" s="1"/>
  <c r="M806" i="6"/>
  <c r="N806" i="6" s="1"/>
  <c r="R806" i="6" s="1"/>
  <c r="M870" i="6"/>
  <c r="N870" i="6" s="1"/>
  <c r="R870" i="6" s="1"/>
  <c r="M934" i="6"/>
  <c r="N934" i="6" s="1"/>
  <c r="M998" i="6"/>
  <c r="N998" i="6" s="1"/>
  <c r="R998" i="6" s="1"/>
  <c r="M1062" i="6"/>
  <c r="N1062" i="6" s="1"/>
  <c r="R1062" i="6" s="1"/>
  <c r="M1126" i="6"/>
  <c r="N1126" i="6" s="1"/>
  <c r="R1126" i="6" s="1"/>
  <c r="M1190" i="6"/>
  <c r="N1190" i="6" s="1"/>
  <c r="M1254" i="6"/>
  <c r="N1254" i="6" s="1"/>
  <c r="R1254" i="6" s="1"/>
  <c r="M1318" i="6"/>
  <c r="N1318" i="6" s="1"/>
  <c r="R1318" i="6" s="1"/>
  <c r="M1382" i="6"/>
  <c r="N1382" i="6" s="1"/>
  <c r="R1382" i="6" s="1"/>
  <c r="M1446" i="6"/>
  <c r="N1446" i="6" s="1"/>
  <c r="M1510" i="6"/>
  <c r="N1510" i="6" s="1"/>
  <c r="M1574" i="6"/>
  <c r="N1574" i="6" s="1"/>
  <c r="R1574" i="6" s="1"/>
  <c r="M1638" i="6"/>
  <c r="N1638" i="6" s="1"/>
  <c r="R1638" i="6" s="1"/>
  <c r="M1702" i="6"/>
  <c r="N1702" i="6" s="1"/>
  <c r="R1702" i="6" s="1"/>
  <c r="M1766" i="6"/>
  <c r="N1766" i="6" s="1"/>
  <c r="R1766" i="6" s="1"/>
  <c r="M1830" i="6"/>
  <c r="N1830" i="6" s="1"/>
  <c r="R1830" i="6" s="1"/>
  <c r="M1894" i="6"/>
  <c r="N1894" i="6" s="1"/>
  <c r="R1894" i="6" s="1"/>
  <c r="M1958" i="6"/>
  <c r="N1958" i="6" s="1"/>
  <c r="R1958" i="6" s="1"/>
  <c r="M2022" i="6"/>
  <c r="N2022" i="6" s="1"/>
  <c r="R2022" i="6" s="1"/>
  <c r="M2086" i="6"/>
  <c r="N2086" i="6" s="1"/>
  <c r="R2086" i="6" s="1"/>
  <c r="M2150" i="6"/>
  <c r="N2150" i="6" s="1"/>
  <c r="M2214" i="6"/>
  <c r="N2214" i="6" s="1"/>
  <c r="R2214" i="6" s="1"/>
  <c r="M2278" i="6"/>
  <c r="N2278" i="6" s="1"/>
  <c r="R2278" i="6" s="1"/>
  <c r="M2342" i="6"/>
  <c r="N2342" i="6" s="1"/>
  <c r="M2406" i="6"/>
  <c r="N2406" i="6" s="1"/>
  <c r="R2406" i="6" s="1"/>
  <c r="M2470" i="6"/>
  <c r="N2470" i="6" s="1"/>
  <c r="M2534" i="6"/>
  <c r="N2534" i="6" s="1"/>
  <c r="M2598" i="6"/>
  <c r="N2598" i="6" s="1"/>
  <c r="R2598" i="6" s="1"/>
  <c r="M2662" i="6"/>
  <c r="N2662" i="6" s="1"/>
  <c r="R2662" i="6" s="1"/>
  <c r="M2726" i="6"/>
  <c r="N2726" i="6" s="1"/>
  <c r="R2726" i="6" s="1"/>
  <c r="M2790" i="6"/>
  <c r="N2790" i="6" s="1"/>
  <c r="R2790" i="6" s="1"/>
  <c r="M2854" i="6"/>
  <c r="N2854" i="6" s="1"/>
  <c r="R2854" i="6" s="1"/>
  <c r="M2918" i="6"/>
  <c r="N2918" i="6" s="1"/>
  <c r="R2918" i="6" s="1"/>
  <c r="M3110" i="6"/>
  <c r="N3110" i="6" s="1"/>
  <c r="M3174" i="6"/>
  <c r="N3174" i="6" s="1"/>
  <c r="M3238" i="6"/>
  <c r="N3238" i="6" s="1"/>
  <c r="R3238" i="6" s="1"/>
  <c r="M3302" i="6"/>
  <c r="N3302" i="6" s="1"/>
  <c r="R3302" i="6" s="1"/>
  <c r="M3366" i="6"/>
  <c r="N3366" i="6" s="1"/>
  <c r="R3366" i="6" s="1"/>
  <c r="M3430" i="6"/>
  <c r="N3430" i="6" s="1"/>
  <c r="R3430" i="6" s="1"/>
  <c r="M3494" i="6"/>
  <c r="N3494" i="6" s="1"/>
  <c r="R3494" i="6" s="1"/>
  <c r="M3622" i="6"/>
  <c r="N3622" i="6" s="1"/>
  <c r="R3622" i="6" s="1"/>
  <c r="M3686" i="6"/>
  <c r="N3686" i="6" s="1"/>
  <c r="M3750" i="6"/>
  <c r="N3750" i="6" s="1"/>
  <c r="R3750" i="6" s="1"/>
  <c r="M3814" i="6"/>
  <c r="N3814" i="6" s="1"/>
  <c r="R3814" i="6" s="1"/>
  <c r="M3878" i="6"/>
  <c r="N3878" i="6" s="1"/>
  <c r="R3878" i="6" s="1"/>
  <c r="M3942" i="6"/>
  <c r="N3942" i="6" s="1"/>
  <c r="R3942" i="6" s="1"/>
  <c r="M4006" i="6"/>
  <c r="N4006" i="6" s="1"/>
  <c r="R4006" i="6" s="1"/>
  <c r="M4070" i="6"/>
  <c r="N4070" i="6" s="1"/>
  <c r="R4070" i="6" s="1"/>
  <c r="M4134" i="6"/>
  <c r="N4134" i="6" s="1"/>
  <c r="R4134" i="6" s="1"/>
  <c r="M4198" i="6"/>
  <c r="N4198" i="6" s="1"/>
  <c r="R4198" i="6" s="1"/>
  <c r="M4262" i="6"/>
  <c r="N4262" i="6" s="1"/>
  <c r="R4262" i="6" s="1"/>
  <c r="M4326" i="6"/>
  <c r="N4326" i="6" s="1"/>
  <c r="R4326" i="6" s="1"/>
  <c r="M4390" i="6"/>
  <c r="N4390" i="6" s="1"/>
  <c r="R4390" i="6" s="1"/>
  <c r="M4454" i="6"/>
  <c r="N4454" i="6" s="1"/>
  <c r="R4454" i="6" s="1"/>
  <c r="M4518" i="6"/>
  <c r="N4518" i="6" s="1"/>
  <c r="R4518" i="6" s="1"/>
  <c r="M4582" i="6"/>
  <c r="N4582" i="6" s="1"/>
  <c r="R4582" i="6" s="1"/>
  <c r="M4646" i="6"/>
  <c r="N4646" i="6" s="1"/>
  <c r="R4646" i="6" s="1"/>
  <c r="M4710" i="6"/>
  <c r="N4710" i="6" s="1"/>
  <c r="M4774" i="6"/>
  <c r="N4774" i="6" s="1"/>
  <c r="M7" i="6"/>
  <c r="N7" i="6" s="1"/>
  <c r="R7" i="6" s="1"/>
  <c r="M71" i="6"/>
  <c r="N71" i="6" s="1"/>
  <c r="R71" i="6" s="1"/>
  <c r="M135" i="6"/>
  <c r="N135" i="6" s="1"/>
  <c r="R135" i="6" s="1"/>
  <c r="M199" i="6"/>
  <c r="N199" i="6" s="1"/>
  <c r="R199" i="6" s="1"/>
  <c r="M263" i="6"/>
  <c r="N263" i="6" s="1"/>
  <c r="R263" i="6" s="1"/>
  <c r="M32" i="6"/>
  <c r="N32" i="6" s="1"/>
  <c r="R32" i="6" s="1"/>
  <c r="M96" i="6"/>
  <c r="N96" i="6" s="1"/>
  <c r="R96" i="6" s="1"/>
  <c r="M160" i="6"/>
  <c r="N160" i="6" s="1"/>
  <c r="R160" i="6" s="1"/>
  <c r="M224" i="6"/>
  <c r="N224" i="6" s="1"/>
  <c r="R224" i="6" s="1"/>
  <c r="M288" i="6"/>
  <c r="N288" i="6" s="1"/>
  <c r="R288" i="6" s="1"/>
  <c r="M49" i="6"/>
  <c r="N49" i="6" s="1"/>
  <c r="R49" i="6" s="1"/>
  <c r="M113" i="6"/>
  <c r="N113" i="6" s="1"/>
  <c r="R113" i="6" s="1"/>
  <c r="M177" i="6"/>
  <c r="N177" i="6" s="1"/>
  <c r="R177" i="6" s="1"/>
  <c r="M241" i="6"/>
  <c r="N241" i="6" s="1"/>
  <c r="R241" i="6" s="1"/>
  <c r="M305" i="6"/>
  <c r="N305" i="6" s="1"/>
  <c r="R305" i="6" s="1"/>
  <c r="M58" i="6"/>
  <c r="N58" i="6" s="1"/>
  <c r="R58" i="6" s="1"/>
  <c r="M122" i="6"/>
  <c r="N122" i="6" s="1"/>
  <c r="R122" i="6" s="1"/>
  <c r="M186" i="6"/>
  <c r="N186" i="6" s="1"/>
  <c r="R186" i="6" s="1"/>
  <c r="M250" i="6"/>
  <c r="N250" i="6" s="1"/>
  <c r="R250" i="6" s="1"/>
  <c r="M314" i="6"/>
  <c r="N314" i="6" s="1"/>
  <c r="R314" i="6" s="1"/>
  <c r="M51" i="6"/>
  <c r="N51" i="6" s="1"/>
  <c r="R51" i="6" s="1"/>
  <c r="M115" i="6"/>
  <c r="N115" i="6" s="1"/>
  <c r="R115" i="6" s="1"/>
  <c r="M179" i="6"/>
  <c r="N179" i="6" s="1"/>
  <c r="R179" i="6" s="1"/>
  <c r="M243" i="6"/>
  <c r="N243" i="6" s="1"/>
  <c r="R243" i="6" s="1"/>
  <c r="M13" i="6"/>
  <c r="N13" i="6" s="1"/>
  <c r="R13" i="6" s="1"/>
  <c r="M77" i="6"/>
  <c r="N77" i="6" s="1"/>
  <c r="R77" i="6" s="1"/>
  <c r="M141" i="6"/>
  <c r="N141" i="6" s="1"/>
  <c r="R141" i="6" s="1"/>
  <c r="M205" i="6"/>
  <c r="N205" i="6" s="1"/>
  <c r="R205" i="6" s="1"/>
  <c r="M269" i="6"/>
  <c r="N269" i="6" s="1"/>
  <c r="R269" i="6" s="1"/>
  <c r="M6" i="6"/>
  <c r="N6" i="6" s="1"/>
  <c r="R6" i="6" s="1"/>
  <c r="M70" i="6"/>
  <c r="N70" i="6" s="1"/>
  <c r="M142" i="6"/>
  <c r="N142" i="6" s="1"/>
  <c r="R142" i="6" s="1"/>
  <c r="M206" i="6"/>
  <c r="N206" i="6" s="1"/>
  <c r="R206" i="6" s="1"/>
  <c r="M278" i="6"/>
  <c r="N278" i="6" s="1"/>
  <c r="R278" i="6" s="1"/>
  <c r="M320" i="6"/>
  <c r="N320" i="6" s="1"/>
  <c r="R320" i="6" s="1"/>
  <c r="M384" i="6"/>
  <c r="N384" i="6" s="1"/>
  <c r="R384" i="6" s="1"/>
  <c r="M448" i="6"/>
  <c r="N448" i="6" s="1"/>
  <c r="R448" i="6" s="1"/>
  <c r="M512" i="6"/>
  <c r="N512" i="6" s="1"/>
  <c r="R512" i="6" s="1"/>
  <c r="M576" i="6"/>
  <c r="N576" i="6" s="1"/>
  <c r="M640" i="6"/>
  <c r="N640" i="6" s="1"/>
  <c r="M704" i="6"/>
  <c r="N704" i="6" s="1"/>
  <c r="R704" i="6" s="1"/>
  <c r="M768" i="6"/>
  <c r="N768" i="6" s="1"/>
  <c r="R768" i="6" s="1"/>
  <c r="M832" i="6"/>
  <c r="N832" i="6" s="1"/>
  <c r="R832" i="6" s="1"/>
  <c r="M896" i="6"/>
  <c r="N896" i="6" s="1"/>
  <c r="R896" i="6" s="1"/>
  <c r="M960" i="6"/>
  <c r="N960" i="6" s="1"/>
  <c r="R960" i="6" s="1"/>
  <c r="M1024" i="6"/>
  <c r="N1024" i="6" s="1"/>
  <c r="M1088" i="6"/>
  <c r="N1088" i="6" s="1"/>
  <c r="M1152" i="6"/>
  <c r="N1152" i="6" s="1"/>
  <c r="M1216" i="6"/>
  <c r="N1216" i="6" s="1"/>
  <c r="R1216" i="6" s="1"/>
  <c r="M1280" i="6"/>
  <c r="N1280" i="6" s="1"/>
  <c r="R1280" i="6" s="1"/>
  <c r="M1344" i="6"/>
  <c r="N1344" i="6" s="1"/>
  <c r="R1344" i="6" s="1"/>
  <c r="M1408" i="6"/>
  <c r="N1408" i="6" s="1"/>
  <c r="R1408" i="6" s="1"/>
  <c r="M1472" i="6"/>
  <c r="N1472" i="6" s="1"/>
  <c r="R1472" i="6" s="1"/>
  <c r="M1536" i="6"/>
  <c r="N1536" i="6" s="1"/>
  <c r="R1536" i="6" s="1"/>
  <c r="M1600" i="6"/>
  <c r="N1600" i="6" s="1"/>
  <c r="M1664" i="6"/>
  <c r="N1664" i="6" s="1"/>
  <c r="M1728" i="6"/>
  <c r="N1728" i="6" s="1"/>
  <c r="R1728" i="6" s="1"/>
  <c r="M1792" i="6"/>
  <c r="N1792" i="6" s="1"/>
  <c r="R1792" i="6" s="1"/>
  <c r="M1856" i="6"/>
  <c r="N1856" i="6" s="1"/>
  <c r="R1856" i="6" s="1"/>
  <c r="M1920" i="6"/>
  <c r="N1920" i="6" s="1"/>
  <c r="R1920" i="6" s="1"/>
  <c r="M1984" i="6"/>
  <c r="N1984" i="6" s="1"/>
  <c r="R1984" i="6" s="1"/>
  <c r="M2048" i="6"/>
  <c r="N2048" i="6" s="1"/>
  <c r="R2048" i="6" s="1"/>
  <c r="M2112" i="6"/>
  <c r="N2112" i="6" s="1"/>
  <c r="M2176" i="6"/>
  <c r="N2176" i="6" s="1"/>
  <c r="M2240" i="6"/>
  <c r="N2240" i="6" s="1"/>
  <c r="R2240" i="6" s="1"/>
  <c r="M2304" i="6"/>
  <c r="N2304" i="6" s="1"/>
  <c r="R2304" i="6" s="1"/>
  <c r="M2368" i="6"/>
  <c r="N2368" i="6" s="1"/>
  <c r="R2368" i="6" s="1"/>
  <c r="M2432" i="6"/>
  <c r="N2432" i="6" s="1"/>
  <c r="R2432" i="6" s="1"/>
  <c r="M2496" i="6"/>
  <c r="N2496" i="6" s="1"/>
  <c r="R2496" i="6" s="1"/>
  <c r="M2560" i="6"/>
  <c r="N2560" i="6" s="1"/>
  <c r="R2560" i="6" s="1"/>
  <c r="M2624" i="6"/>
  <c r="N2624" i="6" s="1"/>
  <c r="M2688" i="6"/>
  <c r="N2688" i="6" s="1"/>
  <c r="M2752" i="6"/>
  <c r="N2752" i="6" s="1"/>
  <c r="R2752" i="6" s="1"/>
  <c r="M2816" i="6"/>
  <c r="N2816" i="6" s="1"/>
  <c r="R2816" i="6" s="1"/>
  <c r="M2880" i="6"/>
  <c r="N2880" i="6" s="1"/>
  <c r="R2880" i="6" s="1"/>
  <c r="M3008" i="6"/>
  <c r="N3008" i="6" s="1"/>
  <c r="R3008" i="6" s="1"/>
  <c r="M3072" i="6"/>
  <c r="N3072" i="6" s="1"/>
  <c r="R3072" i="6" s="1"/>
  <c r="M3200" i="6"/>
  <c r="N3200" i="6" s="1"/>
  <c r="R3200" i="6" s="1"/>
  <c r="M3264" i="6"/>
  <c r="N3264" i="6" s="1"/>
  <c r="M3328" i="6"/>
  <c r="N3328" i="6" s="1"/>
  <c r="M3392" i="6"/>
  <c r="N3392" i="6" s="1"/>
  <c r="R3392" i="6" s="1"/>
  <c r="M3456" i="6"/>
  <c r="N3456" i="6" s="1"/>
  <c r="R3456" i="6" s="1"/>
  <c r="M3520" i="6"/>
  <c r="N3520" i="6" s="1"/>
  <c r="R3520" i="6" s="1"/>
  <c r="M3584" i="6"/>
  <c r="N3584" i="6" s="1"/>
  <c r="R3584" i="6" s="1"/>
  <c r="M3648" i="6"/>
  <c r="N3648" i="6" s="1"/>
  <c r="R3648" i="6" s="1"/>
  <c r="M3712" i="6"/>
  <c r="N3712" i="6" s="1"/>
  <c r="R3712" i="6" s="1"/>
  <c r="M3776" i="6"/>
  <c r="N3776" i="6" s="1"/>
  <c r="M3840" i="6"/>
  <c r="N3840" i="6" s="1"/>
  <c r="M3904" i="6"/>
  <c r="N3904" i="6" s="1"/>
  <c r="R3904" i="6" s="1"/>
  <c r="M3968" i="6"/>
  <c r="N3968" i="6" s="1"/>
  <c r="R3968" i="6" s="1"/>
  <c r="M4032" i="6"/>
  <c r="N4032" i="6" s="1"/>
  <c r="R4032" i="6" s="1"/>
  <c r="M4096" i="6"/>
  <c r="N4096" i="6" s="1"/>
  <c r="R4096" i="6" s="1"/>
  <c r="M4160" i="6"/>
  <c r="N4160" i="6" s="1"/>
  <c r="R4160" i="6" s="1"/>
  <c r="M4224" i="6"/>
  <c r="N4224" i="6" s="1"/>
  <c r="R4224" i="6" s="1"/>
  <c r="M4288" i="6"/>
  <c r="N4288" i="6" s="1"/>
  <c r="M4352" i="6"/>
  <c r="N4352" i="6" s="1"/>
  <c r="R4352" i="6" s="1"/>
  <c r="M4416" i="6"/>
  <c r="N4416" i="6" s="1"/>
  <c r="R4416" i="6" s="1"/>
  <c r="M4480" i="6"/>
  <c r="N4480" i="6" s="1"/>
  <c r="R4480" i="6" s="1"/>
  <c r="M4544" i="6"/>
  <c r="N4544" i="6" s="1"/>
  <c r="R4544" i="6" s="1"/>
  <c r="M4608" i="6"/>
  <c r="N4608" i="6" s="1"/>
  <c r="R4608" i="6" s="1"/>
  <c r="M4672" i="6"/>
  <c r="N4672" i="6" s="1"/>
  <c r="R4672" i="6" s="1"/>
  <c r="M4736" i="6"/>
  <c r="N4736" i="6" s="1"/>
  <c r="R4736" i="6" s="1"/>
  <c r="M4800" i="6"/>
  <c r="N4800" i="6" s="1"/>
  <c r="M4864" i="6"/>
  <c r="N4864" i="6" s="1"/>
  <c r="M4928" i="6"/>
  <c r="N4928" i="6" s="1"/>
  <c r="R4928" i="6" s="1"/>
  <c r="M369" i="6"/>
  <c r="N369" i="6" s="1"/>
  <c r="R369" i="6" s="1"/>
  <c r="M433" i="6"/>
  <c r="N433" i="6" s="1"/>
  <c r="R433" i="6" s="1"/>
  <c r="M497" i="6"/>
  <c r="N497" i="6" s="1"/>
  <c r="R497" i="6" s="1"/>
  <c r="M561" i="6"/>
  <c r="N561" i="6" s="1"/>
  <c r="R561" i="6" s="1"/>
  <c r="M625" i="6"/>
  <c r="N625" i="6" s="1"/>
  <c r="R625" i="6" s="1"/>
  <c r="M689" i="6"/>
  <c r="N689" i="6" s="1"/>
  <c r="M753" i="6"/>
  <c r="N753" i="6" s="1"/>
  <c r="M881" i="6"/>
  <c r="N881" i="6" s="1"/>
  <c r="R881" i="6" s="1"/>
  <c r="M945" i="6"/>
  <c r="N945" i="6" s="1"/>
  <c r="R945" i="6" s="1"/>
  <c r="M1009" i="6"/>
  <c r="N1009" i="6" s="1"/>
  <c r="R1009" i="6" s="1"/>
  <c r="M1073" i="6"/>
  <c r="N1073" i="6" s="1"/>
  <c r="R1073" i="6" s="1"/>
  <c r="M1137" i="6"/>
  <c r="N1137" i="6" s="1"/>
  <c r="R1137" i="6" s="1"/>
  <c r="M1201" i="6"/>
  <c r="N1201" i="6" s="1"/>
  <c r="R1201" i="6" s="1"/>
  <c r="M1265" i="6"/>
  <c r="N1265" i="6" s="1"/>
  <c r="M1329" i="6"/>
  <c r="N1329" i="6" s="1"/>
  <c r="M1393" i="6"/>
  <c r="N1393" i="6" s="1"/>
  <c r="R1393" i="6" s="1"/>
  <c r="M1457" i="6"/>
  <c r="N1457" i="6" s="1"/>
  <c r="R1457" i="6" s="1"/>
  <c r="M1521" i="6"/>
  <c r="N1521" i="6" s="1"/>
  <c r="R1521" i="6" s="1"/>
  <c r="M1585" i="6"/>
  <c r="N1585" i="6" s="1"/>
  <c r="R1585" i="6" s="1"/>
  <c r="M1649" i="6"/>
  <c r="N1649" i="6" s="1"/>
  <c r="R1649" i="6" s="1"/>
  <c r="M1713" i="6"/>
  <c r="N1713" i="6" s="1"/>
  <c r="R1713" i="6" s="1"/>
  <c r="M1777" i="6"/>
  <c r="N1777" i="6" s="1"/>
  <c r="M1841" i="6"/>
  <c r="N1841" i="6" s="1"/>
  <c r="M1905" i="6"/>
  <c r="N1905" i="6" s="1"/>
  <c r="R1905" i="6" s="1"/>
  <c r="M1969" i="6"/>
  <c r="N1969" i="6" s="1"/>
  <c r="R1969" i="6" s="1"/>
  <c r="M2033" i="6"/>
  <c r="N2033" i="6" s="1"/>
  <c r="R2033" i="6" s="1"/>
  <c r="M2097" i="6"/>
  <c r="N2097" i="6" s="1"/>
  <c r="R2097" i="6" s="1"/>
  <c r="M2161" i="6"/>
  <c r="N2161" i="6" s="1"/>
  <c r="R2161" i="6" s="1"/>
  <c r="M2225" i="6"/>
  <c r="N2225" i="6" s="1"/>
  <c r="R2225" i="6" s="1"/>
  <c r="M2289" i="6"/>
  <c r="N2289" i="6" s="1"/>
  <c r="R2289" i="6" s="1"/>
  <c r="M2417" i="6"/>
  <c r="N2417" i="6" s="1"/>
  <c r="M2481" i="6"/>
  <c r="N2481" i="6" s="1"/>
  <c r="R2481" i="6" s="1"/>
  <c r="M2545" i="6"/>
  <c r="N2545" i="6" s="1"/>
  <c r="R2545" i="6" s="1"/>
  <c r="M2609" i="6"/>
  <c r="N2609" i="6" s="1"/>
  <c r="R2609" i="6" s="1"/>
  <c r="M2673" i="6"/>
  <c r="N2673" i="6" s="1"/>
  <c r="R2673" i="6" s="1"/>
  <c r="M2737" i="6"/>
  <c r="N2737" i="6" s="1"/>
  <c r="R2737" i="6" s="1"/>
  <c r="M2801" i="6"/>
  <c r="N2801" i="6" s="1"/>
  <c r="R2801" i="6" s="1"/>
  <c r="M2865" i="6"/>
  <c r="N2865" i="6" s="1"/>
  <c r="M2929" i="6"/>
  <c r="N2929" i="6" s="1"/>
  <c r="R2929" i="6" s="1"/>
  <c r="M2993" i="6"/>
  <c r="N2993" i="6" s="1"/>
  <c r="R2993" i="6" s="1"/>
  <c r="M3057" i="6"/>
  <c r="N3057" i="6" s="1"/>
  <c r="R3057" i="6" s="1"/>
  <c r="M3121" i="6"/>
  <c r="N3121" i="6" s="1"/>
  <c r="R3121" i="6" s="1"/>
  <c r="M3185" i="6"/>
  <c r="N3185" i="6" s="1"/>
  <c r="R3185" i="6" s="1"/>
  <c r="M3249" i="6"/>
  <c r="N3249" i="6" s="1"/>
  <c r="R3249" i="6" s="1"/>
  <c r="M3313" i="6"/>
  <c r="N3313" i="6" s="1"/>
  <c r="R3313" i="6" s="1"/>
  <c r="M3377" i="6"/>
  <c r="N3377" i="6" s="1"/>
  <c r="R3377" i="6" s="1"/>
  <c r="M3441" i="6"/>
  <c r="N3441" i="6" s="1"/>
  <c r="M3505" i="6"/>
  <c r="N3505" i="6" s="1"/>
  <c r="R3505" i="6" s="1"/>
  <c r="M3569" i="6"/>
  <c r="N3569" i="6" s="1"/>
  <c r="R3569" i="6" s="1"/>
  <c r="M3633" i="6"/>
  <c r="N3633" i="6" s="1"/>
  <c r="R3633" i="6" s="1"/>
  <c r="M3697" i="6"/>
  <c r="N3697" i="6" s="1"/>
  <c r="R3697" i="6" s="1"/>
  <c r="M3761" i="6"/>
  <c r="N3761" i="6" s="1"/>
  <c r="R3761" i="6" s="1"/>
  <c r="M3825" i="6"/>
  <c r="N3825" i="6" s="1"/>
  <c r="R3825" i="6" s="1"/>
  <c r="M3889" i="6"/>
  <c r="N3889" i="6" s="1"/>
  <c r="M3953" i="6"/>
  <c r="N3953" i="6" s="1"/>
  <c r="M4017" i="6"/>
  <c r="N4017" i="6" s="1"/>
  <c r="R4017" i="6" s="1"/>
  <c r="M4081" i="6"/>
  <c r="N4081" i="6" s="1"/>
  <c r="R4081" i="6" s="1"/>
  <c r="M4145" i="6"/>
  <c r="N4145" i="6" s="1"/>
  <c r="R4145" i="6" s="1"/>
  <c r="M4209" i="6"/>
  <c r="N4209" i="6" s="1"/>
  <c r="R4209" i="6" s="1"/>
  <c r="M4273" i="6"/>
  <c r="N4273" i="6" s="1"/>
  <c r="R4273" i="6" s="1"/>
  <c r="M4337" i="6"/>
  <c r="N4337" i="6" s="1"/>
  <c r="R4337" i="6" s="1"/>
  <c r="M4401" i="6"/>
  <c r="N4401" i="6" s="1"/>
  <c r="M4529" i="6"/>
  <c r="N4529" i="6" s="1"/>
  <c r="M4593" i="6"/>
  <c r="N4593" i="6" s="1"/>
  <c r="R4593" i="6" s="1"/>
  <c r="M4657" i="6"/>
  <c r="N4657" i="6" s="1"/>
  <c r="R4657" i="6" s="1"/>
  <c r="M4721" i="6"/>
  <c r="N4721" i="6" s="1"/>
  <c r="R4721" i="6" s="1"/>
  <c r="M4785" i="6"/>
  <c r="N4785" i="6" s="1"/>
  <c r="R4785" i="6" s="1"/>
  <c r="M4849" i="6"/>
  <c r="N4849" i="6" s="1"/>
  <c r="R4849" i="6" s="1"/>
  <c r="M4913" i="6"/>
  <c r="N4913" i="6" s="1"/>
  <c r="R4913" i="6" s="1"/>
  <c r="M4977" i="6"/>
  <c r="N4977" i="6" s="1"/>
  <c r="M362" i="6"/>
  <c r="N362" i="6" s="1"/>
  <c r="M426" i="6"/>
  <c r="N426" i="6" s="1"/>
  <c r="R426" i="6" s="1"/>
  <c r="M490" i="6"/>
  <c r="N490" i="6" s="1"/>
  <c r="R490" i="6" s="1"/>
  <c r="M554" i="6"/>
  <c r="N554" i="6" s="1"/>
  <c r="R554" i="6" s="1"/>
  <c r="M618" i="6"/>
  <c r="N618" i="6" s="1"/>
  <c r="R618" i="6" s="1"/>
  <c r="M682" i="6"/>
  <c r="N682" i="6" s="1"/>
  <c r="R682" i="6" s="1"/>
  <c r="M746" i="6"/>
  <c r="N746" i="6" s="1"/>
  <c r="R746" i="6" s="1"/>
  <c r="M810" i="6"/>
  <c r="N810" i="6" s="1"/>
  <c r="M874" i="6"/>
  <c r="N874" i="6" s="1"/>
  <c r="M938" i="6"/>
  <c r="N938" i="6" s="1"/>
  <c r="R938" i="6" s="1"/>
  <c r="M1002" i="6"/>
  <c r="N1002" i="6" s="1"/>
  <c r="R1002" i="6" s="1"/>
  <c r="M1066" i="6"/>
  <c r="N1066" i="6" s="1"/>
  <c r="R1066" i="6" s="1"/>
  <c r="M1130" i="6"/>
  <c r="N1130" i="6" s="1"/>
  <c r="R1130" i="6" s="1"/>
  <c r="M1194" i="6"/>
  <c r="N1194" i="6" s="1"/>
  <c r="R1194" i="6" s="1"/>
  <c r="M1258" i="6"/>
  <c r="N1258" i="6" s="1"/>
  <c r="R1258" i="6" s="1"/>
  <c r="M1322" i="6"/>
  <c r="N1322" i="6" s="1"/>
  <c r="M1386" i="6"/>
  <c r="N1386" i="6" s="1"/>
  <c r="M1450" i="6"/>
  <c r="N1450" i="6" s="1"/>
  <c r="R1450" i="6" s="1"/>
  <c r="M1514" i="6"/>
  <c r="N1514" i="6" s="1"/>
  <c r="R1514" i="6" s="1"/>
  <c r="M1578" i="6"/>
  <c r="N1578" i="6" s="1"/>
  <c r="R1578" i="6" s="1"/>
  <c r="M1642" i="6"/>
  <c r="N1642" i="6" s="1"/>
  <c r="R1642" i="6" s="1"/>
  <c r="M1706" i="6"/>
  <c r="N1706" i="6" s="1"/>
  <c r="R1706" i="6" s="1"/>
  <c r="M1770" i="6"/>
  <c r="N1770" i="6" s="1"/>
  <c r="R1770" i="6" s="1"/>
  <c r="M1834" i="6"/>
  <c r="N1834" i="6" s="1"/>
  <c r="M1898" i="6"/>
  <c r="N1898" i="6" s="1"/>
  <c r="M1962" i="6"/>
  <c r="N1962" i="6" s="1"/>
  <c r="R1962" i="6" s="1"/>
  <c r="M2026" i="6"/>
  <c r="N2026" i="6" s="1"/>
  <c r="R2026" i="6" s="1"/>
  <c r="M2090" i="6"/>
  <c r="N2090" i="6" s="1"/>
  <c r="R2090" i="6" s="1"/>
  <c r="M2154" i="6"/>
  <c r="N2154" i="6" s="1"/>
  <c r="R2154" i="6" s="1"/>
  <c r="M2218" i="6"/>
  <c r="N2218" i="6" s="1"/>
  <c r="R2218" i="6" s="1"/>
  <c r="M2282" i="6"/>
  <c r="N2282" i="6" s="1"/>
  <c r="R2282" i="6" s="1"/>
  <c r="M2346" i="6"/>
  <c r="N2346" i="6" s="1"/>
  <c r="M2410" i="6"/>
  <c r="N2410" i="6" s="1"/>
  <c r="M2474" i="6"/>
  <c r="N2474" i="6" s="1"/>
  <c r="R2474" i="6" s="1"/>
  <c r="M2538" i="6"/>
  <c r="N2538" i="6" s="1"/>
  <c r="R2538" i="6" s="1"/>
  <c r="M2602" i="6"/>
  <c r="N2602" i="6" s="1"/>
  <c r="R2602" i="6" s="1"/>
  <c r="M2666" i="6"/>
  <c r="N2666" i="6" s="1"/>
  <c r="R2666" i="6" s="1"/>
  <c r="M2730" i="6"/>
  <c r="N2730" i="6" s="1"/>
  <c r="R2730" i="6" s="1"/>
  <c r="M2794" i="6"/>
  <c r="N2794" i="6" s="1"/>
  <c r="R2794" i="6" s="1"/>
  <c r="M2858" i="6"/>
  <c r="N2858" i="6" s="1"/>
  <c r="R2858" i="6" s="1"/>
  <c r="M2922" i="6"/>
  <c r="N2922" i="6" s="1"/>
  <c r="M2986" i="6"/>
  <c r="N2986" i="6" s="1"/>
  <c r="R2986" i="6" s="1"/>
  <c r="M3050" i="6"/>
  <c r="N3050" i="6" s="1"/>
  <c r="R3050" i="6" s="1"/>
  <c r="M3114" i="6"/>
  <c r="N3114" i="6" s="1"/>
  <c r="R3114" i="6" s="1"/>
  <c r="M3178" i="6"/>
  <c r="N3178" i="6" s="1"/>
  <c r="R3178" i="6" s="1"/>
  <c r="M3306" i="6"/>
  <c r="N3306" i="6" s="1"/>
  <c r="R3306" i="6" s="1"/>
  <c r="M3370" i="6"/>
  <c r="N3370" i="6" s="1"/>
  <c r="R3370" i="6" s="1"/>
  <c r="M3434" i="6"/>
  <c r="N3434" i="6" s="1"/>
  <c r="R3434" i="6" s="1"/>
  <c r="M3498" i="6"/>
  <c r="N3498" i="6" s="1"/>
  <c r="M3562" i="6"/>
  <c r="N3562" i="6" s="1"/>
  <c r="R3562" i="6" s="1"/>
  <c r="M3626" i="6"/>
  <c r="N3626" i="6" s="1"/>
  <c r="R3626" i="6" s="1"/>
  <c r="M3690" i="6"/>
  <c r="N3690" i="6" s="1"/>
  <c r="R3690" i="6" s="1"/>
  <c r="M3754" i="6"/>
  <c r="N3754" i="6" s="1"/>
  <c r="R3754" i="6" s="1"/>
  <c r="M3818" i="6"/>
  <c r="N3818" i="6" s="1"/>
  <c r="R3818" i="6" s="1"/>
  <c r="M3882" i="6"/>
  <c r="N3882" i="6" s="1"/>
  <c r="R3882" i="6" s="1"/>
  <c r="M3946" i="6"/>
  <c r="N3946" i="6" s="1"/>
  <c r="M4010" i="6"/>
  <c r="N4010" i="6" s="1"/>
  <c r="M4074" i="6"/>
  <c r="N4074" i="6" s="1"/>
  <c r="R4074" i="6" s="1"/>
  <c r="M4138" i="6"/>
  <c r="N4138" i="6" s="1"/>
  <c r="R4138" i="6" s="1"/>
  <c r="M4202" i="6"/>
  <c r="N4202" i="6" s="1"/>
  <c r="R4202" i="6" s="1"/>
  <c r="M4266" i="6"/>
  <c r="N4266" i="6" s="1"/>
  <c r="R4266" i="6" s="1"/>
  <c r="M4330" i="6"/>
  <c r="N4330" i="6" s="1"/>
  <c r="R4330" i="6" s="1"/>
  <c r="M4394" i="6"/>
  <c r="N4394" i="6" s="1"/>
  <c r="R4394" i="6" s="1"/>
  <c r="M4458" i="6"/>
  <c r="N4458" i="6" s="1"/>
  <c r="M4522" i="6"/>
  <c r="N4522" i="6" s="1"/>
  <c r="M4586" i="6"/>
  <c r="N4586" i="6" s="1"/>
  <c r="R4586" i="6" s="1"/>
  <c r="M4650" i="6"/>
  <c r="N4650" i="6" s="1"/>
  <c r="R4650" i="6" s="1"/>
  <c r="M4714" i="6"/>
  <c r="N4714" i="6" s="1"/>
  <c r="R4714" i="6" s="1"/>
  <c r="M4778" i="6"/>
  <c r="N4778" i="6" s="1"/>
  <c r="R4778" i="6" s="1"/>
  <c r="M4842" i="6"/>
  <c r="N4842" i="6" s="1"/>
  <c r="R4842" i="6" s="1"/>
  <c r="M4906" i="6"/>
  <c r="N4906" i="6" s="1"/>
  <c r="R4906" i="6" s="1"/>
  <c r="M4970" i="6"/>
  <c r="N4970" i="6" s="1"/>
  <c r="M323" i="6"/>
  <c r="N323" i="6" s="1"/>
  <c r="M387" i="6"/>
  <c r="N387" i="6" s="1"/>
  <c r="R387" i="6" s="1"/>
  <c r="M451" i="6"/>
  <c r="N451" i="6" s="1"/>
  <c r="R451" i="6" s="1"/>
  <c r="M515" i="6"/>
  <c r="N515" i="6" s="1"/>
  <c r="R515" i="6" s="1"/>
  <c r="M579" i="6"/>
  <c r="N579" i="6" s="1"/>
  <c r="R579" i="6" s="1"/>
  <c r="M643" i="6"/>
  <c r="N643" i="6" s="1"/>
  <c r="R643" i="6" s="1"/>
  <c r="M707" i="6"/>
  <c r="N707" i="6" s="1"/>
  <c r="R707" i="6" s="1"/>
  <c r="M771" i="6"/>
  <c r="N771" i="6" s="1"/>
  <c r="R771" i="6" s="1"/>
  <c r="M835" i="6"/>
  <c r="N835" i="6" s="1"/>
  <c r="M899" i="6"/>
  <c r="N899" i="6" s="1"/>
  <c r="R899" i="6" s="1"/>
  <c r="M963" i="6"/>
  <c r="N963" i="6" s="1"/>
  <c r="R963" i="6" s="1"/>
  <c r="M1027" i="6"/>
  <c r="N1027" i="6" s="1"/>
  <c r="R1027" i="6" s="1"/>
  <c r="M1091" i="6"/>
  <c r="N1091" i="6" s="1"/>
  <c r="R1091" i="6" s="1"/>
  <c r="M1155" i="6"/>
  <c r="N1155" i="6" s="1"/>
  <c r="R1155" i="6" s="1"/>
  <c r="M1219" i="6"/>
  <c r="N1219" i="6" s="1"/>
  <c r="R1219" i="6" s="1"/>
  <c r="M1283" i="6"/>
  <c r="N1283" i="6" s="1"/>
  <c r="M1347" i="6"/>
  <c r="N1347" i="6" s="1"/>
  <c r="M1411" i="6"/>
  <c r="N1411" i="6" s="1"/>
  <c r="R1411" i="6" s="1"/>
  <c r="M1475" i="6"/>
  <c r="N1475" i="6" s="1"/>
  <c r="R1475" i="6" s="1"/>
  <c r="M1539" i="6"/>
  <c r="N1539" i="6" s="1"/>
  <c r="R1539" i="6" s="1"/>
  <c r="M1603" i="6"/>
  <c r="N1603" i="6" s="1"/>
  <c r="R1603" i="6" s="1"/>
  <c r="M1667" i="6"/>
  <c r="N1667" i="6" s="1"/>
  <c r="R1667" i="6" s="1"/>
  <c r="M1731" i="6"/>
  <c r="N1731" i="6" s="1"/>
  <c r="R1731" i="6" s="1"/>
  <c r="M1795" i="6"/>
  <c r="N1795" i="6" s="1"/>
  <c r="M1923" i="6"/>
  <c r="N1923" i="6" s="1"/>
  <c r="M1987" i="6"/>
  <c r="N1987" i="6" s="1"/>
  <c r="R1987" i="6" s="1"/>
  <c r="M2051" i="6"/>
  <c r="N2051" i="6" s="1"/>
  <c r="R2051" i="6" s="1"/>
  <c r="M2115" i="6"/>
  <c r="N2115" i="6" s="1"/>
  <c r="R2115" i="6" s="1"/>
  <c r="M2179" i="6"/>
  <c r="N2179" i="6" s="1"/>
  <c r="R2179" i="6" s="1"/>
  <c r="M2243" i="6"/>
  <c r="N2243" i="6" s="1"/>
  <c r="R2243" i="6" s="1"/>
  <c r="M2307" i="6"/>
  <c r="N2307" i="6" s="1"/>
  <c r="R2307" i="6" s="1"/>
  <c r="M2371" i="6"/>
  <c r="N2371" i="6" s="1"/>
  <c r="M2435" i="6"/>
  <c r="N2435" i="6" s="1"/>
  <c r="R2435" i="6" s="1"/>
  <c r="M2499" i="6"/>
  <c r="N2499" i="6" s="1"/>
  <c r="R2499" i="6" s="1"/>
  <c r="M2563" i="6"/>
  <c r="N2563" i="6" s="1"/>
  <c r="R2563" i="6" s="1"/>
  <c r="M2627" i="6"/>
  <c r="N2627" i="6" s="1"/>
  <c r="R2627" i="6" s="1"/>
  <c r="M2691" i="6"/>
  <c r="N2691" i="6" s="1"/>
  <c r="R2691" i="6" s="1"/>
  <c r="M2755" i="6"/>
  <c r="N2755" i="6" s="1"/>
  <c r="R2755" i="6" s="1"/>
  <c r="M2819" i="6"/>
  <c r="N2819" i="6" s="1"/>
  <c r="R2819" i="6" s="1"/>
  <c r="M2883" i="6"/>
  <c r="N2883" i="6" s="1"/>
  <c r="M2947" i="6"/>
  <c r="N2947" i="6" s="1"/>
  <c r="M3011" i="6"/>
  <c r="N3011" i="6" s="1"/>
  <c r="R3011" i="6" s="1"/>
  <c r="M3075" i="6"/>
  <c r="N3075" i="6" s="1"/>
  <c r="R3075" i="6" s="1"/>
  <c r="M3139" i="6"/>
  <c r="N3139" i="6" s="1"/>
  <c r="R3139" i="6" s="1"/>
  <c r="M3203" i="6"/>
  <c r="N3203" i="6" s="1"/>
  <c r="R3203" i="6" s="1"/>
  <c r="M3267" i="6"/>
  <c r="N3267" i="6" s="1"/>
  <c r="R3267" i="6" s="1"/>
  <c r="M3331" i="6"/>
  <c r="N3331" i="6" s="1"/>
  <c r="R3331" i="6" s="1"/>
  <c r="M3395" i="6"/>
  <c r="N3395" i="6" s="1"/>
  <c r="R3395" i="6" s="1"/>
  <c r="M3459" i="6"/>
  <c r="N3459" i="6" s="1"/>
  <c r="M3523" i="6"/>
  <c r="N3523" i="6" s="1"/>
  <c r="R3523" i="6" s="1"/>
  <c r="M3587" i="6"/>
  <c r="N3587" i="6" s="1"/>
  <c r="R3587" i="6" s="1"/>
  <c r="M3651" i="6"/>
  <c r="N3651" i="6" s="1"/>
  <c r="R3651" i="6" s="1"/>
  <c r="M3715" i="6"/>
  <c r="N3715" i="6" s="1"/>
  <c r="R3715" i="6" s="1"/>
  <c r="M3779" i="6"/>
  <c r="N3779" i="6" s="1"/>
  <c r="R3779" i="6" s="1"/>
  <c r="M3907" i="6"/>
  <c r="N3907" i="6" s="1"/>
  <c r="R3907" i="6" s="1"/>
  <c r="M3971" i="6"/>
  <c r="N3971" i="6" s="1"/>
  <c r="M4035" i="6"/>
  <c r="N4035" i="6" s="1"/>
  <c r="M4099" i="6"/>
  <c r="N4099" i="6" s="1"/>
  <c r="R4099" i="6" s="1"/>
  <c r="M4227" i="6"/>
  <c r="N4227" i="6" s="1"/>
  <c r="R4227" i="6" s="1"/>
  <c r="M4291" i="6"/>
  <c r="N4291" i="6" s="1"/>
  <c r="R4291" i="6" s="1"/>
  <c r="M4355" i="6"/>
  <c r="N4355" i="6" s="1"/>
  <c r="R4355" i="6" s="1"/>
  <c r="M4419" i="6"/>
  <c r="N4419" i="6" s="1"/>
  <c r="R4419" i="6" s="1"/>
  <c r="M4483" i="6"/>
  <c r="N4483" i="6" s="1"/>
  <c r="R4483" i="6" s="1"/>
  <c r="M4547" i="6"/>
  <c r="N4547" i="6" s="1"/>
  <c r="R4547" i="6" s="1"/>
  <c r="M4611" i="6"/>
  <c r="N4611" i="6" s="1"/>
  <c r="R4611" i="6" s="1"/>
  <c r="M4675" i="6"/>
  <c r="N4675" i="6" s="1"/>
  <c r="R4675" i="6" s="1"/>
  <c r="M4739" i="6"/>
  <c r="N4739" i="6" s="1"/>
  <c r="R4739" i="6" s="1"/>
  <c r="M4803" i="6"/>
  <c r="N4803" i="6" s="1"/>
  <c r="R4803" i="6" s="1"/>
  <c r="M4867" i="6"/>
  <c r="N4867" i="6" s="1"/>
  <c r="R4867" i="6" s="1"/>
  <c r="M4995" i="6"/>
  <c r="N4995" i="6" s="1"/>
  <c r="R4995" i="6" s="1"/>
  <c r="M124" i="6"/>
  <c r="N124" i="6" s="1"/>
  <c r="R124" i="6" s="1"/>
  <c r="M188" i="6"/>
  <c r="N188" i="6" s="1"/>
  <c r="M252" i="6"/>
  <c r="N252" i="6" s="1"/>
  <c r="R252" i="6" s="1"/>
  <c r="M316" i="6"/>
  <c r="N316" i="6" s="1"/>
  <c r="R316" i="6" s="1"/>
  <c r="M380" i="6"/>
  <c r="N380" i="6" s="1"/>
  <c r="R380" i="6" s="1"/>
  <c r="M444" i="6"/>
  <c r="N444" i="6" s="1"/>
  <c r="R444" i="6" s="1"/>
  <c r="M508" i="6"/>
  <c r="N508" i="6" s="1"/>
  <c r="R508" i="6" s="1"/>
  <c r="M572" i="6"/>
  <c r="N572" i="6" s="1"/>
  <c r="R572" i="6" s="1"/>
  <c r="M636" i="6"/>
  <c r="N636" i="6" s="1"/>
  <c r="R636" i="6" s="1"/>
  <c r="M700" i="6"/>
  <c r="N700" i="6" s="1"/>
  <c r="M764" i="6"/>
  <c r="N764" i="6" s="1"/>
  <c r="R764" i="6" s="1"/>
  <c r="M828" i="6"/>
  <c r="N828" i="6" s="1"/>
  <c r="R828" i="6" s="1"/>
  <c r="M892" i="6"/>
  <c r="N892" i="6" s="1"/>
  <c r="R892" i="6" s="1"/>
  <c r="M956" i="6"/>
  <c r="N956" i="6" s="1"/>
  <c r="R956" i="6" s="1"/>
  <c r="M1020" i="6"/>
  <c r="N1020" i="6" s="1"/>
  <c r="R1020" i="6" s="1"/>
  <c r="M1084" i="6"/>
  <c r="N1084" i="6" s="1"/>
  <c r="R1084" i="6" s="1"/>
  <c r="M1148" i="6"/>
  <c r="N1148" i="6" s="1"/>
  <c r="R1148" i="6" s="1"/>
  <c r="M1212" i="6"/>
  <c r="N1212" i="6" s="1"/>
  <c r="R1212" i="6" s="1"/>
  <c r="M1276" i="6"/>
  <c r="N1276" i="6" s="1"/>
  <c r="R1276" i="6" s="1"/>
  <c r="M1340" i="6"/>
  <c r="N1340" i="6" s="1"/>
  <c r="R1340" i="6" s="1"/>
  <c r="M1404" i="6"/>
  <c r="N1404" i="6" s="1"/>
  <c r="R1404" i="6" s="1"/>
  <c r="M1468" i="6"/>
  <c r="N1468" i="6" s="1"/>
  <c r="R1468" i="6" s="1"/>
  <c r="M1532" i="6"/>
  <c r="N1532" i="6" s="1"/>
  <c r="R1532" i="6" s="1"/>
  <c r="M1596" i="6"/>
  <c r="N1596" i="6" s="1"/>
  <c r="R1596" i="6" s="1"/>
  <c r="M1660" i="6"/>
  <c r="N1660" i="6" s="1"/>
  <c r="R1660" i="6" s="1"/>
  <c r="M1724" i="6"/>
  <c r="N1724" i="6" s="1"/>
  <c r="R1724" i="6" s="1"/>
  <c r="M1788" i="6"/>
  <c r="N1788" i="6" s="1"/>
  <c r="R1788" i="6" s="1"/>
  <c r="M1852" i="6"/>
  <c r="N1852" i="6" s="1"/>
  <c r="R1852" i="6" s="1"/>
  <c r="M1916" i="6"/>
  <c r="N1916" i="6" s="1"/>
  <c r="R1916" i="6" s="1"/>
  <c r="M2044" i="6"/>
  <c r="N2044" i="6" s="1"/>
  <c r="R2044" i="6" s="1"/>
  <c r="M2108" i="6"/>
  <c r="N2108" i="6" s="1"/>
  <c r="R2108" i="6" s="1"/>
  <c r="M2172" i="6"/>
  <c r="N2172" i="6" s="1"/>
  <c r="R2172" i="6" s="1"/>
  <c r="M2236" i="6"/>
  <c r="N2236" i="6" s="1"/>
  <c r="R2236" i="6" s="1"/>
  <c r="M2300" i="6"/>
  <c r="N2300" i="6" s="1"/>
  <c r="R2300" i="6" s="1"/>
  <c r="M2364" i="6"/>
  <c r="N2364" i="6" s="1"/>
  <c r="M2428" i="6"/>
  <c r="N2428" i="6" s="1"/>
  <c r="R2428" i="6" s="1"/>
  <c r="M2492" i="6"/>
  <c r="N2492" i="6" s="1"/>
  <c r="R2492" i="6" s="1"/>
  <c r="M2556" i="6"/>
  <c r="N2556" i="6" s="1"/>
  <c r="R2556" i="6" s="1"/>
  <c r="M2620" i="6"/>
  <c r="N2620" i="6" s="1"/>
  <c r="R2620" i="6" s="1"/>
  <c r="M2684" i="6"/>
  <c r="N2684" i="6" s="1"/>
  <c r="R2684" i="6" s="1"/>
  <c r="M2748" i="6"/>
  <c r="N2748" i="6" s="1"/>
  <c r="R2748" i="6" s="1"/>
  <c r="M2812" i="6"/>
  <c r="N2812" i="6" s="1"/>
  <c r="R2812" i="6" s="1"/>
  <c r="M2876" i="6"/>
  <c r="N2876" i="6" s="1"/>
  <c r="R2876" i="6" s="1"/>
  <c r="M2940" i="6"/>
  <c r="N2940" i="6" s="1"/>
  <c r="R2940" i="6" s="1"/>
  <c r="M3068" i="6"/>
  <c r="N3068" i="6" s="1"/>
  <c r="R3068" i="6" s="1"/>
  <c r="M3132" i="6"/>
  <c r="N3132" i="6" s="1"/>
  <c r="R3132" i="6" s="1"/>
  <c r="M3260" i="6"/>
  <c r="N3260" i="6" s="1"/>
  <c r="R3260" i="6" s="1"/>
  <c r="M3324" i="6"/>
  <c r="N3324" i="6" s="1"/>
  <c r="R3324" i="6" s="1"/>
  <c r="M3388" i="6"/>
  <c r="N3388" i="6" s="1"/>
  <c r="R3388" i="6" s="1"/>
  <c r="M3452" i="6"/>
  <c r="N3452" i="6" s="1"/>
  <c r="M3516" i="6"/>
  <c r="N3516" i="6" s="1"/>
  <c r="R3516" i="6" s="1"/>
  <c r="M3580" i="6"/>
  <c r="N3580" i="6" s="1"/>
  <c r="R3580" i="6" s="1"/>
  <c r="M3644" i="6"/>
  <c r="N3644" i="6" s="1"/>
  <c r="R3644" i="6" s="1"/>
  <c r="M3708" i="6"/>
  <c r="N3708" i="6" s="1"/>
  <c r="R3708" i="6" s="1"/>
  <c r="M3772" i="6"/>
  <c r="N3772" i="6" s="1"/>
  <c r="R3772" i="6" s="1"/>
  <c r="M3836" i="6"/>
  <c r="N3836" i="6" s="1"/>
  <c r="R3836" i="6" s="1"/>
  <c r="M3964" i="6"/>
  <c r="N3964" i="6" s="1"/>
  <c r="R3964" i="6" s="1"/>
  <c r="M4028" i="6"/>
  <c r="N4028" i="6" s="1"/>
  <c r="M4092" i="6"/>
  <c r="N4092" i="6" s="1"/>
  <c r="R4092" i="6" s="1"/>
  <c r="M4156" i="6"/>
  <c r="N4156" i="6" s="1"/>
  <c r="R4156" i="6" s="1"/>
  <c r="M4220" i="6"/>
  <c r="N4220" i="6" s="1"/>
  <c r="R4220" i="6" s="1"/>
  <c r="M4348" i="6"/>
  <c r="N4348" i="6" s="1"/>
  <c r="R4348" i="6" s="1"/>
  <c r="M4412" i="6"/>
  <c r="N4412" i="6" s="1"/>
  <c r="R4412" i="6" s="1"/>
  <c r="M381" i="6"/>
  <c r="N381" i="6" s="1"/>
  <c r="R381" i="6" s="1"/>
  <c r="M445" i="6"/>
  <c r="N445" i="6" s="1"/>
  <c r="R445" i="6" s="1"/>
  <c r="M509" i="6"/>
  <c r="N509" i="6" s="1"/>
  <c r="M573" i="6"/>
  <c r="N573" i="6" s="1"/>
  <c r="R573" i="6" s="1"/>
  <c r="M637" i="6"/>
  <c r="N637" i="6" s="1"/>
  <c r="R637" i="6" s="1"/>
  <c r="M701" i="6"/>
  <c r="N701" i="6" s="1"/>
  <c r="R701" i="6" s="1"/>
  <c r="M765" i="6"/>
  <c r="N765" i="6" s="1"/>
  <c r="R765" i="6" s="1"/>
  <c r="M829" i="6"/>
  <c r="N829" i="6" s="1"/>
  <c r="R829" i="6" s="1"/>
  <c r="M893" i="6"/>
  <c r="N893" i="6" s="1"/>
  <c r="R893" i="6" s="1"/>
  <c r="M957" i="6"/>
  <c r="N957" i="6" s="1"/>
  <c r="R957" i="6" s="1"/>
  <c r="M1021" i="6"/>
  <c r="N1021" i="6" s="1"/>
  <c r="M1085" i="6"/>
  <c r="N1085" i="6" s="1"/>
  <c r="M1149" i="6"/>
  <c r="N1149" i="6" s="1"/>
  <c r="R1149" i="6" s="1"/>
  <c r="M1213" i="6"/>
  <c r="N1213" i="6" s="1"/>
  <c r="R1213" i="6" s="1"/>
  <c r="M1277" i="6"/>
  <c r="N1277" i="6" s="1"/>
  <c r="R1277" i="6" s="1"/>
  <c r="M1341" i="6"/>
  <c r="N1341" i="6" s="1"/>
  <c r="R1341" i="6" s="1"/>
  <c r="M1405" i="6"/>
  <c r="N1405" i="6" s="1"/>
  <c r="R1405" i="6" s="1"/>
  <c r="M1469" i="6"/>
  <c r="N1469" i="6" s="1"/>
  <c r="R1469" i="6" s="1"/>
  <c r="M1533" i="6"/>
  <c r="N1533" i="6" s="1"/>
  <c r="M1597" i="6"/>
  <c r="N1597" i="6" s="1"/>
  <c r="R1597" i="6" s="1"/>
  <c r="M1789" i="6"/>
  <c r="N1789" i="6" s="1"/>
  <c r="R1789" i="6" s="1"/>
  <c r="M1853" i="6"/>
  <c r="N1853" i="6" s="1"/>
  <c r="R1853" i="6" s="1"/>
  <c r="M1917" i="6"/>
  <c r="N1917" i="6" s="1"/>
  <c r="R1917" i="6" s="1"/>
  <c r="M2045" i="6"/>
  <c r="N2045" i="6" s="1"/>
  <c r="R2045" i="6" s="1"/>
  <c r="M2173" i="6"/>
  <c r="N2173" i="6" s="1"/>
  <c r="R2173" i="6" s="1"/>
  <c r="M2237" i="6"/>
  <c r="N2237" i="6" s="1"/>
  <c r="R2237" i="6" s="1"/>
  <c r="M2301" i="6"/>
  <c r="N2301" i="6" s="1"/>
  <c r="M2365" i="6"/>
  <c r="N2365" i="6" s="1"/>
  <c r="R2365" i="6" s="1"/>
  <c r="M2429" i="6"/>
  <c r="N2429" i="6" s="1"/>
  <c r="R2429" i="6" s="1"/>
  <c r="M2493" i="6"/>
  <c r="N2493" i="6" s="1"/>
  <c r="R2493" i="6" s="1"/>
  <c r="M2557" i="6"/>
  <c r="N2557" i="6" s="1"/>
  <c r="R2557" i="6" s="1"/>
  <c r="M2685" i="6"/>
  <c r="N2685" i="6" s="1"/>
  <c r="R2685" i="6" s="1"/>
  <c r="M2749" i="6"/>
  <c r="N2749" i="6" s="1"/>
  <c r="R2749" i="6" s="1"/>
  <c r="M2813" i="6"/>
  <c r="N2813" i="6" s="1"/>
  <c r="R2813" i="6" s="1"/>
  <c r="M2877" i="6"/>
  <c r="N2877" i="6" s="1"/>
  <c r="M2941" i="6"/>
  <c r="N2941" i="6" s="1"/>
  <c r="M3005" i="6"/>
  <c r="N3005" i="6" s="1"/>
  <c r="R3005" i="6" s="1"/>
  <c r="M3069" i="6"/>
  <c r="N3069" i="6" s="1"/>
  <c r="R3069" i="6" s="1"/>
  <c r="M3133" i="6"/>
  <c r="N3133" i="6" s="1"/>
  <c r="R3133" i="6" s="1"/>
  <c r="M3197" i="6"/>
  <c r="N3197" i="6" s="1"/>
  <c r="R3197" i="6" s="1"/>
  <c r="M3261" i="6"/>
  <c r="N3261" i="6" s="1"/>
  <c r="R3261" i="6" s="1"/>
  <c r="M3325" i="6"/>
  <c r="N3325" i="6" s="1"/>
  <c r="R3325" i="6" s="1"/>
  <c r="M3389" i="6"/>
  <c r="N3389" i="6" s="1"/>
  <c r="R3389" i="6" s="1"/>
  <c r="M3453" i="6"/>
  <c r="N3453" i="6" s="1"/>
  <c r="R3453" i="6" s="1"/>
  <c r="M3517" i="6"/>
  <c r="N3517" i="6" s="1"/>
  <c r="R3517" i="6" s="1"/>
  <c r="M3581" i="6"/>
  <c r="N3581" i="6" s="1"/>
  <c r="R3581" i="6" s="1"/>
  <c r="M3645" i="6"/>
  <c r="N3645" i="6" s="1"/>
  <c r="R3645" i="6" s="1"/>
  <c r="M3709" i="6"/>
  <c r="N3709" i="6" s="1"/>
  <c r="R3709" i="6" s="1"/>
  <c r="M3773" i="6"/>
  <c r="N3773" i="6" s="1"/>
  <c r="R3773" i="6" s="1"/>
  <c r="M3837" i="6"/>
  <c r="N3837" i="6" s="1"/>
  <c r="R3837" i="6" s="1"/>
  <c r="M3901" i="6"/>
  <c r="N3901" i="6" s="1"/>
  <c r="R3901" i="6" s="1"/>
  <c r="M3965" i="6"/>
  <c r="N3965" i="6" s="1"/>
  <c r="R3965" i="6" s="1"/>
  <c r="M4029" i="6"/>
  <c r="N4029" i="6" s="1"/>
  <c r="R4029" i="6" s="1"/>
  <c r="M4093" i="6"/>
  <c r="N4093" i="6" s="1"/>
  <c r="R4093" i="6" s="1"/>
  <c r="M4157" i="6"/>
  <c r="N4157" i="6" s="1"/>
  <c r="R4157" i="6" s="1"/>
  <c r="M4221" i="6"/>
  <c r="N4221" i="6" s="1"/>
  <c r="R4221" i="6" s="1"/>
  <c r="M4285" i="6"/>
  <c r="N4285" i="6" s="1"/>
  <c r="R4285" i="6" s="1"/>
  <c r="M4349" i="6"/>
  <c r="N4349" i="6" s="1"/>
  <c r="R4349" i="6" s="1"/>
  <c r="M4477" i="6"/>
  <c r="N4477" i="6" s="1"/>
  <c r="R4477" i="6" s="1"/>
  <c r="M4605" i="6"/>
  <c r="N4605" i="6" s="1"/>
  <c r="R4605" i="6" s="1"/>
  <c r="M4669" i="6"/>
  <c r="N4669" i="6" s="1"/>
  <c r="R4669" i="6" s="1"/>
  <c r="M4733" i="6"/>
  <c r="N4733" i="6" s="1"/>
  <c r="R4733" i="6" s="1"/>
  <c r="M4797" i="6"/>
  <c r="N4797" i="6" s="1"/>
  <c r="R4797" i="6" s="1"/>
  <c r="M4861" i="6"/>
  <c r="N4861" i="6" s="1"/>
  <c r="R4861" i="6" s="1"/>
  <c r="M4925" i="6"/>
  <c r="N4925" i="6" s="1"/>
  <c r="R4925" i="6" s="1"/>
  <c r="M4989" i="6"/>
  <c r="N4989" i="6" s="1"/>
  <c r="R4989" i="6" s="1"/>
  <c r="M366" i="6"/>
  <c r="N366" i="6" s="1"/>
  <c r="M430" i="6"/>
  <c r="N430" i="6" s="1"/>
  <c r="R430" i="6" s="1"/>
  <c r="M494" i="6"/>
  <c r="N494" i="6" s="1"/>
  <c r="R494" i="6" s="1"/>
  <c r="M558" i="6"/>
  <c r="N558" i="6" s="1"/>
  <c r="R558" i="6" s="1"/>
  <c r="M622" i="6"/>
  <c r="N622" i="6" s="1"/>
  <c r="R622" i="6" s="1"/>
  <c r="M686" i="6"/>
  <c r="N686" i="6" s="1"/>
  <c r="M750" i="6"/>
  <c r="N750" i="6" s="1"/>
  <c r="R750" i="6" s="1"/>
  <c r="M814" i="6"/>
  <c r="N814" i="6" s="1"/>
  <c r="R814" i="6" s="1"/>
  <c r="M878" i="6"/>
  <c r="N878" i="6" s="1"/>
  <c r="M942" i="6"/>
  <c r="N942" i="6" s="1"/>
  <c r="R942" i="6" s="1"/>
  <c r="M1006" i="6"/>
  <c r="N1006" i="6" s="1"/>
  <c r="R1006" i="6" s="1"/>
  <c r="M1070" i="6"/>
  <c r="N1070" i="6" s="1"/>
  <c r="R1070" i="6" s="1"/>
  <c r="M1134" i="6"/>
  <c r="N1134" i="6" s="1"/>
  <c r="R1134" i="6" s="1"/>
  <c r="M1198" i="6"/>
  <c r="N1198" i="6" s="1"/>
  <c r="R1198" i="6" s="1"/>
  <c r="M1262" i="6"/>
  <c r="N1262" i="6" s="1"/>
  <c r="R1262" i="6" s="1"/>
  <c r="M1326" i="6"/>
  <c r="N1326" i="6" s="1"/>
  <c r="R1326" i="6" s="1"/>
  <c r="M1390" i="6"/>
  <c r="N1390" i="6" s="1"/>
  <c r="M1454" i="6"/>
  <c r="N1454" i="6" s="1"/>
  <c r="R1454" i="6" s="1"/>
  <c r="M1518" i="6"/>
  <c r="N1518" i="6" s="1"/>
  <c r="R1518" i="6" s="1"/>
  <c r="M1582" i="6"/>
  <c r="N1582" i="6" s="1"/>
  <c r="R1582" i="6" s="1"/>
  <c r="M1646" i="6"/>
  <c r="N1646" i="6" s="1"/>
  <c r="R1646" i="6" s="1"/>
  <c r="M1710" i="6"/>
  <c r="N1710" i="6" s="1"/>
  <c r="R1710" i="6" s="1"/>
  <c r="M1838" i="6"/>
  <c r="N1838" i="6" s="1"/>
  <c r="R1838" i="6" s="1"/>
  <c r="M1902" i="6"/>
  <c r="N1902" i="6" s="1"/>
  <c r="R1902" i="6" s="1"/>
  <c r="M1966" i="6"/>
  <c r="N1966" i="6" s="1"/>
  <c r="M2030" i="6"/>
  <c r="N2030" i="6" s="1"/>
  <c r="R2030" i="6" s="1"/>
  <c r="M2094" i="6"/>
  <c r="N2094" i="6" s="1"/>
  <c r="R2094" i="6" s="1"/>
  <c r="M2158" i="6"/>
  <c r="N2158" i="6" s="1"/>
  <c r="R2158" i="6" s="1"/>
  <c r="M2286" i="6"/>
  <c r="N2286" i="6" s="1"/>
  <c r="R2286" i="6" s="1"/>
  <c r="M2350" i="6"/>
  <c r="N2350" i="6" s="1"/>
  <c r="R2350" i="6" s="1"/>
  <c r="M2414" i="6"/>
  <c r="N2414" i="6" s="1"/>
  <c r="R2414" i="6" s="1"/>
  <c r="M2478" i="6"/>
  <c r="N2478" i="6" s="1"/>
  <c r="R2478" i="6" s="1"/>
  <c r="M2542" i="6"/>
  <c r="N2542" i="6" s="1"/>
  <c r="M2606" i="6"/>
  <c r="N2606" i="6" s="1"/>
  <c r="R2606" i="6" s="1"/>
  <c r="M2670" i="6"/>
  <c r="N2670" i="6" s="1"/>
  <c r="R2670" i="6" s="1"/>
  <c r="M2734" i="6"/>
  <c r="N2734" i="6" s="1"/>
  <c r="R2734" i="6" s="1"/>
  <c r="M2798" i="6"/>
  <c r="N2798" i="6" s="1"/>
  <c r="R2798" i="6" s="1"/>
  <c r="M2862" i="6"/>
  <c r="N2862" i="6" s="1"/>
  <c r="R2862" i="6" s="1"/>
  <c r="M2926" i="6"/>
  <c r="N2926" i="6" s="1"/>
  <c r="R2926" i="6" s="1"/>
  <c r="M2990" i="6"/>
  <c r="N2990" i="6" s="1"/>
  <c r="R2990" i="6" s="1"/>
  <c r="M3054" i="6"/>
  <c r="N3054" i="6" s="1"/>
  <c r="M3118" i="6"/>
  <c r="N3118" i="6" s="1"/>
  <c r="R3118" i="6" s="1"/>
  <c r="M3182" i="6"/>
  <c r="N3182" i="6" s="1"/>
  <c r="R3182" i="6" s="1"/>
  <c r="M3246" i="6"/>
  <c r="N3246" i="6" s="1"/>
  <c r="R3246" i="6" s="1"/>
  <c r="M3310" i="6"/>
  <c r="N3310" i="6" s="1"/>
  <c r="R3310" i="6" s="1"/>
  <c r="M3374" i="6"/>
  <c r="N3374" i="6" s="1"/>
  <c r="R3374" i="6" s="1"/>
  <c r="M3438" i="6"/>
  <c r="N3438" i="6" s="1"/>
  <c r="R3438" i="6" s="1"/>
  <c r="M3502" i="6"/>
  <c r="N3502" i="6" s="1"/>
  <c r="R3502" i="6" s="1"/>
  <c r="M3566" i="6"/>
  <c r="N3566" i="6" s="1"/>
  <c r="M3630" i="6"/>
  <c r="N3630" i="6" s="1"/>
  <c r="R3630" i="6" s="1"/>
  <c r="M3694" i="6"/>
  <c r="N3694" i="6" s="1"/>
  <c r="R3694" i="6" s="1"/>
  <c r="M3758" i="6"/>
  <c r="N3758" i="6" s="1"/>
  <c r="R3758" i="6" s="1"/>
  <c r="M3822" i="6"/>
  <c r="N3822" i="6" s="1"/>
  <c r="R3822" i="6" s="1"/>
  <c r="M3886" i="6"/>
  <c r="N3886" i="6" s="1"/>
  <c r="R3886" i="6" s="1"/>
  <c r="M3950" i="6"/>
  <c r="N3950" i="6" s="1"/>
  <c r="R3950" i="6" s="1"/>
  <c r="M4014" i="6"/>
  <c r="N4014" i="6" s="1"/>
  <c r="R4014" i="6" s="1"/>
  <c r="M4078" i="6"/>
  <c r="N4078" i="6" s="1"/>
  <c r="M4142" i="6"/>
  <c r="N4142" i="6" s="1"/>
  <c r="R4142" i="6" s="1"/>
  <c r="M4206" i="6"/>
  <c r="N4206" i="6" s="1"/>
  <c r="R4206" i="6" s="1"/>
  <c r="M4270" i="6"/>
  <c r="N4270" i="6" s="1"/>
  <c r="R4270" i="6" s="1"/>
  <c r="M4334" i="6"/>
  <c r="N4334" i="6" s="1"/>
  <c r="R4334" i="6" s="1"/>
  <c r="M4398" i="6"/>
  <c r="N4398" i="6" s="1"/>
  <c r="R4398" i="6" s="1"/>
  <c r="M4462" i="6"/>
  <c r="N4462" i="6" s="1"/>
  <c r="R4462" i="6" s="1"/>
  <c r="M4526" i="6"/>
  <c r="N4526" i="6" s="1"/>
  <c r="R4526" i="6" s="1"/>
  <c r="M4590" i="6"/>
  <c r="N4590" i="6" s="1"/>
  <c r="M4654" i="6"/>
  <c r="N4654" i="6" s="1"/>
  <c r="R4654" i="6" s="1"/>
  <c r="M4718" i="6"/>
  <c r="N4718" i="6" s="1"/>
  <c r="R4718" i="6" s="1"/>
  <c r="M4782" i="6"/>
  <c r="N4782" i="6" s="1"/>
  <c r="R4782" i="6" s="1"/>
  <c r="M4846" i="6"/>
  <c r="N4846" i="6" s="1"/>
  <c r="R4846" i="6" s="1"/>
  <c r="M4910" i="6"/>
  <c r="N4910" i="6" s="1"/>
  <c r="R4910" i="6" s="1"/>
  <c r="M4974" i="6"/>
  <c r="N4974" i="6" s="1"/>
  <c r="R4974" i="6" s="1"/>
  <c r="M335" i="6"/>
  <c r="N335" i="6" s="1"/>
  <c r="R335" i="6" s="1"/>
  <c r="M399" i="6"/>
  <c r="N399" i="6" s="1"/>
  <c r="M463" i="6"/>
  <c r="N463" i="6" s="1"/>
  <c r="R463" i="6" s="1"/>
  <c r="M527" i="6"/>
  <c r="N527" i="6" s="1"/>
  <c r="R527" i="6" s="1"/>
  <c r="M591" i="6"/>
  <c r="N591" i="6" s="1"/>
  <c r="R591" i="6" s="1"/>
  <c r="M655" i="6"/>
  <c r="N655" i="6" s="1"/>
  <c r="R655" i="6" s="1"/>
  <c r="M719" i="6"/>
  <c r="N719" i="6" s="1"/>
  <c r="R719" i="6" s="1"/>
  <c r="M783" i="6"/>
  <c r="N783" i="6" s="1"/>
  <c r="R783" i="6" s="1"/>
  <c r="M847" i="6"/>
  <c r="N847" i="6" s="1"/>
  <c r="R847" i="6" s="1"/>
  <c r="M911" i="6"/>
  <c r="N911" i="6" s="1"/>
  <c r="M975" i="6"/>
  <c r="N975" i="6" s="1"/>
  <c r="M1039" i="6"/>
  <c r="N1039" i="6" s="1"/>
  <c r="R1039" i="6" s="1"/>
  <c r="M1103" i="6"/>
  <c r="N1103" i="6" s="1"/>
  <c r="R1103" i="6" s="1"/>
  <c r="M1167" i="6"/>
  <c r="N1167" i="6" s="1"/>
  <c r="R1167" i="6" s="1"/>
  <c r="M1231" i="6"/>
  <c r="N1231" i="6" s="1"/>
  <c r="R1231" i="6" s="1"/>
  <c r="M1295" i="6"/>
  <c r="N1295" i="6" s="1"/>
  <c r="R1295" i="6" s="1"/>
  <c r="M1359" i="6"/>
  <c r="N1359" i="6" s="1"/>
  <c r="R1359" i="6" s="1"/>
  <c r="M1423" i="6"/>
  <c r="N1423" i="6" s="1"/>
  <c r="M1487" i="6"/>
  <c r="N1487" i="6" s="1"/>
  <c r="R1487" i="6" s="1"/>
  <c r="M1551" i="6"/>
  <c r="N1551" i="6" s="1"/>
  <c r="R1551" i="6" s="1"/>
  <c r="M1615" i="6"/>
  <c r="N1615" i="6" s="1"/>
  <c r="R1615" i="6" s="1"/>
  <c r="M1679" i="6"/>
  <c r="N1679" i="6" s="1"/>
  <c r="R1679" i="6" s="1"/>
  <c r="M1743" i="6"/>
  <c r="N1743" i="6" s="1"/>
  <c r="R1743" i="6" s="1"/>
  <c r="M1807" i="6"/>
  <c r="N1807" i="6" s="1"/>
  <c r="R1807" i="6" s="1"/>
  <c r="M1871" i="6"/>
  <c r="N1871" i="6" s="1"/>
  <c r="R1871" i="6" s="1"/>
  <c r="M1935" i="6"/>
  <c r="N1935" i="6" s="1"/>
  <c r="M1999" i="6"/>
  <c r="N1999" i="6" s="1"/>
  <c r="M2063" i="6"/>
  <c r="N2063" i="6" s="1"/>
  <c r="R2063" i="6" s="1"/>
  <c r="M2127" i="6"/>
  <c r="N2127" i="6" s="1"/>
  <c r="R2127" i="6" s="1"/>
  <c r="M2191" i="6"/>
  <c r="N2191" i="6" s="1"/>
  <c r="R2191" i="6" s="1"/>
  <c r="M2255" i="6"/>
  <c r="N2255" i="6" s="1"/>
  <c r="R2255" i="6" s="1"/>
  <c r="M2383" i="6"/>
  <c r="N2383" i="6" s="1"/>
  <c r="R2383" i="6" s="1"/>
  <c r="M2447" i="6"/>
  <c r="N2447" i="6" s="1"/>
  <c r="R2447" i="6" s="1"/>
  <c r="M2511" i="6"/>
  <c r="N2511" i="6" s="1"/>
  <c r="R2511" i="6" s="1"/>
  <c r="M2575" i="6"/>
  <c r="N2575" i="6" s="1"/>
  <c r="R2575" i="6" s="1"/>
  <c r="M2703" i="6"/>
  <c r="N2703" i="6" s="1"/>
  <c r="R2703" i="6" s="1"/>
  <c r="M2767" i="6"/>
  <c r="N2767" i="6" s="1"/>
  <c r="M2831" i="6"/>
  <c r="N2831" i="6" s="1"/>
  <c r="R2831" i="6" s="1"/>
  <c r="M2895" i="6"/>
  <c r="N2895" i="6" s="1"/>
  <c r="R2895" i="6" s="1"/>
  <c r="M2959" i="6"/>
  <c r="N2959" i="6" s="1"/>
  <c r="R2959" i="6" s="1"/>
  <c r="M3023" i="6"/>
  <c r="N3023" i="6" s="1"/>
  <c r="R3023" i="6" s="1"/>
  <c r="M3087" i="6"/>
  <c r="N3087" i="6" s="1"/>
  <c r="R3087" i="6" s="1"/>
  <c r="M3151" i="6"/>
  <c r="N3151" i="6" s="1"/>
  <c r="R3151" i="6" s="1"/>
  <c r="M3215" i="6"/>
  <c r="N3215" i="6" s="1"/>
  <c r="R3215" i="6" s="1"/>
  <c r="M3279" i="6"/>
  <c r="N3279" i="6" s="1"/>
  <c r="R3279" i="6" s="1"/>
  <c r="M3343" i="6"/>
  <c r="N3343" i="6" s="1"/>
  <c r="R3343" i="6" s="1"/>
  <c r="M3535" i="6"/>
  <c r="N3535" i="6" s="1"/>
  <c r="R3535" i="6" s="1"/>
  <c r="M3599" i="6"/>
  <c r="N3599" i="6" s="1"/>
  <c r="R3599" i="6" s="1"/>
  <c r="M3663" i="6"/>
  <c r="N3663" i="6" s="1"/>
  <c r="R3663" i="6" s="1"/>
  <c r="M3727" i="6"/>
  <c r="N3727" i="6" s="1"/>
  <c r="M3791" i="6"/>
  <c r="N3791" i="6" s="1"/>
  <c r="M3855" i="6"/>
  <c r="N3855" i="6" s="1"/>
  <c r="R3855" i="6" s="1"/>
  <c r="M3919" i="6"/>
  <c r="N3919" i="6" s="1"/>
  <c r="R3919" i="6" s="1"/>
  <c r="M3983" i="6"/>
  <c r="N3983" i="6" s="1"/>
  <c r="R3983" i="6" s="1"/>
  <c r="M4047" i="6"/>
  <c r="N4047" i="6" s="1"/>
  <c r="R4047" i="6" s="1"/>
  <c r="M4111" i="6"/>
  <c r="N4111" i="6" s="1"/>
  <c r="R4111" i="6" s="1"/>
  <c r="M4175" i="6"/>
  <c r="N4175" i="6" s="1"/>
  <c r="R4175" i="6" s="1"/>
  <c r="M4239" i="6"/>
  <c r="N4239" i="6" s="1"/>
  <c r="R4239" i="6" s="1"/>
  <c r="M4303" i="6"/>
  <c r="N4303" i="6" s="1"/>
  <c r="R4303" i="6" s="1"/>
  <c r="M4367" i="6"/>
  <c r="N4367" i="6" s="1"/>
  <c r="R4367" i="6" s="1"/>
  <c r="M4431" i="6"/>
  <c r="N4431" i="6" s="1"/>
  <c r="R4431" i="6" s="1"/>
  <c r="M4495" i="6"/>
  <c r="N4495" i="6" s="1"/>
  <c r="R4495" i="6" s="1"/>
  <c r="M4559" i="6"/>
  <c r="N4559" i="6" s="1"/>
  <c r="R4559" i="6" s="1"/>
  <c r="M4623" i="6"/>
  <c r="N4623" i="6" s="1"/>
  <c r="R4623" i="6" s="1"/>
  <c r="M4687" i="6"/>
  <c r="N4687" i="6" s="1"/>
  <c r="R4687" i="6" s="1"/>
  <c r="M4751" i="6"/>
  <c r="N4751" i="6" s="1"/>
  <c r="R4751" i="6" s="1"/>
  <c r="M4815" i="6"/>
  <c r="N4815" i="6" s="1"/>
  <c r="M4879" i="6"/>
  <c r="N4879" i="6" s="1"/>
  <c r="R4879" i="6" s="1"/>
  <c r="M4943" i="6"/>
  <c r="N4943" i="6" s="1"/>
  <c r="R4943" i="6" s="1"/>
  <c r="M4492" i="6"/>
  <c r="N4492" i="6" s="1"/>
  <c r="R4492" i="6" s="1"/>
  <c r="M4556" i="6"/>
  <c r="N4556" i="6" s="1"/>
  <c r="R4556" i="6" s="1"/>
  <c r="M4620" i="6"/>
  <c r="N4620" i="6" s="1"/>
  <c r="R4620" i="6" s="1"/>
  <c r="M4684" i="6"/>
  <c r="N4684" i="6" s="1"/>
  <c r="R4684" i="6" s="1"/>
  <c r="M4748" i="6"/>
  <c r="N4748" i="6" s="1"/>
  <c r="M4812" i="6"/>
  <c r="N4812" i="6" s="1"/>
  <c r="M4876" i="6"/>
  <c r="N4876" i="6" s="1"/>
  <c r="R4876" i="6" s="1"/>
  <c r="M4940" i="6"/>
  <c r="N4940" i="6" s="1"/>
  <c r="R4940" i="6" s="1"/>
  <c r="M15" i="6"/>
  <c r="N15" i="6" s="1"/>
  <c r="R15" i="6" s="1"/>
  <c r="M79" i="6"/>
  <c r="N79" i="6" s="1"/>
  <c r="R79" i="6" s="1"/>
  <c r="M143" i="6"/>
  <c r="N143" i="6" s="1"/>
  <c r="M207" i="6"/>
  <c r="N207" i="6" s="1"/>
  <c r="R207" i="6" s="1"/>
  <c r="M271" i="6"/>
  <c r="N271" i="6" s="1"/>
  <c r="R271" i="6" s="1"/>
  <c r="M40" i="6"/>
  <c r="N40" i="6" s="1"/>
  <c r="R40" i="6" s="1"/>
  <c r="M104" i="6"/>
  <c r="N104" i="6" s="1"/>
  <c r="R104" i="6" s="1"/>
  <c r="M168" i="6"/>
  <c r="N168" i="6" s="1"/>
  <c r="R168" i="6" s="1"/>
  <c r="M232" i="6"/>
  <c r="N232" i="6" s="1"/>
  <c r="R232" i="6" s="1"/>
  <c r="M296" i="6"/>
  <c r="N296" i="6" s="1"/>
  <c r="R296" i="6" s="1"/>
  <c r="M57" i="6"/>
  <c r="N57" i="6" s="1"/>
  <c r="R57" i="6" s="1"/>
  <c r="M121" i="6"/>
  <c r="N121" i="6" s="1"/>
  <c r="R121" i="6" s="1"/>
  <c r="M185" i="6"/>
  <c r="N185" i="6" s="1"/>
  <c r="R185" i="6" s="1"/>
  <c r="M249" i="6"/>
  <c r="N249" i="6" s="1"/>
  <c r="R249" i="6" s="1"/>
  <c r="M313" i="6"/>
  <c r="N313" i="6" s="1"/>
  <c r="R313" i="6" s="1"/>
  <c r="M66" i="6"/>
  <c r="N66" i="6" s="1"/>
  <c r="R66" i="6" s="1"/>
  <c r="M130" i="6"/>
  <c r="N130" i="6" s="1"/>
  <c r="R130" i="6" s="1"/>
  <c r="M194" i="6"/>
  <c r="N194" i="6" s="1"/>
  <c r="R194" i="6" s="1"/>
  <c r="M258" i="6"/>
  <c r="N258" i="6" s="1"/>
  <c r="R258" i="6" s="1"/>
  <c r="M322" i="6"/>
  <c r="N322" i="6" s="1"/>
  <c r="R322" i="6" s="1"/>
  <c r="M59" i="6"/>
  <c r="N59" i="6" s="1"/>
  <c r="R59" i="6" s="1"/>
  <c r="M123" i="6"/>
  <c r="N123" i="6" s="1"/>
  <c r="R123" i="6" s="1"/>
  <c r="M187" i="6"/>
  <c r="N187" i="6" s="1"/>
  <c r="R187" i="6" s="1"/>
  <c r="M251" i="6"/>
  <c r="N251" i="6" s="1"/>
  <c r="R251" i="6" s="1"/>
  <c r="M21" i="6"/>
  <c r="N21" i="6" s="1"/>
  <c r="R21" i="6" s="1"/>
  <c r="M85" i="6"/>
  <c r="N85" i="6" s="1"/>
  <c r="R85" i="6" s="1"/>
  <c r="M149" i="6"/>
  <c r="N149" i="6" s="1"/>
  <c r="R149" i="6" s="1"/>
  <c r="M213" i="6"/>
  <c r="N213" i="6" s="1"/>
  <c r="R213" i="6" s="1"/>
  <c r="M277" i="6"/>
  <c r="N277" i="6" s="1"/>
  <c r="R277" i="6" s="1"/>
  <c r="M14" i="6"/>
  <c r="N14" i="6" s="1"/>
  <c r="R14" i="6" s="1"/>
  <c r="M78" i="6"/>
  <c r="N78" i="6" s="1"/>
  <c r="R78" i="6" s="1"/>
  <c r="M150" i="6"/>
  <c r="N150" i="6" s="1"/>
  <c r="R150" i="6" s="1"/>
  <c r="M222" i="6"/>
  <c r="N222" i="6" s="1"/>
  <c r="R222" i="6" s="1"/>
  <c r="M286" i="6"/>
  <c r="N286" i="6" s="1"/>
  <c r="R286" i="6" s="1"/>
  <c r="M328" i="6"/>
  <c r="N328" i="6" s="1"/>
  <c r="R328" i="6" s="1"/>
  <c r="M392" i="6"/>
  <c r="N392" i="6" s="1"/>
  <c r="R392" i="6" s="1"/>
  <c r="M456" i="6"/>
  <c r="N456" i="6" s="1"/>
  <c r="R456" i="6" s="1"/>
  <c r="M520" i="6"/>
  <c r="N520" i="6" s="1"/>
  <c r="R520" i="6" s="1"/>
  <c r="M584" i="6"/>
  <c r="N584" i="6" s="1"/>
  <c r="M648" i="6"/>
  <c r="N648" i="6" s="1"/>
  <c r="R648" i="6" s="1"/>
  <c r="M712" i="6"/>
  <c r="N712" i="6" s="1"/>
  <c r="R712" i="6" s="1"/>
  <c r="M776" i="6"/>
  <c r="N776" i="6" s="1"/>
  <c r="R776" i="6" s="1"/>
  <c r="M840" i="6"/>
  <c r="N840" i="6" s="1"/>
  <c r="R840" i="6" s="1"/>
  <c r="M904" i="6"/>
  <c r="N904" i="6" s="1"/>
  <c r="R904" i="6" s="1"/>
  <c r="M968" i="6"/>
  <c r="N968" i="6" s="1"/>
  <c r="M1032" i="6"/>
  <c r="N1032" i="6" s="1"/>
  <c r="R1032" i="6" s="1"/>
  <c r="M1096" i="6"/>
  <c r="N1096" i="6" s="1"/>
  <c r="R1096" i="6" s="1"/>
  <c r="M1160" i="6"/>
  <c r="N1160" i="6" s="1"/>
  <c r="R1160" i="6" s="1"/>
  <c r="M1224" i="6"/>
  <c r="N1224" i="6" s="1"/>
  <c r="R1224" i="6" s="1"/>
  <c r="M1288" i="6"/>
  <c r="N1288" i="6" s="1"/>
  <c r="R1288" i="6" s="1"/>
  <c r="M1352" i="6"/>
  <c r="N1352" i="6" s="1"/>
  <c r="R1352" i="6" s="1"/>
  <c r="M1416" i="6"/>
  <c r="N1416" i="6" s="1"/>
  <c r="R1416" i="6" s="1"/>
  <c r="M1480" i="6"/>
  <c r="N1480" i="6" s="1"/>
  <c r="M1544" i="6"/>
  <c r="N1544" i="6" s="1"/>
  <c r="R1544" i="6" s="1"/>
  <c r="M1608" i="6"/>
  <c r="N1608" i="6" s="1"/>
  <c r="R1608" i="6" s="1"/>
  <c r="M1672" i="6"/>
  <c r="N1672" i="6" s="1"/>
  <c r="R1672" i="6" s="1"/>
  <c r="M1736" i="6"/>
  <c r="N1736" i="6" s="1"/>
  <c r="M1800" i="6"/>
  <c r="N1800" i="6" s="1"/>
  <c r="R1800" i="6" s="1"/>
  <c r="M1864" i="6"/>
  <c r="N1864" i="6" s="1"/>
  <c r="R1864" i="6" s="1"/>
  <c r="M1928" i="6"/>
  <c r="N1928" i="6" s="1"/>
  <c r="R1928" i="6" s="1"/>
  <c r="M1992" i="6"/>
  <c r="N1992" i="6" s="1"/>
  <c r="R1992" i="6" s="1"/>
  <c r="M2056" i="6"/>
  <c r="N2056" i="6" s="1"/>
  <c r="R2056" i="6" s="1"/>
  <c r="M2120" i="6"/>
  <c r="N2120" i="6" s="1"/>
  <c r="R2120" i="6" s="1"/>
  <c r="M2184" i="6"/>
  <c r="N2184" i="6" s="1"/>
  <c r="R2184" i="6" s="1"/>
  <c r="M2248" i="6"/>
  <c r="N2248" i="6" s="1"/>
  <c r="R2248" i="6" s="1"/>
  <c r="M2312" i="6"/>
  <c r="N2312" i="6" s="1"/>
  <c r="R2312" i="6" s="1"/>
  <c r="M2376" i="6"/>
  <c r="N2376" i="6" s="1"/>
  <c r="R2376" i="6" s="1"/>
  <c r="M2440" i="6"/>
  <c r="N2440" i="6" s="1"/>
  <c r="R2440" i="6" s="1"/>
  <c r="M2504" i="6"/>
  <c r="N2504" i="6" s="1"/>
  <c r="M2568" i="6"/>
  <c r="N2568" i="6" s="1"/>
  <c r="R2568" i="6" s="1"/>
  <c r="M2632" i="6"/>
  <c r="N2632" i="6" s="1"/>
  <c r="R2632" i="6" s="1"/>
  <c r="M2696" i="6"/>
  <c r="N2696" i="6" s="1"/>
  <c r="R2696" i="6" s="1"/>
  <c r="M2760" i="6"/>
  <c r="N2760" i="6" s="1"/>
  <c r="R2760" i="6" s="1"/>
  <c r="M2824" i="6"/>
  <c r="N2824" i="6" s="1"/>
  <c r="R2824" i="6" s="1"/>
  <c r="M2888" i="6"/>
  <c r="N2888" i="6" s="1"/>
  <c r="R2888" i="6" s="1"/>
  <c r="M2952" i="6"/>
  <c r="N2952" i="6" s="1"/>
  <c r="R2952" i="6" s="1"/>
  <c r="M3016" i="6"/>
  <c r="N3016" i="6" s="1"/>
  <c r="R3016" i="6" s="1"/>
  <c r="M3144" i="6"/>
  <c r="N3144" i="6" s="1"/>
  <c r="R3144" i="6" s="1"/>
  <c r="M3272" i="6"/>
  <c r="N3272" i="6" s="1"/>
  <c r="R3272" i="6" s="1"/>
  <c r="M3336" i="6"/>
  <c r="N3336" i="6" s="1"/>
  <c r="R3336" i="6" s="1"/>
  <c r="M3400" i="6"/>
  <c r="N3400" i="6" s="1"/>
  <c r="R3400" i="6" s="1"/>
  <c r="M3464" i="6"/>
  <c r="N3464" i="6" s="1"/>
  <c r="R3464" i="6" s="1"/>
  <c r="M3528" i="6"/>
  <c r="N3528" i="6" s="1"/>
  <c r="R3528" i="6" s="1"/>
  <c r="M3592" i="6"/>
  <c r="N3592" i="6" s="1"/>
  <c r="R3592" i="6" s="1"/>
  <c r="M3656" i="6"/>
  <c r="N3656" i="6" s="1"/>
  <c r="M3720" i="6"/>
  <c r="N3720" i="6" s="1"/>
  <c r="M3784" i="6"/>
  <c r="N3784" i="6" s="1"/>
  <c r="R3784" i="6" s="1"/>
  <c r="M3848" i="6"/>
  <c r="N3848" i="6" s="1"/>
  <c r="R3848" i="6" s="1"/>
  <c r="M3912" i="6"/>
  <c r="N3912" i="6" s="1"/>
  <c r="R3912" i="6" s="1"/>
  <c r="M3976" i="6"/>
  <c r="N3976" i="6" s="1"/>
  <c r="R3976" i="6" s="1"/>
  <c r="M4040" i="6"/>
  <c r="N4040" i="6" s="1"/>
  <c r="R4040" i="6" s="1"/>
  <c r="M4104" i="6"/>
  <c r="N4104" i="6" s="1"/>
  <c r="R4104" i="6" s="1"/>
  <c r="M4168" i="6"/>
  <c r="N4168" i="6" s="1"/>
  <c r="M4232" i="6"/>
  <c r="N4232" i="6" s="1"/>
  <c r="M4296" i="6"/>
  <c r="N4296" i="6" s="1"/>
  <c r="R4296" i="6" s="1"/>
  <c r="M4360" i="6"/>
  <c r="N4360" i="6" s="1"/>
  <c r="R4360" i="6" s="1"/>
  <c r="M4424" i="6"/>
  <c r="N4424" i="6" s="1"/>
  <c r="R4424" i="6" s="1"/>
  <c r="M4488" i="6"/>
  <c r="N4488" i="6" s="1"/>
  <c r="R4488" i="6" s="1"/>
  <c r="M4616" i="6"/>
  <c r="N4616" i="6" s="1"/>
  <c r="R4616" i="6" s="1"/>
  <c r="M4680" i="6"/>
  <c r="N4680" i="6" s="1"/>
  <c r="R4680" i="6" s="1"/>
  <c r="M4744" i="6"/>
  <c r="N4744" i="6" s="1"/>
  <c r="R4744" i="6" s="1"/>
  <c r="M4808" i="6"/>
  <c r="N4808" i="6" s="1"/>
  <c r="R4808" i="6" s="1"/>
  <c r="M4872" i="6"/>
  <c r="N4872" i="6" s="1"/>
  <c r="R4872" i="6" s="1"/>
  <c r="M4936" i="6"/>
  <c r="N4936" i="6" s="1"/>
  <c r="R4936" i="6" s="1"/>
  <c r="M5000" i="6"/>
  <c r="N5000" i="6" s="1"/>
  <c r="R5000" i="6" s="1"/>
  <c r="M377" i="6"/>
  <c r="N377" i="6" s="1"/>
  <c r="R377" i="6" s="1"/>
  <c r="M441" i="6"/>
  <c r="N441" i="6" s="1"/>
  <c r="R441" i="6" s="1"/>
  <c r="M505" i="6"/>
  <c r="N505" i="6" s="1"/>
  <c r="R505" i="6" s="1"/>
  <c r="M569" i="6"/>
  <c r="N569" i="6" s="1"/>
  <c r="M633" i="6"/>
  <c r="N633" i="6" s="1"/>
  <c r="R633" i="6" s="1"/>
  <c r="M697" i="6"/>
  <c r="N697" i="6" s="1"/>
  <c r="R697" i="6" s="1"/>
  <c r="M761" i="6"/>
  <c r="N761" i="6" s="1"/>
  <c r="R761" i="6" s="1"/>
  <c r="M825" i="6"/>
  <c r="N825" i="6" s="1"/>
  <c r="R825" i="6" s="1"/>
  <c r="M889" i="6"/>
  <c r="N889" i="6" s="1"/>
  <c r="R889" i="6" s="1"/>
  <c r="M953" i="6"/>
  <c r="N953" i="6" s="1"/>
  <c r="R953" i="6" s="1"/>
  <c r="M1017" i="6"/>
  <c r="N1017" i="6" s="1"/>
  <c r="R1017" i="6" s="1"/>
  <c r="M1081" i="6"/>
  <c r="N1081" i="6" s="1"/>
  <c r="M1145" i="6"/>
  <c r="N1145" i="6" s="1"/>
  <c r="R1145" i="6" s="1"/>
  <c r="M1209" i="6"/>
  <c r="N1209" i="6" s="1"/>
  <c r="R1209" i="6" s="1"/>
  <c r="M1273" i="6"/>
  <c r="N1273" i="6" s="1"/>
  <c r="R1273" i="6" s="1"/>
  <c r="M1337" i="6"/>
  <c r="N1337" i="6" s="1"/>
  <c r="R1337" i="6" s="1"/>
  <c r="M1401" i="6"/>
  <c r="N1401" i="6" s="1"/>
  <c r="R1401" i="6" s="1"/>
  <c r="M1465" i="6"/>
  <c r="N1465" i="6" s="1"/>
  <c r="R1465" i="6" s="1"/>
  <c r="M1529" i="6"/>
  <c r="N1529" i="6" s="1"/>
  <c r="R1529" i="6" s="1"/>
  <c r="M1593" i="6"/>
  <c r="N1593" i="6" s="1"/>
  <c r="M1657" i="6"/>
  <c r="N1657" i="6" s="1"/>
  <c r="R1657" i="6" s="1"/>
  <c r="M1721" i="6"/>
  <c r="N1721" i="6" s="1"/>
  <c r="R1721" i="6" s="1"/>
  <c r="M1785" i="6"/>
  <c r="N1785" i="6" s="1"/>
  <c r="R1785" i="6" s="1"/>
  <c r="M1849" i="6"/>
  <c r="N1849" i="6" s="1"/>
  <c r="R1849" i="6" s="1"/>
  <c r="M1977" i="6"/>
  <c r="N1977" i="6" s="1"/>
  <c r="R1977" i="6" s="1"/>
  <c r="M2041" i="6"/>
  <c r="N2041" i="6" s="1"/>
  <c r="R2041" i="6" s="1"/>
  <c r="M2105" i="6"/>
  <c r="N2105" i="6" s="1"/>
  <c r="R2105" i="6" s="1"/>
  <c r="M2169" i="6"/>
  <c r="N2169" i="6" s="1"/>
  <c r="R2169" i="6" s="1"/>
  <c r="M2233" i="6"/>
  <c r="N2233" i="6" s="1"/>
  <c r="R2233" i="6" s="1"/>
  <c r="M2297" i="6"/>
  <c r="N2297" i="6" s="1"/>
  <c r="R2297" i="6" s="1"/>
  <c r="M2361" i="6"/>
  <c r="N2361" i="6" s="1"/>
  <c r="R2361" i="6" s="1"/>
  <c r="M2425" i="6"/>
  <c r="N2425" i="6" s="1"/>
  <c r="R2425" i="6" s="1"/>
  <c r="M2489" i="6"/>
  <c r="N2489" i="6" s="1"/>
  <c r="R2489" i="6" s="1"/>
  <c r="M2553" i="6"/>
  <c r="N2553" i="6" s="1"/>
  <c r="R2553" i="6" s="1"/>
  <c r="M2617" i="6"/>
  <c r="N2617" i="6" s="1"/>
  <c r="R2617" i="6" s="1"/>
  <c r="M2681" i="6"/>
  <c r="N2681" i="6" s="1"/>
  <c r="R2681" i="6" s="1"/>
  <c r="M2745" i="6"/>
  <c r="N2745" i="6" s="1"/>
  <c r="R2745" i="6" s="1"/>
  <c r="M2809" i="6"/>
  <c r="N2809" i="6" s="1"/>
  <c r="R2809" i="6" s="1"/>
  <c r="M2873" i="6"/>
  <c r="N2873" i="6" s="1"/>
  <c r="R2873" i="6" s="1"/>
  <c r="M2937" i="6"/>
  <c r="N2937" i="6" s="1"/>
  <c r="R2937" i="6" s="1"/>
  <c r="M3001" i="6"/>
  <c r="N3001" i="6" s="1"/>
  <c r="R3001" i="6" s="1"/>
  <c r="M3065" i="6"/>
  <c r="N3065" i="6" s="1"/>
  <c r="R3065" i="6" s="1"/>
  <c r="M3129" i="6"/>
  <c r="N3129" i="6" s="1"/>
  <c r="R3129" i="6" s="1"/>
  <c r="M3193" i="6"/>
  <c r="N3193" i="6" s="1"/>
  <c r="M3257" i="6"/>
  <c r="N3257" i="6" s="1"/>
  <c r="R3257" i="6" s="1"/>
  <c r="M3321" i="6"/>
  <c r="N3321" i="6" s="1"/>
  <c r="R3321" i="6" s="1"/>
  <c r="M3385" i="6"/>
  <c r="N3385" i="6" s="1"/>
  <c r="R3385" i="6" s="1"/>
  <c r="M3449" i="6"/>
  <c r="N3449" i="6" s="1"/>
  <c r="R3449" i="6" s="1"/>
  <c r="M3513" i="6"/>
  <c r="N3513" i="6" s="1"/>
  <c r="R3513" i="6" s="1"/>
  <c r="M3577" i="6"/>
  <c r="N3577" i="6" s="1"/>
  <c r="R3577" i="6" s="1"/>
  <c r="M3641" i="6"/>
  <c r="N3641" i="6" s="1"/>
  <c r="R3641" i="6" s="1"/>
  <c r="M3705" i="6"/>
  <c r="N3705" i="6" s="1"/>
  <c r="M3769" i="6"/>
  <c r="N3769" i="6" s="1"/>
  <c r="R3769" i="6" s="1"/>
  <c r="M3833" i="6"/>
  <c r="N3833" i="6" s="1"/>
  <c r="R3833" i="6" s="1"/>
  <c r="M3897" i="6"/>
  <c r="N3897" i="6" s="1"/>
  <c r="R3897" i="6" s="1"/>
  <c r="M3961" i="6"/>
  <c r="N3961" i="6" s="1"/>
  <c r="R3961" i="6" s="1"/>
  <c r="M4025" i="6"/>
  <c r="N4025" i="6" s="1"/>
  <c r="R4025" i="6" s="1"/>
  <c r="M4089" i="6"/>
  <c r="N4089" i="6" s="1"/>
  <c r="R4089" i="6" s="1"/>
  <c r="M4153" i="6"/>
  <c r="N4153" i="6" s="1"/>
  <c r="R4153" i="6" s="1"/>
  <c r="M4217" i="6"/>
  <c r="N4217" i="6" s="1"/>
  <c r="M4281" i="6"/>
  <c r="N4281" i="6" s="1"/>
  <c r="M4345" i="6"/>
  <c r="N4345" i="6" s="1"/>
  <c r="R4345" i="6" s="1"/>
  <c r="M4409" i="6"/>
  <c r="N4409" i="6" s="1"/>
  <c r="R4409" i="6" s="1"/>
  <c r="M4473" i="6"/>
  <c r="N4473" i="6" s="1"/>
  <c r="R4473" i="6" s="1"/>
  <c r="M4537" i="6"/>
  <c r="N4537" i="6" s="1"/>
  <c r="R4537" i="6" s="1"/>
  <c r="M4601" i="6"/>
  <c r="N4601" i="6" s="1"/>
  <c r="R4601" i="6" s="1"/>
  <c r="M4665" i="6"/>
  <c r="N4665" i="6" s="1"/>
  <c r="R4665" i="6" s="1"/>
  <c r="M4729" i="6"/>
  <c r="N4729" i="6" s="1"/>
  <c r="R4729" i="6" s="1"/>
  <c r="M4793" i="6"/>
  <c r="N4793" i="6" s="1"/>
  <c r="R4793" i="6" s="1"/>
  <c r="M4921" i="6"/>
  <c r="N4921" i="6" s="1"/>
  <c r="R4921" i="6" s="1"/>
  <c r="M4985" i="6"/>
  <c r="N4985" i="6" s="1"/>
  <c r="R4985" i="6" s="1"/>
  <c r="M370" i="6"/>
  <c r="N370" i="6" s="1"/>
  <c r="R370" i="6" s="1"/>
  <c r="M434" i="6"/>
  <c r="N434" i="6" s="1"/>
  <c r="R434" i="6" s="1"/>
  <c r="M498" i="6"/>
  <c r="N498" i="6" s="1"/>
  <c r="R498" i="6" s="1"/>
  <c r="M562" i="6"/>
  <c r="N562" i="6" s="1"/>
  <c r="R562" i="6" s="1"/>
  <c r="M626" i="6"/>
  <c r="N626" i="6" s="1"/>
  <c r="R626" i="6" s="1"/>
  <c r="M690" i="6"/>
  <c r="N690" i="6" s="1"/>
  <c r="R690" i="6" s="1"/>
  <c r="M754" i="6"/>
  <c r="N754" i="6" s="1"/>
  <c r="R754" i="6" s="1"/>
  <c r="M818" i="6"/>
  <c r="N818" i="6" s="1"/>
  <c r="R818" i="6" s="1"/>
  <c r="M882" i="6"/>
  <c r="N882" i="6" s="1"/>
  <c r="R882" i="6" s="1"/>
  <c r="M946" i="6"/>
  <c r="N946" i="6" s="1"/>
  <c r="R946" i="6" s="1"/>
  <c r="M1010" i="6"/>
  <c r="N1010" i="6" s="1"/>
  <c r="R1010" i="6" s="1"/>
  <c r="M1074" i="6"/>
  <c r="N1074" i="6" s="1"/>
  <c r="R1074" i="6" s="1"/>
  <c r="M1138" i="6"/>
  <c r="N1138" i="6" s="1"/>
  <c r="M1202" i="6"/>
  <c r="N1202" i="6" s="1"/>
  <c r="R1202" i="6" s="1"/>
  <c r="M1266" i="6"/>
  <c r="N1266" i="6" s="1"/>
  <c r="R1266" i="6" s="1"/>
  <c r="M1330" i="6"/>
  <c r="N1330" i="6" s="1"/>
  <c r="R1330" i="6" s="1"/>
  <c r="M1394" i="6"/>
  <c r="N1394" i="6" s="1"/>
  <c r="R1394" i="6" s="1"/>
  <c r="M1458" i="6"/>
  <c r="N1458" i="6" s="1"/>
  <c r="R1458" i="6" s="1"/>
  <c r="M1522" i="6"/>
  <c r="N1522" i="6" s="1"/>
  <c r="R1522" i="6" s="1"/>
  <c r="M1586" i="6"/>
  <c r="N1586" i="6" s="1"/>
  <c r="R1586" i="6" s="1"/>
  <c r="M1650" i="6"/>
  <c r="N1650" i="6" s="1"/>
  <c r="M1714" i="6"/>
  <c r="N1714" i="6" s="1"/>
  <c r="M1778" i="6"/>
  <c r="N1778" i="6" s="1"/>
  <c r="R1778" i="6" s="1"/>
  <c r="M1842" i="6"/>
  <c r="N1842" i="6" s="1"/>
  <c r="R1842" i="6" s="1"/>
  <c r="M1906" i="6"/>
  <c r="N1906" i="6" s="1"/>
  <c r="R1906" i="6" s="1"/>
  <c r="M1970" i="6"/>
  <c r="N1970" i="6" s="1"/>
  <c r="R1970" i="6" s="1"/>
  <c r="M2034" i="6"/>
  <c r="N2034" i="6" s="1"/>
  <c r="R2034" i="6" s="1"/>
  <c r="M2098" i="6"/>
  <c r="N2098" i="6" s="1"/>
  <c r="R2098" i="6" s="1"/>
  <c r="M2162" i="6"/>
  <c r="N2162" i="6" s="1"/>
  <c r="R2162" i="6" s="1"/>
  <c r="M2226" i="6"/>
  <c r="N2226" i="6" s="1"/>
  <c r="R2226" i="6" s="1"/>
  <c r="M2290" i="6"/>
  <c r="N2290" i="6" s="1"/>
  <c r="R2290" i="6" s="1"/>
  <c r="M2354" i="6"/>
  <c r="N2354" i="6" s="1"/>
  <c r="R2354" i="6" s="1"/>
  <c r="M2418" i="6"/>
  <c r="N2418" i="6" s="1"/>
  <c r="R2418" i="6" s="1"/>
  <c r="M2482" i="6"/>
  <c r="N2482" i="6" s="1"/>
  <c r="R2482" i="6" s="1"/>
  <c r="M2610" i="6"/>
  <c r="N2610" i="6" s="1"/>
  <c r="R2610" i="6" s="1"/>
  <c r="M2674" i="6"/>
  <c r="N2674" i="6" s="1"/>
  <c r="R2674" i="6" s="1"/>
  <c r="M2738" i="6"/>
  <c r="N2738" i="6" s="1"/>
  <c r="R2738" i="6" s="1"/>
  <c r="M2802" i="6"/>
  <c r="N2802" i="6" s="1"/>
  <c r="R2802" i="6" s="1"/>
  <c r="M2866" i="6"/>
  <c r="N2866" i="6" s="1"/>
  <c r="R2866" i="6" s="1"/>
  <c r="M2930" i="6"/>
  <c r="N2930" i="6" s="1"/>
  <c r="R2930" i="6" s="1"/>
  <c r="M2994" i="6"/>
  <c r="N2994" i="6" s="1"/>
  <c r="R2994" i="6" s="1"/>
  <c r="M3058" i="6"/>
  <c r="N3058" i="6" s="1"/>
  <c r="R3058" i="6" s="1"/>
  <c r="M3122" i="6"/>
  <c r="N3122" i="6" s="1"/>
  <c r="R3122" i="6" s="1"/>
  <c r="M3186" i="6"/>
  <c r="N3186" i="6" s="1"/>
  <c r="R3186" i="6" s="1"/>
  <c r="M3250" i="6"/>
  <c r="N3250" i="6" s="1"/>
  <c r="M3314" i="6"/>
  <c r="N3314" i="6" s="1"/>
  <c r="R3314" i="6" s="1"/>
  <c r="M3378" i="6"/>
  <c r="N3378" i="6" s="1"/>
  <c r="R3378" i="6" s="1"/>
  <c r="M3442" i="6"/>
  <c r="N3442" i="6" s="1"/>
  <c r="R3442" i="6" s="1"/>
  <c r="M3506" i="6"/>
  <c r="N3506" i="6" s="1"/>
  <c r="R3506" i="6" s="1"/>
  <c r="M3570" i="6"/>
  <c r="N3570" i="6" s="1"/>
  <c r="R3570" i="6" s="1"/>
  <c r="M3634" i="6"/>
  <c r="N3634" i="6" s="1"/>
  <c r="R3634" i="6" s="1"/>
  <c r="M3698" i="6"/>
  <c r="N3698" i="6" s="1"/>
  <c r="R3698" i="6" s="1"/>
  <c r="M3762" i="6"/>
  <c r="N3762" i="6" s="1"/>
  <c r="R3762" i="6" s="1"/>
  <c r="M3890" i="6"/>
  <c r="N3890" i="6" s="1"/>
  <c r="R3890" i="6" s="1"/>
  <c r="M4018" i="6"/>
  <c r="N4018" i="6" s="1"/>
  <c r="R4018" i="6" s="1"/>
  <c r="M4082" i="6"/>
  <c r="N4082" i="6" s="1"/>
  <c r="R4082" i="6" s="1"/>
  <c r="M4146" i="6"/>
  <c r="N4146" i="6" s="1"/>
  <c r="R4146" i="6" s="1"/>
  <c r="M4210" i="6"/>
  <c r="N4210" i="6" s="1"/>
  <c r="R4210" i="6" s="1"/>
  <c r="M4274" i="6"/>
  <c r="N4274" i="6" s="1"/>
  <c r="R4274" i="6" s="1"/>
  <c r="M4338" i="6"/>
  <c r="N4338" i="6" s="1"/>
  <c r="R4338" i="6" s="1"/>
  <c r="M4402" i="6"/>
  <c r="N4402" i="6" s="1"/>
  <c r="M4466" i="6"/>
  <c r="N4466" i="6" s="1"/>
  <c r="M4530" i="6"/>
  <c r="N4530" i="6" s="1"/>
  <c r="R4530" i="6" s="1"/>
  <c r="M4594" i="6"/>
  <c r="N4594" i="6" s="1"/>
  <c r="R4594" i="6" s="1"/>
  <c r="M4658" i="6"/>
  <c r="N4658" i="6" s="1"/>
  <c r="R4658" i="6" s="1"/>
  <c r="M4722" i="6"/>
  <c r="N4722" i="6" s="1"/>
  <c r="R4722" i="6" s="1"/>
  <c r="M4786" i="6"/>
  <c r="N4786" i="6" s="1"/>
  <c r="R4786" i="6" s="1"/>
  <c r="M4850" i="6"/>
  <c r="N4850" i="6" s="1"/>
  <c r="R4850" i="6" s="1"/>
  <c r="M4914" i="6"/>
  <c r="N4914" i="6" s="1"/>
  <c r="M4978" i="6"/>
  <c r="N4978" i="6" s="1"/>
  <c r="R4978" i="6" s="1"/>
  <c r="M331" i="6"/>
  <c r="N331" i="6" s="1"/>
  <c r="R331" i="6" s="1"/>
  <c r="M395" i="6"/>
  <c r="N395" i="6" s="1"/>
  <c r="R395" i="6" s="1"/>
  <c r="M459" i="6"/>
  <c r="N459" i="6" s="1"/>
  <c r="R459" i="6" s="1"/>
  <c r="M523" i="6"/>
  <c r="N523" i="6" s="1"/>
  <c r="R523" i="6" s="1"/>
  <c r="M587" i="6"/>
  <c r="N587" i="6" s="1"/>
  <c r="R587" i="6" s="1"/>
  <c r="M651" i="6"/>
  <c r="N651" i="6" s="1"/>
  <c r="R651" i="6" s="1"/>
  <c r="M715" i="6"/>
  <c r="N715" i="6" s="1"/>
  <c r="M779" i="6"/>
  <c r="N779" i="6" s="1"/>
  <c r="R779" i="6" s="1"/>
  <c r="M843" i="6"/>
  <c r="N843" i="6" s="1"/>
  <c r="R843" i="6" s="1"/>
  <c r="M907" i="6"/>
  <c r="N907" i="6" s="1"/>
  <c r="R907" i="6" s="1"/>
  <c r="M971" i="6"/>
  <c r="N971" i="6" s="1"/>
  <c r="R971" i="6" s="1"/>
  <c r="M1035" i="6"/>
  <c r="N1035" i="6" s="1"/>
  <c r="R1035" i="6" s="1"/>
  <c r="M1099" i="6"/>
  <c r="N1099" i="6" s="1"/>
  <c r="R1099" i="6" s="1"/>
  <c r="M1163" i="6"/>
  <c r="N1163" i="6" s="1"/>
  <c r="R1163" i="6" s="1"/>
  <c r="M1227" i="6"/>
  <c r="N1227" i="6" s="1"/>
  <c r="M1291" i="6"/>
  <c r="N1291" i="6" s="1"/>
  <c r="R1291" i="6" s="1"/>
  <c r="M1419" i="6"/>
  <c r="N1419" i="6" s="1"/>
  <c r="R1419" i="6" s="1"/>
  <c r="M1483" i="6"/>
  <c r="N1483" i="6" s="1"/>
  <c r="R1483" i="6" s="1"/>
  <c r="M1547" i="6"/>
  <c r="N1547" i="6" s="1"/>
  <c r="R1547" i="6" s="1"/>
  <c r="M1611" i="6"/>
  <c r="N1611" i="6" s="1"/>
  <c r="R1611" i="6" s="1"/>
  <c r="M1675" i="6"/>
  <c r="N1675" i="6" s="1"/>
  <c r="R1675" i="6" s="1"/>
  <c r="M1739" i="6"/>
  <c r="N1739" i="6" s="1"/>
  <c r="R1739" i="6" s="1"/>
  <c r="M1803" i="6"/>
  <c r="N1803" i="6" s="1"/>
  <c r="M1867" i="6"/>
  <c r="N1867" i="6" s="1"/>
  <c r="R1867" i="6" s="1"/>
  <c r="M1931" i="6"/>
  <c r="N1931" i="6" s="1"/>
  <c r="R1931" i="6" s="1"/>
  <c r="M1995" i="6"/>
  <c r="N1995" i="6" s="1"/>
  <c r="R1995" i="6" s="1"/>
  <c r="M2059" i="6"/>
  <c r="N2059" i="6" s="1"/>
  <c r="R2059" i="6" s="1"/>
  <c r="M2123" i="6"/>
  <c r="N2123" i="6" s="1"/>
  <c r="R2123" i="6" s="1"/>
  <c r="M2187" i="6"/>
  <c r="N2187" i="6" s="1"/>
  <c r="R2187" i="6" s="1"/>
  <c r="M2251" i="6"/>
  <c r="N2251" i="6" s="1"/>
  <c r="R2251" i="6" s="1"/>
  <c r="M2315" i="6"/>
  <c r="N2315" i="6" s="1"/>
  <c r="R2315" i="6" s="1"/>
  <c r="M2379" i="6"/>
  <c r="N2379" i="6" s="1"/>
  <c r="R2379" i="6" s="1"/>
  <c r="M2443" i="6"/>
  <c r="N2443" i="6" s="1"/>
  <c r="R2443" i="6" s="1"/>
  <c r="M2507" i="6"/>
  <c r="N2507" i="6" s="1"/>
  <c r="R2507" i="6" s="1"/>
  <c r="M2571" i="6"/>
  <c r="N2571" i="6" s="1"/>
  <c r="R2571" i="6" s="1"/>
  <c r="M2635" i="6"/>
  <c r="N2635" i="6" s="1"/>
  <c r="R2635" i="6" s="1"/>
  <c r="M2699" i="6"/>
  <c r="N2699" i="6" s="1"/>
  <c r="R2699" i="6" s="1"/>
  <c r="M2763" i="6"/>
  <c r="N2763" i="6" s="1"/>
  <c r="R2763" i="6" s="1"/>
  <c r="M2827" i="6"/>
  <c r="N2827" i="6" s="1"/>
  <c r="M2891" i="6"/>
  <c r="N2891" i="6" s="1"/>
  <c r="M2955" i="6"/>
  <c r="N2955" i="6" s="1"/>
  <c r="R2955" i="6" s="1"/>
  <c r="M3019" i="6"/>
  <c r="N3019" i="6" s="1"/>
  <c r="R3019" i="6" s="1"/>
  <c r="M3083" i="6"/>
  <c r="N3083" i="6" s="1"/>
  <c r="R3083" i="6" s="1"/>
  <c r="M3147" i="6"/>
  <c r="N3147" i="6" s="1"/>
  <c r="R3147" i="6" s="1"/>
  <c r="M3211" i="6"/>
  <c r="N3211" i="6" s="1"/>
  <c r="R3211" i="6" s="1"/>
  <c r="M3275" i="6"/>
  <c r="N3275" i="6" s="1"/>
  <c r="R3275" i="6" s="1"/>
  <c r="M3339" i="6"/>
  <c r="N3339" i="6" s="1"/>
  <c r="R3339" i="6" s="1"/>
  <c r="M3403" i="6"/>
  <c r="N3403" i="6" s="1"/>
  <c r="R3403" i="6" s="1"/>
  <c r="M3467" i="6"/>
  <c r="N3467" i="6" s="1"/>
  <c r="R3467" i="6" s="1"/>
  <c r="M3531" i="6"/>
  <c r="N3531" i="6" s="1"/>
  <c r="R3531" i="6" s="1"/>
  <c r="M3595" i="6"/>
  <c r="N3595" i="6" s="1"/>
  <c r="R3595" i="6" s="1"/>
  <c r="M3659" i="6"/>
  <c r="N3659" i="6" s="1"/>
  <c r="R3659" i="6" s="1"/>
  <c r="M3723" i="6"/>
  <c r="N3723" i="6" s="1"/>
  <c r="R3723" i="6" s="1"/>
  <c r="M3787" i="6"/>
  <c r="N3787" i="6" s="1"/>
  <c r="R3787" i="6" s="1"/>
  <c r="M3851" i="6"/>
  <c r="N3851" i="6" s="1"/>
  <c r="M3915" i="6"/>
  <c r="N3915" i="6" s="1"/>
  <c r="R3915" i="6" s="1"/>
  <c r="M3979" i="6"/>
  <c r="N3979" i="6" s="1"/>
  <c r="R3979" i="6" s="1"/>
  <c r="M4043" i="6"/>
  <c r="N4043" i="6" s="1"/>
  <c r="R4043" i="6" s="1"/>
  <c r="M4107" i="6"/>
  <c r="N4107" i="6" s="1"/>
  <c r="R4107" i="6" s="1"/>
  <c r="M4171" i="6"/>
  <c r="N4171" i="6" s="1"/>
  <c r="R4171" i="6" s="1"/>
  <c r="M4235" i="6"/>
  <c r="N4235" i="6" s="1"/>
  <c r="R4235" i="6" s="1"/>
  <c r="M4299" i="6"/>
  <c r="N4299" i="6" s="1"/>
  <c r="R4299" i="6" s="1"/>
  <c r="M4363" i="6"/>
  <c r="N4363" i="6" s="1"/>
  <c r="R4363" i="6" s="1"/>
  <c r="M4427" i="6"/>
  <c r="N4427" i="6" s="1"/>
  <c r="R4427" i="6" s="1"/>
  <c r="M4491" i="6"/>
  <c r="N4491" i="6" s="1"/>
  <c r="R4491" i="6" s="1"/>
  <c r="M4555" i="6"/>
  <c r="N4555" i="6" s="1"/>
  <c r="R4555" i="6" s="1"/>
  <c r="M4619" i="6"/>
  <c r="N4619" i="6" s="1"/>
  <c r="R4619" i="6" s="1"/>
  <c r="M4683" i="6"/>
  <c r="N4683" i="6" s="1"/>
  <c r="R4683" i="6" s="1"/>
  <c r="M4747" i="6"/>
  <c r="N4747" i="6" s="1"/>
  <c r="R4747" i="6" s="1"/>
  <c r="M4811" i="6"/>
  <c r="N4811" i="6" s="1"/>
  <c r="R4811" i="6" s="1"/>
  <c r="M4875" i="6"/>
  <c r="N4875" i="6" s="1"/>
  <c r="R4875" i="6" s="1"/>
  <c r="M4939" i="6"/>
  <c r="N4939" i="6" s="1"/>
  <c r="R4939" i="6" s="1"/>
  <c r="M4" i="6"/>
  <c r="N4" i="6" s="1"/>
  <c r="R4" i="6" s="1"/>
  <c r="M68" i="6"/>
  <c r="N68" i="6" s="1"/>
  <c r="R68" i="6" s="1"/>
  <c r="M132" i="6"/>
  <c r="N132" i="6" s="1"/>
  <c r="R132" i="6" s="1"/>
  <c r="M196" i="6"/>
  <c r="N196" i="6" s="1"/>
  <c r="R196" i="6" s="1"/>
  <c r="M260" i="6"/>
  <c r="N260" i="6" s="1"/>
  <c r="R260" i="6" s="1"/>
  <c r="M324" i="6"/>
  <c r="N324" i="6" s="1"/>
  <c r="R324" i="6" s="1"/>
  <c r="M388" i="6"/>
  <c r="N388" i="6" s="1"/>
  <c r="M516" i="6"/>
  <c r="N516" i="6" s="1"/>
  <c r="R516" i="6" s="1"/>
  <c r="M580" i="6"/>
  <c r="N580" i="6" s="1"/>
  <c r="R580" i="6" s="1"/>
  <c r="M708" i="6"/>
  <c r="N708" i="6" s="1"/>
  <c r="R708" i="6" s="1"/>
  <c r="M772" i="6"/>
  <c r="N772" i="6" s="1"/>
  <c r="R772" i="6" s="1"/>
  <c r="M900" i="6"/>
  <c r="N900" i="6" s="1"/>
  <c r="R900" i="6" s="1"/>
  <c r="M964" i="6"/>
  <c r="N964" i="6" s="1"/>
  <c r="R964" i="6" s="1"/>
  <c r="M1028" i="6"/>
  <c r="N1028" i="6" s="1"/>
  <c r="R1028" i="6" s="1"/>
  <c r="M1092" i="6"/>
  <c r="N1092" i="6" s="1"/>
  <c r="R1092" i="6" s="1"/>
  <c r="M1156" i="6"/>
  <c r="N1156" i="6" s="1"/>
  <c r="R1156" i="6" s="1"/>
  <c r="M1220" i="6"/>
  <c r="N1220" i="6" s="1"/>
  <c r="R1220" i="6" s="1"/>
  <c r="M1284" i="6"/>
  <c r="N1284" i="6" s="1"/>
  <c r="R1284" i="6" s="1"/>
  <c r="M1348" i="6"/>
  <c r="N1348" i="6" s="1"/>
  <c r="R1348" i="6" s="1"/>
  <c r="M1412" i="6"/>
  <c r="N1412" i="6" s="1"/>
  <c r="R1412" i="6" s="1"/>
  <c r="M1476" i="6"/>
  <c r="N1476" i="6" s="1"/>
  <c r="R1476" i="6" s="1"/>
  <c r="M1540" i="6"/>
  <c r="N1540" i="6" s="1"/>
  <c r="R1540" i="6" s="1"/>
  <c r="M1604" i="6"/>
  <c r="N1604" i="6" s="1"/>
  <c r="R1604" i="6" s="1"/>
  <c r="M1668" i="6"/>
  <c r="N1668" i="6" s="1"/>
  <c r="R1668" i="6" s="1"/>
  <c r="M1732" i="6"/>
  <c r="N1732" i="6" s="1"/>
  <c r="R1732" i="6" s="1"/>
  <c r="M1796" i="6"/>
  <c r="N1796" i="6" s="1"/>
  <c r="R1796" i="6" s="1"/>
  <c r="M1860" i="6"/>
  <c r="N1860" i="6" s="1"/>
  <c r="R1860" i="6" s="1"/>
  <c r="M1924" i="6"/>
  <c r="N1924" i="6" s="1"/>
  <c r="R1924" i="6" s="1"/>
  <c r="M1988" i="6"/>
  <c r="N1988" i="6" s="1"/>
  <c r="R1988" i="6" s="1"/>
  <c r="M2052" i="6"/>
  <c r="N2052" i="6" s="1"/>
  <c r="R2052" i="6" s="1"/>
  <c r="M2116" i="6"/>
  <c r="N2116" i="6" s="1"/>
  <c r="M2180" i="6"/>
  <c r="N2180" i="6" s="1"/>
  <c r="M2244" i="6"/>
  <c r="N2244" i="6" s="1"/>
  <c r="R2244" i="6" s="1"/>
  <c r="M2308" i="6"/>
  <c r="N2308" i="6" s="1"/>
  <c r="R2308" i="6" s="1"/>
  <c r="M2372" i="6"/>
  <c r="N2372" i="6" s="1"/>
  <c r="R2372" i="6" s="1"/>
  <c r="M2436" i="6"/>
  <c r="N2436" i="6" s="1"/>
  <c r="R2436" i="6" s="1"/>
  <c r="M2500" i="6"/>
  <c r="N2500" i="6" s="1"/>
  <c r="R2500" i="6" s="1"/>
  <c r="M2564" i="6"/>
  <c r="N2564" i="6" s="1"/>
  <c r="R2564" i="6" s="1"/>
  <c r="M2628" i="6"/>
  <c r="N2628" i="6" s="1"/>
  <c r="R2628" i="6" s="1"/>
  <c r="M2692" i="6"/>
  <c r="N2692" i="6" s="1"/>
  <c r="R2692" i="6" s="1"/>
  <c r="M2756" i="6"/>
  <c r="N2756" i="6" s="1"/>
  <c r="R2756" i="6" s="1"/>
  <c r="M2820" i="6"/>
  <c r="N2820" i="6" s="1"/>
  <c r="R2820" i="6" s="1"/>
  <c r="M2884" i="6"/>
  <c r="N2884" i="6" s="1"/>
  <c r="R2884" i="6" s="1"/>
  <c r="M2948" i="6"/>
  <c r="N2948" i="6" s="1"/>
  <c r="R2948" i="6" s="1"/>
  <c r="M3012" i="6"/>
  <c r="N3012" i="6" s="1"/>
  <c r="R3012" i="6" s="1"/>
  <c r="M3076" i="6"/>
  <c r="N3076" i="6" s="1"/>
  <c r="R3076" i="6" s="1"/>
  <c r="M3140" i="6"/>
  <c r="N3140" i="6" s="1"/>
  <c r="R3140" i="6" s="1"/>
  <c r="M3204" i="6"/>
  <c r="N3204" i="6" s="1"/>
  <c r="R3204" i="6" s="1"/>
  <c r="M3268" i="6"/>
  <c r="N3268" i="6" s="1"/>
  <c r="R3268" i="6" s="1"/>
  <c r="M3332" i="6"/>
  <c r="N3332" i="6" s="1"/>
  <c r="R3332" i="6" s="1"/>
  <c r="M3396" i="6"/>
  <c r="N3396" i="6" s="1"/>
  <c r="R3396" i="6" s="1"/>
  <c r="M3524" i="6"/>
  <c r="N3524" i="6" s="1"/>
  <c r="R3524" i="6" s="1"/>
  <c r="M3588" i="6"/>
  <c r="N3588" i="6" s="1"/>
  <c r="R3588" i="6" s="1"/>
  <c r="M3652" i="6"/>
  <c r="N3652" i="6" s="1"/>
  <c r="R3652" i="6" s="1"/>
  <c r="M3716" i="6"/>
  <c r="N3716" i="6" s="1"/>
  <c r="R3716" i="6" s="1"/>
  <c r="M3844" i="6"/>
  <c r="N3844" i="6" s="1"/>
  <c r="R3844" i="6" s="1"/>
  <c r="M3908" i="6"/>
  <c r="N3908" i="6" s="1"/>
  <c r="R3908" i="6" s="1"/>
  <c r="M3972" i="6"/>
  <c r="N3972" i="6" s="1"/>
  <c r="R3972" i="6" s="1"/>
  <c r="M4036" i="6"/>
  <c r="N4036" i="6" s="1"/>
  <c r="R4036" i="6" s="1"/>
  <c r="M4100" i="6"/>
  <c r="N4100" i="6" s="1"/>
  <c r="R4100" i="6" s="1"/>
  <c r="M4164" i="6"/>
  <c r="N4164" i="6" s="1"/>
  <c r="R4164" i="6" s="1"/>
  <c r="M4228" i="6"/>
  <c r="N4228" i="6" s="1"/>
  <c r="R4228" i="6" s="1"/>
  <c r="M4292" i="6"/>
  <c r="N4292" i="6" s="1"/>
  <c r="R4292" i="6" s="1"/>
  <c r="M4356" i="6"/>
  <c r="N4356" i="6" s="1"/>
  <c r="R4356" i="6" s="1"/>
  <c r="M4420" i="6"/>
  <c r="N4420" i="6" s="1"/>
  <c r="R4420" i="6" s="1"/>
  <c r="M4484" i="6"/>
  <c r="N4484" i="6" s="1"/>
  <c r="R4484" i="6" s="1"/>
  <c r="M389" i="6"/>
  <c r="N389" i="6" s="1"/>
  <c r="R389" i="6" s="1"/>
  <c r="M453" i="6"/>
  <c r="N453" i="6" s="1"/>
  <c r="R453" i="6" s="1"/>
  <c r="M517" i="6"/>
  <c r="N517" i="6" s="1"/>
  <c r="R517" i="6" s="1"/>
  <c r="M581" i="6"/>
  <c r="N581" i="6" s="1"/>
  <c r="R581" i="6" s="1"/>
  <c r="M645" i="6"/>
  <c r="N645" i="6" s="1"/>
  <c r="M709" i="6"/>
  <c r="N709" i="6" s="1"/>
  <c r="R709" i="6" s="1"/>
  <c r="M837" i="6"/>
  <c r="N837" i="6" s="1"/>
  <c r="R837" i="6" s="1"/>
  <c r="M901" i="6"/>
  <c r="N901" i="6" s="1"/>
  <c r="R901" i="6" s="1"/>
  <c r="M1093" i="6"/>
  <c r="N1093" i="6" s="1"/>
  <c r="R1093" i="6" s="1"/>
  <c r="M1157" i="6"/>
  <c r="N1157" i="6" s="1"/>
  <c r="R1157" i="6" s="1"/>
  <c r="M1221" i="6"/>
  <c r="N1221" i="6" s="1"/>
  <c r="R1221" i="6" s="1"/>
  <c r="M1285" i="6"/>
  <c r="N1285" i="6" s="1"/>
  <c r="R1285" i="6" s="1"/>
  <c r="M1413" i="6"/>
  <c r="N1413" i="6" s="1"/>
  <c r="M1477" i="6"/>
  <c r="N1477" i="6" s="1"/>
  <c r="R1477" i="6" s="1"/>
  <c r="M1541" i="6"/>
  <c r="N1541" i="6" s="1"/>
  <c r="R1541" i="6" s="1"/>
  <c r="M1605" i="6"/>
  <c r="N1605" i="6" s="1"/>
  <c r="R1605" i="6" s="1"/>
  <c r="M1669" i="6"/>
  <c r="N1669" i="6" s="1"/>
  <c r="R1669" i="6" s="1"/>
  <c r="M1733" i="6"/>
  <c r="N1733" i="6" s="1"/>
  <c r="R1733" i="6" s="1"/>
  <c r="M1797" i="6"/>
  <c r="N1797" i="6" s="1"/>
  <c r="R1797" i="6" s="1"/>
  <c r="M1861" i="6"/>
  <c r="N1861" i="6" s="1"/>
  <c r="R1861" i="6" s="1"/>
  <c r="M1925" i="6"/>
  <c r="N1925" i="6" s="1"/>
  <c r="R1925" i="6" s="1"/>
  <c r="M1989" i="6"/>
  <c r="N1989" i="6" s="1"/>
  <c r="R1989" i="6" s="1"/>
  <c r="M2053" i="6"/>
  <c r="N2053" i="6" s="1"/>
  <c r="R2053" i="6" s="1"/>
  <c r="M2117" i="6"/>
  <c r="N2117" i="6" s="1"/>
  <c r="R2117" i="6" s="1"/>
  <c r="M2181" i="6"/>
  <c r="N2181" i="6" s="1"/>
  <c r="R2181" i="6" s="1"/>
  <c r="M2245" i="6"/>
  <c r="N2245" i="6" s="1"/>
  <c r="R2245" i="6" s="1"/>
  <c r="M2309" i="6"/>
  <c r="N2309" i="6" s="1"/>
  <c r="R2309" i="6" s="1"/>
  <c r="M2373" i="6"/>
  <c r="N2373" i="6" s="1"/>
  <c r="R2373" i="6" s="1"/>
  <c r="M2437" i="6"/>
  <c r="N2437" i="6" s="1"/>
  <c r="R2437" i="6" s="1"/>
  <c r="M2501" i="6"/>
  <c r="N2501" i="6" s="1"/>
  <c r="R2501" i="6" s="1"/>
  <c r="M2565" i="6"/>
  <c r="N2565" i="6" s="1"/>
  <c r="R2565" i="6" s="1"/>
  <c r="M2693" i="6"/>
  <c r="N2693" i="6" s="1"/>
  <c r="R2693" i="6" s="1"/>
  <c r="M2757" i="6"/>
  <c r="N2757" i="6" s="1"/>
  <c r="R2757" i="6" s="1"/>
  <c r="M2821" i="6"/>
  <c r="N2821" i="6" s="1"/>
  <c r="R2821" i="6" s="1"/>
  <c r="M2885" i="6"/>
  <c r="N2885" i="6" s="1"/>
  <c r="R2885" i="6" s="1"/>
  <c r="M2949" i="6"/>
  <c r="N2949" i="6" s="1"/>
  <c r="R2949" i="6" s="1"/>
  <c r="M3013" i="6"/>
  <c r="N3013" i="6" s="1"/>
  <c r="M3077" i="6"/>
  <c r="N3077" i="6" s="1"/>
  <c r="R3077" i="6" s="1"/>
  <c r="M3141" i="6"/>
  <c r="N3141" i="6" s="1"/>
  <c r="R3141" i="6" s="1"/>
  <c r="M3205" i="6"/>
  <c r="N3205" i="6" s="1"/>
  <c r="R3205" i="6" s="1"/>
  <c r="M3269" i="6"/>
  <c r="N3269" i="6" s="1"/>
  <c r="R3269" i="6" s="1"/>
  <c r="M3333" i="6"/>
  <c r="N3333" i="6" s="1"/>
  <c r="R3333" i="6" s="1"/>
  <c r="M3397" i="6"/>
  <c r="N3397" i="6" s="1"/>
  <c r="R3397" i="6" s="1"/>
  <c r="M3461" i="6"/>
  <c r="N3461" i="6" s="1"/>
  <c r="R3461" i="6" s="1"/>
  <c r="M3525" i="6"/>
  <c r="N3525" i="6" s="1"/>
  <c r="M3589" i="6"/>
  <c r="N3589" i="6" s="1"/>
  <c r="R3589" i="6" s="1"/>
  <c r="M3653" i="6"/>
  <c r="N3653" i="6" s="1"/>
  <c r="R3653" i="6" s="1"/>
  <c r="M3717" i="6"/>
  <c r="N3717" i="6" s="1"/>
  <c r="R3717" i="6" s="1"/>
  <c r="M3781" i="6"/>
  <c r="N3781" i="6" s="1"/>
  <c r="R3781" i="6" s="1"/>
  <c r="M3909" i="6"/>
  <c r="N3909" i="6" s="1"/>
  <c r="R3909" i="6" s="1"/>
  <c r="M3973" i="6"/>
  <c r="N3973" i="6" s="1"/>
  <c r="R3973" i="6" s="1"/>
  <c r="M4037" i="6"/>
  <c r="N4037" i="6" s="1"/>
  <c r="R4037" i="6" s="1"/>
  <c r="M23" i="6"/>
  <c r="N23" i="6" s="1"/>
  <c r="M87" i="6"/>
  <c r="N87" i="6" s="1"/>
  <c r="R87" i="6" s="1"/>
  <c r="M151" i="6"/>
  <c r="N151" i="6" s="1"/>
  <c r="R151" i="6" s="1"/>
  <c r="M215" i="6"/>
  <c r="N215" i="6" s="1"/>
  <c r="R215" i="6" s="1"/>
  <c r="M279" i="6"/>
  <c r="N279" i="6" s="1"/>
  <c r="R279" i="6" s="1"/>
  <c r="M48" i="6"/>
  <c r="N48" i="6" s="1"/>
  <c r="R48" i="6" s="1"/>
  <c r="M112" i="6"/>
  <c r="N112" i="6" s="1"/>
  <c r="R112" i="6" s="1"/>
  <c r="M176" i="6"/>
  <c r="N176" i="6" s="1"/>
  <c r="R176" i="6" s="1"/>
  <c r="M240" i="6"/>
  <c r="N240" i="6" s="1"/>
  <c r="M304" i="6"/>
  <c r="N304" i="6" s="1"/>
  <c r="R304" i="6" s="1"/>
  <c r="M65" i="6"/>
  <c r="N65" i="6" s="1"/>
  <c r="R65" i="6" s="1"/>
  <c r="M129" i="6"/>
  <c r="N129" i="6" s="1"/>
  <c r="R129" i="6" s="1"/>
  <c r="M193" i="6"/>
  <c r="N193" i="6" s="1"/>
  <c r="R193" i="6" s="1"/>
  <c r="M257" i="6"/>
  <c r="N257" i="6" s="1"/>
  <c r="R257" i="6" s="1"/>
  <c r="M10" i="6"/>
  <c r="N10" i="6" s="1"/>
  <c r="R10" i="6" s="1"/>
  <c r="M74" i="6"/>
  <c r="N74" i="6" s="1"/>
  <c r="R74" i="6" s="1"/>
  <c r="M138" i="6"/>
  <c r="N138" i="6" s="1"/>
  <c r="M202" i="6"/>
  <c r="N202" i="6" s="1"/>
  <c r="R202" i="6" s="1"/>
  <c r="M266" i="6"/>
  <c r="N266" i="6" s="1"/>
  <c r="R266" i="6" s="1"/>
  <c r="M67" i="6"/>
  <c r="N67" i="6" s="1"/>
  <c r="R67" i="6" s="1"/>
  <c r="M131" i="6"/>
  <c r="N131" i="6" s="1"/>
  <c r="R131" i="6" s="1"/>
  <c r="M195" i="6"/>
  <c r="N195" i="6" s="1"/>
  <c r="R195" i="6" s="1"/>
  <c r="M259" i="6"/>
  <c r="N259" i="6" s="1"/>
  <c r="R259" i="6" s="1"/>
  <c r="M29" i="6"/>
  <c r="N29" i="6" s="1"/>
  <c r="R29" i="6" s="1"/>
  <c r="M93" i="6"/>
  <c r="N93" i="6" s="1"/>
  <c r="M157" i="6"/>
  <c r="N157" i="6" s="1"/>
  <c r="R157" i="6" s="1"/>
  <c r="M221" i="6"/>
  <c r="N221" i="6" s="1"/>
  <c r="R221" i="6" s="1"/>
  <c r="M285" i="6"/>
  <c r="N285" i="6" s="1"/>
  <c r="R285" i="6" s="1"/>
  <c r="M22" i="6"/>
  <c r="N22" i="6" s="1"/>
  <c r="R22" i="6" s="1"/>
  <c r="M94" i="6"/>
  <c r="N94" i="6" s="1"/>
  <c r="R94" i="6" s="1"/>
  <c r="M158" i="6"/>
  <c r="N158" i="6" s="1"/>
  <c r="R158" i="6" s="1"/>
  <c r="M230" i="6"/>
  <c r="N230" i="6" s="1"/>
  <c r="R230" i="6" s="1"/>
  <c r="M294" i="6"/>
  <c r="N294" i="6" s="1"/>
  <c r="R294" i="6" s="1"/>
  <c r="M336" i="6"/>
  <c r="N336" i="6" s="1"/>
  <c r="R336" i="6" s="1"/>
  <c r="M400" i="6"/>
  <c r="N400" i="6" s="1"/>
  <c r="R400" i="6" s="1"/>
  <c r="M464" i="6"/>
  <c r="N464" i="6" s="1"/>
  <c r="R464" i="6" s="1"/>
  <c r="M528" i="6"/>
  <c r="N528" i="6" s="1"/>
  <c r="R528" i="6" s="1"/>
  <c r="M592" i="6"/>
  <c r="N592" i="6" s="1"/>
  <c r="R592" i="6" s="1"/>
  <c r="M656" i="6"/>
  <c r="N656" i="6" s="1"/>
  <c r="R656" i="6" s="1"/>
  <c r="M720" i="6"/>
  <c r="N720" i="6" s="1"/>
  <c r="R720" i="6" s="1"/>
  <c r="M784" i="6"/>
  <c r="N784" i="6" s="1"/>
  <c r="R784" i="6" s="1"/>
  <c r="M848" i="6"/>
  <c r="N848" i="6" s="1"/>
  <c r="M912" i="6"/>
  <c r="N912" i="6" s="1"/>
  <c r="R912" i="6" s="1"/>
  <c r="M976" i="6"/>
  <c r="N976" i="6" s="1"/>
  <c r="R976" i="6" s="1"/>
  <c r="M1040" i="6"/>
  <c r="N1040" i="6" s="1"/>
  <c r="R1040" i="6" s="1"/>
  <c r="M1104" i="6"/>
  <c r="N1104" i="6" s="1"/>
  <c r="R1104" i="6" s="1"/>
  <c r="M1168" i="6"/>
  <c r="N1168" i="6" s="1"/>
  <c r="R1168" i="6" s="1"/>
  <c r="M1232" i="6"/>
  <c r="N1232" i="6" s="1"/>
  <c r="R1232" i="6" s="1"/>
  <c r="M1296" i="6"/>
  <c r="N1296" i="6" s="1"/>
  <c r="M1360" i="6"/>
  <c r="N1360" i="6" s="1"/>
  <c r="R1360" i="6" s="1"/>
  <c r="M1424" i="6"/>
  <c r="N1424" i="6" s="1"/>
  <c r="R1424" i="6" s="1"/>
  <c r="M1488" i="6"/>
  <c r="N1488" i="6" s="1"/>
  <c r="R1488" i="6" s="1"/>
  <c r="M1552" i="6"/>
  <c r="N1552" i="6" s="1"/>
  <c r="R1552" i="6" s="1"/>
  <c r="M1616" i="6"/>
  <c r="N1616" i="6" s="1"/>
  <c r="R1616" i="6" s="1"/>
  <c r="M1680" i="6"/>
  <c r="N1680" i="6" s="1"/>
  <c r="R1680" i="6" s="1"/>
  <c r="M1744" i="6"/>
  <c r="N1744" i="6" s="1"/>
  <c r="R1744" i="6" s="1"/>
  <c r="M1808" i="6"/>
  <c r="N1808" i="6" s="1"/>
  <c r="R1808" i="6" s="1"/>
  <c r="M1872" i="6"/>
  <c r="N1872" i="6" s="1"/>
  <c r="R1872" i="6" s="1"/>
  <c r="M1936" i="6"/>
  <c r="N1936" i="6" s="1"/>
  <c r="R1936" i="6" s="1"/>
  <c r="M2000" i="6"/>
  <c r="N2000" i="6" s="1"/>
  <c r="R2000" i="6" s="1"/>
  <c r="M2064" i="6"/>
  <c r="N2064" i="6" s="1"/>
  <c r="R2064" i="6" s="1"/>
  <c r="M2128" i="6"/>
  <c r="N2128" i="6" s="1"/>
  <c r="R2128" i="6" s="1"/>
  <c r="M2192" i="6"/>
  <c r="N2192" i="6" s="1"/>
  <c r="R2192" i="6" s="1"/>
  <c r="M2320" i="6"/>
  <c r="N2320" i="6" s="1"/>
  <c r="R2320" i="6" s="1"/>
  <c r="M2384" i="6"/>
  <c r="N2384" i="6" s="1"/>
  <c r="R2384" i="6" s="1"/>
  <c r="M2448" i="6"/>
  <c r="N2448" i="6" s="1"/>
  <c r="M2512" i="6"/>
  <c r="N2512" i="6" s="1"/>
  <c r="R2512" i="6" s="1"/>
  <c r="M2576" i="6"/>
  <c r="N2576" i="6" s="1"/>
  <c r="R2576" i="6" s="1"/>
  <c r="M2640" i="6"/>
  <c r="N2640" i="6" s="1"/>
  <c r="R2640" i="6" s="1"/>
  <c r="M2704" i="6"/>
  <c r="N2704" i="6" s="1"/>
  <c r="R2704" i="6" s="1"/>
  <c r="M2768" i="6"/>
  <c r="N2768" i="6" s="1"/>
  <c r="R2768" i="6" s="1"/>
  <c r="M2832" i="6"/>
  <c r="N2832" i="6" s="1"/>
  <c r="R2832" i="6" s="1"/>
  <c r="M2896" i="6"/>
  <c r="N2896" i="6" s="1"/>
  <c r="R2896" i="6" s="1"/>
  <c r="M2960" i="6"/>
  <c r="N2960" i="6" s="1"/>
  <c r="R2960" i="6" s="1"/>
  <c r="M3024" i="6"/>
  <c r="N3024" i="6" s="1"/>
  <c r="R3024" i="6" s="1"/>
  <c r="M3088" i="6"/>
  <c r="N3088" i="6" s="1"/>
  <c r="R3088" i="6" s="1"/>
  <c r="M3152" i="6"/>
  <c r="N3152" i="6" s="1"/>
  <c r="R3152" i="6" s="1"/>
  <c r="M3216" i="6"/>
  <c r="N3216" i="6" s="1"/>
  <c r="R3216" i="6" s="1"/>
  <c r="M3344" i="6"/>
  <c r="N3344" i="6" s="1"/>
  <c r="R3344" i="6" s="1"/>
  <c r="M3408" i="6"/>
  <c r="N3408" i="6" s="1"/>
  <c r="R3408" i="6" s="1"/>
  <c r="M3472" i="6"/>
  <c r="N3472" i="6" s="1"/>
  <c r="R3472" i="6" s="1"/>
  <c r="M3536" i="6"/>
  <c r="N3536" i="6" s="1"/>
  <c r="R3536" i="6" s="1"/>
  <c r="M3600" i="6"/>
  <c r="N3600" i="6" s="1"/>
  <c r="R3600" i="6" s="1"/>
  <c r="M3664" i="6"/>
  <c r="N3664" i="6" s="1"/>
  <c r="R3664" i="6" s="1"/>
  <c r="M3728" i="6"/>
  <c r="N3728" i="6" s="1"/>
  <c r="R3728" i="6" s="1"/>
  <c r="M3792" i="6"/>
  <c r="N3792" i="6" s="1"/>
  <c r="R3792" i="6" s="1"/>
  <c r="M3856" i="6"/>
  <c r="N3856" i="6" s="1"/>
  <c r="R3856" i="6" s="1"/>
  <c r="M3920" i="6"/>
  <c r="N3920" i="6" s="1"/>
  <c r="R3920" i="6" s="1"/>
  <c r="M3984" i="6"/>
  <c r="N3984" i="6" s="1"/>
  <c r="M4048" i="6"/>
  <c r="N4048" i="6" s="1"/>
  <c r="R4048" i="6" s="1"/>
  <c r="M4112" i="6"/>
  <c r="N4112" i="6" s="1"/>
  <c r="R4112" i="6" s="1"/>
  <c r="M4176" i="6"/>
  <c r="N4176" i="6" s="1"/>
  <c r="R4176" i="6" s="1"/>
  <c r="M4240" i="6"/>
  <c r="N4240" i="6" s="1"/>
  <c r="R4240" i="6" s="1"/>
  <c r="M4304" i="6"/>
  <c r="N4304" i="6" s="1"/>
  <c r="R4304" i="6" s="1"/>
  <c r="M4368" i="6"/>
  <c r="N4368" i="6" s="1"/>
  <c r="R4368" i="6" s="1"/>
  <c r="M4432" i="6"/>
  <c r="N4432" i="6" s="1"/>
  <c r="R4432" i="6" s="1"/>
  <c r="M4496" i="6"/>
  <c r="N4496" i="6" s="1"/>
  <c r="R4496" i="6" s="1"/>
  <c r="M4560" i="6"/>
  <c r="N4560" i="6" s="1"/>
  <c r="R4560" i="6" s="1"/>
  <c r="M4624" i="6"/>
  <c r="N4624" i="6" s="1"/>
  <c r="R4624" i="6" s="1"/>
  <c r="M4688" i="6"/>
  <c r="N4688" i="6" s="1"/>
  <c r="R4688" i="6" s="1"/>
  <c r="M4752" i="6"/>
  <c r="N4752" i="6" s="1"/>
  <c r="R4752" i="6" s="1"/>
  <c r="M4816" i="6"/>
  <c r="N4816" i="6" s="1"/>
  <c r="R4816" i="6" s="1"/>
  <c r="M4880" i="6"/>
  <c r="N4880" i="6" s="1"/>
  <c r="R4880" i="6" s="1"/>
  <c r="M4944" i="6"/>
  <c r="N4944" i="6" s="1"/>
  <c r="R4944" i="6" s="1"/>
  <c r="M321" i="6"/>
  <c r="N321" i="6" s="1"/>
  <c r="R321" i="6" s="1"/>
  <c r="M385" i="6"/>
  <c r="N385" i="6" s="1"/>
  <c r="R385" i="6" s="1"/>
  <c r="M449" i="6"/>
  <c r="N449" i="6" s="1"/>
  <c r="R449" i="6" s="1"/>
  <c r="M513" i="6"/>
  <c r="N513" i="6" s="1"/>
  <c r="R513" i="6" s="1"/>
  <c r="M577" i="6"/>
  <c r="N577" i="6" s="1"/>
  <c r="R577" i="6" s="1"/>
  <c r="M641" i="6"/>
  <c r="N641" i="6" s="1"/>
  <c r="R641" i="6" s="1"/>
  <c r="M705" i="6"/>
  <c r="N705" i="6" s="1"/>
  <c r="R705" i="6" s="1"/>
  <c r="M769" i="6"/>
  <c r="N769" i="6" s="1"/>
  <c r="R769" i="6" s="1"/>
  <c r="M833" i="6"/>
  <c r="N833" i="6" s="1"/>
  <c r="M897" i="6"/>
  <c r="N897" i="6" s="1"/>
  <c r="M961" i="6"/>
  <c r="N961" i="6" s="1"/>
  <c r="R961" i="6" s="1"/>
  <c r="M1025" i="6"/>
  <c r="N1025" i="6" s="1"/>
  <c r="R1025" i="6" s="1"/>
  <c r="M1089" i="6"/>
  <c r="N1089" i="6" s="1"/>
  <c r="R1089" i="6" s="1"/>
  <c r="M1153" i="6"/>
  <c r="N1153" i="6" s="1"/>
  <c r="R1153" i="6" s="1"/>
  <c r="M1217" i="6"/>
  <c r="N1217" i="6" s="1"/>
  <c r="R1217" i="6" s="1"/>
  <c r="M1281" i="6"/>
  <c r="N1281" i="6" s="1"/>
  <c r="R1281" i="6" s="1"/>
  <c r="M1345" i="6"/>
  <c r="N1345" i="6" s="1"/>
  <c r="R1345" i="6" s="1"/>
  <c r="M1409" i="6"/>
  <c r="N1409" i="6" s="1"/>
  <c r="R1409" i="6" s="1"/>
  <c r="M1473" i="6"/>
  <c r="N1473" i="6" s="1"/>
  <c r="R1473" i="6" s="1"/>
  <c r="M1537" i="6"/>
  <c r="N1537" i="6" s="1"/>
  <c r="R1537" i="6" s="1"/>
  <c r="M1601" i="6"/>
  <c r="N1601" i="6" s="1"/>
  <c r="R1601" i="6" s="1"/>
  <c r="M1665" i="6"/>
  <c r="N1665" i="6" s="1"/>
  <c r="R1665" i="6" s="1"/>
  <c r="M1729" i="6"/>
  <c r="N1729" i="6" s="1"/>
  <c r="R1729" i="6" s="1"/>
  <c r="M1793" i="6"/>
  <c r="N1793" i="6" s="1"/>
  <c r="R1793" i="6" s="1"/>
  <c r="M1857" i="6"/>
  <c r="N1857" i="6" s="1"/>
  <c r="R1857" i="6" s="1"/>
  <c r="M1921" i="6"/>
  <c r="N1921" i="6" s="1"/>
  <c r="R1921" i="6" s="1"/>
  <c r="M1985" i="6"/>
  <c r="N1985" i="6" s="1"/>
  <c r="R1985" i="6" s="1"/>
  <c r="M2049" i="6"/>
  <c r="N2049" i="6" s="1"/>
  <c r="R2049" i="6" s="1"/>
  <c r="M2113" i="6"/>
  <c r="N2113" i="6" s="1"/>
  <c r="M2177" i="6"/>
  <c r="N2177" i="6" s="1"/>
  <c r="R2177" i="6" s="1"/>
  <c r="M2241" i="6"/>
  <c r="N2241" i="6" s="1"/>
  <c r="R2241" i="6" s="1"/>
  <c r="M2305" i="6"/>
  <c r="N2305" i="6" s="1"/>
  <c r="R2305" i="6" s="1"/>
  <c r="M2369" i="6"/>
  <c r="N2369" i="6" s="1"/>
  <c r="R2369" i="6" s="1"/>
  <c r="M2433" i="6"/>
  <c r="N2433" i="6" s="1"/>
  <c r="R2433" i="6" s="1"/>
  <c r="M2561" i="6"/>
  <c r="N2561" i="6" s="1"/>
  <c r="R2561" i="6" s="1"/>
  <c r="M2625" i="6"/>
  <c r="N2625" i="6" s="1"/>
  <c r="R2625" i="6" s="1"/>
  <c r="M2689" i="6"/>
  <c r="N2689" i="6" s="1"/>
  <c r="R2689" i="6" s="1"/>
  <c r="M2753" i="6"/>
  <c r="N2753" i="6" s="1"/>
  <c r="R2753" i="6" s="1"/>
  <c r="M2817" i="6"/>
  <c r="N2817" i="6" s="1"/>
  <c r="R2817" i="6" s="1"/>
  <c r="M2881" i="6"/>
  <c r="N2881" i="6" s="1"/>
  <c r="R2881" i="6" s="1"/>
  <c r="M2945" i="6"/>
  <c r="N2945" i="6" s="1"/>
  <c r="R2945" i="6" s="1"/>
  <c r="M3009" i="6"/>
  <c r="N3009" i="6" s="1"/>
  <c r="R3009" i="6" s="1"/>
  <c r="M3073" i="6"/>
  <c r="N3073" i="6" s="1"/>
  <c r="R3073" i="6" s="1"/>
  <c r="M3137" i="6"/>
  <c r="N3137" i="6" s="1"/>
  <c r="R3137" i="6" s="1"/>
  <c r="M3201" i="6"/>
  <c r="N3201" i="6" s="1"/>
  <c r="R3201" i="6" s="1"/>
  <c r="M3265" i="6"/>
  <c r="N3265" i="6" s="1"/>
  <c r="R3265" i="6" s="1"/>
  <c r="M3329" i="6"/>
  <c r="N3329" i="6" s="1"/>
  <c r="R3329" i="6" s="1"/>
  <c r="M3393" i="6"/>
  <c r="N3393" i="6" s="1"/>
  <c r="R3393" i="6" s="1"/>
  <c r="M3457" i="6"/>
  <c r="N3457" i="6" s="1"/>
  <c r="R3457" i="6" s="1"/>
  <c r="M3521" i="6"/>
  <c r="N3521" i="6" s="1"/>
  <c r="M3585" i="6"/>
  <c r="N3585" i="6" s="1"/>
  <c r="R3585" i="6" s="1"/>
  <c r="M3649" i="6"/>
  <c r="N3649" i="6" s="1"/>
  <c r="R3649" i="6" s="1"/>
  <c r="M3713" i="6"/>
  <c r="N3713" i="6" s="1"/>
  <c r="R3713" i="6" s="1"/>
  <c r="M3777" i="6"/>
  <c r="N3777" i="6" s="1"/>
  <c r="R3777" i="6" s="1"/>
  <c r="M3841" i="6"/>
  <c r="N3841" i="6" s="1"/>
  <c r="R3841" i="6" s="1"/>
  <c r="M3905" i="6"/>
  <c r="N3905" i="6" s="1"/>
  <c r="R3905" i="6" s="1"/>
  <c r="M3969" i="6"/>
  <c r="N3969" i="6" s="1"/>
  <c r="M4097" i="6"/>
  <c r="N4097" i="6" s="1"/>
  <c r="R4097" i="6" s="1"/>
  <c r="M4161" i="6"/>
  <c r="N4161" i="6" s="1"/>
  <c r="R4161" i="6" s="1"/>
  <c r="M4225" i="6"/>
  <c r="N4225" i="6" s="1"/>
  <c r="R4225" i="6" s="1"/>
  <c r="M4289" i="6"/>
  <c r="N4289" i="6" s="1"/>
  <c r="R4289" i="6" s="1"/>
  <c r="M4353" i="6"/>
  <c r="N4353" i="6" s="1"/>
  <c r="R4353" i="6" s="1"/>
  <c r="M4417" i="6"/>
  <c r="N4417" i="6" s="1"/>
  <c r="R4417" i="6" s="1"/>
  <c r="M4481" i="6"/>
  <c r="N4481" i="6" s="1"/>
  <c r="R4481" i="6" s="1"/>
  <c r="M4609" i="6"/>
  <c r="N4609" i="6" s="1"/>
  <c r="R4609" i="6" s="1"/>
  <c r="M4673" i="6"/>
  <c r="N4673" i="6" s="1"/>
  <c r="R4673" i="6" s="1"/>
  <c r="M4737" i="6"/>
  <c r="N4737" i="6" s="1"/>
  <c r="R4737" i="6" s="1"/>
  <c r="M4801" i="6"/>
  <c r="N4801" i="6" s="1"/>
  <c r="R4801" i="6" s="1"/>
  <c r="M4865" i="6"/>
  <c r="N4865" i="6" s="1"/>
  <c r="R4865" i="6" s="1"/>
  <c r="M4929" i="6"/>
  <c r="N4929" i="6" s="1"/>
  <c r="R4929" i="6" s="1"/>
  <c r="M4993" i="6"/>
  <c r="N4993" i="6" s="1"/>
  <c r="R4993" i="6" s="1"/>
  <c r="M378" i="6"/>
  <c r="N378" i="6" s="1"/>
  <c r="R378" i="6" s="1"/>
  <c r="M442" i="6"/>
  <c r="N442" i="6" s="1"/>
  <c r="R442" i="6" s="1"/>
  <c r="M506" i="6"/>
  <c r="N506" i="6" s="1"/>
  <c r="R506" i="6" s="1"/>
  <c r="M570" i="6"/>
  <c r="N570" i="6" s="1"/>
  <c r="R570" i="6" s="1"/>
  <c r="M634" i="6"/>
  <c r="N634" i="6" s="1"/>
  <c r="R634" i="6" s="1"/>
  <c r="M698" i="6"/>
  <c r="N698" i="6" s="1"/>
  <c r="R698" i="6" s="1"/>
  <c r="M762" i="6"/>
  <c r="N762" i="6" s="1"/>
  <c r="R762" i="6" s="1"/>
  <c r="M826" i="6"/>
  <c r="N826" i="6" s="1"/>
  <c r="R826" i="6" s="1"/>
  <c r="M890" i="6"/>
  <c r="N890" i="6" s="1"/>
  <c r="R890" i="6" s="1"/>
  <c r="M954" i="6"/>
  <c r="N954" i="6" s="1"/>
  <c r="R954" i="6" s="1"/>
  <c r="M1018" i="6"/>
  <c r="N1018" i="6" s="1"/>
  <c r="R1018" i="6" s="1"/>
  <c r="M1082" i="6"/>
  <c r="N1082" i="6" s="1"/>
  <c r="R1082" i="6" s="1"/>
  <c r="M1146" i="6"/>
  <c r="N1146" i="6" s="1"/>
  <c r="R1146" i="6" s="1"/>
  <c r="M1210" i="6"/>
  <c r="N1210" i="6" s="1"/>
  <c r="R1210" i="6" s="1"/>
  <c r="M1274" i="6"/>
  <c r="N1274" i="6" s="1"/>
  <c r="R1274" i="6" s="1"/>
  <c r="M1338" i="6"/>
  <c r="N1338" i="6" s="1"/>
  <c r="R1338" i="6" s="1"/>
  <c r="M1402" i="6"/>
  <c r="N1402" i="6" s="1"/>
  <c r="M1466" i="6"/>
  <c r="N1466" i="6" s="1"/>
  <c r="M1530" i="6"/>
  <c r="N1530" i="6" s="1"/>
  <c r="R1530" i="6" s="1"/>
  <c r="M1594" i="6"/>
  <c r="N1594" i="6" s="1"/>
  <c r="R1594" i="6" s="1"/>
  <c r="M1658" i="6"/>
  <c r="N1658" i="6" s="1"/>
  <c r="R1658" i="6" s="1"/>
  <c r="M1722" i="6"/>
  <c r="N1722" i="6" s="1"/>
  <c r="R1722" i="6" s="1"/>
  <c r="M1786" i="6"/>
  <c r="N1786" i="6" s="1"/>
  <c r="R1786" i="6" s="1"/>
  <c r="M1850" i="6"/>
  <c r="N1850" i="6" s="1"/>
  <c r="R1850" i="6" s="1"/>
  <c r="M1914" i="6"/>
  <c r="N1914" i="6" s="1"/>
  <c r="R1914" i="6" s="1"/>
  <c r="M1978" i="6"/>
  <c r="N1978" i="6" s="1"/>
  <c r="M2042" i="6"/>
  <c r="N2042" i="6" s="1"/>
  <c r="R2042" i="6" s="1"/>
  <c r="M2106" i="6"/>
  <c r="N2106" i="6" s="1"/>
  <c r="M2170" i="6"/>
  <c r="N2170" i="6" s="1"/>
  <c r="R2170" i="6" s="1"/>
  <c r="M2234" i="6"/>
  <c r="N2234" i="6" s="1"/>
  <c r="R2234" i="6" s="1"/>
  <c r="M2298" i="6"/>
  <c r="N2298" i="6" s="1"/>
  <c r="R2298" i="6" s="1"/>
  <c r="M2362" i="6"/>
  <c r="N2362" i="6" s="1"/>
  <c r="R2362" i="6" s="1"/>
  <c r="M2426" i="6"/>
  <c r="N2426" i="6" s="1"/>
  <c r="R2426" i="6" s="1"/>
  <c r="M2490" i="6"/>
  <c r="N2490" i="6" s="1"/>
  <c r="R2490" i="6" s="1"/>
  <c r="M2554" i="6"/>
  <c r="N2554" i="6" s="1"/>
  <c r="R2554" i="6" s="1"/>
  <c r="M2682" i="6"/>
  <c r="N2682" i="6" s="1"/>
  <c r="R2682" i="6" s="1"/>
  <c r="M2746" i="6"/>
  <c r="N2746" i="6" s="1"/>
  <c r="R2746" i="6" s="1"/>
  <c r="M2810" i="6"/>
  <c r="N2810" i="6" s="1"/>
  <c r="R2810" i="6" s="1"/>
  <c r="M2874" i="6"/>
  <c r="N2874" i="6" s="1"/>
  <c r="R2874" i="6" s="1"/>
  <c r="M2938" i="6"/>
  <c r="N2938" i="6" s="1"/>
  <c r="R2938" i="6" s="1"/>
  <c r="M3002" i="6"/>
  <c r="N3002" i="6" s="1"/>
  <c r="R3002" i="6" s="1"/>
  <c r="M3066" i="6"/>
  <c r="N3066" i="6" s="1"/>
  <c r="R3066" i="6" s="1"/>
  <c r="M3194" i="6"/>
  <c r="N3194" i="6" s="1"/>
  <c r="R3194" i="6" s="1"/>
  <c r="M3258" i="6"/>
  <c r="N3258" i="6" s="1"/>
  <c r="R3258" i="6" s="1"/>
  <c r="M3322" i="6"/>
  <c r="N3322" i="6" s="1"/>
  <c r="R3322" i="6" s="1"/>
  <c r="M3386" i="6"/>
  <c r="N3386" i="6" s="1"/>
  <c r="R3386" i="6" s="1"/>
  <c r="M3450" i="6"/>
  <c r="N3450" i="6" s="1"/>
  <c r="R3450" i="6" s="1"/>
  <c r="M3514" i="6"/>
  <c r="N3514" i="6" s="1"/>
  <c r="R3514" i="6" s="1"/>
  <c r="M3578" i="6"/>
  <c r="N3578" i="6" s="1"/>
  <c r="R3578" i="6" s="1"/>
  <c r="M3642" i="6"/>
  <c r="N3642" i="6" s="1"/>
  <c r="M3706" i="6"/>
  <c r="N3706" i="6" s="1"/>
  <c r="R3706" i="6" s="1"/>
  <c r="M3770" i="6"/>
  <c r="N3770" i="6" s="1"/>
  <c r="R3770" i="6" s="1"/>
  <c r="M3834" i="6"/>
  <c r="N3834" i="6" s="1"/>
  <c r="R3834" i="6" s="1"/>
  <c r="M3898" i="6"/>
  <c r="N3898" i="6" s="1"/>
  <c r="R3898" i="6" s="1"/>
  <c r="M3962" i="6"/>
  <c r="N3962" i="6" s="1"/>
  <c r="R3962" i="6" s="1"/>
  <c r="M4026" i="6"/>
  <c r="N4026" i="6" s="1"/>
  <c r="R4026" i="6" s="1"/>
  <c r="M4090" i="6"/>
  <c r="N4090" i="6" s="1"/>
  <c r="R4090" i="6" s="1"/>
  <c r="M4154" i="6"/>
  <c r="N4154" i="6" s="1"/>
  <c r="M4218" i="6"/>
  <c r="N4218" i="6" s="1"/>
  <c r="R4218" i="6" s="1"/>
  <c r="M4282" i="6"/>
  <c r="N4282" i="6" s="1"/>
  <c r="R4282" i="6" s="1"/>
  <c r="M4346" i="6"/>
  <c r="N4346" i="6" s="1"/>
  <c r="R4346" i="6" s="1"/>
  <c r="M4474" i="6"/>
  <c r="N4474" i="6" s="1"/>
  <c r="R4474" i="6" s="1"/>
  <c r="M4538" i="6"/>
  <c r="N4538" i="6" s="1"/>
  <c r="R4538" i="6" s="1"/>
  <c r="M4602" i="6"/>
  <c r="N4602" i="6" s="1"/>
  <c r="R4602" i="6" s="1"/>
  <c r="M4666" i="6"/>
  <c r="N4666" i="6" s="1"/>
  <c r="R4666" i="6" s="1"/>
  <c r="M4730" i="6"/>
  <c r="N4730" i="6" s="1"/>
  <c r="R4730" i="6" s="1"/>
  <c r="M4794" i="6"/>
  <c r="N4794" i="6" s="1"/>
  <c r="R4794" i="6" s="1"/>
  <c r="M4858" i="6"/>
  <c r="N4858" i="6" s="1"/>
  <c r="R4858" i="6" s="1"/>
  <c r="M4922" i="6"/>
  <c r="N4922" i="6" s="1"/>
  <c r="R4922" i="6" s="1"/>
  <c r="M4986" i="6"/>
  <c r="N4986" i="6" s="1"/>
  <c r="R4986" i="6" s="1"/>
  <c r="M339" i="6"/>
  <c r="N339" i="6" s="1"/>
  <c r="R339" i="6" s="1"/>
  <c r="M403" i="6"/>
  <c r="N403" i="6" s="1"/>
  <c r="R403" i="6" s="1"/>
  <c r="M467" i="6"/>
  <c r="N467" i="6" s="1"/>
  <c r="R467" i="6" s="1"/>
  <c r="M531" i="6"/>
  <c r="N531" i="6" s="1"/>
  <c r="R531" i="6" s="1"/>
  <c r="M595" i="6"/>
  <c r="N595" i="6" s="1"/>
  <c r="R595" i="6" s="1"/>
  <c r="M659" i="6"/>
  <c r="N659" i="6" s="1"/>
  <c r="R659" i="6" s="1"/>
  <c r="M723" i="6"/>
  <c r="N723" i="6" s="1"/>
  <c r="R723" i="6" s="1"/>
  <c r="M787" i="6"/>
  <c r="N787" i="6" s="1"/>
  <c r="R787" i="6" s="1"/>
  <c r="M851" i="6"/>
  <c r="N851" i="6" s="1"/>
  <c r="R851" i="6" s="1"/>
  <c r="M915" i="6"/>
  <c r="N915" i="6" s="1"/>
  <c r="R915" i="6" s="1"/>
  <c r="M979" i="6"/>
  <c r="N979" i="6" s="1"/>
  <c r="R979" i="6" s="1"/>
  <c r="M1043" i="6"/>
  <c r="N1043" i="6" s="1"/>
  <c r="M1107" i="6"/>
  <c r="N1107" i="6" s="1"/>
  <c r="R1107" i="6" s="1"/>
  <c r="M1171" i="6"/>
  <c r="N1171" i="6" s="1"/>
  <c r="R1171" i="6" s="1"/>
  <c r="M1235" i="6"/>
  <c r="N1235" i="6" s="1"/>
  <c r="R1235" i="6" s="1"/>
  <c r="M1299" i="6"/>
  <c r="N1299" i="6" s="1"/>
  <c r="R1299" i="6" s="1"/>
  <c r="M1363" i="6"/>
  <c r="N1363" i="6" s="1"/>
  <c r="R1363" i="6" s="1"/>
  <c r="M1427" i="6"/>
  <c r="N1427" i="6" s="1"/>
  <c r="R1427" i="6" s="1"/>
  <c r="M1491" i="6"/>
  <c r="N1491" i="6" s="1"/>
  <c r="R1491" i="6" s="1"/>
  <c r="M1555" i="6"/>
  <c r="N1555" i="6" s="1"/>
  <c r="R1555" i="6" s="1"/>
  <c r="M1619" i="6"/>
  <c r="N1619" i="6" s="1"/>
  <c r="R1619" i="6" s="1"/>
  <c r="M1683" i="6"/>
  <c r="N1683" i="6" s="1"/>
  <c r="R1683" i="6" s="1"/>
  <c r="M1747" i="6"/>
  <c r="N1747" i="6" s="1"/>
  <c r="R1747" i="6" s="1"/>
  <c r="M1811" i="6"/>
  <c r="N1811" i="6" s="1"/>
  <c r="R1811" i="6" s="1"/>
  <c r="M1875" i="6"/>
  <c r="N1875" i="6" s="1"/>
  <c r="R1875" i="6" s="1"/>
  <c r="M1939" i="6"/>
  <c r="N1939" i="6" s="1"/>
  <c r="R1939" i="6" s="1"/>
  <c r="M2003" i="6"/>
  <c r="N2003" i="6" s="1"/>
  <c r="R2003" i="6" s="1"/>
  <c r="M2067" i="6"/>
  <c r="N2067" i="6" s="1"/>
  <c r="M2131" i="6"/>
  <c r="N2131" i="6" s="1"/>
  <c r="R2131" i="6" s="1"/>
  <c r="M2195" i="6"/>
  <c r="N2195" i="6" s="1"/>
  <c r="R2195" i="6" s="1"/>
  <c r="M2259" i="6"/>
  <c r="N2259" i="6" s="1"/>
  <c r="R2259" i="6" s="1"/>
  <c r="M2323" i="6"/>
  <c r="N2323" i="6" s="1"/>
  <c r="R2323" i="6" s="1"/>
  <c r="M2387" i="6"/>
  <c r="N2387" i="6" s="1"/>
  <c r="R2387" i="6" s="1"/>
  <c r="M2451" i="6"/>
  <c r="N2451" i="6" s="1"/>
  <c r="R2451" i="6" s="1"/>
  <c r="M2515" i="6"/>
  <c r="N2515" i="6" s="1"/>
  <c r="R2515" i="6" s="1"/>
  <c r="M2579" i="6"/>
  <c r="N2579" i="6" s="1"/>
  <c r="R2579" i="6" s="1"/>
  <c r="M2643" i="6"/>
  <c r="N2643" i="6" s="1"/>
  <c r="R2643" i="6" s="1"/>
  <c r="M2707" i="6"/>
  <c r="N2707" i="6" s="1"/>
  <c r="R2707" i="6" s="1"/>
  <c r="M2835" i="6"/>
  <c r="N2835" i="6" s="1"/>
  <c r="R2835" i="6" s="1"/>
  <c r="M2899" i="6"/>
  <c r="N2899" i="6" s="1"/>
  <c r="R2899" i="6" s="1"/>
  <c r="M2963" i="6"/>
  <c r="N2963" i="6" s="1"/>
  <c r="R2963" i="6" s="1"/>
  <c r="M3027" i="6"/>
  <c r="N3027" i="6" s="1"/>
  <c r="R3027" i="6" s="1"/>
  <c r="M3091" i="6"/>
  <c r="N3091" i="6" s="1"/>
  <c r="R3091" i="6" s="1"/>
  <c r="M3155" i="6"/>
  <c r="N3155" i="6" s="1"/>
  <c r="M3219" i="6"/>
  <c r="N3219" i="6" s="1"/>
  <c r="M3283" i="6"/>
  <c r="N3283" i="6" s="1"/>
  <c r="R3283" i="6" s="1"/>
  <c r="M3347" i="6"/>
  <c r="N3347" i="6" s="1"/>
  <c r="R3347" i="6" s="1"/>
  <c r="M3411" i="6"/>
  <c r="N3411" i="6" s="1"/>
  <c r="R3411" i="6" s="1"/>
  <c r="M3475" i="6"/>
  <c r="N3475" i="6" s="1"/>
  <c r="R3475" i="6" s="1"/>
  <c r="M3539" i="6"/>
  <c r="N3539" i="6" s="1"/>
  <c r="R3539" i="6" s="1"/>
  <c r="M3603" i="6"/>
  <c r="N3603" i="6" s="1"/>
  <c r="R3603" i="6" s="1"/>
  <c r="M3667" i="6"/>
  <c r="N3667" i="6" s="1"/>
  <c r="M3731" i="6"/>
  <c r="N3731" i="6" s="1"/>
  <c r="M3795" i="6"/>
  <c r="N3795" i="6" s="1"/>
  <c r="R3795" i="6" s="1"/>
  <c r="M3859" i="6"/>
  <c r="N3859" i="6" s="1"/>
  <c r="R3859" i="6" s="1"/>
  <c r="M3923" i="6"/>
  <c r="N3923" i="6" s="1"/>
  <c r="R3923" i="6" s="1"/>
  <c r="M3987" i="6"/>
  <c r="N3987" i="6" s="1"/>
  <c r="R3987" i="6" s="1"/>
  <c r="M4115" i="6"/>
  <c r="N4115" i="6" s="1"/>
  <c r="R4115" i="6" s="1"/>
  <c r="M4179" i="6"/>
  <c r="N4179" i="6" s="1"/>
  <c r="R4179" i="6" s="1"/>
  <c r="M4307" i="6"/>
  <c r="N4307" i="6" s="1"/>
  <c r="R4307" i="6" s="1"/>
  <c r="M4371" i="6"/>
  <c r="N4371" i="6" s="1"/>
  <c r="R4371" i="6" s="1"/>
  <c r="M4435" i="6"/>
  <c r="N4435" i="6" s="1"/>
  <c r="R4435" i="6" s="1"/>
  <c r="M4499" i="6"/>
  <c r="N4499" i="6" s="1"/>
  <c r="R4499" i="6" s="1"/>
  <c r="M4563" i="6"/>
  <c r="N4563" i="6" s="1"/>
  <c r="R4563" i="6" s="1"/>
  <c r="M4627" i="6"/>
  <c r="N4627" i="6" s="1"/>
  <c r="R4627" i="6" s="1"/>
  <c r="M4691" i="6"/>
  <c r="N4691" i="6" s="1"/>
  <c r="R4691" i="6" s="1"/>
  <c r="M4755" i="6"/>
  <c r="N4755" i="6" s="1"/>
  <c r="R4755" i="6" s="1"/>
  <c r="M4819" i="6"/>
  <c r="N4819" i="6" s="1"/>
  <c r="R4819" i="6" s="1"/>
  <c r="M4883" i="6"/>
  <c r="N4883" i="6" s="1"/>
  <c r="R4883" i="6" s="1"/>
  <c r="M4947" i="6"/>
  <c r="N4947" i="6" s="1"/>
  <c r="R4947" i="6" s="1"/>
  <c r="M12" i="6"/>
  <c r="N12" i="6" s="1"/>
  <c r="R12" i="6" s="1"/>
  <c r="M76" i="6"/>
  <c r="N76" i="6" s="1"/>
  <c r="R76" i="6" s="1"/>
  <c r="M140" i="6"/>
  <c r="N140" i="6" s="1"/>
  <c r="R140" i="6" s="1"/>
  <c r="M204" i="6"/>
  <c r="N204" i="6" s="1"/>
  <c r="R204" i="6" s="1"/>
  <c r="M268" i="6"/>
  <c r="N268" i="6" s="1"/>
  <c r="R268" i="6" s="1"/>
  <c r="M332" i="6"/>
  <c r="N332" i="6" s="1"/>
  <c r="M396" i="6"/>
  <c r="N396" i="6" s="1"/>
  <c r="R396" i="6" s="1"/>
  <c r="M460" i="6"/>
  <c r="N460" i="6" s="1"/>
  <c r="R460" i="6" s="1"/>
  <c r="M524" i="6"/>
  <c r="N524" i="6" s="1"/>
  <c r="R524" i="6" s="1"/>
  <c r="M588" i="6"/>
  <c r="N588" i="6" s="1"/>
  <c r="R588" i="6" s="1"/>
  <c r="M652" i="6"/>
  <c r="N652" i="6" s="1"/>
  <c r="R652" i="6" s="1"/>
  <c r="M716" i="6"/>
  <c r="N716" i="6" s="1"/>
  <c r="R716" i="6" s="1"/>
  <c r="M780" i="6"/>
  <c r="N780" i="6" s="1"/>
  <c r="R780" i="6" s="1"/>
  <c r="M844" i="6"/>
  <c r="N844" i="6" s="1"/>
  <c r="R844" i="6" s="1"/>
  <c r="M908" i="6"/>
  <c r="N908" i="6" s="1"/>
  <c r="R908" i="6" s="1"/>
  <c r="M972" i="6"/>
  <c r="N972" i="6" s="1"/>
  <c r="R972" i="6" s="1"/>
  <c r="M1036" i="6"/>
  <c r="N1036" i="6" s="1"/>
  <c r="R1036" i="6" s="1"/>
  <c r="M1100" i="6"/>
  <c r="N1100" i="6" s="1"/>
  <c r="R1100" i="6" s="1"/>
  <c r="M1164" i="6"/>
  <c r="N1164" i="6" s="1"/>
  <c r="R1164" i="6" s="1"/>
  <c r="M1228" i="6"/>
  <c r="N1228" i="6" s="1"/>
  <c r="R1228" i="6" s="1"/>
  <c r="M1292" i="6"/>
  <c r="N1292" i="6" s="1"/>
  <c r="R1292" i="6" s="1"/>
  <c r="M1356" i="6"/>
  <c r="N1356" i="6" s="1"/>
  <c r="R1356" i="6" s="1"/>
  <c r="M1420" i="6"/>
  <c r="N1420" i="6" s="1"/>
  <c r="R1420" i="6" s="1"/>
  <c r="M1484" i="6"/>
  <c r="N1484" i="6" s="1"/>
  <c r="R1484" i="6" s="1"/>
  <c r="M1548" i="6"/>
  <c r="N1548" i="6" s="1"/>
  <c r="R1548" i="6" s="1"/>
  <c r="M1612" i="6"/>
  <c r="N1612" i="6" s="1"/>
  <c r="R1612" i="6" s="1"/>
  <c r="M1676" i="6"/>
  <c r="N1676" i="6" s="1"/>
  <c r="R1676" i="6" s="1"/>
  <c r="M1740" i="6"/>
  <c r="N1740" i="6" s="1"/>
  <c r="R1740" i="6" s="1"/>
  <c r="M1804" i="6"/>
  <c r="N1804" i="6" s="1"/>
  <c r="R1804" i="6" s="1"/>
  <c r="M1868" i="6"/>
  <c r="N1868" i="6" s="1"/>
  <c r="M1932" i="6"/>
  <c r="N1932" i="6" s="1"/>
  <c r="M1996" i="6"/>
  <c r="N1996" i="6" s="1"/>
  <c r="R1996" i="6" s="1"/>
  <c r="M2060" i="6"/>
  <c r="N2060" i="6" s="1"/>
  <c r="R2060" i="6" s="1"/>
  <c r="M2124" i="6"/>
  <c r="N2124" i="6" s="1"/>
  <c r="R2124" i="6" s="1"/>
  <c r="M2188" i="6"/>
  <c r="N2188" i="6" s="1"/>
  <c r="R2188" i="6" s="1"/>
  <c r="M2252" i="6"/>
  <c r="N2252" i="6" s="1"/>
  <c r="R2252" i="6" s="1"/>
  <c r="M2316" i="6"/>
  <c r="N2316" i="6" s="1"/>
  <c r="R2316" i="6" s="1"/>
  <c r="M2380" i="6"/>
  <c r="N2380" i="6" s="1"/>
  <c r="R2380" i="6" s="1"/>
  <c r="M2444" i="6"/>
  <c r="N2444" i="6" s="1"/>
  <c r="R2444" i="6" s="1"/>
  <c r="M2572" i="6"/>
  <c r="N2572" i="6" s="1"/>
  <c r="R2572" i="6" s="1"/>
  <c r="M2636" i="6"/>
  <c r="N2636" i="6" s="1"/>
  <c r="R2636" i="6" s="1"/>
  <c r="M2700" i="6"/>
  <c r="N2700" i="6" s="1"/>
  <c r="R2700" i="6" s="1"/>
  <c r="M2764" i="6"/>
  <c r="N2764" i="6" s="1"/>
  <c r="R2764" i="6" s="1"/>
  <c r="M2828" i="6"/>
  <c r="N2828" i="6" s="1"/>
  <c r="R2828" i="6" s="1"/>
  <c r="M2892" i="6"/>
  <c r="N2892" i="6" s="1"/>
  <c r="R2892" i="6" s="1"/>
  <c r="M2956" i="6"/>
  <c r="N2956" i="6" s="1"/>
  <c r="M3020" i="6"/>
  <c r="N3020" i="6" s="1"/>
  <c r="R3020" i="6" s="1"/>
  <c r="M3084" i="6"/>
  <c r="N3084" i="6" s="1"/>
  <c r="R3084" i="6" s="1"/>
  <c r="M3148" i="6"/>
  <c r="N3148" i="6" s="1"/>
  <c r="R3148" i="6" s="1"/>
  <c r="M3212" i="6"/>
  <c r="N3212" i="6" s="1"/>
  <c r="R3212" i="6" s="1"/>
  <c r="M3276" i="6"/>
  <c r="N3276" i="6" s="1"/>
  <c r="R3276" i="6" s="1"/>
  <c r="M3468" i="6"/>
  <c r="N3468" i="6" s="1"/>
  <c r="R3468" i="6" s="1"/>
  <c r="M3532" i="6"/>
  <c r="N3532" i="6" s="1"/>
  <c r="R3532" i="6" s="1"/>
  <c r="M3596" i="6"/>
  <c r="N3596" i="6" s="1"/>
  <c r="R3596" i="6" s="1"/>
  <c r="M3660" i="6"/>
  <c r="N3660" i="6" s="1"/>
  <c r="R3660" i="6" s="1"/>
  <c r="M3724" i="6"/>
  <c r="N3724" i="6" s="1"/>
  <c r="R3724" i="6" s="1"/>
  <c r="M3788" i="6"/>
  <c r="N3788" i="6" s="1"/>
  <c r="R3788" i="6" s="1"/>
  <c r="M3852" i="6"/>
  <c r="N3852" i="6" s="1"/>
  <c r="R3852" i="6" s="1"/>
  <c r="M3916" i="6"/>
  <c r="N3916" i="6" s="1"/>
  <c r="R3916" i="6" s="1"/>
  <c r="M3980" i="6"/>
  <c r="N3980" i="6" s="1"/>
  <c r="R3980" i="6" s="1"/>
  <c r="M4044" i="6"/>
  <c r="N4044" i="6" s="1"/>
  <c r="R4044" i="6" s="1"/>
  <c r="M4108" i="6"/>
  <c r="N4108" i="6" s="1"/>
  <c r="M4172" i="6"/>
  <c r="N4172" i="6" s="1"/>
  <c r="M4236" i="6"/>
  <c r="N4236" i="6" s="1"/>
  <c r="R4236" i="6" s="1"/>
  <c r="M4300" i="6"/>
  <c r="N4300" i="6" s="1"/>
  <c r="R4300" i="6" s="1"/>
  <c r="M4364" i="6"/>
  <c r="N4364" i="6" s="1"/>
  <c r="R4364" i="6" s="1"/>
  <c r="M4428" i="6"/>
  <c r="N4428" i="6" s="1"/>
  <c r="R4428" i="6" s="1"/>
  <c r="M333" i="6"/>
  <c r="N333" i="6" s="1"/>
  <c r="R333" i="6" s="1"/>
  <c r="M397" i="6"/>
  <c r="N397" i="6" s="1"/>
  <c r="R397" i="6" s="1"/>
  <c r="M461" i="6"/>
  <c r="N461" i="6" s="1"/>
  <c r="M525" i="6"/>
  <c r="N525" i="6" s="1"/>
  <c r="R525" i="6" s="1"/>
  <c r="M589" i="6"/>
  <c r="N589" i="6" s="1"/>
  <c r="R589" i="6" s="1"/>
  <c r="M653" i="6"/>
  <c r="N653" i="6" s="1"/>
  <c r="R653" i="6" s="1"/>
  <c r="M717" i="6"/>
  <c r="N717" i="6" s="1"/>
  <c r="R717" i="6" s="1"/>
  <c r="M909" i="6"/>
  <c r="N909" i="6" s="1"/>
  <c r="R909" i="6" s="1"/>
  <c r="M973" i="6"/>
  <c r="N973" i="6" s="1"/>
  <c r="R973" i="6" s="1"/>
  <c r="M1037" i="6"/>
  <c r="N1037" i="6" s="1"/>
  <c r="R1037" i="6" s="1"/>
  <c r="M1101" i="6"/>
  <c r="N1101" i="6" s="1"/>
  <c r="R1101" i="6" s="1"/>
  <c r="M1165" i="6"/>
  <c r="N1165" i="6" s="1"/>
  <c r="R1165" i="6" s="1"/>
  <c r="M1229" i="6"/>
  <c r="N1229" i="6" s="1"/>
  <c r="R1229" i="6" s="1"/>
  <c r="M1357" i="6"/>
  <c r="N1357" i="6" s="1"/>
  <c r="R1357" i="6" s="1"/>
  <c r="M1421" i="6"/>
  <c r="N1421" i="6" s="1"/>
  <c r="R1421" i="6" s="1"/>
  <c r="M1485" i="6"/>
  <c r="N1485" i="6" s="1"/>
  <c r="R1485" i="6" s="1"/>
  <c r="M1549" i="6"/>
  <c r="N1549" i="6" s="1"/>
  <c r="R1549" i="6" s="1"/>
  <c r="M1741" i="6"/>
  <c r="N1741" i="6" s="1"/>
  <c r="R1741" i="6" s="1"/>
  <c r="M1805" i="6"/>
  <c r="N1805" i="6" s="1"/>
  <c r="R1805" i="6" s="1"/>
  <c r="M1869" i="6"/>
  <c r="N1869" i="6" s="1"/>
  <c r="R1869" i="6" s="1"/>
  <c r="M1933" i="6"/>
  <c r="N1933" i="6" s="1"/>
  <c r="R1933" i="6" s="1"/>
  <c r="M1997" i="6"/>
  <c r="N1997" i="6" s="1"/>
  <c r="R1997" i="6" s="1"/>
  <c r="M2061" i="6"/>
  <c r="N2061" i="6" s="1"/>
  <c r="R2061" i="6" s="1"/>
  <c r="M2125" i="6"/>
  <c r="N2125" i="6" s="1"/>
  <c r="R2125" i="6" s="1"/>
  <c r="M2189" i="6"/>
  <c r="N2189" i="6" s="1"/>
  <c r="R2189" i="6" s="1"/>
  <c r="M2253" i="6"/>
  <c r="N2253" i="6" s="1"/>
  <c r="R2253" i="6" s="1"/>
  <c r="M2317" i="6"/>
  <c r="N2317" i="6" s="1"/>
  <c r="M2381" i="6"/>
  <c r="N2381" i="6" s="1"/>
  <c r="R2381" i="6" s="1"/>
  <c r="M2445" i="6"/>
  <c r="N2445" i="6" s="1"/>
  <c r="R2445" i="6" s="1"/>
  <c r="M2509" i="6"/>
  <c r="N2509" i="6" s="1"/>
  <c r="R2509" i="6" s="1"/>
  <c r="M2573" i="6"/>
  <c r="N2573" i="6" s="1"/>
  <c r="R2573" i="6" s="1"/>
  <c r="M2637" i="6"/>
  <c r="N2637" i="6" s="1"/>
  <c r="R2637" i="6" s="1"/>
  <c r="M2701" i="6"/>
  <c r="N2701" i="6" s="1"/>
  <c r="R2701" i="6" s="1"/>
  <c r="M2765" i="6"/>
  <c r="N2765" i="6" s="1"/>
  <c r="R2765" i="6" s="1"/>
  <c r="M2829" i="6"/>
  <c r="N2829" i="6" s="1"/>
  <c r="R2829" i="6" s="1"/>
  <c r="M2893" i="6"/>
  <c r="N2893" i="6" s="1"/>
  <c r="R2893" i="6" s="1"/>
  <c r="M2957" i="6"/>
  <c r="N2957" i="6" s="1"/>
  <c r="R2957" i="6" s="1"/>
  <c r="M3021" i="6"/>
  <c r="N3021" i="6" s="1"/>
  <c r="R3021" i="6" s="1"/>
  <c r="M3085" i="6"/>
  <c r="N3085" i="6" s="1"/>
  <c r="R3085" i="6" s="1"/>
  <c r="M3149" i="6"/>
  <c r="N3149" i="6" s="1"/>
  <c r="R3149" i="6" s="1"/>
  <c r="M3213" i="6"/>
  <c r="N3213" i="6" s="1"/>
  <c r="R3213" i="6" s="1"/>
  <c r="M3277" i="6"/>
  <c r="N3277" i="6" s="1"/>
  <c r="R3277" i="6" s="1"/>
  <c r="M3341" i="6"/>
  <c r="N3341" i="6" s="1"/>
  <c r="R3341" i="6" s="1"/>
  <c r="M3405" i="6"/>
  <c r="N3405" i="6" s="1"/>
  <c r="R3405" i="6" s="1"/>
  <c r="M3469" i="6"/>
  <c r="N3469" i="6" s="1"/>
  <c r="R3469" i="6" s="1"/>
  <c r="M3533" i="6"/>
  <c r="N3533" i="6" s="1"/>
  <c r="R3533" i="6" s="1"/>
  <c r="M3597" i="6"/>
  <c r="N3597" i="6" s="1"/>
  <c r="R3597" i="6" s="1"/>
  <c r="M3661" i="6"/>
  <c r="N3661" i="6" s="1"/>
  <c r="R3661" i="6" s="1"/>
  <c r="M3789" i="6"/>
  <c r="N3789" i="6" s="1"/>
  <c r="R3789" i="6" s="1"/>
  <c r="M3853" i="6"/>
  <c r="N3853" i="6" s="1"/>
  <c r="R3853" i="6" s="1"/>
  <c r="M3917" i="6"/>
  <c r="N3917" i="6" s="1"/>
  <c r="M3981" i="6"/>
  <c r="N3981" i="6" s="1"/>
  <c r="R3981" i="6" s="1"/>
  <c r="M4045" i="6"/>
  <c r="N4045" i="6" s="1"/>
  <c r="R4045" i="6" s="1"/>
  <c r="M4109" i="6"/>
  <c r="N4109" i="6" s="1"/>
  <c r="R4109" i="6" s="1"/>
  <c r="M4173" i="6"/>
  <c r="N4173" i="6" s="1"/>
  <c r="R4173" i="6" s="1"/>
  <c r="M4237" i="6"/>
  <c r="N4237" i="6" s="1"/>
  <c r="R4237" i="6" s="1"/>
  <c r="M4301" i="6"/>
  <c r="N4301" i="6" s="1"/>
  <c r="R4301" i="6" s="1"/>
  <c r="M4365" i="6"/>
  <c r="N4365" i="6" s="1"/>
  <c r="R4365" i="6" s="1"/>
  <c r="M4429" i="6"/>
  <c r="N4429" i="6" s="1"/>
  <c r="M4493" i="6"/>
  <c r="N4493" i="6" s="1"/>
  <c r="R4493" i="6" s="1"/>
  <c r="M4557" i="6"/>
  <c r="N4557" i="6" s="1"/>
  <c r="R4557" i="6" s="1"/>
  <c r="M4621" i="6"/>
  <c r="N4621" i="6" s="1"/>
  <c r="R4621" i="6" s="1"/>
  <c r="M4685" i="6"/>
  <c r="N4685" i="6" s="1"/>
  <c r="R4685" i="6" s="1"/>
  <c r="M4749" i="6"/>
  <c r="N4749" i="6" s="1"/>
  <c r="R4749" i="6" s="1"/>
  <c r="M4813" i="6"/>
  <c r="N4813" i="6" s="1"/>
  <c r="R4813" i="6" s="1"/>
  <c r="M4877" i="6"/>
  <c r="N4877" i="6" s="1"/>
  <c r="R4877" i="6" s="1"/>
  <c r="M86" i="6"/>
  <c r="N86" i="6" s="1"/>
  <c r="M382" i="6"/>
  <c r="N382" i="6" s="1"/>
  <c r="R382" i="6" s="1"/>
  <c r="M446" i="6"/>
  <c r="N446" i="6" s="1"/>
  <c r="R446" i="6" s="1"/>
  <c r="M510" i="6"/>
  <c r="N510" i="6" s="1"/>
  <c r="R510" i="6" s="1"/>
  <c r="M574" i="6"/>
  <c r="N574" i="6" s="1"/>
  <c r="R574" i="6" s="1"/>
  <c r="M638" i="6"/>
  <c r="N638" i="6" s="1"/>
  <c r="R638" i="6" s="1"/>
  <c r="M702" i="6"/>
  <c r="N702" i="6" s="1"/>
  <c r="R702" i="6" s="1"/>
  <c r="M766" i="6"/>
  <c r="N766" i="6" s="1"/>
  <c r="R766" i="6" s="1"/>
  <c r="M830" i="6"/>
  <c r="N830" i="6" s="1"/>
  <c r="R830" i="6" s="1"/>
  <c r="M894" i="6"/>
  <c r="N894" i="6" s="1"/>
  <c r="R894" i="6" s="1"/>
  <c r="M958" i="6"/>
  <c r="N958" i="6" s="1"/>
  <c r="R958" i="6" s="1"/>
  <c r="M1022" i="6"/>
  <c r="N1022" i="6" s="1"/>
  <c r="R1022" i="6" s="1"/>
  <c r="M1086" i="6"/>
  <c r="N1086" i="6" s="1"/>
  <c r="R1086" i="6" s="1"/>
  <c r="M1150" i="6"/>
  <c r="N1150" i="6" s="1"/>
  <c r="R1150" i="6" s="1"/>
  <c r="M1214" i="6"/>
  <c r="N1214" i="6" s="1"/>
  <c r="R1214" i="6" s="1"/>
  <c r="M1278" i="6"/>
  <c r="N1278" i="6" s="1"/>
  <c r="R1278" i="6" s="1"/>
  <c r="M1342" i="6"/>
  <c r="N1342" i="6" s="1"/>
  <c r="M1406" i="6"/>
  <c r="N1406" i="6" s="1"/>
  <c r="R1406" i="6" s="1"/>
  <c r="M1470" i="6"/>
  <c r="N1470" i="6" s="1"/>
  <c r="R1470" i="6" s="1"/>
  <c r="M1534" i="6"/>
  <c r="N1534" i="6" s="1"/>
  <c r="R1534" i="6" s="1"/>
  <c r="M1598" i="6"/>
  <c r="N1598" i="6" s="1"/>
  <c r="R1598" i="6" s="1"/>
  <c r="M1662" i="6"/>
  <c r="N1662" i="6" s="1"/>
  <c r="R1662" i="6" s="1"/>
  <c r="M1726" i="6"/>
  <c r="N1726" i="6" s="1"/>
  <c r="R1726" i="6" s="1"/>
  <c r="M1790" i="6"/>
  <c r="N1790" i="6" s="1"/>
  <c r="R1790" i="6" s="1"/>
  <c r="M1854" i="6"/>
  <c r="N1854" i="6" s="1"/>
  <c r="R1854" i="6" s="1"/>
  <c r="M1918" i="6"/>
  <c r="N1918" i="6" s="1"/>
  <c r="M1982" i="6"/>
  <c r="N1982" i="6" s="1"/>
  <c r="R1982" i="6" s="1"/>
  <c r="M2046" i="6"/>
  <c r="N2046" i="6" s="1"/>
  <c r="R2046" i="6" s="1"/>
  <c r="M2110" i="6"/>
  <c r="N2110" i="6" s="1"/>
  <c r="R2110" i="6" s="1"/>
  <c r="M2174" i="6"/>
  <c r="N2174" i="6" s="1"/>
  <c r="R2174" i="6" s="1"/>
  <c r="M2238" i="6"/>
  <c r="N2238" i="6" s="1"/>
  <c r="R2238" i="6" s="1"/>
  <c r="M2302" i="6"/>
  <c r="N2302" i="6" s="1"/>
  <c r="R2302" i="6" s="1"/>
  <c r="M2366" i="6"/>
  <c r="N2366" i="6" s="1"/>
  <c r="M2430" i="6"/>
  <c r="N2430" i="6" s="1"/>
  <c r="R2430" i="6" s="1"/>
  <c r="M2494" i="6"/>
  <c r="N2494" i="6" s="1"/>
  <c r="R2494" i="6" s="1"/>
  <c r="M2558" i="6"/>
  <c r="N2558" i="6" s="1"/>
  <c r="R2558" i="6" s="1"/>
  <c r="M2622" i="6"/>
  <c r="N2622" i="6" s="1"/>
  <c r="R2622" i="6" s="1"/>
  <c r="M2686" i="6"/>
  <c r="N2686" i="6" s="1"/>
  <c r="R2686" i="6" s="1"/>
  <c r="M2750" i="6"/>
  <c r="N2750" i="6" s="1"/>
  <c r="R2750" i="6" s="1"/>
  <c r="M2814" i="6"/>
  <c r="N2814" i="6" s="1"/>
  <c r="R2814" i="6" s="1"/>
  <c r="M2878" i="6"/>
  <c r="N2878" i="6" s="1"/>
  <c r="R2878" i="6" s="1"/>
  <c r="M2942" i="6"/>
  <c r="N2942" i="6" s="1"/>
  <c r="M3006" i="6"/>
  <c r="N3006" i="6" s="1"/>
  <c r="R3006" i="6" s="1"/>
  <c r="M3070" i="6"/>
  <c r="N3070" i="6" s="1"/>
  <c r="R3070" i="6" s="1"/>
  <c r="M3134" i="6"/>
  <c r="N3134" i="6" s="1"/>
  <c r="R3134" i="6" s="1"/>
  <c r="M3198" i="6"/>
  <c r="N3198" i="6" s="1"/>
  <c r="R3198" i="6" s="1"/>
  <c r="M3262" i="6"/>
  <c r="N3262" i="6" s="1"/>
  <c r="R3262" i="6" s="1"/>
  <c r="M3326" i="6"/>
  <c r="N3326" i="6" s="1"/>
  <c r="R3326" i="6" s="1"/>
  <c r="M3390" i="6"/>
  <c r="N3390" i="6" s="1"/>
  <c r="R3390" i="6" s="1"/>
  <c r="M3454" i="6"/>
  <c r="N3454" i="6" s="1"/>
  <c r="M3518" i="6"/>
  <c r="N3518" i="6" s="1"/>
  <c r="R3518" i="6" s="1"/>
  <c r="M3582" i="6"/>
  <c r="N3582" i="6" s="1"/>
  <c r="R3582" i="6" s="1"/>
  <c r="M3646" i="6"/>
  <c r="N3646" i="6" s="1"/>
  <c r="R3646" i="6" s="1"/>
  <c r="M3710" i="6"/>
  <c r="N3710" i="6" s="1"/>
  <c r="R3710" i="6" s="1"/>
  <c r="M3774" i="6"/>
  <c r="N3774" i="6" s="1"/>
  <c r="R3774" i="6" s="1"/>
  <c r="M3838" i="6"/>
  <c r="N3838" i="6" s="1"/>
  <c r="R3838" i="6" s="1"/>
  <c r="M3902" i="6"/>
  <c r="N3902" i="6" s="1"/>
  <c r="R3902" i="6" s="1"/>
  <c r="M3966" i="6"/>
  <c r="N3966" i="6" s="1"/>
  <c r="R3966" i="6" s="1"/>
  <c r="M4030" i="6"/>
  <c r="N4030" i="6" s="1"/>
  <c r="R4030" i="6" s="1"/>
  <c r="M4094" i="6"/>
  <c r="N4094" i="6" s="1"/>
  <c r="R4094" i="6" s="1"/>
  <c r="M4158" i="6"/>
  <c r="N4158" i="6" s="1"/>
  <c r="R4158" i="6" s="1"/>
  <c r="M4222" i="6"/>
  <c r="N4222" i="6" s="1"/>
  <c r="R4222" i="6" s="1"/>
  <c r="M4286" i="6"/>
  <c r="N4286" i="6" s="1"/>
  <c r="R4286" i="6" s="1"/>
  <c r="M4350" i="6"/>
  <c r="N4350" i="6" s="1"/>
  <c r="R4350" i="6" s="1"/>
  <c r="M4414" i="6"/>
  <c r="N4414" i="6" s="1"/>
  <c r="R4414" i="6" s="1"/>
  <c r="M4478" i="6"/>
  <c r="N4478" i="6" s="1"/>
  <c r="R4478" i="6" s="1"/>
  <c r="M4542" i="6"/>
  <c r="N4542" i="6" s="1"/>
  <c r="R4542" i="6" s="1"/>
  <c r="M4606" i="6"/>
  <c r="N4606" i="6" s="1"/>
  <c r="R4606" i="6" s="1"/>
  <c r="M4670" i="6"/>
  <c r="N4670" i="6" s="1"/>
  <c r="R4670" i="6" s="1"/>
  <c r="M4734" i="6"/>
  <c r="N4734" i="6" s="1"/>
  <c r="R4734" i="6" s="1"/>
  <c r="M4798" i="6"/>
  <c r="N4798" i="6" s="1"/>
  <c r="R4798" i="6" s="1"/>
  <c r="M4862" i="6"/>
  <c r="N4862" i="6" s="1"/>
  <c r="R4862" i="6" s="1"/>
  <c r="M4926" i="6"/>
  <c r="N4926" i="6" s="1"/>
  <c r="R4926" i="6" s="1"/>
  <c r="M4990" i="6"/>
  <c r="N4990" i="6" s="1"/>
  <c r="R4990" i="6" s="1"/>
  <c r="M351" i="6"/>
  <c r="N351" i="6" s="1"/>
  <c r="R351" i="6" s="1"/>
  <c r="M479" i="6"/>
  <c r="N479" i="6" s="1"/>
  <c r="R479" i="6" s="1"/>
  <c r="M543" i="6"/>
  <c r="N543" i="6" s="1"/>
  <c r="R543" i="6" s="1"/>
  <c r="M607" i="6"/>
  <c r="N607" i="6" s="1"/>
  <c r="R607" i="6" s="1"/>
  <c r="M671" i="6"/>
  <c r="N671" i="6" s="1"/>
  <c r="R671" i="6" s="1"/>
  <c r="M735" i="6"/>
  <c r="N735" i="6" s="1"/>
  <c r="R735" i="6" s="1"/>
  <c r="M799" i="6"/>
  <c r="N799" i="6" s="1"/>
  <c r="M863" i="6"/>
  <c r="N863" i="6" s="1"/>
  <c r="R863" i="6" s="1"/>
  <c r="M927" i="6"/>
  <c r="N927" i="6" s="1"/>
  <c r="R927" i="6" s="1"/>
  <c r="M991" i="6"/>
  <c r="N991" i="6" s="1"/>
  <c r="R991" i="6" s="1"/>
  <c r="M1055" i="6"/>
  <c r="N1055" i="6" s="1"/>
  <c r="R1055" i="6" s="1"/>
  <c r="M1119" i="6"/>
  <c r="N1119" i="6" s="1"/>
  <c r="R1119" i="6" s="1"/>
  <c r="M1183" i="6"/>
  <c r="N1183" i="6" s="1"/>
  <c r="R1183" i="6" s="1"/>
  <c r="M1247" i="6"/>
  <c r="N1247" i="6" s="1"/>
  <c r="R1247" i="6" s="1"/>
  <c r="M1311" i="6"/>
  <c r="N1311" i="6" s="1"/>
  <c r="M1375" i="6"/>
  <c r="N1375" i="6" s="1"/>
  <c r="R1375" i="6" s="1"/>
  <c r="M1439" i="6"/>
  <c r="N1439" i="6" s="1"/>
  <c r="R1439" i="6" s="1"/>
  <c r="M1503" i="6"/>
  <c r="N1503" i="6" s="1"/>
  <c r="R1503" i="6" s="1"/>
  <c r="M1567" i="6"/>
  <c r="N1567" i="6" s="1"/>
  <c r="R1567" i="6" s="1"/>
  <c r="M1631" i="6"/>
  <c r="N1631" i="6" s="1"/>
  <c r="R1631" i="6" s="1"/>
  <c r="M1695" i="6"/>
  <c r="N1695" i="6" s="1"/>
  <c r="R1695" i="6" s="1"/>
  <c r="M1759" i="6"/>
  <c r="N1759" i="6" s="1"/>
  <c r="R1759" i="6" s="1"/>
  <c r="M1823" i="6"/>
  <c r="N1823" i="6" s="1"/>
  <c r="R1823" i="6" s="1"/>
  <c r="M1887" i="6"/>
  <c r="N1887" i="6" s="1"/>
  <c r="R1887" i="6" s="1"/>
  <c r="M1951" i="6"/>
  <c r="N1951" i="6" s="1"/>
  <c r="R1951" i="6" s="1"/>
  <c r="M2015" i="6"/>
  <c r="N2015" i="6" s="1"/>
  <c r="R2015" i="6" s="1"/>
  <c r="M2079" i="6"/>
  <c r="N2079" i="6" s="1"/>
  <c r="R2079" i="6" s="1"/>
  <c r="M2143" i="6"/>
  <c r="N2143" i="6" s="1"/>
  <c r="R2143" i="6" s="1"/>
  <c r="M2207" i="6"/>
  <c r="N2207" i="6" s="1"/>
  <c r="R2207" i="6" s="1"/>
  <c r="M2271" i="6"/>
  <c r="N2271" i="6" s="1"/>
  <c r="R2271" i="6" s="1"/>
  <c r="M2335" i="6"/>
  <c r="N2335" i="6" s="1"/>
  <c r="R2335" i="6" s="1"/>
  <c r="M2399" i="6"/>
  <c r="N2399" i="6" s="1"/>
  <c r="R2399" i="6" s="1"/>
  <c r="M2463" i="6"/>
  <c r="N2463" i="6" s="1"/>
  <c r="R2463" i="6" s="1"/>
  <c r="M2527" i="6"/>
  <c r="N2527" i="6" s="1"/>
  <c r="R2527" i="6" s="1"/>
  <c r="M2591" i="6"/>
  <c r="N2591" i="6" s="1"/>
  <c r="R2591" i="6" s="1"/>
  <c r="M2655" i="6"/>
  <c r="N2655" i="6" s="1"/>
  <c r="R2655" i="6" s="1"/>
  <c r="M2719" i="6"/>
  <c r="N2719" i="6" s="1"/>
  <c r="R2719" i="6" s="1"/>
  <c r="M2783" i="6"/>
  <c r="N2783" i="6" s="1"/>
  <c r="R2783" i="6" s="1"/>
  <c r="M2847" i="6"/>
  <c r="N2847" i="6" s="1"/>
  <c r="R2847" i="6" s="1"/>
  <c r="M2911" i="6"/>
  <c r="N2911" i="6" s="1"/>
  <c r="R2911" i="6" s="1"/>
  <c r="M2975" i="6"/>
  <c r="N2975" i="6" s="1"/>
  <c r="R2975" i="6" s="1"/>
  <c r="M3039" i="6"/>
  <c r="N3039" i="6" s="1"/>
  <c r="R3039" i="6" s="1"/>
  <c r="M3103" i="6"/>
  <c r="N3103" i="6" s="1"/>
  <c r="R3103" i="6" s="1"/>
  <c r="M3167" i="6"/>
  <c r="N3167" i="6" s="1"/>
  <c r="R3167" i="6" s="1"/>
  <c r="M3231" i="6"/>
  <c r="N3231" i="6" s="1"/>
  <c r="R3231" i="6" s="1"/>
  <c r="M3295" i="6"/>
  <c r="N3295" i="6" s="1"/>
  <c r="R3295" i="6" s="1"/>
  <c r="M3359" i="6"/>
  <c r="N3359" i="6" s="1"/>
  <c r="R3359" i="6" s="1"/>
  <c r="M3423" i="6"/>
  <c r="N3423" i="6" s="1"/>
  <c r="R3423" i="6" s="1"/>
  <c r="M3487" i="6"/>
  <c r="N3487" i="6" s="1"/>
  <c r="R3487" i="6" s="1"/>
  <c r="M3551" i="6"/>
  <c r="N3551" i="6" s="1"/>
  <c r="R3551" i="6" s="1"/>
  <c r="M3615" i="6"/>
  <c r="N3615" i="6" s="1"/>
  <c r="R3615" i="6" s="1"/>
  <c r="M3679" i="6"/>
  <c r="N3679" i="6" s="1"/>
  <c r="R3679" i="6" s="1"/>
  <c r="M3743" i="6"/>
  <c r="N3743" i="6" s="1"/>
  <c r="R3743" i="6" s="1"/>
  <c r="M3807" i="6"/>
  <c r="N3807" i="6" s="1"/>
  <c r="R3807" i="6" s="1"/>
  <c r="M3871" i="6"/>
  <c r="N3871" i="6" s="1"/>
  <c r="R3871" i="6" s="1"/>
  <c r="M3935" i="6"/>
  <c r="N3935" i="6" s="1"/>
  <c r="R3935" i="6" s="1"/>
  <c r="M3999" i="6"/>
  <c r="N3999" i="6" s="1"/>
  <c r="R3999" i="6" s="1"/>
  <c r="M4063" i="6"/>
  <c r="N4063" i="6" s="1"/>
  <c r="R4063" i="6" s="1"/>
  <c r="M4127" i="6"/>
  <c r="N4127" i="6" s="1"/>
  <c r="R4127" i="6" s="1"/>
  <c r="M4191" i="6"/>
  <c r="N4191" i="6" s="1"/>
  <c r="R4191" i="6" s="1"/>
  <c r="M4255" i="6"/>
  <c r="N4255" i="6" s="1"/>
  <c r="R4255" i="6" s="1"/>
  <c r="M4319" i="6"/>
  <c r="N4319" i="6" s="1"/>
  <c r="R4319" i="6" s="1"/>
  <c r="M4383" i="6"/>
  <c r="N4383" i="6" s="1"/>
  <c r="R4383" i="6" s="1"/>
  <c r="M4447" i="6"/>
  <c r="N4447" i="6" s="1"/>
  <c r="R4447" i="6" s="1"/>
  <c r="M4575" i="6"/>
  <c r="N4575" i="6" s="1"/>
  <c r="R4575" i="6" s="1"/>
  <c r="M4639" i="6"/>
  <c r="N4639" i="6" s="1"/>
  <c r="R4639" i="6" s="1"/>
  <c r="M4703" i="6"/>
  <c r="N4703" i="6" s="1"/>
  <c r="R4703" i="6" s="1"/>
  <c r="M4767" i="6"/>
  <c r="N4767" i="6" s="1"/>
  <c r="R4767" i="6" s="1"/>
  <c r="M4831" i="6"/>
  <c r="N4831" i="6" s="1"/>
  <c r="R4831" i="6" s="1"/>
  <c r="M4895" i="6"/>
  <c r="N4895" i="6" s="1"/>
  <c r="R4895" i="6" s="1"/>
  <c r="M4959" i="6"/>
  <c r="N4959" i="6" s="1"/>
  <c r="R4959" i="6" s="1"/>
  <c r="M4508" i="6"/>
  <c r="N4508" i="6" s="1"/>
  <c r="R4508" i="6" s="1"/>
  <c r="M4572" i="6"/>
  <c r="N4572" i="6" s="1"/>
  <c r="R4572" i="6" s="1"/>
  <c r="M4636" i="6"/>
  <c r="N4636" i="6" s="1"/>
  <c r="R4636" i="6" s="1"/>
  <c r="M4700" i="6"/>
  <c r="N4700" i="6" s="1"/>
  <c r="R4700" i="6" s="1"/>
  <c r="M4764" i="6"/>
  <c r="N4764" i="6" s="1"/>
  <c r="R4764" i="6" s="1"/>
  <c r="M4828" i="6"/>
  <c r="N4828" i="6" s="1"/>
  <c r="R4828" i="6" s="1"/>
  <c r="M4892" i="6"/>
  <c r="N4892" i="6" s="1"/>
  <c r="R4892" i="6" s="1"/>
  <c r="M4956" i="6"/>
  <c r="N4956" i="6" s="1"/>
  <c r="R4956" i="6" s="1"/>
  <c r="N327" i="6"/>
  <c r="R327" i="6" s="1"/>
  <c r="N391" i="6"/>
  <c r="R391" i="6" s="1"/>
  <c r="N455" i="6"/>
  <c r="R455" i="6" s="1"/>
  <c r="N519" i="6"/>
  <c r="R519" i="6" s="1"/>
  <c r="N583" i="6"/>
  <c r="R583" i="6" s="1"/>
  <c r="N647" i="6"/>
  <c r="R647" i="6" s="1"/>
  <c r="N711" i="6"/>
  <c r="R711" i="6" s="1"/>
  <c r="N775" i="6"/>
  <c r="R775" i="6" s="1"/>
  <c r="N839" i="6"/>
  <c r="R839" i="6" s="1"/>
  <c r="N903" i="6"/>
  <c r="R903" i="6" s="1"/>
  <c r="M4101" i="6"/>
  <c r="N4101" i="6" s="1"/>
  <c r="R4101" i="6" s="1"/>
  <c r="M4165" i="6"/>
  <c r="N4165" i="6" s="1"/>
  <c r="R4165" i="6" s="1"/>
  <c r="M4229" i="6"/>
  <c r="N4229" i="6" s="1"/>
  <c r="R4229" i="6" s="1"/>
  <c r="M4293" i="6"/>
  <c r="N4293" i="6" s="1"/>
  <c r="R4293" i="6" s="1"/>
  <c r="M4357" i="6"/>
  <c r="N4357" i="6" s="1"/>
  <c r="R4357" i="6" s="1"/>
  <c r="M4421" i="6"/>
  <c r="N4421" i="6" s="1"/>
  <c r="R4421" i="6" s="1"/>
  <c r="M4485" i="6"/>
  <c r="N4485" i="6" s="1"/>
  <c r="R4485" i="6" s="1"/>
  <c r="M4549" i="6"/>
  <c r="N4549" i="6" s="1"/>
  <c r="R4549" i="6" s="1"/>
  <c r="M4613" i="6"/>
  <c r="N4613" i="6" s="1"/>
  <c r="R4613" i="6" s="1"/>
  <c r="M4677" i="6"/>
  <c r="N4677" i="6" s="1"/>
  <c r="R4677" i="6" s="1"/>
  <c r="M4741" i="6"/>
  <c r="N4741" i="6" s="1"/>
  <c r="R4741" i="6" s="1"/>
  <c r="M4805" i="6"/>
  <c r="N4805" i="6" s="1"/>
  <c r="R4805" i="6" s="1"/>
  <c r="M4869" i="6"/>
  <c r="N4869" i="6" s="1"/>
  <c r="R4869" i="6" s="1"/>
  <c r="M4933" i="6"/>
  <c r="N4933" i="6" s="1"/>
  <c r="R4933" i="6" s="1"/>
  <c r="M4997" i="6"/>
  <c r="N4997" i="6" s="1"/>
  <c r="R4997" i="6" s="1"/>
  <c r="M950" i="6"/>
  <c r="N950" i="6" s="1"/>
  <c r="R950" i="6" s="1"/>
  <c r="M1014" i="6"/>
  <c r="N1014" i="6" s="1"/>
  <c r="R1014" i="6" s="1"/>
  <c r="M1078" i="6"/>
  <c r="N1078" i="6" s="1"/>
  <c r="R1078" i="6" s="1"/>
  <c r="M1142" i="6"/>
  <c r="N1142" i="6" s="1"/>
  <c r="R1142" i="6" s="1"/>
  <c r="M1206" i="6"/>
  <c r="N1206" i="6" s="1"/>
  <c r="R1206" i="6" s="1"/>
  <c r="M1270" i="6"/>
  <c r="N1270" i="6" s="1"/>
  <c r="R1270" i="6" s="1"/>
  <c r="M1334" i="6"/>
  <c r="N1334" i="6" s="1"/>
  <c r="R1334" i="6" s="1"/>
  <c r="M1398" i="6"/>
  <c r="N1398" i="6" s="1"/>
  <c r="R1398" i="6" s="1"/>
  <c r="M1462" i="6"/>
  <c r="N1462" i="6" s="1"/>
  <c r="R1462" i="6" s="1"/>
  <c r="M1526" i="6"/>
  <c r="N1526" i="6" s="1"/>
  <c r="R1526" i="6" s="1"/>
  <c r="M1590" i="6"/>
  <c r="N1590" i="6" s="1"/>
  <c r="R1590" i="6" s="1"/>
  <c r="M1654" i="6"/>
  <c r="N1654" i="6" s="1"/>
  <c r="R1654" i="6" s="1"/>
  <c r="M1718" i="6"/>
  <c r="N1718" i="6" s="1"/>
  <c r="R1718" i="6" s="1"/>
  <c r="M1782" i="6"/>
  <c r="N1782" i="6" s="1"/>
  <c r="R1782" i="6" s="1"/>
  <c r="M1846" i="6"/>
  <c r="N1846" i="6" s="1"/>
  <c r="M1910" i="6"/>
  <c r="N1910" i="6" s="1"/>
  <c r="R1910" i="6" s="1"/>
  <c r="M1974" i="6"/>
  <c r="N1974" i="6" s="1"/>
  <c r="R1974" i="6" s="1"/>
  <c r="M2038" i="6"/>
  <c r="N2038" i="6" s="1"/>
  <c r="R2038" i="6" s="1"/>
  <c r="M2102" i="6"/>
  <c r="N2102" i="6" s="1"/>
  <c r="R2102" i="6" s="1"/>
  <c r="M2166" i="6"/>
  <c r="N2166" i="6" s="1"/>
  <c r="R2166" i="6" s="1"/>
  <c r="M2230" i="6"/>
  <c r="N2230" i="6" s="1"/>
  <c r="R2230" i="6" s="1"/>
  <c r="M2294" i="6"/>
  <c r="N2294" i="6" s="1"/>
  <c r="R2294" i="6" s="1"/>
  <c r="M2358" i="6"/>
  <c r="N2358" i="6" s="1"/>
  <c r="M2422" i="6"/>
  <c r="N2422" i="6" s="1"/>
  <c r="R2422" i="6" s="1"/>
  <c r="M2486" i="6"/>
  <c r="N2486" i="6" s="1"/>
  <c r="R2486" i="6" s="1"/>
  <c r="M2550" i="6"/>
  <c r="N2550" i="6" s="1"/>
  <c r="R2550" i="6" s="1"/>
  <c r="M2614" i="6"/>
  <c r="N2614" i="6" s="1"/>
  <c r="R2614" i="6" s="1"/>
  <c r="M2678" i="6"/>
  <c r="N2678" i="6" s="1"/>
  <c r="R2678" i="6" s="1"/>
  <c r="M2806" i="6"/>
  <c r="N2806" i="6" s="1"/>
  <c r="R2806" i="6" s="1"/>
  <c r="M2870" i="6"/>
  <c r="N2870" i="6" s="1"/>
  <c r="R2870" i="6" s="1"/>
  <c r="M2934" i="6"/>
  <c r="N2934" i="6" s="1"/>
  <c r="R2934" i="6" s="1"/>
  <c r="M2998" i="6"/>
  <c r="N2998" i="6" s="1"/>
  <c r="R2998" i="6" s="1"/>
  <c r="M3062" i="6"/>
  <c r="N3062" i="6" s="1"/>
  <c r="R3062" i="6" s="1"/>
  <c r="M3126" i="6"/>
  <c r="N3126" i="6" s="1"/>
  <c r="R3126" i="6" s="1"/>
  <c r="M3190" i="6"/>
  <c r="N3190" i="6" s="1"/>
  <c r="R3190" i="6" s="1"/>
  <c r="M3254" i="6"/>
  <c r="N3254" i="6" s="1"/>
  <c r="R3254" i="6" s="1"/>
  <c r="M3318" i="6"/>
  <c r="N3318" i="6" s="1"/>
  <c r="R3318" i="6" s="1"/>
  <c r="M3382" i="6"/>
  <c r="N3382" i="6" s="1"/>
  <c r="R3382" i="6" s="1"/>
  <c r="M3446" i="6"/>
  <c r="N3446" i="6" s="1"/>
  <c r="R3446" i="6" s="1"/>
  <c r="M3510" i="6"/>
  <c r="N3510" i="6" s="1"/>
  <c r="R3510" i="6" s="1"/>
  <c r="M3574" i="6"/>
  <c r="N3574" i="6" s="1"/>
  <c r="R3574" i="6" s="1"/>
  <c r="M3638" i="6"/>
  <c r="N3638" i="6" s="1"/>
  <c r="R3638" i="6" s="1"/>
  <c r="M3702" i="6"/>
  <c r="N3702" i="6" s="1"/>
  <c r="R3702" i="6" s="1"/>
  <c r="M3766" i="6"/>
  <c r="N3766" i="6" s="1"/>
  <c r="R3766" i="6" s="1"/>
  <c r="M3830" i="6"/>
  <c r="N3830" i="6" s="1"/>
  <c r="R3830" i="6" s="1"/>
  <c r="M3894" i="6"/>
  <c r="N3894" i="6" s="1"/>
  <c r="R3894" i="6" s="1"/>
  <c r="M3958" i="6"/>
  <c r="N3958" i="6" s="1"/>
  <c r="R3958" i="6" s="1"/>
  <c r="M4022" i="6"/>
  <c r="N4022" i="6" s="1"/>
  <c r="R4022" i="6" s="1"/>
  <c r="M4086" i="6"/>
  <c r="N4086" i="6" s="1"/>
  <c r="R4086" i="6" s="1"/>
  <c r="M4150" i="6"/>
  <c r="N4150" i="6" s="1"/>
  <c r="R4150" i="6" s="1"/>
  <c r="M4214" i="6"/>
  <c r="N4214" i="6" s="1"/>
  <c r="R4214" i="6" s="1"/>
  <c r="M4342" i="6"/>
  <c r="N4342" i="6" s="1"/>
  <c r="R4342" i="6" s="1"/>
  <c r="M4406" i="6"/>
  <c r="N4406" i="6" s="1"/>
  <c r="R4406" i="6" s="1"/>
  <c r="M4470" i="6"/>
  <c r="N4470" i="6" s="1"/>
  <c r="R4470" i="6" s="1"/>
  <c r="M4534" i="6"/>
  <c r="N4534" i="6" s="1"/>
  <c r="R4534" i="6" s="1"/>
  <c r="M4598" i="6"/>
  <c r="N4598" i="6" s="1"/>
  <c r="R4598" i="6" s="1"/>
  <c r="M4662" i="6"/>
  <c r="N4662" i="6" s="1"/>
  <c r="R4662" i="6" s="1"/>
  <c r="M4726" i="6"/>
  <c r="N4726" i="6" s="1"/>
  <c r="R4726" i="6" s="1"/>
  <c r="M4790" i="6"/>
  <c r="N4790" i="6" s="1"/>
  <c r="R4790" i="6" s="1"/>
  <c r="M4854" i="6"/>
  <c r="N4854" i="6" s="1"/>
  <c r="R4854" i="6" s="1"/>
  <c r="M4918" i="6"/>
  <c r="N4918" i="6" s="1"/>
  <c r="R4918" i="6" s="1"/>
  <c r="M4982" i="6"/>
  <c r="N4982" i="6" s="1"/>
  <c r="R4982" i="6" s="1"/>
  <c r="M983" i="6"/>
  <c r="N983" i="6" s="1"/>
  <c r="M1111" i="6"/>
  <c r="N1111" i="6" s="1"/>
  <c r="R1111" i="6" s="1"/>
  <c r="M1175" i="6"/>
  <c r="N1175" i="6" s="1"/>
  <c r="R1175" i="6" s="1"/>
  <c r="M1239" i="6"/>
  <c r="N1239" i="6" s="1"/>
  <c r="M1303" i="6"/>
  <c r="N1303" i="6" s="1"/>
  <c r="R1303" i="6" s="1"/>
  <c r="M1367" i="6"/>
  <c r="N1367" i="6" s="1"/>
  <c r="R1367" i="6" s="1"/>
  <c r="M1431" i="6"/>
  <c r="N1431" i="6" s="1"/>
  <c r="R1431" i="6" s="1"/>
  <c r="M1495" i="6"/>
  <c r="N1495" i="6" s="1"/>
  <c r="R1495" i="6" s="1"/>
  <c r="M1559" i="6"/>
  <c r="N1559" i="6" s="1"/>
  <c r="R1559" i="6" s="1"/>
  <c r="M1623" i="6"/>
  <c r="N1623" i="6" s="1"/>
  <c r="R1623" i="6" s="1"/>
  <c r="M1687" i="6"/>
  <c r="N1687" i="6" s="1"/>
  <c r="R1687" i="6" s="1"/>
  <c r="M1751" i="6"/>
  <c r="N1751" i="6" s="1"/>
  <c r="R1751" i="6" s="1"/>
  <c r="M1815" i="6"/>
  <c r="N1815" i="6" s="1"/>
  <c r="R1815" i="6" s="1"/>
  <c r="M1879" i="6"/>
  <c r="N1879" i="6" s="1"/>
  <c r="R1879" i="6" s="1"/>
  <c r="M1943" i="6"/>
  <c r="N1943" i="6" s="1"/>
  <c r="R1943" i="6" s="1"/>
  <c r="M2007" i="6"/>
  <c r="N2007" i="6" s="1"/>
  <c r="R2007" i="6" s="1"/>
  <c r="M2071" i="6"/>
  <c r="N2071" i="6" s="1"/>
  <c r="M2135" i="6"/>
  <c r="N2135" i="6" s="1"/>
  <c r="R2135" i="6" s="1"/>
  <c r="M2199" i="6"/>
  <c r="N2199" i="6" s="1"/>
  <c r="R2199" i="6" s="1"/>
  <c r="M2263" i="6"/>
  <c r="N2263" i="6" s="1"/>
  <c r="R2263" i="6" s="1"/>
  <c r="M2327" i="6"/>
  <c r="N2327" i="6" s="1"/>
  <c r="R2327" i="6" s="1"/>
  <c r="M2391" i="6"/>
  <c r="N2391" i="6" s="1"/>
  <c r="R2391" i="6" s="1"/>
  <c r="M2455" i="6"/>
  <c r="N2455" i="6" s="1"/>
  <c r="R2455" i="6" s="1"/>
  <c r="M2519" i="6"/>
  <c r="N2519" i="6" s="1"/>
  <c r="R2519" i="6" s="1"/>
  <c r="M2583" i="6"/>
  <c r="N2583" i="6" s="1"/>
  <c r="R2583" i="6" s="1"/>
  <c r="M2647" i="6"/>
  <c r="N2647" i="6" s="1"/>
  <c r="R2647" i="6" s="1"/>
  <c r="M2711" i="6"/>
  <c r="N2711" i="6" s="1"/>
  <c r="R2711" i="6" s="1"/>
  <c r="M2775" i="6"/>
  <c r="N2775" i="6" s="1"/>
  <c r="R2775" i="6" s="1"/>
  <c r="M2839" i="6"/>
  <c r="N2839" i="6" s="1"/>
  <c r="R2839" i="6" s="1"/>
  <c r="M2903" i="6"/>
  <c r="N2903" i="6" s="1"/>
  <c r="R2903" i="6" s="1"/>
  <c r="M2967" i="6"/>
  <c r="N2967" i="6" s="1"/>
  <c r="R2967" i="6" s="1"/>
  <c r="M3031" i="6"/>
  <c r="N3031" i="6" s="1"/>
  <c r="R3031" i="6" s="1"/>
  <c r="M3095" i="6"/>
  <c r="N3095" i="6" s="1"/>
  <c r="R3095" i="6" s="1"/>
  <c r="M3159" i="6"/>
  <c r="N3159" i="6" s="1"/>
  <c r="R3159" i="6" s="1"/>
  <c r="M3223" i="6"/>
  <c r="N3223" i="6" s="1"/>
  <c r="R3223" i="6" s="1"/>
  <c r="M3287" i="6"/>
  <c r="N3287" i="6" s="1"/>
  <c r="R3287" i="6" s="1"/>
  <c r="M3351" i="6"/>
  <c r="N3351" i="6" s="1"/>
  <c r="R3351" i="6" s="1"/>
  <c r="M3415" i="6"/>
  <c r="N3415" i="6" s="1"/>
  <c r="R3415" i="6" s="1"/>
  <c r="M3479" i="6"/>
  <c r="N3479" i="6" s="1"/>
  <c r="R3479" i="6" s="1"/>
  <c r="M3543" i="6"/>
  <c r="N3543" i="6" s="1"/>
  <c r="R3543" i="6" s="1"/>
  <c r="M3607" i="6"/>
  <c r="N3607" i="6" s="1"/>
  <c r="R3607" i="6" s="1"/>
  <c r="M3671" i="6"/>
  <c r="N3671" i="6" s="1"/>
  <c r="R3671" i="6" s="1"/>
  <c r="M3735" i="6"/>
  <c r="N3735" i="6" s="1"/>
  <c r="R3735" i="6" s="1"/>
  <c r="M3799" i="6"/>
  <c r="N3799" i="6" s="1"/>
  <c r="R3799" i="6" s="1"/>
  <c r="M3863" i="6"/>
  <c r="N3863" i="6" s="1"/>
  <c r="R3863" i="6" s="1"/>
  <c r="M3927" i="6"/>
  <c r="N3927" i="6" s="1"/>
  <c r="R3927" i="6" s="1"/>
  <c r="M3991" i="6"/>
  <c r="N3991" i="6" s="1"/>
  <c r="R3991" i="6" s="1"/>
  <c r="M4055" i="6"/>
  <c r="N4055" i="6" s="1"/>
  <c r="R4055" i="6" s="1"/>
  <c r="M4119" i="6"/>
  <c r="N4119" i="6" s="1"/>
  <c r="R4119" i="6" s="1"/>
  <c r="M4183" i="6"/>
  <c r="N4183" i="6" s="1"/>
  <c r="R4183" i="6" s="1"/>
  <c r="M4247" i="6"/>
  <c r="N4247" i="6" s="1"/>
  <c r="R4247" i="6" s="1"/>
  <c r="M4311" i="6"/>
  <c r="N4311" i="6" s="1"/>
  <c r="R4311" i="6" s="1"/>
  <c r="M4375" i="6"/>
  <c r="N4375" i="6" s="1"/>
  <c r="R4375" i="6" s="1"/>
  <c r="M4439" i="6"/>
  <c r="N4439" i="6" s="1"/>
  <c r="R4439" i="6" s="1"/>
  <c r="M4503" i="6"/>
  <c r="N4503" i="6" s="1"/>
  <c r="R4503" i="6" s="1"/>
  <c r="M4567" i="6"/>
  <c r="N4567" i="6" s="1"/>
  <c r="R4567" i="6" s="1"/>
  <c r="M4631" i="6"/>
  <c r="N4631" i="6" s="1"/>
  <c r="R4631" i="6" s="1"/>
  <c r="M4695" i="6"/>
  <c r="N4695" i="6" s="1"/>
  <c r="R4695" i="6" s="1"/>
  <c r="M4759" i="6"/>
  <c r="N4759" i="6" s="1"/>
  <c r="R4759" i="6" s="1"/>
  <c r="M4823" i="6"/>
  <c r="N4823" i="6" s="1"/>
  <c r="R4823" i="6" s="1"/>
  <c r="M4887" i="6"/>
  <c r="N4887" i="6" s="1"/>
  <c r="R4887" i="6" s="1"/>
  <c r="M4951" i="6"/>
  <c r="N4951" i="6" s="1"/>
  <c r="R4951" i="6" s="1"/>
  <c r="M4500" i="6"/>
  <c r="N4500" i="6" s="1"/>
  <c r="R4500" i="6" s="1"/>
  <c r="M4564" i="6"/>
  <c r="N4564" i="6" s="1"/>
  <c r="R4564" i="6" s="1"/>
  <c r="M4628" i="6"/>
  <c r="N4628" i="6" s="1"/>
  <c r="R4628" i="6" s="1"/>
  <c r="M4692" i="6"/>
  <c r="N4692" i="6" s="1"/>
  <c r="R4692" i="6" s="1"/>
  <c r="M4756" i="6"/>
  <c r="N4756" i="6" s="1"/>
  <c r="R4756" i="6" s="1"/>
  <c r="M4820" i="6"/>
  <c r="N4820" i="6" s="1"/>
  <c r="R4820" i="6" s="1"/>
  <c r="M4884" i="6"/>
  <c r="N4884" i="6" s="1"/>
  <c r="R4884" i="6" s="1"/>
  <c r="M4948" i="6"/>
  <c r="N4948" i="6" s="1"/>
  <c r="R4948" i="6" s="1"/>
  <c r="N343" i="6"/>
  <c r="R343" i="6" s="1"/>
  <c r="N407" i="6"/>
  <c r="R407" i="6" s="1"/>
  <c r="N471" i="6"/>
  <c r="N535" i="6"/>
  <c r="R535" i="6" s="1"/>
  <c r="N599" i="6"/>
  <c r="R599" i="6" s="1"/>
  <c r="N663" i="6"/>
  <c r="R663" i="6" s="1"/>
  <c r="N727" i="6"/>
  <c r="R727" i="6" s="1"/>
  <c r="N791" i="6"/>
  <c r="R791" i="6" s="1"/>
  <c r="N855" i="6"/>
  <c r="R855" i="6" s="1"/>
  <c r="N919" i="6"/>
  <c r="R919" i="6" s="1"/>
  <c r="N374" i="6"/>
  <c r="N438" i="6"/>
  <c r="R438" i="6" s="1"/>
  <c r="N502" i="6"/>
  <c r="R502" i="6" s="1"/>
  <c r="N566" i="6"/>
  <c r="R566" i="6" s="1"/>
  <c r="N630" i="6"/>
  <c r="R630" i="6" s="1"/>
  <c r="N694" i="6"/>
  <c r="R694" i="6" s="1"/>
  <c r="N758" i="6"/>
  <c r="R758" i="6" s="1"/>
  <c r="N822" i="6"/>
  <c r="R822" i="6" s="1"/>
  <c r="N886" i="6"/>
  <c r="R886" i="6" s="1"/>
  <c r="M4838" i="6"/>
  <c r="N4838" i="6" s="1"/>
  <c r="R4838" i="6" s="1"/>
  <c r="M4902" i="6"/>
  <c r="N4902" i="6" s="1"/>
  <c r="R4902" i="6" s="1"/>
  <c r="M4966" i="6"/>
  <c r="N4966" i="6" s="1"/>
  <c r="R4966" i="6" s="1"/>
  <c r="M967" i="6"/>
  <c r="N967" i="6" s="1"/>
  <c r="R967" i="6" s="1"/>
  <c r="M1031" i="6"/>
  <c r="N1031" i="6" s="1"/>
  <c r="R1031" i="6" s="1"/>
  <c r="M1095" i="6"/>
  <c r="N1095" i="6" s="1"/>
  <c r="R1095" i="6" s="1"/>
  <c r="M1159" i="6"/>
  <c r="N1159" i="6" s="1"/>
  <c r="R1159" i="6" s="1"/>
  <c r="M1223" i="6"/>
  <c r="N1223" i="6" s="1"/>
  <c r="R1223" i="6" s="1"/>
  <c r="M1287" i="6"/>
  <c r="N1287" i="6" s="1"/>
  <c r="R1287" i="6" s="1"/>
  <c r="M1351" i="6"/>
  <c r="N1351" i="6" s="1"/>
  <c r="R1351" i="6" s="1"/>
  <c r="M1415" i="6"/>
  <c r="N1415" i="6" s="1"/>
  <c r="R1415" i="6" s="1"/>
  <c r="M1479" i="6"/>
  <c r="N1479" i="6" s="1"/>
  <c r="R1479" i="6" s="1"/>
  <c r="M1543" i="6"/>
  <c r="N1543" i="6" s="1"/>
  <c r="R1543" i="6" s="1"/>
  <c r="M1607" i="6"/>
  <c r="N1607" i="6" s="1"/>
  <c r="R1607" i="6" s="1"/>
  <c r="M1671" i="6"/>
  <c r="N1671" i="6" s="1"/>
  <c r="R1671" i="6" s="1"/>
  <c r="M1735" i="6"/>
  <c r="N1735" i="6" s="1"/>
  <c r="R1735" i="6" s="1"/>
  <c r="M1799" i="6"/>
  <c r="N1799" i="6" s="1"/>
  <c r="R1799" i="6" s="1"/>
  <c r="M1863" i="6"/>
  <c r="N1863" i="6" s="1"/>
  <c r="R1863" i="6" s="1"/>
  <c r="M1927" i="6"/>
  <c r="N1927" i="6" s="1"/>
  <c r="R1927" i="6" s="1"/>
  <c r="M1991" i="6"/>
  <c r="N1991" i="6" s="1"/>
  <c r="R1991" i="6" s="1"/>
  <c r="M2055" i="6"/>
  <c r="N2055" i="6" s="1"/>
  <c r="R2055" i="6" s="1"/>
  <c r="M2119" i="6"/>
  <c r="N2119" i="6" s="1"/>
  <c r="R2119" i="6" s="1"/>
  <c r="M2183" i="6"/>
  <c r="N2183" i="6" s="1"/>
  <c r="R2183" i="6" s="1"/>
  <c r="M2247" i="6"/>
  <c r="N2247" i="6" s="1"/>
  <c r="R2247" i="6" s="1"/>
  <c r="M2311" i="6"/>
  <c r="N2311" i="6" s="1"/>
  <c r="R2311" i="6" s="1"/>
  <c r="M2375" i="6"/>
  <c r="N2375" i="6" s="1"/>
  <c r="R2375" i="6" s="1"/>
  <c r="M2503" i="6"/>
  <c r="N2503" i="6" s="1"/>
  <c r="R2503" i="6" s="1"/>
  <c r="M2567" i="6"/>
  <c r="N2567" i="6" s="1"/>
  <c r="R2567" i="6" s="1"/>
  <c r="M2631" i="6"/>
  <c r="N2631" i="6" s="1"/>
  <c r="R2631" i="6" s="1"/>
  <c r="M2695" i="6"/>
  <c r="N2695" i="6" s="1"/>
  <c r="R2695" i="6" s="1"/>
  <c r="M2823" i="6"/>
  <c r="N2823" i="6" s="1"/>
  <c r="R2823" i="6" s="1"/>
  <c r="M2887" i="6"/>
  <c r="N2887" i="6" s="1"/>
  <c r="R2887" i="6" s="1"/>
  <c r="M3463" i="6"/>
  <c r="N3463" i="6" s="1"/>
  <c r="R3463" i="6" s="1"/>
  <c r="M3591" i="6"/>
  <c r="N3591" i="6" s="1"/>
  <c r="R3591" i="6" s="1"/>
  <c r="M3655" i="6"/>
  <c r="N3655" i="6" s="1"/>
  <c r="R3655" i="6" s="1"/>
  <c r="M3783" i="6"/>
  <c r="N3783" i="6" s="1"/>
  <c r="R3783" i="6" s="1"/>
  <c r="M3847" i="6"/>
  <c r="N3847" i="6" s="1"/>
  <c r="R3847" i="6" s="1"/>
  <c r="M3911" i="6"/>
  <c r="N3911" i="6" s="1"/>
  <c r="R3911" i="6" s="1"/>
  <c r="M3975" i="6"/>
  <c r="N3975" i="6" s="1"/>
  <c r="R3975" i="6" s="1"/>
  <c r="M4039" i="6"/>
  <c r="N4039" i="6" s="1"/>
  <c r="R4039" i="6" s="1"/>
  <c r="M4103" i="6"/>
  <c r="N4103" i="6" s="1"/>
  <c r="R4103" i="6" s="1"/>
  <c r="M4167" i="6"/>
  <c r="N4167" i="6" s="1"/>
  <c r="R4167" i="6" s="1"/>
  <c r="M4231" i="6"/>
  <c r="N4231" i="6" s="1"/>
  <c r="R4231" i="6" s="1"/>
  <c r="M4295" i="6"/>
  <c r="N4295" i="6" s="1"/>
  <c r="R4295" i="6" s="1"/>
  <c r="M4359" i="6"/>
  <c r="N4359" i="6" s="1"/>
  <c r="R4359" i="6" s="1"/>
  <c r="M4423" i="6"/>
  <c r="N4423" i="6" s="1"/>
  <c r="R4423" i="6" s="1"/>
  <c r="M4487" i="6"/>
  <c r="N4487" i="6" s="1"/>
  <c r="R4487" i="6" s="1"/>
  <c r="M4551" i="6"/>
  <c r="N4551" i="6" s="1"/>
  <c r="R4551" i="6" s="1"/>
  <c r="M4615" i="6"/>
  <c r="N4615" i="6" s="1"/>
  <c r="R4615" i="6" s="1"/>
  <c r="M4679" i="6"/>
  <c r="N4679" i="6" s="1"/>
  <c r="R4679" i="6" s="1"/>
  <c r="M4743" i="6"/>
  <c r="N4743" i="6" s="1"/>
  <c r="R4743" i="6" s="1"/>
  <c r="M4807" i="6"/>
  <c r="N4807" i="6" s="1"/>
  <c r="R4807" i="6" s="1"/>
  <c r="M4871" i="6"/>
  <c r="N4871" i="6" s="1"/>
  <c r="R4871" i="6" s="1"/>
  <c r="M4935" i="6"/>
  <c r="N4935" i="6" s="1"/>
  <c r="R4935" i="6" s="1"/>
  <c r="M4999" i="6"/>
  <c r="N4999" i="6" s="1"/>
  <c r="R4999" i="6" s="1"/>
  <c r="M4548" i="6"/>
  <c r="N4548" i="6" s="1"/>
  <c r="R4548" i="6" s="1"/>
  <c r="M4612" i="6"/>
  <c r="N4612" i="6" s="1"/>
  <c r="R4612" i="6" s="1"/>
  <c r="M4676" i="6"/>
  <c r="N4676" i="6" s="1"/>
  <c r="R4676" i="6" s="1"/>
  <c r="M4740" i="6"/>
  <c r="N4740" i="6" s="1"/>
  <c r="R4740" i="6" s="1"/>
  <c r="M4804" i="6"/>
  <c r="N4804" i="6" s="1"/>
  <c r="R4804" i="6" s="1"/>
  <c r="M4868" i="6"/>
  <c r="N4868" i="6" s="1"/>
  <c r="R4868" i="6" s="1"/>
  <c r="M4996" i="6"/>
  <c r="N4996" i="6" s="1"/>
  <c r="R4996" i="6" s="1"/>
  <c r="I277" i="11"/>
  <c r="K277" i="11" s="1"/>
  <c r="K437" i="11"/>
  <c r="K378" i="11"/>
  <c r="K335" i="11"/>
  <c r="K296" i="11"/>
  <c r="K116" i="11"/>
  <c r="K332" i="11"/>
  <c r="K189" i="11"/>
  <c r="K493" i="11"/>
  <c r="K477" i="11"/>
  <c r="K140" i="11"/>
  <c r="K389" i="11"/>
  <c r="K200" i="11"/>
  <c r="K292" i="11"/>
  <c r="K429" i="11"/>
  <c r="M21" i="8"/>
  <c r="N21" i="8" s="1"/>
  <c r="K264" i="11"/>
  <c r="K249" i="11"/>
  <c r="K22" i="11"/>
  <c r="K272" i="11"/>
  <c r="K424" i="11"/>
  <c r="K175" i="11"/>
  <c r="K64" i="11"/>
  <c r="K129" i="11"/>
  <c r="K298" i="11"/>
  <c r="K86" i="11"/>
  <c r="K23" i="11"/>
  <c r="K72" i="11"/>
  <c r="K408" i="11"/>
  <c r="K32" i="11"/>
  <c r="I126" i="11"/>
  <c r="K126" i="11" s="1"/>
  <c r="G446" i="11"/>
  <c r="I446" i="11" s="1"/>
  <c r="K446" i="11" s="1"/>
  <c r="I413" i="11"/>
  <c r="K413" i="11" s="1"/>
  <c r="I161" i="11"/>
  <c r="K161" i="11" s="1"/>
  <c r="I181" i="11"/>
  <c r="K181" i="11" s="1"/>
  <c r="I67" i="11"/>
  <c r="K67" i="11" s="1"/>
  <c r="I397" i="11"/>
  <c r="K397" i="11" s="1"/>
  <c r="I92" i="11"/>
  <c r="K92" i="11" s="1"/>
  <c r="I447" i="11"/>
  <c r="K447" i="11" s="1"/>
  <c r="I479" i="11"/>
  <c r="K479" i="11" s="1"/>
  <c r="I162" i="11"/>
  <c r="K162" i="11" s="1"/>
  <c r="I253" i="11"/>
  <c r="K253" i="11" s="1"/>
  <c r="I344" i="11"/>
  <c r="K344" i="11" s="1"/>
  <c r="I232" i="11"/>
  <c r="K232" i="11" s="1"/>
  <c r="I44" i="11"/>
  <c r="K44" i="11" s="1"/>
  <c r="I16" i="11"/>
  <c r="K16" i="11" s="1"/>
  <c r="I143" i="11"/>
  <c r="K143" i="11" s="1"/>
  <c r="I63" i="11"/>
  <c r="K63" i="11" s="1"/>
  <c r="I325" i="11"/>
  <c r="K325" i="11" s="1"/>
  <c r="I110" i="11"/>
  <c r="K110" i="11" s="1"/>
  <c r="I174" i="11"/>
  <c r="K174" i="11" s="1"/>
  <c r="I247" i="11"/>
  <c r="K247" i="11" s="1"/>
  <c r="M2585" i="6"/>
  <c r="N2585" i="6" s="1"/>
  <c r="M2841" i="6"/>
  <c r="N2841" i="6" s="1"/>
  <c r="M2969" i="6"/>
  <c r="M4825" i="6"/>
  <c r="M3218" i="6"/>
  <c r="M3282" i="6"/>
  <c r="M3922" i="6"/>
  <c r="M3556" i="6"/>
  <c r="N3556" i="6" s="1"/>
  <c r="M3684" i="6"/>
  <c r="M3685" i="6"/>
  <c r="M4069" i="6"/>
  <c r="N4069" i="6" s="1"/>
  <c r="M4325" i="6"/>
  <c r="N4325" i="6" s="1"/>
  <c r="M4438" i="6"/>
  <c r="M4886" i="6"/>
  <c r="N4886" i="6" s="1"/>
  <c r="M4087" i="6"/>
  <c r="N4087" i="6" s="1"/>
  <c r="M3176" i="6"/>
  <c r="N3176" i="6" s="1"/>
  <c r="M2842" i="6"/>
  <c r="M2906" i="6"/>
  <c r="N2906" i="6" s="1"/>
  <c r="M2970" i="6"/>
  <c r="N2970" i="6" s="1"/>
  <c r="M3418" i="6"/>
  <c r="N3418" i="6" s="1"/>
  <c r="M2611" i="6"/>
  <c r="N2611" i="6" s="1"/>
  <c r="M4019" i="6"/>
  <c r="M3500" i="6"/>
  <c r="M4332" i="6"/>
  <c r="M1709" i="6"/>
  <c r="M2093" i="6"/>
  <c r="N2093" i="6" s="1"/>
  <c r="M4031" i="6"/>
  <c r="M197" i="6"/>
  <c r="N197" i="6" s="1"/>
  <c r="M3881" i="6"/>
  <c r="M3554" i="6"/>
  <c r="N3554" i="6" s="1"/>
  <c r="M3259" i="6"/>
  <c r="M1780" i="6"/>
  <c r="N1780" i="6" s="1"/>
  <c r="M1908" i="6"/>
  <c r="N1908" i="6" s="1"/>
  <c r="M2100" i="6"/>
  <c r="N2100" i="6" s="1"/>
  <c r="M2164" i="6"/>
  <c r="M3124" i="6"/>
  <c r="N3124" i="6" s="1"/>
  <c r="M3508" i="6"/>
  <c r="M3956" i="6"/>
  <c r="N3956" i="6" s="1"/>
  <c r="M4212" i="6"/>
  <c r="M4468" i="6"/>
  <c r="M2293" i="6"/>
  <c r="N2293" i="6" s="1"/>
  <c r="M2485" i="6"/>
  <c r="N2485" i="6" s="1"/>
  <c r="M4932" i="6"/>
  <c r="M54" i="6"/>
  <c r="M182" i="6"/>
  <c r="M1139" i="6"/>
  <c r="M2551" i="6"/>
  <c r="M4992" i="6"/>
  <c r="N4992" i="6" s="1"/>
  <c r="M4465" i="6"/>
  <c r="M3242" i="6"/>
  <c r="M3843" i="6"/>
  <c r="M4163" i="6"/>
  <c r="M4931" i="6"/>
  <c r="M1980" i="6"/>
  <c r="N1980" i="6" s="1"/>
  <c r="M3004" i="6"/>
  <c r="N3004" i="6" s="1"/>
  <c r="M3196" i="6"/>
  <c r="N3196" i="6" s="1"/>
  <c r="M3900" i="6"/>
  <c r="N3900" i="6" s="1"/>
  <c r="M4284" i="6"/>
  <c r="M4476" i="6"/>
  <c r="N4476" i="6" s="1"/>
  <c r="M1661" i="6"/>
  <c r="M1725" i="6"/>
  <c r="M1981" i="6"/>
  <c r="M2109" i="6"/>
  <c r="N2109" i="6" s="1"/>
  <c r="M2621" i="6"/>
  <c r="N2621" i="6" s="1"/>
  <c r="M4413" i="6"/>
  <c r="M4541" i="6"/>
  <c r="N4541" i="6" s="1"/>
  <c r="M1083" i="6"/>
  <c r="M3199" i="6"/>
  <c r="M3263" i="6"/>
  <c r="M3327" i="6"/>
  <c r="N3327" i="6" s="1"/>
  <c r="M3583" i="6"/>
  <c r="N3583" i="6" s="1"/>
  <c r="M3647" i="6"/>
  <c r="N3647" i="6" s="1"/>
  <c r="M2944" i="6"/>
  <c r="N2944" i="6" s="1"/>
  <c r="M3136" i="6"/>
  <c r="N3136" i="6" s="1"/>
  <c r="M4552" i="6"/>
  <c r="N4552" i="6" s="1"/>
  <c r="M4857" i="6"/>
  <c r="M2546" i="6"/>
  <c r="M3826" i="6"/>
  <c r="N3826" i="6" s="1"/>
  <c r="M3954" i="6"/>
  <c r="N3954" i="6" s="1"/>
  <c r="M452" i="6"/>
  <c r="N452" i="6" s="1"/>
  <c r="M644" i="6"/>
  <c r="M836" i="6"/>
  <c r="N836" i="6" s="1"/>
  <c r="M3460" i="6"/>
  <c r="N3460" i="6" s="1"/>
  <c r="M3780" i="6"/>
  <c r="M773" i="6"/>
  <c r="M965" i="6"/>
  <c r="M1029" i="6"/>
  <c r="M1349" i="6"/>
  <c r="M2629" i="6"/>
  <c r="N2629" i="6" s="1"/>
  <c r="M3845" i="6"/>
  <c r="N3845" i="6" s="1"/>
  <c r="M4278" i="6"/>
  <c r="M1047" i="6"/>
  <c r="N1047" i="6" s="1"/>
  <c r="M216" i="6"/>
  <c r="N216" i="6" s="1"/>
  <c r="M52" i="6"/>
  <c r="N52" i="6" s="1"/>
  <c r="M2390" i="6"/>
  <c r="N2390" i="6" s="1"/>
  <c r="M1719" i="6"/>
  <c r="N1719" i="6" s="1"/>
  <c r="M3102" i="6"/>
  <c r="N3102" i="6" s="1"/>
  <c r="M2439" i="6"/>
  <c r="M2759" i="6"/>
  <c r="N2759" i="6" s="1"/>
  <c r="M2951" i="6"/>
  <c r="N2951" i="6" s="1"/>
  <c r="M3015" i="6"/>
  <c r="N3015" i="6" s="1"/>
  <c r="M3079" i="6"/>
  <c r="M3143" i="6"/>
  <c r="M3207" i="6"/>
  <c r="M3271" i="6"/>
  <c r="M3335" i="6"/>
  <c r="M3399" i="6"/>
  <c r="M3527" i="6"/>
  <c r="M3719" i="6"/>
  <c r="N3719" i="6" s="1"/>
  <c r="M3080" i="6"/>
  <c r="N3080" i="6" s="1"/>
  <c r="M3208" i="6"/>
  <c r="N3208" i="6" s="1"/>
  <c r="M2497" i="6"/>
  <c r="M4033" i="6"/>
  <c r="N4033" i="6" s="1"/>
  <c r="M4545" i="6"/>
  <c r="N4545" i="6" s="1"/>
  <c r="M2618" i="6"/>
  <c r="N2618" i="6" s="1"/>
  <c r="M3130" i="6"/>
  <c r="N3130" i="6" s="1"/>
  <c r="M4410" i="6"/>
  <c r="N4410" i="6" s="1"/>
  <c r="M2771" i="6"/>
  <c r="N2771" i="6" s="1"/>
  <c r="M4051" i="6"/>
  <c r="M4243" i="6"/>
  <c r="N4243" i="6" s="1"/>
  <c r="M2508" i="6"/>
  <c r="N2508" i="6" s="1"/>
  <c r="M3340" i="6"/>
  <c r="M3404" i="6"/>
  <c r="N3404" i="6" s="1"/>
  <c r="M781" i="6"/>
  <c r="N781" i="6" s="1"/>
  <c r="M845" i="6"/>
  <c r="N845" i="6" s="1"/>
  <c r="M1293" i="6"/>
  <c r="M1613" i="6"/>
  <c r="M1677" i="6"/>
  <c r="N1677" i="6" s="1"/>
  <c r="M3725" i="6"/>
  <c r="N3725" i="6" s="1"/>
  <c r="M4941" i="6"/>
  <c r="M4511" i="6"/>
  <c r="N4511" i="6" s="1"/>
  <c r="M415" i="6"/>
  <c r="N415" i="6" s="1"/>
  <c r="M417" i="6"/>
  <c r="M929" i="6"/>
  <c r="M1355" i="6"/>
  <c r="M60" i="6"/>
  <c r="M2291" i="6"/>
  <c r="M2982" i="6"/>
  <c r="N2982" i="6" s="1"/>
  <c r="M3046" i="6"/>
  <c r="M3558" i="6"/>
  <c r="N3558" i="6" s="1"/>
  <c r="M2639" i="6"/>
  <c r="M3407" i="6"/>
  <c r="M3471" i="6"/>
  <c r="M2256" i="6"/>
  <c r="N2256" i="6" s="1"/>
  <c r="M3280" i="6"/>
  <c r="M229" i="6"/>
  <c r="N229" i="6" s="1"/>
  <c r="M3465" i="6"/>
  <c r="M3593" i="6"/>
  <c r="M3977" i="6"/>
  <c r="M4105" i="6"/>
  <c r="M4361" i="6"/>
  <c r="N4361" i="6" s="1"/>
  <c r="M3842" i="6"/>
  <c r="M4162" i="6"/>
  <c r="M4866" i="6"/>
  <c r="N4866" i="6" s="1"/>
  <c r="R2267" i="6"/>
  <c r="M2523" i="6"/>
  <c r="M3419" i="6"/>
  <c r="M3483" i="6"/>
  <c r="M4507" i="6"/>
  <c r="M404" i="6"/>
  <c r="M1300" i="6"/>
  <c r="M3732" i="6"/>
  <c r="M4308" i="6"/>
  <c r="M2517" i="6"/>
  <c r="M2645" i="6"/>
  <c r="M2773" i="6"/>
  <c r="N2773" i="6" s="1"/>
  <c r="M3797" i="6"/>
  <c r="M3846" i="6"/>
  <c r="N3846" i="6" s="1"/>
  <c r="M4806" i="6"/>
  <c r="M738" i="6"/>
  <c r="N738" i="6" s="1"/>
  <c r="M1058" i="6"/>
  <c r="N1058" i="6" s="1"/>
  <c r="M1913" i="6"/>
  <c r="N1913" i="6" s="1"/>
  <c r="M2107" i="6"/>
  <c r="M2427" i="6"/>
  <c r="M2648" i="6"/>
  <c r="M2353" i="6"/>
  <c r="N2353" i="6" s="1"/>
  <c r="M3552" i="6"/>
  <c r="N3552" i="6" s="1"/>
  <c r="M3616" i="6"/>
  <c r="M4128" i="6"/>
  <c r="M2897" i="6"/>
  <c r="N2897" i="6" s="1"/>
  <c r="M3537" i="6"/>
  <c r="M4049" i="6"/>
  <c r="M2890" i="6"/>
  <c r="M3082" i="6"/>
  <c r="M3338" i="6"/>
  <c r="M3427" i="6"/>
  <c r="M4259" i="6"/>
  <c r="N4259" i="6" s="1"/>
  <c r="M860" i="6"/>
  <c r="M1564" i="6"/>
  <c r="N1564" i="6" s="1"/>
  <c r="M1948" i="6"/>
  <c r="M3228" i="6"/>
  <c r="M3612" i="6"/>
  <c r="N3612" i="6" s="1"/>
  <c r="M3804" i="6"/>
  <c r="M605" i="6"/>
  <c r="N605" i="6" s="1"/>
  <c r="M1053" i="6"/>
  <c r="N1053" i="6" s="1"/>
  <c r="M1885" i="6"/>
  <c r="M2141" i="6"/>
  <c r="M4445" i="6"/>
  <c r="R1327" i="6"/>
  <c r="M4015" i="6"/>
  <c r="M4399" i="6"/>
  <c r="N4399" i="6" s="1"/>
  <c r="M817" i="6"/>
  <c r="M1307" i="6"/>
  <c r="M1774" i="6"/>
  <c r="N1774" i="6" s="1"/>
  <c r="M2222" i="6"/>
  <c r="M2319" i="6"/>
  <c r="M2104" i="6"/>
  <c r="N2104" i="6" s="1"/>
  <c r="M2258" i="6"/>
  <c r="M1859" i="6"/>
  <c r="N1859" i="6" s="1"/>
  <c r="M2742" i="6"/>
  <c r="N2742" i="6" s="1"/>
  <c r="I234" i="11"/>
  <c r="K234" i="11" s="1"/>
  <c r="R329" i="6"/>
  <c r="R1490" i="6"/>
  <c r="M32" i="16"/>
  <c r="M31" i="8"/>
  <c r="N31" i="8" s="1"/>
  <c r="M30" i="8"/>
  <c r="N30" i="8" s="1"/>
  <c r="M29" i="8"/>
  <c r="N29" i="8" s="1"/>
  <c r="M28" i="8"/>
  <c r="N28" i="8" s="1"/>
  <c r="M27" i="8"/>
  <c r="N27" i="8" s="1"/>
  <c r="M26" i="8"/>
  <c r="N26" i="8" s="1"/>
  <c r="M25" i="8"/>
  <c r="N25" i="8" s="1"/>
  <c r="M24" i="8"/>
  <c r="N24" i="8" s="1"/>
  <c r="M23" i="8"/>
  <c r="N23" i="8" s="1"/>
  <c r="M22" i="8"/>
  <c r="N22" i="8" s="1"/>
  <c r="M17" i="8"/>
  <c r="N17" i="8" s="1"/>
  <c r="M18" i="8"/>
  <c r="N18" i="8" s="1"/>
  <c r="M19" i="8"/>
  <c r="N19" i="8" s="1"/>
  <c r="M16" i="8"/>
  <c r="N16" i="8" s="1"/>
  <c r="R1926" i="6"/>
  <c r="R3786" i="6"/>
  <c r="R1447" i="6"/>
  <c r="R254" i="6"/>
  <c r="R318" i="6"/>
  <c r="R744" i="6"/>
  <c r="R808" i="6"/>
  <c r="R1304" i="6"/>
  <c r="R3056" i="6"/>
  <c r="R3296" i="6"/>
  <c r="R3360" i="6"/>
  <c r="R3928" i="6"/>
  <c r="R3992" i="6"/>
  <c r="R4120" i="6"/>
  <c r="R4600" i="6"/>
  <c r="R841" i="6"/>
  <c r="R2593" i="6"/>
  <c r="R2657" i="6"/>
  <c r="R3033" i="6"/>
  <c r="R3473" i="6"/>
  <c r="R4129" i="6"/>
  <c r="R4505" i="6"/>
  <c r="R4569" i="6"/>
  <c r="R4873" i="6"/>
  <c r="R514" i="6"/>
  <c r="R578" i="6"/>
  <c r="R1026" i="6"/>
  <c r="R1994" i="6"/>
  <c r="R2370" i="6"/>
  <c r="R3090" i="6"/>
  <c r="R3146" i="6"/>
  <c r="R3210" i="6"/>
  <c r="R3498" i="6"/>
  <c r="R4226" i="6"/>
  <c r="R4290" i="6"/>
  <c r="R1019" i="6"/>
  <c r="R1779" i="6"/>
  <c r="R2155" i="6"/>
  <c r="R2667" i="6"/>
  <c r="R3115" i="6"/>
  <c r="R3179" i="6"/>
  <c r="R3835" i="6"/>
  <c r="R3955" i="6"/>
  <c r="R284" i="6"/>
  <c r="R348" i="6"/>
  <c r="R3412" i="6"/>
  <c r="R3876" i="6"/>
  <c r="R741" i="6"/>
  <c r="R789" i="6"/>
  <c r="R917" i="6"/>
  <c r="R4517" i="6"/>
  <c r="R4581" i="6"/>
  <c r="R334" i="6"/>
  <c r="R398" i="6"/>
  <c r="R454" i="6"/>
  <c r="R2382" i="6"/>
  <c r="R2950" i="6"/>
  <c r="R3014" i="6"/>
  <c r="R3686" i="6"/>
  <c r="R4318" i="6"/>
  <c r="R4566" i="6"/>
  <c r="R4630" i="6"/>
  <c r="R4942" i="6"/>
  <c r="R303" i="6"/>
  <c r="R751" i="6"/>
  <c r="R815" i="6"/>
  <c r="R1263" i="6"/>
  <c r="R2687" i="6"/>
  <c r="R3127" i="6"/>
  <c r="R3191" i="6"/>
  <c r="R23" i="6"/>
  <c r="R496" i="6"/>
  <c r="R688" i="6"/>
  <c r="R1248" i="6"/>
  <c r="R1312" i="6"/>
  <c r="R2448" i="6"/>
  <c r="R2504" i="6"/>
  <c r="R2624" i="6"/>
  <c r="R3000" i="6"/>
  <c r="R3064" i="6"/>
  <c r="R3368" i="6"/>
  <c r="R3432" i="6"/>
  <c r="R3936" i="6"/>
  <c r="R4000" i="6"/>
  <c r="R729" i="6"/>
  <c r="R793" i="6"/>
  <c r="R849" i="6"/>
  <c r="R913" i="6"/>
  <c r="R1289" i="6"/>
  <c r="R1353" i="6"/>
  <c r="R1801" i="6"/>
  <c r="R1865" i="6"/>
  <c r="R3481" i="6"/>
  <c r="R3969" i="6"/>
  <c r="R458" i="6"/>
  <c r="R650" i="6"/>
  <c r="R970" i="6"/>
  <c r="R1034" i="6"/>
  <c r="R1090" i="6"/>
  <c r="R1466" i="6"/>
  <c r="R1938" i="6"/>
  <c r="R2002" i="6"/>
  <c r="R3266" i="6"/>
  <c r="R3866" i="6"/>
  <c r="R4234" i="6"/>
  <c r="R4298" i="6"/>
  <c r="R4738" i="6"/>
  <c r="R4802" i="6"/>
  <c r="R715" i="6"/>
  <c r="R835" i="6"/>
  <c r="R1595" i="6"/>
  <c r="R2043" i="6"/>
  <c r="R2331" i="6"/>
  <c r="R2931" i="6"/>
  <c r="R4139" i="6"/>
  <c r="R4195" i="6"/>
  <c r="R164" i="6"/>
  <c r="R228" i="6"/>
  <c r="R596" i="6"/>
  <c r="R1396" i="6"/>
  <c r="R1460" i="6"/>
  <c r="R2012" i="6"/>
  <c r="R2076" i="6"/>
  <c r="R2196" i="6"/>
  <c r="R3236" i="6"/>
  <c r="R3300" i="6"/>
  <c r="R621" i="6"/>
  <c r="R1397" i="6"/>
  <c r="R1461" i="6"/>
  <c r="R1589" i="6"/>
  <c r="R1645" i="6"/>
  <c r="R1749" i="6"/>
  <c r="R1813" i="6"/>
  <c r="R2301" i="6"/>
  <c r="R2965" i="6"/>
  <c r="R3029" i="6"/>
  <c r="R3093" i="6"/>
  <c r="R3477" i="6"/>
  <c r="R3541" i="6"/>
  <c r="R3669" i="6"/>
  <c r="R4845" i="6"/>
  <c r="R342" i="6"/>
  <c r="R406" i="6"/>
  <c r="R1846" i="6"/>
  <c r="R1966" i="6"/>
  <c r="R2454" i="6"/>
  <c r="R2518" i="6"/>
  <c r="R2894" i="6"/>
  <c r="R2958" i="6"/>
  <c r="R3566" i="6"/>
  <c r="R4078" i="6"/>
  <c r="R4766" i="6"/>
  <c r="R439" i="6"/>
  <c r="R503" i="6"/>
  <c r="R951" i="6"/>
  <c r="R1015" i="6"/>
  <c r="R1959" i="6"/>
  <c r="R2023" i="6"/>
  <c r="R95" i="6"/>
  <c r="R223" i="6"/>
  <c r="R287" i="6"/>
  <c r="R240" i="6"/>
  <c r="R138" i="6"/>
  <c r="N3" i="6"/>
  <c r="R3" i="6" s="1"/>
  <c r="R93" i="6"/>
  <c r="R376" i="6"/>
  <c r="R440" i="6"/>
  <c r="R888" i="6"/>
  <c r="R1008" i="6"/>
  <c r="R1256" i="6"/>
  <c r="R1320" i="6"/>
  <c r="R1760" i="6"/>
  <c r="R1816" i="6"/>
  <c r="R1880" i="6"/>
  <c r="R1944" i="6"/>
  <c r="R2008" i="6"/>
  <c r="R2328" i="6"/>
  <c r="R2392" i="6"/>
  <c r="R3568" i="6"/>
  <c r="R3880" i="6"/>
  <c r="R3944" i="6"/>
  <c r="R4504" i="6"/>
  <c r="R4800" i="6"/>
  <c r="R4864" i="6"/>
  <c r="R361" i="6"/>
  <c r="R481" i="6"/>
  <c r="R1361" i="6"/>
  <c r="R1425" i="6"/>
  <c r="R1873" i="6"/>
  <c r="R2313" i="6"/>
  <c r="R2377" i="6"/>
  <c r="R2865" i="6"/>
  <c r="R2985" i="6"/>
  <c r="R3433" i="6"/>
  <c r="R3545" i="6"/>
  <c r="R3601" i="6"/>
  <c r="R4401" i="6"/>
  <c r="R4521" i="6"/>
  <c r="R4585" i="6"/>
  <c r="R402" i="6"/>
  <c r="R466" i="6"/>
  <c r="R658" i="6"/>
  <c r="R914" i="6"/>
  <c r="R978" i="6"/>
  <c r="R1218" i="6"/>
  <c r="R2074" i="6"/>
  <c r="R2138" i="6"/>
  <c r="R2922" i="6"/>
  <c r="R3106" i="6"/>
  <c r="R4242" i="6"/>
  <c r="R4306" i="6"/>
  <c r="R4746" i="6"/>
  <c r="R4810" i="6"/>
  <c r="R1795" i="6"/>
  <c r="R1923" i="6"/>
  <c r="R2171" i="6"/>
  <c r="R2683" i="6"/>
  <c r="R2747" i="6"/>
  <c r="R3195" i="6"/>
  <c r="R3971" i="6"/>
  <c r="R4323" i="6"/>
  <c r="R4443" i="6"/>
  <c r="R660" i="6"/>
  <c r="R724" i="6"/>
  <c r="R2260" i="6"/>
  <c r="R3540" i="6"/>
  <c r="R3828" i="6"/>
  <c r="R3892" i="6"/>
  <c r="R4252" i="6"/>
  <c r="R373" i="6"/>
  <c r="R437" i="6"/>
  <c r="R805" i="6"/>
  <c r="R1533" i="6"/>
  <c r="R1821" i="6"/>
  <c r="R1941" i="6"/>
  <c r="R2909" i="6"/>
  <c r="R2973" i="6"/>
  <c r="R3421" i="6"/>
  <c r="R3485" i="6"/>
  <c r="R4597" i="6"/>
  <c r="R414" i="6"/>
  <c r="R902" i="6"/>
  <c r="R966" i="6"/>
  <c r="R1094" i="6"/>
  <c r="R1414" i="6"/>
  <c r="R1478" i="6"/>
  <c r="R2654" i="6"/>
  <c r="R2718" i="6"/>
  <c r="R3030" i="6"/>
  <c r="R4710" i="6"/>
  <c r="R4774" i="6"/>
  <c r="R575" i="6"/>
  <c r="R639" i="6"/>
  <c r="R703" i="6"/>
  <c r="R1087" i="6"/>
  <c r="R1151" i="6"/>
  <c r="R1279" i="6"/>
  <c r="R1775" i="6"/>
  <c r="R1839" i="6"/>
  <c r="R2287" i="6"/>
  <c r="R2767" i="6"/>
  <c r="R39" i="6"/>
  <c r="R103" i="6"/>
  <c r="R167" i="6"/>
  <c r="R9" i="6"/>
  <c r="R210" i="6"/>
  <c r="R11" i="6"/>
  <c r="R576" i="6"/>
  <c r="R640" i="6"/>
  <c r="R952" i="6"/>
  <c r="R1520" i="6"/>
  <c r="R1768" i="6"/>
  <c r="R1824" i="6"/>
  <c r="R1888" i="6"/>
  <c r="R1952" i="6"/>
  <c r="R2272" i="6"/>
  <c r="R2336" i="6"/>
  <c r="R3264" i="6"/>
  <c r="R3512" i="6"/>
  <c r="R3576" i="6"/>
  <c r="R3760" i="6"/>
  <c r="R4080" i="6"/>
  <c r="R4392" i="6"/>
  <c r="R553" i="6"/>
  <c r="R1241" i="6"/>
  <c r="R1305" i="6"/>
  <c r="R1753" i="6"/>
  <c r="R1817" i="6"/>
  <c r="R1937" i="6"/>
  <c r="R2385" i="6"/>
  <c r="R2449" i="6"/>
  <c r="R3441" i="6"/>
  <c r="R3497" i="6"/>
  <c r="R4041" i="6"/>
  <c r="R4217" i="6"/>
  <c r="R4281" i="6"/>
  <c r="R4529" i="6"/>
  <c r="R474" i="6"/>
  <c r="R986" i="6"/>
  <c r="R1482" i="6"/>
  <c r="R1538" i="6"/>
  <c r="R1650" i="6"/>
  <c r="R1714" i="6"/>
  <c r="R1834" i="6"/>
  <c r="R1898" i="6"/>
  <c r="R2018" i="6"/>
  <c r="R2082" i="6"/>
  <c r="R2506" i="6"/>
  <c r="R2562" i="6"/>
  <c r="R2626" i="6"/>
  <c r="R2690" i="6"/>
  <c r="R2754" i="6"/>
  <c r="R3642" i="6"/>
  <c r="R4130" i="6"/>
  <c r="R4378" i="6"/>
  <c r="R4754" i="6"/>
  <c r="R4818" i="6"/>
  <c r="R667" i="6"/>
  <c r="R1043" i="6"/>
  <c r="R1267" i="6"/>
  <c r="R1371" i="6"/>
  <c r="R1803" i="6"/>
  <c r="R2883" i="6"/>
  <c r="R2947" i="6"/>
  <c r="R3323" i="6"/>
  <c r="R3667" i="6"/>
  <c r="R3731" i="6"/>
  <c r="R3851" i="6"/>
  <c r="R4035" i="6"/>
  <c r="R4267" i="6"/>
  <c r="R4571" i="6"/>
  <c r="R372" i="6"/>
  <c r="R796" i="6"/>
  <c r="R1108" i="6"/>
  <c r="R1172" i="6"/>
  <c r="R2092" i="6"/>
  <c r="R2212" i="6"/>
  <c r="R2708" i="6"/>
  <c r="R2772" i="6"/>
  <c r="R2956" i="6"/>
  <c r="R3252" i="6"/>
  <c r="R3316" i="6"/>
  <c r="R4204" i="6"/>
  <c r="R509" i="6"/>
  <c r="R1237" i="6"/>
  <c r="R1413" i="6"/>
  <c r="R1765" i="6"/>
  <c r="R1829" i="6"/>
  <c r="R2317" i="6"/>
  <c r="R2549" i="6"/>
  <c r="R2789" i="6"/>
  <c r="R2853" i="6"/>
  <c r="R3301" i="6"/>
  <c r="R3365" i="6"/>
  <c r="R3917" i="6"/>
  <c r="R422" i="6"/>
  <c r="R670" i="6"/>
  <c r="R846" i="6"/>
  <c r="R974" i="6"/>
  <c r="R1358" i="6"/>
  <c r="R1422" i="6"/>
  <c r="R2470" i="6"/>
  <c r="R2534" i="6"/>
  <c r="R3462" i="6"/>
  <c r="R3526" i="6"/>
  <c r="R4590" i="6"/>
  <c r="R1463" i="6"/>
  <c r="R1527" i="6"/>
  <c r="R1847" i="6"/>
  <c r="R2103" i="6"/>
  <c r="R2351" i="6"/>
  <c r="R2471" i="6"/>
  <c r="R2535" i="6"/>
  <c r="R3727" i="6"/>
  <c r="R3791" i="6"/>
  <c r="R4815" i="6"/>
  <c r="R4748" i="6"/>
  <c r="R4812" i="6"/>
  <c r="R47" i="6"/>
  <c r="R256" i="6"/>
  <c r="R17" i="6"/>
  <c r="R154" i="6"/>
  <c r="R218" i="6"/>
  <c r="R45" i="6"/>
  <c r="R109" i="6"/>
  <c r="R1088" i="6"/>
  <c r="R1152" i="6"/>
  <c r="R1400" i="6"/>
  <c r="R1464" i="6"/>
  <c r="R2280" i="6"/>
  <c r="R2344" i="6"/>
  <c r="R3328" i="6"/>
  <c r="R3704" i="6"/>
  <c r="R4024" i="6"/>
  <c r="R4088" i="6"/>
  <c r="R4456" i="6"/>
  <c r="R4568" i="6"/>
  <c r="R4632" i="6"/>
  <c r="R689" i="6"/>
  <c r="R753" i="6"/>
  <c r="R873" i="6"/>
  <c r="R1057" i="6"/>
  <c r="R1249" i="6"/>
  <c r="R1569" i="6"/>
  <c r="R2265" i="6"/>
  <c r="R2329" i="6"/>
  <c r="R2457" i="6"/>
  <c r="R3193" i="6"/>
  <c r="R3617" i="6"/>
  <c r="R3681" i="6"/>
  <c r="R3809" i="6"/>
  <c r="R354" i="6"/>
  <c r="R930" i="6"/>
  <c r="R994" i="6"/>
  <c r="R1426" i="6"/>
  <c r="R1546" i="6"/>
  <c r="R1602" i="6"/>
  <c r="R2514" i="6"/>
  <c r="R2570" i="6"/>
  <c r="R2634" i="6"/>
  <c r="R3586" i="6"/>
  <c r="R3650" i="6"/>
  <c r="R3946" i="6"/>
  <c r="R4010" i="6"/>
  <c r="R4890" i="6"/>
  <c r="R547" i="6"/>
  <c r="R611" i="6"/>
  <c r="R739" i="6"/>
  <c r="R2067" i="6"/>
  <c r="R2827" i="6"/>
  <c r="R2891" i="6"/>
  <c r="R3611" i="6"/>
  <c r="R4771" i="6"/>
  <c r="R4835" i="6"/>
  <c r="R20" i="6"/>
  <c r="R188" i="6"/>
  <c r="R436" i="6"/>
  <c r="R556" i="6"/>
  <c r="R676" i="6"/>
  <c r="R740" i="6"/>
  <c r="R924" i="6"/>
  <c r="R1052" i="6"/>
  <c r="R1868" i="6"/>
  <c r="R2036" i="6"/>
  <c r="R2276" i="6"/>
  <c r="R2524" i="6"/>
  <c r="R2588" i="6"/>
  <c r="R3676" i="6"/>
  <c r="R4316" i="6"/>
  <c r="R4372" i="6"/>
  <c r="R4436" i="6"/>
  <c r="R645" i="6"/>
  <c r="R949" i="6"/>
  <c r="R1245" i="6"/>
  <c r="R1301" i="6"/>
  <c r="R2013" i="6"/>
  <c r="R2261" i="6"/>
  <c r="R2325" i="6"/>
  <c r="R2453" i="6"/>
  <c r="R2613" i="6"/>
  <c r="R2797" i="6"/>
  <c r="R3309" i="6"/>
  <c r="R3437" i="6"/>
  <c r="R4053" i="6"/>
  <c r="R4117" i="6"/>
  <c r="R4429" i="6"/>
  <c r="R366" i="6"/>
  <c r="R486" i="6"/>
  <c r="R734" i="6"/>
  <c r="R854" i="6"/>
  <c r="R918" i="6"/>
  <c r="R982" i="6"/>
  <c r="R1366" i="6"/>
  <c r="R1430" i="6"/>
  <c r="R1870" i="6"/>
  <c r="R3406" i="6"/>
  <c r="R4102" i="6"/>
  <c r="R399" i="6"/>
  <c r="R911" i="6"/>
  <c r="R975" i="6"/>
  <c r="R1599" i="6"/>
  <c r="R1663" i="6"/>
  <c r="R2111" i="6"/>
  <c r="R2175" i="6"/>
  <c r="R247" i="6"/>
  <c r="R16" i="6"/>
  <c r="R200" i="6"/>
  <c r="R264" i="6"/>
  <c r="R98" i="6"/>
  <c r="R162" i="6"/>
  <c r="R283" i="6"/>
  <c r="R53" i="6"/>
  <c r="R117" i="6"/>
  <c r="R848" i="6"/>
  <c r="R968" i="6"/>
  <c r="R2032" i="6"/>
  <c r="R2160" i="6"/>
  <c r="R2712" i="6"/>
  <c r="R2904" i="6"/>
  <c r="R2968" i="6"/>
  <c r="R3776" i="6"/>
  <c r="R3840" i="6"/>
  <c r="R4576" i="6"/>
  <c r="R4952" i="6"/>
  <c r="R569" i="6"/>
  <c r="R937" i="6"/>
  <c r="R1385" i="6"/>
  <c r="R1449" i="6"/>
  <c r="R1897" i="6"/>
  <c r="R2081" i="6"/>
  <c r="R2825" i="6"/>
  <c r="R2889" i="6"/>
  <c r="R3993" i="6"/>
  <c r="R4169" i="6"/>
  <c r="R4297" i="6"/>
  <c r="R4977" i="6"/>
  <c r="R362" i="6"/>
  <c r="R810" i="6"/>
  <c r="R874" i="6"/>
  <c r="R2346" i="6"/>
  <c r="R2578" i="6"/>
  <c r="R3290" i="6"/>
  <c r="R3722" i="6"/>
  <c r="R4642" i="6"/>
  <c r="R4706" i="6"/>
  <c r="R555" i="6"/>
  <c r="R619" i="6"/>
  <c r="R1059" i="6"/>
  <c r="R1115" i="6"/>
  <c r="R1227" i="6"/>
  <c r="R1283" i="6"/>
  <c r="R1331" i="6"/>
  <c r="R1691" i="6"/>
  <c r="R1755" i="6"/>
  <c r="R2355" i="6"/>
  <c r="R3155" i="6"/>
  <c r="R3219" i="6"/>
  <c r="R3443" i="6"/>
  <c r="R3683" i="6"/>
  <c r="R3747" i="6"/>
  <c r="R3931" i="6"/>
  <c r="R3995" i="6"/>
  <c r="R4283" i="6"/>
  <c r="R4651" i="6"/>
  <c r="R4715" i="6"/>
  <c r="R84" i="6"/>
  <c r="R388" i="6"/>
  <c r="R684" i="6"/>
  <c r="R1188" i="6"/>
  <c r="R1364" i="6"/>
  <c r="R1684" i="6"/>
  <c r="R1748" i="6"/>
  <c r="R1812" i="6"/>
  <c r="R2724" i="6"/>
  <c r="R2788" i="6"/>
  <c r="R3452" i="6"/>
  <c r="R4028" i="6"/>
  <c r="R461" i="6"/>
  <c r="R1253" i="6"/>
  <c r="R1309" i="6"/>
  <c r="R2397" i="6"/>
  <c r="R2461" i="6"/>
  <c r="R3061" i="6"/>
  <c r="R3573" i="6"/>
  <c r="R3637" i="6"/>
  <c r="R3933" i="6"/>
  <c r="R374" i="6"/>
  <c r="R798" i="6"/>
  <c r="R1182" i="6"/>
  <c r="R1694" i="6"/>
  <c r="R1878" i="6"/>
  <c r="R1934" i="6"/>
  <c r="R2358" i="6"/>
  <c r="R3230" i="6"/>
  <c r="R3294" i="6"/>
  <c r="R3478" i="6"/>
  <c r="R3542" i="6"/>
  <c r="R3918" i="6"/>
  <c r="R3982" i="6"/>
  <c r="R4174" i="6"/>
  <c r="R471" i="6"/>
  <c r="R983" i="6"/>
  <c r="R1423" i="6"/>
  <c r="R2663" i="6"/>
  <c r="I19" i="11"/>
  <c r="K19" i="11" s="1"/>
  <c r="I499" i="11"/>
  <c r="K499" i="11" s="1"/>
  <c r="I334" i="11"/>
  <c r="K334" i="11" s="1"/>
  <c r="I358" i="11"/>
  <c r="K358" i="11" s="1"/>
  <c r="R63" i="6"/>
  <c r="R127" i="6"/>
  <c r="R161" i="6"/>
  <c r="R225" i="6"/>
  <c r="R35" i="6"/>
  <c r="R99" i="6"/>
  <c r="R253" i="6"/>
  <c r="R317" i="6"/>
  <c r="R344" i="6"/>
  <c r="R472" i="6"/>
  <c r="R1480" i="6"/>
  <c r="R1600" i="6"/>
  <c r="R1664" i="6"/>
  <c r="R1912" i="6"/>
  <c r="R1976" i="6"/>
  <c r="R2544" i="6"/>
  <c r="R2784" i="6"/>
  <c r="R2848" i="6"/>
  <c r="R2976" i="6"/>
  <c r="R3096" i="6"/>
  <c r="R3656" i="6"/>
  <c r="R3720" i="6"/>
  <c r="R4288" i="6"/>
  <c r="R1265" i="6"/>
  <c r="R1329" i="6"/>
  <c r="R1777" i="6"/>
  <c r="R1841" i="6"/>
  <c r="R1961" i="6"/>
  <c r="R2089" i="6"/>
  <c r="R2409" i="6"/>
  <c r="R2473" i="6"/>
  <c r="R3017" i="6"/>
  <c r="R3337" i="6"/>
  <c r="R3401" i="6"/>
  <c r="R3521" i="6"/>
  <c r="R4057" i="6"/>
  <c r="R4113" i="6"/>
  <c r="R4177" i="6"/>
  <c r="R4681" i="6"/>
  <c r="R4745" i="6"/>
  <c r="R1978" i="6"/>
  <c r="R2410" i="6"/>
  <c r="R2530" i="6"/>
  <c r="R2586" i="6"/>
  <c r="R3666" i="6"/>
  <c r="R3730" i="6"/>
  <c r="R4154" i="6"/>
  <c r="R4402" i="6"/>
  <c r="R4458" i="6"/>
  <c r="R4522" i="6"/>
  <c r="R4970" i="6"/>
  <c r="R323" i="6"/>
  <c r="R691" i="6"/>
  <c r="R755" i="6"/>
  <c r="R1067" i="6"/>
  <c r="R1123" i="6"/>
  <c r="R1571" i="6"/>
  <c r="R1635" i="6"/>
  <c r="R2083" i="6"/>
  <c r="R2203" i="6"/>
  <c r="R2595" i="6"/>
  <c r="R2779" i="6"/>
  <c r="R2843" i="6"/>
  <c r="R3627" i="6"/>
  <c r="R3691" i="6"/>
  <c r="R4347" i="6"/>
  <c r="R4531" i="6"/>
  <c r="R332" i="6"/>
  <c r="R1068" i="6"/>
  <c r="R1252" i="6"/>
  <c r="R1436" i="6"/>
  <c r="R2116" i="6"/>
  <c r="R2228" i="6"/>
  <c r="R2796" i="6"/>
  <c r="R3036" i="6"/>
  <c r="R3100" i="6"/>
  <c r="R3628" i="6"/>
  <c r="R3740" i="6"/>
  <c r="R3796" i="6"/>
  <c r="R3860" i="6"/>
  <c r="R4388" i="6"/>
  <c r="R4452" i="6"/>
  <c r="R725" i="6"/>
  <c r="R1021" i="6"/>
  <c r="R1261" i="6"/>
  <c r="R1317" i="6"/>
  <c r="R1909" i="6"/>
  <c r="R1973" i="6"/>
  <c r="R2277" i="6"/>
  <c r="R2341" i="6"/>
  <c r="R2877" i="6"/>
  <c r="R2941" i="6"/>
  <c r="R3821" i="6"/>
  <c r="R3877" i="6"/>
  <c r="R3941" i="6"/>
  <c r="R4565" i="6"/>
  <c r="R4629" i="6"/>
  <c r="R4693" i="6"/>
  <c r="R4757" i="6"/>
  <c r="R86" i="6"/>
  <c r="R934" i="6"/>
  <c r="R1446" i="6"/>
  <c r="R1510" i="6"/>
  <c r="R1942" i="6"/>
  <c r="R2062" i="6"/>
  <c r="R3054" i="6"/>
  <c r="R3110" i="6"/>
  <c r="R3174" i="6"/>
  <c r="R3990" i="6"/>
  <c r="R4054" i="6"/>
  <c r="R4430" i="6"/>
  <c r="R4550" i="6"/>
  <c r="R4614" i="6"/>
  <c r="R4742" i="6"/>
  <c r="R799" i="6"/>
  <c r="R1311" i="6"/>
  <c r="R1935" i="6"/>
  <c r="R1999" i="6"/>
  <c r="R2615" i="6"/>
  <c r="R2799" i="6"/>
  <c r="R2863" i="6"/>
  <c r="R2983" i="6"/>
  <c r="R3047" i="6"/>
  <c r="R3111" i="6"/>
  <c r="R3495" i="6"/>
  <c r="R3559" i="6"/>
  <c r="R4007" i="6"/>
  <c r="R4071" i="6"/>
  <c r="R4519" i="6"/>
  <c r="R4583" i="6"/>
  <c r="R4711" i="6"/>
  <c r="R4516" i="6"/>
  <c r="R4580" i="6"/>
  <c r="R4708" i="6"/>
  <c r="I395" i="11"/>
  <c r="K395" i="11" s="1"/>
  <c r="R41" i="6"/>
  <c r="R105" i="6"/>
  <c r="R242" i="6"/>
  <c r="R306" i="6"/>
  <c r="R107" i="6"/>
  <c r="R133" i="6"/>
  <c r="R261" i="6"/>
  <c r="R246" i="6"/>
  <c r="R310" i="6"/>
  <c r="R352" i="6"/>
  <c r="R416" i="6"/>
  <c r="R736" i="6"/>
  <c r="R920" i="6"/>
  <c r="R984" i="6"/>
  <c r="R1296" i="6"/>
  <c r="R2112" i="6"/>
  <c r="R2176" i="6"/>
  <c r="R2488" i="6"/>
  <c r="R2552" i="6"/>
  <c r="R2792" i="6"/>
  <c r="R2856" i="6"/>
  <c r="R3416" i="6"/>
  <c r="R3480" i="6"/>
  <c r="R3544" i="6"/>
  <c r="R3608" i="6"/>
  <c r="R3984" i="6"/>
  <c r="R4168" i="6"/>
  <c r="R4232" i="6"/>
  <c r="R4592" i="6"/>
  <c r="R4904" i="6"/>
  <c r="R4968" i="6"/>
  <c r="R337" i="6"/>
  <c r="R401" i="6"/>
  <c r="R457" i="6"/>
  <c r="R777" i="6"/>
  <c r="R833" i="6"/>
  <c r="R1081" i="6"/>
  <c r="R1593" i="6"/>
  <c r="R2417" i="6"/>
  <c r="R2905" i="6"/>
  <c r="R3025" i="6"/>
  <c r="R3529" i="6"/>
  <c r="R3705" i="6"/>
  <c r="R3889" i="6"/>
  <c r="R3953" i="6"/>
  <c r="R4009" i="6"/>
  <c r="R4625" i="6"/>
  <c r="R4689" i="6"/>
  <c r="R1138" i="6"/>
  <c r="R1322" i="6"/>
  <c r="R1386" i="6"/>
  <c r="R2050" i="6"/>
  <c r="R2114" i="6"/>
  <c r="R2242" i="6"/>
  <c r="R2594" i="6"/>
  <c r="R3138" i="6"/>
  <c r="R3250" i="6"/>
  <c r="R4466" i="6"/>
  <c r="R4914" i="6"/>
  <c r="R507" i="6"/>
  <c r="R819" i="6"/>
  <c r="R1131" i="6"/>
  <c r="R1243" i="6"/>
  <c r="R1347" i="6"/>
  <c r="R1579" i="6"/>
  <c r="R1643" i="6"/>
  <c r="R2091" i="6"/>
  <c r="R2147" i="6"/>
  <c r="R2371" i="6"/>
  <c r="R2603" i="6"/>
  <c r="R2659" i="6"/>
  <c r="R3107" i="6"/>
  <c r="R3171" i="6"/>
  <c r="R3355" i="6"/>
  <c r="R3459" i="6"/>
  <c r="R4059" i="6"/>
  <c r="R4123" i="6"/>
  <c r="R4795" i="6"/>
  <c r="R4859" i="6"/>
  <c r="R44" i="6"/>
  <c r="R212" i="6"/>
  <c r="R700" i="6"/>
  <c r="R884" i="6"/>
  <c r="R948" i="6"/>
  <c r="R1700" i="6"/>
  <c r="R2180" i="6"/>
  <c r="R2364" i="6"/>
  <c r="R2676" i="6"/>
  <c r="R2740" i="6"/>
  <c r="R3284" i="6"/>
  <c r="R3348" i="6"/>
  <c r="R3692" i="6"/>
  <c r="R3868" i="6"/>
  <c r="R3988" i="6"/>
  <c r="R4108" i="6"/>
  <c r="R669" i="6"/>
  <c r="R733" i="6"/>
  <c r="R1085" i="6"/>
  <c r="R2221" i="6"/>
  <c r="R2285" i="6"/>
  <c r="R2349" i="6"/>
  <c r="R3013" i="6"/>
  <c r="R3525" i="6"/>
  <c r="R4333" i="6"/>
  <c r="R4509" i="6"/>
  <c r="R4573" i="6"/>
  <c r="R4637" i="6"/>
  <c r="R390" i="6"/>
  <c r="R878" i="6"/>
  <c r="R1390" i="6"/>
  <c r="R2502" i="6"/>
  <c r="R2942" i="6"/>
  <c r="R3742" i="6"/>
  <c r="R3806" i="6"/>
  <c r="R3870" i="6"/>
  <c r="R4254" i="6"/>
  <c r="R4494" i="6"/>
  <c r="R423" i="6"/>
  <c r="R487" i="6"/>
  <c r="R935" i="6"/>
  <c r="R999" i="6"/>
  <c r="R1127" i="6"/>
  <c r="R2071" i="6"/>
  <c r="R2623" i="6"/>
  <c r="R2679" i="6"/>
  <c r="R3311" i="6"/>
  <c r="R3375" i="6"/>
  <c r="R3823" i="6"/>
  <c r="R3887" i="6"/>
  <c r="R3940" i="6"/>
  <c r="R3135" i="6"/>
  <c r="I245" i="11"/>
  <c r="K245" i="11" s="1"/>
  <c r="R4463" i="6"/>
  <c r="R4527" i="6"/>
  <c r="R4975" i="6"/>
  <c r="R4524" i="6"/>
  <c r="I324" i="11"/>
  <c r="K324" i="11" s="1"/>
  <c r="I82" i="11"/>
  <c r="K82" i="11" s="1"/>
  <c r="I276" i="11"/>
  <c r="K276" i="11" s="1"/>
  <c r="I61" i="11"/>
  <c r="K61" i="11" s="1"/>
  <c r="I137" i="11"/>
  <c r="K137" i="11" s="1"/>
  <c r="I224" i="11"/>
  <c r="K224" i="11" s="1"/>
  <c r="I84" i="11"/>
  <c r="K84" i="11" s="1"/>
  <c r="I136" i="11"/>
  <c r="K136" i="11" s="1"/>
  <c r="I194" i="11"/>
  <c r="K194" i="11" s="1"/>
  <c r="I284" i="11"/>
  <c r="K284" i="11" s="1"/>
  <c r="I359" i="11"/>
  <c r="K359" i="11" s="1"/>
  <c r="I412" i="11"/>
  <c r="K412" i="11" s="1"/>
  <c r="I40" i="11"/>
  <c r="K40" i="11" s="1"/>
  <c r="I71" i="11"/>
  <c r="K71" i="11" s="1"/>
  <c r="I279" i="11"/>
  <c r="K279" i="11" s="1"/>
  <c r="I391" i="11"/>
  <c r="K391" i="11" s="1"/>
  <c r="R3967" i="6"/>
  <c r="R4279" i="6"/>
  <c r="R4727" i="6"/>
  <c r="R4724" i="6"/>
  <c r="R4788" i="6"/>
  <c r="R4972" i="6"/>
  <c r="I496" i="11"/>
  <c r="K496" i="11" s="1"/>
  <c r="I51" i="11"/>
  <c r="K51" i="11" s="1"/>
  <c r="R4095" i="6"/>
  <c r="R4543" i="6"/>
  <c r="R4607" i="6"/>
  <c r="R4671" i="6"/>
  <c r="R4540" i="6"/>
  <c r="R4604" i="6"/>
  <c r="I406" i="11"/>
  <c r="K406" i="11" s="1"/>
  <c r="I425" i="11"/>
  <c r="K425" i="11" s="1"/>
  <c r="I321" i="11"/>
  <c r="K321" i="11" s="1"/>
  <c r="I88" i="11"/>
  <c r="K88" i="11" s="1"/>
  <c r="I377" i="11"/>
  <c r="K377" i="11" s="1"/>
  <c r="I148" i="11"/>
  <c r="K148" i="11" s="1"/>
  <c r="I210" i="11"/>
  <c r="K210" i="11" s="1"/>
  <c r="I309" i="11"/>
  <c r="K309" i="11" s="1"/>
  <c r="I373" i="11"/>
  <c r="K373" i="11" s="1"/>
  <c r="I83" i="11"/>
  <c r="K83" i="11" s="1"/>
  <c r="I244" i="11"/>
  <c r="K244" i="11" s="1"/>
  <c r="I302" i="11"/>
  <c r="K302" i="11" s="1"/>
  <c r="I354" i="11"/>
  <c r="K354" i="11" s="1"/>
  <c r="I104" i="11"/>
  <c r="K104" i="11" s="1"/>
  <c r="I192" i="11"/>
  <c r="K192" i="11" s="1"/>
  <c r="I305" i="11"/>
  <c r="K305" i="11" s="1"/>
  <c r="I117" i="11"/>
  <c r="K117" i="11" s="1"/>
  <c r="I164" i="11"/>
  <c r="K164" i="11" s="1"/>
  <c r="I223" i="11"/>
  <c r="K223" i="11" s="1"/>
  <c r="I313" i="11"/>
  <c r="K313" i="11" s="1"/>
  <c r="I48" i="11"/>
  <c r="K48" i="11" s="1"/>
  <c r="I434" i="11"/>
  <c r="K434" i="11" s="1"/>
  <c r="I386" i="11"/>
  <c r="K386" i="11" s="1"/>
  <c r="I463" i="11"/>
  <c r="K463" i="11" s="1"/>
  <c r="I122" i="11"/>
  <c r="K122" i="11" s="1"/>
  <c r="I257" i="11"/>
  <c r="K257" i="11" s="1"/>
  <c r="I93" i="11"/>
  <c r="K93" i="11" s="1"/>
  <c r="I221" i="11"/>
  <c r="K221" i="11" s="1"/>
  <c r="I49" i="11"/>
  <c r="K49" i="11" s="1"/>
  <c r="I197" i="11"/>
  <c r="K197" i="11" s="1"/>
  <c r="I361" i="11"/>
  <c r="K361" i="11" s="1"/>
  <c r="I384" i="11"/>
  <c r="K384" i="11" s="1"/>
  <c r="I489" i="11"/>
  <c r="K489" i="11" s="1"/>
  <c r="I77" i="11"/>
  <c r="K77" i="11" s="1"/>
  <c r="I206" i="11"/>
  <c r="K206" i="11" s="1"/>
  <c r="I31" i="11"/>
  <c r="K31" i="11" s="1"/>
  <c r="I101" i="11"/>
  <c r="K101" i="11" s="1"/>
  <c r="I184" i="11"/>
  <c r="K184" i="11" s="1"/>
  <c r="I216" i="11"/>
  <c r="K216" i="11" s="1"/>
  <c r="I269" i="11"/>
  <c r="K269" i="11" s="1"/>
  <c r="I308" i="11"/>
  <c r="K308" i="11" s="1"/>
  <c r="I165" i="11"/>
  <c r="K165" i="11" s="1"/>
  <c r="R3703" i="6"/>
  <c r="I435" i="11"/>
  <c r="K435" i="11" s="1"/>
  <c r="I15" i="11"/>
  <c r="K15" i="11" s="1"/>
  <c r="I173" i="11"/>
  <c r="K173" i="11" s="1"/>
  <c r="I351" i="11"/>
  <c r="K351" i="11" s="1"/>
  <c r="I141" i="11"/>
  <c r="K141" i="11" s="1"/>
  <c r="I202" i="11"/>
  <c r="K202" i="11" s="1"/>
  <c r="I407" i="11"/>
  <c r="K407" i="11" s="1"/>
  <c r="R3391" i="6"/>
  <c r="I439" i="11"/>
  <c r="K439" i="11" s="1"/>
  <c r="I471" i="11"/>
  <c r="K471" i="11" s="1"/>
  <c r="R3639" i="6"/>
  <c r="I388" i="11"/>
  <c r="K388" i="11" s="1"/>
  <c r="I294" i="11"/>
  <c r="K294" i="11" s="1"/>
  <c r="M32" i="18"/>
  <c r="I286" i="11"/>
  <c r="K286" i="11" s="1"/>
  <c r="I127" i="11"/>
  <c r="K127" i="11" s="1"/>
  <c r="I300" i="11"/>
  <c r="K300" i="11" s="1"/>
  <c r="I270" i="11"/>
  <c r="K270" i="11" s="1"/>
  <c r="I333" i="11"/>
  <c r="K333" i="11" s="1"/>
  <c r="I142" i="11"/>
  <c r="K142" i="11" s="1"/>
  <c r="I322" i="11"/>
  <c r="K322" i="11" s="1"/>
  <c r="I360" i="11"/>
  <c r="K360" i="11" s="1"/>
  <c r="I118" i="11"/>
  <c r="K118" i="11" s="1"/>
  <c r="I432" i="11"/>
  <c r="K432" i="11" s="1"/>
  <c r="I46" i="11"/>
  <c r="K46" i="11" s="1"/>
  <c r="I30" i="11"/>
  <c r="K30" i="11" s="1"/>
  <c r="I248" i="11"/>
  <c r="K248" i="11" s="1"/>
  <c r="I250" i="11"/>
  <c r="K250" i="11" s="1"/>
  <c r="I304" i="11"/>
  <c r="K304" i="11" s="1"/>
  <c r="I400" i="11"/>
  <c r="K400" i="11" s="1"/>
  <c r="I42" i="11"/>
  <c r="K42" i="11" s="1"/>
  <c r="I14" i="11"/>
  <c r="K14" i="11" s="1"/>
  <c r="M16" i="15"/>
  <c r="N16" i="15" s="1"/>
  <c r="M20" i="8"/>
  <c r="N20" i="8" s="1"/>
  <c r="I182" i="11"/>
  <c r="K182" i="11" s="1"/>
  <c r="I338" i="11"/>
  <c r="K338" i="11" s="1"/>
  <c r="I29" i="11"/>
  <c r="K29" i="11" s="1"/>
  <c r="I392" i="11"/>
  <c r="K392" i="11" s="1"/>
  <c r="I115" i="11"/>
  <c r="K115" i="11" s="1"/>
  <c r="I329" i="11"/>
  <c r="K329" i="11" s="1"/>
  <c r="I70" i="11"/>
  <c r="K70" i="11" s="1"/>
  <c r="I106" i="11"/>
  <c r="K106" i="11" s="1"/>
  <c r="I290" i="11"/>
  <c r="K290" i="11" s="1"/>
  <c r="I11" i="11"/>
  <c r="K11" i="11" s="1"/>
  <c r="I355" i="11"/>
  <c r="K355" i="11" s="1"/>
  <c r="I483" i="11"/>
  <c r="K483" i="11" s="1"/>
  <c r="I251" i="11"/>
  <c r="K251" i="11" s="1"/>
  <c r="I488" i="11"/>
  <c r="K488" i="11" s="1"/>
  <c r="I315" i="11"/>
  <c r="K315" i="11" s="1"/>
  <c r="I267" i="11"/>
  <c r="K267" i="11" s="1"/>
  <c r="I337" i="11"/>
  <c r="K337" i="11" s="1"/>
  <c r="I75" i="11"/>
  <c r="K75" i="11" s="1"/>
  <c r="I382" i="11"/>
  <c r="K382" i="11" s="1"/>
  <c r="I401" i="11"/>
  <c r="K401" i="11" s="1"/>
  <c r="I410" i="11"/>
  <c r="K410" i="11" s="1"/>
  <c r="I460" i="11"/>
  <c r="K460" i="11" s="1"/>
  <c r="I492" i="11"/>
  <c r="K492" i="11" s="1"/>
  <c r="I380" i="11"/>
  <c r="K380" i="11" s="1"/>
  <c r="I427" i="11"/>
  <c r="K427" i="11" s="1"/>
  <c r="I409" i="11"/>
  <c r="K409" i="11" s="1"/>
  <c r="I27" i="11"/>
  <c r="K27" i="11" s="1"/>
  <c r="I364" i="11"/>
  <c r="K364" i="11" s="1"/>
  <c r="I414" i="11"/>
  <c r="K414" i="11" s="1"/>
  <c r="I464" i="11"/>
  <c r="K464" i="11" s="1"/>
  <c r="I342" i="11"/>
  <c r="K342" i="11" s="1"/>
  <c r="I179" i="11"/>
  <c r="K179" i="11" s="1"/>
  <c r="I5" i="11"/>
  <c r="K5" i="11" s="1"/>
  <c r="I25" i="11"/>
  <c r="K25" i="11" s="1"/>
  <c r="I220" i="11"/>
  <c r="K220" i="11" s="1"/>
  <c r="I419" i="11"/>
  <c r="K419" i="11" s="1"/>
  <c r="I235" i="11"/>
  <c r="K235" i="11" s="1"/>
  <c r="I403" i="11"/>
  <c r="K403" i="11" s="1"/>
  <c r="I33" i="11"/>
  <c r="K33" i="11" s="1"/>
  <c r="I38" i="11"/>
  <c r="K38" i="11" s="1"/>
  <c r="I47" i="11"/>
  <c r="K47" i="11" s="1"/>
  <c r="I170" i="11"/>
  <c r="K170" i="11" s="1"/>
  <c r="I205" i="11"/>
  <c r="K205" i="11" s="1"/>
  <c r="I283" i="11"/>
  <c r="K283" i="11" s="1"/>
  <c r="I155" i="11"/>
  <c r="K155" i="11" s="1"/>
  <c r="I451" i="11"/>
  <c r="K451" i="11" s="1"/>
  <c r="I390" i="11"/>
  <c r="K390" i="11" s="1"/>
  <c r="I440" i="11"/>
  <c r="K440" i="11" s="1"/>
  <c r="I472" i="11"/>
  <c r="K472" i="11" s="1"/>
  <c r="I43" i="11"/>
  <c r="K43" i="11" s="1"/>
  <c r="I411" i="11"/>
  <c r="K411" i="11" s="1"/>
  <c r="I422" i="11"/>
  <c r="K422" i="11" s="1"/>
  <c r="I330" i="11"/>
  <c r="K330" i="11" s="1"/>
  <c r="I125" i="11"/>
  <c r="K125" i="11" s="1"/>
  <c r="I50" i="11"/>
  <c r="K50" i="11" s="1"/>
  <c r="I374" i="11"/>
  <c r="K374" i="11" s="1"/>
  <c r="I65" i="11"/>
  <c r="K65" i="11" s="1"/>
  <c r="I331" i="11"/>
  <c r="K331" i="11" s="1"/>
  <c r="I394" i="11"/>
  <c r="K394" i="11" s="1"/>
  <c r="I444" i="11"/>
  <c r="K444" i="11" s="1"/>
  <c r="I476" i="11"/>
  <c r="K476" i="11" s="1"/>
  <c r="I59" i="11"/>
  <c r="K59" i="11" s="1"/>
  <c r="I430" i="11"/>
  <c r="K430" i="11" s="1"/>
  <c r="I467" i="11"/>
  <c r="K467" i="11" s="1"/>
  <c r="I35" i="11"/>
  <c r="K35" i="11" s="1"/>
  <c r="I398" i="11"/>
  <c r="K398" i="11" s="1"/>
  <c r="I448" i="11"/>
  <c r="K448" i="11" s="1"/>
  <c r="I480" i="11"/>
  <c r="K480" i="11" s="1"/>
  <c r="I203" i="11"/>
  <c r="K203" i="11" s="1"/>
  <c r="I416" i="11"/>
  <c r="K416" i="11" s="1"/>
  <c r="I307" i="11"/>
  <c r="K307" i="11" s="1"/>
  <c r="I455" i="11"/>
  <c r="K455" i="11" s="1"/>
  <c r="I491" i="11"/>
  <c r="K491" i="11" s="1"/>
  <c r="I172" i="11"/>
  <c r="K172" i="11" s="1"/>
  <c r="I349" i="11"/>
  <c r="K349" i="11" s="1"/>
  <c r="I347" i="11"/>
  <c r="K347" i="11" s="1"/>
  <c r="I371" i="11"/>
  <c r="K371" i="11" s="1"/>
  <c r="I195" i="11"/>
  <c r="K195" i="11" s="1"/>
  <c r="I402" i="11"/>
  <c r="K402" i="11" s="1"/>
  <c r="I452" i="11"/>
  <c r="K452" i="11" s="1"/>
  <c r="I484" i="11"/>
  <c r="K484" i="11" s="1"/>
  <c r="I299" i="11"/>
  <c r="K299" i="11" s="1"/>
  <c r="I18" i="11"/>
  <c r="K18" i="11" s="1"/>
  <c r="I185" i="11"/>
  <c r="K185" i="11" s="1"/>
  <c r="I159" i="11"/>
  <c r="K159" i="11" s="1"/>
  <c r="I230" i="11"/>
  <c r="K230" i="11" s="1"/>
  <c r="I291" i="11"/>
  <c r="K291" i="11" s="1"/>
  <c r="I456" i="11"/>
  <c r="K456" i="11" s="1"/>
  <c r="I187" i="11"/>
  <c r="K187" i="11" s="1"/>
  <c r="I393" i="11"/>
  <c r="K393" i="11" s="1"/>
  <c r="I243" i="11"/>
  <c r="K243" i="11" s="1"/>
  <c r="I350" i="11"/>
  <c r="K350" i="11" s="1"/>
  <c r="I163" i="11"/>
  <c r="K163" i="11" s="1"/>
  <c r="I263" i="11"/>
  <c r="K263" i="11" s="1"/>
  <c r="I131" i="11"/>
  <c r="K131" i="11" s="1"/>
  <c r="I227" i="11"/>
  <c r="K227" i="11" s="1"/>
  <c r="I99" i="11"/>
  <c r="K99" i="11" s="1"/>
  <c r="I34" i="11"/>
  <c r="K34" i="11" s="1"/>
  <c r="I475" i="11"/>
  <c r="K475" i="11" s="1"/>
  <c r="I420" i="11"/>
  <c r="K420" i="11" s="1"/>
  <c r="I91" i="11"/>
  <c r="K91" i="11" s="1"/>
  <c r="I102" i="11"/>
  <c r="K102" i="11" s="1"/>
  <c r="I318" i="11"/>
  <c r="K318" i="11" s="1"/>
  <c r="I107" i="11"/>
  <c r="K107" i="11" s="1"/>
  <c r="I147" i="11"/>
  <c r="K147" i="11" s="1"/>
  <c r="I379" i="11"/>
  <c r="K379" i="11" s="1"/>
  <c r="I139" i="11"/>
  <c r="K139" i="11" s="1"/>
  <c r="I443" i="11"/>
  <c r="K443" i="11" s="1"/>
  <c r="I255" i="11"/>
  <c r="K255" i="11" s="1"/>
  <c r="I259" i="11"/>
  <c r="K259" i="11" s="1"/>
  <c r="I171" i="11"/>
  <c r="K171" i="11" s="1"/>
  <c r="I339" i="11"/>
  <c r="K339" i="11" s="1"/>
  <c r="I363" i="11"/>
  <c r="K363" i="11" s="1"/>
  <c r="I459" i="11"/>
  <c r="K459" i="11" s="1"/>
  <c r="I123" i="11"/>
  <c r="K123" i="11" s="1"/>
  <c r="I436" i="11"/>
  <c r="K436" i="11" s="1"/>
  <c r="I468" i="11"/>
  <c r="K468" i="11" s="1"/>
  <c r="I387" i="11"/>
  <c r="K387" i="11" s="1"/>
  <c r="I211" i="11"/>
  <c r="K211" i="11" s="1"/>
  <c r="I372" i="11"/>
  <c r="K372" i="11" s="1"/>
  <c r="I326" i="11"/>
  <c r="K326" i="11" s="1"/>
  <c r="I500" i="11"/>
  <c r="K500" i="11" s="1"/>
  <c r="G3" i="11"/>
  <c r="I3" i="11" s="1"/>
  <c r="K3" i="11" s="1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16" i="8"/>
  <c r="A37" i="16"/>
  <c r="A37" i="18"/>
  <c r="N2258" i="6" l="1"/>
  <c r="R2258" i="6" s="1"/>
  <c r="N4015" i="6"/>
  <c r="R4015" i="6" s="1"/>
  <c r="N3427" i="6"/>
  <c r="R3427" i="6" s="1"/>
  <c r="N4806" i="6"/>
  <c r="R4806" i="6" s="1"/>
  <c r="N1300" i="6"/>
  <c r="R1300" i="6" s="1"/>
  <c r="N4162" i="6"/>
  <c r="R4162" i="6" s="1"/>
  <c r="N3685" i="6"/>
  <c r="R3685" i="6" s="1"/>
  <c r="N2842" i="6"/>
  <c r="R2842" i="6" s="1"/>
  <c r="N3804" i="6"/>
  <c r="R3804" i="6" s="1"/>
  <c r="N2648" i="6"/>
  <c r="R2648" i="6" s="1"/>
  <c r="N404" i="6"/>
  <c r="R404" i="6" s="1"/>
  <c r="N3842" i="6"/>
  <c r="R3842" i="6" s="1"/>
  <c r="N2551" i="6"/>
  <c r="R2551" i="6" s="1"/>
  <c r="N3684" i="6"/>
  <c r="R3684" i="6" s="1"/>
  <c r="N4049" i="6"/>
  <c r="R4049" i="6" s="1"/>
  <c r="N3797" i="6"/>
  <c r="R3797" i="6" s="1"/>
  <c r="N4507" i="6"/>
  <c r="R4507" i="6" s="1"/>
  <c r="R4243" i="6"/>
  <c r="R3102" i="6"/>
  <c r="R3460" i="6"/>
  <c r="R4552" i="6"/>
  <c r="R4476" i="6"/>
  <c r="R3956" i="6"/>
  <c r="R3554" i="6"/>
  <c r="N3399" i="6"/>
  <c r="R3399" i="6" s="1"/>
  <c r="N4278" i="6"/>
  <c r="R4278" i="6" s="1"/>
  <c r="N3340" i="6"/>
  <c r="R3340" i="6" s="1"/>
  <c r="N1355" i="6"/>
  <c r="R1355" i="6" s="1"/>
  <c r="N4212" i="6"/>
  <c r="R4212" i="6" s="1"/>
  <c r="N3263" i="6"/>
  <c r="R3263" i="6" s="1"/>
  <c r="N3228" i="6"/>
  <c r="R3228" i="6" s="1"/>
  <c r="N3537" i="6"/>
  <c r="R3537" i="6" s="1"/>
  <c r="N3483" i="6"/>
  <c r="R3483" i="6" s="1"/>
  <c r="N4105" i="6"/>
  <c r="R4105" i="6" s="1"/>
  <c r="N929" i="6"/>
  <c r="R929" i="6" s="1"/>
  <c r="R3845" i="6"/>
  <c r="N182" i="6"/>
  <c r="R182" i="6" s="1"/>
  <c r="N3922" i="6"/>
  <c r="R3922" i="6" s="1"/>
  <c r="N3335" i="6"/>
  <c r="R3335" i="6" s="1"/>
  <c r="N1613" i="6"/>
  <c r="R1613" i="6" s="1"/>
  <c r="N2222" i="6"/>
  <c r="R2222" i="6" s="1"/>
  <c r="N3242" i="6"/>
  <c r="R3242" i="6" s="1"/>
  <c r="N4468" i="6"/>
  <c r="R4468" i="6" s="1"/>
  <c r="N3259" i="6"/>
  <c r="R3259" i="6" s="1"/>
  <c r="N3199" i="6"/>
  <c r="R3199" i="6" s="1"/>
  <c r="N4332" i="6"/>
  <c r="R4332" i="6" s="1"/>
  <c r="N2291" i="6"/>
  <c r="R2291" i="6" s="1"/>
  <c r="R1774" i="6"/>
  <c r="N4445" i="6"/>
  <c r="R4445" i="6" s="1"/>
  <c r="N1948" i="6"/>
  <c r="R1948" i="6" s="1"/>
  <c r="R1913" i="6"/>
  <c r="N2645" i="6"/>
  <c r="R2645" i="6" s="1"/>
  <c r="N3419" i="6"/>
  <c r="R3419" i="6" s="1"/>
  <c r="N3977" i="6"/>
  <c r="R3977" i="6" s="1"/>
  <c r="N417" i="6"/>
  <c r="R417" i="6" s="1"/>
  <c r="N54" i="6"/>
  <c r="R54" i="6" s="1"/>
  <c r="S5005" i="6" s="1"/>
  <c r="R2611" i="6"/>
  <c r="N3282" i="6"/>
  <c r="R3282" i="6" s="1"/>
  <c r="N3271" i="6"/>
  <c r="R3271" i="6" s="1"/>
  <c r="N1293" i="6"/>
  <c r="R1293" i="6" s="1"/>
  <c r="N2497" i="6"/>
  <c r="R2497" i="6" s="1"/>
  <c r="N773" i="6"/>
  <c r="R773" i="6" s="1"/>
  <c r="N60" i="6"/>
  <c r="R60" i="6" s="1"/>
  <c r="N2427" i="6"/>
  <c r="R2427" i="6" s="1"/>
  <c r="N1083" i="6"/>
  <c r="R1083" i="6" s="1"/>
  <c r="N1709" i="6"/>
  <c r="R1709" i="6" s="1"/>
  <c r="N3500" i="6"/>
  <c r="R3500" i="6" s="1"/>
  <c r="N1307" i="6"/>
  <c r="R1307" i="6" s="1"/>
  <c r="N2141" i="6"/>
  <c r="R2141" i="6" s="1"/>
  <c r="N3338" i="6"/>
  <c r="R3338" i="6" s="1"/>
  <c r="N4128" i="6"/>
  <c r="R4128" i="6" s="1"/>
  <c r="N2517" i="6"/>
  <c r="R2517" i="6" s="1"/>
  <c r="N2523" i="6"/>
  <c r="R2523" i="6" s="1"/>
  <c r="N3593" i="6"/>
  <c r="R3593" i="6" s="1"/>
  <c r="R3558" i="6"/>
  <c r="R3080" i="6"/>
  <c r="R3647" i="6"/>
  <c r="N4438" i="6"/>
  <c r="R4438" i="6" s="1"/>
  <c r="N3218" i="6"/>
  <c r="R3218" i="6" s="1"/>
  <c r="N4932" i="6"/>
  <c r="R4932" i="6" s="1"/>
  <c r="N3207" i="6"/>
  <c r="R3207" i="6" s="1"/>
  <c r="N4051" i="6"/>
  <c r="R4051" i="6" s="1"/>
  <c r="N3280" i="6"/>
  <c r="R3280" i="6" s="1"/>
  <c r="N1349" i="6"/>
  <c r="R1349" i="6" s="1"/>
  <c r="N2546" i="6"/>
  <c r="R2546" i="6" s="1"/>
  <c r="N3471" i="6"/>
  <c r="R3471" i="6" s="1"/>
  <c r="N2639" i="6"/>
  <c r="R2639" i="6" s="1"/>
  <c r="N4284" i="6"/>
  <c r="R4284" i="6" s="1"/>
  <c r="N2107" i="6"/>
  <c r="R2107" i="6" s="1"/>
  <c r="R2742" i="6"/>
  <c r="N1885" i="6"/>
  <c r="R1885" i="6" s="1"/>
  <c r="N860" i="6"/>
  <c r="R860" i="6" s="1"/>
  <c r="N3082" i="6"/>
  <c r="R3082" i="6" s="1"/>
  <c r="N3616" i="6"/>
  <c r="R3616" i="6" s="1"/>
  <c r="N4308" i="6"/>
  <c r="R4308" i="6" s="1"/>
  <c r="N3465" i="6"/>
  <c r="R3465" i="6" s="1"/>
  <c r="R781" i="6"/>
  <c r="R4410" i="6"/>
  <c r="R3719" i="6"/>
  <c r="R3015" i="6"/>
  <c r="R3004" i="6"/>
  <c r="R2485" i="6"/>
  <c r="N4825" i="6"/>
  <c r="R4825" i="6" s="1"/>
  <c r="N3143" i="6"/>
  <c r="R3143" i="6" s="1"/>
  <c r="N4941" i="6"/>
  <c r="R4941" i="6" s="1"/>
  <c r="N1029" i="6"/>
  <c r="R1029" i="6" s="1"/>
  <c r="N644" i="6"/>
  <c r="R644" i="6" s="1"/>
  <c r="N4857" i="6"/>
  <c r="R4857" i="6" s="1"/>
  <c r="N3407" i="6"/>
  <c r="R3407" i="6" s="1"/>
  <c r="N2319" i="6"/>
  <c r="R2319" i="6" s="1"/>
  <c r="N4413" i="6"/>
  <c r="R4413" i="6" s="1"/>
  <c r="N1725" i="6"/>
  <c r="R1725" i="6" s="1"/>
  <c r="N4163" i="6"/>
  <c r="R4163" i="6" s="1"/>
  <c r="N4465" i="6"/>
  <c r="R4465" i="6" s="1"/>
  <c r="N817" i="6"/>
  <c r="R817" i="6" s="1"/>
  <c r="N3508" i="6"/>
  <c r="R3508" i="6" s="1"/>
  <c r="N2164" i="6"/>
  <c r="R2164" i="6" s="1"/>
  <c r="N3881" i="6"/>
  <c r="R3881" i="6" s="1"/>
  <c r="N4031" i="6"/>
  <c r="R4031" i="6" s="1"/>
  <c r="N1139" i="6"/>
  <c r="R1139" i="6" s="1"/>
  <c r="N2890" i="6"/>
  <c r="R2890" i="6" s="1"/>
  <c r="N3732" i="6"/>
  <c r="R3732" i="6" s="1"/>
  <c r="R3404" i="6"/>
  <c r="R3130" i="6"/>
  <c r="R2951" i="6"/>
  <c r="R3327" i="6"/>
  <c r="R1980" i="6"/>
  <c r="N2969" i="6"/>
  <c r="R2969" i="6" s="1"/>
  <c r="N3527" i="6"/>
  <c r="R3527" i="6" s="1"/>
  <c r="N3079" i="6"/>
  <c r="R3079" i="6" s="1"/>
  <c r="N2439" i="6"/>
  <c r="R2439" i="6" s="1"/>
  <c r="N965" i="6"/>
  <c r="R965" i="6" s="1"/>
  <c r="N3780" i="6"/>
  <c r="R3780" i="6" s="1"/>
  <c r="N1981" i="6"/>
  <c r="R1981" i="6" s="1"/>
  <c r="N1661" i="6"/>
  <c r="R1661" i="6" s="1"/>
  <c r="N4931" i="6"/>
  <c r="R4931" i="6" s="1"/>
  <c r="N3843" i="6"/>
  <c r="R3843" i="6" s="1"/>
  <c r="N3046" i="6"/>
  <c r="R3046" i="6" s="1"/>
  <c r="N4019" i="6"/>
  <c r="R4019" i="6" s="1"/>
  <c r="M32" i="15"/>
  <c r="L32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16" i="8"/>
  <c r="A37" i="15"/>
  <c r="A38" i="8"/>
  <c r="S5003" i="6" l="1"/>
  <c r="S5004" i="6"/>
  <c r="S3749" i="6"/>
  <c r="S4224" i="6"/>
  <c r="S3309" i="6"/>
  <c r="S4401" i="6"/>
  <c r="S4955" i="6"/>
  <c r="S4994" i="6"/>
  <c r="S4987" i="6"/>
  <c r="S4075" i="6"/>
  <c r="S4921" i="6"/>
  <c r="S5001" i="6"/>
  <c r="S3629" i="6"/>
  <c r="S4864" i="6"/>
  <c r="S4672" i="6"/>
  <c r="S4480" i="6"/>
  <c r="S4156" i="6"/>
  <c r="S4083" i="6"/>
  <c r="S4010" i="6"/>
  <c r="S3931" i="6"/>
  <c r="S2979" i="6"/>
  <c r="S4831" i="6"/>
  <c r="S4767" i="6"/>
  <c r="S4703" i="6"/>
  <c r="S4639" i="6"/>
  <c r="S4575" i="6"/>
  <c r="S4511" i="6"/>
  <c r="S4447" i="6"/>
  <c r="S4375" i="6"/>
  <c r="S4279" i="6"/>
  <c r="S4199" i="6"/>
  <c r="S4109" i="6"/>
  <c r="S3990" i="6"/>
  <c r="S3613" i="6"/>
  <c r="S4726" i="6"/>
  <c r="S4286" i="6"/>
  <c r="S4822" i="6"/>
  <c r="S4493" i="6"/>
  <c r="S3948" i="6"/>
  <c r="S4849" i="6"/>
  <c r="S4337" i="6"/>
  <c r="S4913" i="6"/>
  <c r="S4329" i="6"/>
  <c r="S4964" i="6"/>
  <c r="S4193" i="6"/>
  <c r="S4945" i="6"/>
  <c r="S4972" i="6"/>
  <c r="S4761" i="6"/>
  <c r="S4249" i="6"/>
  <c r="S4892" i="6"/>
  <c r="S4817" i="6"/>
  <c r="S4241" i="6"/>
  <c r="S4932" i="6"/>
  <c r="S4983" i="6"/>
  <c r="S5002" i="6"/>
  <c r="S4900" i="6"/>
  <c r="S4425" i="6"/>
  <c r="S4857" i="6"/>
  <c r="S4990" i="6"/>
  <c r="S4865" i="6"/>
  <c r="S4353" i="6"/>
  <c r="S3984" i="6"/>
  <c r="S3898" i="6"/>
  <c r="S3565" i="6"/>
  <c r="S4984" i="6"/>
  <c r="S4920" i="6"/>
  <c r="S4856" i="6"/>
  <c r="S4792" i="6"/>
  <c r="S4728" i="6"/>
  <c r="S4664" i="6"/>
  <c r="S4600" i="6"/>
  <c r="S4536" i="6"/>
  <c r="S4472" i="6"/>
  <c r="S4408" i="6"/>
  <c r="S4344" i="6"/>
  <c r="S4280" i="6"/>
  <c r="S4216" i="6"/>
  <c r="S4147" i="6"/>
  <c r="S4074" i="6"/>
  <c r="S4001" i="6"/>
  <c r="S3920" i="6"/>
  <c r="S3685" i="6"/>
  <c r="S4887" i="6"/>
  <c r="S4823" i="6"/>
  <c r="S4759" i="6"/>
  <c r="S4695" i="6"/>
  <c r="S4631" i="6"/>
  <c r="S4567" i="6"/>
  <c r="S4503" i="6"/>
  <c r="S4439" i="6"/>
  <c r="S4351" i="6"/>
  <c r="S4271" i="6"/>
  <c r="S4191" i="6"/>
  <c r="S4082" i="6"/>
  <c r="S3981" i="6"/>
  <c r="S2915" i="6"/>
  <c r="S4670" i="6"/>
  <c r="S4222" i="6"/>
  <c r="S4941" i="6"/>
  <c r="S4429" i="6"/>
  <c r="S3848" i="6"/>
  <c r="S4966" i="6"/>
  <c r="S4393" i="6"/>
  <c r="S4998" i="6"/>
  <c r="S4313" i="6"/>
  <c r="S4305" i="6"/>
  <c r="S4753" i="6"/>
  <c r="S4999" i="6"/>
  <c r="S4417" i="6"/>
  <c r="S3909" i="6"/>
  <c r="S4928" i="6"/>
  <c r="S4736" i="6"/>
  <c r="S4544" i="6"/>
  <c r="S4352" i="6"/>
  <c r="S4288" i="6"/>
  <c r="S4785" i="6"/>
  <c r="S4273" i="6"/>
  <c r="S4889" i="6"/>
  <c r="S4265" i="6"/>
  <c r="S4963" i="6"/>
  <c r="S4121" i="6"/>
  <c r="S4996" i="6"/>
  <c r="S4962" i="6"/>
  <c r="S4697" i="6"/>
  <c r="S4185" i="6"/>
  <c r="S4911" i="6"/>
  <c r="S4689" i="6"/>
  <c r="S4176" i="6"/>
  <c r="S4975" i="6"/>
  <c r="S4982" i="6"/>
  <c r="S4991" i="6"/>
  <c r="S4873" i="6"/>
  <c r="S4361" i="6"/>
  <c r="S4217" i="6"/>
  <c r="S4979" i="6"/>
  <c r="S4801" i="6"/>
  <c r="S4289" i="6"/>
  <c r="S3974" i="6"/>
  <c r="S3884" i="6"/>
  <c r="S3501" i="6"/>
  <c r="S4976" i="6"/>
  <c r="S4912" i="6"/>
  <c r="S4848" i="6"/>
  <c r="S4784" i="6"/>
  <c r="S4720" i="6"/>
  <c r="S4656" i="6"/>
  <c r="S4592" i="6"/>
  <c r="S4528" i="6"/>
  <c r="S4464" i="6"/>
  <c r="S4400" i="6"/>
  <c r="S4336" i="6"/>
  <c r="S4272" i="6"/>
  <c r="S4208" i="6"/>
  <c r="S4138" i="6"/>
  <c r="S4065" i="6"/>
  <c r="S3992" i="6"/>
  <c r="S3908" i="6"/>
  <c r="S3621" i="6"/>
  <c r="S4879" i="6"/>
  <c r="S4815" i="6"/>
  <c r="S4751" i="6"/>
  <c r="S4687" i="6"/>
  <c r="S4623" i="6"/>
  <c r="S4559" i="6"/>
  <c r="S4495" i="6"/>
  <c r="S4431" i="6"/>
  <c r="S4343" i="6"/>
  <c r="S4263" i="6"/>
  <c r="S4182" i="6"/>
  <c r="S4073" i="6"/>
  <c r="S3972" i="6"/>
  <c r="S4918" i="6"/>
  <c r="S4662" i="6"/>
  <c r="S4154" i="6"/>
  <c r="S4877" i="6"/>
  <c r="S4365" i="6"/>
  <c r="S4148" i="6"/>
  <c r="S4257" i="6"/>
  <c r="S4825" i="6"/>
  <c r="S4924" i="6"/>
  <c r="S4577" i="6"/>
  <c r="S4489" i="6"/>
  <c r="S4897" i="6"/>
  <c r="S3993" i="6"/>
  <c r="S4992" i="6"/>
  <c r="S4800" i="6"/>
  <c r="S4608" i="6"/>
  <c r="S4416" i="6"/>
  <c r="S3" i="6"/>
  <c r="S67" i="6"/>
  <c r="S131" i="6"/>
  <c r="S195" i="6"/>
  <c r="S259" i="6"/>
  <c r="S323" i="6"/>
  <c r="S387" i="6"/>
  <c r="S451" i="6"/>
  <c r="S515" i="6"/>
  <c r="S44" i="6"/>
  <c r="S108" i="6"/>
  <c r="S172" i="6"/>
  <c r="S236" i="6"/>
  <c r="S300" i="6"/>
  <c r="S364" i="6"/>
  <c r="S428" i="6"/>
  <c r="S492" i="6"/>
  <c r="S556" i="6"/>
  <c r="S53" i="6"/>
  <c r="S117" i="6"/>
  <c r="S181" i="6"/>
  <c r="S245" i="6"/>
  <c r="S309" i="6"/>
  <c r="S373" i="6"/>
  <c r="S437" i="6"/>
  <c r="S501" i="6"/>
  <c r="S38" i="6"/>
  <c r="S102" i="6"/>
  <c r="S166" i="6"/>
  <c r="S230" i="6"/>
  <c r="S294" i="6"/>
  <c r="S358" i="6"/>
  <c r="S422" i="6"/>
  <c r="S486" i="6"/>
  <c r="S550" i="6"/>
  <c r="S614" i="6"/>
  <c r="S39" i="6"/>
  <c r="S103" i="6"/>
  <c r="S167" i="6"/>
  <c r="S231" i="6"/>
  <c r="S295" i="6"/>
  <c r="S359" i="6"/>
  <c r="S423" i="6"/>
  <c r="S16" i="6"/>
  <c r="S80" i="6"/>
  <c r="S144" i="6"/>
  <c r="S208" i="6"/>
  <c r="S272" i="6"/>
  <c r="S336" i="6"/>
  <c r="S400" i="6"/>
  <c r="S464" i="6"/>
  <c r="S528" i="6"/>
  <c r="S49" i="6"/>
  <c r="S113" i="6"/>
  <c r="S177" i="6"/>
  <c r="S241" i="6"/>
  <c r="S305" i="6"/>
  <c r="S369" i="6"/>
  <c r="S433" i="6"/>
  <c r="S497" i="6"/>
  <c r="S561" i="6"/>
  <c r="S625" i="6"/>
  <c r="S10" i="6"/>
  <c r="S498" i="6"/>
  <c r="S615" i="6"/>
  <c r="S691" i="6"/>
  <c r="S755" i="6"/>
  <c r="S819" i="6"/>
  <c r="S883" i="6"/>
  <c r="S947" i="6"/>
  <c r="S1011" i="6"/>
  <c r="S1075" i="6"/>
  <c r="S1139" i="6"/>
  <c r="S218" i="6"/>
  <c r="S563" i="6"/>
  <c r="S648" i="6"/>
  <c r="S717" i="6"/>
  <c r="S781" i="6"/>
  <c r="S845" i="6"/>
  <c r="S909" i="6"/>
  <c r="S973" i="6"/>
  <c r="S1037" i="6"/>
  <c r="S226" i="6"/>
  <c r="S565" i="6"/>
  <c r="S650" i="6"/>
  <c r="S718" i="6"/>
  <c r="S782" i="6"/>
  <c r="S11" i="6"/>
  <c r="S75" i="6"/>
  <c r="S139" i="6"/>
  <c r="S203" i="6"/>
  <c r="S267" i="6"/>
  <c r="S331" i="6"/>
  <c r="S395" i="6"/>
  <c r="S459" i="6"/>
  <c r="S523" i="6"/>
  <c r="S52" i="6"/>
  <c r="S116" i="6"/>
  <c r="S180" i="6"/>
  <c r="S244" i="6"/>
  <c r="S308" i="6"/>
  <c r="S372" i="6"/>
  <c r="S436" i="6"/>
  <c r="S500" i="6"/>
  <c r="S564" i="6"/>
  <c r="S61" i="6"/>
  <c r="S125" i="6"/>
  <c r="S189" i="6"/>
  <c r="S253" i="6"/>
  <c r="S317" i="6"/>
  <c r="S381" i="6"/>
  <c r="S445" i="6"/>
  <c r="S509" i="6"/>
  <c r="S46" i="6"/>
  <c r="S110" i="6"/>
  <c r="S174" i="6"/>
  <c r="S238" i="6"/>
  <c r="S302" i="6"/>
  <c r="S366" i="6"/>
  <c r="S430" i="6"/>
  <c r="S494" i="6"/>
  <c r="S558" i="6"/>
  <c r="S622" i="6"/>
  <c r="S47" i="6"/>
  <c r="S111" i="6"/>
  <c r="S175" i="6"/>
  <c r="S239" i="6"/>
  <c r="S303" i="6"/>
  <c r="S367" i="6"/>
  <c r="S431" i="6"/>
  <c r="S24" i="6"/>
  <c r="S88" i="6"/>
  <c r="S152" i="6"/>
  <c r="S216" i="6"/>
  <c r="S280" i="6"/>
  <c r="S344" i="6"/>
  <c r="S408" i="6"/>
  <c r="S472" i="6"/>
  <c r="S536" i="6"/>
  <c r="S57" i="6"/>
  <c r="S121" i="6"/>
  <c r="S185" i="6"/>
  <c r="S249" i="6"/>
  <c r="S313" i="6"/>
  <c r="S377" i="6"/>
  <c r="S441" i="6"/>
  <c r="S505" i="6"/>
  <c r="S569" i="6"/>
  <c r="S633" i="6"/>
  <c r="S74" i="6"/>
  <c r="S530" i="6"/>
  <c r="S626" i="6"/>
  <c r="S699" i="6"/>
  <c r="S763" i="6"/>
  <c r="S827" i="6"/>
  <c r="S891" i="6"/>
  <c r="S955" i="6"/>
  <c r="S1019" i="6"/>
  <c r="S1083" i="6"/>
  <c r="S1147" i="6"/>
  <c r="S282" i="6"/>
  <c r="S575" i="6"/>
  <c r="S658" i="6"/>
  <c r="S725" i="6"/>
  <c r="S789" i="6"/>
  <c r="S853" i="6"/>
  <c r="S917" i="6"/>
  <c r="S981" i="6"/>
  <c r="S1045" i="6"/>
  <c r="S290" i="6"/>
  <c r="S576" i="6"/>
  <c r="S659" i="6"/>
  <c r="S726" i="6"/>
  <c r="S19" i="6"/>
  <c r="S83" i="6"/>
  <c r="S147" i="6"/>
  <c r="S211" i="6"/>
  <c r="S275" i="6"/>
  <c r="S339" i="6"/>
  <c r="S403" i="6"/>
  <c r="S467" i="6"/>
  <c r="S531" i="6"/>
  <c r="S60" i="6"/>
  <c r="S124" i="6"/>
  <c r="S188" i="6"/>
  <c r="S252" i="6"/>
  <c r="S316" i="6"/>
  <c r="S380" i="6"/>
  <c r="S444" i="6"/>
  <c r="S508" i="6"/>
  <c r="S5" i="6"/>
  <c r="S69" i="6"/>
  <c r="S133" i="6"/>
  <c r="S197" i="6"/>
  <c r="S261" i="6"/>
  <c r="S325" i="6"/>
  <c r="S389" i="6"/>
  <c r="S453" i="6"/>
  <c r="S517" i="6"/>
  <c r="S54" i="6"/>
  <c r="S118" i="6"/>
  <c r="S182" i="6"/>
  <c r="S246" i="6"/>
  <c r="S310" i="6"/>
  <c r="S374" i="6"/>
  <c r="S438" i="6"/>
  <c r="S502" i="6"/>
  <c r="S566" i="6"/>
  <c r="S630" i="6"/>
  <c r="S55" i="6"/>
  <c r="S119" i="6"/>
  <c r="S183" i="6"/>
  <c r="S247" i="6"/>
  <c r="S311" i="6"/>
  <c r="S375" i="6"/>
  <c r="S439" i="6"/>
  <c r="S32" i="6"/>
  <c r="S96" i="6"/>
  <c r="S160" i="6"/>
  <c r="S224" i="6"/>
  <c r="S288" i="6"/>
  <c r="S352" i="6"/>
  <c r="S416" i="6"/>
  <c r="S480" i="6"/>
  <c r="S544" i="6"/>
  <c r="S65" i="6"/>
  <c r="S129" i="6"/>
  <c r="S193" i="6"/>
  <c r="S257" i="6"/>
  <c r="S321" i="6"/>
  <c r="S385" i="6"/>
  <c r="S449" i="6"/>
  <c r="S513" i="6"/>
  <c r="S577" i="6"/>
  <c r="S641" i="6"/>
  <c r="S138" i="6"/>
  <c r="S547" i="6"/>
  <c r="S636" i="6"/>
  <c r="S707" i="6"/>
  <c r="S771" i="6"/>
  <c r="S835" i="6"/>
  <c r="S899" i="6"/>
  <c r="S963" i="6"/>
  <c r="S1027" i="6"/>
  <c r="S1091" i="6"/>
  <c r="S1155" i="6"/>
  <c r="S346" i="6"/>
  <c r="S586" i="6"/>
  <c r="S667" i="6"/>
  <c r="S733" i="6"/>
  <c r="S797" i="6"/>
  <c r="S861" i="6"/>
  <c r="S925" i="6"/>
  <c r="S989" i="6"/>
  <c r="S27" i="6"/>
  <c r="S91" i="6"/>
  <c r="S155" i="6"/>
  <c r="S219" i="6"/>
  <c r="S283" i="6"/>
  <c r="S347" i="6"/>
  <c r="S411" i="6"/>
  <c r="S475" i="6"/>
  <c r="S4" i="6"/>
  <c r="S68" i="6"/>
  <c r="S132" i="6"/>
  <c r="S196" i="6"/>
  <c r="S260" i="6"/>
  <c r="S324" i="6"/>
  <c r="S388" i="6"/>
  <c r="S452" i="6"/>
  <c r="S516" i="6"/>
  <c r="S13" i="6"/>
  <c r="S77" i="6"/>
  <c r="S141" i="6"/>
  <c r="S205" i="6"/>
  <c r="S269" i="6"/>
  <c r="S333" i="6"/>
  <c r="S397" i="6"/>
  <c r="S461" i="6"/>
  <c r="S525" i="6"/>
  <c r="S62" i="6"/>
  <c r="S126" i="6"/>
  <c r="S190" i="6"/>
  <c r="S254" i="6"/>
  <c r="S318" i="6"/>
  <c r="S382" i="6"/>
  <c r="S446" i="6"/>
  <c r="S510" i="6"/>
  <c r="S574" i="6"/>
  <c r="S638" i="6"/>
  <c r="S63" i="6"/>
  <c r="S127" i="6"/>
  <c r="S191" i="6"/>
  <c r="S255" i="6"/>
  <c r="S319" i="6"/>
  <c r="S383" i="6"/>
  <c r="S447" i="6"/>
  <c r="S40" i="6"/>
  <c r="S104" i="6"/>
  <c r="S168" i="6"/>
  <c r="S232" i="6"/>
  <c r="S296" i="6"/>
  <c r="S360" i="6"/>
  <c r="S424" i="6"/>
  <c r="S488" i="6"/>
  <c r="S9" i="6"/>
  <c r="S73" i="6"/>
  <c r="S137" i="6"/>
  <c r="S201" i="6"/>
  <c r="S265" i="6"/>
  <c r="S329" i="6"/>
  <c r="S393" i="6"/>
  <c r="S457" i="6"/>
  <c r="S521" i="6"/>
  <c r="S585" i="6"/>
  <c r="S649" i="6"/>
  <c r="S202" i="6"/>
  <c r="S560" i="6"/>
  <c r="S646" i="6"/>
  <c r="S715" i="6"/>
  <c r="S779" i="6"/>
  <c r="S843" i="6"/>
  <c r="S907" i="6"/>
  <c r="S971" i="6"/>
  <c r="S1035" i="6"/>
  <c r="S1099" i="6"/>
  <c r="S1163" i="6"/>
  <c r="S410" i="6"/>
  <c r="S596" i="6"/>
  <c r="S676" i="6"/>
  <c r="S741" i="6"/>
  <c r="S805" i="6"/>
  <c r="S869" i="6"/>
  <c r="S933" i="6"/>
  <c r="S35" i="6"/>
  <c r="S99" i="6"/>
  <c r="S163" i="6"/>
  <c r="S227" i="6"/>
  <c r="S291" i="6"/>
  <c r="S355" i="6"/>
  <c r="S419" i="6"/>
  <c r="S483" i="6"/>
  <c r="S12" i="6"/>
  <c r="S76" i="6"/>
  <c r="S140" i="6"/>
  <c r="S204" i="6"/>
  <c r="S268" i="6"/>
  <c r="S332" i="6"/>
  <c r="S396" i="6"/>
  <c r="S460" i="6"/>
  <c r="S524" i="6"/>
  <c r="S21" i="6"/>
  <c r="S85" i="6"/>
  <c r="S149" i="6"/>
  <c r="S213" i="6"/>
  <c r="S277" i="6"/>
  <c r="S341" i="6"/>
  <c r="S405" i="6"/>
  <c r="S469" i="6"/>
  <c r="S6" i="6"/>
  <c r="S70" i="6"/>
  <c r="S134" i="6"/>
  <c r="S198" i="6"/>
  <c r="S262" i="6"/>
  <c r="S326" i="6"/>
  <c r="S390" i="6"/>
  <c r="S454" i="6"/>
  <c r="S518" i="6"/>
  <c r="S582" i="6"/>
  <c r="S7" i="6"/>
  <c r="S71" i="6"/>
  <c r="S135" i="6"/>
  <c r="S199" i="6"/>
  <c r="S263" i="6"/>
  <c r="S327" i="6"/>
  <c r="S391" i="6"/>
  <c r="S455" i="6"/>
  <c r="S48" i="6"/>
  <c r="S112" i="6"/>
  <c r="S176" i="6"/>
  <c r="S240" i="6"/>
  <c r="S304" i="6"/>
  <c r="S368" i="6"/>
  <c r="S432" i="6"/>
  <c r="S496" i="6"/>
  <c r="S17" i="6"/>
  <c r="S81" i="6"/>
  <c r="S145" i="6"/>
  <c r="S209" i="6"/>
  <c r="S273" i="6"/>
  <c r="S337" i="6"/>
  <c r="S401" i="6"/>
  <c r="S465" i="6"/>
  <c r="S529" i="6"/>
  <c r="S593" i="6"/>
  <c r="S657" i="6"/>
  <c r="S266" i="6"/>
  <c r="S572" i="6"/>
  <c r="S655" i="6"/>
  <c r="S723" i="6"/>
  <c r="S787" i="6"/>
  <c r="S851" i="6"/>
  <c r="S915" i="6"/>
  <c r="S979" i="6"/>
  <c r="S1043" i="6"/>
  <c r="S1107" i="6"/>
  <c r="S1171" i="6"/>
  <c r="S474" i="6"/>
  <c r="S607" i="6"/>
  <c r="S685" i="6"/>
  <c r="S749" i="6"/>
  <c r="S813" i="6"/>
  <c r="S877" i="6"/>
  <c r="S941" i="6"/>
  <c r="S1005" i="6"/>
  <c r="S1069" i="6"/>
  <c r="S479" i="6"/>
  <c r="S608" i="6"/>
  <c r="S686" i="6"/>
  <c r="S43" i="6"/>
  <c r="S107" i="6"/>
  <c r="S171" i="6"/>
  <c r="S235" i="6"/>
  <c r="S299" i="6"/>
  <c r="S363" i="6"/>
  <c r="S427" i="6"/>
  <c r="S491" i="6"/>
  <c r="S20" i="6"/>
  <c r="S84" i="6"/>
  <c r="S148" i="6"/>
  <c r="S212" i="6"/>
  <c r="S276" i="6"/>
  <c r="S340" i="6"/>
  <c r="S404" i="6"/>
  <c r="S468" i="6"/>
  <c r="S532" i="6"/>
  <c r="S29" i="6"/>
  <c r="S93" i="6"/>
  <c r="S157" i="6"/>
  <c r="S221" i="6"/>
  <c r="S285" i="6"/>
  <c r="S349" i="6"/>
  <c r="S413" i="6"/>
  <c r="S477" i="6"/>
  <c r="S14" i="6"/>
  <c r="S78" i="6"/>
  <c r="S142" i="6"/>
  <c r="S206" i="6"/>
  <c r="S270" i="6"/>
  <c r="S334" i="6"/>
  <c r="S398" i="6"/>
  <c r="S462" i="6"/>
  <c r="S526" i="6"/>
  <c r="S590" i="6"/>
  <c r="S15" i="6"/>
  <c r="S79" i="6"/>
  <c r="S143" i="6"/>
  <c r="S207" i="6"/>
  <c r="S271" i="6"/>
  <c r="S335" i="6"/>
  <c r="S399" i="6"/>
  <c r="S463" i="6"/>
  <c r="S56" i="6"/>
  <c r="S120" i="6"/>
  <c r="S184" i="6"/>
  <c r="S248" i="6"/>
  <c r="S312" i="6"/>
  <c r="S376" i="6"/>
  <c r="S440" i="6"/>
  <c r="S504" i="6"/>
  <c r="S25" i="6"/>
  <c r="S89" i="6"/>
  <c r="S153" i="6"/>
  <c r="S217" i="6"/>
  <c r="S281" i="6"/>
  <c r="S345" i="6"/>
  <c r="S409" i="6"/>
  <c r="S473" i="6"/>
  <c r="S537" i="6"/>
  <c r="S601" i="6"/>
  <c r="S665" i="6"/>
  <c r="S330" i="6"/>
  <c r="S583" i="6"/>
  <c r="S664" i="6"/>
  <c r="S731" i="6"/>
  <c r="S795" i="6"/>
  <c r="S859" i="6"/>
  <c r="S923" i="6"/>
  <c r="S987" i="6"/>
  <c r="S1051" i="6"/>
  <c r="S1115" i="6"/>
  <c r="S26" i="6"/>
  <c r="S506" i="6"/>
  <c r="S618" i="6"/>
  <c r="S693" i="6"/>
  <c r="S757" i="6"/>
  <c r="S821" i="6"/>
  <c r="S885" i="6"/>
  <c r="S949" i="6"/>
  <c r="S1013" i="6"/>
  <c r="S34" i="6"/>
  <c r="S511" i="6"/>
  <c r="S619" i="6"/>
  <c r="S694" i="6"/>
  <c r="S758" i="6"/>
  <c r="S822" i="6"/>
  <c r="S51" i="6"/>
  <c r="S115" i="6"/>
  <c r="S179" i="6"/>
  <c r="S243" i="6"/>
  <c r="S307" i="6"/>
  <c r="S371" i="6"/>
  <c r="S435" i="6"/>
  <c r="S499" i="6"/>
  <c r="S28" i="6"/>
  <c r="S92" i="6"/>
  <c r="S156" i="6"/>
  <c r="S220" i="6"/>
  <c r="S284" i="6"/>
  <c r="S348" i="6"/>
  <c r="S412" i="6"/>
  <c r="S476" i="6"/>
  <c r="S540" i="6"/>
  <c r="S37" i="6"/>
  <c r="S101" i="6"/>
  <c r="S165" i="6"/>
  <c r="S229" i="6"/>
  <c r="S293" i="6"/>
  <c r="S357" i="6"/>
  <c r="S421" i="6"/>
  <c r="S485" i="6"/>
  <c r="S22" i="6"/>
  <c r="S86" i="6"/>
  <c r="S150" i="6"/>
  <c r="S214" i="6"/>
  <c r="S278" i="6"/>
  <c r="S342" i="6"/>
  <c r="S406" i="6"/>
  <c r="S470" i="6"/>
  <c r="S534" i="6"/>
  <c r="S598" i="6"/>
  <c r="S23" i="6"/>
  <c r="S87" i="6"/>
  <c r="S151" i="6"/>
  <c r="S215" i="6"/>
  <c r="S279" i="6"/>
  <c r="S343" i="6"/>
  <c r="S407" i="6"/>
  <c r="S471" i="6"/>
  <c r="S64" i="6"/>
  <c r="S128" i="6"/>
  <c r="S192" i="6"/>
  <c r="S256" i="6"/>
  <c r="S320" i="6"/>
  <c r="S384" i="6"/>
  <c r="S448" i="6"/>
  <c r="S512" i="6"/>
  <c r="S33" i="6"/>
  <c r="S97" i="6"/>
  <c r="S161" i="6"/>
  <c r="S225" i="6"/>
  <c r="S289" i="6"/>
  <c r="S353" i="6"/>
  <c r="S417" i="6"/>
  <c r="S481" i="6"/>
  <c r="S545" i="6"/>
  <c r="S609" i="6"/>
  <c r="S673" i="6"/>
  <c r="S394" i="6"/>
  <c r="S594" i="6"/>
  <c r="S674" i="6"/>
  <c r="S739" i="6"/>
  <c r="S803" i="6"/>
  <c r="S867" i="6"/>
  <c r="S931" i="6"/>
  <c r="S995" i="6"/>
  <c r="S1059" i="6"/>
  <c r="S1123" i="6"/>
  <c r="S90" i="6"/>
  <c r="S535" i="6"/>
  <c r="S628" i="6"/>
  <c r="S701" i="6"/>
  <c r="S765" i="6"/>
  <c r="S829" i="6"/>
  <c r="S893" i="6"/>
  <c r="S957" i="6"/>
  <c r="S1021" i="6"/>
  <c r="S98" i="6"/>
  <c r="S538" i="6"/>
  <c r="S629" i="6"/>
  <c r="S702" i="6"/>
  <c r="S766" i="6"/>
  <c r="S59" i="6"/>
  <c r="S123" i="6"/>
  <c r="S187" i="6"/>
  <c r="S251" i="6"/>
  <c r="S315" i="6"/>
  <c r="S379" i="6"/>
  <c r="S443" i="6"/>
  <c r="S507" i="6"/>
  <c r="S36" i="6"/>
  <c r="S100" i="6"/>
  <c r="S164" i="6"/>
  <c r="S228" i="6"/>
  <c r="S292" i="6"/>
  <c r="S356" i="6"/>
  <c r="S420" i="6"/>
  <c r="S484" i="6"/>
  <c r="S548" i="6"/>
  <c r="S45" i="6"/>
  <c r="S109" i="6"/>
  <c r="S173" i="6"/>
  <c r="S237" i="6"/>
  <c r="S301" i="6"/>
  <c r="S365" i="6"/>
  <c r="S429" i="6"/>
  <c r="S493" i="6"/>
  <c r="S30" i="6"/>
  <c r="S94" i="6"/>
  <c r="S158" i="6"/>
  <c r="S222" i="6"/>
  <c r="S286" i="6"/>
  <c r="S350" i="6"/>
  <c r="S414" i="6"/>
  <c r="S478" i="6"/>
  <c r="S542" i="6"/>
  <c r="S606" i="6"/>
  <c r="S31" i="6"/>
  <c r="S95" i="6"/>
  <c r="S159" i="6"/>
  <c r="S223" i="6"/>
  <c r="S287" i="6"/>
  <c r="S351" i="6"/>
  <c r="S415" i="6"/>
  <c r="S8" i="6"/>
  <c r="S72" i="6"/>
  <c r="S136" i="6"/>
  <c r="S200" i="6"/>
  <c r="S264" i="6"/>
  <c r="S328" i="6"/>
  <c r="S392" i="6"/>
  <c r="S456" i="6"/>
  <c r="S520" i="6"/>
  <c r="S41" i="6"/>
  <c r="S105" i="6"/>
  <c r="S169" i="6"/>
  <c r="S233" i="6"/>
  <c r="S297" i="6"/>
  <c r="S361" i="6"/>
  <c r="S425" i="6"/>
  <c r="S489" i="6"/>
  <c r="S553" i="6"/>
  <c r="S617" i="6"/>
  <c r="S681" i="6"/>
  <c r="S458" i="6"/>
  <c r="S604" i="6"/>
  <c r="S683" i="6"/>
  <c r="S747" i="6"/>
  <c r="S811" i="6"/>
  <c r="S875" i="6"/>
  <c r="S939" i="6"/>
  <c r="S1003" i="6"/>
  <c r="S1067" i="6"/>
  <c r="S1131" i="6"/>
  <c r="S154" i="6"/>
  <c r="S551" i="6"/>
  <c r="S639" i="6"/>
  <c r="S709" i="6"/>
  <c r="S773" i="6"/>
  <c r="S837" i="6"/>
  <c r="S901" i="6"/>
  <c r="S965" i="6"/>
  <c r="S1029" i="6"/>
  <c r="S162" i="6"/>
  <c r="S552" i="6"/>
  <c r="S640" i="6"/>
  <c r="S710" i="6"/>
  <c r="S997" i="6"/>
  <c r="S677" i="6"/>
  <c r="S814" i="6"/>
  <c r="S886" i="6"/>
  <c r="S950" i="6"/>
  <c r="S1014" i="6"/>
  <c r="S1078" i="6"/>
  <c r="S1142" i="6"/>
  <c r="S362" i="6"/>
  <c r="S588" i="6"/>
  <c r="S669" i="6"/>
  <c r="S735" i="6"/>
  <c r="S799" i="6"/>
  <c r="S863" i="6"/>
  <c r="S927" i="6"/>
  <c r="S178" i="6"/>
  <c r="S555" i="6"/>
  <c r="S643" i="6"/>
  <c r="S712" i="6"/>
  <c r="S776" i="6"/>
  <c r="S840" i="6"/>
  <c r="S904" i="6"/>
  <c r="S968" i="6"/>
  <c r="S1032" i="6"/>
  <c r="S314" i="6"/>
  <c r="S580" i="6"/>
  <c r="S662" i="6"/>
  <c r="S729" i="6"/>
  <c r="S793" i="6"/>
  <c r="S857" i="6"/>
  <c r="S921" i="6"/>
  <c r="S985" i="6"/>
  <c r="S1049" i="6"/>
  <c r="S1113" i="6"/>
  <c r="S1177" i="6"/>
  <c r="S656" i="6"/>
  <c r="S916" i="6"/>
  <c r="S1090" i="6"/>
  <c r="S1186" i="6"/>
  <c r="S1251" i="6"/>
  <c r="S1315" i="6"/>
  <c r="S1379" i="6"/>
  <c r="S1443" i="6"/>
  <c r="S1507" i="6"/>
  <c r="S527" i="6"/>
  <c r="S826" i="6"/>
  <c r="S1044" i="6"/>
  <c r="S1156" i="6"/>
  <c r="S1228" i="6"/>
  <c r="S1292" i="6"/>
  <c r="S1356" i="6"/>
  <c r="S1420" i="6"/>
  <c r="S1484" i="6"/>
  <c r="S82" i="6"/>
  <c r="S764" i="6"/>
  <c r="S1004" i="6"/>
  <c r="S1132" i="6"/>
  <c r="S1213" i="6"/>
  <c r="S1277" i="6"/>
  <c r="S1341" i="6"/>
  <c r="S1405" i="6"/>
  <c r="S1469" i="6"/>
  <c r="S546" i="6"/>
  <c r="S834" i="6"/>
  <c r="S1050" i="6"/>
  <c r="S1159" i="6"/>
  <c r="S1230" i="6"/>
  <c r="S1294" i="6"/>
  <c r="S1358" i="6"/>
  <c r="S1422" i="6"/>
  <c r="S1486" i="6"/>
  <c r="S1550" i="6"/>
  <c r="S1614" i="6"/>
  <c r="S675" i="6"/>
  <c r="S932" i="6"/>
  <c r="S1096" i="6"/>
  <c r="S1190" i="6"/>
  <c r="S1255" i="6"/>
  <c r="S1319" i="6"/>
  <c r="S1383" i="6"/>
  <c r="S194" i="6"/>
  <c r="S778" i="6"/>
  <c r="S1012" i="6"/>
  <c r="S1136" i="6"/>
  <c r="S1216" i="6"/>
  <c r="S1280" i="6"/>
  <c r="S1344" i="6"/>
  <c r="S1408" i="6"/>
  <c r="S1472" i="6"/>
  <c r="S684" i="6"/>
  <c r="S940" i="6"/>
  <c r="S1100" i="6"/>
  <c r="S1192" i="6"/>
  <c r="S1257" i="6"/>
  <c r="S1321" i="6"/>
  <c r="S1385" i="6"/>
  <c r="S1449" i="6"/>
  <c r="S1513" i="6"/>
  <c r="S1577" i="6"/>
  <c r="S1641" i="6"/>
  <c r="S1705" i="6"/>
  <c r="S1410" i="6"/>
  <c r="S1578" i="6"/>
  <c r="S1659" i="6"/>
  <c r="S1729" i="6"/>
  <c r="S1793" i="6"/>
  <c r="S1857" i="6"/>
  <c r="S1921" i="6"/>
  <c r="S1290" i="6"/>
  <c r="S1557" i="6"/>
  <c r="S1642" i="6"/>
  <c r="S1714" i="6"/>
  <c r="S1778" i="6"/>
  <c r="S1842" i="6"/>
  <c r="S1906" i="6"/>
  <c r="S1970" i="6"/>
  <c r="S2034" i="6"/>
  <c r="S2098" i="6"/>
  <c r="S571" i="6"/>
  <c r="S1466" i="6"/>
  <c r="S1591" i="6"/>
  <c r="S1670" i="6"/>
  <c r="S1739" i="6"/>
  <c r="S1803" i="6"/>
  <c r="S1867" i="6"/>
  <c r="S1306" i="6"/>
  <c r="S1560" i="6"/>
  <c r="S1644" i="6"/>
  <c r="S1716" i="6"/>
  <c r="S1780" i="6"/>
  <c r="S1844" i="6"/>
  <c r="S1908" i="6"/>
  <c r="S1972" i="6"/>
  <c r="S1250" i="6"/>
  <c r="S1551" i="6"/>
  <c r="S1636" i="6"/>
  <c r="S1709" i="6"/>
  <c r="S1773" i="6"/>
  <c r="S690" i="6"/>
  <c r="S1479" i="6"/>
  <c r="S1595" i="6"/>
  <c r="S1674" i="6"/>
  <c r="S1742" i="6"/>
  <c r="S1806" i="6"/>
  <c r="S1114" i="6"/>
  <c r="S1525" i="6"/>
  <c r="S1618" i="6"/>
  <c r="S1693" i="6"/>
  <c r="S1759" i="6"/>
  <c r="S754" i="6"/>
  <c r="S1877" i="6"/>
  <c r="S1974" i="6"/>
  <c r="S2051" i="6"/>
  <c r="S2124" i="6"/>
  <c r="S2192" i="6"/>
  <c r="S2256" i="6"/>
  <c r="S2320" i="6"/>
  <c r="S2384" i="6"/>
  <c r="S2448" i="6"/>
  <c r="S2512" i="6"/>
  <c r="S2576" i="6"/>
  <c r="S1685" i="6"/>
  <c r="S1053" i="6"/>
  <c r="S734" i="6"/>
  <c r="S830" i="6"/>
  <c r="S894" i="6"/>
  <c r="S958" i="6"/>
  <c r="S1022" i="6"/>
  <c r="S1086" i="6"/>
  <c r="S1150" i="6"/>
  <c r="S426" i="6"/>
  <c r="S599" i="6"/>
  <c r="S678" i="6"/>
  <c r="S743" i="6"/>
  <c r="S807" i="6"/>
  <c r="S871" i="6"/>
  <c r="S935" i="6"/>
  <c r="S242" i="6"/>
  <c r="S568" i="6"/>
  <c r="S652" i="6"/>
  <c r="S720" i="6"/>
  <c r="S784" i="6"/>
  <c r="S848" i="6"/>
  <c r="S912" i="6"/>
  <c r="S976" i="6"/>
  <c r="S1040" i="6"/>
  <c r="S378" i="6"/>
  <c r="S591" i="6"/>
  <c r="S671" i="6"/>
  <c r="S737" i="6"/>
  <c r="S801" i="6"/>
  <c r="S865" i="6"/>
  <c r="S929" i="6"/>
  <c r="S993" i="6"/>
  <c r="S1057" i="6"/>
  <c r="S1121" i="6"/>
  <c r="S1185" i="6"/>
  <c r="S692" i="6"/>
  <c r="S948" i="6"/>
  <c r="S1103" i="6"/>
  <c r="S1195" i="6"/>
  <c r="S1259" i="6"/>
  <c r="S1323" i="6"/>
  <c r="S1387" i="6"/>
  <c r="S1451" i="6"/>
  <c r="S1515" i="6"/>
  <c r="S581" i="6"/>
  <c r="S858" i="6"/>
  <c r="S1064" i="6"/>
  <c r="S1167" i="6"/>
  <c r="S1236" i="6"/>
  <c r="S1300" i="6"/>
  <c r="S1364" i="6"/>
  <c r="S1428" i="6"/>
  <c r="S1492" i="6"/>
  <c r="S338" i="6"/>
  <c r="S796" i="6"/>
  <c r="S1026" i="6"/>
  <c r="S1144" i="6"/>
  <c r="S1221" i="6"/>
  <c r="S1285" i="6"/>
  <c r="S1349" i="6"/>
  <c r="S1413" i="6"/>
  <c r="S1477" i="6"/>
  <c r="S592" i="6"/>
  <c r="S866" i="6"/>
  <c r="S1068" i="6"/>
  <c r="S1170" i="6"/>
  <c r="S1238" i="6"/>
  <c r="S1302" i="6"/>
  <c r="S1366" i="6"/>
  <c r="S1430" i="6"/>
  <c r="S1494" i="6"/>
  <c r="S1558" i="6"/>
  <c r="S1622" i="6"/>
  <c r="S708" i="6"/>
  <c r="S964" i="6"/>
  <c r="S1109" i="6"/>
  <c r="S1199" i="6"/>
  <c r="S1263" i="6"/>
  <c r="S1327" i="6"/>
  <c r="S1391" i="6"/>
  <c r="S450" i="6"/>
  <c r="S810" i="6"/>
  <c r="S1034" i="6"/>
  <c r="S1149" i="6"/>
  <c r="S1224" i="6"/>
  <c r="S1288" i="6"/>
  <c r="S1352" i="6"/>
  <c r="S1416" i="6"/>
  <c r="S1480" i="6"/>
  <c r="S716" i="6"/>
  <c r="S972" i="6"/>
  <c r="S1112" i="6"/>
  <c r="S1201" i="6"/>
  <c r="S1265" i="6"/>
  <c r="S1329" i="6"/>
  <c r="S1393" i="6"/>
  <c r="S1457" i="6"/>
  <c r="S1521" i="6"/>
  <c r="S1585" i="6"/>
  <c r="S1649" i="6"/>
  <c r="S258" i="6"/>
  <c r="S1458" i="6"/>
  <c r="S1588" i="6"/>
  <c r="S1668" i="6"/>
  <c r="S1737" i="6"/>
  <c r="S1801" i="6"/>
  <c r="S1865" i="6"/>
  <c r="S1929" i="6"/>
  <c r="S1354" i="6"/>
  <c r="S1568" i="6"/>
  <c r="S1651" i="6"/>
  <c r="S1722" i="6"/>
  <c r="S1786" i="6"/>
  <c r="S1850" i="6"/>
  <c r="S1914" i="6"/>
  <c r="S1978" i="6"/>
  <c r="S2042" i="6"/>
  <c r="S2106" i="6"/>
  <c r="S850" i="6"/>
  <c r="S1496" i="6"/>
  <c r="S1602" i="6"/>
  <c r="S1679" i="6"/>
  <c r="S1747" i="6"/>
  <c r="S1811" i="6"/>
  <c r="S1875" i="6"/>
  <c r="S1370" i="6"/>
  <c r="S1571" i="6"/>
  <c r="S1653" i="6"/>
  <c r="S1724" i="6"/>
  <c r="S1788" i="6"/>
  <c r="S1852" i="6"/>
  <c r="S1916" i="6"/>
  <c r="S1980" i="6"/>
  <c r="S1314" i="6"/>
  <c r="S1562" i="6"/>
  <c r="S1645" i="6"/>
  <c r="S1717" i="6"/>
  <c r="S1781" i="6"/>
  <c r="S946" i="6"/>
  <c r="S1504" i="6"/>
  <c r="S1605" i="6"/>
  <c r="S1683" i="6"/>
  <c r="S1750" i="6"/>
  <c r="S1814" i="6"/>
  <c r="S1202" i="6"/>
  <c r="S1541" i="6"/>
  <c r="S1628" i="6"/>
  <c r="S1702" i="6"/>
  <c r="S1767" i="6"/>
  <c r="S1487" i="6"/>
  <c r="S1891" i="6"/>
  <c r="S1984" i="6"/>
  <c r="S2060" i="6"/>
  <c r="S2133" i="6"/>
  <c r="S2200" i="6"/>
  <c r="S2264" i="6"/>
  <c r="S2328" i="6"/>
  <c r="S2392" i="6"/>
  <c r="S2456" i="6"/>
  <c r="S2520" i="6"/>
  <c r="S2584" i="6"/>
  <c r="S1752" i="6"/>
  <c r="S1931" i="6"/>
  <c r="S2015" i="6"/>
  <c r="S2088" i="6"/>
  <c r="S2161" i="6"/>
  <c r="S2225" i="6"/>
  <c r="S2289" i="6"/>
  <c r="S2353" i="6"/>
  <c r="S2417" i="6"/>
  <c r="S1061" i="6"/>
  <c r="S742" i="6"/>
  <c r="S838" i="6"/>
  <c r="S902" i="6"/>
  <c r="S966" i="6"/>
  <c r="S1030" i="6"/>
  <c r="S1094" i="6"/>
  <c r="S1158" i="6"/>
  <c r="S482" i="6"/>
  <c r="S610" i="6"/>
  <c r="S687" i="6"/>
  <c r="S751" i="6"/>
  <c r="S815" i="6"/>
  <c r="S879" i="6"/>
  <c r="S943" i="6"/>
  <c r="S306" i="6"/>
  <c r="S579" i="6"/>
  <c r="S661" i="6"/>
  <c r="S728" i="6"/>
  <c r="S792" i="6"/>
  <c r="S856" i="6"/>
  <c r="S920" i="6"/>
  <c r="S984" i="6"/>
  <c r="S1048" i="6"/>
  <c r="S442" i="6"/>
  <c r="S602" i="6"/>
  <c r="S680" i="6"/>
  <c r="S745" i="6"/>
  <c r="S809" i="6"/>
  <c r="S873" i="6"/>
  <c r="S937" i="6"/>
  <c r="S1001" i="6"/>
  <c r="S1065" i="6"/>
  <c r="S1129" i="6"/>
  <c r="S1193" i="6"/>
  <c r="S724" i="6"/>
  <c r="S978" i="6"/>
  <c r="S1116" i="6"/>
  <c r="S1203" i="6"/>
  <c r="S1267" i="6"/>
  <c r="S1331" i="6"/>
  <c r="S1395" i="6"/>
  <c r="S1459" i="6"/>
  <c r="S1523" i="6"/>
  <c r="S624" i="6"/>
  <c r="S890" i="6"/>
  <c r="S1079" i="6"/>
  <c r="S1178" i="6"/>
  <c r="S1244" i="6"/>
  <c r="S1308" i="6"/>
  <c r="S1372" i="6"/>
  <c r="S1436" i="6"/>
  <c r="S1500" i="6"/>
  <c r="S533" i="6"/>
  <c r="S828" i="6"/>
  <c r="S1047" i="6"/>
  <c r="S1157" i="6"/>
  <c r="S1229" i="6"/>
  <c r="S1293" i="6"/>
  <c r="S1357" i="6"/>
  <c r="S1421" i="6"/>
  <c r="S1485" i="6"/>
  <c r="S635" i="6"/>
  <c r="S898" i="6"/>
  <c r="S1082" i="6"/>
  <c r="S1180" i="6"/>
  <c r="S1246" i="6"/>
  <c r="S1310" i="6"/>
  <c r="S1374" i="6"/>
  <c r="S1438" i="6"/>
  <c r="S1502" i="6"/>
  <c r="S1566" i="6"/>
  <c r="S1630" i="6"/>
  <c r="S740" i="6"/>
  <c r="S988" i="6"/>
  <c r="S1122" i="6"/>
  <c r="S1207" i="6"/>
  <c r="S1271" i="6"/>
  <c r="S1335" i="6"/>
  <c r="S1399" i="6"/>
  <c r="S559" i="6"/>
  <c r="S842" i="6"/>
  <c r="S1055" i="6"/>
  <c r="S1162" i="6"/>
  <c r="S1232" i="6"/>
  <c r="S1296" i="6"/>
  <c r="S1360" i="6"/>
  <c r="S1424" i="6"/>
  <c r="S1488" i="6"/>
  <c r="S748" i="6"/>
  <c r="S994" i="6"/>
  <c r="S1125" i="6"/>
  <c r="S1209" i="6"/>
  <c r="S1273" i="6"/>
  <c r="S1337" i="6"/>
  <c r="S1401" i="6"/>
  <c r="S1465" i="6"/>
  <c r="S1529" i="6"/>
  <c r="S1593" i="6"/>
  <c r="S1657" i="6"/>
  <c r="S786" i="6"/>
  <c r="S1490" i="6"/>
  <c r="S1599" i="6"/>
  <c r="S1677" i="6"/>
  <c r="S1745" i="6"/>
  <c r="S1809" i="6"/>
  <c r="S1873" i="6"/>
  <c r="S1937" i="6"/>
  <c r="S1418" i="6"/>
  <c r="S1579" i="6"/>
  <c r="S1660" i="6"/>
  <c r="S1730" i="6"/>
  <c r="S1794" i="6"/>
  <c r="S1858" i="6"/>
  <c r="S1922" i="6"/>
  <c r="S1986" i="6"/>
  <c r="S2050" i="6"/>
  <c r="S2114" i="6"/>
  <c r="S1060" i="6"/>
  <c r="S1517" i="6"/>
  <c r="S1612" i="6"/>
  <c r="S1688" i="6"/>
  <c r="S1755" i="6"/>
  <c r="S1819" i="6"/>
  <c r="S1883" i="6"/>
  <c r="S1434" i="6"/>
  <c r="S1581" i="6"/>
  <c r="S1662" i="6"/>
  <c r="S1732" i="6"/>
  <c r="S1796" i="6"/>
  <c r="S1860" i="6"/>
  <c r="S1924" i="6"/>
  <c r="S1988" i="6"/>
  <c r="S1378" i="6"/>
  <c r="S1572" i="6"/>
  <c r="S1654" i="6"/>
  <c r="S1725" i="6"/>
  <c r="S1789" i="6"/>
  <c r="S1101" i="6"/>
  <c r="S1522" i="6"/>
  <c r="S1616" i="6"/>
  <c r="S1692" i="6"/>
  <c r="S1758" i="6"/>
  <c r="S1822" i="6"/>
  <c r="S1266" i="6"/>
  <c r="S1554" i="6"/>
  <c r="S1638" i="6"/>
  <c r="S1711" i="6"/>
  <c r="S1775" i="6"/>
  <c r="S1597" i="6"/>
  <c r="S1903" i="6"/>
  <c r="S1995" i="6"/>
  <c r="S2069" i="6"/>
  <c r="S2142" i="6"/>
  <c r="S2208" i="6"/>
  <c r="S2272" i="6"/>
  <c r="S2336" i="6"/>
  <c r="S2400" i="6"/>
  <c r="S2464" i="6"/>
  <c r="S2528" i="6"/>
  <c r="S2592" i="6"/>
  <c r="S1816" i="6"/>
  <c r="S1943" i="6"/>
  <c r="S2024" i="6"/>
  <c r="S2097" i="6"/>
  <c r="S2169" i="6"/>
  <c r="S354" i="6"/>
  <c r="S750" i="6"/>
  <c r="S846" i="6"/>
  <c r="S910" i="6"/>
  <c r="S974" i="6"/>
  <c r="S1038" i="6"/>
  <c r="S1102" i="6"/>
  <c r="S42" i="6"/>
  <c r="S514" i="6"/>
  <c r="S620" i="6"/>
  <c r="S695" i="6"/>
  <c r="S759" i="6"/>
  <c r="S823" i="6"/>
  <c r="S887" i="6"/>
  <c r="S951" i="6"/>
  <c r="S370" i="6"/>
  <c r="S589" i="6"/>
  <c r="S670" i="6"/>
  <c r="S736" i="6"/>
  <c r="S800" i="6"/>
  <c r="S864" i="6"/>
  <c r="S928" i="6"/>
  <c r="S992" i="6"/>
  <c r="S1056" i="6"/>
  <c r="S490" i="6"/>
  <c r="S612" i="6"/>
  <c r="S689" i="6"/>
  <c r="S753" i="6"/>
  <c r="S817" i="6"/>
  <c r="S881" i="6"/>
  <c r="S945" i="6"/>
  <c r="S1009" i="6"/>
  <c r="S1073" i="6"/>
  <c r="S1137" i="6"/>
  <c r="S18" i="6"/>
  <c r="S756" i="6"/>
  <c r="S999" i="6"/>
  <c r="S1128" i="6"/>
  <c r="S1211" i="6"/>
  <c r="S1275" i="6"/>
  <c r="S1339" i="6"/>
  <c r="S1403" i="6"/>
  <c r="S1467" i="6"/>
  <c r="S1531" i="6"/>
  <c r="S663" i="6"/>
  <c r="S922" i="6"/>
  <c r="S1092" i="6"/>
  <c r="S1187" i="6"/>
  <c r="S1252" i="6"/>
  <c r="S1316" i="6"/>
  <c r="S1380" i="6"/>
  <c r="S1444" i="6"/>
  <c r="S1508" i="6"/>
  <c r="S584" i="6"/>
  <c r="S860" i="6"/>
  <c r="S1066" i="6"/>
  <c r="S1168" i="6"/>
  <c r="S1237" i="6"/>
  <c r="S1301" i="6"/>
  <c r="S1365" i="6"/>
  <c r="S1429" i="6"/>
  <c r="S1493" i="6"/>
  <c r="S672" i="6"/>
  <c r="S930" i="6"/>
  <c r="S1095" i="6"/>
  <c r="S1189" i="6"/>
  <c r="S1254" i="6"/>
  <c r="S1318" i="6"/>
  <c r="S1382" i="6"/>
  <c r="S1446" i="6"/>
  <c r="S1510" i="6"/>
  <c r="S1574" i="6"/>
  <c r="S146" i="6"/>
  <c r="S772" i="6"/>
  <c r="S1010" i="6"/>
  <c r="S1135" i="6"/>
  <c r="S1215" i="6"/>
  <c r="S1279" i="6"/>
  <c r="S1343" i="6"/>
  <c r="S1407" i="6"/>
  <c r="S603" i="6"/>
  <c r="S874" i="6"/>
  <c r="S1072" i="6"/>
  <c r="S1173" i="6"/>
  <c r="S1240" i="6"/>
  <c r="S1304" i="6"/>
  <c r="S1368" i="6"/>
  <c r="S1432" i="6"/>
  <c r="S210" i="6"/>
  <c r="S780" i="6"/>
  <c r="S1015" i="6"/>
  <c r="S1138" i="6"/>
  <c r="S1217" i="6"/>
  <c r="S1281" i="6"/>
  <c r="S1345" i="6"/>
  <c r="S1409" i="6"/>
  <c r="S1473" i="6"/>
  <c r="S1537" i="6"/>
  <c r="S1601" i="6"/>
  <c r="S1665" i="6"/>
  <c r="S1018" i="6"/>
  <c r="S1512" i="6"/>
  <c r="S1610" i="6"/>
  <c r="S1686" i="6"/>
  <c r="S1753" i="6"/>
  <c r="S1817" i="6"/>
  <c r="S1881" i="6"/>
  <c r="S495" i="6"/>
  <c r="S1463" i="6"/>
  <c r="S1589" i="6"/>
  <c r="S1669" i="6"/>
  <c r="S1738" i="6"/>
  <c r="S1802" i="6"/>
  <c r="S1866" i="6"/>
  <c r="S1930" i="6"/>
  <c r="S1994" i="6"/>
  <c r="S2058" i="6"/>
  <c r="S2122" i="6"/>
  <c r="S1165" i="6"/>
  <c r="S1533" i="6"/>
  <c r="S1623" i="6"/>
  <c r="S1698" i="6"/>
  <c r="S1763" i="6"/>
  <c r="S1827" i="6"/>
  <c r="S613" i="6"/>
  <c r="S1471" i="6"/>
  <c r="S1592" i="6"/>
  <c r="S1671" i="6"/>
  <c r="S1740" i="6"/>
  <c r="S1804" i="6"/>
  <c r="S1868" i="6"/>
  <c r="S1932" i="6"/>
  <c r="S1996" i="6"/>
  <c r="S1442" i="6"/>
  <c r="S1583" i="6"/>
  <c r="S1663" i="6"/>
  <c r="S1733" i="6"/>
  <c r="S1797" i="6"/>
  <c r="S1194" i="6"/>
  <c r="S1538" i="6"/>
  <c r="S1627" i="6"/>
  <c r="S1701" i="6"/>
  <c r="S1766" i="6"/>
  <c r="S1830" i="6"/>
  <c r="S1330" i="6"/>
  <c r="S1564" i="6"/>
  <c r="S1647" i="6"/>
  <c r="S1719" i="6"/>
  <c r="S1783" i="6"/>
  <c r="S1676" i="6"/>
  <c r="S1917" i="6"/>
  <c r="S2005" i="6"/>
  <c r="S2078" i="6"/>
  <c r="S2151" i="6"/>
  <c r="S2216" i="6"/>
  <c r="S2280" i="6"/>
  <c r="S2344" i="6"/>
  <c r="S2408" i="6"/>
  <c r="S2472" i="6"/>
  <c r="S2536" i="6"/>
  <c r="S2600" i="6"/>
  <c r="S1845" i="6"/>
  <c r="S1953" i="6"/>
  <c r="S2033" i="6"/>
  <c r="S2107" i="6"/>
  <c r="S2177" i="6"/>
  <c r="S2241" i="6"/>
  <c r="S2305" i="6"/>
  <c r="S418" i="6"/>
  <c r="S774" i="6"/>
  <c r="S854" i="6"/>
  <c r="S918" i="6"/>
  <c r="S982" i="6"/>
  <c r="S1046" i="6"/>
  <c r="S1110" i="6"/>
  <c r="S106" i="6"/>
  <c r="S539" i="6"/>
  <c r="S631" i="6"/>
  <c r="S703" i="6"/>
  <c r="S767" i="6"/>
  <c r="S831" i="6"/>
  <c r="S895" i="6"/>
  <c r="S959" i="6"/>
  <c r="S434" i="6"/>
  <c r="S600" i="6"/>
  <c r="S679" i="6"/>
  <c r="S744" i="6"/>
  <c r="S808" i="6"/>
  <c r="S872" i="6"/>
  <c r="S936" i="6"/>
  <c r="S1000" i="6"/>
  <c r="S58" i="6"/>
  <c r="S522" i="6"/>
  <c r="S623" i="6"/>
  <c r="S697" i="6"/>
  <c r="S761" i="6"/>
  <c r="S825" i="6"/>
  <c r="S889" i="6"/>
  <c r="S953" i="6"/>
  <c r="S1017" i="6"/>
  <c r="S1081" i="6"/>
  <c r="S1145" i="6"/>
  <c r="S274" i="6"/>
  <c r="S788" i="6"/>
  <c r="S1020" i="6"/>
  <c r="S1141" i="6"/>
  <c r="S1219" i="6"/>
  <c r="S1283" i="6"/>
  <c r="S1347" i="6"/>
  <c r="S1411" i="6"/>
  <c r="S1475" i="6"/>
  <c r="S1539" i="6"/>
  <c r="S698" i="6"/>
  <c r="S954" i="6"/>
  <c r="S1104" i="6"/>
  <c r="S1196" i="6"/>
  <c r="S1260" i="6"/>
  <c r="S1324" i="6"/>
  <c r="S1388" i="6"/>
  <c r="S1452" i="6"/>
  <c r="S1516" i="6"/>
  <c r="S627" i="6"/>
  <c r="S892" i="6"/>
  <c r="S1080" i="6"/>
  <c r="S1179" i="6"/>
  <c r="S1245" i="6"/>
  <c r="S1309" i="6"/>
  <c r="S1373" i="6"/>
  <c r="S1437" i="6"/>
  <c r="S1501" i="6"/>
  <c r="S706" i="6"/>
  <c r="S962" i="6"/>
  <c r="S1108" i="6"/>
  <c r="S1198" i="6"/>
  <c r="S1262" i="6"/>
  <c r="S1326" i="6"/>
  <c r="S1390" i="6"/>
  <c r="S1454" i="6"/>
  <c r="S1518" i="6"/>
  <c r="S1582" i="6"/>
  <c r="S402" i="6"/>
  <c r="S804" i="6"/>
  <c r="S1031" i="6"/>
  <c r="S1148" i="6"/>
  <c r="S1223" i="6"/>
  <c r="S1287" i="6"/>
  <c r="S1351" i="6"/>
  <c r="S1415" i="6"/>
  <c r="S645" i="6"/>
  <c r="S906" i="6"/>
  <c r="S1085" i="6"/>
  <c r="S1182" i="6"/>
  <c r="S1248" i="6"/>
  <c r="S1312" i="6"/>
  <c r="S1376" i="6"/>
  <c r="S1440" i="6"/>
  <c r="S466" i="6"/>
  <c r="S812" i="6"/>
  <c r="S1036" i="6"/>
  <c r="S1151" i="6"/>
  <c r="S1225" i="6"/>
  <c r="S1289" i="6"/>
  <c r="S1353" i="6"/>
  <c r="S1417" i="6"/>
  <c r="S1481" i="6"/>
  <c r="S1545" i="6"/>
  <c r="S1609" i="6"/>
  <c r="S1673" i="6"/>
  <c r="S1140" i="6"/>
  <c r="S1528" i="6"/>
  <c r="S1620" i="6"/>
  <c r="S1695" i="6"/>
  <c r="S1761" i="6"/>
  <c r="S1825" i="6"/>
  <c r="S1889" i="6"/>
  <c r="S818" i="6"/>
  <c r="S1495" i="6"/>
  <c r="S1600" i="6"/>
  <c r="S1678" i="6"/>
  <c r="S1746" i="6"/>
  <c r="S1810" i="6"/>
  <c r="S1874" i="6"/>
  <c r="S1938" i="6"/>
  <c r="S2002" i="6"/>
  <c r="S2066" i="6"/>
  <c r="S2130" i="6"/>
  <c r="S1234" i="6"/>
  <c r="S1548" i="6"/>
  <c r="S1634" i="6"/>
  <c r="S1707" i="6"/>
  <c r="S1771" i="6"/>
  <c r="S1835" i="6"/>
  <c r="S882" i="6"/>
  <c r="S1498" i="6"/>
  <c r="S1603" i="6"/>
  <c r="S1680" i="6"/>
  <c r="S1748" i="6"/>
  <c r="S1812" i="6"/>
  <c r="S1876" i="6"/>
  <c r="S1940" i="6"/>
  <c r="S654" i="6"/>
  <c r="S1474" i="6"/>
  <c r="S1594" i="6"/>
  <c r="S1672" i="6"/>
  <c r="S1741" i="6"/>
  <c r="S1805" i="6"/>
  <c r="S1258" i="6"/>
  <c r="S1552" i="6"/>
  <c r="S1637" i="6"/>
  <c r="S1710" i="6"/>
  <c r="S1774" i="6"/>
  <c r="S1838" i="6"/>
  <c r="S1394" i="6"/>
  <c r="S1575" i="6"/>
  <c r="S1656" i="6"/>
  <c r="S1727" i="6"/>
  <c r="S1791" i="6"/>
  <c r="S1744" i="6"/>
  <c r="S1928" i="6"/>
  <c r="S2014" i="6"/>
  <c r="S2087" i="6"/>
  <c r="S2160" i="6"/>
  <c r="S2224" i="6"/>
  <c r="S2288" i="6"/>
  <c r="S2352" i="6"/>
  <c r="S2416" i="6"/>
  <c r="S2480" i="6"/>
  <c r="S2544" i="6"/>
  <c r="S2608" i="6"/>
  <c r="S1862" i="6"/>
  <c r="S1965" i="6"/>
  <c r="S2043" i="6"/>
  <c r="S2116" i="6"/>
  <c r="S2185" i="6"/>
  <c r="S2249" i="6"/>
  <c r="S587" i="6"/>
  <c r="S790" i="6"/>
  <c r="S862" i="6"/>
  <c r="S926" i="6"/>
  <c r="S990" i="6"/>
  <c r="S1054" i="6"/>
  <c r="S1118" i="6"/>
  <c r="S170" i="6"/>
  <c r="S554" i="6"/>
  <c r="S642" i="6"/>
  <c r="S711" i="6"/>
  <c r="S775" i="6"/>
  <c r="S839" i="6"/>
  <c r="S903" i="6"/>
  <c r="S967" i="6"/>
  <c r="S487" i="6"/>
  <c r="S611" i="6"/>
  <c r="S688" i="6"/>
  <c r="S752" i="6"/>
  <c r="S816" i="6"/>
  <c r="S880" i="6"/>
  <c r="S944" i="6"/>
  <c r="S1008" i="6"/>
  <c r="S122" i="6"/>
  <c r="S543" i="6"/>
  <c r="S634" i="6"/>
  <c r="S705" i="6"/>
  <c r="S769" i="6"/>
  <c r="S833" i="6"/>
  <c r="S897" i="6"/>
  <c r="S961" i="6"/>
  <c r="S1025" i="6"/>
  <c r="S1089" i="6"/>
  <c r="S1153" i="6"/>
  <c r="S503" i="6"/>
  <c r="S820" i="6"/>
  <c r="S1042" i="6"/>
  <c r="S1154" i="6"/>
  <c r="S1227" i="6"/>
  <c r="S1291" i="6"/>
  <c r="S1355" i="6"/>
  <c r="S1419" i="6"/>
  <c r="S1483" i="6"/>
  <c r="S1547" i="6"/>
  <c r="S730" i="6"/>
  <c r="S980" i="6"/>
  <c r="S1117" i="6"/>
  <c r="S1204" i="6"/>
  <c r="S1268" i="6"/>
  <c r="S1332" i="6"/>
  <c r="S1396" i="6"/>
  <c r="S1460" i="6"/>
  <c r="S1524" i="6"/>
  <c r="S666" i="6"/>
  <c r="S924" i="6"/>
  <c r="S1093" i="6"/>
  <c r="S1188" i="6"/>
  <c r="S1253" i="6"/>
  <c r="S1317" i="6"/>
  <c r="S1381" i="6"/>
  <c r="S1445" i="6"/>
  <c r="S1509" i="6"/>
  <c r="S738" i="6"/>
  <c r="S986" i="6"/>
  <c r="S1120" i="6"/>
  <c r="S1206" i="6"/>
  <c r="S1270" i="6"/>
  <c r="S1334" i="6"/>
  <c r="S1398" i="6"/>
  <c r="S1462" i="6"/>
  <c r="S1526" i="6"/>
  <c r="S1590" i="6"/>
  <c r="S549" i="6"/>
  <c r="S836" i="6"/>
  <c r="S1052" i="6"/>
  <c r="S1160" i="6"/>
  <c r="S1231" i="6"/>
  <c r="S1295" i="6"/>
  <c r="S1359" i="6"/>
  <c r="S1423" i="6"/>
  <c r="S682" i="6"/>
  <c r="S938" i="6"/>
  <c r="S1098" i="6"/>
  <c r="S1191" i="6"/>
  <c r="S1256" i="6"/>
  <c r="S1320" i="6"/>
  <c r="S1384" i="6"/>
  <c r="S1448" i="6"/>
  <c r="S562" i="6"/>
  <c r="S844" i="6"/>
  <c r="S1058" i="6"/>
  <c r="S1164" i="6"/>
  <c r="S1233" i="6"/>
  <c r="S1297" i="6"/>
  <c r="S1361" i="6"/>
  <c r="S1425" i="6"/>
  <c r="S1489" i="6"/>
  <c r="S1553" i="6"/>
  <c r="S1617" i="6"/>
  <c r="S1681" i="6"/>
  <c r="S1218" i="6"/>
  <c r="S1544" i="6"/>
  <c r="S1631" i="6"/>
  <c r="S1704" i="6"/>
  <c r="S1769" i="6"/>
  <c r="S1833" i="6"/>
  <c r="S1897" i="6"/>
  <c r="S1039" i="6"/>
  <c r="S1514" i="6"/>
  <c r="S1611" i="6"/>
  <c r="S1687" i="6"/>
  <c r="S1754" i="6"/>
  <c r="S1818" i="6"/>
  <c r="S1882" i="6"/>
  <c r="S1946" i="6"/>
  <c r="S2010" i="6"/>
  <c r="S2074" i="6"/>
  <c r="S2138" i="6"/>
  <c r="S1298" i="6"/>
  <c r="S1559" i="6"/>
  <c r="S1643" i="6"/>
  <c r="S1715" i="6"/>
  <c r="S1779" i="6"/>
  <c r="S1843" i="6"/>
  <c r="S1076" i="6"/>
  <c r="S1519" i="6"/>
  <c r="S1613" i="6"/>
  <c r="S1690" i="6"/>
  <c r="S1756" i="6"/>
  <c r="S1820" i="6"/>
  <c r="S1884" i="6"/>
  <c r="S1948" i="6"/>
  <c r="S914" i="6"/>
  <c r="S1503" i="6"/>
  <c r="S1604" i="6"/>
  <c r="S1682" i="6"/>
  <c r="S1749" i="6"/>
  <c r="S1813" i="6"/>
  <c r="S1322" i="6"/>
  <c r="S1563" i="6"/>
  <c r="S1646" i="6"/>
  <c r="S1718" i="6"/>
  <c r="S1782" i="6"/>
  <c r="S1846" i="6"/>
  <c r="S1450" i="6"/>
  <c r="S1586" i="6"/>
  <c r="S1666" i="6"/>
  <c r="S1735" i="6"/>
  <c r="S1799" i="6"/>
  <c r="S1808" i="6"/>
  <c r="S1942" i="6"/>
  <c r="S2023" i="6"/>
  <c r="S2096" i="6"/>
  <c r="S2168" i="6"/>
  <c r="S2232" i="6"/>
  <c r="S2296" i="6"/>
  <c r="S2360" i="6"/>
  <c r="S2424" i="6"/>
  <c r="S2488" i="6"/>
  <c r="S2552" i="6"/>
  <c r="S996" i="6"/>
  <c r="S1878" i="6"/>
  <c r="S1975" i="6"/>
  <c r="S2052" i="6"/>
  <c r="S2125" i="6"/>
  <c r="S2193" i="6"/>
  <c r="S2257" i="6"/>
  <c r="S2321" i="6"/>
  <c r="S2385" i="6"/>
  <c r="S597" i="6"/>
  <c r="S798" i="6"/>
  <c r="S870" i="6"/>
  <c r="S934" i="6"/>
  <c r="S998" i="6"/>
  <c r="S1062" i="6"/>
  <c r="S1126" i="6"/>
  <c r="S234" i="6"/>
  <c r="S567" i="6"/>
  <c r="S651" i="6"/>
  <c r="S719" i="6"/>
  <c r="S783" i="6"/>
  <c r="S847" i="6"/>
  <c r="S911" i="6"/>
  <c r="S50" i="6"/>
  <c r="S519" i="6"/>
  <c r="S621" i="6"/>
  <c r="S696" i="6"/>
  <c r="S760" i="6"/>
  <c r="S824" i="6"/>
  <c r="S888" i="6"/>
  <c r="S952" i="6"/>
  <c r="S1016" i="6"/>
  <c r="S186" i="6"/>
  <c r="S557" i="6"/>
  <c r="S644" i="6"/>
  <c r="S713" i="6"/>
  <c r="S777" i="6"/>
  <c r="S841" i="6"/>
  <c r="S905" i="6"/>
  <c r="S969" i="6"/>
  <c r="S1033" i="6"/>
  <c r="S1097" i="6"/>
  <c r="S1161" i="6"/>
  <c r="S573" i="6"/>
  <c r="S852" i="6"/>
  <c r="S1063" i="6"/>
  <c r="S1166" i="6"/>
  <c r="S1235" i="6"/>
  <c r="S1299" i="6"/>
  <c r="S1363" i="6"/>
  <c r="S1427" i="6"/>
  <c r="S1491" i="6"/>
  <c r="S66" i="6"/>
  <c r="S762" i="6"/>
  <c r="S1002" i="6"/>
  <c r="S1130" i="6"/>
  <c r="S1212" i="6"/>
  <c r="S1276" i="6"/>
  <c r="S1340" i="6"/>
  <c r="S1404" i="6"/>
  <c r="S1468" i="6"/>
  <c r="S1532" i="6"/>
  <c r="S700" i="6"/>
  <c r="S956" i="6"/>
  <c r="S1106" i="6"/>
  <c r="S1197" i="6"/>
  <c r="S1261" i="6"/>
  <c r="S1325" i="6"/>
  <c r="S1389" i="6"/>
  <c r="S1453" i="6"/>
  <c r="S130" i="6"/>
  <c r="S770" i="6"/>
  <c r="S1007" i="6"/>
  <c r="S1133" i="6"/>
  <c r="S1214" i="6"/>
  <c r="S1278" i="6"/>
  <c r="S1342" i="6"/>
  <c r="S1406" i="6"/>
  <c r="S1470" i="6"/>
  <c r="S1534" i="6"/>
  <c r="S1598" i="6"/>
  <c r="S595" i="6"/>
  <c r="S868" i="6"/>
  <c r="S1071" i="6"/>
  <c r="S1172" i="6"/>
  <c r="S1239" i="6"/>
  <c r="S1303" i="6"/>
  <c r="S1367" i="6"/>
  <c r="S1431" i="6"/>
  <c r="S714" i="6"/>
  <c r="S970" i="6"/>
  <c r="S1111" i="6"/>
  <c r="S1200" i="6"/>
  <c r="S1264" i="6"/>
  <c r="S1328" i="6"/>
  <c r="S1392" i="6"/>
  <c r="S1456" i="6"/>
  <c r="S605" i="6"/>
  <c r="S876" i="6"/>
  <c r="S1074" i="6"/>
  <c r="S1174" i="6"/>
  <c r="S1241" i="6"/>
  <c r="S1305" i="6"/>
  <c r="S1369" i="6"/>
  <c r="S1433" i="6"/>
  <c r="S1497" i="6"/>
  <c r="S1561" i="6"/>
  <c r="S1625" i="6"/>
  <c r="S1689" i="6"/>
  <c r="S1282" i="6"/>
  <c r="S1556" i="6"/>
  <c r="S1640" i="6"/>
  <c r="S1713" i="6"/>
  <c r="S1777" i="6"/>
  <c r="S1841" i="6"/>
  <c r="S1905" i="6"/>
  <c r="S1152" i="6"/>
  <c r="S1530" i="6"/>
  <c r="S1621" i="6"/>
  <c r="S1696" i="6"/>
  <c r="S1762" i="6"/>
  <c r="S1826" i="6"/>
  <c r="S1890" i="6"/>
  <c r="S1954" i="6"/>
  <c r="S2018" i="6"/>
  <c r="S2082" i="6"/>
  <c r="S2146" i="6"/>
  <c r="S1362" i="6"/>
  <c r="S1570" i="6"/>
  <c r="S1652" i="6"/>
  <c r="S1723" i="6"/>
  <c r="S1787" i="6"/>
  <c r="S1851" i="6"/>
  <c r="S1175" i="6"/>
  <c r="S1535" i="6"/>
  <c r="S1624" i="6"/>
  <c r="S1699" i="6"/>
  <c r="S1764" i="6"/>
  <c r="S1828" i="6"/>
  <c r="S1892" i="6"/>
  <c r="S1956" i="6"/>
  <c r="S1088" i="6"/>
  <c r="S1520" i="6"/>
  <c r="S1615" i="6"/>
  <c r="S1691" i="6"/>
  <c r="S1757" i="6"/>
  <c r="S1821" i="6"/>
  <c r="S1386" i="6"/>
  <c r="S1573" i="6"/>
  <c r="S1655" i="6"/>
  <c r="S1726" i="6"/>
  <c r="S1790" i="6"/>
  <c r="S722" i="6"/>
  <c r="S1482" i="6"/>
  <c r="S1596" i="6"/>
  <c r="S1675" i="6"/>
  <c r="S1743" i="6"/>
  <c r="S1807" i="6"/>
  <c r="S1840" i="6"/>
  <c r="S1952" i="6"/>
  <c r="S2032" i="6"/>
  <c r="S2105" i="6"/>
  <c r="S2176" i="6"/>
  <c r="S2240" i="6"/>
  <c r="S2304" i="6"/>
  <c r="S2368" i="6"/>
  <c r="S2432" i="6"/>
  <c r="S2496" i="6"/>
  <c r="S2560" i="6"/>
  <c r="S1511" i="6"/>
  <c r="S1893" i="6"/>
  <c r="S1985" i="6"/>
  <c r="S2061" i="6"/>
  <c r="S2134" i="6"/>
  <c r="S2201" i="6"/>
  <c r="S2265" i="6"/>
  <c r="S2329" i="6"/>
  <c r="S2393" i="6"/>
  <c r="S2457" i="6"/>
  <c r="S2521" i="6"/>
  <c r="S2585" i="6"/>
  <c r="S2649" i="6"/>
  <c r="S2713" i="6"/>
  <c r="S668" i="6"/>
  <c r="S806" i="6"/>
  <c r="S878" i="6"/>
  <c r="S942" i="6"/>
  <c r="S1006" i="6"/>
  <c r="S1070" i="6"/>
  <c r="S1134" i="6"/>
  <c r="S298" i="6"/>
  <c r="S578" i="6"/>
  <c r="S660" i="6"/>
  <c r="S727" i="6"/>
  <c r="S791" i="6"/>
  <c r="S855" i="6"/>
  <c r="S919" i="6"/>
  <c r="S114" i="6"/>
  <c r="S541" i="6"/>
  <c r="S632" i="6"/>
  <c r="S704" i="6"/>
  <c r="S768" i="6"/>
  <c r="S832" i="6"/>
  <c r="S896" i="6"/>
  <c r="S960" i="6"/>
  <c r="S1024" i="6"/>
  <c r="S250" i="6"/>
  <c r="S570" i="6"/>
  <c r="S653" i="6"/>
  <c r="S721" i="6"/>
  <c r="S785" i="6"/>
  <c r="S849" i="6"/>
  <c r="S913" i="6"/>
  <c r="S977" i="6"/>
  <c r="S1041" i="6"/>
  <c r="S1105" i="6"/>
  <c r="S1169" i="6"/>
  <c r="S616" i="6"/>
  <c r="S884" i="6"/>
  <c r="S1077" i="6"/>
  <c r="S1176" i="6"/>
  <c r="S1243" i="6"/>
  <c r="S1307" i="6"/>
  <c r="S1371" i="6"/>
  <c r="S1435" i="6"/>
  <c r="S1499" i="6"/>
  <c r="S322" i="6"/>
  <c r="S794" i="6"/>
  <c r="S1023" i="6"/>
  <c r="S1143" i="6"/>
  <c r="S1220" i="6"/>
  <c r="S1284" i="6"/>
  <c r="S1348" i="6"/>
  <c r="S1412" i="6"/>
  <c r="S1476" i="6"/>
  <c r="S1540" i="6"/>
  <c r="S732" i="6"/>
  <c r="S983" i="6"/>
  <c r="S1119" i="6"/>
  <c r="S1205" i="6"/>
  <c r="S1269" i="6"/>
  <c r="S1333" i="6"/>
  <c r="S1397" i="6"/>
  <c r="S1461" i="6"/>
  <c r="S386" i="6"/>
  <c r="S802" i="6"/>
  <c r="S1028" i="6"/>
  <c r="S1146" i="6"/>
  <c r="S1222" i="6"/>
  <c r="S1286" i="6"/>
  <c r="S1350" i="6"/>
  <c r="S1414" i="6"/>
  <c r="S1478" i="6"/>
  <c r="S1542" i="6"/>
  <c r="S1606" i="6"/>
  <c r="S637" i="6"/>
  <c r="S900" i="6"/>
  <c r="S1084" i="6"/>
  <c r="S1181" i="6"/>
  <c r="S1247" i="6"/>
  <c r="S1311" i="6"/>
  <c r="S1336" i="6"/>
  <c r="S1313" i="6"/>
  <c r="S1567" i="6"/>
  <c r="S1632" i="6"/>
  <c r="S2154" i="6"/>
  <c r="S1549" i="6"/>
  <c r="S1536" i="6"/>
  <c r="S1734" i="6"/>
  <c r="S1861" i="6"/>
  <c r="S2440" i="6"/>
  <c r="S2070" i="6"/>
  <c r="S2281" i="6"/>
  <c r="S2401" i="6"/>
  <c r="S2481" i="6"/>
  <c r="S2553" i="6"/>
  <c r="S2625" i="6"/>
  <c r="S2697" i="6"/>
  <c r="S2769" i="6"/>
  <c r="S2833" i="6"/>
  <c r="S1127" i="6"/>
  <c r="S1879" i="6"/>
  <c r="S1976" i="6"/>
  <c r="S2053" i="6"/>
  <c r="S2126" i="6"/>
  <c r="S2194" i="6"/>
  <c r="S2258" i="6"/>
  <c r="S2322" i="6"/>
  <c r="S2386" i="6"/>
  <c r="S2450" i="6"/>
  <c r="S2514" i="6"/>
  <c r="S1703" i="6"/>
  <c r="S1920" i="6"/>
  <c r="S2008" i="6"/>
  <c r="S2081" i="6"/>
  <c r="S2155" i="6"/>
  <c r="S2219" i="6"/>
  <c r="S2283" i="6"/>
  <c r="S2347" i="6"/>
  <c r="S2411" i="6"/>
  <c r="S2475" i="6"/>
  <c r="S2539" i="6"/>
  <c r="S2603" i="6"/>
  <c r="S2667" i="6"/>
  <c r="S1712" i="6"/>
  <c r="S1923" i="6"/>
  <c r="S2009" i="6"/>
  <c r="S2083" i="6"/>
  <c r="S2156" i="6"/>
  <c r="S2220" i="6"/>
  <c r="S2284" i="6"/>
  <c r="S2348" i="6"/>
  <c r="S2412" i="6"/>
  <c r="S2476" i="6"/>
  <c r="S1720" i="6"/>
  <c r="S1925" i="6"/>
  <c r="S2011" i="6"/>
  <c r="S2084" i="6"/>
  <c r="S2157" i="6"/>
  <c r="S2221" i="6"/>
  <c r="S2285" i="6"/>
  <c r="S2349" i="6"/>
  <c r="S2413" i="6"/>
  <c r="S2477" i="6"/>
  <c r="S2541" i="6"/>
  <c r="S1855" i="6"/>
  <c r="S1960" i="6"/>
  <c r="S2039" i="6"/>
  <c r="S2112" i="6"/>
  <c r="S2182" i="6"/>
  <c r="S2246" i="6"/>
  <c r="S2310" i="6"/>
  <c r="S2374" i="6"/>
  <c r="S2438" i="6"/>
  <c r="S2502" i="6"/>
  <c r="S1888" i="6"/>
  <c r="S2455" i="6"/>
  <c r="S2624" i="6"/>
  <c r="S2709" i="6"/>
  <c r="S2782" i="6"/>
  <c r="S2855" i="6"/>
  <c r="S2924" i="6"/>
  <c r="S2988" i="6"/>
  <c r="S3052" i="6"/>
  <c r="S3116" i="6"/>
  <c r="S3180" i="6"/>
  <c r="S3244" i="6"/>
  <c r="S2207" i="6"/>
  <c r="S2578" i="6"/>
  <c r="S2669" i="6"/>
  <c r="S2747" i="6"/>
  <c r="S2820" i="6"/>
  <c r="S2893" i="6"/>
  <c r="S2957" i="6"/>
  <c r="S3021" i="6"/>
  <c r="S3085" i="6"/>
  <c r="S3149" i="6"/>
  <c r="S3213" i="6"/>
  <c r="S2279" i="6"/>
  <c r="S2591" i="6"/>
  <c r="S2680" i="6"/>
  <c r="S2757" i="6"/>
  <c r="S2830" i="6"/>
  <c r="S2902" i="6"/>
  <c r="S2966" i="6"/>
  <c r="S3030" i="6"/>
  <c r="S3094" i="6"/>
  <c r="S3158" i="6"/>
  <c r="S1927" i="6"/>
  <c r="S2479" i="6"/>
  <c r="S2629" i="6"/>
  <c r="S2712" i="6"/>
  <c r="S2786" i="6"/>
  <c r="S2859" i="6"/>
  <c r="S2927" i="6"/>
  <c r="S2991" i="6"/>
  <c r="S3055" i="6"/>
  <c r="S3119" i="6"/>
  <c r="S3183" i="6"/>
  <c r="S3247" i="6"/>
  <c r="S3311" i="6"/>
  <c r="S3375" i="6"/>
  <c r="S2231" i="6"/>
  <c r="S2582" i="6"/>
  <c r="S2672" i="6"/>
  <c r="S2750" i="6"/>
  <c r="S2823" i="6"/>
  <c r="S2896" i="6"/>
  <c r="S2960" i="6"/>
  <c r="S3024" i="6"/>
  <c r="S3088" i="6"/>
  <c r="S1839" i="6"/>
  <c r="S2431" i="6"/>
  <c r="S2621" i="6"/>
  <c r="S2706" i="6"/>
  <c r="S2779" i="6"/>
  <c r="S2852" i="6"/>
  <c r="S2921" i="6"/>
  <c r="S2985" i="6"/>
  <c r="S3049" i="6"/>
  <c r="S3113" i="6"/>
  <c r="S3177" i="6"/>
  <c r="S2247" i="6"/>
  <c r="S2586" i="6"/>
  <c r="S2676" i="6"/>
  <c r="S2752" i="6"/>
  <c r="S2826" i="6"/>
  <c r="S2898" i="6"/>
  <c r="S2962" i="6"/>
  <c r="S3026" i="6"/>
  <c r="S3090" i="6"/>
  <c r="S3154" i="6"/>
  <c r="S3218" i="6"/>
  <c r="S3282" i="6"/>
  <c r="S3346" i="6"/>
  <c r="S3410" i="6"/>
  <c r="S3474" i="6"/>
  <c r="S2987" i="6"/>
  <c r="S3256" i="6"/>
  <c r="S3342" i="6"/>
  <c r="S3423" i="6"/>
  <c r="S1375" i="6"/>
  <c r="S1400" i="6"/>
  <c r="S1377" i="6"/>
  <c r="S1650" i="6"/>
  <c r="S1706" i="6"/>
  <c r="S1426" i="6"/>
  <c r="S1635" i="6"/>
  <c r="S1626" i="6"/>
  <c r="S1798" i="6"/>
  <c r="S1963" i="6"/>
  <c r="S2504" i="6"/>
  <c r="S2079" i="6"/>
  <c r="S2297" i="6"/>
  <c r="S2409" i="6"/>
  <c r="S2489" i="6"/>
  <c r="S2561" i="6"/>
  <c r="S2633" i="6"/>
  <c r="S2705" i="6"/>
  <c r="S2777" i="6"/>
  <c r="S2841" i="6"/>
  <c r="S1527" i="6"/>
  <c r="S1894" i="6"/>
  <c r="S1987" i="6"/>
  <c r="S2062" i="6"/>
  <c r="S2135" i="6"/>
  <c r="S2202" i="6"/>
  <c r="S2266" i="6"/>
  <c r="S2330" i="6"/>
  <c r="S2394" i="6"/>
  <c r="S2458" i="6"/>
  <c r="S2522" i="6"/>
  <c r="S1768" i="6"/>
  <c r="S1934" i="6"/>
  <c r="S2017" i="6"/>
  <c r="S2091" i="6"/>
  <c r="S2163" i="6"/>
  <c r="S2227" i="6"/>
  <c r="S2291" i="6"/>
  <c r="S2355" i="6"/>
  <c r="S2419" i="6"/>
  <c r="S2483" i="6"/>
  <c r="S2547" i="6"/>
  <c r="S2611" i="6"/>
  <c r="S2675" i="6"/>
  <c r="S1776" i="6"/>
  <c r="S1935" i="6"/>
  <c r="S2019" i="6"/>
  <c r="S2092" i="6"/>
  <c r="S2164" i="6"/>
  <c r="S2228" i="6"/>
  <c r="S2292" i="6"/>
  <c r="S2356" i="6"/>
  <c r="S2420" i="6"/>
  <c r="S2484" i="6"/>
  <c r="S1784" i="6"/>
  <c r="S1936" i="6"/>
  <c r="S2020" i="6"/>
  <c r="S2093" i="6"/>
  <c r="S2165" i="6"/>
  <c r="S2229" i="6"/>
  <c r="S2293" i="6"/>
  <c r="S2357" i="6"/>
  <c r="S2421" i="6"/>
  <c r="S2485" i="6"/>
  <c r="S2549" i="6"/>
  <c r="S1871" i="6"/>
  <c r="S1971" i="6"/>
  <c r="S2048" i="6"/>
  <c r="S2121" i="6"/>
  <c r="S2190" i="6"/>
  <c r="S2254" i="6"/>
  <c r="S2318" i="6"/>
  <c r="S2382" i="6"/>
  <c r="S2446" i="6"/>
  <c r="S2510" i="6"/>
  <c r="S1983" i="6"/>
  <c r="S2516" i="6"/>
  <c r="S2636" i="6"/>
  <c r="S2718" i="6"/>
  <c r="S2791" i="6"/>
  <c r="S2864" i="6"/>
  <c r="S2932" i="6"/>
  <c r="S2996" i="6"/>
  <c r="S3060" i="6"/>
  <c r="S3124" i="6"/>
  <c r="S3188" i="6"/>
  <c r="S3252" i="6"/>
  <c r="S2271" i="6"/>
  <c r="S2590" i="6"/>
  <c r="S2679" i="6"/>
  <c r="S2756" i="6"/>
  <c r="S2829" i="6"/>
  <c r="S2901" i="6"/>
  <c r="S2965" i="6"/>
  <c r="S3029" i="6"/>
  <c r="S3093" i="6"/>
  <c r="S3157" i="6"/>
  <c r="S3221" i="6"/>
  <c r="S2343" i="6"/>
  <c r="S2605" i="6"/>
  <c r="S2692" i="6"/>
  <c r="S2766" i="6"/>
  <c r="S2839" i="6"/>
  <c r="S2910" i="6"/>
  <c r="S2974" i="6"/>
  <c r="S3038" i="6"/>
  <c r="S3102" i="6"/>
  <c r="S3166" i="6"/>
  <c r="S2013" i="6"/>
  <c r="S2527" i="6"/>
  <c r="S2639" i="6"/>
  <c r="S2722" i="6"/>
  <c r="S2795" i="6"/>
  <c r="S2868" i="6"/>
  <c r="S2935" i="6"/>
  <c r="S2999" i="6"/>
  <c r="S3063" i="6"/>
  <c r="S3127" i="6"/>
  <c r="S3191" i="6"/>
  <c r="S3255" i="6"/>
  <c r="S3319" i="6"/>
  <c r="S3383" i="6"/>
  <c r="S2295" i="6"/>
  <c r="S2596" i="6"/>
  <c r="S2684" i="6"/>
  <c r="S2759" i="6"/>
  <c r="S2832" i="6"/>
  <c r="S2904" i="6"/>
  <c r="S2968" i="6"/>
  <c r="S3032" i="6"/>
  <c r="S3096" i="6"/>
  <c r="S1951" i="6"/>
  <c r="S2495" i="6"/>
  <c r="S2631" i="6"/>
  <c r="S2715" i="6"/>
  <c r="S2788" i="6"/>
  <c r="S2861" i="6"/>
  <c r="S2929" i="6"/>
  <c r="S2993" i="6"/>
  <c r="S3057" i="6"/>
  <c r="S3121" i="6"/>
  <c r="S3185" i="6"/>
  <c r="S2311" i="6"/>
  <c r="S2598" i="6"/>
  <c r="S2686" i="6"/>
  <c r="S2762" i="6"/>
  <c r="S2835" i="6"/>
  <c r="S2906" i="6"/>
  <c r="S2970" i="6"/>
  <c r="S3034" i="6"/>
  <c r="S3098" i="6"/>
  <c r="S3162" i="6"/>
  <c r="S3226" i="6"/>
  <c r="S3290" i="6"/>
  <c r="S3354" i="6"/>
  <c r="S3418" i="6"/>
  <c r="S1872" i="6"/>
  <c r="S3051" i="6"/>
  <c r="S3268" i="6"/>
  <c r="S3353" i="6"/>
  <c r="S3432" i="6"/>
  <c r="S3502" i="6"/>
  <c r="S3566" i="6"/>
  <c r="S3630" i="6"/>
  <c r="S3694" i="6"/>
  <c r="S3758" i="6"/>
  <c r="S3822" i="6"/>
  <c r="S3886" i="6"/>
  <c r="S2790" i="6"/>
  <c r="S3217" i="6"/>
  <c r="S3312" i="6"/>
  <c r="S1439" i="6"/>
  <c r="S1464" i="6"/>
  <c r="S1441" i="6"/>
  <c r="S1721" i="6"/>
  <c r="S1770" i="6"/>
  <c r="S1580" i="6"/>
  <c r="S1708" i="6"/>
  <c r="S1700" i="6"/>
  <c r="S975" i="6"/>
  <c r="S2041" i="6"/>
  <c r="S2568" i="6"/>
  <c r="S2143" i="6"/>
  <c r="S2313" i="6"/>
  <c r="S2425" i="6"/>
  <c r="S2497" i="6"/>
  <c r="S2569" i="6"/>
  <c r="S2641" i="6"/>
  <c r="S2721" i="6"/>
  <c r="S2785" i="6"/>
  <c r="S2849" i="6"/>
  <c r="S1619" i="6"/>
  <c r="S1907" i="6"/>
  <c r="S1998" i="6"/>
  <c r="S2071" i="6"/>
  <c r="S2144" i="6"/>
  <c r="S2210" i="6"/>
  <c r="S2274" i="6"/>
  <c r="S2338" i="6"/>
  <c r="S2402" i="6"/>
  <c r="S2466" i="6"/>
  <c r="S2530" i="6"/>
  <c r="S1824" i="6"/>
  <c r="S1945" i="6"/>
  <c r="S2027" i="6"/>
  <c r="S2100" i="6"/>
  <c r="S2171" i="6"/>
  <c r="S2235" i="6"/>
  <c r="S2299" i="6"/>
  <c r="S2363" i="6"/>
  <c r="S2427" i="6"/>
  <c r="S2491" i="6"/>
  <c r="S2555" i="6"/>
  <c r="S2619" i="6"/>
  <c r="S2683" i="6"/>
  <c r="S1831" i="6"/>
  <c r="S1947" i="6"/>
  <c r="S2028" i="6"/>
  <c r="S2101" i="6"/>
  <c r="S2172" i="6"/>
  <c r="S2236" i="6"/>
  <c r="S2300" i="6"/>
  <c r="S2364" i="6"/>
  <c r="S2428" i="6"/>
  <c r="S2492" i="6"/>
  <c r="S1832" i="6"/>
  <c r="S1949" i="6"/>
  <c r="S2029" i="6"/>
  <c r="S2102" i="6"/>
  <c r="S2173" i="6"/>
  <c r="S2237" i="6"/>
  <c r="S2301" i="6"/>
  <c r="S2365" i="6"/>
  <c r="S2429" i="6"/>
  <c r="S2493" i="6"/>
  <c r="S1402" i="6"/>
  <c r="S1887" i="6"/>
  <c r="S1982" i="6"/>
  <c r="S2057" i="6"/>
  <c r="S2131" i="6"/>
  <c r="S2198" i="6"/>
  <c r="S2262" i="6"/>
  <c r="S2326" i="6"/>
  <c r="S2390" i="6"/>
  <c r="S2454" i="6"/>
  <c r="S2518" i="6"/>
  <c r="S2059" i="6"/>
  <c r="S2548" i="6"/>
  <c r="S2646" i="6"/>
  <c r="S2727" i="6"/>
  <c r="S2800" i="6"/>
  <c r="S2874" i="6"/>
  <c r="S2940" i="6"/>
  <c r="S3004" i="6"/>
  <c r="S3068" i="6"/>
  <c r="S3132" i="6"/>
  <c r="S3196" i="6"/>
  <c r="S3260" i="6"/>
  <c r="S2335" i="6"/>
  <c r="S2604" i="6"/>
  <c r="S2690" i="6"/>
  <c r="S2765" i="6"/>
  <c r="S2838" i="6"/>
  <c r="S2909" i="6"/>
  <c r="S2973" i="6"/>
  <c r="S3037" i="6"/>
  <c r="S3101" i="6"/>
  <c r="S3165" i="6"/>
  <c r="S1667" i="6"/>
  <c r="S2407" i="6"/>
  <c r="S2616" i="6"/>
  <c r="S2702" i="6"/>
  <c r="S2775" i="6"/>
  <c r="S2848" i="6"/>
  <c r="S2918" i="6"/>
  <c r="S2982" i="6"/>
  <c r="S3046" i="6"/>
  <c r="S3110" i="6"/>
  <c r="S3174" i="6"/>
  <c r="S2086" i="6"/>
  <c r="S2556" i="6"/>
  <c r="S2650" i="6"/>
  <c r="S2731" i="6"/>
  <c r="S2804" i="6"/>
  <c r="S2877" i="6"/>
  <c r="S2943" i="6"/>
  <c r="S3007" i="6"/>
  <c r="S3071" i="6"/>
  <c r="S3135" i="6"/>
  <c r="S3199" i="6"/>
  <c r="S3263" i="6"/>
  <c r="S3327" i="6"/>
  <c r="S3391" i="6"/>
  <c r="S2359" i="6"/>
  <c r="S2607" i="6"/>
  <c r="S2694" i="6"/>
  <c r="S2768" i="6"/>
  <c r="S2842" i="6"/>
  <c r="S2912" i="6"/>
  <c r="S2976" i="6"/>
  <c r="S3040" i="6"/>
  <c r="S3104" i="6"/>
  <c r="S2031" i="6"/>
  <c r="S2535" i="6"/>
  <c r="S2642" i="6"/>
  <c r="S2724" i="6"/>
  <c r="S2797" i="6"/>
  <c r="S2870" i="6"/>
  <c r="S2937" i="6"/>
  <c r="S3001" i="6"/>
  <c r="S3065" i="6"/>
  <c r="S3129" i="6"/>
  <c r="S3193" i="6"/>
  <c r="S2375" i="6"/>
  <c r="S2612" i="6"/>
  <c r="S2696" i="6"/>
  <c r="S2771" i="6"/>
  <c r="S2844" i="6"/>
  <c r="S2914" i="6"/>
  <c r="S2978" i="6"/>
  <c r="S3042" i="6"/>
  <c r="S3106" i="6"/>
  <c r="S3170" i="6"/>
  <c r="S3234" i="6"/>
  <c r="S3298" i="6"/>
  <c r="S3362" i="6"/>
  <c r="S3426" i="6"/>
  <c r="S2447" i="6"/>
  <c r="S3115" i="6"/>
  <c r="S3278" i="6"/>
  <c r="S3364" i="6"/>
  <c r="S3441" i="6"/>
  <c r="S3510" i="6"/>
  <c r="S3574" i="6"/>
  <c r="S3638" i="6"/>
  <c r="S3702" i="6"/>
  <c r="S3766" i="6"/>
  <c r="S3830" i="6"/>
  <c r="S3894" i="6"/>
  <c r="S2863" i="6"/>
  <c r="S3232" i="6"/>
  <c r="S746" i="6"/>
  <c r="S647" i="6"/>
  <c r="S1505" i="6"/>
  <c r="S1785" i="6"/>
  <c r="S1834" i="6"/>
  <c r="S1661" i="6"/>
  <c r="S1772" i="6"/>
  <c r="S1765" i="6"/>
  <c r="S1506" i="6"/>
  <c r="S2115" i="6"/>
  <c r="S1608" i="6"/>
  <c r="S2152" i="6"/>
  <c r="S2337" i="6"/>
  <c r="S2433" i="6"/>
  <c r="S2505" i="6"/>
  <c r="S2577" i="6"/>
  <c r="S2657" i="6"/>
  <c r="S2729" i="6"/>
  <c r="S2793" i="6"/>
  <c r="S2857" i="6"/>
  <c r="S1694" i="6"/>
  <c r="S1919" i="6"/>
  <c r="S2007" i="6"/>
  <c r="S2080" i="6"/>
  <c r="S2153" i="6"/>
  <c r="S2218" i="6"/>
  <c r="S2282" i="6"/>
  <c r="S2346" i="6"/>
  <c r="S2410" i="6"/>
  <c r="S2474" i="6"/>
  <c r="S2538" i="6"/>
  <c r="S1848" i="6"/>
  <c r="S1957" i="6"/>
  <c r="S2036" i="6"/>
  <c r="S2109" i="6"/>
  <c r="S2179" i="6"/>
  <c r="S2243" i="6"/>
  <c r="S2307" i="6"/>
  <c r="S2371" i="6"/>
  <c r="S2435" i="6"/>
  <c r="S2499" i="6"/>
  <c r="S2563" i="6"/>
  <c r="S2627" i="6"/>
  <c r="S2691" i="6"/>
  <c r="S1853" i="6"/>
  <c r="S1958" i="6"/>
  <c r="S2037" i="6"/>
  <c r="S2110" i="6"/>
  <c r="S2180" i="6"/>
  <c r="S2244" i="6"/>
  <c r="S2308" i="6"/>
  <c r="S2372" i="6"/>
  <c r="S2436" i="6"/>
  <c r="S2500" i="6"/>
  <c r="S1854" i="6"/>
  <c r="S1959" i="6"/>
  <c r="S2038" i="6"/>
  <c r="S2111" i="6"/>
  <c r="S2181" i="6"/>
  <c r="S2245" i="6"/>
  <c r="S2309" i="6"/>
  <c r="S2373" i="6"/>
  <c r="S2437" i="6"/>
  <c r="S2501" i="6"/>
  <c r="S1576" i="6"/>
  <c r="S1901" i="6"/>
  <c r="S1992" i="6"/>
  <c r="S2067" i="6"/>
  <c r="S2140" i="6"/>
  <c r="S2206" i="6"/>
  <c r="S2270" i="6"/>
  <c r="S2334" i="6"/>
  <c r="S2398" i="6"/>
  <c r="S2462" i="6"/>
  <c r="S2526" i="6"/>
  <c r="S2132" i="6"/>
  <c r="S2564" i="6"/>
  <c r="S2656" i="6"/>
  <c r="S2736" i="6"/>
  <c r="S2810" i="6"/>
  <c r="S2883" i="6"/>
  <c r="S2948" i="6"/>
  <c r="S3012" i="6"/>
  <c r="S3076" i="6"/>
  <c r="S3140" i="6"/>
  <c r="S3204" i="6"/>
  <c r="S1587" i="6"/>
  <c r="S2399" i="6"/>
  <c r="S2615" i="6"/>
  <c r="S2701" i="6"/>
  <c r="S2774" i="6"/>
  <c r="S2847" i="6"/>
  <c r="S2917" i="6"/>
  <c r="S2981" i="6"/>
  <c r="S3045" i="6"/>
  <c r="S3109" i="6"/>
  <c r="S3173" i="6"/>
  <c r="S1915" i="6"/>
  <c r="S2471" i="6"/>
  <c r="S2628" i="6"/>
  <c r="S2711" i="6"/>
  <c r="S2784" i="6"/>
  <c r="S2858" i="6"/>
  <c r="S2926" i="6"/>
  <c r="S2990" i="6"/>
  <c r="S3054" i="6"/>
  <c r="S3118" i="6"/>
  <c r="S3182" i="6"/>
  <c r="S2159" i="6"/>
  <c r="S2567" i="6"/>
  <c r="S2661" i="6"/>
  <c r="S2740" i="6"/>
  <c r="S2813" i="6"/>
  <c r="S2886" i="6"/>
  <c r="S2951" i="6"/>
  <c r="S3015" i="6"/>
  <c r="S3079" i="6"/>
  <c r="S3143" i="6"/>
  <c r="S3207" i="6"/>
  <c r="S3271" i="6"/>
  <c r="S3335" i="6"/>
  <c r="S1800" i="6"/>
  <c r="S2423" i="6"/>
  <c r="S2620" i="6"/>
  <c r="S2704" i="6"/>
  <c r="S2778" i="6"/>
  <c r="S2851" i="6"/>
  <c r="S2920" i="6"/>
  <c r="S2984" i="6"/>
  <c r="S3048" i="6"/>
  <c r="S3112" i="6"/>
  <c r="S2104" i="6"/>
  <c r="S2558" i="6"/>
  <c r="S2653" i="6"/>
  <c r="S2733" i="6"/>
  <c r="S2806" i="6"/>
  <c r="S2879" i="6"/>
  <c r="S2945" i="6"/>
  <c r="S3009" i="6"/>
  <c r="S3073" i="6"/>
  <c r="S3137" i="6"/>
  <c r="S1856" i="6"/>
  <c r="S2439" i="6"/>
  <c r="S2622" i="6"/>
  <c r="S2707" i="6"/>
  <c r="S2780" i="6"/>
  <c r="S2853" i="6"/>
  <c r="S2922" i="6"/>
  <c r="S2986" i="6"/>
  <c r="S3050" i="6"/>
  <c r="S3114" i="6"/>
  <c r="S3178" i="6"/>
  <c r="S3242" i="6"/>
  <c r="S3306" i="6"/>
  <c r="S3370" i="6"/>
  <c r="S3434" i="6"/>
  <c r="S2623" i="6"/>
  <c r="S991" i="6"/>
  <c r="S908" i="6"/>
  <c r="S1569" i="6"/>
  <c r="S1849" i="6"/>
  <c r="S1898" i="6"/>
  <c r="S1731" i="6"/>
  <c r="S1836" i="6"/>
  <c r="S1829" i="6"/>
  <c r="S1607" i="6"/>
  <c r="S2184" i="6"/>
  <c r="S1904" i="6"/>
  <c r="S2209" i="6"/>
  <c r="S2345" i="6"/>
  <c r="S2441" i="6"/>
  <c r="S2513" i="6"/>
  <c r="S2593" i="6"/>
  <c r="S2665" i="6"/>
  <c r="S2737" i="6"/>
  <c r="S2801" i="6"/>
  <c r="S2865" i="6"/>
  <c r="S1760" i="6"/>
  <c r="S1933" i="6"/>
  <c r="S2016" i="6"/>
  <c r="S2089" i="6"/>
  <c r="S2162" i="6"/>
  <c r="S2226" i="6"/>
  <c r="S2290" i="6"/>
  <c r="S2354" i="6"/>
  <c r="S2418" i="6"/>
  <c r="S2482" i="6"/>
  <c r="S2546" i="6"/>
  <c r="S1864" i="6"/>
  <c r="S1967" i="6"/>
  <c r="S2045" i="6"/>
  <c r="S2118" i="6"/>
  <c r="S2187" i="6"/>
  <c r="S2251" i="6"/>
  <c r="S2315" i="6"/>
  <c r="S2379" i="6"/>
  <c r="S2443" i="6"/>
  <c r="S2507" i="6"/>
  <c r="S2571" i="6"/>
  <c r="S2635" i="6"/>
  <c r="S2699" i="6"/>
  <c r="S1869" i="6"/>
  <c r="S1968" i="6"/>
  <c r="S2046" i="6"/>
  <c r="S2119" i="6"/>
  <c r="S2188" i="6"/>
  <c r="S2252" i="6"/>
  <c r="S2316" i="6"/>
  <c r="S2380" i="6"/>
  <c r="S2444" i="6"/>
  <c r="S2508" i="6"/>
  <c r="S1870" i="6"/>
  <c r="S1969" i="6"/>
  <c r="S2047" i="6"/>
  <c r="S2120" i="6"/>
  <c r="S2189" i="6"/>
  <c r="S2253" i="6"/>
  <c r="S2317" i="6"/>
  <c r="S2381" i="6"/>
  <c r="S2445" i="6"/>
  <c r="S2509" i="6"/>
  <c r="S1658" i="6"/>
  <c r="S1912" i="6"/>
  <c r="S2003" i="6"/>
  <c r="S2076" i="6"/>
  <c r="S2149" i="6"/>
  <c r="S2214" i="6"/>
  <c r="S2278" i="6"/>
  <c r="S2342" i="6"/>
  <c r="S2406" i="6"/>
  <c r="S2470" i="6"/>
  <c r="S2534" i="6"/>
  <c r="S2199" i="6"/>
  <c r="S2575" i="6"/>
  <c r="S2668" i="6"/>
  <c r="S2746" i="6"/>
  <c r="S2819" i="6"/>
  <c r="S2892" i="6"/>
  <c r="S2956" i="6"/>
  <c r="S3020" i="6"/>
  <c r="S3084" i="6"/>
  <c r="S3148" i="6"/>
  <c r="S3212" i="6"/>
  <c r="S1902" i="6"/>
  <c r="S2463" i="6"/>
  <c r="S2626" i="6"/>
  <c r="S2710" i="6"/>
  <c r="S2783" i="6"/>
  <c r="S2856" i="6"/>
  <c r="S2925" i="6"/>
  <c r="S2989" i="6"/>
  <c r="S3053" i="6"/>
  <c r="S3117" i="6"/>
  <c r="S3181" i="6"/>
  <c r="S2004" i="6"/>
  <c r="S2524" i="6"/>
  <c r="S2638" i="6"/>
  <c r="S2720" i="6"/>
  <c r="S2794" i="6"/>
  <c r="S2867" i="6"/>
  <c r="S2934" i="6"/>
  <c r="S2998" i="6"/>
  <c r="S3062" i="6"/>
  <c r="S3126" i="6"/>
  <c r="S3190" i="6"/>
  <c r="S2223" i="6"/>
  <c r="S2581" i="6"/>
  <c r="S2671" i="6"/>
  <c r="S2749" i="6"/>
  <c r="S2822" i="6"/>
  <c r="S2895" i="6"/>
  <c r="S2959" i="6"/>
  <c r="S3023" i="6"/>
  <c r="S3087" i="6"/>
  <c r="S3151" i="6"/>
  <c r="S3215" i="6"/>
  <c r="S3279" i="6"/>
  <c r="S3343" i="6"/>
  <c r="S1941" i="6"/>
  <c r="S2487" i="6"/>
  <c r="S2630" i="6"/>
  <c r="S2714" i="6"/>
  <c r="S2787" i="6"/>
  <c r="S2860" i="6"/>
  <c r="S2928" i="6"/>
  <c r="S2992" i="6"/>
  <c r="S3056" i="6"/>
  <c r="S3120" i="6"/>
  <c r="S2175" i="6"/>
  <c r="S2572" i="6"/>
  <c r="S2663" i="6"/>
  <c r="S2742" i="6"/>
  <c r="S2815" i="6"/>
  <c r="S2888" i="6"/>
  <c r="S2953" i="6"/>
  <c r="S3017" i="6"/>
  <c r="S3081" i="6"/>
  <c r="S3145" i="6"/>
  <c r="S1961" i="6"/>
  <c r="S2503" i="6"/>
  <c r="S2632" i="6"/>
  <c r="S2716" i="6"/>
  <c r="S2789" i="6"/>
  <c r="S2862" i="6"/>
  <c r="S2930" i="6"/>
  <c r="S2994" i="6"/>
  <c r="S3058" i="6"/>
  <c r="S3122" i="6"/>
  <c r="S3186" i="6"/>
  <c r="S3250" i="6"/>
  <c r="S3314" i="6"/>
  <c r="S3378" i="6"/>
  <c r="S3442" i="6"/>
  <c r="S2708" i="6"/>
  <c r="S3195" i="6"/>
  <c r="S3300" i="6"/>
  <c r="S3385" i="6"/>
  <c r="S3460" i="6"/>
  <c r="S3526" i="6"/>
  <c r="S3590" i="6"/>
  <c r="S3654" i="6"/>
  <c r="S3718" i="6"/>
  <c r="S3782" i="6"/>
  <c r="S1124" i="6"/>
  <c r="S1087" i="6"/>
  <c r="S1633" i="6"/>
  <c r="S1913" i="6"/>
  <c r="S1962" i="6"/>
  <c r="S1795" i="6"/>
  <c r="S1900" i="6"/>
  <c r="S1447" i="6"/>
  <c r="S1684" i="6"/>
  <c r="S2248" i="6"/>
  <c r="S1918" i="6"/>
  <c r="S2217" i="6"/>
  <c r="S2361" i="6"/>
  <c r="S2449" i="6"/>
  <c r="S2529" i="6"/>
  <c r="S2601" i="6"/>
  <c r="S2673" i="6"/>
  <c r="S2745" i="6"/>
  <c r="S2809" i="6"/>
  <c r="S2873" i="6"/>
  <c r="S1823" i="6"/>
  <c r="S1944" i="6"/>
  <c r="S2025" i="6"/>
  <c r="S2099" i="6"/>
  <c r="S2170" i="6"/>
  <c r="S2234" i="6"/>
  <c r="S2298" i="6"/>
  <c r="S2362" i="6"/>
  <c r="S2426" i="6"/>
  <c r="S2490" i="6"/>
  <c r="S1210" i="6"/>
  <c r="S1880" i="6"/>
  <c r="S1977" i="6"/>
  <c r="S2054" i="6"/>
  <c r="S2127" i="6"/>
  <c r="S2195" i="6"/>
  <c r="S2259" i="6"/>
  <c r="S2323" i="6"/>
  <c r="S2387" i="6"/>
  <c r="S2451" i="6"/>
  <c r="S2515" i="6"/>
  <c r="S2579" i="6"/>
  <c r="S2643" i="6"/>
  <c r="S1274" i="6"/>
  <c r="S1885" i="6"/>
  <c r="S1979" i="6"/>
  <c r="S2055" i="6"/>
  <c r="S2128" i="6"/>
  <c r="S2196" i="6"/>
  <c r="S2260" i="6"/>
  <c r="S2324" i="6"/>
  <c r="S2388" i="6"/>
  <c r="S2452" i="6"/>
  <c r="S1338" i="6"/>
  <c r="S1886" i="6"/>
  <c r="S1981" i="6"/>
  <c r="S2056" i="6"/>
  <c r="S2129" i="6"/>
  <c r="S2197" i="6"/>
  <c r="S2261" i="6"/>
  <c r="S2325" i="6"/>
  <c r="S2389" i="6"/>
  <c r="S2453" i="6"/>
  <c r="S2517" i="6"/>
  <c r="S1728" i="6"/>
  <c r="S1926" i="6"/>
  <c r="S2012" i="6"/>
  <c r="S2085" i="6"/>
  <c r="S2158" i="6"/>
  <c r="S2222" i="6"/>
  <c r="S2286" i="6"/>
  <c r="S2350" i="6"/>
  <c r="S2414" i="6"/>
  <c r="S2478" i="6"/>
  <c r="S2542" i="6"/>
  <c r="S2263" i="6"/>
  <c r="S2589" i="6"/>
  <c r="S2678" i="6"/>
  <c r="S2755" i="6"/>
  <c r="S2828" i="6"/>
  <c r="S2900" i="6"/>
  <c r="S2964" i="6"/>
  <c r="S3028" i="6"/>
  <c r="S3092" i="6"/>
  <c r="S3156" i="6"/>
  <c r="S3220" i="6"/>
  <c r="S1993" i="6"/>
  <c r="S2519" i="6"/>
  <c r="S2637" i="6"/>
  <c r="S2719" i="6"/>
  <c r="S2792" i="6"/>
  <c r="S2866" i="6"/>
  <c r="S2933" i="6"/>
  <c r="S2997" i="6"/>
  <c r="S3061" i="6"/>
  <c r="S3125" i="6"/>
  <c r="S3189" i="6"/>
  <c r="S2077" i="6"/>
  <c r="S2554" i="6"/>
  <c r="S2648" i="6"/>
  <c r="S2730" i="6"/>
  <c r="S2803" i="6"/>
  <c r="S2876" i="6"/>
  <c r="S2942" i="6"/>
  <c r="S3006" i="6"/>
  <c r="S3070" i="6"/>
  <c r="S3134" i="6"/>
  <c r="S3198" i="6"/>
  <c r="S2287" i="6"/>
  <c r="S2594" i="6"/>
  <c r="S2682" i="6"/>
  <c r="S2758" i="6"/>
  <c r="S2831" i="6"/>
  <c r="S2903" i="6"/>
  <c r="S2967" i="6"/>
  <c r="S3031" i="6"/>
  <c r="S3095" i="6"/>
  <c r="S3159" i="6"/>
  <c r="S3223" i="6"/>
  <c r="S3287" i="6"/>
  <c r="S3351" i="6"/>
  <c r="S2022" i="6"/>
  <c r="S2532" i="6"/>
  <c r="S2640" i="6"/>
  <c r="S2723" i="6"/>
  <c r="S2796" i="6"/>
  <c r="S2869" i="6"/>
  <c r="S2936" i="6"/>
  <c r="S3000" i="6"/>
  <c r="S3064" i="6"/>
  <c r="S3128" i="6"/>
  <c r="S2239" i="6"/>
  <c r="S2583" i="6"/>
  <c r="S2674" i="6"/>
  <c r="S2751" i="6"/>
  <c r="S2824" i="6"/>
  <c r="S2897" i="6"/>
  <c r="S2961" i="6"/>
  <c r="S3025" i="6"/>
  <c r="S3089" i="6"/>
  <c r="S3153" i="6"/>
  <c r="S2040" i="6"/>
  <c r="S2540" i="6"/>
  <c r="S2644" i="6"/>
  <c r="S2725" i="6"/>
  <c r="S2798" i="6"/>
  <c r="S2871" i="6"/>
  <c r="S2938" i="6"/>
  <c r="S3002" i="6"/>
  <c r="S3066" i="6"/>
  <c r="S3130" i="6"/>
  <c r="S3194" i="6"/>
  <c r="S3258" i="6"/>
  <c r="S3322" i="6"/>
  <c r="S3386" i="6"/>
  <c r="S3450" i="6"/>
  <c r="S2781" i="6"/>
  <c r="S3216" i="6"/>
  <c r="S3310" i="6"/>
  <c r="S3396" i="6"/>
  <c r="S3469" i="6"/>
  <c r="S3534" i="6"/>
  <c r="S3598" i="6"/>
  <c r="S3662" i="6"/>
  <c r="S3726" i="6"/>
  <c r="S3790" i="6"/>
  <c r="S3854" i="6"/>
  <c r="S1208" i="6"/>
  <c r="S1183" i="6"/>
  <c r="S1697" i="6"/>
  <c r="S1226" i="6"/>
  <c r="S2026" i="6"/>
  <c r="S1859" i="6"/>
  <c r="S1964" i="6"/>
  <c r="S1584" i="6"/>
  <c r="S1751" i="6"/>
  <c r="S2312" i="6"/>
  <c r="S1997" i="6"/>
  <c r="S2233" i="6"/>
  <c r="S2369" i="6"/>
  <c r="S2465" i="6"/>
  <c r="S2537" i="6"/>
  <c r="S2609" i="6"/>
  <c r="S2681" i="6"/>
  <c r="S2753" i="6"/>
  <c r="S2817" i="6"/>
  <c r="S2881" i="6"/>
  <c r="S1847" i="6"/>
  <c r="S1955" i="6"/>
  <c r="S2035" i="6"/>
  <c r="S2108" i="6"/>
  <c r="S2178" i="6"/>
  <c r="S2242" i="6"/>
  <c r="S2306" i="6"/>
  <c r="S2370" i="6"/>
  <c r="S2434" i="6"/>
  <c r="S2498" i="6"/>
  <c r="S1543" i="6"/>
  <c r="S1895" i="6"/>
  <c r="S1989" i="6"/>
  <c r="S2063" i="6"/>
  <c r="S2136" i="6"/>
  <c r="S2203" i="6"/>
  <c r="S2267" i="6"/>
  <c r="S2331" i="6"/>
  <c r="S2395" i="6"/>
  <c r="S2459" i="6"/>
  <c r="S2523" i="6"/>
  <c r="S2587" i="6"/>
  <c r="S2651" i="6"/>
  <c r="S1555" i="6"/>
  <c r="S1896" i="6"/>
  <c r="S1990" i="6"/>
  <c r="S2064" i="6"/>
  <c r="S2137" i="6"/>
  <c r="S2204" i="6"/>
  <c r="S2268" i="6"/>
  <c r="S2332" i="6"/>
  <c r="S2396" i="6"/>
  <c r="S2460" i="6"/>
  <c r="S1565" i="6"/>
  <c r="S1899" i="6"/>
  <c r="S1991" i="6"/>
  <c r="S2065" i="6"/>
  <c r="S2139" i="6"/>
  <c r="S2205" i="6"/>
  <c r="S2269" i="6"/>
  <c r="S2333" i="6"/>
  <c r="S2397" i="6"/>
  <c r="S2461" i="6"/>
  <c r="S2525" i="6"/>
  <c r="S1792" i="6"/>
  <c r="S1939" i="6"/>
  <c r="S2021" i="6"/>
  <c r="S2094" i="6"/>
  <c r="S2166" i="6"/>
  <c r="S2230" i="6"/>
  <c r="S2294" i="6"/>
  <c r="S2358" i="6"/>
  <c r="S2422" i="6"/>
  <c r="S2486" i="6"/>
  <c r="S2550" i="6"/>
  <c r="S2327" i="6"/>
  <c r="S2602" i="6"/>
  <c r="S2688" i="6"/>
  <c r="S2764" i="6"/>
  <c r="S2837" i="6"/>
  <c r="S2908" i="6"/>
  <c r="S2972" i="6"/>
  <c r="S3036" i="6"/>
  <c r="S3100" i="6"/>
  <c r="S3164" i="6"/>
  <c r="S3228" i="6"/>
  <c r="S2068" i="6"/>
  <c r="S2551" i="6"/>
  <c r="S2647" i="6"/>
  <c r="S2728" i="6"/>
  <c r="S2802" i="6"/>
  <c r="S2875" i="6"/>
  <c r="S2941" i="6"/>
  <c r="S3005" i="6"/>
  <c r="S3069" i="6"/>
  <c r="S3133" i="6"/>
  <c r="S3197" i="6"/>
  <c r="S2150" i="6"/>
  <c r="S2566" i="6"/>
  <c r="S2660" i="6"/>
  <c r="S2739" i="6"/>
  <c r="S2812" i="6"/>
  <c r="S2885" i="6"/>
  <c r="S2950" i="6"/>
  <c r="S3014" i="6"/>
  <c r="S3078" i="6"/>
  <c r="S3142" i="6"/>
  <c r="S3206" i="6"/>
  <c r="S2351" i="6"/>
  <c r="S2606" i="6"/>
  <c r="S2693" i="6"/>
  <c r="S2767" i="6"/>
  <c r="S2840" i="6"/>
  <c r="S2911" i="6"/>
  <c r="S2975" i="6"/>
  <c r="S3039" i="6"/>
  <c r="S3103" i="6"/>
  <c r="S3167" i="6"/>
  <c r="S3231" i="6"/>
  <c r="S3295" i="6"/>
  <c r="S3359" i="6"/>
  <c r="S2095" i="6"/>
  <c r="S2557" i="6"/>
  <c r="S2652" i="6"/>
  <c r="S2732" i="6"/>
  <c r="S2805" i="6"/>
  <c r="S2878" i="6"/>
  <c r="S2944" i="6"/>
  <c r="S3008" i="6"/>
  <c r="S3072" i="6"/>
  <c r="S3136" i="6"/>
  <c r="S2303" i="6"/>
  <c r="S2597" i="6"/>
  <c r="S2685" i="6"/>
  <c r="S2760" i="6"/>
  <c r="S2834" i="6"/>
  <c r="S2905" i="6"/>
  <c r="S2969" i="6"/>
  <c r="S3033" i="6"/>
  <c r="S3097" i="6"/>
  <c r="S3161" i="6"/>
  <c r="S2113" i="6"/>
  <c r="S2559" i="6"/>
  <c r="S2654" i="6"/>
  <c r="S2734" i="6"/>
  <c r="S2807" i="6"/>
  <c r="S2880" i="6"/>
  <c r="S2946" i="6"/>
  <c r="S3010" i="6"/>
  <c r="S3074" i="6"/>
  <c r="S3138" i="6"/>
  <c r="S3202" i="6"/>
  <c r="S3266" i="6"/>
  <c r="S3330" i="6"/>
  <c r="S3394" i="6"/>
  <c r="S3458" i="6"/>
  <c r="S2854" i="6"/>
  <c r="S3230" i="6"/>
  <c r="S3321" i="6"/>
  <c r="S3405" i="6"/>
  <c r="S3478" i="6"/>
  <c r="S3542" i="6"/>
  <c r="S3606" i="6"/>
  <c r="S3670" i="6"/>
  <c r="S3734" i="6"/>
  <c r="S3798" i="6"/>
  <c r="S3862" i="6"/>
  <c r="S2511" i="6"/>
  <c r="S3123" i="6"/>
  <c r="S1272" i="6"/>
  <c r="S1249" i="6"/>
  <c r="S1346" i="6"/>
  <c r="S1546" i="6"/>
  <c r="S2090" i="6"/>
  <c r="S1242" i="6"/>
  <c r="S1184" i="6"/>
  <c r="S1664" i="6"/>
  <c r="S1815" i="6"/>
  <c r="S2376" i="6"/>
  <c r="S2006" i="6"/>
  <c r="S2273" i="6"/>
  <c r="S2377" i="6"/>
  <c r="S2473" i="6"/>
  <c r="S2545" i="6"/>
  <c r="S2617" i="6"/>
  <c r="S2689" i="6"/>
  <c r="S2761" i="6"/>
  <c r="S2825" i="6"/>
  <c r="S2889" i="6"/>
  <c r="S1863" i="6"/>
  <c r="S1966" i="6"/>
  <c r="S2044" i="6"/>
  <c r="S2117" i="6"/>
  <c r="S2186" i="6"/>
  <c r="S2250" i="6"/>
  <c r="S2314" i="6"/>
  <c r="S2378" i="6"/>
  <c r="S2442" i="6"/>
  <c r="S2506" i="6"/>
  <c r="S1629" i="6"/>
  <c r="S1909" i="6"/>
  <c r="S1999" i="6"/>
  <c r="S2072" i="6"/>
  <c r="S2145" i="6"/>
  <c r="S2211" i="6"/>
  <c r="S2275" i="6"/>
  <c r="S2339" i="6"/>
  <c r="S2403" i="6"/>
  <c r="S2467" i="6"/>
  <c r="S2531" i="6"/>
  <c r="S2595" i="6"/>
  <c r="S2659" i="6"/>
  <c r="S1639" i="6"/>
  <c r="S1910" i="6"/>
  <c r="S2000" i="6"/>
  <c r="S2073" i="6"/>
  <c r="S2147" i="6"/>
  <c r="S2212" i="6"/>
  <c r="S2276" i="6"/>
  <c r="S2340" i="6"/>
  <c r="S2404" i="6"/>
  <c r="S2468" i="6"/>
  <c r="S1648" i="6"/>
  <c r="S1911" i="6"/>
  <c r="S2001" i="6"/>
  <c r="S2075" i="6"/>
  <c r="S2148" i="6"/>
  <c r="S2213" i="6"/>
  <c r="S2277" i="6"/>
  <c r="S2341" i="6"/>
  <c r="S2405" i="6"/>
  <c r="S2469" i="6"/>
  <c r="S2533" i="6"/>
  <c r="S1837" i="6"/>
  <c r="S1950" i="6"/>
  <c r="S2030" i="6"/>
  <c r="S2103" i="6"/>
  <c r="S2174" i="6"/>
  <c r="S2238" i="6"/>
  <c r="S2302" i="6"/>
  <c r="S2366" i="6"/>
  <c r="S2430" i="6"/>
  <c r="S2494" i="6"/>
  <c r="S1455" i="6"/>
  <c r="S2391" i="6"/>
  <c r="S2614" i="6"/>
  <c r="S2700" i="6"/>
  <c r="S2773" i="6"/>
  <c r="S2846" i="6"/>
  <c r="S2916" i="6"/>
  <c r="S2980" i="6"/>
  <c r="S3044" i="6"/>
  <c r="S3108" i="6"/>
  <c r="S3172" i="6"/>
  <c r="S3236" i="6"/>
  <c r="S2141" i="6"/>
  <c r="S2565" i="6"/>
  <c r="S2658" i="6"/>
  <c r="S2738" i="6"/>
  <c r="S2811" i="6"/>
  <c r="S2884" i="6"/>
  <c r="S2949" i="6"/>
  <c r="S3013" i="6"/>
  <c r="S3077" i="6"/>
  <c r="S3141" i="6"/>
  <c r="S3205" i="6"/>
  <c r="S2215" i="6"/>
  <c r="S2580" i="6"/>
  <c r="S2670" i="6"/>
  <c r="S2748" i="6"/>
  <c r="S2821" i="6"/>
  <c r="S2618" i="6"/>
  <c r="S3175" i="6"/>
  <c r="S2814" i="6"/>
  <c r="S2695" i="6"/>
  <c r="S2183" i="6"/>
  <c r="S3082" i="6"/>
  <c r="S3163" i="6"/>
  <c r="S3494" i="6"/>
  <c r="S3678" i="6"/>
  <c r="S3838" i="6"/>
  <c r="S2717" i="6"/>
  <c r="S3269" i="6"/>
  <c r="S3365" i="6"/>
  <c r="S3443" i="6"/>
  <c r="S3511" i="6"/>
  <c r="S3575" i="6"/>
  <c r="S3639" i="6"/>
  <c r="S3703" i="6"/>
  <c r="S3767" i="6"/>
  <c r="S3831" i="6"/>
  <c r="S3895" i="6"/>
  <c r="S3959" i="6"/>
  <c r="S4023" i="6"/>
  <c r="S4087" i="6"/>
  <c r="S4151" i="6"/>
  <c r="S2726" i="6"/>
  <c r="S3201" i="6"/>
  <c r="S3302" i="6"/>
  <c r="S3388" i="6"/>
  <c r="S3462" i="6"/>
  <c r="S3528" i="6"/>
  <c r="S3592" i="6"/>
  <c r="S3656" i="6"/>
  <c r="S3720" i="6"/>
  <c r="S3784" i="6"/>
  <c r="S2123" i="6"/>
  <c r="S3075" i="6"/>
  <c r="S3272" i="6"/>
  <c r="S3357" i="6"/>
  <c r="S3436" i="6"/>
  <c r="S3505" i="6"/>
  <c r="S3569" i="6"/>
  <c r="S3633" i="6"/>
  <c r="S3697" i="6"/>
  <c r="S3761" i="6"/>
  <c r="S3825" i="6"/>
  <c r="S3889" i="6"/>
  <c r="S3953" i="6"/>
  <c r="S2891" i="6"/>
  <c r="S3237" i="6"/>
  <c r="S3326" i="6"/>
  <c r="S3409" i="6"/>
  <c r="S3482" i="6"/>
  <c r="S3546" i="6"/>
  <c r="S3610" i="6"/>
  <c r="S3674" i="6"/>
  <c r="S3738" i="6"/>
  <c r="S3802" i="6"/>
  <c r="S2255" i="6"/>
  <c r="S3091" i="6"/>
  <c r="S3275" i="6"/>
  <c r="S3360" i="6"/>
  <c r="S3438" i="6"/>
  <c r="S3507" i="6"/>
  <c r="S3571" i="6"/>
  <c r="S3635" i="6"/>
  <c r="S3699" i="6"/>
  <c r="S3763" i="6"/>
  <c r="S3827" i="6"/>
  <c r="S2836" i="6"/>
  <c r="S3227" i="6"/>
  <c r="S3318" i="6"/>
  <c r="S3403" i="6"/>
  <c r="S3476" i="6"/>
  <c r="S3540" i="6"/>
  <c r="S3604" i="6"/>
  <c r="S3668" i="6"/>
  <c r="S3732" i="6"/>
  <c r="S3796" i="6"/>
  <c r="S3107" i="6"/>
  <c r="S3765" i="6"/>
  <c r="S3933" i="6"/>
  <c r="S4012" i="6"/>
  <c r="S4085" i="6"/>
  <c r="S4158" i="6"/>
  <c r="S4226" i="6"/>
  <c r="S4290" i="6"/>
  <c r="S4354" i="6"/>
  <c r="S4418" i="6"/>
  <c r="S4482" i="6"/>
  <c r="S4546" i="6"/>
  <c r="S4610" i="6"/>
  <c r="S4674" i="6"/>
  <c r="S4738" i="6"/>
  <c r="S4802" i="6"/>
  <c r="S4866" i="6"/>
  <c r="S2613" i="6"/>
  <c r="S3709" i="6"/>
  <c r="S3924" i="6"/>
  <c r="S4004" i="6"/>
  <c r="S4077" i="6"/>
  <c r="S4150" i="6"/>
  <c r="S4219" i="6"/>
  <c r="S4283" i="6"/>
  <c r="S4347" i="6"/>
  <c r="S4411" i="6"/>
  <c r="S4475" i="6"/>
  <c r="S4539" i="6"/>
  <c r="S4603" i="6"/>
  <c r="S4667" i="6"/>
  <c r="S4731" i="6"/>
  <c r="S4795" i="6"/>
  <c r="S4859" i="6"/>
  <c r="S4923" i="6"/>
  <c r="S3525" i="6"/>
  <c r="S3890" i="6"/>
  <c r="S3978" i="6"/>
  <c r="S4051" i="6"/>
  <c r="S4124" i="6"/>
  <c r="S4196" i="6"/>
  <c r="S4260" i="6"/>
  <c r="S4324" i="6"/>
  <c r="S4388" i="6"/>
  <c r="S4452" i="6"/>
  <c r="S4516" i="6"/>
  <c r="S4580" i="6"/>
  <c r="S4644" i="6"/>
  <c r="S4708" i="6"/>
  <c r="S4772" i="6"/>
  <c r="S4836" i="6"/>
  <c r="S3395" i="6"/>
  <c r="S3866" i="6"/>
  <c r="S3958" i="6"/>
  <c r="S4034" i="6"/>
  <c r="S4107" i="6"/>
  <c r="S4180" i="6"/>
  <c r="S4245" i="6"/>
  <c r="S4309" i="6"/>
  <c r="S4373" i="6"/>
  <c r="S4437" i="6"/>
  <c r="S4501" i="6"/>
  <c r="S4565" i="6"/>
  <c r="S4629" i="6"/>
  <c r="S4693" i="6"/>
  <c r="S4757" i="6"/>
  <c r="S4821" i="6"/>
  <c r="S4885" i="6"/>
  <c r="S4949" i="6"/>
  <c r="S4838" i="6"/>
  <c r="S3229" i="6"/>
  <c r="S3797" i="6"/>
  <c r="S3939" i="6"/>
  <c r="S4017" i="6"/>
  <c r="S4090" i="6"/>
  <c r="S4163" i="6"/>
  <c r="S4230" i="6"/>
  <c r="S4294" i="6"/>
  <c r="S4358" i="6"/>
  <c r="S4422" i="6"/>
  <c r="S4486" i="6"/>
  <c r="S4550" i="6"/>
  <c r="S4614" i="6"/>
  <c r="S4678" i="6"/>
  <c r="S4742" i="6"/>
  <c r="S2894" i="6"/>
  <c r="S2703" i="6"/>
  <c r="S3239" i="6"/>
  <c r="S2887" i="6"/>
  <c r="S2770" i="6"/>
  <c r="S2573" i="6"/>
  <c r="S3146" i="6"/>
  <c r="S3243" i="6"/>
  <c r="S3518" i="6"/>
  <c r="S3686" i="6"/>
  <c r="S3846" i="6"/>
  <c r="S2931" i="6"/>
  <c r="S3280" i="6"/>
  <c r="S3376" i="6"/>
  <c r="S3452" i="6"/>
  <c r="S3519" i="6"/>
  <c r="S3583" i="6"/>
  <c r="S3647" i="6"/>
  <c r="S3711" i="6"/>
  <c r="S3775" i="6"/>
  <c r="S3839" i="6"/>
  <c r="S3903" i="6"/>
  <c r="S3967" i="6"/>
  <c r="S4031" i="6"/>
  <c r="S4095" i="6"/>
  <c r="S4159" i="6"/>
  <c r="S2799" i="6"/>
  <c r="S3219" i="6"/>
  <c r="S3313" i="6"/>
  <c r="S3398" i="6"/>
  <c r="S3471" i="6"/>
  <c r="S3536" i="6"/>
  <c r="S3600" i="6"/>
  <c r="S3664" i="6"/>
  <c r="S3728" i="6"/>
  <c r="S3792" i="6"/>
  <c r="S2562" i="6"/>
  <c r="S3139" i="6"/>
  <c r="S3283" i="6"/>
  <c r="S3368" i="6"/>
  <c r="S3445" i="6"/>
  <c r="S3513" i="6"/>
  <c r="S3577" i="6"/>
  <c r="S3641" i="6"/>
  <c r="S3705" i="6"/>
  <c r="S3769" i="6"/>
  <c r="S3833" i="6"/>
  <c r="S3897" i="6"/>
  <c r="S3961" i="6"/>
  <c r="S2955" i="6"/>
  <c r="S3249" i="6"/>
  <c r="S3337" i="6"/>
  <c r="S3419" i="6"/>
  <c r="S3490" i="6"/>
  <c r="S3554" i="6"/>
  <c r="S3618" i="6"/>
  <c r="S3682" i="6"/>
  <c r="S3746" i="6"/>
  <c r="S3810" i="6"/>
  <c r="S2588" i="6"/>
  <c r="S3152" i="6"/>
  <c r="S3285" i="6"/>
  <c r="S3371" i="6"/>
  <c r="S3447" i="6"/>
  <c r="S3515" i="6"/>
  <c r="S3579" i="6"/>
  <c r="S3643" i="6"/>
  <c r="S3707" i="6"/>
  <c r="S3771" i="6"/>
  <c r="S3835" i="6"/>
  <c r="S2907" i="6"/>
  <c r="S3240" i="6"/>
  <c r="S3329" i="6"/>
  <c r="S3412" i="6"/>
  <c r="S3484" i="6"/>
  <c r="S3548" i="6"/>
  <c r="S3612" i="6"/>
  <c r="S3676" i="6"/>
  <c r="S3740" i="6"/>
  <c r="S3804" i="6"/>
  <c r="S3277" i="6"/>
  <c r="S3829" i="6"/>
  <c r="S3944" i="6"/>
  <c r="S4021" i="6"/>
  <c r="S4094" i="6"/>
  <c r="S4168" i="6"/>
  <c r="S4234" i="6"/>
  <c r="S4298" i="6"/>
  <c r="S4362" i="6"/>
  <c r="S4426" i="6"/>
  <c r="S4490" i="6"/>
  <c r="S4554" i="6"/>
  <c r="S4618" i="6"/>
  <c r="S4682" i="6"/>
  <c r="S4746" i="6"/>
  <c r="S4810" i="6"/>
  <c r="S4874" i="6"/>
  <c r="S3160" i="6"/>
  <c r="S3773" i="6"/>
  <c r="S3934" i="6"/>
  <c r="S4013" i="6"/>
  <c r="S4086" i="6"/>
  <c r="S4160" i="6"/>
  <c r="S4227" i="6"/>
  <c r="S4291" i="6"/>
  <c r="S4355" i="6"/>
  <c r="S4419" i="6"/>
  <c r="S4483" i="6"/>
  <c r="S4547" i="6"/>
  <c r="S4611" i="6"/>
  <c r="S4675" i="6"/>
  <c r="S4739" i="6"/>
  <c r="S4803" i="6"/>
  <c r="S4867" i="6"/>
  <c r="S4931" i="6"/>
  <c r="S3589" i="6"/>
  <c r="S3901" i="6"/>
  <c r="S3987" i="6"/>
  <c r="S4060" i="6"/>
  <c r="S4133" i="6"/>
  <c r="S4204" i="6"/>
  <c r="S4268" i="6"/>
  <c r="S4332" i="6"/>
  <c r="S4396" i="6"/>
  <c r="S4460" i="6"/>
  <c r="S4524" i="6"/>
  <c r="S4588" i="6"/>
  <c r="S4652" i="6"/>
  <c r="S4716" i="6"/>
  <c r="S4780" i="6"/>
  <c r="S4844" i="6"/>
  <c r="S3468" i="6"/>
  <c r="S3877" i="6"/>
  <c r="S3970" i="6"/>
  <c r="S4043" i="6"/>
  <c r="S4116" i="6"/>
  <c r="S4189" i="6"/>
  <c r="S4253" i="6"/>
  <c r="S4317" i="6"/>
  <c r="S4381" i="6"/>
  <c r="S4445" i="6"/>
  <c r="S4509" i="6"/>
  <c r="S4573" i="6"/>
  <c r="S4637" i="6"/>
  <c r="S4701" i="6"/>
  <c r="S4765" i="6"/>
  <c r="S4829" i="6"/>
  <c r="S4893" i="6"/>
  <c r="S4957" i="6"/>
  <c r="S4854" i="6"/>
  <c r="S3320" i="6"/>
  <c r="S3852" i="6"/>
  <c r="S3949" i="6"/>
  <c r="S4026" i="6"/>
  <c r="S4099" i="6"/>
  <c r="S4172" i="6"/>
  <c r="S4238" i="6"/>
  <c r="S4302" i="6"/>
  <c r="S4366" i="6"/>
  <c r="S4430" i="6"/>
  <c r="S4494" i="6"/>
  <c r="S4558" i="6"/>
  <c r="S4622" i="6"/>
  <c r="S4686" i="6"/>
  <c r="S4750" i="6"/>
  <c r="S4814" i="6"/>
  <c r="S3241" i="6"/>
  <c r="S3805" i="6"/>
  <c r="S3940" i="6"/>
  <c r="S4018" i="6"/>
  <c r="S4091" i="6"/>
  <c r="S4164" i="6"/>
  <c r="S4231" i="6"/>
  <c r="S4295" i="6"/>
  <c r="S4359" i="6"/>
  <c r="S4423" i="6"/>
  <c r="S2958" i="6"/>
  <c r="S2776" i="6"/>
  <c r="S3303" i="6"/>
  <c r="S2952" i="6"/>
  <c r="S2843" i="6"/>
  <c r="S2664" i="6"/>
  <c r="S3210" i="6"/>
  <c r="S3289" i="6"/>
  <c r="S3550" i="6"/>
  <c r="S3710" i="6"/>
  <c r="S3870" i="6"/>
  <c r="S2995" i="6"/>
  <c r="S3291" i="6"/>
  <c r="S3387" i="6"/>
  <c r="S3461" i="6"/>
  <c r="S3527" i="6"/>
  <c r="S3591" i="6"/>
  <c r="S3655" i="6"/>
  <c r="S3719" i="6"/>
  <c r="S3783" i="6"/>
  <c r="S3847" i="6"/>
  <c r="S3911" i="6"/>
  <c r="S3975" i="6"/>
  <c r="S4039" i="6"/>
  <c r="S4103" i="6"/>
  <c r="S4167" i="6"/>
  <c r="S2872" i="6"/>
  <c r="S3233" i="6"/>
  <c r="S3324" i="6"/>
  <c r="S3407" i="6"/>
  <c r="S3480" i="6"/>
  <c r="S3544" i="6"/>
  <c r="S3608" i="6"/>
  <c r="S3672" i="6"/>
  <c r="S3736" i="6"/>
  <c r="S3800" i="6"/>
  <c r="S2655" i="6"/>
  <c r="S3176" i="6"/>
  <c r="S3293" i="6"/>
  <c r="S3379" i="6"/>
  <c r="S3454" i="6"/>
  <c r="S3521" i="6"/>
  <c r="S3585" i="6"/>
  <c r="S3649" i="6"/>
  <c r="S3713" i="6"/>
  <c r="S3777" i="6"/>
  <c r="S3841" i="6"/>
  <c r="S3905" i="6"/>
  <c r="S3969" i="6"/>
  <c r="S3019" i="6"/>
  <c r="S3262" i="6"/>
  <c r="S3348" i="6"/>
  <c r="S3428" i="6"/>
  <c r="S3498" i="6"/>
  <c r="S3562" i="6"/>
  <c r="S3626" i="6"/>
  <c r="S3690" i="6"/>
  <c r="S3754" i="6"/>
  <c r="S3818" i="6"/>
  <c r="S2677" i="6"/>
  <c r="S3184" i="6"/>
  <c r="S3296" i="6"/>
  <c r="S3381" i="6"/>
  <c r="S3456" i="6"/>
  <c r="S3523" i="6"/>
  <c r="S3587" i="6"/>
  <c r="S3651" i="6"/>
  <c r="S3715" i="6"/>
  <c r="S3779" i="6"/>
  <c r="S3843" i="6"/>
  <c r="S2971" i="6"/>
  <c r="S3253" i="6"/>
  <c r="S3340" i="6"/>
  <c r="S3421" i="6"/>
  <c r="S3492" i="6"/>
  <c r="S3556" i="6"/>
  <c r="S3620" i="6"/>
  <c r="S3684" i="6"/>
  <c r="S3748" i="6"/>
  <c r="S3812" i="6"/>
  <c r="S3363" i="6"/>
  <c r="S3860" i="6"/>
  <c r="S3955" i="6"/>
  <c r="S4030" i="6"/>
  <c r="S4104" i="6"/>
  <c r="S4177" i="6"/>
  <c r="S4242" i="6"/>
  <c r="S4306" i="6"/>
  <c r="S4370" i="6"/>
  <c r="S4434" i="6"/>
  <c r="S4498" i="6"/>
  <c r="S4562" i="6"/>
  <c r="S4626" i="6"/>
  <c r="S4690" i="6"/>
  <c r="S4754" i="6"/>
  <c r="S4818" i="6"/>
  <c r="S4882" i="6"/>
  <c r="S3288" i="6"/>
  <c r="S3837" i="6"/>
  <c r="S3946" i="6"/>
  <c r="S4022" i="6"/>
  <c r="S4096" i="6"/>
  <c r="S4169" i="6"/>
  <c r="S4235" i="6"/>
  <c r="S4299" i="6"/>
  <c r="S4363" i="6"/>
  <c r="S4427" i="6"/>
  <c r="S4491" i="6"/>
  <c r="S4555" i="6"/>
  <c r="S4619" i="6"/>
  <c r="S4683" i="6"/>
  <c r="S4747" i="6"/>
  <c r="S4811" i="6"/>
  <c r="S4875" i="6"/>
  <c r="S4939" i="6"/>
  <c r="S3653" i="6"/>
  <c r="S3915" i="6"/>
  <c r="S3996" i="6"/>
  <c r="S4069" i="6"/>
  <c r="S4142" i="6"/>
  <c r="S4212" i="6"/>
  <c r="S4276" i="6"/>
  <c r="S4340" i="6"/>
  <c r="S4404" i="6"/>
  <c r="S4468" i="6"/>
  <c r="S4532" i="6"/>
  <c r="S4596" i="6"/>
  <c r="S4660" i="6"/>
  <c r="S4724" i="6"/>
  <c r="S4788" i="6"/>
  <c r="S4852" i="6"/>
  <c r="S3533" i="6"/>
  <c r="S3891" i="6"/>
  <c r="S3979" i="6"/>
  <c r="S4052" i="6"/>
  <c r="S4125" i="6"/>
  <c r="S4197" i="6"/>
  <c r="S4261" i="6"/>
  <c r="S4325" i="6"/>
  <c r="S4389" i="6"/>
  <c r="S4453" i="6"/>
  <c r="S4517" i="6"/>
  <c r="S4581" i="6"/>
  <c r="S4645" i="6"/>
  <c r="S4709" i="6"/>
  <c r="S4773" i="6"/>
  <c r="S4837" i="6"/>
  <c r="S4901" i="6"/>
  <c r="S4965" i="6"/>
  <c r="S4870" i="6"/>
  <c r="S3404" i="6"/>
  <c r="S3867" i="6"/>
  <c r="S3960" i="6"/>
  <c r="S4035" i="6"/>
  <c r="S4108" i="6"/>
  <c r="S4181" i="6"/>
  <c r="S4246" i="6"/>
  <c r="S4310" i="6"/>
  <c r="S4374" i="6"/>
  <c r="S4438" i="6"/>
  <c r="S4502" i="6"/>
  <c r="S4566" i="6"/>
  <c r="S4630" i="6"/>
  <c r="S4694" i="6"/>
  <c r="S4758" i="6"/>
  <c r="S4830" i="6"/>
  <c r="S3331" i="6"/>
  <c r="S3853" i="6"/>
  <c r="S3950" i="6"/>
  <c r="S4027" i="6"/>
  <c r="S4100" i="6"/>
  <c r="S4173" i="6"/>
  <c r="S4239" i="6"/>
  <c r="S4303" i="6"/>
  <c r="S4367" i="6"/>
  <c r="S3022" i="6"/>
  <c r="S2850" i="6"/>
  <c r="S3367" i="6"/>
  <c r="S3016" i="6"/>
  <c r="S2913" i="6"/>
  <c r="S2743" i="6"/>
  <c r="S3274" i="6"/>
  <c r="S3332" i="6"/>
  <c r="S3558" i="6"/>
  <c r="S3742" i="6"/>
  <c r="S3878" i="6"/>
  <c r="S3059" i="6"/>
  <c r="S3301" i="6"/>
  <c r="S3397" i="6"/>
  <c r="S3470" i="6"/>
  <c r="S3535" i="6"/>
  <c r="S3599" i="6"/>
  <c r="S3663" i="6"/>
  <c r="S3727" i="6"/>
  <c r="S3791" i="6"/>
  <c r="S3855" i="6"/>
  <c r="S3919" i="6"/>
  <c r="S3983" i="6"/>
  <c r="S4047" i="6"/>
  <c r="S4111" i="6"/>
  <c r="S4175" i="6"/>
  <c r="S2939" i="6"/>
  <c r="S3246" i="6"/>
  <c r="S3334" i="6"/>
  <c r="S3416" i="6"/>
  <c r="S3488" i="6"/>
  <c r="S3552" i="6"/>
  <c r="S3616" i="6"/>
  <c r="S3680" i="6"/>
  <c r="S3744" i="6"/>
  <c r="S3808" i="6"/>
  <c r="S2735" i="6"/>
  <c r="S3203" i="6"/>
  <c r="S3304" i="6"/>
  <c r="S3389" i="6"/>
  <c r="S3463" i="6"/>
  <c r="S3529" i="6"/>
  <c r="S3593" i="6"/>
  <c r="S3657" i="6"/>
  <c r="S3721" i="6"/>
  <c r="S3785" i="6"/>
  <c r="S3849" i="6"/>
  <c r="S3913" i="6"/>
  <c r="S2191" i="6"/>
  <c r="S3083" i="6"/>
  <c r="S3273" i="6"/>
  <c r="S3358" i="6"/>
  <c r="S3437" i="6"/>
  <c r="S3506" i="6"/>
  <c r="S3570" i="6"/>
  <c r="S3634" i="6"/>
  <c r="S3698" i="6"/>
  <c r="S3762" i="6"/>
  <c r="S3826" i="6"/>
  <c r="S2754" i="6"/>
  <c r="S3209" i="6"/>
  <c r="S3307" i="6"/>
  <c r="S3392" i="6"/>
  <c r="S3465" i="6"/>
  <c r="S3531" i="6"/>
  <c r="S3595" i="6"/>
  <c r="S3659" i="6"/>
  <c r="S3723" i="6"/>
  <c r="S3787" i="6"/>
  <c r="S3851" i="6"/>
  <c r="S3035" i="6"/>
  <c r="S3265" i="6"/>
  <c r="S3350" i="6"/>
  <c r="S3430" i="6"/>
  <c r="S3500" i="6"/>
  <c r="S3564" i="6"/>
  <c r="S3628" i="6"/>
  <c r="S3692" i="6"/>
  <c r="S3756" i="6"/>
  <c r="S3820" i="6"/>
  <c r="S3440" i="6"/>
  <c r="S3874" i="6"/>
  <c r="S3965" i="6"/>
  <c r="S4040" i="6"/>
  <c r="S4113" i="6"/>
  <c r="S4186" i="6"/>
  <c r="S4250" i="6"/>
  <c r="S4314" i="6"/>
  <c r="S4378" i="6"/>
  <c r="S4442" i="6"/>
  <c r="S4506" i="6"/>
  <c r="S4570" i="6"/>
  <c r="S4634" i="6"/>
  <c r="S4698" i="6"/>
  <c r="S4762" i="6"/>
  <c r="S4826" i="6"/>
  <c r="S4890" i="6"/>
  <c r="S3373" i="6"/>
  <c r="S3861" i="6"/>
  <c r="S3956" i="6"/>
  <c r="S4032" i="6"/>
  <c r="S4105" i="6"/>
  <c r="S4178" i="6"/>
  <c r="S4243" i="6"/>
  <c r="S4307" i="6"/>
  <c r="S4371" i="6"/>
  <c r="S4435" i="6"/>
  <c r="S4499" i="6"/>
  <c r="S4563" i="6"/>
  <c r="S4627" i="6"/>
  <c r="S4691" i="6"/>
  <c r="S4755" i="6"/>
  <c r="S4819" i="6"/>
  <c r="S4883" i="6"/>
  <c r="S2698" i="6"/>
  <c r="S3717" i="6"/>
  <c r="S3925" i="6"/>
  <c r="S4005" i="6"/>
  <c r="S4078" i="6"/>
  <c r="S4152" i="6"/>
  <c r="S4220" i="6"/>
  <c r="S4284" i="6"/>
  <c r="S4348" i="6"/>
  <c r="S4412" i="6"/>
  <c r="S4476" i="6"/>
  <c r="S4540" i="6"/>
  <c r="S4604" i="6"/>
  <c r="S4668" i="6"/>
  <c r="S4732" i="6"/>
  <c r="S4796" i="6"/>
  <c r="S4860" i="6"/>
  <c r="S3597" i="6"/>
  <c r="S3904" i="6"/>
  <c r="S3988" i="6"/>
  <c r="S4061" i="6"/>
  <c r="S4134" i="6"/>
  <c r="S4205" i="6"/>
  <c r="S4269" i="6"/>
  <c r="S4333" i="6"/>
  <c r="S4397" i="6"/>
  <c r="S4461" i="6"/>
  <c r="S4525" i="6"/>
  <c r="S4589" i="6"/>
  <c r="S4653" i="6"/>
  <c r="S4717" i="6"/>
  <c r="S4781" i="6"/>
  <c r="S4845" i="6"/>
  <c r="S4909" i="6"/>
  <c r="S4973" i="6"/>
  <c r="S4878" i="6"/>
  <c r="S3477" i="6"/>
  <c r="S3880" i="6"/>
  <c r="S3971" i="6"/>
  <c r="S4044" i="6"/>
  <c r="S4117" i="6"/>
  <c r="S4190" i="6"/>
  <c r="S4254" i="6"/>
  <c r="S4318" i="6"/>
  <c r="S4382" i="6"/>
  <c r="S4446" i="6"/>
  <c r="S4510" i="6"/>
  <c r="S4574" i="6"/>
  <c r="S4638" i="6"/>
  <c r="S4702" i="6"/>
  <c r="S4766" i="6"/>
  <c r="S4846" i="6"/>
  <c r="S3413" i="6"/>
  <c r="S3868" i="6"/>
  <c r="S3962" i="6"/>
  <c r="S4036" i="6"/>
  <c r="S3086" i="6"/>
  <c r="S2919" i="6"/>
  <c r="S2167" i="6"/>
  <c r="S3080" i="6"/>
  <c r="S2977" i="6"/>
  <c r="S2816" i="6"/>
  <c r="S3338" i="6"/>
  <c r="S3374" i="6"/>
  <c r="S3582" i="6"/>
  <c r="S3750" i="6"/>
  <c r="S3902" i="6"/>
  <c r="S3168" i="6"/>
  <c r="S3323" i="6"/>
  <c r="S3406" i="6"/>
  <c r="S3479" i="6"/>
  <c r="S3543" i="6"/>
  <c r="S3607" i="6"/>
  <c r="S3671" i="6"/>
  <c r="S3735" i="6"/>
  <c r="S3799" i="6"/>
  <c r="S3863" i="6"/>
  <c r="S3927" i="6"/>
  <c r="S3991" i="6"/>
  <c r="S4055" i="6"/>
  <c r="S4119" i="6"/>
  <c r="S4183" i="6"/>
  <c r="S3003" i="6"/>
  <c r="S3259" i="6"/>
  <c r="S3345" i="6"/>
  <c r="S3425" i="6"/>
  <c r="S3496" i="6"/>
  <c r="S3560" i="6"/>
  <c r="S3624" i="6"/>
  <c r="S3688" i="6"/>
  <c r="S3752" i="6"/>
  <c r="S3816" i="6"/>
  <c r="S2808" i="6"/>
  <c r="S3222" i="6"/>
  <c r="S3315" i="6"/>
  <c r="S3399" i="6"/>
  <c r="S3472" i="6"/>
  <c r="S3537" i="6"/>
  <c r="S3601" i="6"/>
  <c r="S3665" i="6"/>
  <c r="S3729" i="6"/>
  <c r="S3793" i="6"/>
  <c r="S3857" i="6"/>
  <c r="S3921" i="6"/>
  <c r="S2574" i="6"/>
  <c r="S3147" i="6"/>
  <c r="S3284" i="6"/>
  <c r="S3369" i="6"/>
  <c r="S3446" i="6"/>
  <c r="S3514" i="6"/>
  <c r="S3578" i="6"/>
  <c r="S3642" i="6"/>
  <c r="S3706" i="6"/>
  <c r="S3770" i="6"/>
  <c r="S3834" i="6"/>
  <c r="S2827" i="6"/>
  <c r="S3225" i="6"/>
  <c r="S3317" i="6"/>
  <c r="S3401" i="6"/>
  <c r="S3475" i="6"/>
  <c r="S3539" i="6"/>
  <c r="S3603" i="6"/>
  <c r="S3667" i="6"/>
  <c r="S3731" i="6"/>
  <c r="S3795" i="6"/>
  <c r="S2319" i="6"/>
  <c r="S3099" i="6"/>
  <c r="S3276" i="6"/>
  <c r="S3361" i="6"/>
  <c r="S3439" i="6"/>
  <c r="S3508" i="6"/>
  <c r="S3572" i="6"/>
  <c r="S3636" i="6"/>
  <c r="S3700" i="6"/>
  <c r="S3764" i="6"/>
  <c r="S3828" i="6"/>
  <c r="S3509" i="6"/>
  <c r="S3885" i="6"/>
  <c r="S3976" i="6"/>
  <c r="S4049" i="6"/>
  <c r="S4122" i="6"/>
  <c r="S4194" i="6"/>
  <c r="S4258" i="6"/>
  <c r="S4322" i="6"/>
  <c r="S4386" i="6"/>
  <c r="S4450" i="6"/>
  <c r="S4514" i="6"/>
  <c r="S4578" i="6"/>
  <c r="S4642" i="6"/>
  <c r="S4706" i="6"/>
  <c r="S4770" i="6"/>
  <c r="S4834" i="6"/>
  <c r="S4898" i="6"/>
  <c r="S3449" i="6"/>
  <c r="S3875" i="6"/>
  <c r="S3966" i="6"/>
  <c r="S4041" i="6"/>
  <c r="S4114" i="6"/>
  <c r="S4187" i="6"/>
  <c r="S4251" i="6"/>
  <c r="S4315" i="6"/>
  <c r="S4379" i="6"/>
  <c r="S4443" i="6"/>
  <c r="S4507" i="6"/>
  <c r="S4571" i="6"/>
  <c r="S4635" i="6"/>
  <c r="S4699" i="6"/>
  <c r="S4763" i="6"/>
  <c r="S4827" i="6"/>
  <c r="S4891" i="6"/>
  <c r="S3192" i="6"/>
  <c r="S3781" i="6"/>
  <c r="S3936" i="6"/>
  <c r="S4014" i="6"/>
  <c r="S4088" i="6"/>
  <c r="S4161" i="6"/>
  <c r="S4228" i="6"/>
  <c r="S4292" i="6"/>
  <c r="S4356" i="6"/>
  <c r="S4420" i="6"/>
  <c r="S4484" i="6"/>
  <c r="S4548" i="6"/>
  <c r="S4612" i="6"/>
  <c r="S4676" i="6"/>
  <c r="S4740" i="6"/>
  <c r="S4804" i="6"/>
  <c r="S4868" i="6"/>
  <c r="S3661" i="6"/>
  <c r="S3916" i="6"/>
  <c r="S3997" i="6"/>
  <c r="S4070" i="6"/>
  <c r="S4144" i="6"/>
  <c r="S4213" i="6"/>
  <c r="S4277" i="6"/>
  <c r="S4341" i="6"/>
  <c r="S4405" i="6"/>
  <c r="S4469" i="6"/>
  <c r="S4533" i="6"/>
  <c r="S4597" i="6"/>
  <c r="S4661" i="6"/>
  <c r="S4725" i="6"/>
  <c r="S4789" i="6"/>
  <c r="S4853" i="6"/>
  <c r="S4917" i="6"/>
  <c r="S4981" i="6"/>
  <c r="S4894" i="6"/>
  <c r="S3541" i="6"/>
  <c r="S3892" i="6"/>
  <c r="S3980" i="6"/>
  <c r="S4053" i="6"/>
  <c r="S4126" i="6"/>
  <c r="S4198" i="6"/>
  <c r="S4262" i="6"/>
  <c r="S4326" i="6"/>
  <c r="S4390" i="6"/>
  <c r="S4454" i="6"/>
  <c r="S4518" i="6"/>
  <c r="S4582" i="6"/>
  <c r="S4646" i="6"/>
  <c r="S4710" i="6"/>
  <c r="S4774" i="6"/>
  <c r="S4862" i="6"/>
  <c r="S3485" i="6"/>
  <c r="S3882" i="6"/>
  <c r="S3150" i="6"/>
  <c r="S2983" i="6"/>
  <c r="S2570" i="6"/>
  <c r="S3144" i="6"/>
  <c r="S3041" i="6"/>
  <c r="S2890" i="6"/>
  <c r="S3402" i="6"/>
  <c r="S3414" i="6"/>
  <c r="S3614" i="6"/>
  <c r="S3774" i="6"/>
  <c r="S3910" i="6"/>
  <c r="S3200" i="6"/>
  <c r="S3333" i="6"/>
  <c r="S3415" i="6"/>
  <c r="S3487" i="6"/>
  <c r="S3551" i="6"/>
  <c r="S3615" i="6"/>
  <c r="S3679" i="6"/>
  <c r="S3743" i="6"/>
  <c r="S3807" i="6"/>
  <c r="S3871" i="6"/>
  <c r="S3935" i="6"/>
  <c r="S3999" i="6"/>
  <c r="S4063" i="6"/>
  <c r="S4127" i="6"/>
  <c r="S2049" i="6"/>
  <c r="S3067" i="6"/>
  <c r="S3270" i="6"/>
  <c r="S3356" i="6"/>
  <c r="S3435" i="6"/>
  <c r="S3504" i="6"/>
  <c r="S3568" i="6"/>
  <c r="S3632" i="6"/>
  <c r="S3696" i="6"/>
  <c r="S3760" i="6"/>
  <c r="S3824" i="6"/>
  <c r="S2882" i="6"/>
  <c r="S3235" i="6"/>
  <c r="S3325" i="6"/>
  <c r="S3408" i="6"/>
  <c r="S3481" i="6"/>
  <c r="S3545" i="6"/>
  <c r="S3609" i="6"/>
  <c r="S3673" i="6"/>
  <c r="S3737" i="6"/>
  <c r="S3801" i="6"/>
  <c r="S3865" i="6"/>
  <c r="S3929" i="6"/>
  <c r="S2666" i="6"/>
  <c r="S3179" i="6"/>
  <c r="S3294" i="6"/>
  <c r="S3380" i="6"/>
  <c r="S3455" i="6"/>
  <c r="S3522" i="6"/>
  <c r="S3586" i="6"/>
  <c r="S3650" i="6"/>
  <c r="S3714" i="6"/>
  <c r="S3778" i="6"/>
  <c r="S3842" i="6"/>
  <c r="S2899" i="6"/>
  <c r="S3238" i="6"/>
  <c r="S3328" i="6"/>
  <c r="S3411" i="6"/>
  <c r="S3483" i="6"/>
  <c r="S3547" i="6"/>
  <c r="S3611" i="6"/>
  <c r="S3675" i="6"/>
  <c r="S3739" i="6"/>
  <c r="S3803" i="6"/>
  <c r="S2599" i="6"/>
  <c r="S3155" i="6"/>
  <c r="S3286" i="6"/>
  <c r="S3372" i="6"/>
  <c r="S3448" i="6"/>
  <c r="S3516" i="6"/>
  <c r="S3580" i="6"/>
  <c r="S3644" i="6"/>
  <c r="S3708" i="6"/>
  <c r="S3772" i="6"/>
  <c r="S3836" i="6"/>
  <c r="S3573" i="6"/>
  <c r="S3899" i="6"/>
  <c r="S3985" i="6"/>
  <c r="S4058" i="6"/>
  <c r="S4131" i="6"/>
  <c r="S4202" i="6"/>
  <c r="S4266" i="6"/>
  <c r="S4330" i="6"/>
  <c r="S4394" i="6"/>
  <c r="S4458" i="6"/>
  <c r="S4522" i="6"/>
  <c r="S4586" i="6"/>
  <c r="S4650" i="6"/>
  <c r="S4714" i="6"/>
  <c r="S4778" i="6"/>
  <c r="S4842" i="6"/>
  <c r="S4906" i="6"/>
  <c r="S3517" i="6"/>
  <c r="S3888" i="6"/>
  <c r="S3977" i="6"/>
  <c r="S4050" i="6"/>
  <c r="S4123" i="6"/>
  <c r="S4195" i="6"/>
  <c r="S4259" i="6"/>
  <c r="S4323" i="6"/>
  <c r="S4387" i="6"/>
  <c r="S4451" i="6"/>
  <c r="S4515" i="6"/>
  <c r="S4579" i="6"/>
  <c r="S4643" i="6"/>
  <c r="S4707" i="6"/>
  <c r="S4771" i="6"/>
  <c r="S4835" i="6"/>
  <c r="S4899" i="6"/>
  <c r="S3299" i="6"/>
  <c r="S3845" i="6"/>
  <c r="S3947" i="6"/>
  <c r="S4024" i="6"/>
  <c r="S4097" i="6"/>
  <c r="S4170" i="6"/>
  <c r="S4236" i="6"/>
  <c r="S4300" i="6"/>
  <c r="S4364" i="6"/>
  <c r="S4428" i="6"/>
  <c r="S4492" i="6"/>
  <c r="S4556" i="6"/>
  <c r="S4620" i="6"/>
  <c r="S4684" i="6"/>
  <c r="S4748" i="6"/>
  <c r="S4812" i="6"/>
  <c r="S2772" i="6"/>
  <c r="S3725" i="6"/>
  <c r="S3926" i="6"/>
  <c r="S4006" i="6"/>
  <c r="S4080" i="6"/>
  <c r="S4153" i="6"/>
  <c r="S4221" i="6"/>
  <c r="S4285" i="6"/>
  <c r="S4349" i="6"/>
  <c r="S4413" i="6"/>
  <c r="S4477" i="6"/>
  <c r="S4541" i="6"/>
  <c r="S4605" i="6"/>
  <c r="S4669" i="6"/>
  <c r="S4733" i="6"/>
  <c r="S4797" i="6"/>
  <c r="S4861" i="6"/>
  <c r="S4925" i="6"/>
  <c r="S4989" i="6"/>
  <c r="S4910" i="6"/>
  <c r="S3605" i="6"/>
  <c r="S3906" i="6"/>
  <c r="S3989" i="6"/>
  <c r="S4062" i="6"/>
  <c r="S4136" i="6"/>
  <c r="S4206" i="6"/>
  <c r="S4270" i="6"/>
  <c r="S4334" i="6"/>
  <c r="S4398" i="6"/>
  <c r="S4462" i="6"/>
  <c r="S4526" i="6"/>
  <c r="S4590" i="6"/>
  <c r="S4654" i="6"/>
  <c r="S4718" i="6"/>
  <c r="S4782" i="6"/>
  <c r="S4886" i="6"/>
  <c r="S3549" i="6"/>
  <c r="S3893" i="6"/>
  <c r="S1736" i="6"/>
  <c r="S3047" i="6"/>
  <c r="S2662" i="6"/>
  <c r="S2367" i="6"/>
  <c r="S3105" i="6"/>
  <c r="S2954" i="6"/>
  <c r="S3466" i="6"/>
  <c r="S3451" i="6"/>
  <c r="S3622" i="6"/>
  <c r="S3806" i="6"/>
  <c r="S1973" i="6"/>
  <c r="S3245" i="6"/>
  <c r="S3344" i="6"/>
  <c r="S3424" i="6"/>
  <c r="S3495" i="6"/>
  <c r="S3559" i="6"/>
  <c r="S3623" i="6"/>
  <c r="S3687" i="6"/>
  <c r="S3751" i="6"/>
  <c r="S3815" i="6"/>
  <c r="S3879" i="6"/>
  <c r="S3943" i="6"/>
  <c r="S4007" i="6"/>
  <c r="S4071" i="6"/>
  <c r="S4135" i="6"/>
  <c r="S2543" i="6"/>
  <c r="S3131" i="6"/>
  <c r="S3281" i="6"/>
  <c r="S3366" i="6"/>
  <c r="S3444" i="6"/>
  <c r="S3512" i="6"/>
  <c r="S3576" i="6"/>
  <c r="S3640" i="6"/>
  <c r="S3704" i="6"/>
  <c r="S3768" i="6"/>
  <c r="S3832" i="6"/>
  <c r="S2947" i="6"/>
  <c r="S3248" i="6"/>
  <c r="S3336" i="6"/>
  <c r="S3417" i="6"/>
  <c r="S3489" i="6"/>
  <c r="S3553" i="6"/>
  <c r="S3617" i="6"/>
  <c r="S3681" i="6"/>
  <c r="S3745" i="6"/>
  <c r="S3809" i="6"/>
  <c r="S3873" i="6"/>
  <c r="S3937" i="6"/>
  <c r="S2744" i="6"/>
  <c r="S3208" i="6"/>
  <c r="S3305" i="6"/>
  <c r="S3390" i="6"/>
  <c r="S3464" i="6"/>
  <c r="S3530" i="6"/>
  <c r="S3594" i="6"/>
  <c r="S3658" i="6"/>
  <c r="S3722" i="6"/>
  <c r="S3786" i="6"/>
  <c r="S3850" i="6"/>
  <c r="S2963" i="6"/>
  <c r="S3251" i="6"/>
  <c r="S3339" i="6"/>
  <c r="S3420" i="6"/>
  <c r="S3491" i="6"/>
  <c r="S3555" i="6"/>
  <c r="S3619" i="6"/>
  <c r="S3683" i="6"/>
  <c r="S3747" i="6"/>
  <c r="S3811" i="6"/>
  <c r="S2687" i="6"/>
  <c r="S3187" i="6"/>
  <c r="S3297" i="6"/>
  <c r="S3382" i="6"/>
  <c r="S3457" i="6"/>
  <c r="S3524" i="6"/>
  <c r="S3588" i="6"/>
  <c r="S3652" i="6"/>
  <c r="S3716" i="6"/>
  <c r="S3780" i="6"/>
  <c r="S3844" i="6"/>
  <c r="S3637" i="6"/>
  <c r="S3912" i="6"/>
  <c r="S3994" i="6"/>
  <c r="S4067" i="6"/>
  <c r="S4140" i="6"/>
  <c r="S4210" i="6"/>
  <c r="S4274" i="6"/>
  <c r="S4338" i="6"/>
  <c r="S4402" i="6"/>
  <c r="S4466" i="6"/>
  <c r="S4530" i="6"/>
  <c r="S4594" i="6"/>
  <c r="S4658" i="6"/>
  <c r="S4722" i="6"/>
  <c r="S4786" i="6"/>
  <c r="S4850" i="6"/>
  <c r="S4914" i="6"/>
  <c r="S3581" i="6"/>
  <c r="S3900" i="6"/>
  <c r="S3986" i="6"/>
  <c r="S4059" i="6"/>
  <c r="S4132" i="6"/>
  <c r="S4203" i="6"/>
  <c r="S4267" i="6"/>
  <c r="S4331" i="6"/>
  <c r="S4395" i="6"/>
  <c r="S4459" i="6"/>
  <c r="S4523" i="6"/>
  <c r="S4587" i="6"/>
  <c r="S4651" i="6"/>
  <c r="S4715" i="6"/>
  <c r="S4779" i="6"/>
  <c r="S4843" i="6"/>
  <c r="S4907" i="6"/>
  <c r="S3384" i="6"/>
  <c r="S3864" i="6"/>
  <c r="S3957" i="6"/>
  <c r="S4033" i="6"/>
  <c r="S4106" i="6"/>
  <c r="S4179" i="6"/>
  <c r="S4244" i="6"/>
  <c r="S4308" i="6"/>
  <c r="S4372" i="6"/>
  <c r="S4436" i="6"/>
  <c r="S4500" i="6"/>
  <c r="S4564" i="6"/>
  <c r="S4628" i="6"/>
  <c r="S4692" i="6"/>
  <c r="S4756" i="6"/>
  <c r="S4820" i="6"/>
  <c r="S3214" i="6"/>
  <c r="S3789" i="6"/>
  <c r="S3938" i="6"/>
  <c r="S4016" i="6"/>
  <c r="S4089" i="6"/>
  <c r="S4162" i="6"/>
  <c r="S4229" i="6"/>
  <c r="S4293" i="6"/>
  <c r="S4357" i="6"/>
  <c r="S4421" i="6"/>
  <c r="S4485" i="6"/>
  <c r="S4549" i="6"/>
  <c r="S4613" i="6"/>
  <c r="S4677" i="6"/>
  <c r="S4741" i="6"/>
  <c r="S4805" i="6"/>
  <c r="S4869" i="6"/>
  <c r="S4933" i="6"/>
  <c r="S4997" i="6"/>
  <c r="S4926" i="6"/>
  <c r="S3669" i="6"/>
  <c r="S3917" i="6"/>
  <c r="S3998" i="6"/>
  <c r="S4072" i="6"/>
  <c r="S4145" i="6"/>
  <c r="S4214" i="6"/>
  <c r="S4278" i="6"/>
  <c r="S4342" i="6"/>
  <c r="S4406" i="6"/>
  <c r="S4470" i="6"/>
  <c r="S4534" i="6"/>
  <c r="S4598" i="6"/>
  <c r="S2415" i="6"/>
  <c r="S3111" i="6"/>
  <c r="S2741" i="6"/>
  <c r="S2610" i="6"/>
  <c r="S3169" i="6"/>
  <c r="S3018" i="6"/>
  <c r="S2923" i="6"/>
  <c r="S3486" i="6"/>
  <c r="S3646" i="6"/>
  <c r="S3814" i="6"/>
  <c r="S2634" i="6"/>
  <c r="S3257" i="6"/>
  <c r="S3355" i="6"/>
  <c r="S3433" i="6"/>
  <c r="S3503" i="6"/>
  <c r="S3567" i="6"/>
  <c r="S3631" i="6"/>
  <c r="S3695" i="6"/>
  <c r="S3759" i="6"/>
  <c r="S3823" i="6"/>
  <c r="S3887" i="6"/>
  <c r="S3951" i="6"/>
  <c r="S4015" i="6"/>
  <c r="S4079" i="6"/>
  <c r="S4143" i="6"/>
  <c r="S2645" i="6"/>
  <c r="S3171" i="6"/>
  <c r="S3292" i="6"/>
  <c r="S3377" i="6"/>
  <c r="S3453" i="6"/>
  <c r="S3520" i="6"/>
  <c r="S3584" i="6"/>
  <c r="S3648" i="6"/>
  <c r="S3712" i="6"/>
  <c r="S3776" i="6"/>
  <c r="S3840" i="6"/>
  <c r="S3011" i="6"/>
  <c r="S3261" i="6"/>
  <c r="S3347" i="6"/>
  <c r="S3427" i="6"/>
  <c r="S3497" i="6"/>
  <c r="S3561" i="6"/>
  <c r="S3625" i="6"/>
  <c r="S3689" i="6"/>
  <c r="S3753" i="6"/>
  <c r="S3817" i="6"/>
  <c r="S3881" i="6"/>
  <c r="S3945" i="6"/>
  <c r="S2818" i="6"/>
  <c r="S3224" i="6"/>
  <c r="S3316" i="6"/>
  <c r="S3400" i="6"/>
  <c r="S3473" i="6"/>
  <c r="S3538" i="6"/>
  <c r="S3602" i="6"/>
  <c r="S3666" i="6"/>
  <c r="S3730" i="6"/>
  <c r="S3794" i="6"/>
  <c r="S3858" i="6"/>
  <c r="S3027" i="6"/>
  <c r="S3264" i="6"/>
  <c r="S3349" i="6"/>
  <c r="S3429" i="6"/>
  <c r="S3499" i="6"/>
  <c r="S3563" i="6"/>
  <c r="S3627" i="6"/>
  <c r="S3691" i="6"/>
  <c r="S3755" i="6"/>
  <c r="S3819" i="6"/>
  <c r="S2763" i="6"/>
  <c r="S3211" i="6"/>
  <c r="S3308" i="6"/>
  <c r="S3393" i="6"/>
  <c r="S3467" i="6"/>
  <c r="S3532" i="6"/>
  <c r="S3596" i="6"/>
  <c r="S3660" i="6"/>
  <c r="S3724" i="6"/>
  <c r="S3788" i="6"/>
  <c r="S2383" i="6"/>
  <c r="S3701" i="6"/>
  <c r="S3923" i="6"/>
  <c r="S4003" i="6"/>
  <c r="S4076" i="6"/>
  <c r="S4149" i="6"/>
  <c r="S4218" i="6"/>
  <c r="S4282" i="6"/>
  <c r="S4346" i="6"/>
  <c r="S4410" i="6"/>
  <c r="S4474" i="6"/>
  <c r="S4538" i="6"/>
  <c r="S4602" i="6"/>
  <c r="S4666" i="6"/>
  <c r="S4730" i="6"/>
  <c r="S4794" i="6"/>
  <c r="S4858" i="6"/>
  <c r="S4922" i="6"/>
  <c r="S3645" i="6"/>
  <c r="S3914" i="6"/>
  <c r="S3995" i="6"/>
  <c r="S4068" i="6"/>
  <c r="S4141" i="6"/>
  <c r="S4211" i="6"/>
  <c r="S4275" i="6"/>
  <c r="S4339" i="6"/>
  <c r="S4403" i="6"/>
  <c r="S4467" i="6"/>
  <c r="S4531" i="6"/>
  <c r="S4595" i="6"/>
  <c r="S4659" i="6"/>
  <c r="S4723" i="6"/>
  <c r="S4787" i="6"/>
  <c r="S4851" i="6"/>
  <c r="S4915" i="6"/>
  <c r="S3459" i="6"/>
  <c r="S3876" i="6"/>
  <c r="S3968" i="6"/>
  <c r="S4042" i="6"/>
  <c r="S4115" i="6"/>
  <c r="S4188" i="6"/>
  <c r="S4252" i="6"/>
  <c r="S4316" i="6"/>
  <c r="S4380" i="6"/>
  <c r="S4444" i="6"/>
  <c r="S4508" i="6"/>
  <c r="S4721" i="6"/>
  <c r="S4209" i="6"/>
  <c r="S4713" i="6"/>
  <c r="S4201" i="6"/>
  <c r="S4769" i="6"/>
  <c r="S4048" i="6"/>
  <c r="S4943" i="6"/>
  <c r="S4951" i="6"/>
  <c r="S4633" i="6"/>
  <c r="S4112" i="6"/>
  <c r="S4995" i="6"/>
  <c r="S4625" i="6"/>
  <c r="S4102" i="6"/>
  <c r="S4954" i="6"/>
  <c r="S4971" i="6"/>
  <c r="S4980" i="6"/>
  <c r="S4809" i="6"/>
  <c r="S4297" i="6"/>
  <c r="S4977" i="6"/>
  <c r="S4969" i="6"/>
  <c r="S4737" i="6"/>
  <c r="S4225" i="6"/>
  <c r="S3964" i="6"/>
  <c r="S3872" i="6"/>
  <c r="S3431" i="6"/>
  <c r="S4968" i="6"/>
  <c r="S4904" i="6"/>
  <c r="S4840" i="6"/>
  <c r="S4776" i="6"/>
  <c r="S4712" i="6"/>
  <c r="S4648" i="6"/>
  <c r="S4584" i="6"/>
  <c r="S4520" i="6"/>
  <c r="S4456" i="6"/>
  <c r="S4392" i="6"/>
  <c r="S4328" i="6"/>
  <c r="S4264" i="6"/>
  <c r="S4200" i="6"/>
  <c r="S4129" i="6"/>
  <c r="S4056" i="6"/>
  <c r="S3982" i="6"/>
  <c r="S3896" i="6"/>
  <c r="S3557" i="6"/>
  <c r="S4871" i="6"/>
  <c r="S4807" i="6"/>
  <c r="S4743" i="6"/>
  <c r="S4679" i="6"/>
  <c r="S4615" i="6"/>
  <c r="S4551" i="6"/>
  <c r="S4487" i="6"/>
  <c r="S4415" i="6"/>
  <c r="S4335" i="6"/>
  <c r="S4255" i="6"/>
  <c r="S4155" i="6"/>
  <c r="S4064" i="6"/>
  <c r="S3930" i="6"/>
  <c r="S4902" i="6"/>
  <c r="S4606" i="6"/>
  <c r="S4081" i="6"/>
  <c r="S4813" i="6"/>
  <c r="S4301" i="6"/>
  <c r="S4828" i="6"/>
  <c r="S4657" i="6"/>
  <c r="S4139" i="6"/>
  <c r="S4649" i="6"/>
  <c r="S4130" i="6"/>
  <c r="S4513" i="6"/>
  <c r="S4988" i="6"/>
  <c r="S4777" i="6"/>
  <c r="S4940" i="6"/>
  <c r="S4569" i="6"/>
  <c r="S4038" i="6"/>
  <c r="S4929" i="6"/>
  <c r="S4561" i="6"/>
  <c r="S4029" i="6"/>
  <c r="S4841" i="6"/>
  <c r="S4950" i="6"/>
  <c r="S4970" i="6"/>
  <c r="S4745" i="6"/>
  <c r="S4233" i="6"/>
  <c r="S4986" i="6"/>
  <c r="S4958" i="6"/>
  <c r="S4673" i="6"/>
  <c r="S4157" i="6"/>
  <c r="S3954" i="6"/>
  <c r="S3859" i="6"/>
  <c r="S3352" i="6"/>
  <c r="S4960" i="6"/>
  <c r="S4896" i="6"/>
  <c r="S4832" i="6"/>
  <c r="S4768" i="6"/>
  <c r="S4704" i="6"/>
  <c r="S4640" i="6"/>
  <c r="S4576" i="6"/>
  <c r="S4512" i="6"/>
  <c r="S4448" i="6"/>
  <c r="S4384" i="6"/>
  <c r="S4320" i="6"/>
  <c r="S4256" i="6"/>
  <c r="S4192" i="6"/>
  <c r="S4120" i="6"/>
  <c r="S4046" i="6"/>
  <c r="S3973" i="6"/>
  <c r="S3883" i="6"/>
  <c r="S3493" i="6"/>
  <c r="S4863" i="6"/>
  <c r="S4799" i="6"/>
  <c r="S4735" i="6"/>
  <c r="S4671" i="6"/>
  <c r="S4607" i="6"/>
  <c r="S4543" i="6"/>
  <c r="S4479" i="6"/>
  <c r="S4407" i="6"/>
  <c r="S4327" i="6"/>
  <c r="S4247" i="6"/>
  <c r="S4146" i="6"/>
  <c r="S4054" i="6"/>
  <c r="S3918" i="6"/>
  <c r="S4806" i="6"/>
  <c r="S4542" i="6"/>
  <c r="S4008" i="6"/>
  <c r="S4749" i="6"/>
  <c r="S4237" i="6"/>
  <c r="S4764" i="6"/>
  <c r="S4956" i="6"/>
  <c r="S4593" i="6"/>
  <c r="S4066" i="6"/>
  <c r="S4585" i="6"/>
  <c r="S4057" i="6"/>
  <c r="S4449" i="6"/>
  <c r="S4934" i="6"/>
  <c r="S4953" i="6"/>
  <c r="S4927" i="6"/>
  <c r="S4505" i="6"/>
  <c r="S4978" i="6"/>
  <c r="S4641" i="6"/>
  <c r="S4497" i="6"/>
  <c r="S4967" i="6"/>
  <c r="S4985" i="6"/>
  <c r="S4938" i="6"/>
  <c r="S4959" i="6"/>
  <c r="S4681" i="6"/>
  <c r="S4166" i="6"/>
  <c r="S4930" i="6"/>
  <c r="S4947" i="6"/>
  <c r="S4609" i="6"/>
  <c r="S4084" i="6"/>
  <c r="S3942" i="6"/>
  <c r="S3821" i="6"/>
  <c r="S3267" i="6"/>
  <c r="S4952" i="6"/>
  <c r="S4888" i="6"/>
  <c r="S4824" i="6"/>
  <c r="S4760" i="6"/>
  <c r="S4696" i="6"/>
  <c r="S4632" i="6"/>
  <c r="S4568" i="6"/>
  <c r="S4504" i="6"/>
  <c r="S4440" i="6"/>
  <c r="S4376" i="6"/>
  <c r="S4312" i="6"/>
  <c r="S4248" i="6"/>
  <c r="S4184" i="6"/>
  <c r="S4110" i="6"/>
  <c r="S4037" i="6"/>
  <c r="S3963" i="6"/>
  <c r="S3869" i="6"/>
  <c r="S3422" i="6"/>
  <c r="S4855" i="6"/>
  <c r="S4791" i="6"/>
  <c r="S4727" i="6"/>
  <c r="S4663" i="6"/>
  <c r="S4599" i="6"/>
  <c r="S4535" i="6"/>
  <c r="S4471" i="6"/>
  <c r="S4399" i="6"/>
  <c r="S4319" i="6"/>
  <c r="S4223" i="6"/>
  <c r="S4137" i="6"/>
  <c r="S4045" i="6"/>
  <c r="S3907" i="6"/>
  <c r="S4798" i="6"/>
  <c r="S4478" i="6"/>
  <c r="S3928" i="6"/>
  <c r="S4685" i="6"/>
  <c r="S4171" i="6"/>
  <c r="S4700" i="6"/>
  <c r="S4729" i="6"/>
  <c r="S4529" i="6"/>
  <c r="S4946" i="6"/>
  <c r="S4521" i="6"/>
  <c r="S4916" i="6"/>
  <c r="S4385" i="6"/>
  <c r="S4665" i="6"/>
  <c r="S4908" i="6"/>
  <c r="S4905" i="6"/>
  <c r="S4441" i="6"/>
  <c r="S4793" i="6"/>
  <c r="S4993" i="6"/>
  <c r="S4433" i="6"/>
  <c r="S4895" i="6"/>
  <c r="S4942" i="6"/>
  <c r="S4903" i="6"/>
  <c r="S4948" i="6"/>
  <c r="S4617" i="6"/>
  <c r="S4093" i="6"/>
  <c r="S4974" i="6"/>
  <c r="S4935" i="6"/>
  <c r="S4545" i="6"/>
  <c r="S4011" i="6"/>
  <c r="S3932" i="6"/>
  <c r="S3757" i="6"/>
  <c r="S3043" i="6"/>
  <c r="S4944" i="6"/>
  <c r="S4880" i="6"/>
  <c r="S4816" i="6"/>
  <c r="S4752" i="6"/>
  <c r="S4688" i="6"/>
  <c r="S4624" i="6"/>
  <c r="S4560" i="6"/>
  <c r="S4496" i="6"/>
  <c r="S4432" i="6"/>
  <c r="S4368" i="6"/>
  <c r="S4304" i="6"/>
  <c r="S4240" i="6"/>
  <c r="S4174" i="6"/>
  <c r="S4101" i="6"/>
  <c r="S4028" i="6"/>
  <c r="S3952" i="6"/>
  <c r="S3856" i="6"/>
  <c r="S3341" i="6"/>
  <c r="S4847" i="6"/>
  <c r="S4783" i="6"/>
  <c r="S4719" i="6"/>
  <c r="S4655" i="6"/>
  <c r="S4591" i="6"/>
  <c r="S4527" i="6"/>
  <c r="S4463" i="6"/>
  <c r="S4391" i="6"/>
  <c r="S4311" i="6"/>
  <c r="S4215" i="6"/>
  <c r="S4128" i="6"/>
  <c r="S4009" i="6"/>
  <c r="S3741" i="6"/>
  <c r="S4790" i="6"/>
  <c r="S4414" i="6"/>
  <c r="S3733" i="6"/>
  <c r="S4621" i="6"/>
  <c r="S4098" i="6"/>
  <c r="S4636" i="6"/>
  <c r="S4409" i="6"/>
  <c r="S4465" i="6"/>
  <c r="S4601" i="6"/>
  <c r="S4457" i="6"/>
  <c r="S4281" i="6"/>
  <c r="S4321" i="6"/>
  <c r="S4345" i="6"/>
  <c r="S4705" i="6"/>
  <c r="S4881" i="6"/>
  <c r="S4377" i="6"/>
  <c r="S4473" i="6"/>
  <c r="S4961" i="6"/>
  <c r="S4369" i="6"/>
  <c r="S4537" i="6"/>
  <c r="S4884" i="6"/>
  <c r="S4876" i="6"/>
  <c r="S4937" i="6"/>
  <c r="S4553" i="6"/>
  <c r="S4020" i="6"/>
  <c r="S4833" i="6"/>
  <c r="S4919" i="6"/>
  <c r="S4481" i="6"/>
  <c r="S4002" i="6"/>
  <c r="S3922" i="6"/>
  <c r="S3693" i="6"/>
  <c r="S5000" i="6"/>
  <c r="S4936" i="6"/>
  <c r="S4872" i="6"/>
  <c r="S4808" i="6"/>
  <c r="S4744" i="6"/>
  <c r="S4680" i="6"/>
  <c r="S4616" i="6"/>
  <c r="S4552" i="6"/>
  <c r="S4488" i="6"/>
  <c r="S4424" i="6"/>
  <c r="S4360" i="6"/>
  <c r="S4296" i="6"/>
  <c r="S4232" i="6"/>
  <c r="S4165" i="6"/>
  <c r="S4092" i="6"/>
  <c r="S4019" i="6"/>
  <c r="S3941" i="6"/>
  <c r="S3813" i="6"/>
  <c r="S3254" i="6"/>
  <c r="S4839" i="6"/>
  <c r="S4775" i="6"/>
  <c r="S4711" i="6"/>
  <c r="S4647" i="6"/>
  <c r="S4583" i="6"/>
  <c r="S4519" i="6"/>
  <c r="S4455" i="6"/>
  <c r="S4383" i="6"/>
  <c r="S4287" i="6"/>
  <c r="S4207" i="6"/>
  <c r="S4118" i="6"/>
  <c r="S4000" i="6"/>
  <c r="S3677" i="6"/>
  <c r="S4734" i="6"/>
  <c r="S4350" i="6"/>
  <c r="S2845" i="6"/>
  <c r="S4557" i="6"/>
  <c r="S4025" i="6"/>
  <c r="S4572" i="6"/>
  <c r="J35" i="8"/>
</calcChain>
</file>

<file path=xl/sharedStrings.xml><?xml version="1.0" encoding="utf-8"?>
<sst xmlns="http://schemas.openxmlformats.org/spreadsheetml/2006/main" count="39341" uniqueCount="8887">
  <si>
    <t>Product_ID</t>
  </si>
  <si>
    <t>Category</t>
  </si>
  <si>
    <t>Brand</t>
  </si>
  <si>
    <t>Unit</t>
  </si>
  <si>
    <t>P0001</t>
  </si>
  <si>
    <t>Printer</t>
  </si>
  <si>
    <t>Epson</t>
  </si>
  <si>
    <t>P0002</t>
  </si>
  <si>
    <t>Desktop</t>
  </si>
  <si>
    <t>Dell</t>
  </si>
  <si>
    <t>P0003</t>
  </si>
  <si>
    <t>Monitor</t>
  </si>
  <si>
    <t>P0004</t>
  </si>
  <si>
    <t>Headset</t>
  </si>
  <si>
    <t>Boat</t>
  </si>
  <si>
    <t>P0005</t>
  </si>
  <si>
    <t>Pen Drive</t>
  </si>
  <si>
    <t>SanDisk</t>
  </si>
  <si>
    <t>P0006</t>
  </si>
  <si>
    <t>Bluetooth Adapter</t>
  </si>
  <si>
    <t>P0007</t>
  </si>
  <si>
    <t>Keyboard</t>
  </si>
  <si>
    <t>Logitech</t>
  </si>
  <si>
    <t>P0008</t>
  </si>
  <si>
    <t>RAM</t>
  </si>
  <si>
    <t>Kingston</t>
  </si>
  <si>
    <t>P0009</t>
  </si>
  <si>
    <t>LG</t>
  </si>
  <si>
    <t>P0010</t>
  </si>
  <si>
    <t>Lenovo</t>
  </si>
  <si>
    <t>P0011</t>
  </si>
  <si>
    <t>P0012</t>
  </si>
  <si>
    <t>Mouse</t>
  </si>
  <si>
    <t>P0013</t>
  </si>
  <si>
    <t>Samsung</t>
  </si>
  <si>
    <t>P0014</t>
  </si>
  <si>
    <t>P0015</t>
  </si>
  <si>
    <t>Wi-Fi Adapter</t>
  </si>
  <si>
    <t>P0016</t>
  </si>
  <si>
    <t>Laptop</t>
  </si>
  <si>
    <t>P0017</t>
  </si>
  <si>
    <t>P0018</t>
  </si>
  <si>
    <t>HP</t>
  </si>
  <si>
    <t>P0019</t>
  </si>
  <si>
    <t>Speaker</t>
  </si>
  <si>
    <t>JBL</t>
  </si>
  <si>
    <t>P0020</t>
  </si>
  <si>
    <t>P0021</t>
  </si>
  <si>
    <t>P0022</t>
  </si>
  <si>
    <t>P0023</t>
  </si>
  <si>
    <t>P0024</t>
  </si>
  <si>
    <t>P0025</t>
  </si>
  <si>
    <t>P0026</t>
  </si>
  <si>
    <t>P0027</t>
  </si>
  <si>
    <t>UPS</t>
  </si>
  <si>
    <t>Microtek</t>
  </si>
  <si>
    <t>P0028</t>
  </si>
  <si>
    <t>P0029</t>
  </si>
  <si>
    <t>P0030</t>
  </si>
  <si>
    <t>P0031</t>
  </si>
  <si>
    <t>HDMI Cable</t>
  </si>
  <si>
    <t>P0032</t>
  </si>
  <si>
    <t>P0033</t>
  </si>
  <si>
    <t>APC</t>
  </si>
  <si>
    <t>P0034</t>
  </si>
  <si>
    <t>P0035</t>
  </si>
  <si>
    <t>Power Adapter</t>
  </si>
  <si>
    <t>P0036</t>
  </si>
  <si>
    <t>P0037</t>
  </si>
  <si>
    <t>EPSON</t>
  </si>
  <si>
    <t>P0038</t>
  </si>
  <si>
    <t>Webcam</t>
  </si>
  <si>
    <t>P0039</t>
  </si>
  <si>
    <t>P0040</t>
  </si>
  <si>
    <t>Router</t>
  </si>
  <si>
    <t>P0041</t>
  </si>
  <si>
    <t>P0042</t>
  </si>
  <si>
    <t>P0043</t>
  </si>
  <si>
    <t>P0044</t>
  </si>
  <si>
    <t>P0045</t>
  </si>
  <si>
    <t>P0046</t>
  </si>
  <si>
    <t>P0047</t>
  </si>
  <si>
    <t>P0048</t>
  </si>
  <si>
    <t>American Tourister</t>
  </si>
  <si>
    <t>P0049</t>
  </si>
  <si>
    <t>P0050</t>
  </si>
  <si>
    <t>P0051</t>
  </si>
  <si>
    <t>P0052</t>
  </si>
  <si>
    <t>P0053</t>
  </si>
  <si>
    <t>P0054</t>
  </si>
  <si>
    <t>Portronics</t>
  </si>
  <si>
    <t>P0055</t>
  </si>
  <si>
    <t>P0056</t>
  </si>
  <si>
    <t>P0057</t>
  </si>
  <si>
    <t>Laptop Stand</t>
  </si>
  <si>
    <t>P0058</t>
  </si>
  <si>
    <t>P0059</t>
  </si>
  <si>
    <t>Corsair</t>
  </si>
  <si>
    <t>P0060</t>
  </si>
  <si>
    <t>P0061</t>
  </si>
  <si>
    <t>P0062</t>
  </si>
  <si>
    <t>USB Cable</t>
  </si>
  <si>
    <t>P0063</t>
  </si>
  <si>
    <t>Canon</t>
  </si>
  <si>
    <t>P0064</t>
  </si>
  <si>
    <t>P0065</t>
  </si>
  <si>
    <t>P0066</t>
  </si>
  <si>
    <t>P0067</t>
  </si>
  <si>
    <t>SSD</t>
  </si>
  <si>
    <t>P0068</t>
  </si>
  <si>
    <t>P0069</t>
  </si>
  <si>
    <t>P0070</t>
  </si>
  <si>
    <t>P0071</t>
  </si>
  <si>
    <t>P0072</t>
  </si>
  <si>
    <t>P0073</t>
  </si>
  <si>
    <t>P0074</t>
  </si>
  <si>
    <t>P0075</t>
  </si>
  <si>
    <t>P0076</t>
  </si>
  <si>
    <t>P0077</t>
  </si>
  <si>
    <t>Laptop Bag</t>
  </si>
  <si>
    <t>P0078</t>
  </si>
  <si>
    <t>P0079</t>
  </si>
  <si>
    <t>P0080</t>
  </si>
  <si>
    <t>P0081</t>
  </si>
  <si>
    <t>P0082</t>
  </si>
  <si>
    <t>P0083</t>
  </si>
  <si>
    <t>P0084</t>
  </si>
  <si>
    <t>P0085</t>
  </si>
  <si>
    <t>P0086</t>
  </si>
  <si>
    <t>P0087</t>
  </si>
  <si>
    <t>P0088</t>
  </si>
  <si>
    <t>P0089</t>
  </si>
  <si>
    <t>P0090</t>
  </si>
  <si>
    <t>P0091</t>
  </si>
  <si>
    <t>P0092</t>
  </si>
  <si>
    <t>P0093</t>
  </si>
  <si>
    <t>P0094</t>
  </si>
  <si>
    <t>P0095</t>
  </si>
  <si>
    <t>Seagate</t>
  </si>
  <si>
    <t>P0096</t>
  </si>
  <si>
    <t>P0097</t>
  </si>
  <si>
    <t>P0098</t>
  </si>
  <si>
    <t>HDD</t>
  </si>
  <si>
    <t>WD</t>
  </si>
  <si>
    <t>P0099</t>
  </si>
  <si>
    <t>P0100</t>
  </si>
  <si>
    <t>Crucial</t>
  </si>
  <si>
    <t>P0101</t>
  </si>
  <si>
    <t>P0102</t>
  </si>
  <si>
    <t>P0103</t>
  </si>
  <si>
    <t>P0104</t>
  </si>
  <si>
    <t>P0105</t>
  </si>
  <si>
    <t>P0106</t>
  </si>
  <si>
    <t>P0107</t>
  </si>
  <si>
    <t>P0108</t>
  </si>
  <si>
    <t>P0109</t>
  </si>
  <si>
    <t>P0110</t>
  </si>
  <si>
    <t>P0111</t>
  </si>
  <si>
    <t>epson</t>
  </si>
  <si>
    <t>P0112</t>
  </si>
  <si>
    <t>P0113</t>
  </si>
  <si>
    <t>P0114</t>
  </si>
  <si>
    <t>P0115</t>
  </si>
  <si>
    <t>P0116</t>
  </si>
  <si>
    <t>P0117</t>
  </si>
  <si>
    <t>P0118</t>
  </si>
  <si>
    <t>P0119</t>
  </si>
  <si>
    <t>P0120</t>
  </si>
  <si>
    <t>P0121</t>
  </si>
  <si>
    <t>P0122</t>
  </si>
  <si>
    <t>P0123</t>
  </si>
  <si>
    <t>P0124</t>
  </si>
  <si>
    <t>P0125</t>
  </si>
  <si>
    <t>P0126</t>
  </si>
  <si>
    <t>DESKTOP</t>
  </si>
  <si>
    <t>P0127</t>
  </si>
  <si>
    <t>P0128</t>
  </si>
  <si>
    <t>P0129</t>
  </si>
  <si>
    <t>P0130</t>
  </si>
  <si>
    <t>P0131</t>
  </si>
  <si>
    <t>P0132</t>
  </si>
  <si>
    <t>P0133</t>
  </si>
  <si>
    <t>P0134</t>
  </si>
  <si>
    <t>P0135</t>
  </si>
  <si>
    <t>P0136</t>
  </si>
  <si>
    <t>P0137</t>
  </si>
  <si>
    <t>P0138</t>
  </si>
  <si>
    <t>P0139</t>
  </si>
  <si>
    <t>P0140</t>
  </si>
  <si>
    <t>P0141</t>
  </si>
  <si>
    <t>P0142</t>
  </si>
  <si>
    <t>P0143</t>
  </si>
  <si>
    <t>P0144</t>
  </si>
  <si>
    <t>P0145</t>
  </si>
  <si>
    <t>P0146</t>
  </si>
  <si>
    <t>P0147</t>
  </si>
  <si>
    <t>Acer</t>
  </si>
  <si>
    <t>P0148</t>
  </si>
  <si>
    <t>P0149</t>
  </si>
  <si>
    <t>P0150</t>
  </si>
  <si>
    <t>P0151</t>
  </si>
  <si>
    <t>P0152</t>
  </si>
  <si>
    <t>P0153</t>
  </si>
  <si>
    <t>P0154</t>
  </si>
  <si>
    <t>P0155</t>
  </si>
  <si>
    <t>P0156</t>
  </si>
  <si>
    <t>P0157</t>
  </si>
  <si>
    <t>P0158</t>
  </si>
  <si>
    <t>P0159</t>
  </si>
  <si>
    <t>P0160</t>
  </si>
  <si>
    <t>P0161</t>
  </si>
  <si>
    <t>P0162</t>
  </si>
  <si>
    <t>P0163</t>
  </si>
  <si>
    <t>P0164</t>
  </si>
  <si>
    <t>P0165</t>
  </si>
  <si>
    <t>P0166</t>
  </si>
  <si>
    <t>P0167</t>
  </si>
  <si>
    <t>P0168</t>
  </si>
  <si>
    <t>WEBCAM</t>
  </si>
  <si>
    <t>P0169</t>
  </si>
  <si>
    <t>P0170</t>
  </si>
  <si>
    <t>P0171</t>
  </si>
  <si>
    <t>P0172</t>
  </si>
  <si>
    <t>P0173</t>
  </si>
  <si>
    <t>P0174</t>
  </si>
  <si>
    <t>P0175</t>
  </si>
  <si>
    <t>P0176</t>
  </si>
  <si>
    <t>P0177</t>
  </si>
  <si>
    <t>P0178</t>
  </si>
  <si>
    <t>P0179</t>
  </si>
  <si>
    <t>P0180</t>
  </si>
  <si>
    <t>P0181</t>
  </si>
  <si>
    <t>P0182</t>
  </si>
  <si>
    <t>P0183</t>
  </si>
  <si>
    <t>P0184</t>
  </si>
  <si>
    <t>P0185</t>
  </si>
  <si>
    <t>P0186</t>
  </si>
  <si>
    <t>P0187</t>
  </si>
  <si>
    <t>P0188</t>
  </si>
  <si>
    <t>P0189</t>
  </si>
  <si>
    <t>P0190</t>
  </si>
  <si>
    <t>P0191</t>
  </si>
  <si>
    <t>P0192</t>
  </si>
  <si>
    <t>P0193</t>
  </si>
  <si>
    <t>P0194</t>
  </si>
  <si>
    <t>P0195</t>
  </si>
  <si>
    <t>P0196</t>
  </si>
  <si>
    <t>P0197</t>
  </si>
  <si>
    <t>P0198</t>
  </si>
  <si>
    <t>HDMI CABLE</t>
  </si>
  <si>
    <t>P0199</t>
  </si>
  <si>
    <t>P0200</t>
  </si>
  <si>
    <t>P0201</t>
  </si>
  <si>
    <t>P0202</t>
  </si>
  <si>
    <t>ACER</t>
  </si>
  <si>
    <t>P0203</t>
  </si>
  <si>
    <t>P0204</t>
  </si>
  <si>
    <t>P0205</t>
  </si>
  <si>
    <t>P0206</t>
  </si>
  <si>
    <t>P0207</t>
  </si>
  <si>
    <t>P0208</t>
  </si>
  <si>
    <t>P0209</t>
  </si>
  <si>
    <t>P0210</t>
  </si>
  <si>
    <t>P0211</t>
  </si>
  <si>
    <t>P0212</t>
  </si>
  <si>
    <t>P0213</t>
  </si>
  <si>
    <t>P0214</t>
  </si>
  <si>
    <t>P0215</t>
  </si>
  <si>
    <t>P0216</t>
  </si>
  <si>
    <t>P0217</t>
  </si>
  <si>
    <t>P0218</t>
  </si>
  <si>
    <t>P0219</t>
  </si>
  <si>
    <t>P0220</t>
  </si>
  <si>
    <t>P0221</t>
  </si>
  <si>
    <t>P0222</t>
  </si>
  <si>
    <t>P0223</t>
  </si>
  <si>
    <t>P0224</t>
  </si>
  <si>
    <t>P0225</t>
  </si>
  <si>
    <t>D-Link</t>
  </si>
  <si>
    <t>P0226</t>
  </si>
  <si>
    <t>P0227</t>
  </si>
  <si>
    <t>P0228</t>
  </si>
  <si>
    <t>P0229</t>
  </si>
  <si>
    <t>P0230</t>
  </si>
  <si>
    <t>P0231</t>
  </si>
  <si>
    <t>P0232</t>
  </si>
  <si>
    <t>P0233</t>
  </si>
  <si>
    <t>P0234</t>
  </si>
  <si>
    <t>P0235</t>
  </si>
  <si>
    <t>P0236</t>
  </si>
  <si>
    <t>P0237</t>
  </si>
  <si>
    <t>P0238</t>
  </si>
  <si>
    <t>P0239</t>
  </si>
  <si>
    <t>P0240</t>
  </si>
  <si>
    <t>P0241</t>
  </si>
  <si>
    <t>P0242</t>
  </si>
  <si>
    <t>P0243</t>
  </si>
  <si>
    <t>P0244</t>
  </si>
  <si>
    <t>P0245</t>
  </si>
  <si>
    <t>P0246</t>
  </si>
  <si>
    <t>P0247</t>
  </si>
  <si>
    <t>P0248</t>
  </si>
  <si>
    <t>P0249</t>
  </si>
  <si>
    <t>P0250</t>
  </si>
  <si>
    <t>P0251</t>
  </si>
  <si>
    <t>P0252</t>
  </si>
  <si>
    <t>P0253</t>
  </si>
  <si>
    <t>P0254</t>
  </si>
  <si>
    <t>P0255</t>
  </si>
  <si>
    <t>P0256</t>
  </si>
  <si>
    <t>P0257</t>
  </si>
  <si>
    <t>P0258</t>
  </si>
  <si>
    <t>P0259</t>
  </si>
  <si>
    <t>P0260</t>
  </si>
  <si>
    <t>P0261</t>
  </si>
  <si>
    <t>P0262</t>
  </si>
  <si>
    <t>P0263</t>
  </si>
  <si>
    <t>P0264</t>
  </si>
  <si>
    <t>P0265</t>
  </si>
  <si>
    <t>P0266</t>
  </si>
  <si>
    <t>P0267</t>
  </si>
  <si>
    <t>P0268</t>
  </si>
  <si>
    <t>P0269</t>
  </si>
  <si>
    <t>P0270</t>
  </si>
  <si>
    <t>P0271</t>
  </si>
  <si>
    <t>P0272</t>
  </si>
  <si>
    <t>P0273</t>
  </si>
  <si>
    <t>P0274</t>
  </si>
  <si>
    <t>ssd</t>
  </si>
  <si>
    <t>P0275</t>
  </si>
  <si>
    <t>P0276</t>
  </si>
  <si>
    <t>P0277</t>
  </si>
  <si>
    <t>P0278</t>
  </si>
  <si>
    <t>P0279</t>
  </si>
  <si>
    <t>P0280</t>
  </si>
  <si>
    <t>P0281</t>
  </si>
  <si>
    <t>P0282</t>
  </si>
  <si>
    <t>P0283</t>
  </si>
  <si>
    <t>P0284</t>
  </si>
  <si>
    <t>P0285</t>
  </si>
  <si>
    <t>P0286</t>
  </si>
  <si>
    <t>P0287</t>
  </si>
  <si>
    <t>P0288</t>
  </si>
  <si>
    <t>P0289</t>
  </si>
  <si>
    <t>P0290</t>
  </si>
  <si>
    <t>P0291</t>
  </si>
  <si>
    <t>P0292</t>
  </si>
  <si>
    <t>P0293</t>
  </si>
  <si>
    <t>P0294</t>
  </si>
  <si>
    <t>P0295</t>
  </si>
  <si>
    <t>P0296</t>
  </si>
  <si>
    <t>P0297</t>
  </si>
  <si>
    <t>P0298</t>
  </si>
  <si>
    <t>P0299</t>
  </si>
  <si>
    <t>P0300</t>
  </si>
  <si>
    <t>P0301</t>
  </si>
  <si>
    <t>P0302</t>
  </si>
  <si>
    <t>P0303</t>
  </si>
  <si>
    <t>P0304</t>
  </si>
  <si>
    <t>P0305</t>
  </si>
  <si>
    <t>P0306</t>
  </si>
  <si>
    <t>P0307</t>
  </si>
  <si>
    <t>P0308</t>
  </si>
  <si>
    <t>P0309</t>
  </si>
  <si>
    <t>P0310</t>
  </si>
  <si>
    <t>P0311</t>
  </si>
  <si>
    <t>P0312</t>
  </si>
  <si>
    <t>P0313</t>
  </si>
  <si>
    <t>P0314</t>
  </si>
  <si>
    <t>P0315</t>
  </si>
  <si>
    <t>P0316</t>
  </si>
  <si>
    <t>P0317</t>
  </si>
  <si>
    <t>P0318</t>
  </si>
  <si>
    <t>P0319</t>
  </si>
  <si>
    <t>P0320</t>
  </si>
  <si>
    <t>P0321</t>
  </si>
  <si>
    <t>P0322</t>
  </si>
  <si>
    <t>P0323</t>
  </si>
  <si>
    <t>P0324</t>
  </si>
  <si>
    <t>P0325</t>
  </si>
  <si>
    <t>P0326</t>
  </si>
  <si>
    <t>P0327</t>
  </si>
  <si>
    <t>P0328</t>
  </si>
  <si>
    <t>P0329</t>
  </si>
  <si>
    <t>P0330</t>
  </si>
  <si>
    <t>P0331</t>
  </si>
  <si>
    <t>P0332</t>
  </si>
  <si>
    <t>P0333</t>
  </si>
  <si>
    <t>P0334</t>
  </si>
  <si>
    <t>P0335</t>
  </si>
  <si>
    <t>P0336</t>
  </si>
  <si>
    <t>P0337</t>
  </si>
  <si>
    <t>P0338</t>
  </si>
  <si>
    <t>P0339</t>
  </si>
  <si>
    <t>P0340</t>
  </si>
  <si>
    <t>P0341</t>
  </si>
  <si>
    <t>P0342</t>
  </si>
  <si>
    <t>P0343</t>
  </si>
  <si>
    <t>P0344</t>
  </si>
  <si>
    <t>P0345</t>
  </si>
  <si>
    <t>P0346</t>
  </si>
  <si>
    <t>P0347</t>
  </si>
  <si>
    <t>P0348</t>
  </si>
  <si>
    <t>P0349</t>
  </si>
  <si>
    <t>P0350</t>
  </si>
  <si>
    <t>P0351</t>
  </si>
  <si>
    <t>P0352</t>
  </si>
  <si>
    <t>P0353</t>
  </si>
  <si>
    <t>P0354</t>
  </si>
  <si>
    <t>P0355</t>
  </si>
  <si>
    <t>P0356</t>
  </si>
  <si>
    <t>P0357</t>
  </si>
  <si>
    <t>P0358</t>
  </si>
  <si>
    <t>P0359</t>
  </si>
  <si>
    <t>P0360</t>
  </si>
  <si>
    <t>P0361</t>
  </si>
  <si>
    <t>P0362</t>
  </si>
  <si>
    <t>P0363</t>
  </si>
  <si>
    <t>P0364</t>
  </si>
  <si>
    <t>P0365</t>
  </si>
  <si>
    <t>P0366</t>
  </si>
  <si>
    <t>P0367</t>
  </si>
  <si>
    <t>P0368</t>
  </si>
  <si>
    <t>P0369</t>
  </si>
  <si>
    <t>P0370</t>
  </si>
  <si>
    <t>P0371</t>
  </si>
  <si>
    <t>P0372</t>
  </si>
  <si>
    <t>P0373</t>
  </si>
  <si>
    <t>P0374</t>
  </si>
  <si>
    <t>P0375</t>
  </si>
  <si>
    <t>P0376</t>
  </si>
  <si>
    <t>P0377</t>
  </si>
  <si>
    <t>P0378</t>
  </si>
  <si>
    <t>P0379</t>
  </si>
  <si>
    <t>P0380</t>
  </si>
  <si>
    <t>P0381</t>
  </si>
  <si>
    <t>P0382</t>
  </si>
  <si>
    <t>P0383</t>
  </si>
  <si>
    <t>P0384</t>
  </si>
  <si>
    <t>P0385</t>
  </si>
  <si>
    <t>P0386</t>
  </si>
  <si>
    <t>P0387</t>
  </si>
  <si>
    <t>P0388</t>
  </si>
  <si>
    <t>P0389</t>
  </si>
  <si>
    <t>P0390</t>
  </si>
  <si>
    <t>P0391</t>
  </si>
  <si>
    <t>P0392</t>
  </si>
  <si>
    <t>P0393</t>
  </si>
  <si>
    <t>P0394</t>
  </si>
  <si>
    <t>P0395</t>
  </si>
  <si>
    <t>P0396</t>
  </si>
  <si>
    <t>P0397</t>
  </si>
  <si>
    <t>P0398</t>
  </si>
  <si>
    <t>P0399</t>
  </si>
  <si>
    <t>P0400</t>
  </si>
  <si>
    <t>P0401</t>
  </si>
  <si>
    <t>P0402</t>
  </si>
  <si>
    <t>P0403</t>
  </si>
  <si>
    <t>P0404</t>
  </si>
  <si>
    <t>P0405</t>
  </si>
  <si>
    <t>P0406</t>
  </si>
  <si>
    <t>P0407</t>
  </si>
  <si>
    <t>P0408</t>
  </si>
  <si>
    <t>P0409</t>
  </si>
  <si>
    <t>P0410</t>
  </si>
  <si>
    <t>P0411</t>
  </si>
  <si>
    <t>P0412</t>
  </si>
  <si>
    <t>P0413</t>
  </si>
  <si>
    <t>P0414</t>
  </si>
  <si>
    <t>P0415</t>
  </si>
  <si>
    <t>P0416</t>
  </si>
  <si>
    <t>P0417</t>
  </si>
  <si>
    <t>P0418</t>
  </si>
  <si>
    <t>P0419</t>
  </si>
  <si>
    <t>P0420</t>
  </si>
  <si>
    <t>P0421</t>
  </si>
  <si>
    <t>P0422</t>
  </si>
  <si>
    <t>P0423</t>
  </si>
  <si>
    <t>P0424</t>
  </si>
  <si>
    <t>P0425</t>
  </si>
  <si>
    <t>P0426</t>
  </si>
  <si>
    <t>P0427</t>
  </si>
  <si>
    <t>P0428</t>
  </si>
  <si>
    <t>P0429</t>
  </si>
  <si>
    <t>P0430</t>
  </si>
  <si>
    <t>P0431</t>
  </si>
  <si>
    <t>P0432</t>
  </si>
  <si>
    <t>P0433</t>
  </si>
  <si>
    <t>P0434</t>
  </si>
  <si>
    <t>P0435</t>
  </si>
  <si>
    <t>P0436</t>
  </si>
  <si>
    <t>P0437</t>
  </si>
  <si>
    <t>P0438</t>
  </si>
  <si>
    <t>P0439</t>
  </si>
  <si>
    <t>P0440</t>
  </si>
  <si>
    <t>P0441</t>
  </si>
  <si>
    <t>P0442</t>
  </si>
  <si>
    <t>P0443</t>
  </si>
  <si>
    <t>P0444</t>
  </si>
  <si>
    <t>P0445</t>
  </si>
  <si>
    <t>P0446</t>
  </si>
  <si>
    <t>P0447</t>
  </si>
  <si>
    <t>P0448</t>
  </si>
  <si>
    <t>P0449</t>
  </si>
  <si>
    <t>P0450</t>
  </si>
  <si>
    <t>P0451</t>
  </si>
  <si>
    <t>P0452</t>
  </si>
  <si>
    <t>P0453</t>
  </si>
  <si>
    <t>P0454</t>
  </si>
  <si>
    <t>P0455</t>
  </si>
  <si>
    <t>P0456</t>
  </si>
  <si>
    <t>P0457</t>
  </si>
  <si>
    <t>P0458</t>
  </si>
  <si>
    <t>P0459</t>
  </si>
  <si>
    <t>P0460</t>
  </si>
  <si>
    <t>P0461</t>
  </si>
  <si>
    <t>P0462</t>
  </si>
  <si>
    <t>P0463</t>
  </si>
  <si>
    <t>P0464</t>
  </si>
  <si>
    <t>P0465</t>
  </si>
  <si>
    <t>P0466</t>
  </si>
  <si>
    <t>P0467</t>
  </si>
  <si>
    <t>P0468</t>
  </si>
  <si>
    <t>P0469</t>
  </si>
  <si>
    <t>P0470</t>
  </si>
  <si>
    <t>P0471</t>
  </si>
  <si>
    <t>P0472</t>
  </si>
  <si>
    <t>P0473</t>
  </si>
  <si>
    <t>P0474</t>
  </si>
  <si>
    <t>P0475</t>
  </si>
  <si>
    <t>P0476</t>
  </si>
  <si>
    <t>P0477</t>
  </si>
  <si>
    <t>P0478</t>
  </si>
  <si>
    <t>P0479</t>
  </si>
  <si>
    <t>P0480</t>
  </si>
  <si>
    <t>P0481</t>
  </si>
  <si>
    <t>P0482</t>
  </si>
  <si>
    <t>P0483</t>
  </si>
  <si>
    <t>P0484</t>
  </si>
  <si>
    <t>P0485</t>
  </si>
  <si>
    <t>P0486</t>
  </si>
  <si>
    <t>P0487</t>
  </si>
  <si>
    <t>P0488</t>
  </si>
  <si>
    <t>P0489</t>
  </si>
  <si>
    <t>P0490</t>
  </si>
  <si>
    <t>P0491</t>
  </si>
  <si>
    <t>P0492</t>
  </si>
  <si>
    <t>P0493</t>
  </si>
  <si>
    <t>P0494</t>
  </si>
  <si>
    <t>P0495</t>
  </si>
  <si>
    <t>P0496</t>
  </si>
  <si>
    <t>P0497</t>
  </si>
  <si>
    <t>P0498</t>
  </si>
  <si>
    <t>P0499</t>
  </si>
  <si>
    <t>P0500</t>
  </si>
  <si>
    <t>Product ID</t>
  </si>
  <si>
    <t>Product Name</t>
  </si>
  <si>
    <t>Purchase Price</t>
  </si>
  <si>
    <t>Selling Price</t>
  </si>
  <si>
    <t>Reorder Level</t>
  </si>
  <si>
    <t>Supplier_ID</t>
  </si>
  <si>
    <t>Supplier_Name</t>
  </si>
  <si>
    <t>City</t>
  </si>
  <si>
    <t>State</t>
  </si>
  <si>
    <t>SUP001</t>
  </si>
  <si>
    <t>SUP002</t>
  </si>
  <si>
    <t>SUP003</t>
  </si>
  <si>
    <t>SUP004</t>
  </si>
  <si>
    <t>SUP005</t>
  </si>
  <si>
    <t>SUP006</t>
  </si>
  <si>
    <t>SUP007</t>
  </si>
  <si>
    <t>SUP008</t>
  </si>
  <si>
    <t>Bilaspur</t>
  </si>
  <si>
    <t>SUP009</t>
  </si>
  <si>
    <t>Raipur</t>
  </si>
  <si>
    <t>SUP010</t>
  </si>
  <si>
    <t>SUP011</t>
  </si>
  <si>
    <t>SUP012</t>
  </si>
  <si>
    <t>SUP013</t>
  </si>
  <si>
    <t>SUP014</t>
  </si>
  <si>
    <t>SUP015</t>
  </si>
  <si>
    <t>SUP016</t>
  </si>
  <si>
    <t>SUP017</t>
  </si>
  <si>
    <t>SUP018</t>
  </si>
  <si>
    <t>SUP019</t>
  </si>
  <si>
    <t>SUP020</t>
  </si>
  <si>
    <t>SUP021</t>
  </si>
  <si>
    <t>SUP022</t>
  </si>
  <si>
    <t>SUP023</t>
  </si>
  <si>
    <t>SUP024</t>
  </si>
  <si>
    <t>SUP025</t>
  </si>
  <si>
    <t>SUP026</t>
  </si>
  <si>
    <t>Korba</t>
  </si>
  <si>
    <t>SUP027</t>
  </si>
  <si>
    <t>SUP028</t>
  </si>
  <si>
    <t>SUP029</t>
  </si>
  <si>
    <t>SUP030</t>
  </si>
  <si>
    <t>SUP031</t>
  </si>
  <si>
    <t>SUP032</t>
  </si>
  <si>
    <t>SUP033</t>
  </si>
  <si>
    <t>SUP034</t>
  </si>
  <si>
    <t>SUP035</t>
  </si>
  <si>
    <t>SUP036</t>
  </si>
  <si>
    <t>SUP037</t>
  </si>
  <si>
    <t>SUP038</t>
  </si>
  <si>
    <t>SUP039</t>
  </si>
  <si>
    <t>SUP040</t>
  </si>
  <si>
    <t>SUP041</t>
  </si>
  <si>
    <t>SUP042</t>
  </si>
  <si>
    <t>SUP043</t>
  </si>
  <si>
    <t>SUP044</t>
  </si>
  <si>
    <t>SUP045</t>
  </si>
  <si>
    <t>SUP046</t>
  </si>
  <si>
    <t>SUP047</t>
  </si>
  <si>
    <t>SUP048</t>
  </si>
  <si>
    <t>SUP049</t>
  </si>
  <si>
    <t>SUP050</t>
  </si>
  <si>
    <t xml:space="preserve">Star Electronics </t>
  </si>
  <si>
    <t>Global Suppliers</t>
  </si>
  <si>
    <t>Maa Computers</t>
  </si>
  <si>
    <t>National Distributors</t>
  </si>
  <si>
    <t>Tech Electronics</t>
  </si>
  <si>
    <t>Prime Traders</t>
  </si>
  <si>
    <t>Tech Suppliers</t>
  </si>
  <si>
    <t>Shree Traders</t>
  </si>
  <si>
    <t>Global Computers</t>
  </si>
  <si>
    <t>Maa Distributors</t>
  </si>
  <si>
    <t>National Electronics</t>
  </si>
  <si>
    <t>Shree Computers</t>
  </si>
  <si>
    <t>Tech Traders</t>
  </si>
  <si>
    <t>Star Distributors</t>
  </si>
  <si>
    <t>Prime Electronics</t>
  </si>
  <si>
    <t>Tech Distributors</t>
  </si>
  <si>
    <t>Shree Distributors</t>
  </si>
  <si>
    <t>Prime Computers</t>
  </si>
  <si>
    <t>Tech Computers</t>
  </si>
  <si>
    <t>Maa Traders</t>
  </si>
  <si>
    <t>maa distributors</t>
  </si>
  <si>
    <t>Star Electronics</t>
  </si>
  <si>
    <t>Shree Suppliers</t>
  </si>
  <si>
    <t>Star Computers</t>
  </si>
  <si>
    <t>star traders</t>
  </si>
  <si>
    <t>Prime Suppliers</t>
  </si>
  <si>
    <t>Star Traders</t>
  </si>
  <si>
    <t>Global Distributors</t>
  </si>
  <si>
    <t>Star Suppliers</t>
  </si>
  <si>
    <t>Shree Electronics</t>
  </si>
  <si>
    <t>National Computers</t>
  </si>
  <si>
    <t>National Traders</t>
  </si>
  <si>
    <t>NATIONAL ELECTRONICS</t>
  </si>
  <si>
    <t>CUST0001</t>
  </si>
  <si>
    <t>CUST0002</t>
  </si>
  <si>
    <t>CUST0003</t>
  </si>
  <si>
    <t>CUST0004</t>
  </si>
  <si>
    <t>CUST0005</t>
  </si>
  <si>
    <t>CUST0006</t>
  </si>
  <si>
    <t>CUST0007</t>
  </si>
  <si>
    <t>CUST0008</t>
  </si>
  <si>
    <t>Darri</t>
  </si>
  <si>
    <t>CUST0009</t>
  </si>
  <si>
    <t>CUST0010</t>
  </si>
  <si>
    <t>CUST0011</t>
  </si>
  <si>
    <t>Katghora</t>
  </si>
  <si>
    <t>CUST0012</t>
  </si>
  <si>
    <t>CUST0013</t>
  </si>
  <si>
    <t>CUST0014</t>
  </si>
  <si>
    <t>CUST0015</t>
  </si>
  <si>
    <t>CUST0016</t>
  </si>
  <si>
    <t>CUST0017</t>
  </si>
  <si>
    <t>CUST0018</t>
  </si>
  <si>
    <t>CUST0019</t>
  </si>
  <si>
    <t>CUST0020</t>
  </si>
  <si>
    <t>CUST0021</t>
  </si>
  <si>
    <t>CUST0022</t>
  </si>
  <si>
    <t>Jamnipali</t>
  </si>
  <si>
    <t>CUST0023</t>
  </si>
  <si>
    <t>CUST0024</t>
  </si>
  <si>
    <t>CUST0025</t>
  </si>
  <si>
    <t>CUST0026</t>
  </si>
  <si>
    <t>CUST0027</t>
  </si>
  <si>
    <t>CUST0028</t>
  </si>
  <si>
    <t>CUST0029</t>
  </si>
  <si>
    <t>CUST0030</t>
  </si>
  <si>
    <t>CUST0031</t>
  </si>
  <si>
    <t>CUST0032</t>
  </si>
  <si>
    <t>CUST0033</t>
  </si>
  <si>
    <t>CUST0034</t>
  </si>
  <si>
    <t>CUST0035</t>
  </si>
  <si>
    <t>CUST0036</t>
  </si>
  <si>
    <t>CUST0037</t>
  </si>
  <si>
    <t>CUST0038</t>
  </si>
  <si>
    <t>CUST0039</t>
  </si>
  <si>
    <t>CUST0040</t>
  </si>
  <si>
    <t>CUST0041</t>
  </si>
  <si>
    <t>CUST0042</t>
  </si>
  <si>
    <t>CUST0043</t>
  </si>
  <si>
    <t>CUST0044</t>
  </si>
  <si>
    <t>CUST0045</t>
  </si>
  <si>
    <t>CUST0046</t>
  </si>
  <si>
    <t>CUST0047</t>
  </si>
  <si>
    <t>CUST0048</t>
  </si>
  <si>
    <t>CUST0049</t>
  </si>
  <si>
    <t>CUST0050</t>
  </si>
  <si>
    <t>CUST0051</t>
  </si>
  <si>
    <t>CUST0052</t>
  </si>
  <si>
    <t>CUST0053</t>
  </si>
  <si>
    <t>CUST0054</t>
  </si>
  <si>
    <t>CUST0055</t>
  </si>
  <si>
    <t>CUST0056</t>
  </si>
  <si>
    <t>CUST0057</t>
  </si>
  <si>
    <t>CUST0058</t>
  </si>
  <si>
    <t>CUST0059</t>
  </si>
  <si>
    <t>CUST0060</t>
  </si>
  <si>
    <t>CUST0061</t>
  </si>
  <si>
    <t>CUST0062</t>
  </si>
  <si>
    <t>CUST0063</t>
  </si>
  <si>
    <t>CUST0064</t>
  </si>
  <si>
    <t>CUST0065</t>
  </si>
  <si>
    <t>CUST0066</t>
  </si>
  <si>
    <t>CUST0067</t>
  </si>
  <si>
    <t>CUST0068</t>
  </si>
  <si>
    <t>CUST0069</t>
  </si>
  <si>
    <t>CUST0070</t>
  </si>
  <si>
    <t>CUST0071</t>
  </si>
  <si>
    <t>CUST0072</t>
  </si>
  <si>
    <t>CUST0073</t>
  </si>
  <si>
    <t>CUST0074</t>
  </si>
  <si>
    <t>CUST0075</t>
  </si>
  <si>
    <t>CUST0076</t>
  </si>
  <si>
    <t>CUST0077</t>
  </si>
  <si>
    <t>CUST0078</t>
  </si>
  <si>
    <t>CUST0079</t>
  </si>
  <si>
    <t>CUST0080</t>
  </si>
  <si>
    <t>CUST0081</t>
  </si>
  <si>
    <t>CUST0082</t>
  </si>
  <si>
    <t>CUST0083</t>
  </si>
  <si>
    <t>CUST0084</t>
  </si>
  <si>
    <t>CUST0085</t>
  </si>
  <si>
    <t>CUST0086</t>
  </si>
  <si>
    <t>CUST0087</t>
  </si>
  <si>
    <t>CUST0088</t>
  </si>
  <si>
    <t>CUST0089</t>
  </si>
  <si>
    <t>CUST0090</t>
  </si>
  <si>
    <t>CUST0091</t>
  </si>
  <si>
    <t>CUST0092</t>
  </si>
  <si>
    <t>CUST0093</t>
  </si>
  <si>
    <t>CUST0094</t>
  </si>
  <si>
    <t>CUST0095</t>
  </si>
  <si>
    <t>CUST0096</t>
  </si>
  <si>
    <t>CUST0097</t>
  </si>
  <si>
    <t>CUST0098</t>
  </si>
  <si>
    <t>CUST0099</t>
  </si>
  <si>
    <t>CUST0100</t>
  </si>
  <si>
    <t>CUST0101</t>
  </si>
  <si>
    <t>CUST0102</t>
  </si>
  <si>
    <t>CUST0103</t>
  </si>
  <si>
    <t>CUST0104</t>
  </si>
  <si>
    <t>CUST0105</t>
  </si>
  <si>
    <t>CUST0106</t>
  </si>
  <si>
    <t>CUST0107</t>
  </si>
  <si>
    <t>CUST0108</t>
  </si>
  <si>
    <t>CUST0109</t>
  </si>
  <si>
    <t>CUST0110</t>
  </si>
  <si>
    <t>CUST0111</t>
  </si>
  <si>
    <t>CUST0112</t>
  </si>
  <si>
    <t>CUST0113</t>
  </si>
  <si>
    <t>CUST0114</t>
  </si>
  <si>
    <t>CUST0115</t>
  </si>
  <si>
    <t>CUST0116</t>
  </si>
  <si>
    <t>CUST0117</t>
  </si>
  <si>
    <t>CUST0118</t>
  </si>
  <si>
    <t>CUST0119</t>
  </si>
  <si>
    <t>CUST0120</t>
  </si>
  <si>
    <t>CUST0121</t>
  </si>
  <si>
    <t>CUST0122</t>
  </si>
  <si>
    <t>CUST0123</t>
  </si>
  <si>
    <t>CUST0124</t>
  </si>
  <si>
    <t>CUST0125</t>
  </si>
  <si>
    <t>CUST0126</t>
  </si>
  <si>
    <t>CUST0127</t>
  </si>
  <si>
    <t>CUST0128</t>
  </si>
  <si>
    <t>CUST0129</t>
  </si>
  <si>
    <t>CUST0130</t>
  </si>
  <si>
    <t>CUST0131</t>
  </si>
  <si>
    <t>CUST0132</t>
  </si>
  <si>
    <t>CUST0133</t>
  </si>
  <si>
    <t>CUST0134</t>
  </si>
  <si>
    <t>CUST0135</t>
  </si>
  <si>
    <t>CUST0136</t>
  </si>
  <si>
    <t>CUST0137</t>
  </si>
  <si>
    <t>CUST0138</t>
  </si>
  <si>
    <t>CUST0139</t>
  </si>
  <si>
    <t>CUST0140</t>
  </si>
  <si>
    <t>CUST0141</t>
  </si>
  <si>
    <t>CUST0142</t>
  </si>
  <si>
    <t>CUST0143</t>
  </si>
  <si>
    <t>CUST0144</t>
  </si>
  <si>
    <t>CUST0145</t>
  </si>
  <si>
    <t>CUST0146</t>
  </si>
  <si>
    <t>CUST0147</t>
  </si>
  <si>
    <t>CUST0148</t>
  </si>
  <si>
    <t>CUST0149</t>
  </si>
  <si>
    <t>CUST0150</t>
  </si>
  <si>
    <t>CUST0151</t>
  </si>
  <si>
    <t>CUST0152</t>
  </si>
  <si>
    <t>CUST0153</t>
  </si>
  <si>
    <t>CUST0154</t>
  </si>
  <si>
    <t>CUST0155</t>
  </si>
  <si>
    <t>CUST0156</t>
  </si>
  <si>
    <t>CUST0157</t>
  </si>
  <si>
    <t>CUST0158</t>
  </si>
  <si>
    <t>CUST0159</t>
  </si>
  <si>
    <t>CUST0160</t>
  </si>
  <si>
    <t>CUST0161</t>
  </si>
  <si>
    <t>CUST0162</t>
  </si>
  <si>
    <t>CUST0163</t>
  </si>
  <si>
    <t>CUST0164</t>
  </si>
  <si>
    <t>CUST0165</t>
  </si>
  <si>
    <t>CUST0166</t>
  </si>
  <si>
    <t>CUST0167</t>
  </si>
  <si>
    <t>CUST0168</t>
  </si>
  <si>
    <t>CUST0169</t>
  </si>
  <si>
    <t>CUST0170</t>
  </si>
  <si>
    <t>CUST0171</t>
  </si>
  <si>
    <t>CUST0172</t>
  </si>
  <si>
    <t>CUST0173</t>
  </si>
  <si>
    <t>CUST0174</t>
  </si>
  <si>
    <t>CUST0175</t>
  </si>
  <si>
    <t>CUST0176</t>
  </si>
  <si>
    <t>CUST0177</t>
  </si>
  <si>
    <t>CUST0178</t>
  </si>
  <si>
    <t>CUST0179</t>
  </si>
  <si>
    <t>CUST0180</t>
  </si>
  <si>
    <t>CUST0181</t>
  </si>
  <si>
    <t>CUST0182</t>
  </si>
  <si>
    <t>CUST0183</t>
  </si>
  <si>
    <t>CUST0184</t>
  </si>
  <si>
    <t>CUST0185</t>
  </si>
  <si>
    <t>CUST0186</t>
  </si>
  <si>
    <t>CUST0187</t>
  </si>
  <si>
    <t>CUST0188</t>
  </si>
  <si>
    <t>CUST0189</t>
  </si>
  <si>
    <t>CUST0190</t>
  </si>
  <si>
    <t>CUST0191</t>
  </si>
  <si>
    <t>CUST0192</t>
  </si>
  <si>
    <t>CUST0193</t>
  </si>
  <si>
    <t>CUST0194</t>
  </si>
  <si>
    <t>CUST0195</t>
  </si>
  <si>
    <t>CUST0196</t>
  </si>
  <si>
    <t>CUST0197</t>
  </si>
  <si>
    <t>CUST0198</t>
  </si>
  <si>
    <t>CUST0199</t>
  </si>
  <si>
    <t>CUST0200</t>
  </si>
  <si>
    <t>CUST0201</t>
  </si>
  <si>
    <t>CUST0202</t>
  </si>
  <si>
    <t>CUST0203</t>
  </si>
  <si>
    <t>CUST0204</t>
  </si>
  <si>
    <t>CUST0205</t>
  </si>
  <si>
    <t>CUST0206</t>
  </si>
  <si>
    <t>CUST0207</t>
  </si>
  <si>
    <t>CUST0208</t>
  </si>
  <si>
    <t>CUST0209</t>
  </si>
  <si>
    <t>CUST0210</t>
  </si>
  <si>
    <t>CUST0211</t>
  </si>
  <si>
    <t>CUST0212</t>
  </si>
  <si>
    <t>CUST0213</t>
  </si>
  <si>
    <t>CUST0214</t>
  </si>
  <si>
    <t>CUST0215</t>
  </si>
  <si>
    <t>CUST0216</t>
  </si>
  <si>
    <t>CUST0217</t>
  </si>
  <si>
    <t>CUST0218</t>
  </si>
  <si>
    <t>CUST0219</t>
  </si>
  <si>
    <t>CUST0220</t>
  </si>
  <si>
    <t>CUST0221</t>
  </si>
  <si>
    <t>CUST0222</t>
  </si>
  <si>
    <t>CUST0223</t>
  </si>
  <si>
    <t>CUST0224</t>
  </si>
  <si>
    <t>CUST0225</t>
  </si>
  <si>
    <t>CUST0226</t>
  </si>
  <si>
    <t>CUST0227</t>
  </si>
  <si>
    <t>CUST0228</t>
  </si>
  <si>
    <t>CUST0229</t>
  </si>
  <si>
    <t>CUST0230</t>
  </si>
  <si>
    <t>CUST0231</t>
  </si>
  <si>
    <t>CUST0232</t>
  </si>
  <si>
    <t>CUST0233</t>
  </si>
  <si>
    <t>CUST0234</t>
  </si>
  <si>
    <t>CUST0235</t>
  </si>
  <si>
    <t>CUST0236</t>
  </si>
  <si>
    <t>CUST0237</t>
  </si>
  <si>
    <t>CUST0238</t>
  </si>
  <si>
    <t>CUST0239</t>
  </si>
  <si>
    <t>CUST0240</t>
  </si>
  <si>
    <t>CUST0241</t>
  </si>
  <si>
    <t>CUST0242</t>
  </si>
  <si>
    <t>CUST0243</t>
  </si>
  <si>
    <t>CUST0244</t>
  </si>
  <si>
    <t>CUST0245</t>
  </si>
  <si>
    <t>CUST0246</t>
  </si>
  <si>
    <t>CUST0247</t>
  </si>
  <si>
    <t>CUST0248</t>
  </si>
  <si>
    <t>CUST0249</t>
  </si>
  <si>
    <t>CUST0250</t>
  </si>
  <si>
    <t>CUST0251</t>
  </si>
  <si>
    <t>CUST0252</t>
  </si>
  <si>
    <t>CUST0253</t>
  </si>
  <si>
    <t>CUST0254</t>
  </si>
  <si>
    <t>CUST0255</t>
  </si>
  <si>
    <t>CUST0256</t>
  </si>
  <si>
    <t>CUST0257</t>
  </si>
  <si>
    <t>CUST0258</t>
  </si>
  <si>
    <t>CUST0259</t>
  </si>
  <si>
    <t>CUST0260</t>
  </si>
  <si>
    <t>CUST0261</t>
  </si>
  <si>
    <t>CUST0262</t>
  </si>
  <si>
    <t>CUST0263</t>
  </si>
  <si>
    <t>CUST0264</t>
  </si>
  <si>
    <t>CUST0265</t>
  </si>
  <si>
    <t>CUST0266</t>
  </si>
  <si>
    <t>CUST0267</t>
  </si>
  <si>
    <t>CUST0268</t>
  </si>
  <si>
    <t>CUST0269</t>
  </si>
  <si>
    <t>CUST0270</t>
  </si>
  <si>
    <t>CUST0271</t>
  </si>
  <si>
    <t>CUST0272</t>
  </si>
  <si>
    <t>CUST0273</t>
  </si>
  <si>
    <t>CUST0274</t>
  </si>
  <si>
    <t>CUST0275</t>
  </si>
  <si>
    <t>CUST0276</t>
  </si>
  <si>
    <t>CUST0277</t>
  </si>
  <si>
    <t>CUST0278</t>
  </si>
  <si>
    <t>CUST0279</t>
  </si>
  <si>
    <t>CUST0280</t>
  </si>
  <si>
    <t>CUST0281</t>
  </si>
  <si>
    <t>CUST0282</t>
  </si>
  <si>
    <t>CUST0283</t>
  </si>
  <si>
    <t>CUST0284</t>
  </si>
  <si>
    <t>CUST0285</t>
  </si>
  <si>
    <t>CUST0286</t>
  </si>
  <si>
    <t>CUST0287</t>
  </si>
  <si>
    <t>CUST0288</t>
  </si>
  <si>
    <t>CUST0289</t>
  </si>
  <si>
    <t>CUST0290</t>
  </si>
  <si>
    <t>CUST0291</t>
  </si>
  <si>
    <t>CUST0292</t>
  </si>
  <si>
    <t>CUST0293</t>
  </si>
  <si>
    <t>CUST0294</t>
  </si>
  <si>
    <t>CUST0295</t>
  </si>
  <si>
    <t>CUST0296</t>
  </si>
  <si>
    <t>CUST0297</t>
  </si>
  <si>
    <t>CUST0298</t>
  </si>
  <si>
    <t>CUST0299</t>
  </si>
  <si>
    <t>CUST0300</t>
  </si>
  <si>
    <t xml:space="preserve">Pooja Patel </t>
  </si>
  <si>
    <t>Sahil Verma</t>
  </si>
  <si>
    <t>Sahil Kumar</t>
  </si>
  <si>
    <t>Pooja Patel</t>
  </si>
  <si>
    <t>Sunita Verma</t>
  </si>
  <si>
    <t>Pooja Singh</t>
  </si>
  <si>
    <t>Rahul Kumar</t>
  </si>
  <si>
    <t>Rahul Verma</t>
  </si>
  <si>
    <t>Rakesh Sharma</t>
  </si>
  <si>
    <t>Priya Sharma</t>
  </si>
  <si>
    <t>Pooja Gupta</t>
  </si>
  <si>
    <t>Amit Sharma</t>
  </si>
  <si>
    <t>Vikas Sharma</t>
  </si>
  <si>
    <t>Sahil Gupta</t>
  </si>
  <si>
    <t>Rahul Patel</t>
  </si>
  <si>
    <t>Rakesh Patel</t>
  </si>
  <si>
    <t>Sahil Patel</t>
  </si>
  <si>
    <t>Sunita Gupta</t>
  </si>
  <si>
    <t>Rahul Gupta</t>
  </si>
  <si>
    <t>Neha Singh</t>
  </si>
  <si>
    <t>Ankit Gupta</t>
  </si>
  <si>
    <t>Rahul Singh</t>
  </si>
  <si>
    <t>Amit Kumar</t>
  </si>
  <si>
    <t>Rahul Sharma</t>
  </si>
  <si>
    <t>Pooja Kumar</t>
  </si>
  <si>
    <t>Priya Gupta</t>
  </si>
  <si>
    <t>Priya Patel</t>
  </si>
  <si>
    <t>Priya Kumar</t>
  </si>
  <si>
    <t>Neha Sharma</t>
  </si>
  <si>
    <t>Amit Singh</t>
  </si>
  <si>
    <t>Ankit Kumar</t>
  </si>
  <si>
    <t>Amit Patel</t>
  </si>
  <si>
    <t>Priya Verma</t>
  </si>
  <si>
    <t>Amit Verma</t>
  </si>
  <si>
    <t>Sunita Patel</t>
  </si>
  <si>
    <t>Amit Gupta</t>
  </si>
  <si>
    <t>Rakesh Kumar</t>
  </si>
  <si>
    <t>Sunita Singh</t>
  </si>
  <si>
    <t>Rakesh Singh</t>
  </si>
  <si>
    <t>Sahil Sharma</t>
  </si>
  <si>
    <t>Vikas Patel</t>
  </si>
  <si>
    <t>Sunita Sharma</t>
  </si>
  <si>
    <t>Priya Singh</t>
  </si>
  <si>
    <t>Neha Verma</t>
  </si>
  <si>
    <t>Vikas Kumar</t>
  </si>
  <si>
    <t>Ankit Sharma</t>
  </si>
  <si>
    <t>Ankit Verma</t>
  </si>
  <si>
    <t>Pooja Verma</t>
  </si>
  <si>
    <t>Ankit Singh</t>
  </si>
  <si>
    <t>Vikas Gupta</t>
  </si>
  <si>
    <t>Sunita Kumar</t>
  </si>
  <si>
    <t>Rakesh Gupta</t>
  </si>
  <si>
    <t>Neha Gupta</t>
  </si>
  <si>
    <t>Pooja Sharma</t>
  </si>
  <si>
    <t>Rakesh Verma</t>
  </si>
  <si>
    <t>Vikas Singh</t>
  </si>
  <si>
    <t>Ankit Patel</t>
  </si>
  <si>
    <t>Sahil Singh</t>
  </si>
  <si>
    <t>Vikas Verma</t>
  </si>
  <si>
    <t>Neha Kumar</t>
  </si>
  <si>
    <t>Customer Name</t>
  </si>
  <si>
    <t>Opening_Qty</t>
  </si>
  <si>
    <t>Opening_Rate</t>
  </si>
  <si>
    <t>Qty</t>
  </si>
  <si>
    <t>Status</t>
  </si>
  <si>
    <t>PUR-50001</t>
  </si>
  <si>
    <t>Received</t>
  </si>
  <si>
    <t>PUR-50002</t>
  </si>
  <si>
    <t>PUR-50003</t>
  </si>
  <si>
    <t>PUR-50004</t>
  </si>
  <si>
    <t>PUR-50005</t>
  </si>
  <si>
    <t>PUR-50006</t>
  </si>
  <si>
    <t>PUR-50007</t>
  </si>
  <si>
    <t>PUR-50008</t>
  </si>
  <si>
    <t>PUR-50009</t>
  </si>
  <si>
    <t>PUR-50010</t>
  </si>
  <si>
    <t>PUR-50011</t>
  </si>
  <si>
    <t>PUR-50012</t>
  </si>
  <si>
    <t>PUR-50013</t>
  </si>
  <si>
    <t>PUR-50014</t>
  </si>
  <si>
    <t>PUR-50015</t>
  </si>
  <si>
    <t>PUR-50016</t>
  </si>
  <si>
    <t>PUR-50017</t>
  </si>
  <si>
    <t>PUR-50018</t>
  </si>
  <si>
    <t>PUR-50019</t>
  </si>
  <si>
    <t>PUR-50020</t>
  </si>
  <si>
    <t>PUR-50021</t>
  </si>
  <si>
    <t>Cancelled</t>
  </si>
  <si>
    <t>PUR-50022</t>
  </si>
  <si>
    <t>PUR-50023</t>
  </si>
  <si>
    <t>PUR-50024</t>
  </si>
  <si>
    <t>PUR-50025</t>
  </si>
  <si>
    <t>sup034</t>
  </si>
  <si>
    <t>PUR-50026</t>
  </si>
  <si>
    <t>PUR-50027</t>
  </si>
  <si>
    <t>PUR-50028</t>
  </si>
  <si>
    <t>PUR-50029</t>
  </si>
  <si>
    <t>PUR-50030</t>
  </si>
  <si>
    <t>PUR-50031</t>
  </si>
  <si>
    <t>PUR-50032</t>
  </si>
  <si>
    <t>PUR-50033</t>
  </si>
  <si>
    <t>PUR-50034</t>
  </si>
  <si>
    <t>PUR-50035</t>
  </si>
  <si>
    <t>PUR-50036</t>
  </si>
  <si>
    <t>PUR-50037</t>
  </si>
  <si>
    <t>PUR-50038</t>
  </si>
  <si>
    <t>PUR-50039</t>
  </si>
  <si>
    <t>PUR-50040</t>
  </si>
  <si>
    <t>PUR-50041</t>
  </si>
  <si>
    <t>PUR-50042</t>
  </si>
  <si>
    <t>PUR-50043</t>
  </si>
  <si>
    <t>PUR-50044</t>
  </si>
  <si>
    <t>PUR-50045</t>
  </si>
  <si>
    <t>PUR-50046</t>
  </si>
  <si>
    <t>PUR-50047</t>
  </si>
  <si>
    <t>PUR-50048</t>
  </si>
  <si>
    <t>PUR-50049</t>
  </si>
  <si>
    <t>PUR-50050</t>
  </si>
  <si>
    <t>PUR-50051</t>
  </si>
  <si>
    <t>PUR-50052</t>
  </si>
  <si>
    <t>PUR-50053</t>
  </si>
  <si>
    <t>PUR-50054</t>
  </si>
  <si>
    <t>PUR-50055</t>
  </si>
  <si>
    <t>PUR-50056</t>
  </si>
  <si>
    <t>PUR-50057</t>
  </si>
  <si>
    <t>PUR-50058</t>
  </si>
  <si>
    <t>PUR-50059</t>
  </si>
  <si>
    <t>PUR-50060</t>
  </si>
  <si>
    <t>PUR-50061</t>
  </si>
  <si>
    <t>PUR-50062</t>
  </si>
  <si>
    <t>PUR-50063</t>
  </si>
  <si>
    <t>PUR-50064</t>
  </si>
  <si>
    <t>PUR-50065</t>
  </si>
  <si>
    <t>PUR-50066</t>
  </si>
  <si>
    <t>PUR-50067</t>
  </si>
  <si>
    <t>PUR-50068</t>
  </si>
  <si>
    <t>PUR-50069</t>
  </si>
  <si>
    <t>PUR-50070</t>
  </si>
  <si>
    <t>PUR-50071</t>
  </si>
  <si>
    <t>PUR-50072</t>
  </si>
  <si>
    <t>PUR-50073</t>
  </si>
  <si>
    <t>PUR-50074</t>
  </si>
  <si>
    <t>PUR-50075</t>
  </si>
  <si>
    <t>PUR-50076</t>
  </si>
  <si>
    <t>PUR-50077</t>
  </si>
  <si>
    <t>sup022</t>
  </si>
  <si>
    <t>PUR-50078</t>
  </si>
  <si>
    <t>PUR-50079</t>
  </si>
  <si>
    <t>PUR-50080</t>
  </si>
  <si>
    <t>PUR-50081</t>
  </si>
  <si>
    <t>PUR-50082</t>
  </si>
  <si>
    <t>PUR-50083</t>
  </si>
  <si>
    <t>PUR-50084</t>
  </si>
  <si>
    <t>PUR-50085</t>
  </si>
  <si>
    <t>PUR-50086</t>
  </si>
  <si>
    <t>PUR-50087</t>
  </si>
  <si>
    <t>PUR-50088</t>
  </si>
  <si>
    <t>PUR-50089</t>
  </si>
  <si>
    <t>sup040</t>
  </si>
  <si>
    <t>PUR-50090</t>
  </si>
  <si>
    <t>PUR-50091</t>
  </si>
  <si>
    <t>PUR-50092</t>
  </si>
  <si>
    <t>PUR-50093</t>
  </si>
  <si>
    <t>sup009</t>
  </si>
  <si>
    <t>PUR-50094</t>
  </si>
  <si>
    <t>PUR-50095</t>
  </si>
  <si>
    <t>PUR-50096</t>
  </si>
  <si>
    <t>PUR-50097</t>
  </si>
  <si>
    <t>PUR-50098</t>
  </si>
  <si>
    <t>PUR-50099</t>
  </si>
  <si>
    <t>PUR-50100</t>
  </si>
  <si>
    <t>PUR-50101</t>
  </si>
  <si>
    <t>PUR-50102</t>
  </si>
  <si>
    <t>PUR-50103</t>
  </si>
  <si>
    <t>PUR-50104</t>
  </si>
  <si>
    <t>PUR-50105</t>
  </si>
  <si>
    <t>PUR-50106</t>
  </si>
  <si>
    <t>PUR-50107</t>
  </si>
  <si>
    <t>PUR-50108</t>
  </si>
  <si>
    <t>PUR-50109</t>
  </si>
  <si>
    <t>PUR-50110</t>
  </si>
  <si>
    <t>PUR-50111</t>
  </si>
  <si>
    <t>PUR-50112</t>
  </si>
  <si>
    <t>PUR-50113</t>
  </si>
  <si>
    <t>PUR-50114</t>
  </si>
  <si>
    <t>PUR-50115</t>
  </si>
  <si>
    <t>PUR-50116</t>
  </si>
  <si>
    <t>PUR-50117</t>
  </si>
  <si>
    <t>PUR-50118</t>
  </si>
  <si>
    <t>PUR-50119</t>
  </si>
  <si>
    <t>PUR-50120</t>
  </si>
  <si>
    <t>PUR-50121</t>
  </si>
  <si>
    <t>PUR-50122</t>
  </si>
  <si>
    <t>PUR-50123</t>
  </si>
  <si>
    <t>PUR-50124</t>
  </si>
  <si>
    <t>PUR-50125</t>
  </si>
  <si>
    <t>PUR-50126</t>
  </si>
  <si>
    <t>PUR-50127</t>
  </si>
  <si>
    <t>PUR-50128</t>
  </si>
  <si>
    <t>PUR-50129</t>
  </si>
  <si>
    <t>PUR-50130</t>
  </si>
  <si>
    <t>PUR-50131</t>
  </si>
  <si>
    <t>PUR-50132</t>
  </si>
  <si>
    <t>PUR-50133</t>
  </si>
  <si>
    <t>PUR-50134</t>
  </si>
  <si>
    <t>PUR-50135</t>
  </si>
  <si>
    <t>PUR-50136</t>
  </si>
  <si>
    <t>PUR-50137</t>
  </si>
  <si>
    <t>PUR-50138</t>
  </si>
  <si>
    <t>PUR-50139</t>
  </si>
  <si>
    <t>PUR-50140</t>
  </si>
  <si>
    <t>PUR-50141</t>
  </si>
  <si>
    <t>PUR-50142</t>
  </si>
  <si>
    <t>PUR-50143</t>
  </si>
  <si>
    <t>PUR-50144</t>
  </si>
  <si>
    <t>PUR-50145</t>
  </si>
  <si>
    <t>PUR-50146</t>
  </si>
  <si>
    <t>PUR-50147</t>
  </si>
  <si>
    <t>PUR-50148</t>
  </si>
  <si>
    <t>PUR-50149</t>
  </si>
  <si>
    <t>PUR-50150</t>
  </si>
  <si>
    <t>PUR-50151</t>
  </si>
  <si>
    <t>PUR-50152</t>
  </si>
  <si>
    <t>PUR-50153</t>
  </si>
  <si>
    <t>PUR-50154</t>
  </si>
  <si>
    <t>sup006</t>
  </si>
  <si>
    <t>PUR-50155</t>
  </si>
  <si>
    <t>PUR-50156</t>
  </si>
  <si>
    <t>PUR-50157</t>
  </si>
  <si>
    <t>PUR-50158</t>
  </si>
  <si>
    <t>PUR-50159</t>
  </si>
  <si>
    <t>PUR-50160</t>
  </si>
  <si>
    <t>PUR-50161</t>
  </si>
  <si>
    <t>PUR-50162</t>
  </si>
  <si>
    <t>PUR-50163</t>
  </si>
  <si>
    <t>PUR-50164</t>
  </si>
  <si>
    <t>PUR-50165</t>
  </si>
  <si>
    <t>PUR-50166</t>
  </si>
  <si>
    <t>PUR-50167</t>
  </si>
  <si>
    <t>PUR-50168</t>
  </si>
  <si>
    <t>PUR-50169</t>
  </si>
  <si>
    <t>PUR-50170</t>
  </si>
  <si>
    <t>PUR-50171</t>
  </si>
  <si>
    <t>PUR-50172</t>
  </si>
  <si>
    <t>PUR-50173</t>
  </si>
  <si>
    <t>PUR-50174</t>
  </si>
  <si>
    <t>PUR-50175</t>
  </si>
  <si>
    <t>PUR-50176</t>
  </si>
  <si>
    <t>sup027</t>
  </si>
  <si>
    <t>PUR-50177</t>
  </si>
  <si>
    <t>PUR-50178</t>
  </si>
  <si>
    <t>PUR-50179</t>
  </si>
  <si>
    <t>PUR-50180</t>
  </si>
  <si>
    <t>PUR-50181</t>
  </si>
  <si>
    <t>PUR-50182</t>
  </si>
  <si>
    <t>PUR-50183</t>
  </si>
  <si>
    <t>PUR-50184</t>
  </si>
  <si>
    <t>PUR-50185</t>
  </si>
  <si>
    <t>PUR-50186</t>
  </si>
  <si>
    <t>PUR-50187</t>
  </si>
  <si>
    <t>PUR-50188</t>
  </si>
  <si>
    <t>PUR-50189</t>
  </si>
  <si>
    <t>PUR-50190</t>
  </si>
  <si>
    <t>PUR-50191</t>
  </si>
  <si>
    <t>PUR-50192</t>
  </si>
  <si>
    <t>PUR-50193</t>
  </si>
  <si>
    <t>PUR-50194</t>
  </si>
  <si>
    <t>PUR-50195</t>
  </si>
  <si>
    <t>PUR-50196</t>
  </si>
  <si>
    <t>PUR-50197</t>
  </si>
  <si>
    <t>PUR-50198</t>
  </si>
  <si>
    <t>PUR-50199</t>
  </si>
  <si>
    <t>sup025</t>
  </si>
  <si>
    <t>PUR-50200</t>
  </si>
  <si>
    <t>PUR-50201</t>
  </si>
  <si>
    <t>PUR-50202</t>
  </si>
  <si>
    <t>PUR-50203</t>
  </si>
  <si>
    <t>PUR-50204</t>
  </si>
  <si>
    <t>PUR-50205</t>
  </si>
  <si>
    <t>PUR-50206</t>
  </si>
  <si>
    <t>PUR-50207</t>
  </si>
  <si>
    <t>PUR-50208</t>
  </si>
  <si>
    <t>PUR-50209</t>
  </si>
  <si>
    <t>PUR-50210</t>
  </si>
  <si>
    <t>PUR-50211</t>
  </si>
  <si>
    <t>PUR-50212</t>
  </si>
  <si>
    <t>PUR-50213</t>
  </si>
  <si>
    <t>PUR-50214</t>
  </si>
  <si>
    <t>PUR-50215</t>
  </si>
  <si>
    <t>sup023</t>
  </si>
  <si>
    <t>PUR-50216</t>
  </si>
  <si>
    <t>PUR-50217</t>
  </si>
  <si>
    <t>PUR-50218</t>
  </si>
  <si>
    <t>PUR-50219</t>
  </si>
  <si>
    <t>PUR-50220</t>
  </si>
  <si>
    <t>PUR-50221</t>
  </si>
  <si>
    <t>PUR-50222</t>
  </si>
  <si>
    <t>PUR-50223</t>
  </si>
  <si>
    <t>PUR-50224</t>
  </si>
  <si>
    <t>PUR-50225</t>
  </si>
  <si>
    <t>PUR-50226</t>
  </si>
  <si>
    <t>PUR-50227</t>
  </si>
  <si>
    <t>PUR-50228</t>
  </si>
  <si>
    <t>PUR-50229</t>
  </si>
  <si>
    <t>PUR-50230</t>
  </si>
  <si>
    <t>PUR-50231</t>
  </si>
  <si>
    <t>PUR-50232</t>
  </si>
  <si>
    <t>PUR-50233</t>
  </si>
  <si>
    <t>PUR-50234</t>
  </si>
  <si>
    <t>PUR-50235</t>
  </si>
  <si>
    <t>PUR-50236</t>
  </si>
  <si>
    <t>PUR-50237</t>
  </si>
  <si>
    <t>sup019</t>
  </si>
  <si>
    <t>PUR-50238</t>
  </si>
  <si>
    <t>PUR-50239</t>
  </si>
  <si>
    <t>PUR-50240</t>
  </si>
  <si>
    <t>PUR-50241</t>
  </si>
  <si>
    <t>PUR-50242</t>
  </si>
  <si>
    <t>PUR-50243</t>
  </si>
  <si>
    <t>PUR-50244</t>
  </si>
  <si>
    <t>PUR-50245</t>
  </si>
  <si>
    <t>PUR-50246</t>
  </si>
  <si>
    <t>PUR-50247</t>
  </si>
  <si>
    <t>PUR-50248</t>
  </si>
  <si>
    <t>PUR-50249</t>
  </si>
  <si>
    <t>PUR-50250</t>
  </si>
  <si>
    <t>sup045</t>
  </si>
  <si>
    <t>PUR-50251</t>
  </si>
  <si>
    <t>PUR-50252</t>
  </si>
  <si>
    <t>PUR-50253</t>
  </si>
  <si>
    <t>PUR-50254</t>
  </si>
  <si>
    <t>PUR-50255</t>
  </si>
  <si>
    <t>PUR-50256</t>
  </si>
  <si>
    <t>PUR-50257</t>
  </si>
  <si>
    <t>PUR-50258</t>
  </si>
  <si>
    <t>PUR-50259</t>
  </si>
  <si>
    <t>PUR-50260</t>
  </si>
  <si>
    <t>PUR-50261</t>
  </si>
  <si>
    <t>PUR-50262</t>
  </si>
  <si>
    <t>PUR-50263</t>
  </si>
  <si>
    <t>PUR-50264</t>
  </si>
  <si>
    <t>PUR-50265</t>
  </si>
  <si>
    <t>PUR-50266</t>
  </si>
  <si>
    <t>PUR-50267</t>
  </si>
  <si>
    <t>PUR-50268</t>
  </si>
  <si>
    <t>PUR-50269</t>
  </si>
  <si>
    <t>PUR-50270</t>
  </si>
  <si>
    <t>PUR-50271</t>
  </si>
  <si>
    <t>PUR-50272</t>
  </si>
  <si>
    <t>PUR-50273</t>
  </si>
  <si>
    <t>PUR-50274</t>
  </si>
  <si>
    <t>PUR-50275</t>
  </si>
  <si>
    <t>PUR-50276</t>
  </si>
  <si>
    <t>PUR-50277</t>
  </si>
  <si>
    <t>PUR-50278</t>
  </si>
  <si>
    <t>PUR-50279</t>
  </si>
  <si>
    <t>PUR-50280</t>
  </si>
  <si>
    <t>PUR-50281</t>
  </si>
  <si>
    <t>PUR-50282</t>
  </si>
  <si>
    <t>PUR-50283</t>
  </si>
  <si>
    <t>PUR-50284</t>
  </si>
  <si>
    <t>PUR-50285</t>
  </si>
  <si>
    <t>PUR-50286</t>
  </si>
  <si>
    <t>PUR-50287</t>
  </si>
  <si>
    <t>PUR-50288</t>
  </si>
  <si>
    <t>PUR-50289</t>
  </si>
  <si>
    <t>PUR-50290</t>
  </si>
  <si>
    <t>PUR-50291</t>
  </si>
  <si>
    <t>PUR-50292</t>
  </si>
  <si>
    <t>PUR-50293</t>
  </si>
  <si>
    <t>PUR-50294</t>
  </si>
  <si>
    <t>PUR-50295</t>
  </si>
  <si>
    <t>PUR-50296</t>
  </si>
  <si>
    <t>PUR-50297</t>
  </si>
  <si>
    <t>PUR-50298</t>
  </si>
  <si>
    <t>PUR-50299</t>
  </si>
  <si>
    <t>PUR-50300</t>
  </si>
  <si>
    <t>PUR-50301</t>
  </si>
  <si>
    <t>PUR-50302</t>
  </si>
  <si>
    <t>sup046</t>
  </si>
  <si>
    <t>PUR-50303</t>
  </si>
  <si>
    <t>PUR-50304</t>
  </si>
  <si>
    <t>PUR-50305</t>
  </si>
  <si>
    <t>PUR-50306</t>
  </si>
  <si>
    <t>PUR-50307</t>
  </si>
  <si>
    <t>PUR-50308</t>
  </si>
  <si>
    <t>PUR-50309</t>
  </si>
  <si>
    <t>PUR-50310</t>
  </si>
  <si>
    <t>PUR-50311</t>
  </si>
  <si>
    <t>PUR-50312</t>
  </si>
  <si>
    <t>PUR-50313</t>
  </si>
  <si>
    <t>PUR-50314</t>
  </si>
  <si>
    <t>PUR-50315</t>
  </si>
  <si>
    <t>PUR-50316</t>
  </si>
  <si>
    <t>PUR-50317</t>
  </si>
  <si>
    <t>sup028</t>
  </si>
  <si>
    <t>PUR-50318</t>
  </si>
  <si>
    <t>PUR-50319</t>
  </si>
  <si>
    <t>PUR-50320</t>
  </si>
  <si>
    <t>PUR-50321</t>
  </si>
  <si>
    <t>PUR-50322</t>
  </si>
  <si>
    <t>PUR-50323</t>
  </si>
  <si>
    <t>PUR-50324</t>
  </si>
  <si>
    <t>PUR-50325</t>
  </si>
  <si>
    <t>PUR-50326</t>
  </si>
  <si>
    <t>PUR-50327</t>
  </si>
  <si>
    <t>PUR-50328</t>
  </si>
  <si>
    <t>PUR-50329</t>
  </si>
  <si>
    <t>PUR-50330</t>
  </si>
  <si>
    <t>PUR-50331</t>
  </si>
  <si>
    <t>PUR-50332</t>
  </si>
  <si>
    <t>PUR-50333</t>
  </si>
  <si>
    <t>PUR-50334</t>
  </si>
  <si>
    <t>PUR-50335</t>
  </si>
  <si>
    <t>PUR-50336</t>
  </si>
  <si>
    <t>PUR-50337</t>
  </si>
  <si>
    <t>sup001</t>
  </si>
  <si>
    <t>PUR-50338</t>
  </si>
  <si>
    <t>PUR-50339</t>
  </si>
  <si>
    <t>PUR-50340</t>
  </si>
  <si>
    <t>PUR-50341</t>
  </si>
  <si>
    <t>PUR-50342</t>
  </si>
  <si>
    <t>PUR-50343</t>
  </si>
  <si>
    <t>PUR-50344</t>
  </si>
  <si>
    <t>PUR-50345</t>
  </si>
  <si>
    <t>PUR-50346</t>
  </si>
  <si>
    <t>PUR-50347</t>
  </si>
  <si>
    <t>PUR-50348</t>
  </si>
  <si>
    <t>PUR-50349</t>
  </si>
  <si>
    <t>PUR-50350</t>
  </si>
  <si>
    <t>PUR-50351</t>
  </si>
  <si>
    <t>PUR-50352</t>
  </si>
  <si>
    <t>PUR-50353</t>
  </si>
  <si>
    <t>PUR-50354</t>
  </si>
  <si>
    <t>PUR-50355</t>
  </si>
  <si>
    <t>PUR-50356</t>
  </si>
  <si>
    <t>PUR-50357</t>
  </si>
  <si>
    <t>PUR-50358</t>
  </si>
  <si>
    <t>PUR-50359</t>
  </si>
  <si>
    <t>PUR-50360</t>
  </si>
  <si>
    <t>PUR-50361</t>
  </si>
  <si>
    <t>PUR-50362</t>
  </si>
  <si>
    <t>PUR-50363</t>
  </si>
  <si>
    <t>PUR-50364</t>
  </si>
  <si>
    <t>PUR-50365</t>
  </si>
  <si>
    <t>sup014</t>
  </si>
  <si>
    <t>PUR-50366</t>
  </si>
  <si>
    <t>PUR-50367</t>
  </si>
  <si>
    <t>PUR-50368</t>
  </si>
  <si>
    <t>PUR-50369</t>
  </si>
  <si>
    <t>PUR-50370</t>
  </si>
  <si>
    <t>PUR-50371</t>
  </si>
  <si>
    <t>PUR-50372</t>
  </si>
  <si>
    <t>PUR-50373</t>
  </si>
  <si>
    <t>PUR-50374</t>
  </si>
  <si>
    <t>PUR-50375</t>
  </si>
  <si>
    <t>PUR-50376</t>
  </si>
  <si>
    <t>PUR-50377</t>
  </si>
  <si>
    <t>PUR-50378</t>
  </si>
  <si>
    <t>PUR-50379</t>
  </si>
  <si>
    <t>PUR-50380</t>
  </si>
  <si>
    <t>PUR-50381</t>
  </si>
  <si>
    <t>PUR-50382</t>
  </si>
  <si>
    <t>PUR-50383</t>
  </si>
  <si>
    <t>PUR-50384</t>
  </si>
  <si>
    <t>PUR-50385</t>
  </si>
  <si>
    <t>PUR-50386</t>
  </si>
  <si>
    <t>PUR-50387</t>
  </si>
  <si>
    <t>PUR-50388</t>
  </si>
  <si>
    <t>PUR-50389</t>
  </si>
  <si>
    <t>PUR-50390</t>
  </si>
  <si>
    <t>PUR-50391</t>
  </si>
  <si>
    <t>PUR-50392</t>
  </si>
  <si>
    <t>PUR-50393</t>
  </si>
  <si>
    <t>PUR-50394</t>
  </si>
  <si>
    <t>sup049</t>
  </si>
  <si>
    <t>PUR-50395</t>
  </si>
  <si>
    <t>PUR-50396</t>
  </si>
  <si>
    <t>PUR-50397</t>
  </si>
  <si>
    <t>PUR-50398</t>
  </si>
  <si>
    <t>PUR-50399</t>
  </si>
  <si>
    <t>PUR-50400</t>
  </si>
  <si>
    <t>PUR-50401</t>
  </si>
  <si>
    <t>PUR-50402</t>
  </si>
  <si>
    <t>PUR-50403</t>
  </si>
  <si>
    <t>PUR-50404</t>
  </si>
  <si>
    <t>PUR-50405</t>
  </si>
  <si>
    <t>PUR-50406</t>
  </si>
  <si>
    <t>PUR-50407</t>
  </si>
  <si>
    <t>PUR-50408</t>
  </si>
  <si>
    <t>PUR-50409</t>
  </si>
  <si>
    <t>PUR-50410</t>
  </si>
  <si>
    <t>PUR-50411</t>
  </si>
  <si>
    <t>PUR-50412</t>
  </si>
  <si>
    <t>sup007</t>
  </si>
  <si>
    <t>PUR-50413</t>
  </si>
  <si>
    <t>PUR-50414</t>
  </si>
  <si>
    <t>PUR-50415</t>
  </si>
  <si>
    <t>sup042</t>
  </si>
  <si>
    <t>PUR-50416</t>
  </si>
  <si>
    <t>PUR-50417</t>
  </si>
  <si>
    <t>PUR-50418</t>
  </si>
  <si>
    <t>PUR-50419</t>
  </si>
  <si>
    <t>sup002</t>
  </si>
  <si>
    <t>PUR-50420</t>
  </si>
  <si>
    <t>PUR-50421</t>
  </si>
  <si>
    <t>PUR-50422</t>
  </si>
  <si>
    <t>PUR-50423</t>
  </si>
  <si>
    <t>PUR-50424</t>
  </si>
  <si>
    <t>PUR-50425</t>
  </si>
  <si>
    <t>PUR-50426</t>
  </si>
  <si>
    <t>PUR-50427</t>
  </si>
  <si>
    <t>PUR-50428</t>
  </si>
  <si>
    <t>PUR-50429</t>
  </si>
  <si>
    <t>PUR-50430</t>
  </si>
  <si>
    <t>PUR-50431</t>
  </si>
  <si>
    <t>PUR-50432</t>
  </si>
  <si>
    <t>PUR-50433</t>
  </si>
  <si>
    <t>PUR-50434</t>
  </si>
  <si>
    <t>PUR-50435</t>
  </si>
  <si>
    <t>PUR-50436</t>
  </si>
  <si>
    <t>PUR-50437</t>
  </si>
  <si>
    <t>PUR-50438</t>
  </si>
  <si>
    <t>PUR-50439</t>
  </si>
  <si>
    <t>PUR-50440</t>
  </si>
  <si>
    <t>PUR-50441</t>
  </si>
  <si>
    <t>PUR-50442</t>
  </si>
  <si>
    <t>PUR-50443</t>
  </si>
  <si>
    <t>PUR-50444</t>
  </si>
  <si>
    <t>PUR-50445</t>
  </si>
  <si>
    <t>PUR-50446</t>
  </si>
  <si>
    <t>PUR-50447</t>
  </si>
  <si>
    <t>PUR-50448</t>
  </si>
  <si>
    <t>PUR-50449</t>
  </si>
  <si>
    <t>PUR-50450</t>
  </si>
  <si>
    <t>PUR-50451</t>
  </si>
  <si>
    <t>PUR-50452</t>
  </si>
  <si>
    <t>sup021</t>
  </si>
  <si>
    <t>PUR-50453</t>
  </si>
  <si>
    <t>PUR-50454</t>
  </si>
  <si>
    <t>PUR-50455</t>
  </si>
  <si>
    <t>PUR-50456</t>
  </si>
  <si>
    <t>PUR-50457</t>
  </si>
  <si>
    <t>PUR-50458</t>
  </si>
  <si>
    <t>PUR-50459</t>
  </si>
  <si>
    <t>PUR-50460</t>
  </si>
  <si>
    <t>PUR-50461</t>
  </si>
  <si>
    <t>PUR-50462</t>
  </si>
  <si>
    <t>PUR-50463</t>
  </si>
  <si>
    <t>PUR-50464</t>
  </si>
  <si>
    <t>PUR-50465</t>
  </si>
  <si>
    <t>PUR-50466</t>
  </si>
  <si>
    <t>PUR-50467</t>
  </si>
  <si>
    <t>PUR-50468</t>
  </si>
  <si>
    <t>PUR-50469</t>
  </si>
  <si>
    <t>PUR-50470</t>
  </si>
  <si>
    <t>PUR-50471</t>
  </si>
  <si>
    <t>PUR-50472</t>
  </si>
  <si>
    <t>PUR-50473</t>
  </si>
  <si>
    <t>PUR-50474</t>
  </si>
  <si>
    <t>PUR-50475</t>
  </si>
  <si>
    <t>PUR-50476</t>
  </si>
  <si>
    <t>PUR-50477</t>
  </si>
  <si>
    <t>PUR-50478</t>
  </si>
  <si>
    <t>PUR-50479</t>
  </si>
  <si>
    <t>PUR-50480</t>
  </si>
  <si>
    <t>PUR-50481</t>
  </si>
  <si>
    <t>PUR-50482</t>
  </si>
  <si>
    <t>PUR-50483</t>
  </si>
  <si>
    <t>PUR-50484</t>
  </si>
  <si>
    <t>PUR-50485</t>
  </si>
  <si>
    <t>PUR-50486</t>
  </si>
  <si>
    <t>PUR-50487</t>
  </si>
  <si>
    <t>PUR-50488</t>
  </si>
  <si>
    <t>sup047</t>
  </si>
  <si>
    <t>PUR-50489</t>
  </si>
  <si>
    <t>PUR-50490</t>
  </si>
  <si>
    <t>PUR-50491</t>
  </si>
  <si>
    <t>PUR-50492</t>
  </si>
  <si>
    <t>PUR-50493</t>
  </si>
  <si>
    <t>PUR-50494</t>
  </si>
  <si>
    <t>PUR-50495</t>
  </si>
  <si>
    <t>PUR-50496</t>
  </si>
  <si>
    <t>PUR-50497</t>
  </si>
  <si>
    <t>PUR-50498</t>
  </si>
  <si>
    <t>PUR-50499</t>
  </si>
  <si>
    <t>PUR-50500</t>
  </si>
  <si>
    <t>PUR-50501</t>
  </si>
  <si>
    <t>PUR-50502</t>
  </si>
  <si>
    <t>PUR-50503</t>
  </si>
  <si>
    <t>PUR-50504</t>
  </si>
  <si>
    <t>PUR-50505</t>
  </si>
  <si>
    <t>PUR-50506</t>
  </si>
  <si>
    <t>PUR-50507</t>
  </si>
  <si>
    <t>PUR-50508</t>
  </si>
  <si>
    <t>PUR-50509</t>
  </si>
  <si>
    <t>PUR-50510</t>
  </si>
  <si>
    <t>PUR-50511</t>
  </si>
  <si>
    <t>PUR-50512</t>
  </si>
  <si>
    <t>PUR-50513</t>
  </si>
  <si>
    <t>PUR-50514</t>
  </si>
  <si>
    <t>PUR-50515</t>
  </si>
  <si>
    <t>PUR-50516</t>
  </si>
  <si>
    <t>PUR-50517</t>
  </si>
  <si>
    <t>PUR-50518</t>
  </si>
  <si>
    <t>PUR-50519</t>
  </si>
  <si>
    <t>PUR-50520</t>
  </si>
  <si>
    <t>PUR-50521</t>
  </si>
  <si>
    <t>PUR-50522</t>
  </si>
  <si>
    <t>PUR-50523</t>
  </si>
  <si>
    <t>PUR-50524</t>
  </si>
  <si>
    <t>PUR-50525</t>
  </si>
  <si>
    <t>PUR-50526</t>
  </si>
  <si>
    <t>PUR-50527</t>
  </si>
  <si>
    <t>PUR-50528</t>
  </si>
  <si>
    <t>PUR-50529</t>
  </si>
  <si>
    <t>PUR-50530</t>
  </si>
  <si>
    <t>PUR-50531</t>
  </si>
  <si>
    <t>PUR-50532</t>
  </si>
  <si>
    <t>PUR-50533</t>
  </si>
  <si>
    <t>PUR-50534</t>
  </si>
  <si>
    <t>PUR-50535</t>
  </si>
  <si>
    <t>PUR-50536</t>
  </si>
  <si>
    <t>PUR-50537</t>
  </si>
  <si>
    <t>PUR-50538</t>
  </si>
  <si>
    <t>PUR-50539</t>
  </si>
  <si>
    <t>PUR-50540</t>
  </si>
  <si>
    <t>PUR-50541</t>
  </si>
  <si>
    <t>PUR-50542</t>
  </si>
  <si>
    <t>PUR-50543</t>
  </si>
  <si>
    <t>PUR-50544</t>
  </si>
  <si>
    <t>PUR-50545</t>
  </si>
  <si>
    <t>PUR-50546</t>
  </si>
  <si>
    <t>PUR-50547</t>
  </si>
  <si>
    <t>PUR-50548</t>
  </si>
  <si>
    <t>PUR-50549</t>
  </si>
  <si>
    <t>PUR-50550</t>
  </si>
  <si>
    <t>PUR-50551</t>
  </si>
  <si>
    <t>PUR-50552</t>
  </si>
  <si>
    <t>PUR-50553</t>
  </si>
  <si>
    <t>PUR-50554</t>
  </si>
  <si>
    <t>PUR-50555</t>
  </si>
  <si>
    <t>PUR-50556</t>
  </si>
  <si>
    <t>PUR-50557</t>
  </si>
  <si>
    <t>PUR-50558</t>
  </si>
  <si>
    <t>PUR-50559</t>
  </si>
  <si>
    <t>PUR-50560</t>
  </si>
  <si>
    <t>PUR-50561</t>
  </si>
  <si>
    <t>PUR-50562</t>
  </si>
  <si>
    <t>PUR-50563</t>
  </si>
  <si>
    <t>PUR-50564</t>
  </si>
  <si>
    <t>PUR-50565</t>
  </si>
  <si>
    <t>PUR-50566</t>
  </si>
  <si>
    <t>PUR-50567</t>
  </si>
  <si>
    <t>PUR-50568</t>
  </si>
  <si>
    <t>PUR-50569</t>
  </si>
  <si>
    <t>PUR-50570</t>
  </si>
  <si>
    <t>PUR-50571</t>
  </si>
  <si>
    <t>sup003</t>
  </si>
  <si>
    <t>PUR-50572</t>
  </si>
  <si>
    <t>PUR-50573</t>
  </si>
  <si>
    <t>PUR-50574</t>
  </si>
  <si>
    <t>PUR-50575</t>
  </si>
  <si>
    <t>PUR-50576</t>
  </si>
  <si>
    <t>PUR-50577</t>
  </si>
  <si>
    <t>PUR-50578</t>
  </si>
  <si>
    <t>PUR-50579</t>
  </si>
  <si>
    <t>PUR-50580</t>
  </si>
  <si>
    <t>PUR-50581</t>
  </si>
  <si>
    <t>PUR-50582</t>
  </si>
  <si>
    <t>PUR-50583</t>
  </si>
  <si>
    <t>PUR-50584</t>
  </si>
  <si>
    <t>PUR-50585</t>
  </si>
  <si>
    <t>PUR-50586</t>
  </si>
  <si>
    <t>PUR-50587</t>
  </si>
  <si>
    <t>PUR-50588</t>
  </si>
  <si>
    <t>PUR-50589</t>
  </si>
  <si>
    <t>PUR-50590</t>
  </si>
  <si>
    <t>PUR-50591</t>
  </si>
  <si>
    <t>PUR-50592</t>
  </si>
  <si>
    <t>PUR-50593</t>
  </si>
  <si>
    <t>PUR-50594</t>
  </si>
  <si>
    <t>PUR-50595</t>
  </si>
  <si>
    <t>PUR-50596</t>
  </si>
  <si>
    <t>PUR-50597</t>
  </si>
  <si>
    <t>PUR-50598</t>
  </si>
  <si>
    <t>PUR-50599</t>
  </si>
  <si>
    <t>PUR-50600</t>
  </si>
  <si>
    <t>PUR-50601</t>
  </si>
  <si>
    <t>PUR-50602</t>
  </si>
  <si>
    <t>PUR-50603</t>
  </si>
  <si>
    <t>PUR-50604</t>
  </si>
  <si>
    <t>sup050</t>
  </si>
  <si>
    <t>PUR-50605</t>
  </si>
  <si>
    <t>PUR-50606</t>
  </si>
  <si>
    <t>PUR-50607</t>
  </si>
  <si>
    <t>PUR-50608</t>
  </si>
  <si>
    <t>PUR-50609</t>
  </si>
  <si>
    <t>PUR-50610</t>
  </si>
  <si>
    <t>PUR-50611</t>
  </si>
  <si>
    <t>PUR-50612</t>
  </si>
  <si>
    <t>PUR-50613</t>
  </si>
  <si>
    <t>PUR-50614</t>
  </si>
  <si>
    <t>PUR-50615</t>
  </si>
  <si>
    <t>PUR-50616</t>
  </si>
  <si>
    <t>PUR-50617</t>
  </si>
  <si>
    <t>PUR-50618</t>
  </si>
  <si>
    <t>PUR-50619</t>
  </si>
  <si>
    <t>PUR-50620</t>
  </si>
  <si>
    <t>PUR-50621</t>
  </si>
  <si>
    <t>PUR-50622</t>
  </si>
  <si>
    <t>PUR-50623</t>
  </si>
  <si>
    <t>PUR-50624</t>
  </si>
  <si>
    <t>PUR-50625</t>
  </si>
  <si>
    <t>PUR-50626</t>
  </si>
  <si>
    <t>PUR-50627</t>
  </si>
  <si>
    <t>PUR-50628</t>
  </si>
  <si>
    <t>PUR-50629</t>
  </si>
  <si>
    <t>PUR-50630</t>
  </si>
  <si>
    <t>PUR-50631</t>
  </si>
  <si>
    <t>PUR-50632</t>
  </si>
  <si>
    <t>PUR-50633</t>
  </si>
  <si>
    <t>PUR-50634</t>
  </si>
  <si>
    <t>PUR-50635</t>
  </si>
  <si>
    <t>PUR-50636</t>
  </si>
  <si>
    <t>PUR-50637</t>
  </si>
  <si>
    <t>PUR-50638</t>
  </si>
  <si>
    <t>PUR-50639</t>
  </si>
  <si>
    <t>PUR-50640</t>
  </si>
  <si>
    <t>PUR-50641</t>
  </si>
  <si>
    <t>PUR-50642</t>
  </si>
  <si>
    <t>PUR-50643</t>
  </si>
  <si>
    <t>PUR-50644</t>
  </si>
  <si>
    <t>PUR-50645</t>
  </si>
  <si>
    <t>PUR-50646</t>
  </si>
  <si>
    <t>PUR-50647</t>
  </si>
  <si>
    <t>PUR-50648</t>
  </si>
  <si>
    <t>PUR-50649</t>
  </si>
  <si>
    <t>PUR-50650</t>
  </si>
  <si>
    <t>PUR-50651</t>
  </si>
  <si>
    <t>PUR-50652</t>
  </si>
  <si>
    <t>PUR-50653</t>
  </si>
  <si>
    <t>PUR-50654</t>
  </si>
  <si>
    <t>PUR-50655</t>
  </si>
  <si>
    <t>PUR-50656</t>
  </si>
  <si>
    <t>PUR-50657</t>
  </si>
  <si>
    <t>PUR-50658</t>
  </si>
  <si>
    <t>PUR-50659</t>
  </si>
  <si>
    <t>PUR-50660</t>
  </si>
  <si>
    <t>PUR-50661</t>
  </si>
  <si>
    <t>PUR-50662</t>
  </si>
  <si>
    <t>PUR-50663</t>
  </si>
  <si>
    <t>PUR-50664</t>
  </si>
  <si>
    <t>PUR-50665</t>
  </si>
  <si>
    <t>PUR-50666</t>
  </si>
  <si>
    <t>PUR-50667</t>
  </si>
  <si>
    <t>PUR-50668</t>
  </si>
  <si>
    <t>PUR-50669</t>
  </si>
  <si>
    <t>PUR-50670</t>
  </si>
  <si>
    <t>PUR-50671</t>
  </si>
  <si>
    <t>PUR-50672</t>
  </si>
  <si>
    <t>PUR-50673</t>
  </si>
  <si>
    <t>PUR-50674</t>
  </si>
  <si>
    <t>PUR-50675</t>
  </si>
  <si>
    <t>PUR-50676</t>
  </si>
  <si>
    <t>PUR-50677</t>
  </si>
  <si>
    <t>PUR-50678</t>
  </si>
  <si>
    <t>PUR-50679</t>
  </si>
  <si>
    <t>PUR-50680</t>
  </si>
  <si>
    <t>PUR-50681</t>
  </si>
  <si>
    <t>PUR-50682</t>
  </si>
  <si>
    <t>PUR-50683</t>
  </si>
  <si>
    <t>PUR-50684</t>
  </si>
  <si>
    <t>PUR-50685</t>
  </si>
  <si>
    <t>PUR-50686</t>
  </si>
  <si>
    <t>PUR-50687</t>
  </si>
  <si>
    <t>PUR-50688</t>
  </si>
  <si>
    <t>PUR-50689</t>
  </si>
  <si>
    <t>PUR-50690</t>
  </si>
  <si>
    <t>PUR-50691</t>
  </si>
  <si>
    <t>PUR-50692</t>
  </si>
  <si>
    <t>PUR-50693</t>
  </si>
  <si>
    <t>sup011</t>
  </si>
  <si>
    <t>PUR-50694</t>
  </si>
  <si>
    <t>PUR-50695</t>
  </si>
  <si>
    <t>PUR-50696</t>
  </si>
  <si>
    <t>PUR-50697</t>
  </si>
  <si>
    <t>PUR-50698</t>
  </si>
  <si>
    <t>PUR-50699</t>
  </si>
  <si>
    <t>PUR-50700</t>
  </si>
  <si>
    <t>PUR-50701</t>
  </si>
  <si>
    <t>PUR-50702</t>
  </si>
  <si>
    <t>PUR-50703</t>
  </si>
  <si>
    <t>PUR-50704</t>
  </si>
  <si>
    <t>PUR-50705</t>
  </si>
  <si>
    <t>PUR-50706</t>
  </si>
  <si>
    <t>PUR-50707</t>
  </si>
  <si>
    <t>PUR-50708</t>
  </si>
  <si>
    <t>PUR-50709</t>
  </si>
  <si>
    <t>PUR-50710</t>
  </si>
  <si>
    <t>PUR-50711</t>
  </si>
  <si>
    <t>PUR-50712</t>
  </si>
  <si>
    <t>PUR-50713</t>
  </si>
  <si>
    <t>PUR-50714</t>
  </si>
  <si>
    <t>PUR-50715</t>
  </si>
  <si>
    <t>PUR-50716</t>
  </si>
  <si>
    <t>PUR-50717</t>
  </si>
  <si>
    <t>PUR-50718</t>
  </si>
  <si>
    <t>PUR-50719</t>
  </si>
  <si>
    <t>PUR-50720</t>
  </si>
  <si>
    <t>PUR-50721</t>
  </si>
  <si>
    <t>PUR-50722</t>
  </si>
  <si>
    <t>PUR-50723</t>
  </si>
  <si>
    <t>PUR-50724</t>
  </si>
  <si>
    <t>PUR-50725</t>
  </si>
  <si>
    <t>PUR-50726</t>
  </si>
  <si>
    <t>PUR-50727</t>
  </si>
  <si>
    <t>PUR-50728</t>
  </si>
  <si>
    <t>PUR-50729</t>
  </si>
  <si>
    <t>PUR-50730</t>
  </si>
  <si>
    <t>PUR-50731</t>
  </si>
  <si>
    <t>PUR-50732</t>
  </si>
  <si>
    <t>PUR-50733</t>
  </si>
  <si>
    <t>PUR-50734</t>
  </si>
  <si>
    <t>PUR-50735</t>
  </si>
  <si>
    <t>PUR-50736</t>
  </si>
  <si>
    <t>PUR-50737</t>
  </si>
  <si>
    <t>PUR-50738</t>
  </si>
  <si>
    <t>PUR-50739</t>
  </si>
  <si>
    <t>PUR-50740</t>
  </si>
  <si>
    <t>PUR-50741</t>
  </si>
  <si>
    <t>PUR-50742</t>
  </si>
  <si>
    <t>PUR-50743</t>
  </si>
  <si>
    <t>PUR-50744</t>
  </si>
  <si>
    <t>PUR-50745</t>
  </si>
  <si>
    <t>PUR-50746</t>
  </si>
  <si>
    <t>PUR-50747</t>
  </si>
  <si>
    <t>PUR-50748</t>
  </si>
  <si>
    <t>PUR-50749</t>
  </si>
  <si>
    <t>PUR-50750</t>
  </si>
  <si>
    <t>PUR-50751</t>
  </si>
  <si>
    <t>PUR-50752</t>
  </si>
  <si>
    <t>PUR-50753</t>
  </si>
  <si>
    <t>PUR-50754</t>
  </si>
  <si>
    <t>PUR-50755</t>
  </si>
  <si>
    <t>PUR-50756</t>
  </si>
  <si>
    <t>PUR-50757</t>
  </si>
  <si>
    <t>PUR-50758</t>
  </si>
  <si>
    <t>PUR-50759</t>
  </si>
  <si>
    <t>PUR-50760</t>
  </si>
  <si>
    <t>PUR-50761</t>
  </si>
  <si>
    <t>PUR-50762</t>
  </si>
  <si>
    <t>PUR-50763</t>
  </si>
  <si>
    <t>PUR-50764</t>
  </si>
  <si>
    <t>PUR-50765</t>
  </si>
  <si>
    <t>PUR-50766</t>
  </si>
  <si>
    <t>PUR-50767</t>
  </si>
  <si>
    <t>PUR-50768</t>
  </si>
  <si>
    <t>PUR-50769</t>
  </si>
  <si>
    <t>PUR-50770</t>
  </si>
  <si>
    <t>PUR-50771</t>
  </si>
  <si>
    <t>PUR-50772</t>
  </si>
  <si>
    <t>PUR-50773</t>
  </si>
  <si>
    <t>PUR-50774</t>
  </si>
  <si>
    <t>PUR-50775</t>
  </si>
  <si>
    <t>PUR-50776</t>
  </si>
  <si>
    <t>PUR-50777</t>
  </si>
  <si>
    <t>PUR-50778</t>
  </si>
  <si>
    <t>PUR-50779</t>
  </si>
  <si>
    <t>PUR-50780</t>
  </si>
  <si>
    <t>PUR-50781</t>
  </si>
  <si>
    <t>PUR-50782</t>
  </si>
  <si>
    <t>PUR-50783</t>
  </si>
  <si>
    <t>PUR-50784</t>
  </si>
  <si>
    <t>PUR-50785</t>
  </si>
  <si>
    <t>PUR-50786</t>
  </si>
  <si>
    <t>PUR-50787</t>
  </si>
  <si>
    <t>PUR-50788</t>
  </si>
  <si>
    <t>PUR-50789</t>
  </si>
  <si>
    <t>PUR-50790</t>
  </si>
  <si>
    <t>PUR-50791</t>
  </si>
  <si>
    <t>PUR-50792</t>
  </si>
  <si>
    <t>PUR-50793</t>
  </si>
  <si>
    <t>PUR-50794</t>
  </si>
  <si>
    <t>PUR-50795</t>
  </si>
  <si>
    <t>PUR-50796</t>
  </si>
  <si>
    <t>PUR-50797</t>
  </si>
  <si>
    <t>PUR-50798</t>
  </si>
  <si>
    <t>PUR-50799</t>
  </si>
  <si>
    <t>PUR-50800</t>
  </si>
  <si>
    <t>PUR-50801</t>
  </si>
  <si>
    <t>PUR-50802</t>
  </si>
  <si>
    <t>PUR-50803</t>
  </si>
  <si>
    <t>PUR-50804</t>
  </si>
  <si>
    <t>PUR-50805</t>
  </si>
  <si>
    <t>PUR-50806</t>
  </si>
  <si>
    <t>PUR-50807</t>
  </si>
  <si>
    <t>PUR-50808</t>
  </si>
  <si>
    <t>PUR-50809</t>
  </si>
  <si>
    <t>PUR-50810</t>
  </si>
  <si>
    <t>PUR-50811</t>
  </si>
  <si>
    <t>PUR-50812</t>
  </si>
  <si>
    <t>sup026</t>
  </si>
  <si>
    <t>PUR-50813</t>
  </si>
  <si>
    <t>PUR-50814</t>
  </si>
  <si>
    <t>PUR-50815</t>
  </si>
  <si>
    <t>PUR-50816</t>
  </si>
  <si>
    <t>PUR-50817</t>
  </si>
  <si>
    <t>PUR-50818</t>
  </si>
  <si>
    <t>PUR-50819</t>
  </si>
  <si>
    <t>PUR-50820</t>
  </si>
  <si>
    <t>PUR-50821</t>
  </si>
  <si>
    <t>PUR-50822</t>
  </si>
  <si>
    <t>PUR-50823</t>
  </si>
  <si>
    <t>PUR-50824</t>
  </si>
  <si>
    <t>PUR-50825</t>
  </si>
  <si>
    <t>PUR-50826</t>
  </si>
  <si>
    <t>PUR-50827</t>
  </si>
  <si>
    <t>PUR-50828</t>
  </si>
  <si>
    <t>PUR-50829</t>
  </si>
  <si>
    <t>PUR-50830</t>
  </si>
  <si>
    <t>PUR-50831</t>
  </si>
  <si>
    <t>PUR-50832</t>
  </si>
  <si>
    <t>PUR-50833</t>
  </si>
  <si>
    <t>PUR-50834</t>
  </si>
  <si>
    <t>PUR-50835</t>
  </si>
  <si>
    <t>PUR-50836</t>
  </si>
  <si>
    <t>PUR-50837</t>
  </si>
  <si>
    <t>PUR-50838</t>
  </si>
  <si>
    <t>PUR-50839</t>
  </si>
  <si>
    <t>PUR-50840</t>
  </si>
  <si>
    <t>PUR-50841</t>
  </si>
  <si>
    <t>PUR-50842</t>
  </si>
  <si>
    <t>PUR-50843</t>
  </si>
  <si>
    <t>PUR-50844</t>
  </si>
  <si>
    <t>PUR-50845</t>
  </si>
  <si>
    <t>PUR-50846</t>
  </si>
  <si>
    <t>PUR-50847</t>
  </si>
  <si>
    <t>PUR-50848</t>
  </si>
  <si>
    <t>PUR-50849</t>
  </si>
  <si>
    <t>PUR-50850</t>
  </si>
  <si>
    <t>PUR-50851</t>
  </si>
  <si>
    <t>PUR-50852</t>
  </si>
  <si>
    <t>PUR-50853</t>
  </si>
  <si>
    <t>PUR-50854</t>
  </si>
  <si>
    <t>PUR-50855</t>
  </si>
  <si>
    <t>PUR-50856</t>
  </si>
  <si>
    <t>PUR-50857</t>
  </si>
  <si>
    <t>PUR-50858</t>
  </si>
  <si>
    <t>PUR-50859</t>
  </si>
  <si>
    <t>PUR-50860</t>
  </si>
  <si>
    <t>PUR-50861</t>
  </si>
  <si>
    <t>PUR-50862</t>
  </si>
  <si>
    <t>PUR-50863</t>
  </si>
  <si>
    <t>PUR-50864</t>
  </si>
  <si>
    <t>PUR-50865</t>
  </si>
  <si>
    <t>PUR-50866</t>
  </si>
  <si>
    <t>PUR-50867</t>
  </si>
  <si>
    <t>PUR-50868</t>
  </si>
  <si>
    <t>PUR-50869</t>
  </si>
  <si>
    <t>PUR-50870</t>
  </si>
  <si>
    <t>PUR-50871</t>
  </si>
  <si>
    <t>PUR-50872</t>
  </si>
  <si>
    <t>PUR-50873</t>
  </si>
  <si>
    <t>PUR-50874</t>
  </si>
  <si>
    <t>PUR-50875</t>
  </si>
  <si>
    <t>PUR-50876</t>
  </si>
  <si>
    <t>PUR-50877</t>
  </si>
  <si>
    <t>PUR-50878</t>
  </si>
  <si>
    <t>PUR-50879</t>
  </si>
  <si>
    <t>PUR-50880</t>
  </si>
  <si>
    <t>PUR-50881</t>
  </si>
  <si>
    <t>PUR-50882</t>
  </si>
  <si>
    <t>PUR-50883</t>
  </si>
  <si>
    <t>PUR-50884</t>
  </si>
  <si>
    <t>PUR-50885</t>
  </si>
  <si>
    <t>PUR-50886</t>
  </si>
  <si>
    <t>PUR-50887</t>
  </si>
  <si>
    <t>PUR-50888</t>
  </si>
  <si>
    <t>PUR-50889</t>
  </si>
  <si>
    <t>PUR-50890</t>
  </si>
  <si>
    <t>PUR-50891</t>
  </si>
  <si>
    <t>PUR-50892</t>
  </si>
  <si>
    <t>PUR-50893</t>
  </si>
  <si>
    <t>PUR-50894</t>
  </si>
  <si>
    <t>PUR-50895</t>
  </si>
  <si>
    <t>PUR-50896</t>
  </si>
  <si>
    <t>PUR-50897</t>
  </si>
  <si>
    <t>PUR-50898</t>
  </si>
  <si>
    <t>PUR-50899</t>
  </si>
  <si>
    <t>PUR-50900</t>
  </si>
  <si>
    <t>PUR-50901</t>
  </si>
  <si>
    <t>PUR-50902</t>
  </si>
  <si>
    <t>PUR-50903</t>
  </si>
  <si>
    <t>PUR-50904</t>
  </si>
  <si>
    <t>PUR-50905</t>
  </si>
  <si>
    <t>PUR-50906</t>
  </si>
  <si>
    <t>PUR-50907</t>
  </si>
  <si>
    <t>PUR-50908</t>
  </si>
  <si>
    <t>PUR-50909</t>
  </si>
  <si>
    <t>PUR-50910</t>
  </si>
  <si>
    <t>PUR-50911</t>
  </si>
  <si>
    <t>PUR-50912</t>
  </si>
  <si>
    <t>PUR-50913</t>
  </si>
  <si>
    <t>PUR-50914</t>
  </si>
  <si>
    <t>PUR-50915</t>
  </si>
  <si>
    <t>PUR-50916</t>
  </si>
  <si>
    <t>PUR-50917</t>
  </si>
  <si>
    <t>PUR-50918</t>
  </si>
  <si>
    <t>PUR-50919</t>
  </si>
  <si>
    <t>PUR-50920</t>
  </si>
  <si>
    <t>PUR-50921</t>
  </si>
  <si>
    <t>PUR-50922</t>
  </si>
  <si>
    <t>PUR-50923</t>
  </si>
  <si>
    <t>PUR-50924</t>
  </si>
  <si>
    <t>PUR-50925</t>
  </si>
  <si>
    <t>PUR-50926</t>
  </si>
  <si>
    <t>PUR-50927</t>
  </si>
  <si>
    <t>PUR-50928</t>
  </si>
  <si>
    <t>PUR-50929</t>
  </si>
  <si>
    <t>PUR-50930</t>
  </si>
  <si>
    <t>PUR-50931</t>
  </si>
  <si>
    <t>PUR-50932</t>
  </si>
  <si>
    <t>PUR-50933</t>
  </si>
  <si>
    <t>PUR-50934</t>
  </si>
  <si>
    <t>PUR-50935</t>
  </si>
  <si>
    <t>PUR-50936</t>
  </si>
  <si>
    <t>PUR-50937</t>
  </si>
  <si>
    <t>PUR-50938</t>
  </si>
  <si>
    <t>PUR-50939</t>
  </si>
  <si>
    <t>PUR-50940</t>
  </si>
  <si>
    <t>PUR-50941</t>
  </si>
  <si>
    <t>PUR-50942</t>
  </si>
  <si>
    <t>PUR-50943</t>
  </si>
  <si>
    <t>PUR-50944</t>
  </si>
  <si>
    <t>PUR-50945</t>
  </si>
  <si>
    <t>PUR-50946</t>
  </si>
  <si>
    <t>PUR-50947</t>
  </si>
  <si>
    <t>PUR-50948</t>
  </si>
  <si>
    <t>PUR-50949</t>
  </si>
  <si>
    <t>PUR-50950</t>
  </si>
  <si>
    <t>PUR-50951</t>
  </si>
  <si>
    <t>PUR-50952</t>
  </si>
  <si>
    <t>PUR-50953</t>
  </si>
  <si>
    <t>PUR-50954</t>
  </si>
  <si>
    <t>PUR-50955</t>
  </si>
  <si>
    <t>PUR-50956</t>
  </si>
  <si>
    <t>PUR-50957</t>
  </si>
  <si>
    <t>PUR-50958</t>
  </si>
  <si>
    <t>PUR-50959</t>
  </si>
  <si>
    <t>PUR-50960</t>
  </si>
  <si>
    <t>PUR-50961</t>
  </si>
  <si>
    <t>PUR-50962</t>
  </si>
  <si>
    <t>PUR-50963</t>
  </si>
  <si>
    <t>PUR-50964</t>
  </si>
  <si>
    <t>PUR-50965</t>
  </si>
  <si>
    <t>PUR-50966</t>
  </si>
  <si>
    <t>PUR-50967</t>
  </si>
  <si>
    <t>PUR-50968</t>
  </si>
  <si>
    <t>PUR-50969</t>
  </si>
  <si>
    <t>PUR-50970</t>
  </si>
  <si>
    <t>PUR-50971</t>
  </si>
  <si>
    <t>PUR-50972</t>
  </si>
  <si>
    <t>PUR-50973</t>
  </si>
  <si>
    <t>PUR-50974</t>
  </si>
  <si>
    <t>PUR-50975</t>
  </si>
  <si>
    <t>PUR-50976</t>
  </si>
  <si>
    <t>PUR-50977</t>
  </si>
  <si>
    <t>PUR-50978</t>
  </si>
  <si>
    <t>PUR-50979</t>
  </si>
  <si>
    <t>PUR-50980</t>
  </si>
  <si>
    <t>PUR-50981</t>
  </si>
  <si>
    <t>PUR-50982</t>
  </si>
  <si>
    <t>PUR-50983</t>
  </si>
  <si>
    <t>PUR-50984</t>
  </si>
  <si>
    <t>PUR-50985</t>
  </si>
  <si>
    <t>PUR-50986</t>
  </si>
  <si>
    <t>PUR-50987</t>
  </si>
  <si>
    <t>PUR-50988</t>
  </si>
  <si>
    <t>PUR-50989</t>
  </si>
  <si>
    <t>PUR-50990</t>
  </si>
  <si>
    <t>PUR-50991</t>
  </si>
  <si>
    <t>PUR-50992</t>
  </si>
  <si>
    <t>PUR-50993</t>
  </si>
  <si>
    <t>PUR-50994</t>
  </si>
  <si>
    <t>sup048</t>
  </si>
  <si>
    <t>PUR-50995</t>
  </si>
  <si>
    <t>PUR-50996</t>
  </si>
  <si>
    <t>PUR-50997</t>
  </si>
  <si>
    <t>PUR-50998</t>
  </si>
  <si>
    <t>PUR-50999</t>
  </si>
  <si>
    <t>PUR-51000</t>
  </si>
  <si>
    <t>PUR-51001</t>
  </si>
  <si>
    <t>PUR-51002</t>
  </si>
  <si>
    <t>PUR-51003</t>
  </si>
  <si>
    <t>PUR-51004</t>
  </si>
  <si>
    <t>PUR-51005</t>
  </si>
  <si>
    <t>PUR-51006</t>
  </si>
  <si>
    <t>PUR-51007</t>
  </si>
  <si>
    <t>PUR-51008</t>
  </si>
  <si>
    <t>PUR-51009</t>
  </si>
  <si>
    <t>PUR-51010</t>
  </si>
  <si>
    <t>PUR-51011</t>
  </si>
  <si>
    <t>PUR-51012</t>
  </si>
  <si>
    <t>sup005</t>
  </si>
  <si>
    <t>PUR-51013</t>
  </si>
  <si>
    <t>PUR-51014</t>
  </si>
  <si>
    <t>PUR-51015</t>
  </si>
  <si>
    <t>PUR-51016</t>
  </si>
  <si>
    <t>PUR-51017</t>
  </si>
  <si>
    <t>PUR-51018</t>
  </si>
  <si>
    <t>PUR-51019</t>
  </si>
  <si>
    <t>sup036</t>
  </si>
  <si>
    <t>PUR-51020</t>
  </si>
  <si>
    <t>PUR-51021</t>
  </si>
  <si>
    <t>PUR-51022</t>
  </si>
  <si>
    <t>PUR-51023</t>
  </si>
  <si>
    <t>PUR-51024</t>
  </si>
  <si>
    <t>PUR-51025</t>
  </si>
  <si>
    <t>PUR-51026</t>
  </si>
  <si>
    <t>PUR-51027</t>
  </si>
  <si>
    <t>PUR-51028</t>
  </si>
  <si>
    <t>PUR-51029</t>
  </si>
  <si>
    <t>PUR-51030</t>
  </si>
  <si>
    <t>PUR-51031</t>
  </si>
  <si>
    <t>PUR-51032</t>
  </si>
  <si>
    <t>PUR-51033</t>
  </si>
  <si>
    <t>PUR-51034</t>
  </si>
  <si>
    <t>PUR-51035</t>
  </si>
  <si>
    <t>PUR-51036</t>
  </si>
  <si>
    <t>PUR-51037</t>
  </si>
  <si>
    <t>PUR-51038</t>
  </si>
  <si>
    <t>PUR-51039</t>
  </si>
  <si>
    <t>PUR-51040</t>
  </si>
  <si>
    <t>PUR-51041</t>
  </si>
  <si>
    <t>PUR-51042</t>
  </si>
  <si>
    <t>PUR-51043</t>
  </si>
  <si>
    <t>PUR-51044</t>
  </si>
  <si>
    <t>PUR-51045</t>
  </si>
  <si>
    <t>PUR-51046</t>
  </si>
  <si>
    <t>PUR-51047</t>
  </si>
  <si>
    <t>PUR-51048</t>
  </si>
  <si>
    <t>PUR-51049</t>
  </si>
  <si>
    <t>PUR-51050</t>
  </si>
  <si>
    <t>PUR-51051</t>
  </si>
  <si>
    <t>PUR-51052</t>
  </si>
  <si>
    <t>PUR-51053</t>
  </si>
  <si>
    <t>PUR-51054</t>
  </si>
  <si>
    <t>PUR-51055</t>
  </si>
  <si>
    <t>PUR-51056</t>
  </si>
  <si>
    <t>PUR-51057</t>
  </si>
  <si>
    <t>PUR-51058</t>
  </si>
  <si>
    <t>PUR-51059</t>
  </si>
  <si>
    <t>PUR-51060</t>
  </si>
  <si>
    <t>PUR-51061</t>
  </si>
  <si>
    <t>PUR-51062</t>
  </si>
  <si>
    <t>PUR-51063</t>
  </si>
  <si>
    <t>PUR-51064</t>
  </si>
  <si>
    <t>PUR-51065</t>
  </si>
  <si>
    <t>PUR-51066</t>
  </si>
  <si>
    <t>PUR-51067</t>
  </si>
  <si>
    <t>PUR-51068</t>
  </si>
  <si>
    <t>PUR-51069</t>
  </si>
  <si>
    <t>PUR-51070</t>
  </si>
  <si>
    <t>PUR-51071</t>
  </si>
  <si>
    <t>PUR-51072</t>
  </si>
  <si>
    <t>PUR-51073</t>
  </si>
  <si>
    <t>PUR-51074</t>
  </si>
  <si>
    <t>PUR-51075</t>
  </si>
  <si>
    <t>PUR-51076</t>
  </si>
  <si>
    <t>PUR-51077</t>
  </si>
  <si>
    <t>PUR-51078</t>
  </si>
  <si>
    <t>PUR-51079</t>
  </si>
  <si>
    <t>PUR-51080</t>
  </si>
  <si>
    <t>PUR-51081</t>
  </si>
  <si>
    <t>PUR-51082</t>
  </si>
  <si>
    <t>PUR-51083</t>
  </si>
  <si>
    <t>PUR-51084</t>
  </si>
  <si>
    <t>PUR-51085</t>
  </si>
  <si>
    <t>PUR-51086</t>
  </si>
  <si>
    <t>PUR-51087</t>
  </si>
  <si>
    <t>PUR-51088</t>
  </si>
  <si>
    <t>PUR-51089</t>
  </si>
  <si>
    <t>PUR-51090</t>
  </si>
  <si>
    <t>PUR-51091</t>
  </si>
  <si>
    <t>PUR-51092</t>
  </si>
  <si>
    <t>PUR-51093</t>
  </si>
  <si>
    <t>PUR-51094</t>
  </si>
  <si>
    <t>PUR-51095</t>
  </si>
  <si>
    <t>PUR-51096</t>
  </si>
  <si>
    <t>PUR-51097</t>
  </si>
  <si>
    <t>PUR-51098</t>
  </si>
  <si>
    <t>PUR-51099</t>
  </si>
  <si>
    <t>PUR-51100</t>
  </si>
  <si>
    <t>PUR-51101</t>
  </si>
  <si>
    <t>PUR-51102</t>
  </si>
  <si>
    <t>PUR-51103</t>
  </si>
  <si>
    <t>PUR-51104</t>
  </si>
  <si>
    <t>PUR-51105</t>
  </si>
  <si>
    <t>sup016</t>
  </si>
  <si>
    <t>PUR-51106</t>
  </si>
  <si>
    <t>PUR-51107</t>
  </si>
  <si>
    <t>PUR-51108</t>
  </si>
  <si>
    <t>PUR-51109</t>
  </si>
  <si>
    <t>PUR-51110</t>
  </si>
  <si>
    <t>PUR-51111</t>
  </si>
  <si>
    <t>PUR-51112</t>
  </si>
  <si>
    <t>PUR-51113</t>
  </si>
  <si>
    <t>PUR-51114</t>
  </si>
  <si>
    <t>PUR-51115</t>
  </si>
  <si>
    <t>PUR-51116</t>
  </si>
  <si>
    <t>PUR-51117</t>
  </si>
  <si>
    <t>PUR-51118</t>
  </si>
  <si>
    <t>PUR-51119</t>
  </si>
  <si>
    <t>PUR-51120</t>
  </si>
  <si>
    <t>PUR-51121</t>
  </si>
  <si>
    <t>PUR-51122</t>
  </si>
  <si>
    <t>PUR-51123</t>
  </si>
  <si>
    <t>PUR-51124</t>
  </si>
  <si>
    <t>PUR-51125</t>
  </si>
  <si>
    <t>PUR-51126</t>
  </si>
  <si>
    <t>PUR-51127</t>
  </si>
  <si>
    <t>PUR-51128</t>
  </si>
  <si>
    <t>PUR-51129</t>
  </si>
  <si>
    <t>PUR-51130</t>
  </si>
  <si>
    <t>PUR-51131</t>
  </si>
  <si>
    <t>sup012</t>
  </si>
  <si>
    <t>PUR-51132</t>
  </si>
  <si>
    <t>PUR-51133</t>
  </si>
  <si>
    <t>PUR-51134</t>
  </si>
  <si>
    <t>sup015</t>
  </si>
  <si>
    <t>PUR-51135</t>
  </si>
  <si>
    <t>PUR-51136</t>
  </si>
  <si>
    <t>PUR-51137</t>
  </si>
  <si>
    <t>PUR-51138</t>
  </si>
  <si>
    <t>PUR-51139</t>
  </si>
  <si>
    <t>PUR-51140</t>
  </si>
  <si>
    <t>PUR-51141</t>
  </si>
  <si>
    <t>PUR-51142</t>
  </si>
  <si>
    <t>PUR-51143</t>
  </si>
  <si>
    <t>PUR-51144</t>
  </si>
  <si>
    <t>PUR-51145</t>
  </si>
  <si>
    <t>PUR-51146</t>
  </si>
  <si>
    <t>PUR-51147</t>
  </si>
  <si>
    <t>PUR-51148</t>
  </si>
  <si>
    <t>PUR-51149</t>
  </si>
  <si>
    <t>PUR-51150</t>
  </si>
  <si>
    <t>PUR-51151</t>
  </si>
  <si>
    <t>PUR-51152</t>
  </si>
  <si>
    <t>PUR-51153</t>
  </si>
  <si>
    <t>PUR-51154</t>
  </si>
  <si>
    <t>PUR-51155</t>
  </si>
  <si>
    <t>PUR-51156</t>
  </si>
  <si>
    <t>PUR-51157</t>
  </si>
  <si>
    <t>PUR-51158</t>
  </si>
  <si>
    <t>PUR-51159</t>
  </si>
  <si>
    <t>PUR-51160</t>
  </si>
  <si>
    <t>PUR-51161</t>
  </si>
  <si>
    <t>PUR-51162</t>
  </si>
  <si>
    <t>PUR-51163</t>
  </si>
  <si>
    <t>PUR-51164</t>
  </si>
  <si>
    <t>PUR-51165</t>
  </si>
  <si>
    <t>PUR-51166</t>
  </si>
  <si>
    <t>PUR-51167</t>
  </si>
  <si>
    <t>PUR-51168</t>
  </si>
  <si>
    <t>PUR-51169</t>
  </si>
  <si>
    <t>PUR-51170</t>
  </si>
  <si>
    <t>PUR-51171</t>
  </si>
  <si>
    <t>PUR-51172</t>
  </si>
  <si>
    <t>PUR-51173</t>
  </si>
  <si>
    <t>PUR-51174</t>
  </si>
  <si>
    <t>PUR-51175</t>
  </si>
  <si>
    <t>PUR-51176</t>
  </si>
  <si>
    <t>PUR-51177</t>
  </si>
  <si>
    <t>PUR-51178</t>
  </si>
  <si>
    <t>PUR-51179</t>
  </si>
  <si>
    <t>PUR-51180</t>
  </si>
  <si>
    <t>PUR-51181</t>
  </si>
  <si>
    <t>PUR-51182</t>
  </si>
  <si>
    <t>PUR-51183</t>
  </si>
  <si>
    <t>PUR-51184</t>
  </si>
  <si>
    <t>PUR-51185</t>
  </si>
  <si>
    <t>PUR-51186</t>
  </si>
  <si>
    <t>PUR-51187</t>
  </si>
  <si>
    <t>PUR-51188</t>
  </si>
  <si>
    <t>PUR-51189</t>
  </si>
  <si>
    <t>PUR-51190</t>
  </si>
  <si>
    <t>sup039</t>
  </si>
  <si>
    <t>PUR-51191</t>
  </si>
  <si>
    <t>PUR-51192</t>
  </si>
  <si>
    <t>PUR-51193</t>
  </si>
  <si>
    <t>PUR-51194</t>
  </si>
  <si>
    <t>PUR-51195</t>
  </si>
  <si>
    <t>PUR-51196</t>
  </si>
  <si>
    <t>PUR-51197</t>
  </si>
  <si>
    <t>PUR-51198</t>
  </si>
  <si>
    <t>PUR-51199</t>
  </si>
  <si>
    <t>PUR-51200</t>
  </si>
  <si>
    <t>PUR-51201</t>
  </si>
  <si>
    <t>PUR-51202</t>
  </si>
  <si>
    <t>PUR-51203</t>
  </si>
  <si>
    <t>PUR-51204</t>
  </si>
  <si>
    <t>PUR-51205</t>
  </si>
  <si>
    <t>PUR-51206</t>
  </si>
  <si>
    <t>PUR-51207</t>
  </si>
  <si>
    <t>PUR-51208</t>
  </si>
  <si>
    <t>PUR-51209</t>
  </si>
  <si>
    <t>PUR-51210</t>
  </si>
  <si>
    <t>PUR-51211</t>
  </si>
  <si>
    <t>PUR-51212</t>
  </si>
  <si>
    <t>PUR-51213</t>
  </si>
  <si>
    <t>PUR-51214</t>
  </si>
  <si>
    <t>PUR-51215</t>
  </si>
  <si>
    <t>PUR-51216</t>
  </si>
  <si>
    <t>PUR-51217</t>
  </si>
  <si>
    <t>PUR-51218</t>
  </si>
  <si>
    <t>PUR-51219</t>
  </si>
  <si>
    <t>PUR-51220</t>
  </si>
  <si>
    <t>PUR-51221</t>
  </si>
  <si>
    <t>PUR-51222</t>
  </si>
  <si>
    <t>PUR-51223</t>
  </si>
  <si>
    <t>PUR-51224</t>
  </si>
  <si>
    <t>sup044</t>
  </si>
  <si>
    <t>PUR-51225</t>
  </si>
  <si>
    <t>PUR-51226</t>
  </si>
  <si>
    <t>PUR-51227</t>
  </si>
  <si>
    <t>PUR-51228</t>
  </si>
  <si>
    <t>PUR-51229</t>
  </si>
  <si>
    <t>PUR-51230</t>
  </si>
  <si>
    <t>PUR-51231</t>
  </si>
  <si>
    <t>PUR-51232</t>
  </si>
  <si>
    <t>PUR-51233</t>
  </si>
  <si>
    <t>PUR-51234</t>
  </si>
  <si>
    <t>PUR-51235</t>
  </si>
  <si>
    <t>PUR-51236</t>
  </si>
  <si>
    <t>PUR-51237</t>
  </si>
  <si>
    <t>PUR-51238</t>
  </si>
  <si>
    <t>PUR-51239</t>
  </si>
  <si>
    <t>PUR-51240</t>
  </si>
  <si>
    <t>PUR-51241</t>
  </si>
  <si>
    <t>PUR-51242</t>
  </si>
  <si>
    <t>PUR-51243</t>
  </si>
  <si>
    <t>PUR-51244</t>
  </si>
  <si>
    <t>PUR-51245</t>
  </si>
  <si>
    <t>PUR-51246</t>
  </si>
  <si>
    <t>PUR-51247</t>
  </si>
  <si>
    <t>PUR-51248</t>
  </si>
  <si>
    <t>PUR-51249</t>
  </si>
  <si>
    <t>PUR-51250</t>
  </si>
  <si>
    <t>PUR-51251</t>
  </si>
  <si>
    <t>PUR-51252</t>
  </si>
  <si>
    <t>PUR-51253</t>
  </si>
  <si>
    <t>PUR-51254</t>
  </si>
  <si>
    <t>PUR-51255</t>
  </si>
  <si>
    <t>PUR-51256</t>
  </si>
  <si>
    <t>PUR-51257</t>
  </si>
  <si>
    <t>PUR-51258</t>
  </si>
  <si>
    <t>PUR-51259</t>
  </si>
  <si>
    <t>PUR-51260</t>
  </si>
  <si>
    <t>PUR-51261</t>
  </si>
  <si>
    <t>PUR-51262</t>
  </si>
  <si>
    <t>PUR-51263</t>
  </si>
  <si>
    <t>PUR-51264</t>
  </si>
  <si>
    <t>PUR-51265</t>
  </si>
  <si>
    <t>PUR-51266</t>
  </si>
  <si>
    <t>PUR-51267</t>
  </si>
  <si>
    <t>PUR-51268</t>
  </si>
  <si>
    <t>PUR-51269</t>
  </si>
  <si>
    <t>sup038</t>
  </si>
  <si>
    <t>PUR-51270</t>
  </si>
  <si>
    <t>PUR-51271</t>
  </si>
  <si>
    <t>PUR-51272</t>
  </si>
  <si>
    <t>PUR-51273</t>
  </si>
  <si>
    <t>PUR-51274</t>
  </si>
  <si>
    <t>PUR-51275</t>
  </si>
  <si>
    <t>PUR-51276</t>
  </si>
  <si>
    <t>PUR-51277</t>
  </si>
  <si>
    <t>PUR-51278</t>
  </si>
  <si>
    <t>PUR-51279</t>
  </si>
  <si>
    <t>PUR-51280</t>
  </si>
  <si>
    <t>PUR-51281</t>
  </si>
  <si>
    <t>PUR-51282</t>
  </si>
  <si>
    <t>PUR-51283</t>
  </si>
  <si>
    <t>PUR-51284</t>
  </si>
  <si>
    <t>PUR-51285</t>
  </si>
  <si>
    <t>PUR-51286</t>
  </si>
  <si>
    <t>PUR-51287</t>
  </si>
  <si>
    <t>PUR-51288</t>
  </si>
  <si>
    <t>PUR-51289</t>
  </si>
  <si>
    <t>PUR-51290</t>
  </si>
  <si>
    <t>PUR-51291</t>
  </si>
  <si>
    <t>PUR-51292</t>
  </si>
  <si>
    <t>PUR-51293</t>
  </si>
  <si>
    <t>PUR-51294</t>
  </si>
  <si>
    <t>PUR-51295</t>
  </si>
  <si>
    <t>PUR-51296</t>
  </si>
  <si>
    <t>PUR-51297</t>
  </si>
  <si>
    <t>PUR-51298</t>
  </si>
  <si>
    <t>PUR-51299</t>
  </si>
  <si>
    <t>PUR-51300</t>
  </si>
  <si>
    <t>PUR-51301</t>
  </si>
  <si>
    <t>PUR-51302</t>
  </si>
  <si>
    <t>PUR-51303</t>
  </si>
  <si>
    <t>PUR-51304</t>
  </si>
  <si>
    <t>PUR-51305</t>
  </si>
  <si>
    <t>PUR-51306</t>
  </si>
  <si>
    <t>PUR-51307</t>
  </si>
  <si>
    <t>PUR-51308</t>
  </si>
  <si>
    <t>PUR-51309</t>
  </si>
  <si>
    <t>PUR-51310</t>
  </si>
  <si>
    <t>PUR-51311</t>
  </si>
  <si>
    <t>PUR-51312</t>
  </si>
  <si>
    <t>PUR-51313</t>
  </si>
  <si>
    <t>PUR-51314</t>
  </si>
  <si>
    <t>PUR-51315</t>
  </si>
  <si>
    <t>PUR-51316</t>
  </si>
  <si>
    <t>PUR-51317</t>
  </si>
  <si>
    <t>PUR-51318</t>
  </si>
  <si>
    <t>PUR-51319</t>
  </si>
  <si>
    <t>PUR-51320</t>
  </si>
  <si>
    <t>PUR-51321</t>
  </si>
  <si>
    <t>PUR-51322</t>
  </si>
  <si>
    <t>PUR-51323</t>
  </si>
  <si>
    <t>PUR-51324</t>
  </si>
  <si>
    <t>PUR-51325</t>
  </si>
  <si>
    <t>PUR-51326</t>
  </si>
  <si>
    <t>PUR-51327</t>
  </si>
  <si>
    <t>PUR-51328</t>
  </si>
  <si>
    <t>PUR-51329</t>
  </si>
  <si>
    <t>PUR-51330</t>
  </si>
  <si>
    <t>sup031</t>
  </si>
  <si>
    <t>PUR-51331</t>
  </si>
  <si>
    <t>PUR-51332</t>
  </si>
  <si>
    <t>PUR-51333</t>
  </si>
  <si>
    <t>PUR-51334</t>
  </si>
  <si>
    <t>PUR-51335</t>
  </si>
  <si>
    <t>PUR-51336</t>
  </si>
  <si>
    <t>PUR-51337</t>
  </si>
  <si>
    <t>PUR-51338</t>
  </si>
  <si>
    <t>PUR-51339</t>
  </si>
  <si>
    <t>PUR-51340</t>
  </si>
  <si>
    <t>PUR-51341</t>
  </si>
  <si>
    <t>PUR-51342</t>
  </si>
  <si>
    <t>PUR-51343</t>
  </si>
  <si>
    <t>PUR-51344</t>
  </si>
  <si>
    <t>PUR-51345</t>
  </si>
  <si>
    <t>PUR-51346</t>
  </si>
  <si>
    <t>PUR-51347</t>
  </si>
  <si>
    <t>PUR-51348</t>
  </si>
  <si>
    <t>PUR-51349</t>
  </si>
  <si>
    <t>PUR-51350</t>
  </si>
  <si>
    <t>PUR-51351</t>
  </si>
  <si>
    <t>PUR-51352</t>
  </si>
  <si>
    <t>PUR-51353</t>
  </si>
  <si>
    <t>PUR-51354</t>
  </si>
  <si>
    <t>PUR-51355</t>
  </si>
  <si>
    <t>PUR-51356</t>
  </si>
  <si>
    <t>PUR-51357</t>
  </si>
  <si>
    <t>PUR-51358</t>
  </si>
  <si>
    <t>PUR-51359</t>
  </si>
  <si>
    <t>PUR-51360</t>
  </si>
  <si>
    <t>PUR-51361</t>
  </si>
  <si>
    <t>PUR-51362</t>
  </si>
  <si>
    <t>PUR-51363</t>
  </si>
  <si>
    <t>PUR-51364</t>
  </si>
  <si>
    <t>sup017</t>
  </si>
  <si>
    <t>PUR-51365</t>
  </si>
  <si>
    <t>PUR-51366</t>
  </si>
  <si>
    <t>PUR-51367</t>
  </si>
  <si>
    <t>PUR-51368</t>
  </si>
  <si>
    <t>PUR-51369</t>
  </si>
  <si>
    <t>PUR-51370</t>
  </si>
  <si>
    <t>PUR-51371</t>
  </si>
  <si>
    <t>PUR-51372</t>
  </si>
  <si>
    <t>PUR-51373</t>
  </si>
  <si>
    <t>PUR-51374</t>
  </si>
  <si>
    <t>sup024</t>
  </si>
  <si>
    <t>PUR-51375</t>
  </si>
  <si>
    <t>PUR-51376</t>
  </si>
  <si>
    <t>PUR-51377</t>
  </si>
  <si>
    <t>PUR-51378</t>
  </si>
  <si>
    <t>PUR-51379</t>
  </si>
  <si>
    <t>PUR-51380</t>
  </si>
  <si>
    <t>PUR-51381</t>
  </si>
  <si>
    <t>PUR-51382</t>
  </si>
  <si>
    <t>PUR-51383</t>
  </si>
  <si>
    <t>PUR-51384</t>
  </si>
  <si>
    <t>PUR-51385</t>
  </si>
  <si>
    <t>PUR-51386</t>
  </si>
  <si>
    <t>PUR-51387</t>
  </si>
  <si>
    <t>PUR-51388</t>
  </si>
  <si>
    <t>PUR-51389</t>
  </si>
  <si>
    <t>PUR-51390</t>
  </si>
  <si>
    <t>PUR-51391</t>
  </si>
  <si>
    <t>PUR-51392</t>
  </si>
  <si>
    <t>PUR-51393</t>
  </si>
  <si>
    <t>PUR-51394</t>
  </si>
  <si>
    <t>PUR-51395</t>
  </si>
  <si>
    <t>PUR-51396</t>
  </si>
  <si>
    <t>PUR-51397</t>
  </si>
  <si>
    <t>PUR-51398</t>
  </si>
  <si>
    <t>PUR-51399</t>
  </si>
  <si>
    <t>PUR-51400</t>
  </si>
  <si>
    <t>PUR-51401</t>
  </si>
  <si>
    <t>PUR-51402</t>
  </si>
  <si>
    <t>PUR-51403</t>
  </si>
  <si>
    <t>PUR-51404</t>
  </si>
  <si>
    <t>PUR-51405</t>
  </si>
  <si>
    <t>PUR-51406</t>
  </si>
  <si>
    <t>PUR-51407</t>
  </si>
  <si>
    <t>PUR-51408</t>
  </si>
  <si>
    <t>PUR-51409</t>
  </si>
  <si>
    <t>PUR-51410</t>
  </si>
  <si>
    <t>PUR-51411</t>
  </si>
  <si>
    <t>PUR-51412</t>
  </si>
  <si>
    <t>PUR-51413</t>
  </si>
  <si>
    <t>PUR-51414</t>
  </si>
  <si>
    <t>PUR-51415</t>
  </si>
  <si>
    <t>PUR-51416</t>
  </si>
  <si>
    <t>PUR-51417</t>
  </si>
  <si>
    <t>PUR-51418</t>
  </si>
  <si>
    <t>PUR-51419</t>
  </si>
  <si>
    <t>PUR-51420</t>
  </si>
  <si>
    <t>PUR-51421</t>
  </si>
  <si>
    <t>PUR-51422</t>
  </si>
  <si>
    <t>PUR-51423</t>
  </si>
  <si>
    <t>PUR-51424</t>
  </si>
  <si>
    <t>PUR-51425</t>
  </si>
  <si>
    <t>PUR-51426</t>
  </si>
  <si>
    <t>PUR-51427</t>
  </si>
  <si>
    <t>PUR-51428</t>
  </si>
  <si>
    <t>PUR-51429</t>
  </si>
  <si>
    <t>PUR-51430</t>
  </si>
  <si>
    <t>PUR-51431</t>
  </si>
  <si>
    <t>PUR-51432</t>
  </si>
  <si>
    <t>PUR-51433</t>
  </si>
  <si>
    <t>PUR-51434</t>
  </si>
  <si>
    <t>PUR-51435</t>
  </si>
  <si>
    <t>PUR-51436</t>
  </si>
  <si>
    <t>PUR-51437</t>
  </si>
  <si>
    <t>PUR-51438</t>
  </si>
  <si>
    <t>PUR-51439</t>
  </si>
  <si>
    <t>PUR-51440</t>
  </si>
  <si>
    <t>PUR-51441</t>
  </si>
  <si>
    <t>PUR-51442</t>
  </si>
  <si>
    <t>PUR-51443</t>
  </si>
  <si>
    <t>PUR-51444</t>
  </si>
  <si>
    <t>PUR-51445</t>
  </si>
  <si>
    <t>PUR-51446</t>
  </si>
  <si>
    <t>PUR-51447</t>
  </si>
  <si>
    <t>PUR-51448</t>
  </si>
  <si>
    <t>PUR-51449</t>
  </si>
  <si>
    <t>PUR-51450</t>
  </si>
  <si>
    <t>PUR-51451</t>
  </si>
  <si>
    <t>PUR-51452</t>
  </si>
  <si>
    <t>PUR-51453</t>
  </si>
  <si>
    <t>PUR-51454</t>
  </si>
  <si>
    <t>PUR-51455</t>
  </si>
  <si>
    <t>PUR-51456</t>
  </si>
  <si>
    <t>PUR-51457</t>
  </si>
  <si>
    <t>PUR-51458</t>
  </si>
  <si>
    <t>PUR-51459</t>
  </si>
  <si>
    <t>PUR-51460</t>
  </si>
  <si>
    <t>PUR-51461</t>
  </si>
  <si>
    <t>PUR-51462</t>
  </si>
  <si>
    <t>sup041</t>
  </si>
  <si>
    <t>PUR-51463</t>
  </si>
  <si>
    <t>PUR-51464</t>
  </si>
  <si>
    <t>PUR-51465</t>
  </si>
  <si>
    <t>PUR-51466</t>
  </si>
  <si>
    <t>PUR-51467</t>
  </si>
  <si>
    <t>PUR-51468</t>
  </si>
  <si>
    <t>PUR-51469</t>
  </si>
  <si>
    <t>PUR-51470</t>
  </si>
  <si>
    <t>PUR-51471</t>
  </si>
  <si>
    <t>PUR-51472</t>
  </si>
  <si>
    <t>PUR-51473</t>
  </si>
  <si>
    <t>PUR-51474</t>
  </si>
  <si>
    <t>PUR-51475</t>
  </si>
  <si>
    <t>PUR-51476</t>
  </si>
  <si>
    <t>PUR-51477</t>
  </si>
  <si>
    <t>PUR-51478</t>
  </si>
  <si>
    <t>PUR-51479</t>
  </si>
  <si>
    <t>PUR-51480</t>
  </si>
  <si>
    <t>PUR-51481</t>
  </si>
  <si>
    <t>PUR-51482</t>
  </si>
  <si>
    <t>PUR-51483</t>
  </si>
  <si>
    <t>PUR-51484</t>
  </si>
  <si>
    <t>PUR-51485</t>
  </si>
  <si>
    <t>PUR-51486</t>
  </si>
  <si>
    <t>PUR-51487</t>
  </si>
  <si>
    <t>PUR-51488</t>
  </si>
  <si>
    <t>PUR-51489</t>
  </si>
  <si>
    <t>PUR-51490</t>
  </si>
  <si>
    <t>PUR-51491</t>
  </si>
  <si>
    <t>PUR-51492</t>
  </si>
  <si>
    <t>PUR-51493</t>
  </si>
  <si>
    <t>PUR-51494</t>
  </si>
  <si>
    <t>PUR-51495</t>
  </si>
  <si>
    <t>PUR-51496</t>
  </si>
  <si>
    <t>PUR-51497</t>
  </si>
  <si>
    <t>PUR-51498</t>
  </si>
  <si>
    <t>PUR-51499</t>
  </si>
  <si>
    <t>PUR-51500</t>
  </si>
  <si>
    <t>PUR-51501</t>
  </si>
  <si>
    <t>PUR-51502</t>
  </si>
  <si>
    <t>PUR-51503</t>
  </si>
  <si>
    <t>PUR-51504</t>
  </si>
  <si>
    <t>PUR-51505</t>
  </si>
  <si>
    <t>PUR-51506</t>
  </si>
  <si>
    <t>PUR-51507</t>
  </si>
  <si>
    <t>PUR-51508</t>
  </si>
  <si>
    <t>PUR-51509</t>
  </si>
  <si>
    <t>PUR-51510</t>
  </si>
  <si>
    <t>PUR-51511</t>
  </si>
  <si>
    <t>PUR-51512</t>
  </si>
  <si>
    <t>PUR-51513</t>
  </si>
  <si>
    <t>PUR-51514</t>
  </si>
  <si>
    <t>PUR-51515</t>
  </si>
  <si>
    <t>PUR-51516</t>
  </si>
  <si>
    <t>PUR-51517</t>
  </si>
  <si>
    <t>PUR-51518</t>
  </si>
  <si>
    <t>PUR-51519</t>
  </si>
  <si>
    <t>PUR-51520</t>
  </si>
  <si>
    <t>PUR-51521</t>
  </si>
  <si>
    <t>PUR-51522</t>
  </si>
  <si>
    <t>PUR-51523</t>
  </si>
  <si>
    <t>PUR-51524</t>
  </si>
  <si>
    <t>PUR-51525</t>
  </si>
  <si>
    <t>PUR-51526</t>
  </si>
  <si>
    <t>PUR-51527</t>
  </si>
  <si>
    <t>PUR-51528</t>
  </si>
  <si>
    <t>PUR-51529</t>
  </si>
  <si>
    <t>PUR-51530</t>
  </si>
  <si>
    <t>PUR-51531</t>
  </si>
  <si>
    <t>PUR-51532</t>
  </si>
  <si>
    <t>PUR-51533</t>
  </si>
  <si>
    <t>PUR-51534</t>
  </si>
  <si>
    <t>PUR-51535</t>
  </si>
  <si>
    <t>PUR-51536</t>
  </si>
  <si>
    <t>PUR-51537</t>
  </si>
  <si>
    <t>PUR-51538</t>
  </si>
  <si>
    <t>PUR-51539</t>
  </si>
  <si>
    <t>PUR-51540</t>
  </si>
  <si>
    <t>PUR-51541</t>
  </si>
  <si>
    <t>PUR-51542</t>
  </si>
  <si>
    <t>PUR-51543</t>
  </si>
  <si>
    <t>PUR-51544</t>
  </si>
  <si>
    <t>PUR-51545</t>
  </si>
  <si>
    <t>PUR-51546</t>
  </si>
  <si>
    <t>PUR-51547</t>
  </si>
  <si>
    <t>PUR-51548</t>
  </si>
  <si>
    <t>PUR-51549</t>
  </si>
  <si>
    <t>PUR-51550</t>
  </si>
  <si>
    <t>PUR-51551</t>
  </si>
  <si>
    <t>PUR-51552</t>
  </si>
  <si>
    <t>PUR-51553</t>
  </si>
  <si>
    <t>PUR-51554</t>
  </si>
  <si>
    <t>PUR-51555</t>
  </si>
  <si>
    <t>PUR-51556</t>
  </si>
  <si>
    <t>PUR-51557</t>
  </si>
  <si>
    <t>PUR-51558</t>
  </si>
  <si>
    <t>PUR-51559</t>
  </si>
  <si>
    <t>PUR-51560</t>
  </si>
  <si>
    <t>PUR-51561</t>
  </si>
  <si>
    <t>PUR-51562</t>
  </si>
  <si>
    <t>PUR-51563</t>
  </si>
  <si>
    <t>PUR-51564</t>
  </si>
  <si>
    <t>PUR-51565</t>
  </si>
  <si>
    <t>PUR-51566</t>
  </si>
  <si>
    <t>PUR-51567</t>
  </si>
  <si>
    <t>PUR-51568</t>
  </si>
  <si>
    <t>PUR-51569</t>
  </si>
  <si>
    <t>PUR-51570</t>
  </si>
  <si>
    <t>PUR-51571</t>
  </si>
  <si>
    <t>PUR-51572</t>
  </si>
  <si>
    <t>PUR-51573</t>
  </si>
  <si>
    <t>PUR-51574</t>
  </si>
  <si>
    <t>PUR-51575</t>
  </si>
  <si>
    <t>PUR-51576</t>
  </si>
  <si>
    <t>PUR-51577</t>
  </si>
  <si>
    <t>PUR-51578</t>
  </si>
  <si>
    <t>PUR-51579</t>
  </si>
  <si>
    <t>PUR-51580</t>
  </si>
  <si>
    <t>PUR-51581</t>
  </si>
  <si>
    <t>PUR-51582</t>
  </si>
  <si>
    <t>PUR-51583</t>
  </si>
  <si>
    <t>PUR-51584</t>
  </si>
  <si>
    <t>PUR-51585</t>
  </si>
  <si>
    <t>PUR-51586</t>
  </si>
  <si>
    <t>PUR-51587</t>
  </si>
  <si>
    <t>PUR-51588</t>
  </si>
  <si>
    <t>PUR-51589</t>
  </si>
  <si>
    <t>PUR-51590</t>
  </si>
  <si>
    <t>PUR-51591</t>
  </si>
  <si>
    <t>PUR-51592</t>
  </si>
  <si>
    <t>PUR-51593</t>
  </si>
  <si>
    <t>PUR-51594</t>
  </si>
  <si>
    <t>PUR-51595</t>
  </si>
  <si>
    <t>PUR-51596</t>
  </si>
  <si>
    <t>PUR-51597</t>
  </si>
  <si>
    <t>PUR-51598</t>
  </si>
  <si>
    <t>PUR-51599</t>
  </si>
  <si>
    <t>PUR-51600</t>
  </si>
  <si>
    <t>PUR-51601</t>
  </si>
  <si>
    <t>PUR-51602</t>
  </si>
  <si>
    <t>PUR-51603</t>
  </si>
  <si>
    <t>PUR-51604</t>
  </si>
  <si>
    <t>PUR-51605</t>
  </si>
  <si>
    <t>PUR-51606</t>
  </si>
  <si>
    <t>PUR-51607</t>
  </si>
  <si>
    <t>PUR-51608</t>
  </si>
  <si>
    <t>PUR-51609</t>
  </si>
  <si>
    <t>PUR-51610</t>
  </si>
  <si>
    <t>PUR-51611</t>
  </si>
  <si>
    <t>PUR-51612</t>
  </si>
  <si>
    <t>PUR-51613</t>
  </si>
  <si>
    <t>PUR-51614</t>
  </si>
  <si>
    <t>PUR-51615</t>
  </si>
  <si>
    <t>PUR-51616</t>
  </si>
  <si>
    <t>PUR-51617</t>
  </si>
  <si>
    <t>PUR-51618</t>
  </si>
  <si>
    <t>PUR-51619</t>
  </si>
  <si>
    <t>PUR-51620</t>
  </si>
  <si>
    <t>PUR-51621</t>
  </si>
  <si>
    <t>PUR-51622</t>
  </si>
  <si>
    <t>PUR-51623</t>
  </si>
  <si>
    <t>PUR-51624</t>
  </si>
  <si>
    <t>PUR-51625</t>
  </si>
  <si>
    <t>PUR-51626</t>
  </si>
  <si>
    <t>PUR-51627</t>
  </si>
  <si>
    <t>PUR-51628</t>
  </si>
  <si>
    <t>PUR-51629</t>
  </si>
  <si>
    <t>PUR-51630</t>
  </si>
  <si>
    <t>PUR-51631</t>
  </si>
  <si>
    <t>PUR-51632</t>
  </si>
  <si>
    <t>PUR-51633</t>
  </si>
  <si>
    <t>PUR-51634</t>
  </si>
  <si>
    <t>PUR-51635</t>
  </si>
  <si>
    <t>PUR-51636</t>
  </si>
  <si>
    <t>PUR-51637</t>
  </si>
  <si>
    <t>PUR-51638</t>
  </si>
  <si>
    <t>PUR-51639</t>
  </si>
  <si>
    <t>PUR-51640</t>
  </si>
  <si>
    <t>PUR-51641</t>
  </si>
  <si>
    <t>PUR-51642</t>
  </si>
  <si>
    <t>PUR-51643</t>
  </si>
  <si>
    <t>PUR-51644</t>
  </si>
  <si>
    <t>PUR-51645</t>
  </si>
  <si>
    <t>PUR-51646</t>
  </si>
  <si>
    <t>PUR-51647</t>
  </si>
  <si>
    <t>PUR-51648</t>
  </si>
  <si>
    <t>PUR-51649</t>
  </si>
  <si>
    <t>PUR-51650</t>
  </si>
  <si>
    <t>PUR-51651</t>
  </si>
  <si>
    <t>PUR-51652</t>
  </si>
  <si>
    <t>PUR-51653</t>
  </si>
  <si>
    <t>PUR-51654</t>
  </si>
  <si>
    <t>PUR-51655</t>
  </si>
  <si>
    <t>PUR-51656</t>
  </si>
  <si>
    <t>PUR-51657</t>
  </si>
  <si>
    <t>PUR-51658</t>
  </si>
  <si>
    <t>PUR-51659</t>
  </si>
  <si>
    <t>PUR-51660</t>
  </si>
  <si>
    <t>PUR-51661</t>
  </si>
  <si>
    <t>PUR-51662</t>
  </si>
  <si>
    <t>PUR-51663</t>
  </si>
  <si>
    <t>PUR-51664</t>
  </si>
  <si>
    <t>PUR-51665</t>
  </si>
  <si>
    <t>PUR-51666</t>
  </si>
  <si>
    <t>PUR-51667</t>
  </si>
  <si>
    <t>PUR-51668</t>
  </si>
  <si>
    <t>PUR-51669</t>
  </si>
  <si>
    <t>PUR-51670</t>
  </si>
  <si>
    <t>PUR-51671</t>
  </si>
  <si>
    <t>PUR-51672</t>
  </si>
  <si>
    <t>PUR-51673</t>
  </si>
  <si>
    <t>PUR-51674</t>
  </si>
  <si>
    <t>PUR-51675</t>
  </si>
  <si>
    <t>PUR-51676</t>
  </si>
  <si>
    <t>PUR-51677</t>
  </si>
  <si>
    <t>PUR-51678</t>
  </si>
  <si>
    <t>PUR-51679</t>
  </si>
  <si>
    <t>PUR-51680</t>
  </si>
  <si>
    <t>PUR-51681</t>
  </si>
  <si>
    <t>PUR-51682</t>
  </si>
  <si>
    <t>PUR-51683</t>
  </si>
  <si>
    <t>PUR-51684</t>
  </si>
  <si>
    <t>PUR-51685</t>
  </si>
  <si>
    <t>PUR-51686</t>
  </si>
  <si>
    <t>PUR-51687</t>
  </si>
  <si>
    <t>PUR-51688</t>
  </si>
  <si>
    <t>PUR-51689</t>
  </si>
  <si>
    <t>PUR-51690</t>
  </si>
  <si>
    <t>PUR-51691</t>
  </si>
  <si>
    <t>PUR-51692</t>
  </si>
  <si>
    <t>PUR-51693</t>
  </si>
  <si>
    <t>PUR-51694</t>
  </si>
  <si>
    <t>PUR-51695</t>
  </si>
  <si>
    <t>sup008</t>
  </si>
  <si>
    <t>PUR-51696</t>
  </si>
  <si>
    <t>PUR-51697</t>
  </si>
  <si>
    <t>PUR-51698</t>
  </si>
  <si>
    <t>PUR-51699</t>
  </si>
  <si>
    <t>PUR-51700</t>
  </si>
  <si>
    <t>PUR-51701</t>
  </si>
  <si>
    <t>PUR-51702</t>
  </si>
  <si>
    <t>PUR-51703</t>
  </si>
  <si>
    <t>PUR-51704</t>
  </si>
  <si>
    <t>PUR-51705</t>
  </si>
  <si>
    <t>PUR-51706</t>
  </si>
  <si>
    <t>PUR-51707</t>
  </si>
  <si>
    <t>PUR-51708</t>
  </si>
  <si>
    <t>PUR-51709</t>
  </si>
  <si>
    <t>PUR-51710</t>
  </si>
  <si>
    <t>PUR-51711</t>
  </si>
  <si>
    <t>PUR-51712</t>
  </si>
  <si>
    <t>PUR-51713</t>
  </si>
  <si>
    <t>PUR-51714</t>
  </si>
  <si>
    <t>PUR-51715</t>
  </si>
  <si>
    <t>PUR-51716</t>
  </si>
  <si>
    <t>PUR-51717</t>
  </si>
  <si>
    <t>PUR-51718</t>
  </si>
  <si>
    <t>PUR-51719</t>
  </si>
  <si>
    <t>PUR-51720</t>
  </si>
  <si>
    <t>PUR-51721</t>
  </si>
  <si>
    <t>PUR-51722</t>
  </si>
  <si>
    <t>PUR-51723</t>
  </si>
  <si>
    <t>PUR-51724</t>
  </si>
  <si>
    <t>PUR-51725</t>
  </si>
  <si>
    <t>PUR-51726</t>
  </si>
  <si>
    <t>PUR-51727</t>
  </si>
  <si>
    <t>PUR-51728</t>
  </si>
  <si>
    <t>PUR-51729</t>
  </si>
  <si>
    <t>PUR-51730</t>
  </si>
  <si>
    <t>PUR-51731</t>
  </si>
  <si>
    <t>PUR-51732</t>
  </si>
  <si>
    <t>PUR-51733</t>
  </si>
  <si>
    <t>PUR-51734</t>
  </si>
  <si>
    <t>PUR-51735</t>
  </si>
  <si>
    <t>PUR-51736</t>
  </si>
  <si>
    <t>PUR-51737</t>
  </si>
  <si>
    <t>PUR-51738</t>
  </si>
  <si>
    <t>PUR-51739</t>
  </si>
  <si>
    <t>PUR-51740</t>
  </si>
  <si>
    <t>PUR-51741</t>
  </si>
  <si>
    <t>PUR-51742</t>
  </si>
  <si>
    <t>PUR-51743</t>
  </si>
  <si>
    <t>PUR-51744</t>
  </si>
  <si>
    <t>PUR-51745</t>
  </si>
  <si>
    <t>PUR-51746</t>
  </si>
  <si>
    <t>PUR-51747</t>
  </si>
  <si>
    <t>PUR-51748</t>
  </si>
  <si>
    <t>PUR-51749</t>
  </si>
  <si>
    <t>PUR-51750</t>
  </si>
  <si>
    <t>PUR-51751</t>
  </si>
  <si>
    <t>PUR-51752</t>
  </si>
  <si>
    <t>PUR-51753</t>
  </si>
  <si>
    <t>PUR-51754</t>
  </si>
  <si>
    <t>PUR-51755</t>
  </si>
  <si>
    <t>PUR-51756</t>
  </si>
  <si>
    <t>PUR-51757</t>
  </si>
  <si>
    <t>PUR-51758</t>
  </si>
  <si>
    <t>PUR-51759</t>
  </si>
  <si>
    <t>PUR-51760</t>
  </si>
  <si>
    <t>PUR-51761</t>
  </si>
  <si>
    <t>PUR-51762</t>
  </si>
  <si>
    <t>PUR-51763</t>
  </si>
  <si>
    <t>PUR-51764</t>
  </si>
  <si>
    <t>PUR-51765</t>
  </si>
  <si>
    <t>PUR-51766</t>
  </si>
  <si>
    <t>PUR-51767</t>
  </si>
  <si>
    <t>PUR-51768</t>
  </si>
  <si>
    <t>PUR-51769</t>
  </si>
  <si>
    <t>PUR-51770</t>
  </si>
  <si>
    <t>PUR-51771</t>
  </si>
  <si>
    <t>PUR-51772</t>
  </si>
  <si>
    <t>PUR-51773</t>
  </si>
  <si>
    <t>PUR-51774</t>
  </si>
  <si>
    <t>PUR-51775</t>
  </si>
  <si>
    <t>PUR-51776</t>
  </si>
  <si>
    <t>PUR-51777</t>
  </si>
  <si>
    <t>PUR-51778</t>
  </si>
  <si>
    <t>PUR-51779</t>
  </si>
  <si>
    <t>PUR-51780</t>
  </si>
  <si>
    <t>PUR-51781</t>
  </si>
  <si>
    <t>PUR-51782</t>
  </si>
  <si>
    <t>PUR-51783</t>
  </si>
  <si>
    <t>PUR-51784</t>
  </si>
  <si>
    <t>PUR-51785</t>
  </si>
  <si>
    <t>PUR-51786</t>
  </si>
  <si>
    <t>PUR-51787</t>
  </si>
  <si>
    <t>PUR-51788</t>
  </si>
  <si>
    <t>PUR-51789</t>
  </si>
  <si>
    <t>PUR-51790</t>
  </si>
  <si>
    <t>PUR-51791</t>
  </si>
  <si>
    <t>PUR-51792</t>
  </si>
  <si>
    <t>PUR-51793</t>
  </si>
  <si>
    <t>PUR-51794</t>
  </si>
  <si>
    <t>PUR-51795</t>
  </si>
  <si>
    <t>PUR-51796</t>
  </si>
  <si>
    <t>PUR-51797</t>
  </si>
  <si>
    <t>PUR-51798</t>
  </si>
  <si>
    <t>PUR-51799</t>
  </si>
  <si>
    <t>PUR-51800</t>
  </si>
  <si>
    <t>PUR-51801</t>
  </si>
  <si>
    <t>PUR-51802</t>
  </si>
  <si>
    <t>PUR-51803</t>
  </si>
  <si>
    <t>PUR-51804</t>
  </si>
  <si>
    <t>PUR-51805</t>
  </si>
  <si>
    <t>PUR-51806</t>
  </si>
  <si>
    <t>PUR-51807</t>
  </si>
  <si>
    <t>PUR-51808</t>
  </si>
  <si>
    <t>PUR-51809</t>
  </si>
  <si>
    <t>PUR-51810</t>
  </si>
  <si>
    <t>PUR-51811</t>
  </si>
  <si>
    <t>PUR-51812</t>
  </si>
  <si>
    <t>PUR-51813</t>
  </si>
  <si>
    <t>PUR-51814</t>
  </si>
  <si>
    <t>PUR-51815</t>
  </si>
  <si>
    <t>PUR-51816</t>
  </si>
  <si>
    <t>PUR-51817</t>
  </si>
  <si>
    <t>PUR-51818</t>
  </si>
  <si>
    <t>sup043</t>
  </si>
  <si>
    <t>PUR-51819</t>
  </si>
  <si>
    <t>PUR-51820</t>
  </si>
  <si>
    <t>PUR-51821</t>
  </si>
  <si>
    <t>PUR-51822</t>
  </si>
  <si>
    <t>PUR-51823</t>
  </si>
  <si>
    <t>PUR-51824</t>
  </si>
  <si>
    <t>PUR-51825</t>
  </si>
  <si>
    <t>PUR-51826</t>
  </si>
  <si>
    <t>PUR-51827</t>
  </si>
  <si>
    <t>PUR-51828</t>
  </si>
  <si>
    <t>PUR-51829</t>
  </si>
  <si>
    <t>PUR-51830</t>
  </si>
  <si>
    <t>PUR-51831</t>
  </si>
  <si>
    <t>PUR-51832</t>
  </si>
  <si>
    <t>PUR-51833</t>
  </si>
  <si>
    <t>PUR-51834</t>
  </si>
  <si>
    <t>PUR-51835</t>
  </si>
  <si>
    <t>PUR-51836</t>
  </si>
  <si>
    <t>PUR-51837</t>
  </si>
  <si>
    <t>PUR-51838</t>
  </si>
  <si>
    <t>PUR-51839</t>
  </si>
  <si>
    <t>PUR-51840</t>
  </si>
  <si>
    <t>PUR-51841</t>
  </si>
  <si>
    <t>PUR-51842</t>
  </si>
  <si>
    <t>PUR-51843</t>
  </si>
  <si>
    <t>PUR-51844</t>
  </si>
  <si>
    <t>PUR-51845</t>
  </si>
  <si>
    <t>PUR-51846</t>
  </si>
  <si>
    <t>PUR-51847</t>
  </si>
  <si>
    <t>PUR-51848</t>
  </si>
  <si>
    <t>PUR-51849</t>
  </si>
  <si>
    <t>PUR-51850</t>
  </si>
  <si>
    <t>PUR-51851</t>
  </si>
  <si>
    <t>PUR-51852</t>
  </si>
  <si>
    <t>PUR-51853</t>
  </si>
  <si>
    <t>PUR-51854</t>
  </si>
  <si>
    <t>PUR-51855</t>
  </si>
  <si>
    <t>PUR-51856</t>
  </si>
  <si>
    <t>PUR-51857</t>
  </si>
  <si>
    <t>PUR-51858</t>
  </si>
  <si>
    <t>PUR-51859</t>
  </si>
  <si>
    <t>PUR-51860</t>
  </si>
  <si>
    <t>PUR-51861</t>
  </si>
  <si>
    <t>PUR-51862</t>
  </si>
  <si>
    <t>PUR-51863</t>
  </si>
  <si>
    <t>PUR-51864</t>
  </si>
  <si>
    <t>PUR-51865</t>
  </si>
  <si>
    <t>PUR-51866</t>
  </si>
  <si>
    <t>PUR-51867</t>
  </si>
  <si>
    <t>PUR-51868</t>
  </si>
  <si>
    <t>PUR-51869</t>
  </si>
  <si>
    <t>PUR-51870</t>
  </si>
  <si>
    <t>PUR-51871</t>
  </si>
  <si>
    <t>PUR-51872</t>
  </si>
  <si>
    <t>PUR-51873</t>
  </si>
  <si>
    <t>PUR-51874</t>
  </si>
  <si>
    <t>PUR-51875</t>
  </si>
  <si>
    <t>PUR-51876</t>
  </si>
  <si>
    <t>PUR-51877</t>
  </si>
  <si>
    <t>PUR-51878</t>
  </si>
  <si>
    <t>PUR-51879</t>
  </si>
  <si>
    <t>PUR-51880</t>
  </si>
  <si>
    <t>PUR-51881</t>
  </si>
  <si>
    <t>PUR-51882</t>
  </si>
  <si>
    <t>PUR-51883</t>
  </si>
  <si>
    <t>PUR-51884</t>
  </si>
  <si>
    <t>PUR-51885</t>
  </si>
  <si>
    <t>PUR-51886</t>
  </si>
  <si>
    <t>PUR-51887</t>
  </si>
  <si>
    <t>PUR-51888</t>
  </si>
  <si>
    <t>PUR-51889</t>
  </si>
  <si>
    <t>PUR-51890</t>
  </si>
  <si>
    <t>PUR-51891</t>
  </si>
  <si>
    <t>PUR-51892</t>
  </si>
  <si>
    <t>PUR-51893</t>
  </si>
  <si>
    <t>PUR-51894</t>
  </si>
  <si>
    <t>PUR-51895</t>
  </si>
  <si>
    <t>PUR-51896</t>
  </si>
  <si>
    <t>PUR-51897</t>
  </si>
  <si>
    <t>PUR-51898</t>
  </si>
  <si>
    <t>PUR-51899</t>
  </si>
  <si>
    <t>PUR-51900</t>
  </si>
  <si>
    <t>PUR-51901</t>
  </si>
  <si>
    <t>PUR-51902</t>
  </si>
  <si>
    <t>PUR-51903</t>
  </si>
  <si>
    <t>PUR-51904</t>
  </si>
  <si>
    <t>PUR-51905</t>
  </si>
  <si>
    <t>PUR-51906</t>
  </si>
  <si>
    <t>PUR-51907</t>
  </si>
  <si>
    <t>PUR-51908</t>
  </si>
  <si>
    <t>PUR-51909</t>
  </si>
  <si>
    <t>PUR-51910</t>
  </si>
  <si>
    <t>PUR-51911</t>
  </si>
  <si>
    <t>PUR-51912</t>
  </si>
  <si>
    <t>PUR-51913</t>
  </si>
  <si>
    <t>PUR-51914</t>
  </si>
  <si>
    <t>PUR-51915</t>
  </si>
  <si>
    <t>PUR-51916</t>
  </si>
  <si>
    <t>PUR-51917</t>
  </si>
  <si>
    <t>PUR-51918</t>
  </si>
  <si>
    <t>PUR-51919</t>
  </si>
  <si>
    <t>PUR-51920</t>
  </si>
  <si>
    <t>PUR-51921</t>
  </si>
  <si>
    <t>PUR-51922</t>
  </si>
  <si>
    <t>PUR-51923</t>
  </si>
  <si>
    <t>PUR-51924</t>
  </si>
  <si>
    <t>PUR-51925</t>
  </si>
  <si>
    <t>PUR-51926</t>
  </si>
  <si>
    <t>PUR-51927</t>
  </si>
  <si>
    <t>PUR-51928</t>
  </si>
  <si>
    <t>PUR-51929</t>
  </si>
  <si>
    <t>PUR-51930</t>
  </si>
  <si>
    <t>PUR-51931</t>
  </si>
  <si>
    <t>PUR-51932</t>
  </si>
  <si>
    <t>PUR-51933</t>
  </si>
  <si>
    <t>PUR-51934</t>
  </si>
  <si>
    <t>PUR-51935</t>
  </si>
  <si>
    <t>PUR-51936</t>
  </si>
  <si>
    <t>PUR-51937</t>
  </si>
  <si>
    <t>PUR-51938</t>
  </si>
  <si>
    <t>PUR-51939</t>
  </si>
  <si>
    <t>PUR-51940</t>
  </si>
  <si>
    <t>PUR-51941</t>
  </si>
  <si>
    <t>PUR-51942</t>
  </si>
  <si>
    <t>PUR-51943</t>
  </si>
  <si>
    <t>PUR-51944</t>
  </si>
  <si>
    <t>PUR-51945</t>
  </si>
  <si>
    <t>PUR-51946</t>
  </si>
  <si>
    <t>PUR-51947</t>
  </si>
  <si>
    <t>PUR-51948</t>
  </si>
  <si>
    <t>PUR-51949</t>
  </si>
  <si>
    <t>PUR-51950</t>
  </si>
  <si>
    <t>PUR-51951</t>
  </si>
  <si>
    <t>PUR-51952</t>
  </si>
  <si>
    <t>PUR-51953</t>
  </si>
  <si>
    <t>PUR-51954</t>
  </si>
  <si>
    <t>PUR-51955</t>
  </si>
  <si>
    <t>PUR-51956</t>
  </si>
  <si>
    <t>PUR-51957</t>
  </si>
  <si>
    <t>PUR-51958</t>
  </si>
  <si>
    <t>PUR-51959</t>
  </si>
  <si>
    <t>PUR-51960</t>
  </si>
  <si>
    <t>PUR-51961</t>
  </si>
  <si>
    <t>PUR-51962</t>
  </si>
  <si>
    <t>PUR-51963</t>
  </si>
  <si>
    <t>PUR-51964</t>
  </si>
  <si>
    <t>PUR-51965</t>
  </si>
  <si>
    <t>PUR-51966</t>
  </si>
  <si>
    <t>PUR-51967</t>
  </si>
  <si>
    <t>PUR-51968</t>
  </si>
  <si>
    <t>PUR-51969</t>
  </si>
  <si>
    <t>PUR-51970</t>
  </si>
  <si>
    <t>PUR-51971</t>
  </si>
  <si>
    <t>PUR-51972</t>
  </si>
  <si>
    <t>PUR-51973</t>
  </si>
  <si>
    <t>PUR-51974</t>
  </si>
  <si>
    <t>PUR-51975</t>
  </si>
  <si>
    <t>PUR-51976</t>
  </si>
  <si>
    <t>PUR-51977</t>
  </si>
  <si>
    <t>PUR-51978</t>
  </si>
  <si>
    <t>PUR-51979</t>
  </si>
  <si>
    <t>PUR-51980</t>
  </si>
  <si>
    <t>PUR-51981</t>
  </si>
  <si>
    <t>PUR-51982</t>
  </si>
  <si>
    <t>PUR-51983</t>
  </si>
  <si>
    <t>PUR-51984</t>
  </si>
  <si>
    <t>PUR-51985</t>
  </si>
  <si>
    <t>PUR-51986</t>
  </si>
  <si>
    <t>PUR-51987</t>
  </si>
  <si>
    <t>PUR-51988</t>
  </si>
  <si>
    <t>PUR-51989</t>
  </si>
  <si>
    <t>PUR-51990</t>
  </si>
  <si>
    <t>PUR-51991</t>
  </si>
  <si>
    <t>PUR-51992</t>
  </si>
  <si>
    <t>PUR-51993</t>
  </si>
  <si>
    <t>PUR-51994</t>
  </si>
  <si>
    <t>PUR-51995</t>
  </si>
  <si>
    <t>PUR-51996</t>
  </si>
  <si>
    <t>PUR-51997</t>
  </si>
  <si>
    <t>PUR-51998</t>
  </si>
  <si>
    <t>PUR-51999</t>
  </si>
  <si>
    <t>PUR-52000</t>
  </si>
  <si>
    <t>PUR-52001</t>
  </si>
  <si>
    <t>PUR-52002</t>
  </si>
  <si>
    <t>PUR-52003</t>
  </si>
  <si>
    <t>PUR-52004</t>
  </si>
  <si>
    <t>PUR-52005</t>
  </si>
  <si>
    <t>PUR-52006</t>
  </si>
  <si>
    <t>PUR-52007</t>
  </si>
  <si>
    <t>PUR-52008</t>
  </si>
  <si>
    <t>PUR-52009</t>
  </si>
  <si>
    <t>PUR-52010</t>
  </si>
  <si>
    <t>PUR-52011</t>
  </si>
  <si>
    <t>PUR-52012</t>
  </si>
  <si>
    <t>PUR-52013</t>
  </si>
  <si>
    <t>PUR-52014</t>
  </si>
  <si>
    <t>PUR-52015</t>
  </si>
  <si>
    <t>PUR-52016</t>
  </si>
  <si>
    <t>PUR-52017</t>
  </si>
  <si>
    <t>PUR-52018</t>
  </si>
  <si>
    <t>PUR-52019</t>
  </si>
  <si>
    <t>PUR-52020</t>
  </si>
  <si>
    <t>PUR-52021</t>
  </si>
  <si>
    <t>PUR-52022</t>
  </si>
  <si>
    <t>PUR-52023</t>
  </si>
  <si>
    <t>PUR-52024</t>
  </si>
  <si>
    <t>PUR-52025</t>
  </si>
  <si>
    <t>PUR-52026</t>
  </si>
  <si>
    <t>PUR-52027</t>
  </si>
  <si>
    <t>PUR-52028</t>
  </si>
  <si>
    <t>PUR-52029</t>
  </si>
  <si>
    <t>PUR-52030</t>
  </si>
  <si>
    <t>PUR-52031</t>
  </si>
  <si>
    <t>PUR-52032</t>
  </si>
  <si>
    <t>PUR-52033</t>
  </si>
  <si>
    <t>PUR-52034</t>
  </si>
  <si>
    <t>PUR-52035</t>
  </si>
  <si>
    <t>PUR-52036</t>
  </si>
  <si>
    <t>PUR-52037</t>
  </si>
  <si>
    <t>PUR-52038</t>
  </si>
  <si>
    <t>PUR-52039</t>
  </si>
  <si>
    <t>PUR-52040</t>
  </si>
  <si>
    <t>PUR-52041</t>
  </si>
  <si>
    <t>PUR-52042</t>
  </si>
  <si>
    <t>PUR-52043</t>
  </si>
  <si>
    <t>PUR-52044</t>
  </si>
  <si>
    <t>PUR-52045</t>
  </si>
  <si>
    <t>PUR-52046</t>
  </si>
  <si>
    <t>PUR-52047</t>
  </si>
  <si>
    <t>PUR-52048</t>
  </si>
  <si>
    <t>PUR-52049</t>
  </si>
  <si>
    <t>PUR-52050</t>
  </si>
  <si>
    <t>PUR-52051</t>
  </si>
  <si>
    <t>PUR-52052</t>
  </si>
  <si>
    <t>PUR-52053</t>
  </si>
  <si>
    <t>PUR-52054</t>
  </si>
  <si>
    <t>PUR-52055</t>
  </si>
  <si>
    <t>PUR-52056</t>
  </si>
  <si>
    <t>PUR-52057</t>
  </si>
  <si>
    <t>PUR-52058</t>
  </si>
  <si>
    <t>PUR-52059</t>
  </si>
  <si>
    <t>PUR-52060</t>
  </si>
  <si>
    <t>PUR-52061</t>
  </si>
  <si>
    <t>PUR-52062</t>
  </si>
  <si>
    <t>PUR-52063</t>
  </si>
  <si>
    <t>PUR-52064</t>
  </si>
  <si>
    <t>PUR-52065</t>
  </si>
  <si>
    <t>PUR-52066</t>
  </si>
  <si>
    <t>PUR-52067</t>
  </si>
  <si>
    <t>PUR-52068</t>
  </si>
  <si>
    <t>PUR-52069</t>
  </si>
  <si>
    <t>PUR-52070</t>
  </si>
  <si>
    <t>PUR-52071</t>
  </si>
  <si>
    <t>PUR-52072</t>
  </si>
  <si>
    <t>PUR-52073</t>
  </si>
  <si>
    <t>PUR-52074</t>
  </si>
  <si>
    <t>PUR-52075</t>
  </si>
  <si>
    <t>PUR-52076</t>
  </si>
  <si>
    <t>PUR-52077</t>
  </si>
  <si>
    <t>PUR-52078</t>
  </si>
  <si>
    <t>PUR-52079</t>
  </si>
  <si>
    <t>PUR-52080</t>
  </si>
  <si>
    <t>PUR-52081</t>
  </si>
  <si>
    <t>PUR-52082</t>
  </si>
  <si>
    <t>PUR-52083</t>
  </si>
  <si>
    <t>PUR-52084</t>
  </si>
  <si>
    <t>PUR-52085</t>
  </si>
  <si>
    <t>PUR-52086</t>
  </si>
  <si>
    <t>PUR-52087</t>
  </si>
  <si>
    <t>PUR-52088</t>
  </si>
  <si>
    <t>PUR-52089</t>
  </si>
  <si>
    <t>PUR-52090</t>
  </si>
  <si>
    <t>PUR-52091</t>
  </si>
  <si>
    <t>PUR-52092</t>
  </si>
  <si>
    <t>PUR-52093</t>
  </si>
  <si>
    <t>PUR-52094</t>
  </si>
  <si>
    <t>PUR-52095</t>
  </si>
  <si>
    <t>PUR-52096</t>
  </si>
  <si>
    <t>PUR-52097</t>
  </si>
  <si>
    <t>PUR-52098</t>
  </si>
  <si>
    <t>PUR-52099</t>
  </si>
  <si>
    <t>PUR-52100</t>
  </si>
  <si>
    <t>PUR-52101</t>
  </si>
  <si>
    <t>PUR-52102</t>
  </si>
  <si>
    <t>PUR-52103</t>
  </si>
  <si>
    <t>PUR-52104</t>
  </si>
  <si>
    <t>PUR-52105</t>
  </si>
  <si>
    <t>PUR-52106</t>
  </si>
  <si>
    <t>PUR-52107</t>
  </si>
  <si>
    <t>PUR-52108</t>
  </si>
  <si>
    <t>PUR-52109</t>
  </si>
  <si>
    <t>PUR-52110</t>
  </si>
  <si>
    <t>PUR-52111</t>
  </si>
  <si>
    <t>PUR-52112</t>
  </si>
  <si>
    <t>PUR-52113</t>
  </si>
  <si>
    <t>PUR-52114</t>
  </si>
  <si>
    <t>PUR-52115</t>
  </si>
  <si>
    <t>PUR-52116</t>
  </si>
  <si>
    <t>PUR-52117</t>
  </si>
  <si>
    <t>PUR-52118</t>
  </si>
  <si>
    <t>PUR-52119</t>
  </si>
  <si>
    <t>PUR-52120</t>
  </si>
  <si>
    <t>PUR-52121</t>
  </si>
  <si>
    <t>PUR-52122</t>
  </si>
  <si>
    <t>PUR-52123</t>
  </si>
  <si>
    <t>PUR-52124</t>
  </si>
  <si>
    <t>PUR-52125</t>
  </si>
  <si>
    <t>PUR-52126</t>
  </si>
  <si>
    <t>PUR-52127</t>
  </si>
  <si>
    <t>PUR-52128</t>
  </si>
  <si>
    <t>PUR-52129</t>
  </si>
  <si>
    <t>PUR-52130</t>
  </si>
  <si>
    <t>PUR-52131</t>
  </si>
  <si>
    <t>PUR-52132</t>
  </si>
  <si>
    <t>PUR-52133</t>
  </si>
  <si>
    <t>PUR-52134</t>
  </si>
  <si>
    <t>PUR-52135</t>
  </si>
  <si>
    <t>PUR-52136</t>
  </si>
  <si>
    <t>PUR-52137</t>
  </si>
  <si>
    <t>PUR-52138</t>
  </si>
  <si>
    <t>PUR-52139</t>
  </si>
  <si>
    <t>PUR-52140</t>
  </si>
  <si>
    <t>PUR-52141</t>
  </si>
  <si>
    <t>PUR-52142</t>
  </si>
  <si>
    <t>PUR-52143</t>
  </si>
  <si>
    <t>PUR-52144</t>
  </si>
  <si>
    <t>PUR-52145</t>
  </si>
  <si>
    <t>PUR-52146</t>
  </si>
  <si>
    <t>PUR-52147</t>
  </si>
  <si>
    <t>PUR-52148</t>
  </si>
  <si>
    <t>PUR-52149</t>
  </si>
  <si>
    <t>PUR-52150</t>
  </si>
  <si>
    <t>PUR-52151</t>
  </si>
  <si>
    <t>PUR-52152</t>
  </si>
  <si>
    <t>PUR-52153</t>
  </si>
  <si>
    <t>PUR-52154</t>
  </si>
  <si>
    <t>PUR-52155</t>
  </si>
  <si>
    <t>PUR-52156</t>
  </si>
  <si>
    <t>PUR-52157</t>
  </si>
  <si>
    <t>PUR-52158</t>
  </si>
  <si>
    <t>PUR-52159</t>
  </si>
  <si>
    <t>PUR-52160</t>
  </si>
  <si>
    <t>PUR-52161</t>
  </si>
  <si>
    <t>PUR-52162</t>
  </si>
  <si>
    <t>PUR-52163</t>
  </si>
  <si>
    <t>PUR-52164</t>
  </si>
  <si>
    <t>PUR-52165</t>
  </si>
  <si>
    <t>PUR-52166</t>
  </si>
  <si>
    <t>PUR-52167</t>
  </si>
  <si>
    <t>PUR-52168</t>
  </si>
  <si>
    <t>PUR-52169</t>
  </si>
  <si>
    <t>PUR-52170</t>
  </si>
  <si>
    <t>PUR-52171</t>
  </si>
  <si>
    <t>PUR-52172</t>
  </si>
  <si>
    <t>PUR-52173</t>
  </si>
  <si>
    <t>PUR-52174</t>
  </si>
  <si>
    <t>PUR-52175</t>
  </si>
  <si>
    <t>PUR-52176</t>
  </si>
  <si>
    <t>PUR-52177</t>
  </si>
  <si>
    <t>PUR-52178</t>
  </si>
  <si>
    <t>PUR-52179</t>
  </si>
  <si>
    <t>PUR-52180</t>
  </si>
  <si>
    <t>PUR-52181</t>
  </si>
  <si>
    <t>PUR-52182</t>
  </si>
  <si>
    <t>PUR-52183</t>
  </si>
  <si>
    <t>PUR-52184</t>
  </si>
  <si>
    <t>PUR-52185</t>
  </si>
  <si>
    <t>PUR-52186</t>
  </si>
  <si>
    <t>PUR-52187</t>
  </si>
  <si>
    <t>PUR-52188</t>
  </si>
  <si>
    <t>PUR-52189</t>
  </si>
  <si>
    <t>PUR-52190</t>
  </si>
  <si>
    <t>PUR-52191</t>
  </si>
  <si>
    <t>PUR-52192</t>
  </si>
  <si>
    <t>PUR-52193</t>
  </si>
  <si>
    <t>PUR-52194</t>
  </si>
  <si>
    <t>PUR-52195</t>
  </si>
  <si>
    <t>PUR-52196</t>
  </si>
  <si>
    <t>PUR-52197</t>
  </si>
  <si>
    <t>PUR-52198</t>
  </si>
  <si>
    <t>PUR-52199</t>
  </si>
  <si>
    <t>PUR-52200</t>
  </si>
  <si>
    <t>PUR-52201</t>
  </si>
  <si>
    <t>PUR-52202</t>
  </si>
  <si>
    <t>PUR-52203</t>
  </si>
  <si>
    <t>PUR-52204</t>
  </si>
  <si>
    <t>PUR-52205</t>
  </si>
  <si>
    <t>PUR-52206</t>
  </si>
  <si>
    <t>PUR-52207</t>
  </si>
  <si>
    <t>PUR-52208</t>
  </si>
  <si>
    <t>PUR-52209</t>
  </si>
  <si>
    <t>PUR-52210</t>
  </si>
  <si>
    <t>PUR-52211</t>
  </si>
  <si>
    <t>PUR-52212</t>
  </si>
  <si>
    <t>PUR-52213</t>
  </si>
  <si>
    <t>PUR-52214</t>
  </si>
  <si>
    <t>PUR-52215</t>
  </si>
  <si>
    <t>PUR-52216</t>
  </si>
  <si>
    <t>PUR-52217</t>
  </si>
  <si>
    <t>PUR-52218</t>
  </si>
  <si>
    <t>PUR-52219</t>
  </si>
  <si>
    <t>PUR-52220</t>
  </si>
  <si>
    <t>PUR-52221</t>
  </si>
  <si>
    <t>PUR-52222</t>
  </si>
  <si>
    <t>PUR-52223</t>
  </si>
  <si>
    <t>PUR-52224</t>
  </si>
  <si>
    <t>PUR-52225</t>
  </si>
  <si>
    <t>PUR-52226</t>
  </si>
  <si>
    <t>PUR-52227</t>
  </si>
  <si>
    <t>PUR-52228</t>
  </si>
  <si>
    <t>PUR-52229</t>
  </si>
  <si>
    <t>PUR-52230</t>
  </si>
  <si>
    <t>PUR-52231</t>
  </si>
  <si>
    <t>PUR-52232</t>
  </si>
  <si>
    <t>PUR-52233</t>
  </si>
  <si>
    <t>PUR-52234</t>
  </si>
  <si>
    <t>PUR-52235</t>
  </si>
  <si>
    <t>PUR-52236</t>
  </si>
  <si>
    <t>PUR-52237</t>
  </si>
  <si>
    <t>PUR-52238</t>
  </si>
  <si>
    <t>PUR-52239</t>
  </si>
  <si>
    <t>PUR-52240</t>
  </si>
  <si>
    <t>PUR-52241</t>
  </si>
  <si>
    <t>PUR-52242</t>
  </si>
  <si>
    <t>PUR-52243</t>
  </si>
  <si>
    <t>PUR-52244</t>
  </si>
  <si>
    <t>PUR-52245</t>
  </si>
  <si>
    <t>PUR-52246</t>
  </si>
  <si>
    <t>PUR-52247</t>
  </si>
  <si>
    <t>PUR-52248</t>
  </si>
  <si>
    <t>PUR-52249</t>
  </si>
  <si>
    <t>PUR-52250</t>
  </si>
  <si>
    <t>PUR-52251</t>
  </si>
  <si>
    <t>PUR-52252</t>
  </si>
  <si>
    <t>PUR-52253</t>
  </si>
  <si>
    <t>PUR-52254</t>
  </si>
  <si>
    <t>PUR-52255</t>
  </si>
  <si>
    <t>PUR-52256</t>
  </si>
  <si>
    <t>PUR-52257</t>
  </si>
  <si>
    <t>PUR-52258</t>
  </si>
  <si>
    <t>PUR-52259</t>
  </si>
  <si>
    <t>PUR-52260</t>
  </si>
  <si>
    <t>PUR-52261</t>
  </si>
  <si>
    <t>PUR-52262</t>
  </si>
  <si>
    <t>PUR-52263</t>
  </si>
  <si>
    <t>PUR-52264</t>
  </si>
  <si>
    <t>PUR-52265</t>
  </si>
  <si>
    <t>PUR-52266</t>
  </si>
  <si>
    <t>PUR-52267</t>
  </si>
  <si>
    <t>PUR-52268</t>
  </si>
  <si>
    <t>PUR-52269</t>
  </si>
  <si>
    <t>PUR-52270</t>
  </si>
  <si>
    <t>PUR-52271</t>
  </si>
  <si>
    <t>PUR-52272</t>
  </si>
  <si>
    <t>PUR-52273</t>
  </si>
  <si>
    <t>PUR-52274</t>
  </si>
  <si>
    <t>PUR-52275</t>
  </si>
  <si>
    <t>PUR-52276</t>
  </si>
  <si>
    <t>PUR-52277</t>
  </si>
  <si>
    <t>PUR-52278</t>
  </si>
  <si>
    <t>PUR-52279</t>
  </si>
  <si>
    <t>PUR-52280</t>
  </si>
  <si>
    <t>PUR-52281</t>
  </si>
  <si>
    <t>PUR-52282</t>
  </si>
  <si>
    <t>PUR-52283</t>
  </si>
  <si>
    <t>PUR-52284</t>
  </si>
  <si>
    <t>PUR-52285</t>
  </si>
  <si>
    <t>PUR-52286</t>
  </si>
  <si>
    <t>PUR-52287</t>
  </si>
  <si>
    <t>PUR-52288</t>
  </si>
  <si>
    <t>PUR-52289</t>
  </si>
  <si>
    <t>PUR-52290</t>
  </si>
  <si>
    <t>PUR-52291</t>
  </si>
  <si>
    <t>PUR-52292</t>
  </si>
  <si>
    <t>PUR-52293</t>
  </si>
  <si>
    <t>PUR-52294</t>
  </si>
  <si>
    <t>PUR-52295</t>
  </si>
  <si>
    <t>PUR-52296</t>
  </si>
  <si>
    <t>PUR-52297</t>
  </si>
  <si>
    <t>PUR-52298</t>
  </si>
  <si>
    <t>PUR-52299</t>
  </si>
  <si>
    <t>PUR-52300</t>
  </si>
  <si>
    <t>PUR-52301</t>
  </si>
  <si>
    <t>PUR-52302</t>
  </si>
  <si>
    <t>PUR-52303</t>
  </si>
  <si>
    <t>PUR-52304</t>
  </si>
  <si>
    <t>PUR-52305</t>
  </si>
  <si>
    <t>PUR-52306</t>
  </si>
  <si>
    <t>PUR-52307</t>
  </si>
  <si>
    <t>PUR-52308</t>
  </si>
  <si>
    <t>PUR-52309</t>
  </si>
  <si>
    <t>PUR-52310</t>
  </si>
  <si>
    <t>PUR-52311</t>
  </si>
  <si>
    <t>PUR-52312</t>
  </si>
  <si>
    <t>PUR-52313</t>
  </si>
  <si>
    <t>PUR-52314</t>
  </si>
  <si>
    <t>PUR-52315</t>
  </si>
  <si>
    <t>PUR-52316</t>
  </si>
  <si>
    <t>PUR-52317</t>
  </si>
  <si>
    <t>PUR-52318</t>
  </si>
  <si>
    <t>PUR-52319</t>
  </si>
  <si>
    <t>PUR-52320</t>
  </si>
  <si>
    <t>PUR-52321</t>
  </si>
  <si>
    <t>PUR-52322</t>
  </si>
  <si>
    <t>PUR-52323</t>
  </si>
  <si>
    <t>PUR-52324</t>
  </si>
  <si>
    <t>PUR-52325</t>
  </si>
  <si>
    <t>PUR-52326</t>
  </si>
  <si>
    <t>PUR-52327</t>
  </si>
  <si>
    <t>PUR-52329</t>
  </si>
  <si>
    <t>PUR-52330</t>
  </si>
  <si>
    <t>PUR-52331</t>
  </si>
  <si>
    <t>PUR-52332</t>
  </si>
  <si>
    <t>PUR-52333</t>
  </si>
  <si>
    <t>PUR-52334</t>
  </si>
  <si>
    <t>PUR-52335</t>
  </si>
  <si>
    <t>PUR-52336</t>
  </si>
  <si>
    <t>PUR-52337</t>
  </si>
  <si>
    <t>PUR-52338</t>
  </si>
  <si>
    <t>PUR-52339</t>
  </si>
  <si>
    <t>PUR-52340</t>
  </si>
  <si>
    <t>PUR-52341</t>
  </si>
  <si>
    <t>PUR-52342</t>
  </si>
  <si>
    <t>PUR-52343</t>
  </si>
  <si>
    <t>PUR-52344</t>
  </si>
  <si>
    <t>PUR-52345</t>
  </si>
  <si>
    <t>PUR-52346</t>
  </si>
  <si>
    <t>PUR-52347</t>
  </si>
  <si>
    <t>PUR-52348</t>
  </si>
  <si>
    <t>PUR-52349</t>
  </si>
  <si>
    <t>PUR-52350</t>
  </si>
  <si>
    <t>PUR-52351</t>
  </si>
  <si>
    <t>PUR-52352</t>
  </si>
  <si>
    <t>sup020</t>
  </si>
  <si>
    <t>PUR-52353</t>
  </si>
  <si>
    <t>PUR-52354</t>
  </si>
  <si>
    <t>PUR-52355</t>
  </si>
  <si>
    <t>PUR-52356</t>
  </si>
  <si>
    <t>PUR-52357</t>
  </si>
  <si>
    <t>PUR-52358</t>
  </si>
  <si>
    <t>PUR-52359</t>
  </si>
  <si>
    <t>PUR-52360</t>
  </si>
  <si>
    <t>PUR-52361</t>
  </si>
  <si>
    <t>PUR-52362</t>
  </si>
  <si>
    <t>PUR-52363</t>
  </si>
  <si>
    <t>PUR-52364</t>
  </si>
  <si>
    <t>PUR-52365</t>
  </si>
  <si>
    <t>PUR-52366</t>
  </si>
  <si>
    <t>PUR-52367</t>
  </si>
  <si>
    <t>PUR-52368</t>
  </si>
  <si>
    <t>PUR-52369</t>
  </si>
  <si>
    <t>PUR-52370</t>
  </si>
  <si>
    <t>PUR-52371</t>
  </si>
  <si>
    <t>PUR-52372</t>
  </si>
  <si>
    <t>PUR-52373</t>
  </si>
  <si>
    <t>PUR-52374</t>
  </si>
  <si>
    <t>PUR-52375</t>
  </si>
  <si>
    <t>PUR-52376</t>
  </si>
  <si>
    <t>PUR-52377</t>
  </si>
  <si>
    <t>PUR-52378</t>
  </si>
  <si>
    <t>PUR-52379</t>
  </si>
  <si>
    <t>PUR-52380</t>
  </si>
  <si>
    <t>PUR-52381</t>
  </si>
  <si>
    <t>PUR-52382</t>
  </si>
  <si>
    <t>PUR-52383</t>
  </si>
  <si>
    <t>PUR-52384</t>
  </si>
  <si>
    <t>PUR-52385</t>
  </si>
  <si>
    <t>PUR-52386</t>
  </si>
  <si>
    <t>PUR-52387</t>
  </si>
  <si>
    <t>PUR-52388</t>
  </si>
  <si>
    <t>PUR-52389</t>
  </si>
  <si>
    <t>PUR-52390</t>
  </si>
  <si>
    <t>PUR-52391</t>
  </si>
  <si>
    <t>PUR-52392</t>
  </si>
  <si>
    <t>PUR-52393</t>
  </si>
  <si>
    <t>PUR-52394</t>
  </si>
  <si>
    <t>PUR-52395</t>
  </si>
  <si>
    <t>PUR-52396</t>
  </si>
  <si>
    <t>PUR-52397</t>
  </si>
  <si>
    <t>PUR-52398</t>
  </si>
  <si>
    <t>PUR-52399</t>
  </si>
  <si>
    <t>PUR-52400</t>
  </si>
  <si>
    <t>PUR-52401</t>
  </si>
  <si>
    <t>PUR-52402</t>
  </si>
  <si>
    <t>PUR-52403</t>
  </si>
  <si>
    <t>PUR-52404</t>
  </si>
  <si>
    <t>PUR-52405</t>
  </si>
  <si>
    <t>PUR-52406</t>
  </si>
  <si>
    <t>PUR-52407</t>
  </si>
  <si>
    <t>PUR-52408</t>
  </si>
  <si>
    <t>PUR-52409</t>
  </si>
  <si>
    <t>PUR-52410</t>
  </si>
  <si>
    <t>PUR-52411</t>
  </si>
  <si>
    <t>PUR-52412</t>
  </si>
  <si>
    <t>PUR-52413</t>
  </si>
  <si>
    <t>PUR-52414</t>
  </si>
  <si>
    <t>PUR-52415</t>
  </si>
  <si>
    <t>PUR-52416</t>
  </si>
  <si>
    <t>PUR-52417</t>
  </si>
  <si>
    <t>PUR-52418</t>
  </si>
  <si>
    <t>PUR-52419</t>
  </si>
  <si>
    <t>PUR-52420</t>
  </si>
  <si>
    <t>PUR-52421</t>
  </si>
  <si>
    <t>PUR-52422</t>
  </si>
  <si>
    <t>PUR-52423</t>
  </si>
  <si>
    <t>PUR-52424</t>
  </si>
  <si>
    <t>PUR-52425</t>
  </si>
  <si>
    <t>PUR-52426</t>
  </si>
  <si>
    <t>PUR-52427</t>
  </si>
  <si>
    <t>PUR-52428</t>
  </si>
  <si>
    <t>PUR-52429</t>
  </si>
  <si>
    <t>PUR-52430</t>
  </si>
  <si>
    <t>PUR-52431</t>
  </si>
  <si>
    <t>PUR-52432</t>
  </si>
  <si>
    <t>PUR-52433</t>
  </si>
  <si>
    <t>PUR-52434</t>
  </si>
  <si>
    <t>PUR-52435</t>
  </si>
  <si>
    <t>PUR-52436</t>
  </si>
  <si>
    <t>PUR-52437</t>
  </si>
  <si>
    <t>PUR-52438</t>
  </si>
  <si>
    <t>PUR-52439</t>
  </si>
  <si>
    <t>PUR-52440</t>
  </si>
  <si>
    <t>PUR-52441</t>
  </si>
  <si>
    <t>PUR-52442</t>
  </si>
  <si>
    <t>PUR-52443</t>
  </si>
  <si>
    <t>PUR-52444</t>
  </si>
  <si>
    <t>PUR-52445</t>
  </si>
  <si>
    <t>PUR-52446</t>
  </si>
  <si>
    <t>PUR-52447</t>
  </si>
  <si>
    <t>PUR-52448</t>
  </si>
  <si>
    <t>PUR-52449</t>
  </si>
  <si>
    <t>PUR-52450</t>
  </si>
  <si>
    <t>PUR-52451</t>
  </si>
  <si>
    <t>PUR-52452</t>
  </si>
  <si>
    <t>PUR-52453</t>
  </si>
  <si>
    <t>PUR-52454</t>
  </si>
  <si>
    <t>PUR-52455</t>
  </si>
  <si>
    <t>PUR-52456</t>
  </si>
  <si>
    <t>PUR-52457</t>
  </si>
  <si>
    <t>PUR-52458</t>
  </si>
  <si>
    <t>PUR-52459</t>
  </si>
  <si>
    <t>PUR-52460</t>
  </si>
  <si>
    <t>PUR-52461</t>
  </si>
  <si>
    <t>PUR-52462</t>
  </si>
  <si>
    <t>PUR-52463</t>
  </si>
  <si>
    <t>PUR-52464</t>
  </si>
  <si>
    <t>PUR-52465</t>
  </si>
  <si>
    <t>PUR-52466</t>
  </si>
  <si>
    <t>PUR-52467</t>
  </si>
  <si>
    <t>PUR-52468</t>
  </si>
  <si>
    <t>PUR-52469</t>
  </si>
  <si>
    <t>PUR-52470</t>
  </si>
  <si>
    <t>PUR-52471</t>
  </si>
  <si>
    <t>PUR-52472</t>
  </si>
  <si>
    <t>PUR-52473</t>
  </si>
  <si>
    <t>PUR-52474</t>
  </si>
  <si>
    <t>PUR-52475</t>
  </si>
  <si>
    <t>PUR-52476</t>
  </si>
  <si>
    <t>PUR-52477</t>
  </si>
  <si>
    <t>PUR-52478</t>
  </si>
  <si>
    <t>PUR-52479</t>
  </si>
  <si>
    <t>PUR-52480</t>
  </si>
  <si>
    <t>sup004</t>
  </si>
  <si>
    <t>PUR-52481</t>
  </si>
  <si>
    <t>PUR-52482</t>
  </si>
  <si>
    <t>PUR-52483</t>
  </si>
  <si>
    <t>PUR-52484</t>
  </si>
  <si>
    <t>PUR-52485</t>
  </si>
  <si>
    <t>PUR-52486</t>
  </si>
  <si>
    <t>PUR-52487</t>
  </si>
  <si>
    <t>PUR-52488</t>
  </si>
  <si>
    <t>PUR-52489</t>
  </si>
  <si>
    <t>PUR-52490</t>
  </si>
  <si>
    <t>PUR-52491</t>
  </si>
  <si>
    <t>PUR-52492</t>
  </si>
  <si>
    <t>PUR-52493</t>
  </si>
  <si>
    <t>PUR-52494</t>
  </si>
  <si>
    <t>PUR-52495</t>
  </si>
  <si>
    <t>PUR-52496</t>
  </si>
  <si>
    <t>PUR-52497</t>
  </si>
  <si>
    <t>PUR-52498</t>
  </si>
  <si>
    <t>PUR-52499</t>
  </si>
  <si>
    <t>PUR-52500</t>
  </si>
  <si>
    <t>INV-10001</t>
  </si>
  <si>
    <t>UPI</t>
  </si>
  <si>
    <t>Completed</t>
  </si>
  <si>
    <t>INV-10002</t>
  </si>
  <si>
    <t>INV-10003</t>
  </si>
  <si>
    <t>INV-10004</t>
  </si>
  <si>
    <t>Card</t>
  </si>
  <si>
    <t>INV-10005</t>
  </si>
  <si>
    <t>INV-10006</t>
  </si>
  <si>
    <t>Cash</t>
  </si>
  <si>
    <t>INV-10007</t>
  </si>
  <si>
    <t>INV-10008</t>
  </si>
  <si>
    <t>INV-10009</t>
  </si>
  <si>
    <t>INV-10010</t>
  </si>
  <si>
    <t>INV-10011</t>
  </si>
  <si>
    <t>INV-10012</t>
  </si>
  <si>
    <t>INV-10013</t>
  </si>
  <si>
    <t>INV-10014</t>
  </si>
  <si>
    <t>INV-10015</t>
  </si>
  <si>
    <t>INV-10016</t>
  </si>
  <si>
    <t>INV-10017</t>
  </si>
  <si>
    <t>INV-10018</t>
  </si>
  <si>
    <t>INV-10019</t>
  </si>
  <si>
    <t>INV-10020</t>
  </si>
  <si>
    <t>INV-10021</t>
  </si>
  <si>
    <t>INV-10022</t>
  </si>
  <si>
    <t>INV-10023</t>
  </si>
  <si>
    <t>INV-10024</t>
  </si>
  <si>
    <t>INV-10025</t>
  </si>
  <si>
    <t>INV-10026</t>
  </si>
  <si>
    <t>INV-10027</t>
  </si>
  <si>
    <t>INV-10028</t>
  </si>
  <si>
    <t>INV-10029</t>
  </si>
  <si>
    <t>INV-10030</t>
  </si>
  <si>
    <t>INV-10031</t>
  </si>
  <si>
    <t>INV-10032</t>
  </si>
  <si>
    <t>INV-10033</t>
  </si>
  <si>
    <t>INV-10034</t>
  </si>
  <si>
    <t>INV-10035</t>
  </si>
  <si>
    <t>INV-10036</t>
  </si>
  <si>
    <t>INV-10037</t>
  </si>
  <si>
    <t>cust0256</t>
  </si>
  <si>
    <t>INV-10038</t>
  </si>
  <si>
    <t>INV-10039</t>
  </si>
  <si>
    <t>INV-10040</t>
  </si>
  <si>
    <t>INV-10041</t>
  </si>
  <si>
    <t>INV-10042</t>
  </si>
  <si>
    <t>INV-10043</t>
  </si>
  <si>
    <t>INV-10044</t>
  </si>
  <si>
    <t>INV-10045</t>
  </si>
  <si>
    <t>INV-10046</t>
  </si>
  <si>
    <t>INV-10047</t>
  </si>
  <si>
    <t>INV-10048</t>
  </si>
  <si>
    <t>INV-10049</t>
  </si>
  <si>
    <t>INV-10050</t>
  </si>
  <si>
    <t>cust0020</t>
  </si>
  <si>
    <t>INV-10051</t>
  </si>
  <si>
    <t>INV-10052</t>
  </si>
  <si>
    <t>INV-10053</t>
  </si>
  <si>
    <t>INV-10054</t>
  </si>
  <si>
    <t>INV-10055</t>
  </si>
  <si>
    <t>INV-10056</t>
  </si>
  <si>
    <t>INV-10057</t>
  </si>
  <si>
    <t>INV-10058</t>
  </si>
  <si>
    <t>INV-10059</t>
  </si>
  <si>
    <t>INV-10060</t>
  </si>
  <si>
    <t>INV-10061</t>
  </si>
  <si>
    <t>INV-10062</t>
  </si>
  <si>
    <t>INV-10063</t>
  </si>
  <si>
    <t>INV-10064</t>
  </si>
  <si>
    <t>INV-10065</t>
  </si>
  <si>
    <t>INV-10066</t>
  </si>
  <si>
    <t>INV-10067</t>
  </si>
  <si>
    <t>INV-10068</t>
  </si>
  <si>
    <t>INV-10069</t>
  </si>
  <si>
    <t>INV-10070</t>
  </si>
  <si>
    <t>INV-10071</t>
  </si>
  <si>
    <t>INV-10072</t>
  </si>
  <si>
    <t>INV-10073</t>
  </si>
  <si>
    <t>INV-10074</t>
  </si>
  <si>
    <t>INV-10075</t>
  </si>
  <si>
    <t>INV-10076</t>
  </si>
  <si>
    <t>INV-10077</t>
  </si>
  <si>
    <t>INV-10078</t>
  </si>
  <si>
    <t>INV-10079</t>
  </si>
  <si>
    <t>cust0081</t>
  </si>
  <si>
    <t>INV-10080</t>
  </si>
  <si>
    <t>INV-10081</t>
  </si>
  <si>
    <t>INV-10082</t>
  </si>
  <si>
    <t>INV-10083</t>
  </si>
  <si>
    <t>INV-10084</t>
  </si>
  <si>
    <t>INV-10085</t>
  </si>
  <si>
    <t>INV-10086</t>
  </si>
  <si>
    <t>INV-10087</t>
  </si>
  <si>
    <t>INV-10088</t>
  </si>
  <si>
    <t>INV-10089</t>
  </si>
  <si>
    <t>INV-10090</t>
  </si>
  <si>
    <t>INV-10091</t>
  </si>
  <si>
    <t>INV-10092</t>
  </si>
  <si>
    <t>INV-10093</t>
  </si>
  <si>
    <t>INV-10094</t>
  </si>
  <si>
    <t>INV-10095</t>
  </si>
  <si>
    <t>INV-10096</t>
  </si>
  <si>
    <t>INV-10097</t>
  </si>
  <si>
    <t>INV-10098</t>
  </si>
  <si>
    <t>INV-10099</t>
  </si>
  <si>
    <t>INV-10100</t>
  </si>
  <si>
    <t>INV-10101</t>
  </si>
  <si>
    <t>INV-10102</t>
  </si>
  <si>
    <t>INV-10103</t>
  </si>
  <si>
    <t>INV-10104</t>
  </si>
  <si>
    <t>INV-10105</t>
  </si>
  <si>
    <t>INV-10106</t>
  </si>
  <si>
    <t>INV-10107</t>
  </si>
  <si>
    <t>INV-10108</t>
  </si>
  <si>
    <t>INV-10109</t>
  </si>
  <si>
    <t>INV-10110</t>
  </si>
  <si>
    <t>INV-10111</t>
  </si>
  <si>
    <t>INV-10112</t>
  </si>
  <si>
    <t>cust0223</t>
  </si>
  <si>
    <t>INV-10113</t>
  </si>
  <si>
    <t>INV-10114</t>
  </si>
  <si>
    <t>INV-10115</t>
  </si>
  <si>
    <t>INV-10116</t>
  </si>
  <si>
    <t>INV-10117</t>
  </si>
  <si>
    <t>INV-10118</t>
  </si>
  <si>
    <t>INV-10119</t>
  </si>
  <si>
    <t>INV-10120</t>
  </si>
  <si>
    <t>INV-10121</t>
  </si>
  <si>
    <t>INV-10122</t>
  </si>
  <si>
    <t>INV-10123</t>
  </si>
  <si>
    <t>INV-10124</t>
  </si>
  <si>
    <t>INV-10125</t>
  </si>
  <si>
    <t>INV-10126</t>
  </si>
  <si>
    <t>INV-10127</t>
  </si>
  <si>
    <t>INV-10128</t>
  </si>
  <si>
    <t>INV-10129</t>
  </si>
  <si>
    <t>INV-10130</t>
  </si>
  <si>
    <t>INV-10131</t>
  </si>
  <si>
    <t>INV-10132</t>
  </si>
  <si>
    <t>INV-10133</t>
  </si>
  <si>
    <t>INV-10134</t>
  </si>
  <si>
    <t>INV-10135</t>
  </si>
  <si>
    <t>INV-10136</t>
  </si>
  <si>
    <t>INV-10137</t>
  </si>
  <si>
    <t>INV-10138</t>
  </si>
  <si>
    <t>INV-10139</t>
  </si>
  <si>
    <t>INV-10140</t>
  </si>
  <si>
    <t>INV-10141</t>
  </si>
  <si>
    <t>INV-10142</t>
  </si>
  <si>
    <t>INV-10143</t>
  </si>
  <si>
    <t>INV-10144</t>
  </si>
  <si>
    <t>INV-10145</t>
  </si>
  <si>
    <t>INV-10146</t>
  </si>
  <si>
    <t>INV-10147</t>
  </si>
  <si>
    <t>INV-10148</t>
  </si>
  <si>
    <t>INV-10149</t>
  </si>
  <si>
    <t>INV-10150</t>
  </si>
  <si>
    <t>INV-10151</t>
  </si>
  <si>
    <t>INV-10152</t>
  </si>
  <si>
    <t>INV-10153</t>
  </si>
  <si>
    <t>INV-10154</t>
  </si>
  <si>
    <t>INV-10155</t>
  </si>
  <si>
    <t>INV-10156</t>
  </si>
  <si>
    <t>INV-10157</t>
  </si>
  <si>
    <t>INV-10158</t>
  </si>
  <si>
    <t>INV-10159</t>
  </si>
  <si>
    <t>INV-10160</t>
  </si>
  <si>
    <t>INV-10161</t>
  </si>
  <si>
    <t>INV-10162</t>
  </si>
  <si>
    <t>INV-10163</t>
  </si>
  <si>
    <t>INV-10164</t>
  </si>
  <si>
    <t>INV-10165</t>
  </si>
  <si>
    <t>INV-10166</t>
  </si>
  <si>
    <t>INV-10167</t>
  </si>
  <si>
    <t>INV-10168</t>
  </si>
  <si>
    <t>INV-10169</t>
  </si>
  <si>
    <t>INV-10170</t>
  </si>
  <si>
    <t>INV-10171</t>
  </si>
  <si>
    <t>INV-10172</t>
  </si>
  <si>
    <t>INV-10173</t>
  </si>
  <si>
    <t>INV-10174</t>
  </si>
  <si>
    <t>INV-10175</t>
  </si>
  <si>
    <t>INV-10176</t>
  </si>
  <si>
    <t>INV-10177</t>
  </si>
  <si>
    <t>cust0013</t>
  </si>
  <si>
    <t>INV-10178</t>
  </si>
  <si>
    <t>INV-10179</t>
  </si>
  <si>
    <t>INV-10180</t>
  </si>
  <si>
    <t>INV-10181</t>
  </si>
  <si>
    <t>INV-10182</t>
  </si>
  <si>
    <t>INV-10183</t>
  </si>
  <si>
    <t>INV-10184</t>
  </si>
  <si>
    <t>INV-10185</t>
  </si>
  <si>
    <t>INV-10186</t>
  </si>
  <si>
    <t>INV-10187</t>
  </si>
  <si>
    <t>INV-10188</t>
  </si>
  <si>
    <t>INV-10189</t>
  </si>
  <si>
    <t>INV-10190</t>
  </si>
  <si>
    <t>INV-10191</t>
  </si>
  <si>
    <t>INV-10192</t>
  </si>
  <si>
    <t>INV-10193</t>
  </si>
  <si>
    <t>INV-10194</t>
  </si>
  <si>
    <t>INV-10195</t>
  </si>
  <si>
    <t>INV-10196</t>
  </si>
  <si>
    <t>INV-10197</t>
  </si>
  <si>
    <t>INV-10198</t>
  </si>
  <si>
    <t>INV-10199</t>
  </si>
  <si>
    <t>INV-10200</t>
  </si>
  <si>
    <t>INV-10201</t>
  </si>
  <si>
    <t>INV-10202</t>
  </si>
  <si>
    <t>INV-10203</t>
  </si>
  <si>
    <t>INV-10204</t>
  </si>
  <si>
    <t>INV-10205</t>
  </si>
  <si>
    <t>INV-10206</t>
  </si>
  <si>
    <t>INV-10207</t>
  </si>
  <si>
    <t>INV-10208</t>
  </si>
  <si>
    <t>INV-10209</t>
  </si>
  <si>
    <t>INV-10210</t>
  </si>
  <si>
    <t>INV-10211</t>
  </si>
  <si>
    <t>INV-10212</t>
  </si>
  <si>
    <t>INV-10213</t>
  </si>
  <si>
    <t>INV-10214</t>
  </si>
  <si>
    <t>INV-10215</t>
  </si>
  <si>
    <t>INV-10216</t>
  </si>
  <si>
    <t>INV-10217</t>
  </si>
  <si>
    <t>INV-10218</t>
  </si>
  <si>
    <t>INV-10219</t>
  </si>
  <si>
    <t>INV-10220</t>
  </si>
  <si>
    <t>INV-10221</t>
  </si>
  <si>
    <t>INV-10222</t>
  </si>
  <si>
    <t>INV-10223</t>
  </si>
  <si>
    <t>INV-10224</t>
  </si>
  <si>
    <t>INV-10225</t>
  </si>
  <si>
    <t>INV-10226</t>
  </si>
  <si>
    <t>INV-10227</t>
  </si>
  <si>
    <t>INV-10228</t>
  </si>
  <si>
    <t>INV-10229</t>
  </si>
  <si>
    <t>INV-10230</t>
  </si>
  <si>
    <t>INV-10231</t>
  </si>
  <si>
    <t>INV-10232</t>
  </si>
  <si>
    <t>INV-10233</t>
  </si>
  <si>
    <t>INV-10234</t>
  </si>
  <si>
    <t>INV-10235</t>
  </si>
  <si>
    <t>INV-10236</t>
  </si>
  <si>
    <t>INV-10237</t>
  </si>
  <si>
    <t>INV-10238</t>
  </si>
  <si>
    <t>INV-10239</t>
  </si>
  <si>
    <t>INV-10240</t>
  </si>
  <si>
    <t>INV-10241</t>
  </si>
  <si>
    <t>INV-10242</t>
  </si>
  <si>
    <t>INV-10243</t>
  </si>
  <si>
    <t>INV-10244</t>
  </si>
  <si>
    <t>INV-10245</t>
  </si>
  <si>
    <t>INV-10246</t>
  </si>
  <si>
    <t>INV-10247</t>
  </si>
  <si>
    <t>INV-10248</t>
  </si>
  <si>
    <t>INV-10249</t>
  </si>
  <si>
    <t>INV-10250</t>
  </si>
  <si>
    <t>INV-10251</t>
  </si>
  <si>
    <t>INV-10252</t>
  </si>
  <si>
    <t>INV-10253</t>
  </si>
  <si>
    <t>INV-10254</t>
  </si>
  <si>
    <t>INV-10255</t>
  </si>
  <si>
    <t>INV-10256</t>
  </si>
  <si>
    <t>INV-10257</t>
  </si>
  <si>
    <t>INV-10258</t>
  </si>
  <si>
    <t>INV-10259</t>
  </si>
  <si>
    <t>INV-10260</t>
  </si>
  <si>
    <t>INV-10261</t>
  </si>
  <si>
    <t>INV-10262</t>
  </si>
  <si>
    <t>INV-10263</t>
  </si>
  <si>
    <t>INV-10264</t>
  </si>
  <si>
    <t>INV-10265</t>
  </si>
  <si>
    <t>INV-10266</t>
  </si>
  <si>
    <t>INV-10267</t>
  </si>
  <si>
    <t>INV-10268</t>
  </si>
  <si>
    <t>INV-10269</t>
  </si>
  <si>
    <t>INV-10270</t>
  </si>
  <si>
    <t>INV-10271</t>
  </si>
  <si>
    <t>INV-10272</t>
  </si>
  <si>
    <t>INV-10273</t>
  </si>
  <si>
    <t>INV-10274</t>
  </si>
  <si>
    <t>INV-10275</t>
  </si>
  <si>
    <t>INV-10276</t>
  </si>
  <si>
    <t>INV-10277</t>
  </si>
  <si>
    <t>INV-10278</t>
  </si>
  <si>
    <t>INV-10279</t>
  </si>
  <si>
    <t>INV-10280</t>
  </si>
  <si>
    <t>INV-10281</t>
  </si>
  <si>
    <t>INV-10282</t>
  </si>
  <si>
    <t>INV-10283</t>
  </si>
  <si>
    <t>INV-10284</t>
  </si>
  <si>
    <t>INV-10285</t>
  </si>
  <si>
    <t>INV-10286</t>
  </si>
  <si>
    <t>INV-10287</t>
  </si>
  <si>
    <t>INV-10288</t>
  </si>
  <si>
    <t>INV-10289</t>
  </si>
  <si>
    <t>INV-10290</t>
  </si>
  <si>
    <t>INV-10291</t>
  </si>
  <si>
    <t>INV-10292</t>
  </si>
  <si>
    <t>INV-10293</t>
  </si>
  <si>
    <t>INV-10294</t>
  </si>
  <si>
    <t>INV-10295</t>
  </si>
  <si>
    <t>INV-10296</t>
  </si>
  <si>
    <t>INV-10297</t>
  </si>
  <si>
    <t>INV-10298</t>
  </si>
  <si>
    <t>INV-10299</t>
  </si>
  <si>
    <t>INV-10300</t>
  </si>
  <si>
    <t>cust0287</t>
  </si>
  <si>
    <t>INV-10301</t>
  </si>
  <si>
    <t>INV-10302</t>
  </si>
  <si>
    <t>INV-10303</t>
  </si>
  <si>
    <t>INV-10304</t>
  </si>
  <si>
    <t>INV-10305</t>
  </si>
  <si>
    <t>INV-10306</t>
  </si>
  <si>
    <t>INV-10307</t>
  </si>
  <si>
    <t>INV-10308</t>
  </si>
  <si>
    <t>INV-10309</t>
  </si>
  <si>
    <t>cust0207</t>
  </si>
  <si>
    <t>INV-10310</t>
  </si>
  <si>
    <t>INV-10311</t>
  </si>
  <si>
    <t>INV-10312</t>
  </si>
  <si>
    <t>INV-10313</t>
  </si>
  <si>
    <t>INV-10314</t>
  </si>
  <si>
    <t>INV-10315</t>
  </si>
  <si>
    <t>INV-10316</t>
  </si>
  <si>
    <t>INV-10317</t>
  </si>
  <si>
    <t>INV-10318</t>
  </si>
  <si>
    <t>INV-10319</t>
  </si>
  <si>
    <t>INV-10320</t>
  </si>
  <si>
    <t>INV-10321</t>
  </si>
  <si>
    <t>INV-10322</t>
  </si>
  <si>
    <t>INV-10323</t>
  </si>
  <si>
    <t>INV-10324</t>
  </si>
  <si>
    <t>INV-10325</t>
  </si>
  <si>
    <t>INV-10326</t>
  </si>
  <si>
    <t>INV-10327</t>
  </si>
  <si>
    <t>INV-10328</t>
  </si>
  <si>
    <t>INV-10329</t>
  </si>
  <si>
    <t>INV-10330</t>
  </si>
  <si>
    <t>INV-10331</t>
  </si>
  <si>
    <t>INV-10332</t>
  </si>
  <si>
    <t>INV-10333</t>
  </si>
  <si>
    <t>INV-10334</t>
  </si>
  <si>
    <t>INV-10335</t>
  </si>
  <si>
    <t>INV-10336</t>
  </si>
  <si>
    <t>INV-10337</t>
  </si>
  <si>
    <t>INV-10338</t>
  </si>
  <si>
    <t>INV-10339</t>
  </si>
  <si>
    <t>INV-10340</t>
  </si>
  <si>
    <t>INV-10341</t>
  </si>
  <si>
    <t>INV-10342</t>
  </si>
  <si>
    <t>INV-10343</t>
  </si>
  <si>
    <t>INV-10344</t>
  </si>
  <si>
    <t>INV-10345</t>
  </si>
  <si>
    <t>INV-10346</t>
  </si>
  <si>
    <t>INV-10347</t>
  </si>
  <si>
    <t>INV-10348</t>
  </si>
  <si>
    <t>INV-10349</t>
  </si>
  <si>
    <t>INV-10350</t>
  </si>
  <si>
    <t>INV-10351</t>
  </si>
  <si>
    <t>INV-10352</t>
  </si>
  <si>
    <t>INV-10353</t>
  </si>
  <si>
    <t>INV-10354</t>
  </si>
  <si>
    <t>cust0122</t>
  </si>
  <si>
    <t>INV-10355</t>
  </si>
  <si>
    <t>INV-10356</t>
  </si>
  <si>
    <t>INV-10357</t>
  </si>
  <si>
    <t>INV-10358</t>
  </si>
  <si>
    <t>INV-10359</t>
  </si>
  <si>
    <t>INV-10360</t>
  </si>
  <si>
    <t>INV-10361</t>
  </si>
  <si>
    <t>INV-10362</t>
  </si>
  <si>
    <t>INV-10363</t>
  </si>
  <si>
    <t>INV-10364</t>
  </si>
  <si>
    <t>INV-10365</t>
  </si>
  <si>
    <t>INV-10366</t>
  </si>
  <si>
    <t>INV-10367</t>
  </si>
  <si>
    <t>INV-10368</t>
  </si>
  <si>
    <t>INV-10369</t>
  </si>
  <si>
    <t>INV-10370</t>
  </si>
  <si>
    <t>INV-10371</t>
  </si>
  <si>
    <t>INV-10372</t>
  </si>
  <si>
    <t>INV-10373</t>
  </si>
  <si>
    <t>INV-10374</t>
  </si>
  <si>
    <t>INV-10375</t>
  </si>
  <si>
    <t>INV-10376</t>
  </si>
  <si>
    <t>INV-10377</t>
  </si>
  <si>
    <t>INV-10378</t>
  </si>
  <si>
    <t>INV-10379</t>
  </si>
  <si>
    <t>INV-10380</t>
  </si>
  <si>
    <t>cust0070</t>
  </si>
  <si>
    <t>INV-10381</t>
  </si>
  <si>
    <t>INV-10382</t>
  </si>
  <si>
    <t>INV-10383</t>
  </si>
  <si>
    <t>INV-10384</t>
  </si>
  <si>
    <t>INV-10385</t>
  </si>
  <si>
    <t>INV-10386</t>
  </si>
  <si>
    <t>INV-10387</t>
  </si>
  <si>
    <t>INV-10388</t>
  </si>
  <si>
    <t>INV-10389</t>
  </si>
  <si>
    <t>INV-10390</t>
  </si>
  <si>
    <t>INV-10391</t>
  </si>
  <si>
    <t>INV-10392</t>
  </si>
  <si>
    <t>INV-10393</t>
  </si>
  <si>
    <t>INV-10394</t>
  </si>
  <si>
    <t>INV-10395</t>
  </si>
  <si>
    <t>INV-10396</t>
  </si>
  <si>
    <t>INV-10397</t>
  </si>
  <si>
    <t>INV-10398</t>
  </si>
  <si>
    <t>INV-10399</t>
  </si>
  <si>
    <t>INV-10400</t>
  </si>
  <si>
    <t>INV-10401</t>
  </si>
  <si>
    <t>INV-10402</t>
  </si>
  <si>
    <t>INV-10403</t>
  </si>
  <si>
    <t>INV-10404</t>
  </si>
  <si>
    <t>INV-10405</t>
  </si>
  <si>
    <t>INV-10406</t>
  </si>
  <si>
    <t>INV-10407</t>
  </si>
  <si>
    <t>INV-10408</t>
  </si>
  <si>
    <t>INV-10409</t>
  </si>
  <si>
    <t>INV-10410</t>
  </si>
  <si>
    <t>INV-10411</t>
  </si>
  <si>
    <t>INV-10412</t>
  </si>
  <si>
    <t>INV-10413</t>
  </si>
  <si>
    <t>INV-10414</t>
  </si>
  <si>
    <t>INV-10415</t>
  </si>
  <si>
    <t>INV-10416</t>
  </si>
  <si>
    <t>INV-10417</t>
  </si>
  <si>
    <t>INV-10418</t>
  </si>
  <si>
    <t>INV-10419</t>
  </si>
  <si>
    <t>INV-10420</t>
  </si>
  <si>
    <t>INV-10421</t>
  </si>
  <si>
    <t>INV-10422</t>
  </si>
  <si>
    <t>INV-10423</t>
  </si>
  <si>
    <t>INV-10424</t>
  </si>
  <si>
    <t>INV-10425</t>
  </si>
  <si>
    <t>INV-10426</t>
  </si>
  <si>
    <t>INV-10427</t>
  </si>
  <si>
    <t>INV-10428</t>
  </si>
  <si>
    <t>INV-10429</t>
  </si>
  <si>
    <t>INV-10430</t>
  </si>
  <si>
    <t>INV-10431</t>
  </si>
  <si>
    <t>INV-10432</t>
  </si>
  <si>
    <t>INV-10433</t>
  </si>
  <si>
    <t>INV-10434</t>
  </si>
  <si>
    <t>INV-10435</t>
  </si>
  <si>
    <t>INV-10436</t>
  </si>
  <si>
    <t>INV-10437</t>
  </si>
  <si>
    <t>INV-10438</t>
  </si>
  <si>
    <t>INV-10439</t>
  </si>
  <si>
    <t>INV-10440</t>
  </si>
  <si>
    <t>INV-10441</t>
  </si>
  <si>
    <t>INV-10442</t>
  </si>
  <si>
    <t>INV-10443</t>
  </si>
  <si>
    <t>INV-10444</t>
  </si>
  <si>
    <t>INV-10445</t>
  </si>
  <si>
    <t>INV-10446</t>
  </si>
  <si>
    <t>INV-10447</t>
  </si>
  <si>
    <t>INV-10448</t>
  </si>
  <si>
    <t>INV-10449</t>
  </si>
  <si>
    <t>INV-10450</t>
  </si>
  <si>
    <t>INV-10451</t>
  </si>
  <si>
    <t>INV-10452</t>
  </si>
  <si>
    <t>INV-10453</t>
  </si>
  <si>
    <t>INV-10454</t>
  </si>
  <si>
    <t>INV-10455</t>
  </si>
  <si>
    <t>INV-10456</t>
  </si>
  <si>
    <t>INV-10457</t>
  </si>
  <si>
    <t>INV-10458</t>
  </si>
  <si>
    <t>INV-10459</t>
  </si>
  <si>
    <t>INV-10460</t>
  </si>
  <si>
    <t>INV-10461</t>
  </si>
  <si>
    <t>cust0014</t>
  </si>
  <si>
    <t>INV-10462</t>
  </si>
  <si>
    <t>INV-10463</t>
  </si>
  <si>
    <t>INV-10464</t>
  </si>
  <si>
    <t>INV-10465</t>
  </si>
  <si>
    <t>INV-10466</t>
  </si>
  <si>
    <t>INV-10467</t>
  </si>
  <si>
    <t>INV-10468</t>
  </si>
  <si>
    <t>INV-10469</t>
  </si>
  <si>
    <t>INV-10470</t>
  </si>
  <si>
    <t>INV-10471</t>
  </si>
  <si>
    <t>INV-10472</t>
  </si>
  <si>
    <t>INV-10473</t>
  </si>
  <si>
    <t>INV-10474</t>
  </si>
  <si>
    <t>INV-10475</t>
  </si>
  <si>
    <t>INV-10476</t>
  </si>
  <si>
    <t>INV-10477</t>
  </si>
  <si>
    <t>INV-10478</t>
  </si>
  <si>
    <t>INV-10479</t>
  </si>
  <si>
    <t>INV-10480</t>
  </si>
  <si>
    <t>cust0177</t>
  </si>
  <si>
    <t>INV-10481</t>
  </si>
  <si>
    <t>INV-10482</t>
  </si>
  <si>
    <t>INV-10483</t>
  </si>
  <si>
    <t>INV-10484</t>
  </si>
  <si>
    <t>INV-10485</t>
  </si>
  <si>
    <t>INV-10486</t>
  </si>
  <si>
    <t>INV-10487</t>
  </si>
  <si>
    <t>INV-10488</t>
  </si>
  <si>
    <t>INV-10489</t>
  </si>
  <si>
    <t>INV-10490</t>
  </si>
  <si>
    <t>INV-10491</t>
  </si>
  <si>
    <t>INV-10492</t>
  </si>
  <si>
    <t>INV-10493</t>
  </si>
  <si>
    <t>INV-10494</t>
  </si>
  <si>
    <t>INV-10495</t>
  </si>
  <si>
    <t>INV-10496</t>
  </si>
  <si>
    <t>INV-10497</t>
  </si>
  <si>
    <t>INV-10498</t>
  </si>
  <si>
    <t>INV-10499</t>
  </si>
  <si>
    <t>INV-10500</t>
  </si>
  <si>
    <t>INV-10501</t>
  </si>
  <si>
    <t>INV-10502</t>
  </si>
  <si>
    <t>INV-10503</t>
  </si>
  <si>
    <t>INV-10504</t>
  </si>
  <si>
    <t>INV-10505</t>
  </si>
  <si>
    <t>INV-10506</t>
  </si>
  <si>
    <t>INV-10507</t>
  </si>
  <si>
    <t>INV-10508</t>
  </si>
  <si>
    <t>INV-10509</t>
  </si>
  <si>
    <t>INV-10510</t>
  </si>
  <si>
    <t>INV-10511</t>
  </si>
  <si>
    <t>INV-10512</t>
  </si>
  <si>
    <t>INV-10513</t>
  </si>
  <si>
    <t>INV-10514</t>
  </si>
  <si>
    <t>INV-10515</t>
  </si>
  <si>
    <t>INV-10516</t>
  </si>
  <si>
    <t>INV-10517</t>
  </si>
  <si>
    <t>INV-10518</t>
  </si>
  <si>
    <t>INV-10519</t>
  </si>
  <si>
    <t>INV-10520</t>
  </si>
  <si>
    <t>INV-10521</t>
  </si>
  <si>
    <t>INV-10522</t>
  </si>
  <si>
    <t>INV-10523</t>
  </si>
  <si>
    <t>INV-10524</t>
  </si>
  <si>
    <t>INV-10525</t>
  </si>
  <si>
    <t>INV-10526</t>
  </si>
  <si>
    <t>INV-10527</t>
  </si>
  <si>
    <t>INV-10528</t>
  </si>
  <si>
    <t>INV-10529</t>
  </si>
  <si>
    <t>INV-10530</t>
  </si>
  <si>
    <t>INV-10531</t>
  </si>
  <si>
    <t>INV-10532</t>
  </si>
  <si>
    <t>INV-10533</t>
  </si>
  <si>
    <t>INV-10534</t>
  </si>
  <si>
    <t>INV-10535</t>
  </si>
  <si>
    <t>INV-10536</t>
  </si>
  <si>
    <t>INV-10537</t>
  </si>
  <si>
    <t>INV-10538</t>
  </si>
  <si>
    <t>INV-10539</t>
  </si>
  <si>
    <t>INV-10540</t>
  </si>
  <si>
    <t>INV-10541</t>
  </si>
  <si>
    <t>INV-10542</t>
  </si>
  <si>
    <t>INV-10543</t>
  </si>
  <si>
    <t>INV-10544</t>
  </si>
  <si>
    <t>INV-10545</t>
  </si>
  <si>
    <t>INV-10546</t>
  </si>
  <si>
    <t>INV-10547</t>
  </si>
  <si>
    <t>INV-10548</t>
  </si>
  <si>
    <t>INV-10549</t>
  </si>
  <si>
    <t>INV-10550</t>
  </si>
  <si>
    <t>INV-10551</t>
  </si>
  <si>
    <t>INV-10552</t>
  </si>
  <si>
    <t>INV-10553</t>
  </si>
  <si>
    <t>INV-10554</t>
  </si>
  <si>
    <t>INV-10555</t>
  </si>
  <si>
    <t>INV-10556</t>
  </si>
  <si>
    <t>INV-10557</t>
  </si>
  <si>
    <t>INV-10558</t>
  </si>
  <si>
    <t>INV-10559</t>
  </si>
  <si>
    <t>INV-10560</t>
  </si>
  <si>
    <t>INV-10561</t>
  </si>
  <si>
    <t>INV-10562</t>
  </si>
  <si>
    <t>INV-10563</t>
  </si>
  <si>
    <t>INV-10564</t>
  </si>
  <si>
    <t>cust0185</t>
  </si>
  <si>
    <t>INV-10565</t>
  </si>
  <si>
    <t>INV-10566</t>
  </si>
  <si>
    <t>INV-10567</t>
  </si>
  <si>
    <t>INV-10568</t>
  </si>
  <si>
    <t>INV-10569</t>
  </si>
  <si>
    <t>INV-10570</t>
  </si>
  <si>
    <t>INV-10571</t>
  </si>
  <si>
    <t>INV-10572</t>
  </si>
  <si>
    <t>INV-10573</t>
  </si>
  <si>
    <t>INV-10574</t>
  </si>
  <si>
    <t>INV-10575</t>
  </si>
  <si>
    <t>INV-10576</t>
  </si>
  <si>
    <t>INV-10577</t>
  </si>
  <si>
    <t>INV-10578</t>
  </si>
  <si>
    <t>INV-10579</t>
  </si>
  <si>
    <t>INV-10580</t>
  </si>
  <si>
    <t>INV-10581</t>
  </si>
  <si>
    <t>INV-10582</t>
  </si>
  <si>
    <t>INV-10583</t>
  </si>
  <si>
    <t>INV-10584</t>
  </si>
  <si>
    <t>INV-10585</t>
  </si>
  <si>
    <t>INV-10586</t>
  </si>
  <si>
    <t>INV-10587</t>
  </si>
  <si>
    <t>INV-10588</t>
  </si>
  <si>
    <t>INV-10589</t>
  </si>
  <si>
    <t>INV-10590</t>
  </si>
  <si>
    <t>INV-10591</t>
  </si>
  <si>
    <t>cust0008</t>
  </si>
  <si>
    <t>INV-10592</t>
  </si>
  <si>
    <t>INV-10593</t>
  </si>
  <si>
    <t>INV-10594</t>
  </si>
  <si>
    <t>INV-10595</t>
  </si>
  <si>
    <t>INV-10596</t>
  </si>
  <si>
    <t>INV-10597</t>
  </si>
  <si>
    <t>INV-10598</t>
  </si>
  <si>
    <t>cust0205</t>
  </si>
  <si>
    <t>INV-10599</t>
  </si>
  <si>
    <t>INV-10600</t>
  </si>
  <si>
    <t>INV-10601</t>
  </si>
  <si>
    <t>INV-10602</t>
  </si>
  <si>
    <t>INV-10603</t>
  </si>
  <si>
    <t>INV-10604</t>
  </si>
  <si>
    <t>INV-10605</t>
  </si>
  <si>
    <t>INV-10606</t>
  </si>
  <si>
    <t>INV-10607</t>
  </si>
  <si>
    <t>INV-10608</t>
  </si>
  <si>
    <t>INV-10609</t>
  </si>
  <si>
    <t>INV-10610</t>
  </si>
  <si>
    <t>INV-10611</t>
  </si>
  <si>
    <t>INV-10612</t>
  </si>
  <si>
    <t>INV-10613</t>
  </si>
  <si>
    <t>INV-10614</t>
  </si>
  <si>
    <t>INV-10615</t>
  </si>
  <si>
    <t>INV-10616</t>
  </si>
  <si>
    <t>INV-10617</t>
  </si>
  <si>
    <t>INV-10618</t>
  </si>
  <si>
    <t>INV-10619</t>
  </si>
  <si>
    <t>INV-10620</t>
  </si>
  <si>
    <t>INV-10621</t>
  </si>
  <si>
    <t>INV-10622</t>
  </si>
  <si>
    <t>cust0113</t>
  </si>
  <si>
    <t>INV-10623</t>
  </si>
  <si>
    <t>INV-10624</t>
  </si>
  <si>
    <t>INV-10625</t>
  </si>
  <si>
    <t>INV-10626</t>
  </si>
  <si>
    <t>INV-10627</t>
  </si>
  <si>
    <t>INV-10628</t>
  </si>
  <si>
    <t>INV-10629</t>
  </si>
  <si>
    <t>INV-10630</t>
  </si>
  <si>
    <t>INV-10631</t>
  </si>
  <si>
    <t>INV-10632</t>
  </si>
  <si>
    <t>INV-10633</t>
  </si>
  <si>
    <t>INV-10634</t>
  </si>
  <si>
    <t>INV-10635</t>
  </si>
  <si>
    <t>INV-10636</t>
  </si>
  <si>
    <t>cust0002</t>
  </si>
  <si>
    <t>INV-10637</t>
  </si>
  <si>
    <t>INV-10638</t>
  </si>
  <si>
    <t>INV-10639</t>
  </si>
  <si>
    <t>INV-10640</t>
  </si>
  <si>
    <t>INV-10641</t>
  </si>
  <si>
    <t>INV-10642</t>
  </si>
  <si>
    <t>INV-10643</t>
  </si>
  <si>
    <t>INV-10644</t>
  </si>
  <si>
    <t>INV-10645</t>
  </si>
  <si>
    <t>INV-10646</t>
  </si>
  <si>
    <t>INV-10647</t>
  </si>
  <si>
    <t>INV-10648</t>
  </si>
  <si>
    <t>INV-10649</t>
  </si>
  <si>
    <t>INV-10650</t>
  </si>
  <si>
    <t>INV-10651</t>
  </si>
  <si>
    <t>INV-10652</t>
  </si>
  <si>
    <t>cust0005</t>
  </si>
  <si>
    <t>INV-10653</t>
  </si>
  <si>
    <t>INV-10654</t>
  </si>
  <si>
    <t>INV-10655</t>
  </si>
  <si>
    <t>INV-10656</t>
  </si>
  <si>
    <t>INV-10657</t>
  </si>
  <si>
    <t>INV-10658</t>
  </si>
  <si>
    <t>INV-10659</t>
  </si>
  <si>
    <t>INV-10660</t>
  </si>
  <si>
    <t>INV-10661</t>
  </si>
  <si>
    <t>INV-10662</t>
  </si>
  <si>
    <t>INV-10663</t>
  </si>
  <si>
    <t>INV-10664</t>
  </si>
  <si>
    <t>INV-10665</t>
  </si>
  <si>
    <t>INV-10666</t>
  </si>
  <si>
    <t>INV-10667</t>
  </si>
  <si>
    <t>INV-10668</t>
  </si>
  <si>
    <t>INV-10669</t>
  </si>
  <si>
    <t>INV-10670</t>
  </si>
  <si>
    <t>INV-10671</t>
  </si>
  <si>
    <t>INV-10672</t>
  </si>
  <si>
    <t>INV-10673</t>
  </si>
  <si>
    <t>INV-10674</t>
  </si>
  <si>
    <t>INV-10675</t>
  </si>
  <si>
    <t>INV-10676</t>
  </si>
  <si>
    <t>INV-10677</t>
  </si>
  <si>
    <t>INV-10678</t>
  </si>
  <si>
    <t>INV-10679</t>
  </si>
  <si>
    <t>INV-10680</t>
  </si>
  <si>
    <t>INV-10681</t>
  </si>
  <si>
    <t>INV-10682</t>
  </si>
  <si>
    <t>INV-10683</t>
  </si>
  <si>
    <t>INV-10684</t>
  </si>
  <si>
    <t>INV-10685</t>
  </si>
  <si>
    <t>INV-10686</t>
  </si>
  <si>
    <t>INV-10687</t>
  </si>
  <si>
    <t>INV-10688</t>
  </si>
  <si>
    <t>INV-10689</t>
  </si>
  <si>
    <t>INV-10690</t>
  </si>
  <si>
    <t>INV-10691</t>
  </si>
  <si>
    <t>INV-10692</t>
  </si>
  <si>
    <t>INV-10693</t>
  </si>
  <si>
    <t>INV-10694</t>
  </si>
  <si>
    <t>INV-10695</t>
  </si>
  <si>
    <t>INV-10696</t>
  </si>
  <si>
    <t>INV-10697</t>
  </si>
  <si>
    <t>INV-10698</t>
  </si>
  <si>
    <t>INV-10699</t>
  </si>
  <si>
    <t>INV-10700</t>
  </si>
  <si>
    <t>INV-10701</t>
  </si>
  <si>
    <t>INV-10702</t>
  </si>
  <si>
    <t>INV-10703</t>
  </si>
  <si>
    <t>INV-10704</t>
  </si>
  <si>
    <t>INV-10705</t>
  </si>
  <si>
    <t>INV-10706</t>
  </si>
  <si>
    <t>INV-10707</t>
  </si>
  <si>
    <t>INV-10708</t>
  </si>
  <si>
    <t>INV-10709</t>
  </si>
  <si>
    <t>INV-10710</t>
  </si>
  <si>
    <t>INV-10711</t>
  </si>
  <si>
    <t>INV-10712</t>
  </si>
  <si>
    <t>INV-10713</t>
  </si>
  <si>
    <t>INV-10714</t>
  </si>
  <si>
    <t>INV-10715</t>
  </si>
  <si>
    <t>INV-10716</t>
  </si>
  <si>
    <t>INV-10717</t>
  </si>
  <si>
    <t>cust0209</t>
  </si>
  <si>
    <t>INV-10718</t>
  </si>
  <si>
    <t>INV-10719</t>
  </si>
  <si>
    <t>INV-10720</t>
  </si>
  <si>
    <t>INV-10721</t>
  </si>
  <si>
    <t>cust0010</t>
  </si>
  <si>
    <t>INV-10722</t>
  </si>
  <si>
    <t>INV-10723</t>
  </si>
  <si>
    <t>INV-10724</t>
  </si>
  <si>
    <t>INV-10725</t>
  </si>
  <si>
    <t>INV-10726</t>
  </si>
  <si>
    <t>cust0239</t>
  </si>
  <si>
    <t>INV-10727</t>
  </si>
  <si>
    <t>cust0254</t>
  </si>
  <si>
    <t>INV-10728</t>
  </si>
  <si>
    <t>INV-10729</t>
  </si>
  <si>
    <t>INV-10730</t>
  </si>
  <si>
    <t>INV-10731</t>
  </si>
  <si>
    <t>INV-10732</t>
  </si>
  <si>
    <t>INV-10733</t>
  </si>
  <si>
    <t>INV-10734</t>
  </si>
  <si>
    <t>INV-10735</t>
  </si>
  <si>
    <t>INV-10736</t>
  </si>
  <si>
    <t>INV-10737</t>
  </si>
  <si>
    <t>INV-10738</t>
  </si>
  <si>
    <t>INV-10739</t>
  </si>
  <si>
    <t>INV-10740</t>
  </si>
  <si>
    <t>INV-10741</t>
  </si>
  <si>
    <t>INV-10742</t>
  </si>
  <si>
    <t>INV-10743</t>
  </si>
  <si>
    <t>INV-10744</t>
  </si>
  <si>
    <t>INV-10745</t>
  </si>
  <si>
    <t>INV-10746</t>
  </si>
  <si>
    <t>INV-10747</t>
  </si>
  <si>
    <t>cust0149</t>
  </si>
  <si>
    <t>INV-10748</t>
  </si>
  <si>
    <t>INV-10749</t>
  </si>
  <si>
    <t>INV-10750</t>
  </si>
  <si>
    <t>INV-10751</t>
  </si>
  <si>
    <t>INV-10752</t>
  </si>
  <si>
    <t>INV-10753</t>
  </si>
  <si>
    <t>INV-10754</t>
  </si>
  <si>
    <t>INV-10755</t>
  </si>
  <si>
    <t>INV-10756</t>
  </si>
  <si>
    <t>INV-10757</t>
  </si>
  <si>
    <t>INV-10758</t>
  </si>
  <si>
    <t>INV-10759</t>
  </si>
  <si>
    <t>INV-10760</t>
  </si>
  <si>
    <t>INV-10761</t>
  </si>
  <si>
    <t>INV-10762</t>
  </si>
  <si>
    <t>cust0141</t>
  </si>
  <si>
    <t>INV-10763</t>
  </si>
  <si>
    <t>INV-10764</t>
  </si>
  <si>
    <t>INV-10765</t>
  </si>
  <si>
    <t>INV-10766</t>
  </si>
  <si>
    <t>INV-10767</t>
  </si>
  <si>
    <t>INV-10768</t>
  </si>
  <si>
    <t>INV-10769</t>
  </si>
  <si>
    <t>INV-10770</t>
  </si>
  <si>
    <t>INV-10771</t>
  </si>
  <si>
    <t>INV-10772</t>
  </si>
  <si>
    <t>INV-10773</t>
  </si>
  <si>
    <t>INV-10774</t>
  </si>
  <si>
    <t>INV-10775</t>
  </si>
  <si>
    <t>INV-10776</t>
  </si>
  <si>
    <t>INV-10777</t>
  </si>
  <si>
    <t>INV-10778</t>
  </si>
  <si>
    <t>INV-10779</t>
  </si>
  <si>
    <t>INV-10780</t>
  </si>
  <si>
    <t>cust0108</t>
  </si>
  <si>
    <t>INV-10781</t>
  </si>
  <si>
    <t>INV-10782</t>
  </si>
  <si>
    <t>INV-10783</t>
  </si>
  <si>
    <t>INV-10784</t>
  </si>
  <si>
    <t>INV-10785</t>
  </si>
  <si>
    <t>INV-10786</t>
  </si>
  <si>
    <t>INV-10787</t>
  </si>
  <si>
    <t>INV-10788</t>
  </si>
  <si>
    <t>INV-10789</t>
  </si>
  <si>
    <t>INV-10790</t>
  </si>
  <si>
    <t>INV-10791</t>
  </si>
  <si>
    <t>INV-10792</t>
  </si>
  <si>
    <t>INV-10793</t>
  </si>
  <si>
    <t>INV-10794</t>
  </si>
  <si>
    <t>INV-10795</t>
  </si>
  <si>
    <t>INV-10796</t>
  </si>
  <si>
    <t>INV-10797</t>
  </si>
  <si>
    <t>INV-10798</t>
  </si>
  <si>
    <t>INV-10799</t>
  </si>
  <si>
    <t>INV-10800</t>
  </si>
  <si>
    <t>INV-10801</t>
  </si>
  <si>
    <t>INV-10802</t>
  </si>
  <si>
    <t>INV-10803</t>
  </si>
  <si>
    <t>INV-10804</t>
  </si>
  <si>
    <t>INV-10805</t>
  </si>
  <si>
    <t>INV-10806</t>
  </si>
  <si>
    <t>INV-10807</t>
  </si>
  <si>
    <t>INV-10808</t>
  </si>
  <si>
    <t>INV-10809</t>
  </si>
  <si>
    <t>INV-10810</t>
  </si>
  <si>
    <t>INV-10811</t>
  </si>
  <si>
    <t>INV-10812</t>
  </si>
  <si>
    <t>INV-10813</t>
  </si>
  <si>
    <t>INV-10814</t>
  </si>
  <si>
    <t>INV-10815</t>
  </si>
  <si>
    <t>INV-10816</t>
  </si>
  <si>
    <t>INV-10817</t>
  </si>
  <si>
    <t>INV-10818</t>
  </si>
  <si>
    <t>INV-10819</t>
  </si>
  <si>
    <t>INV-10820</t>
  </si>
  <si>
    <t>INV-10821</t>
  </si>
  <si>
    <t>INV-10822</t>
  </si>
  <si>
    <t>INV-10823</t>
  </si>
  <si>
    <t>INV-10824</t>
  </si>
  <si>
    <t>INV-10825</t>
  </si>
  <si>
    <t>INV-10826</t>
  </si>
  <si>
    <t>INV-10827</t>
  </si>
  <si>
    <t>INV-10828</t>
  </si>
  <si>
    <t>INV-10829</t>
  </si>
  <si>
    <t>INV-10830</t>
  </si>
  <si>
    <t>INV-10831</t>
  </si>
  <si>
    <t>INV-10832</t>
  </si>
  <si>
    <t>INV-10833</t>
  </si>
  <si>
    <t>INV-10834</t>
  </si>
  <si>
    <t>INV-10835</t>
  </si>
  <si>
    <t>cust0169</t>
  </si>
  <si>
    <t>INV-10836</t>
  </si>
  <si>
    <t>INV-10837</t>
  </si>
  <si>
    <t>INV-10838</t>
  </si>
  <si>
    <t>INV-10839</t>
  </si>
  <si>
    <t>INV-10840</t>
  </si>
  <si>
    <t>INV-10841</t>
  </si>
  <si>
    <t>INV-10842</t>
  </si>
  <si>
    <t>INV-10843</t>
  </si>
  <si>
    <t>INV-10844</t>
  </si>
  <si>
    <t>INV-10845</t>
  </si>
  <si>
    <t>INV-10846</t>
  </si>
  <si>
    <t>INV-10847</t>
  </si>
  <si>
    <t>INV-10848</t>
  </si>
  <si>
    <t>INV-10849</t>
  </si>
  <si>
    <t>INV-10850</t>
  </si>
  <si>
    <t>INV-10851</t>
  </si>
  <si>
    <t>INV-10852</t>
  </si>
  <si>
    <t>cust0083</t>
  </si>
  <si>
    <t>INV-10853</t>
  </si>
  <si>
    <t>INV-10854</t>
  </si>
  <si>
    <t>INV-10855</t>
  </si>
  <si>
    <t>INV-10856</t>
  </si>
  <si>
    <t>INV-10857</t>
  </si>
  <si>
    <t>INV-10858</t>
  </si>
  <si>
    <t>INV-10859</t>
  </si>
  <si>
    <t>INV-10860</t>
  </si>
  <si>
    <t>INV-10861</t>
  </si>
  <si>
    <t>INV-10862</t>
  </si>
  <si>
    <t>INV-10863</t>
  </si>
  <si>
    <t>INV-10864</t>
  </si>
  <si>
    <t>INV-10865</t>
  </si>
  <si>
    <t>INV-10866</t>
  </si>
  <si>
    <t>INV-10867</t>
  </si>
  <si>
    <t>INV-10868</t>
  </si>
  <si>
    <t>INV-10869</t>
  </si>
  <si>
    <t>INV-10870</t>
  </si>
  <si>
    <t>INV-10871</t>
  </si>
  <si>
    <t>INV-10872</t>
  </si>
  <si>
    <t>INV-10873</t>
  </si>
  <si>
    <t>INV-10874</t>
  </si>
  <si>
    <t>INV-10875</t>
  </si>
  <si>
    <t>INV-10876</t>
  </si>
  <si>
    <t>INV-10877</t>
  </si>
  <si>
    <t>INV-10878</t>
  </si>
  <si>
    <t>INV-10879</t>
  </si>
  <si>
    <t>INV-10880</t>
  </si>
  <si>
    <t>INV-10881</t>
  </si>
  <si>
    <t>INV-10882</t>
  </si>
  <si>
    <t>INV-10883</t>
  </si>
  <si>
    <t>INV-10884</t>
  </si>
  <si>
    <t>INV-10885</t>
  </si>
  <si>
    <t>INV-10886</t>
  </si>
  <si>
    <t>INV-10887</t>
  </si>
  <si>
    <t>INV-10888</t>
  </si>
  <si>
    <t>INV-10889</t>
  </si>
  <si>
    <t>INV-10890</t>
  </si>
  <si>
    <t>INV-10891</t>
  </si>
  <si>
    <t>INV-10892</t>
  </si>
  <si>
    <t>INV-10893</t>
  </si>
  <si>
    <t>INV-10894</t>
  </si>
  <si>
    <t>INV-10895</t>
  </si>
  <si>
    <t>INV-10896</t>
  </si>
  <si>
    <t>INV-10897</t>
  </si>
  <si>
    <t>INV-10898</t>
  </si>
  <si>
    <t>INV-10899</t>
  </si>
  <si>
    <t>INV-10900</t>
  </si>
  <si>
    <t>INV-10901</t>
  </si>
  <si>
    <t>INV-10902</t>
  </si>
  <si>
    <t>INV-10903</t>
  </si>
  <si>
    <t>INV-10904</t>
  </si>
  <si>
    <t>INV-10905</t>
  </si>
  <si>
    <t>INV-10906</t>
  </si>
  <si>
    <t>INV-10907</t>
  </si>
  <si>
    <t>INV-10908</t>
  </si>
  <si>
    <t>INV-10909</t>
  </si>
  <si>
    <t>INV-10910</t>
  </si>
  <si>
    <t>INV-10911</t>
  </si>
  <si>
    <t>INV-10912</t>
  </si>
  <si>
    <t>INV-10913</t>
  </si>
  <si>
    <t>INV-10914</t>
  </si>
  <si>
    <t>INV-10915</t>
  </si>
  <si>
    <t>INV-10916</t>
  </si>
  <si>
    <t>INV-10917</t>
  </si>
  <si>
    <t>INV-10918</t>
  </si>
  <si>
    <t>INV-10919</t>
  </si>
  <si>
    <t>INV-10920</t>
  </si>
  <si>
    <t>INV-10921</t>
  </si>
  <si>
    <t>INV-10922</t>
  </si>
  <si>
    <t>INV-10923</t>
  </si>
  <si>
    <t>INV-10924</t>
  </si>
  <si>
    <t>INV-10925</t>
  </si>
  <si>
    <t>INV-10926</t>
  </si>
  <si>
    <t>INV-10927</t>
  </si>
  <si>
    <t>INV-10928</t>
  </si>
  <si>
    <t>INV-10929</t>
  </si>
  <si>
    <t>INV-10930</t>
  </si>
  <si>
    <t>INV-10931</t>
  </si>
  <si>
    <t>INV-10932</t>
  </si>
  <si>
    <t>INV-10933</t>
  </si>
  <si>
    <t>INV-10934</t>
  </si>
  <si>
    <t>INV-10935</t>
  </si>
  <si>
    <t>INV-10936</t>
  </si>
  <si>
    <t>INV-10937</t>
  </si>
  <si>
    <t>INV-10938</t>
  </si>
  <si>
    <t>INV-10939</t>
  </si>
  <si>
    <t>INV-10940</t>
  </si>
  <si>
    <t>INV-10941</t>
  </si>
  <si>
    <t>INV-10942</t>
  </si>
  <si>
    <t>INV-10943</t>
  </si>
  <si>
    <t>INV-10944</t>
  </si>
  <si>
    <t>INV-10945</t>
  </si>
  <si>
    <t>INV-10946</t>
  </si>
  <si>
    <t>INV-10947</t>
  </si>
  <si>
    <t>INV-10948</t>
  </si>
  <si>
    <t>INV-10949</t>
  </si>
  <si>
    <t>INV-10950</t>
  </si>
  <si>
    <t>INV-10951</t>
  </si>
  <si>
    <t>INV-10952</t>
  </si>
  <si>
    <t>INV-10953</t>
  </si>
  <si>
    <t>INV-10954</t>
  </si>
  <si>
    <t>INV-10955</t>
  </si>
  <si>
    <t>INV-10956</t>
  </si>
  <si>
    <t>INV-10957</t>
  </si>
  <si>
    <t>INV-10958</t>
  </si>
  <si>
    <t>INV-10959</t>
  </si>
  <si>
    <t>INV-10960</t>
  </si>
  <si>
    <t>INV-10961</t>
  </si>
  <si>
    <t>INV-10962</t>
  </si>
  <si>
    <t>INV-10963</t>
  </si>
  <si>
    <t>INV-10964</t>
  </si>
  <si>
    <t>INV-10965</t>
  </si>
  <si>
    <t>INV-10966</t>
  </si>
  <si>
    <t>INV-10967</t>
  </si>
  <si>
    <t>INV-10968</t>
  </si>
  <si>
    <t>INV-10969</t>
  </si>
  <si>
    <t>INV-10970</t>
  </si>
  <si>
    <t>cust0206</t>
  </si>
  <si>
    <t>INV-10971</t>
  </si>
  <si>
    <t>INV-10972</t>
  </si>
  <si>
    <t>INV-10973</t>
  </si>
  <si>
    <t>INV-10974</t>
  </si>
  <si>
    <t>INV-10975</t>
  </si>
  <si>
    <t>INV-10976</t>
  </si>
  <si>
    <t>INV-10977</t>
  </si>
  <si>
    <t>cust0243</t>
  </si>
  <si>
    <t>INV-10978</t>
  </si>
  <si>
    <t>INV-10979</t>
  </si>
  <si>
    <t>INV-10980</t>
  </si>
  <si>
    <t>INV-10981</t>
  </si>
  <si>
    <t>cust0143</t>
  </si>
  <si>
    <t>INV-10982</t>
  </si>
  <si>
    <t>INV-10983</t>
  </si>
  <si>
    <t>INV-10984</t>
  </si>
  <si>
    <t>INV-10985</t>
  </si>
  <si>
    <t>INV-10986</t>
  </si>
  <si>
    <t>INV-10987</t>
  </si>
  <si>
    <t>INV-10988</t>
  </si>
  <si>
    <t>INV-10989</t>
  </si>
  <si>
    <t>INV-10990</t>
  </si>
  <si>
    <t>INV-10991</t>
  </si>
  <si>
    <t>INV-10992</t>
  </si>
  <si>
    <t>INV-10993</t>
  </si>
  <si>
    <t>INV-10994</t>
  </si>
  <si>
    <t>INV-10995</t>
  </si>
  <si>
    <t>INV-10996</t>
  </si>
  <si>
    <t>INV-10997</t>
  </si>
  <si>
    <t>INV-10998</t>
  </si>
  <si>
    <t>INV-10999</t>
  </si>
  <si>
    <t>INV-11000</t>
  </si>
  <si>
    <t>INV-11001</t>
  </si>
  <si>
    <t>INV-11002</t>
  </si>
  <si>
    <t>INV-11003</t>
  </si>
  <si>
    <t>INV-11004</t>
  </si>
  <si>
    <t>INV-11005</t>
  </si>
  <si>
    <t>INV-11006</t>
  </si>
  <si>
    <t>INV-11007</t>
  </si>
  <si>
    <t>INV-11008</t>
  </si>
  <si>
    <t>INV-11009</t>
  </si>
  <si>
    <t>INV-11010</t>
  </si>
  <si>
    <t>INV-11011</t>
  </si>
  <si>
    <t>INV-11012</t>
  </si>
  <si>
    <t>INV-11013</t>
  </si>
  <si>
    <t>INV-11014</t>
  </si>
  <si>
    <t>INV-11015</t>
  </si>
  <si>
    <t>INV-11016</t>
  </si>
  <si>
    <t>INV-11017</t>
  </si>
  <si>
    <t>INV-11018</t>
  </si>
  <si>
    <t>INV-11019</t>
  </si>
  <si>
    <t>INV-11020</t>
  </si>
  <si>
    <t>INV-11021</t>
  </si>
  <si>
    <t>INV-11022</t>
  </si>
  <si>
    <t>INV-11023</t>
  </si>
  <si>
    <t>INV-11024</t>
  </si>
  <si>
    <t>cust0018</t>
  </si>
  <si>
    <t>INV-11025</t>
  </si>
  <si>
    <t>INV-11026</t>
  </si>
  <si>
    <t>INV-11027</t>
  </si>
  <si>
    <t>INV-11028</t>
  </si>
  <si>
    <t>INV-11029</t>
  </si>
  <si>
    <t>INV-11030</t>
  </si>
  <si>
    <t>INV-11031</t>
  </si>
  <si>
    <t>INV-11032</t>
  </si>
  <si>
    <t>INV-11033</t>
  </si>
  <si>
    <t>INV-11034</t>
  </si>
  <si>
    <t>INV-11035</t>
  </si>
  <si>
    <t>INV-11036</t>
  </si>
  <si>
    <t>INV-11037</t>
  </si>
  <si>
    <t>INV-11038</t>
  </si>
  <si>
    <t>INV-11039</t>
  </si>
  <si>
    <t>INV-11040</t>
  </si>
  <si>
    <t>INV-11041</t>
  </si>
  <si>
    <t>INV-11042</t>
  </si>
  <si>
    <t>INV-11043</t>
  </si>
  <si>
    <t>INV-11044</t>
  </si>
  <si>
    <t>INV-11045</t>
  </si>
  <si>
    <t>INV-11046</t>
  </si>
  <si>
    <t>INV-11047</t>
  </si>
  <si>
    <t>INV-11048</t>
  </si>
  <si>
    <t>INV-11049</t>
  </si>
  <si>
    <t>INV-11050</t>
  </si>
  <si>
    <t>INV-11051</t>
  </si>
  <si>
    <t>INV-11052</t>
  </si>
  <si>
    <t>INV-11053</t>
  </si>
  <si>
    <t>INV-11054</t>
  </si>
  <si>
    <t>INV-11055</t>
  </si>
  <si>
    <t>INV-11056</t>
  </si>
  <si>
    <t>INV-11057</t>
  </si>
  <si>
    <t>INV-11058</t>
  </si>
  <si>
    <t>INV-11059</t>
  </si>
  <si>
    <t>INV-11060</t>
  </si>
  <si>
    <t>INV-11061</t>
  </si>
  <si>
    <t>cust0142</t>
  </si>
  <si>
    <t>INV-11062</t>
  </si>
  <si>
    <t>INV-11063</t>
  </si>
  <si>
    <t>INV-11064</t>
  </si>
  <si>
    <t>INV-11065</t>
  </si>
  <si>
    <t>INV-11066</t>
  </si>
  <si>
    <t>INV-11067</t>
  </si>
  <si>
    <t>INV-11068</t>
  </si>
  <si>
    <t>INV-11069</t>
  </si>
  <si>
    <t>INV-11070</t>
  </si>
  <si>
    <t>INV-11071</t>
  </si>
  <si>
    <t>INV-11072</t>
  </si>
  <si>
    <t>INV-11073</t>
  </si>
  <si>
    <t>INV-11074</t>
  </si>
  <si>
    <t>INV-11075</t>
  </si>
  <si>
    <t>INV-11076</t>
  </si>
  <si>
    <t>INV-11077</t>
  </si>
  <si>
    <t>INV-11078</t>
  </si>
  <si>
    <t>INV-11079</t>
  </si>
  <si>
    <t>INV-11080</t>
  </si>
  <si>
    <t>INV-11081</t>
  </si>
  <si>
    <t>INV-11082</t>
  </si>
  <si>
    <t>INV-11083</t>
  </si>
  <si>
    <t>INV-11084</t>
  </si>
  <si>
    <t>INV-11085</t>
  </si>
  <si>
    <t>INV-11086</t>
  </si>
  <si>
    <t>INV-11087</t>
  </si>
  <si>
    <t>INV-11088</t>
  </si>
  <si>
    <t>INV-11089</t>
  </si>
  <si>
    <t>INV-11090</t>
  </si>
  <si>
    <t>INV-11091</t>
  </si>
  <si>
    <t>INV-11092</t>
  </si>
  <si>
    <t>INV-11093</t>
  </si>
  <si>
    <t>INV-11094</t>
  </si>
  <si>
    <t>INV-11095</t>
  </si>
  <si>
    <t>INV-11096</t>
  </si>
  <si>
    <t>INV-11097</t>
  </si>
  <si>
    <t>INV-11098</t>
  </si>
  <si>
    <t>INV-11099</t>
  </si>
  <si>
    <t>INV-11100</t>
  </si>
  <si>
    <t>INV-11101</t>
  </si>
  <si>
    <t>INV-11102</t>
  </si>
  <si>
    <t>INV-11103</t>
  </si>
  <si>
    <t>INV-11104</t>
  </si>
  <si>
    <t>INV-11105</t>
  </si>
  <si>
    <t>INV-11106</t>
  </si>
  <si>
    <t>INV-11107</t>
  </si>
  <si>
    <t>INV-11108</t>
  </si>
  <si>
    <t>INV-11109</t>
  </si>
  <si>
    <t>INV-11110</t>
  </si>
  <si>
    <t>INV-11111</t>
  </si>
  <si>
    <t>INV-11112</t>
  </si>
  <si>
    <t>INV-11113</t>
  </si>
  <si>
    <t>INV-11114</t>
  </si>
  <si>
    <t>INV-11115</t>
  </si>
  <si>
    <t>INV-11116</t>
  </si>
  <si>
    <t>INV-11117</t>
  </si>
  <si>
    <t>INV-11118</t>
  </si>
  <si>
    <t>INV-11119</t>
  </si>
  <si>
    <t>INV-11120</t>
  </si>
  <si>
    <t>INV-11121</t>
  </si>
  <si>
    <t>INV-11122</t>
  </si>
  <si>
    <t>INV-11123</t>
  </si>
  <si>
    <t>INV-11124</t>
  </si>
  <si>
    <t>INV-11125</t>
  </si>
  <si>
    <t>INV-11126</t>
  </si>
  <si>
    <t>INV-11127</t>
  </si>
  <si>
    <t>INV-11128</t>
  </si>
  <si>
    <t>INV-11129</t>
  </si>
  <si>
    <t>INV-11130</t>
  </si>
  <si>
    <t>INV-11131</t>
  </si>
  <si>
    <t>INV-11132</t>
  </si>
  <si>
    <t>INV-11133</t>
  </si>
  <si>
    <t>cust0024</t>
  </si>
  <si>
    <t>INV-11134</t>
  </si>
  <si>
    <t>INV-11135</t>
  </si>
  <si>
    <t>INV-11136</t>
  </si>
  <si>
    <t>INV-11137</t>
  </si>
  <si>
    <t>INV-11138</t>
  </si>
  <si>
    <t>INV-11139</t>
  </si>
  <si>
    <t>INV-11140</t>
  </si>
  <si>
    <t>INV-11141</t>
  </si>
  <si>
    <t>INV-11142</t>
  </si>
  <si>
    <t>INV-11143</t>
  </si>
  <si>
    <t>INV-11144</t>
  </si>
  <si>
    <t>INV-11145</t>
  </si>
  <si>
    <t>INV-11146</t>
  </si>
  <si>
    <t>INV-11147</t>
  </si>
  <si>
    <t>INV-11148</t>
  </si>
  <si>
    <t>INV-11149</t>
  </si>
  <si>
    <t>INV-11150</t>
  </si>
  <si>
    <t>INV-11151</t>
  </si>
  <si>
    <t>INV-11152</t>
  </si>
  <si>
    <t>INV-11153</t>
  </si>
  <si>
    <t>INV-11154</t>
  </si>
  <si>
    <t>INV-11155</t>
  </si>
  <si>
    <t>INV-11156</t>
  </si>
  <si>
    <t>INV-11157</t>
  </si>
  <si>
    <t>INV-11158</t>
  </si>
  <si>
    <t>INV-11159</t>
  </si>
  <si>
    <t>INV-11160</t>
  </si>
  <si>
    <t>INV-11161</t>
  </si>
  <si>
    <t>INV-11162</t>
  </si>
  <si>
    <t>INV-11163</t>
  </si>
  <si>
    <t>INV-11164</t>
  </si>
  <si>
    <t>INV-11165</t>
  </si>
  <si>
    <t>INV-11166</t>
  </si>
  <si>
    <t>INV-11167</t>
  </si>
  <si>
    <t>INV-11168</t>
  </si>
  <si>
    <t>INV-11169</t>
  </si>
  <si>
    <t>INV-11170</t>
  </si>
  <si>
    <t>cust0050</t>
  </si>
  <si>
    <t>INV-11171</t>
  </si>
  <si>
    <t>INV-11172</t>
  </si>
  <si>
    <t>INV-11173</t>
  </si>
  <si>
    <t>INV-11174</t>
  </si>
  <si>
    <t>INV-11175</t>
  </si>
  <si>
    <t>INV-11176</t>
  </si>
  <si>
    <t>INV-11177</t>
  </si>
  <si>
    <t>INV-11178</t>
  </si>
  <si>
    <t>INV-11179</t>
  </si>
  <si>
    <t>INV-11180</t>
  </si>
  <si>
    <t>INV-11181</t>
  </si>
  <si>
    <t>INV-11182</t>
  </si>
  <si>
    <t>INV-11183</t>
  </si>
  <si>
    <t>INV-11184</t>
  </si>
  <si>
    <t>INV-11185</t>
  </si>
  <si>
    <t>INV-11186</t>
  </si>
  <si>
    <t>INV-11187</t>
  </si>
  <si>
    <t>INV-11188</t>
  </si>
  <si>
    <t>INV-11189</t>
  </si>
  <si>
    <t>INV-11190</t>
  </si>
  <si>
    <t>INV-11191</t>
  </si>
  <si>
    <t>INV-11192</t>
  </si>
  <si>
    <t>INV-11193</t>
  </si>
  <si>
    <t>INV-11194</t>
  </si>
  <si>
    <t>INV-11195</t>
  </si>
  <si>
    <t>INV-11196</t>
  </si>
  <si>
    <t>INV-11197</t>
  </si>
  <si>
    <t>INV-11198</t>
  </si>
  <si>
    <t>cust0064</t>
  </si>
  <si>
    <t>INV-11199</t>
  </si>
  <si>
    <t>INV-11200</t>
  </si>
  <si>
    <t>INV-11201</t>
  </si>
  <si>
    <t>INV-11202</t>
  </si>
  <si>
    <t>INV-11203</t>
  </si>
  <si>
    <t>INV-11204</t>
  </si>
  <si>
    <t>INV-11205</t>
  </si>
  <si>
    <t>INV-11206</t>
  </si>
  <si>
    <t>INV-11207</t>
  </si>
  <si>
    <t>INV-11208</t>
  </si>
  <si>
    <t>INV-11209</t>
  </si>
  <si>
    <t>INV-11210</t>
  </si>
  <si>
    <t>INV-11211</t>
  </si>
  <si>
    <t>INV-11212</t>
  </si>
  <si>
    <t>INV-11213</t>
  </si>
  <si>
    <t>INV-11214</t>
  </si>
  <si>
    <t>INV-11215</t>
  </si>
  <si>
    <t>INV-11216</t>
  </si>
  <si>
    <t>INV-11217</t>
  </si>
  <si>
    <t>INV-11218</t>
  </si>
  <si>
    <t>INV-11219</t>
  </si>
  <si>
    <t>INV-11220</t>
  </si>
  <si>
    <t>INV-11221</t>
  </si>
  <si>
    <t>cust0226</t>
  </si>
  <si>
    <t>INV-11222</t>
  </si>
  <si>
    <t>INV-11223</t>
  </si>
  <si>
    <t>INV-11224</t>
  </si>
  <si>
    <t>INV-11225</t>
  </si>
  <si>
    <t>INV-11226</t>
  </si>
  <si>
    <t>INV-11227</t>
  </si>
  <si>
    <t>INV-11228</t>
  </si>
  <si>
    <t>cust0087</t>
  </si>
  <si>
    <t>INV-11229</t>
  </si>
  <si>
    <t>INV-11230</t>
  </si>
  <si>
    <t>INV-11231</t>
  </si>
  <si>
    <t>INV-11232</t>
  </si>
  <si>
    <t>INV-11233</t>
  </si>
  <si>
    <t>INV-11234</t>
  </si>
  <si>
    <t>INV-11235</t>
  </si>
  <si>
    <t>INV-11236</t>
  </si>
  <si>
    <t>INV-11237</t>
  </si>
  <si>
    <t>INV-11238</t>
  </si>
  <si>
    <t>INV-11239</t>
  </si>
  <si>
    <t>INV-11240</t>
  </si>
  <si>
    <t>INV-11241</t>
  </si>
  <si>
    <t>INV-11242</t>
  </si>
  <si>
    <t>INV-11243</t>
  </si>
  <si>
    <t>INV-11244</t>
  </si>
  <si>
    <t>INV-11245</t>
  </si>
  <si>
    <t>INV-11246</t>
  </si>
  <si>
    <t>cust0026</t>
  </si>
  <si>
    <t>INV-11247</t>
  </si>
  <si>
    <t>cust0241</t>
  </si>
  <si>
    <t>INV-11248</t>
  </si>
  <si>
    <t>INV-11249</t>
  </si>
  <si>
    <t>INV-11250</t>
  </si>
  <si>
    <t>INV-11251</t>
  </si>
  <si>
    <t>INV-11252</t>
  </si>
  <si>
    <t>INV-11253</t>
  </si>
  <si>
    <t>INV-11254</t>
  </si>
  <si>
    <t>INV-11255</t>
  </si>
  <si>
    <t>INV-11256</t>
  </si>
  <si>
    <t>INV-11257</t>
  </si>
  <si>
    <t>INV-11258</t>
  </si>
  <si>
    <t>INV-11259</t>
  </si>
  <si>
    <t>INV-11260</t>
  </si>
  <si>
    <t>INV-11261</t>
  </si>
  <si>
    <t>INV-11262</t>
  </si>
  <si>
    <t>INV-11263</t>
  </si>
  <si>
    <t>INV-11264</t>
  </si>
  <si>
    <t>INV-11265</t>
  </si>
  <si>
    <t>INV-11266</t>
  </si>
  <si>
    <t>INV-11267</t>
  </si>
  <si>
    <t>INV-11268</t>
  </si>
  <si>
    <t>INV-11269</t>
  </si>
  <si>
    <t>INV-11270</t>
  </si>
  <si>
    <t>INV-11271</t>
  </si>
  <si>
    <t>INV-11272</t>
  </si>
  <si>
    <t>INV-11273</t>
  </si>
  <si>
    <t>INV-11274</t>
  </si>
  <si>
    <t>INV-11275</t>
  </si>
  <si>
    <t>INV-11276</t>
  </si>
  <si>
    <t>INV-11277</t>
  </si>
  <si>
    <t>INV-11278</t>
  </si>
  <si>
    <t>INV-11279</t>
  </si>
  <si>
    <t>INV-11280</t>
  </si>
  <si>
    <t>INV-11281</t>
  </si>
  <si>
    <t>INV-11282</t>
  </si>
  <si>
    <t>INV-11283</t>
  </si>
  <si>
    <t>cust0217</t>
  </si>
  <si>
    <t>INV-11284</t>
  </si>
  <si>
    <t>INV-11285</t>
  </si>
  <si>
    <t>INV-11286</t>
  </si>
  <si>
    <t>INV-11287</t>
  </si>
  <si>
    <t>INV-11288</t>
  </si>
  <si>
    <t>INV-11289</t>
  </si>
  <si>
    <t>INV-11290</t>
  </si>
  <si>
    <t>INV-11291</t>
  </si>
  <si>
    <t>INV-11292</t>
  </si>
  <si>
    <t>INV-11293</t>
  </si>
  <si>
    <t>INV-11294</t>
  </si>
  <si>
    <t>INV-11295</t>
  </si>
  <si>
    <t>INV-11296</t>
  </si>
  <si>
    <t>INV-11297</t>
  </si>
  <si>
    <t>INV-11298</t>
  </si>
  <si>
    <t>INV-11299</t>
  </si>
  <si>
    <t>INV-11300</t>
  </si>
  <si>
    <t>INV-11301</t>
  </si>
  <si>
    <t>INV-11302</t>
  </si>
  <si>
    <t>INV-11303</t>
  </si>
  <si>
    <t>INV-11304</t>
  </si>
  <si>
    <t>INV-11305</t>
  </si>
  <si>
    <t>INV-11306</t>
  </si>
  <si>
    <t>INV-11307</t>
  </si>
  <si>
    <t>INV-11308</t>
  </si>
  <si>
    <t>INV-11309</t>
  </si>
  <si>
    <t>INV-11310</t>
  </si>
  <si>
    <t>INV-11311</t>
  </si>
  <si>
    <t>INV-11312</t>
  </si>
  <si>
    <t>INV-11313</t>
  </si>
  <si>
    <t>INV-11314</t>
  </si>
  <si>
    <t>INV-11315</t>
  </si>
  <si>
    <t>INV-11316</t>
  </si>
  <si>
    <t>INV-11317</t>
  </si>
  <si>
    <t>INV-11318</t>
  </si>
  <si>
    <t>INV-11319</t>
  </si>
  <si>
    <t>INV-11320</t>
  </si>
  <si>
    <t>INV-11321</t>
  </si>
  <si>
    <t>INV-11322</t>
  </si>
  <si>
    <t>INV-11323</t>
  </si>
  <si>
    <t>INV-11324</t>
  </si>
  <si>
    <t>INV-11325</t>
  </si>
  <si>
    <t>cust0152</t>
  </si>
  <si>
    <t>INV-11326</t>
  </si>
  <si>
    <t>INV-11327</t>
  </si>
  <si>
    <t>INV-11328</t>
  </si>
  <si>
    <t>INV-11329</t>
  </si>
  <si>
    <t>INV-11330</t>
  </si>
  <si>
    <t>INV-11331</t>
  </si>
  <si>
    <t>INV-11332</t>
  </si>
  <si>
    <t>INV-11333</t>
  </si>
  <si>
    <t>INV-11334</t>
  </si>
  <si>
    <t>INV-11335</t>
  </si>
  <si>
    <t>INV-11336</t>
  </si>
  <si>
    <t>INV-11337</t>
  </si>
  <si>
    <t>INV-11338</t>
  </si>
  <si>
    <t>INV-11339</t>
  </si>
  <si>
    <t>INV-11340</t>
  </si>
  <si>
    <t>INV-11341</t>
  </si>
  <si>
    <t>INV-11342</t>
  </si>
  <si>
    <t>INV-11343</t>
  </si>
  <si>
    <t>INV-11344</t>
  </si>
  <si>
    <t>INV-11345</t>
  </si>
  <si>
    <t>INV-11346</t>
  </si>
  <si>
    <t>INV-11347</t>
  </si>
  <si>
    <t>INV-11348</t>
  </si>
  <si>
    <t>INV-11349</t>
  </si>
  <si>
    <t>INV-11350</t>
  </si>
  <si>
    <t>INV-11351</t>
  </si>
  <si>
    <t>INV-11352</t>
  </si>
  <si>
    <t>INV-11353</t>
  </si>
  <si>
    <t>INV-11354</t>
  </si>
  <si>
    <t>INV-11355</t>
  </si>
  <si>
    <t>INV-11356</t>
  </si>
  <si>
    <t>INV-11357</t>
  </si>
  <si>
    <t>INV-11358</t>
  </si>
  <si>
    <t>INV-11359</t>
  </si>
  <si>
    <t>INV-11360</t>
  </si>
  <si>
    <t>INV-11361</t>
  </si>
  <si>
    <t>INV-11362</t>
  </si>
  <si>
    <t>INV-11363</t>
  </si>
  <si>
    <t>INV-11364</t>
  </si>
  <si>
    <t>INV-11365</t>
  </si>
  <si>
    <t>INV-11366</t>
  </si>
  <si>
    <t>INV-11367</t>
  </si>
  <si>
    <t>INV-11368</t>
  </si>
  <si>
    <t>INV-11369</t>
  </si>
  <si>
    <t>INV-11370</t>
  </si>
  <si>
    <t>INV-11371</t>
  </si>
  <si>
    <t>INV-11372</t>
  </si>
  <si>
    <t>INV-11373</t>
  </si>
  <si>
    <t>INV-11374</t>
  </si>
  <si>
    <t>INV-11375</t>
  </si>
  <si>
    <t>INV-11376</t>
  </si>
  <si>
    <t>INV-11377</t>
  </si>
  <si>
    <t>INV-11378</t>
  </si>
  <si>
    <t>INV-11379</t>
  </si>
  <si>
    <t>INV-11380</t>
  </si>
  <si>
    <t>INV-11381</t>
  </si>
  <si>
    <t>INV-11382</t>
  </si>
  <si>
    <t>INV-11383</t>
  </si>
  <si>
    <t>INV-11384</t>
  </si>
  <si>
    <t>INV-11385</t>
  </si>
  <si>
    <t>INV-11386</t>
  </si>
  <si>
    <t>INV-11387</t>
  </si>
  <si>
    <t>INV-11388</t>
  </si>
  <si>
    <t>INV-11389</t>
  </si>
  <si>
    <t>INV-11390</t>
  </si>
  <si>
    <t>INV-11391</t>
  </si>
  <si>
    <t>INV-11392</t>
  </si>
  <si>
    <t>INV-11393</t>
  </si>
  <si>
    <t>cust0158</t>
  </si>
  <si>
    <t>INV-11394</t>
  </si>
  <si>
    <t>INV-11395</t>
  </si>
  <si>
    <t>cust0075</t>
  </si>
  <si>
    <t>INV-11396</t>
  </si>
  <si>
    <t>INV-11397</t>
  </si>
  <si>
    <t>INV-11398</t>
  </si>
  <si>
    <t>INV-11399</t>
  </si>
  <si>
    <t>INV-11400</t>
  </si>
  <si>
    <t>INV-11401</t>
  </si>
  <si>
    <t>INV-11402</t>
  </si>
  <si>
    <t>INV-11403</t>
  </si>
  <si>
    <t>INV-11404</t>
  </si>
  <si>
    <t>INV-11405</t>
  </si>
  <si>
    <t>INV-11406</t>
  </si>
  <si>
    <t>INV-11407</t>
  </si>
  <si>
    <t>INV-11408</t>
  </si>
  <si>
    <t>INV-11409</t>
  </si>
  <si>
    <t>INV-11410</t>
  </si>
  <si>
    <t>INV-11411</t>
  </si>
  <si>
    <t>INV-11412</t>
  </si>
  <si>
    <t>INV-11413</t>
  </si>
  <si>
    <t>INV-11414</t>
  </si>
  <si>
    <t>INV-11415</t>
  </si>
  <si>
    <t>INV-11416</t>
  </si>
  <si>
    <t>INV-11417</t>
  </si>
  <si>
    <t>INV-11418</t>
  </si>
  <si>
    <t>INV-11419</t>
  </si>
  <si>
    <t>INV-11420</t>
  </si>
  <si>
    <t>INV-11421</t>
  </si>
  <si>
    <t>INV-11422</t>
  </si>
  <si>
    <t>cust0131</t>
  </si>
  <si>
    <t>INV-11423</t>
  </si>
  <si>
    <t>INV-11424</t>
  </si>
  <si>
    <t>INV-11425</t>
  </si>
  <si>
    <t>INV-11426</t>
  </si>
  <si>
    <t>INV-11427</t>
  </si>
  <si>
    <t>INV-11428</t>
  </si>
  <si>
    <t>INV-11429</t>
  </si>
  <si>
    <t>INV-11430</t>
  </si>
  <si>
    <t>INV-11431</t>
  </si>
  <si>
    <t>INV-11432</t>
  </si>
  <si>
    <t>INV-11433</t>
  </si>
  <si>
    <t>INV-11434</t>
  </si>
  <si>
    <t>INV-11435</t>
  </si>
  <si>
    <t>INV-11436</t>
  </si>
  <si>
    <t>INV-11437</t>
  </si>
  <si>
    <t>INV-11438</t>
  </si>
  <si>
    <t>INV-11439</t>
  </si>
  <si>
    <t>INV-11440</t>
  </si>
  <si>
    <t>INV-11441</t>
  </si>
  <si>
    <t>INV-11442</t>
  </si>
  <si>
    <t>INV-11443</t>
  </si>
  <si>
    <t>INV-11444</t>
  </si>
  <si>
    <t>INV-11445</t>
  </si>
  <si>
    <t>INV-11446</t>
  </si>
  <si>
    <t>INV-11447</t>
  </si>
  <si>
    <t>INV-11448</t>
  </si>
  <si>
    <t>INV-11449</t>
  </si>
  <si>
    <t>INV-11450</t>
  </si>
  <si>
    <t>INV-11451</t>
  </si>
  <si>
    <t>INV-11452</t>
  </si>
  <si>
    <t>INV-11453</t>
  </si>
  <si>
    <t>INV-11454</t>
  </si>
  <si>
    <t>INV-11455</t>
  </si>
  <si>
    <t>INV-11456</t>
  </si>
  <si>
    <t>INV-11457</t>
  </si>
  <si>
    <t>INV-11458</t>
  </si>
  <si>
    <t>INV-11459</t>
  </si>
  <si>
    <t>INV-11460</t>
  </si>
  <si>
    <t>INV-11461</t>
  </si>
  <si>
    <t>INV-11462</t>
  </si>
  <si>
    <t>INV-11463</t>
  </si>
  <si>
    <t>INV-11464</t>
  </si>
  <si>
    <t>INV-11465</t>
  </si>
  <si>
    <t>INV-11466</t>
  </si>
  <si>
    <t>INV-11467</t>
  </si>
  <si>
    <t>INV-11468</t>
  </si>
  <si>
    <t>INV-11469</t>
  </si>
  <si>
    <t>INV-11470</t>
  </si>
  <si>
    <t>INV-11471</t>
  </si>
  <si>
    <t>INV-11472</t>
  </si>
  <si>
    <t>INV-11473</t>
  </si>
  <si>
    <t>INV-11474</t>
  </si>
  <si>
    <t>INV-11475</t>
  </si>
  <si>
    <t>INV-11476</t>
  </si>
  <si>
    <t>INV-11477</t>
  </si>
  <si>
    <t>INV-11478</t>
  </si>
  <si>
    <t>INV-11479</t>
  </si>
  <si>
    <t>INV-11480</t>
  </si>
  <si>
    <t>INV-11481</t>
  </si>
  <si>
    <t>INV-11482</t>
  </si>
  <si>
    <t>INV-11483</t>
  </si>
  <si>
    <t>INV-11484</t>
  </si>
  <si>
    <t>INV-11485</t>
  </si>
  <si>
    <t>INV-11486</t>
  </si>
  <si>
    <t>INV-11487</t>
  </si>
  <si>
    <t>INV-11488</t>
  </si>
  <si>
    <t>INV-11489</t>
  </si>
  <si>
    <t>INV-11490</t>
  </si>
  <si>
    <t>INV-11491</t>
  </si>
  <si>
    <t>INV-11492</t>
  </si>
  <si>
    <t>INV-11493</t>
  </si>
  <si>
    <t>INV-11494</t>
  </si>
  <si>
    <t>INV-11495</t>
  </si>
  <si>
    <t>INV-11496</t>
  </si>
  <si>
    <t>INV-11497</t>
  </si>
  <si>
    <t>INV-11498</t>
  </si>
  <si>
    <t>INV-11499</t>
  </si>
  <si>
    <t>INV-11500</t>
  </si>
  <si>
    <t>INV-11501</t>
  </si>
  <si>
    <t>INV-11502</t>
  </si>
  <si>
    <t>INV-11503</t>
  </si>
  <si>
    <t>INV-11504</t>
  </si>
  <si>
    <t>INV-11505</t>
  </si>
  <si>
    <t>INV-11506</t>
  </si>
  <si>
    <t>INV-11507</t>
  </si>
  <si>
    <t>INV-11508</t>
  </si>
  <si>
    <t>INV-11509</t>
  </si>
  <si>
    <t>INV-11510</t>
  </si>
  <si>
    <t>INV-11511</t>
  </si>
  <si>
    <t>INV-11512</t>
  </si>
  <si>
    <t>INV-11513</t>
  </si>
  <si>
    <t>INV-11514</t>
  </si>
  <si>
    <t>INV-11515</t>
  </si>
  <si>
    <t>INV-11516</t>
  </si>
  <si>
    <t>INV-11517</t>
  </si>
  <si>
    <t>INV-11518</t>
  </si>
  <si>
    <t>INV-11519</t>
  </si>
  <si>
    <t>INV-11520</t>
  </si>
  <si>
    <t>INV-11521</t>
  </si>
  <si>
    <t>INV-11522</t>
  </si>
  <si>
    <t>INV-11523</t>
  </si>
  <si>
    <t>INV-11524</t>
  </si>
  <si>
    <t>INV-11525</t>
  </si>
  <si>
    <t>INV-11526</t>
  </si>
  <si>
    <t>cust0298</t>
  </si>
  <si>
    <t>INV-11527</t>
  </si>
  <si>
    <t>INV-11528</t>
  </si>
  <si>
    <t>INV-11529</t>
  </si>
  <si>
    <t>INV-11530</t>
  </si>
  <si>
    <t>INV-11531</t>
  </si>
  <si>
    <t>INV-11532</t>
  </si>
  <si>
    <t>INV-11533</t>
  </si>
  <si>
    <t>INV-11534</t>
  </si>
  <si>
    <t>INV-11535</t>
  </si>
  <si>
    <t>INV-11536</t>
  </si>
  <si>
    <t>INV-11537</t>
  </si>
  <si>
    <t>INV-11538</t>
  </si>
  <si>
    <t>INV-11539</t>
  </si>
  <si>
    <t>INV-11540</t>
  </si>
  <si>
    <t>INV-11541</t>
  </si>
  <si>
    <t>INV-11542</t>
  </si>
  <si>
    <t>INV-11543</t>
  </si>
  <si>
    <t>INV-11544</t>
  </si>
  <si>
    <t>INV-11545</t>
  </si>
  <si>
    <t>INV-11546</t>
  </si>
  <si>
    <t>INV-11547</t>
  </si>
  <si>
    <t>INV-11548</t>
  </si>
  <si>
    <t>INV-11549</t>
  </si>
  <si>
    <t>INV-11550</t>
  </si>
  <si>
    <t>INV-11551</t>
  </si>
  <si>
    <t>INV-11552</t>
  </si>
  <si>
    <t>INV-11553</t>
  </si>
  <si>
    <t>INV-11554</t>
  </si>
  <si>
    <t>INV-11555</t>
  </si>
  <si>
    <t>INV-11556</t>
  </si>
  <si>
    <t>cust0102</t>
  </si>
  <si>
    <t>INV-11557</t>
  </si>
  <si>
    <t>INV-11558</t>
  </si>
  <si>
    <t>INV-11559</t>
  </si>
  <si>
    <t>INV-11560</t>
  </si>
  <si>
    <t>INV-11561</t>
  </si>
  <si>
    <t>INV-11562</t>
  </si>
  <si>
    <t>INV-11563</t>
  </si>
  <si>
    <t>INV-11564</t>
  </si>
  <si>
    <t>INV-11565</t>
  </si>
  <si>
    <t>INV-11566</t>
  </si>
  <si>
    <t>INV-11567</t>
  </si>
  <si>
    <t>INV-11568</t>
  </si>
  <si>
    <t>INV-11569</t>
  </si>
  <si>
    <t>INV-11570</t>
  </si>
  <si>
    <t>INV-11571</t>
  </si>
  <si>
    <t>INV-11572</t>
  </si>
  <si>
    <t>INV-11573</t>
  </si>
  <si>
    <t>INV-11574</t>
  </si>
  <si>
    <t>INV-11575</t>
  </si>
  <si>
    <t>INV-11576</t>
  </si>
  <si>
    <t>INV-11577</t>
  </si>
  <si>
    <t>INV-11578</t>
  </si>
  <si>
    <t>INV-11579</t>
  </si>
  <si>
    <t>INV-11580</t>
  </si>
  <si>
    <t>INV-11581</t>
  </si>
  <si>
    <t>INV-11582</t>
  </si>
  <si>
    <t>INV-11583</t>
  </si>
  <si>
    <t>INV-11584</t>
  </si>
  <si>
    <t>INV-11585</t>
  </si>
  <si>
    <t>INV-11586</t>
  </si>
  <si>
    <t>INV-11587</t>
  </si>
  <si>
    <t>INV-11588</t>
  </si>
  <si>
    <t>INV-11589</t>
  </si>
  <si>
    <t>INV-11590</t>
  </si>
  <si>
    <t>INV-11591</t>
  </si>
  <si>
    <t>INV-11592</t>
  </si>
  <si>
    <t>INV-11593</t>
  </si>
  <si>
    <t>INV-11594</t>
  </si>
  <si>
    <t>INV-11595</t>
  </si>
  <si>
    <t>INV-11596</t>
  </si>
  <si>
    <t>INV-11597</t>
  </si>
  <si>
    <t>INV-11598</t>
  </si>
  <si>
    <t>INV-11599</t>
  </si>
  <si>
    <t>INV-11600</t>
  </si>
  <si>
    <t>INV-11601</t>
  </si>
  <si>
    <t>INV-11602</t>
  </si>
  <si>
    <t>INV-11603</t>
  </si>
  <si>
    <t>INV-11604</t>
  </si>
  <si>
    <t>INV-11605</t>
  </si>
  <si>
    <t>INV-11606</t>
  </si>
  <si>
    <t>INV-11607</t>
  </si>
  <si>
    <t>INV-11608</t>
  </si>
  <si>
    <t>INV-11609</t>
  </si>
  <si>
    <t>INV-11610</t>
  </si>
  <si>
    <t>INV-11611</t>
  </si>
  <si>
    <t>INV-11612</t>
  </si>
  <si>
    <t>INV-11613</t>
  </si>
  <si>
    <t>INV-11614</t>
  </si>
  <si>
    <t>INV-11615</t>
  </si>
  <si>
    <t>INV-11616</t>
  </si>
  <si>
    <t>INV-11617</t>
  </si>
  <si>
    <t>INV-11618</t>
  </si>
  <si>
    <t>INV-11619</t>
  </si>
  <si>
    <t>INV-11620</t>
  </si>
  <si>
    <t>INV-11621</t>
  </si>
  <si>
    <t>INV-11622</t>
  </si>
  <si>
    <t>INV-11623</t>
  </si>
  <si>
    <t>INV-11624</t>
  </si>
  <si>
    <t>INV-11625</t>
  </si>
  <si>
    <t>INV-11626</t>
  </si>
  <si>
    <t>INV-11627</t>
  </si>
  <si>
    <t>INV-11628</t>
  </si>
  <si>
    <t>INV-11629</t>
  </si>
  <si>
    <t>INV-11630</t>
  </si>
  <si>
    <t>INV-11631</t>
  </si>
  <si>
    <t>INV-11632</t>
  </si>
  <si>
    <t>INV-11633</t>
  </si>
  <si>
    <t>INV-11634</t>
  </si>
  <si>
    <t>INV-11635</t>
  </si>
  <si>
    <t>INV-11636</t>
  </si>
  <si>
    <t>INV-11637</t>
  </si>
  <si>
    <t>INV-11638</t>
  </si>
  <si>
    <t>INV-11639</t>
  </si>
  <si>
    <t>INV-11640</t>
  </si>
  <si>
    <t>INV-11641</t>
  </si>
  <si>
    <t>INV-11642</t>
  </si>
  <si>
    <t>INV-11643</t>
  </si>
  <si>
    <t>INV-11644</t>
  </si>
  <si>
    <t>INV-11645</t>
  </si>
  <si>
    <t>INV-11646</t>
  </si>
  <si>
    <t>INV-11647</t>
  </si>
  <si>
    <t>INV-11648</t>
  </si>
  <si>
    <t>INV-11649</t>
  </si>
  <si>
    <t>INV-11650</t>
  </si>
  <si>
    <t>INV-11651</t>
  </si>
  <si>
    <t>INV-11652</t>
  </si>
  <si>
    <t>INV-11653</t>
  </si>
  <si>
    <t>cust0105</t>
  </si>
  <si>
    <t>INV-11654</t>
  </si>
  <si>
    <t>INV-11655</t>
  </si>
  <si>
    <t>INV-11656</t>
  </si>
  <si>
    <t>INV-11657</t>
  </si>
  <si>
    <t>INV-11658</t>
  </si>
  <si>
    <t>INV-11659</t>
  </si>
  <si>
    <t>INV-11660</t>
  </si>
  <si>
    <t>INV-11661</t>
  </si>
  <si>
    <t>INV-11662</t>
  </si>
  <si>
    <t>INV-11663</t>
  </si>
  <si>
    <t>INV-11664</t>
  </si>
  <si>
    <t>INV-11665</t>
  </si>
  <si>
    <t>INV-11666</t>
  </si>
  <si>
    <t>INV-11667</t>
  </si>
  <si>
    <t>INV-11668</t>
  </si>
  <si>
    <t>INV-11669</t>
  </si>
  <si>
    <t>INV-11670</t>
  </si>
  <si>
    <t>INV-11671</t>
  </si>
  <si>
    <t>INV-11672</t>
  </si>
  <si>
    <t>INV-11673</t>
  </si>
  <si>
    <t>INV-11674</t>
  </si>
  <si>
    <t>cust0036</t>
  </si>
  <si>
    <t>INV-11675</t>
  </si>
  <si>
    <t>INV-11676</t>
  </si>
  <si>
    <t>INV-11677</t>
  </si>
  <si>
    <t>INV-11678</t>
  </si>
  <si>
    <t>INV-11679</t>
  </si>
  <si>
    <t>INV-11680</t>
  </si>
  <si>
    <t>INV-11681</t>
  </si>
  <si>
    <t>INV-11682</t>
  </si>
  <si>
    <t>INV-11683</t>
  </si>
  <si>
    <t>INV-11684</t>
  </si>
  <si>
    <t>INV-11685</t>
  </si>
  <si>
    <t>INV-11686</t>
  </si>
  <si>
    <t>INV-11687</t>
  </si>
  <si>
    <t>INV-11688</t>
  </si>
  <si>
    <t>INV-11689</t>
  </si>
  <si>
    <t>INV-11690</t>
  </si>
  <si>
    <t>INV-11691</t>
  </si>
  <si>
    <t>INV-11692</t>
  </si>
  <si>
    <t>INV-11693</t>
  </si>
  <si>
    <t>INV-11694</t>
  </si>
  <si>
    <t>INV-11695</t>
  </si>
  <si>
    <t>INV-11696</t>
  </si>
  <si>
    <t>INV-11697</t>
  </si>
  <si>
    <t>INV-11698</t>
  </si>
  <si>
    <t>INV-11699</t>
  </si>
  <si>
    <t>INV-11700</t>
  </si>
  <si>
    <t>INV-11701</t>
  </si>
  <si>
    <t>INV-11702</t>
  </si>
  <si>
    <t>INV-11703</t>
  </si>
  <si>
    <t>INV-11704</t>
  </si>
  <si>
    <t>INV-11705</t>
  </si>
  <si>
    <t>INV-11706</t>
  </si>
  <si>
    <t>INV-11707</t>
  </si>
  <si>
    <t>INV-11708</t>
  </si>
  <si>
    <t>INV-11709</t>
  </si>
  <si>
    <t>INV-11710</t>
  </si>
  <si>
    <t>INV-11711</t>
  </si>
  <si>
    <t>cust0208</t>
  </si>
  <si>
    <t>INV-11712</t>
  </si>
  <si>
    <t>INV-11713</t>
  </si>
  <si>
    <t>INV-11714</t>
  </si>
  <si>
    <t>INV-11715</t>
  </si>
  <si>
    <t>INV-11716</t>
  </si>
  <si>
    <t>INV-11717</t>
  </si>
  <si>
    <t>INV-11718</t>
  </si>
  <si>
    <t>INV-11719</t>
  </si>
  <si>
    <t>INV-11720</t>
  </si>
  <si>
    <t>INV-11721</t>
  </si>
  <si>
    <t>INV-11722</t>
  </si>
  <si>
    <t>INV-11723</t>
  </si>
  <si>
    <t>INV-11724</t>
  </si>
  <si>
    <t>INV-11725</t>
  </si>
  <si>
    <t>INV-11726</t>
  </si>
  <si>
    <t>INV-11727</t>
  </si>
  <si>
    <t>INV-11728</t>
  </si>
  <si>
    <t>INV-11729</t>
  </si>
  <si>
    <t>INV-11730</t>
  </si>
  <si>
    <t>INV-11731</t>
  </si>
  <si>
    <t>INV-11732</t>
  </si>
  <si>
    <t>INV-11733</t>
  </si>
  <si>
    <t>INV-11734</t>
  </si>
  <si>
    <t>INV-11735</t>
  </si>
  <si>
    <t>INV-11736</t>
  </si>
  <si>
    <t>INV-11737</t>
  </si>
  <si>
    <t>INV-11738</t>
  </si>
  <si>
    <t>INV-11739</t>
  </si>
  <si>
    <t>cust0262</t>
  </si>
  <si>
    <t>INV-11740</t>
  </si>
  <si>
    <t>INV-11741</t>
  </si>
  <si>
    <t>INV-11742</t>
  </si>
  <si>
    <t>INV-11743</t>
  </si>
  <si>
    <t>INV-11744</t>
  </si>
  <si>
    <t>INV-11745</t>
  </si>
  <si>
    <t>INV-11746</t>
  </si>
  <si>
    <t>INV-11747</t>
  </si>
  <si>
    <t>INV-11748</t>
  </si>
  <si>
    <t>INV-11749</t>
  </si>
  <si>
    <t>INV-11750</t>
  </si>
  <si>
    <t>INV-11751</t>
  </si>
  <si>
    <t>INV-11752</t>
  </si>
  <si>
    <t>INV-11753</t>
  </si>
  <si>
    <t>INV-11754</t>
  </si>
  <si>
    <t>INV-11755</t>
  </si>
  <si>
    <t>INV-11756</t>
  </si>
  <si>
    <t>INV-11757</t>
  </si>
  <si>
    <t>INV-11758</t>
  </si>
  <si>
    <t>INV-11759</t>
  </si>
  <si>
    <t>INV-11760</t>
  </si>
  <si>
    <t>INV-11761</t>
  </si>
  <si>
    <t>INV-11762</t>
  </si>
  <si>
    <t>INV-11763</t>
  </si>
  <si>
    <t>INV-11764</t>
  </si>
  <si>
    <t>INV-11765</t>
  </si>
  <si>
    <t>INV-11766</t>
  </si>
  <si>
    <t>INV-11767</t>
  </si>
  <si>
    <t>INV-11768</t>
  </si>
  <si>
    <t>INV-11769</t>
  </si>
  <si>
    <t>INV-11770</t>
  </si>
  <si>
    <t>INV-11771</t>
  </si>
  <si>
    <t>INV-11772</t>
  </si>
  <si>
    <t>INV-11773</t>
  </si>
  <si>
    <t>INV-11774</t>
  </si>
  <si>
    <t>INV-11775</t>
  </si>
  <si>
    <t>INV-11776</t>
  </si>
  <si>
    <t>INV-11777</t>
  </si>
  <si>
    <t>INV-11778</t>
  </si>
  <si>
    <t>INV-11779</t>
  </si>
  <si>
    <t>INV-11780</t>
  </si>
  <si>
    <t>INV-11781</t>
  </si>
  <si>
    <t>INV-11782</t>
  </si>
  <si>
    <t>INV-11783</t>
  </si>
  <si>
    <t>INV-11784</t>
  </si>
  <si>
    <t>INV-11785</t>
  </si>
  <si>
    <t>INV-11786</t>
  </si>
  <si>
    <t>INV-11787</t>
  </si>
  <si>
    <t>INV-11788</t>
  </si>
  <si>
    <t>INV-11789</t>
  </si>
  <si>
    <t>INV-11790</t>
  </si>
  <si>
    <t>INV-11791</t>
  </si>
  <si>
    <t>INV-11792</t>
  </si>
  <si>
    <t>INV-11793</t>
  </si>
  <si>
    <t>INV-11794</t>
  </si>
  <si>
    <t>INV-11795</t>
  </si>
  <si>
    <t>INV-11796</t>
  </si>
  <si>
    <t>INV-11797</t>
  </si>
  <si>
    <t>INV-11798</t>
  </si>
  <si>
    <t>INV-11799</t>
  </si>
  <si>
    <t>INV-11800</t>
  </si>
  <si>
    <t>INV-11801</t>
  </si>
  <si>
    <t>INV-11802</t>
  </si>
  <si>
    <t>INV-11803</t>
  </si>
  <si>
    <t>INV-11804</t>
  </si>
  <si>
    <t>INV-11805</t>
  </si>
  <si>
    <t>INV-11806</t>
  </si>
  <si>
    <t>INV-11807</t>
  </si>
  <si>
    <t>INV-11808</t>
  </si>
  <si>
    <t>INV-11809</t>
  </si>
  <si>
    <t>INV-11810</t>
  </si>
  <si>
    <t>INV-11811</t>
  </si>
  <si>
    <t>INV-11812</t>
  </si>
  <si>
    <t>INV-11813</t>
  </si>
  <si>
    <t>INV-11814</t>
  </si>
  <si>
    <t>INV-11815</t>
  </si>
  <si>
    <t>INV-11816</t>
  </si>
  <si>
    <t>INV-11817</t>
  </si>
  <si>
    <t>INV-11818</t>
  </si>
  <si>
    <t>INV-11819</t>
  </si>
  <si>
    <t>INV-11820</t>
  </si>
  <si>
    <t>INV-11821</t>
  </si>
  <si>
    <t>INV-11822</t>
  </si>
  <si>
    <t>INV-11823</t>
  </si>
  <si>
    <t>INV-11824</t>
  </si>
  <si>
    <t>INV-11825</t>
  </si>
  <si>
    <t>INV-11826</t>
  </si>
  <si>
    <t>INV-11827</t>
  </si>
  <si>
    <t>INV-11828</t>
  </si>
  <si>
    <t>INV-11829</t>
  </si>
  <si>
    <t>INV-11830</t>
  </si>
  <si>
    <t>INV-11831</t>
  </si>
  <si>
    <t>INV-11832</t>
  </si>
  <si>
    <t>INV-11833</t>
  </si>
  <si>
    <t>INV-11834</t>
  </si>
  <si>
    <t>INV-11835</t>
  </si>
  <si>
    <t>cust0129</t>
  </si>
  <si>
    <t>INV-11836</t>
  </si>
  <si>
    <t>INV-11837</t>
  </si>
  <si>
    <t>INV-11838</t>
  </si>
  <si>
    <t>INV-11839</t>
  </si>
  <si>
    <t>INV-11840</t>
  </si>
  <si>
    <t>INV-11841</t>
  </si>
  <si>
    <t>INV-11842</t>
  </si>
  <si>
    <t>cust0161</t>
  </si>
  <si>
    <t>INV-11843</t>
  </si>
  <si>
    <t>cust0164</t>
  </si>
  <si>
    <t>INV-11844</t>
  </si>
  <si>
    <t>INV-11845</t>
  </si>
  <si>
    <t>INV-11846</t>
  </si>
  <si>
    <t>INV-11847</t>
  </si>
  <si>
    <t>INV-11848</t>
  </si>
  <si>
    <t>INV-11849</t>
  </si>
  <si>
    <t>INV-11850</t>
  </si>
  <si>
    <t>INV-11851</t>
  </si>
  <si>
    <t>INV-11852</t>
  </si>
  <si>
    <t>INV-11853</t>
  </si>
  <si>
    <t>INV-11854</t>
  </si>
  <si>
    <t>INV-11855</t>
  </si>
  <si>
    <t>INV-11856</t>
  </si>
  <si>
    <t>INV-11857</t>
  </si>
  <si>
    <t>INV-11858</t>
  </si>
  <si>
    <t>INV-11859</t>
  </si>
  <si>
    <t>INV-11860</t>
  </si>
  <si>
    <t>INV-11861</t>
  </si>
  <si>
    <t>INV-11862</t>
  </si>
  <si>
    <t>INV-11863</t>
  </si>
  <si>
    <t>INV-11864</t>
  </si>
  <si>
    <t>INV-11865</t>
  </si>
  <si>
    <t>INV-11866</t>
  </si>
  <si>
    <t>INV-11867</t>
  </si>
  <si>
    <t>INV-11868</t>
  </si>
  <si>
    <t>INV-11869</t>
  </si>
  <si>
    <t>INV-11870</t>
  </si>
  <si>
    <t>INV-11871</t>
  </si>
  <si>
    <t>INV-11872</t>
  </si>
  <si>
    <t>INV-11873</t>
  </si>
  <si>
    <t>INV-11874</t>
  </si>
  <si>
    <t>INV-11875</t>
  </si>
  <si>
    <t>INV-11876</t>
  </si>
  <si>
    <t>INV-11877</t>
  </si>
  <si>
    <t>INV-11878</t>
  </si>
  <si>
    <t>INV-11879</t>
  </si>
  <si>
    <t>INV-11880</t>
  </si>
  <si>
    <t>INV-11881</t>
  </si>
  <si>
    <t>INV-11882</t>
  </si>
  <si>
    <t>cust0210</t>
  </si>
  <si>
    <t>INV-11883</t>
  </si>
  <si>
    <t>INV-11884</t>
  </si>
  <si>
    <t>INV-11885</t>
  </si>
  <si>
    <t>INV-11886</t>
  </si>
  <si>
    <t>INV-11887</t>
  </si>
  <si>
    <t>INV-11888</t>
  </si>
  <si>
    <t>INV-11889</t>
  </si>
  <si>
    <t>INV-11890</t>
  </si>
  <si>
    <t>INV-11891</t>
  </si>
  <si>
    <t>INV-11892</t>
  </si>
  <si>
    <t>cust0045</t>
  </si>
  <si>
    <t>INV-11893</t>
  </si>
  <si>
    <t>INV-11894</t>
  </si>
  <si>
    <t>INV-11895</t>
  </si>
  <si>
    <t>INV-11896</t>
  </si>
  <si>
    <t>INV-11897</t>
  </si>
  <si>
    <t>INV-11898</t>
  </si>
  <si>
    <t>INV-11899</t>
  </si>
  <si>
    <t>INV-11900</t>
  </si>
  <si>
    <t>INV-11901</t>
  </si>
  <si>
    <t>INV-11902</t>
  </si>
  <si>
    <t>INV-11903</t>
  </si>
  <si>
    <t>INV-11904</t>
  </si>
  <si>
    <t>INV-11905</t>
  </si>
  <si>
    <t>INV-11906</t>
  </si>
  <si>
    <t>INV-11907</t>
  </si>
  <si>
    <t>INV-11908</t>
  </si>
  <si>
    <t>INV-11909</t>
  </si>
  <si>
    <t>INV-11910</t>
  </si>
  <si>
    <t>INV-11911</t>
  </si>
  <si>
    <t>INV-11912</t>
  </si>
  <si>
    <t>INV-11913</t>
  </si>
  <si>
    <t>INV-11914</t>
  </si>
  <si>
    <t>INV-11915</t>
  </si>
  <si>
    <t>INV-11916</t>
  </si>
  <si>
    <t>INV-11917</t>
  </si>
  <si>
    <t>INV-11918</t>
  </si>
  <si>
    <t>INV-11919</t>
  </si>
  <si>
    <t>INV-11920</t>
  </si>
  <si>
    <t>INV-11921</t>
  </si>
  <si>
    <t>INV-11922</t>
  </si>
  <si>
    <t>INV-11923</t>
  </si>
  <si>
    <t>INV-11924</t>
  </si>
  <si>
    <t>INV-11925</t>
  </si>
  <si>
    <t>INV-11926</t>
  </si>
  <si>
    <t>INV-11927</t>
  </si>
  <si>
    <t>INV-11928</t>
  </si>
  <si>
    <t>INV-11929</t>
  </si>
  <si>
    <t>INV-11930</t>
  </si>
  <si>
    <t>INV-11931</t>
  </si>
  <si>
    <t>INV-11932</t>
  </si>
  <si>
    <t>INV-11933</t>
  </si>
  <si>
    <t>INV-11934</t>
  </si>
  <si>
    <t>INV-11935</t>
  </si>
  <si>
    <t>INV-11936</t>
  </si>
  <si>
    <t>INV-11937</t>
  </si>
  <si>
    <t>INV-11938</t>
  </si>
  <si>
    <t>INV-11939</t>
  </si>
  <si>
    <t>INV-11940</t>
  </si>
  <si>
    <t>INV-11941</t>
  </si>
  <si>
    <t>INV-11942</t>
  </si>
  <si>
    <t>INV-11943</t>
  </si>
  <si>
    <t>INV-11944</t>
  </si>
  <si>
    <t>INV-11945</t>
  </si>
  <si>
    <t>INV-11946</t>
  </si>
  <si>
    <t>INV-11947</t>
  </si>
  <si>
    <t>INV-11948</t>
  </si>
  <si>
    <t>INV-11949</t>
  </si>
  <si>
    <t>INV-11950</t>
  </si>
  <si>
    <t>INV-11951</t>
  </si>
  <si>
    <t>INV-11952</t>
  </si>
  <si>
    <t>INV-11953</t>
  </si>
  <si>
    <t>INV-11954</t>
  </si>
  <si>
    <t>INV-11955</t>
  </si>
  <si>
    <t>INV-11956</t>
  </si>
  <si>
    <t>INV-11957</t>
  </si>
  <si>
    <t>INV-11958</t>
  </si>
  <si>
    <t>INV-11959</t>
  </si>
  <si>
    <t>INV-11960</t>
  </si>
  <si>
    <t>cust0247</t>
  </si>
  <si>
    <t>INV-11961</t>
  </si>
  <si>
    <t>INV-11962</t>
  </si>
  <si>
    <t>INV-11963</t>
  </si>
  <si>
    <t>INV-11964</t>
  </si>
  <si>
    <t>INV-11965</t>
  </si>
  <si>
    <t>INV-11966</t>
  </si>
  <si>
    <t>INV-11967</t>
  </si>
  <si>
    <t>INV-11968</t>
  </si>
  <si>
    <t>INV-11969</t>
  </si>
  <si>
    <t>INV-11970</t>
  </si>
  <si>
    <t>INV-11971</t>
  </si>
  <si>
    <t>INV-11972</t>
  </si>
  <si>
    <t>INV-11973</t>
  </si>
  <si>
    <t>INV-11974</t>
  </si>
  <si>
    <t>INV-11975</t>
  </si>
  <si>
    <t>INV-11976</t>
  </si>
  <si>
    <t>INV-11977</t>
  </si>
  <si>
    <t>INV-11978</t>
  </si>
  <si>
    <t>INV-11979</t>
  </si>
  <si>
    <t>INV-11980</t>
  </si>
  <si>
    <t>INV-11981</t>
  </si>
  <si>
    <t>INV-11982</t>
  </si>
  <si>
    <t>INV-11983</t>
  </si>
  <si>
    <t>INV-11984</t>
  </si>
  <si>
    <t>INV-11985</t>
  </si>
  <si>
    <t>INV-11986</t>
  </si>
  <si>
    <t>INV-11987</t>
  </si>
  <si>
    <t>INV-11988</t>
  </si>
  <si>
    <t>cust0117</t>
  </si>
  <si>
    <t>INV-11989</t>
  </si>
  <si>
    <t>INV-11990</t>
  </si>
  <si>
    <t>INV-11991</t>
  </si>
  <si>
    <t>INV-11992</t>
  </si>
  <si>
    <t>INV-11993</t>
  </si>
  <si>
    <t>INV-11994</t>
  </si>
  <si>
    <t>INV-11995</t>
  </si>
  <si>
    <t>INV-11996</t>
  </si>
  <si>
    <t>INV-11997</t>
  </si>
  <si>
    <t>INV-11998</t>
  </si>
  <si>
    <t>INV-11999</t>
  </si>
  <si>
    <t>INV-12000</t>
  </si>
  <si>
    <t>INV-12001</t>
  </si>
  <si>
    <t>INV-12002</t>
  </si>
  <si>
    <t>INV-12003</t>
  </si>
  <si>
    <t>INV-12004</t>
  </si>
  <si>
    <t>INV-12005</t>
  </si>
  <si>
    <t>INV-12006</t>
  </si>
  <si>
    <t>INV-12007</t>
  </si>
  <si>
    <t>INV-12008</t>
  </si>
  <si>
    <t>INV-12009</t>
  </si>
  <si>
    <t>INV-12010</t>
  </si>
  <si>
    <t>INV-12011</t>
  </si>
  <si>
    <t>INV-12012</t>
  </si>
  <si>
    <t>INV-12013</t>
  </si>
  <si>
    <t>INV-12014</t>
  </si>
  <si>
    <t>INV-12015</t>
  </si>
  <si>
    <t>INV-12016</t>
  </si>
  <si>
    <t>INV-12017</t>
  </si>
  <si>
    <t>INV-12018</t>
  </si>
  <si>
    <t>INV-12019</t>
  </si>
  <si>
    <t>INV-12020</t>
  </si>
  <si>
    <t>INV-12021</t>
  </si>
  <si>
    <t>INV-12022</t>
  </si>
  <si>
    <t>INV-12023</t>
  </si>
  <si>
    <t>INV-12024</t>
  </si>
  <si>
    <t>INV-12025</t>
  </si>
  <si>
    <t>INV-12026</t>
  </si>
  <si>
    <t>INV-12027</t>
  </si>
  <si>
    <t>INV-12028</t>
  </si>
  <si>
    <t>INV-12029</t>
  </si>
  <si>
    <t>INV-12030</t>
  </si>
  <si>
    <t>INV-12031</t>
  </si>
  <si>
    <t>INV-12032</t>
  </si>
  <si>
    <t>INV-12033</t>
  </si>
  <si>
    <t>INV-12034</t>
  </si>
  <si>
    <t>INV-12035</t>
  </si>
  <si>
    <t>INV-12036</t>
  </si>
  <si>
    <t>INV-12037</t>
  </si>
  <si>
    <t>INV-12038</t>
  </si>
  <si>
    <t>INV-12039</t>
  </si>
  <si>
    <t>INV-12040</t>
  </si>
  <si>
    <t>INV-12041</t>
  </si>
  <si>
    <t>INV-12042</t>
  </si>
  <si>
    <t>INV-12043</t>
  </si>
  <si>
    <t>INV-12044</t>
  </si>
  <si>
    <t>INV-12045</t>
  </si>
  <si>
    <t>INV-12046</t>
  </si>
  <si>
    <t>INV-12047</t>
  </si>
  <si>
    <t>INV-12048</t>
  </si>
  <si>
    <t>INV-12049</t>
  </si>
  <si>
    <t>INV-12050</t>
  </si>
  <si>
    <t>INV-12051</t>
  </si>
  <si>
    <t>cust0235</t>
  </si>
  <si>
    <t>INV-12052</t>
  </si>
  <si>
    <t>INV-12053</t>
  </si>
  <si>
    <t>INV-12054</t>
  </si>
  <si>
    <t>INV-12055</t>
  </si>
  <si>
    <t>INV-12056</t>
  </si>
  <si>
    <t>INV-12057</t>
  </si>
  <si>
    <t>INV-12058</t>
  </si>
  <si>
    <t>INV-12059</t>
  </si>
  <si>
    <t>cust0022</t>
  </si>
  <si>
    <t>INV-12060</t>
  </si>
  <si>
    <t>INV-12061</t>
  </si>
  <si>
    <t>INV-12062</t>
  </si>
  <si>
    <t>INV-12063</t>
  </si>
  <si>
    <t>INV-12064</t>
  </si>
  <si>
    <t>INV-12065</t>
  </si>
  <si>
    <t>INV-12066</t>
  </si>
  <si>
    <t>INV-12067</t>
  </si>
  <si>
    <t>INV-12068</t>
  </si>
  <si>
    <t>INV-12069</t>
  </si>
  <si>
    <t>INV-12070</t>
  </si>
  <si>
    <t>INV-12071</t>
  </si>
  <si>
    <t>INV-12072</t>
  </si>
  <si>
    <t>INV-12073</t>
  </si>
  <si>
    <t>INV-12074</t>
  </si>
  <si>
    <t>INV-12075</t>
  </si>
  <si>
    <t>INV-12076</t>
  </si>
  <si>
    <t>INV-12077</t>
  </si>
  <si>
    <t>INV-12078</t>
  </si>
  <si>
    <t>INV-12079</t>
  </si>
  <si>
    <t>INV-12080</t>
  </si>
  <si>
    <t>INV-12081</t>
  </si>
  <si>
    <t>INV-12082</t>
  </si>
  <si>
    <t>INV-12083</t>
  </si>
  <si>
    <t>INV-12084</t>
  </si>
  <si>
    <t>INV-12085</t>
  </si>
  <si>
    <t>INV-12086</t>
  </si>
  <si>
    <t>INV-12087</t>
  </si>
  <si>
    <t>INV-12088</t>
  </si>
  <si>
    <t>INV-12089</t>
  </si>
  <si>
    <t>INV-12090</t>
  </si>
  <si>
    <t>INV-12091</t>
  </si>
  <si>
    <t>INV-12092</t>
  </si>
  <si>
    <t>INV-12093</t>
  </si>
  <si>
    <t>INV-12094</t>
  </si>
  <si>
    <t>INV-12095</t>
  </si>
  <si>
    <t>INV-12096</t>
  </si>
  <si>
    <t>cust0296</t>
  </si>
  <si>
    <t>INV-12097</t>
  </si>
  <si>
    <t>INV-12098</t>
  </si>
  <si>
    <t>INV-12099</t>
  </si>
  <si>
    <t>cust0200</t>
  </si>
  <si>
    <t>INV-12100</t>
  </si>
  <si>
    <t>INV-12101</t>
  </si>
  <si>
    <t>INV-12102</t>
  </si>
  <si>
    <t>INV-12103</t>
  </si>
  <si>
    <t>INV-12104</t>
  </si>
  <si>
    <t>INV-12105</t>
  </si>
  <si>
    <t>INV-12106</t>
  </si>
  <si>
    <t>INV-12107</t>
  </si>
  <si>
    <t>INV-12108</t>
  </si>
  <si>
    <t>INV-12109</t>
  </si>
  <si>
    <t>INV-12110</t>
  </si>
  <si>
    <t>INV-12111</t>
  </si>
  <si>
    <t>INV-12112</t>
  </si>
  <si>
    <t>INV-12113</t>
  </si>
  <si>
    <t>INV-12114</t>
  </si>
  <si>
    <t>INV-12115</t>
  </si>
  <si>
    <t>INV-12116</t>
  </si>
  <si>
    <t>INV-12117</t>
  </si>
  <si>
    <t>INV-12118</t>
  </si>
  <si>
    <t>INV-12119</t>
  </si>
  <si>
    <t>INV-12120</t>
  </si>
  <si>
    <t>INV-12121</t>
  </si>
  <si>
    <t>INV-12122</t>
  </si>
  <si>
    <t>INV-12123</t>
  </si>
  <si>
    <t>INV-12124</t>
  </si>
  <si>
    <t>INV-12125</t>
  </si>
  <si>
    <t>INV-12126</t>
  </si>
  <si>
    <t>INV-12127</t>
  </si>
  <si>
    <t>INV-12128</t>
  </si>
  <si>
    <t>INV-12129</t>
  </si>
  <si>
    <t>INV-12130</t>
  </si>
  <si>
    <t>INV-12131</t>
  </si>
  <si>
    <t>INV-12132</t>
  </si>
  <si>
    <t>INV-12133</t>
  </si>
  <si>
    <t>INV-12134</t>
  </si>
  <si>
    <t>INV-12135</t>
  </si>
  <si>
    <t>INV-12136</t>
  </si>
  <si>
    <t>INV-12137</t>
  </si>
  <si>
    <t>INV-12138</t>
  </si>
  <si>
    <t>INV-12139</t>
  </si>
  <si>
    <t>INV-12140</t>
  </si>
  <si>
    <t>INV-12141</t>
  </si>
  <si>
    <t>INV-12142</t>
  </si>
  <si>
    <t>INV-12143</t>
  </si>
  <si>
    <t>INV-12144</t>
  </si>
  <si>
    <t>INV-12145</t>
  </si>
  <si>
    <t>INV-12146</t>
  </si>
  <si>
    <t>INV-12147</t>
  </si>
  <si>
    <t>INV-12148</t>
  </si>
  <si>
    <t>INV-12149</t>
  </si>
  <si>
    <t>INV-12150</t>
  </si>
  <si>
    <t>INV-12151</t>
  </si>
  <si>
    <t>INV-12152</t>
  </si>
  <si>
    <t>INV-12153</t>
  </si>
  <si>
    <t>INV-12154</t>
  </si>
  <si>
    <t>INV-12155</t>
  </si>
  <si>
    <t>cust0189</t>
  </si>
  <si>
    <t>INV-12156</t>
  </si>
  <si>
    <t>INV-12157</t>
  </si>
  <si>
    <t>INV-12158</t>
  </si>
  <si>
    <t>INV-12159</t>
  </si>
  <si>
    <t>INV-12160</t>
  </si>
  <si>
    <t>INV-12161</t>
  </si>
  <si>
    <t>INV-12162</t>
  </si>
  <si>
    <t>INV-12163</t>
  </si>
  <si>
    <t>INV-12164</t>
  </si>
  <si>
    <t>INV-12165</t>
  </si>
  <si>
    <t>INV-12166</t>
  </si>
  <si>
    <t>INV-12167</t>
  </si>
  <si>
    <t>INV-12168</t>
  </si>
  <si>
    <t>INV-12169</t>
  </si>
  <si>
    <t>INV-12170</t>
  </si>
  <si>
    <t>INV-12171</t>
  </si>
  <si>
    <t>INV-12172</t>
  </si>
  <si>
    <t>INV-12173</t>
  </si>
  <si>
    <t>INV-12174</t>
  </si>
  <si>
    <t>INV-12175</t>
  </si>
  <si>
    <t>INV-12176</t>
  </si>
  <si>
    <t>INV-12177</t>
  </si>
  <si>
    <t>INV-12178</t>
  </si>
  <si>
    <t>INV-12179</t>
  </si>
  <si>
    <t>INV-12180</t>
  </si>
  <si>
    <t>INV-12181</t>
  </si>
  <si>
    <t>INV-12182</t>
  </si>
  <si>
    <t>INV-12183</t>
  </si>
  <si>
    <t>INV-12184</t>
  </si>
  <si>
    <t>INV-12185</t>
  </si>
  <si>
    <t>INV-12186</t>
  </si>
  <si>
    <t>INV-12187</t>
  </si>
  <si>
    <t>INV-12188</t>
  </si>
  <si>
    <t>INV-12189</t>
  </si>
  <si>
    <t>INV-12190</t>
  </si>
  <si>
    <t>INV-12191</t>
  </si>
  <si>
    <t>INV-12192</t>
  </si>
  <si>
    <t>INV-12193</t>
  </si>
  <si>
    <t>INV-12194</t>
  </si>
  <si>
    <t>INV-12195</t>
  </si>
  <si>
    <t>INV-12196</t>
  </si>
  <si>
    <t>INV-12197</t>
  </si>
  <si>
    <t>INV-12198</t>
  </si>
  <si>
    <t>INV-12199</t>
  </si>
  <si>
    <t>INV-12200</t>
  </si>
  <si>
    <t>INV-12201</t>
  </si>
  <si>
    <t>INV-12202</t>
  </si>
  <si>
    <t>INV-12203</t>
  </si>
  <si>
    <t>INV-12204</t>
  </si>
  <si>
    <t>INV-12205</t>
  </si>
  <si>
    <t>INV-12206</t>
  </si>
  <si>
    <t>INV-12207</t>
  </si>
  <si>
    <t>INV-12208</t>
  </si>
  <si>
    <t>INV-12209</t>
  </si>
  <si>
    <t>INV-12210</t>
  </si>
  <si>
    <t>INV-12211</t>
  </si>
  <si>
    <t>INV-12212</t>
  </si>
  <si>
    <t>INV-12213</t>
  </si>
  <si>
    <t>INV-12214</t>
  </si>
  <si>
    <t>INV-12215</t>
  </si>
  <si>
    <t>INV-12216</t>
  </si>
  <si>
    <t>INV-12217</t>
  </si>
  <si>
    <t>INV-12218</t>
  </si>
  <si>
    <t>INV-12219</t>
  </si>
  <si>
    <t>INV-12220</t>
  </si>
  <si>
    <t>INV-12221</t>
  </si>
  <si>
    <t>INV-12222</t>
  </si>
  <si>
    <t>INV-12223</t>
  </si>
  <si>
    <t>INV-12224</t>
  </si>
  <si>
    <t>INV-12225</t>
  </si>
  <si>
    <t>INV-12226</t>
  </si>
  <si>
    <t>INV-12227</t>
  </si>
  <si>
    <t>INV-12228</t>
  </si>
  <si>
    <t>INV-12229</t>
  </si>
  <si>
    <t>INV-12230</t>
  </si>
  <si>
    <t>INV-12231</t>
  </si>
  <si>
    <t>INV-12232</t>
  </si>
  <si>
    <t>INV-12233</t>
  </si>
  <si>
    <t>INV-12234</t>
  </si>
  <si>
    <t>INV-12235</t>
  </si>
  <si>
    <t>INV-12236</t>
  </si>
  <si>
    <t>INV-12237</t>
  </si>
  <si>
    <t>INV-12238</t>
  </si>
  <si>
    <t>INV-12239</t>
  </si>
  <si>
    <t>INV-12240</t>
  </si>
  <si>
    <t>INV-12241</t>
  </si>
  <si>
    <t>INV-12242</t>
  </si>
  <si>
    <t>INV-12243</t>
  </si>
  <si>
    <t>INV-12244</t>
  </si>
  <si>
    <t>INV-12245</t>
  </si>
  <si>
    <t>INV-12246</t>
  </si>
  <si>
    <t>INV-12247</t>
  </si>
  <si>
    <t>INV-12248</t>
  </si>
  <si>
    <t>INV-12249</t>
  </si>
  <si>
    <t>INV-12250</t>
  </si>
  <si>
    <t>INV-12251</t>
  </si>
  <si>
    <t>INV-12252</t>
  </si>
  <si>
    <t>INV-12253</t>
  </si>
  <si>
    <t>INV-12254</t>
  </si>
  <si>
    <t>INV-12255</t>
  </si>
  <si>
    <t>INV-12256</t>
  </si>
  <si>
    <t>INV-12257</t>
  </si>
  <si>
    <t>INV-12258</t>
  </si>
  <si>
    <t>INV-12259</t>
  </si>
  <si>
    <t>INV-12260</t>
  </si>
  <si>
    <t>INV-12261</t>
  </si>
  <si>
    <t>INV-12262</t>
  </si>
  <si>
    <t>cust0212</t>
  </si>
  <si>
    <t>INV-12263</t>
  </si>
  <si>
    <t>INV-12264</t>
  </si>
  <si>
    <t>INV-12265</t>
  </si>
  <si>
    <t>INV-12266</t>
  </si>
  <si>
    <t>INV-12267</t>
  </si>
  <si>
    <t>INV-12268</t>
  </si>
  <si>
    <t>INV-12269</t>
  </si>
  <si>
    <t>INV-12270</t>
  </si>
  <si>
    <t>INV-12271</t>
  </si>
  <si>
    <t>INV-12272</t>
  </si>
  <si>
    <t>INV-12273</t>
  </si>
  <si>
    <t>INV-12274</t>
  </si>
  <si>
    <t>INV-12275</t>
  </si>
  <si>
    <t>INV-12276</t>
  </si>
  <si>
    <t>INV-12277</t>
  </si>
  <si>
    <t>INV-12278</t>
  </si>
  <si>
    <t>INV-12279</t>
  </si>
  <si>
    <t>INV-12280</t>
  </si>
  <si>
    <t>INV-12281</t>
  </si>
  <si>
    <t>INV-12282</t>
  </si>
  <si>
    <t>INV-12283</t>
  </si>
  <si>
    <t>INV-12284</t>
  </si>
  <si>
    <t>INV-12285</t>
  </si>
  <si>
    <t>INV-12286</t>
  </si>
  <si>
    <t>INV-12287</t>
  </si>
  <si>
    <t>INV-12288</t>
  </si>
  <si>
    <t>INV-12289</t>
  </si>
  <si>
    <t>INV-12290</t>
  </si>
  <si>
    <t>INV-12291</t>
  </si>
  <si>
    <t>INV-12292</t>
  </si>
  <si>
    <t>INV-12293</t>
  </si>
  <si>
    <t>INV-12294</t>
  </si>
  <si>
    <t>INV-12295</t>
  </si>
  <si>
    <t>INV-12296</t>
  </si>
  <si>
    <t>INV-12297</t>
  </si>
  <si>
    <t>cust0078</t>
  </si>
  <si>
    <t>INV-12298</t>
  </si>
  <si>
    <t>INV-12299</t>
  </si>
  <si>
    <t>INV-12300</t>
  </si>
  <si>
    <t>INV-12301</t>
  </si>
  <si>
    <t>INV-12302</t>
  </si>
  <si>
    <t>INV-12303</t>
  </si>
  <si>
    <t>INV-12304</t>
  </si>
  <si>
    <t>INV-12305</t>
  </si>
  <si>
    <t>INV-12306</t>
  </si>
  <si>
    <t>INV-12307</t>
  </si>
  <si>
    <t>INV-12308</t>
  </si>
  <si>
    <t>INV-12309</t>
  </si>
  <si>
    <t>INV-12310</t>
  </si>
  <si>
    <t>INV-12311</t>
  </si>
  <si>
    <t>INV-12312</t>
  </si>
  <si>
    <t>INV-12313</t>
  </si>
  <si>
    <t>INV-12314</t>
  </si>
  <si>
    <t>INV-12315</t>
  </si>
  <si>
    <t>INV-12316</t>
  </si>
  <si>
    <t>INV-12317</t>
  </si>
  <si>
    <t>INV-12318</t>
  </si>
  <si>
    <t>INV-12319</t>
  </si>
  <si>
    <t>INV-12320</t>
  </si>
  <si>
    <t>INV-12321</t>
  </si>
  <si>
    <t>INV-12322</t>
  </si>
  <si>
    <t>INV-12323</t>
  </si>
  <si>
    <t>INV-12324</t>
  </si>
  <si>
    <t>INV-12325</t>
  </si>
  <si>
    <t>INV-12326</t>
  </si>
  <si>
    <t>INV-12327</t>
  </si>
  <si>
    <t>INV-12328</t>
  </si>
  <si>
    <t>INV-12329</t>
  </si>
  <si>
    <t>INV-12330</t>
  </si>
  <si>
    <t>INV-12331</t>
  </si>
  <si>
    <t>INV-12332</t>
  </si>
  <si>
    <t>INV-12333</t>
  </si>
  <si>
    <t>INV-12334</t>
  </si>
  <si>
    <t>INV-12335</t>
  </si>
  <si>
    <t>INV-12336</t>
  </si>
  <si>
    <t>INV-12337</t>
  </si>
  <si>
    <t>INV-12338</t>
  </si>
  <si>
    <t>INV-12339</t>
  </si>
  <si>
    <t>INV-12340</t>
  </si>
  <si>
    <t>INV-12341</t>
  </si>
  <si>
    <t>INV-12342</t>
  </si>
  <si>
    <t>INV-12343</t>
  </si>
  <si>
    <t>INV-12344</t>
  </si>
  <si>
    <t>INV-12345</t>
  </si>
  <si>
    <t>INV-12346</t>
  </si>
  <si>
    <t>INV-12347</t>
  </si>
  <si>
    <t>INV-12348</t>
  </si>
  <si>
    <t>INV-12349</t>
  </si>
  <si>
    <t>cust0098</t>
  </si>
  <si>
    <t>INV-12350</t>
  </si>
  <si>
    <t>INV-12351</t>
  </si>
  <si>
    <t>INV-12352</t>
  </si>
  <si>
    <t>INV-12353</t>
  </si>
  <si>
    <t>INV-12354</t>
  </si>
  <si>
    <t>INV-12355</t>
  </si>
  <si>
    <t>INV-12356</t>
  </si>
  <si>
    <t>INV-12357</t>
  </si>
  <si>
    <t>INV-12358</t>
  </si>
  <si>
    <t>INV-12359</t>
  </si>
  <si>
    <t>INV-12360</t>
  </si>
  <si>
    <t>INV-12361</t>
  </si>
  <si>
    <t>cust0274</t>
  </si>
  <si>
    <t>INV-12362</t>
  </si>
  <si>
    <t>INV-12363</t>
  </si>
  <si>
    <t>INV-12364</t>
  </si>
  <si>
    <t>INV-12365</t>
  </si>
  <si>
    <t>INV-12366</t>
  </si>
  <si>
    <t>INV-12367</t>
  </si>
  <si>
    <t>INV-12368</t>
  </si>
  <si>
    <t>INV-12369</t>
  </si>
  <si>
    <t>INV-12370</t>
  </si>
  <si>
    <t>INV-12371</t>
  </si>
  <si>
    <t>INV-12372</t>
  </si>
  <si>
    <t>INV-12373</t>
  </si>
  <si>
    <t>INV-12374</t>
  </si>
  <si>
    <t>INV-12375</t>
  </si>
  <si>
    <t>INV-12376</t>
  </si>
  <si>
    <t>INV-12377</t>
  </si>
  <si>
    <t>INV-12378</t>
  </si>
  <si>
    <t>INV-12379</t>
  </si>
  <si>
    <t>INV-12380</t>
  </si>
  <si>
    <t>INV-12381</t>
  </si>
  <si>
    <t>INV-12382</t>
  </si>
  <si>
    <t>INV-12383</t>
  </si>
  <si>
    <t>INV-12384</t>
  </si>
  <si>
    <t>INV-12385</t>
  </si>
  <si>
    <t>INV-12386</t>
  </si>
  <si>
    <t>INV-12387</t>
  </si>
  <si>
    <t>INV-12388</t>
  </si>
  <si>
    <t>INV-12389</t>
  </si>
  <si>
    <t>INV-12390</t>
  </si>
  <si>
    <t>INV-12391</t>
  </si>
  <si>
    <t>INV-12392</t>
  </si>
  <si>
    <t>INV-12393</t>
  </si>
  <si>
    <t>INV-12394</t>
  </si>
  <si>
    <t>INV-12395</t>
  </si>
  <si>
    <t>INV-12396</t>
  </si>
  <si>
    <t>INV-12397</t>
  </si>
  <si>
    <t>INV-12398</t>
  </si>
  <si>
    <t>INV-12399</t>
  </si>
  <si>
    <t>INV-12400</t>
  </si>
  <si>
    <t>INV-12401</t>
  </si>
  <si>
    <t>INV-12402</t>
  </si>
  <si>
    <t>INV-12403</t>
  </si>
  <si>
    <t>INV-12404</t>
  </si>
  <si>
    <t>INV-12405</t>
  </si>
  <si>
    <t>INV-12406</t>
  </si>
  <si>
    <t>INV-12407</t>
  </si>
  <si>
    <t>INV-12408</t>
  </si>
  <si>
    <t>cust0128</t>
  </si>
  <si>
    <t>INV-12409</t>
  </si>
  <si>
    <t>INV-12410</t>
  </si>
  <si>
    <t>INV-12411</t>
  </si>
  <si>
    <t>INV-12412</t>
  </si>
  <si>
    <t>INV-12413</t>
  </si>
  <si>
    <t>INV-12414</t>
  </si>
  <si>
    <t>INV-12415</t>
  </si>
  <si>
    <t>INV-12416</t>
  </si>
  <si>
    <t>INV-12417</t>
  </si>
  <si>
    <t>INV-12418</t>
  </si>
  <si>
    <t>INV-12419</t>
  </si>
  <si>
    <t>INV-12420</t>
  </si>
  <si>
    <t>INV-12421</t>
  </si>
  <si>
    <t>INV-12422</t>
  </si>
  <si>
    <t>INV-12423</t>
  </si>
  <si>
    <t>INV-12424</t>
  </si>
  <si>
    <t>INV-12425</t>
  </si>
  <si>
    <t>INV-12426</t>
  </si>
  <si>
    <t>INV-12427</t>
  </si>
  <si>
    <t>INV-12428</t>
  </si>
  <si>
    <t>INV-12429</t>
  </si>
  <si>
    <t>INV-12430</t>
  </si>
  <si>
    <t>INV-12431</t>
  </si>
  <si>
    <t>INV-12432</t>
  </si>
  <si>
    <t>INV-12433</t>
  </si>
  <si>
    <t>INV-12434</t>
  </si>
  <si>
    <t>INV-12435</t>
  </si>
  <si>
    <t>INV-12436</t>
  </si>
  <si>
    <t>INV-12437</t>
  </si>
  <si>
    <t>INV-12438</t>
  </si>
  <si>
    <t>INV-12439</t>
  </si>
  <si>
    <t>INV-12440</t>
  </si>
  <si>
    <t>INV-12441</t>
  </si>
  <si>
    <t>INV-12442</t>
  </si>
  <si>
    <t>INV-12443</t>
  </si>
  <si>
    <t>INV-12444</t>
  </si>
  <si>
    <t>INV-12445</t>
  </si>
  <si>
    <t>INV-12446</t>
  </si>
  <si>
    <t>INV-12447</t>
  </si>
  <si>
    <t>INV-12448</t>
  </si>
  <si>
    <t>INV-12449</t>
  </si>
  <si>
    <t>INV-12450</t>
  </si>
  <si>
    <t>cust0183</t>
  </si>
  <si>
    <t>INV-12451</t>
  </si>
  <si>
    <t>INV-12452</t>
  </si>
  <si>
    <t>INV-12453</t>
  </si>
  <si>
    <t>INV-12454</t>
  </si>
  <si>
    <t>INV-12455</t>
  </si>
  <si>
    <t>INV-12456</t>
  </si>
  <si>
    <t>INV-12457</t>
  </si>
  <si>
    <t>INV-12458</t>
  </si>
  <si>
    <t>INV-12459</t>
  </si>
  <si>
    <t>INV-12460</t>
  </si>
  <si>
    <t>INV-12461</t>
  </si>
  <si>
    <t>INV-12462</t>
  </si>
  <si>
    <t>INV-12463</t>
  </si>
  <si>
    <t>INV-12464</t>
  </si>
  <si>
    <t>INV-12465</t>
  </si>
  <si>
    <t>INV-12466</t>
  </si>
  <si>
    <t>INV-12467</t>
  </si>
  <si>
    <t>INV-12468</t>
  </si>
  <si>
    <t>INV-12469</t>
  </si>
  <si>
    <t>INV-12470</t>
  </si>
  <si>
    <t>INV-12471</t>
  </si>
  <si>
    <t>INV-12472</t>
  </si>
  <si>
    <t>INV-12473</t>
  </si>
  <si>
    <t>INV-12474</t>
  </si>
  <si>
    <t>INV-12475</t>
  </si>
  <si>
    <t>INV-12476</t>
  </si>
  <si>
    <t>INV-12477</t>
  </si>
  <si>
    <t>INV-12478</t>
  </si>
  <si>
    <t>INV-12479</t>
  </si>
  <si>
    <t>INV-12480</t>
  </si>
  <si>
    <t>INV-12481</t>
  </si>
  <si>
    <t>INV-12482</t>
  </si>
  <si>
    <t>INV-12483</t>
  </si>
  <si>
    <t>INV-12484</t>
  </si>
  <si>
    <t>INV-12485</t>
  </si>
  <si>
    <t>INV-12486</t>
  </si>
  <si>
    <t>INV-12487</t>
  </si>
  <si>
    <t>INV-12488</t>
  </si>
  <si>
    <t>INV-12489</t>
  </si>
  <si>
    <t>INV-12490</t>
  </si>
  <si>
    <t>INV-12491</t>
  </si>
  <si>
    <t>INV-12492</t>
  </si>
  <si>
    <t>INV-12493</t>
  </si>
  <si>
    <t>INV-12494</t>
  </si>
  <si>
    <t>INV-12495</t>
  </si>
  <si>
    <t>INV-12496</t>
  </si>
  <si>
    <t>INV-12497</t>
  </si>
  <si>
    <t>INV-12498</t>
  </si>
  <si>
    <t>INV-12499</t>
  </si>
  <si>
    <t>INV-12500</t>
  </si>
  <si>
    <t>INV-12501</t>
  </si>
  <si>
    <t>INV-12502</t>
  </si>
  <si>
    <t>INV-12503</t>
  </si>
  <si>
    <t>INV-12504</t>
  </si>
  <si>
    <t>INV-12505</t>
  </si>
  <si>
    <t>INV-12506</t>
  </si>
  <si>
    <t>INV-12507</t>
  </si>
  <si>
    <t>INV-12508</t>
  </si>
  <si>
    <t>INV-12509</t>
  </si>
  <si>
    <t>INV-12510</t>
  </si>
  <si>
    <t>cust0140</t>
  </si>
  <si>
    <t>INV-12511</t>
  </si>
  <si>
    <t>INV-12512</t>
  </si>
  <si>
    <t>INV-12513</t>
  </si>
  <si>
    <t>INV-12514</t>
  </si>
  <si>
    <t>INV-12515</t>
  </si>
  <si>
    <t>INV-12516</t>
  </si>
  <si>
    <t>INV-12517</t>
  </si>
  <si>
    <t>INV-12518</t>
  </si>
  <si>
    <t>INV-12519</t>
  </si>
  <si>
    <t>INV-12520</t>
  </si>
  <si>
    <t>INV-12521</t>
  </si>
  <si>
    <t>INV-12522</t>
  </si>
  <si>
    <t>INV-12523</t>
  </si>
  <si>
    <t>INV-12524</t>
  </si>
  <si>
    <t>INV-12525</t>
  </si>
  <si>
    <t>INV-12526</t>
  </si>
  <si>
    <t>INV-12527</t>
  </si>
  <si>
    <t>INV-12528</t>
  </si>
  <si>
    <t>INV-12529</t>
  </si>
  <si>
    <t>INV-12530</t>
  </si>
  <si>
    <t>INV-12531</t>
  </si>
  <si>
    <t>INV-12532</t>
  </si>
  <si>
    <t>INV-12533</t>
  </si>
  <si>
    <t>INV-12534</t>
  </si>
  <si>
    <t>INV-12535</t>
  </si>
  <si>
    <t>INV-12536</t>
  </si>
  <si>
    <t>INV-12537</t>
  </si>
  <si>
    <t>INV-12538</t>
  </si>
  <si>
    <t>INV-12539</t>
  </si>
  <si>
    <t>INV-12540</t>
  </si>
  <si>
    <t>INV-12541</t>
  </si>
  <si>
    <t>INV-12542</t>
  </si>
  <si>
    <t>INV-12543</t>
  </si>
  <si>
    <t>INV-12544</t>
  </si>
  <si>
    <t>INV-12545</t>
  </si>
  <si>
    <t>INV-12546</t>
  </si>
  <si>
    <t>INV-12547</t>
  </si>
  <si>
    <t>INV-12548</t>
  </si>
  <si>
    <t>INV-12549</t>
  </si>
  <si>
    <t>INV-12550</t>
  </si>
  <si>
    <t>INV-12551</t>
  </si>
  <si>
    <t>INV-12552</t>
  </si>
  <si>
    <t>INV-12553</t>
  </si>
  <si>
    <t>INV-12554</t>
  </si>
  <si>
    <t>INV-12555</t>
  </si>
  <si>
    <t>INV-12556</t>
  </si>
  <si>
    <t>INV-12557</t>
  </si>
  <si>
    <t>INV-12558</t>
  </si>
  <si>
    <t>INV-12559</t>
  </si>
  <si>
    <t>cust0061</t>
  </si>
  <si>
    <t>INV-12560</t>
  </si>
  <si>
    <t>INV-12561</t>
  </si>
  <si>
    <t>INV-12562</t>
  </si>
  <si>
    <t>INV-12563</t>
  </si>
  <si>
    <t>INV-12564</t>
  </si>
  <si>
    <t>INV-12565</t>
  </si>
  <si>
    <t>INV-12566</t>
  </si>
  <si>
    <t>INV-12567</t>
  </si>
  <si>
    <t>INV-12568</t>
  </si>
  <si>
    <t>INV-12569</t>
  </si>
  <si>
    <t>cust0276</t>
  </si>
  <si>
    <t>INV-12570</t>
  </si>
  <si>
    <t>INV-12571</t>
  </si>
  <si>
    <t>INV-12572</t>
  </si>
  <si>
    <t>INV-12573</t>
  </si>
  <si>
    <t>INV-12574</t>
  </si>
  <si>
    <t>INV-12575</t>
  </si>
  <si>
    <t>INV-12576</t>
  </si>
  <si>
    <t>INV-12577</t>
  </si>
  <si>
    <t>INV-12578</t>
  </si>
  <si>
    <t>INV-12579</t>
  </si>
  <si>
    <t>INV-12580</t>
  </si>
  <si>
    <t>INV-12581</t>
  </si>
  <si>
    <t>INV-12582</t>
  </si>
  <si>
    <t>INV-12583</t>
  </si>
  <si>
    <t>INV-12584</t>
  </si>
  <si>
    <t>INV-12585</t>
  </si>
  <si>
    <t>INV-12586</t>
  </si>
  <si>
    <t>INV-12587</t>
  </si>
  <si>
    <t>INV-12588</t>
  </si>
  <si>
    <t>INV-12589</t>
  </si>
  <si>
    <t>INV-12590</t>
  </si>
  <si>
    <t>INV-12591</t>
  </si>
  <si>
    <t>INV-12592</t>
  </si>
  <si>
    <t>INV-12593</t>
  </si>
  <si>
    <t>INV-12594</t>
  </si>
  <si>
    <t>cust0253</t>
  </si>
  <si>
    <t>INV-12595</t>
  </si>
  <si>
    <t>INV-12596</t>
  </si>
  <si>
    <t>INV-12597</t>
  </si>
  <si>
    <t>INV-12598</t>
  </si>
  <si>
    <t>INV-12599</t>
  </si>
  <si>
    <t>INV-12600</t>
  </si>
  <si>
    <t>INV-12601</t>
  </si>
  <si>
    <t>INV-12602</t>
  </si>
  <si>
    <t>INV-12603</t>
  </si>
  <si>
    <t>INV-12604</t>
  </si>
  <si>
    <t>INV-12605</t>
  </si>
  <si>
    <t>INV-12606</t>
  </si>
  <si>
    <t>INV-12607</t>
  </si>
  <si>
    <t>INV-12608</t>
  </si>
  <si>
    <t>INV-12609</t>
  </si>
  <si>
    <t>INV-12610</t>
  </si>
  <si>
    <t>INV-12611</t>
  </si>
  <si>
    <t>INV-12612</t>
  </si>
  <si>
    <t>INV-12613</t>
  </si>
  <si>
    <t>INV-12614</t>
  </si>
  <si>
    <t>INV-12615</t>
  </si>
  <si>
    <t>INV-12616</t>
  </si>
  <si>
    <t>INV-12617</t>
  </si>
  <si>
    <t>INV-12618</t>
  </si>
  <si>
    <t>INV-12619</t>
  </si>
  <si>
    <t>INV-12620</t>
  </si>
  <si>
    <t>INV-12621</t>
  </si>
  <si>
    <t>INV-12622</t>
  </si>
  <si>
    <t>INV-12623</t>
  </si>
  <si>
    <t>INV-12624</t>
  </si>
  <si>
    <t>INV-12625</t>
  </si>
  <si>
    <t>INV-12626</t>
  </si>
  <si>
    <t>INV-12627</t>
  </si>
  <si>
    <t>INV-12628</t>
  </si>
  <si>
    <t>INV-12629</t>
  </si>
  <si>
    <t>INV-12630</t>
  </si>
  <si>
    <t>INV-12631</t>
  </si>
  <si>
    <t>INV-12632</t>
  </si>
  <si>
    <t>INV-12633</t>
  </si>
  <si>
    <t>INV-12634</t>
  </si>
  <si>
    <t>INV-12635</t>
  </si>
  <si>
    <t>INV-12636</t>
  </si>
  <si>
    <t>INV-12637</t>
  </si>
  <si>
    <t>INV-12638</t>
  </si>
  <si>
    <t>INV-12639</t>
  </si>
  <si>
    <t>INV-12640</t>
  </si>
  <si>
    <t>INV-12641</t>
  </si>
  <si>
    <t>INV-12642</t>
  </si>
  <si>
    <t>INV-12643</t>
  </si>
  <si>
    <t>INV-12644</t>
  </si>
  <si>
    <t>INV-12645</t>
  </si>
  <si>
    <t>INV-12646</t>
  </si>
  <si>
    <t>INV-12647</t>
  </si>
  <si>
    <t>INV-12648</t>
  </si>
  <si>
    <t>INV-12649</t>
  </si>
  <si>
    <t>INV-12650</t>
  </si>
  <si>
    <t>INV-12651</t>
  </si>
  <si>
    <t>INV-12652</t>
  </si>
  <si>
    <t>INV-12653</t>
  </si>
  <si>
    <t>INV-12654</t>
  </si>
  <si>
    <t>INV-12655</t>
  </si>
  <si>
    <t>INV-12656</t>
  </si>
  <si>
    <t>INV-12657</t>
  </si>
  <si>
    <t>INV-12658</t>
  </si>
  <si>
    <t>INV-12659</t>
  </si>
  <si>
    <t>INV-12660</t>
  </si>
  <si>
    <t>INV-12661</t>
  </si>
  <si>
    <t>INV-12662</t>
  </si>
  <si>
    <t>INV-12663</t>
  </si>
  <si>
    <t>INV-12664</t>
  </si>
  <si>
    <t>INV-12665</t>
  </si>
  <si>
    <t>INV-12666</t>
  </si>
  <si>
    <t>INV-12667</t>
  </si>
  <si>
    <t>INV-12668</t>
  </si>
  <si>
    <t>INV-12669</t>
  </si>
  <si>
    <t>INV-12670</t>
  </si>
  <si>
    <t>INV-12671</t>
  </si>
  <si>
    <t>INV-12672</t>
  </si>
  <si>
    <t>INV-12673</t>
  </si>
  <si>
    <t>INV-12674</t>
  </si>
  <si>
    <t>INV-12675</t>
  </si>
  <si>
    <t>INV-12676</t>
  </si>
  <si>
    <t>INV-12677</t>
  </si>
  <si>
    <t>INV-12678</t>
  </si>
  <si>
    <t>INV-12679</t>
  </si>
  <si>
    <t>INV-12680</t>
  </si>
  <si>
    <t>INV-12681</t>
  </si>
  <si>
    <t>INV-12682</t>
  </si>
  <si>
    <t>INV-12683</t>
  </si>
  <si>
    <t>INV-12684</t>
  </si>
  <si>
    <t>INV-12685</t>
  </si>
  <si>
    <t>INV-12686</t>
  </si>
  <si>
    <t>INV-12687</t>
  </si>
  <si>
    <t>INV-12688</t>
  </si>
  <si>
    <t>INV-12689</t>
  </si>
  <si>
    <t>INV-12690</t>
  </si>
  <si>
    <t>INV-12691</t>
  </si>
  <si>
    <t>INV-12692</t>
  </si>
  <si>
    <t>INV-12693</t>
  </si>
  <si>
    <t>INV-12694</t>
  </si>
  <si>
    <t>INV-12695</t>
  </si>
  <si>
    <t>INV-12696</t>
  </si>
  <si>
    <t>INV-12697</t>
  </si>
  <si>
    <t>INV-12698</t>
  </si>
  <si>
    <t>INV-12699</t>
  </si>
  <si>
    <t>INV-12700</t>
  </si>
  <si>
    <t>INV-12701</t>
  </si>
  <si>
    <t>INV-12702</t>
  </si>
  <si>
    <t>INV-12703</t>
  </si>
  <si>
    <t>INV-12704</t>
  </si>
  <si>
    <t>INV-12705</t>
  </si>
  <si>
    <t>INV-12706</t>
  </si>
  <si>
    <t>INV-12707</t>
  </si>
  <si>
    <t>INV-12708</t>
  </si>
  <si>
    <t>INV-12709</t>
  </si>
  <si>
    <t>INV-12710</t>
  </si>
  <si>
    <t>cust0100</t>
  </si>
  <si>
    <t>INV-12711</t>
  </si>
  <si>
    <t>INV-12712</t>
  </si>
  <si>
    <t>INV-12713</t>
  </si>
  <si>
    <t>INV-12714</t>
  </si>
  <si>
    <t>INV-12715</t>
  </si>
  <si>
    <t>INV-12716</t>
  </si>
  <si>
    <t>INV-12717</t>
  </si>
  <si>
    <t>INV-12718</t>
  </si>
  <si>
    <t>INV-12719</t>
  </si>
  <si>
    <t>INV-12720</t>
  </si>
  <si>
    <t>INV-12721</t>
  </si>
  <si>
    <t>INV-12722</t>
  </si>
  <si>
    <t>INV-12723</t>
  </si>
  <si>
    <t>cust0151</t>
  </si>
  <si>
    <t>INV-12724</t>
  </si>
  <si>
    <t>INV-12725</t>
  </si>
  <si>
    <t>cust0229</t>
  </si>
  <si>
    <t>INV-12726</t>
  </si>
  <si>
    <t>INV-12727</t>
  </si>
  <si>
    <t>cust0101</t>
  </si>
  <si>
    <t>INV-12728</t>
  </si>
  <si>
    <t>INV-12729</t>
  </si>
  <si>
    <t>INV-12730</t>
  </si>
  <si>
    <t>cust0104</t>
  </si>
  <si>
    <t>INV-12731</t>
  </si>
  <si>
    <t>INV-12732</t>
  </si>
  <si>
    <t>INV-12733</t>
  </si>
  <si>
    <t>INV-12734</t>
  </si>
  <si>
    <t>INV-12735</t>
  </si>
  <si>
    <t>INV-12736</t>
  </si>
  <si>
    <t>INV-12737</t>
  </si>
  <si>
    <t>INV-12738</t>
  </si>
  <si>
    <t>INV-12739</t>
  </si>
  <si>
    <t>INV-12740</t>
  </si>
  <si>
    <t>INV-12741</t>
  </si>
  <si>
    <t>INV-12742</t>
  </si>
  <si>
    <t>INV-12743</t>
  </si>
  <si>
    <t>INV-12744</t>
  </si>
  <si>
    <t>INV-12745</t>
  </si>
  <si>
    <t>INV-12746</t>
  </si>
  <si>
    <t>INV-12747</t>
  </si>
  <si>
    <t>INV-12748</t>
  </si>
  <si>
    <t>INV-12749</t>
  </si>
  <si>
    <t>INV-12750</t>
  </si>
  <si>
    <t>INV-12751</t>
  </si>
  <si>
    <t>INV-12752</t>
  </si>
  <si>
    <t>INV-12753</t>
  </si>
  <si>
    <t>INV-12754</t>
  </si>
  <si>
    <t>INV-12755</t>
  </si>
  <si>
    <t>INV-12756</t>
  </si>
  <si>
    <t>INV-12757</t>
  </si>
  <si>
    <t>INV-12758</t>
  </si>
  <si>
    <t>INV-12759</t>
  </si>
  <si>
    <t>INV-12760</t>
  </si>
  <si>
    <t>INV-12761</t>
  </si>
  <si>
    <t>INV-12762</t>
  </si>
  <si>
    <t>INV-12763</t>
  </si>
  <si>
    <t>INV-12764</t>
  </si>
  <si>
    <t>INV-12765</t>
  </si>
  <si>
    <t>INV-12766</t>
  </si>
  <si>
    <t>INV-12767</t>
  </si>
  <si>
    <t>INV-12768</t>
  </si>
  <si>
    <t>INV-12769</t>
  </si>
  <si>
    <t>INV-12770</t>
  </si>
  <si>
    <t>INV-12771</t>
  </si>
  <si>
    <t>INV-12772</t>
  </si>
  <si>
    <t>INV-12773</t>
  </si>
  <si>
    <t>INV-12774</t>
  </si>
  <si>
    <t>INV-12775</t>
  </si>
  <si>
    <t>INV-12776</t>
  </si>
  <si>
    <t>INV-12777</t>
  </si>
  <si>
    <t>INV-12778</t>
  </si>
  <si>
    <t>INV-12779</t>
  </si>
  <si>
    <t>INV-12780</t>
  </si>
  <si>
    <t>INV-12781</t>
  </si>
  <si>
    <t>cust0175</t>
  </si>
  <si>
    <t>INV-12782</t>
  </si>
  <si>
    <t>INV-12783</t>
  </si>
  <si>
    <t>INV-12784</t>
  </si>
  <si>
    <t>INV-12785</t>
  </si>
  <si>
    <t>INV-12786</t>
  </si>
  <si>
    <t>cust0110</t>
  </si>
  <si>
    <t>INV-12787</t>
  </si>
  <si>
    <t>INV-12788</t>
  </si>
  <si>
    <t>INV-12789</t>
  </si>
  <si>
    <t>INV-12790</t>
  </si>
  <si>
    <t>INV-12791</t>
  </si>
  <si>
    <t>INV-12792</t>
  </si>
  <si>
    <t>INV-12793</t>
  </si>
  <si>
    <t>INV-12794</t>
  </si>
  <si>
    <t>INV-12795</t>
  </si>
  <si>
    <t>INV-12796</t>
  </si>
  <si>
    <t>INV-12797</t>
  </si>
  <si>
    <t>INV-12798</t>
  </si>
  <si>
    <t>INV-12799</t>
  </si>
  <si>
    <t>INV-12800</t>
  </si>
  <si>
    <t>INV-12801</t>
  </si>
  <si>
    <t>INV-12802</t>
  </si>
  <si>
    <t>INV-12803</t>
  </si>
  <si>
    <t>INV-12804</t>
  </si>
  <si>
    <t>INV-12805</t>
  </si>
  <si>
    <t>INV-12806</t>
  </si>
  <si>
    <t>INV-12807</t>
  </si>
  <si>
    <t>INV-12808</t>
  </si>
  <si>
    <t>INV-12809</t>
  </si>
  <si>
    <t>INV-12810</t>
  </si>
  <si>
    <t>INV-12811</t>
  </si>
  <si>
    <t>INV-12812</t>
  </si>
  <si>
    <t>INV-12813</t>
  </si>
  <si>
    <t>INV-12814</t>
  </si>
  <si>
    <t>INV-12815</t>
  </si>
  <si>
    <t>INV-12816</t>
  </si>
  <si>
    <t>INV-12817</t>
  </si>
  <si>
    <t>INV-12818</t>
  </si>
  <si>
    <t>INV-12819</t>
  </si>
  <si>
    <t>cust0251</t>
  </si>
  <si>
    <t>INV-12820</t>
  </si>
  <si>
    <t>INV-12821</t>
  </si>
  <si>
    <t>INV-12822</t>
  </si>
  <si>
    <t>INV-12823</t>
  </si>
  <si>
    <t>INV-12824</t>
  </si>
  <si>
    <t>INV-12825</t>
  </si>
  <si>
    <t>INV-12826</t>
  </si>
  <si>
    <t>INV-12827</t>
  </si>
  <si>
    <t>INV-12828</t>
  </si>
  <si>
    <t>INV-12829</t>
  </si>
  <si>
    <t>INV-12830</t>
  </si>
  <si>
    <t>INV-12831</t>
  </si>
  <si>
    <t>INV-12832</t>
  </si>
  <si>
    <t>INV-12833</t>
  </si>
  <si>
    <t>cust0255</t>
  </si>
  <si>
    <t>INV-12834</t>
  </si>
  <si>
    <t>INV-12835</t>
  </si>
  <si>
    <t>INV-12836</t>
  </si>
  <si>
    <t>INV-12837</t>
  </si>
  <si>
    <t>INV-12838</t>
  </si>
  <si>
    <t>INV-12839</t>
  </si>
  <si>
    <t>INV-12840</t>
  </si>
  <si>
    <t>INV-12841</t>
  </si>
  <si>
    <t>INV-12842</t>
  </si>
  <si>
    <t>INV-12843</t>
  </si>
  <si>
    <t>INV-12844</t>
  </si>
  <si>
    <t>INV-12845</t>
  </si>
  <si>
    <t>INV-12846</t>
  </si>
  <si>
    <t>INV-12847</t>
  </si>
  <si>
    <t>INV-12848</t>
  </si>
  <si>
    <t>INV-12849</t>
  </si>
  <si>
    <t>INV-12850</t>
  </si>
  <si>
    <t>INV-12851</t>
  </si>
  <si>
    <t>INV-12852</t>
  </si>
  <si>
    <t>INV-12853</t>
  </si>
  <si>
    <t>INV-12854</t>
  </si>
  <si>
    <t>INV-12855</t>
  </si>
  <si>
    <t>INV-12856</t>
  </si>
  <si>
    <t>INV-12857</t>
  </si>
  <si>
    <t>cust0006</t>
  </si>
  <si>
    <t>INV-12858</t>
  </si>
  <si>
    <t>INV-12859</t>
  </si>
  <si>
    <t>cust0293</t>
  </si>
  <si>
    <t>INV-12860</t>
  </si>
  <si>
    <t>INV-12861</t>
  </si>
  <si>
    <t>INV-12862</t>
  </si>
  <si>
    <t>INV-12863</t>
  </si>
  <si>
    <t>INV-12864</t>
  </si>
  <si>
    <t>INV-12865</t>
  </si>
  <si>
    <t>INV-12866</t>
  </si>
  <si>
    <t>cust0201</t>
  </si>
  <si>
    <t>INV-12867</t>
  </si>
  <si>
    <t>INV-12868</t>
  </si>
  <si>
    <t>INV-12869</t>
  </si>
  <si>
    <t>INV-12870</t>
  </si>
  <si>
    <t>INV-12871</t>
  </si>
  <si>
    <t>cust0234</t>
  </si>
  <si>
    <t>INV-12872</t>
  </si>
  <si>
    <t>INV-12873</t>
  </si>
  <si>
    <t>INV-12874</t>
  </si>
  <si>
    <t>INV-12875</t>
  </si>
  <si>
    <t>INV-12876</t>
  </si>
  <si>
    <t>INV-12877</t>
  </si>
  <si>
    <t>INV-12878</t>
  </si>
  <si>
    <t>INV-12879</t>
  </si>
  <si>
    <t>INV-12880</t>
  </si>
  <si>
    <t>INV-12881</t>
  </si>
  <si>
    <t>INV-12882</t>
  </si>
  <si>
    <t>INV-12883</t>
  </si>
  <si>
    <t>INV-12884</t>
  </si>
  <si>
    <t>INV-12885</t>
  </si>
  <si>
    <t>INV-12886</t>
  </si>
  <si>
    <t>INV-12887</t>
  </si>
  <si>
    <t>INV-12888</t>
  </si>
  <si>
    <t>INV-12889</t>
  </si>
  <si>
    <t>INV-12890</t>
  </si>
  <si>
    <t>INV-12891</t>
  </si>
  <si>
    <t>INV-12892</t>
  </si>
  <si>
    <t>INV-12893</t>
  </si>
  <si>
    <t>INV-12894</t>
  </si>
  <si>
    <t>INV-12895</t>
  </si>
  <si>
    <t>INV-12896</t>
  </si>
  <si>
    <t>INV-12897</t>
  </si>
  <si>
    <t>INV-12898</t>
  </si>
  <si>
    <t>INV-12899</t>
  </si>
  <si>
    <t>INV-12900</t>
  </si>
  <si>
    <t>INV-12901</t>
  </si>
  <si>
    <t>INV-12902</t>
  </si>
  <si>
    <t>INV-12903</t>
  </si>
  <si>
    <t>INV-12904</t>
  </si>
  <si>
    <t>INV-12905</t>
  </si>
  <si>
    <t>INV-12906</t>
  </si>
  <si>
    <t>INV-12907</t>
  </si>
  <si>
    <t>INV-12908</t>
  </si>
  <si>
    <t>INV-12909</t>
  </si>
  <si>
    <t>INV-12910</t>
  </si>
  <si>
    <t>INV-12911</t>
  </si>
  <si>
    <t>INV-12912</t>
  </si>
  <si>
    <t>INV-12913</t>
  </si>
  <si>
    <t>INV-12914</t>
  </si>
  <si>
    <t>INV-12915</t>
  </si>
  <si>
    <t>INV-12916</t>
  </si>
  <si>
    <t>INV-12917</t>
  </si>
  <si>
    <t>INV-12918</t>
  </si>
  <si>
    <t>INV-12919</t>
  </si>
  <si>
    <t>cust0150</t>
  </si>
  <si>
    <t>INV-12920</t>
  </si>
  <si>
    <t>INV-12921</t>
  </si>
  <si>
    <t>INV-12922</t>
  </si>
  <si>
    <t>INV-12923</t>
  </si>
  <si>
    <t>INV-12924</t>
  </si>
  <si>
    <t>INV-12925</t>
  </si>
  <si>
    <t>INV-12926</t>
  </si>
  <si>
    <t>INV-12927</t>
  </si>
  <si>
    <t>INV-12928</t>
  </si>
  <si>
    <t>INV-12929</t>
  </si>
  <si>
    <t>INV-12930</t>
  </si>
  <si>
    <t>INV-12931</t>
  </si>
  <si>
    <t>INV-12932</t>
  </si>
  <si>
    <t>INV-12933</t>
  </si>
  <si>
    <t>INV-12934</t>
  </si>
  <si>
    <t>INV-12935</t>
  </si>
  <si>
    <t>INV-12936</t>
  </si>
  <si>
    <t>INV-12937</t>
  </si>
  <si>
    <t>INV-12938</t>
  </si>
  <si>
    <t>INV-12939</t>
  </si>
  <si>
    <t>INV-12940</t>
  </si>
  <si>
    <t>INV-12941</t>
  </si>
  <si>
    <t>INV-12942</t>
  </si>
  <si>
    <t>INV-12943</t>
  </si>
  <si>
    <t>INV-12944</t>
  </si>
  <si>
    <t>INV-12945</t>
  </si>
  <si>
    <t>INV-12946</t>
  </si>
  <si>
    <t>INV-12947</t>
  </si>
  <si>
    <t>INV-12948</t>
  </si>
  <si>
    <t>INV-12949</t>
  </si>
  <si>
    <t>INV-12950</t>
  </si>
  <si>
    <t>INV-12951</t>
  </si>
  <si>
    <t>cust0249</t>
  </si>
  <si>
    <t>INV-12952</t>
  </si>
  <si>
    <t>INV-12953</t>
  </si>
  <si>
    <t>INV-12954</t>
  </si>
  <si>
    <t>INV-12955</t>
  </si>
  <si>
    <t>INV-12956</t>
  </si>
  <si>
    <t>INV-12957</t>
  </si>
  <si>
    <t>INV-12958</t>
  </si>
  <si>
    <t>INV-12959</t>
  </si>
  <si>
    <t>INV-12960</t>
  </si>
  <si>
    <t>INV-12961</t>
  </si>
  <si>
    <t>INV-12962</t>
  </si>
  <si>
    <t>INV-12963</t>
  </si>
  <si>
    <t>cust0242</t>
  </si>
  <si>
    <t>INV-12964</t>
  </si>
  <si>
    <t>INV-12965</t>
  </si>
  <si>
    <t>INV-12966</t>
  </si>
  <si>
    <t>INV-12967</t>
  </si>
  <si>
    <t>INV-12968</t>
  </si>
  <si>
    <t>INV-12969</t>
  </si>
  <si>
    <t>INV-12970</t>
  </si>
  <si>
    <t>INV-12971</t>
  </si>
  <si>
    <t>INV-12972</t>
  </si>
  <si>
    <t>INV-12973</t>
  </si>
  <si>
    <t>INV-12974</t>
  </si>
  <si>
    <t>INV-12975</t>
  </si>
  <si>
    <t>INV-12976</t>
  </si>
  <si>
    <t>INV-12977</t>
  </si>
  <si>
    <t>INV-12978</t>
  </si>
  <si>
    <t>INV-12979</t>
  </si>
  <si>
    <t>INV-12980</t>
  </si>
  <si>
    <t>INV-12981</t>
  </si>
  <si>
    <t>INV-12982</t>
  </si>
  <si>
    <t>INV-12983</t>
  </si>
  <si>
    <t>INV-12984</t>
  </si>
  <si>
    <t>INV-12985</t>
  </si>
  <si>
    <t>INV-12986</t>
  </si>
  <si>
    <t>INV-12987</t>
  </si>
  <si>
    <t>INV-12988</t>
  </si>
  <si>
    <t>INV-12989</t>
  </si>
  <si>
    <t>INV-12990</t>
  </si>
  <si>
    <t>INV-12991</t>
  </si>
  <si>
    <t>INV-12992</t>
  </si>
  <si>
    <t>INV-12993</t>
  </si>
  <si>
    <t>INV-12994</t>
  </si>
  <si>
    <t>INV-12995</t>
  </si>
  <si>
    <t>INV-12996</t>
  </si>
  <si>
    <t>INV-12997</t>
  </si>
  <si>
    <t>INV-12998</t>
  </si>
  <si>
    <t>INV-12999</t>
  </si>
  <si>
    <t>INV-13000</t>
  </si>
  <si>
    <t>INV-13001</t>
  </si>
  <si>
    <t>INV-13002</t>
  </si>
  <si>
    <t>INV-13003</t>
  </si>
  <si>
    <t>INV-13004</t>
  </si>
  <si>
    <t>INV-13005</t>
  </si>
  <si>
    <t>INV-13006</t>
  </si>
  <si>
    <t>INV-13007</t>
  </si>
  <si>
    <t>INV-13008</t>
  </si>
  <si>
    <t>INV-13009</t>
  </si>
  <si>
    <t>INV-13010</t>
  </si>
  <si>
    <t>INV-13011</t>
  </si>
  <si>
    <t>INV-13012</t>
  </si>
  <si>
    <t>INV-13013</t>
  </si>
  <si>
    <t>INV-13014</t>
  </si>
  <si>
    <t>INV-13015</t>
  </si>
  <si>
    <t>INV-13016</t>
  </si>
  <si>
    <t>INV-13017</t>
  </si>
  <si>
    <t>INV-13018</t>
  </si>
  <si>
    <t>INV-13019</t>
  </si>
  <si>
    <t>INV-13020</t>
  </si>
  <si>
    <t>INV-13021</t>
  </si>
  <si>
    <t>INV-13022</t>
  </si>
  <si>
    <t>INV-13023</t>
  </si>
  <si>
    <t>INV-13024</t>
  </si>
  <si>
    <t>INV-13025</t>
  </si>
  <si>
    <t>INV-13026</t>
  </si>
  <si>
    <t>INV-13027</t>
  </si>
  <si>
    <t>INV-13028</t>
  </si>
  <si>
    <t>INV-13029</t>
  </si>
  <si>
    <t>INV-13030</t>
  </si>
  <si>
    <t>INV-13031</t>
  </si>
  <si>
    <t>INV-13032</t>
  </si>
  <si>
    <t>cust0224</t>
  </si>
  <si>
    <t>INV-13033</t>
  </si>
  <si>
    <t>INV-13034</t>
  </si>
  <si>
    <t>INV-13035</t>
  </si>
  <si>
    <t>INV-13036</t>
  </si>
  <si>
    <t>INV-13037</t>
  </si>
  <si>
    <t>INV-13038</t>
  </si>
  <si>
    <t>INV-13039</t>
  </si>
  <si>
    <t>INV-13040</t>
  </si>
  <si>
    <t>INV-13041</t>
  </si>
  <si>
    <t>INV-13042</t>
  </si>
  <si>
    <t>INV-13043</t>
  </si>
  <si>
    <t>INV-13044</t>
  </si>
  <si>
    <t>INV-13045</t>
  </si>
  <si>
    <t>INV-13046</t>
  </si>
  <si>
    <t>INV-13047</t>
  </si>
  <si>
    <t>INV-13048</t>
  </si>
  <si>
    <t>INV-13049</t>
  </si>
  <si>
    <t>INV-13050</t>
  </si>
  <si>
    <t>INV-13051</t>
  </si>
  <si>
    <t>INV-13052</t>
  </si>
  <si>
    <t>INV-13053</t>
  </si>
  <si>
    <t>INV-13054</t>
  </si>
  <si>
    <t>INV-13055</t>
  </si>
  <si>
    <t>INV-13056</t>
  </si>
  <si>
    <t>INV-13057</t>
  </si>
  <si>
    <t>INV-13058</t>
  </si>
  <si>
    <t>INV-13059</t>
  </si>
  <si>
    <t>INV-13060</t>
  </si>
  <si>
    <t>INV-13061</t>
  </si>
  <si>
    <t>INV-13062</t>
  </si>
  <si>
    <t>INV-13063</t>
  </si>
  <si>
    <t>INV-13064</t>
  </si>
  <si>
    <t>INV-13065</t>
  </si>
  <si>
    <t>INV-13066</t>
  </si>
  <si>
    <t>INV-13067</t>
  </si>
  <si>
    <t>INV-13068</t>
  </si>
  <si>
    <t>INV-13069</t>
  </si>
  <si>
    <t>INV-13070</t>
  </si>
  <si>
    <t>INV-13071</t>
  </si>
  <si>
    <t>INV-13072</t>
  </si>
  <si>
    <t>INV-13073</t>
  </si>
  <si>
    <t>INV-13074</t>
  </si>
  <si>
    <t>INV-13075</t>
  </si>
  <si>
    <t>INV-13076</t>
  </si>
  <si>
    <t>INV-13077</t>
  </si>
  <si>
    <t>INV-13078</t>
  </si>
  <si>
    <t>INV-13079</t>
  </si>
  <si>
    <t>INV-13080</t>
  </si>
  <si>
    <t>INV-13081</t>
  </si>
  <si>
    <t>INV-13082</t>
  </si>
  <si>
    <t>INV-13083</t>
  </si>
  <si>
    <t>INV-13084</t>
  </si>
  <si>
    <t>INV-13085</t>
  </si>
  <si>
    <t>INV-13086</t>
  </si>
  <si>
    <t>INV-13087</t>
  </si>
  <si>
    <t>INV-13088</t>
  </si>
  <si>
    <t>INV-13089</t>
  </si>
  <si>
    <t>INV-13090</t>
  </si>
  <si>
    <t>INV-13091</t>
  </si>
  <si>
    <t>INV-13092</t>
  </si>
  <si>
    <t>INV-13093</t>
  </si>
  <si>
    <t>INV-13094</t>
  </si>
  <si>
    <t>INV-13095</t>
  </si>
  <si>
    <t>INV-13096</t>
  </si>
  <si>
    <t>INV-13097</t>
  </si>
  <si>
    <t>INV-13098</t>
  </si>
  <si>
    <t>INV-13099</t>
  </si>
  <si>
    <t>INV-13100</t>
  </si>
  <si>
    <t>INV-13101</t>
  </si>
  <si>
    <t>INV-13102</t>
  </si>
  <si>
    <t>INV-13103</t>
  </si>
  <si>
    <t>INV-13104</t>
  </si>
  <si>
    <t>INV-13105</t>
  </si>
  <si>
    <t>INV-13106</t>
  </si>
  <si>
    <t>INV-13107</t>
  </si>
  <si>
    <t>INV-13108</t>
  </si>
  <si>
    <t>INV-13109</t>
  </si>
  <si>
    <t>INV-13110</t>
  </si>
  <si>
    <t>INV-13111</t>
  </si>
  <si>
    <t>INV-13112</t>
  </si>
  <si>
    <t>INV-13113</t>
  </si>
  <si>
    <t>INV-13114</t>
  </si>
  <si>
    <t>INV-13115</t>
  </si>
  <si>
    <t>INV-13116</t>
  </si>
  <si>
    <t>cust0171</t>
  </si>
  <si>
    <t>INV-13117</t>
  </si>
  <si>
    <t>INV-13118</t>
  </si>
  <si>
    <t>INV-13119</t>
  </si>
  <si>
    <t>INV-13120</t>
  </si>
  <si>
    <t>INV-13121</t>
  </si>
  <si>
    <t>INV-13122</t>
  </si>
  <si>
    <t>INV-13123</t>
  </si>
  <si>
    <t>INV-13124</t>
  </si>
  <si>
    <t>INV-13125</t>
  </si>
  <si>
    <t>INV-13126</t>
  </si>
  <si>
    <t>INV-13127</t>
  </si>
  <si>
    <t>cust0072</t>
  </si>
  <si>
    <t>INV-13128</t>
  </si>
  <si>
    <t>INV-13129</t>
  </si>
  <si>
    <t>INV-13130</t>
  </si>
  <si>
    <t>INV-13131</t>
  </si>
  <si>
    <t>INV-13132</t>
  </si>
  <si>
    <t>INV-13133</t>
  </si>
  <si>
    <t>INV-13134</t>
  </si>
  <si>
    <t>INV-13135</t>
  </si>
  <si>
    <t>INV-13136</t>
  </si>
  <si>
    <t>INV-13137</t>
  </si>
  <si>
    <t>INV-13138</t>
  </si>
  <si>
    <t>INV-13139</t>
  </si>
  <si>
    <t>INV-13140</t>
  </si>
  <si>
    <t>INV-13141</t>
  </si>
  <si>
    <t>INV-13142</t>
  </si>
  <si>
    <t>INV-13143</t>
  </si>
  <si>
    <t>INV-13144</t>
  </si>
  <si>
    <t>INV-13145</t>
  </si>
  <si>
    <t>INV-13146</t>
  </si>
  <si>
    <t>INV-13147</t>
  </si>
  <si>
    <t>INV-13148</t>
  </si>
  <si>
    <t>INV-13149</t>
  </si>
  <si>
    <t>INV-13150</t>
  </si>
  <si>
    <t>INV-13151</t>
  </si>
  <si>
    <t>INV-13152</t>
  </si>
  <si>
    <t>INV-13153</t>
  </si>
  <si>
    <t>INV-13154</t>
  </si>
  <si>
    <t>INV-13155</t>
  </si>
  <si>
    <t>INV-13156</t>
  </si>
  <si>
    <t>INV-13157</t>
  </si>
  <si>
    <t>INV-13158</t>
  </si>
  <si>
    <t>INV-13159</t>
  </si>
  <si>
    <t>INV-13160</t>
  </si>
  <si>
    <t>INV-13161</t>
  </si>
  <si>
    <t>INV-13162</t>
  </si>
  <si>
    <t>INV-13163</t>
  </si>
  <si>
    <t>INV-13164</t>
  </si>
  <si>
    <t>INV-13165</t>
  </si>
  <si>
    <t>INV-13166</t>
  </si>
  <si>
    <t>INV-13167</t>
  </si>
  <si>
    <t>INV-13168</t>
  </si>
  <si>
    <t>INV-13169</t>
  </si>
  <si>
    <t>INV-13170</t>
  </si>
  <si>
    <t>INV-13171</t>
  </si>
  <si>
    <t>INV-13172</t>
  </si>
  <si>
    <t>INV-13173</t>
  </si>
  <si>
    <t>INV-13174</t>
  </si>
  <si>
    <t>INV-13175</t>
  </si>
  <si>
    <t>INV-13176</t>
  </si>
  <si>
    <t>INV-13177</t>
  </si>
  <si>
    <t>INV-13178</t>
  </si>
  <si>
    <t>INV-13179</t>
  </si>
  <si>
    <t>INV-13180</t>
  </si>
  <si>
    <t>INV-13181</t>
  </si>
  <si>
    <t>INV-13182</t>
  </si>
  <si>
    <t>INV-13183</t>
  </si>
  <si>
    <t>INV-13184</t>
  </si>
  <si>
    <t>cust0172</t>
  </si>
  <si>
    <t>INV-13185</t>
  </si>
  <si>
    <t>INV-13186</t>
  </si>
  <si>
    <t>INV-13187</t>
  </si>
  <si>
    <t>INV-13188</t>
  </si>
  <si>
    <t>INV-13189</t>
  </si>
  <si>
    <t>INV-13190</t>
  </si>
  <si>
    <t>INV-13191</t>
  </si>
  <si>
    <t>INV-13192</t>
  </si>
  <si>
    <t>INV-13193</t>
  </si>
  <si>
    <t>INV-13194</t>
  </si>
  <si>
    <t>INV-13195</t>
  </si>
  <si>
    <t>INV-13196</t>
  </si>
  <si>
    <t>INV-13197</t>
  </si>
  <si>
    <t>INV-13198</t>
  </si>
  <si>
    <t>INV-13199</t>
  </si>
  <si>
    <t>INV-13200</t>
  </si>
  <si>
    <t>INV-13201</t>
  </si>
  <si>
    <t>INV-13202</t>
  </si>
  <si>
    <t>INV-13203</t>
  </si>
  <si>
    <t>INV-13204</t>
  </si>
  <si>
    <t>INV-13205</t>
  </si>
  <si>
    <t>INV-13206</t>
  </si>
  <si>
    <t>INV-13207</t>
  </si>
  <si>
    <t>INV-13208</t>
  </si>
  <si>
    <t>INV-13209</t>
  </si>
  <si>
    <t>INV-13210</t>
  </si>
  <si>
    <t>INV-13211</t>
  </si>
  <si>
    <t>INV-13212</t>
  </si>
  <si>
    <t>INV-13213</t>
  </si>
  <si>
    <t>INV-13214</t>
  </si>
  <si>
    <t>INV-13215</t>
  </si>
  <si>
    <t>INV-13216</t>
  </si>
  <si>
    <t>INV-13217</t>
  </si>
  <si>
    <t>INV-13218</t>
  </si>
  <si>
    <t>INV-13219</t>
  </si>
  <si>
    <t>INV-13220</t>
  </si>
  <si>
    <t>INV-13221</t>
  </si>
  <si>
    <t>INV-13222</t>
  </si>
  <si>
    <t>INV-13223</t>
  </si>
  <si>
    <t>INV-13224</t>
  </si>
  <si>
    <t>INV-13225</t>
  </si>
  <si>
    <t>INV-13226</t>
  </si>
  <si>
    <t>INV-13227</t>
  </si>
  <si>
    <t>INV-13228</t>
  </si>
  <si>
    <t>INV-13229</t>
  </si>
  <si>
    <t>INV-13230</t>
  </si>
  <si>
    <t>INV-13231</t>
  </si>
  <si>
    <t>INV-13232</t>
  </si>
  <si>
    <t>INV-13233</t>
  </si>
  <si>
    <t>INV-13234</t>
  </si>
  <si>
    <t>INV-13235</t>
  </si>
  <si>
    <t>cust0043</t>
  </si>
  <si>
    <t>INV-13236</t>
  </si>
  <si>
    <t>INV-13237</t>
  </si>
  <si>
    <t>INV-13238</t>
  </si>
  <si>
    <t>cust0088</t>
  </si>
  <si>
    <t>INV-13239</t>
  </si>
  <si>
    <t>INV-13240</t>
  </si>
  <si>
    <t>INV-13241</t>
  </si>
  <si>
    <t>INV-13242</t>
  </si>
  <si>
    <t>INV-13243</t>
  </si>
  <si>
    <t>INV-13244</t>
  </si>
  <si>
    <t>INV-13245</t>
  </si>
  <si>
    <t>INV-13246</t>
  </si>
  <si>
    <t>INV-13247</t>
  </si>
  <si>
    <t>INV-13248</t>
  </si>
  <si>
    <t>INV-13249</t>
  </si>
  <si>
    <t>INV-13250</t>
  </si>
  <si>
    <t>INV-13251</t>
  </si>
  <si>
    <t>INV-13252</t>
  </si>
  <si>
    <t>INV-13253</t>
  </si>
  <si>
    <t>INV-13254</t>
  </si>
  <si>
    <t>INV-13255</t>
  </si>
  <si>
    <t>INV-13256</t>
  </si>
  <si>
    <t>INV-13257</t>
  </si>
  <si>
    <t>INV-13258</t>
  </si>
  <si>
    <t>INV-13259</t>
  </si>
  <si>
    <t>INV-13260</t>
  </si>
  <si>
    <t>INV-13261</t>
  </si>
  <si>
    <t>INV-13262</t>
  </si>
  <si>
    <t>INV-13263</t>
  </si>
  <si>
    <t>INV-13264</t>
  </si>
  <si>
    <t>INV-13265</t>
  </si>
  <si>
    <t>INV-13266</t>
  </si>
  <si>
    <t>cust0258</t>
  </si>
  <si>
    <t>INV-13267</t>
  </si>
  <si>
    <t>INV-13268</t>
  </si>
  <si>
    <t>INV-13269</t>
  </si>
  <si>
    <t>INV-13270</t>
  </si>
  <si>
    <t>INV-13271</t>
  </si>
  <si>
    <t>INV-13272</t>
  </si>
  <si>
    <t>INV-13273</t>
  </si>
  <si>
    <t>INV-13274</t>
  </si>
  <si>
    <t>INV-13275</t>
  </si>
  <si>
    <t>INV-13276</t>
  </si>
  <si>
    <t>INV-13277</t>
  </si>
  <si>
    <t>INV-13278</t>
  </si>
  <si>
    <t>INV-13279</t>
  </si>
  <si>
    <t>INV-13280</t>
  </si>
  <si>
    <t>INV-13281</t>
  </si>
  <si>
    <t>INV-13282</t>
  </si>
  <si>
    <t>INV-13283</t>
  </si>
  <si>
    <t>INV-13284</t>
  </si>
  <si>
    <t>INV-13285</t>
  </si>
  <si>
    <t>INV-13286</t>
  </si>
  <si>
    <t>INV-13287</t>
  </si>
  <si>
    <t>cust0127</t>
  </si>
  <si>
    <t>INV-13288</t>
  </si>
  <si>
    <t>INV-13289</t>
  </si>
  <si>
    <t>INV-13290</t>
  </si>
  <si>
    <t>INV-13291</t>
  </si>
  <si>
    <t>INV-13292</t>
  </si>
  <si>
    <t>INV-13293</t>
  </si>
  <si>
    <t>INV-13294</t>
  </si>
  <si>
    <t>INV-13295</t>
  </si>
  <si>
    <t>cust0215</t>
  </si>
  <si>
    <t>INV-13296</t>
  </si>
  <si>
    <t>INV-13297</t>
  </si>
  <si>
    <t>INV-13298</t>
  </si>
  <si>
    <t>INV-13299</t>
  </si>
  <si>
    <t>INV-13300</t>
  </si>
  <si>
    <t>INV-13301</t>
  </si>
  <si>
    <t>cust0089</t>
  </si>
  <si>
    <t>INV-13302</t>
  </si>
  <si>
    <t>INV-13303</t>
  </si>
  <si>
    <t>INV-13304</t>
  </si>
  <si>
    <t>INV-13305</t>
  </si>
  <si>
    <t>INV-13306</t>
  </si>
  <si>
    <t>INV-13307</t>
  </si>
  <si>
    <t>INV-13308</t>
  </si>
  <si>
    <t>INV-13309</t>
  </si>
  <si>
    <t>INV-13310</t>
  </si>
  <si>
    <t>INV-13311</t>
  </si>
  <si>
    <t>INV-13312</t>
  </si>
  <si>
    <t>INV-13313</t>
  </si>
  <si>
    <t>INV-13314</t>
  </si>
  <si>
    <t>INV-13315</t>
  </si>
  <si>
    <t>INV-13316</t>
  </si>
  <si>
    <t>INV-13317</t>
  </si>
  <si>
    <t>INV-13318</t>
  </si>
  <si>
    <t>INV-13319</t>
  </si>
  <si>
    <t>cust0124</t>
  </si>
  <si>
    <t>INV-13320</t>
  </si>
  <si>
    <t>INV-13321</t>
  </si>
  <si>
    <t>INV-13322</t>
  </si>
  <si>
    <t>INV-13323</t>
  </si>
  <si>
    <t>INV-13324</t>
  </si>
  <si>
    <t>INV-13325</t>
  </si>
  <si>
    <t>INV-13326</t>
  </si>
  <si>
    <t>INV-13327</t>
  </si>
  <si>
    <t>INV-13328</t>
  </si>
  <si>
    <t>INV-13329</t>
  </si>
  <si>
    <t>INV-13330</t>
  </si>
  <si>
    <t>INV-13331</t>
  </si>
  <si>
    <t>cust0040</t>
  </si>
  <si>
    <t>INV-13332</t>
  </si>
  <si>
    <t>INV-13333</t>
  </si>
  <si>
    <t>INV-13334</t>
  </si>
  <si>
    <t>INV-13335</t>
  </si>
  <si>
    <t>INV-13336</t>
  </si>
  <si>
    <t>INV-13337</t>
  </si>
  <si>
    <t>INV-13338</t>
  </si>
  <si>
    <t>INV-13339</t>
  </si>
  <si>
    <t>INV-13340</t>
  </si>
  <si>
    <t>INV-13341</t>
  </si>
  <si>
    <t>INV-13342</t>
  </si>
  <si>
    <t>INV-13343</t>
  </si>
  <si>
    <t>INV-13344</t>
  </si>
  <si>
    <t>INV-13345</t>
  </si>
  <si>
    <t>INV-13346</t>
  </si>
  <si>
    <t>INV-13347</t>
  </si>
  <si>
    <t>INV-13348</t>
  </si>
  <si>
    <t>INV-13349</t>
  </si>
  <si>
    <t>INV-13350</t>
  </si>
  <si>
    <t>INV-13351</t>
  </si>
  <si>
    <t>INV-13352</t>
  </si>
  <si>
    <t>INV-13353</t>
  </si>
  <si>
    <t>INV-13354</t>
  </si>
  <si>
    <t>INV-13355</t>
  </si>
  <si>
    <t>INV-13356</t>
  </si>
  <si>
    <t>INV-13357</t>
  </si>
  <si>
    <t>INV-13358</t>
  </si>
  <si>
    <t>INV-13359</t>
  </si>
  <si>
    <t>INV-13360</t>
  </si>
  <si>
    <t>INV-13361</t>
  </si>
  <si>
    <t>INV-13362</t>
  </si>
  <si>
    <t>INV-13363</t>
  </si>
  <si>
    <t>INV-13364</t>
  </si>
  <si>
    <t>INV-13365</t>
  </si>
  <si>
    <t>INV-13366</t>
  </si>
  <si>
    <t>INV-13367</t>
  </si>
  <si>
    <t>INV-13368</t>
  </si>
  <si>
    <t>INV-13369</t>
  </si>
  <si>
    <t>INV-13370</t>
  </si>
  <si>
    <t>INV-13371</t>
  </si>
  <si>
    <t>INV-13372</t>
  </si>
  <si>
    <t>INV-13373</t>
  </si>
  <si>
    <t>INV-13374</t>
  </si>
  <si>
    <t>INV-13375</t>
  </si>
  <si>
    <t>INV-13376</t>
  </si>
  <si>
    <t>INV-13377</t>
  </si>
  <si>
    <t>INV-13378</t>
  </si>
  <si>
    <t>INV-13379</t>
  </si>
  <si>
    <t>INV-13380</t>
  </si>
  <si>
    <t>INV-13381</t>
  </si>
  <si>
    <t>INV-13382</t>
  </si>
  <si>
    <t>INV-13383</t>
  </si>
  <si>
    <t>INV-13384</t>
  </si>
  <si>
    <t>INV-13385</t>
  </si>
  <si>
    <t>INV-13386</t>
  </si>
  <si>
    <t>INV-13387</t>
  </si>
  <si>
    <t>INV-13388</t>
  </si>
  <si>
    <t>INV-13389</t>
  </si>
  <si>
    <t>INV-13390</t>
  </si>
  <si>
    <t>INV-13391</t>
  </si>
  <si>
    <t>INV-13392</t>
  </si>
  <si>
    <t>INV-13393</t>
  </si>
  <si>
    <t>INV-13394</t>
  </si>
  <si>
    <t>INV-13395</t>
  </si>
  <si>
    <t>INV-13396</t>
  </si>
  <si>
    <t>INV-13397</t>
  </si>
  <si>
    <t>INV-13398</t>
  </si>
  <si>
    <t>INV-13399</t>
  </si>
  <si>
    <t>INV-13400</t>
  </si>
  <si>
    <t>INV-13401</t>
  </si>
  <si>
    <t>INV-13402</t>
  </si>
  <si>
    <t>INV-13403</t>
  </si>
  <si>
    <t>INV-13404</t>
  </si>
  <si>
    <t>INV-13405</t>
  </si>
  <si>
    <t>INV-13406</t>
  </si>
  <si>
    <t>INV-13407</t>
  </si>
  <si>
    <t>INV-13408</t>
  </si>
  <si>
    <t>INV-13409</t>
  </si>
  <si>
    <t>INV-13410</t>
  </si>
  <si>
    <t>INV-13411</t>
  </si>
  <si>
    <t>INV-13412</t>
  </si>
  <si>
    <t>INV-13413</t>
  </si>
  <si>
    <t>INV-13414</t>
  </si>
  <si>
    <t>INV-13415</t>
  </si>
  <si>
    <t>INV-13416</t>
  </si>
  <si>
    <t>INV-13417</t>
  </si>
  <si>
    <t>INV-13418</t>
  </si>
  <si>
    <t>cust0166</t>
  </si>
  <si>
    <t>INV-13419</t>
  </si>
  <si>
    <t>INV-13420</t>
  </si>
  <si>
    <t>INV-13421</t>
  </si>
  <si>
    <t>cust0203</t>
  </si>
  <si>
    <t>INV-13422</t>
  </si>
  <si>
    <t>INV-13423</t>
  </si>
  <si>
    <t>INV-13424</t>
  </si>
  <si>
    <t>INV-13425</t>
  </si>
  <si>
    <t>cust0285</t>
  </si>
  <si>
    <t>INV-13426</t>
  </si>
  <si>
    <t>INV-13427</t>
  </si>
  <si>
    <t>INV-13428</t>
  </si>
  <si>
    <t>INV-13429</t>
  </si>
  <si>
    <t>INV-13430</t>
  </si>
  <si>
    <t>INV-13431</t>
  </si>
  <si>
    <t>INV-13432</t>
  </si>
  <si>
    <t>INV-13433</t>
  </si>
  <si>
    <t>INV-13434</t>
  </si>
  <si>
    <t>INV-13435</t>
  </si>
  <si>
    <t>INV-13436</t>
  </si>
  <si>
    <t>INV-13437</t>
  </si>
  <si>
    <t>INV-13438</t>
  </si>
  <si>
    <t>INV-13439</t>
  </si>
  <si>
    <t>INV-13440</t>
  </si>
  <si>
    <t>INV-13441</t>
  </si>
  <si>
    <t>INV-13442</t>
  </si>
  <si>
    <t>INV-13443</t>
  </si>
  <si>
    <t>INV-13444</t>
  </si>
  <si>
    <t>INV-13445</t>
  </si>
  <si>
    <t>INV-13446</t>
  </si>
  <si>
    <t>INV-13447</t>
  </si>
  <si>
    <t>INV-13448</t>
  </si>
  <si>
    <t>INV-13449</t>
  </si>
  <si>
    <t>INV-13450</t>
  </si>
  <si>
    <t>INV-13451</t>
  </si>
  <si>
    <t>INV-13452</t>
  </si>
  <si>
    <t>INV-13453</t>
  </si>
  <si>
    <t>INV-13454</t>
  </si>
  <si>
    <t>INV-13455</t>
  </si>
  <si>
    <t>INV-13456</t>
  </si>
  <si>
    <t>INV-13457</t>
  </si>
  <si>
    <t>INV-13458</t>
  </si>
  <si>
    <t>INV-13459</t>
  </si>
  <si>
    <t>INV-13460</t>
  </si>
  <si>
    <t>INV-13461</t>
  </si>
  <si>
    <t>INV-13462</t>
  </si>
  <si>
    <t>INV-13463</t>
  </si>
  <si>
    <t>INV-13464</t>
  </si>
  <si>
    <t>INV-13465</t>
  </si>
  <si>
    <t>INV-13466</t>
  </si>
  <si>
    <t>INV-13467</t>
  </si>
  <si>
    <t>INV-13468</t>
  </si>
  <si>
    <t>INV-13469</t>
  </si>
  <si>
    <t>INV-13470</t>
  </si>
  <si>
    <t>INV-13471</t>
  </si>
  <si>
    <t>INV-13472</t>
  </si>
  <si>
    <t>INV-13473</t>
  </si>
  <si>
    <t>INV-13474</t>
  </si>
  <si>
    <t>INV-13475</t>
  </si>
  <si>
    <t>INV-13476</t>
  </si>
  <si>
    <t>INV-13477</t>
  </si>
  <si>
    <t>INV-13478</t>
  </si>
  <si>
    <t>INV-13479</t>
  </si>
  <si>
    <t>INV-13480</t>
  </si>
  <si>
    <t>INV-13481</t>
  </si>
  <si>
    <t>INV-13482</t>
  </si>
  <si>
    <t>INV-13483</t>
  </si>
  <si>
    <t>INV-13484</t>
  </si>
  <si>
    <t>INV-13485</t>
  </si>
  <si>
    <t>INV-13486</t>
  </si>
  <si>
    <t>INV-13487</t>
  </si>
  <si>
    <t>INV-13488</t>
  </si>
  <si>
    <t>INV-13489</t>
  </si>
  <si>
    <t>INV-13490</t>
  </si>
  <si>
    <t>INV-13491</t>
  </si>
  <si>
    <t>INV-13492</t>
  </si>
  <si>
    <t>INV-13493</t>
  </si>
  <si>
    <t>INV-13494</t>
  </si>
  <si>
    <t>INV-13495</t>
  </si>
  <si>
    <t>INV-13496</t>
  </si>
  <si>
    <t>INV-13497</t>
  </si>
  <si>
    <t>INV-13498</t>
  </si>
  <si>
    <t>INV-13499</t>
  </si>
  <si>
    <t>INV-13500</t>
  </si>
  <si>
    <t>INV-13501</t>
  </si>
  <si>
    <t>INV-13502</t>
  </si>
  <si>
    <t>INV-13503</t>
  </si>
  <si>
    <t>INV-13504</t>
  </si>
  <si>
    <t>INV-13505</t>
  </si>
  <si>
    <t>INV-13506</t>
  </si>
  <si>
    <t>INV-13507</t>
  </si>
  <si>
    <t>INV-13508</t>
  </si>
  <si>
    <t>INV-13509</t>
  </si>
  <si>
    <t>INV-13510</t>
  </si>
  <si>
    <t>INV-13511</t>
  </si>
  <si>
    <t>INV-13512</t>
  </si>
  <si>
    <t>INV-13513</t>
  </si>
  <si>
    <t>INV-13514</t>
  </si>
  <si>
    <t>INV-13515</t>
  </si>
  <si>
    <t>INV-13516</t>
  </si>
  <si>
    <t>INV-13517</t>
  </si>
  <si>
    <t>INV-13518</t>
  </si>
  <si>
    <t>INV-13519</t>
  </si>
  <si>
    <t>INV-13520</t>
  </si>
  <si>
    <t>INV-13521</t>
  </si>
  <si>
    <t>INV-13522</t>
  </si>
  <si>
    <t>INV-13523</t>
  </si>
  <si>
    <t>INV-13524</t>
  </si>
  <si>
    <t>INV-13525</t>
  </si>
  <si>
    <t>INV-13526</t>
  </si>
  <si>
    <t>INV-13527</t>
  </si>
  <si>
    <t>INV-13528</t>
  </si>
  <si>
    <t>INV-13529</t>
  </si>
  <si>
    <t>INV-13530</t>
  </si>
  <si>
    <t>INV-13531</t>
  </si>
  <si>
    <t>INV-13532</t>
  </si>
  <si>
    <t>INV-13533</t>
  </si>
  <si>
    <t>INV-13534</t>
  </si>
  <si>
    <t>INV-13535</t>
  </si>
  <si>
    <t>INV-13536</t>
  </si>
  <si>
    <t>INV-13537</t>
  </si>
  <si>
    <t>INV-13538</t>
  </si>
  <si>
    <t>INV-13539</t>
  </si>
  <si>
    <t>INV-13540</t>
  </si>
  <si>
    <t>INV-13541</t>
  </si>
  <si>
    <t>INV-13542</t>
  </si>
  <si>
    <t>INV-13543</t>
  </si>
  <si>
    <t>INV-13544</t>
  </si>
  <si>
    <t>INV-13545</t>
  </si>
  <si>
    <t>INV-13546</t>
  </si>
  <si>
    <t>INV-13547</t>
  </si>
  <si>
    <t>INV-13548</t>
  </si>
  <si>
    <t>INV-13549</t>
  </si>
  <si>
    <t>INV-13550</t>
  </si>
  <si>
    <t>INV-13551</t>
  </si>
  <si>
    <t>INV-13552</t>
  </si>
  <si>
    <t>INV-13553</t>
  </si>
  <si>
    <t>INV-13554</t>
  </si>
  <si>
    <t>INV-13555</t>
  </si>
  <si>
    <t>INV-13556</t>
  </si>
  <si>
    <t>INV-13557</t>
  </si>
  <si>
    <t>INV-13558</t>
  </si>
  <si>
    <t>INV-13559</t>
  </si>
  <si>
    <t>INV-13560</t>
  </si>
  <si>
    <t>INV-13561</t>
  </si>
  <si>
    <t>INV-13562</t>
  </si>
  <si>
    <t>INV-13563</t>
  </si>
  <si>
    <t>INV-13564</t>
  </si>
  <si>
    <t>INV-13565</t>
  </si>
  <si>
    <t>INV-13566</t>
  </si>
  <si>
    <t>INV-13567</t>
  </si>
  <si>
    <t>INV-13568</t>
  </si>
  <si>
    <t>INV-13569</t>
  </si>
  <si>
    <t>INV-13570</t>
  </si>
  <si>
    <t>INV-13571</t>
  </si>
  <si>
    <t>INV-13572</t>
  </si>
  <si>
    <t>INV-13573</t>
  </si>
  <si>
    <t>INV-13574</t>
  </si>
  <si>
    <t>INV-13575</t>
  </si>
  <si>
    <t>INV-13576</t>
  </si>
  <si>
    <t>INV-13577</t>
  </si>
  <si>
    <t>INV-13578</t>
  </si>
  <si>
    <t>INV-13579</t>
  </si>
  <si>
    <t>INV-13580</t>
  </si>
  <si>
    <t>INV-13581</t>
  </si>
  <si>
    <t>INV-13582</t>
  </si>
  <si>
    <t>INV-13583</t>
  </si>
  <si>
    <t>INV-13584</t>
  </si>
  <si>
    <t>INV-13585</t>
  </si>
  <si>
    <t>INV-13586</t>
  </si>
  <si>
    <t>INV-13587</t>
  </si>
  <si>
    <t>INV-13588</t>
  </si>
  <si>
    <t>INV-13589</t>
  </si>
  <si>
    <t>INV-13590</t>
  </si>
  <si>
    <t>INV-13591</t>
  </si>
  <si>
    <t>INV-13592</t>
  </si>
  <si>
    <t>INV-13593</t>
  </si>
  <si>
    <t>INV-13594</t>
  </si>
  <si>
    <t>INV-13595</t>
  </si>
  <si>
    <t>INV-13596</t>
  </si>
  <si>
    <t>INV-13597</t>
  </si>
  <si>
    <t>INV-13598</t>
  </si>
  <si>
    <t>INV-13599</t>
  </si>
  <si>
    <t>INV-13600</t>
  </si>
  <si>
    <t>INV-13601</t>
  </si>
  <si>
    <t>INV-13602</t>
  </si>
  <si>
    <t>INV-13603</t>
  </si>
  <si>
    <t>INV-13604</t>
  </si>
  <si>
    <t>INV-13605</t>
  </si>
  <si>
    <t>INV-13606</t>
  </si>
  <si>
    <t>INV-13607</t>
  </si>
  <si>
    <t>INV-13608</t>
  </si>
  <si>
    <t>INV-13609</t>
  </si>
  <si>
    <t>INV-13610</t>
  </si>
  <si>
    <t>INV-13611</t>
  </si>
  <si>
    <t>INV-13612</t>
  </si>
  <si>
    <t>cust0294</t>
  </si>
  <si>
    <t>INV-13613</t>
  </si>
  <si>
    <t>INV-13614</t>
  </si>
  <si>
    <t>INV-13615</t>
  </si>
  <si>
    <t>INV-13616</t>
  </si>
  <si>
    <t>INV-13617</t>
  </si>
  <si>
    <t>INV-13618</t>
  </si>
  <si>
    <t>INV-13619</t>
  </si>
  <si>
    <t>INV-13620</t>
  </si>
  <si>
    <t>INV-13621</t>
  </si>
  <si>
    <t>INV-13622</t>
  </si>
  <si>
    <t>INV-13623</t>
  </si>
  <si>
    <t>INV-13624</t>
  </si>
  <si>
    <t>cust0252</t>
  </si>
  <si>
    <t>INV-13625</t>
  </si>
  <si>
    <t>INV-13626</t>
  </si>
  <si>
    <t>INV-13627</t>
  </si>
  <si>
    <t>INV-13628</t>
  </si>
  <si>
    <t>INV-13629</t>
  </si>
  <si>
    <t>INV-13630</t>
  </si>
  <si>
    <t>INV-13631</t>
  </si>
  <si>
    <t>INV-13632</t>
  </si>
  <si>
    <t>INV-13633</t>
  </si>
  <si>
    <t>INV-13634</t>
  </si>
  <si>
    <t>INV-13635</t>
  </si>
  <si>
    <t>INV-13636</t>
  </si>
  <si>
    <t>INV-13637</t>
  </si>
  <si>
    <t>INV-13638</t>
  </si>
  <si>
    <t>INV-13639</t>
  </si>
  <si>
    <t>INV-13640</t>
  </si>
  <si>
    <t>INV-13641</t>
  </si>
  <si>
    <t>INV-13642</t>
  </si>
  <si>
    <t>INV-13643</t>
  </si>
  <si>
    <t>INV-13644</t>
  </si>
  <si>
    <t>INV-13645</t>
  </si>
  <si>
    <t>INV-13646</t>
  </si>
  <si>
    <t>INV-13647</t>
  </si>
  <si>
    <t>INV-13648</t>
  </si>
  <si>
    <t>INV-13649</t>
  </si>
  <si>
    <t>INV-13650</t>
  </si>
  <si>
    <t>INV-13651</t>
  </si>
  <si>
    <t>INV-13652</t>
  </si>
  <si>
    <t>INV-13653</t>
  </si>
  <si>
    <t>INV-13654</t>
  </si>
  <si>
    <t>INV-13655</t>
  </si>
  <si>
    <t>INV-13656</t>
  </si>
  <si>
    <t>INV-13657</t>
  </si>
  <si>
    <t>INV-13658</t>
  </si>
  <si>
    <t>INV-13659</t>
  </si>
  <si>
    <t>INV-13660</t>
  </si>
  <si>
    <t>INV-13661</t>
  </si>
  <si>
    <t>INV-13662</t>
  </si>
  <si>
    <t>INV-13663</t>
  </si>
  <si>
    <t>INV-13664</t>
  </si>
  <si>
    <t>INV-13665</t>
  </si>
  <si>
    <t>INV-13666</t>
  </si>
  <si>
    <t>INV-13667</t>
  </si>
  <si>
    <t>INV-13668</t>
  </si>
  <si>
    <t>INV-13669</t>
  </si>
  <si>
    <t>cust0038</t>
  </si>
  <si>
    <t>INV-13670</t>
  </si>
  <si>
    <t>INV-13671</t>
  </si>
  <si>
    <t>INV-13672</t>
  </si>
  <si>
    <t>INV-13673</t>
  </si>
  <si>
    <t>INV-13674</t>
  </si>
  <si>
    <t>INV-13675</t>
  </si>
  <si>
    <t>INV-13676</t>
  </si>
  <si>
    <t>INV-13677</t>
  </si>
  <si>
    <t>INV-13678</t>
  </si>
  <si>
    <t>INV-13679</t>
  </si>
  <si>
    <t>INV-13680</t>
  </si>
  <si>
    <t>INV-13681</t>
  </si>
  <si>
    <t>INV-13682</t>
  </si>
  <si>
    <t>INV-13683</t>
  </si>
  <si>
    <t>INV-13684</t>
  </si>
  <si>
    <t>INV-13685</t>
  </si>
  <si>
    <t>INV-13686</t>
  </si>
  <si>
    <t>INV-13687</t>
  </si>
  <si>
    <t>INV-13688</t>
  </si>
  <si>
    <t>INV-13689</t>
  </si>
  <si>
    <t>INV-13690</t>
  </si>
  <si>
    <t>INV-13691</t>
  </si>
  <si>
    <t>INV-13692</t>
  </si>
  <si>
    <t>INV-13693</t>
  </si>
  <si>
    <t>INV-13694</t>
  </si>
  <si>
    <t>INV-13695</t>
  </si>
  <si>
    <t>INV-13696</t>
  </si>
  <si>
    <t>INV-13697</t>
  </si>
  <si>
    <t>INV-13698</t>
  </si>
  <si>
    <t>INV-13699</t>
  </si>
  <si>
    <t>INV-13700</t>
  </si>
  <si>
    <t>INV-13701</t>
  </si>
  <si>
    <t>INV-13702</t>
  </si>
  <si>
    <t>INV-13703</t>
  </si>
  <si>
    <t>INV-13704</t>
  </si>
  <si>
    <t>cust0039</t>
  </si>
  <si>
    <t>INV-13705</t>
  </si>
  <si>
    <t>cust0046</t>
  </si>
  <si>
    <t>INV-13706</t>
  </si>
  <si>
    <t>INV-13707</t>
  </si>
  <si>
    <t>INV-13708</t>
  </si>
  <si>
    <t>INV-13709</t>
  </si>
  <si>
    <t>cust0119</t>
  </si>
  <si>
    <t>INV-13710</t>
  </si>
  <si>
    <t>INV-13711</t>
  </si>
  <si>
    <t>INV-13712</t>
  </si>
  <si>
    <t>INV-13713</t>
  </si>
  <si>
    <t>INV-13714</t>
  </si>
  <si>
    <t>INV-13715</t>
  </si>
  <si>
    <t>INV-13716</t>
  </si>
  <si>
    <t>INV-13717</t>
  </si>
  <si>
    <t>INV-13718</t>
  </si>
  <si>
    <t>INV-13719</t>
  </si>
  <si>
    <t>INV-13720</t>
  </si>
  <si>
    <t>INV-13721</t>
  </si>
  <si>
    <t>INV-13722</t>
  </si>
  <si>
    <t>INV-13723</t>
  </si>
  <si>
    <t>INV-13724</t>
  </si>
  <si>
    <t>INV-13725</t>
  </si>
  <si>
    <t>INV-13726</t>
  </si>
  <si>
    <t>INV-13727</t>
  </si>
  <si>
    <t>INV-13728</t>
  </si>
  <si>
    <t>INV-13729</t>
  </si>
  <si>
    <t>INV-13730</t>
  </si>
  <si>
    <t>INV-13731</t>
  </si>
  <si>
    <t>INV-13732</t>
  </si>
  <si>
    <t>INV-13733</t>
  </si>
  <si>
    <t>INV-13734</t>
  </si>
  <si>
    <t>INV-13735</t>
  </si>
  <si>
    <t>INV-13736</t>
  </si>
  <si>
    <t>INV-13737</t>
  </si>
  <si>
    <t>INV-13738</t>
  </si>
  <si>
    <t>INV-13739</t>
  </si>
  <si>
    <t>INV-13740</t>
  </si>
  <si>
    <t>INV-13741</t>
  </si>
  <si>
    <t>INV-13742</t>
  </si>
  <si>
    <t>INV-13743</t>
  </si>
  <si>
    <t>INV-13744</t>
  </si>
  <si>
    <t>INV-13745</t>
  </si>
  <si>
    <t>INV-13746</t>
  </si>
  <si>
    <t>INV-13747</t>
  </si>
  <si>
    <t>INV-13748</t>
  </si>
  <si>
    <t>INV-13749</t>
  </si>
  <si>
    <t>INV-13750</t>
  </si>
  <si>
    <t>INV-13751</t>
  </si>
  <si>
    <t>INV-13752</t>
  </si>
  <si>
    <t>INV-13753</t>
  </si>
  <si>
    <t>INV-13754</t>
  </si>
  <si>
    <t>INV-13755</t>
  </si>
  <si>
    <t>INV-13756</t>
  </si>
  <si>
    <t>INV-13757</t>
  </si>
  <si>
    <t>INV-13758</t>
  </si>
  <si>
    <t>INV-13759</t>
  </si>
  <si>
    <t>INV-13760</t>
  </si>
  <si>
    <t>INV-13761</t>
  </si>
  <si>
    <t>INV-13762</t>
  </si>
  <si>
    <t>INV-13763</t>
  </si>
  <si>
    <t>INV-13764</t>
  </si>
  <si>
    <t>INV-13765</t>
  </si>
  <si>
    <t>INV-13766</t>
  </si>
  <si>
    <t>INV-13767</t>
  </si>
  <si>
    <t>INV-13768</t>
  </si>
  <si>
    <t>cust0245</t>
  </si>
  <si>
    <t>INV-13769</t>
  </si>
  <si>
    <t>INV-13770</t>
  </si>
  <si>
    <t>INV-13771</t>
  </si>
  <si>
    <t>INV-13772</t>
  </si>
  <si>
    <t>INV-13773</t>
  </si>
  <si>
    <t>INV-13774</t>
  </si>
  <si>
    <t>INV-13775</t>
  </si>
  <si>
    <t>INV-13776</t>
  </si>
  <si>
    <t>INV-13777</t>
  </si>
  <si>
    <t>INV-13778</t>
  </si>
  <si>
    <t>INV-13779</t>
  </si>
  <si>
    <t>INV-13780</t>
  </si>
  <si>
    <t>INV-13781</t>
  </si>
  <si>
    <t>INV-13782</t>
  </si>
  <si>
    <t>INV-13783</t>
  </si>
  <si>
    <t>INV-13784</t>
  </si>
  <si>
    <t>INV-13785</t>
  </si>
  <si>
    <t>cust0021</t>
  </si>
  <si>
    <t>INV-13786</t>
  </si>
  <si>
    <t>INV-13787</t>
  </si>
  <si>
    <t>INV-13788</t>
  </si>
  <si>
    <t>INV-13789</t>
  </si>
  <si>
    <t>INV-13790</t>
  </si>
  <si>
    <t>INV-13791</t>
  </si>
  <si>
    <t>INV-13792</t>
  </si>
  <si>
    <t>INV-13793</t>
  </si>
  <si>
    <t>INV-13794</t>
  </si>
  <si>
    <t>INV-13795</t>
  </si>
  <si>
    <t>INV-13796</t>
  </si>
  <si>
    <t>INV-13797</t>
  </si>
  <si>
    <t>INV-13798</t>
  </si>
  <si>
    <t>INV-13799</t>
  </si>
  <si>
    <t>INV-13800</t>
  </si>
  <si>
    <t>INV-13801</t>
  </si>
  <si>
    <t>INV-13802</t>
  </si>
  <si>
    <t>INV-13803</t>
  </si>
  <si>
    <t>INV-13804</t>
  </si>
  <si>
    <t>INV-13805</t>
  </si>
  <si>
    <t>INV-13806</t>
  </si>
  <si>
    <t>INV-13807</t>
  </si>
  <si>
    <t>INV-13808</t>
  </si>
  <si>
    <t>INV-13809</t>
  </si>
  <si>
    <t>INV-13810</t>
  </si>
  <si>
    <t>INV-13811</t>
  </si>
  <si>
    <t>INV-13812</t>
  </si>
  <si>
    <t>INV-13813</t>
  </si>
  <si>
    <t>INV-13814</t>
  </si>
  <si>
    <t>INV-13815</t>
  </si>
  <si>
    <t>cust0023</t>
  </si>
  <si>
    <t>INV-13816</t>
  </si>
  <si>
    <t>INV-13817</t>
  </si>
  <si>
    <t>INV-13818</t>
  </si>
  <si>
    <t>INV-13819</t>
  </si>
  <si>
    <t>INV-13820</t>
  </si>
  <si>
    <t>INV-13821</t>
  </si>
  <si>
    <t>INV-13822</t>
  </si>
  <si>
    <t>INV-13823</t>
  </si>
  <si>
    <t>INV-13824</t>
  </si>
  <si>
    <t>INV-13825</t>
  </si>
  <si>
    <t>INV-13826</t>
  </si>
  <si>
    <t>INV-13827</t>
  </si>
  <si>
    <t>INV-13828</t>
  </si>
  <si>
    <t>INV-13829</t>
  </si>
  <si>
    <t>INV-13830</t>
  </si>
  <si>
    <t>INV-13831</t>
  </si>
  <si>
    <t>INV-13832</t>
  </si>
  <si>
    <t>INV-13833</t>
  </si>
  <si>
    <t>INV-13834</t>
  </si>
  <si>
    <t>INV-13835</t>
  </si>
  <si>
    <t>INV-13836</t>
  </si>
  <si>
    <t>INV-13837</t>
  </si>
  <si>
    <t>INV-13838</t>
  </si>
  <si>
    <t>INV-13839</t>
  </si>
  <si>
    <t>INV-13840</t>
  </si>
  <si>
    <t>INV-13841</t>
  </si>
  <si>
    <t>INV-13842</t>
  </si>
  <si>
    <t>INV-13843</t>
  </si>
  <si>
    <t>INV-13844</t>
  </si>
  <si>
    <t>INV-13845</t>
  </si>
  <si>
    <t>INV-13846</t>
  </si>
  <si>
    <t>INV-13847</t>
  </si>
  <si>
    <t>INV-13848</t>
  </si>
  <si>
    <t>INV-13849</t>
  </si>
  <si>
    <t>INV-13850</t>
  </si>
  <si>
    <t>INV-13851</t>
  </si>
  <si>
    <t>INV-13852</t>
  </si>
  <si>
    <t>INV-13853</t>
  </si>
  <si>
    <t>INV-13854</t>
  </si>
  <si>
    <t>INV-13855</t>
  </si>
  <si>
    <t>INV-13856</t>
  </si>
  <si>
    <t>INV-13857</t>
  </si>
  <si>
    <t>INV-13858</t>
  </si>
  <si>
    <t>INV-13859</t>
  </si>
  <si>
    <t>INV-13860</t>
  </si>
  <si>
    <t>INV-13861</t>
  </si>
  <si>
    <t>INV-13862</t>
  </si>
  <si>
    <t>INV-13863</t>
  </si>
  <si>
    <t>INV-13864</t>
  </si>
  <si>
    <t>INV-13865</t>
  </si>
  <si>
    <t>INV-13866</t>
  </si>
  <si>
    <t>INV-13867</t>
  </si>
  <si>
    <t>INV-13868</t>
  </si>
  <si>
    <t>INV-13869</t>
  </si>
  <si>
    <t>INV-13870</t>
  </si>
  <si>
    <t>INV-13871</t>
  </si>
  <si>
    <t>INV-13872</t>
  </si>
  <si>
    <t>INV-13873</t>
  </si>
  <si>
    <t>cust0103</t>
  </si>
  <si>
    <t>INV-13874</t>
  </si>
  <si>
    <t>INV-13875</t>
  </si>
  <si>
    <t>INV-13876</t>
  </si>
  <si>
    <t>INV-13877</t>
  </si>
  <si>
    <t>INV-13878</t>
  </si>
  <si>
    <t>INV-13879</t>
  </si>
  <si>
    <t>INV-13880</t>
  </si>
  <si>
    <t>INV-13881</t>
  </si>
  <si>
    <t>INV-13882</t>
  </si>
  <si>
    <t>INV-13883</t>
  </si>
  <si>
    <t>INV-13884</t>
  </si>
  <si>
    <t>INV-13885</t>
  </si>
  <si>
    <t>INV-13886</t>
  </si>
  <si>
    <t>INV-13887</t>
  </si>
  <si>
    <t>INV-13888</t>
  </si>
  <si>
    <t>INV-13889</t>
  </si>
  <si>
    <t>INV-13890</t>
  </si>
  <si>
    <t>INV-13891</t>
  </si>
  <si>
    <t>INV-13892</t>
  </si>
  <si>
    <t>INV-13893</t>
  </si>
  <si>
    <t>INV-13894</t>
  </si>
  <si>
    <t>INV-13895</t>
  </si>
  <si>
    <t>INV-13896</t>
  </si>
  <si>
    <t>INV-13897</t>
  </si>
  <si>
    <t>INV-13898</t>
  </si>
  <si>
    <t>INV-13899</t>
  </si>
  <si>
    <t>INV-13900</t>
  </si>
  <si>
    <t>INV-13901</t>
  </si>
  <si>
    <t>INV-13902</t>
  </si>
  <si>
    <t>INV-13903</t>
  </si>
  <si>
    <t>INV-13904</t>
  </si>
  <si>
    <t>INV-13905</t>
  </si>
  <si>
    <t>INV-13906</t>
  </si>
  <si>
    <t>INV-13907</t>
  </si>
  <si>
    <t>INV-13908</t>
  </si>
  <si>
    <t>INV-13909</t>
  </si>
  <si>
    <t>INV-13910</t>
  </si>
  <si>
    <t>INV-13911</t>
  </si>
  <si>
    <t>INV-13912</t>
  </si>
  <si>
    <t>INV-13913</t>
  </si>
  <si>
    <t>INV-13914</t>
  </si>
  <si>
    <t>INV-13915</t>
  </si>
  <si>
    <t>INV-13916</t>
  </si>
  <si>
    <t>cust0219</t>
  </si>
  <si>
    <t>INV-13917</t>
  </si>
  <si>
    <t>INV-13918</t>
  </si>
  <si>
    <t>INV-13919</t>
  </si>
  <si>
    <t>INV-13920</t>
  </si>
  <si>
    <t>INV-13921</t>
  </si>
  <si>
    <t>INV-13922</t>
  </si>
  <si>
    <t>cust0111</t>
  </si>
  <si>
    <t>INV-13923</t>
  </si>
  <si>
    <t>INV-13924</t>
  </si>
  <si>
    <t>INV-13925</t>
  </si>
  <si>
    <t>INV-13926</t>
  </si>
  <si>
    <t>INV-13927</t>
  </si>
  <si>
    <t>INV-13928</t>
  </si>
  <si>
    <t>INV-13929</t>
  </si>
  <si>
    <t>INV-13930</t>
  </si>
  <si>
    <t>INV-13931</t>
  </si>
  <si>
    <t>INV-13932</t>
  </si>
  <si>
    <t>INV-13933</t>
  </si>
  <si>
    <t>INV-13934</t>
  </si>
  <si>
    <t>INV-13935</t>
  </si>
  <si>
    <t>INV-13936</t>
  </si>
  <si>
    <t>INV-13937</t>
  </si>
  <si>
    <t>INV-13938</t>
  </si>
  <si>
    <t>INV-13939</t>
  </si>
  <si>
    <t>INV-13940</t>
  </si>
  <si>
    <t>INV-13941</t>
  </si>
  <si>
    <t>INV-13942</t>
  </si>
  <si>
    <t>INV-13943</t>
  </si>
  <si>
    <t>INV-13944</t>
  </si>
  <si>
    <t>INV-13945</t>
  </si>
  <si>
    <t>INV-13946</t>
  </si>
  <si>
    <t>INV-13947</t>
  </si>
  <si>
    <t>INV-13948</t>
  </si>
  <si>
    <t>INV-13949</t>
  </si>
  <si>
    <t>INV-13950</t>
  </si>
  <si>
    <t>INV-13951</t>
  </si>
  <si>
    <t>INV-13952</t>
  </si>
  <si>
    <t>INV-13953</t>
  </si>
  <si>
    <t>INV-13954</t>
  </si>
  <si>
    <t>INV-13955</t>
  </si>
  <si>
    <t>INV-13956</t>
  </si>
  <si>
    <t>INV-13957</t>
  </si>
  <si>
    <t>INV-13958</t>
  </si>
  <si>
    <t>INV-13959</t>
  </si>
  <si>
    <t>INV-13960</t>
  </si>
  <si>
    <t>INV-13961</t>
  </si>
  <si>
    <t>INV-13962</t>
  </si>
  <si>
    <t>INV-13963</t>
  </si>
  <si>
    <t>INV-13964</t>
  </si>
  <si>
    <t>INV-13965</t>
  </si>
  <si>
    <t>INV-13966</t>
  </si>
  <si>
    <t>INV-13967</t>
  </si>
  <si>
    <t>INV-13968</t>
  </si>
  <si>
    <t>INV-13969</t>
  </si>
  <si>
    <t>INV-13970</t>
  </si>
  <si>
    <t>INV-13971</t>
  </si>
  <si>
    <t>INV-13972</t>
  </si>
  <si>
    <t>INV-13973</t>
  </si>
  <si>
    <t>INV-13974</t>
  </si>
  <si>
    <t>cust0281</t>
  </si>
  <si>
    <t>INV-13975</t>
  </si>
  <si>
    <t>INV-13976</t>
  </si>
  <si>
    <t>INV-13977</t>
  </si>
  <si>
    <t>INV-13978</t>
  </si>
  <si>
    <t>INV-13979</t>
  </si>
  <si>
    <t>INV-13980</t>
  </si>
  <si>
    <t>INV-13981</t>
  </si>
  <si>
    <t>INV-13982</t>
  </si>
  <si>
    <t>INV-13983</t>
  </si>
  <si>
    <t>INV-13984</t>
  </si>
  <si>
    <t>INV-13985</t>
  </si>
  <si>
    <t>INV-13986</t>
  </si>
  <si>
    <t>INV-13987</t>
  </si>
  <si>
    <t>INV-13988</t>
  </si>
  <si>
    <t>INV-13989</t>
  </si>
  <si>
    <t>cust0246</t>
  </si>
  <si>
    <t>INV-13990</t>
  </si>
  <si>
    <t>INV-13991</t>
  </si>
  <si>
    <t>INV-13992</t>
  </si>
  <si>
    <t>INV-13993</t>
  </si>
  <si>
    <t>INV-13994</t>
  </si>
  <si>
    <t>INV-13995</t>
  </si>
  <si>
    <t>INV-13996</t>
  </si>
  <si>
    <t>INV-13997</t>
  </si>
  <si>
    <t>INV-13998</t>
  </si>
  <si>
    <t>INV-13999</t>
  </si>
  <si>
    <t>INV-14000</t>
  </si>
  <si>
    <t>INV-14001</t>
  </si>
  <si>
    <t>INV-14002</t>
  </si>
  <si>
    <t>INV-14003</t>
  </si>
  <si>
    <t>INV-14004</t>
  </si>
  <si>
    <t>INV-14005</t>
  </si>
  <si>
    <t>INV-14006</t>
  </si>
  <si>
    <t>INV-14007</t>
  </si>
  <si>
    <t>INV-14008</t>
  </si>
  <si>
    <t>INV-14009</t>
  </si>
  <si>
    <t>INV-14010</t>
  </si>
  <si>
    <t>INV-14011</t>
  </si>
  <si>
    <t>INV-14012</t>
  </si>
  <si>
    <t>INV-14013</t>
  </si>
  <si>
    <t>INV-14014</t>
  </si>
  <si>
    <t>INV-14015</t>
  </si>
  <si>
    <t>cust0082</t>
  </si>
  <si>
    <t>INV-14016</t>
  </si>
  <si>
    <t>INV-14017</t>
  </si>
  <si>
    <t>INV-14018</t>
  </si>
  <si>
    <t>INV-14019</t>
  </si>
  <si>
    <t>INV-14020</t>
  </si>
  <si>
    <t>INV-14021</t>
  </si>
  <si>
    <t>INV-14022</t>
  </si>
  <si>
    <t>INV-14023</t>
  </si>
  <si>
    <t>INV-14024</t>
  </si>
  <si>
    <t>INV-14025</t>
  </si>
  <si>
    <t>INV-14026</t>
  </si>
  <si>
    <t>INV-14027</t>
  </si>
  <si>
    <t>INV-14028</t>
  </si>
  <si>
    <t>INV-14029</t>
  </si>
  <si>
    <t>INV-14030</t>
  </si>
  <si>
    <t>INV-14031</t>
  </si>
  <si>
    <t>INV-14032</t>
  </si>
  <si>
    <t>INV-14033</t>
  </si>
  <si>
    <t>INV-14034</t>
  </si>
  <si>
    <t>INV-14035</t>
  </si>
  <si>
    <t>INV-14036</t>
  </si>
  <si>
    <t>INV-14037</t>
  </si>
  <si>
    <t>INV-14038</t>
  </si>
  <si>
    <t>INV-14039</t>
  </si>
  <si>
    <t>INV-14040</t>
  </si>
  <si>
    <t>INV-14041</t>
  </si>
  <si>
    <t>INV-14042</t>
  </si>
  <si>
    <t>INV-14043</t>
  </si>
  <si>
    <t>INV-14044</t>
  </si>
  <si>
    <t>INV-14045</t>
  </si>
  <si>
    <t>INV-14046</t>
  </si>
  <si>
    <t>INV-14047</t>
  </si>
  <si>
    <t>INV-14048</t>
  </si>
  <si>
    <t>INV-14049</t>
  </si>
  <si>
    <t>INV-14050</t>
  </si>
  <si>
    <t>INV-14051</t>
  </si>
  <si>
    <t>INV-14052</t>
  </si>
  <si>
    <t>INV-14053</t>
  </si>
  <si>
    <t>INV-14054</t>
  </si>
  <si>
    <t>INV-14055</t>
  </si>
  <si>
    <t>INV-14056</t>
  </si>
  <si>
    <t>INV-14057</t>
  </si>
  <si>
    <t>INV-14058</t>
  </si>
  <si>
    <t>INV-14059</t>
  </si>
  <si>
    <t>INV-14060</t>
  </si>
  <si>
    <t>INV-14061</t>
  </si>
  <si>
    <t>INV-14062</t>
  </si>
  <si>
    <t>INV-14063</t>
  </si>
  <si>
    <t>INV-14064</t>
  </si>
  <si>
    <t>INV-14065</t>
  </si>
  <si>
    <t>INV-14066</t>
  </si>
  <si>
    <t>INV-14067</t>
  </si>
  <si>
    <t>INV-14068</t>
  </si>
  <si>
    <t>INV-14069</t>
  </si>
  <si>
    <t>INV-14070</t>
  </si>
  <si>
    <t>INV-14071</t>
  </si>
  <si>
    <t>INV-14072</t>
  </si>
  <si>
    <t>INV-14073</t>
  </si>
  <si>
    <t>INV-14074</t>
  </si>
  <si>
    <t>INV-14075</t>
  </si>
  <si>
    <t>INV-14076</t>
  </si>
  <si>
    <t>INV-14077</t>
  </si>
  <si>
    <t>INV-14078</t>
  </si>
  <si>
    <t>INV-14079</t>
  </si>
  <si>
    <t>INV-14080</t>
  </si>
  <si>
    <t>INV-14081</t>
  </si>
  <si>
    <t>INV-14082</t>
  </si>
  <si>
    <t>INV-14083</t>
  </si>
  <si>
    <t>INV-14084</t>
  </si>
  <si>
    <t>INV-14085</t>
  </si>
  <si>
    <t>INV-14086</t>
  </si>
  <si>
    <t>INV-14087</t>
  </si>
  <si>
    <t>INV-14088</t>
  </si>
  <si>
    <t>INV-14089</t>
  </si>
  <si>
    <t>INV-14090</t>
  </si>
  <si>
    <t>INV-14091</t>
  </si>
  <si>
    <t>INV-14092</t>
  </si>
  <si>
    <t>INV-14093</t>
  </si>
  <si>
    <t>INV-14094</t>
  </si>
  <si>
    <t>INV-14095</t>
  </si>
  <si>
    <t>INV-14096</t>
  </si>
  <si>
    <t>INV-14097</t>
  </si>
  <si>
    <t>INV-14098</t>
  </si>
  <si>
    <t>INV-14099</t>
  </si>
  <si>
    <t>INV-14100</t>
  </si>
  <si>
    <t>INV-14101</t>
  </si>
  <si>
    <t>INV-14102</t>
  </si>
  <si>
    <t>INV-14103</t>
  </si>
  <si>
    <t>INV-14104</t>
  </si>
  <si>
    <t>INV-14105</t>
  </si>
  <si>
    <t>INV-14106</t>
  </si>
  <si>
    <t>INV-14107</t>
  </si>
  <si>
    <t>INV-14108</t>
  </si>
  <si>
    <t>INV-14109</t>
  </si>
  <si>
    <t>INV-14110</t>
  </si>
  <si>
    <t>INV-14111</t>
  </si>
  <si>
    <t>INV-14112</t>
  </si>
  <si>
    <t>INV-14113</t>
  </si>
  <si>
    <t>INV-14114</t>
  </si>
  <si>
    <t>INV-14115</t>
  </si>
  <si>
    <t>INV-14116</t>
  </si>
  <si>
    <t>INV-14117</t>
  </si>
  <si>
    <t>INV-14118</t>
  </si>
  <si>
    <t>INV-14119</t>
  </si>
  <si>
    <t>INV-14120</t>
  </si>
  <si>
    <t>INV-14121</t>
  </si>
  <si>
    <t>INV-14122</t>
  </si>
  <si>
    <t>INV-14123</t>
  </si>
  <si>
    <t>INV-14124</t>
  </si>
  <si>
    <t>INV-14125</t>
  </si>
  <si>
    <t>INV-14126</t>
  </si>
  <si>
    <t>INV-14127</t>
  </si>
  <si>
    <t>INV-14128</t>
  </si>
  <si>
    <t>INV-14129</t>
  </si>
  <si>
    <t>INV-14130</t>
  </si>
  <si>
    <t>INV-14131</t>
  </si>
  <si>
    <t>INV-14132</t>
  </si>
  <si>
    <t>INV-14133</t>
  </si>
  <si>
    <t>INV-14134</t>
  </si>
  <si>
    <t>INV-14135</t>
  </si>
  <si>
    <t>INV-14136</t>
  </si>
  <si>
    <t>INV-14137</t>
  </si>
  <si>
    <t>INV-14138</t>
  </si>
  <si>
    <t>cust0146</t>
  </si>
  <si>
    <t>INV-14139</t>
  </si>
  <si>
    <t>INV-14140</t>
  </si>
  <si>
    <t>INV-14141</t>
  </si>
  <si>
    <t>INV-14142</t>
  </si>
  <si>
    <t>INV-14143</t>
  </si>
  <si>
    <t>INV-14144</t>
  </si>
  <si>
    <t>INV-14145</t>
  </si>
  <si>
    <t>INV-14146</t>
  </si>
  <si>
    <t>INV-14147</t>
  </si>
  <si>
    <t>INV-14148</t>
  </si>
  <si>
    <t>INV-14149</t>
  </si>
  <si>
    <t>INV-14150</t>
  </si>
  <si>
    <t>INV-14151</t>
  </si>
  <si>
    <t>INV-14152</t>
  </si>
  <si>
    <t>INV-14153</t>
  </si>
  <si>
    <t>INV-14154</t>
  </si>
  <si>
    <t>INV-14155</t>
  </si>
  <si>
    <t>INV-14156</t>
  </si>
  <si>
    <t>INV-14157</t>
  </si>
  <si>
    <t>INV-14158</t>
  </si>
  <si>
    <t>INV-14159</t>
  </si>
  <si>
    <t>INV-14160</t>
  </si>
  <si>
    <t>INV-14161</t>
  </si>
  <si>
    <t>INV-14162</t>
  </si>
  <si>
    <t>INV-14163</t>
  </si>
  <si>
    <t>INV-14164</t>
  </si>
  <si>
    <t>INV-14165</t>
  </si>
  <si>
    <t>INV-14166</t>
  </si>
  <si>
    <t>INV-14167</t>
  </si>
  <si>
    <t>INV-14168</t>
  </si>
  <si>
    <t>INV-14169</t>
  </si>
  <si>
    <t>INV-14170</t>
  </si>
  <si>
    <t>INV-14171</t>
  </si>
  <si>
    <t>INV-14172</t>
  </si>
  <si>
    <t>INV-14173</t>
  </si>
  <si>
    <t>INV-14174</t>
  </si>
  <si>
    <t>INV-14175</t>
  </si>
  <si>
    <t>INV-14176</t>
  </si>
  <si>
    <t>INV-14177</t>
  </si>
  <si>
    <t>INV-14178</t>
  </si>
  <si>
    <t>INV-14179</t>
  </si>
  <si>
    <t>INV-14180</t>
  </si>
  <si>
    <t>INV-14181</t>
  </si>
  <si>
    <t>INV-14182</t>
  </si>
  <si>
    <t>INV-14183</t>
  </si>
  <si>
    <t>INV-14184</t>
  </si>
  <si>
    <t>INV-14185</t>
  </si>
  <si>
    <t>INV-14186</t>
  </si>
  <si>
    <t>INV-14187</t>
  </si>
  <si>
    <t>INV-14188</t>
  </si>
  <si>
    <t>INV-14189</t>
  </si>
  <si>
    <t>INV-14190</t>
  </si>
  <si>
    <t>INV-14191</t>
  </si>
  <si>
    <t>INV-14192</t>
  </si>
  <si>
    <t>INV-14193</t>
  </si>
  <si>
    <t>INV-14194</t>
  </si>
  <si>
    <t>INV-14195</t>
  </si>
  <si>
    <t>INV-14196</t>
  </si>
  <si>
    <t>INV-14197</t>
  </si>
  <si>
    <t>INV-14198</t>
  </si>
  <si>
    <t>INV-14199</t>
  </si>
  <si>
    <t>INV-14200</t>
  </si>
  <si>
    <t>INV-14201</t>
  </si>
  <si>
    <t>INV-14202</t>
  </si>
  <si>
    <t>INV-14203</t>
  </si>
  <si>
    <t>INV-14204</t>
  </si>
  <si>
    <t>INV-14205</t>
  </si>
  <si>
    <t>INV-14206</t>
  </si>
  <si>
    <t>INV-14207</t>
  </si>
  <si>
    <t>INV-14208</t>
  </si>
  <si>
    <t>INV-14209</t>
  </si>
  <si>
    <t>INV-14210</t>
  </si>
  <si>
    <t>INV-14211</t>
  </si>
  <si>
    <t>INV-14212</t>
  </si>
  <si>
    <t>INV-14213</t>
  </si>
  <si>
    <t>INV-14214</t>
  </si>
  <si>
    <t>INV-14215</t>
  </si>
  <si>
    <t>INV-14216</t>
  </si>
  <si>
    <t>INV-14217</t>
  </si>
  <si>
    <t>INV-14218</t>
  </si>
  <si>
    <t>INV-14219</t>
  </si>
  <si>
    <t>INV-14220</t>
  </si>
  <si>
    <t>INV-14221</t>
  </si>
  <si>
    <t>INV-14222</t>
  </si>
  <si>
    <t>INV-14223</t>
  </si>
  <si>
    <t>INV-14224</t>
  </si>
  <si>
    <t>INV-14225</t>
  </si>
  <si>
    <t>INV-14226</t>
  </si>
  <si>
    <t>INV-14227</t>
  </si>
  <si>
    <t>INV-14228</t>
  </si>
  <si>
    <t>INV-14229</t>
  </si>
  <si>
    <t>INV-14230</t>
  </si>
  <si>
    <t>INV-14231</t>
  </si>
  <si>
    <t>INV-14232</t>
  </si>
  <si>
    <t>INV-14233</t>
  </si>
  <si>
    <t>INV-14234</t>
  </si>
  <si>
    <t>INV-14235</t>
  </si>
  <si>
    <t>INV-14236</t>
  </si>
  <si>
    <t>INV-14237</t>
  </si>
  <si>
    <t>INV-14238</t>
  </si>
  <si>
    <t>cust0199</t>
  </si>
  <si>
    <t>INV-14239</t>
  </si>
  <si>
    <t>INV-14240</t>
  </si>
  <si>
    <t>INV-14241</t>
  </si>
  <si>
    <t>INV-14242</t>
  </si>
  <si>
    <t>INV-14243</t>
  </si>
  <si>
    <t>INV-14244</t>
  </si>
  <si>
    <t>INV-14245</t>
  </si>
  <si>
    <t>INV-14246</t>
  </si>
  <si>
    <t>INV-14247</t>
  </si>
  <si>
    <t>INV-14248</t>
  </si>
  <si>
    <t>INV-14249</t>
  </si>
  <si>
    <t>INV-14250</t>
  </si>
  <si>
    <t>INV-14251</t>
  </si>
  <si>
    <t>INV-14252</t>
  </si>
  <si>
    <t>INV-14253</t>
  </si>
  <si>
    <t>INV-14254</t>
  </si>
  <si>
    <t>INV-14255</t>
  </si>
  <si>
    <t>INV-14256</t>
  </si>
  <si>
    <t>INV-14257</t>
  </si>
  <si>
    <t>INV-14258</t>
  </si>
  <si>
    <t>INV-14259</t>
  </si>
  <si>
    <t>INV-14260</t>
  </si>
  <si>
    <t>INV-14261</t>
  </si>
  <si>
    <t>INV-14262</t>
  </si>
  <si>
    <t>INV-14263</t>
  </si>
  <si>
    <t>INV-14264</t>
  </si>
  <si>
    <t>INV-14265</t>
  </si>
  <si>
    <t>INV-14266</t>
  </si>
  <si>
    <t>INV-14267</t>
  </si>
  <si>
    <t>INV-14268</t>
  </si>
  <si>
    <t>INV-14269</t>
  </si>
  <si>
    <t>INV-14270</t>
  </si>
  <si>
    <t>INV-14271</t>
  </si>
  <si>
    <t>INV-14272</t>
  </si>
  <si>
    <t>INV-14273</t>
  </si>
  <si>
    <t>INV-14274</t>
  </si>
  <si>
    <t>INV-14275</t>
  </si>
  <si>
    <t>INV-14276</t>
  </si>
  <si>
    <t>INV-14277</t>
  </si>
  <si>
    <t>INV-14278</t>
  </si>
  <si>
    <t>INV-14279</t>
  </si>
  <si>
    <t>INV-14280</t>
  </si>
  <si>
    <t>INV-14281</t>
  </si>
  <si>
    <t>INV-14282</t>
  </si>
  <si>
    <t>INV-14283</t>
  </si>
  <si>
    <t>INV-14284</t>
  </si>
  <si>
    <t>INV-14285</t>
  </si>
  <si>
    <t>INV-14286</t>
  </si>
  <si>
    <t>INV-14287</t>
  </si>
  <si>
    <t>INV-14288</t>
  </si>
  <si>
    <t>INV-14289</t>
  </si>
  <si>
    <t>INV-14290</t>
  </si>
  <si>
    <t>INV-14291</t>
  </si>
  <si>
    <t>INV-14292</t>
  </si>
  <si>
    <t>INV-14293</t>
  </si>
  <si>
    <t>INV-14294</t>
  </si>
  <si>
    <t>INV-14295</t>
  </si>
  <si>
    <t>INV-14296</t>
  </si>
  <si>
    <t>INV-14297</t>
  </si>
  <si>
    <t>INV-14298</t>
  </si>
  <si>
    <t>INV-14299</t>
  </si>
  <si>
    <t>INV-14300</t>
  </si>
  <si>
    <t>INV-14301</t>
  </si>
  <si>
    <t>INV-14302</t>
  </si>
  <si>
    <t>INV-14303</t>
  </si>
  <si>
    <t>INV-14304</t>
  </si>
  <si>
    <t>INV-14305</t>
  </si>
  <si>
    <t>INV-14306</t>
  </si>
  <si>
    <t>INV-14307</t>
  </si>
  <si>
    <t>INV-14308</t>
  </si>
  <si>
    <t>INV-14309</t>
  </si>
  <si>
    <t>INV-14310</t>
  </si>
  <si>
    <t>INV-14311</t>
  </si>
  <si>
    <t>INV-14312</t>
  </si>
  <si>
    <t>INV-14313</t>
  </si>
  <si>
    <t>INV-14314</t>
  </si>
  <si>
    <t>INV-14315</t>
  </si>
  <si>
    <t>INV-14316</t>
  </si>
  <si>
    <t>INV-14317</t>
  </si>
  <si>
    <t>INV-14318</t>
  </si>
  <si>
    <t>INV-14319</t>
  </si>
  <si>
    <t>INV-14320</t>
  </si>
  <si>
    <t>INV-14321</t>
  </si>
  <si>
    <t>INV-14322</t>
  </si>
  <si>
    <t>INV-14323</t>
  </si>
  <si>
    <t>INV-14324</t>
  </si>
  <si>
    <t>INV-14325</t>
  </si>
  <si>
    <t>INV-14326</t>
  </si>
  <si>
    <t>INV-14327</t>
  </si>
  <si>
    <t>INV-14328</t>
  </si>
  <si>
    <t>INV-14329</t>
  </si>
  <si>
    <t>INV-14330</t>
  </si>
  <si>
    <t>INV-14331</t>
  </si>
  <si>
    <t>INV-14332</t>
  </si>
  <si>
    <t>INV-14333</t>
  </si>
  <si>
    <t>INV-14334</t>
  </si>
  <si>
    <t>INV-14335</t>
  </si>
  <si>
    <t>INV-14336</t>
  </si>
  <si>
    <t>INV-14337</t>
  </si>
  <si>
    <t>INV-14338</t>
  </si>
  <si>
    <t>INV-14339</t>
  </si>
  <si>
    <t>INV-14340</t>
  </si>
  <si>
    <t>INV-14341</t>
  </si>
  <si>
    <t>INV-14342</t>
  </si>
  <si>
    <t>INV-14343</t>
  </si>
  <si>
    <t>INV-14344</t>
  </si>
  <si>
    <t>INV-14345</t>
  </si>
  <si>
    <t>INV-14346</t>
  </si>
  <si>
    <t>INV-14347</t>
  </si>
  <si>
    <t>INV-14348</t>
  </si>
  <si>
    <t>INV-14349</t>
  </si>
  <si>
    <t>INV-14350</t>
  </si>
  <si>
    <t>INV-14351</t>
  </si>
  <si>
    <t>INV-14352</t>
  </si>
  <si>
    <t>INV-14353</t>
  </si>
  <si>
    <t>INV-14354</t>
  </si>
  <si>
    <t>INV-14355</t>
  </si>
  <si>
    <t>INV-14356</t>
  </si>
  <si>
    <t>INV-14357</t>
  </si>
  <si>
    <t>INV-14358</t>
  </si>
  <si>
    <t>INV-14359</t>
  </si>
  <si>
    <t>INV-14360</t>
  </si>
  <si>
    <t>INV-14361</t>
  </si>
  <si>
    <t>INV-14362</t>
  </si>
  <si>
    <t>INV-14363</t>
  </si>
  <si>
    <t>INV-14364</t>
  </si>
  <si>
    <t>INV-14365</t>
  </si>
  <si>
    <t>INV-14366</t>
  </si>
  <si>
    <t>INV-14367</t>
  </si>
  <si>
    <t>INV-14368</t>
  </si>
  <si>
    <t>INV-14369</t>
  </si>
  <si>
    <t>INV-14370</t>
  </si>
  <si>
    <t>INV-14371</t>
  </si>
  <si>
    <t>INV-14372</t>
  </si>
  <si>
    <t>INV-14373</t>
  </si>
  <si>
    <t>INV-14374</t>
  </si>
  <si>
    <t>INV-14375</t>
  </si>
  <si>
    <t>INV-14376</t>
  </si>
  <si>
    <t>INV-14377</t>
  </si>
  <si>
    <t>INV-14378</t>
  </si>
  <si>
    <t>INV-14379</t>
  </si>
  <si>
    <t>INV-14380</t>
  </si>
  <si>
    <t>INV-14381</t>
  </si>
  <si>
    <t>INV-14382</t>
  </si>
  <si>
    <t>INV-14383</t>
  </si>
  <si>
    <t>INV-14384</t>
  </si>
  <si>
    <t>INV-14385</t>
  </si>
  <si>
    <t>INV-14386</t>
  </si>
  <si>
    <t>INV-14387</t>
  </si>
  <si>
    <t>INV-14388</t>
  </si>
  <si>
    <t>INV-14389</t>
  </si>
  <si>
    <t>INV-14390</t>
  </si>
  <si>
    <t>INV-14391</t>
  </si>
  <si>
    <t>INV-14392</t>
  </si>
  <si>
    <t>INV-14393</t>
  </si>
  <si>
    <t>INV-14394</t>
  </si>
  <si>
    <t>INV-14395</t>
  </si>
  <si>
    <t>INV-14396</t>
  </si>
  <si>
    <t>INV-14397</t>
  </si>
  <si>
    <t>INV-14398</t>
  </si>
  <si>
    <t>INV-14399</t>
  </si>
  <si>
    <t>INV-14400</t>
  </si>
  <si>
    <t>INV-14401</t>
  </si>
  <si>
    <t>INV-14402</t>
  </si>
  <si>
    <t>INV-14403</t>
  </si>
  <si>
    <t>INV-14404</t>
  </si>
  <si>
    <t>INV-14405</t>
  </si>
  <si>
    <t>INV-14406</t>
  </si>
  <si>
    <t>INV-14407</t>
  </si>
  <si>
    <t>INV-14408</t>
  </si>
  <si>
    <t>INV-14409</t>
  </si>
  <si>
    <t>INV-14410</t>
  </si>
  <si>
    <t>INV-14411</t>
  </si>
  <si>
    <t>INV-14412</t>
  </si>
  <si>
    <t>INV-14413</t>
  </si>
  <si>
    <t>INV-14414</t>
  </si>
  <si>
    <t>INV-14415</t>
  </si>
  <si>
    <t>INV-14416</t>
  </si>
  <si>
    <t>INV-14417</t>
  </si>
  <si>
    <t>INV-14418</t>
  </si>
  <si>
    <t>INV-14419</t>
  </si>
  <si>
    <t>INV-14420</t>
  </si>
  <si>
    <t>INV-14421</t>
  </si>
  <si>
    <t>INV-14422</t>
  </si>
  <si>
    <t>INV-14423</t>
  </si>
  <si>
    <t>INV-14424</t>
  </si>
  <si>
    <t>INV-14425</t>
  </si>
  <si>
    <t>INV-14426</t>
  </si>
  <si>
    <t>INV-14427</t>
  </si>
  <si>
    <t>INV-14428</t>
  </si>
  <si>
    <t>INV-14429</t>
  </si>
  <si>
    <t>INV-14430</t>
  </si>
  <si>
    <t>INV-14431</t>
  </si>
  <si>
    <t>INV-14432</t>
  </si>
  <si>
    <t>INV-14433</t>
  </si>
  <si>
    <t>INV-14434</t>
  </si>
  <si>
    <t>INV-14435</t>
  </si>
  <si>
    <t>INV-14436</t>
  </si>
  <si>
    <t>INV-14437</t>
  </si>
  <si>
    <t>INV-14438</t>
  </si>
  <si>
    <t>INV-14439</t>
  </si>
  <si>
    <t>INV-14440</t>
  </si>
  <si>
    <t>INV-14441</t>
  </si>
  <si>
    <t>INV-14442</t>
  </si>
  <si>
    <t>INV-14443</t>
  </si>
  <si>
    <t>INV-14444</t>
  </si>
  <si>
    <t>INV-14445</t>
  </si>
  <si>
    <t>INV-14446</t>
  </si>
  <si>
    <t>INV-14447</t>
  </si>
  <si>
    <t>INV-14448</t>
  </si>
  <si>
    <t>INV-14449</t>
  </si>
  <si>
    <t>INV-14450</t>
  </si>
  <si>
    <t>INV-14451</t>
  </si>
  <si>
    <t>INV-14452</t>
  </si>
  <si>
    <t>INV-14453</t>
  </si>
  <si>
    <t>INV-14454</t>
  </si>
  <si>
    <t>INV-14455</t>
  </si>
  <si>
    <t>INV-14456</t>
  </si>
  <si>
    <t>INV-14457</t>
  </si>
  <si>
    <t>INV-14458</t>
  </si>
  <si>
    <t>INV-14459</t>
  </si>
  <si>
    <t>INV-14460</t>
  </si>
  <si>
    <t>INV-14461</t>
  </si>
  <si>
    <t>INV-14462</t>
  </si>
  <si>
    <t>INV-14463</t>
  </si>
  <si>
    <t>INV-14464</t>
  </si>
  <si>
    <t>INV-14465</t>
  </si>
  <si>
    <t>INV-14466</t>
  </si>
  <si>
    <t>INV-14467</t>
  </si>
  <si>
    <t>INV-14468</t>
  </si>
  <si>
    <t>INV-14469</t>
  </si>
  <si>
    <t>INV-14470</t>
  </si>
  <si>
    <t>INV-14471</t>
  </si>
  <si>
    <t>INV-14472</t>
  </si>
  <si>
    <t>INV-14473</t>
  </si>
  <si>
    <t>INV-14474</t>
  </si>
  <si>
    <t>INV-14475</t>
  </si>
  <si>
    <t>INV-14476</t>
  </si>
  <si>
    <t>INV-14477</t>
  </si>
  <si>
    <t>INV-14478</t>
  </si>
  <si>
    <t>INV-14479</t>
  </si>
  <si>
    <t>INV-14480</t>
  </si>
  <si>
    <t>INV-14481</t>
  </si>
  <si>
    <t>INV-14482</t>
  </si>
  <si>
    <t>INV-14483</t>
  </si>
  <si>
    <t>INV-14484</t>
  </si>
  <si>
    <t>INV-14485</t>
  </si>
  <si>
    <t>INV-14486</t>
  </si>
  <si>
    <t>INV-14487</t>
  </si>
  <si>
    <t>INV-14488</t>
  </si>
  <si>
    <t>INV-14489</t>
  </si>
  <si>
    <t>INV-14490</t>
  </si>
  <si>
    <t>INV-14491</t>
  </si>
  <si>
    <t>INV-14492</t>
  </si>
  <si>
    <t>INV-14493</t>
  </si>
  <si>
    <t>INV-14494</t>
  </si>
  <si>
    <t>INV-14495</t>
  </si>
  <si>
    <t>INV-14496</t>
  </si>
  <si>
    <t>INV-14497</t>
  </si>
  <si>
    <t>INV-14498</t>
  </si>
  <si>
    <t>INV-14499</t>
  </si>
  <si>
    <t>INV-14500</t>
  </si>
  <si>
    <t>INV-14501</t>
  </si>
  <si>
    <t>INV-14502</t>
  </si>
  <si>
    <t>INV-14503</t>
  </si>
  <si>
    <t>INV-14504</t>
  </si>
  <si>
    <t>INV-14505</t>
  </si>
  <si>
    <t>INV-14506</t>
  </si>
  <si>
    <t>INV-14507</t>
  </si>
  <si>
    <t>INV-14508</t>
  </si>
  <si>
    <t>INV-14509</t>
  </si>
  <si>
    <t>INV-14510</t>
  </si>
  <si>
    <t>INV-14511</t>
  </si>
  <si>
    <t>INV-14512</t>
  </si>
  <si>
    <t>INV-14513</t>
  </si>
  <si>
    <t>INV-14514</t>
  </si>
  <si>
    <t>INV-14515</t>
  </si>
  <si>
    <t>INV-14516</t>
  </si>
  <si>
    <t>INV-14517</t>
  </si>
  <si>
    <t>INV-14518</t>
  </si>
  <si>
    <t>INV-14519</t>
  </si>
  <si>
    <t>INV-14520</t>
  </si>
  <si>
    <t>INV-14521</t>
  </si>
  <si>
    <t>INV-14522</t>
  </si>
  <si>
    <t>INV-14523</t>
  </si>
  <si>
    <t>INV-14524</t>
  </si>
  <si>
    <t>cust0034</t>
  </si>
  <si>
    <t>INV-14525</t>
  </si>
  <si>
    <t>INV-14526</t>
  </si>
  <si>
    <t>INV-14527</t>
  </si>
  <si>
    <t>INV-14528</t>
  </si>
  <si>
    <t>INV-14529</t>
  </si>
  <si>
    <t>INV-14530</t>
  </si>
  <si>
    <t>INV-14531</t>
  </si>
  <si>
    <t>INV-14532</t>
  </si>
  <si>
    <t>INV-14533</t>
  </si>
  <si>
    <t>INV-14534</t>
  </si>
  <si>
    <t>cust0042</t>
  </si>
  <si>
    <t>INV-14535</t>
  </si>
  <si>
    <t>INV-14536</t>
  </si>
  <si>
    <t>INV-14537</t>
  </si>
  <si>
    <t>INV-14538</t>
  </si>
  <si>
    <t>INV-14539</t>
  </si>
  <si>
    <t>INV-14540</t>
  </si>
  <si>
    <t>INV-14541</t>
  </si>
  <si>
    <t>INV-14542</t>
  </si>
  <si>
    <t>cust0265</t>
  </si>
  <si>
    <t>INV-14543</t>
  </si>
  <si>
    <t>INV-14544</t>
  </si>
  <si>
    <t>INV-14545</t>
  </si>
  <si>
    <t>INV-14546</t>
  </si>
  <si>
    <t>INV-14547</t>
  </si>
  <si>
    <t>INV-14548</t>
  </si>
  <si>
    <t>INV-14549</t>
  </si>
  <si>
    <t>INV-14550</t>
  </si>
  <si>
    <t>INV-14551</t>
  </si>
  <si>
    <t>INV-14552</t>
  </si>
  <si>
    <t>INV-14553</t>
  </si>
  <si>
    <t>INV-14554</t>
  </si>
  <si>
    <t>INV-14555</t>
  </si>
  <si>
    <t>INV-14556</t>
  </si>
  <si>
    <t>INV-14557</t>
  </si>
  <si>
    <t>INV-14558</t>
  </si>
  <si>
    <t>INV-14559</t>
  </si>
  <si>
    <t>INV-14560</t>
  </si>
  <si>
    <t>INV-14561</t>
  </si>
  <si>
    <t>INV-14562</t>
  </si>
  <si>
    <t>INV-14563</t>
  </si>
  <si>
    <t>INV-14564</t>
  </si>
  <si>
    <t>INV-14565</t>
  </si>
  <si>
    <t>INV-14566</t>
  </si>
  <si>
    <t>INV-14567</t>
  </si>
  <si>
    <t>INV-14568</t>
  </si>
  <si>
    <t>INV-14569</t>
  </si>
  <si>
    <t>INV-14570</t>
  </si>
  <si>
    <t>INV-14571</t>
  </si>
  <si>
    <t>INV-14572</t>
  </si>
  <si>
    <t>INV-14573</t>
  </si>
  <si>
    <t>INV-14574</t>
  </si>
  <si>
    <t>INV-14575</t>
  </si>
  <si>
    <t>INV-14576</t>
  </si>
  <si>
    <t>INV-14577</t>
  </si>
  <si>
    <t>INV-14578</t>
  </si>
  <si>
    <t>INV-14579</t>
  </si>
  <si>
    <t>INV-14580</t>
  </si>
  <si>
    <t>INV-14581</t>
  </si>
  <si>
    <t>INV-14582</t>
  </si>
  <si>
    <t>INV-14583</t>
  </si>
  <si>
    <t>INV-14584</t>
  </si>
  <si>
    <t>INV-14585</t>
  </si>
  <si>
    <t>INV-14586</t>
  </si>
  <si>
    <t>INV-14587</t>
  </si>
  <si>
    <t>INV-14588</t>
  </si>
  <si>
    <t>INV-14589</t>
  </si>
  <si>
    <t>INV-14590</t>
  </si>
  <si>
    <t>INV-14591</t>
  </si>
  <si>
    <t>INV-14592</t>
  </si>
  <si>
    <t>INV-14593</t>
  </si>
  <si>
    <t>INV-14594</t>
  </si>
  <si>
    <t>INV-14595</t>
  </si>
  <si>
    <t>INV-14596</t>
  </si>
  <si>
    <t>INV-14597</t>
  </si>
  <si>
    <t>INV-14598</t>
  </si>
  <si>
    <t>INV-14599</t>
  </si>
  <si>
    <t>INV-14600</t>
  </si>
  <si>
    <t>INV-14601</t>
  </si>
  <si>
    <t>INV-14602</t>
  </si>
  <si>
    <t>INV-14603</t>
  </si>
  <si>
    <t>INV-14604</t>
  </si>
  <si>
    <t>INV-14605</t>
  </si>
  <si>
    <t>INV-14606</t>
  </si>
  <si>
    <t>INV-14607</t>
  </si>
  <si>
    <t>INV-14608</t>
  </si>
  <si>
    <t>INV-14609</t>
  </si>
  <si>
    <t>INV-14610</t>
  </si>
  <si>
    <t>INV-14611</t>
  </si>
  <si>
    <t>INV-14612</t>
  </si>
  <si>
    <t>INV-14613</t>
  </si>
  <si>
    <t>INV-14614</t>
  </si>
  <si>
    <t>INV-14615</t>
  </si>
  <si>
    <t>INV-14616</t>
  </si>
  <si>
    <t>INV-14617</t>
  </si>
  <si>
    <t>INV-14618</t>
  </si>
  <si>
    <t>INV-14619</t>
  </si>
  <si>
    <t>INV-14620</t>
  </si>
  <si>
    <t>INV-14621</t>
  </si>
  <si>
    <t>INV-14622</t>
  </si>
  <si>
    <t>INV-14623</t>
  </si>
  <si>
    <t>INV-14624</t>
  </si>
  <si>
    <t>INV-14625</t>
  </si>
  <si>
    <t>INV-14626</t>
  </si>
  <si>
    <t>INV-14627</t>
  </si>
  <si>
    <t>INV-14628</t>
  </si>
  <si>
    <t>INV-14629</t>
  </si>
  <si>
    <t>INV-14630</t>
  </si>
  <si>
    <t>INV-14631</t>
  </si>
  <si>
    <t>INV-14632</t>
  </si>
  <si>
    <t>INV-14633</t>
  </si>
  <si>
    <t>cust0290</t>
  </si>
  <si>
    <t>INV-14634</t>
  </si>
  <si>
    <t>INV-14635</t>
  </si>
  <si>
    <t>INV-14636</t>
  </si>
  <si>
    <t>INV-14637</t>
  </si>
  <si>
    <t>INV-14638</t>
  </si>
  <si>
    <t>INV-14639</t>
  </si>
  <si>
    <t>INV-14640</t>
  </si>
  <si>
    <t>INV-14641</t>
  </si>
  <si>
    <t>INV-14642</t>
  </si>
  <si>
    <t>INV-14643</t>
  </si>
  <si>
    <t>INV-14644</t>
  </si>
  <si>
    <t>INV-14645</t>
  </si>
  <si>
    <t>INV-14646</t>
  </si>
  <si>
    <t>INV-14647</t>
  </si>
  <si>
    <t>INV-14648</t>
  </si>
  <si>
    <t>INV-14649</t>
  </si>
  <si>
    <t>INV-14650</t>
  </si>
  <si>
    <t>INV-14651</t>
  </si>
  <si>
    <t>INV-14652</t>
  </si>
  <si>
    <t>INV-14653</t>
  </si>
  <si>
    <t>INV-14654</t>
  </si>
  <si>
    <t>INV-14655</t>
  </si>
  <si>
    <t>INV-14656</t>
  </si>
  <si>
    <t>INV-14657</t>
  </si>
  <si>
    <t>INV-14658</t>
  </si>
  <si>
    <t>INV-14659</t>
  </si>
  <si>
    <t>INV-14660</t>
  </si>
  <si>
    <t>INV-14661</t>
  </si>
  <si>
    <t>INV-14662</t>
  </si>
  <si>
    <t>INV-14663</t>
  </si>
  <si>
    <t>INV-14664</t>
  </si>
  <si>
    <t>INV-14665</t>
  </si>
  <si>
    <t>INV-14666</t>
  </si>
  <si>
    <t>INV-14667</t>
  </si>
  <si>
    <t>INV-14668</t>
  </si>
  <si>
    <t>INV-14669</t>
  </si>
  <si>
    <t>INV-14670</t>
  </si>
  <si>
    <t>INV-14671</t>
  </si>
  <si>
    <t>INV-14672</t>
  </si>
  <si>
    <t>INV-14673</t>
  </si>
  <si>
    <t>INV-14674</t>
  </si>
  <si>
    <t>INV-14675</t>
  </si>
  <si>
    <t>INV-14676</t>
  </si>
  <si>
    <t>INV-14677</t>
  </si>
  <si>
    <t>INV-14678</t>
  </si>
  <si>
    <t>INV-14679</t>
  </si>
  <si>
    <t>INV-14680</t>
  </si>
  <si>
    <t>INV-14681</t>
  </si>
  <si>
    <t>INV-14682</t>
  </si>
  <si>
    <t>INV-14683</t>
  </si>
  <si>
    <t>INV-14684</t>
  </si>
  <si>
    <t>INV-14685</t>
  </si>
  <si>
    <t>INV-14686</t>
  </si>
  <si>
    <t>INV-14687</t>
  </si>
  <si>
    <t>INV-14688</t>
  </si>
  <si>
    <t>INV-14689</t>
  </si>
  <si>
    <t>INV-14690</t>
  </si>
  <si>
    <t>INV-14691</t>
  </si>
  <si>
    <t>INV-14692</t>
  </si>
  <si>
    <t>INV-14693</t>
  </si>
  <si>
    <t>INV-14694</t>
  </si>
  <si>
    <t>INV-14695</t>
  </si>
  <si>
    <t>INV-14696</t>
  </si>
  <si>
    <t>INV-14697</t>
  </si>
  <si>
    <t>INV-14698</t>
  </si>
  <si>
    <t>INV-14699</t>
  </si>
  <si>
    <t>INV-14700</t>
  </si>
  <si>
    <t>INV-14701</t>
  </si>
  <si>
    <t>INV-14702</t>
  </si>
  <si>
    <t>INV-14703</t>
  </si>
  <si>
    <t>INV-14704</t>
  </si>
  <si>
    <t>INV-14705</t>
  </si>
  <si>
    <t>INV-14706</t>
  </si>
  <si>
    <t>INV-14707</t>
  </si>
  <si>
    <t>INV-14708</t>
  </si>
  <si>
    <t>INV-14709</t>
  </si>
  <si>
    <t>INV-14710</t>
  </si>
  <si>
    <t>INV-14711</t>
  </si>
  <si>
    <t>INV-14712</t>
  </si>
  <si>
    <t>INV-14713</t>
  </si>
  <si>
    <t>INV-14714</t>
  </si>
  <si>
    <t>INV-14715</t>
  </si>
  <si>
    <t>INV-14716</t>
  </si>
  <si>
    <t>INV-14717</t>
  </si>
  <si>
    <t>INV-14718</t>
  </si>
  <si>
    <t>INV-14719</t>
  </si>
  <si>
    <t>INV-14720</t>
  </si>
  <si>
    <t>INV-14721</t>
  </si>
  <si>
    <t>INV-14722</t>
  </si>
  <si>
    <t>INV-14723</t>
  </si>
  <si>
    <t>INV-14724</t>
  </si>
  <si>
    <t>INV-14725</t>
  </si>
  <si>
    <t>INV-14726</t>
  </si>
  <si>
    <t>INV-14727</t>
  </si>
  <si>
    <t>INV-14728</t>
  </si>
  <si>
    <t>INV-14729</t>
  </si>
  <si>
    <t>INV-14730</t>
  </si>
  <si>
    <t>INV-14731</t>
  </si>
  <si>
    <t>INV-14732</t>
  </si>
  <si>
    <t>INV-14733</t>
  </si>
  <si>
    <t>INV-14734</t>
  </si>
  <si>
    <t>INV-14735</t>
  </si>
  <si>
    <t>INV-14736</t>
  </si>
  <si>
    <t>INV-14737</t>
  </si>
  <si>
    <t>INV-14738</t>
  </si>
  <si>
    <t>INV-14739</t>
  </si>
  <si>
    <t>INV-14740</t>
  </si>
  <si>
    <t>INV-14741</t>
  </si>
  <si>
    <t>INV-14742</t>
  </si>
  <si>
    <t>INV-14743</t>
  </si>
  <si>
    <t>INV-14744</t>
  </si>
  <si>
    <t>INV-14745</t>
  </si>
  <si>
    <t>INV-14746</t>
  </si>
  <si>
    <t>INV-14747</t>
  </si>
  <si>
    <t>INV-14748</t>
  </si>
  <si>
    <t>INV-14749</t>
  </si>
  <si>
    <t>INV-14750</t>
  </si>
  <si>
    <t>INV-14751</t>
  </si>
  <si>
    <t>INV-14752</t>
  </si>
  <si>
    <t>INV-14753</t>
  </si>
  <si>
    <t>INV-14754</t>
  </si>
  <si>
    <t>INV-14755</t>
  </si>
  <si>
    <t>INV-14756</t>
  </si>
  <si>
    <t>INV-14757</t>
  </si>
  <si>
    <t>INV-14758</t>
  </si>
  <si>
    <t>INV-14759</t>
  </si>
  <si>
    <t>INV-14760</t>
  </si>
  <si>
    <t>INV-14761</t>
  </si>
  <si>
    <t>INV-14762</t>
  </si>
  <si>
    <t>INV-14763</t>
  </si>
  <si>
    <t>INV-14764</t>
  </si>
  <si>
    <t>INV-14765</t>
  </si>
  <si>
    <t>INV-14766</t>
  </si>
  <si>
    <t>INV-14767</t>
  </si>
  <si>
    <t>INV-14768</t>
  </si>
  <si>
    <t>INV-14769</t>
  </si>
  <si>
    <t>INV-14770</t>
  </si>
  <si>
    <t>INV-14771</t>
  </si>
  <si>
    <t>INV-14772</t>
  </si>
  <si>
    <t>INV-14773</t>
  </si>
  <si>
    <t>INV-14774</t>
  </si>
  <si>
    <t>INV-14775</t>
  </si>
  <si>
    <t>INV-14776</t>
  </si>
  <si>
    <t>INV-14777</t>
  </si>
  <si>
    <t>INV-14778</t>
  </si>
  <si>
    <t>INV-14779</t>
  </si>
  <si>
    <t>INV-14780</t>
  </si>
  <si>
    <t>INV-14781</t>
  </si>
  <si>
    <t>INV-14782</t>
  </si>
  <si>
    <t>INV-14783</t>
  </si>
  <si>
    <t>INV-14784</t>
  </si>
  <si>
    <t>INV-14785</t>
  </si>
  <si>
    <t>INV-14786</t>
  </si>
  <si>
    <t>INV-14787</t>
  </si>
  <si>
    <t>INV-14788</t>
  </si>
  <si>
    <t>INV-14789</t>
  </si>
  <si>
    <t>INV-14790</t>
  </si>
  <si>
    <t>INV-14791</t>
  </si>
  <si>
    <t>INV-14792</t>
  </si>
  <si>
    <t>INV-14793</t>
  </si>
  <si>
    <t>INV-14794</t>
  </si>
  <si>
    <t>INV-14795</t>
  </si>
  <si>
    <t>INV-14796</t>
  </si>
  <si>
    <t>INV-14797</t>
  </si>
  <si>
    <t>INV-14798</t>
  </si>
  <si>
    <t>INV-14799</t>
  </si>
  <si>
    <t>INV-14800</t>
  </si>
  <si>
    <t>INV-14801</t>
  </si>
  <si>
    <t>INV-14802</t>
  </si>
  <si>
    <t>INV-14803</t>
  </si>
  <si>
    <t>INV-14804</t>
  </si>
  <si>
    <t>INV-14805</t>
  </si>
  <si>
    <t>INV-14806</t>
  </si>
  <si>
    <t>INV-14807</t>
  </si>
  <si>
    <t>INV-14808</t>
  </si>
  <si>
    <t>INV-14809</t>
  </si>
  <si>
    <t>INV-14810</t>
  </si>
  <si>
    <t>INV-14811</t>
  </si>
  <si>
    <t>INV-14812</t>
  </si>
  <si>
    <t>INV-14813</t>
  </si>
  <si>
    <t>INV-14814</t>
  </si>
  <si>
    <t>INV-14815</t>
  </si>
  <si>
    <t>INV-14816</t>
  </si>
  <si>
    <t>INV-14817</t>
  </si>
  <si>
    <t>INV-14818</t>
  </si>
  <si>
    <t>INV-14819</t>
  </si>
  <si>
    <t>INV-14820</t>
  </si>
  <si>
    <t>INV-14821</t>
  </si>
  <si>
    <t>cust0167</t>
  </si>
  <si>
    <t>INV-14822</t>
  </si>
  <si>
    <t>INV-14823</t>
  </si>
  <si>
    <t>INV-14824</t>
  </si>
  <si>
    <t>INV-14825</t>
  </si>
  <si>
    <t>INV-14826</t>
  </si>
  <si>
    <t>INV-14827</t>
  </si>
  <si>
    <t>INV-14828</t>
  </si>
  <si>
    <t>INV-14829</t>
  </si>
  <si>
    <t>INV-14830</t>
  </si>
  <si>
    <t>INV-14831</t>
  </si>
  <si>
    <t>INV-14832</t>
  </si>
  <si>
    <t>INV-14833</t>
  </si>
  <si>
    <t>INV-14834</t>
  </si>
  <si>
    <t>INV-14835</t>
  </si>
  <si>
    <t>INV-14836</t>
  </si>
  <si>
    <t>INV-14837</t>
  </si>
  <si>
    <t>INV-14838</t>
  </si>
  <si>
    <t>INV-14839</t>
  </si>
  <si>
    <t>INV-14840</t>
  </si>
  <si>
    <t>INV-14841</t>
  </si>
  <si>
    <t>INV-14842</t>
  </si>
  <si>
    <t>INV-14843</t>
  </si>
  <si>
    <t>INV-14844</t>
  </si>
  <si>
    <t>INV-14845</t>
  </si>
  <si>
    <t>INV-14846</t>
  </si>
  <si>
    <t>INV-14847</t>
  </si>
  <si>
    <t>INV-14848</t>
  </si>
  <si>
    <t>INV-14849</t>
  </si>
  <si>
    <t>INV-14850</t>
  </si>
  <si>
    <t>INV-14851</t>
  </si>
  <si>
    <t>INV-14852</t>
  </si>
  <si>
    <t>INV-14853</t>
  </si>
  <si>
    <t>INV-14854</t>
  </si>
  <si>
    <t>INV-14855</t>
  </si>
  <si>
    <t>INV-14856</t>
  </si>
  <si>
    <t>INV-14857</t>
  </si>
  <si>
    <t>INV-14858</t>
  </si>
  <si>
    <t>INV-14859</t>
  </si>
  <si>
    <t>INV-14860</t>
  </si>
  <si>
    <t>INV-14861</t>
  </si>
  <si>
    <t>INV-14862</t>
  </si>
  <si>
    <t>INV-14863</t>
  </si>
  <si>
    <t>INV-14864</t>
  </si>
  <si>
    <t>INV-14865</t>
  </si>
  <si>
    <t>INV-14866</t>
  </si>
  <si>
    <t>INV-14867</t>
  </si>
  <si>
    <t>INV-14868</t>
  </si>
  <si>
    <t>INV-14869</t>
  </si>
  <si>
    <t>INV-14870</t>
  </si>
  <si>
    <t>INV-14871</t>
  </si>
  <si>
    <t>INV-14872</t>
  </si>
  <si>
    <t>INV-14873</t>
  </si>
  <si>
    <t>INV-14874</t>
  </si>
  <si>
    <t>INV-14875</t>
  </si>
  <si>
    <t>INV-14876</t>
  </si>
  <si>
    <t>INV-14877</t>
  </si>
  <si>
    <t>INV-14878</t>
  </si>
  <si>
    <t>INV-14879</t>
  </si>
  <si>
    <t>INV-14880</t>
  </si>
  <si>
    <t>INV-14881</t>
  </si>
  <si>
    <t>INV-14882</t>
  </si>
  <si>
    <t>INV-14883</t>
  </si>
  <si>
    <t>INV-14884</t>
  </si>
  <si>
    <t>INV-14885</t>
  </si>
  <si>
    <t>INV-14886</t>
  </si>
  <si>
    <t>INV-14887</t>
  </si>
  <si>
    <t>INV-14888</t>
  </si>
  <si>
    <t>INV-14889</t>
  </si>
  <si>
    <t>INV-14890</t>
  </si>
  <si>
    <t>INV-14891</t>
  </si>
  <si>
    <t>INV-14892</t>
  </si>
  <si>
    <t>INV-14893</t>
  </si>
  <si>
    <t>INV-14894</t>
  </si>
  <si>
    <t>INV-14895</t>
  </si>
  <si>
    <t>INV-14896</t>
  </si>
  <si>
    <t>INV-14897</t>
  </si>
  <si>
    <t>INV-14898</t>
  </si>
  <si>
    <t>INV-14899</t>
  </si>
  <si>
    <t>INV-14900</t>
  </si>
  <si>
    <t>INV-14901</t>
  </si>
  <si>
    <t>INV-14902</t>
  </si>
  <si>
    <t>INV-14903</t>
  </si>
  <si>
    <t>INV-14904</t>
  </si>
  <si>
    <t>INV-14905</t>
  </si>
  <si>
    <t>INV-14906</t>
  </si>
  <si>
    <t>INV-14907</t>
  </si>
  <si>
    <t>INV-14908</t>
  </si>
  <si>
    <t>INV-14909</t>
  </si>
  <si>
    <t>INV-14910</t>
  </si>
  <si>
    <t>INV-14911</t>
  </si>
  <si>
    <t>INV-14912</t>
  </si>
  <si>
    <t>INV-14913</t>
  </si>
  <si>
    <t>INV-14914</t>
  </si>
  <si>
    <t>INV-14915</t>
  </si>
  <si>
    <t>INV-14916</t>
  </si>
  <si>
    <t>INV-14917</t>
  </si>
  <si>
    <t>INV-14918</t>
  </si>
  <si>
    <t>INV-14919</t>
  </si>
  <si>
    <t>INV-14920</t>
  </si>
  <si>
    <t>INV-14921</t>
  </si>
  <si>
    <t>INV-14922</t>
  </si>
  <si>
    <t>INV-14923</t>
  </si>
  <si>
    <t>INV-14924</t>
  </si>
  <si>
    <t>INV-14925</t>
  </si>
  <si>
    <t>INV-14926</t>
  </si>
  <si>
    <t>INV-14927</t>
  </si>
  <si>
    <t>INV-14928</t>
  </si>
  <si>
    <t>INV-14929</t>
  </si>
  <si>
    <t>INV-14930</t>
  </si>
  <si>
    <t>INV-14931</t>
  </si>
  <si>
    <t>INV-14932</t>
  </si>
  <si>
    <t>INV-14933</t>
  </si>
  <si>
    <t>INV-14934</t>
  </si>
  <si>
    <t>INV-14935</t>
  </si>
  <si>
    <t>INV-14936</t>
  </si>
  <si>
    <t>INV-14937</t>
  </si>
  <si>
    <t>INV-14938</t>
  </si>
  <si>
    <t>INV-14939</t>
  </si>
  <si>
    <t>INV-14940</t>
  </si>
  <si>
    <t>INV-14941</t>
  </si>
  <si>
    <t>INV-14942</t>
  </si>
  <si>
    <t>INV-14943</t>
  </si>
  <si>
    <t>INV-14944</t>
  </si>
  <si>
    <t>INV-14945</t>
  </si>
  <si>
    <t>INV-14946</t>
  </si>
  <si>
    <t>INV-14947</t>
  </si>
  <si>
    <t>INV-14948</t>
  </si>
  <si>
    <t>INV-14949</t>
  </si>
  <si>
    <t>INV-14950</t>
  </si>
  <si>
    <t>INV-14951</t>
  </si>
  <si>
    <t>INV-14952</t>
  </si>
  <si>
    <t>INV-14953</t>
  </si>
  <si>
    <t>INV-14954</t>
  </si>
  <si>
    <t>INV-14955</t>
  </si>
  <si>
    <t>INV-14956</t>
  </si>
  <si>
    <t>INV-14957</t>
  </si>
  <si>
    <t>INV-14958</t>
  </si>
  <si>
    <t>INV-14959</t>
  </si>
  <si>
    <t>INV-14960</t>
  </si>
  <si>
    <t>INV-14961</t>
  </si>
  <si>
    <t>INV-14962</t>
  </si>
  <si>
    <t>INV-14963</t>
  </si>
  <si>
    <t>INV-14964</t>
  </si>
  <si>
    <t>INV-14965</t>
  </si>
  <si>
    <t>INV-14966</t>
  </si>
  <si>
    <t>INV-14967</t>
  </si>
  <si>
    <t>INV-14968</t>
  </si>
  <si>
    <t>INV-14969</t>
  </si>
  <si>
    <t>INV-14970</t>
  </si>
  <si>
    <t>INV-14971</t>
  </si>
  <si>
    <t>INV-14972</t>
  </si>
  <si>
    <t>INV-14973</t>
  </si>
  <si>
    <t>INV-14974</t>
  </si>
  <si>
    <t>INV-14975</t>
  </si>
  <si>
    <t>INV-14976</t>
  </si>
  <si>
    <t>INV-14977</t>
  </si>
  <si>
    <t>INV-14978</t>
  </si>
  <si>
    <t>INV-14979</t>
  </si>
  <si>
    <t>INV-14980</t>
  </si>
  <si>
    <t>INV-14981</t>
  </si>
  <si>
    <t>INV-14982</t>
  </si>
  <si>
    <t>INV-14983</t>
  </si>
  <si>
    <t>INV-14984</t>
  </si>
  <si>
    <t>INV-14985</t>
  </si>
  <si>
    <t>INV-14986</t>
  </si>
  <si>
    <t>INV-14987</t>
  </si>
  <si>
    <t>INV-14988</t>
  </si>
  <si>
    <t>INV-14989</t>
  </si>
  <si>
    <t>INV-14990</t>
  </si>
  <si>
    <t>INV-14991</t>
  </si>
  <si>
    <t>INV-14992</t>
  </si>
  <si>
    <t>INV-14993</t>
  </si>
  <si>
    <t>INV-14994</t>
  </si>
  <si>
    <t>INV-14995</t>
  </si>
  <si>
    <t>INV-14996</t>
  </si>
  <si>
    <t>INV-14997</t>
  </si>
  <si>
    <t>INV-14998</t>
  </si>
  <si>
    <t>INV-14999</t>
  </si>
  <si>
    <t>INV-15000</t>
  </si>
  <si>
    <t>Epson Printer</t>
  </si>
  <si>
    <t>Dell Desktop</t>
  </si>
  <si>
    <t>Dell Monitor</t>
  </si>
  <si>
    <t>Boat Headset</t>
  </si>
  <si>
    <t>Logitech Keyboard</t>
  </si>
  <si>
    <t>Lenovo Laptop</t>
  </si>
  <si>
    <t>Logitech Mouse</t>
  </si>
  <si>
    <t>Samsung Monitor</t>
  </si>
  <si>
    <t>Dell Keyboard</t>
  </si>
  <si>
    <t>Boat Speaker</t>
  </si>
  <si>
    <t>Dell Power Adapter</t>
  </si>
  <si>
    <t>Logitech Webcam</t>
  </si>
  <si>
    <t>Dell Laptop</t>
  </si>
  <si>
    <t>Canon Printer</t>
  </si>
  <si>
    <t>Acer Laptop</t>
  </si>
  <si>
    <t>D-Link Router</t>
  </si>
  <si>
    <t>QTY</t>
  </si>
  <si>
    <t>Total Stock</t>
  </si>
  <si>
    <t>Available Stock</t>
  </si>
  <si>
    <t>TAX INVOICE</t>
  </si>
  <si>
    <t>GSTIN:</t>
  </si>
  <si>
    <t>Email ID</t>
  </si>
  <si>
    <t>Bill To:</t>
  </si>
  <si>
    <t>ADDRESS:-</t>
  </si>
  <si>
    <t>NAME:-</t>
  </si>
  <si>
    <t>GSTIN:-</t>
  </si>
  <si>
    <t>Sn.</t>
  </si>
  <si>
    <t>Rate</t>
  </si>
  <si>
    <t>Amount</t>
  </si>
  <si>
    <t>Date</t>
  </si>
  <si>
    <t>Grand Total</t>
  </si>
  <si>
    <t>Total Amount(₹- in Word):</t>
  </si>
  <si>
    <t>Authorised Signature</t>
  </si>
  <si>
    <t>Customer ID</t>
  </si>
  <si>
    <t>cust0268</t>
  </si>
  <si>
    <t>cust0062</t>
  </si>
  <si>
    <t>cust0086</t>
  </si>
  <si>
    <t>cust0004</t>
  </si>
  <si>
    <t>cust0174</t>
  </si>
  <si>
    <t>cust0126</t>
  </si>
  <si>
    <t>cust0019</t>
  </si>
  <si>
    <t>cust0115</t>
  </si>
  <si>
    <t>cust0009</t>
  </si>
  <si>
    <t>cust0250</t>
  </si>
  <si>
    <t>cust0032</t>
  </si>
  <si>
    <t>INV Date</t>
  </si>
  <si>
    <t>INV NO.</t>
  </si>
  <si>
    <t>Selling Rate</t>
  </si>
  <si>
    <t>Gross Amount</t>
  </si>
  <si>
    <t>Net Amount</t>
  </si>
  <si>
    <t>Payment Mode</t>
  </si>
  <si>
    <t>GST14526521224</t>
  </si>
  <si>
    <t>ABC ENTERPRISES PVT. LTD.</t>
  </si>
  <si>
    <t>abcenterprises@gmail.com</t>
  </si>
  <si>
    <t>Mobile NO</t>
  </si>
  <si>
    <t>HTPS Colony Darri Korba Chhattisgarh</t>
  </si>
  <si>
    <t>CUST ID</t>
  </si>
  <si>
    <t>Mobile NO.</t>
  </si>
  <si>
    <t>sup037</t>
  </si>
  <si>
    <t>sup030</t>
  </si>
  <si>
    <t>sup010</t>
  </si>
  <si>
    <t>Contact No.</t>
  </si>
  <si>
    <t>Purchase Stock</t>
  </si>
  <si>
    <t>Opening Stock</t>
  </si>
  <si>
    <t>Selling Stock</t>
  </si>
  <si>
    <t>Purchase Rate</t>
  </si>
  <si>
    <t>Sandisk Pen Drive</t>
  </si>
  <si>
    <t>Kingston Ram</t>
  </si>
  <si>
    <t>Lg Monitor</t>
  </si>
  <si>
    <t>Jbl Speaker</t>
  </si>
  <si>
    <t>Jbl Headset</t>
  </si>
  <si>
    <t>Amazon Basics Hdmi Cable</t>
  </si>
  <si>
    <t>Corsair Ram</t>
  </si>
  <si>
    <t>Samsung Ssd</t>
  </si>
  <si>
    <t>Crucial Ssd</t>
  </si>
  <si>
    <t>Supplier ID</t>
  </si>
  <si>
    <t>Purchase Bill</t>
  </si>
  <si>
    <t>Supplier Name</t>
  </si>
  <si>
    <t>Contect No</t>
  </si>
  <si>
    <t>Net Qty</t>
  </si>
  <si>
    <t>Net QTY</t>
  </si>
  <si>
    <t>Total Amount</t>
  </si>
  <si>
    <t>Contact No</t>
  </si>
  <si>
    <t>Customer Register</t>
  </si>
  <si>
    <t>Supplier Register</t>
  </si>
  <si>
    <t>Product Register</t>
  </si>
  <si>
    <t>Opning Stock</t>
  </si>
  <si>
    <t>Purchase Register</t>
  </si>
  <si>
    <t>Sales Register</t>
  </si>
  <si>
    <t>Stock Register</t>
  </si>
  <si>
    <t>Purchase No</t>
  </si>
  <si>
    <t>Purchase Date</t>
  </si>
  <si>
    <t>GST %</t>
  </si>
  <si>
    <t>ID</t>
  </si>
  <si>
    <t>GST Amount</t>
  </si>
  <si>
    <t>INVOICE ID</t>
  </si>
  <si>
    <t>GST TAX</t>
  </si>
  <si>
    <t>%</t>
  </si>
  <si>
    <t>Discount</t>
  </si>
  <si>
    <t>CONTACT NO:-</t>
  </si>
  <si>
    <t>ADDRESH:-</t>
  </si>
  <si>
    <t>STATE:-</t>
  </si>
  <si>
    <t>GSTIN NO</t>
  </si>
  <si>
    <t>GST2154521T012</t>
  </si>
  <si>
    <t>GST2154521T013</t>
  </si>
  <si>
    <t>GST2154521T014</t>
  </si>
  <si>
    <t>GST2154521T015</t>
  </si>
  <si>
    <t>GST2154521T016</t>
  </si>
  <si>
    <t>GST2154521T017</t>
  </si>
  <si>
    <t>GST2154521T018</t>
  </si>
  <si>
    <t>GST2154521T019</t>
  </si>
  <si>
    <t>GST2154521T020</t>
  </si>
  <si>
    <t>GST2154521T021</t>
  </si>
  <si>
    <t>GST2154521T022</t>
  </si>
  <si>
    <t>GST2154521T023</t>
  </si>
  <si>
    <t>GST2154521T024</t>
  </si>
  <si>
    <t>GST2154521T025</t>
  </si>
  <si>
    <t>GST2154521T026</t>
  </si>
  <si>
    <t>GST2154521T027</t>
  </si>
  <si>
    <t>GST2154521T028</t>
  </si>
  <si>
    <t>GST2154521T029</t>
  </si>
  <si>
    <t>GST2154521T030</t>
  </si>
  <si>
    <t>GST2154521T031</t>
  </si>
  <si>
    <t>GST2154521T032</t>
  </si>
  <si>
    <t>GST2154521T033</t>
  </si>
  <si>
    <t>GST2154521T034</t>
  </si>
  <si>
    <t>GST2154521T035</t>
  </si>
  <si>
    <t>GST2154521T036</t>
  </si>
  <si>
    <t>GST2154521T037</t>
  </si>
  <si>
    <t>GST2154521T038</t>
  </si>
  <si>
    <t>GST2154521T039</t>
  </si>
  <si>
    <t>GST2154521T040</t>
  </si>
  <si>
    <t>GST2154521T041</t>
  </si>
  <si>
    <t>GST2154521T042</t>
  </si>
  <si>
    <t>GST2154521T043</t>
  </si>
  <si>
    <t>GST2154521T044</t>
  </si>
  <si>
    <t>GST2154521T045</t>
  </si>
  <si>
    <t>GST2154521T046</t>
  </si>
  <si>
    <t>GST2154521T047</t>
  </si>
  <si>
    <t>GST2154521T048</t>
  </si>
  <si>
    <t>GST2154521T049</t>
  </si>
  <si>
    <t>GST2154521T050</t>
  </si>
  <si>
    <t>GST2154521T051</t>
  </si>
  <si>
    <t>GST2154521T052</t>
  </si>
  <si>
    <t>GST2154521T053</t>
  </si>
  <si>
    <t>GST2154521T054</t>
  </si>
  <si>
    <t>GST2154521T055</t>
  </si>
  <si>
    <t>GST2154521T056</t>
  </si>
  <si>
    <t>GST2154521T057</t>
  </si>
  <si>
    <t>GST2154521T058</t>
  </si>
  <si>
    <t>GST2154521T059</t>
  </si>
  <si>
    <t>GST2154521T060</t>
  </si>
  <si>
    <t>GST2154521T061</t>
  </si>
  <si>
    <t>PURCHASE NO</t>
  </si>
  <si>
    <t>DATE</t>
  </si>
  <si>
    <t>CG</t>
  </si>
  <si>
    <t>MP</t>
  </si>
  <si>
    <t>UP</t>
  </si>
  <si>
    <t>American TouristerLaptopBag</t>
  </si>
  <si>
    <t xml:space="preserve">LaptopBag </t>
  </si>
  <si>
    <t>PortronicsLaptopStand</t>
  </si>
  <si>
    <t>Rauter</t>
  </si>
  <si>
    <t>Seagate HDD</t>
  </si>
  <si>
    <t>apc</t>
  </si>
  <si>
    <t xml:space="preserve">HDD </t>
  </si>
  <si>
    <t xml:space="preserve">Laptop Stand </t>
  </si>
  <si>
    <t>Portronics USB Cable</t>
  </si>
  <si>
    <t xml:space="preserve">Desktop </t>
  </si>
  <si>
    <t>Laptop bag</t>
  </si>
  <si>
    <t>Microtek UPS</t>
  </si>
  <si>
    <t>Apc UPS</t>
  </si>
  <si>
    <t xml:space="preserve">HDMI Cable </t>
  </si>
  <si>
    <t xml:space="preserve">Webcam </t>
  </si>
  <si>
    <t>Amazon Basics</t>
  </si>
  <si>
    <t>HP Printer</t>
  </si>
  <si>
    <t>HP Power Adapter</t>
  </si>
  <si>
    <t>HP Desktop</t>
  </si>
  <si>
    <t>HP Mouse</t>
  </si>
  <si>
    <t>TP-link Bluetooth Adapter</t>
  </si>
  <si>
    <t>TP-link</t>
  </si>
  <si>
    <t>TP-link Wi-Fi Adapter</t>
  </si>
  <si>
    <t>TP-link Router</t>
  </si>
  <si>
    <t>WD HDD</t>
  </si>
  <si>
    <t>INV-15001</t>
  </si>
  <si>
    <t>CUST0301</t>
  </si>
  <si>
    <t>HP Laptop</t>
  </si>
  <si>
    <t>Disc %</t>
  </si>
  <si>
    <t>Disc. Amt.</t>
  </si>
  <si>
    <t>Online</t>
  </si>
  <si>
    <t>Pay Mode</t>
  </si>
  <si>
    <t>Disct %</t>
  </si>
  <si>
    <t>Disct Amnt</t>
  </si>
  <si>
    <t>INV-15002</t>
  </si>
  <si>
    <t>CUST0302</t>
  </si>
  <si>
    <t>PUR-52502</t>
  </si>
  <si>
    <t>SN</t>
  </si>
  <si>
    <t>Pradeep Kurrey</t>
  </si>
  <si>
    <t>Pradeep kurrey</t>
  </si>
  <si>
    <t>Sahil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</si>
</sst>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₹&quot;#,##0_);\(&quot;₹&quot;#,##0\)"/>
    <numFmt numFmtId="7" formatCode="&quot;₹&quot;#,##0.00_);\(&quot;₹&quot;#,##0.00\)"/>
    <numFmt numFmtId="42" formatCode="_(&quot;₹&quot;* #,##0_);_(&quot;₹&quot;* \(#,##0\);_(&quot;₹&quot;* &quot;-&quot;_);_(@_)"/>
    <numFmt numFmtId="44" formatCode="_(&quot;₹&quot;* #,##0.00_);_(&quot;₹&quot;* \(#,##0.00\);_(&quot;₹&quot;* &quot;-&quot;??_);_(@_)"/>
    <numFmt numFmtId="164" formatCode="&quot;₹&quot;#,##0"/>
    <numFmt numFmtId="165" formatCode="dd\-mm\-yyyy"/>
    <numFmt numFmtId="166" formatCode="dd/mm/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6"/>
      <color rgb="FFFFFFFF"/>
      <name val="Calibri"/>
      <family val="2"/>
    </font>
    <font>
      <b/>
      <sz val="2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26E76"/>
        <bgColor indexed="64"/>
      </patternFill>
    </fill>
    <fill>
      <patternFill patternType="solid">
        <fgColor rgb="FF98E8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3B4FE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07">
    <xf numFmtId="0" fontId="0" fillId="0" borderId="0" xfId="0"/>
    <xf numFmtId="0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42" fontId="3" fillId="0" borderId="0" xfId="1" applyFont="1"/>
    <xf numFmtId="42" fontId="0" fillId="0" borderId="0" xfId="1" applyFont="1"/>
    <xf numFmtId="9" fontId="0" fillId="0" borderId="0" xfId="2" applyFont="1"/>
    <xf numFmtId="42" fontId="0" fillId="0" borderId="0" xfId="0" applyNumberFormat="1"/>
    <xf numFmtId="0" fontId="0" fillId="0" borderId="0" xfId="0"/>
    <xf numFmtId="44" fontId="0" fillId="0" borderId="0" xfId="0" applyNumberFormat="1"/>
    <xf numFmtId="0" fontId="3" fillId="4" borderId="0" xfId="0" applyFont="1" applyFill="1" applyBorder="1" applyAlignment="1">
      <alignment vertical="top"/>
    </xf>
    <xf numFmtId="0" fontId="3" fillId="4" borderId="0" xfId="0" applyFont="1" applyFill="1" applyBorder="1" applyAlignment="1"/>
    <xf numFmtId="0" fontId="10" fillId="0" borderId="0" xfId="0" applyFont="1"/>
    <xf numFmtId="0" fontId="3" fillId="4" borderId="0" xfId="0" applyFont="1" applyFill="1" applyBorder="1"/>
    <xf numFmtId="0" fontId="7" fillId="4" borderId="0" xfId="0" applyFont="1" applyFill="1" applyBorder="1"/>
    <xf numFmtId="0" fontId="7" fillId="4" borderId="0" xfId="0" applyFont="1" applyFill="1" applyBorder="1"/>
    <xf numFmtId="0" fontId="3" fillId="0" borderId="0" xfId="0" applyFont="1" applyBorder="1" applyAlignment="1">
      <alignment horizontal="center"/>
    </xf>
    <xf numFmtId="0" fontId="2" fillId="2" borderId="10" xfId="0" applyFont="1" applyFill="1" applyBorder="1" applyAlignment="1">
      <alignment horizontal="center" vertical="center" wrapText="1"/>
    </xf>
    <xf numFmtId="0" fontId="7" fillId="0" borderId="0" xfId="0" applyFont="1"/>
    <xf numFmtId="0" fontId="11" fillId="0" borderId="0" xfId="0" applyFont="1"/>
    <xf numFmtId="0" fontId="13" fillId="2" borderId="9" xfId="0" applyFont="1" applyFill="1" applyBorder="1" applyAlignment="1">
      <alignment horizontal="center" vertical="center" wrapText="1"/>
    </xf>
    <xf numFmtId="0" fontId="13" fillId="2" borderId="10" xfId="0" applyFont="1" applyFill="1" applyBorder="1" applyAlignment="1">
      <alignment horizontal="center" vertical="center" wrapText="1"/>
    </xf>
    <xf numFmtId="0" fontId="13" fillId="2" borderId="10" xfId="0" applyNumberFormat="1" applyFont="1" applyFill="1" applyBorder="1" applyAlignment="1">
      <alignment horizontal="center" vertical="center" wrapText="1"/>
    </xf>
    <xf numFmtId="0" fontId="13" fillId="2" borderId="11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/>
    </xf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NumberFormat="1" applyFont="1" applyFill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9" fontId="3" fillId="6" borderId="14" xfId="2" applyNumberFormat="1" applyFont="1" applyFill="1" applyBorder="1" applyAlignment="1">
      <alignment horizontal="center" vertical="center"/>
    </xf>
    <xf numFmtId="1" fontId="3" fillId="6" borderId="14" xfId="2" applyNumberFormat="1" applyFont="1" applyFill="1" applyBorder="1" applyAlignment="1">
      <alignment horizontal="center" vertical="center"/>
    </xf>
    <xf numFmtId="9" fontId="3" fillId="0" borderId="14" xfId="2" applyNumberFormat="1" applyFont="1" applyBorder="1" applyAlignment="1">
      <alignment horizontal="center" vertical="center"/>
    </xf>
    <xf numFmtId="1" fontId="3" fillId="0" borderId="14" xfId="2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14" fontId="2" fillId="2" borderId="16" xfId="0" applyNumberFormat="1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6" xfId="0" applyNumberFormat="1" applyFont="1" applyFill="1" applyBorder="1" applyAlignment="1">
      <alignment horizontal="center" vertical="center" wrapText="1"/>
    </xf>
    <xf numFmtId="1" fontId="2" fillId="2" borderId="16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3" fillId="4" borderId="15" xfId="0" applyFont="1" applyFill="1" applyBorder="1"/>
    <xf numFmtId="0" fontId="0" fillId="4" borderId="17" xfId="0" applyFill="1" applyBorder="1"/>
    <xf numFmtId="0" fontId="3" fillId="4" borderId="14" xfId="0" applyFont="1" applyFill="1" applyBorder="1"/>
    <xf numFmtId="0" fontId="7" fillId="4" borderId="16" xfId="0" applyFont="1" applyFill="1" applyBorder="1"/>
    <xf numFmtId="0" fontId="7" fillId="4" borderId="17" xfId="0" applyFont="1" applyFill="1" applyBorder="1"/>
    <xf numFmtId="0" fontId="7" fillId="4" borderId="11" xfId="0" applyFont="1" applyFill="1" applyBorder="1"/>
    <xf numFmtId="0" fontId="7" fillId="4" borderId="18" xfId="0" applyFont="1" applyFill="1" applyBorder="1"/>
    <xf numFmtId="0" fontId="7" fillId="4" borderId="9" xfId="0" applyFont="1" applyFill="1" applyBorder="1"/>
    <xf numFmtId="0" fontId="0" fillId="0" borderId="0" xfId="0" applyAlignment="1"/>
    <xf numFmtId="0" fontId="3" fillId="4" borderId="16" xfId="0" applyFont="1" applyFill="1" applyBorder="1" applyAlignment="1"/>
    <xf numFmtId="0" fontId="4" fillId="3" borderId="12" xfId="0" applyFont="1" applyFill="1" applyBorder="1" applyAlignment="1">
      <alignment vertical="center"/>
    </xf>
    <xf numFmtId="0" fontId="4" fillId="3" borderId="17" xfId="0" applyFont="1" applyFill="1" applyBorder="1" applyAlignment="1">
      <alignment vertical="center"/>
    </xf>
    <xf numFmtId="9" fontId="0" fillId="0" borderId="0" xfId="1" applyNumberFormat="1" applyFont="1"/>
    <xf numFmtId="0" fontId="7" fillId="0" borderId="0" xfId="0" applyFont="1" applyBorder="1"/>
    <xf numFmtId="0" fontId="7" fillId="0" borderId="17" xfId="0" applyFont="1" applyBorder="1"/>
    <xf numFmtId="0" fontId="7" fillId="0" borderId="0" xfId="0" applyFont="1" applyBorder="1" applyAlignment="1">
      <alignment horizontal="left" vertical="center"/>
    </xf>
    <xf numFmtId="0" fontId="16" fillId="0" borderId="0" xfId="3" applyFont="1" applyBorder="1" applyAlignment="1">
      <alignment horizontal="left" vertical="center"/>
    </xf>
    <xf numFmtId="0" fontId="7" fillId="0" borderId="11" xfId="0" applyFont="1" applyBorder="1"/>
    <xf numFmtId="0" fontId="7" fillId="0" borderId="18" xfId="0" applyFont="1" applyBorder="1"/>
    <xf numFmtId="0" fontId="7" fillId="0" borderId="9" xfId="0" applyFont="1" applyBorder="1"/>
    <xf numFmtId="0" fontId="7" fillId="4" borderId="16" xfId="0" applyFont="1" applyFill="1" applyBorder="1" applyAlignment="1"/>
    <xf numFmtId="0" fontId="7" fillId="4" borderId="16" xfId="0" applyFont="1" applyFill="1" applyBorder="1" applyAlignment="1">
      <alignment vertical="top"/>
    </xf>
    <xf numFmtId="0" fontId="7" fillId="4" borderId="14" xfId="0" applyFont="1" applyFill="1" applyBorder="1"/>
    <xf numFmtId="0" fontId="7" fillId="4" borderId="15" xfId="0" applyFont="1" applyFill="1" applyBorder="1"/>
    <xf numFmtId="0" fontId="15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5" fillId="4" borderId="18" xfId="0" applyFont="1" applyFill="1" applyBorder="1" applyAlignment="1">
      <alignment horizontal="center"/>
    </xf>
    <xf numFmtId="0" fontId="15" fillId="4" borderId="0" xfId="0" applyFont="1" applyFill="1" applyBorder="1"/>
    <xf numFmtId="0" fontId="15" fillId="5" borderId="10" xfId="0" applyFont="1" applyFill="1" applyBorder="1" applyAlignment="1">
      <alignment horizontal="center" vertical="center" wrapText="1"/>
    </xf>
    <xf numFmtId="0" fontId="15" fillId="5" borderId="16" xfId="0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center" vertical="center" wrapText="1"/>
    </xf>
    <xf numFmtId="0" fontId="7" fillId="4" borderId="12" xfId="0" applyFont="1" applyFill="1" applyBorder="1"/>
    <xf numFmtId="0" fontId="7" fillId="4" borderId="0" xfId="0" applyFont="1" applyFill="1" applyBorder="1"/>
    <xf numFmtId="0" fontId="7" fillId="4" borderId="17" xfId="0" applyFont="1" applyFill="1" applyBorder="1"/>
    <xf numFmtId="0" fontId="15" fillId="4" borderId="15" xfId="0" applyFont="1" applyFill="1" applyBorder="1" applyAlignment="1"/>
    <xf numFmtId="0" fontId="7" fillId="0" borderId="16" xfId="0" applyFont="1" applyBorder="1"/>
    <xf numFmtId="0" fontId="7" fillId="4" borderId="0" xfId="0" applyFont="1" applyFill="1" applyBorder="1" applyAlignment="1">
      <alignment vertical="top"/>
    </xf>
    <xf numFmtId="0" fontId="5" fillId="4" borderId="16" xfId="0" applyFont="1" applyFill="1" applyBorder="1" applyAlignment="1">
      <alignment vertical="top"/>
    </xf>
    <xf numFmtId="0" fontId="5" fillId="4" borderId="0" xfId="0" applyFont="1" applyFill="1" applyBorder="1" applyAlignment="1">
      <alignment vertical="top"/>
    </xf>
    <xf numFmtId="0" fontId="16" fillId="4" borderId="0" xfId="3" applyFont="1" applyFill="1" applyBorder="1" applyAlignment="1"/>
    <xf numFmtId="0" fontId="3" fillId="4" borderId="0" xfId="0" applyFont="1" applyFill="1" applyBorder="1" applyAlignment="1">
      <alignment horizontal="left"/>
    </xf>
    <xf numFmtId="0" fontId="16" fillId="4" borderId="0" xfId="3" applyFont="1" applyFill="1" applyBorder="1" applyAlignment="1">
      <alignment horizontal="left"/>
    </xf>
    <xf numFmtId="0" fontId="5" fillId="0" borderId="11" xfId="0" applyFont="1" applyFill="1" applyBorder="1" applyAlignment="1"/>
    <xf numFmtId="0" fontId="5" fillId="0" borderId="18" xfId="0" applyFont="1" applyFill="1" applyBorder="1" applyAlignment="1"/>
    <xf numFmtId="0" fontId="3" fillId="0" borderId="18" xfId="0" applyFont="1" applyFill="1" applyBorder="1"/>
    <xf numFmtId="0" fontId="7" fillId="0" borderId="18" xfId="0" applyFont="1" applyFill="1" applyBorder="1"/>
    <xf numFmtId="0" fontId="7" fillId="0" borderId="9" xfId="0" applyFont="1" applyFill="1" applyBorder="1"/>
    <xf numFmtId="0" fontId="13" fillId="8" borderId="10" xfId="0" applyFont="1" applyFill="1" applyBorder="1" applyAlignment="1">
      <alignment horizontal="center"/>
    </xf>
    <xf numFmtId="0" fontId="7" fillId="0" borderId="0" xfId="0" applyFont="1" applyBorder="1" applyAlignment="1"/>
    <xf numFmtId="0" fontId="15" fillId="0" borderId="16" xfId="0" applyFont="1" applyBorder="1" applyAlignment="1"/>
    <xf numFmtId="0" fontId="15" fillId="0" borderId="0" xfId="0" applyFont="1" applyBorder="1" applyAlignment="1"/>
    <xf numFmtId="0" fontId="16" fillId="0" borderId="0" xfId="3" applyFont="1" applyBorder="1" applyAlignment="1">
      <alignment vertical="center"/>
    </xf>
    <xf numFmtId="0" fontId="7" fillId="4" borderId="0" xfId="0" applyFont="1" applyFill="1" applyBorder="1"/>
    <xf numFmtId="0" fontId="7" fillId="4" borderId="17" xfId="0" applyFont="1" applyFill="1" applyBorder="1"/>
    <xf numFmtId="0" fontId="7" fillId="3" borderId="14" xfId="0" applyFont="1" applyFill="1" applyBorder="1"/>
    <xf numFmtId="0" fontId="7" fillId="3" borderId="15" xfId="0" applyFont="1" applyFill="1" applyBorder="1"/>
    <xf numFmtId="0" fontId="5" fillId="3" borderId="15" xfId="0" applyFont="1" applyFill="1" applyBorder="1" applyAlignment="1"/>
    <xf numFmtId="0" fontId="7" fillId="3" borderId="16" xfId="0" applyFont="1" applyFill="1" applyBorder="1"/>
    <xf numFmtId="0" fontId="7" fillId="3" borderId="0" xfId="0" applyFont="1" applyFill="1" applyBorder="1"/>
    <xf numFmtId="0" fontId="15" fillId="3" borderId="0" xfId="0" applyFont="1" applyFill="1" applyBorder="1"/>
    <xf numFmtId="0" fontId="7" fillId="3" borderId="17" xfId="0" applyFont="1" applyFill="1" applyBorder="1"/>
    <xf numFmtId="0" fontId="7" fillId="3" borderId="11" xfId="0" applyFont="1" applyFill="1" applyBorder="1"/>
    <xf numFmtId="0" fontId="7" fillId="3" borderId="18" xfId="0" applyFont="1" applyFill="1" applyBorder="1"/>
    <xf numFmtId="0" fontId="7" fillId="0" borderId="0" xfId="0" applyNumberFormat="1" applyFont="1" applyBorder="1" applyAlignment="1">
      <alignment horizontal="left" vertical="center"/>
    </xf>
    <xf numFmtId="0" fontId="16" fillId="0" borderId="0" xfId="3" applyNumberFormat="1" applyFont="1" applyBorder="1" applyAlignment="1">
      <alignment horizontal="left" vertical="center"/>
    </xf>
    <xf numFmtId="0" fontId="7" fillId="0" borderId="18" xfId="0" applyNumberFormat="1" applyFont="1" applyBorder="1"/>
    <xf numFmtId="0" fontId="3" fillId="4" borderId="0" xfId="0" applyNumberFormat="1" applyFont="1" applyFill="1" applyBorder="1"/>
    <xf numFmtId="0" fontId="7" fillId="4" borderId="18" xfId="0" applyNumberFormat="1" applyFont="1" applyFill="1" applyBorder="1"/>
    <xf numFmtId="0" fontId="15" fillId="5" borderId="10" xfId="0" applyNumberFormat="1" applyFont="1" applyFill="1" applyBorder="1" applyAlignment="1">
      <alignment horizontal="center" vertical="center" wrapText="1"/>
    </xf>
    <xf numFmtId="0" fontId="15" fillId="4" borderId="15" xfId="0" applyNumberFormat="1" applyFont="1" applyFill="1" applyBorder="1" applyAlignment="1"/>
    <xf numFmtId="0" fontId="7" fillId="4" borderId="0" xfId="0" applyNumberFormat="1" applyFont="1" applyFill="1" applyBorder="1"/>
    <xf numFmtId="0" fontId="13" fillId="2" borderId="6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center" wrapText="1"/>
    </xf>
    <xf numFmtId="0" fontId="13" fillId="2" borderId="21" xfId="0" applyNumberFormat="1" applyFont="1" applyFill="1" applyBorder="1" applyAlignment="1">
      <alignment horizontal="center" vertical="center" wrapText="1"/>
    </xf>
    <xf numFmtId="42" fontId="13" fillId="2" borderId="21" xfId="1" applyFont="1" applyFill="1" applyBorder="1" applyAlignment="1">
      <alignment horizontal="center" vertical="center" wrapText="1"/>
    </xf>
    <xf numFmtId="9" fontId="13" fillId="2" borderId="21" xfId="1" applyNumberFormat="1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8" borderId="2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19" xfId="0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9" fontId="3" fillId="0" borderId="2" xfId="1" applyNumberFormat="1" applyFont="1" applyBorder="1" applyAlignment="1">
      <alignment horizontal="center" vertical="center"/>
    </xf>
    <xf numFmtId="0" fontId="2" fillId="8" borderId="23" xfId="0" applyFont="1" applyFill="1" applyBorder="1" applyAlignment="1">
      <alignment horizontal="center" vertical="center" wrapText="1"/>
    </xf>
    <xf numFmtId="0" fontId="13" fillId="2" borderId="21" xfId="1" applyNumberFormat="1" applyFont="1" applyFill="1" applyBorder="1" applyAlignment="1">
      <alignment horizontal="center" vertical="center" wrapText="1"/>
    </xf>
    <xf numFmtId="0" fontId="3" fillId="0" borderId="2" xfId="1" applyNumberFormat="1" applyFont="1" applyBorder="1" applyAlignment="1">
      <alignment horizontal="center" vertical="center"/>
    </xf>
    <xf numFmtId="0" fontId="0" fillId="0" borderId="0" xfId="1" applyNumberFormat="1" applyFont="1"/>
    <xf numFmtId="1" fontId="3" fillId="0" borderId="2" xfId="1" applyNumberFormat="1" applyFont="1" applyBorder="1" applyAlignment="1">
      <alignment horizontal="center" vertical="center"/>
    </xf>
    <xf numFmtId="1" fontId="3" fillId="0" borderId="24" xfId="1" applyNumberFormat="1" applyFont="1" applyBorder="1" applyAlignment="1">
      <alignment horizontal="center" vertical="center"/>
    </xf>
    <xf numFmtId="0" fontId="2" fillId="2" borderId="16" xfId="1" applyNumberFormat="1" applyFont="1" applyFill="1" applyBorder="1" applyAlignment="1">
      <alignment horizontal="center" vertical="center" wrapText="1"/>
    </xf>
    <xf numFmtId="0" fontId="3" fillId="0" borderId="8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5" fontId="3" fillId="0" borderId="22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2" xfId="0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" fontId="3" fillId="0" borderId="22" xfId="1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14" fontId="3" fillId="6" borderId="14" xfId="0" applyNumberFormat="1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4" xfId="0" applyNumberFormat="1" applyFont="1" applyFill="1" applyBorder="1" applyAlignment="1">
      <alignment horizontal="center" vertical="center"/>
    </xf>
    <xf numFmtId="0" fontId="3" fillId="6" borderId="14" xfId="1" applyNumberFormat="1" applyFont="1" applyFill="1" applyBorder="1" applyAlignment="1">
      <alignment horizontal="center" vertical="center"/>
    </xf>
    <xf numFmtId="1" fontId="3" fillId="6" borderId="14" xfId="1" applyNumberFormat="1" applyFont="1" applyFill="1" applyBorder="1" applyAlignment="1">
      <alignment horizontal="center" vertical="center"/>
    </xf>
    <xf numFmtId="1" fontId="3" fillId="0" borderId="0" xfId="1" applyNumberFormat="1" applyFont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" fontId="3" fillId="0" borderId="14" xfId="1" applyNumberFormat="1" applyFont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9" fontId="0" fillId="10" borderId="13" xfId="0" applyNumberFormat="1" applyFill="1" applyBorder="1"/>
    <xf numFmtId="0" fontId="7" fillId="10" borderId="0" xfId="0" applyFont="1" applyFill="1" applyBorder="1" applyAlignment="1">
      <alignment horizontal="center" vertical="center"/>
    </xf>
    <xf numFmtId="0" fontId="7" fillId="10" borderId="13" xfId="0" applyFont="1" applyFill="1" applyBorder="1" applyAlignment="1">
      <alignment horizontal="center" vertical="center"/>
    </xf>
    <xf numFmtId="9" fontId="7" fillId="10" borderId="17" xfId="0" applyNumberFormat="1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9" fontId="0" fillId="10" borderId="23" xfId="0" applyNumberFormat="1" applyFill="1" applyBorder="1"/>
    <xf numFmtId="0" fontId="0" fillId="10" borderId="23" xfId="0" applyFill="1" applyBorder="1"/>
    <xf numFmtId="0" fontId="7" fillId="10" borderId="16" xfId="0" applyNumberFormat="1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4" xfId="0" applyNumberFormat="1" applyFont="1" applyFill="1" applyBorder="1" applyAlignment="1">
      <alignment horizontal="center" vertical="center"/>
    </xf>
    <xf numFmtId="7" fontId="7" fillId="10" borderId="0" xfId="0" applyNumberFormat="1" applyFont="1" applyFill="1" applyBorder="1" applyAlignment="1">
      <alignment horizontal="center" vertical="center"/>
    </xf>
    <xf numFmtId="5" fontId="7" fillId="10" borderId="0" xfId="0" applyNumberFormat="1" applyFont="1" applyFill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9" fontId="3" fillId="0" borderId="15" xfId="2" applyNumberFormat="1" applyFont="1" applyBorder="1" applyAlignment="1">
      <alignment horizontal="center" vertical="center"/>
    </xf>
    <xf numFmtId="0" fontId="3" fillId="0" borderId="13" xfId="1" applyNumberFormat="1" applyFont="1" applyBorder="1" applyAlignment="1">
      <alignment horizontal="center" vertical="center"/>
    </xf>
    <xf numFmtId="9" fontId="2" fillId="2" borderId="16" xfId="0" applyNumberFormat="1" applyFont="1" applyFill="1" applyBorder="1" applyAlignment="1">
      <alignment horizontal="center" vertical="center" wrapText="1"/>
    </xf>
    <xf numFmtId="9" fontId="0" fillId="0" borderId="0" xfId="0" applyNumberFormat="1"/>
    <xf numFmtId="1" fontId="3" fillId="0" borderId="12" xfId="2" applyNumberFormat="1" applyFont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2" fillId="7" borderId="18" xfId="0" applyFont="1" applyFill="1" applyBorder="1" applyAlignment="1">
      <alignment horizontal="center"/>
    </xf>
    <xf numFmtId="0" fontId="3" fillId="4" borderId="0" xfId="0" applyFont="1" applyFill="1" applyBorder="1" applyAlignment="1">
      <alignment vertical="top"/>
    </xf>
    <xf numFmtId="0" fontId="3" fillId="4" borderId="17" xfId="0" applyFont="1" applyFill="1" applyBorder="1" applyAlignment="1">
      <alignment vertical="top"/>
    </xf>
    <xf numFmtId="0" fontId="7" fillId="4" borderId="0" xfId="0" applyFont="1" applyFill="1" applyBorder="1" applyAlignment="1">
      <alignment vertical="top"/>
    </xf>
    <xf numFmtId="0" fontId="7" fillId="4" borderId="17" xfId="0" applyFont="1" applyFill="1" applyBorder="1" applyAlignment="1">
      <alignment vertical="top"/>
    </xf>
    <xf numFmtId="0" fontId="16" fillId="4" borderId="0" xfId="3" applyFont="1" applyFill="1" applyBorder="1" applyAlignment="1"/>
    <xf numFmtId="0" fontId="16" fillId="4" borderId="17" xfId="3" applyFont="1" applyFill="1" applyBorder="1" applyAlignment="1"/>
    <xf numFmtId="0" fontId="5" fillId="4" borderId="16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/>
    </xf>
    <xf numFmtId="0" fontId="5" fillId="4" borderId="16" xfId="0" applyFont="1" applyFill="1" applyBorder="1"/>
    <xf numFmtId="0" fontId="5" fillId="4" borderId="0" xfId="0" applyFont="1" applyFill="1" applyBorder="1"/>
    <xf numFmtId="0" fontId="5" fillId="4" borderId="16" xfId="0" applyFont="1" applyFill="1" applyBorder="1" applyAlignment="1">
      <alignment horizontal="left" vertical="top"/>
    </xf>
    <xf numFmtId="0" fontId="5" fillId="4" borderId="0" xfId="0" applyFont="1" applyFill="1" applyBorder="1" applyAlignment="1">
      <alignment horizontal="left" vertical="top"/>
    </xf>
    <xf numFmtId="0" fontId="7" fillId="10" borderId="16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17" xfId="0" applyFont="1" applyFill="1" applyBorder="1" applyAlignment="1">
      <alignment horizontal="center" vertical="center"/>
    </xf>
    <xf numFmtId="0" fontId="14" fillId="3" borderId="16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/>
    </xf>
    <xf numFmtId="0" fontId="15" fillId="0" borderId="0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5" fillId="0" borderId="16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16" fillId="0" borderId="0" xfId="3" applyFont="1" applyBorder="1" applyAlignment="1">
      <alignment horizontal="left" vertical="center"/>
    </xf>
    <xf numFmtId="0" fontId="3" fillId="4" borderId="0" xfId="0" applyFont="1" applyFill="1" applyBorder="1" applyAlignment="1">
      <alignment vertical="center"/>
    </xf>
    <xf numFmtId="0" fontId="3" fillId="4" borderId="17" xfId="0" applyFont="1" applyFill="1" applyBorder="1" applyAlignment="1">
      <alignment vertical="center"/>
    </xf>
    <xf numFmtId="0" fontId="3" fillId="4" borderId="0" xfId="0" applyFont="1" applyFill="1" applyBorder="1" applyAlignment="1"/>
    <xf numFmtId="0" fontId="3" fillId="4" borderId="17" xfId="0" applyFont="1" applyFill="1" applyBorder="1" applyAlignment="1"/>
    <xf numFmtId="0" fontId="15" fillId="5" borderId="11" xfId="0" applyFont="1" applyFill="1" applyBorder="1" applyAlignment="1">
      <alignment horizontal="center" vertical="center" wrapText="1"/>
    </xf>
    <xf numFmtId="0" fontId="15" fillId="5" borderId="18" xfId="0" applyFont="1" applyFill="1" applyBorder="1" applyAlignment="1">
      <alignment horizontal="center"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18" fillId="3" borderId="15" xfId="0" applyFont="1" applyFill="1" applyBorder="1" applyAlignment="1">
      <alignment horizontal="center" vertical="center"/>
    </xf>
    <xf numFmtId="0" fontId="18" fillId="3" borderId="12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  <xf numFmtId="0" fontId="3" fillId="3" borderId="17" xfId="0" applyFont="1" applyFill="1" applyBorder="1" applyAlignment="1">
      <alignment horizontal="left"/>
    </xf>
    <xf numFmtId="0" fontId="7" fillId="3" borderId="0" xfId="0" applyFont="1" applyFill="1" applyBorder="1"/>
    <xf numFmtId="0" fontId="7" fillId="3" borderId="17" xfId="0" applyFont="1" applyFill="1" applyBorder="1"/>
    <xf numFmtId="0" fontId="15" fillId="3" borderId="0" xfId="0" applyFont="1" applyFill="1" applyBorder="1"/>
    <xf numFmtId="0" fontId="4" fillId="9" borderId="8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left" vertical="center"/>
    </xf>
    <xf numFmtId="166" fontId="9" fillId="3" borderId="0" xfId="0" applyNumberFormat="1" applyFont="1" applyFill="1" applyBorder="1" applyAlignment="1">
      <alignment horizontal="left" vertical="center"/>
    </xf>
    <xf numFmtId="0" fontId="4" fillId="3" borderId="15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center" vertical="top"/>
    </xf>
    <xf numFmtId="0" fontId="7" fillId="4" borderId="0" xfId="0" applyFont="1" applyFill="1" applyBorder="1" applyAlignment="1">
      <alignment horizontal="center" vertical="top"/>
    </xf>
    <xf numFmtId="0" fontId="7" fillId="4" borderId="17" xfId="0" applyFont="1" applyFill="1" applyBorder="1" applyAlignment="1">
      <alignment horizontal="center" vertical="top"/>
    </xf>
    <xf numFmtId="0" fontId="3" fillId="4" borderId="0" xfId="0" applyFont="1" applyFill="1" applyBorder="1" applyAlignment="1">
      <alignment horizontal="center" vertical="top"/>
    </xf>
    <xf numFmtId="0" fontId="3" fillId="4" borderId="17" xfId="0" applyFont="1" applyFill="1" applyBorder="1" applyAlignment="1">
      <alignment horizontal="center" vertical="top"/>
    </xf>
    <xf numFmtId="0" fontId="7" fillId="4" borderId="16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/>
    </xf>
    <xf numFmtId="0" fontId="15" fillId="4" borderId="17" xfId="0" applyFont="1" applyFill="1" applyBorder="1" applyAlignment="1">
      <alignment horizontal="center"/>
    </xf>
    <xf numFmtId="0" fontId="15" fillId="4" borderId="0" xfId="0" applyFont="1" applyFill="1" applyBorder="1"/>
    <xf numFmtId="0" fontId="7" fillId="4" borderId="0" xfId="0" applyFont="1" applyFill="1" applyBorder="1"/>
    <xf numFmtId="0" fontId="7" fillId="4" borderId="17" xfId="0" applyFont="1" applyFill="1" applyBorder="1"/>
    <xf numFmtId="0" fontId="4" fillId="9" borderId="15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16" fillId="4" borderId="0" xfId="3" applyFont="1" applyFill="1" applyBorder="1" applyAlignment="1">
      <alignment horizontal="center"/>
    </xf>
    <xf numFmtId="0" fontId="16" fillId="4" borderId="17" xfId="3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3" fillId="4" borderId="0" xfId="0" applyNumberFormat="1" applyFont="1" applyFill="1" applyBorder="1" applyAlignment="1">
      <alignment horizontal="left" vertical="center"/>
    </xf>
    <xf numFmtId="0" fontId="3" fillId="4" borderId="17" xfId="0" applyNumberFormat="1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17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17" fillId="3" borderId="14" xfId="0" applyFont="1" applyFill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/>
    </xf>
    <xf numFmtId="0" fontId="17" fillId="3" borderId="17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/>
    </xf>
    <xf numFmtId="0" fontId="18" fillId="4" borderId="7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14" fontId="3" fillId="0" borderId="0" xfId="0" applyNumberFormat="1" applyFont="1" applyBorder="1" applyAlignment="1">
      <alignment horizontal="center"/>
    </xf>
    <xf numFmtId="5" fontId="7" fillId="10" borderId="14" xfId="0" applyNumberFormat="1" applyFont="1" applyFill="1" applyBorder="1" applyAlignment="1">
      <alignment horizontal="center" vertical="center"/>
    </xf>
    <xf numFmtId="5" fontId="7" fillId="10" borderId="12" xfId="0" applyNumberFormat="1" applyFont="1" applyFill="1" applyBorder="1" applyAlignment="1">
      <alignment horizontal="center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107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3B4FE"/>
      <color rgb="FF98E8E4"/>
      <color rgb="FF326E76"/>
      <color rgb="FF183438"/>
      <color rgb="FF65DD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41827</xdr:colOff>
      <xdr:row>0</xdr:row>
      <xdr:rowOff>48454</xdr:rowOff>
    </xdr:from>
    <xdr:to>
      <xdr:col>15</xdr:col>
      <xdr:colOff>911915</xdr:colOff>
      <xdr:row>2</xdr:row>
      <xdr:rowOff>38929</xdr:rowOff>
    </xdr:to>
    <xdr:sp macro="[0]!SaveAndClearInvoice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94117D26-23C0-4024-BB93-66D37685AF5C}"/>
            </a:ext>
          </a:extLst>
        </xdr:cNvPr>
        <xdr:cNvSpPr/>
      </xdr:nvSpPr>
      <xdr:spPr>
        <a:xfrm>
          <a:off x="6783870" y="48454"/>
          <a:ext cx="870088" cy="437736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Sav</a:t>
          </a:r>
          <a:r>
            <a:rPr lang="en-US" sz="2000" b="1" baseline="0">
              <a:solidFill>
                <a:schemeClr val="bg1"/>
              </a:solidFill>
            </a:rPr>
            <a:t>e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41827</xdr:colOff>
      <xdr:row>2</xdr:row>
      <xdr:rowOff>110572</xdr:rowOff>
    </xdr:from>
    <xdr:to>
      <xdr:col>15</xdr:col>
      <xdr:colOff>928244</xdr:colOff>
      <xdr:row>4</xdr:row>
      <xdr:rowOff>165652</xdr:rowOff>
    </xdr:to>
    <xdr:sp macro="[0]!PrintInvoice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94B04FD-76C0-421A-A264-DC0D0A75009D}"/>
            </a:ext>
          </a:extLst>
        </xdr:cNvPr>
        <xdr:cNvSpPr/>
      </xdr:nvSpPr>
      <xdr:spPr>
        <a:xfrm>
          <a:off x="6783870" y="557833"/>
          <a:ext cx="886417" cy="45264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219075</xdr:colOff>
      <xdr:row>1</xdr:row>
      <xdr:rowOff>47625</xdr:rowOff>
    </xdr:from>
    <xdr:to>
      <xdr:col>18</xdr:col>
      <xdr:colOff>57150</xdr:colOff>
      <xdr:row>3</xdr:row>
      <xdr:rowOff>161924</xdr:rowOff>
    </xdr:to>
    <xdr:sp macro="[0]!Search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481609-7605-485E-A5E7-500938B1A4F9}"/>
            </a:ext>
          </a:extLst>
        </xdr:cNvPr>
        <xdr:cNvSpPr/>
      </xdr:nvSpPr>
      <xdr:spPr>
        <a:xfrm>
          <a:off x="6934200" y="285750"/>
          <a:ext cx="1323975" cy="523874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Search</a:t>
          </a:r>
          <a:r>
            <a:rPr lang="en-US" sz="2000" b="1" baseline="0">
              <a:solidFill>
                <a:schemeClr val="bg1"/>
              </a:solidFill>
            </a:rPr>
            <a:t> Bill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212271</xdr:colOff>
      <xdr:row>5</xdr:row>
      <xdr:rowOff>28574</xdr:rowOff>
    </xdr:from>
    <xdr:to>
      <xdr:col>18</xdr:col>
      <xdr:colOff>66674</xdr:colOff>
      <xdr:row>8</xdr:row>
      <xdr:rowOff>57150</xdr:rowOff>
    </xdr:to>
    <xdr:sp macro="[0]!PrintReprint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80A4607-3A27-4BFE-A279-6A45268849A6}"/>
            </a:ext>
          </a:extLst>
        </xdr:cNvPr>
        <xdr:cNvSpPr/>
      </xdr:nvSpPr>
      <xdr:spPr>
        <a:xfrm>
          <a:off x="6927396" y="1076324"/>
          <a:ext cx="1340303" cy="5334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</xdr:row>
      <xdr:rowOff>0</xdr:rowOff>
    </xdr:from>
    <xdr:to>
      <xdr:col>17</xdr:col>
      <xdr:colOff>323850</xdr:colOff>
      <xdr:row>2</xdr:row>
      <xdr:rowOff>171451</xdr:rowOff>
    </xdr:to>
    <xdr:sp macro="[0]!SaveAndClear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405F8B-B33D-4B8C-AF87-F35E08D605F2}"/>
            </a:ext>
          </a:extLst>
        </xdr:cNvPr>
        <xdr:cNvSpPr/>
      </xdr:nvSpPr>
      <xdr:spPr>
        <a:xfrm>
          <a:off x="7010400" y="342900"/>
          <a:ext cx="904875" cy="4572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Save</a:t>
          </a:r>
          <a:r>
            <a:rPr lang="en-US" sz="2000" b="1" baseline="0">
              <a:solidFill>
                <a:schemeClr val="bg1"/>
              </a:solidFill>
            </a:rPr>
            <a:t> Invoice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50347</xdr:colOff>
      <xdr:row>3</xdr:row>
      <xdr:rowOff>85725</xdr:rowOff>
    </xdr:from>
    <xdr:to>
      <xdr:col>17</xdr:col>
      <xdr:colOff>323851</xdr:colOff>
      <xdr:row>5</xdr:row>
      <xdr:rowOff>57150</xdr:rowOff>
    </xdr:to>
    <xdr:sp macro="[0]!Print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3D5ADE9-5BAB-411D-9879-0FF23D8AC801}"/>
            </a:ext>
          </a:extLst>
        </xdr:cNvPr>
        <xdr:cNvSpPr/>
      </xdr:nvSpPr>
      <xdr:spPr>
        <a:xfrm>
          <a:off x="7032172" y="733425"/>
          <a:ext cx="883104" cy="40957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0</xdr:row>
      <xdr:rowOff>95250</xdr:rowOff>
    </xdr:from>
    <xdr:to>
      <xdr:col>17</xdr:col>
      <xdr:colOff>533400</xdr:colOff>
      <xdr:row>1</xdr:row>
      <xdr:rowOff>266700</xdr:rowOff>
    </xdr:to>
    <xdr:sp macro="[0]!SearchPurchaseBi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13D809-FF19-410C-A55D-28FAC37EF223}"/>
            </a:ext>
          </a:extLst>
        </xdr:cNvPr>
        <xdr:cNvSpPr/>
      </xdr:nvSpPr>
      <xdr:spPr>
        <a:xfrm>
          <a:off x="7010400" y="95250"/>
          <a:ext cx="1114425" cy="5143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Search</a:t>
          </a:r>
        </a:p>
      </xdr:txBody>
    </xdr:sp>
    <xdr:clientData/>
  </xdr:twoCellAnchor>
  <xdr:twoCellAnchor>
    <xdr:from>
      <xdr:col>16</xdr:col>
      <xdr:colOff>40822</xdr:colOff>
      <xdr:row>2</xdr:row>
      <xdr:rowOff>133350</xdr:rowOff>
    </xdr:from>
    <xdr:to>
      <xdr:col>17</xdr:col>
      <xdr:colOff>533400</xdr:colOff>
      <xdr:row>4</xdr:row>
      <xdr:rowOff>190500</xdr:rowOff>
    </xdr:to>
    <xdr:sp macro="[0]!PrintPurchaseBi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0EFF918-F721-43A3-B98F-0738893906F2}"/>
            </a:ext>
          </a:extLst>
        </xdr:cNvPr>
        <xdr:cNvSpPr/>
      </xdr:nvSpPr>
      <xdr:spPr>
        <a:xfrm>
          <a:off x="7022647" y="762000"/>
          <a:ext cx="1102178" cy="48577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B8B902-0C0D-4E21-8523-05C864D19AB6}" name="Product" displayName="Product" ref="A2:H502" totalsRowShown="0" headerRowDxfId="106" dataDxfId="104" headerRowBorderDxfId="105" tableBorderDxfId="103" totalsRowBorderDxfId="102">
  <tableColumns count="8">
    <tableColumn id="1" xr3:uid="{E35CAF21-C54E-42E2-9476-53C356E3DDB3}" name="Product ID" dataDxfId="101"/>
    <tableColumn id="2" xr3:uid="{D7C43BE5-3AE1-4D9E-9C25-C2D4CB21131A}" name="Product Name" dataDxfId="100"/>
    <tableColumn id="3" xr3:uid="{09275BEA-2B49-43D6-AEDB-A4A2AF803FCC}" name="Category" dataDxfId="99"/>
    <tableColumn id="4" xr3:uid="{AF2D8932-869F-48B0-8A4E-03513C4C996F}" name="Brand" dataDxfId="98"/>
    <tableColumn id="5" xr3:uid="{4FF09390-E8DA-4F4C-9075-FE54E34C289B}" name="Unit" dataDxfId="97"/>
    <tableColumn id="6" xr3:uid="{ACD8DDC1-B329-4541-BD37-7DEB4EC135FE}" name="Purchase Price" dataDxfId="96"/>
    <tableColumn id="7" xr3:uid="{6C567A33-AE87-4A43-80A7-969D29957308}" name="Selling Price" dataDxfId="95"/>
    <tableColumn id="8" xr3:uid="{AE6FEE0B-9C4B-4B6E-8DF3-C63FBB8B9931}" name="Reorder Level" dataDxfId="9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9291CE-3937-4F1C-AE11-8E2BF624ECDA}" name="Supplier" displayName="Supplier" ref="A2:F52" totalsRowShown="0" headerRowDxfId="93" dataDxfId="91" headerRowBorderDxfId="92" tableBorderDxfId="90" totalsRowBorderDxfId="89">
  <tableColumns count="6">
    <tableColumn id="1" xr3:uid="{E903E191-D881-469F-B15B-131DF2FFD660}" name="Supplier_ID" dataDxfId="88"/>
    <tableColumn id="2" xr3:uid="{EE75B450-1B91-4584-8F12-B08C010B70DB}" name="Supplier_Name" dataDxfId="87"/>
    <tableColumn id="3" xr3:uid="{303A7EA7-7424-4F53-BE87-27C969BEB53D}" name="Contact No." dataDxfId="86"/>
    <tableColumn id="4" xr3:uid="{7A4B88CA-A825-435B-8627-8CCA947A0E5F}" name="City" dataDxfId="85">
      <calculatedColumnFormula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calculatedColumnFormula>
    </tableColumn>
    <tableColumn id="5" xr3:uid="{E95098EB-60C5-44B6-9D93-29AE72A78D56}" name="State" dataDxfId="84"/>
    <tableColumn id="6" xr3:uid="{210C45FD-F151-4B5E-A7EE-2A4478038DCC}" name="GSTIN NO" dataDxfId="8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3F2DAA-4380-445C-B28B-15FC955D9A27}" name="Customer" displayName="Customer" ref="A2:E304" totalsRowShown="0" headerRowDxfId="82" dataDxfId="80" headerRowBorderDxfId="81" tableBorderDxfId="79" totalsRowBorderDxfId="78">
  <tableColumns count="5">
    <tableColumn id="1" xr3:uid="{05F0263A-7BBC-4015-AEFD-2788A3146A40}" name="Customer ID" dataDxfId="77"/>
    <tableColumn id="2" xr3:uid="{5CB592FA-1336-45C5-A050-8CA8F08B0DD6}" name="Customer Name" dataDxfId="76"/>
    <tableColumn id="3" xr3:uid="{D405E8E4-3B54-45FA-B42C-C5C967810E52}" name="Contact No" dataDxfId="75"/>
    <tableColumn id="4" xr3:uid="{DB50CACC-578C-43B5-A704-0A66B069A4F3}" name="City" dataDxfId="74"/>
    <tableColumn id="5" xr3:uid="{6DE7A382-EA2D-4C32-87D4-03D23BD39249}" name="GSTIN NO" dataDxfId="73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1A0161-7FDF-4311-B163-27EB45F400D5}" name="Opning" displayName="Opning" ref="A2:C502" totalsRowShown="0" headerRowBorderDxfId="72" tableBorderDxfId="71" totalsRowBorderDxfId="70">
  <tableColumns count="3">
    <tableColumn id="1" xr3:uid="{F86B162B-0E3D-40D5-BB2B-1F614A6C0988}" name="Product_ID" dataDxfId="69"/>
    <tableColumn id="2" xr3:uid="{78476C2B-3C2D-4535-9010-DFC7725A22C5}" name="Opening_Qty" dataDxfId="68"/>
    <tableColumn id="3" xr3:uid="{79F48883-2E2C-4B4C-BC63-FB6B1F9D316A}" name="Opening_Rate" dataDxfId="6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991EE99-8694-4224-A233-A39D60BAE60C}" name="Purchase" displayName="Purchase" ref="A2:U2501" totalsRowShown="0" headerRowDxfId="65" dataDxfId="63" headerRowBorderDxfId="64" tableBorderDxfId="62" totalsRowBorderDxfId="61">
  <autoFilter ref="A2:U2501" xr:uid="{8F526D24-106A-4AC6-BF16-14F30E1AA98E}"/>
  <sortState xmlns:xlrd2="http://schemas.microsoft.com/office/spreadsheetml/2017/richdata2" ref="A3:T2501">
    <sortCondition ref="A3:A2501"/>
  </sortState>
  <tableColumns count="21">
    <tableColumn id="1" xr3:uid="{1A5AB30A-1853-4684-A512-09473A8854E7}" name="Purchase No" dataDxfId="60"/>
    <tableColumn id="2" xr3:uid="{F7F9931B-9A44-41FF-A97C-FEE82296A97E}" name="Purchase Date" dataDxfId="59"/>
    <tableColumn id="3" xr3:uid="{97AE8858-86E8-421C-9AAF-8500B6F673DF}" name="Supplier ID" dataDxfId="58"/>
    <tableColumn id="4" xr3:uid="{FA30C05C-24C3-48D1-8984-E93DC53953F9}" name="Supplier Name" dataDxfId="57">
      <calculatedColumnFormula>VLOOKUP(Purchase[[#This Row],[Supplier ID]],Supplier[#All],2,0)</calculatedColumnFormula>
    </tableColumn>
    <tableColumn id="5" xr3:uid="{4320D393-C8A7-48D1-9873-88C9ED42F71E}" name="Contect No" dataDxfId="56">
      <calculatedColumnFormula>VLOOKUP(Purchase[[#This Row],[Supplier ID]],Supplier[#All],3,0)</calculatedColumnFormula>
    </tableColumn>
    <tableColumn id="6" xr3:uid="{69FD6E12-5734-4711-BA0F-44097E5EADFB}" name="City" dataDxfId="55">
      <calculatedColumnFormula>VLOOKUP(Purchase[[#This Row],[Supplier ID]],Supplier[#All],4,0)</calculatedColumnFormula>
    </tableColumn>
    <tableColumn id="7" xr3:uid="{AB88494A-FFE4-4E59-918A-02B53F863463}" name="State" dataDxfId="54">
      <calculatedColumnFormula>VLOOKUP(Purchase[[#This Row],[Supplier ID]],Supplier[#All],5,0)</calculatedColumnFormula>
    </tableColumn>
    <tableColumn id="8" xr3:uid="{AB546A99-2A8F-4738-8C91-1C6292058AFA}" name="GSTIN NO" dataDxfId="53">
      <calculatedColumnFormula>VLOOKUP(Purchase[[#This Row],[Supplier ID]],Supplier[#All],6,0)</calculatedColumnFormula>
    </tableColumn>
    <tableColumn id="13" xr3:uid="{8AD2E9A3-A0CC-48DE-ACC0-5A3ACC0A074D}" name="Product ID" dataDxfId="52"/>
    <tableColumn id="9" xr3:uid="{B65F595C-3FA8-496D-A99E-C2D8573F4201}" name="Qty" dataDxfId="51"/>
    <tableColumn id="10" xr3:uid="{AB8FA963-6E7B-4732-841F-42161B36B1A5}" name="Purchase Rate" dataDxfId="50" dataCellStyle="Currency [0]">
      <calculatedColumnFormula>VLOOKUP(Purchase[[#This Row],[Product ID]],Product[#All],6,0)</calculatedColumnFormula>
    </tableColumn>
    <tableColumn id="20" xr3:uid="{169A4FEB-5613-475B-A0ED-808C7DE45863}" name="Gross Amount" dataDxfId="49" dataCellStyle="Currency [0]">
      <calculatedColumnFormula>Purchase[[#This Row],[Purchase Rate]]*Purchase[[#This Row],[Qty]]</calculatedColumnFormula>
    </tableColumn>
    <tableColumn id="16" xr3:uid="{39E10B7A-7D53-4905-BCB6-F4FA7D745763}" name="Disct %" dataDxfId="48" dataCellStyle="Currency [0]"/>
    <tableColumn id="15" xr3:uid="{82C7EA1D-A34F-4452-85BC-602BB3B11EAC}" name="Disct Amnt" dataDxfId="47" dataCellStyle="Currency [0]"/>
    <tableColumn id="14" xr3:uid="{1F9CB869-79D5-44E4-9880-FC0457D6B6AC}" name="GST %" dataDxfId="46" dataCellStyle="Currency [0]"/>
    <tableColumn id="17" xr3:uid="{D22A599C-F45E-4895-A65A-01A98BD0F746}" name="GST Amount" dataDxfId="45" dataCellStyle="Currency [0]">
      <calculatedColumnFormula>(Purchase[[#This Row],[Gross Amount]]-Purchase[[#This Row],[Disct %]])*Purchase[[#This Row],[GST %]]</calculatedColumnFormula>
    </tableColumn>
    <tableColumn id="21" xr3:uid="{6FDA2356-387A-4C87-9BCB-3BE98C120BC4}" name="Total Amount" dataDxfId="44" dataCellStyle="Currency [0]">
      <calculatedColumnFormula>Purchase[[#This Row],[Gross Amount]]-Purchase[[#This Row],[Disct Amnt]]+Purchase[[#This Row],[GST Amount]]</calculatedColumnFormula>
    </tableColumn>
    <tableColumn id="11" xr3:uid="{D8FA86C5-F167-47B2-B587-3E4E38B51961}" name="Status" dataDxfId="43"/>
    <tableColumn id="12" xr3:uid="{3774E602-9AFD-43EF-BB8E-912795241DFB}" name="Net Qty" dataDxfId="42">
      <calculatedColumnFormula>IF(Purchase[[#This Row],[Status]]="Cancelled",0,Purchase[[#This Row],[Qty]])</calculatedColumnFormula>
    </tableColumn>
    <tableColumn id="22" xr3:uid="{684D29B6-AD86-4F75-A7DA-D2A531A23989}" name="Net Amount" dataDxfId="41" dataCellStyle="Currency [0]">
      <calculatedColumnFormula>IF(Purchase[[#This Row],[Status]]="Cancelled",0,Purchase[[#This Row],[Total Amount]])</calculatedColumnFormula>
    </tableColumn>
    <tableColumn id="18" xr3:uid="{3421653A-8FE2-46C1-98BB-9F6A3C616F66}" name="Grand Total" dataDxfId="40" dataCellStyle="Currency [0]">
      <calculatedColumnFormula>SUM(Purchase[Net Amount])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3CE5A9-2567-420A-8FFB-8254CCF04F15}" name="Sales" displayName="Sales" ref="A2:S5005" totalsRowShown="0" headerRowDxfId="38" dataDxfId="37" tableBorderDxfId="36" dataCellStyle="Currency [0]">
  <autoFilter ref="A2:S5005" xr:uid="{B8F1CE0D-2825-472B-BA13-CDA3BB6794E3}"/>
  <tableColumns count="19">
    <tableColumn id="1" xr3:uid="{452D3545-2086-42FD-A632-6B4D5680EFAD}" name="INV NO." dataDxfId="35"/>
    <tableColumn id="2" xr3:uid="{0A61C452-D135-47FA-80B5-8F03BFE88BFB}" name="INV Date" dataDxfId="34"/>
    <tableColumn id="3" xr3:uid="{DC655175-BEFB-4CAF-82D7-31E056B9A5DF}" name="Customer ID" dataDxfId="33"/>
    <tableColumn id="4" xr3:uid="{01A9607F-E097-4E2A-9C61-769103D7C3F6}" name="Customer Name" dataDxfId="32">
      <calculatedColumnFormula>VLOOKUP(Sales[[#This Row],[Customer ID]],Customer[#All],2,0)</calculatedColumnFormula>
    </tableColumn>
    <tableColumn id="5" xr3:uid="{24B49516-3DBC-4115-860E-96627F809E8E}" name="Product ID" dataDxfId="31"/>
    <tableColumn id="6" xr3:uid="{98D7EC18-46D3-4521-B1C2-CEC11B0156E5}" name="Product Name" dataDxfId="30">
      <calculatedColumnFormula>VLOOKUP(Sales[[#This Row],[Product ID]],Product[#All],2,0)</calculatedColumnFormula>
    </tableColumn>
    <tableColumn id="7" xr3:uid="{30800411-DC49-4D58-80FD-23C2F8A8A720}" name="Qty" dataDxfId="29"/>
    <tableColumn id="8" xr3:uid="{0BF60A6A-9AF6-4F57-B3C5-1EC3371685B2}" name="Selling Rate" dataDxfId="28" dataCellStyle="Currency [0]">
      <calculatedColumnFormula>VLOOKUP(Sales[[#This Row],[Product ID]],Product[#All],7,0)</calculatedColumnFormula>
    </tableColumn>
    <tableColumn id="9" xr3:uid="{A9C9405E-D668-4FE0-B9E8-8A0C93376198}" name="Gross Amount" dataDxfId="27" dataCellStyle="Currency [0]">
      <calculatedColumnFormula>Sales[[#This Row],[Selling Rate]]*Sales[[#This Row],[Qty]]</calculatedColumnFormula>
    </tableColumn>
    <tableColumn id="10" xr3:uid="{A64B315B-A76F-4623-A307-38047846B08A}" name="Disc %" dataDxfId="26" dataCellStyle="Percent"/>
    <tableColumn id="11" xr3:uid="{6F42BB6E-71D2-47B1-8A2F-952D72DB814C}" name="Disc. Amt." dataDxfId="25" dataCellStyle="Percent">
      <calculatedColumnFormula>Sales[[#This Row],[Gross Amount]]*Sales[[#This Row],[Disc %]]</calculatedColumnFormula>
    </tableColumn>
    <tableColumn id="17" xr3:uid="{2EA2F45C-2C29-4816-AC77-54157145BE6B}" name="GST %" dataDxfId="24" dataCellStyle="Percent"/>
    <tableColumn id="18" xr3:uid="{060F7979-AA18-45C0-9D58-2488A46D644F}" name="GST Amount" dataDxfId="23" dataCellStyle="Percent">
      <calculatedColumnFormula>(Sales[[#This Row],[Gross Amount]]-Sales[[#This Row],[Disc. Amt.]])*Sales[[#This Row],[GST %]]</calculatedColumnFormula>
    </tableColumn>
    <tableColumn id="12" xr3:uid="{CC397A8D-9036-4297-AB5D-ADE296C6FC33}" name="Total Amount" dataDxfId="22" dataCellStyle="Currency [0]">
      <calculatedColumnFormula>Sales[[#This Row],[Gross Amount]]-Sales[[#This Row],[Disc. Amt.]]+Sales[[#This Row],[GST Amount]]</calculatedColumnFormula>
    </tableColumn>
    <tableColumn id="13" xr3:uid="{01C26587-40D6-496B-B2DC-292E87AEE3F6}" name="Pay Mode" dataDxfId="21"/>
    <tableColumn id="14" xr3:uid="{3CA89EE8-D649-41AC-AE39-29368A8929A0}" name="Status" dataDxfId="20"/>
    <tableColumn id="15" xr3:uid="{11BA29D8-A11C-41E7-A235-FC7634783209}" name="Net QTY" dataDxfId="19" dataCellStyle="Currency [0]">
      <calculatedColumnFormula>IF(Sales[[#This Row],[Status]]="Cancelled",0,Sales[[#This Row],[Qty]])</calculatedColumnFormula>
    </tableColumn>
    <tableColumn id="16" xr3:uid="{EF9C2543-6AF6-45C4-9998-F52896ADCAFE}" name="Net Amount" dataDxfId="18" dataCellStyle="Currency [0]">
      <calculatedColumnFormula>IF(Sales[[#This Row],[Status]]="Cancelled",0,Sales[[#This Row],[Total Amount]])</calculatedColumnFormula>
    </tableColumn>
    <tableColumn id="19" xr3:uid="{FA0271B8-1F94-459A-BDEB-D8BFF4E4DAA7}" name="Grand Total" dataDxfId="17" dataCellStyle="Currency [0]">
      <calculatedColumnFormula>SUM(Sales[Net Amount])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F33F07-1FF7-482F-9E15-F62504995555}" name="Stock" displayName="Stock" ref="A2:K502" totalsRowShown="0" headerRowDxfId="14" dataDxfId="12" headerRowBorderDxfId="13" tableBorderDxfId="11">
  <tableColumns count="11">
    <tableColumn id="1" xr3:uid="{B44A2C69-3950-49B9-9B7C-A17D61E42645}" name="Product ID" dataDxfId="10">
      <calculatedColumnFormula>Product[[#This Row],[Product ID]]</calculatedColumnFormula>
    </tableColumn>
    <tableColumn id="2" xr3:uid="{5B913DFA-6DAD-4D37-85EE-E5FC38A38400}" name="Product Name" dataDxfId="9">
      <calculatedColumnFormula>VLOOKUP(Stock[[#This Row],[Product ID]],Product[#All],2,0)</calculatedColumnFormula>
    </tableColumn>
    <tableColumn id="3" xr3:uid="{75C409F3-5C25-4B01-92CD-16411D836834}" name="Category" dataDxfId="8">
      <calculatedColumnFormula>VLOOKUP(Stock[[#This Row],[Product ID]],Product[#All],3,0)</calculatedColumnFormula>
    </tableColumn>
    <tableColumn id="4" xr3:uid="{B0A60E19-68D1-406A-BFD3-6C822ACFB4ED}" name="Brand" dataDxfId="7">
      <calculatedColumnFormula>VLOOKUP(Stock[[#This Row],[Product ID]],Product[#All],4,0)</calculatedColumnFormula>
    </tableColumn>
    <tableColumn id="5" xr3:uid="{9185926F-9278-4E8C-B628-7DCADE24FD72}" name="Opening Stock" dataDxfId="6">
      <calculatedColumnFormula>SUMIF(Opning[[#All],[Product_ID]],Stock[[#This Row],[Product ID]],Opning[[#All],[Opening_Qty]])</calculatedColumnFormula>
    </tableColumn>
    <tableColumn id="6" xr3:uid="{E759FE54-523A-477F-92EA-5D0B2E8EBD9E}" name="Purchase Stock" dataDxfId="5">
      <calculatedColumnFormula>SUMIF(Purchase[[#All],[Product ID]],Stock[[#This Row],[Product ID]],Purchase[[#All],[Net Qty]])</calculatedColumnFormula>
    </tableColumn>
    <tableColumn id="7" xr3:uid="{1D740995-BF74-4FDF-AD33-5C51F5ADD3E5}" name="Total Stock" dataDxfId="4">
      <calculatedColumnFormula>Stock[[#This Row],[Opening Stock]]+Stock[[#This Row],[Purchase Stock]]</calculatedColumnFormula>
    </tableColumn>
    <tableColumn id="8" xr3:uid="{C64A7C57-8CB5-4A70-A1C2-FC9764478DF5}" name="Selling Stock" dataDxfId="3">
      <calculatedColumnFormula>SUMIF(Sales[[#All],[Product ID]],Stock[[#This Row],[Product ID]],Sales[[#All],[Net QTY]])</calculatedColumnFormula>
    </tableColumn>
    <tableColumn id="9" xr3:uid="{4C6A7ABB-BFB2-4EFB-BAE0-7862BFFD1953}" name="Available Stock" dataDxfId="2">
      <calculatedColumnFormula>Stock[[#This Row],[Total Stock]]-Stock[[#This Row],[Selling Stock]]</calculatedColumnFormula>
    </tableColumn>
    <tableColumn id="10" xr3:uid="{64714838-30A0-4553-9CA4-66594AFB7F62}" name="Reorder Level" dataDxfId="1">
      <calculatedColumnFormula>VLOOKUP(Stock[[#This Row],[Product ID]],Product[#All],8,0)</calculatedColumnFormula>
    </tableColumn>
    <tableColumn id="11" xr3:uid="{CC550394-40DA-49AF-B28D-01B85212AF12}" name="Status" dataDxfId="0">
      <calculatedColumnFormula>IF(Stock[[#This Row],[Available Stock]]&lt;=Stock[[#This Row],[Reorder Level]],"Reorder","OK")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bcenterprises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bcenterprises@gmail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1E8E4-112F-4293-B144-704EDF9E0133}">
  <sheetPr codeName="Sheet1"/>
  <dimension ref="A1:H502"/>
  <sheetViews>
    <sheetView workbookViewId="0">
      <selection activeCell="C11" sqref="C11"/>
    </sheetView>
  </sheetViews>
  <sheetFormatPr defaultRowHeight="15" x14ac:dyDescent="0.25"/>
  <cols>
    <col min="1" max="1" width="15" customWidth="1"/>
    <col min="2" max="2" width="30.28515625" style="11" customWidth="1"/>
    <col min="3" max="3" width="21.7109375" customWidth="1"/>
    <col min="4" max="4" width="18.140625" customWidth="1"/>
    <col min="5" max="5" width="8" customWidth="1"/>
    <col min="6" max="6" width="19.7109375" style="1" customWidth="1"/>
    <col min="7" max="7" width="17" style="1" customWidth="1"/>
    <col min="8" max="8" width="19" style="1" customWidth="1"/>
  </cols>
  <sheetData>
    <row r="1" spans="1:8" s="11" customFormat="1" ht="31.5" x14ac:dyDescent="0.25">
      <c r="A1" s="188" t="s">
        <v>8773</v>
      </c>
      <c r="B1" s="188"/>
      <c r="C1" s="188"/>
      <c r="D1" s="188"/>
      <c r="E1" s="188"/>
      <c r="F1" s="188"/>
      <c r="G1" s="188"/>
      <c r="H1" s="188"/>
    </row>
    <row r="2" spans="1:8" s="15" customFormat="1" ht="27.75" customHeight="1" x14ac:dyDescent="0.35">
      <c r="A2" s="23" t="s">
        <v>555</v>
      </c>
      <c r="B2" s="24" t="s">
        <v>556</v>
      </c>
      <c r="C2" s="24" t="s">
        <v>1</v>
      </c>
      <c r="D2" s="24" t="s">
        <v>2</v>
      </c>
      <c r="E2" s="24" t="s">
        <v>3</v>
      </c>
      <c r="F2" s="25" t="s">
        <v>557</v>
      </c>
      <c r="G2" s="25" t="s">
        <v>558</v>
      </c>
      <c r="H2" s="26" t="s">
        <v>559</v>
      </c>
    </row>
    <row r="3" spans="1:8" ht="18.75" x14ac:dyDescent="0.25">
      <c r="A3" s="30" t="s">
        <v>4</v>
      </c>
      <c r="B3" s="5" t="s">
        <v>8688</v>
      </c>
      <c r="C3" s="5" t="s">
        <v>5</v>
      </c>
      <c r="D3" s="5" t="s">
        <v>6</v>
      </c>
      <c r="E3" s="5" t="s">
        <v>3</v>
      </c>
      <c r="F3" s="6">
        <v>38884</v>
      </c>
      <c r="G3" s="6">
        <v>45990</v>
      </c>
      <c r="H3" s="148">
        <v>5</v>
      </c>
    </row>
    <row r="4" spans="1:8" ht="18.75" x14ac:dyDescent="0.25">
      <c r="A4" s="30" t="s">
        <v>7</v>
      </c>
      <c r="B4" s="5" t="s">
        <v>8689</v>
      </c>
      <c r="C4" s="5" t="s">
        <v>8</v>
      </c>
      <c r="D4" s="5" t="s">
        <v>9</v>
      </c>
      <c r="E4" s="5" t="s">
        <v>3</v>
      </c>
      <c r="F4" s="6">
        <v>27080</v>
      </c>
      <c r="G4" s="6">
        <v>33010</v>
      </c>
      <c r="H4" s="148">
        <v>10</v>
      </c>
    </row>
    <row r="5" spans="1:8" ht="18.75" x14ac:dyDescent="0.25">
      <c r="A5" s="30" t="s">
        <v>10</v>
      </c>
      <c r="B5" s="5" t="s">
        <v>8690</v>
      </c>
      <c r="C5" s="5" t="s">
        <v>11</v>
      </c>
      <c r="D5" s="5" t="s">
        <v>9</v>
      </c>
      <c r="E5" s="5" t="s">
        <v>3</v>
      </c>
      <c r="F5" s="6">
        <v>15190</v>
      </c>
      <c r="G5" s="6">
        <v>17230</v>
      </c>
      <c r="H5" s="148">
        <v>25</v>
      </c>
    </row>
    <row r="6" spans="1:8" ht="18.75" x14ac:dyDescent="0.25">
      <c r="A6" s="30" t="s">
        <v>12</v>
      </c>
      <c r="B6" s="5" t="s">
        <v>8691</v>
      </c>
      <c r="C6" s="5" t="s">
        <v>13</v>
      </c>
      <c r="D6" s="5" t="s">
        <v>14</v>
      </c>
      <c r="E6" s="5" t="s">
        <v>3</v>
      </c>
      <c r="F6" s="6">
        <v>1698</v>
      </c>
      <c r="G6" s="6">
        <v>1990</v>
      </c>
      <c r="H6" s="148">
        <v>8</v>
      </c>
    </row>
    <row r="7" spans="1:8" ht="18.75" x14ac:dyDescent="0.25">
      <c r="A7" s="30" t="s">
        <v>15</v>
      </c>
      <c r="B7" s="5" t="s">
        <v>8754</v>
      </c>
      <c r="C7" s="5" t="s">
        <v>16</v>
      </c>
      <c r="D7" s="5" t="s">
        <v>17</v>
      </c>
      <c r="E7" s="5" t="s">
        <v>3</v>
      </c>
      <c r="F7" s="6">
        <v>3688</v>
      </c>
      <c r="G7" s="6">
        <v>4530</v>
      </c>
      <c r="H7" s="148">
        <v>25</v>
      </c>
    </row>
    <row r="8" spans="1:8" ht="18.75" x14ac:dyDescent="0.25">
      <c r="A8" s="30" t="s">
        <v>18</v>
      </c>
      <c r="B8" s="5" t="s">
        <v>8866</v>
      </c>
      <c r="C8" s="5" t="s">
        <v>19</v>
      </c>
      <c r="D8" s="5" t="s">
        <v>8867</v>
      </c>
      <c r="E8" s="5" t="s">
        <v>3</v>
      </c>
      <c r="F8" s="6">
        <v>701</v>
      </c>
      <c r="G8" s="6">
        <v>870</v>
      </c>
      <c r="H8" s="148">
        <v>20</v>
      </c>
    </row>
    <row r="9" spans="1:8" ht="18.75" x14ac:dyDescent="0.25">
      <c r="A9" s="30" t="s">
        <v>20</v>
      </c>
      <c r="B9" s="5" t="s">
        <v>8692</v>
      </c>
      <c r="C9" s="5" t="s">
        <v>21</v>
      </c>
      <c r="D9" s="5" t="s">
        <v>22</v>
      </c>
      <c r="E9" s="5" t="s">
        <v>3</v>
      </c>
      <c r="F9" s="6">
        <v>2532</v>
      </c>
      <c r="G9" s="6">
        <v>3290</v>
      </c>
      <c r="H9" s="148">
        <v>5</v>
      </c>
    </row>
    <row r="10" spans="1:8" ht="18.75" x14ac:dyDescent="0.25">
      <c r="A10" s="30" t="s">
        <v>23</v>
      </c>
      <c r="B10" s="5" t="s">
        <v>8755</v>
      </c>
      <c r="C10" s="5" t="s">
        <v>24</v>
      </c>
      <c r="D10" s="5" t="s">
        <v>25</v>
      </c>
      <c r="E10" s="5" t="s">
        <v>3</v>
      </c>
      <c r="F10" s="6">
        <v>4851</v>
      </c>
      <c r="G10" s="6">
        <v>6040</v>
      </c>
      <c r="H10" s="148">
        <v>15</v>
      </c>
    </row>
    <row r="11" spans="1:8" ht="18.75" x14ac:dyDescent="0.25">
      <c r="A11" s="30" t="s">
        <v>26</v>
      </c>
      <c r="B11" s="5" t="s">
        <v>8756</v>
      </c>
      <c r="C11" s="5" t="s">
        <v>11</v>
      </c>
      <c r="D11" s="5" t="s">
        <v>27</v>
      </c>
      <c r="E11" s="5" t="s">
        <v>3</v>
      </c>
      <c r="F11" s="6">
        <v>18890</v>
      </c>
      <c r="G11" s="6">
        <v>21600</v>
      </c>
      <c r="H11" s="148">
        <v>20</v>
      </c>
    </row>
    <row r="12" spans="1:8" ht="18.75" x14ac:dyDescent="0.25">
      <c r="A12" s="30" t="s">
        <v>28</v>
      </c>
      <c r="B12" s="5" t="s">
        <v>8693</v>
      </c>
      <c r="C12" s="5" t="s">
        <v>39</v>
      </c>
      <c r="D12" s="5" t="s">
        <v>29</v>
      </c>
      <c r="E12" s="5" t="s">
        <v>3</v>
      </c>
      <c r="F12" s="6">
        <v>68618</v>
      </c>
      <c r="G12" s="6">
        <v>86330</v>
      </c>
      <c r="H12" s="148">
        <v>5</v>
      </c>
    </row>
    <row r="13" spans="1:8" ht="18.75" x14ac:dyDescent="0.25">
      <c r="A13" s="30" t="s">
        <v>30</v>
      </c>
      <c r="B13" s="5" t="s">
        <v>8695</v>
      </c>
      <c r="C13" s="5" t="s">
        <v>11</v>
      </c>
      <c r="D13" s="5" t="s">
        <v>34</v>
      </c>
      <c r="E13" s="5" t="s">
        <v>3</v>
      </c>
      <c r="F13" s="6">
        <v>13487</v>
      </c>
      <c r="G13" s="6">
        <v>16740</v>
      </c>
      <c r="H13" s="148">
        <v>5</v>
      </c>
    </row>
    <row r="14" spans="1:8" ht="18.75" x14ac:dyDescent="0.25">
      <c r="A14" s="30" t="s">
        <v>31</v>
      </c>
      <c r="B14" s="5" t="s">
        <v>8694</v>
      </c>
      <c r="C14" s="5" t="s">
        <v>32</v>
      </c>
      <c r="D14" s="5" t="s">
        <v>22</v>
      </c>
      <c r="E14" s="5" t="s">
        <v>3</v>
      </c>
      <c r="F14" s="6">
        <v>2320</v>
      </c>
      <c r="G14" s="6">
        <v>2660</v>
      </c>
      <c r="H14" s="148">
        <v>8</v>
      </c>
    </row>
    <row r="15" spans="1:8" ht="18.75" x14ac:dyDescent="0.25">
      <c r="A15" s="30" t="s">
        <v>33</v>
      </c>
      <c r="B15" s="5" t="s">
        <v>8695</v>
      </c>
      <c r="C15" s="5" t="s">
        <v>11</v>
      </c>
      <c r="D15" s="5" t="s">
        <v>34</v>
      </c>
      <c r="E15" s="5" t="s">
        <v>3</v>
      </c>
      <c r="F15" s="6">
        <v>8458</v>
      </c>
      <c r="G15" s="6">
        <v>9840</v>
      </c>
      <c r="H15" s="148">
        <v>5</v>
      </c>
    </row>
    <row r="16" spans="1:8" ht="18.75" x14ac:dyDescent="0.25">
      <c r="A16" s="30" t="s">
        <v>35</v>
      </c>
      <c r="B16" s="5" t="s">
        <v>8696</v>
      </c>
      <c r="C16" s="5" t="s">
        <v>21</v>
      </c>
      <c r="D16" s="5" t="s">
        <v>9</v>
      </c>
      <c r="E16" s="5" t="s">
        <v>3</v>
      </c>
      <c r="F16" s="6">
        <v>2905</v>
      </c>
      <c r="G16" s="6">
        <v>3560</v>
      </c>
      <c r="H16" s="148">
        <v>5</v>
      </c>
    </row>
    <row r="17" spans="1:8" ht="18.75" x14ac:dyDescent="0.25">
      <c r="A17" s="30" t="s">
        <v>36</v>
      </c>
      <c r="B17" s="5" t="s">
        <v>8868</v>
      </c>
      <c r="C17" s="5" t="s">
        <v>37</v>
      </c>
      <c r="D17" s="5" t="s">
        <v>8867</v>
      </c>
      <c r="E17" s="5" t="s">
        <v>3</v>
      </c>
      <c r="F17" s="6">
        <v>2303</v>
      </c>
      <c r="G17" s="6">
        <v>2790</v>
      </c>
      <c r="H17" s="148">
        <v>15</v>
      </c>
    </row>
    <row r="18" spans="1:8" ht="18.75" x14ac:dyDescent="0.25">
      <c r="A18" s="30" t="s">
        <v>38</v>
      </c>
      <c r="B18" s="5" t="s">
        <v>8693</v>
      </c>
      <c r="C18" s="5" t="s">
        <v>39</v>
      </c>
      <c r="D18" s="5" t="s">
        <v>29</v>
      </c>
      <c r="E18" s="5" t="s">
        <v>3</v>
      </c>
      <c r="F18" s="6">
        <v>65586</v>
      </c>
      <c r="G18" s="6">
        <v>77490</v>
      </c>
      <c r="H18" s="148">
        <v>8</v>
      </c>
    </row>
    <row r="19" spans="1:8" ht="18.75" x14ac:dyDescent="0.25">
      <c r="A19" s="30" t="s">
        <v>40</v>
      </c>
      <c r="B19" s="5" t="s">
        <v>8691</v>
      </c>
      <c r="C19" s="5" t="s">
        <v>13</v>
      </c>
      <c r="D19" s="5" t="s">
        <v>14</v>
      </c>
      <c r="E19" s="5" t="s">
        <v>3</v>
      </c>
      <c r="F19" s="6">
        <v>2831</v>
      </c>
      <c r="G19" s="6">
        <v>3470</v>
      </c>
      <c r="H19" s="148">
        <v>5</v>
      </c>
    </row>
    <row r="20" spans="1:8" ht="18.75" x14ac:dyDescent="0.25">
      <c r="A20" s="30" t="s">
        <v>41</v>
      </c>
      <c r="B20" s="5" t="s">
        <v>8873</v>
      </c>
      <c r="C20" s="5" t="s">
        <v>39</v>
      </c>
      <c r="D20" s="5" t="s">
        <v>42</v>
      </c>
      <c r="E20" s="5" t="s">
        <v>3</v>
      </c>
      <c r="F20" s="6">
        <v>58660</v>
      </c>
      <c r="G20" s="6">
        <v>74700</v>
      </c>
      <c r="H20" s="148">
        <v>8</v>
      </c>
    </row>
    <row r="21" spans="1:8" ht="18.75" x14ac:dyDescent="0.25">
      <c r="A21" s="30" t="s">
        <v>43</v>
      </c>
      <c r="B21" s="5" t="s">
        <v>8757</v>
      </c>
      <c r="C21" s="5" t="s">
        <v>44</v>
      </c>
      <c r="D21" s="5" t="s">
        <v>45</v>
      </c>
      <c r="E21" s="5" t="s">
        <v>3</v>
      </c>
      <c r="F21" s="6">
        <v>8664</v>
      </c>
      <c r="G21" s="6">
        <v>11310</v>
      </c>
      <c r="H21" s="148">
        <v>25</v>
      </c>
    </row>
    <row r="22" spans="1:8" ht="18.75" x14ac:dyDescent="0.25">
      <c r="A22" s="30" t="s">
        <v>46</v>
      </c>
      <c r="B22" s="5" t="s">
        <v>8862</v>
      </c>
      <c r="C22" s="5" t="s">
        <v>5</v>
      </c>
      <c r="D22" s="5" t="s">
        <v>42</v>
      </c>
      <c r="E22" s="5" t="s">
        <v>3</v>
      </c>
      <c r="F22" s="6">
        <v>30419</v>
      </c>
      <c r="G22" s="6">
        <v>35170</v>
      </c>
      <c r="H22" s="148">
        <v>20</v>
      </c>
    </row>
    <row r="23" spans="1:8" ht="18.75" x14ac:dyDescent="0.25">
      <c r="A23" s="30" t="s">
        <v>47</v>
      </c>
      <c r="B23" s="5" t="s">
        <v>8692</v>
      </c>
      <c r="C23" s="5" t="s">
        <v>21</v>
      </c>
      <c r="D23" s="5" t="s">
        <v>22</v>
      </c>
      <c r="E23" s="5" t="s">
        <v>3</v>
      </c>
      <c r="F23" s="6">
        <v>723</v>
      </c>
      <c r="G23" s="6">
        <v>930</v>
      </c>
      <c r="H23" s="148">
        <v>10</v>
      </c>
    </row>
    <row r="24" spans="1:8" ht="18.75" x14ac:dyDescent="0.25">
      <c r="A24" s="30" t="s">
        <v>48</v>
      </c>
      <c r="B24" s="5" t="s">
        <v>8758</v>
      </c>
      <c r="C24" s="5" t="s">
        <v>13</v>
      </c>
      <c r="D24" s="5" t="s">
        <v>45</v>
      </c>
      <c r="E24" s="5" t="s">
        <v>3</v>
      </c>
      <c r="F24" s="6">
        <v>3890</v>
      </c>
      <c r="G24" s="6">
        <v>4610</v>
      </c>
      <c r="H24" s="148">
        <v>20</v>
      </c>
    </row>
    <row r="25" spans="1:8" ht="18.75" x14ac:dyDescent="0.25">
      <c r="A25" s="30" t="s">
        <v>49</v>
      </c>
      <c r="B25" s="5" t="s">
        <v>8691</v>
      </c>
      <c r="C25" s="5" t="s">
        <v>13</v>
      </c>
      <c r="D25" s="5" t="s">
        <v>14</v>
      </c>
      <c r="E25" s="5" t="s">
        <v>3</v>
      </c>
      <c r="F25" s="6">
        <v>798</v>
      </c>
      <c r="G25" s="6">
        <v>970</v>
      </c>
      <c r="H25" s="148">
        <v>5</v>
      </c>
    </row>
    <row r="26" spans="1:8" ht="18.75" x14ac:dyDescent="0.25">
      <c r="A26" s="30" t="s">
        <v>50</v>
      </c>
      <c r="B26" s="5" t="s">
        <v>8756</v>
      </c>
      <c r="C26" s="5" t="s">
        <v>11</v>
      </c>
      <c r="D26" s="5" t="s">
        <v>27</v>
      </c>
      <c r="E26" s="5" t="s">
        <v>3</v>
      </c>
      <c r="F26" s="6">
        <v>28268</v>
      </c>
      <c r="G26" s="6">
        <v>35670</v>
      </c>
      <c r="H26" s="148">
        <v>15</v>
      </c>
    </row>
    <row r="27" spans="1:8" ht="18.75" x14ac:dyDescent="0.25">
      <c r="A27" s="30" t="s">
        <v>51</v>
      </c>
      <c r="B27" s="5" t="s">
        <v>8697</v>
      </c>
      <c r="C27" s="5" t="s">
        <v>44</v>
      </c>
      <c r="D27" s="5" t="s">
        <v>14</v>
      </c>
      <c r="E27" s="5" t="s">
        <v>3</v>
      </c>
      <c r="F27" s="6">
        <v>3994</v>
      </c>
      <c r="G27" s="6">
        <v>4730</v>
      </c>
      <c r="H27" s="148">
        <v>15</v>
      </c>
    </row>
    <row r="28" spans="1:8" ht="18.75" x14ac:dyDescent="0.25">
      <c r="A28" s="30" t="s">
        <v>52</v>
      </c>
      <c r="B28" s="5" t="s">
        <v>8863</v>
      </c>
      <c r="C28" s="5" t="s">
        <v>66</v>
      </c>
      <c r="D28" s="5" t="s">
        <v>42</v>
      </c>
      <c r="E28" s="5" t="s">
        <v>3</v>
      </c>
      <c r="F28" s="6">
        <v>3643</v>
      </c>
      <c r="G28" s="6">
        <v>4510</v>
      </c>
      <c r="H28" s="148">
        <v>8</v>
      </c>
    </row>
    <row r="29" spans="1:8" ht="18.75" x14ac:dyDescent="0.25">
      <c r="A29" s="30" t="s">
        <v>53</v>
      </c>
      <c r="B29" s="5" t="s">
        <v>8857</v>
      </c>
      <c r="C29" s="5" t="s">
        <v>54</v>
      </c>
      <c r="D29" s="5" t="s">
        <v>55</v>
      </c>
      <c r="E29" s="5" t="s">
        <v>3</v>
      </c>
      <c r="F29" s="6">
        <v>11269</v>
      </c>
      <c r="G29" s="6">
        <v>13040</v>
      </c>
      <c r="H29" s="148">
        <v>5</v>
      </c>
    </row>
    <row r="30" spans="1:8" ht="18.75" x14ac:dyDescent="0.25">
      <c r="A30" s="30" t="s">
        <v>56</v>
      </c>
      <c r="B30" s="5" t="s">
        <v>8691</v>
      </c>
      <c r="C30" s="5" t="s">
        <v>13</v>
      </c>
      <c r="D30" s="5" t="s">
        <v>14</v>
      </c>
      <c r="E30" s="5" t="s">
        <v>3</v>
      </c>
      <c r="F30" s="6">
        <v>3467</v>
      </c>
      <c r="G30" s="6">
        <v>4140</v>
      </c>
      <c r="H30" s="148">
        <v>8</v>
      </c>
    </row>
    <row r="31" spans="1:8" ht="18.75" x14ac:dyDescent="0.25">
      <c r="A31" s="30" t="s">
        <v>57</v>
      </c>
      <c r="B31" s="5" t="s">
        <v>8689</v>
      </c>
      <c r="C31" s="5" t="s">
        <v>8</v>
      </c>
      <c r="D31" s="5" t="s">
        <v>9</v>
      </c>
      <c r="E31" s="5" t="s">
        <v>3</v>
      </c>
      <c r="F31" s="6">
        <v>45619</v>
      </c>
      <c r="G31" s="6">
        <v>56600</v>
      </c>
      <c r="H31" s="148">
        <v>20</v>
      </c>
    </row>
    <row r="32" spans="1:8" ht="18.75" x14ac:dyDescent="0.25">
      <c r="A32" s="30" t="s">
        <v>58</v>
      </c>
      <c r="B32" s="5" t="s">
        <v>8693</v>
      </c>
      <c r="C32" s="5" t="s">
        <v>39</v>
      </c>
      <c r="D32" s="5" t="s">
        <v>29</v>
      </c>
      <c r="E32" s="5" t="s">
        <v>3</v>
      </c>
      <c r="F32" s="6">
        <v>41929</v>
      </c>
      <c r="G32" s="6">
        <v>50200</v>
      </c>
      <c r="H32" s="148">
        <v>15</v>
      </c>
    </row>
    <row r="33" spans="1:8" ht="18.75" x14ac:dyDescent="0.25">
      <c r="A33" s="30" t="s">
        <v>59</v>
      </c>
      <c r="B33" s="5" t="s">
        <v>8759</v>
      </c>
      <c r="C33" s="5" t="s">
        <v>60</v>
      </c>
      <c r="D33" s="5" t="s">
        <v>8861</v>
      </c>
      <c r="E33" s="5" t="s">
        <v>3</v>
      </c>
      <c r="F33" s="6">
        <v>928</v>
      </c>
      <c r="G33" s="6">
        <v>1160</v>
      </c>
      <c r="H33" s="148">
        <v>15</v>
      </c>
    </row>
    <row r="34" spans="1:8" ht="18.75" x14ac:dyDescent="0.25">
      <c r="A34" s="30" t="s">
        <v>61</v>
      </c>
      <c r="B34" s="5" t="s">
        <v>8691</v>
      </c>
      <c r="C34" s="5" t="s">
        <v>13</v>
      </c>
      <c r="D34" s="5" t="s">
        <v>14</v>
      </c>
      <c r="E34" s="5" t="s">
        <v>3</v>
      </c>
      <c r="F34" s="6">
        <v>2704</v>
      </c>
      <c r="G34" s="6">
        <v>3570</v>
      </c>
      <c r="H34" s="148">
        <v>10</v>
      </c>
    </row>
    <row r="35" spans="1:8" ht="18.75" x14ac:dyDescent="0.25">
      <c r="A35" s="30" t="s">
        <v>62</v>
      </c>
      <c r="B35" s="5" t="s">
        <v>8858</v>
      </c>
      <c r="C35" s="5" t="s">
        <v>54</v>
      </c>
      <c r="D35" s="5" t="s">
        <v>63</v>
      </c>
      <c r="E35" s="5" t="s">
        <v>3</v>
      </c>
      <c r="F35" s="6">
        <v>5977</v>
      </c>
      <c r="G35" s="6">
        <v>7270</v>
      </c>
      <c r="H35" s="148">
        <v>25</v>
      </c>
    </row>
    <row r="36" spans="1:8" ht="18.75" x14ac:dyDescent="0.25">
      <c r="A36" s="30" t="s">
        <v>64</v>
      </c>
      <c r="B36" s="5" t="s">
        <v>8758</v>
      </c>
      <c r="C36" s="5" t="s">
        <v>13</v>
      </c>
      <c r="D36" s="5" t="s">
        <v>45</v>
      </c>
      <c r="E36" s="5" t="s">
        <v>3</v>
      </c>
      <c r="F36" s="6">
        <v>771</v>
      </c>
      <c r="G36" s="6">
        <v>930</v>
      </c>
      <c r="H36" s="148">
        <v>8</v>
      </c>
    </row>
    <row r="37" spans="1:8" ht="18.75" x14ac:dyDescent="0.25">
      <c r="A37" s="30" t="s">
        <v>65</v>
      </c>
      <c r="B37" s="5" t="s">
        <v>8698</v>
      </c>
      <c r="C37" s="5" t="s">
        <v>66</v>
      </c>
      <c r="D37" s="5" t="s">
        <v>9</v>
      </c>
      <c r="E37" s="5" t="s">
        <v>3</v>
      </c>
      <c r="F37" s="6">
        <v>1758</v>
      </c>
      <c r="G37" s="6">
        <v>2070</v>
      </c>
      <c r="H37" s="148">
        <v>15</v>
      </c>
    </row>
    <row r="38" spans="1:8" ht="18.75" x14ac:dyDescent="0.25">
      <c r="A38" s="30" t="s">
        <v>67</v>
      </c>
      <c r="B38" s="5" t="s">
        <v>8868</v>
      </c>
      <c r="C38" s="5" t="s">
        <v>37</v>
      </c>
      <c r="D38" s="5" t="s">
        <v>8867</v>
      </c>
      <c r="E38" s="5" t="s">
        <v>3</v>
      </c>
      <c r="F38" s="6">
        <v>2409</v>
      </c>
      <c r="G38" s="6">
        <v>2990</v>
      </c>
      <c r="H38" s="148">
        <v>25</v>
      </c>
    </row>
    <row r="39" spans="1:8" ht="18.75" x14ac:dyDescent="0.25">
      <c r="A39" s="30" t="s">
        <v>68</v>
      </c>
      <c r="B39" s="5" t="s">
        <v>8688</v>
      </c>
      <c r="C39" s="5" t="s">
        <v>5</v>
      </c>
      <c r="D39" s="5" t="s">
        <v>69</v>
      </c>
      <c r="E39" s="5" t="s">
        <v>3</v>
      </c>
      <c r="F39" s="6">
        <v>17186</v>
      </c>
      <c r="G39" s="6">
        <v>21190</v>
      </c>
      <c r="H39" s="148">
        <v>25</v>
      </c>
    </row>
    <row r="40" spans="1:8" ht="18.75" x14ac:dyDescent="0.25">
      <c r="A40" s="30" t="s">
        <v>70</v>
      </c>
      <c r="B40" s="5" t="s">
        <v>8699</v>
      </c>
      <c r="C40" s="5" t="s">
        <v>71</v>
      </c>
      <c r="D40" s="5" t="s">
        <v>22</v>
      </c>
      <c r="E40" s="5" t="s">
        <v>3</v>
      </c>
      <c r="F40" s="6">
        <v>3980</v>
      </c>
      <c r="G40" s="6">
        <v>5200</v>
      </c>
      <c r="H40" s="148">
        <v>20</v>
      </c>
    </row>
    <row r="41" spans="1:8" ht="18.75" x14ac:dyDescent="0.25">
      <c r="A41" s="30" t="s">
        <v>72</v>
      </c>
      <c r="B41" s="5" t="s">
        <v>8696</v>
      </c>
      <c r="C41" s="5" t="s">
        <v>21</v>
      </c>
      <c r="D41" s="5" t="s">
        <v>9</v>
      </c>
      <c r="E41" s="5" t="s">
        <v>3</v>
      </c>
      <c r="F41" s="6">
        <v>1000</v>
      </c>
      <c r="G41" s="6">
        <v>1250</v>
      </c>
      <c r="H41" s="148">
        <v>20</v>
      </c>
    </row>
    <row r="42" spans="1:8" ht="18.75" x14ac:dyDescent="0.25">
      <c r="A42" s="30" t="s">
        <v>73</v>
      </c>
      <c r="B42" s="5" t="s">
        <v>8869</v>
      </c>
      <c r="C42" s="5" t="s">
        <v>74</v>
      </c>
      <c r="D42" s="5" t="s">
        <v>8867</v>
      </c>
      <c r="E42" s="5" t="s">
        <v>3</v>
      </c>
      <c r="F42" s="6">
        <v>1360</v>
      </c>
      <c r="G42" s="6">
        <v>1770</v>
      </c>
      <c r="H42" s="148">
        <v>5</v>
      </c>
    </row>
    <row r="43" spans="1:8" ht="18.75" x14ac:dyDescent="0.25">
      <c r="A43" s="30" t="s">
        <v>75</v>
      </c>
      <c r="B43" s="5" t="s">
        <v>8695</v>
      </c>
      <c r="C43" s="5" t="s">
        <v>11</v>
      </c>
      <c r="D43" s="5" t="s">
        <v>34</v>
      </c>
      <c r="E43" s="5" t="s">
        <v>3</v>
      </c>
      <c r="F43" s="6">
        <v>27287</v>
      </c>
      <c r="G43" s="6">
        <v>30810</v>
      </c>
      <c r="H43" s="148">
        <v>8</v>
      </c>
    </row>
    <row r="44" spans="1:8" ht="18.75" x14ac:dyDescent="0.25">
      <c r="A44" s="30" t="s">
        <v>76</v>
      </c>
      <c r="B44" s="5" t="s">
        <v>8696</v>
      </c>
      <c r="C44" s="5" t="s">
        <v>21</v>
      </c>
      <c r="D44" s="5" t="s">
        <v>9</v>
      </c>
      <c r="E44" s="5" t="s">
        <v>3</v>
      </c>
      <c r="F44" s="6">
        <v>1400</v>
      </c>
      <c r="G44" s="6">
        <v>1740</v>
      </c>
      <c r="H44" s="148">
        <v>10</v>
      </c>
    </row>
    <row r="45" spans="1:8" ht="18.75" x14ac:dyDescent="0.25">
      <c r="A45" s="30" t="s">
        <v>77</v>
      </c>
      <c r="B45" s="5" t="s">
        <v>8863</v>
      </c>
      <c r="C45" s="5" t="s">
        <v>66</v>
      </c>
      <c r="D45" s="5" t="s">
        <v>42</v>
      </c>
      <c r="E45" s="5" t="s">
        <v>3</v>
      </c>
      <c r="F45" s="6">
        <v>2282</v>
      </c>
      <c r="G45" s="6">
        <v>2770</v>
      </c>
      <c r="H45" s="148">
        <v>20</v>
      </c>
    </row>
    <row r="46" spans="1:8" ht="18.75" x14ac:dyDescent="0.25">
      <c r="A46" s="30" t="s">
        <v>78</v>
      </c>
      <c r="B46" s="5" t="s">
        <v>8756</v>
      </c>
      <c r="C46" s="5" t="s">
        <v>11</v>
      </c>
      <c r="D46" s="5" t="s">
        <v>27</v>
      </c>
      <c r="E46" s="5" t="s">
        <v>3</v>
      </c>
      <c r="F46" s="6">
        <v>13714</v>
      </c>
      <c r="G46" s="6">
        <v>16690</v>
      </c>
      <c r="H46" s="148">
        <v>20</v>
      </c>
    </row>
    <row r="47" spans="1:8" ht="18.75" x14ac:dyDescent="0.25">
      <c r="A47" s="30" t="s">
        <v>79</v>
      </c>
      <c r="B47" s="5" t="s">
        <v>8695</v>
      </c>
      <c r="C47" s="5" t="s">
        <v>11</v>
      </c>
      <c r="D47" s="5" t="s">
        <v>34</v>
      </c>
      <c r="E47" s="5" t="s">
        <v>3</v>
      </c>
      <c r="F47" s="6">
        <v>26386</v>
      </c>
      <c r="G47" s="6">
        <v>32480</v>
      </c>
      <c r="H47" s="148">
        <v>20</v>
      </c>
    </row>
    <row r="48" spans="1:8" ht="18.75" x14ac:dyDescent="0.25">
      <c r="A48" s="30" t="s">
        <v>80</v>
      </c>
      <c r="B48" s="5" t="s">
        <v>8688</v>
      </c>
      <c r="C48" s="5" t="s">
        <v>5</v>
      </c>
      <c r="D48" s="5" t="s">
        <v>6</v>
      </c>
      <c r="E48" s="5" t="s">
        <v>3</v>
      </c>
      <c r="F48" s="6">
        <v>34693</v>
      </c>
      <c r="G48" s="6">
        <v>41620</v>
      </c>
      <c r="H48" s="148">
        <v>5</v>
      </c>
    </row>
    <row r="49" spans="1:8" ht="18.75" x14ac:dyDescent="0.25">
      <c r="A49" s="30" t="s">
        <v>81</v>
      </c>
      <c r="B49" s="5" t="s">
        <v>8864</v>
      </c>
      <c r="C49" s="5" t="s">
        <v>8</v>
      </c>
      <c r="D49" s="5" t="s">
        <v>42</v>
      </c>
      <c r="E49" s="5" t="s">
        <v>3</v>
      </c>
      <c r="F49" s="6">
        <v>52393</v>
      </c>
      <c r="G49" s="6">
        <v>65470</v>
      </c>
      <c r="H49" s="148">
        <v>25</v>
      </c>
    </row>
    <row r="50" spans="1:8" ht="18.75" x14ac:dyDescent="0.25">
      <c r="A50" s="30" t="s">
        <v>82</v>
      </c>
      <c r="B50" s="5" t="s">
        <v>8846</v>
      </c>
      <c r="C50" s="5" t="s">
        <v>8847</v>
      </c>
      <c r="D50" s="5" t="s">
        <v>83</v>
      </c>
      <c r="E50" s="5" t="s">
        <v>3</v>
      </c>
      <c r="F50" s="6">
        <v>4177</v>
      </c>
      <c r="G50" s="6">
        <v>5480</v>
      </c>
      <c r="H50" s="148">
        <v>10</v>
      </c>
    </row>
    <row r="51" spans="1:8" ht="18.75" x14ac:dyDescent="0.25">
      <c r="A51" s="30" t="s">
        <v>84</v>
      </c>
      <c r="B51" s="5" t="s">
        <v>8865</v>
      </c>
      <c r="C51" s="5" t="s">
        <v>32</v>
      </c>
      <c r="D51" s="5" t="s">
        <v>42</v>
      </c>
      <c r="E51" s="5" t="s">
        <v>3</v>
      </c>
      <c r="F51" s="6">
        <v>1086</v>
      </c>
      <c r="G51" s="6">
        <v>1240</v>
      </c>
      <c r="H51" s="148">
        <v>15</v>
      </c>
    </row>
    <row r="52" spans="1:8" ht="18.75" x14ac:dyDescent="0.25">
      <c r="A52" s="30" t="s">
        <v>85</v>
      </c>
      <c r="B52" s="5" t="s">
        <v>8858</v>
      </c>
      <c r="C52" s="5" t="s">
        <v>54</v>
      </c>
      <c r="D52" s="5" t="s">
        <v>63</v>
      </c>
      <c r="E52" s="5" t="s">
        <v>3</v>
      </c>
      <c r="F52" s="6">
        <v>7130</v>
      </c>
      <c r="G52" s="6">
        <v>8770</v>
      </c>
      <c r="H52" s="148">
        <v>15</v>
      </c>
    </row>
    <row r="53" spans="1:8" ht="18.75" x14ac:dyDescent="0.25">
      <c r="A53" s="30" t="s">
        <v>86</v>
      </c>
      <c r="B53" s="5" t="s">
        <v>8756</v>
      </c>
      <c r="C53" s="5" t="s">
        <v>11</v>
      </c>
      <c r="D53" s="5" t="s">
        <v>27</v>
      </c>
      <c r="E53" s="5" t="s">
        <v>3</v>
      </c>
      <c r="F53" s="6">
        <v>11919</v>
      </c>
      <c r="G53" s="6">
        <v>14730</v>
      </c>
      <c r="H53" s="148">
        <v>5</v>
      </c>
    </row>
    <row r="54" spans="1:8" ht="18.75" x14ac:dyDescent="0.25">
      <c r="A54" s="30" t="s">
        <v>87</v>
      </c>
      <c r="B54" s="5" t="s">
        <v>8691</v>
      </c>
      <c r="C54" s="5" t="s">
        <v>13</v>
      </c>
      <c r="D54" s="5" t="s">
        <v>14</v>
      </c>
      <c r="E54" s="5" t="s">
        <v>3</v>
      </c>
      <c r="F54" s="6">
        <v>822</v>
      </c>
      <c r="G54" s="6">
        <v>1040</v>
      </c>
      <c r="H54" s="148">
        <v>5</v>
      </c>
    </row>
    <row r="55" spans="1:8" ht="18.75" x14ac:dyDescent="0.25">
      <c r="A55" s="30" t="s">
        <v>88</v>
      </c>
      <c r="B55" s="5" t="s">
        <v>8700</v>
      </c>
      <c r="C55" s="5" t="s">
        <v>39</v>
      </c>
      <c r="D55" s="5" t="s">
        <v>9</v>
      </c>
      <c r="E55" s="5" t="s">
        <v>3</v>
      </c>
      <c r="F55" s="6">
        <v>33605</v>
      </c>
      <c r="G55" s="6">
        <v>43690</v>
      </c>
      <c r="H55" s="148">
        <v>8</v>
      </c>
    </row>
    <row r="56" spans="1:8" ht="18.75" x14ac:dyDescent="0.25">
      <c r="A56" s="30" t="s">
        <v>89</v>
      </c>
      <c r="B56" s="5" t="s">
        <v>8854</v>
      </c>
      <c r="C56" s="5" t="s">
        <v>101</v>
      </c>
      <c r="D56" s="5" t="s">
        <v>90</v>
      </c>
      <c r="E56" s="5" t="s">
        <v>3</v>
      </c>
      <c r="F56" s="6">
        <v>341</v>
      </c>
      <c r="G56" s="6">
        <v>390</v>
      </c>
      <c r="H56" s="148">
        <v>10</v>
      </c>
    </row>
    <row r="57" spans="1:8" ht="18.75" x14ac:dyDescent="0.25">
      <c r="A57" s="30" t="s">
        <v>91</v>
      </c>
      <c r="B57" s="5" t="s">
        <v>8692</v>
      </c>
      <c r="C57" s="5" t="s">
        <v>21</v>
      </c>
      <c r="D57" s="5" t="s">
        <v>22</v>
      </c>
      <c r="E57" s="5" t="s">
        <v>3</v>
      </c>
      <c r="F57" s="6">
        <v>3315</v>
      </c>
      <c r="G57" s="6">
        <v>3950</v>
      </c>
      <c r="H57" s="148">
        <v>20</v>
      </c>
    </row>
    <row r="58" spans="1:8" ht="18.75" x14ac:dyDescent="0.25">
      <c r="A58" s="30" t="s">
        <v>92</v>
      </c>
      <c r="B58" s="5" t="s">
        <v>8758</v>
      </c>
      <c r="C58" s="5" t="s">
        <v>13</v>
      </c>
      <c r="D58" s="5" t="s">
        <v>45</v>
      </c>
      <c r="E58" s="5" t="s">
        <v>3</v>
      </c>
      <c r="F58" s="6">
        <v>5110</v>
      </c>
      <c r="G58" s="6">
        <v>6180</v>
      </c>
      <c r="H58" s="148">
        <v>20</v>
      </c>
    </row>
    <row r="59" spans="1:8" ht="18.75" x14ac:dyDescent="0.25">
      <c r="A59" s="30" t="s">
        <v>93</v>
      </c>
      <c r="B59" s="5" t="s">
        <v>8848</v>
      </c>
      <c r="C59" s="5" t="s">
        <v>94</v>
      </c>
      <c r="D59" s="5" t="s">
        <v>90</v>
      </c>
      <c r="E59" s="5" t="s">
        <v>3</v>
      </c>
      <c r="F59" s="6">
        <v>1436</v>
      </c>
      <c r="G59" s="6">
        <v>1650</v>
      </c>
      <c r="H59" s="148">
        <v>20</v>
      </c>
    </row>
    <row r="60" spans="1:8" ht="18.75" x14ac:dyDescent="0.25">
      <c r="A60" s="30" t="s">
        <v>95</v>
      </c>
      <c r="B60" s="5" t="s">
        <v>8869</v>
      </c>
      <c r="C60" s="5" t="s">
        <v>8849</v>
      </c>
      <c r="D60" s="5" t="s">
        <v>8867</v>
      </c>
      <c r="E60" s="5" t="s">
        <v>3</v>
      </c>
      <c r="F60" s="6">
        <v>5781</v>
      </c>
      <c r="G60" s="6">
        <v>7170</v>
      </c>
      <c r="H60" s="148">
        <v>20</v>
      </c>
    </row>
    <row r="61" spans="1:8" ht="18.75" x14ac:dyDescent="0.25">
      <c r="A61" s="30" t="s">
        <v>96</v>
      </c>
      <c r="B61" s="5" t="s">
        <v>8760</v>
      </c>
      <c r="C61" s="5" t="s">
        <v>24</v>
      </c>
      <c r="D61" s="5" t="s">
        <v>97</v>
      </c>
      <c r="E61" s="5" t="s">
        <v>3</v>
      </c>
      <c r="F61" s="6">
        <v>3785</v>
      </c>
      <c r="G61" s="6">
        <v>4570</v>
      </c>
      <c r="H61" s="148">
        <v>15</v>
      </c>
    </row>
    <row r="62" spans="1:8" ht="18.75" x14ac:dyDescent="0.25">
      <c r="A62" s="30" t="s">
        <v>98</v>
      </c>
      <c r="B62" s="5" t="s">
        <v>8866</v>
      </c>
      <c r="C62" s="5" t="s">
        <v>19</v>
      </c>
      <c r="D62" s="5" t="s">
        <v>8867</v>
      </c>
      <c r="E62" s="5" t="s">
        <v>3</v>
      </c>
      <c r="F62" s="6">
        <v>1125</v>
      </c>
      <c r="G62" s="6">
        <v>1420</v>
      </c>
      <c r="H62" s="148">
        <v>10</v>
      </c>
    </row>
    <row r="63" spans="1:8" ht="18.75" x14ac:dyDescent="0.25">
      <c r="A63" s="30" t="s">
        <v>99</v>
      </c>
      <c r="B63" s="5" t="s">
        <v>8700</v>
      </c>
      <c r="C63" s="5" t="s">
        <v>39</v>
      </c>
      <c r="D63" s="5" t="s">
        <v>9</v>
      </c>
      <c r="E63" s="5" t="s">
        <v>3</v>
      </c>
      <c r="F63" s="6">
        <v>26896</v>
      </c>
      <c r="G63" s="6">
        <v>34870</v>
      </c>
      <c r="H63" s="148">
        <v>15</v>
      </c>
    </row>
    <row r="64" spans="1:8" ht="18.75" x14ac:dyDescent="0.25">
      <c r="A64" s="30" t="s">
        <v>100</v>
      </c>
      <c r="B64" s="5" t="s">
        <v>8854</v>
      </c>
      <c r="C64" s="5" t="s">
        <v>101</v>
      </c>
      <c r="D64" s="5" t="s">
        <v>90</v>
      </c>
      <c r="E64" s="5" t="s">
        <v>3</v>
      </c>
      <c r="F64" s="6">
        <v>162</v>
      </c>
      <c r="G64" s="6">
        <v>210</v>
      </c>
      <c r="H64" s="148">
        <v>10</v>
      </c>
    </row>
    <row r="65" spans="1:8" ht="18.75" x14ac:dyDescent="0.25">
      <c r="A65" s="30" t="s">
        <v>102</v>
      </c>
      <c r="B65" s="5" t="s">
        <v>8701</v>
      </c>
      <c r="C65" s="5" t="s">
        <v>5</v>
      </c>
      <c r="D65" s="5" t="s">
        <v>103</v>
      </c>
      <c r="E65" s="5" t="s">
        <v>3</v>
      </c>
      <c r="F65" s="6">
        <v>10483</v>
      </c>
      <c r="G65" s="6">
        <v>13010</v>
      </c>
      <c r="H65" s="148">
        <v>8</v>
      </c>
    </row>
    <row r="66" spans="1:8" ht="18.75" x14ac:dyDescent="0.25">
      <c r="A66" s="30" t="s">
        <v>104</v>
      </c>
      <c r="B66" s="5" t="s">
        <v>8701</v>
      </c>
      <c r="C66" s="5" t="s">
        <v>5</v>
      </c>
      <c r="D66" s="5" t="s">
        <v>103</v>
      </c>
      <c r="E66" s="5" t="s">
        <v>3</v>
      </c>
      <c r="F66" s="6">
        <v>39369</v>
      </c>
      <c r="G66" s="6">
        <v>49170</v>
      </c>
      <c r="H66" s="148">
        <v>5</v>
      </c>
    </row>
    <row r="67" spans="1:8" ht="18.75" x14ac:dyDescent="0.25">
      <c r="A67" s="30" t="s">
        <v>105</v>
      </c>
      <c r="B67" s="5" t="s">
        <v>8863</v>
      </c>
      <c r="C67" s="5" t="s">
        <v>66</v>
      </c>
      <c r="D67" s="5" t="s">
        <v>42</v>
      </c>
      <c r="E67" s="5" t="s">
        <v>3</v>
      </c>
      <c r="F67" s="6">
        <v>2728</v>
      </c>
      <c r="G67" s="6">
        <v>3280</v>
      </c>
      <c r="H67" s="148">
        <v>5</v>
      </c>
    </row>
    <row r="68" spans="1:8" ht="18.75" x14ac:dyDescent="0.25">
      <c r="A68" s="30" t="s">
        <v>106</v>
      </c>
      <c r="B68" s="5" t="s">
        <v>8760</v>
      </c>
      <c r="C68" s="5" t="s">
        <v>24</v>
      </c>
      <c r="D68" s="5" t="s">
        <v>97</v>
      </c>
      <c r="E68" s="5" t="s">
        <v>3</v>
      </c>
      <c r="F68" s="6">
        <v>6729</v>
      </c>
      <c r="G68" s="6">
        <v>7990</v>
      </c>
      <c r="H68" s="148">
        <v>5</v>
      </c>
    </row>
    <row r="69" spans="1:8" ht="18.75" x14ac:dyDescent="0.25">
      <c r="A69" s="30" t="s">
        <v>107</v>
      </c>
      <c r="B69" s="5" t="s">
        <v>8761</v>
      </c>
      <c r="C69" s="5" t="s">
        <v>108</v>
      </c>
      <c r="D69" s="5" t="s">
        <v>34</v>
      </c>
      <c r="E69" s="5" t="s">
        <v>3</v>
      </c>
      <c r="F69" s="6">
        <v>11599</v>
      </c>
      <c r="G69" s="6">
        <v>15030</v>
      </c>
      <c r="H69" s="148">
        <v>5</v>
      </c>
    </row>
    <row r="70" spans="1:8" ht="18.75" x14ac:dyDescent="0.25">
      <c r="A70" s="30" t="s">
        <v>109</v>
      </c>
      <c r="B70" s="5" t="s">
        <v>8755</v>
      </c>
      <c r="C70" s="5" t="s">
        <v>24</v>
      </c>
      <c r="D70" s="5" t="s">
        <v>25</v>
      </c>
      <c r="E70" s="5" t="s">
        <v>3</v>
      </c>
      <c r="F70" s="6">
        <v>1796</v>
      </c>
      <c r="G70" s="6">
        <v>2290</v>
      </c>
      <c r="H70" s="148">
        <v>15</v>
      </c>
    </row>
    <row r="71" spans="1:8" ht="18.75" x14ac:dyDescent="0.25">
      <c r="A71" s="30" t="s">
        <v>110</v>
      </c>
      <c r="B71" s="5" t="s">
        <v>8693</v>
      </c>
      <c r="C71" s="5" t="s">
        <v>39</v>
      </c>
      <c r="D71" s="5" t="s">
        <v>29</v>
      </c>
      <c r="E71" s="5" t="s">
        <v>3</v>
      </c>
      <c r="F71" s="6">
        <v>59006</v>
      </c>
      <c r="G71" s="6">
        <v>66670</v>
      </c>
      <c r="H71" s="148">
        <v>20</v>
      </c>
    </row>
    <row r="72" spans="1:8" ht="18.75" x14ac:dyDescent="0.25">
      <c r="A72" s="30" t="s">
        <v>111</v>
      </c>
      <c r="B72" s="5" t="s">
        <v>8857</v>
      </c>
      <c r="C72" s="5" t="s">
        <v>54</v>
      </c>
      <c r="D72" s="5" t="s">
        <v>55</v>
      </c>
      <c r="E72" s="5" t="s">
        <v>3</v>
      </c>
      <c r="F72" s="6">
        <v>13173</v>
      </c>
      <c r="G72" s="6">
        <v>16680</v>
      </c>
      <c r="H72" s="148">
        <v>10</v>
      </c>
    </row>
    <row r="73" spans="1:8" ht="18.75" x14ac:dyDescent="0.25">
      <c r="A73" s="30" t="s">
        <v>112</v>
      </c>
      <c r="B73" s="5" t="s">
        <v>8692</v>
      </c>
      <c r="C73" s="5" t="s">
        <v>21</v>
      </c>
      <c r="D73" s="5" t="s">
        <v>22</v>
      </c>
      <c r="E73" s="5" t="s">
        <v>3</v>
      </c>
      <c r="F73" s="6">
        <v>2575</v>
      </c>
      <c r="G73" s="6">
        <v>3300</v>
      </c>
      <c r="H73" s="148">
        <v>8</v>
      </c>
    </row>
    <row r="74" spans="1:8" ht="18.75" x14ac:dyDescent="0.25">
      <c r="A74" s="30" t="s">
        <v>113</v>
      </c>
      <c r="B74" s="5" t="s">
        <v>8873</v>
      </c>
      <c r="C74" s="5" t="s">
        <v>39</v>
      </c>
      <c r="D74" s="5" t="s">
        <v>42</v>
      </c>
      <c r="E74" s="5" t="s">
        <v>3</v>
      </c>
      <c r="F74" s="6">
        <v>72093</v>
      </c>
      <c r="G74" s="6">
        <v>92470</v>
      </c>
      <c r="H74" s="148">
        <v>20</v>
      </c>
    </row>
    <row r="75" spans="1:8" ht="18.75" x14ac:dyDescent="0.25">
      <c r="A75" s="30" t="s">
        <v>114</v>
      </c>
      <c r="B75" s="5" t="s">
        <v>8858</v>
      </c>
      <c r="C75" s="5" t="s">
        <v>54</v>
      </c>
      <c r="D75" s="5" t="s">
        <v>63</v>
      </c>
      <c r="E75" s="5" t="s">
        <v>3</v>
      </c>
      <c r="F75" s="6">
        <v>13292</v>
      </c>
      <c r="G75" s="6">
        <v>17310</v>
      </c>
      <c r="H75" s="148">
        <v>20</v>
      </c>
    </row>
    <row r="76" spans="1:8" ht="18.75" x14ac:dyDescent="0.25">
      <c r="A76" s="30" t="s">
        <v>115</v>
      </c>
      <c r="B76" s="5" t="s">
        <v>8698</v>
      </c>
      <c r="C76" s="5" t="s">
        <v>66</v>
      </c>
      <c r="D76" s="5" t="s">
        <v>9</v>
      </c>
      <c r="E76" s="5" t="s">
        <v>3</v>
      </c>
      <c r="F76" s="6">
        <v>1444</v>
      </c>
      <c r="G76" s="6">
        <v>1890</v>
      </c>
      <c r="H76" s="148">
        <v>5</v>
      </c>
    </row>
    <row r="77" spans="1:8" ht="18.75" x14ac:dyDescent="0.25">
      <c r="A77" s="30" t="s">
        <v>116</v>
      </c>
      <c r="B77" s="5" t="s">
        <v>8688</v>
      </c>
      <c r="C77" s="5" t="s">
        <v>5</v>
      </c>
      <c r="D77" s="5" t="s">
        <v>6</v>
      </c>
      <c r="E77" s="5" t="s">
        <v>3</v>
      </c>
      <c r="F77" s="6">
        <v>33377</v>
      </c>
      <c r="G77" s="6">
        <v>38550</v>
      </c>
      <c r="H77" s="148">
        <v>10</v>
      </c>
    </row>
    <row r="78" spans="1:8" ht="18.75" x14ac:dyDescent="0.25">
      <c r="A78" s="30" t="s">
        <v>117</v>
      </c>
      <c r="B78" s="5" t="s">
        <v>8694</v>
      </c>
      <c r="C78" s="5" t="s">
        <v>32</v>
      </c>
      <c r="D78" s="5" t="s">
        <v>22</v>
      </c>
      <c r="E78" s="5" t="s">
        <v>3</v>
      </c>
      <c r="F78" s="6">
        <v>2303</v>
      </c>
      <c r="G78" s="6">
        <v>2960</v>
      </c>
      <c r="H78" s="148">
        <v>10</v>
      </c>
    </row>
    <row r="79" spans="1:8" ht="18.75" x14ac:dyDescent="0.25">
      <c r="A79" s="30" t="s">
        <v>118</v>
      </c>
      <c r="B79" s="5" t="s">
        <v>8846</v>
      </c>
      <c r="C79" s="5" t="s">
        <v>119</v>
      </c>
      <c r="D79" s="5" t="s">
        <v>83</v>
      </c>
      <c r="E79" s="5" t="s">
        <v>3</v>
      </c>
      <c r="F79" s="6">
        <v>3406</v>
      </c>
      <c r="G79" s="6">
        <v>4160</v>
      </c>
      <c r="H79" s="148">
        <v>5</v>
      </c>
    </row>
    <row r="80" spans="1:8" ht="18.75" x14ac:dyDescent="0.25">
      <c r="A80" s="30" t="s">
        <v>120</v>
      </c>
      <c r="B80" s="5" t="s">
        <v>8697</v>
      </c>
      <c r="C80" s="5" t="s">
        <v>44</v>
      </c>
      <c r="D80" s="5" t="s">
        <v>14</v>
      </c>
      <c r="E80" s="5" t="s">
        <v>3</v>
      </c>
      <c r="F80" s="6">
        <v>5465</v>
      </c>
      <c r="G80" s="6">
        <v>6610</v>
      </c>
      <c r="H80" s="148">
        <v>20</v>
      </c>
    </row>
    <row r="81" spans="1:8" ht="18.75" x14ac:dyDescent="0.25">
      <c r="A81" s="30" t="s">
        <v>121</v>
      </c>
      <c r="B81" s="5" t="s">
        <v>8694</v>
      </c>
      <c r="C81" s="5" t="s">
        <v>32</v>
      </c>
      <c r="D81" s="5" t="s">
        <v>22</v>
      </c>
      <c r="E81" s="5" t="s">
        <v>3</v>
      </c>
      <c r="F81" s="6">
        <v>1781</v>
      </c>
      <c r="G81" s="6">
        <v>2310</v>
      </c>
      <c r="H81" s="148">
        <v>25</v>
      </c>
    </row>
    <row r="82" spans="1:8" ht="18.75" x14ac:dyDescent="0.25">
      <c r="A82" s="30" t="s">
        <v>122</v>
      </c>
      <c r="B82" s="5" t="s">
        <v>8865</v>
      </c>
      <c r="C82" s="5" t="s">
        <v>32</v>
      </c>
      <c r="D82" s="5" t="s">
        <v>42</v>
      </c>
      <c r="E82" s="5" t="s">
        <v>3</v>
      </c>
      <c r="F82" s="6">
        <v>1667</v>
      </c>
      <c r="G82" s="6">
        <v>1980</v>
      </c>
      <c r="H82" s="148">
        <v>15</v>
      </c>
    </row>
    <row r="83" spans="1:8" ht="18.75" x14ac:dyDescent="0.25">
      <c r="A83" s="30" t="s">
        <v>123</v>
      </c>
      <c r="B83" s="5" t="s">
        <v>8865</v>
      </c>
      <c r="C83" s="5" t="s">
        <v>32</v>
      </c>
      <c r="D83" s="5" t="s">
        <v>42</v>
      </c>
      <c r="E83" s="5" t="s">
        <v>3</v>
      </c>
      <c r="F83" s="6">
        <v>2142</v>
      </c>
      <c r="G83" s="6">
        <v>2480</v>
      </c>
      <c r="H83" s="148">
        <v>8</v>
      </c>
    </row>
    <row r="84" spans="1:8" ht="18.75" x14ac:dyDescent="0.25">
      <c r="A84" s="30" t="s">
        <v>124</v>
      </c>
      <c r="B84" s="5" t="s">
        <v>8762</v>
      </c>
      <c r="C84" s="5" t="s">
        <v>108</v>
      </c>
      <c r="D84" s="5" t="s">
        <v>146</v>
      </c>
      <c r="E84" s="5" t="s">
        <v>3</v>
      </c>
      <c r="F84" s="6">
        <v>12974</v>
      </c>
      <c r="G84" s="6">
        <v>14820</v>
      </c>
      <c r="H84" s="148">
        <v>5</v>
      </c>
    </row>
    <row r="85" spans="1:8" ht="18.75" x14ac:dyDescent="0.25">
      <c r="A85" s="30" t="s">
        <v>125</v>
      </c>
      <c r="B85" s="5" t="s">
        <v>8862</v>
      </c>
      <c r="C85" s="5" t="s">
        <v>5</v>
      </c>
      <c r="D85" s="5" t="s">
        <v>42</v>
      </c>
      <c r="E85" s="5" t="s">
        <v>3</v>
      </c>
      <c r="F85" s="6">
        <v>33391</v>
      </c>
      <c r="G85" s="6">
        <v>41620</v>
      </c>
      <c r="H85" s="148">
        <v>10</v>
      </c>
    </row>
    <row r="86" spans="1:8" ht="18.75" x14ac:dyDescent="0.25">
      <c r="A86" s="30" t="s">
        <v>126</v>
      </c>
      <c r="B86" s="5" t="s">
        <v>8688</v>
      </c>
      <c r="C86" s="5" t="s">
        <v>5</v>
      </c>
      <c r="D86" s="5" t="s">
        <v>6</v>
      </c>
      <c r="E86" s="5" t="s">
        <v>3</v>
      </c>
      <c r="F86" s="6">
        <v>19380</v>
      </c>
      <c r="G86" s="6">
        <v>23980</v>
      </c>
      <c r="H86" s="148">
        <v>20</v>
      </c>
    </row>
    <row r="87" spans="1:8" ht="18.75" x14ac:dyDescent="0.25">
      <c r="A87" s="30" t="s">
        <v>127</v>
      </c>
      <c r="B87" s="5" t="s">
        <v>8761</v>
      </c>
      <c r="C87" s="5" t="s">
        <v>108</v>
      </c>
      <c r="D87" s="5" t="s">
        <v>34</v>
      </c>
      <c r="E87" s="5" t="s">
        <v>3</v>
      </c>
      <c r="F87" s="6">
        <v>3474</v>
      </c>
      <c r="G87" s="6">
        <v>4570</v>
      </c>
      <c r="H87" s="148">
        <v>15</v>
      </c>
    </row>
    <row r="88" spans="1:8" ht="18.75" x14ac:dyDescent="0.25">
      <c r="A88" s="30" t="s">
        <v>128</v>
      </c>
      <c r="B88" s="5" t="s">
        <v>8846</v>
      </c>
      <c r="C88" s="5" t="s">
        <v>119</v>
      </c>
      <c r="D88" s="5" t="s">
        <v>83</v>
      </c>
      <c r="E88" s="5" t="s">
        <v>3</v>
      </c>
      <c r="F88" s="6">
        <v>2597</v>
      </c>
      <c r="G88" s="6">
        <v>2990</v>
      </c>
      <c r="H88" s="148">
        <v>25</v>
      </c>
    </row>
    <row r="89" spans="1:8" ht="18.75" x14ac:dyDescent="0.25">
      <c r="A89" s="30" t="s">
        <v>129</v>
      </c>
      <c r="B89" s="5" t="s">
        <v>8694</v>
      </c>
      <c r="C89" s="5" t="s">
        <v>32</v>
      </c>
      <c r="D89" s="5" t="s">
        <v>22</v>
      </c>
      <c r="E89" s="5" t="s">
        <v>3</v>
      </c>
      <c r="F89" s="6">
        <v>1588</v>
      </c>
      <c r="G89" s="6">
        <v>2000</v>
      </c>
      <c r="H89" s="148">
        <v>8</v>
      </c>
    </row>
    <row r="90" spans="1:8" ht="18.75" x14ac:dyDescent="0.25">
      <c r="A90" s="30" t="s">
        <v>130</v>
      </c>
      <c r="B90" s="5" t="s">
        <v>8693</v>
      </c>
      <c r="C90" s="5" t="s">
        <v>39</v>
      </c>
      <c r="D90" s="5" t="s">
        <v>29</v>
      </c>
      <c r="E90" s="5" t="s">
        <v>3</v>
      </c>
      <c r="F90" s="6">
        <v>32914</v>
      </c>
      <c r="G90" s="6">
        <v>39230</v>
      </c>
      <c r="H90" s="148">
        <v>25</v>
      </c>
    </row>
    <row r="91" spans="1:8" ht="18.75" x14ac:dyDescent="0.25">
      <c r="A91" s="30" t="s">
        <v>131</v>
      </c>
      <c r="B91" s="5" t="s">
        <v>8863</v>
      </c>
      <c r="C91" s="5" t="s">
        <v>66</v>
      </c>
      <c r="D91" s="5" t="s">
        <v>42</v>
      </c>
      <c r="E91" s="5" t="s">
        <v>3</v>
      </c>
      <c r="F91" s="6">
        <v>2019</v>
      </c>
      <c r="G91" s="6">
        <v>2540</v>
      </c>
      <c r="H91" s="148">
        <v>25</v>
      </c>
    </row>
    <row r="92" spans="1:8" ht="18.75" x14ac:dyDescent="0.25">
      <c r="A92" s="30" t="s">
        <v>132</v>
      </c>
      <c r="B92" s="5" t="s">
        <v>8758</v>
      </c>
      <c r="C92" s="5" t="s">
        <v>13</v>
      </c>
      <c r="D92" s="5" t="s">
        <v>45</v>
      </c>
      <c r="E92" s="5" t="s">
        <v>3</v>
      </c>
      <c r="F92" s="6">
        <v>6397</v>
      </c>
      <c r="G92" s="6">
        <v>7470</v>
      </c>
      <c r="H92" s="148">
        <v>15</v>
      </c>
    </row>
    <row r="93" spans="1:8" ht="18.75" x14ac:dyDescent="0.25">
      <c r="A93" s="30" t="s">
        <v>133</v>
      </c>
      <c r="B93" s="5" t="s">
        <v>8873</v>
      </c>
      <c r="C93" s="5" t="s">
        <v>39</v>
      </c>
      <c r="D93" s="5" t="s">
        <v>42</v>
      </c>
      <c r="E93" s="5" t="s">
        <v>3</v>
      </c>
      <c r="F93" s="6">
        <v>39879</v>
      </c>
      <c r="G93" s="6">
        <v>44790</v>
      </c>
      <c r="H93" s="148">
        <v>25</v>
      </c>
    </row>
    <row r="94" spans="1:8" ht="18.75" x14ac:dyDescent="0.25">
      <c r="A94" s="30" t="s">
        <v>134</v>
      </c>
      <c r="B94" s="5" t="s">
        <v>8692</v>
      </c>
      <c r="C94" s="5" t="s">
        <v>21</v>
      </c>
      <c r="D94" s="5" t="s">
        <v>22</v>
      </c>
      <c r="E94" s="5" t="s">
        <v>3</v>
      </c>
      <c r="F94" s="6">
        <v>3192</v>
      </c>
      <c r="G94" s="6">
        <v>4130</v>
      </c>
      <c r="H94" s="148">
        <v>10</v>
      </c>
    </row>
    <row r="95" spans="1:8" ht="18.75" x14ac:dyDescent="0.25">
      <c r="A95" s="30" t="s">
        <v>135</v>
      </c>
      <c r="B95" s="5" t="s">
        <v>8755</v>
      </c>
      <c r="C95" s="5" t="s">
        <v>24</v>
      </c>
      <c r="D95" s="5" t="s">
        <v>25</v>
      </c>
      <c r="E95" s="5" t="s">
        <v>3</v>
      </c>
      <c r="F95" s="6">
        <v>2681</v>
      </c>
      <c r="G95" s="6">
        <v>3100</v>
      </c>
      <c r="H95" s="148">
        <v>5</v>
      </c>
    </row>
    <row r="96" spans="1:8" ht="18.75" x14ac:dyDescent="0.25">
      <c r="A96" s="30" t="s">
        <v>136</v>
      </c>
      <c r="B96" s="5" t="s">
        <v>8873</v>
      </c>
      <c r="C96" s="5" t="s">
        <v>39</v>
      </c>
      <c r="D96" s="5" t="s">
        <v>42</v>
      </c>
      <c r="E96" s="5" t="s">
        <v>3</v>
      </c>
      <c r="F96" s="6">
        <v>29405</v>
      </c>
      <c r="G96" s="6">
        <v>33050</v>
      </c>
      <c r="H96" s="148">
        <v>15</v>
      </c>
    </row>
    <row r="97" spans="1:8" ht="18.75" x14ac:dyDescent="0.25">
      <c r="A97" s="30" t="s">
        <v>137</v>
      </c>
      <c r="B97" s="5" t="s">
        <v>8850</v>
      </c>
      <c r="C97" s="5" t="s">
        <v>8852</v>
      </c>
      <c r="D97" s="5" t="s">
        <v>138</v>
      </c>
      <c r="E97" s="5" t="s">
        <v>3</v>
      </c>
      <c r="F97" s="6">
        <v>6071</v>
      </c>
      <c r="G97" s="6">
        <v>7940</v>
      </c>
      <c r="H97" s="148">
        <v>10</v>
      </c>
    </row>
    <row r="98" spans="1:8" ht="18.75" x14ac:dyDescent="0.25">
      <c r="A98" s="30" t="s">
        <v>139</v>
      </c>
      <c r="B98" s="5" t="s">
        <v>8862</v>
      </c>
      <c r="C98" s="5" t="s">
        <v>5</v>
      </c>
      <c r="D98" s="5" t="s">
        <v>42</v>
      </c>
      <c r="E98" s="5" t="s">
        <v>3</v>
      </c>
      <c r="F98" s="6">
        <v>21311</v>
      </c>
      <c r="G98" s="6">
        <v>25260</v>
      </c>
      <c r="H98" s="148">
        <v>15</v>
      </c>
    </row>
    <row r="99" spans="1:8" ht="18.75" x14ac:dyDescent="0.25">
      <c r="A99" s="30" t="s">
        <v>140</v>
      </c>
      <c r="B99" s="5" t="s">
        <v>8694</v>
      </c>
      <c r="C99" s="5" t="s">
        <v>32</v>
      </c>
      <c r="D99" s="5" t="s">
        <v>22</v>
      </c>
      <c r="E99" s="5" t="s">
        <v>3</v>
      </c>
      <c r="F99" s="6">
        <v>2116</v>
      </c>
      <c r="G99" s="6">
        <v>2760</v>
      </c>
      <c r="H99" s="148">
        <v>25</v>
      </c>
    </row>
    <row r="100" spans="1:8" ht="18.75" x14ac:dyDescent="0.25">
      <c r="A100" s="30" t="s">
        <v>141</v>
      </c>
      <c r="B100" s="5" t="s">
        <v>8870</v>
      </c>
      <c r="C100" s="5" t="s">
        <v>142</v>
      </c>
      <c r="D100" s="5" t="s">
        <v>143</v>
      </c>
      <c r="E100" s="5" t="s">
        <v>3</v>
      </c>
      <c r="F100" s="6">
        <v>11947</v>
      </c>
      <c r="G100" s="6">
        <v>15230</v>
      </c>
      <c r="H100" s="148">
        <v>5</v>
      </c>
    </row>
    <row r="101" spans="1:8" ht="18.75" x14ac:dyDescent="0.25">
      <c r="A101" s="30" t="s">
        <v>144</v>
      </c>
      <c r="B101" s="5" t="s">
        <v>8757</v>
      </c>
      <c r="C101" s="5" t="s">
        <v>44</v>
      </c>
      <c r="D101" s="5" t="s">
        <v>45</v>
      </c>
      <c r="E101" s="5" t="s">
        <v>3</v>
      </c>
      <c r="F101" s="6">
        <v>6307</v>
      </c>
      <c r="G101" s="6">
        <v>7630</v>
      </c>
      <c r="H101" s="148">
        <v>5</v>
      </c>
    </row>
    <row r="102" spans="1:8" ht="18.75" x14ac:dyDescent="0.25">
      <c r="A102" s="30" t="s">
        <v>145</v>
      </c>
      <c r="B102" s="5" t="s">
        <v>8762</v>
      </c>
      <c r="C102" s="5" t="s">
        <v>108</v>
      </c>
      <c r="D102" s="5" t="s">
        <v>146</v>
      </c>
      <c r="E102" s="5" t="s">
        <v>3</v>
      </c>
      <c r="F102" s="6">
        <v>7623</v>
      </c>
      <c r="G102" s="6">
        <v>9790</v>
      </c>
      <c r="H102" s="148">
        <v>5</v>
      </c>
    </row>
    <row r="103" spans="1:8" ht="18.75" x14ac:dyDescent="0.25">
      <c r="A103" s="30" t="s">
        <v>147</v>
      </c>
      <c r="B103" s="5" t="s">
        <v>8863</v>
      </c>
      <c r="C103" s="5" t="s">
        <v>66</v>
      </c>
      <c r="D103" s="5" t="s">
        <v>42</v>
      </c>
      <c r="E103" s="5" t="s">
        <v>3</v>
      </c>
      <c r="F103" s="6">
        <v>3935</v>
      </c>
      <c r="G103" s="6">
        <v>4680</v>
      </c>
      <c r="H103" s="148">
        <v>8</v>
      </c>
    </row>
    <row r="104" spans="1:8" ht="18.75" x14ac:dyDescent="0.25">
      <c r="A104" s="30" t="s">
        <v>148</v>
      </c>
      <c r="B104" s="5" t="s">
        <v>8690</v>
      </c>
      <c r="C104" s="5" t="s">
        <v>11</v>
      </c>
      <c r="D104" s="5" t="s">
        <v>9</v>
      </c>
      <c r="E104" s="5" t="s">
        <v>3</v>
      </c>
      <c r="F104" s="6">
        <v>17657</v>
      </c>
      <c r="G104" s="6">
        <v>20170</v>
      </c>
      <c r="H104" s="148">
        <v>8</v>
      </c>
    </row>
    <row r="105" spans="1:8" ht="18.75" x14ac:dyDescent="0.25">
      <c r="A105" s="30" t="s">
        <v>149</v>
      </c>
      <c r="B105" s="5" t="s">
        <v>8758</v>
      </c>
      <c r="C105" s="5" t="s">
        <v>13</v>
      </c>
      <c r="D105" s="5" t="s">
        <v>45</v>
      </c>
      <c r="E105" s="5" t="s">
        <v>3</v>
      </c>
      <c r="F105" s="6">
        <v>5562</v>
      </c>
      <c r="G105" s="6">
        <v>6520</v>
      </c>
      <c r="H105" s="148">
        <v>5</v>
      </c>
    </row>
    <row r="106" spans="1:8" ht="18.75" x14ac:dyDescent="0.25">
      <c r="A106" s="30" t="s">
        <v>150</v>
      </c>
      <c r="B106" s="5" t="s">
        <v>8690</v>
      </c>
      <c r="C106" s="5" t="s">
        <v>11</v>
      </c>
      <c r="D106" s="5" t="s">
        <v>9</v>
      </c>
      <c r="E106" s="5" t="s">
        <v>3</v>
      </c>
      <c r="F106" s="6">
        <v>7322</v>
      </c>
      <c r="G106" s="6">
        <v>8400</v>
      </c>
      <c r="H106" s="148">
        <v>10</v>
      </c>
    </row>
    <row r="107" spans="1:8" ht="18.75" x14ac:dyDescent="0.25">
      <c r="A107" s="30" t="s">
        <v>151</v>
      </c>
      <c r="B107" s="5" t="s">
        <v>8757</v>
      </c>
      <c r="C107" s="5" t="s">
        <v>44</v>
      </c>
      <c r="D107" s="5" t="s">
        <v>45</v>
      </c>
      <c r="E107" s="5" t="s">
        <v>3</v>
      </c>
      <c r="F107" s="6">
        <v>5716</v>
      </c>
      <c r="G107" s="6">
        <v>7010</v>
      </c>
      <c r="H107" s="148">
        <v>25</v>
      </c>
    </row>
    <row r="108" spans="1:8" ht="18.75" x14ac:dyDescent="0.25">
      <c r="A108" s="30" t="s">
        <v>152</v>
      </c>
      <c r="B108" s="5" t="s">
        <v>8702</v>
      </c>
      <c r="C108" s="5" t="s">
        <v>39</v>
      </c>
      <c r="D108" s="5" t="s">
        <v>196</v>
      </c>
      <c r="E108" s="5" t="s">
        <v>3</v>
      </c>
      <c r="F108" s="6">
        <v>29602</v>
      </c>
      <c r="G108" s="6">
        <v>33410</v>
      </c>
      <c r="H108" s="148">
        <v>25</v>
      </c>
    </row>
    <row r="109" spans="1:8" ht="18.75" x14ac:dyDescent="0.25">
      <c r="A109" s="30" t="s">
        <v>153</v>
      </c>
      <c r="B109" s="5" t="s">
        <v>8865</v>
      </c>
      <c r="C109" s="5" t="s">
        <v>32</v>
      </c>
      <c r="D109" s="5" t="s">
        <v>42</v>
      </c>
      <c r="E109" s="5" t="s">
        <v>3</v>
      </c>
      <c r="F109" s="6">
        <v>835</v>
      </c>
      <c r="G109" s="6">
        <v>1070</v>
      </c>
      <c r="H109" s="148">
        <v>5</v>
      </c>
    </row>
    <row r="110" spans="1:8" ht="18.75" x14ac:dyDescent="0.25">
      <c r="A110" s="30" t="s">
        <v>154</v>
      </c>
      <c r="B110" s="5" t="s">
        <v>8688</v>
      </c>
      <c r="C110" s="5" t="s">
        <v>5</v>
      </c>
      <c r="D110" s="5" t="s">
        <v>6</v>
      </c>
      <c r="E110" s="5" t="s">
        <v>3</v>
      </c>
      <c r="F110" s="6">
        <v>39768</v>
      </c>
      <c r="G110" s="6">
        <v>46220</v>
      </c>
      <c r="H110" s="148">
        <v>5</v>
      </c>
    </row>
    <row r="111" spans="1:8" ht="18.75" x14ac:dyDescent="0.25">
      <c r="A111" s="30" t="s">
        <v>155</v>
      </c>
      <c r="B111" s="5" t="s">
        <v>8754</v>
      </c>
      <c r="C111" s="5" t="s">
        <v>16</v>
      </c>
      <c r="D111" s="5" t="s">
        <v>17</v>
      </c>
      <c r="E111" s="5" t="s">
        <v>3</v>
      </c>
      <c r="F111" s="6">
        <v>2996</v>
      </c>
      <c r="G111" s="6">
        <v>3650</v>
      </c>
      <c r="H111" s="148">
        <v>20</v>
      </c>
    </row>
    <row r="112" spans="1:8" ht="18.75" x14ac:dyDescent="0.25">
      <c r="A112" s="30" t="s">
        <v>156</v>
      </c>
      <c r="B112" s="5" t="s">
        <v>8697</v>
      </c>
      <c r="C112" s="5" t="s">
        <v>44</v>
      </c>
      <c r="D112" s="5" t="s">
        <v>14</v>
      </c>
      <c r="E112" s="5" t="s">
        <v>3</v>
      </c>
      <c r="F112" s="6">
        <v>2558</v>
      </c>
      <c r="G112" s="6">
        <v>3240</v>
      </c>
      <c r="H112" s="148">
        <v>25</v>
      </c>
    </row>
    <row r="113" spans="1:8" ht="18.75" x14ac:dyDescent="0.25">
      <c r="A113" s="30" t="s">
        <v>157</v>
      </c>
      <c r="B113" s="5" t="s">
        <v>8688</v>
      </c>
      <c r="C113" s="5" t="s">
        <v>5</v>
      </c>
      <c r="D113" s="5" t="s">
        <v>158</v>
      </c>
      <c r="E113" s="5" t="s">
        <v>3</v>
      </c>
      <c r="F113" s="6">
        <v>10034</v>
      </c>
      <c r="G113" s="6">
        <v>12100</v>
      </c>
      <c r="H113" s="148">
        <v>20</v>
      </c>
    </row>
    <row r="114" spans="1:8" ht="18.75" x14ac:dyDescent="0.25">
      <c r="A114" s="30" t="s">
        <v>159</v>
      </c>
      <c r="B114" s="5" t="s">
        <v>8873</v>
      </c>
      <c r="C114" s="5" t="s">
        <v>39</v>
      </c>
      <c r="D114" s="5" t="s">
        <v>42</v>
      </c>
      <c r="E114" s="5" t="s">
        <v>3</v>
      </c>
      <c r="F114" s="6">
        <v>69103</v>
      </c>
      <c r="G114" s="6">
        <v>90020</v>
      </c>
      <c r="H114" s="148">
        <v>8</v>
      </c>
    </row>
    <row r="115" spans="1:8" ht="18.75" x14ac:dyDescent="0.25">
      <c r="A115" s="30" t="s">
        <v>160</v>
      </c>
      <c r="B115" s="5" t="s">
        <v>8698</v>
      </c>
      <c r="C115" s="5" t="s">
        <v>66</v>
      </c>
      <c r="D115" s="5" t="s">
        <v>9</v>
      </c>
      <c r="E115" s="5" t="s">
        <v>3</v>
      </c>
      <c r="F115" s="6">
        <v>3382</v>
      </c>
      <c r="G115" s="6">
        <v>4330</v>
      </c>
      <c r="H115" s="148">
        <v>20</v>
      </c>
    </row>
    <row r="116" spans="1:8" ht="18.75" x14ac:dyDescent="0.25">
      <c r="A116" s="30" t="s">
        <v>161</v>
      </c>
      <c r="B116" s="5" t="s">
        <v>8869</v>
      </c>
      <c r="C116" s="5" t="s">
        <v>74</v>
      </c>
      <c r="D116" s="5" t="s">
        <v>8867</v>
      </c>
      <c r="E116" s="5" t="s">
        <v>3</v>
      </c>
      <c r="F116" s="6">
        <v>1064</v>
      </c>
      <c r="G116" s="6">
        <v>1330</v>
      </c>
      <c r="H116" s="148">
        <v>8</v>
      </c>
    </row>
    <row r="117" spans="1:8" ht="18.75" x14ac:dyDescent="0.25">
      <c r="A117" s="30" t="s">
        <v>162</v>
      </c>
      <c r="B117" s="5" t="s">
        <v>8759</v>
      </c>
      <c r="C117" s="5" t="s">
        <v>60</v>
      </c>
      <c r="D117" s="5" t="s">
        <v>8861</v>
      </c>
      <c r="E117" s="5" t="s">
        <v>3</v>
      </c>
      <c r="F117" s="6">
        <v>724</v>
      </c>
      <c r="G117" s="6">
        <v>820</v>
      </c>
      <c r="H117" s="148">
        <v>5</v>
      </c>
    </row>
    <row r="118" spans="1:8" ht="18.75" x14ac:dyDescent="0.25">
      <c r="A118" s="30" t="s">
        <v>163</v>
      </c>
      <c r="B118" s="5" t="s">
        <v>8760</v>
      </c>
      <c r="C118" s="5" t="s">
        <v>24</v>
      </c>
      <c r="D118" s="5" t="s">
        <v>97</v>
      </c>
      <c r="E118" s="5" t="s">
        <v>3</v>
      </c>
      <c r="F118" s="6">
        <v>13893</v>
      </c>
      <c r="G118" s="6">
        <v>16210</v>
      </c>
      <c r="H118" s="148">
        <v>5</v>
      </c>
    </row>
    <row r="119" spans="1:8" ht="18.75" x14ac:dyDescent="0.25">
      <c r="A119" s="30" t="s">
        <v>164</v>
      </c>
      <c r="B119" s="5" t="s">
        <v>8758</v>
      </c>
      <c r="C119" s="5" t="s">
        <v>13</v>
      </c>
      <c r="D119" s="5" t="s">
        <v>45</v>
      </c>
      <c r="E119" s="5" t="s">
        <v>3</v>
      </c>
      <c r="F119" s="6">
        <v>2596</v>
      </c>
      <c r="G119" s="6">
        <v>3360</v>
      </c>
      <c r="H119" s="148">
        <v>10</v>
      </c>
    </row>
    <row r="120" spans="1:8" ht="18.75" x14ac:dyDescent="0.25">
      <c r="A120" s="30" t="s">
        <v>165</v>
      </c>
      <c r="B120" s="5" t="s">
        <v>8755</v>
      </c>
      <c r="C120" s="5" t="s">
        <v>24</v>
      </c>
      <c r="D120" s="5" t="s">
        <v>25</v>
      </c>
      <c r="E120" s="5" t="s">
        <v>3</v>
      </c>
      <c r="F120" s="6">
        <v>6875</v>
      </c>
      <c r="G120" s="6">
        <v>8020</v>
      </c>
      <c r="H120" s="148">
        <v>15</v>
      </c>
    </row>
    <row r="121" spans="1:8" ht="18.75" x14ac:dyDescent="0.25">
      <c r="A121" s="30" t="s">
        <v>166</v>
      </c>
      <c r="B121" s="5" t="s">
        <v>8701</v>
      </c>
      <c r="C121" s="5" t="s">
        <v>5</v>
      </c>
      <c r="D121" s="5" t="s">
        <v>103</v>
      </c>
      <c r="E121" s="5" t="s">
        <v>3</v>
      </c>
      <c r="F121" s="6">
        <v>30191</v>
      </c>
      <c r="G121" s="6">
        <v>36680</v>
      </c>
      <c r="H121" s="148">
        <v>5</v>
      </c>
    </row>
    <row r="122" spans="1:8" ht="18.75" x14ac:dyDescent="0.25">
      <c r="A122" s="30" t="s">
        <v>167</v>
      </c>
      <c r="B122" s="5" t="s">
        <v>8692</v>
      </c>
      <c r="C122" s="5" t="s">
        <v>21</v>
      </c>
      <c r="D122" s="5" t="s">
        <v>22</v>
      </c>
      <c r="E122" s="5" t="s">
        <v>3</v>
      </c>
      <c r="F122" s="6">
        <v>2161</v>
      </c>
      <c r="G122" s="6">
        <v>2460</v>
      </c>
      <c r="H122" s="148">
        <v>25</v>
      </c>
    </row>
    <row r="123" spans="1:8" ht="18.75" x14ac:dyDescent="0.25">
      <c r="A123" s="30" t="s">
        <v>168</v>
      </c>
      <c r="B123" s="5" t="s">
        <v>8868</v>
      </c>
      <c r="C123" s="5" t="s">
        <v>37</v>
      </c>
      <c r="D123" s="5" t="s">
        <v>8867</v>
      </c>
      <c r="E123" s="5" t="s">
        <v>3</v>
      </c>
      <c r="F123" s="6">
        <v>1166</v>
      </c>
      <c r="G123" s="6">
        <v>1460</v>
      </c>
      <c r="H123" s="148">
        <v>10</v>
      </c>
    </row>
    <row r="124" spans="1:8" ht="18.75" x14ac:dyDescent="0.25">
      <c r="A124" s="30" t="s">
        <v>169</v>
      </c>
      <c r="B124" s="5" t="s">
        <v>8690</v>
      </c>
      <c r="C124" s="5" t="s">
        <v>11</v>
      </c>
      <c r="D124" s="5" t="s">
        <v>9</v>
      </c>
      <c r="E124" s="5" t="s">
        <v>3</v>
      </c>
      <c r="F124" s="6">
        <v>20157</v>
      </c>
      <c r="G124" s="6">
        <v>22680</v>
      </c>
      <c r="H124" s="148">
        <v>5</v>
      </c>
    </row>
    <row r="125" spans="1:8" ht="18.75" x14ac:dyDescent="0.25">
      <c r="A125" s="30" t="s">
        <v>170</v>
      </c>
      <c r="B125" s="5" t="s">
        <v>8693</v>
      </c>
      <c r="C125" s="5" t="s">
        <v>39</v>
      </c>
      <c r="D125" s="5" t="s">
        <v>29</v>
      </c>
      <c r="E125" s="5" t="s">
        <v>3</v>
      </c>
      <c r="F125" s="6">
        <v>26168</v>
      </c>
      <c r="G125" s="6">
        <v>29710</v>
      </c>
      <c r="H125" s="148">
        <v>10</v>
      </c>
    </row>
    <row r="126" spans="1:8" ht="18.75" x14ac:dyDescent="0.25">
      <c r="A126" s="30" t="s">
        <v>171</v>
      </c>
      <c r="B126" s="5" t="s">
        <v>8691</v>
      </c>
      <c r="C126" s="5" t="s">
        <v>13</v>
      </c>
      <c r="D126" s="5" t="s">
        <v>14</v>
      </c>
      <c r="E126" s="5" t="s">
        <v>3</v>
      </c>
      <c r="F126" s="6">
        <v>3469</v>
      </c>
      <c r="G126" s="6">
        <v>4010</v>
      </c>
      <c r="H126" s="148">
        <v>15</v>
      </c>
    </row>
    <row r="127" spans="1:8" ht="18.75" x14ac:dyDescent="0.25">
      <c r="A127" s="30" t="s">
        <v>172</v>
      </c>
      <c r="B127" s="5" t="s">
        <v>8758</v>
      </c>
      <c r="C127" s="5" t="s">
        <v>13</v>
      </c>
      <c r="D127" s="5" t="s">
        <v>45</v>
      </c>
      <c r="E127" s="5" t="s">
        <v>3</v>
      </c>
      <c r="F127" s="6">
        <v>6047</v>
      </c>
      <c r="G127" s="6">
        <v>7300</v>
      </c>
      <c r="H127" s="148">
        <v>5</v>
      </c>
    </row>
    <row r="128" spans="1:8" ht="18.75" x14ac:dyDescent="0.25">
      <c r="A128" s="30" t="s">
        <v>173</v>
      </c>
      <c r="B128" s="5" t="s">
        <v>8864</v>
      </c>
      <c r="C128" s="5" t="s">
        <v>174</v>
      </c>
      <c r="D128" s="5" t="s">
        <v>42</v>
      </c>
      <c r="E128" s="5" t="s">
        <v>3</v>
      </c>
      <c r="F128" s="6">
        <v>60461</v>
      </c>
      <c r="G128" s="6">
        <v>69180</v>
      </c>
      <c r="H128" s="148">
        <v>10</v>
      </c>
    </row>
    <row r="129" spans="1:8" ht="18.75" x14ac:dyDescent="0.25">
      <c r="A129" s="30" t="s">
        <v>175</v>
      </c>
      <c r="B129" s="5" t="s">
        <v>8691</v>
      </c>
      <c r="C129" s="5" t="s">
        <v>13</v>
      </c>
      <c r="D129" s="5" t="s">
        <v>14</v>
      </c>
      <c r="E129" s="5" t="s">
        <v>3</v>
      </c>
      <c r="F129" s="6">
        <v>1594</v>
      </c>
      <c r="G129" s="6">
        <v>2030</v>
      </c>
      <c r="H129" s="148">
        <v>10</v>
      </c>
    </row>
    <row r="130" spans="1:8" ht="18.75" x14ac:dyDescent="0.25">
      <c r="A130" s="30" t="s">
        <v>176</v>
      </c>
      <c r="B130" s="5" t="s">
        <v>8690</v>
      </c>
      <c r="C130" s="5" t="s">
        <v>11</v>
      </c>
      <c r="D130" s="5" t="s">
        <v>9</v>
      </c>
      <c r="E130" s="5" t="s">
        <v>3</v>
      </c>
      <c r="F130" s="6">
        <v>14825</v>
      </c>
      <c r="G130" s="6">
        <v>18900</v>
      </c>
      <c r="H130" s="148">
        <v>15</v>
      </c>
    </row>
    <row r="131" spans="1:8" ht="18.75" x14ac:dyDescent="0.25">
      <c r="A131" s="30" t="s">
        <v>177</v>
      </c>
      <c r="B131" s="5" t="s">
        <v>8700</v>
      </c>
      <c r="C131" s="5" t="s">
        <v>39</v>
      </c>
      <c r="D131" s="5" t="s">
        <v>9</v>
      </c>
      <c r="E131" s="5" t="s">
        <v>3</v>
      </c>
      <c r="F131" s="6">
        <v>45329</v>
      </c>
      <c r="G131" s="6">
        <v>56790</v>
      </c>
      <c r="H131" s="148">
        <v>15</v>
      </c>
    </row>
    <row r="132" spans="1:8" ht="18.75" x14ac:dyDescent="0.25">
      <c r="A132" s="30" t="s">
        <v>178</v>
      </c>
      <c r="B132" s="5" t="s">
        <v>8755</v>
      </c>
      <c r="C132" s="5" t="s">
        <v>24</v>
      </c>
      <c r="D132" s="5" t="s">
        <v>25</v>
      </c>
      <c r="E132" s="5" t="s">
        <v>3</v>
      </c>
      <c r="F132" s="6">
        <v>8325</v>
      </c>
      <c r="G132" s="6">
        <v>9770</v>
      </c>
      <c r="H132" s="148">
        <v>8</v>
      </c>
    </row>
    <row r="133" spans="1:8" ht="18.75" x14ac:dyDescent="0.25">
      <c r="A133" s="30" t="s">
        <v>179</v>
      </c>
      <c r="B133" s="5" t="s">
        <v>8868</v>
      </c>
      <c r="C133" s="5" t="s">
        <v>37</v>
      </c>
      <c r="D133" s="5" t="s">
        <v>8867</v>
      </c>
      <c r="E133" s="5" t="s">
        <v>3</v>
      </c>
      <c r="F133" s="6">
        <v>1180</v>
      </c>
      <c r="G133" s="6">
        <v>1490</v>
      </c>
      <c r="H133" s="148">
        <v>10</v>
      </c>
    </row>
    <row r="134" spans="1:8" ht="18.75" x14ac:dyDescent="0.25">
      <c r="A134" s="30" t="s">
        <v>180</v>
      </c>
      <c r="B134" s="5" t="s">
        <v>8755</v>
      </c>
      <c r="C134" s="5" t="s">
        <v>24</v>
      </c>
      <c r="D134" s="5" t="s">
        <v>25</v>
      </c>
      <c r="E134" s="5" t="s">
        <v>3</v>
      </c>
      <c r="F134" s="6">
        <v>9104</v>
      </c>
      <c r="G134" s="6">
        <v>11780</v>
      </c>
      <c r="H134" s="148">
        <v>20</v>
      </c>
    </row>
    <row r="135" spans="1:8" ht="18.75" x14ac:dyDescent="0.25">
      <c r="A135" s="30" t="s">
        <v>181</v>
      </c>
      <c r="B135" s="5" t="s">
        <v>8699</v>
      </c>
      <c r="C135" s="5" t="s">
        <v>71</v>
      </c>
      <c r="D135" s="5" t="s">
        <v>22</v>
      </c>
      <c r="E135" s="5" t="s">
        <v>3</v>
      </c>
      <c r="F135" s="6">
        <v>4751</v>
      </c>
      <c r="G135" s="6">
        <v>5880</v>
      </c>
      <c r="H135" s="148">
        <v>25</v>
      </c>
    </row>
    <row r="136" spans="1:8" ht="18.75" x14ac:dyDescent="0.25">
      <c r="A136" s="30" t="s">
        <v>182</v>
      </c>
      <c r="B136" s="5" t="s">
        <v>8755</v>
      </c>
      <c r="C136" s="5" t="s">
        <v>24</v>
      </c>
      <c r="D136" s="5" t="s">
        <v>25</v>
      </c>
      <c r="E136" s="5" t="s">
        <v>3</v>
      </c>
      <c r="F136" s="6">
        <v>8348</v>
      </c>
      <c r="G136" s="6">
        <v>10690</v>
      </c>
      <c r="H136" s="148">
        <v>8</v>
      </c>
    </row>
    <row r="137" spans="1:8" ht="18.75" x14ac:dyDescent="0.25">
      <c r="A137" s="30" t="s">
        <v>183</v>
      </c>
      <c r="B137" s="5" t="s">
        <v>8697</v>
      </c>
      <c r="C137" s="5" t="s">
        <v>44</v>
      </c>
      <c r="D137" s="5" t="s">
        <v>14</v>
      </c>
      <c r="E137" s="5" t="s">
        <v>3</v>
      </c>
      <c r="F137" s="6">
        <v>1270</v>
      </c>
      <c r="G137" s="6">
        <v>1430</v>
      </c>
      <c r="H137" s="148">
        <v>10</v>
      </c>
    </row>
    <row r="138" spans="1:8" ht="18.75" x14ac:dyDescent="0.25">
      <c r="A138" s="30" t="s">
        <v>184</v>
      </c>
      <c r="B138" s="5" t="s">
        <v>8850</v>
      </c>
      <c r="C138" s="5" t="s">
        <v>142</v>
      </c>
      <c r="D138" s="5" t="s">
        <v>138</v>
      </c>
      <c r="E138" s="5" t="s">
        <v>3</v>
      </c>
      <c r="F138" s="6">
        <v>9420</v>
      </c>
      <c r="G138" s="6">
        <v>11550</v>
      </c>
      <c r="H138" s="148">
        <v>25</v>
      </c>
    </row>
    <row r="139" spans="1:8" ht="18.75" x14ac:dyDescent="0.25">
      <c r="A139" s="30" t="s">
        <v>185</v>
      </c>
      <c r="B139" s="5" t="s">
        <v>8863</v>
      </c>
      <c r="C139" s="5" t="s">
        <v>66</v>
      </c>
      <c r="D139" s="5" t="s">
        <v>42</v>
      </c>
      <c r="E139" s="5" t="s">
        <v>3</v>
      </c>
      <c r="F139" s="6">
        <v>3862</v>
      </c>
      <c r="G139" s="6">
        <v>4850</v>
      </c>
      <c r="H139" s="148">
        <v>10</v>
      </c>
    </row>
    <row r="140" spans="1:8" ht="18.75" x14ac:dyDescent="0.25">
      <c r="A140" s="30" t="s">
        <v>186</v>
      </c>
      <c r="B140" s="5" t="s">
        <v>8760</v>
      </c>
      <c r="C140" s="5" t="s">
        <v>24</v>
      </c>
      <c r="D140" s="5" t="s">
        <v>97</v>
      </c>
      <c r="E140" s="5" t="s">
        <v>3</v>
      </c>
      <c r="F140" s="6">
        <v>9529</v>
      </c>
      <c r="G140" s="6">
        <v>11620</v>
      </c>
      <c r="H140" s="148">
        <v>15</v>
      </c>
    </row>
    <row r="141" spans="1:8" ht="18.75" x14ac:dyDescent="0.25">
      <c r="A141" s="30" t="s">
        <v>187</v>
      </c>
      <c r="B141" s="5" t="s">
        <v>8846</v>
      </c>
      <c r="C141" s="5" t="s">
        <v>119</v>
      </c>
      <c r="D141" s="5" t="s">
        <v>83</v>
      </c>
      <c r="E141" s="5" t="s">
        <v>3</v>
      </c>
      <c r="F141" s="6">
        <v>712</v>
      </c>
      <c r="G141" s="6">
        <v>840</v>
      </c>
      <c r="H141" s="148">
        <v>8</v>
      </c>
    </row>
    <row r="142" spans="1:8" ht="18.75" x14ac:dyDescent="0.25">
      <c r="A142" s="30" t="s">
        <v>188</v>
      </c>
      <c r="B142" s="5" t="s">
        <v>8762</v>
      </c>
      <c r="C142" s="5" t="s">
        <v>108</v>
      </c>
      <c r="D142" s="5" t="s">
        <v>146</v>
      </c>
      <c r="E142" s="5" t="s">
        <v>3</v>
      </c>
      <c r="F142" s="6">
        <v>11278</v>
      </c>
      <c r="G142" s="6">
        <v>14390</v>
      </c>
      <c r="H142" s="148">
        <v>8</v>
      </c>
    </row>
    <row r="143" spans="1:8" ht="18.75" x14ac:dyDescent="0.25">
      <c r="A143" s="30" t="s">
        <v>189</v>
      </c>
      <c r="B143" s="5" t="s">
        <v>8691</v>
      </c>
      <c r="C143" s="5" t="s">
        <v>13</v>
      </c>
      <c r="D143" s="5" t="s">
        <v>14</v>
      </c>
      <c r="E143" s="5" t="s">
        <v>3</v>
      </c>
      <c r="F143" s="6">
        <v>1280</v>
      </c>
      <c r="G143" s="6">
        <v>1610</v>
      </c>
      <c r="H143" s="148">
        <v>15</v>
      </c>
    </row>
    <row r="144" spans="1:8" ht="18.75" x14ac:dyDescent="0.25">
      <c r="A144" s="30" t="s">
        <v>190</v>
      </c>
      <c r="B144" s="5" t="s">
        <v>8695</v>
      </c>
      <c r="C144" s="5" t="s">
        <v>11</v>
      </c>
      <c r="D144" s="5" t="s">
        <v>34</v>
      </c>
      <c r="E144" s="5" t="s">
        <v>3</v>
      </c>
      <c r="F144" s="6">
        <v>15766</v>
      </c>
      <c r="G144" s="6">
        <v>18190</v>
      </c>
      <c r="H144" s="148">
        <v>25</v>
      </c>
    </row>
    <row r="145" spans="1:8" ht="18.75" x14ac:dyDescent="0.25">
      <c r="A145" s="30" t="s">
        <v>191</v>
      </c>
      <c r="B145" s="5" t="s">
        <v>8692</v>
      </c>
      <c r="C145" s="5" t="s">
        <v>21</v>
      </c>
      <c r="D145" s="5" t="s">
        <v>22</v>
      </c>
      <c r="E145" s="5" t="s">
        <v>3</v>
      </c>
      <c r="F145" s="6">
        <v>1533</v>
      </c>
      <c r="G145" s="6">
        <v>2000</v>
      </c>
      <c r="H145" s="148">
        <v>5</v>
      </c>
    </row>
    <row r="146" spans="1:8" ht="18.75" x14ac:dyDescent="0.25">
      <c r="A146" s="30" t="s">
        <v>192</v>
      </c>
      <c r="B146" s="5" t="s">
        <v>8873</v>
      </c>
      <c r="C146" s="5" t="s">
        <v>39</v>
      </c>
      <c r="D146" s="5" t="s">
        <v>42</v>
      </c>
      <c r="E146" s="5" t="s">
        <v>3</v>
      </c>
      <c r="F146" s="6">
        <v>50201</v>
      </c>
      <c r="G146" s="6">
        <v>59870</v>
      </c>
      <c r="H146" s="148">
        <v>20</v>
      </c>
    </row>
    <row r="147" spans="1:8" ht="18.75" x14ac:dyDescent="0.25">
      <c r="A147" s="30" t="s">
        <v>193</v>
      </c>
      <c r="B147" s="5" t="s">
        <v>8858</v>
      </c>
      <c r="C147" s="5" t="s">
        <v>54</v>
      </c>
      <c r="D147" s="5" t="s">
        <v>8851</v>
      </c>
      <c r="E147" s="5" t="s">
        <v>3</v>
      </c>
      <c r="F147" s="6">
        <v>14944</v>
      </c>
      <c r="G147" s="6">
        <v>18760</v>
      </c>
      <c r="H147" s="148">
        <v>25</v>
      </c>
    </row>
    <row r="148" spans="1:8" ht="18.75" x14ac:dyDescent="0.25">
      <c r="A148" s="30" t="s">
        <v>194</v>
      </c>
      <c r="B148" s="5" t="s">
        <v>8762</v>
      </c>
      <c r="C148" s="5" t="s">
        <v>108</v>
      </c>
      <c r="D148" s="5" t="s">
        <v>146</v>
      </c>
      <c r="E148" s="5" t="s">
        <v>3</v>
      </c>
      <c r="F148" s="6">
        <v>5498</v>
      </c>
      <c r="G148" s="6">
        <v>6290</v>
      </c>
      <c r="H148" s="148">
        <v>15</v>
      </c>
    </row>
    <row r="149" spans="1:8" ht="18.75" x14ac:dyDescent="0.25">
      <c r="A149" s="30" t="s">
        <v>195</v>
      </c>
      <c r="B149" s="5" t="s">
        <v>8702</v>
      </c>
      <c r="C149" s="5" t="s">
        <v>39</v>
      </c>
      <c r="D149" s="5" t="s">
        <v>196</v>
      </c>
      <c r="E149" s="5" t="s">
        <v>3</v>
      </c>
      <c r="F149" s="6">
        <v>38353</v>
      </c>
      <c r="G149" s="6">
        <v>46790</v>
      </c>
      <c r="H149" s="148">
        <v>5</v>
      </c>
    </row>
    <row r="150" spans="1:8" ht="18.75" x14ac:dyDescent="0.25">
      <c r="A150" s="30" t="s">
        <v>197</v>
      </c>
      <c r="B150" s="5" t="s">
        <v>8762</v>
      </c>
      <c r="C150" s="5" t="s">
        <v>108</v>
      </c>
      <c r="D150" s="5" t="s">
        <v>146</v>
      </c>
      <c r="E150" s="5" t="s">
        <v>3</v>
      </c>
      <c r="F150" s="6">
        <v>12461</v>
      </c>
      <c r="G150" s="6">
        <v>16400</v>
      </c>
      <c r="H150" s="148">
        <v>5</v>
      </c>
    </row>
    <row r="151" spans="1:8" ht="18.75" x14ac:dyDescent="0.25">
      <c r="A151" s="30" t="s">
        <v>198</v>
      </c>
      <c r="B151" s="5" t="s">
        <v>8848</v>
      </c>
      <c r="C151" s="5" t="s">
        <v>8853</v>
      </c>
      <c r="D151" s="5" t="s">
        <v>90</v>
      </c>
      <c r="E151" s="5" t="s">
        <v>3</v>
      </c>
      <c r="F151" s="6">
        <v>1905</v>
      </c>
      <c r="G151" s="6">
        <v>2240</v>
      </c>
      <c r="H151" s="148">
        <v>10</v>
      </c>
    </row>
    <row r="152" spans="1:8" ht="18.75" x14ac:dyDescent="0.25">
      <c r="A152" s="30" t="s">
        <v>199</v>
      </c>
      <c r="B152" s="5" t="s">
        <v>8756</v>
      </c>
      <c r="C152" s="5" t="s">
        <v>11</v>
      </c>
      <c r="D152" s="5" t="s">
        <v>27</v>
      </c>
      <c r="E152" s="5" t="s">
        <v>3</v>
      </c>
      <c r="F152" s="6">
        <v>10351</v>
      </c>
      <c r="G152" s="6">
        <v>13160</v>
      </c>
      <c r="H152" s="148">
        <v>25</v>
      </c>
    </row>
    <row r="153" spans="1:8" ht="18.75" x14ac:dyDescent="0.25">
      <c r="A153" s="30" t="s">
        <v>200</v>
      </c>
      <c r="B153" s="5" t="s">
        <v>8699</v>
      </c>
      <c r="C153" s="5" t="s">
        <v>71</v>
      </c>
      <c r="D153" s="5" t="s">
        <v>22</v>
      </c>
      <c r="E153" s="5" t="s">
        <v>3</v>
      </c>
      <c r="F153" s="6">
        <v>4331</v>
      </c>
      <c r="G153" s="6">
        <v>5040</v>
      </c>
      <c r="H153" s="148">
        <v>5</v>
      </c>
    </row>
    <row r="154" spans="1:8" ht="18.75" x14ac:dyDescent="0.25">
      <c r="A154" s="30" t="s">
        <v>201</v>
      </c>
      <c r="B154" s="5" t="s">
        <v>8758</v>
      </c>
      <c r="C154" s="5" t="s">
        <v>13</v>
      </c>
      <c r="D154" s="5" t="s">
        <v>45</v>
      </c>
      <c r="E154" s="5" t="s">
        <v>3</v>
      </c>
      <c r="F154" s="6">
        <v>2195</v>
      </c>
      <c r="G154" s="6">
        <v>2580</v>
      </c>
      <c r="H154" s="148">
        <v>10</v>
      </c>
    </row>
    <row r="155" spans="1:8" ht="18.75" x14ac:dyDescent="0.25">
      <c r="A155" s="30" t="s">
        <v>202</v>
      </c>
      <c r="B155" s="5" t="s">
        <v>8868</v>
      </c>
      <c r="C155" s="5" t="s">
        <v>37</v>
      </c>
      <c r="D155" s="5" t="s">
        <v>8867</v>
      </c>
      <c r="E155" s="5" t="s">
        <v>3</v>
      </c>
      <c r="F155" s="6">
        <v>1062</v>
      </c>
      <c r="G155" s="6">
        <v>1330</v>
      </c>
      <c r="H155" s="148">
        <v>5</v>
      </c>
    </row>
    <row r="156" spans="1:8" ht="18.75" x14ac:dyDescent="0.25">
      <c r="A156" s="30" t="s">
        <v>203</v>
      </c>
      <c r="B156" s="5" t="s">
        <v>8694</v>
      </c>
      <c r="C156" s="5" t="s">
        <v>32</v>
      </c>
      <c r="D156" s="5" t="s">
        <v>22</v>
      </c>
      <c r="E156" s="5" t="s">
        <v>3</v>
      </c>
      <c r="F156" s="6">
        <v>1713</v>
      </c>
      <c r="G156" s="6">
        <v>2110</v>
      </c>
      <c r="H156" s="148">
        <v>25</v>
      </c>
    </row>
    <row r="157" spans="1:8" ht="18.75" x14ac:dyDescent="0.25">
      <c r="A157" s="30" t="s">
        <v>204</v>
      </c>
      <c r="B157" s="5" t="s">
        <v>8693</v>
      </c>
      <c r="C157" s="5" t="s">
        <v>39</v>
      </c>
      <c r="D157" s="5" t="s">
        <v>29</v>
      </c>
      <c r="E157" s="5" t="s">
        <v>3</v>
      </c>
      <c r="F157" s="6">
        <v>33533</v>
      </c>
      <c r="G157" s="6">
        <v>42370</v>
      </c>
      <c r="H157" s="148">
        <v>5</v>
      </c>
    </row>
    <row r="158" spans="1:8" ht="18.75" x14ac:dyDescent="0.25">
      <c r="A158" s="30" t="s">
        <v>205</v>
      </c>
      <c r="B158" s="5" t="s">
        <v>8863</v>
      </c>
      <c r="C158" s="5" t="s">
        <v>66</v>
      </c>
      <c r="D158" s="5" t="s">
        <v>42</v>
      </c>
      <c r="E158" s="5" t="s">
        <v>3</v>
      </c>
      <c r="F158" s="6">
        <v>3906</v>
      </c>
      <c r="G158" s="6">
        <v>4820</v>
      </c>
      <c r="H158" s="148">
        <v>20</v>
      </c>
    </row>
    <row r="159" spans="1:8" ht="18.75" x14ac:dyDescent="0.25">
      <c r="A159" s="30" t="s">
        <v>206</v>
      </c>
      <c r="B159" s="5" t="s">
        <v>8698</v>
      </c>
      <c r="C159" s="5" t="s">
        <v>66</v>
      </c>
      <c r="D159" s="5" t="s">
        <v>9</v>
      </c>
      <c r="E159" s="5" t="s">
        <v>3</v>
      </c>
      <c r="F159" s="6">
        <v>1892</v>
      </c>
      <c r="G159" s="6">
        <v>2490</v>
      </c>
      <c r="H159" s="148">
        <v>10</v>
      </c>
    </row>
    <row r="160" spans="1:8" ht="18.75" x14ac:dyDescent="0.25">
      <c r="A160" s="30" t="s">
        <v>207</v>
      </c>
      <c r="B160" s="5" t="s">
        <v>8758</v>
      </c>
      <c r="C160" s="5" t="s">
        <v>13</v>
      </c>
      <c r="D160" s="5" t="s">
        <v>45</v>
      </c>
      <c r="E160" s="5" t="s">
        <v>3</v>
      </c>
      <c r="F160" s="6">
        <v>1218</v>
      </c>
      <c r="G160" s="6">
        <v>1400</v>
      </c>
      <c r="H160" s="148">
        <v>8</v>
      </c>
    </row>
    <row r="161" spans="1:8" ht="18.75" x14ac:dyDescent="0.25">
      <c r="A161" s="30" t="s">
        <v>208</v>
      </c>
      <c r="B161" s="5" t="s">
        <v>8700</v>
      </c>
      <c r="C161" s="5" t="s">
        <v>39</v>
      </c>
      <c r="D161" s="5" t="s">
        <v>9</v>
      </c>
      <c r="E161" s="5" t="s">
        <v>3</v>
      </c>
      <c r="F161" s="6">
        <v>58903</v>
      </c>
      <c r="G161" s="6">
        <v>67000</v>
      </c>
      <c r="H161" s="148">
        <v>10</v>
      </c>
    </row>
    <row r="162" spans="1:8" ht="18.75" x14ac:dyDescent="0.25">
      <c r="A162" s="30" t="s">
        <v>209</v>
      </c>
      <c r="B162" s="5" t="s">
        <v>8873</v>
      </c>
      <c r="C162" s="5" t="s">
        <v>39</v>
      </c>
      <c r="D162" s="5" t="s">
        <v>42</v>
      </c>
      <c r="E162" s="5" t="s">
        <v>3</v>
      </c>
      <c r="F162" s="6">
        <v>46511</v>
      </c>
      <c r="G162" s="6">
        <v>60780</v>
      </c>
      <c r="H162" s="148">
        <v>15</v>
      </c>
    </row>
    <row r="163" spans="1:8" ht="18.75" x14ac:dyDescent="0.25">
      <c r="A163" s="30" t="s">
        <v>210</v>
      </c>
      <c r="B163" s="5" t="s">
        <v>8758</v>
      </c>
      <c r="C163" s="5" t="s">
        <v>13</v>
      </c>
      <c r="D163" s="5" t="s">
        <v>45</v>
      </c>
      <c r="E163" s="5" t="s">
        <v>3</v>
      </c>
      <c r="F163" s="6">
        <v>889</v>
      </c>
      <c r="G163" s="6">
        <v>1130</v>
      </c>
      <c r="H163" s="148">
        <v>20</v>
      </c>
    </row>
    <row r="164" spans="1:8" ht="18.75" x14ac:dyDescent="0.25">
      <c r="A164" s="30" t="s">
        <v>211</v>
      </c>
      <c r="B164" s="5" t="s">
        <v>8761</v>
      </c>
      <c r="C164" s="5" t="s">
        <v>108</v>
      </c>
      <c r="D164" s="5" t="s">
        <v>34</v>
      </c>
      <c r="E164" s="5" t="s">
        <v>3</v>
      </c>
      <c r="F164" s="6">
        <v>13782</v>
      </c>
      <c r="G164" s="6">
        <v>16100</v>
      </c>
      <c r="H164" s="148">
        <v>20</v>
      </c>
    </row>
    <row r="165" spans="1:8" ht="18.75" x14ac:dyDescent="0.25">
      <c r="A165" s="30" t="s">
        <v>212</v>
      </c>
      <c r="B165" s="5" t="s">
        <v>8758</v>
      </c>
      <c r="C165" s="5" t="s">
        <v>13</v>
      </c>
      <c r="D165" s="5" t="s">
        <v>45</v>
      </c>
      <c r="E165" s="5" t="s">
        <v>3</v>
      </c>
      <c r="F165" s="6">
        <v>931</v>
      </c>
      <c r="G165" s="6">
        <v>1230</v>
      </c>
      <c r="H165" s="148">
        <v>5</v>
      </c>
    </row>
    <row r="166" spans="1:8" ht="18.75" x14ac:dyDescent="0.25">
      <c r="A166" s="30" t="s">
        <v>213</v>
      </c>
      <c r="B166" s="5" t="s">
        <v>8698</v>
      </c>
      <c r="C166" s="5" t="s">
        <v>66</v>
      </c>
      <c r="D166" s="5" t="s">
        <v>9</v>
      </c>
      <c r="E166" s="5" t="s">
        <v>3</v>
      </c>
      <c r="F166" s="6">
        <v>3086</v>
      </c>
      <c r="G166" s="6">
        <v>3740</v>
      </c>
      <c r="H166" s="148">
        <v>8</v>
      </c>
    </row>
    <row r="167" spans="1:8" ht="18.75" x14ac:dyDescent="0.25">
      <c r="A167" s="30" t="s">
        <v>214</v>
      </c>
      <c r="B167" s="5" t="s">
        <v>8857</v>
      </c>
      <c r="C167" s="5" t="s">
        <v>54</v>
      </c>
      <c r="D167" s="5" t="s">
        <v>55</v>
      </c>
      <c r="E167" s="5" t="s">
        <v>3</v>
      </c>
      <c r="F167" s="6">
        <v>8627</v>
      </c>
      <c r="G167" s="6">
        <v>10710</v>
      </c>
      <c r="H167" s="148">
        <v>20</v>
      </c>
    </row>
    <row r="168" spans="1:8" ht="18.75" x14ac:dyDescent="0.25">
      <c r="A168" s="30" t="s">
        <v>215</v>
      </c>
      <c r="B168" s="5" t="s">
        <v>8858</v>
      </c>
      <c r="C168" s="5" t="s">
        <v>54</v>
      </c>
      <c r="D168" s="5" t="s">
        <v>63</v>
      </c>
      <c r="E168" s="5" t="s">
        <v>3</v>
      </c>
      <c r="F168" s="6">
        <v>8074</v>
      </c>
      <c r="G168" s="6">
        <v>10210</v>
      </c>
      <c r="H168" s="148">
        <v>25</v>
      </c>
    </row>
    <row r="169" spans="1:8" ht="18.75" x14ac:dyDescent="0.25">
      <c r="A169" s="30" t="s">
        <v>216</v>
      </c>
      <c r="B169" s="5" t="s">
        <v>8759</v>
      </c>
      <c r="C169" s="5" t="s">
        <v>60</v>
      </c>
      <c r="D169" s="5" t="s">
        <v>8861</v>
      </c>
      <c r="E169" s="5" t="s">
        <v>3</v>
      </c>
      <c r="F169" s="6">
        <v>950</v>
      </c>
      <c r="G169" s="6">
        <v>1080</v>
      </c>
      <c r="H169" s="148">
        <v>10</v>
      </c>
    </row>
    <row r="170" spans="1:8" ht="18.75" x14ac:dyDescent="0.25">
      <c r="A170" s="30" t="s">
        <v>217</v>
      </c>
      <c r="B170" s="5" t="s">
        <v>8699</v>
      </c>
      <c r="C170" s="5" t="s">
        <v>218</v>
      </c>
      <c r="D170" s="5" t="s">
        <v>22</v>
      </c>
      <c r="E170" s="5" t="s">
        <v>3</v>
      </c>
      <c r="F170" s="6">
        <v>1840</v>
      </c>
      <c r="G170" s="6">
        <v>2420</v>
      </c>
      <c r="H170" s="148">
        <v>15</v>
      </c>
    </row>
    <row r="171" spans="1:8" ht="18.75" x14ac:dyDescent="0.25">
      <c r="A171" s="30" t="s">
        <v>219</v>
      </c>
      <c r="B171" s="5" t="s">
        <v>8695</v>
      </c>
      <c r="C171" s="5" t="s">
        <v>11</v>
      </c>
      <c r="D171" s="5" t="s">
        <v>34</v>
      </c>
      <c r="E171" s="5" t="s">
        <v>3</v>
      </c>
      <c r="F171" s="6">
        <v>18401</v>
      </c>
      <c r="G171" s="6">
        <v>22630</v>
      </c>
      <c r="H171" s="148">
        <v>10</v>
      </c>
    </row>
    <row r="172" spans="1:8" ht="18.75" x14ac:dyDescent="0.25">
      <c r="A172" s="30" t="s">
        <v>220</v>
      </c>
      <c r="B172" s="5" t="s">
        <v>8864</v>
      </c>
      <c r="C172" s="5" t="s">
        <v>8</v>
      </c>
      <c r="D172" s="5" t="s">
        <v>42</v>
      </c>
      <c r="E172" s="5" t="s">
        <v>3</v>
      </c>
      <c r="F172" s="6">
        <v>34163</v>
      </c>
      <c r="G172" s="6">
        <v>40570</v>
      </c>
      <c r="H172" s="148">
        <v>10</v>
      </c>
    </row>
    <row r="173" spans="1:8" ht="18.75" x14ac:dyDescent="0.25">
      <c r="A173" s="30" t="s">
        <v>221</v>
      </c>
      <c r="B173" s="5" t="s">
        <v>8868</v>
      </c>
      <c r="C173" s="5" t="s">
        <v>37</v>
      </c>
      <c r="D173" s="5" t="s">
        <v>8867</v>
      </c>
      <c r="E173" s="5" t="s">
        <v>3</v>
      </c>
      <c r="F173" s="6">
        <v>2487</v>
      </c>
      <c r="G173" s="6">
        <v>2920</v>
      </c>
      <c r="H173" s="148">
        <v>8</v>
      </c>
    </row>
    <row r="174" spans="1:8" ht="18.75" x14ac:dyDescent="0.25">
      <c r="A174" s="30" t="s">
        <v>222</v>
      </c>
      <c r="B174" s="5" t="s">
        <v>8758</v>
      </c>
      <c r="C174" s="5" t="s">
        <v>13</v>
      </c>
      <c r="D174" s="5" t="s">
        <v>45</v>
      </c>
      <c r="E174" s="5" t="s">
        <v>3</v>
      </c>
      <c r="F174" s="6">
        <v>6513</v>
      </c>
      <c r="G174" s="6">
        <v>8550</v>
      </c>
      <c r="H174" s="148">
        <v>5</v>
      </c>
    </row>
    <row r="175" spans="1:8" ht="18.75" x14ac:dyDescent="0.25">
      <c r="A175" s="30" t="s">
        <v>223</v>
      </c>
      <c r="B175" s="5" t="s">
        <v>8690</v>
      </c>
      <c r="C175" s="5" t="s">
        <v>11</v>
      </c>
      <c r="D175" s="5" t="s">
        <v>9</v>
      </c>
      <c r="E175" s="5" t="s">
        <v>3</v>
      </c>
      <c r="F175" s="6">
        <v>8461</v>
      </c>
      <c r="G175" s="6">
        <v>9980</v>
      </c>
      <c r="H175" s="148">
        <v>25</v>
      </c>
    </row>
    <row r="176" spans="1:8" ht="18.75" x14ac:dyDescent="0.25">
      <c r="A176" s="30" t="s">
        <v>224</v>
      </c>
      <c r="B176" s="5" t="s">
        <v>8850</v>
      </c>
      <c r="C176" s="5" t="s">
        <v>142</v>
      </c>
      <c r="D176" s="5" t="s">
        <v>138</v>
      </c>
      <c r="E176" s="5" t="s">
        <v>3</v>
      </c>
      <c r="F176" s="6">
        <v>6591</v>
      </c>
      <c r="G176" s="6">
        <v>8130</v>
      </c>
      <c r="H176" s="148">
        <v>5</v>
      </c>
    </row>
    <row r="177" spans="1:8" ht="18.75" x14ac:dyDescent="0.25">
      <c r="A177" s="30" t="s">
        <v>225</v>
      </c>
      <c r="B177" s="5" t="s">
        <v>8754</v>
      </c>
      <c r="C177" s="5" t="s">
        <v>16</v>
      </c>
      <c r="D177" s="5" t="s">
        <v>17</v>
      </c>
      <c r="E177" s="5" t="s">
        <v>3</v>
      </c>
      <c r="F177" s="6">
        <v>2607</v>
      </c>
      <c r="G177" s="6">
        <v>3430</v>
      </c>
      <c r="H177" s="148">
        <v>20</v>
      </c>
    </row>
    <row r="178" spans="1:8" ht="18.75" x14ac:dyDescent="0.25">
      <c r="A178" s="30" t="s">
        <v>226</v>
      </c>
      <c r="B178" s="5" t="s">
        <v>8757</v>
      </c>
      <c r="C178" s="5" t="s">
        <v>44</v>
      </c>
      <c r="D178" s="5" t="s">
        <v>45</v>
      </c>
      <c r="E178" s="5" t="s">
        <v>3</v>
      </c>
      <c r="F178" s="6">
        <v>3821</v>
      </c>
      <c r="G178" s="6">
        <v>5020</v>
      </c>
      <c r="H178" s="148">
        <v>25</v>
      </c>
    </row>
    <row r="179" spans="1:8" ht="18.75" x14ac:dyDescent="0.25">
      <c r="A179" s="30" t="s">
        <v>227</v>
      </c>
      <c r="B179" s="5" t="s">
        <v>8760</v>
      </c>
      <c r="C179" s="5" t="s">
        <v>24</v>
      </c>
      <c r="D179" s="5" t="s">
        <v>97</v>
      </c>
      <c r="E179" s="5" t="s">
        <v>3</v>
      </c>
      <c r="F179" s="6">
        <v>11911</v>
      </c>
      <c r="G179" s="6">
        <v>14420</v>
      </c>
      <c r="H179" s="148">
        <v>10</v>
      </c>
    </row>
    <row r="180" spans="1:8" ht="18.75" x14ac:dyDescent="0.25">
      <c r="A180" s="30" t="s">
        <v>228</v>
      </c>
      <c r="B180" s="5" t="s">
        <v>8695</v>
      </c>
      <c r="C180" s="5" t="s">
        <v>11</v>
      </c>
      <c r="D180" s="5" t="s">
        <v>34</v>
      </c>
      <c r="E180" s="5" t="s">
        <v>3</v>
      </c>
      <c r="F180" s="6">
        <v>25416</v>
      </c>
      <c r="G180" s="6">
        <v>29600</v>
      </c>
      <c r="H180" s="148">
        <v>5</v>
      </c>
    </row>
    <row r="181" spans="1:8" ht="18.75" x14ac:dyDescent="0.25">
      <c r="A181" s="30" t="s">
        <v>229</v>
      </c>
      <c r="B181" s="5" t="s">
        <v>8758</v>
      </c>
      <c r="C181" s="5" t="s">
        <v>13</v>
      </c>
      <c r="D181" s="5" t="s">
        <v>45</v>
      </c>
      <c r="E181" s="5" t="s">
        <v>3</v>
      </c>
      <c r="F181" s="6">
        <v>2697</v>
      </c>
      <c r="G181" s="6">
        <v>3170</v>
      </c>
      <c r="H181" s="148">
        <v>15</v>
      </c>
    </row>
    <row r="182" spans="1:8" ht="18.75" x14ac:dyDescent="0.25">
      <c r="A182" s="30" t="s">
        <v>230</v>
      </c>
      <c r="B182" s="5" t="s">
        <v>8689</v>
      </c>
      <c r="C182" s="5" t="s">
        <v>8</v>
      </c>
      <c r="D182" s="5" t="s">
        <v>9</v>
      </c>
      <c r="E182" s="5" t="s">
        <v>3</v>
      </c>
      <c r="F182" s="6">
        <v>59681</v>
      </c>
      <c r="G182" s="6">
        <v>69610</v>
      </c>
      <c r="H182" s="148">
        <v>10</v>
      </c>
    </row>
    <row r="183" spans="1:8" ht="18.75" x14ac:dyDescent="0.25">
      <c r="A183" s="30" t="s">
        <v>231</v>
      </c>
      <c r="B183" s="5" t="s">
        <v>8868</v>
      </c>
      <c r="C183" s="5" t="s">
        <v>37</v>
      </c>
      <c r="D183" s="5" t="s">
        <v>8867</v>
      </c>
      <c r="E183" s="5" t="s">
        <v>3</v>
      </c>
      <c r="F183" s="6">
        <v>1862</v>
      </c>
      <c r="G183" s="6">
        <v>2200</v>
      </c>
      <c r="H183" s="148">
        <v>10</v>
      </c>
    </row>
    <row r="184" spans="1:8" ht="18.75" x14ac:dyDescent="0.25">
      <c r="A184" s="30" t="s">
        <v>232</v>
      </c>
      <c r="B184" s="5" t="s">
        <v>8862</v>
      </c>
      <c r="C184" s="5" t="s">
        <v>5</v>
      </c>
      <c r="D184" s="5" t="s">
        <v>42</v>
      </c>
      <c r="E184" s="5" t="s">
        <v>3</v>
      </c>
      <c r="F184" s="6">
        <v>30899</v>
      </c>
      <c r="G184" s="6">
        <v>35700</v>
      </c>
      <c r="H184" s="148">
        <v>5</v>
      </c>
    </row>
    <row r="185" spans="1:8" ht="18.75" x14ac:dyDescent="0.25">
      <c r="A185" s="30" t="s">
        <v>233</v>
      </c>
      <c r="B185" s="5" t="s">
        <v>8865</v>
      </c>
      <c r="C185" s="5" t="s">
        <v>32</v>
      </c>
      <c r="D185" s="5" t="s">
        <v>42</v>
      </c>
      <c r="E185" s="5" t="s">
        <v>3</v>
      </c>
      <c r="F185" s="6">
        <v>710</v>
      </c>
      <c r="G185" s="6">
        <v>860</v>
      </c>
      <c r="H185" s="148">
        <v>8</v>
      </c>
    </row>
    <row r="186" spans="1:8" ht="18.75" x14ac:dyDescent="0.25">
      <c r="A186" s="30" t="s">
        <v>234</v>
      </c>
      <c r="B186" s="5" t="s">
        <v>8864</v>
      </c>
      <c r="C186" s="5" t="s">
        <v>8</v>
      </c>
      <c r="D186" s="5" t="s">
        <v>42</v>
      </c>
      <c r="E186" s="5" t="s">
        <v>3</v>
      </c>
      <c r="F186" s="6">
        <v>63093</v>
      </c>
      <c r="G186" s="6">
        <v>76930</v>
      </c>
      <c r="H186" s="148">
        <v>8</v>
      </c>
    </row>
    <row r="187" spans="1:8" ht="18.75" x14ac:dyDescent="0.25">
      <c r="A187" s="30" t="s">
        <v>235</v>
      </c>
      <c r="B187" s="5" t="s">
        <v>8869</v>
      </c>
      <c r="C187" s="5" t="s">
        <v>8849</v>
      </c>
      <c r="D187" s="5" t="s">
        <v>8867</v>
      </c>
      <c r="E187" s="5" t="s">
        <v>3</v>
      </c>
      <c r="F187" s="6">
        <v>1096</v>
      </c>
      <c r="G187" s="6">
        <v>1310</v>
      </c>
      <c r="H187" s="148">
        <v>8</v>
      </c>
    </row>
    <row r="188" spans="1:8" ht="18.75" x14ac:dyDescent="0.25">
      <c r="A188" s="30" t="s">
        <v>236</v>
      </c>
      <c r="B188" s="5" t="s">
        <v>8689</v>
      </c>
      <c r="C188" s="5" t="s">
        <v>8</v>
      </c>
      <c r="D188" s="5" t="s">
        <v>9</v>
      </c>
      <c r="E188" s="5" t="s">
        <v>3</v>
      </c>
      <c r="F188" s="6">
        <v>42438</v>
      </c>
      <c r="G188" s="6">
        <v>50050</v>
      </c>
      <c r="H188" s="148">
        <v>25</v>
      </c>
    </row>
    <row r="189" spans="1:8" ht="18.75" x14ac:dyDescent="0.25">
      <c r="A189" s="30" t="s">
        <v>237</v>
      </c>
      <c r="B189" s="5" t="s">
        <v>8758</v>
      </c>
      <c r="C189" s="5" t="s">
        <v>13</v>
      </c>
      <c r="D189" s="5" t="s">
        <v>45</v>
      </c>
      <c r="E189" s="5" t="s">
        <v>3</v>
      </c>
      <c r="F189" s="6">
        <v>4240</v>
      </c>
      <c r="G189" s="6">
        <v>5520</v>
      </c>
      <c r="H189" s="148">
        <v>20</v>
      </c>
    </row>
    <row r="190" spans="1:8" ht="18.75" x14ac:dyDescent="0.25">
      <c r="A190" s="30" t="s">
        <v>238</v>
      </c>
      <c r="B190" s="5" t="s">
        <v>8695</v>
      </c>
      <c r="C190" s="5" t="s">
        <v>11</v>
      </c>
      <c r="D190" s="5" t="s">
        <v>34</v>
      </c>
      <c r="E190" s="5" t="s">
        <v>3</v>
      </c>
      <c r="F190" s="6">
        <v>6619</v>
      </c>
      <c r="G190" s="6">
        <v>8180</v>
      </c>
      <c r="H190" s="148">
        <v>20</v>
      </c>
    </row>
    <row r="191" spans="1:8" ht="18.75" x14ac:dyDescent="0.25">
      <c r="A191" s="30" t="s">
        <v>239</v>
      </c>
      <c r="B191" s="5" t="s">
        <v>8857</v>
      </c>
      <c r="C191" s="5" t="s">
        <v>54</v>
      </c>
      <c r="D191" s="5" t="s">
        <v>55</v>
      </c>
      <c r="E191" s="5" t="s">
        <v>3</v>
      </c>
      <c r="F191" s="6">
        <v>6638</v>
      </c>
      <c r="G191" s="6">
        <v>7570</v>
      </c>
      <c r="H191" s="148">
        <v>15</v>
      </c>
    </row>
    <row r="192" spans="1:8" ht="18.75" x14ac:dyDescent="0.25">
      <c r="A192" s="30" t="s">
        <v>240</v>
      </c>
      <c r="B192" s="5" t="s">
        <v>8762</v>
      </c>
      <c r="C192" s="5" t="s">
        <v>108</v>
      </c>
      <c r="D192" s="5" t="s">
        <v>146</v>
      </c>
      <c r="E192" s="5" t="s">
        <v>3</v>
      </c>
      <c r="F192" s="6">
        <v>2844</v>
      </c>
      <c r="G192" s="6">
        <v>3310</v>
      </c>
      <c r="H192" s="148">
        <v>5</v>
      </c>
    </row>
    <row r="193" spans="1:8" ht="18.75" x14ac:dyDescent="0.25">
      <c r="A193" s="30" t="s">
        <v>241</v>
      </c>
      <c r="B193" s="5" t="s">
        <v>8854</v>
      </c>
      <c r="C193" s="5" t="s">
        <v>101</v>
      </c>
      <c r="D193" s="5" t="s">
        <v>90</v>
      </c>
      <c r="E193" s="5" t="s">
        <v>3</v>
      </c>
      <c r="F193" s="6">
        <v>537</v>
      </c>
      <c r="G193" s="6">
        <v>630</v>
      </c>
      <c r="H193" s="148">
        <v>15</v>
      </c>
    </row>
    <row r="194" spans="1:8" ht="18.75" x14ac:dyDescent="0.25">
      <c r="A194" s="30" t="s">
        <v>242</v>
      </c>
      <c r="B194" s="5" t="s">
        <v>8862</v>
      </c>
      <c r="C194" s="5" t="s">
        <v>5</v>
      </c>
      <c r="D194" s="5" t="s">
        <v>42</v>
      </c>
      <c r="E194" s="5" t="s">
        <v>3</v>
      </c>
      <c r="F194" s="6">
        <v>15569</v>
      </c>
      <c r="G194" s="6">
        <v>20380</v>
      </c>
      <c r="H194" s="148">
        <v>10</v>
      </c>
    </row>
    <row r="195" spans="1:8" ht="18.75" x14ac:dyDescent="0.25">
      <c r="A195" s="30" t="s">
        <v>243</v>
      </c>
      <c r="B195" s="5" t="s">
        <v>8869</v>
      </c>
      <c r="C195" s="5" t="s">
        <v>74</v>
      </c>
      <c r="D195" s="5" t="s">
        <v>8867</v>
      </c>
      <c r="E195" s="5" t="s">
        <v>3</v>
      </c>
      <c r="F195" s="6">
        <v>2543</v>
      </c>
      <c r="G195" s="6">
        <v>3230</v>
      </c>
      <c r="H195" s="148">
        <v>20</v>
      </c>
    </row>
    <row r="196" spans="1:8" ht="18.75" x14ac:dyDescent="0.25">
      <c r="A196" s="30" t="s">
        <v>244</v>
      </c>
      <c r="B196" s="5" t="s">
        <v>8869</v>
      </c>
      <c r="C196" s="5" t="s">
        <v>74</v>
      </c>
      <c r="D196" s="5" t="s">
        <v>8867</v>
      </c>
      <c r="E196" s="5" t="s">
        <v>3</v>
      </c>
      <c r="F196" s="6">
        <v>3205</v>
      </c>
      <c r="G196" s="6">
        <v>4220</v>
      </c>
      <c r="H196" s="148">
        <v>5</v>
      </c>
    </row>
    <row r="197" spans="1:8" ht="18.75" x14ac:dyDescent="0.25">
      <c r="A197" s="30" t="s">
        <v>245</v>
      </c>
      <c r="B197" s="5" t="s">
        <v>8862</v>
      </c>
      <c r="C197" s="5" t="s">
        <v>5</v>
      </c>
      <c r="D197" s="5" t="s">
        <v>42</v>
      </c>
      <c r="E197" s="5" t="s">
        <v>3</v>
      </c>
      <c r="F197" s="6">
        <v>9305</v>
      </c>
      <c r="G197" s="6">
        <v>11410</v>
      </c>
      <c r="H197" s="148">
        <v>8</v>
      </c>
    </row>
    <row r="198" spans="1:8" ht="18.75" x14ac:dyDescent="0.25">
      <c r="A198" s="30" t="s">
        <v>246</v>
      </c>
      <c r="B198" s="5" t="s">
        <v>8848</v>
      </c>
      <c r="C198" s="5" t="s">
        <v>94</v>
      </c>
      <c r="D198" s="5" t="s">
        <v>90</v>
      </c>
      <c r="E198" s="5" t="s">
        <v>3</v>
      </c>
      <c r="F198" s="6">
        <v>1375</v>
      </c>
      <c r="G198" s="6">
        <v>1600</v>
      </c>
      <c r="H198" s="148">
        <v>20</v>
      </c>
    </row>
    <row r="199" spans="1:8" ht="18.75" x14ac:dyDescent="0.25">
      <c r="A199" s="30" t="s">
        <v>247</v>
      </c>
      <c r="B199" s="5" t="s">
        <v>8702</v>
      </c>
      <c r="C199" s="5" t="s">
        <v>39</v>
      </c>
      <c r="D199" s="5" t="s">
        <v>196</v>
      </c>
      <c r="E199" s="5" t="s">
        <v>3</v>
      </c>
      <c r="F199" s="6">
        <v>57779</v>
      </c>
      <c r="G199" s="6">
        <v>68460</v>
      </c>
      <c r="H199" s="148">
        <v>20</v>
      </c>
    </row>
    <row r="200" spans="1:8" ht="18.75" x14ac:dyDescent="0.25">
      <c r="A200" s="30" t="s">
        <v>248</v>
      </c>
      <c r="B200" s="5" t="s">
        <v>8759</v>
      </c>
      <c r="C200" s="5" t="s">
        <v>249</v>
      </c>
      <c r="D200" s="5" t="s">
        <v>8861</v>
      </c>
      <c r="E200" s="5" t="s">
        <v>3</v>
      </c>
      <c r="F200" s="6">
        <v>824</v>
      </c>
      <c r="G200" s="6">
        <v>980</v>
      </c>
      <c r="H200" s="148">
        <v>5</v>
      </c>
    </row>
    <row r="201" spans="1:8" ht="18.75" x14ac:dyDescent="0.25">
      <c r="A201" s="30" t="s">
        <v>250</v>
      </c>
      <c r="B201" s="5" t="s">
        <v>8760</v>
      </c>
      <c r="C201" s="5" t="s">
        <v>24</v>
      </c>
      <c r="D201" s="5" t="s">
        <v>97</v>
      </c>
      <c r="E201" s="5" t="s">
        <v>3</v>
      </c>
      <c r="F201" s="6">
        <v>10586</v>
      </c>
      <c r="G201" s="6">
        <v>12160</v>
      </c>
      <c r="H201" s="148">
        <v>20</v>
      </c>
    </row>
    <row r="202" spans="1:8" ht="18.75" x14ac:dyDescent="0.25">
      <c r="A202" s="30" t="s">
        <v>251</v>
      </c>
      <c r="B202" s="5" t="s">
        <v>8760</v>
      </c>
      <c r="C202" s="5" t="s">
        <v>24</v>
      </c>
      <c r="D202" s="5" t="s">
        <v>97</v>
      </c>
      <c r="E202" s="5" t="s">
        <v>3</v>
      </c>
      <c r="F202" s="6">
        <v>2536</v>
      </c>
      <c r="G202" s="6">
        <v>2890</v>
      </c>
      <c r="H202" s="148">
        <v>8</v>
      </c>
    </row>
    <row r="203" spans="1:8" ht="18.75" x14ac:dyDescent="0.25">
      <c r="A203" s="30" t="s">
        <v>252</v>
      </c>
      <c r="B203" s="5" t="s">
        <v>8700</v>
      </c>
      <c r="C203" s="5" t="s">
        <v>39</v>
      </c>
      <c r="D203" s="5" t="s">
        <v>9</v>
      </c>
      <c r="E203" s="5" t="s">
        <v>3</v>
      </c>
      <c r="F203" s="6">
        <v>47932</v>
      </c>
      <c r="G203" s="6">
        <v>61580</v>
      </c>
      <c r="H203" s="148">
        <v>15</v>
      </c>
    </row>
    <row r="204" spans="1:8" ht="18.75" x14ac:dyDescent="0.25">
      <c r="A204" s="30" t="s">
        <v>253</v>
      </c>
      <c r="B204" s="5" t="s">
        <v>8702</v>
      </c>
      <c r="C204" s="5" t="s">
        <v>39</v>
      </c>
      <c r="D204" s="5" t="s">
        <v>254</v>
      </c>
      <c r="E204" s="5" t="s">
        <v>3</v>
      </c>
      <c r="F204" s="6">
        <v>34835</v>
      </c>
      <c r="G204" s="6">
        <v>40550</v>
      </c>
      <c r="H204" s="148">
        <v>25</v>
      </c>
    </row>
    <row r="205" spans="1:8" ht="18.75" x14ac:dyDescent="0.25">
      <c r="A205" s="30" t="s">
        <v>255</v>
      </c>
      <c r="B205" s="5" t="s">
        <v>8702</v>
      </c>
      <c r="C205" s="5" t="s">
        <v>39</v>
      </c>
      <c r="D205" s="5" t="s">
        <v>196</v>
      </c>
      <c r="E205" s="5" t="s">
        <v>3</v>
      </c>
      <c r="F205" s="6">
        <v>50809</v>
      </c>
      <c r="G205" s="6">
        <v>62430</v>
      </c>
      <c r="H205" s="148">
        <v>15</v>
      </c>
    </row>
    <row r="206" spans="1:8" ht="18.75" x14ac:dyDescent="0.25">
      <c r="A206" s="30" t="s">
        <v>256</v>
      </c>
      <c r="B206" s="5" t="s">
        <v>8873</v>
      </c>
      <c r="C206" s="5" t="s">
        <v>39</v>
      </c>
      <c r="D206" s="5" t="s">
        <v>42</v>
      </c>
      <c r="E206" s="5" t="s">
        <v>3</v>
      </c>
      <c r="F206" s="6">
        <v>82676</v>
      </c>
      <c r="G206" s="6">
        <v>106260</v>
      </c>
      <c r="H206" s="148">
        <v>10</v>
      </c>
    </row>
    <row r="207" spans="1:8" ht="18.75" x14ac:dyDescent="0.25">
      <c r="A207" s="30" t="s">
        <v>257</v>
      </c>
      <c r="B207" s="5" t="s">
        <v>8688</v>
      </c>
      <c r="C207" s="5" t="s">
        <v>5</v>
      </c>
      <c r="D207" s="5" t="s">
        <v>6</v>
      </c>
      <c r="E207" s="5" t="s">
        <v>3</v>
      </c>
      <c r="F207" s="6">
        <v>13056</v>
      </c>
      <c r="G207" s="6">
        <v>15720</v>
      </c>
      <c r="H207" s="148">
        <v>25</v>
      </c>
    </row>
    <row r="208" spans="1:8" ht="18.75" x14ac:dyDescent="0.25">
      <c r="A208" s="30" t="s">
        <v>258</v>
      </c>
      <c r="B208" s="5" t="s">
        <v>8863</v>
      </c>
      <c r="C208" s="5" t="s">
        <v>66</v>
      </c>
      <c r="D208" s="5" t="s">
        <v>42</v>
      </c>
      <c r="E208" s="5" t="s">
        <v>3</v>
      </c>
      <c r="F208" s="6">
        <v>1957</v>
      </c>
      <c r="G208" s="6">
        <v>2370</v>
      </c>
      <c r="H208" s="148">
        <v>25</v>
      </c>
    </row>
    <row r="209" spans="1:8" ht="18.75" x14ac:dyDescent="0.25">
      <c r="A209" s="30" t="s">
        <v>259</v>
      </c>
      <c r="B209" s="5" t="s">
        <v>8756</v>
      </c>
      <c r="C209" s="5" t="s">
        <v>11</v>
      </c>
      <c r="D209" s="5" t="s">
        <v>27</v>
      </c>
      <c r="E209" s="5" t="s">
        <v>3</v>
      </c>
      <c r="F209" s="6">
        <v>23039</v>
      </c>
      <c r="G209" s="6">
        <v>28600</v>
      </c>
      <c r="H209" s="148">
        <v>10</v>
      </c>
    </row>
    <row r="210" spans="1:8" ht="18.75" x14ac:dyDescent="0.25">
      <c r="A210" s="30" t="s">
        <v>260</v>
      </c>
      <c r="B210" s="5" t="s">
        <v>8760</v>
      </c>
      <c r="C210" s="5" t="s">
        <v>24</v>
      </c>
      <c r="D210" s="5" t="s">
        <v>97</v>
      </c>
      <c r="E210" s="5" t="s">
        <v>3</v>
      </c>
      <c r="F210" s="6">
        <v>4751</v>
      </c>
      <c r="G210" s="6">
        <v>6010</v>
      </c>
      <c r="H210" s="148">
        <v>25</v>
      </c>
    </row>
    <row r="211" spans="1:8" ht="18.75" x14ac:dyDescent="0.25">
      <c r="A211" s="30" t="s">
        <v>261</v>
      </c>
      <c r="B211" s="5" t="s">
        <v>8846</v>
      </c>
      <c r="C211" s="5" t="s">
        <v>119</v>
      </c>
      <c r="D211" s="5" t="s">
        <v>83</v>
      </c>
      <c r="E211" s="5" t="s">
        <v>3</v>
      </c>
      <c r="F211" s="6">
        <v>1130</v>
      </c>
      <c r="G211" s="6">
        <v>1320</v>
      </c>
      <c r="H211" s="148">
        <v>10</v>
      </c>
    </row>
    <row r="212" spans="1:8" ht="18.75" x14ac:dyDescent="0.25">
      <c r="A212" s="30" t="s">
        <v>262</v>
      </c>
      <c r="B212" s="5" t="s">
        <v>8863</v>
      </c>
      <c r="C212" s="5" t="s">
        <v>66</v>
      </c>
      <c r="D212" s="5" t="s">
        <v>42</v>
      </c>
      <c r="E212" s="5" t="s">
        <v>3</v>
      </c>
      <c r="F212" s="6">
        <v>2712</v>
      </c>
      <c r="G212" s="6">
        <v>3560</v>
      </c>
      <c r="H212" s="148">
        <v>15</v>
      </c>
    </row>
    <row r="213" spans="1:8" ht="18.75" x14ac:dyDescent="0.25">
      <c r="A213" s="30" t="s">
        <v>263</v>
      </c>
      <c r="B213" s="5" t="s">
        <v>8759</v>
      </c>
      <c r="C213" s="5" t="s">
        <v>60</v>
      </c>
      <c r="D213" s="5" t="s">
        <v>8861</v>
      </c>
      <c r="E213" s="5" t="s">
        <v>3</v>
      </c>
      <c r="F213" s="6">
        <v>619</v>
      </c>
      <c r="G213" s="6">
        <v>770</v>
      </c>
      <c r="H213" s="148">
        <v>8</v>
      </c>
    </row>
    <row r="214" spans="1:8" ht="18.75" x14ac:dyDescent="0.25">
      <c r="A214" s="30" t="s">
        <v>264</v>
      </c>
      <c r="B214" s="5" t="s">
        <v>8702</v>
      </c>
      <c r="C214" s="5" t="s">
        <v>39</v>
      </c>
      <c r="D214" s="5" t="s">
        <v>196</v>
      </c>
      <c r="E214" s="5" t="s">
        <v>3</v>
      </c>
      <c r="F214" s="6">
        <v>58038</v>
      </c>
      <c r="G214" s="6">
        <v>65110</v>
      </c>
      <c r="H214" s="148">
        <v>20</v>
      </c>
    </row>
    <row r="215" spans="1:8" ht="18.75" x14ac:dyDescent="0.25">
      <c r="A215" s="30" t="s">
        <v>265</v>
      </c>
      <c r="B215" s="5" t="s">
        <v>8701</v>
      </c>
      <c r="C215" s="5" t="s">
        <v>5</v>
      </c>
      <c r="D215" s="5" t="s">
        <v>103</v>
      </c>
      <c r="E215" s="5" t="s">
        <v>3</v>
      </c>
      <c r="F215" s="6">
        <v>28871</v>
      </c>
      <c r="G215" s="6">
        <v>33970</v>
      </c>
      <c r="H215" s="148">
        <v>8</v>
      </c>
    </row>
    <row r="216" spans="1:8" ht="18.75" x14ac:dyDescent="0.25">
      <c r="A216" s="30" t="s">
        <v>266</v>
      </c>
      <c r="B216" s="5" t="s">
        <v>8846</v>
      </c>
      <c r="C216" s="5" t="s">
        <v>119</v>
      </c>
      <c r="D216" s="5" t="s">
        <v>83</v>
      </c>
      <c r="E216" s="5" t="s">
        <v>3</v>
      </c>
      <c r="F216" s="6">
        <v>3282</v>
      </c>
      <c r="G216" s="6">
        <v>4170</v>
      </c>
      <c r="H216" s="148">
        <v>25</v>
      </c>
    </row>
    <row r="217" spans="1:8" ht="18.75" x14ac:dyDescent="0.25">
      <c r="A217" s="30" t="s">
        <v>267</v>
      </c>
      <c r="B217" s="5" t="s">
        <v>8697</v>
      </c>
      <c r="C217" s="5" t="s">
        <v>44</v>
      </c>
      <c r="D217" s="5" t="s">
        <v>14</v>
      </c>
      <c r="E217" s="5" t="s">
        <v>3</v>
      </c>
      <c r="F217" s="6">
        <v>1912</v>
      </c>
      <c r="G217" s="6">
        <v>2230</v>
      </c>
      <c r="H217" s="148">
        <v>15</v>
      </c>
    </row>
    <row r="218" spans="1:8" ht="18.75" x14ac:dyDescent="0.25">
      <c r="A218" s="30" t="s">
        <v>268</v>
      </c>
      <c r="B218" s="5" t="s">
        <v>8846</v>
      </c>
      <c r="C218" s="5" t="s">
        <v>119</v>
      </c>
      <c r="D218" s="5" t="s">
        <v>83</v>
      </c>
      <c r="E218" s="5" t="s">
        <v>3</v>
      </c>
      <c r="F218" s="6">
        <v>1726</v>
      </c>
      <c r="G218" s="6">
        <v>2080</v>
      </c>
      <c r="H218" s="148">
        <v>8</v>
      </c>
    </row>
    <row r="219" spans="1:8" ht="18.75" x14ac:dyDescent="0.25">
      <c r="A219" s="30" t="s">
        <v>269</v>
      </c>
      <c r="B219" s="5" t="s">
        <v>8690</v>
      </c>
      <c r="C219" s="5" t="s">
        <v>11</v>
      </c>
      <c r="D219" s="5" t="s">
        <v>9</v>
      </c>
      <c r="E219" s="5" t="s">
        <v>3</v>
      </c>
      <c r="F219" s="6">
        <v>8657</v>
      </c>
      <c r="G219" s="6">
        <v>11390</v>
      </c>
      <c r="H219" s="148">
        <v>5</v>
      </c>
    </row>
    <row r="220" spans="1:8" ht="18.75" x14ac:dyDescent="0.25">
      <c r="A220" s="30" t="s">
        <v>270</v>
      </c>
      <c r="B220" s="5" t="s">
        <v>8761</v>
      </c>
      <c r="C220" s="5" t="s">
        <v>108</v>
      </c>
      <c r="D220" s="5" t="s">
        <v>34</v>
      </c>
      <c r="E220" s="5" t="s">
        <v>3</v>
      </c>
      <c r="F220" s="6">
        <v>4801</v>
      </c>
      <c r="G220" s="6">
        <v>6090</v>
      </c>
      <c r="H220" s="148">
        <v>8</v>
      </c>
    </row>
    <row r="221" spans="1:8" ht="18.75" x14ac:dyDescent="0.25">
      <c r="A221" s="30" t="s">
        <v>271</v>
      </c>
      <c r="B221" s="5" t="s">
        <v>8866</v>
      </c>
      <c r="C221" s="5" t="s">
        <v>19</v>
      </c>
      <c r="D221" s="5" t="s">
        <v>8867</v>
      </c>
      <c r="E221" s="5" t="s">
        <v>3</v>
      </c>
      <c r="F221" s="6">
        <v>353</v>
      </c>
      <c r="G221" s="6">
        <v>410</v>
      </c>
      <c r="H221" s="148">
        <v>5</v>
      </c>
    </row>
    <row r="222" spans="1:8" ht="18.75" x14ac:dyDescent="0.25">
      <c r="A222" s="30" t="s">
        <v>272</v>
      </c>
      <c r="B222" s="5" t="s">
        <v>8757</v>
      </c>
      <c r="C222" s="5" t="s">
        <v>44</v>
      </c>
      <c r="D222" s="5" t="s">
        <v>45</v>
      </c>
      <c r="E222" s="5" t="s">
        <v>3</v>
      </c>
      <c r="F222" s="6">
        <v>8385</v>
      </c>
      <c r="G222" s="6">
        <v>10960</v>
      </c>
      <c r="H222" s="148">
        <v>25</v>
      </c>
    </row>
    <row r="223" spans="1:8" ht="18.75" x14ac:dyDescent="0.25">
      <c r="A223" s="30" t="s">
        <v>273</v>
      </c>
      <c r="B223" s="5" t="s">
        <v>8691</v>
      </c>
      <c r="C223" s="5" t="s">
        <v>13</v>
      </c>
      <c r="D223" s="5" t="s">
        <v>14</v>
      </c>
      <c r="E223" s="5" t="s">
        <v>3</v>
      </c>
      <c r="F223" s="6">
        <v>3783</v>
      </c>
      <c r="G223" s="6">
        <v>4970</v>
      </c>
      <c r="H223" s="148">
        <v>10</v>
      </c>
    </row>
    <row r="224" spans="1:8" ht="18.75" x14ac:dyDescent="0.25">
      <c r="A224" s="30" t="s">
        <v>274</v>
      </c>
      <c r="B224" s="5" t="s">
        <v>8689</v>
      </c>
      <c r="C224" s="5" t="s">
        <v>8</v>
      </c>
      <c r="D224" s="5" t="s">
        <v>9</v>
      </c>
      <c r="E224" s="5" t="s">
        <v>3</v>
      </c>
      <c r="F224" s="6">
        <v>48641</v>
      </c>
      <c r="G224" s="6">
        <v>54540</v>
      </c>
      <c r="H224" s="148">
        <v>20</v>
      </c>
    </row>
    <row r="225" spans="1:8" ht="18.75" x14ac:dyDescent="0.25">
      <c r="A225" s="30" t="s">
        <v>275</v>
      </c>
      <c r="B225" s="5" t="s">
        <v>8701</v>
      </c>
      <c r="C225" s="5" t="s">
        <v>5</v>
      </c>
      <c r="D225" s="5" t="s">
        <v>103</v>
      </c>
      <c r="E225" s="5" t="s">
        <v>3</v>
      </c>
      <c r="F225" s="6">
        <v>31184</v>
      </c>
      <c r="G225" s="6">
        <v>36460</v>
      </c>
      <c r="H225" s="148">
        <v>5</v>
      </c>
    </row>
    <row r="226" spans="1:8" ht="18.75" x14ac:dyDescent="0.25">
      <c r="A226" s="30" t="s">
        <v>276</v>
      </c>
      <c r="B226" s="5" t="s">
        <v>8760</v>
      </c>
      <c r="C226" s="5" t="s">
        <v>24</v>
      </c>
      <c r="D226" s="5" t="s">
        <v>97</v>
      </c>
      <c r="E226" s="5" t="s">
        <v>3</v>
      </c>
      <c r="F226" s="6">
        <v>6200</v>
      </c>
      <c r="G226" s="6">
        <v>7140</v>
      </c>
      <c r="H226" s="148">
        <v>5</v>
      </c>
    </row>
    <row r="227" spans="1:8" ht="18.75" x14ac:dyDescent="0.25">
      <c r="A227" s="30" t="s">
        <v>277</v>
      </c>
      <c r="B227" s="5" t="s">
        <v>8703</v>
      </c>
      <c r="C227" s="5" t="s">
        <v>74</v>
      </c>
      <c r="D227" s="5" t="s">
        <v>278</v>
      </c>
      <c r="E227" s="5" t="s">
        <v>3</v>
      </c>
      <c r="F227" s="6">
        <v>3844</v>
      </c>
      <c r="G227" s="6">
        <v>4630</v>
      </c>
      <c r="H227" s="148">
        <v>5</v>
      </c>
    </row>
    <row r="228" spans="1:8" ht="18.75" x14ac:dyDescent="0.25">
      <c r="A228" s="30" t="s">
        <v>279</v>
      </c>
      <c r="B228" s="5" t="s">
        <v>8862</v>
      </c>
      <c r="C228" s="5" t="s">
        <v>5</v>
      </c>
      <c r="D228" s="5" t="s">
        <v>42</v>
      </c>
      <c r="E228" s="5" t="s">
        <v>3</v>
      </c>
      <c r="F228" s="6">
        <v>22633</v>
      </c>
      <c r="G228" s="6">
        <v>25880</v>
      </c>
      <c r="H228" s="148">
        <v>20</v>
      </c>
    </row>
    <row r="229" spans="1:8" ht="18.75" x14ac:dyDescent="0.25">
      <c r="A229" s="30" t="s">
        <v>280</v>
      </c>
      <c r="B229" s="5" t="s">
        <v>8688</v>
      </c>
      <c r="C229" s="5" t="s">
        <v>5</v>
      </c>
      <c r="D229" s="5" t="s">
        <v>6</v>
      </c>
      <c r="E229" s="5" t="s">
        <v>3</v>
      </c>
      <c r="F229" s="6">
        <v>28461</v>
      </c>
      <c r="G229" s="6">
        <v>34550</v>
      </c>
      <c r="H229" s="148">
        <v>15</v>
      </c>
    </row>
    <row r="230" spans="1:8" ht="18.75" x14ac:dyDescent="0.25">
      <c r="A230" s="30" t="s">
        <v>281</v>
      </c>
      <c r="B230" s="5" t="s">
        <v>8701</v>
      </c>
      <c r="C230" s="5" t="s">
        <v>5</v>
      </c>
      <c r="D230" s="5" t="s">
        <v>103</v>
      </c>
      <c r="E230" s="5" t="s">
        <v>3</v>
      </c>
      <c r="F230" s="6">
        <v>9854</v>
      </c>
      <c r="G230" s="6">
        <v>11560</v>
      </c>
      <c r="H230" s="148">
        <v>15</v>
      </c>
    </row>
    <row r="231" spans="1:8" ht="18.75" x14ac:dyDescent="0.25">
      <c r="A231" s="30" t="s">
        <v>282</v>
      </c>
      <c r="B231" s="5" t="s">
        <v>8759</v>
      </c>
      <c r="C231" s="5" t="s">
        <v>60</v>
      </c>
      <c r="D231" s="5" t="s">
        <v>8861</v>
      </c>
      <c r="E231" s="5" t="s">
        <v>3</v>
      </c>
      <c r="F231" s="6">
        <v>675</v>
      </c>
      <c r="G231" s="6">
        <v>760</v>
      </c>
      <c r="H231" s="148">
        <v>20</v>
      </c>
    </row>
    <row r="232" spans="1:8" ht="18.75" x14ac:dyDescent="0.25">
      <c r="A232" s="30" t="s">
        <v>283</v>
      </c>
      <c r="B232" s="5" t="s">
        <v>8693</v>
      </c>
      <c r="C232" s="5" t="s">
        <v>39</v>
      </c>
      <c r="D232" s="5" t="s">
        <v>29</v>
      </c>
      <c r="E232" s="5" t="s">
        <v>3</v>
      </c>
      <c r="F232" s="6">
        <v>28087</v>
      </c>
      <c r="G232" s="6">
        <v>36480</v>
      </c>
      <c r="H232" s="148">
        <v>10</v>
      </c>
    </row>
    <row r="233" spans="1:8" ht="18.75" x14ac:dyDescent="0.25">
      <c r="A233" s="30" t="s">
        <v>284</v>
      </c>
      <c r="B233" s="5" t="s">
        <v>8866</v>
      </c>
      <c r="C233" s="5" t="s">
        <v>19</v>
      </c>
      <c r="D233" s="5" t="s">
        <v>8867</v>
      </c>
      <c r="E233" s="5" t="s">
        <v>3</v>
      </c>
      <c r="F233" s="6">
        <v>1542</v>
      </c>
      <c r="G233" s="6">
        <v>1750</v>
      </c>
      <c r="H233" s="148">
        <v>20</v>
      </c>
    </row>
    <row r="234" spans="1:8" ht="18.75" x14ac:dyDescent="0.25">
      <c r="A234" s="30" t="s">
        <v>285</v>
      </c>
      <c r="B234" s="5" t="s">
        <v>8863</v>
      </c>
      <c r="C234" s="5" t="s">
        <v>66</v>
      </c>
      <c r="D234" s="5" t="s">
        <v>42</v>
      </c>
      <c r="E234" s="5" t="s">
        <v>3</v>
      </c>
      <c r="F234" s="6">
        <v>1732</v>
      </c>
      <c r="G234" s="6">
        <v>2170</v>
      </c>
      <c r="H234" s="148">
        <v>25</v>
      </c>
    </row>
    <row r="235" spans="1:8" ht="18.75" x14ac:dyDescent="0.25">
      <c r="A235" s="30" t="s">
        <v>286</v>
      </c>
      <c r="B235" s="5" t="s">
        <v>8873</v>
      </c>
      <c r="C235" s="5" t="s">
        <v>39</v>
      </c>
      <c r="D235" s="5" t="s">
        <v>42</v>
      </c>
      <c r="E235" s="5" t="s">
        <v>3</v>
      </c>
      <c r="F235" s="6">
        <v>51772</v>
      </c>
      <c r="G235" s="6">
        <v>62100</v>
      </c>
      <c r="H235" s="148">
        <v>25</v>
      </c>
    </row>
    <row r="236" spans="1:8" ht="18.75" x14ac:dyDescent="0.25">
      <c r="A236" s="30" t="s">
        <v>287</v>
      </c>
      <c r="B236" s="5" t="s">
        <v>8863</v>
      </c>
      <c r="C236" s="5" t="s">
        <v>66</v>
      </c>
      <c r="D236" s="5" t="s">
        <v>42</v>
      </c>
      <c r="E236" s="5" t="s">
        <v>3</v>
      </c>
      <c r="F236" s="6">
        <v>1803</v>
      </c>
      <c r="G236" s="6">
        <v>2270</v>
      </c>
      <c r="H236" s="148">
        <v>25</v>
      </c>
    </row>
    <row r="237" spans="1:8" ht="18.75" x14ac:dyDescent="0.25">
      <c r="A237" s="30" t="s">
        <v>288</v>
      </c>
      <c r="B237" s="5" t="s">
        <v>8701</v>
      </c>
      <c r="C237" s="5" t="s">
        <v>5</v>
      </c>
      <c r="D237" s="5" t="s">
        <v>103</v>
      </c>
      <c r="E237" s="5" t="s">
        <v>3</v>
      </c>
      <c r="F237" s="6">
        <v>33378</v>
      </c>
      <c r="G237" s="6">
        <v>41150</v>
      </c>
      <c r="H237" s="148">
        <v>5</v>
      </c>
    </row>
    <row r="238" spans="1:8" ht="18.75" x14ac:dyDescent="0.25">
      <c r="A238" s="30" t="s">
        <v>289</v>
      </c>
      <c r="B238" s="5" t="s">
        <v>8865</v>
      </c>
      <c r="C238" s="5" t="s">
        <v>32</v>
      </c>
      <c r="D238" s="5" t="s">
        <v>42</v>
      </c>
      <c r="E238" s="5" t="s">
        <v>3</v>
      </c>
      <c r="F238" s="6">
        <v>927</v>
      </c>
      <c r="G238" s="6">
        <v>1200</v>
      </c>
      <c r="H238" s="148">
        <v>20</v>
      </c>
    </row>
    <row r="239" spans="1:8" ht="18.75" x14ac:dyDescent="0.25">
      <c r="A239" s="30" t="s">
        <v>290</v>
      </c>
      <c r="B239" s="5" t="s">
        <v>8762</v>
      </c>
      <c r="C239" s="5" t="s">
        <v>108</v>
      </c>
      <c r="D239" s="5" t="s">
        <v>146</v>
      </c>
      <c r="E239" s="5" t="s">
        <v>3</v>
      </c>
      <c r="F239" s="6">
        <v>6487</v>
      </c>
      <c r="G239" s="6">
        <v>7650</v>
      </c>
      <c r="H239" s="148">
        <v>5</v>
      </c>
    </row>
    <row r="240" spans="1:8" ht="18.75" x14ac:dyDescent="0.25">
      <c r="A240" s="30" t="s">
        <v>291</v>
      </c>
      <c r="B240" s="5" t="s">
        <v>8757</v>
      </c>
      <c r="C240" s="5" t="s">
        <v>44</v>
      </c>
      <c r="D240" s="5" t="s">
        <v>45</v>
      </c>
      <c r="E240" s="5" t="s">
        <v>3</v>
      </c>
      <c r="F240" s="6">
        <v>9494</v>
      </c>
      <c r="G240" s="6">
        <v>12040</v>
      </c>
      <c r="H240" s="148">
        <v>20</v>
      </c>
    </row>
    <row r="241" spans="1:8" ht="18.75" x14ac:dyDescent="0.25">
      <c r="A241" s="30" t="s">
        <v>292</v>
      </c>
      <c r="B241" s="5" t="s">
        <v>8857</v>
      </c>
      <c r="C241" s="5" t="s">
        <v>54</v>
      </c>
      <c r="D241" s="5" t="s">
        <v>55</v>
      </c>
      <c r="E241" s="5" t="s">
        <v>3</v>
      </c>
      <c r="F241" s="6">
        <v>5549</v>
      </c>
      <c r="G241" s="6">
        <v>6260</v>
      </c>
      <c r="H241" s="148">
        <v>10</v>
      </c>
    </row>
    <row r="242" spans="1:8" ht="18.75" x14ac:dyDescent="0.25">
      <c r="A242" s="30" t="s">
        <v>293</v>
      </c>
      <c r="B242" s="5" t="s">
        <v>8761</v>
      </c>
      <c r="C242" s="5" t="s">
        <v>108</v>
      </c>
      <c r="D242" s="5" t="s">
        <v>34</v>
      </c>
      <c r="E242" s="5" t="s">
        <v>3</v>
      </c>
      <c r="F242" s="6">
        <v>7511</v>
      </c>
      <c r="G242" s="6">
        <v>8530</v>
      </c>
      <c r="H242" s="148">
        <v>25</v>
      </c>
    </row>
    <row r="243" spans="1:8" ht="18.75" x14ac:dyDescent="0.25">
      <c r="A243" s="30" t="s">
        <v>294</v>
      </c>
      <c r="B243" s="5" t="s">
        <v>8695</v>
      </c>
      <c r="C243" s="5" t="s">
        <v>11</v>
      </c>
      <c r="D243" s="5" t="s">
        <v>34</v>
      </c>
      <c r="E243" s="5" t="s">
        <v>3</v>
      </c>
      <c r="F243" s="6">
        <v>29371</v>
      </c>
      <c r="G243" s="6">
        <v>33870</v>
      </c>
      <c r="H243" s="148">
        <v>15</v>
      </c>
    </row>
    <row r="244" spans="1:8" ht="18.75" x14ac:dyDescent="0.25">
      <c r="A244" s="30" t="s">
        <v>295</v>
      </c>
      <c r="B244" s="5" t="s">
        <v>8695</v>
      </c>
      <c r="C244" s="5" t="s">
        <v>11</v>
      </c>
      <c r="D244" s="5" t="s">
        <v>34</v>
      </c>
      <c r="E244" s="5" t="s">
        <v>3</v>
      </c>
      <c r="F244" s="6">
        <v>6747</v>
      </c>
      <c r="G244" s="6">
        <v>7630</v>
      </c>
      <c r="H244" s="148">
        <v>10</v>
      </c>
    </row>
    <row r="245" spans="1:8" ht="18.75" x14ac:dyDescent="0.25">
      <c r="A245" s="30" t="s">
        <v>296</v>
      </c>
      <c r="B245" s="5" t="s">
        <v>8699</v>
      </c>
      <c r="C245" s="5" t="s">
        <v>71</v>
      </c>
      <c r="D245" s="5" t="s">
        <v>22</v>
      </c>
      <c r="E245" s="5" t="s">
        <v>3</v>
      </c>
      <c r="F245" s="6">
        <v>4747</v>
      </c>
      <c r="G245" s="6">
        <v>6060</v>
      </c>
      <c r="H245" s="148">
        <v>25</v>
      </c>
    </row>
    <row r="246" spans="1:8" ht="18.75" x14ac:dyDescent="0.25">
      <c r="A246" s="30" t="s">
        <v>297</v>
      </c>
      <c r="B246" s="5" t="s">
        <v>8689</v>
      </c>
      <c r="C246" s="5" t="s">
        <v>8</v>
      </c>
      <c r="D246" s="5" t="s">
        <v>9</v>
      </c>
      <c r="E246" s="5" t="s">
        <v>3</v>
      </c>
      <c r="F246" s="6">
        <v>34985</v>
      </c>
      <c r="G246" s="6">
        <v>39300</v>
      </c>
      <c r="H246" s="148">
        <v>25</v>
      </c>
    </row>
    <row r="247" spans="1:8" ht="18.75" x14ac:dyDescent="0.25">
      <c r="A247" s="30" t="s">
        <v>298</v>
      </c>
      <c r="B247" s="5" t="s">
        <v>8690</v>
      </c>
      <c r="C247" s="5" t="s">
        <v>11</v>
      </c>
      <c r="D247" s="5" t="s">
        <v>9</v>
      </c>
      <c r="E247" s="5" t="s">
        <v>3</v>
      </c>
      <c r="F247" s="6">
        <v>19959</v>
      </c>
      <c r="G247" s="6">
        <v>25790</v>
      </c>
      <c r="H247" s="148">
        <v>25</v>
      </c>
    </row>
    <row r="248" spans="1:8" ht="18.75" x14ac:dyDescent="0.25">
      <c r="A248" s="30" t="s">
        <v>299</v>
      </c>
      <c r="B248" s="5" t="s">
        <v>8862</v>
      </c>
      <c r="C248" s="5" t="s">
        <v>5</v>
      </c>
      <c r="D248" s="5" t="s">
        <v>42</v>
      </c>
      <c r="E248" s="5" t="s">
        <v>3</v>
      </c>
      <c r="F248" s="6">
        <v>12050</v>
      </c>
      <c r="G248" s="6">
        <v>15800</v>
      </c>
      <c r="H248" s="148">
        <v>15</v>
      </c>
    </row>
    <row r="249" spans="1:8" ht="18.75" x14ac:dyDescent="0.25">
      <c r="A249" s="30" t="s">
        <v>300</v>
      </c>
      <c r="B249" s="5" t="s">
        <v>8762</v>
      </c>
      <c r="C249" s="5" t="s">
        <v>108</v>
      </c>
      <c r="D249" s="5" t="s">
        <v>146</v>
      </c>
      <c r="E249" s="5" t="s">
        <v>3</v>
      </c>
      <c r="F249" s="6">
        <v>8629</v>
      </c>
      <c r="G249" s="6">
        <v>9950</v>
      </c>
      <c r="H249" s="148">
        <v>8</v>
      </c>
    </row>
    <row r="250" spans="1:8" ht="18.75" x14ac:dyDescent="0.25">
      <c r="A250" s="30" t="s">
        <v>301</v>
      </c>
      <c r="B250" s="5" t="s">
        <v>8692</v>
      </c>
      <c r="C250" s="5" t="s">
        <v>21</v>
      </c>
      <c r="D250" s="5" t="s">
        <v>22</v>
      </c>
      <c r="E250" s="5" t="s">
        <v>3</v>
      </c>
      <c r="F250" s="6">
        <v>869</v>
      </c>
      <c r="G250" s="6">
        <v>1100</v>
      </c>
      <c r="H250" s="148">
        <v>15</v>
      </c>
    </row>
    <row r="251" spans="1:8" ht="18.75" x14ac:dyDescent="0.25">
      <c r="A251" s="30" t="s">
        <v>302</v>
      </c>
      <c r="B251" s="5" t="s">
        <v>8754</v>
      </c>
      <c r="C251" s="5" t="s">
        <v>16</v>
      </c>
      <c r="D251" s="5" t="s">
        <v>17</v>
      </c>
      <c r="E251" s="5" t="s">
        <v>3</v>
      </c>
      <c r="F251" s="6">
        <v>2021</v>
      </c>
      <c r="G251" s="6">
        <v>2500</v>
      </c>
      <c r="H251" s="148">
        <v>8</v>
      </c>
    </row>
    <row r="252" spans="1:8" ht="18.75" x14ac:dyDescent="0.25">
      <c r="A252" s="30" t="s">
        <v>303</v>
      </c>
      <c r="B252" s="5" t="s">
        <v>8762</v>
      </c>
      <c r="C252" s="5" t="s">
        <v>108</v>
      </c>
      <c r="D252" s="5" t="s">
        <v>146</v>
      </c>
      <c r="E252" s="5" t="s">
        <v>3</v>
      </c>
      <c r="F252" s="6">
        <v>6214</v>
      </c>
      <c r="G252" s="6">
        <v>7740</v>
      </c>
      <c r="H252" s="148">
        <v>8</v>
      </c>
    </row>
    <row r="253" spans="1:8" ht="18.75" x14ac:dyDescent="0.25">
      <c r="A253" s="30" t="s">
        <v>304</v>
      </c>
      <c r="B253" s="5" t="s">
        <v>8869</v>
      </c>
      <c r="C253" s="5" t="s">
        <v>74</v>
      </c>
      <c r="D253" s="5" t="s">
        <v>8867</v>
      </c>
      <c r="E253" s="5" t="s">
        <v>3</v>
      </c>
      <c r="F253" s="6">
        <v>2572</v>
      </c>
      <c r="G253" s="6">
        <v>3320</v>
      </c>
      <c r="H253" s="148">
        <v>10</v>
      </c>
    </row>
    <row r="254" spans="1:8" ht="18.75" x14ac:dyDescent="0.25">
      <c r="A254" s="30" t="s">
        <v>305</v>
      </c>
      <c r="B254" s="5" t="s">
        <v>8863</v>
      </c>
      <c r="C254" s="5" t="s">
        <v>66</v>
      </c>
      <c r="D254" s="5" t="s">
        <v>42</v>
      </c>
      <c r="E254" s="5" t="s">
        <v>3</v>
      </c>
      <c r="F254" s="6">
        <v>2156</v>
      </c>
      <c r="G254" s="6">
        <v>2640</v>
      </c>
      <c r="H254" s="148">
        <v>20</v>
      </c>
    </row>
    <row r="255" spans="1:8" ht="18.75" x14ac:dyDescent="0.25">
      <c r="A255" s="30" t="s">
        <v>306</v>
      </c>
      <c r="B255" s="5" t="s">
        <v>8854</v>
      </c>
      <c r="C255" s="5" t="s">
        <v>101</v>
      </c>
      <c r="D255" s="5" t="s">
        <v>90</v>
      </c>
      <c r="E255" s="5" t="s">
        <v>3</v>
      </c>
      <c r="F255" s="6">
        <v>157</v>
      </c>
      <c r="G255" s="6">
        <v>200</v>
      </c>
      <c r="H255" s="148">
        <v>25</v>
      </c>
    </row>
    <row r="256" spans="1:8" ht="18.75" x14ac:dyDescent="0.25">
      <c r="A256" s="30" t="s">
        <v>307</v>
      </c>
      <c r="B256" s="5" t="s">
        <v>8700</v>
      </c>
      <c r="C256" s="5" t="s">
        <v>39</v>
      </c>
      <c r="D256" s="5" t="s">
        <v>9</v>
      </c>
      <c r="E256" s="5" t="s">
        <v>3</v>
      </c>
      <c r="F256" s="6">
        <v>39890</v>
      </c>
      <c r="G256" s="6">
        <v>45060</v>
      </c>
      <c r="H256" s="148">
        <v>20</v>
      </c>
    </row>
    <row r="257" spans="1:8" ht="18.75" x14ac:dyDescent="0.25">
      <c r="A257" s="30" t="s">
        <v>308</v>
      </c>
      <c r="B257" s="5" t="s">
        <v>8755</v>
      </c>
      <c r="C257" s="5" t="s">
        <v>24</v>
      </c>
      <c r="D257" s="5" t="s">
        <v>25</v>
      </c>
      <c r="E257" s="5" t="s">
        <v>3</v>
      </c>
      <c r="F257" s="6">
        <v>3398</v>
      </c>
      <c r="G257" s="6">
        <v>3980</v>
      </c>
      <c r="H257" s="148">
        <v>25</v>
      </c>
    </row>
    <row r="258" spans="1:8" ht="18.75" x14ac:dyDescent="0.25">
      <c r="A258" s="30" t="s">
        <v>309</v>
      </c>
      <c r="B258" s="5" t="s">
        <v>8703</v>
      </c>
      <c r="C258" s="5" t="s">
        <v>74</v>
      </c>
      <c r="D258" s="5" t="s">
        <v>278</v>
      </c>
      <c r="E258" s="5" t="s">
        <v>3</v>
      </c>
      <c r="F258" s="6">
        <v>1051</v>
      </c>
      <c r="G258" s="6">
        <v>1260</v>
      </c>
      <c r="H258" s="148">
        <v>8</v>
      </c>
    </row>
    <row r="259" spans="1:8" ht="18.75" x14ac:dyDescent="0.25">
      <c r="A259" s="30" t="s">
        <v>310</v>
      </c>
      <c r="B259" s="5" t="s">
        <v>8868</v>
      </c>
      <c r="C259" s="5" t="s">
        <v>37</v>
      </c>
      <c r="D259" s="5" t="s">
        <v>8867</v>
      </c>
      <c r="E259" s="5" t="s">
        <v>3</v>
      </c>
      <c r="F259" s="6">
        <v>558</v>
      </c>
      <c r="G259" s="6">
        <v>700</v>
      </c>
      <c r="H259" s="148">
        <v>25</v>
      </c>
    </row>
    <row r="260" spans="1:8" ht="18.75" x14ac:dyDescent="0.25">
      <c r="A260" s="30" t="s">
        <v>311</v>
      </c>
      <c r="B260" s="5" t="s">
        <v>8692</v>
      </c>
      <c r="C260" s="5" t="s">
        <v>21</v>
      </c>
      <c r="D260" s="5" t="s">
        <v>22</v>
      </c>
      <c r="E260" s="5" t="s">
        <v>3</v>
      </c>
      <c r="F260" s="6">
        <v>471</v>
      </c>
      <c r="G260" s="6">
        <v>530</v>
      </c>
      <c r="H260" s="148">
        <v>20</v>
      </c>
    </row>
    <row r="261" spans="1:8" ht="18.75" x14ac:dyDescent="0.25">
      <c r="A261" s="30" t="s">
        <v>312</v>
      </c>
      <c r="B261" s="5" t="s">
        <v>8689</v>
      </c>
      <c r="C261" s="5" t="s">
        <v>8855</v>
      </c>
      <c r="D261" s="5" t="s">
        <v>9</v>
      </c>
      <c r="E261" s="5" t="s">
        <v>3</v>
      </c>
      <c r="F261" s="6">
        <v>51220</v>
      </c>
      <c r="G261" s="6">
        <v>59050</v>
      </c>
      <c r="H261" s="148">
        <v>5</v>
      </c>
    </row>
    <row r="262" spans="1:8" ht="18.75" x14ac:dyDescent="0.25">
      <c r="A262" s="30" t="s">
        <v>313</v>
      </c>
      <c r="B262" s="5" t="s">
        <v>8854</v>
      </c>
      <c r="C262" s="5" t="s">
        <v>101</v>
      </c>
      <c r="D262" s="5" t="s">
        <v>90</v>
      </c>
      <c r="E262" s="5" t="s">
        <v>3</v>
      </c>
      <c r="F262" s="6">
        <v>190</v>
      </c>
      <c r="G262" s="6">
        <v>240</v>
      </c>
      <c r="H262" s="148">
        <v>20</v>
      </c>
    </row>
    <row r="263" spans="1:8" ht="18.75" x14ac:dyDescent="0.25">
      <c r="A263" s="30" t="s">
        <v>314</v>
      </c>
      <c r="B263" s="5" t="s">
        <v>8689</v>
      </c>
      <c r="C263" s="5" t="s">
        <v>8</v>
      </c>
      <c r="D263" s="5" t="s">
        <v>9</v>
      </c>
      <c r="E263" s="5" t="s">
        <v>3</v>
      </c>
      <c r="F263" s="6">
        <v>53060</v>
      </c>
      <c r="G263" s="6">
        <v>59580</v>
      </c>
      <c r="H263" s="148">
        <v>10</v>
      </c>
    </row>
    <row r="264" spans="1:8" ht="18.75" x14ac:dyDescent="0.25">
      <c r="A264" s="30" t="s">
        <v>315</v>
      </c>
      <c r="B264" s="5" t="s">
        <v>8758</v>
      </c>
      <c r="C264" s="5" t="s">
        <v>13</v>
      </c>
      <c r="D264" s="5" t="s">
        <v>45</v>
      </c>
      <c r="E264" s="5" t="s">
        <v>3</v>
      </c>
      <c r="F264" s="6">
        <v>2069</v>
      </c>
      <c r="G264" s="6">
        <v>2630</v>
      </c>
      <c r="H264" s="148">
        <v>20</v>
      </c>
    </row>
    <row r="265" spans="1:8" ht="18.75" x14ac:dyDescent="0.25">
      <c r="A265" s="30" t="s">
        <v>316</v>
      </c>
      <c r="B265" s="5" t="s">
        <v>8869</v>
      </c>
      <c r="C265" s="5" t="s">
        <v>8849</v>
      </c>
      <c r="D265" s="5" t="s">
        <v>8867</v>
      </c>
      <c r="E265" s="5" t="s">
        <v>3</v>
      </c>
      <c r="F265" s="6">
        <v>3078</v>
      </c>
      <c r="G265" s="6">
        <v>3750</v>
      </c>
      <c r="H265" s="148">
        <v>15</v>
      </c>
    </row>
    <row r="266" spans="1:8" ht="18.75" x14ac:dyDescent="0.25">
      <c r="A266" s="30" t="s">
        <v>317</v>
      </c>
      <c r="B266" s="5" t="s">
        <v>8759</v>
      </c>
      <c r="C266" s="5" t="s">
        <v>60</v>
      </c>
      <c r="D266" s="5" t="s">
        <v>8861</v>
      </c>
      <c r="E266" s="5" t="s">
        <v>3</v>
      </c>
      <c r="F266" s="6">
        <v>850</v>
      </c>
      <c r="G266" s="6">
        <v>1010</v>
      </c>
      <c r="H266" s="148">
        <v>25</v>
      </c>
    </row>
    <row r="267" spans="1:8" ht="18.75" x14ac:dyDescent="0.25">
      <c r="A267" s="30" t="s">
        <v>318</v>
      </c>
      <c r="B267" s="5" t="s">
        <v>8862</v>
      </c>
      <c r="C267" s="5" t="s">
        <v>5</v>
      </c>
      <c r="D267" s="5" t="s">
        <v>42</v>
      </c>
      <c r="E267" s="5" t="s">
        <v>3</v>
      </c>
      <c r="F267" s="6">
        <v>24445</v>
      </c>
      <c r="G267" s="6">
        <v>30590</v>
      </c>
      <c r="H267" s="148">
        <v>5</v>
      </c>
    </row>
    <row r="268" spans="1:8" ht="18.75" x14ac:dyDescent="0.25">
      <c r="A268" s="30" t="s">
        <v>319</v>
      </c>
      <c r="B268" s="5" t="s">
        <v>8850</v>
      </c>
      <c r="C268" s="5" t="s">
        <v>142</v>
      </c>
      <c r="D268" s="5" t="s">
        <v>138</v>
      </c>
      <c r="E268" s="5" t="s">
        <v>3</v>
      </c>
      <c r="F268" s="6">
        <v>8807</v>
      </c>
      <c r="G268" s="6">
        <v>10650</v>
      </c>
      <c r="H268" s="148">
        <v>20</v>
      </c>
    </row>
    <row r="269" spans="1:8" ht="18.75" x14ac:dyDescent="0.25">
      <c r="A269" s="30" t="s">
        <v>320</v>
      </c>
      <c r="B269" s="5" t="s">
        <v>8850</v>
      </c>
      <c r="C269" s="5" t="s">
        <v>142</v>
      </c>
      <c r="D269" s="5" t="s">
        <v>138</v>
      </c>
      <c r="E269" s="5" t="s">
        <v>3</v>
      </c>
      <c r="F269" s="6">
        <v>10004</v>
      </c>
      <c r="G269" s="6">
        <v>12040</v>
      </c>
      <c r="H269" s="148">
        <v>8</v>
      </c>
    </row>
    <row r="270" spans="1:8" ht="18.75" x14ac:dyDescent="0.25">
      <c r="A270" s="30" t="s">
        <v>321</v>
      </c>
      <c r="B270" s="5" t="s">
        <v>8870</v>
      </c>
      <c r="C270" s="5" t="s">
        <v>142</v>
      </c>
      <c r="D270" s="5" t="s">
        <v>143</v>
      </c>
      <c r="E270" s="5" t="s">
        <v>3</v>
      </c>
      <c r="F270" s="6">
        <v>5707</v>
      </c>
      <c r="G270" s="6">
        <v>6810</v>
      </c>
      <c r="H270" s="148">
        <v>25</v>
      </c>
    </row>
    <row r="271" spans="1:8" ht="18.75" x14ac:dyDescent="0.25">
      <c r="A271" s="30" t="s">
        <v>322</v>
      </c>
      <c r="B271" s="5" t="s">
        <v>8757</v>
      </c>
      <c r="C271" s="5" t="s">
        <v>44</v>
      </c>
      <c r="D271" s="5" t="s">
        <v>45</v>
      </c>
      <c r="E271" s="5" t="s">
        <v>3</v>
      </c>
      <c r="F271" s="6">
        <v>8005</v>
      </c>
      <c r="G271" s="6">
        <v>10370</v>
      </c>
      <c r="H271" s="148">
        <v>10</v>
      </c>
    </row>
    <row r="272" spans="1:8" ht="18.75" x14ac:dyDescent="0.25">
      <c r="A272" s="30" t="s">
        <v>323</v>
      </c>
      <c r="B272" s="5" t="s">
        <v>8689</v>
      </c>
      <c r="C272" s="5" t="s">
        <v>174</v>
      </c>
      <c r="D272" s="5" t="s">
        <v>9</v>
      </c>
      <c r="E272" s="5" t="s">
        <v>3</v>
      </c>
      <c r="F272" s="6">
        <v>36082</v>
      </c>
      <c r="G272" s="6">
        <v>45070</v>
      </c>
      <c r="H272" s="148">
        <v>15</v>
      </c>
    </row>
    <row r="273" spans="1:8" ht="18.75" x14ac:dyDescent="0.25">
      <c r="A273" s="30" t="s">
        <v>324</v>
      </c>
      <c r="B273" s="5" t="s">
        <v>8754</v>
      </c>
      <c r="C273" s="5" t="s">
        <v>16</v>
      </c>
      <c r="D273" s="5" t="s">
        <v>17</v>
      </c>
      <c r="E273" s="5" t="s">
        <v>3</v>
      </c>
      <c r="F273" s="6">
        <v>3690</v>
      </c>
      <c r="G273" s="6">
        <v>4150</v>
      </c>
      <c r="H273" s="148">
        <v>15</v>
      </c>
    </row>
    <row r="274" spans="1:8" ht="18.75" x14ac:dyDescent="0.25">
      <c r="A274" s="30" t="s">
        <v>325</v>
      </c>
      <c r="B274" s="5" t="s">
        <v>8698</v>
      </c>
      <c r="C274" s="5" t="s">
        <v>66</v>
      </c>
      <c r="D274" s="5" t="s">
        <v>9</v>
      </c>
      <c r="E274" s="5" t="s">
        <v>3</v>
      </c>
      <c r="F274" s="6">
        <v>1396</v>
      </c>
      <c r="G274" s="6">
        <v>1630</v>
      </c>
      <c r="H274" s="148">
        <v>20</v>
      </c>
    </row>
    <row r="275" spans="1:8" ht="18.75" x14ac:dyDescent="0.25">
      <c r="A275" s="30" t="s">
        <v>326</v>
      </c>
      <c r="B275" s="5" t="s">
        <v>8761</v>
      </c>
      <c r="C275" s="5" t="s">
        <v>108</v>
      </c>
      <c r="D275" s="5" t="s">
        <v>34</v>
      </c>
      <c r="E275" s="5" t="s">
        <v>3</v>
      </c>
      <c r="F275" s="6">
        <v>6904</v>
      </c>
      <c r="G275" s="6">
        <v>8670</v>
      </c>
      <c r="H275" s="148">
        <v>5</v>
      </c>
    </row>
    <row r="276" spans="1:8" ht="18.75" x14ac:dyDescent="0.25">
      <c r="A276" s="30" t="s">
        <v>327</v>
      </c>
      <c r="B276" s="5" t="s">
        <v>8761</v>
      </c>
      <c r="C276" s="5" t="s">
        <v>328</v>
      </c>
      <c r="D276" s="5" t="s">
        <v>34</v>
      </c>
      <c r="E276" s="5" t="s">
        <v>3</v>
      </c>
      <c r="F276" s="6">
        <v>14383</v>
      </c>
      <c r="G276" s="6">
        <v>16390</v>
      </c>
      <c r="H276" s="148">
        <v>20</v>
      </c>
    </row>
    <row r="277" spans="1:8" ht="18.75" x14ac:dyDescent="0.25">
      <c r="A277" s="30" t="s">
        <v>329</v>
      </c>
      <c r="B277" s="5" t="s">
        <v>8694</v>
      </c>
      <c r="C277" s="5" t="s">
        <v>32</v>
      </c>
      <c r="D277" s="5" t="s">
        <v>22</v>
      </c>
      <c r="E277" s="5" t="s">
        <v>3</v>
      </c>
      <c r="F277" s="6">
        <v>826</v>
      </c>
      <c r="G277" s="6">
        <v>1010</v>
      </c>
      <c r="H277" s="148">
        <v>8</v>
      </c>
    </row>
    <row r="278" spans="1:8" ht="18.75" x14ac:dyDescent="0.25">
      <c r="A278" s="30" t="s">
        <v>330</v>
      </c>
      <c r="B278" s="5" t="s">
        <v>8846</v>
      </c>
      <c r="C278" s="5" t="s">
        <v>119</v>
      </c>
      <c r="D278" s="5" t="s">
        <v>83</v>
      </c>
      <c r="E278" s="5" t="s">
        <v>3</v>
      </c>
      <c r="F278" s="6">
        <v>4133</v>
      </c>
      <c r="G278" s="6">
        <v>4970</v>
      </c>
      <c r="H278" s="148">
        <v>15</v>
      </c>
    </row>
    <row r="279" spans="1:8" ht="18.75" x14ac:dyDescent="0.25">
      <c r="A279" s="30" t="s">
        <v>331</v>
      </c>
      <c r="B279" s="5" t="s">
        <v>8696</v>
      </c>
      <c r="C279" s="5" t="s">
        <v>21</v>
      </c>
      <c r="D279" s="5" t="s">
        <v>9</v>
      </c>
      <c r="E279" s="5" t="s">
        <v>3</v>
      </c>
      <c r="F279" s="6">
        <v>1721</v>
      </c>
      <c r="G279" s="6">
        <v>2070</v>
      </c>
      <c r="H279" s="148">
        <v>25</v>
      </c>
    </row>
    <row r="280" spans="1:8" ht="18.75" x14ac:dyDescent="0.25">
      <c r="A280" s="30" t="s">
        <v>332</v>
      </c>
      <c r="B280" s="5" t="s">
        <v>8695</v>
      </c>
      <c r="C280" s="5" t="s">
        <v>11</v>
      </c>
      <c r="D280" s="5" t="s">
        <v>34</v>
      </c>
      <c r="E280" s="5" t="s">
        <v>3</v>
      </c>
      <c r="F280" s="6">
        <v>21908</v>
      </c>
      <c r="G280" s="6">
        <v>27730</v>
      </c>
      <c r="H280" s="148">
        <v>25</v>
      </c>
    </row>
    <row r="281" spans="1:8" ht="18.75" x14ac:dyDescent="0.25">
      <c r="A281" s="30" t="s">
        <v>333</v>
      </c>
      <c r="B281" s="5" t="s">
        <v>8692</v>
      </c>
      <c r="C281" s="5" t="s">
        <v>21</v>
      </c>
      <c r="D281" s="5" t="s">
        <v>22</v>
      </c>
      <c r="E281" s="5" t="s">
        <v>3</v>
      </c>
      <c r="F281" s="6">
        <v>2540</v>
      </c>
      <c r="G281" s="6">
        <v>3350</v>
      </c>
      <c r="H281" s="148">
        <v>8</v>
      </c>
    </row>
    <row r="282" spans="1:8" ht="18.75" x14ac:dyDescent="0.25">
      <c r="A282" s="30" t="s">
        <v>334</v>
      </c>
      <c r="B282" s="5" t="s">
        <v>8758</v>
      </c>
      <c r="C282" s="5" t="s">
        <v>13</v>
      </c>
      <c r="D282" s="5" t="s">
        <v>45</v>
      </c>
      <c r="E282" s="5" t="s">
        <v>3</v>
      </c>
      <c r="F282" s="6">
        <v>2706</v>
      </c>
      <c r="G282" s="6">
        <v>3150</v>
      </c>
      <c r="H282" s="148">
        <v>8</v>
      </c>
    </row>
    <row r="283" spans="1:8" ht="18.75" x14ac:dyDescent="0.25">
      <c r="A283" s="30" t="s">
        <v>335</v>
      </c>
      <c r="B283" s="5" t="s">
        <v>8760</v>
      </c>
      <c r="C283" s="5" t="s">
        <v>24</v>
      </c>
      <c r="D283" s="5" t="s">
        <v>97</v>
      </c>
      <c r="E283" s="5" t="s">
        <v>3</v>
      </c>
      <c r="F283" s="6">
        <v>3570</v>
      </c>
      <c r="G283" s="6">
        <v>4450</v>
      </c>
      <c r="H283" s="148">
        <v>8</v>
      </c>
    </row>
    <row r="284" spans="1:8" ht="18.75" x14ac:dyDescent="0.25">
      <c r="A284" s="30" t="s">
        <v>336</v>
      </c>
      <c r="B284" s="5" t="s">
        <v>8691</v>
      </c>
      <c r="C284" s="5" t="s">
        <v>13</v>
      </c>
      <c r="D284" s="5" t="s">
        <v>14</v>
      </c>
      <c r="E284" s="5" t="s">
        <v>3</v>
      </c>
      <c r="F284" s="6">
        <v>1127</v>
      </c>
      <c r="G284" s="6">
        <v>1380</v>
      </c>
      <c r="H284" s="148">
        <v>25</v>
      </c>
    </row>
    <row r="285" spans="1:8" ht="18.75" x14ac:dyDescent="0.25">
      <c r="A285" s="30" t="s">
        <v>337</v>
      </c>
      <c r="B285" s="5" t="s">
        <v>8760</v>
      </c>
      <c r="C285" s="5" t="s">
        <v>24</v>
      </c>
      <c r="D285" s="5" t="s">
        <v>97</v>
      </c>
      <c r="E285" s="5" t="s">
        <v>3</v>
      </c>
      <c r="F285" s="6">
        <v>8039</v>
      </c>
      <c r="G285" s="6">
        <v>10500</v>
      </c>
      <c r="H285" s="148">
        <v>25</v>
      </c>
    </row>
    <row r="286" spans="1:8" ht="18.75" x14ac:dyDescent="0.25">
      <c r="A286" s="30" t="s">
        <v>338</v>
      </c>
      <c r="B286" s="5" t="s">
        <v>8701</v>
      </c>
      <c r="C286" s="5" t="s">
        <v>5</v>
      </c>
      <c r="D286" s="5" t="s">
        <v>103</v>
      </c>
      <c r="E286" s="5" t="s">
        <v>3</v>
      </c>
      <c r="F286" s="6">
        <v>10799</v>
      </c>
      <c r="G286" s="6">
        <v>13780</v>
      </c>
      <c r="H286" s="148">
        <v>20</v>
      </c>
    </row>
    <row r="287" spans="1:8" ht="18.75" x14ac:dyDescent="0.25">
      <c r="A287" s="30" t="s">
        <v>339</v>
      </c>
      <c r="B287" s="5" t="s">
        <v>8857</v>
      </c>
      <c r="C287" s="5" t="s">
        <v>54</v>
      </c>
      <c r="D287" s="5" t="s">
        <v>55</v>
      </c>
      <c r="E287" s="5" t="s">
        <v>3</v>
      </c>
      <c r="F287" s="6">
        <v>7087</v>
      </c>
      <c r="G287" s="6">
        <v>8400</v>
      </c>
      <c r="H287" s="148">
        <v>20</v>
      </c>
    </row>
    <row r="288" spans="1:8" ht="18.75" x14ac:dyDescent="0.25">
      <c r="A288" s="30" t="s">
        <v>340</v>
      </c>
      <c r="B288" s="5" t="s">
        <v>8759</v>
      </c>
      <c r="C288" s="5" t="s">
        <v>60</v>
      </c>
      <c r="D288" s="5" t="s">
        <v>8861</v>
      </c>
      <c r="E288" s="5" t="s">
        <v>3</v>
      </c>
      <c r="F288" s="6">
        <v>1003</v>
      </c>
      <c r="G288" s="6">
        <v>1150</v>
      </c>
      <c r="H288" s="148">
        <v>15</v>
      </c>
    </row>
    <row r="289" spans="1:8" ht="18.75" x14ac:dyDescent="0.25">
      <c r="A289" s="30" t="s">
        <v>341</v>
      </c>
      <c r="B289" s="5" t="s">
        <v>8690</v>
      </c>
      <c r="C289" s="5" t="s">
        <v>11</v>
      </c>
      <c r="D289" s="5" t="s">
        <v>9</v>
      </c>
      <c r="E289" s="5" t="s">
        <v>3</v>
      </c>
      <c r="F289" s="6">
        <v>17041</v>
      </c>
      <c r="G289" s="6">
        <v>20280</v>
      </c>
      <c r="H289" s="148">
        <v>5</v>
      </c>
    </row>
    <row r="290" spans="1:8" ht="18.75" x14ac:dyDescent="0.25">
      <c r="A290" s="30" t="s">
        <v>342</v>
      </c>
      <c r="B290" s="5" t="s">
        <v>8873</v>
      </c>
      <c r="C290" s="5" t="s">
        <v>39</v>
      </c>
      <c r="D290" s="5" t="s">
        <v>42</v>
      </c>
      <c r="E290" s="5" t="s">
        <v>3</v>
      </c>
      <c r="F290" s="6">
        <v>58271</v>
      </c>
      <c r="G290" s="6">
        <v>66290</v>
      </c>
      <c r="H290" s="148">
        <v>5</v>
      </c>
    </row>
    <row r="291" spans="1:8" ht="18.75" x14ac:dyDescent="0.25">
      <c r="A291" s="30" t="s">
        <v>343</v>
      </c>
      <c r="B291" s="5" t="s">
        <v>8854</v>
      </c>
      <c r="C291" s="5" t="s">
        <v>101</v>
      </c>
      <c r="D291" s="5" t="s">
        <v>90</v>
      </c>
      <c r="E291" s="5" t="s">
        <v>3</v>
      </c>
      <c r="F291" s="6">
        <v>692</v>
      </c>
      <c r="G291" s="6">
        <v>780</v>
      </c>
      <c r="H291" s="148">
        <v>5</v>
      </c>
    </row>
    <row r="292" spans="1:8" ht="18.75" x14ac:dyDescent="0.25">
      <c r="A292" s="30" t="s">
        <v>344</v>
      </c>
      <c r="B292" s="5" t="s">
        <v>8870</v>
      </c>
      <c r="C292" s="5" t="s">
        <v>142</v>
      </c>
      <c r="D292" s="5" t="s">
        <v>143</v>
      </c>
      <c r="E292" s="5" t="s">
        <v>3</v>
      </c>
      <c r="F292" s="6">
        <v>8630</v>
      </c>
      <c r="G292" s="6">
        <v>11260</v>
      </c>
      <c r="H292" s="148">
        <v>15</v>
      </c>
    </row>
    <row r="293" spans="1:8" ht="18.75" x14ac:dyDescent="0.25">
      <c r="A293" s="30" t="s">
        <v>345</v>
      </c>
      <c r="B293" s="5" t="s">
        <v>8759</v>
      </c>
      <c r="C293" s="5" t="s">
        <v>60</v>
      </c>
      <c r="D293" s="5" t="s">
        <v>8861</v>
      </c>
      <c r="E293" s="5" t="s">
        <v>3</v>
      </c>
      <c r="F293" s="6">
        <v>156</v>
      </c>
      <c r="G293" s="6">
        <v>190</v>
      </c>
      <c r="H293" s="148">
        <v>25</v>
      </c>
    </row>
    <row r="294" spans="1:8" ht="18.75" x14ac:dyDescent="0.25">
      <c r="A294" s="30" t="s">
        <v>346</v>
      </c>
      <c r="B294" s="5" t="s">
        <v>8873</v>
      </c>
      <c r="C294" s="5" t="s">
        <v>39</v>
      </c>
      <c r="D294" s="5" t="s">
        <v>42</v>
      </c>
      <c r="E294" s="5" t="s">
        <v>3</v>
      </c>
      <c r="F294" s="6">
        <v>77190</v>
      </c>
      <c r="G294" s="6">
        <v>88550</v>
      </c>
      <c r="H294" s="148">
        <v>25</v>
      </c>
    </row>
    <row r="295" spans="1:8" ht="18.75" x14ac:dyDescent="0.25">
      <c r="A295" s="30" t="s">
        <v>347</v>
      </c>
      <c r="B295" s="5" t="s">
        <v>8694</v>
      </c>
      <c r="C295" s="5" t="s">
        <v>32</v>
      </c>
      <c r="D295" s="5" t="s">
        <v>22</v>
      </c>
      <c r="E295" s="5" t="s">
        <v>3</v>
      </c>
      <c r="F295" s="6">
        <v>598</v>
      </c>
      <c r="G295" s="6">
        <v>680</v>
      </c>
      <c r="H295" s="148">
        <v>10</v>
      </c>
    </row>
    <row r="296" spans="1:8" ht="18.75" x14ac:dyDescent="0.25">
      <c r="A296" s="30" t="s">
        <v>348</v>
      </c>
      <c r="B296" s="5" t="s">
        <v>8757</v>
      </c>
      <c r="C296" s="5" t="s">
        <v>44</v>
      </c>
      <c r="D296" s="5" t="s">
        <v>45</v>
      </c>
      <c r="E296" s="5" t="s">
        <v>3</v>
      </c>
      <c r="F296" s="6">
        <v>5315</v>
      </c>
      <c r="G296" s="6">
        <v>6700</v>
      </c>
      <c r="H296" s="148">
        <v>20</v>
      </c>
    </row>
    <row r="297" spans="1:8" ht="18.75" x14ac:dyDescent="0.25">
      <c r="A297" s="30" t="s">
        <v>349</v>
      </c>
      <c r="B297" s="5" t="s">
        <v>8695</v>
      </c>
      <c r="C297" s="5" t="s">
        <v>11</v>
      </c>
      <c r="D297" s="5" t="s">
        <v>34</v>
      </c>
      <c r="E297" s="5" t="s">
        <v>3</v>
      </c>
      <c r="F297" s="6">
        <v>8796</v>
      </c>
      <c r="G297" s="6">
        <v>11070</v>
      </c>
      <c r="H297" s="148">
        <v>20</v>
      </c>
    </row>
    <row r="298" spans="1:8" ht="18.75" x14ac:dyDescent="0.25">
      <c r="A298" s="30" t="s">
        <v>350</v>
      </c>
      <c r="B298" s="5" t="s">
        <v>8858</v>
      </c>
      <c r="C298" s="5" t="s">
        <v>54</v>
      </c>
      <c r="D298" s="5" t="s">
        <v>63</v>
      </c>
      <c r="E298" s="5" t="s">
        <v>3</v>
      </c>
      <c r="F298" s="6">
        <v>14913</v>
      </c>
      <c r="G298" s="6">
        <v>18110</v>
      </c>
      <c r="H298" s="148">
        <v>5</v>
      </c>
    </row>
    <row r="299" spans="1:8" ht="18.75" x14ac:dyDescent="0.25">
      <c r="A299" s="30" t="s">
        <v>351</v>
      </c>
      <c r="B299" s="5" t="s">
        <v>8694</v>
      </c>
      <c r="C299" s="5" t="s">
        <v>32</v>
      </c>
      <c r="D299" s="5" t="s">
        <v>22</v>
      </c>
      <c r="E299" s="5" t="s">
        <v>3</v>
      </c>
      <c r="F299" s="6">
        <v>1797</v>
      </c>
      <c r="G299" s="6">
        <v>2130</v>
      </c>
      <c r="H299" s="148">
        <v>8</v>
      </c>
    </row>
    <row r="300" spans="1:8" ht="18.75" x14ac:dyDescent="0.25">
      <c r="A300" s="30" t="s">
        <v>352</v>
      </c>
      <c r="B300" s="5" t="s">
        <v>8850</v>
      </c>
      <c r="C300" s="5" t="s">
        <v>8852</v>
      </c>
      <c r="D300" s="5" t="s">
        <v>138</v>
      </c>
      <c r="E300" s="5" t="s">
        <v>3</v>
      </c>
      <c r="F300" s="6">
        <v>10783</v>
      </c>
      <c r="G300" s="6">
        <v>13350</v>
      </c>
      <c r="H300" s="148">
        <v>20</v>
      </c>
    </row>
    <row r="301" spans="1:8" ht="18.75" x14ac:dyDescent="0.25">
      <c r="A301" s="30" t="s">
        <v>353</v>
      </c>
      <c r="B301" s="5" t="s">
        <v>8864</v>
      </c>
      <c r="C301" s="5" t="s">
        <v>8</v>
      </c>
      <c r="D301" s="5" t="s">
        <v>42</v>
      </c>
      <c r="E301" s="5" t="s">
        <v>3</v>
      </c>
      <c r="F301" s="6">
        <v>51991</v>
      </c>
      <c r="G301" s="6">
        <v>60910</v>
      </c>
      <c r="H301" s="148">
        <v>25</v>
      </c>
    </row>
    <row r="302" spans="1:8" ht="18.75" x14ac:dyDescent="0.25">
      <c r="A302" s="30" t="s">
        <v>354</v>
      </c>
      <c r="B302" s="5" t="s">
        <v>8690</v>
      </c>
      <c r="C302" s="5" t="s">
        <v>11</v>
      </c>
      <c r="D302" s="5" t="s">
        <v>9</v>
      </c>
      <c r="E302" s="5" t="s">
        <v>3</v>
      </c>
      <c r="F302" s="6">
        <v>9951</v>
      </c>
      <c r="G302" s="6">
        <v>12450</v>
      </c>
      <c r="H302" s="148">
        <v>8</v>
      </c>
    </row>
    <row r="303" spans="1:8" ht="18.75" x14ac:dyDescent="0.25">
      <c r="A303" s="30" t="s">
        <v>355</v>
      </c>
      <c r="B303" s="5" t="s">
        <v>8863</v>
      </c>
      <c r="C303" s="5" t="s">
        <v>66</v>
      </c>
      <c r="D303" s="5" t="s">
        <v>42</v>
      </c>
      <c r="E303" s="5" t="s">
        <v>3</v>
      </c>
      <c r="F303" s="6">
        <v>3223</v>
      </c>
      <c r="G303" s="6">
        <v>3940</v>
      </c>
      <c r="H303" s="148">
        <v>15</v>
      </c>
    </row>
    <row r="304" spans="1:8" ht="18.75" x14ac:dyDescent="0.25">
      <c r="A304" s="30" t="s">
        <v>356</v>
      </c>
      <c r="B304" s="5" t="s">
        <v>8760</v>
      </c>
      <c r="C304" s="5" t="s">
        <v>24</v>
      </c>
      <c r="D304" s="5" t="s">
        <v>97</v>
      </c>
      <c r="E304" s="5" t="s">
        <v>3</v>
      </c>
      <c r="F304" s="6">
        <v>6914</v>
      </c>
      <c r="G304" s="6">
        <v>8460</v>
      </c>
      <c r="H304" s="148">
        <v>10</v>
      </c>
    </row>
    <row r="305" spans="1:8" ht="18.75" x14ac:dyDescent="0.25">
      <c r="A305" s="30" t="s">
        <v>357</v>
      </c>
      <c r="B305" s="5" t="s">
        <v>8761</v>
      </c>
      <c r="C305" s="5" t="s">
        <v>108</v>
      </c>
      <c r="D305" s="5" t="s">
        <v>34</v>
      </c>
      <c r="E305" s="5" t="s">
        <v>3</v>
      </c>
      <c r="F305" s="6">
        <v>7550</v>
      </c>
      <c r="G305" s="6">
        <v>9070</v>
      </c>
      <c r="H305" s="148">
        <v>10</v>
      </c>
    </row>
    <row r="306" spans="1:8" ht="18.75" x14ac:dyDescent="0.25">
      <c r="A306" s="30" t="s">
        <v>358</v>
      </c>
      <c r="B306" s="5" t="s">
        <v>8869</v>
      </c>
      <c r="C306" s="5" t="s">
        <v>74</v>
      </c>
      <c r="D306" s="5" t="s">
        <v>8867</v>
      </c>
      <c r="E306" s="5" t="s">
        <v>3</v>
      </c>
      <c r="F306" s="6">
        <v>3087</v>
      </c>
      <c r="G306" s="6">
        <v>3970</v>
      </c>
      <c r="H306" s="148">
        <v>8</v>
      </c>
    </row>
    <row r="307" spans="1:8" ht="18.75" x14ac:dyDescent="0.25">
      <c r="A307" s="30" t="s">
        <v>359</v>
      </c>
      <c r="B307" s="5" t="s">
        <v>8754</v>
      </c>
      <c r="C307" s="5" t="s">
        <v>16</v>
      </c>
      <c r="D307" s="5" t="s">
        <v>17</v>
      </c>
      <c r="E307" s="5" t="s">
        <v>3</v>
      </c>
      <c r="F307" s="6">
        <v>922</v>
      </c>
      <c r="G307" s="6">
        <v>1140</v>
      </c>
      <c r="H307" s="148">
        <v>20</v>
      </c>
    </row>
    <row r="308" spans="1:8" ht="18.75" x14ac:dyDescent="0.25">
      <c r="A308" s="30" t="s">
        <v>360</v>
      </c>
      <c r="B308" s="5" t="s">
        <v>8701</v>
      </c>
      <c r="C308" s="5" t="s">
        <v>5</v>
      </c>
      <c r="D308" s="5" t="s">
        <v>103</v>
      </c>
      <c r="E308" s="5" t="s">
        <v>3</v>
      </c>
      <c r="F308" s="6">
        <v>23122</v>
      </c>
      <c r="G308" s="6">
        <v>29670</v>
      </c>
      <c r="H308" s="148">
        <v>8</v>
      </c>
    </row>
    <row r="309" spans="1:8" ht="18.75" x14ac:dyDescent="0.25">
      <c r="A309" s="30" t="s">
        <v>361</v>
      </c>
      <c r="B309" s="5" t="s">
        <v>8688</v>
      </c>
      <c r="C309" s="5" t="s">
        <v>5</v>
      </c>
      <c r="D309" s="5" t="s">
        <v>6</v>
      </c>
      <c r="E309" s="5" t="s">
        <v>3</v>
      </c>
      <c r="F309" s="6">
        <v>20576</v>
      </c>
      <c r="G309" s="6">
        <v>26570</v>
      </c>
      <c r="H309" s="148">
        <v>10</v>
      </c>
    </row>
    <row r="310" spans="1:8" ht="18.75" x14ac:dyDescent="0.25">
      <c r="A310" s="30" t="s">
        <v>362</v>
      </c>
      <c r="B310" s="5" t="s">
        <v>8698</v>
      </c>
      <c r="C310" s="5" t="s">
        <v>66</v>
      </c>
      <c r="D310" s="5" t="s">
        <v>9</v>
      </c>
      <c r="E310" s="5" t="s">
        <v>3</v>
      </c>
      <c r="F310" s="6">
        <v>3403</v>
      </c>
      <c r="G310" s="6">
        <v>4050</v>
      </c>
      <c r="H310" s="148">
        <v>15</v>
      </c>
    </row>
    <row r="311" spans="1:8" ht="18.75" x14ac:dyDescent="0.25">
      <c r="A311" s="30" t="s">
        <v>363</v>
      </c>
      <c r="B311" s="5" t="s">
        <v>8689</v>
      </c>
      <c r="C311" s="5" t="s">
        <v>8</v>
      </c>
      <c r="D311" s="5" t="s">
        <v>9</v>
      </c>
      <c r="E311" s="5" t="s">
        <v>3</v>
      </c>
      <c r="F311" s="6">
        <v>30731</v>
      </c>
      <c r="G311" s="6">
        <v>37430</v>
      </c>
      <c r="H311" s="148">
        <v>10</v>
      </c>
    </row>
    <row r="312" spans="1:8" ht="18.75" x14ac:dyDescent="0.25">
      <c r="A312" s="30" t="s">
        <v>364</v>
      </c>
      <c r="B312" s="5" t="s">
        <v>8701</v>
      </c>
      <c r="C312" s="5" t="s">
        <v>5</v>
      </c>
      <c r="D312" s="5" t="s">
        <v>103</v>
      </c>
      <c r="E312" s="5" t="s">
        <v>3</v>
      </c>
      <c r="F312" s="6">
        <v>36391</v>
      </c>
      <c r="G312" s="6">
        <v>41460</v>
      </c>
      <c r="H312" s="148">
        <v>8</v>
      </c>
    </row>
    <row r="313" spans="1:8" ht="18.75" x14ac:dyDescent="0.25">
      <c r="A313" s="30" t="s">
        <v>365</v>
      </c>
      <c r="B313" s="5" t="s">
        <v>8866</v>
      </c>
      <c r="C313" s="5" t="s">
        <v>19</v>
      </c>
      <c r="D313" s="5" t="s">
        <v>8867</v>
      </c>
      <c r="E313" s="5" t="s">
        <v>3</v>
      </c>
      <c r="F313" s="6">
        <v>1653</v>
      </c>
      <c r="G313" s="6">
        <v>2120</v>
      </c>
      <c r="H313" s="148">
        <v>8</v>
      </c>
    </row>
    <row r="314" spans="1:8" ht="18.75" x14ac:dyDescent="0.25">
      <c r="A314" s="30" t="s">
        <v>366</v>
      </c>
      <c r="B314" s="5" t="s">
        <v>8761</v>
      </c>
      <c r="C314" s="5" t="s">
        <v>108</v>
      </c>
      <c r="D314" s="5" t="s">
        <v>34</v>
      </c>
      <c r="E314" s="5" t="s">
        <v>3</v>
      </c>
      <c r="F314" s="6">
        <v>3896</v>
      </c>
      <c r="G314" s="6">
        <v>5140</v>
      </c>
      <c r="H314" s="148">
        <v>15</v>
      </c>
    </row>
    <row r="315" spans="1:8" ht="18.75" x14ac:dyDescent="0.25">
      <c r="A315" s="30" t="s">
        <v>367</v>
      </c>
      <c r="B315" s="5" t="s">
        <v>8757</v>
      </c>
      <c r="C315" s="5" t="s">
        <v>44</v>
      </c>
      <c r="D315" s="5" t="s">
        <v>45</v>
      </c>
      <c r="E315" s="5" t="s">
        <v>3</v>
      </c>
      <c r="F315" s="6">
        <v>4278</v>
      </c>
      <c r="G315" s="6">
        <v>4880</v>
      </c>
      <c r="H315" s="148">
        <v>20</v>
      </c>
    </row>
    <row r="316" spans="1:8" ht="18.75" x14ac:dyDescent="0.25">
      <c r="A316" s="30" t="s">
        <v>368</v>
      </c>
      <c r="B316" s="5" t="s">
        <v>8754</v>
      </c>
      <c r="C316" s="5" t="s">
        <v>16</v>
      </c>
      <c r="D316" s="5" t="s">
        <v>17</v>
      </c>
      <c r="E316" s="5" t="s">
        <v>3</v>
      </c>
      <c r="F316" s="6">
        <v>1031</v>
      </c>
      <c r="G316" s="6">
        <v>1270</v>
      </c>
      <c r="H316" s="148">
        <v>20</v>
      </c>
    </row>
    <row r="317" spans="1:8" ht="18.75" x14ac:dyDescent="0.25">
      <c r="A317" s="30" t="s">
        <v>369</v>
      </c>
      <c r="B317" s="5" t="s">
        <v>8865</v>
      </c>
      <c r="C317" s="5" t="s">
        <v>32</v>
      </c>
      <c r="D317" s="5" t="s">
        <v>42</v>
      </c>
      <c r="E317" s="5" t="s">
        <v>3</v>
      </c>
      <c r="F317" s="6">
        <v>1684</v>
      </c>
      <c r="G317" s="6">
        <v>2040</v>
      </c>
      <c r="H317" s="148">
        <v>25</v>
      </c>
    </row>
    <row r="318" spans="1:8" ht="18.75" x14ac:dyDescent="0.25">
      <c r="A318" s="30" t="s">
        <v>370</v>
      </c>
      <c r="B318" s="5" t="s">
        <v>8695</v>
      </c>
      <c r="C318" s="5" t="s">
        <v>11</v>
      </c>
      <c r="D318" s="5" t="s">
        <v>34</v>
      </c>
      <c r="E318" s="5" t="s">
        <v>3</v>
      </c>
      <c r="F318" s="6">
        <v>19276</v>
      </c>
      <c r="G318" s="6">
        <v>24770</v>
      </c>
      <c r="H318" s="148">
        <v>8</v>
      </c>
    </row>
    <row r="319" spans="1:8" ht="18.75" x14ac:dyDescent="0.25">
      <c r="A319" s="30" t="s">
        <v>371</v>
      </c>
      <c r="B319" s="5" t="s">
        <v>8854</v>
      </c>
      <c r="C319" s="5" t="s">
        <v>101</v>
      </c>
      <c r="D319" s="5" t="s">
        <v>90</v>
      </c>
      <c r="E319" s="5" t="s">
        <v>3</v>
      </c>
      <c r="F319" s="6">
        <v>372</v>
      </c>
      <c r="G319" s="6">
        <v>440</v>
      </c>
      <c r="H319" s="148">
        <v>20</v>
      </c>
    </row>
    <row r="320" spans="1:8" ht="18.75" x14ac:dyDescent="0.25">
      <c r="A320" s="30" t="s">
        <v>372</v>
      </c>
      <c r="B320" s="5" t="s">
        <v>8754</v>
      </c>
      <c r="C320" s="5" t="s">
        <v>16</v>
      </c>
      <c r="D320" s="5" t="s">
        <v>17</v>
      </c>
      <c r="E320" s="5" t="s">
        <v>3</v>
      </c>
      <c r="F320" s="6">
        <v>441</v>
      </c>
      <c r="G320" s="6">
        <v>580</v>
      </c>
      <c r="H320" s="148">
        <v>10</v>
      </c>
    </row>
    <row r="321" spans="1:8" ht="18.75" x14ac:dyDescent="0.25">
      <c r="A321" s="30" t="s">
        <v>373</v>
      </c>
      <c r="B321" s="5" t="s">
        <v>8688</v>
      </c>
      <c r="C321" s="5" t="s">
        <v>5</v>
      </c>
      <c r="D321" s="5" t="s">
        <v>6</v>
      </c>
      <c r="E321" s="5" t="s">
        <v>3</v>
      </c>
      <c r="F321" s="6">
        <v>8224</v>
      </c>
      <c r="G321" s="6">
        <v>9710</v>
      </c>
      <c r="H321" s="148">
        <v>15</v>
      </c>
    </row>
    <row r="322" spans="1:8" ht="18.75" x14ac:dyDescent="0.25">
      <c r="A322" s="30" t="s">
        <v>374</v>
      </c>
      <c r="B322" s="5" t="s">
        <v>8691</v>
      </c>
      <c r="C322" s="5" t="s">
        <v>13</v>
      </c>
      <c r="D322" s="5" t="s">
        <v>14</v>
      </c>
      <c r="E322" s="5" t="s">
        <v>3</v>
      </c>
      <c r="F322" s="6">
        <v>2510</v>
      </c>
      <c r="G322" s="6">
        <v>3010</v>
      </c>
      <c r="H322" s="148">
        <v>15</v>
      </c>
    </row>
    <row r="323" spans="1:8" ht="18.75" x14ac:dyDescent="0.25">
      <c r="A323" s="30" t="s">
        <v>375</v>
      </c>
      <c r="B323" s="5" t="s">
        <v>8846</v>
      </c>
      <c r="C323" s="5" t="s">
        <v>119</v>
      </c>
      <c r="D323" s="5" t="s">
        <v>83</v>
      </c>
      <c r="E323" s="5" t="s">
        <v>3</v>
      </c>
      <c r="F323" s="6">
        <v>4429</v>
      </c>
      <c r="G323" s="6">
        <v>4990</v>
      </c>
      <c r="H323" s="148">
        <v>5</v>
      </c>
    </row>
    <row r="324" spans="1:8" ht="18.75" x14ac:dyDescent="0.25">
      <c r="A324" s="30" t="s">
        <v>376</v>
      </c>
      <c r="B324" s="5" t="s">
        <v>8693</v>
      </c>
      <c r="C324" s="5" t="s">
        <v>39</v>
      </c>
      <c r="D324" s="5" t="s">
        <v>29</v>
      </c>
      <c r="E324" s="5" t="s">
        <v>3</v>
      </c>
      <c r="F324" s="6">
        <v>29934</v>
      </c>
      <c r="G324" s="6">
        <v>38140</v>
      </c>
      <c r="H324" s="148">
        <v>10</v>
      </c>
    </row>
    <row r="325" spans="1:8" ht="18.75" x14ac:dyDescent="0.25">
      <c r="A325" s="30" t="s">
        <v>377</v>
      </c>
      <c r="B325" s="5" t="s">
        <v>8702</v>
      </c>
      <c r="C325" s="5" t="s">
        <v>39</v>
      </c>
      <c r="D325" s="5" t="s">
        <v>196</v>
      </c>
      <c r="E325" s="5" t="s">
        <v>3</v>
      </c>
      <c r="F325" s="6">
        <v>54386</v>
      </c>
      <c r="G325" s="6">
        <v>68710</v>
      </c>
      <c r="H325" s="148">
        <v>20</v>
      </c>
    </row>
    <row r="326" spans="1:8" ht="18.75" x14ac:dyDescent="0.25">
      <c r="A326" s="30" t="s">
        <v>378</v>
      </c>
      <c r="B326" s="5" t="s">
        <v>8755</v>
      </c>
      <c r="C326" s="5" t="s">
        <v>24</v>
      </c>
      <c r="D326" s="5" t="s">
        <v>25</v>
      </c>
      <c r="E326" s="5" t="s">
        <v>3</v>
      </c>
      <c r="F326" s="6">
        <v>3476</v>
      </c>
      <c r="G326" s="6">
        <v>4420</v>
      </c>
      <c r="H326" s="148">
        <v>25</v>
      </c>
    </row>
    <row r="327" spans="1:8" ht="18.75" x14ac:dyDescent="0.25">
      <c r="A327" s="30" t="s">
        <v>379</v>
      </c>
      <c r="B327" s="5" t="s">
        <v>8702</v>
      </c>
      <c r="C327" s="5" t="s">
        <v>39</v>
      </c>
      <c r="D327" s="5" t="s">
        <v>196</v>
      </c>
      <c r="E327" s="5" t="s">
        <v>3</v>
      </c>
      <c r="F327" s="6">
        <v>66232</v>
      </c>
      <c r="G327" s="6">
        <v>74390</v>
      </c>
      <c r="H327" s="148">
        <v>8</v>
      </c>
    </row>
    <row r="328" spans="1:8" ht="18.75" x14ac:dyDescent="0.25">
      <c r="A328" s="30" t="s">
        <v>380</v>
      </c>
      <c r="B328" s="5" t="s">
        <v>8702</v>
      </c>
      <c r="C328" s="5" t="s">
        <v>39</v>
      </c>
      <c r="D328" s="5" t="s">
        <v>196</v>
      </c>
      <c r="E328" s="5" t="s">
        <v>3</v>
      </c>
      <c r="F328" s="6">
        <v>72229</v>
      </c>
      <c r="G328" s="6">
        <v>91320</v>
      </c>
      <c r="H328" s="148">
        <v>10</v>
      </c>
    </row>
    <row r="329" spans="1:8" ht="18.75" x14ac:dyDescent="0.25">
      <c r="A329" s="30" t="s">
        <v>381</v>
      </c>
      <c r="B329" s="5" t="s">
        <v>8863</v>
      </c>
      <c r="C329" s="5" t="s">
        <v>66</v>
      </c>
      <c r="D329" s="5" t="s">
        <v>42</v>
      </c>
      <c r="E329" s="5" t="s">
        <v>3</v>
      </c>
      <c r="F329" s="6">
        <v>829</v>
      </c>
      <c r="G329" s="6">
        <v>990</v>
      </c>
      <c r="H329" s="148">
        <v>15</v>
      </c>
    </row>
    <row r="330" spans="1:8" ht="18.75" x14ac:dyDescent="0.25">
      <c r="A330" s="30" t="s">
        <v>382</v>
      </c>
      <c r="B330" s="5" t="s">
        <v>8701</v>
      </c>
      <c r="C330" s="5" t="s">
        <v>5</v>
      </c>
      <c r="D330" s="5" t="s">
        <v>103</v>
      </c>
      <c r="E330" s="5" t="s">
        <v>3</v>
      </c>
      <c r="F330" s="6">
        <v>27552</v>
      </c>
      <c r="G330" s="6">
        <v>32930</v>
      </c>
      <c r="H330" s="148">
        <v>25</v>
      </c>
    </row>
    <row r="331" spans="1:8" ht="18.75" x14ac:dyDescent="0.25">
      <c r="A331" s="30" t="s">
        <v>383</v>
      </c>
      <c r="B331" s="5" t="s">
        <v>8694</v>
      </c>
      <c r="C331" s="5" t="s">
        <v>32</v>
      </c>
      <c r="D331" s="5" t="s">
        <v>22</v>
      </c>
      <c r="E331" s="5" t="s">
        <v>3</v>
      </c>
      <c r="F331" s="6">
        <v>2478</v>
      </c>
      <c r="G331" s="6">
        <v>3080</v>
      </c>
      <c r="H331" s="148">
        <v>20</v>
      </c>
    </row>
    <row r="332" spans="1:8" ht="18.75" x14ac:dyDescent="0.25">
      <c r="A332" s="30" t="s">
        <v>384</v>
      </c>
      <c r="B332" s="5" t="s">
        <v>8761</v>
      </c>
      <c r="C332" s="5" t="s">
        <v>108</v>
      </c>
      <c r="D332" s="5" t="s">
        <v>34</v>
      </c>
      <c r="E332" s="5" t="s">
        <v>3</v>
      </c>
      <c r="F332" s="6">
        <v>12176</v>
      </c>
      <c r="G332" s="6">
        <v>14770</v>
      </c>
      <c r="H332" s="148">
        <v>25</v>
      </c>
    </row>
    <row r="333" spans="1:8" ht="18.75" x14ac:dyDescent="0.25">
      <c r="A333" s="30" t="s">
        <v>385</v>
      </c>
      <c r="B333" s="5" t="s">
        <v>8691</v>
      </c>
      <c r="C333" s="5" t="s">
        <v>13</v>
      </c>
      <c r="D333" s="5" t="s">
        <v>14</v>
      </c>
      <c r="E333" s="5" t="s">
        <v>3</v>
      </c>
      <c r="F333" s="6">
        <v>1060</v>
      </c>
      <c r="G333" s="6">
        <v>1280</v>
      </c>
      <c r="H333" s="148">
        <v>8</v>
      </c>
    </row>
    <row r="334" spans="1:8" ht="18.75" x14ac:dyDescent="0.25">
      <c r="A334" s="30" t="s">
        <v>386</v>
      </c>
      <c r="B334" s="5" t="s">
        <v>8754</v>
      </c>
      <c r="C334" s="5" t="s">
        <v>16</v>
      </c>
      <c r="D334" s="5" t="s">
        <v>17</v>
      </c>
      <c r="E334" s="5" t="s">
        <v>3</v>
      </c>
      <c r="F334" s="6">
        <v>534</v>
      </c>
      <c r="G334" s="6">
        <v>700</v>
      </c>
      <c r="H334" s="148">
        <v>10</v>
      </c>
    </row>
    <row r="335" spans="1:8" ht="18.75" x14ac:dyDescent="0.25">
      <c r="A335" s="30" t="s">
        <v>387</v>
      </c>
      <c r="B335" s="5" t="s">
        <v>8862</v>
      </c>
      <c r="C335" s="5" t="s">
        <v>5</v>
      </c>
      <c r="D335" s="5" t="s">
        <v>42</v>
      </c>
      <c r="E335" s="5" t="s">
        <v>3</v>
      </c>
      <c r="F335" s="6">
        <v>12111</v>
      </c>
      <c r="G335" s="6">
        <v>14390</v>
      </c>
      <c r="H335" s="148">
        <v>10</v>
      </c>
    </row>
    <row r="336" spans="1:8" ht="18.75" x14ac:dyDescent="0.25">
      <c r="A336" s="30" t="s">
        <v>388</v>
      </c>
      <c r="B336" s="5" t="s">
        <v>8700</v>
      </c>
      <c r="C336" s="5" t="s">
        <v>39</v>
      </c>
      <c r="D336" s="5" t="s">
        <v>9</v>
      </c>
      <c r="E336" s="5" t="s">
        <v>3</v>
      </c>
      <c r="F336" s="6">
        <v>57116</v>
      </c>
      <c r="G336" s="6">
        <v>68790</v>
      </c>
      <c r="H336" s="148">
        <v>15</v>
      </c>
    </row>
    <row r="337" spans="1:8" ht="18.75" x14ac:dyDescent="0.25">
      <c r="A337" s="30" t="s">
        <v>389</v>
      </c>
      <c r="B337" s="5" t="s">
        <v>8870</v>
      </c>
      <c r="C337" s="5" t="s">
        <v>142</v>
      </c>
      <c r="D337" s="5" t="s">
        <v>143</v>
      </c>
      <c r="E337" s="5" t="s">
        <v>3</v>
      </c>
      <c r="F337" s="6">
        <v>9003</v>
      </c>
      <c r="G337" s="6">
        <v>10530</v>
      </c>
      <c r="H337" s="148">
        <v>15</v>
      </c>
    </row>
    <row r="338" spans="1:8" ht="18.75" x14ac:dyDescent="0.25">
      <c r="A338" s="30" t="s">
        <v>390</v>
      </c>
      <c r="B338" s="5" t="s">
        <v>8869</v>
      </c>
      <c r="C338" s="5" t="s">
        <v>74</v>
      </c>
      <c r="D338" s="5" t="s">
        <v>8867</v>
      </c>
      <c r="E338" s="5" t="s">
        <v>3</v>
      </c>
      <c r="F338" s="6">
        <v>3799</v>
      </c>
      <c r="G338" s="6">
        <v>4620</v>
      </c>
      <c r="H338" s="148">
        <v>20</v>
      </c>
    </row>
    <row r="339" spans="1:8" ht="18.75" x14ac:dyDescent="0.25">
      <c r="A339" s="30" t="s">
        <v>391</v>
      </c>
      <c r="B339" s="5" t="s">
        <v>8850</v>
      </c>
      <c r="C339" s="5" t="s">
        <v>8852</v>
      </c>
      <c r="D339" s="5" t="s">
        <v>138</v>
      </c>
      <c r="E339" s="5" t="s">
        <v>3</v>
      </c>
      <c r="F339" s="6">
        <v>8047</v>
      </c>
      <c r="G339" s="6">
        <v>10370</v>
      </c>
      <c r="H339" s="148">
        <v>20</v>
      </c>
    </row>
    <row r="340" spans="1:8" ht="18.75" x14ac:dyDescent="0.25">
      <c r="A340" s="30" t="s">
        <v>392</v>
      </c>
      <c r="B340" s="5" t="s">
        <v>8858</v>
      </c>
      <c r="C340" s="5" t="s">
        <v>54</v>
      </c>
      <c r="D340" s="5" t="s">
        <v>63</v>
      </c>
      <c r="E340" s="5" t="s">
        <v>3</v>
      </c>
      <c r="F340" s="6">
        <v>2573</v>
      </c>
      <c r="G340" s="6">
        <v>3320</v>
      </c>
      <c r="H340" s="148">
        <v>20</v>
      </c>
    </row>
    <row r="341" spans="1:8" ht="18.75" x14ac:dyDescent="0.25">
      <c r="A341" s="30" t="s">
        <v>393</v>
      </c>
      <c r="B341" s="5" t="s">
        <v>8846</v>
      </c>
      <c r="C341" s="5" t="s">
        <v>119</v>
      </c>
      <c r="D341" s="5" t="s">
        <v>83</v>
      </c>
      <c r="E341" s="5" t="s">
        <v>3</v>
      </c>
      <c r="F341" s="6">
        <v>2584</v>
      </c>
      <c r="G341" s="6">
        <v>3240</v>
      </c>
      <c r="H341" s="148">
        <v>20</v>
      </c>
    </row>
    <row r="342" spans="1:8" ht="18.75" x14ac:dyDescent="0.25">
      <c r="A342" s="30" t="s">
        <v>394</v>
      </c>
      <c r="B342" s="5" t="s">
        <v>8697</v>
      </c>
      <c r="C342" s="5" t="s">
        <v>44</v>
      </c>
      <c r="D342" s="5" t="s">
        <v>14</v>
      </c>
      <c r="E342" s="5" t="s">
        <v>3</v>
      </c>
      <c r="F342" s="6">
        <v>1446</v>
      </c>
      <c r="G342" s="6">
        <v>1720</v>
      </c>
      <c r="H342" s="148">
        <v>25</v>
      </c>
    </row>
    <row r="343" spans="1:8" ht="18.75" x14ac:dyDescent="0.25">
      <c r="A343" s="30" t="s">
        <v>395</v>
      </c>
      <c r="B343" s="5" t="s">
        <v>8846</v>
      </c>
      <c r="C343" s="5" t="s">
        <v>119</v>
      </c>
      <c r="D343" s="5" t="s">
        <v>83</v>
      </c>
      <c r="E343" s="5" t="s">
        <v>3</v>
      </c>
      <c r="F343" s="6">
        <v>4422</v>
      </c>
      <c r="G343" s="6">
        <v>5010</v>
      </c>
      <c r="H343" s="148">
        <v>8</v>
      </c>
    </row>
    <row r="344" spans="1:8" ht="18.75" x14ac:dyDescent="0.25">
      <c r="A344" s="30" t="s">
        <v>396</v>
      </c>
      <c r="B344" s="5" t="s">
        <v>8873</v>
      </c>
      <c r="C344" s="5" t="s">
        <v>39</v>
      </c>
      <c r="D344" s="5" t="s">
        <v>42</v>
      </c>
      <c r="E344" s="5" t="s">
        <v>3</v>
      </c>
      <c r="F344" s="6">
        <v>63314</v>
      </c>
      <c r="G344" s="6">
        <v>77100</v>
      </c>
      <c r="H344" s="148">
        <v>8</v>
      </c>
    </row>
    <row r="345" spans="1:8" ht="18.75" x14ac:dyDescent="0.25">
      <c r="A345" s="30" t="s">
        <v>397</v>
      </c>
      <c r="B345" s="5" t="s">
        <v>8700</v>
      </c>
      <c r="C345" s="5" t="s">
        <v>39</v>
      </c>
      <c r="D345" s="5" t="s">
        <v>9</v>
      </c>
      <c r="E345" s="5" t="s">
        <v>3</v>
      </c>
      <c r="F345" s="6">
        <v>60817</v>
      </c>
      <c r="G345" s="6">
        <v>69400</v>
      </c>
      <c r="H345" s="148">
        <v>20</v>
      </c>
    </row>
    <row r="346" spans="1:8" ht="18.75" x14ac:dyDescent="0.25">
      <c r="A346" s="30" t="s">
        <v>398</v>
      </c>
      <c r="B346" s="5" t="s">
        <v>8703</v>
      </c>
      <c r="C346" s="5" t="s">
        <v>74</v>
      </c>
      <c r="D346" s="5" t="s">
        <v>278</v>
      </c>
      <c r="E346" s="5" t="s">
        <v>3</v>
      </c>
      <c r="F346" s="6">
        <v>4825</v>
      </c>
      <c r="G346" s="6">
        <v>5420</v>
      </c>
      <c r="H346" s="148">
        <v>10</v>
      </c>
    </row>
    <row r="347" spans="1:8" ht="18.75" x14ac:dyDescent="0.25">
      <c r="A347" s="30" t="s">
        <v>399</v>
      </c>
      <c r="B347" s="5" t="s">
        <v>8689</v>
      </c>
      <c r="C347" s="5" t="s">
        <v>8</v>
      </c>
      <c r="D347" s="5" t="s">
        <v>9</v>
      </c>
      <c r="E347" s="5" t="s">
        <v>3</v>
      </c>
      <c r="F347" s="6">
        <v>35080</v>
      </c>
      <c r="G347" s="6">
        <v>43510</v>
      </c>
      <c r="H347" s="148">
        <v>20</v>
      </c>
    </row>
    <row r="348" spans="1:8" ht="18.75" x14ac:dyDescent="0.25">
      <c r="A348" s="30" t="s">
        <v>400</v>
      </c>
      <c r="B348" s="5" t="s">
        <v>8866</v>
      </c>
      <c r="C348" s="5" t="s">
        <v>19</v>
      </c>
      <c r="D348" s="5" t="s">
        <v>8867</v>
      </c>
      <c r="E348" s="5" t="s">
        <v>3</v>
      </c>
      <c r="F348" s="6">
        <v>1065</v>
      </c>
      <c r="G348" s="6">
        <v>1320</v>
      </c>
      <c r="H348" s="148">
        <v>15</v>
      </c>
    </row>
    <row r="349" spans="1:8" ht="18.75" x14ac:dyDescent="0.25">
      <c r="A349" s="30" t="s">
        <v>401</v>
      </c>
      <c r="B349" s="5" t="s">
        <v>8759</v>
      </c>
      <c r="C349" s="5" t="s">
        <v>60</v>
      </c>
      <c r="D349" s="5" t="s">
        <v>8861</v>
      </c>
      <c r="E349" s="5" t="s">
        <v>3</v>
      </c>
      <c r="F349" s="6">
        <v>517</v>
      </c>
      <c r="G349" s="6">
        <v>670</v>
      </c>
      <c r="H349" s="148">
        <v>20</v>
      </c>
    </row>
    <row r="350" spans="1:8" ht="18.75" x14ac:dyDescent="0.25">
      <c r="A350" s="30" t="s">
        <v>402</v>
      </c>
      <c r="B350" s="5" t="s">
        <v>8692</v>
      </c>
      <c r="C350" s="5" t="s">
        <v>21</v>
      </c>
      <c r="D350" s="5" t="s">
        <v>22</v>
      </c>
      <c r="E350" s="5" t="s">
        <v>3</v>
      </c>
      <c r="F350" s="6">
        <v>2925</v>
      </c>
      <c r="G350" s="6">
        <v>3500</v>
      </c>
      <c r="H350" s="148">
        <v>20</v>
      </c>
    </row>
    <row r="351" spans="1:8" ht="18.75" x14ac:dyDescent="0.25">
      <c r="A351" s="30" t="s">
        <v>403</v>
      </c>
      <c r="B351" s="5" t="s">
        <v>8858</v>
      </c>
      <c r="C351" s="5" t="s">
        <v>54</v>
      </c>
      <c r="D351" s="5" t="s">
        <v>63</v>
      </c>
      <c r="E351" s="5" t="s">
        <v>3</v>
      </c>
      <c r="F351" s="6">
        <v>13869</v>
      </c>
      <c r="G351" s="6">
        <v>15810</v>
      </c>
      <c r="H351" s="148">
        <v>5</v>
      </c>
    </row>
    <row r="352" spans="1:8" ht="18.75" x14ac:dyDescent="0.25">
      <c r="A352" s="30" t="s">
        <v>404</v>
      </c>
      <c r="B352" s="5" t="s">
        <v>8696</v>
      </c>
      <c r="C352" s="5" t="s">
        <v>21</v>
      </c>
      <c r="D352" s="5" t="s">
        <v>9</v>
      </c>
      <c r="E352" s="5" t="s">
        <v>3</v>
      </c>
      <c r="F352" s="6">
        <v>2655</v>
      </c>
      <c r="G352" s="6">
        <v>3410</v>
      </c>
      <c r="H352" s="148">
        <v>25</v>
      </c>
    </row>
    <row r="353" spans="1:8" ht="18.75" x14ac:dyDescent="0.25">
      <c r="A353" s="30" t="s">
        <v>405</v>
      </c>
      <c r="B353" s="5" t="s">
        <v>8866</v>
      </c>
      <c r="C353" s="5" t="s">
        <v>19</v>
      </c>
      <c r="D353" s="5" t="s">
        <v>8867</v>
      </c>
      <c r="E353" s="5" t="s">
        <v>3</v>
      </c>
      <c r="F353" s="6">
        <v>1259</v>
      </c>
      <c r="G353" s="6">
        <v>1470</v>
      </c>
      <c r="H353" s="148">
        <v>10</v>
      </c>
    </row>
    <row r="354" spans="1:8" ht="18.75" x14ac:dyDescent="0.25">
      <c r="A354" s="30" t="s">
        <v>406</v>
      </c>
      <c r="B354" s="5" t="s">
        <v>8846</v>
      </c>
      <c r="C354" s="5" t="s">
        <v>119</v>
      </c>
      <c r="D354" s="5" t="s">
        <v>83</v>
      </c>
      <c r="E354" s="5" t="s">
        <v>3</v>
      </c>
      <c r="F354" s="6">
        <v>1517</v>
      </c>
      <c r="G354" s="6">
        <v>1710</v>
      </c>
      <c r="H354" s="148">
        <v>15</v>
      </c>
    </row>
    <row r="355" spans="1:8" ht="18.75" x14ac:dyDescent="0.25">
      <c r="A355" s="30" t="s">
        <v>407</v>
      </c>
      <c r="B355" s="5" t="s">
        <v>8693</v>
      </c>
      <c r="C355" s="5" t="s">
        <v>39</v>
      </c>
      <c r="D355" s="5" t="s">
        <v>29</v>
      </c>
      <c r="E355" s="5" t="s">
        <v>3</v>
      </c>
      <c r="F355" s="6">
        <v>38335</v>
      </c>
      <c r="G355" s="6">
        <v>44700</v>
      </c>
      <c r="H355" s="148">
        <v>10</v>
      </c>
    </row>
    <row r="356" spans="1:8" ht="18.75" x14ac:dyDescent="0.25">
      <c r="A356" s="30" t="s">
        <v>408</v>
      </c>
      <c r="B356" s="5" t="s">
        <v>8873</v>
      </c>
      <c r="C356" s="5" t="s">
        <v>39</v>
      </c>
      <c r="D356" s="5" t="s">
        <v>42</v>
      </c>
      <c r="E356" s="5" t="s">
        <v>3</v>
      </c>
      <c r="F356" s="6">
        <v>79437</v>
      </c>
      <c r="G356" s="6">
        <v>93130</v>
      </c>
      <c r="H356" s="148">
        <v>20</v>
      </c>
    </row>
    <row r="357" spans="1:8" ht="18.75" x14ac:dyDescent="0.25">
      <c r="A357" s="30" t="s">
        <v>409</v>
      </c>
      <c r="B357" s="5" t="s">
        <v>8759</v>
      </c>
      <c r="C357" s="5" t="s">
        <v>8859</v>
      </c>
      <c r="D357" s="5" t="s">
        <v>8861</v>
      </c>
      <c r="E357" s="5" t="s">
        <v>3</v>
      </c>
      <c r="F357" s="6">
        <v>644</v>
      </c>
      <c r="G357" s="6">
        <v>760</v>
      </c>
      <c r="H357" s="148">
        <v>25</v>
      </c>
    </row>
    <row r="358" spans="1:8" ht="18.75" x14ac:dyDescent="0.25">
      <c r="A358" s="30" t="s">
        <v>410</v>
      </c>
      <c r="B358" s="5" t="s">
        <v>8857</v>
      </c>
      <c r="C358" s="5" t="s">
        <v>54</v>
      </c>
      <c r="D358" s="5" t="s">
        <v>55</v>
      </c>
      <c r="E358" s="5" t="s">
        <v>3</v>
      </c>
      <c r="F358" s="6">
        <v>9953</v>
      </c>
      <c r="G358" s="6">
        <v>12250</v>
      </c>
      <c r="H358" s="148">
        <v>5</v>
      </c>
    </row>
    <row r="359" spans="1:8" ht="18.75" x14ac:dyDescent="0.25">
      <c r="A359" s="30" t="s">
        <v>411</v>
      </c>
      <c r="B359" s="5" t="s">
        <v>8699</v>
      </c>
      <c r="C359" s="5" t="s">
        <v>8860</v>
      </c>
      <c r="D359" s="5" t="s">
        <v>22</v>
      </c>
      <c r="E359" s="5" t="s">
        <v>3</v>
      </c>
      <c r="F359" s="6">
        <v>2088</v>
      </c>
      <c r="G359" s="6">
        <v>2350</v>
      </c>
      <c r="H359" s="148">
        <v>15</v>
      </c>
    </row>
    <row r="360" spans="1:8" ht="18.75" x14ac:dyDescent="0.25">
      <c r="A360" s="30" t="s">
        <v>412</v>
      </c>
      <c r="B360" s="5" t="s">
        <v>8690</v>
      </c>
      <c r="C360" s="5" t="s">
        <v>11</v>
      </c>
      <c r="D360" s="5" t="s">
        <v>9</v>
      </c>
      <c r="E360" s="5" t="s">
        <v>3</v>
      </c>
      <c r="F360" s="6">
        <v>23332</v>
      </c>
      <c r="G360" s="6">
        <v>30230</v>
      </c>
      <c r="H360" s="148">
        <v>15</v>
      </c>
    </row>
    <row r="361" spans="1:8" ht="18.75" x14ac:dyDescent="0.25">
      <c r="A361" s="30" t="s">
        <v>413</v>
      </c>
      <c r="B361" s="5" t="s">
        <v>8762</v>
      </c>
      <c r="C361" s="5" t="s">
        <v>108</v>
      </c>
      <c r="D361" s="5" t="s">
        <v>146</v>
      </c>
      <c r="E361" s="5" t="s">
        <v>3</v>
      </c>
      <c r="F361" s="6">
        <v>8700</v>
      </c>
      <c r="G361" s="6">
        <v>10780</v>
      </c>
      <c r="H361" s="148">
        <v>8</v>
      </c>
    </row>
    <row r="362" spans="1:8" ht="18.75" x14ac:dyDescent="0.25">
      <c r="A362" s="30" t="s">
        <v>414</v>
      </c>
      <c r="B362" s="5" t="s">
        <v>8692</v>
      </c>
      <c r="C362" s="5" t="s">
        <v>21</v>
      </c>
      <c r="D362" s="5" t="s">
        <v>22</v>
      </c>
      <c r="E362" s="5" t="s">
        <v>3</v>
      </c>
      <c r="F362" s="6">
        <v>1695</v>
      </c>
      <c r="G362" s="6">
        <v>2030</v>
      </c>
      <c r="H362" s="148">
        <v>8</v>
      </c>
    </row>
    <row r="363" spans="1:8" ht="18.75" x14ac:dyDescent="0.25">
      <c r="A363" s="30" t="s">
        <v>415</v>
      </c>
      <c r="B363" s="5" t="s">
        <v>8846</v>
      </c>
      <c r="C363" s="5" t="s">
        <v>119</v>
      </c>
      <c r="D363" s="5" t="s">
        <v>83</v>
      </c>
      <c r="E363" s="5" t="s">
        <v>3</v>
      </c>
      <c r="F363" s="6">
        <v>4146</v>
      </c>
      <c r="G363" s="6">
        <v>5180</v>
      </c>
      <c r="H363" s="148">
        <v>15</v>
      </c>
    </row>
    <row r="364" spans="1:8" ht="18.75" x14ac:dyDescent="0.25">
      <c r="A364" s="30" t="s">
        <v>416</v>
      </c>
      <c r="B364" s="5" t="s">
        <v>8854</v>
      </c>
      <c r="C364" s="5" t="s">
        <v>101</v>
      </c>
      <c r="D364" s="5" t="s">
        <v>90</v>
      </c>
      <c r="E364" s="5" t="s">
        <v>3</v>
      </c>
      <c r="F364" s="6">
        <v>726</v>
      </c>
      <c r="G364" s="6">
        <v>960</v>
      </c>
      <c r="H364" s="148">
        <v>8</v>
      </c>
    </row>
    <row r="365" spans="1:8" ht="18.75" x14ac:dyDescent="0.25">
      <c r="A365" s="30" t="s">
        <v>417</v>
      </c>
      <c r="B365" s="5" t="s">
        <v>8863</v>
      </c>
      <c r="C365" s="5" t="s">
        <v>66</v>
      </c>
      <c r="D365" s="5" t="s">
        <v>42</v>
      </c>
      <c r="E365" s="5" t="s">
        <v>3</v>
      </c>
      <c r="F365" s="6">
        <v>3422</v>
      </c>
      <c r="G365" s="6">
        <v>4330</v>
      </c>
      <c r="H365" s="148">
        <v>25</v>
      </c>
    </row>
    <row r="366" spans="1:8" ht="18.75" x14ac:dyDescent="0.25">
      <c r="A366" s="30" t="s">
        <v>418</v>
      </c>
      <c r="B366" s="5" t="s">
        <v>8869</v>
      </c>
      <c r="C366" s="5" t="s">
        <v>74</v>
      </c>
      <c r="D366" s="5" t="s">
        <v>8867</v>
      </c>
      <c r="E366" s="5" t="s">
        <v>3</v>
      </c>
      <c r="F366" s="6">
        <v>5541</v>
      </c>
      <c r="G366" s="6">
        <v>6750</v>
      </c>
      <c r="H366" s="148">
        <v>8</v>
      </c>
    </row>
    <row r="367" spans="1:8" ht="18.75" x14ac:dyDescent="0.25">
      <c r="A367" s="30" t="s">
        <v>419</v>
      </c>
      <c r="B367" s="5" t="s">
        <v>8870</v>
      </c>
      <c r="C367" s="5" t="s">
        <v>142</v>
      </c>
      <c r="D367" s="5" t="s">
        <v>143</v>
      </c>
      <c r="E367" s="5" t="s">
        <v>3</v>
      </c>
      <c r="F367" s="6">
        <v>7279</v>
      </c>
      <c r="G367" s="6">
        <v>8930</v>
      </c>
      <c r="H367" s="148">
        <v>20</v>
      </c>
    </row>
    <row r="368" spans="1:8" ht="18.75" x14ac:dyDescent="0.25">
      <c r="A368" s="30" t="s">
        <v>420</v>
      </c>
      <c r="B368" s="5" t="s">
        <v>8692</v>
      </c>
      <c r="C368" s="5" t="s">
        <v>21</v>
      </c>
      <c r="D368" s="5" t="s">
        <v>22</v>
      </c>
      <c r="E368" s="5" t="s">
        <v>3</v>
      </c>
      <c r="F368" s="6">
        <v>3054</v>
      </c>
      <c r="G368" s="6">
        <v>3430</v>
      </c>
      <c r="H368" s="148">
        <v>10</v>
      </c>
    </row>
    <row r="369" spans="1:8" ht="18.75" x14ac:dyDescent="0.25">
      <c r="A369" s="30" t="s">
        <v>421</v>
      </c>
      <c r="B369" s="5" t="s">
        <v>8854</v>
      </c>
      <c r="C369" s="5" t="s">
        <v>101</v>
      </c>
      <c r="D369" s="5" t="s">
        <v>90</v>
      </c>
      <c r="E369" s="5" t="s">
        <v>3</v>
      </c>
      <c r="F369" s="6">
        <v>233</v>
      </c>
      <c r="G369" s="6">
        <v>270</v>
      </c>
      <c r="H369" s="148">
        <v>25</v>
      </c>
    </row>
    <row r="370" spans="1:8" ht="18.75" x14ac:dyDescent="0.25">
      <c r="A370" s="30" t="s">
        <v>422</v>
      </c>
      <c r="B370" s="5" t="s">
        <v>8857</v>
      </c>
      <c r="C370" s="5" t="s">
        <v>54</v>
      </c>
      <c r="D370" s="5" t="s">
        <v>55</v>
      </c>
      <c r="E370" s="5" t="s">
        <v>3</v>
      </c>
      <c r="F370" s="6">
        <v>5548</v>
      </c>
      <c r="G370" s="6">
        <v>6450</v>
      </c>
      <c r="H370" s="148">
        <v>10</v>
      </c>
    </row>
    <row r="371" spans="1:8" ht="18.75" x14ac:dyDescent="0.25">
      <c r="A371" s="30" t="s">
        <v>423</v>
      </c>
      <c r="B371" s="5" t="s">
        <v>8873</v>
      </c>
      <c r="C371" s="5" t="s">
        <v>39</v>
      </c>
      <c r="D371" s="5" t="s">
        <v>42</v>
      </c>
      <c r="E371" s="5" t="s">
        <v>3</v>
      </c>
      <c r="F371" s="6">
        <v>33151</v>
      </c>
      <c r="G371" s="6">
        <v>40880</v>
      </c>
      <c r="H371" s="148">
        <v>25</v>
      </c>
    </row>
    <row r="372" spans="1:8" ht="18.75" x14ac:dyDescent="0.25">
      <c r="A372" s="30" t="s">
        <v>424</v>
      </c>
      <c r="B372" s="5" t="s">
        <v>8868</v>
      </c>
      <c r="C372" s="5" t="s">
        <v>37</v>
      </c>
      <c r="D372" s="5" t="s">
        <v>8867</v>
      </c>
      <c r="E372" s="5" t="s">
        <v>3</v>
      </c>
      <c r="F372" s="6">
        <v>598</v>
      </c>
      <c r="G372" s="6">
        <v>690</v>
      </c>
      <c r="H372" s="148">
        <v>25</v>
      </c>
    </row>
    <row r="373" spans="1:8" ht="18.75" x14ac:dyDescent="0.25">
      <c r="A373" s="30" t="s">
        <v>425</v>
      </c>
      <c r="B373" s="5" t="s">
        <v>8870</v>
      </c>
      <c r="C373" s="5" t="s">
        <v>142</v>
      </c>
      <c r="D373" s="5" t="s">
        <v>143</v>
      </c>
      <c r="E373" s="5" t="s">
        <v>3</v>
      </c>
      <c r="F373" s="6">
        <v>6244</v>
      </c>
      <c r="G373" s="6">
        <v>7660</v>
      </c>
      <c r="H373" s="148">
        <v>8</v>
      </c>
    </row>
    <row r="374" spans="1:8" ht="18.75" x14ac:dyDescent="0.25">
      <c r="A374" s="30" t="s">
        <v>426</v>
      </c>
      <c r="B374" s="5" t="s">
        <v>8757</v>
      </c>
      <c r="C374" s="5" t="s">
        <v>44</v>
      </c>
      <c r="D374" s="5" t="s">
        <v>45</v>
      </c>
      <c r="E374" s="5" t="s">
        <v>3</v>
      </c>
      <c r="F374" s="6">
        <v>4401</v>
      </c>
      <c r="G374" s="6">
        <v>5260</v>
      </c>
      <c r="H374" s="148">
        <v>20</v>
      </c>
    </row>
    <row r="375" spans="1:8" ht="18.75" x14ac:dyDescent="0.25">
      <c r="A375" s="30" t="s">
        <v>427</v>
      </c>
      <c r="B375" s="5" t="s">
        <v>8694</v>
      </c>
      <c r="C375" s="5" t="s">
        <v>32</v>
      </c>
      <c r="D375" s="5" t="s">
        <v>22</v>
      </c>
      <c r="E375" s="5" t="s">
        <v>3</v>
      </c>
      <c r="F375" s="6">
        <v>970</v>
      </c>
      <c r="G375" s="6">
        <v>1190</v>
      </c>
      <c r="H375" s="148">
        <v>15</v>
      </c>
    </row>
    <row r="376" spans="1:8" ht="18.75" x14ac:dyDescent="0.25">
      <c r="A376" s="30" t="s">
        <v>428</v>
      </c>
      <c r="B376" s="5" t="s">
        <v>8857</v>
      </c>
      <c r="C376" s="5" t="s">
        <v>54</v>
      </c>
      <c r="D376" s="5" t="s">
        <v>55</v>
      </c>
      <c r="E376" s="5" t="s">
        <v>3</v>
      </c>
      <c r="F376" s="6">
        <v>6736</v>
      </c>
      <c r="G376" s="6">
        <v>8450</v>
      </c>
      <c r="H376" s="148">
        <v>10</v>
      </c>
    </row>
    <row r="377" spans="1:8" ht="18.75" x14ac:dyDescent="0.25">
      <c r="A377" s="30" t="s">
        <v>429</v>
      </c>
      <c r="B377" s="5" t="s">
        <v>8754</v>
      </c>
      <c r="C377" s="5" t="s">
        <v>16</v>
      </c>
      <c r="D377" s="5" t="s">
        <v>17</v>
      </c>
      <c r="E377" s="5" t="s">
        <v>3</v>
      </c>
      <c r="F377" s="6">
        <v>1959</v>
      </c>
      <c r="G377" s="6">
        <v>2290</v>
      </c>
      <c r="H377" s="148">
        <v>10</v>
      </c>
    </row>
    <row r="378" spans="1:8" ht="18.75" x14ac:dyDescent="0.25">
      <c r="A378" s="30" t="s">
        <v>430</v>
      </c>
      <c r="B378" s="5" t="s">
        <v>8757</v>
      </c>
      <c r="C378" s="5" t="s">
        <v>44</v>
      </c>
      <c r="D378" s="5" t="s">
        <v>45</v>
      </c>
      <c r="E378" s="5" t="s">
        <v>3</v>
      </c>
      <c r="F378" s="6">
        <v>5339</v>
      </c>
      <c r="G378" s="6">
        <v>6890</v>
      </c>
      <c r="H378" s="148">
        <v>15</v>
      </c>
    </row>
    <row r="379" spans="1:8" ht="18.75" x14ac:dyDescent="0.25">
      <c r="A379" s="30" t="s">
        <v>431</v>
      </c>
      <c r="B379" s="5" t="s">
        <v>8701</v>
      </c>
      <c r="C379" s="5" t="s">
        <v>5</v>
      </c>
      <c r="D379" s="5" t="s">
        <v>103</v>
      </c>
      <c r="E379" s="5" t="s">
        <v>3</v>
      </c>
      <c r="F379" s="6">
        <v>14391</v>
      </c>
      <c r="G379" s="6">
        <v>17260</v>
      </c>
      <c r="H379" s="148">
        <v>20</v>
      </c>
    </row>
    <row r="380" spans="1:8" ht="18.75" x14ac:dyDescent="0.25">
      <c r="A380" s="30" t="s">
        <v>432</v>
      </c>
      <c r="B380" s="5" t="s">
        <v>8697</v>
      </c>
      <c r="C380" s="5" t="s">
        <v>44</v>
      </c>
      <c r="D380" s="5" t="s">
        <v>14</v>
      </c>
      <c r="E380" s="5" t="s">
        <v>3</v>
      </c>
      <c r="F380" s="6">
        <v>628</v>
      </c>
      <c r="G380" s="6">
        <v>750</v>
      </c>
      <c r="H380" s="148">
        <v>5</v>
      </c>
    </row>
    <row r="381" spans="1:8" ht="18.75" x14ac:dyDescent="0.25">
      <c r="A381" s="30" t="s">
        <v>433</v>
      </c>
      <c r="B381" s="5" t="s">
        <v>8850</v>
      </c>
      <c r="C381" s="5" t="s">
        <v>142</v>
      </c>
      <c r="D381" s="5" t="s">
        <v>138</v>
      </c>
      <c r="E381" s="5" t="s">
        <v>3</v>
      </c>
      <c r="F381" s="6">
        <v>10926</v>
      </c>
      <c r="G381" s="6">
        <v>13910</v>
      </c>
      <c r="H381" s="148">
        <v>20</v>
      </c>
    </row>
    <row r="382" spans="1:8" ht="18.75" x14ac:dyDescent="0.25">
      <c r="A382" s="30" t="s">
        <v>434</v>
      </c>
      <c r="B382" s="5" t="s">
        <v>8699</v>
      </c>
      <c r="C382" s="5" t="s">
        <v>71</v>
      </c>
      <c r="D382" s="5" t="s">
        <v>22</v>
      </c>
      <c r="E382" s="5" t="s">
        <v>3</v>
      </c>
      <c r="F382" s="6">
        <v>6372</v>
      </c>
      <c r="G382" s="6">
        <v>7230</v>
      </c>
      <c r="H382" s="148">
        <v>8</v>
      </c>
    </row>
    <row r="383" spans="1:8" ht="18.75" x14ac:dyDescent="0.25">
      <c r="A383" s="30" t="s">
        <v>435</v>
      </c>
      <c r="B383" s="5" t="s">
        <v>8760</v>
      </c>
      <c r="C383" s="5" t="s">
        <v>24</v>
      </c>
      <c r="D383" s="5" t="s">
        <v>97</v>
      </c>
      <c r="E383" s="5" t="s">
        <v>3</v>
      </c>
      <c r="F383" s="6">
        <v>7192</v>
      </c>
      <c r="G383" s="6">
        <v>8060</v>
      </c>
      <c r="H383" s="148">
        <v>8</v>
      </c>
    </row>
    <row r="384" spans="1:8" ht="18.75" x14ac:dyDescent="0.25">
      <c r="A384" s="30" t="s">
        <v>436</v>
      </c>
      <c r="B384" s="5" t="s">
        <v>8759</v>
      </c>
      <c r="C384" s="5" t="s">
        <v>60</v>
      </c>
      <c r="D384" s="5" t="s">
        <v>8861</v>
      </c>
      <c r="E384" s="5" t="s">
        <v>3</v>
      </c>
      <c r="F384" s="6">
        <v>732</v>
      </c>
      <c r="G384" s="6">
        <v>860</v>
      </c>
      <c r="H384" s="148">
        <v>15</v>
      </c>
    </row>
    <row r="385" spans="1:8" ht="18.75" x14ac:dyDescent="0.25">
      <c r="A385" s="30" t="s">
        <v>437</v>
      </c>
      <c r="B385" s="5" t="s">
        <v>8691</v>
      </c>
      <c r="C385" s="5" t="s">
        <v>13</v>
      </c>
      <c r="D385" s="5" t="s">
        <v>14</v>
      </c>
      <c r="E385" s="5" t="s">
        <v>3</v>
      </c>
      <c r="F385" s="6">
        <v>2489</v>
      </c>
      <c r="G385" s="6">
        <v>3260</v>
      </c>
      <c r="H385" s="148">
        <v>5</v>
      </c>
    </row>
    <row r="386" spans="1:8" ht="18.75" x14ac:dyDescent="0.25">
      <c r="A386" s="30" t="s">
        <v>438</v>
      </c>
      <c r="B386" s="5" t="s">
        <v>8758</v>
      </c>
      <c r="C386" s="5" t="s">
        <v>13</v>
      </c>
      <c r="D386" s="5" t="s">
        <v>45</v>
      </c>
      <c r="E386" s="5" t="s">
        <v>3</v>
      </c>
      <c r="F386" s="6">
        <v>1324</v>
      </c>
      <c r="G386" s="6">
        <v>1670</v>
      </c>
      <c r="H386" s="148">
        <v>8</v>
      </c>
    </row>
    <row r="387" spans="1:8" ht="18.75" x14ac:dyDescent="0.25">
      <c r="A387" s="30" t="s">
        <v>439</v>
      </c>
      <c r="B387" s="5" t="s">
        <v>8873</v>
      </c>
      <c r="C387" s="5" t="s">
        <v>39</v>
      </c>
      <c r="D387" s="5" t="s">
        <v>42</v>
      </c>
      <c r="E387" s="5" t="s">
        <v>3</v>
      </c>
      <c r="F387" s="6">
        <v>73027</v>
      </c>
      <c r="G387" s="6">
        <v>83330</v>
      </c>
      <c r="H387" s="148">
        <v>20</v>
      </c>
    </row>
    <row r="388" spans="1:8" ht="18.75" x14ac:dyDescent="0.25">
      <c r="A388" s="30" t="s">
        <v>440</v>
      </c>
      <c r="B388" s="5" t="s">
        <v>8690</v>
      </c>
      <c r="C388" s="5" t="s">
        <v>11</v>
      </c>
      <c r="D388" s="5" t="s">
        <v>9</v>
      </c>
      <c r="E388" s="5" t="s">
        <v>3</v>
      </c>
      <c r="F388" s="6">
        <v>20248</v>
      </c>
      <c r="G388" s="6">
        <v>22810</v>
      </c>
      <c r="H388" s="148">
        <v>5</v>
      </c>
    </row>
    <row r="389" spans="1:8" ht="18.75" x14ac:dyDescent="0.25">
      <c r="A389" s="30" t="s">
        <v>441</v>
      </c>
      <c r="B389" s="5" t="s">
        <v>8758</v>
      </c>
      <c r="C389" s="5" t="s">
        <v>13</v>
      </c>
      <c r="D389" s="5" t="s">
        <v>45</v>
      </c>
      <c r="E389" s="5" t="s">
        <v>3</v>
      </c>
      <c r="F389" s="6">
        <v>3214</v>
      </c>
      <c r="G389" s="6">
        <v>3650</v>
      </c>
      <c r="H389" s="148">
        <v>15</v>
      </c>
    </row>
    <row r="390" spans="1:8" ht="18.75" x14ac:dyDescent="0.25">
      <c r="A390" s="30" t="s">
        <v>442</v>
      </c>
      <c r="B390" s="5" t="s">
        <v>8703</v>
      </c>
      <c r="C390" s="5" t="s">
        <v>8849</v>
      </c>
      <c r="D390" s="5" t="s">
        <v>278</v>
      </c>
      <c r="E390" s="5" t="s">
        <v>3</v>
      </c>
      <c r="F390" s="6">
        <v>3149</v>
      </c>
      <c r="G390" s="6">
        <v>3750</v>
      </c>
      <c r="H390" s="148">
        <v>8</v>
      </c>
    </row>
    <row r="391" spans="1:8" ht="18.75" x14ac:dyDescent="0.25">
      <c r="A391" s="30" t="s">
        <v>443</v>
      </c>
      <c r="B391" s="5" t="s">
        <v>8863</v>
      </c>
      <c r="C391" s="5" t="s">
        <v>66</v>
      </c>
      <c r="D391" s="5" t="s">
        <v>42</v>
      </c>
      <c r="E391" s="5" t="s">
        <v>3</v>
      </c>
      <c r="F391" s="6">
        <v>3342</v>
      </c>
      <c r="G391" s="6">
        <v>3850</v>
      </c>
      <c r="H391" s="148">
        <v>20</v>
      </c>
    </row>
    <row r="392" spans="1:8" ht="18.75" x14ac:dyDescent="0.25">
      <c r="A392" s="30" t="s">
        <v>444</v>
      </c>
      <c r="B392" s="5" t="s">
        <v>8689</v>
      </c>
      <c r="C392" s="5" t="s">
        <v>8</v>
      </c>
      <c r="D392" s="5" t="s">
        <v>9</v>
      </c>
      <c r="E392" s="5" t="s">
        <v>3</v>
      </c>
      <c r="F392" s="6">
        <v>47242</v>
      </c>
      <c r="G392" s="6">
        <v>55730</v>
      </c>
      <c r="H392" s="148">
        <v>10</v>
      </c>
    </row>
    <row r="393" spans="1:8" ht="18.75" x14ac:dyDescent="0.25">
      <c r="A393" s="30" t="s">
        <v>445</v>
      </c>
      <c r="B393" s="5" t="s">
        <v>8693</v>
      </c>
      <c r="C393" s="5" t="s">
        <v>39</v>
      </c>
      <c r="D393" s="5" t="s">
        <v>29</v>
      </c>
      <c r="E393" s="5" t="s">
        <v>3</v>
      </c>
      <c r="F393" s="6">
        <v>33297</v>
      </c>
      <c r="G393" s="6">
        <v>37710</v>
      </c>
      <c r="H393" s="148">
        <v>5</v>
      </c>
    </row>
    <row r="394" spans="1:8" ht="18.75" x14ac:dyDescent="0.25">
      <c r="A394" s="30" t="s">
        <v>446</v>
      </c>
      <c r="B394" s="5" t="s">
        <v>8864</v>
      </c>
      <c r="C394" s="5" t="s">
        <v>8</v>
      </c>
      <c r="D394" s="5" t="s">
        <v>42</v>
      </c>
      <c r="E394" s="5" t="s">
        <v>3</v>
      </c>
      <c r="F394" s="6">
        <v>38075</v>
      </c>
      <c r="G394" s="6">
        <v>48280</v>
      </c>
      <c r="H394" s="148">
        <v>20</v>
      </c>
    </row>
    <row r="395" spans="1:8" ht="18.75" x14ac:dyDescent="0.25">
      <c r="A395" s="30" t="s">
        <v>447</v>
      </c>
      <c r="B395" s="5" t="s">
        <v>8848</v>
      </c>
      <c r="C395" s="5" t="s">
        <v>8853</v>
      </c>
      <c r="D395" s="5" t="s">
        <v>90</v>
      </c>
      <c r="E395" s="5" t="s">
        <v>3</v>
      </c>
      <c r="F395" s="6">
        <v>2460</v>
      </c>
      <c r="G395" s="6">
        <v>2830</v>
      </c>
      <c r="H395" s="148">
        <v>25</v>
      </c>
    </row>
    <row r="396" spans="1:8" ht="18.75" x14ac:dyDescent="0.25">
      <c r="A396" s="30" t="s">
        <v>448</v>
      </c>
      <c r="B396" s="5" t="s">
        <v>8762</v>
      </c>
      <c r="C396" s="5" t="s">
        <v>108</v>
      </c>
      <c r="D396" s="5" t="s">
        <v>146</v>
      </c>
      <c r="E396" s="5" t="s">
        <v>3</v>
      </c>
      <c r="F396" s="6">
        <v>7068</v>
      </c>
      <c r="G396" s="6">
        <v>7930</v>
      </c>
      <c r="H396" s="148">
        <v>5</v>
      </c>
    </row>
    <row r="397" spans="1:8" ht="18.75" x14ac:dyDescent="0.25">
      <c r="A397" s="30" t="s">
        <v>449</v>
      </c>
      <c r="B397" s="5" t="s">
        <v>8690</v>
      </c>
      <c r="C397" s="5" t="s">
        <v>11</v>
      </c>
      <c r="D397" s="5" t="s">
        <v>9</v>
      </c>
      <c r="E397" s="5" t="s">
        <v>3</v>
      </c>
      <c r="F397" s="6">
        <v>16570</v>
      </c>
      <c r="G397" s="6">
        <v>19520</v>
      </c>
      <c r="H397" s="148">
        <v>15</v>
      </c>
    </row>
    <row r="398" spans="1:8" ht="18.75" x14ac:dyDescent="0.25">
      <c r="A398" s="30" t="s">
        <v>450</v>
      </c>
      <c r="B398" s="5" t="s">
        <v>8866</v>
      </c>
      <c r="C398" s="5" t="s">
        <v>19</v>
      </c>
      <c r="D398" s="5" t="s">
        <v>8867</v>
      </c>
      <c r="E398" s="5" t="s">
        <v>3</v>
      </c>
      <c r="F398" s="6">
        <v>1034</v>
      </c>
      <c r="G398" s="6">
        <v>1270</v>
      </c>
      <c r="H398" s="148">
        <v>10</v>
      </c>
    </row>
    <row r="399" spans="1:8" ht="18.75" x14ac:dyDescent="0.25">
      <c r="A399" s="30" t="s">
        <v>451</v>
      </c>
      <c r="B399" s="5" t="s">
        <v>8862</v>
      </c>
      <c r="C399" s="5" t="s">
        <v>5</v>
      </c>
      <c r="D399" s="5" t="s">
        <v>42</v>
      </c>
      <c r="E399" s="5" t="s">
        <v>3</v>
      </c>
      <c r="F399" s="6">
        <v>28254</v>
      </c>
      <c r="G399" s="6">
        <v>36160</v>
      </c>
      <c r="H399" s="148">
        <v>20</v>
      </c>
    </row>
    <row r="400" spans="1:8" ht="18.75" x14ac:dyDescent="0.25">
      <c r="A400" s="30" t="s">
        <v>452</v>
      </c>
      <c r="B400" s="5" t="s">
        <v>8759</v>
      </c>
      <c r="C400" s="5" t="s">
        <v>8859</v>
      </c>
      <c r="D400" s="5" t="s">
        <v>8861</v>
      </c>
      <c r="E400" s="5" t="s">
        <v>3</v>
      </c>
      <c r="F400" s="6">
        <v>723</v>
      </c>
      <c r="G400" s="6">
        <v>920</v>
      </c>
      <c r="H400" s="148">
        <v>8</v>
      </c>
    </row>
    <row r="401" spans="1:8" ht="18.75" x14ac:dyDescent="0.25">
      <c r="A401" s="30" t="s">
        <v>453</v>
      </c>
      <c r="B401" s="5" t="s">
        <v>8846</v>
      </c>
      <c r="C401" s="5" t="s">
        <v>119</v>
      </c>
      <c r="D401" s="5" t="s">
        <v>83</v>
      </c>
      <c r="E401" s="5" t="s">
        <v>3</v>
      </c>
      <c r="F401" s="6">
        <v>2343</v>
      </c>
      <c r="G401" s="6">
        <v>3050</v>
      </c>
      <c r="H401" s="148">
        <v>15</v>
      </c>
    </row>
    <row r="402" spans="1:8" ht="18.75" x14ac:dyDescent="0.25">
      <c r="A402" s="30" t="s">
        <v>454</v>
      </c>
      <c r="B402" s="5" t="s">
        <v>8690</v>
      </c>
      <c r="C402" s="5" t="s">
        <v>11</v>
      </c>
      <c r="D402" s="5" t="s">
        <v>9</v>
      </c>
      <c r="E402" s="5" t="s">
        <v>3</v>
      </c>
      <c r="F402" s="6">
        <v>14397</v>
      </c>
      <c r="G402" s="6">
        <v>16760</v>
      </c>
      <c r="H402" s="148">
        <v>5</v>
      </c>
    </row>
    <row r="403" spans="1:8" ht="18.75" x14ac:dyDescent="0.25">
      <c r="A403" s="30" t="s">
        <v>455</v>
      </c>
      <c r="B403" s="5" t="s">
        <v>8870</v>
      </c>
      <c r="C403" s="5" t="s">
        <v>142</v>
      </c>
      <c r="D403" s="5" t="s">
        <v>143</v>
      </c>
      <c r="E403" s="5" t="s">
        <v>3</v>
      </c>
      <c r="F403" s="6">
        <v>11737</v>
      </c>
      <c r="G403" s="6">
        <v>13980</v>
      </c>
      <c r="H403" s="148">
        <v>15</v>
      </c>
    </row>
    <row r="404" spans="1:8" ht="18.75" x14ac:dyDescent="0.25">
      <c r="A404" s="30" t="s">
        <v>456</v>
      </c>
      <c r="B404" s="5" t="s">
        <v>8702</v>
      </c>
      <c r="C404" s="5" t="s">
        <v>39</v>
      </c>
      <c r="D404" s="5" t="s">
        <v>196</v>
      </c>
      <c r="E404" s="5" t="s">
        <v>3</v>
      </c>
      <c r="F404" s="6">
        <v>57453</v>
      </c>
      <c r="G404" s="6">
        <v>66790</v>
      </c>
      <c r="H404" s="148">
        <v>25</v>
      </c>
    </row>
    <row r="405" spans="1:8" ht="18.75" x14ac:dyDescent="0.25">
      <c r="A405" s="30" t="s">
        <v>457</v>
      </c>
      <c r="B405" s="5" t="s">
        <v>8690</v>
      </c>
      <c r="C405" s="5" t="s">
        <v>11</v>
      </c>
      <c r="D405" s="5" t="s">
        <v>9</v>
      </c>
      <c r="E405" s="5" t="s">
        <v>3</v>
      </c>
      <c r="F405" s="6">
        <v>21190</v>
      </c>
      <c r="G405" s="6">
        <v>25230</v>
      </c>
      <c r="H405" s="148">
        <v>15</v>
      </c>
    </row>
    <row r="406" spans="1:8" ht="18.75" x14ac:dyDescent="0.25">
      <c r="A406" s="30" t="s">
        <v>458</v>
      </c>
      <c r="B406" s="5" t="s">
        <v>8690</v>
      </c>
      <c r="C406" s="5" t="s">
        <v>11</v>
      </c>
      <c r="D406" s="5" t="s">
        <v>9</v>
      </c>
      <c r="E406" s="5" t="s">
        <v>3</v>
      </c>
      <c r="F406" s="6">
        <v>5242</v>
      </c>
      <c r="G406" s="6">
        <v>6380</v>
      </c>
      <c r="H406" s="148">
        <v>8</v>
      </c>
    </row>
    <row r="407" spans="1:8" ht="18.75" x14ac:dyDescent="0.25">
      <c r="A407" s="30" t="s">
        <v>459</v>
      </c>
      <c r="B407" s="5" t="s">
        <v>8694</v>
      </c>
      <c r="C407" s="5" t="s">
        <v>32</v>
      </c>
      <c r="D407" s="5" t="s">
        <v>22</v>
      </c>
      <c r="E407" s="5" t="s">
        <v>3</v>
      </c>
      <c r="F407" s="6">
        <v>1347</v>
      </c>
      <c r="G407" s="6">
        <v>1680</v>
      </c>
      <c r="H407" s="148">
        <v>8</v>
      </c>
    </row>
    <row r="408" spans="1:8" ht="18.75" x14ac:dyDescent="0.25">
      <c r="A408" s="30" t="s">
        <v>460</v>
      </c>
      <c r="B408" s="5" t="s">
        <v>8692</v>
      </c>
      <c r="C408" s="5" t="s">
        <v>21</v>
      </c>
      <c r="D408" s="5" t="s">
        <v>22</v>
      </c>
      <c r="E408" s="5" t="s">
        <v>3</v>
      </c>
      <c r="F408" s="6">
        <v>2470</v>
      </c>
      <c r="G408" s="6">
        <v>3050</v>
      </c>
      <c r="H408" s="148">
        <v>25</v>
      </c>
    </row>
    <row r="409" spans="1:8" ht="18.75" x14ac:dyDescent="0.25">
      <c r="A409" s="30" t="s">
        <v>461</v>
      </c>
      <c r="B409" s="5" t="s">
        <v>8868</v>
      </c>
      <c r="C409" s="5" t="s">
        <v>37</v>
      </c>
      <c r="D409" s="5" t="s">
        <v>8867</v>
      </c>
      <c r="E409" s="5" t="s">
        <v>3</v>
      </c>
      <c r="F409" s="6">
        <v>2113</v>
      </c>
      <c r="G409" s="6">
        <v>2500</v>
      </c>
      <c r="H409" s="148">
        <v>8</v>
      </c>
    </row>
    <row r="410" spans="1:8" ht="18.75" x14ac:dyDescent="0.25">
      <c r="A410" s="30" t="s">
        <v>462</v>
      </c>
      <c r="B410" s="5" t="s">
        <v>8696</v>
      </c>
      <c r="C410" s="5" t="s">
        <v>21</v>
      </c>
      <c r="D410" s="5" t="s">
        <v>9</v>
      </c>
      <c r="E410" s="5" t="s">
        <v>3</v>
      </c>
      <c r="F410" s="6">
        <v>2201</v>
      </c>
      <c r="G410" s="6">
        <v>2730</v>
      </c>
      <c r="H410" s="148">
        <v>25</v>
      </c>
    </row>
    <row r="411" spans="1:8" ht="18.75" x14ac:dyDescent="0.25">
      <c r="A411" s="30" t="s">
        <v>463</v>
      </c>
      <c r="B411" s="5" t="s">
        <v>8858</v>
      </c>
      <c r="C411" s="5" t="s">
        <v>54</v>
      </c>
      <c r="D411" s="5" t="s">
        <v>63</v>
      </c>
      <c r="E411" s="5" t="s">
        <v>3</v>
      </c>
      <c r="F411" s="6">
        <v>8739</v>
      </c>
      <c r="G411" s="6">
        <v>10050</v>
      </c>
      <c r="H411" s="148">
        <v>5</v>
      </c>
    </row>
    <row r="412" spans="1:8" ht="18.75" x14ac:dyDescent="0.25">
      <c r="A412" s="30" t="s">
        <v>464</v>
      </c>
      <c r="B412" s="5" t="s">
        <v>8756</v>
      </c>
      <c r="C412" s="5" t="s">
        <v>11</v>
      </c>
      <c r="D412" s="5" t="s">
        <v>27</v>
      </c>
      <c r="E412" s="5" t="s">
        <v>3</v>
      </c>
      <c r="F412" s="6">
        <v>22348</v>
      </c>
      <c r="G412" s="6">
        <v>27140</v>
      </c>
      <c r="H412" s="148">
        <v>5</v>
      </c>
    </row>
    <row r="413" spans="1:8" ht="18.75" x14ac:dyDescent="0.25">
      <c r="A413" s="30" t="s">
        <v>465</v>
      </c>
      <c r="B413" s="5" t="s">
        <v>8692</v>
      </c>
      <c r="C413" s="5" t="s">
        <v>21</v>
      </c>
      <c r="D413" s="5" t="s">
        <v>22</v>
      </c>
      <c r="E413" s="5" t="s">
        <v>3</v>
      </c>
      <c r="F413" s="6">
        <v>1749</v>
      </c>
      <c r="G413" s="6">
        <v>2230</v>
      </c>
      <c r="H413" s="148">
        <v>5</v>
      </c>
    </row>
    <row r="414" spans="1:8" ht="18.75" x14ac:dyDescent="0.25">
      <c r="A414" s="30" t="s">
        <v>466</v>
      </c>
      <c r="B414" s="5" t="s">
        <v>8693</v>
      </c>
      <c r="C414" s="5" t="s">
        <v>39</v>
      </c>
      <c r="D414" s="5" t="s">
        <v>29</v>
      </c>
      <c r="E414" s="5" t="s">
        <v>3</v>
      </c>
      <c r="F414" s="6">
        <v>68885</v>
      </c>
      <c r="G414" s="6">
        <v>87730</v>
      </c>
      <c r="H414" s="148">
        <v>10</v>
      </c>
    </row>
    <row r="415" spans="1:8" ht="18.75" x14ac:dyDescent="0.25">
      <c r="A415" s="30" t="s">
        <v>467</v>
      </c>
      <c r="B415" s="5" t="s">
        <v>8858</v>
      </c>
      <c r="C415" s="5" t="s">
        <v>54</v>
      </c>
      <c r="D415" s="5" t="s">
        <v>63</v>
      </c>
      <c r="E415" s="5" t="s">
        <v>3</v>
      </c>
      <c r="F415" s="6">
        <v>4805</v>
      </c>
      <c r="G415" s="6">
        <v>6250</v>
      </c>
      <c r="H415" s="148">
        <v>25</v>
      </c>
    </row>
    <row r="416" spans="1:8" ht="18.75" x14ac:dyDescent="0.25">
      <c r="A416" s="30" t="s">
        <v>468</v>
      </c>
      <c r="B416" s="5" t="s">
        <v>8700</v>
      </c>
      <c r="C416" s="5" t="s">
        <v>39</v>
      </c>
      <c r="D416" s="5" t="s">
        <v>9</v>
      </c>
      <c r="E416" s="5" t="s">
        <v>3</v>
      </c>
      <c r="F416" s="6">
        <v>75590</v>
      </c>
      <c r="G416" s="6">
        <v>93200</v>
      </c>
      <c r="H416" s="148">
        <v>15</v>
      </c>
    </row>
    <row r="417" spans="1:8" ht="18.75" x14ac:dyDescent="0.25">
      <c r="A417" s="30" t="s">
        <v>469</v>
      </c>
      <c r="B417" s="5" t="s">
        <v>8870</v>
      </c>
      <c r="C417" s="5" t="s">
        <v>142</v>
      </c>
      <c r="D417" s="5" t="s">
        <v>143</v>
      </c>
      <c r="E417" s="5" t="s">
        <v>3</v>
      </c>
      <c r="F417" s="6">
        <v>5378</v>
      </c>
      <c r="G417" s="6">
        <v>6930</v>
      </c>
      <c r="H417" s="148">
        <v>8</v>
      </c>
    </row>
    <row r="418" spans="1:8" ht="18.75" x14ac:dyDescent="0.25">
      <c r="A418" s="30" t="s">
        <v>470</v>
      </c>
      <c r="B418" s="5" t="s">
        <v>8864</v>
      </c>
      <c r="C418" s="5" t="s">
        <v>8</v>
      </c>
      <c r="D418" s="5" t="s">
        <v>42</v>
      </c>
      <c r="E418" s="5" t="s">
        <v>3</v>
      </c>
      <c r="F418" s="6">
        <v>30694</v>
      </c>
      <c r="G418" s="6">
        <v>40330</v>
      </c>
      <c r="H418" s="148">
        <v>8</v>
      </c>
    </row>
    <row r="419" spans="1:8" ht="18.75" x14ac:dyDescent="0.25">
      <c r="A419" s="30" t="s">
        <v>471</v>
      </c>
      <c r="B419" s="5" t="s">
        <v>8695</v>
      </c>
      <c r="C419" s="5" t="s">
        <v>11</v>
      </c>
      <c r="D419" s="5" t="s">
        <v>34</v>
      </c>
      <c r="E419" s="5" t="s">
        <v>3</v>
      </c>
      <c r="F419" s="6">
        <v>8339</v>
      </c>
      <c r="G419" s="6">
        <v>10840</v>
      </c>
      <c r="H419" s="148">
        <v>25</v>
      </c>
    </row>
    <row r="420" spans="1:8" ht="18.75" x14ac:dyDescent="0.25">
      <c r="A420" s="30" t="s">
        <v>472</v>
      </c>
      <c r="B420" s="5" t="s">
        <v>8850</v>
      </c>
      <c r="C420" s="5" t="s">
        <v>142</v>
      </c>
      <c r="D420" s="5" t="s">
        <v>138</v>
      </c>
      <c r="E420" s="5" t="s">
        <v>3</v>
      </c>
      <c r="F420" s="6">
        <v>5430</v>
      </c>
      <c r="G420" s="6">
        <v>6840</v>
      </c>
      <c r="H420" s="148">
        <v>10</v>
      </c>
    </row>
    <row r="421" spans="1:8" ht="18.75" x14ac:dyDescent="0.25">
      <c r="A421" s="30" t="s">
        <v>473</v>
      </c>
      <c r="B421" s="5" t="s">
        <v>8691</v>
      </c>
      <c r="C421" s="5" t="s">
        <v>13</v>
      </c>
      <c r="D421" s="5" t="s">
        <v>14</v>
      </c>
      <c r="E421" s="5" t="s">
        <v>3</v>
      </c>
      <c r="F421" s="6">
        <v>2274</v>
      </c>
      <c r="G421" s="6">
        <v>2840</v>
      </c>
      <c r="H421" s="148">
        <v>20</v>
      </c>
    </row>
    <row r="422" spans="1:8" ht="18.75" x14ac:dyDescent="0.25">
      <c r="A422" s="30" t="s">
        <v>474</v>
      </c>
      <c r="B422" s="5" t="s">
        <v>8694</v>
      </c>
      <c r="C422" s="5" t="s">
        <v>32</v>
      </c>
      <c r="D422" s="5" t="s">
        <v>22</v>
      </c>
      <c r="E422" s="5" t="s">
        <v>3</v>
      </c>
      <c r="F422" s="6">
        <v>1027</v>
      </c>
      <c r="G422" s="6">
        <v>1320</v>
      </c>
      <c r="H422" s="148">
        <v>10</v>
      </c>
    </row>
    <row r="423" spans="1:8" ht="18.75" x14ac:dyDescent="0.25">
      <c r="A423" s="30" t="s">
        <v>475</v>
      </c>
      <c r="B423" s="5" t="s">
        <v>8866</v>
      </c>
      <c r="C423" s="5" t="s">
        <v>19</v>
      </c>
      <c r="D423" s="5" t="s">
        <v>8867</v>
      </c>
      <c r="E423" s="5" t="s">
        <v>3</v>
      </c>
      <c r="F423" s="6">
        <v>1253</v>
      </c>
      <c r="G423" s="6">
        <v>1430</v>
      </c>
      <c r="H423" s="148">
        <v>25</v>
      </c>
    </row>
    <row r="424" spans="1:8" ht="18.75" x14ac:dyDescent="0.25">
      <c r="A424" s="30" t="s">
        <v>476</v>
      </c>
      <c r="B424" s="5" t="s">
        <v>8754</v>
      </c>
      <c r="C424" s="5" t="s">
        <v>16</v>
      </c>
      <c r="D424" s="5" t="s">
        <v>17</v>
      </c>
      <c r="E424" s="5" t="s">
        <v>3</v>
      </c>
      <c r="F424" s="6">
        <v>552</v>
      </c>
      <c r="G424" s="6">
        <v>650</v>
      </c>
      <c r="H424" s="148">
        <v>15</v>
      </c>
    </row>
    <row r="425" spans="1:8" ht="18.75" x14ac:dyDescent="0.25">
      <c r="A425" s="30" t="s">
        <v>477</v>
      </c>
      <c r="B425" s="5" t="s">
        <v>8688</v>
      </c>
      <c r="C425" s="5" t="s">
        <v>5</v>
      </c>
      <c r="D425" s="5" t="s">
        <v>6</v>
      </c>
      <c r="E425" s="5" t="s">
        <v>3</v>
      </c>
      <c r="F425" s="6">
        <v>13876</v>
      </c>
      <c r="G425" s="6">
        <v>17550</v>
      </c>
      <c r="H425" s="148">
        <v>20</v>
      </c>
    </row>
    <row r="426" spans="1:8" ht="18.75" x14ac:dyDescent="0.25">
      <c r="A426" s="30" t="s">
        <v>478</v>
      </c>
      <c r="B426" s="5" t="s">
        <v>8846</v>
      </c>
      <c r="C426" s="5" t="s">
        <v>119</v>
      </c>
      <c r="D426" s="5" t="s">
        <v>83</v>
      </c>
      <c r="E426" s="5" t="s">
        <v>3</v>
      </c>
      <c r="F426" s="6">
        <v>4866</v>
      </c>
      <c r="G426" s="6">
        <v>6010</v>
      </c>
      <c r="H426" s="148">
        <v>5</v>
      </c>
    </row>
    <row r="427" spans="1:8" ht="18.75" x14ac:dyDescent="0.25">
      <c r="A427" s="30" t="s">
        <v>479</v>
      </c>
      <c r="B427" s="5" t="s">
        <v>8869</v>
      </c>
      <c r="C427" s="5" t="s">
        <v>74</v>
      </c>
      <c r="D427" s="5" t="s">
        <v>8867</v>
      </c>
      <c r="E427" s="5" t="s">
        <v>3</v>
      </c>
      <c r="F427" s="6">
        <v>4548</v>
      </c>
      <c r="G427" s="6">
        <v>5740</v>
      </c>
      <c r="H427" s="148">
        <v>8</v>
      </c>
    </row>
    <row r="428" spans="1:8" ht="18.75" x14ac:dyDescent="0.25">
      <c r="A428" s="30" t="s">
        <v>480</v>
      </c>
      <c r="B428" s="5" t="s">
        <v>8866</v>
      </c>
      <c r="C428" s="5" t="s">
        <v>19</v>
      </c>
      <c r="D428" s="5" t="s">
        <v>8867</v>
      </c>
      <c r="E428" s="5" t="s">
        <v>3</v>
      </c>
      <c r="F428" s="6">
        <v>1370</v>
      </c>
      <c r="G428" s="6">
        <v>1670</v>
      </c>
      <c r="H428" s="148">
        <v>8</v>
      </c>
    </row>
    <row r="429" spans="1:8" ht="18.75" x14ac:dyDescent="0.25">
      <c r="A429" s="30" t="s">
        <v>481</v>
      </c>
      <c r="B429" s="5" t="s">
        <v>8700</v>
      </c>
      <c r="C429" s="5" t="s">
        <v>39</v>
      </c>
      <c r="D429" s="5" t="s">
        <v>9</v>
      </c>
      <c r="E429" s="5" t="s">
        <v>3</v>
      </c>
      <c r="F429" s="6">
        <v>29803</v>
      </c>
      <c r="G429" s="6">
        <v>36050</v>
      </c>
      <c r="H429" s="148">
        <v>5</v>
      </c>
    </row>
    <row r="430" spans="1:8" ht="18.75" x14ac:dyDescent="0.25">
      <c r="A430" s="30" t="s">
        <v>482</v>
      </c>
      <c r="B430" s="5" t="s">
        <v>8865</v>
      </c>
      <c r="C430" s="5" t="s">
        <v>32</v>
      </c>
      <c r="D430" s="5" t="s">
        <v>42</v>
      </c>
      <c r="E430" s="5" t="s">
        <v>3</v>
      </c>
      <c r="F430" s="6">
        <v>611</v>
      </c>
      <c r="G430" s="6">
        <v>790</v>
      </c>
      <c r="H430" s="148">
        <v>20</v>
      </c>
    </row>
    <row r="431" spans="1:8" ht="18.75" x14ac:dyDescent="0.25">
      <c r="A431" s="30" t="s">
        <v>483</v>
      </c>
      <c r="B431" s="5" t="s">
        <v>8755</v>
      </c>
      <c r="C431" s="5" t="s">
        <v>24</v>
      </c>
      <c r="D431" s="5" t="s">
        <v>25</v>
      </c>
      <c r="E431" s="5" t="s">
        <v>3</v>
      </c>
      <c r="F431" s="6">
        <v>7184</v>
      </c>
      <c r="G431" s="6">
        <v>8630</v>
      </c>
      <c r="H431" s="148">
        <v>25</v>
      </c>
    </row>
    <row r="432" spans="1:8" ht="18.75" x14ac:dyDescent="0.25">
      <c r="A432" s="30" t="s">
        <v>484</v>
      </c>
      <c r="B432" s="5" t="s">
        <v>8689</v>
      </c>
      <c r="C432" s="5" t="s">
        <v>174</v>
      </c>
      <c r="D432" s="5" t="s">
        <v>9</v>
      </c>
      <c r="E432" s="5" t="s">
        <v>3</v>
      </c>
      <c r="F432" s="6">
        <v>53726</v>
      </c>
      <c r="G432" s="6">
        <v>68710</v>
      </c>
      <c r="H432" s="148">
        <v>8</v>
      </c>
    </row>
    <row r="433" spans="1:8" ht="18.75" x14ac:dyDescent="0.25">
      <c r="A433" s="30" t="s">
        <v>485</v>
      </c>
      <c r="B433" s="5" t="s">
        <v>8693</v>
      </c>
      <c r="C433" s="5" t="s">
        <v>39</v>
      </c>
      <c r="D433" s="5" t="s">
        <v>29</v>
      </c>
      <c r="E433" s="5" t="s">
        <v>3</v>
      </c>
      <c r="F433" s="6">
        <v>42398</v>
      </c>
      <c r="G433" s="6">
        <v>55360</v>
      </c>
      <c r="H433" s="148">
        <v>10</v>
      </c>
    </row>
    <row r="434" spans="1:8" ht="18.75" x14ac:dyDescent="0.25">
      <c r="A434" s="30" t="s">
        <v>486</v>
      </c>
      <c r="B434" s="5" t="s">
        <v>8694</v>
      </c>
      <c r="C434" s="5" t="s">
        <v>32</v>
      </c>
      <c r="D434" s="5" t="s">
        <v>22</v>
      </c>
      <c r="E434" s="5" t="s">
        <v>3</v>
      </c>
      <c r="F434" s="6">
        <v>1345</v>
      </c>
      <c r="G434" s="6">
        <v>1650</v>
      </c>
      <c r="H434" s="148">
        <v>8</v>
      </c>
    </row>
    <row r="435" spans="1:8" ht="18.75" x14ac:dyDescent="0.25">
      <c r="A435" s="30" t="s">
        <v>487</v>
      </c>
      <c r="B435" s="5" t="s">
        <v>8866</v>
      </c>
      <c r="C435" s="5" t="s">
        <v>19</v>
      </c>
      <c r="D435" s="5" t="s">
        <v>8867</v>
      </c>
      <c r="E435" s="5" t="s">
        <v>3</v>
      </c>
      <c r="F435" s="6">
        <v>558</v>
      </c>
      <c r="G435" s="6">
        <v>660</v>
      </c>
      <c r="H435" s="148">
        <v>20</v>
      </c>
    </row>
    <row r="436" spans="1:8" ht="18.75" x14ac:dyDescent="0.25">
      <c r="A436" s="30" t="s">
        <v>488</v>
      </c>
      <c r="B436" s="5" t="s">
        <v>8695</v>
      </c>
      <c r="C436" s="5" t="s">
        <v>11</v>
      </c>
      <c r="D436" s="5" t="s">
        <v>34</v>
      </c>
      <c r="E436" s="5" t="s">
        <v>3</v>
      </c>
      <c r="F436" s="6">
        <v>28611</v>
      </c>
      <c r="G436" s="6">
        <v>32720</v>
      </c>
      <c r="H436" s="148">
        <v>20</v>
      </c>
    </row>
    <row r="437" spans="1:8" ht="18.75" x14ac:dyDescent="0.25">
      <c r="A437" s="30" t="s">
        <v>489</v>
      </c>
      <c r="B437" s="5" t="s">
        <v>8857</v>
      </c>
      <c r="C437" s="5" t="s">
        <v>54</v>
      </c>
      <c r="D437" s="5" t="s">
        <v>55</v>
      </c>
      <c r="E437" s="5" t="s">
        <v>3</v>
      </c>
      <c r="F437" s="6">
        <v>6471</v>
      </c>
      <c r="G437" s="6">
        <v>8040</v>
      </c>
      <c r="H437" s="148">
        <v>10</v>
      </c>
    </row>
    <row r="438" spans="1:8" ht="18.75" x14ac:dyDescent="0.25">
      <c r="A438" s="30" t="s">
        <v>490</v>
      </c>
      <c r="B438" s="5" t="s">
        <v>8702</v>
      </c>
      <c r="C438" s="5" t="s">
        <v>39</v>
      </c>
      <c r="D438" s="5" t="s">
        <v>196</v>
      </c>
      <c r="E438" s="5" t="s">
        <v>3</v>
      </c>
      <c r="F438" s="6">
        <v>33620</v>
      </c>
      <c r="G438" s="6">
        <v>38490</v>
      </c>
      <c r="H438" s="148">
        <v>20</v>
      </c>
    </row>
    <row r="439" spans="1:8" ht="18.75" x14ac:dyDescent="0.25">
      <c r="A439" s="30" t="s">
        <v>491</v>
      </c>
      <c r="B439" s="5" t="s">
        <v>8697</v>
      </c>
      <c r="C439" s="5" t="s">
        <v>44</v>
      </c>
      <c r="D439" s="5" t="s">
        <v>14</v>
      </c>
      <c r="E439" s="5" t="s">
        <v>3</v>
      </c>
      <c r="F439" s="6">
        <v>1938</v>
      </c>
      <c r="G439" s="6">
        <v>2300</v>
      </c>
      <c r="H439" s="148">
        <v>20</v>
      </c>
    </row>
    <row r="440" spans="1:8" ht="18.75" x14ac:dyDescent="0.25">
      <c r="A440" s="30" t="s">
        <v>492</v>
      </c>
      <c r="B440" s="5" t="s">
        <v>8857</v>
      </c>
      <c r="C440" s="5" t="s">
        <v>54</v>
      </c>
      <c r="D440" s="5" t="s">
        <v>55</v>
      </c>
      <c r="E440" s="5" t="s">
        <v>3</v>
      </c>
      <c r="F440" s="6">
        <v>11090</v>
      </c>
      <c r="G440" s="6">
        <v>13470</v>
      </c>
      <c r="H440" s="148">
        <v>15</v>
      </c>
    </row>
    <row r="441" spans="1:8" ht="18.75" x14ac:dyDescent="0.25">
      <c r="A441" s="30" t="s">
        <v>493</v>
      </c>
      <c r="B441" s="5" t="s">
        <v>8692</v>
      </c>
      <c r="C441" s="5" t="s">
        <v>21</v>
      </c>
      <c r="D441" s="5" t="s">
        <v>22</v>
      </c>
      <c r="E441" s="5" t="s">
        <v>3</v>
      </c>
      <c r="F441" s="6">
        <v>2415</v>
      </c>
      <c r="G441" s="6">
        <v>3040</v>
      </c>
      <c r="H441" s="148">
        <v>10</v>
      </c>
    </row>
    <row r="442" spans="1:8" ht="18.75" x14ac:dyDescent="0.25">
      <c r="A442" s="30" t="s">
        <v>494</v>
      </c>
      <c r="B442" s="5" t="s">
        <v>8694</v>
      </c>
      <c r="C442" s="5" t="s">
        <v>32</v>
      </c>
      <c r="D442" s="5" t="s">
        <v>22</v>
      </c>
      <c r="E442" s="5" t="s">
        <v>3</v>
      </c>
      <c r="F442" s="6">
        <v>549</v>
      </c>
      <c r="G442" s="6">
        <v>660</v>
      </c>
      <c r="H442" s="148">
        <v>20</v>
      </c>
    </row>
    <row r="443" spans="1:8" ht="18.75" x14ac:dyDescent="0.25">
      <c r="A443" s="30" t="s">
        <v>495</v>
      </c>
      <c r="B443" s="5" t="s">
        <v>8700</v>
      </c>
      <c r="C443" s="5" t="s">
        <v>39</v>
      </c>
      <c r="D443" s="5" t="s">
        <v>9</v>
      </c>
      <c r="E443" s="5" t="s">
        <v>3</v>
      </c>
      <c r="F443" s="6">
        <v>54252</v>
      </c>
      <c r="G443" s="6">
        <v>63410</v>
      </c>
      <c r="H443" s="148">
        <v>20</v>
      </c>
    </row>
    <row r="444" spans="1:8" ht="18.75" x14ac:dyDescent="0.25">
      <c r="A444" s="30" t="s">
        <v>496</v>
      </c>
      <c r="B444" s="5" t="s">
        <v>8697</v>
      </c>
      <c r="C444" s="5" t="s">
        <v>44</v>
      </c>
      <c r="D444" s="5" t="s">
        <v>14</v>
      </c>
      <c r="E444" s="5" t="s">
        <v>3</v>
      </c>
      <c r="F444" s="6">
        <v>1731</v>
      </c>
      <c r="G444" s="6">
        <v>2230</v>
      </c>
      <c r="H444" s="148">
        <v>25</v>
      </c>
    </row>
    <row r="445" spans="1:8" ht="18.75" x14ac:dyDescent="0.25">
      <c r="A445" s="30" t="s">
        <v>497</v>
      </c>
      <c r="B445" s="5" t="s">
        <v>8691</v>
      </c>
      <c r="C445" s="5" t="s">
        <v>13</v>
      </c>
      <c r="D445" s="5" t="s">
        <v>14</v>
      </c>
      <c r="E445" s="5" t="s">
        <v>3</v>
      </c>
      <c r="F445" s="6">
        <v>3742</v>
      </c>
      <c r="G445" s="6">
        <v>4930</v>
      </c>
      <c r="H445" s="148">
        <v>20</v>
      </c>
    </row>
    <row r="446" spans="1:8" ht="18.75" x14ac:dyDescent="0.25">
      <c r="A446" s="30" t="s">
        <v>498</v>
      </c>
      <c r="B446" s="5" t="s">
        <v>8755</v>
      </c>
      <c r="C446" s="5" t="s">
        <v>24</v>
      </c>
      <c r="D446" s="5" t="s">
        <v>25</v>
      </c>
      <c r="E446" s="5" t="s">
        <v>3</v>
      </c>
      <c r="F446" s="6">
        <v>3653</v>
      </c>
      <c r="G446" s="6">
        <v>4750</v>
      </c>
      <c r="H446" s="148">
        <v>20</v>
      </c>
    </row>
    <row r="447" spans="1:8" ht="18.75" x14ac:dyDescent="0.25">
      <c r="A447" s="30" t="s">
        <v>499</v>
      </c>
      <c r="B447" s="5" t="s">
        <v>8873</v>
      </c>
      <c r="C447" s="5" t="s">
        <v>39</v>
      </c>
      <c r="D447" s="5" t="s">
        <v>42</v>
      </c>
      <c r="E447" s="5" t="s">
        <v>3</v>
      </c>
      <c r="F447" s="6">
        <v>69609</v>
      </c>
      <c r="G447" s="6">
        <v>83390</v>
      </c>
      <c r="H447" s="148">
        <v>25</v>
      </c>
    </row>
    <row r="448" spans="1:8" ht="18.75" x14ac:dyDescent="0.25">
      <c r="A448" s="30" t="s">
        <v>500</v>
      </c>
      <c r="B448" s="5" t="s">
        <v>8863</v>
      </c>
      <c r="C448" s="5" t="s">
        <v>66</v>
      </c>
      <c r="D448" s="5" t="s">
        <v>42</v>
      </c>
      <c r="E448" s="5" t="s">
        <v>3</v>
      </c>
      <c r="F448" s="6">
        <v>2600</v>
      </c>
      <c r="G448" s="6">
        <v>3160</v>
      </c>
      <c r="H448" s="148">
        <v>10</v>
      </c>
    </row>
    <row r="449" spans="1:8" ht="18.75" x14ac:dyDescent="0.25">
      <c r="A449" s="30" t="s">
        <v>501</v>
      </c>
      <c r="B449" s="5" t="s">
        <v>8761</v>
      </c>
      <c r="C449" s="5" t="s">
        <v>108</v>
      </c>
      <c r="D449" s="5" t="s">
        <v>34</v>
      </c>
      <c r="E449" s="5" t="s">
        <v>3</v>
      </c>
      <c r="F449" s="6">
        <v>3547</v>
      </c>
      <c r="G449" s="6">
        <v>4260</v>
      </c>
      <c r="H449" s="148">
        <v>25</v>
      </c>
    </row>
    <row r="450" spans="1:8" ht="18.75" x14ac:dyDescent="0.25">
      <c r="A450" s="30" t="s">
        <v>502</v>
      </c>
      <c r="B450" s="5" t="s">
        <v>8862</v>
      </c>
      <c r="C450" s="5" t="s">
        <v>5</v>
      </c>
      <c r="D450" s="5" t="s">
        <v>42</v>
      </c>
      <c r="E450" s="5" t="s">
        <v>3</v>
      </c>
      <c r="F450" s="6">
        <v>24343</v>
      </c>
      <c r="G450" s="6">
        <v>32100</v>
      </c>
      <c r="H450" s="148">
        <v>20</v>
      </c>
    </row>
    <row r="451" spans="1:8" ht="18.75" x14ac:dyDescent="0.25">
      <c r="A451" s="30" t="s">
        <v>503</v>
      </c>
      <c r="B451" s="5" t="s">
        <v>8760</v>
      </c>
      <c r="C451" s="5" t="s">
        <v>24</v>
      </c>
      <c r="D451" s="5" t="s">
        <v>97</v>
      </c>
      <c r="E451" s="5" t="s">
        <v>3</v>
      </c>
      <c r="F451" s="6">
        <v>7350</v>
      </c>
      <c r="G451" s="6">
        <v>8750</v>
      </c>
      <c r="H451" s="148">
        <v>25</v>
      </c>
    </row>
    <row r="452" spans="1:8" ht="18.75" x14ac:dyDescent="0.25">
      <c r="A452" s="30" t="s">
        <v>504</v>
      </c>
      <c r="B452" s="5" t="s">
        <v>8692</v>
      </c>
      <c r="C452" s="5" t="s">
        <v>21</v>
      </c>
      <c r="D452" s="5" t="s">
        <v>22</v>
      </c>
      <c r="E452" s="5" t="s">
        <v>3</v>
      </c>
      <c r="F452" s="6">
        <v>3172</v>
      </c>
      <c r="G452" s="6">
        <v>3930</v>
      </c>
      <c r="H452" s="148">
        <v>20</v>
      </c>
    </row>
    <row r="453" spans="1:8" ht="18.75" x14ac:dyDescent="0.25">
      <c r="A453" s="30" t="s">
        <v>505</v>
      </c>
      <c r="B453" s="5" t="s">
        <v>8690</v>
      </c>
      <c r="C453" s="5" t="s">
        <v>11</v>
      </c>
      <c r="D453" s="5" t="s">
        <v>9</v>
      </c>
      <c r="E453" s="5" t="s">
        <v>3</v>
      </c>
      <c r="F453" s="6">
        <v>10762</v>
      </c>
      <c r="G453" s="6">
        <v>12790</v>
      </c>
      <c r="H453" s="148">
        <v>20</v>
      </c>
    </row>
    <row r="454" spans="1:8" ht="18.75" x14ac:dyDescent="0.25">
      <c r="A454" s="30" t="s">
        <v>506</v>
      </c>
      <c r="B454" s="5" t="s">
        <v>8688</v>
      </c>
      <c r="C454" s="5" t="s">
        <v>5</v>
      </c>
      <c r="D454" s="5" t="s">
        <v>6</v>
      </c>
      <c r="E454" s="5" t="s">
        <v>3</v>
      </c>
      <c r="F454" s="6">
        <v>36215</v>
      </c>
      <c r="G454" s="6">
        <v>42690</v>
      </c>
      <c r="H454" s="148">
        <v>5</v>
      </c>
    </row>
    <row r="455" spans="1:8" ht="18.75" x14ac:dyDescent="0.25">
      <c r="A455" s="30" t="s">
        <v>507</v>
      </c>
      <c r="B455" s="5" t="s">
        <v>8846</v>
      </c>
      <c r="C455" s="5" t="s">
        <v>119</v>
      </c>
      <c r="D455" s="5" t="s">
        <v>83</v>
      </c>
      <c r="E455" s="5" t="s">
        <v>3</v>
      </c>
      <c r="F455" s="6">
        <v>1636</v>
      </c>
      <c r="G455" s="6">
        <v>2030</v>
      </c>
      <c r="H455" s="148">
        <v>15</v>
      </c>
    </row>
    <row r="456" spans="1:8" ht="18.75" x14ac:dyDescent="0.25">
      <c r="A456" s="30" t="s">
        <v>508</v>
      </c>
      <c r="B456" s="5" t="s">
        <v>8846</v>
      </c>
      <c r="C456" s="5" t="s">
        <v>119</v>
      </c>
      <c r="D456" s="5" t="s">
        <v>83</v>
      </c>
      <c r="E456" s="5" t="s">
        <v>3</v>
      </c>
      <c r="F456" s="6">
        <v>2005</v>
      </c>
      <c r="G456" s="6">
        <v>2340</v>
      </c>
      <c r="H456" s="148">
        <v>25</v>
      </c>
    </row>
    <row r="457" spans="1:8" ht="18.75" x14ac:dyDescent="0.25">
      <c r="A457" s="30" t="s">
        <v>509</v>
      </c>
      <c r="B457" s="5" t="s">
        <v>8703</v>
      </c>
      <c r="C457" s="5" t="s">
        <v>8849</v>
      </c>
      <c r="D457" s="5" t="s">
        <v>278</v>
      </c>
      <c r="E457" s="5" t="s">
        <v>3</v>
      </c>
      <c r="F457" s="6">
        <v>2682</v>
      </c>
      <c r="G457" s="6">
        <v>3460</v>
      </c>
      <c r="H457" s="148">
        <v>10</v>
      </c>
    </row>
    <row r="458" spans="1:8" ht="18.75" x14ac:dyDescent="0.25">
      <c r="A458" s="30" t="s">
        <v>510</v>
      </c>
      <c r="B458" s="5" t="s">
        <v>8846</v>
      </c>
      <c r="C458" s="5" t="s">
        <v>8856</v>
      </c>
      <c r="D458" s="5" t="s">
        <v>83</v>
      </c>
      <c r="E458" s="5" t="s">
        <v>3</v>
      </c>
      <c r="F458" s="6">
        <v>4271</v>
      </c>
      <c r="G458" s="6">
        <v>5010</v>
      </c>
      <c r="H458" s="148">
        <v>5</v>
      </c>
    </row>
    <row r="459" spans="1:8" ht="18.75" x14ac:dyDescent="0.25">
      <c r="A459" s="30" t="s">
        <v>511</v>
      </c>
      <c r="B459" s="5" t="s">
        <v>8759</v>
      </c>
      <c r="C459" s="5" t="s">
        <v>8859</v>
      </c>
      <c r="D459" s="5" t="s">
        <v>8861</v>
      </c>
      <c r="E459" s="5" t="s">
        <v>3</v>
      </c>
      <c r="F459" s="6">
        <v>1027</v>
      </c>
      <c r="G459" s="6">
        <v>1240</v>
      </c>
      <c r="H459" s="148">
        <v>15</v>
      </c>
    </row>
    <row r="460" spans="1:8" ht="18.75" x14ac:dyDescent="0.25">
      <c r="A460" s="30" t="s">
        <v>512</v>
      </c>
      <c r="B460" s="5" t="s">
        <v>8699</v>
      </c>
      <c r="C460" s="5" t="s">
        <v>8860</v>
      </c>
      <c r="D460" s="5" t="s">
        <v>22</v>
      </c>
      <c r="E460" s="5" t="s">
        <v>3</v>
      </c>
      <c r="F460" s="6">
        <v>4495</v>
      </c>
      <c r="G460" s="6">
        <v>5800</v>
      </c>
      <c r="H460" s="148">
        <v>20</v>
      </c>
    </row>
    <row r="461" spans="1:8" ht="18.75" x14ac:dyDescent="0.25">
      <c r="A461" s="30" t="s">
        <v>513</v>
      </c>
      <c r="B461" s="5" t="s">
        <v>8863</v>
      </c>
      <c r="C461" s="5" t="s">
        <v>66</v>
      </c>
      <c r="D461" s="5" t="s">
        <v>42</v>
      </c>
      <c r="E461" s="5" t="s">
        <v>3</v>
      </c>
      <c r="F461" s="6">
        <v>1887</v>
      </c>
      <c r="G461" s="6">
        <v>2470</v>
      </c>
      <c r="H461" s="148">
        <v>15</v>
      </c>
    </row>
    <row r="462" spans="1:8" ht="18.75" x14ac:dyDescent="0.25">
      <c r="A462" s="30" t="s">
        <v>514</v>
      </c>
      <c r="B462" s="5" t="s">
        <v>8858</v>
      </c>
      <c r="C462" s="5" t="s">
        <v>54</v>
      </c>
      <c r="D462" s="5" t="s">
        <v>63</v>
      </c>
      <c r="E462" s="5" t="s">
        <v>3</v>
      </c>
      <c r="F462" s="6">
        <v>3697</v>
      </c>
      <c r="G462" s="6">
        <v>4660</v>
      </c>
      <c r="H462" s="148">
        <v>15</v>
      </c>
    </row>
    <row r="463" spans="1:8" ht="18.75" x14ac:dyDescent="0.25">
      <c r="A463" s="30" t="s">
        <v>515</v>
      </c>
      <c r="B463" s="5" t="s">
        <v>8865</v>
      </c>
      <c r="C463" s="5" t="s">
        <v>32</v>
      </c>
      <c r="D463" s="5" t="s">
        <v>42</v>
      </c>
      <c r="E463" s="5" t="s">
        <v>3</v>
      </c>
      <c r="F463" s="6">
        <v>2141</v>
      </c>
      <c r="G463" s="6">
        <v>2520</v>
      </c>
      <c r="H463" s="148">
        <v>8</v>
      </c>
    </row>
    <row r="464" spans="1:8" ht="18.75" x14ac:dyDescent="0.25">
      <c r="A464" s="30" t="s">
        <v>516</v>
      </c>
      <c r="B464" s="5" t="s">
        <v>8691</v>
      </c>
      <c r="C464" s="5" t="s">
        <v>13</v>
      </c>
      <c r="D464" s="5" t="s">
        <v>14</v>
      </c>
      <c r="E464" s="5" t="s">
        <v>3</v>
      </c>
      <c r="F464" s="6">
        <v>2042</v>
      </c>
      <c r="G464" s="6">
        <v>2690</v>
      </c>
      <c r="H464" s="148">
        <v>10</v>
      </c>
    </row>
    <row r="465" spans="1:8" ht="18.75" x14ac:dyDescent="0.25">
      <c r="A465" s="30" t="s">
        <v>517</v>
      </c>
      <c r="B465" s="5" t="s">
        <v>8700</v>
      </c>
      <c r="C465" s="5" t="s">
        <v>39</v>
      </c>
      <c r="D465" s="5" t="s">
        <v>9</v>
      </c>
      <c r="E465" s="5" t="s">
        <v>3</v>
      </c>
      <c r="F465" s="6">
        <v>70864</v>
      </c>
      <c r="G465" s="6">
        <v>81860</v>
      </c>
      <c r="H465" s="148">
        <v>8</v>
      </c>
    </row>
    <row r="466" spans="1:8" ht="18.75" x14ac:dyDescent="0.25">
      <c r="A466" s="30" t="s">
        <v>518</v>
      </c>
      <c r="B466" s="5" t="s">
        <v>8695</v>
      </c>
      <c r="C466" s="5" t="s">
        <v>11</v>
      </c>
      <c r="D466" s="5" t="s">
        <v>34</v>
      </c>
      <c r="E466" s="5" t="s">
        <v>3</v>
      </c>
      <c r="F466" s="6">
        <v>18538</v>
      </c>
      <c r="G466" s="6">
        <v>23660</v>
      </c>
      <c r="H466" s="148">
        <v>15</v>
      </c>
    </row>
    <row r="467" spans="1:8" ht="18.75" x14ac:dyDescent="0.25">
      <c r="A467" s="30" t="s">
        <v>519</v>
      </c>
      <c r="B467" s="5" t="s">
        <v>8870</v>
      </c>
      <c r="C467" s="5" t="s">
        <v>142</v>
      </c>
      <c r="D467" s="5" t="s">
        <v>143</v>
      </c>
      <c r="E467" s="5" t="s">
        <v>3</v>
      </c>
      <c r="F467" s="6">
        <v>7430</v>
      </c>
      <c r="G467" s="6">
        <v>8730</v>
      </c>
      <c r="H467" s="148">
        <v>5</v>
      </c>
    </row>
    <row r="468" spans="1:8" ht="18.75" x14ac:dyDescent="0.25">
      <c r="A468" s="30" t="s">
        <v>520</v>
      </c>
      <c r="B468" s="5" t="s">
        <v>8864</v>
      </c>
      <c r="C468" s="5" t="s">
        <v>8</v>
      </c>
      <c r="D468" s="5" t="s">
        <v>42</v>
      </c>
      <c r="E468" s="5" t="s">
        <v>3</v>
      </c>
      <c r="F468" s="6">
        <v>32021</v>
      </c>
      <c r="G468" s="6">
        <v>40200</v>
      </c>
      <c r="H468" s="148">
        <v>5</v>
      </c>
    </row>
    <row r="469" spans="1:8" ht="18.75" x14ac:dyDescent="0.25">
      <c r="A469" s="30" t="s">
        <v>521</v>
      </c>
      <c r="B469" s="5" t="s">
        <v>8754</v>
      </c>
      <c r="C469" s="5" t="s">
        <v>16</v>
      </c>
      <c r="D469" s="5" t="s">
        <v>17</v>
      </c>
      <c r="E469" s="5" t="s">
        <v>3</v>
      </c>
      <c r="F469" s="6">
        <v>2442</v>
      </c>
      <c r="G469" s="6">
        <v>2920</v>
      </c>
      <c r="H469" s="148">
        <v>8</v>
      </c>
    </row>
    <row r="470" spans="1:8" ht="18.75" x14ac:dyDescent="0.25">
      <c r="A470" s="30" t="s">
        <v>522</v>
      </c>
      <c r="B470" s="5" t="s">
        <v>8696</v>
      </c>
      <c r="C470" s="5" t="s">
        <v>21</v>
      </c>
      <c r="D470" s="5" t="s">
        <v>9</v>
      </c>
      <c r="E470" s="5" t="s">
        <v>3</v>
      </c>
      <c r="F470" s="6">
        <v>2356</v>
      </c>
      <c r="G470" s="6">
        <v>3020</v>
      </c>
      <c r="H470" s="148">
        <v>25</v>
      </c>
    </row>
    <row r="471" spans="1:8" ht="18.75" x14ac:dyDescent="0.25">
      <c r="A471" s="30" t="s">
        <v>523</v>
      </c>
      <c r="B471" s="5" t="s">
        <v>8694</v>
      </c>
      <c r="C471" s="5" t="s">
        <v>32</v>
      </c>
      <c r="D471" s="5" t="s">
        <v>22</v>
      </c>
      <c r="E471" s="5" t="s">
        <v>3</v>
      </c>
      <c r="F471" s="6">
        <v>1062</v>
      </c>
      <c r="G471" s="6">
        <v>1300</v>
      </c>
      <c r="H471" s="148">
        <v>5</v>
      </c>
    </row>
    <row r="472" spans="1:8" ht="18.75" x14ac:dyDescent="0.25">
      <c r="A472" s="30" t="s">
        <v>524</v>
      </c>
      <c r="B472" s="5" t="s">
        <v>8866</v>
      </c>
      <c r="C472" s="5" t="s">
        <v>19</v>
      </c>
      <c r="D472" s="5" t="s">
        <v>8867</v>
      </c>
      <c r="E472" s="5" t="s">
        <v>3</v>
      </c>
      <c r="F472" s="6">
        <v>581</v>
      </c>
      <c r="G472" s="6">
        <v>750</v>
      </c>
      <c r="H472" s="148">
        <v>10</v>
      </c>
    </row>
    <row r="473" spans="1:8" ht="18.75" x14ac:dyDescent="0.25">
      <c r="A473" s="30" t="s">
        <v>525</v>
      </c>
      <c r="B473" s="5" t="s">
        <v>8868</v>
      </c>
      <c r="C473" s="5" t="s">
        <v>37</v>
      </c>
      <c r="D473" s="5" t="s">
        <v>8867</v>
      </c>
      <c r="E473" s="5" t="s">
        <v>3</v>
      </c>
      <c r="F473" s="6">
        <v>1570</v>
      </c>
      <c r="G473" s="6">
        <v>1910</v>
      </c>
      <c r="H473" s="148">
        <v>5</v>
      </c>
    </row>
    <row r="474" spans="1:8" ht="18.75" x14ac:dyDescent="0.25">
      <c r="A474" s="30" t="s">
        <v>526</v>
      </c>
      <c r="B474" s="5" t="s">
        <v>8846</v>
      </c>
      <c r="C474" s="5" t="s">
        <v>119</v>
      </c>
      <c r="D474" s="5" t="s">
        <v>83</v>
      </c>
      <c r="E474" s="5" t="s">
        <v>3</v>
      </c>
      <c r="F474" s="6">
        <v>1976</v>
      </c>
      <c r="G474" s="6">
        <v>2280</v>
      </c>
      <c r="H474" s="148">
        <v>15</v>
      </c>
    </row>
    <row r="475" spans="1:8" ht="18.75" x14ac:dyDescent="0.25">
      <c r="A475" s="30" t="s">
        <v>527</v>
      </c>
      <c r="B475" s="5" t="s">
        <v>8702</v>
      </c>
      <c r="C475" s="5" t="s">
        <v>39</v>
      </c>
      <c r="D475" s="5" t="s">
        <v>196</v>
      </c>
      <c r="E475" s="5" t="s">
        <v>3</v>
      </c>
      <c r="F475" s="6">
        <v>24419</v>
      </c>
      <c r="G475" s="6">
        <v>29070</v>
      </c>
      <c r="H475" s="148">
        <v>5</v>
      </c>
    </row>
    <row r="476" spans="1:8" ht="18.75" x14ac:dyDescent="0.25">
      <c r="A476" s="30" t="s">
        <v>528</v>
      </c>
      <c r="B476" s="5" t="s">
        <v>8755</v>
      </c>
      <c r="C476" s="5" t="s">
        <v>24</v>
      </c>
      <c r="D476" s="5" t="s">
        <v>25</v>
      </c>
      <c r="E476" s="5" t="s">
        <v>3</v>
      </c>
      <c r="F476" s="6">
        <v>4004</v>
      </c>
      <c r="G476" s="6">
        <v>4750</v>
      </c>
      <c r="H476" s="148">
        <v>25</v>
      </c>
    </row>
    <row r="477" spans="1:8" ht="18.75" x14ac:dyDescent="0.25">
      <c r="A477" s="30" t="s">
        <v>529</v>
      </c>
      <c r="B477" s="5" t="s">
        <v>8699</v>
      </c>
      <c r="C477" s="5" t="s">
        <v>71</v>
      </c>
      <c r="D477" s="5" t="s">
        <v>22</v>
      </c>
      <c r="E477" s="5" t="s">
        <v>3</v>
      </c>
      <c r="F477" s="6">
        <v>2878</v>
      </c>
      <c r="G477" s="6">
        <v>3390</v>
      </c>
      <c r="H477" s="148">
        <v>8</v>
      </c>
    </row>
    <row r="478" spans="1:8" ht="18.75" x14ac:dyDescent="0.25">
      <c r="A478" s="30" t="s">
        <v>530</v>
      </c>
      <c r="B478" s="5" t="s">
        <v>8702</v>
      </c>
      <c r="C478" s="5" t="s">
        <v>39</v>
      </c>
      <c r="D478" s="5" t="s">
        <v>196</v>
      </c>
      <c r="E478" s="5" t="s">
        <v>3</v>
      </c>
      <c r="F478" s="6">
        <v>26588</v>
      </c>
      <c r="G478" s="6">
        <v>31390</v>
      </c>
      <c r="H478" s="148">
        <v>10</v>
      </c>
    </row>
    <row r="479" spans="1:8" ht="18.75" x14ac:dyDescent="0.25">
      <c r="A479" s="30" t="s">
        <v>531</v>
      </c>
      <c r="B479" s="5" t="s">
        <v>8869</v>
      </c>
      <c r="C479" s="5" t="s">
        <v>8849</v>
      </c>
      <c r="D479" s="5" t="s">
        <v>8867</v>
      </c>
      <c r="E479" s="5" t="s">
        <v>3</v>
      </c>
      <c r="F479" s="6">
        <v>5489</v>
      </c>
      <c r="G479" s="6">
        <v>6730</v>
      </c>
      <c r="H479" s="148">
        <v>10</v>
      </c>
    </row>
    <row r="480" spans="1:8" ht="18.75" x14ac:dyDescent="0.25">
      <c r="A480" s="30" t="s">
        <v>532</v>
      </c>
      <c r="B480" s="5" t="s">
        <v>8700</v>
      </c>
      <c r="C480" s="5" t="s">
        <v>39</v>
      </c>
      <c r="D480" s="5" t="s">
        <v>9</v>
      </c>
      <c r="E480" s="5" t="s">
        <v>3</v>
      </c>
      <c r="F480" s="6">
        <v>38940</v>
      </c>
      <c r="G480" s="6">
        <v>47550</v>
      </c>
      <c r="H480" s="148">
        <v>8</v>
      </c>
    </row>
    <row r="481" spans="1:8" ht="18.75" x14ac:dyDescent="0.25">
      <c r="A481" s="30" t="s">
        <v>533</v>
      </c>
      <c r="B481" s="5" t="s">
        <v>8864</v>
      </c>
      <c r="C481" s="5" t="s">
        <v>8</v>
      </c>
      <c r="D481" s="5" t="s">
        <v>42</v>
      </c>
      <c r="E481" s="5" t="s">
        <v>3</v>
      </c>
      <c r="F481" s="6">
        <v>60707</v>
      </c>
      <c r="G481" s="6">
        <v>72430</v>
      </c>
      <c r="H481" s="148">
        <v>10</v>
      </c>
    </row>
    <row r="482" spans="1:8" ht="18.75" x14ac:dyDescent="0.25">
      <c r="A482" s="30" t="s">
        <v>534</v>
      </c>
      <c r="B482" s="5" t="s">
        <v>8700</v>
      </c>
      <c r="C482" s="5" t="s">
        <v>39</v>
      </c>
      <c r="D482" s="5" t="s">
        <v>9</v>
      </c>
      <c r="E482" s="5" t="s">
        <v>3</v>
      </c>
      <c r="F482" s="6">
        <v>31624</v>
      </c>
      <c r="G482" s="6">
        <v>35560</v>
      </c>
      <c r="H482" s="148">
        <v>15</v>
      </c>
    </row>
    <row r="483" spans="1:8" ht="18.75" x14ac:dyDescent="0.25">
      <c r="A483" s="30" t="s">
        <v>535</v>
      </c>
      <c r="B483" s="5" t="s">
        <v>8692</v>
      </c>
      <c r="C483" s="5" t="s">
        <v>21</v>
      </c>
      <c r="D483" s="5" t="s">
        <v>22</v>
      </c>
      <c r="E483" s="5" t="s">
        <v>3</v>
      </c>
      <c r="F483" s="6">
        <v>679</v>
      </c>
      <c r="G483" s="6">
        <v>810</v>
      </c>
      <c r="H483" s="148">
        <v>25</v>
      </c>
    </row>
    <row r="484" spans="1:8" ht="18.75" x14ac:dyDescent="0.25">
      <c r="A484" s="30" t="s">
        <v>536</v>
      </c>
      <c r="B484" s="5" t="s">
        <v>8692</v>
      </c>
      <c r="C484" s="5" t="s">
        <v>21</v>
      </c>
      <c r="D484" s="5" t="s">
        <v>22</v>
      </c>
      <c r="E484" s="5" t="s">
        <v>3</v>
      </c>
      <c r="F484" s="6">
        <v>961</v>
      </c>
      <c r="G484" s="6">
        <v>1160</v>
      </c>
      <c r="H484" s="148">
        <v>5</v>
      </c>
    </row>
    <row r="485" spans="1:8" ht="18.75" x14ac:dyDescent="0.25">
      <c r="A485" s="30" t="s">
        <v>537</v>
      </c>
      <c r="B485" s="5" t="s">
        <v>8700</v>
      </c>
      <c r="C485" s="5" t="s">
        <v>39</v>
      </c>
      <c r="D485" s="5" t="s">
        <v>9</v>
      </c>
      <c r="E485" s="5" t="s">
        <v>3</v>
      </c>
      <c r="F485" s="6">
        <v>73748</v>
      </c>
      <c r="G485" s="6">
        <v>90420</v>
      </c>
      <c r="H485" s="148">
        <v>8</v>
      </c>
    </row>
    <row r="486" spans="1:8" ht="18.75" x14ac:dyDescent="0.25">
      <c r="A486" s="30" t="s">
        <v>538</v>
      </c>
      <c r="B486" s="5" t="s">
        <v>8702</v>
      </c>
      <c r="C486" s="5" t="s">
        <v>39</v>
      </c>
      <c r="D486" s="5" t="s">
        <v>196</v>
      </c>
      <c r="E486" s="5" t="s">
        <v>3</v>
      </c>
      <c r="F486" s="6">
        <v>36513</v>
      </c>
      <c r="G486" s="6">
        <v>46800</v>
      </c>
      <c r="H486" s="148">
        <v>5</v>
      </c>
    </row>
    <row r="487" spans="1:8" ht="18.75" x14ac:dyDescent="0.25">
      <c r="A487" s="30" t="s">
        <v>539</v>
      </c>
      <c r="B487" s="5" t="s">
        <v>8701</v>
      </c>
      <c r="C487" s="5" t="s">
        <v>5</v>
      </c>
      <c r="D487" s="5" t="s">
        <v>103</v>
      </c>
      <c r="E487" s="5" t="s">
        <v>3</v>
      </c>
      <c r="F487" s="6">
        <v>21269</v>
      </c>
      <c r="G487" s="6">
        <v>25640</v>
      </c>
      <c r="H487" s="148">
        <v>15</v>
      </c>
    </row>
    <row r="488" spans="1:8" ht="18.75" x14ac:dyDescent="0.25">
      <c r="A488" s="30" t="s">
        <v>540</v>
      </c>
      <c r="B488" s="5" t="s">
        <v>8689</v>
      </c>
      <c r="C488" s="5" t="s">
        <v>8</v>
      </c>
      <c r="D488" s="5" t="s">
        <v>9</v>
      </c>
      <c r="E488" s="5" t="s">
        <v>3</v>
      </c>
      <c r="F488" s="6">
        <v>29442</v>
      </c>
      <c r="G488" s="6">
        <v>34160</v>
      </c>
      <c r="H488" s="148">
        <v>15</v>
      </c>
    </row>
    <row r="489" spans="1:8" ht="18.75" x14ac:dyDescent="0.25">
      <c r="A489" s="30" t="s">
        <v>541</v>
      </c>
      <c r="B489" s="5" t="s">
        <v>8762</v>
      </c>
      <c r="C489" s="5" t="s">
        <v>108</v>
      </c>
      <c r="D489" s="5" t="s">
        <v>146</v>
      </c>
      <c r="E489" s="5" t="s">
        <v>3</v>
      </c>
      <c r="F489" s="6">
        <v>7106</v>
      </c>
      <c r="G489" s="6">
        <v>9350</v>
      </c>
      <c r="H489" s="148">
        <v>10</v>
      </c>
    </row>
    <row r="490" spans="1:8" ht="18.75" x14ac:dyDescent="0.25">
      <c r="A490" s="30" t="s">
        <v>542</v>
      </c>
      <c r="B490" s="5" t="s">
        <v>8699</v>
      </c>
      <c r="C490" s="5" t="s">
        <v>71</v>
      </c>
      <c r="D490" s="5" t="s">
        <v>22</v>
      </c>
      <c r="E490" s="5" t="s">
        <v>3</v>
      </c>
      <c r="F490" s="6">
        <v>3740</v>
      </c>
      <c r="G490" s="6">
        <v>4800</v>
      </c>
      <c r="H490" s="148">
        <v>15</v>
      </c>
    </row>
    <row r="491" spans="1:8" ht="18.75" x14ac:dyDescent="0.25">
      <c r="A491" s="30" t="s">
        <v>543</v>
      </c>
      <c r="B491" s="5" t="s">
        <v>8694</v>
      </c>
      <c r="C491" s="5" t="s">
        <v>32</v>
      </c>
      <c r="D491" s="5" t="s">
        <v>22</v>
      </c>
      <c r="E491" s="5" t="s">
        <v>3</v>
      </c>
      <c r="F491" s="6">
        <v>2136</v>
      </c>
      <c r="G491" s="6">
        <v>2430</v>
      </c>
      <c r="H491" s="148">
        <v>25</v>
      </c>
    </row>
    <row r="492" spans="1:8" ht="18.75" x14ac:dyDescent="0.25">
      <c r="A492" s="30" t="s">
        <v>544</v>
      </c>
      <c r="B492" s="5" t="s">
        <v>8862</v>
      </c>
      <c r="C492" s="5" t="s">
        <v>5</v>
      </c>
      <c r="D492" s="5" t="s">
        <v>42</v>
      </c>
      <c r="E492" s="5" t="s">
        <v>3</v>
      </c>
      <c r="F492" s="6">
        <v>14145</v>
      </c>
      <c r="G492" s="6">
        <v>18010</v>
      </c>
      <c r="H492" s="148">
        <v>20</v>
      </c>
    </row>
    <row r="493" spans="1:8" ht="18.75" x14ac:dyDescent="0.25">
      <c r="A493" s="30" t="s">
        <v>545</v>
      </c>
      <c r="B493" s="5" t="s">
        <v>8870</v>
      </c>
      <c r="C493" s="5" t="s">
        <v>142</v>
      </c>
      <c r="D493" s="5" t="s">
        <v>143</v>
      </c>
      <c r="E493" s="5" t="s">
        <v>3</v>
      </c>
      <c r="F493" s="6">
        <v>5298</v>
      </c>
      <c r="G493" s="6">
        <v>6720</v>
      </c>
      <c r="H493" s="148">
        <v>20</v>
      </c>
    </row>
    <row r="494" spans="1:8" ht="18.75" x14ac:dyDescent="0.25">
      <c r="A494" s="30" t="s">
        <v>546</v>
      </c>
      <c r="B494" s="5" t="s">
        <v>8762</v>
      </c>
      <c r="C494" s="5" t="s">
        <v>108</v>
      </c>
      <c r="D494" s="5" t="s">
        <v>146</v>
      </c>
      <c r="E494" s="5" t="s">
        <v>3</v>
      </c>
      <c r="F494" s="6">
        <v>12628</v>
      </c>
      <c r="G494" s="6">
        <v>14200</v>
      </c>
      <c r="H494" s="148">
        <v>25</v>
      </c>
    </row>
    <row r="495" spans="1:8" ht="18.75" x14ac:dyDescent="0.25">
      <c r="A495" s="30" t="s">
        <v>547</v>
      </c>
      <c r="B495" s="5" t="s">
        <v>8695</v>
      </c>
      <c r="C495" s="5" t="s">
        <v>11</v>
      </c>
      <c r="D495" s="5" t="s">
        <v>34</v>
      </c>
      <c r="E495" s="5" t="s">
        <v>3</v>
      </c>
      <c r="F495" s="6">
        <v>28107</v>
      </c>
      <c r="G495" s="6">
        <v>33340</v>
      </c>
      <c r="H495" s="148">
        <v>5</v>
      </c>
    </row>
    <row r="496" spans="1:8" ht="18.75" x14ac:dyDescent="0.25">
      <c r="A496" s="30" t="s">
        <v>548</v>
      </c>
      <c r="B496" s="5" t="s">
        <v>8863</v>
      </c>
      <c r="C496" s="5" t="s">
        <v>66</v>
      </c>
      <c r="D496" s="5" t="s">
        <v>42</v>
      </c>
      <c r="E496" s="5" t="s">
        <v>3</v>
      </c>
      <c r="F496" s="6">
        <v>2026</v>
      </c>
      <c r="G496" s="6">
        <v>2470</v>
      </c>
      <c r="H496" s="148">
        <v>10</v>
      </c>
    </row>
    <row r="497" spans="1:8" ht="18.75" x14ac:dyDescent="0.25">
      <c r="A497" s="30" t="s">
        <v>549</v>
      </c>
      <c r="B497" s="5" t="s">
        <v>8691</v>
      </c>
      <c r="C497" s="5" t="s">
        <v>13</v>
      </c>
      <c r="D497" s="5" t="s">
        <v>14</v>
      </c>
      <c r="E497" s="5" t="s">
        <v>3</v>
      </c>
      <c r="F497" s="6">
        <v>2884</v>
      </c>
      <c r="G497" s="6">
        <v>3390</v>
      </c>
      <c r="H497" s="148">
        <v>25</v>
      </c>
    </row>
    <row r="498" spans="1:8" ht="18.75" x14ac:dyDescent="0.25">
      <c r="A498" s="30" t="s">
        <v>550</v>
      </c>
      <c r="B498" s="5" t="s">
        <v>8868</v>
      </c>
      <c r="C498" s="5" t="s">
        <v>37</v>
      </c>
      <c r="D498" s="5" t="s">
        <v>8867</v>
      </c>
      <c r="E498" s="5" t="s">
        <v>3</v>
      </c>
      <c r="F498" s="6">
        <v>1122</v>
      </c>
      <c r="G498" s="6">
        <v>1300</v>
      </c>
      <c r="H498" s="148">
        <v>20</v>
      </c>
    </row>
    <row r="499" spans="1:8" ht="18.75" x14ac:dyDescent="0.25">
      <c r="A499" s="30" t="s">
        <v>551</v>
      </c>
      <c r="B499" s="5" t="s">
        <v>8688</v>
      </c>
      <c r="C499" s="5" t="s">
        <v>5</v>
      </c>
      <c r="D499" s="5" t="s">
        <v>6</v>
      </c>
      <c r="E499" s="5" t="s">
        <v>3</v>
      </c>
      <c r="F499" s="6">
        <v>33311</v>
      </c>
      <c r="G499" s="6">
        <v>38370</v>
      </c>
      <c r="H499" s="148">
        <v>25</v>
      </c>
    </row>
    <row r="500" spans="1:8" ht="18.75" x14ac:dyDescent="0.25">
      <c r="A500" s="30" t="s">
        <v>552</v>
      </c>
      <c r="B500" s="5" t="s">
        <v>8846</v>
      </c>
      <c r="C500" s="5" t="s">
        <v>119</v>
      </c>
      <c r="D500" s="5" t="s">
        <v>83</v>
      </c>
      <c r="E500" s="5" t="s">
        <v>3</v>
      </c>
      <c r="F500" s="6">
        <v>4331</v>
      </c>
      <c r="G500" s="6">
        <v>5080</v>
      </c>
      <c r="H500" s="148">
        <v>8</v>
      </c>
    </row>
    <row r="501" spans="1:8" ht="18.75" x14ac:dyDescent="0.25">
      <c r="A501" s="30" t="s">
        <v>553</v>
      </c>
      <c r="B501" s="5" t="s">
        <v>8699</v>
      </c>
      <c r="C501" s="5" t="s">
        <v>71</v>
      </c>
      <c r="D501" s="5" t="s">
        <v>22</v>
      </c>
      <c r="E501" s="5" t="s">
        <v>3</v>
      </c>
      <c r="F501" s="6">
        <v>3228</v>
      </c>
      <c r="G501" s="6">
        <v>3820</v>
      </c>
      <c r="H501" s="148">
        <v>5</v>
      </c>
    </row>
    <row r="502" spans="1:8" ht="18.75" x14ac:dyDescent="0.25">
      <c r="A502" s="32" t="s">
        <v>554</v>
      </c>
      <c r="B502" s="33" t="s">
        <v>8869</v>
      </c>
      <c r="C502" s="33" t="s">
        <v>74</v>
      </c>
      <c r="D502" s="33" t="s">
        <v>8867</v>
      </c>
      <c r="E502" s="33" t="s">
        <v>3</v>
      </c>
      <c r="F502" s="39">
        <v>4950</v>
      </c>
      <c r="G502" s="39">
        <v>6320</v>
      </c>
      <c r="H502" s="53">
        <v>25</v>
      </c>
    </row>
  </sheetData>
  <mergeCells count="1">
    <mergeCell ref="A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23CF-B517-4420-936B-0D5F46B4FE80}">
  <sheetPr codeName="Sheet2"/>
  <dimension ref="A1:F52"/>
  <sheetViews>
    <sheetView workbookViewId="0">
      <selection activeCell="B18" sqref="B18"/>
    </sheetView>
  </sheetViews>
  <sheetFormatPr defaultRowHeight="15" x14ac:dyDescent="0.25"/>
  <cols>
    <col min="1" max="1" width="16.28515625" customWidth="1"/>
    <col min="2" max="2" width="32.7109375" customWidth="1"/>
    <col min="3" max="3" width="20" style="11" customWidth="1"/>
    <col min="4" max="4" width="11.28515625" bestFit="1" customWidth="1"/>
    <col min="5" max="5" width="13.28515625" customWidth="1"/>
    <col min="6" max="6" width="21.42578125" bestFit="1" customWidth="1"/>
  </cols>
  <sheetData>
    <row r="1" spans="1:6" s="11" customFormat="1" ht="28.5" x14ac:dyDescent="0.25">
      <c r="A1" s="189" t="s">
        <v>8772</v>
      </c>
      <c r="B1" s="189"/>
      <c r="C1" s="189"/>
      <c r="D1" s="189"/>
      <c r="E1" s="189"/>
      <c r="F1" s="189"/>
    </row>
    <row r="2" spans="1:6" s="15" customFormat="1" ht="21" x14ac:dyDescent="0.35">
      <c r="A2" s="27" t="s">
        <v>560</v>
      </c>
      <c r="B2" s="28" t="s">
        <v>561</v>
      </c>
      <c r="C2" s="28" t="s">
        <v>8749</v>
      </c>
      <c r="D2" s="28" t="s">
        <v>562</v>
      </c>
      <c r="E2" s="29" t="s">
        <v>563</v>
      </c>
      <c r="F2" s="104" t="s">
        <v>8790</v>
      </c>
    </row>
    <row r="3" spans="1:6" ht="18.75" x14ac:dyDescent="0.25">
      <c r="A3" s="30" t="s">
        <v>564</v>
      </c>
      <c r="B3" s="5" t="s">
        <v>617</v>
      </c>
      <c r="C3" s="5">
        <v>9689542450</v>
      </c>
      <c r="D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" s="31" t="s">
        <v>8843</v>
      </c>
      <c r="F3" s="155" t="s">
        <v>8791</v>
      </c>
    </row>
    <row r="4" spans="1:6" ht="18.75" x14ac:dyDescent="0.25">
      <c r="A4" s="30" t="s">
        <v>565</v>
      </c>
      <c r="B4" s="5" t="s">
        <v>618</v>
      </c>
      <c r="C4" s="5">
        <v>9689542459</v>
      </c>
      <c r="D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" s="31" t="s">
        <v>8844</v>
      </c>
      <c r="F4" s="155" t="s">
        <v>8792</v>
      </c>
    </row>
    <row r="5" spans="1:6" ht="18.75" x14ac:dyDescent="0.25">
      <c r="A5" s="30" t="s">
        <v>566</v>
      </c>
      <c r="B5" s="5" t="s">
        <v>619</v>
      </c>
      <c r="C5" s="5">
        <v>9689542452</v>
      </c>
      <c r="D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" s="31" t="s">
        <v>8845</v>
      </c>
      <c r="F5" s="155" t="s">
        <v>8793</v>
      </c>
    </row>
    <row r="6" spans="1:6" ht="18.75" x14ac:dyDescent="0.25">
      <c r="A6" s="30" t="s">
        <v>567</v>
      </c>
      <c r="B6" s="5" t="s">
        <v>620</v>
      </c>
      <c r="C6" s="5">
        <v>9689542453</v>
      </c>
      <c r="D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6" s="31" t="s">
        <v>8843</v>
      </c>
      <c r="F6" s="155" t="s">
        <v>8794</v>
      </c>
    </row>
    <row r="7" spans="1:6" ht="18.75" x14ac:dyDescent="0.25">
      <c r="A7" s="30" t="s">
        <v>568</v>
      </c>
      <c r="B7" s="5" t="s">
        <v>619</v>
      </c>
      <c r="C7" s="5">
        <v>9689542454</v>
      </c>
      <c r="D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7" s="31" t="s">
        <v>8843</v>
      </c>
      <c r="F7" s="155" t="s">
        <v>8795</v>
      </c>
    </row>
    <row r="8" spans="1:6" ht="18.75" x14ac:dyDescent="0.25">
      <c r="A8" s="30" t="s">
        <v>569</v>
      </c>
      <c r="B8" s="5" t="s">
        <v>621</v>
      </c>
      <c r="C8" s="5">
        <v>9689542455</v>
      </c>
      <c r="D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8" s="31" t="s">
        <v>8843</v>
      </c>
      <c r="F8" s="155" t="s">
        <v>8796</v>
      </c>
    </row>
    <row r="9" spans="1:6" ht="18.75" x14ac:dyDescent="0.25">
      <c r="A9" s="30" t="s">
        <v>570</v>
      </c>
      <c r="B9" s="5" t="s">
        <v>622</v>
      </c>
      <c r="C9" s="5">
        <v>9689542456</v>
      </c>
      <c r="D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9" s="31" t="s">
        <v>8844</v>
      </c>
      <c r="F9" s="155" t="s">
        <v>8797</v>
      </c>
    </row>
    <row r="10" spans="1:6" ht="18.75" x14ac:dyDescent="0.25">
      <c r="A10" s="30" t="s">
        <v>571</v>
      </c>
      <c r="B10" s="5" t="s">
        <v>623</v>
      </c>
      <c r="C10" s="5">
        <v>9689542457</v>
      </c>
      <c r="D1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0" s="31" t="s">
        <v>8843</v>
      </c>
      <c r="F10" s="155" t="s">
        <v>8798</v>
      </c>
    </row>
    <row r="11" spans="1:6" ht="18.75" x14ac:dyDescent="0.25">
      <c r="A11" s="30" t="s">
        <v>573</v>
      </c>
      <c r="B11" s="5" t="s">
        <v>624</v>
      </c>
      <c r="C11" s="5">
        <v>9689542458</v>
      </c>
      <c r="D1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1" s="31" t="s">
        <v>8843</v>
      </c>
      <c r="F11" s="155" t="s">
        <v>8799</v>
      </c>
    </row>
    <row r="12" spans="1:6" ht="18.75" x14ac:dyDescent="0.25">
      <c r="A12" s="30" t="s">
        <v>575</v>
      </c>
      <c r="B12" s="5" t="s">
        <v>625</v>
      </c>
      <c r="C12" s="5">
        <v>9689542459</v>
      </c>
      <c r="D1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12" s="31" t="s">
        <v>8844</v>
      </c>
      <c r="F12" s="155" t="s">
        <v>8800</v>
      </c>
    </row>
    <row r="13" spans="1:6" ht="18.75" x14ac:dyDescent="0.25">
      <c r="A13" s="30" t="s">
        <v>576</v>
      </c>
      <c r="B13" s="5" t="s">
        <v>626</v>
      </c>
      <c r="C13" s="5">
        <v>9689542460</v>
      </c>
      <c r="D1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3" s="31" t="s">
        <v>8843</v>
      </c>
      <c r="F13" s="155" t="s">
        <v>8801</v>
      </c>
    </row>
    <row r="14" spans="1:6" ht="18.75" x14ac:dyDescent="0.25">
      <c r="A14" s="30" t="s">
        <v>577</v>
      </c>
      <c r="B14" s="5" t="s">
        <v>627</v>
      </c>
      <c r="C14" s="5">
        <v>9689542469</v>
      </c>
      <c r="D1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4" s="31" t="s">
        <v>8843</v>
      </c>
      <c r="F14" s="155" t="s">
        <v>8802</v>
      </c>
    </row>
    <row r="15" spans="1:6" ht="18.75" x14ac:dyDescent="0.25">
      <c r="A15" s="30" t="s">
        <v>578</v>
      </c>
      <c r="B15" s="5" t="s">
        <v>628</v>
      </c>
      <c r="C15" s="5">
        <v>9689542462</v>
      </c>
      <c r="D1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5" s="31" t="s">
        <v>8843</v>
      </c>
      <c r="F15" s="155" t="s">
        <v>8803</v>
      </c>
    </row>
    <row r="16" spans="1:6" ht="18.75" x14ac:dyDescent="0.25">
      <c r="A16" s="30" t="s">
        <v>579</v>
      </c>
      <c r="B16" s="5" t="s">
        <v>629</v>
      </c>
      <c r="C16" s="5">
        <v>9689542463</v>
      </c>
      <c r="D1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16" s="31" t="s">
        <v>8845</v>
      </c>
      <c r="F16" s="155" t="s">
        <v>8804</v>
      </c>
    </row>
    <row r="17" spans="1:6" ht="18.75" x14ac:dyDescent="0.25">
      <c r="A17" s="30" t="s">
        <v>580</v>
      </c>
      <c r="B17" s="5" t="s">
        <v>630</v>
      </c>
      <c r="C17" s="5">
        <v>9689542464</v>
      </c>
      <c r="D1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17" s="31" t="s">
        <v>8844</v>
      </c>
      <c r="F17" s="155" t="s">
        <v>8805</v>
      </c>
    </row>
    <row r="18" spans="1:6" ht="18.75" x14ac:dyDescent="0.25">
      <c r="A18" s="30" t="s">
        <v>581</v>
      </c>
      <c r="B18" s="5" t="s">
        <v>631</v>
      </c>
      <c r="C18" s="5">
        <v>9689542465</v>
      </c>
      <c r="D1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8" s="31" t="s">
        <v>8843</v>
      </c>
      <c r="F18" s="155" t="s">
        <v>8806</v>
      </c>
    </row>
    <row r="19" spans="1:6" ht="18.75" x14ac:dyDescent="0.25">
      <c r="A19" s="30" t="s">
        <v>582</v>
      </c>
      <c r="B19" s="5" t="s">
        <v>632</v>
      </c>
      <c r="C19" s="5">
        <v>9689542466</v>
      </c>
      <c r="D1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19" s="31" t="s">
        <v>8844</v>
      </c>
      <c r="F19" s="155" t="s">
        <v>8807</v>
      </c>
    </row>
    <row r="20" spans="1:6" ht="18.75" x14ac:dyDescent="0.25">
      <c r="A20" s="30" t="s">
        <v>583</v>
      </c>
      <c r="B20" s="5" t="s">
        <v>633</v>
      </c>
      <c r="C20" s="5">
        <v>9689542467</v>
      </c>
      <c r="D2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20" s="31" t="s">
        <v>8844</v>
      </c>
      <c r="F20" s="155" t="s">
        <v>8808</v>
      </c>
    </row>
    <row r="21" spans="1:6" ht="18.75" x14ac:dyDescent="0.25">
      <c r="A21" s="30" t="s">
        <v>584</v>
      </c>
      <c r="B21" s="5" t="s">
        <v>634</v>
      </c>
      <c r="C21" s="5">
        <v>9689542468</v>
      </c>
      <c r="D2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1" s="31" t="s">
        <v>8845</v>
      </c>
      <c r="F21" s="155" t="s">
        <v>8809</v>
      </c>
    </row>
    <row r="22" spans="1:6" ht="18.75" x14ac:dyDescent="0.25">
      <c r="A22" s="30" t="s">
        <v>585</v>
      </c>
      <c r="B22" s="5" t="s">
        <v>635</v>
      </c>
      <c r="C22" s="5">
        <v>9689542469</v>
      </c>
      <c r="D2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22" s="31" t="s">
        <v>8843</v>
      </c>
      <c r="F22" s="155" t="s">
        <v>8810</v>
      </c>
    </row>
    <row r="23" spans="1:6" ht="18.75" x14ac:dyDescent="0.25">
      <c r="A23" s="30" t="s">
        <v>586</v>
      </c>
      <c r="B23" s="5" t="s">
        <v>636</v>
      </c>
      <c r="C23" s="5">
        <v>9689542470</v>
      </c>
      <c r="D2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3" s="31" t="s">
        <v>8845</v>
      </c>
      <c r="F23" s="155" t="s">
        <v>8811</v>
      </c>
    </row>
    <row r="24" spans="1:6" ht="18.75" x14ac:dyDescent="0.25">
      <c r="A24" s="30" t="s">
        <v>587</v>
      </c>
      <c r="B24" s="5" t="s">
        <v>637</v>
      </c>
      <c r="C24" s="5">
        <v>9689542479</v>
      </c>
      <c r="D2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24" s="31" t="s">
        <v>8844</v>
      </c>
      <c r="F24" s="155" t="s">
        <v>8812</v>
      </c>
    </row>
    <row r="25" spans="1:6" ht="18.75" x14ac:dyDescent="0.25">
      <c r="A25" s="30" t="s">
        <v>588</v>
      </c>
      <c r="B25" s="5" t="s">
        <v>638</v>
      </c>
      <c r="C25" s="5">
        <v>9689542472</v>
      </c>
      <c r="D2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25" s="31" t="s">
        <v>8843</v>
      </c>
      <c r="F25" s="155" t="s">
        <v>8813</v>
      </c>
    </row>
    <row r="26" spans="1:6" ht="18.75" x14ac:dyDescent="0.25">
      <c r="A26" s="30" t="s">
        <v>589</v>
      </c>
      <c r="B26" s="5" t="s">
        <v>619</v>
      </c>
      <c r="C26" s="5">
        <v>9689542473</v>
      </c>
      <c r="D2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6" s="31" t="s">
        <v>8845</v>
      </c>
      <c r="F26" s="155" t="s">
        <v>8814</v>
      </c>
    </row>
    <row r="27" spans="1:6" ht="18.75" x14ac:dyDescent="0.25">
      <c r="A27" s="30" t="s">
        <v>590</v>
      </c>
      <c r="B27" s="5" t="s">
        <v>630</v>
      </c>
      <c r="C27" s="5">
        <v>9689542474</v>
      </c>
      <c r="D2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7" s="31" t="s">
        <v>8845</v>
      </c>
      <c r="F27" s="155" t="s">
        <v>8815</v>
      </c>
    </row>
    <row r="28" spans="1:6" ht="18.75" x14ac:dyDescent="0.25">
      <c r="A28" s="30" t="s">
        <v>591</v>
      </c>
      <c r="B28" s="5" t="s">
        <v>628</v>
      </c>
      <c r="C28" s="5">
        <v>9689542475</v>
      </c>
      <c r="D2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28" s="31" t="s">
        <v>8844</v>
      </c>
      <c r="F28" s="155" t="s">
        <v>8816</v>
      </c>
    </row>
    <row r="29" spans="1:6" ht="18.75" x14ac:dyDescent="0.25">
      <c r="A29" s="30" t="s">
        <v>593</v>
      </c>
      <c r="B29" s="5" t="s">
        <v>618</v>
      </c>
      <c r="C29" s="5">
        <v>9689542476</v>
      </c>
      <c r="D2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29" s="31" t="s">
        <v>8843</v>
      </c>
      <c r="F29" s="155" t="s">
        <v>8817</v>
      </c>
    </row>
    <row r="30" spans="1:6" ht="18.75" x14ac:dyDescent="0.25">
      <c r="A30" s="30" t="s">
        <v>594</v>
      </c>
      <c r="B30" s="5" t="s">
        <v>639</v>
      </c>
      <c r="C30" s="5">
        <v>9689542477</v>
      </c>
      <c r="D3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0" s="31" t="s">
        <v>8844</v>
      </c>
      <c r="F30" s="155" t="s">
        <v>8818</v>
      </c>
    </row>
    <row r="31" spans="1:6" ht="18.75" x14ac:dyDescent="0.25">
      <c r="A31" s="30" t="s">
        <v>595</v>
      </c>
      <c r="B31" s="5" t="s">
        <v>640</v>
      </c>
      <c r="C31" s="5">
        <v>9689542478</v>
      </c>
      <c r="D3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31" s="31" t="s">
        <v>8845</v>
      </c>
      <c r="F31" s="155" t="s">
        <v>8819</v>
      </c>
    </row>
    <row r="32" spans="1:6" ht="18.75" x14ac:dyDescent="0.25">
      <c r="A32" s="30" t="s">
        <v>596</v>
      </c>
      <c r="B32" s="5" t="s">
        <v>641</v>
      </c>
      <c r="C32" s="5">
        <v>9689542479</v>
      </c>
      <c r="D3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2" s="31" t="s">
        <v>8843</v>
      </c>
      <c r="F32" s="155" t="s">
        <v>8820</v>
      </c>
    </row>
    <row r="33" spans="1:6" ht="18.75" x14ac:dyDescent="0.25">
      <c r="A33" s="30" t="s">
        <v>597</v>
      </c>
      <c r="B33" s="5" t="s">
        <v>629</v>
      </c>
      <c r="C33" s="5">
        <v>9689542480</v>
      </c>
      <c r="D3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33" s="31" t="s">
        <v>8845</v>
      </c>
      <c r="F33" s="155" t="s">
        <v>8821</v>
      </c>
    </row>
    <row r="34" spans="1:6" ht="18.75" x14ac:dyDescent="0.25">
      <c r="A34" s="30" t="s">
        <v>598</v>
      </c>
      <c r="B34" s="5" t="s">
        <v>620</v>
      </c>
      <c r="C34" s="5">
        <v>9689542489</v>
      </c>
      <c r="D3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4" s="31" t="s">
        <v>8844</v>
      </c>
      <c r="F34" s="155" t="s">
        <v>8822</v>
      </c>
    </row>
    <row r="35" spans="1:6" ht="18.75" x14ac:dyDescent="0.25">
      <c r="A35" s="30" t="s">
        <v>599</v>
      </c>
      <c r="B35" s="5" t="s">
        <v>620</v>
      </c>
      <c r="C35" s="5">
        <v>9689542482</v>
      </c>
      <c r="D3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35" s="31" t="s">
        <v>8845</v>
      </c>
      <c r="F35" s="155" t="s">
        <v>8823</v>
      </c>
    </row>
    <row r="36" spans="1:6" ht="18.75" x14ac:dyDescent="0.25">
      <c r="A36" s="30" t="s">
        <v>600</v>
      </c>
      <c r="B36" s="5" t="s">
        <v>642</v>
      </c>
      <c r="C36" s="5">
        <v>9689542483</v>
      </c>
      <c r="D3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6" s="31" t="s">
        <v>8843</v>
      </c>
      <c r="F36" s="155" t="s">
        <v>8824</v>
      </c>
    </row>
    <row r="37" spans="1:6" ht="18.75" x14ac:dyDescent="0.25">
      <c r="A37" s="30" t="s">
        <v>601</v>
      </c>
      <c r="B37" s="5" t="s">
        <v>626</v>
      </c>
      <c r="C37" s="5">
        <v>9689542484</v>
      </c>
      <c r="D3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7" s="31" t="s">
        <v>8844</v>
      </c>
      <c r="F37" s="155" t="s">
        <v>8825</v>
      </c>
    </row>
    <row r="38" spans="1:6" ht="18.75" x14ac:dyDescent="0.25">
      <c r="A38" s="30" t="s">
        <v>602</v>
      </c>
      <c r="B38" s="5" t="s">
        <v>619</v>
      </c>
      <c r="C38" s="5">
        <v>9689542485</v>
      </c>
      <c r="D3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8" s="31" t="s">
        <v>8843</v>
      </c>
      <c r="F38" s="155" t="s">
        <v>8826</v>
      </c>
    </row>
    <row r="39" spans="1:6" ht="18.75" x14ac:dyDescent="0.25">
      <c r="A39" s="30" t="s">
        <v>603</v>
      </c>
      <c r="B39" s="5" t="s">
        <v>635</v>
      </c>
      <c r="C39" s="5">
        <v>9689542486</v>
      </c>
      <c r="D3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9" s="31" t="s">
        <v>8844</v>
      </c>
      <c r="F39" s="155" t="s">
        <v>8827</v>
      </c>
    </row>
    <row r="40" spans="1:6" ht="18.75" x14ac:dyDescent="0.25">
      <c r="A40" s="30" t="s">
        <v>604</v>
      </c>
      <c r="B40" s="5" t="s">
        <v>622</v>
      </c>
      <c r="C40" s="5">
        <v>9689542487</v>
      </c>
      <c r="D4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0" s="31" t="s">
        <v>8844</v>
      </c>
      <c r="F40" s="155" t="s">
        <v>8828</v>
      </c>
    </row>
    <row r="41" spans="1:6" ht="18.75" x14ac:dyDescent="0.25">
      <c r="A41" s="30" t="s">
        <v>605</v>
      </c>
      <c r="B41" s="5" t="s">
        <v>643</v>
      </c>
      <c r="C41" s="5">
        <v>9689542488</v>
      </c>
      <c r="D4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1" s="31" t="s">
        <v>8844</v>
      </c>
      <c r="F41" s="155" t="s">
        <v>8829</v>
      </c>
    </row>
    <row r="42" spans="1:6" ht="18.75" x14ac:dyDescent="0.25">
      <c r="A42" s="30" t="s">
        <v>606</v>
      </c>
      <c r="B42" s="5" t="s">
        <v>622</v>
      </c>
      <c r="C42" s="5">
        <v>9689542489</v>
      </c>
      <c r="D4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2" s="31" t="s">
        <v>8844</v>
      </c>
      <c r="F42" s="155" t="s">
        <v>8830</v>
      </c>
    </row>
    <row r="43" spans="1:6" ht="18.75" x14ac:dyDescent="0.25">
      <c r="A43" s="30" t="s">
        <v>607</v>
      </c>
      <c r="B43" s="5" t="s">
        <v>644</v>
      </c>
      <c r="C43" s="5">
        <v>9689542490</v>
      </c>
      <c r="D4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43" s="31" t="s">
        <v>8845</v>
      </c>
      <c r="F43" s="155" t="s">
        <v>8831</v>
      </c>
    </row>
    <row r="44" spans="1:6" ht="18.75" x14ac:dyDescent="0.25">
      <c r="A44" s="30" t="s">
        <v>608</v>
      </c>
      <c r="B44" s="5" t="s">
        <v>618</v>
      </c>
      <c r="C44" s="5">
        <v>9689542499</v>
      </c>
      <c r="D4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44" s="31" t="s">
        <v>8843</v>
      </c>
      <c r="F44" s="155" t="s">
        <v>8832</v>
      </c>
    </row>
    <row r="45" spans="1:6" ht="18.75" x14ac:dyDescent="0.25">
      <c r="A45" s="30" t="s">
        <v>609</v>
      </c>
      <c r="B45" s="5" t="s">
        <v>645</v>
      </c>
      <c r="C45" s="5">
        <v>9689542492</v>
      </c>
      <c r="D4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45" s="31" t="s">
        <v>8845</v>
      </c>
      <c r="F45" s="155" t="s">
        <v>8833</v>
      </c>
    </row>
    <row r="46" spans="1:6" ht="18.75" x14ac:dyDescent="0.25">
      <c r="A46" s="30" t="s">
        <v>610</v>
      </c>
      <c r="B46" s="5" t="s">
        <v>646</v>
      </c>
      <c r="C46" s="5">
        <v>9689542493</v>
      </c>
      <c r="D4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46" s="31" t="s">
        <v>8845</v>
      </c>
      <c r="F46" s="155" t="s">
        <v>8834</v>
      </c>
    </row>
    <row r="47" spans="1:6" ht="18.75" x14ac:dyDescent="0.25">
      <c r="A47" s="30" t="s">
        <v>611</v>
      </c>
      <c r="B47" s="5" t="s">
        <v>620</v>
      </c>
      <c r="C47" s="5">
        <v>9689542494</v>
      </c>
      <c r="D4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47" s="31" t="s">
        <v>8843</v>
      </c>
      <c r="F47" s="155" t="s">
        <v>8835</v>
      </c>
    </row>
    <row r="48" spans="1:6" ht="18.75" x14ac:dyDescent="0.25">
      <c r="A48" s="30" t="s">
        <v>612</v>
      </c>
      <c r="B48" s="5" t="s">
        <v>647</v>
      </c>
      <c r="C48" s="5">
        <v>9689542495</v>
      </c>
      <c r="D4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8" s="31" t="s">
        <v>8844</v>
      </c>
      <c r="F48" s="155" t="s">
        <v>8836</v>
      </c>
    </row>
    <row r="49" spans="1:6" ht="18.75" x14ac:dyDescent="0.25">
      <c r="A49" s="30" t="s">
        <v>613</v>
      </c>
      <c r="B49" s="5" t="s">
        <v>648</v>
      </c>
      <c r="C49" s="5">
        <v>9689542496</v>
      </c>
      <c r="D4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9" s="31" t="s">
        <v>8844</v>
      </c>
      <c r="F49" s="155" t="s">
        <v>8837</v>
      </c>
    </row>
    <row r="50" spans="1:6" ht="18.75" x14ac:dyDescent="0.25">
      <c r="A50" s="30" t="s">
        <v>614</v>
      </c>
      <c r="B50" s="5" t="s">
        <v>627</v>
      </c>
      <c r="C50" s="5">
        <v>9689542497</v>
      </c>
      <c r="D5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0" s="31" t="s">
        <v>8845</v>
      </c>
      <c r="F50" s="155" t="s">
        <v>8838</v>
      </c>
    </row>
    <row r="51" spans="1:6" ht="18.75" x14ac:dyDescent="0.25">
      <c r="A51" s="30" t="s">
        <v>615</v>
      </c>
      <c r="B51" s="5" t="s">
        <v>649</v>
      </c>
      <c r="C51" s="5">
        <v>9689542498</v>
      </c>
      <c r="D5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1" s="31" t="s">
        <v>8845</v>
      </c>
      <c r="F51" s="155" t="s">
        <v>8839</v>
      </c>
    </row>
    <row r="52" spans="1:6" ht="18.75" x14ac:dyDescent="0.25">
      <c r="A52" s="32" t="s">
        <v>616</v>
      </c>
      <c r="B52" s="33" t="s">
        <v>618</v>
      </c>
      <c r="C52" s="5">
        <v>9689542499</v>
      </c>
      <c r="D5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2" s="34" t="s">
        <v>8845</v>
      </c>
      <c r="F52" s="155" t="s">
        <v>8840</v>
      </c>
    </row>
  </sheetData>
  <mergeCells count="1">
    <mergeCell ref="A1:F1"/>
  </mergeCells>
  <phoneticPr fontId="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AA2D0-BDFB-4DA3-8D74-94C5B9CC7E11}">
  <sheetPr codeName="Sheet3"/>
  <dimension ref="A1:E304"/>
  <sheetViews>
    <sheetView topLeftCell="A289" zoomScaleNormal="100" workbookViewId="0">
      <selection activeCell="B302" sqref="B302"/>
    </sheetView>
  </sheetViews>
  <sheetFormatPr defaultRowHeight="15" x14ac:dyDescent="0.25"/>
  <cols>
    <col min="1" max="1" width="18.42578125" style="11" customWidth="1"/>
    <col min="2" max="2" width="24.5703125" customWidth="1"/>
    <col min="3" max="3" width="19.140625" style="11" customWidth="1"/>
    <col min="4" max="4" width="15.140625" customWidth="1"/>
    <col min="5" max="5" width="13.7109375" customWidth="1"/>
  </cols>
  <sheetData>
    <row r="1" spans="1:5" s="11" customFormat="1" ht="28.5" x14ac:dyDescent="0.25">
      <c r="A1" s="189" t="s">
        <v>8771</v>
      </c>
      <c r="B1" s="189"/>
      <c r="C1" s="189"/>
      <c r="D1" s="189"/>
      <c r="E1" s="189"/>
    </row>
    <row r="2" spans="1:5" ht="21" x14ac:dyDescent="0.35">
      <c r="A2" s="27" t="s">
        <v>8721</v>
      </c>
      <c r="B2" s="28" t="s">
        <v>1013</v>
      </c>
      <c r="C2" s="28" t="s">
        <v>8770</v>
      </c>
      <c r="D2" s="29" t="s">
        <v>562</v>
      </c>
      <c r="E2" s="104" t="s">
        <v>8790</v>
      </c>
    </row>
    <row r="3" spans="1:5" ht="18.75" x14ac:dyDescent="0.25">
      <c r="A3" s="30" t="s">
        <v>650</v>
      </c>
      <c r="B3" s="5" t="s">
        <v>953</v>
      </c>
      <c r="C3" s="5">
        <v>8655446655</v>
      </c>
      <c r="D3" s="31" t="s">
        <v>592</v>
      </c>
      <c r="E3" s="52"/>
    </row>
    <row r="4" spans="1:5" ht="18.75" x14ac:dyDescent="0.25">
      <c r="A4" s="30" t="s">
        <v>651</v>
      </c>
      <c r="B4" s="5" t="s">
        <v>954</v>
      </c>
      <c r="C4" s="5">
        <v>8655446656</v>
      </c>
      <c r="D4" s="31" t="s">
        <v>572</v>
      </c>
      <c r="E4" s="52"/>
    </row>
    <row r="5" spans="1:5" ht="18.75" x14ac:dyDescent="0.25">
      <c r="A5" s="30" t="s">
        <v>652</v>
      </c>
      <c r="B5" s="5" t="s">
        <v>955</v>
      </c>
      <c r="C5" s="5">
        <v>8655446657</v>
      </c>
      <c r="D5" s="31" t="s">
        <v>592</v>
      </c>
      <c r="E5" s="52"/>
    </row>
    <row r="6" spans="1:5" ht="18.75" x14ac:dyDescent="0.25">
      <c r="A6" s="30" t="s">
        <v>653</v>
      </c>
      <c r="B6" s="5" t="s">
        <v>956</v>
      </c>
      <c r="C6" s="5">
        <v>8655446658</v>
      </c>
      <c r="D6" s="31" t="s">
        <v>662</v>
      </c>
      <c r="E6" s="52"/>
    </row>
    <row r="7" spans="1:5" ht="18.75" x14ac:dyDescent="0.25">
      <c r="A7" s="30" t="s">
        <v>654</v>
      </c>
      <c r="B7" s="5" t="s">
        <v>957</v>
      </c>
      <c r="C7" s="5">
        <v>8655446659</v>
      </c>
      <c r="D7" s="31" t="s">
        <v>662</v>
      </c>
      <c r="E7" s="52"/>
    </row>
    <row r="8" spans="1:5" ht="18.75" x14ac:dyDescent="0.25">
      <c r="A8" s="30" t="s">
        <v>655</v>
      </c>
      <c r="B8" s="5" t="s">
        <v>958</v>
      </c>
      <c r="C8" s="5">
        <v>8655446660</v>
      </c>
      <c r="D8" s="31" t="s">
        <v>572</v>
      </c>
      <c r="E8" s="52"/>
    </row>
    <row r="9" spans="1:5" ht="18.75" x14ac:dyDescent="0.25">
      <c r="A9" s="30" t="s">
        <v>656</v>
      </c>
      <c r="B9" s="5" t="s">
        <v>959</v>
      </c>
      <c r="C9" s="5">
        <v>8655446668</v>
      </c>
      <c r="D9" s="31" t="s">
        <v>592</v>
      </c>
      <c r="E9" s="52"/>
    </row>
    <row r="10" spans="1:5" ht="18.75" x14ac:dyDescent="0.25">
      <c r="A10" s="30" t="s">
        <v>657</v>
      </c>
      <c r="B10" s="5" t="s">
        <v>960</v>
      </c>
      <c r="C10" s="5">
        <v>8655446662</v>
      </c>
      <c r="D10" s="31" t="s">
        <v>658</v>
      </c>
      <c r="E10" s="52"/>
    </row>
    <row r="11" spans="1:5" ht="18.75" x14ac:dyDescent="0.25">
      <c r="A11" s="30" t="s">
        <v>659</v>
      </c>
      <c r="B11" s="5" t="s">
        <v>961</v>
      </c>
      <c r="C11" s="5">
        <v>8655446663</v>
      </c>
      <c r="D11" s="31" t="s">
        <v>574</v>
      </c>
      <c r="E11" s="52"/>
    </row>
    <row r="12" spans="1:5" ht="18.75" x14ac:dyDescent="0.25">
      <c r="A12" s="30" t="s">
        <v>660</v>
      </c>
      <c r="B12" s="5" t="s">
        <v>962</v>
      </c>
      <c r="C12" s="5">
        <v>8655446664</v>
      </c>
      <c r="D12" s="31" t="s">
        <v>592</v>
      </c>
      <c r="E12" s="52"/>
    </row>
    <row r="13" spans="1:5" ht="18.75" x14ac:dyDescent="0.25">
      <c r="A13" s="30" t="s">
        <v>661</v>
      </c>
      <c r="B13" s="5" t="s">
        <v>963</v>
      </c>
      <c r="C13" s="5">
        <v>8655446665</v>
      </c>
      <c r="D13" s="31" t="s">
        <v>662</v>
      </c>
      <c r="E13" s="52"/>
    </row>
    <row r="14" spans="1:5" ht="18.75" x14ac:dyDescent="0.25">
      <c r="A14" s="30" t="s">
        <v>663</v>
      </c>
      <c r="B14" s="5" t="s">
        <v>964</v>
      </c>
      <c r="C14" s="5">
        <v>8655446666</v>
      </c>
      <c r="D14" s="31" t="s">
        <v>572</v>
      </c>
      <c r="E14" s="52"/>
    </row>
    <row r="15" spans="1:5" ht="18.75" x14ac:dyDescent="0.25">
      <c r="A15" s="30" t="s">
        <v>664</v>
      </c>
      <c r="B15" s="5" t="s">
        <v>1010</v>
      </c>
      <c r="C15" s="5">
        <v>8655446667</v>
      </c>
      <c r="D15" s="31" t="s">
        <v>572</v>
      </c>
      <c r="E15" s="52"/>
    </row>
    <row r="16" spans="1:5" ht="18.75" x14ac:dyDescent="0.25">
      <c r="A16" s="30" t="s">
        <v>665</v>
      </c>
      <c r="B16" s="5" t="s">
        <v>965</v>
      </c>
      <c r="C16" s="5">
        <v>8655446668</v>
      </c>
      <c r="D16" s="31" t="s">
        <v>662</v>
      </c>
      <c r="E16" s="52"/>
    </row>
    <row r="17" spans="1:5" ht="18.75" x14ac:dyDescent="0.25">
      <c r="A17" s="30" t="s">
        <v>666</v>
      </c>
      <c r="B17" s="5" t="s">
        <v>966</v>
      </c>
      <c r="C17" s="5">
        <v>8655446669</v>
      </c>
      <c r="D17" s="31" t="s">
        <v>574</v>
      </c>
      <c r="E17" s="52"/>
    </row>
    <row r="18" spans="1:5" ht="18.75" x14ac:dyDescent="0.25">
      <c r="A18" s="30" t="s">
        <v>667</v>
      </c>
      <c r="B18" s="5" t="s">
        <v>1005</v>
      </c>
      <c r="C18" s="5">
        <v>8655446670</v>
      </c>
      <c r="D18" s="31" t="s">
        <v>658</v>
      </c>
      <c r="E18" s="52"/>
    </row>
    <row r="19" spans="1:5" ht="18.75" x14ac:dyDescent="0.25">
      <c r="A19" s="30" t="s">
        <v>668</v>
      </c>
      <c r="B19" s="5" t="s">
        <v>967</v>
      </c>
      <c r="C19" s="5">
        <v>8655446678</v>
      </c>
      <c r="D19" s="31" t="s">
        <v>658</v>
      </c>
      <c r="E19" s="52"/>
    </row>
    <row r="20" spans="1:5" ht="18.75" x14ac:dyDescent="0.25">
      <c r="A20" s="30" t="s">
        <v>669</v>
      </c>
      <c r="B20" s="5" t="s">
        <v>955</v>
      </c>
      <c r="C20" s="5">
        <v>8655446672</v>
      </c>
      <c r="D20" s="31" t="s">
        <v>574</v>
      </c>
      <c r="E20" s="52"/>
    </row>
    <row r="21" spans="1:5" ht="18.75" x14ac:dyDescent="0.25">
      <c r="A21" s="30" t="s">
        <v>670</v>
      </c>
      <c r="B21" s="5" t="s">
        <v>968</v>
      </c>
      <c r="C21" s="5">
        <v>8655446673</v>
      </c>
      <c r="D21" s="31" t="s">
        <v>658</v>
      </c>
      <c r="E21" s="52"/>
    </row>
    <row r="22" spans="1:5" ht="18.75" x14ac:dyDescent="0.25">
      <c r="A22" s="30" t="s">
        <v>671</v>
      </c>
      <c r="B22" s="5" t="s">
        <v>969</v>
      </c>
      <c r="C22" s="5">
        <v>8655446674</v>
      </c>
      <c r="D22" s="31" t="s">
        <v>574</v>
      </c>
      <c r="E22" s="52"/>
    </row>
    <row r="23" spans="1:5" ht="18.75" x14ac:dyDescent="0.25">
      <c r="A23" s="30" t="s">
        <v>672</v>
      </c>
      <c r="B23" s="5" t="s">
        <v>967</v>
      </c>
      <c r="C23" s="5">
        <v>8655446675</v>
      </c>
      <c r="D23" s="31" t="s">
        <v>658</v>
      </c>
      <c r="E23" s="52"/>
    </row>
    <row r="24" spans="1:5" ht="18.75" x14ac:dyDescent="0.25">
      <c r="A24" s="30" t="s">
        <v>673</v>
      </c>
      <c r="B24" s="5" t="s">
        <v>970</v>
      </c>
      <c r="C24" s="5">
        <v>8655446676</v>
      </c>
      <c r="D24" s="31" t="s">
        <v>674</v>
      </c>
      <c r="E24" s="52"/>
    </row>
    <row r="25" spans="1:5" ht="18.75" x14ac:dyDescent="0.25">
      <c r="A25" s="30" t="s">
        <v>675</v>
      </c>
      <c r="B25" s="5" t="s">
        <v>971</v>
      </c>
      <c r="C25" s="5">
        <v>8655446677</v>
      </c>
      <c r="D25" s="31" t="s">
        <v>658</v>
      </c>
      <c r="E25" s="52"/>
    </row>
    <row r="26" spans="1:5" ht="18.75" x14ac:dyDescent="0.25">
      <c r="A26" s="30" t="s">
        <v>676</v>
      </c>
      <c r="B26" s="5" t="s">
        <v>972</v>
      </c>
      <c r="C26" s="5">
        <v>8655446678</v>
      </c>
      <c r="D26" s="31" t="s">
        <v>658</v>
      </c>
      <c r="E26" s="52"/>
    </row>
    <row r="27" spans="1:5" ht="18.75" x14ac:dyDescent="0.25">
      <c r="A27" s="30" t="s">
        <v>677</v>
      </c>
      <c r="B27" s="5" t="s">
        <v>954</v>
      </c>
      <c r="C27" s="5">
        <v>8655446679</v>
      </c>
      <c r="D27" s="31" t="s">
        <v>674</v>
      </c>
      <c r="E27" s="52"/>
    </row>
    <row r="28" spans="1:5" ht="18.75" x14ac:dyDescent="0.25">
      <c r="A28" s="30" t="s">
        <v>678</v>
      </c>
      <c r="B28" s="5" t="s">
        <v>973</v>
      </c>
      <c r="C28" s="5">
        <v>8655446680</v>
      </c>
      <c r="D28" s="31" t="s">
        <v>674</v>
      </c>
      <c r="E28" s="52"/>
    </row>
    <row r="29" spans="1:5" ht="18.75" x14ac:dyDescent="0.25">
      <c r="A29" s="30" t="s">
        <v>679</v>
      </c>
      <c r="B29" s="5" t="s">
        <v>974</v>
      </c>
      <c r="C29" s="5">
        <v>8655446688</v>
      </c>
      <c r="D29" s="31" t="s">
        <v>572</v>
      </c>
      <c r="E29" s="52"/>
    </row>
    <row r="30" spans="1:5" ht="18.75" x14ac:dyDescent="0.25">
      <c r="A30" s="30" t="s">
        <v>680</v>
      </c>
      <c r="B30" s="5" t="s">
        <v>959</v>
      </c>
      <c r="C30" s="5">
        <v>8655446682</v>
      </c>
      <c r="D30" s="31" t="s">
        <v>674</v>
      </c>
      <c r="E30" s="52"/>
    </row>
    <row r="31" spans="1:5" ht="18.75" x14ac:dyDescent="0.25">
      <c r="A31" s="30" t="s">
        <v>681</v>
      </c>
      <c r="B31" s="5" t="s">
        <v>975</v>
      </c>
      <c r="C31" s="5">
        <v>8655446683</v>
      </c>
      <c r="D31" s="31" t="s">
        <v>574</v>
      </c>
      <c r="E31" s="52"/>
    </row>
    <row r="32" spans="1:5" ht="18.75" x14ac:dyDescent="0.25">
      <c r="A32" s="30" t="s">
        <v>682</v>
      </c>
      <c r="B32" s="5" t="s">
        <v>976</v>
      </c>
      <c r="C32" s="5">
        <v>8655446684</v>
      </c>
      <c r="D32" s="31" t="s">
        <v>658</v>
      </c>
      <c r="E32" s="52"/>
    </row>
    <row r="33" spans="1:5" ht="18.75" x14ac:dyDescent="0.25">
      <c r="A33" s="30" t="s">
        <v>683</v>
      </c>
      <c r="B33" s="5" t="s">
        <v>959</v>
      </c>
      <c r="C33" s="5">
        <v>8655446685</v>
      </c>
      <c r="D33" s="31" t="s">
        <v>662</v>
      </c>
      <c r="E33" s="52"/>
    </row>
    <row r="34" spans="1:5" ht="18.75" x14ac:dyDescent="0.25">
      <c r="A34" s="30" t="s">
        <v>684</v>
      </c>
      <c r="B34" s="5" t="s">
        <v>976</v>
      </c>
      <c r="C34" s="5">
        <v>8655446686</v>
      </c>
      <c r="D34" s="31" t="s">
        <v>674</v>
      </c>
      <c r="E34" s="52"/>
    </row>
    <row r="35" spans="1:5" ht="18.75" x14ac:dyDescent="0.25">
      <c r="A35" s="30" t="s">
        <v>685</v>
      </c>
      <c r="B35" s="5" t="s">
        <v>977</v>
      </c>
      <c r="C35" s="5">
        <v>8655446687</v>
      </c>
      <c r="D35" s="31" t="s">
        <v>662</v>
      </c>
      <c r="E35" s="52"/>
    </row>
    <row r="36" spans="1:5" ht="18.75" x14ac:dyDescent="0.25">
      <c r="A36" s="30" t="s">
        <v>686</v>
      </c>
      <c r="B36" s="5" t="s">
        <v>978</v>
      </c>
      <c r="C36" s="5">
        <v>8655446688</v>
      </c>
      <c r="D36" s="31" t="s">
        <v>574</v>
      </c>
      <c r="E36" s="52"/>
    </row>
    <row r="37" spans="1:5" ht="18.75" x14ac:dyDescent="0.25">
      <c r="A37" s="30" t="s">
        <v>687</v>
      </c>
      <c r="B37" s="5" t="s">
        <v>960</v>
      </c>
      <c r="C37" s="5">
        <v>8655446689</v>
      </c>
      <c r="D37" s="31" t="s">
        <v>658</v>
      </c>
      <c r="E37" s="52"/>
    </row>
    <row r="38" spans="1:5" ht="18.75" x14ac:dyDescent="0.25">
      <c r="A38" s="30" t="s">
        <v>688</v>
      </c>
      <c r="B38" s="5" t="s">
        <v>960</v>
      </c>
      <c r="C38" s="5">
        <v>8655446690</v>
      </c>
      <c r="D38" s="31" t="s">
        <v>592</v>
      </c>
      <c r="E38" s="52"/>
    </row>
    <row r="39" spans="1:5" ht="18.75" x14ac:dyDescent="0.25">
      <c r="A39" s="30" t="s">
        <v>689</v>
      </c>
      <c r="B39" s="5" t="s">
        <v>955</v>
      </c>
      <c r="C39" s="5">
        <v>8655446698</v>
      </c>
      <c r="D39" s="31" t="s">
        <v>572</v>
      </c>
      <c r="E39" s="52"/>
    </row>
    <row r="40" spans="1:5" ht="18.75" x14ac:dyDescent="0.25">
      <c r="A40" s="30" t="s">
        <v>690</v>
      </c>
      <c r="B40" s="5" t="s">
        <v>979</v>
      </c>
      <c r="C40" s="5">
        <v>8655446692</v>
      </c>
      <c r="D40" s="31" t="s">
        <v>674</v>
      </c>
      <c r="E40" s="52"/>
    </row>
    <row r="41" spans="1:5" ht="18.75" x14ac:dyDescent="0.25">
      <c r="A41" s="30" t="s">
        <v>691</v>
      </c>
      <c r="B41" s="5" t="s">
        <v>956</v>
      </c>
      <c r="C41" s="5">
        <v>8655446693</v>
      </c>
      <c r="D41" s="31" t="s">
        <v>662</v>
      </c>
      <c r="E41" s="52"/>
    </row>
    <row r="42" spans="1:5" ht="18.75" x14ac:dyDescent="0.25">
      <c r="A42" s="30" t="s">
        <v>692</v>
      </c>
      <c r="B42" s="5" t="s">
        <v>967</v>
      </c>
      <c r="C42" s="5">
        <v>8655446694</v>
      </c>
      <c r="D42" s="31" t="s">
        <v>674</v>
      </c>
      <c r="E42" s="52"/>
    </row>
    <row r="43" spans="1:5" ht="18.75" x14ac:dyDescent="0.25">
      <c r="A43" s="30" t="s">
        <v>693</v>
      </c>
      <c r="B43" s="5" t="s">
        <v>971</v>
      </c>
      <c r="C43" s="5">
        <v>8655446695</v>
      </c>
      <c r="D43" s="31" t="s">
        <v>662</v>
      </c>
      <c r="E43" s="52"/>
    </row>
    <row r="44" spans="1:5" ht="18.75" x14ac:dyDescent="0.25">
      <c r="A44" s="30" t="s">
        <v>694</v>
      </c>
      <c r="B44" s="5" t="s">
        <v>964</v>
      </c>
      <c r="C44" s="5">
        <v>8655446696</v>
      </c>
      <c r="D44" s="31" t="s">
        <v>674</v>
      </c>
      <c r="E44" s="52"/>
    </row>
    <row r="45" spans="1:5" ht="18.75" x14ac:dyDescent="0.25">
      <c r="A45" s="30" t="s">
        <v>695</v>
      </c>
      <c r="B45" s="5" t="s">
        <v>959</v>
      </c>
      <c r="C45" s="5">
        <v>8655446697</v>
      </c>
      <c r="D45" s="31" t="s">
        <v>592</v>
      </c>
      <c r="E45" s="52"/>
    </row>
    <row r="46" spans="1:5" ht="18.75" x14ac:dyDescent="0.25">
      <c r="A46" s="30" t="s">
        <v>696</v>
      </c>
      <c r="B46" s="5" t="s">
        <v>957</v>
      </c>
      <c r="C46" s="5">
        <v>8655446698</v>
      </c>
      <c r="D46" s="31" t="s">
        <v>572</v>
      </c>
      <c r="E46" s="52"/>
    </row>
    <row r="47" spans="1:5" ht="18.75" x14ac:dyDescent="0.25">
      <c r="A47" s="30" t="s">
        <v>697</v>
      </c>
      <c r="B47" s="5" t="s">
        <v>980</v>
      </c>
      <c r="C47" s="5">
        <v>8655446699</v>
      </c>
      <c r="D47" s="31" t="s">
        <v>662</v>
      </c>
      <c r="E47" s="52"/>
    </row>
    <row r="48" spans="1:5" ht="18.75" x14ac:dyDescent="0.25">
      <c r="A48" s="30" t="s">
        <v>698</v>
      </c>
      <c r="B48" s="5" t="s">
        <v>981</v>
      </c>
      <c r="C48" s="5">
        <v>8655446700</v>
      </c>
      <c r="D48" s="31" t="s">
        <v>662</v>
      </c>
      <c r="E48" s="52"/>
    </row>
    <row r="49" spans="1:5" ht="18.75" x14ac:dyDescent="0.25">
      <c r="A49" s="30" t="s">
        <v>699</v>
      </c>
      <c r="B49" s="5" t="s">
        <v>982</v>
      </c>
      <c r="C49" s="5">
        <v>8655446708</v>
      </c>
      <c r="D49" s="31" t="s">
        <v>572</v>
      </c>
      <c r="E49" s="52"/>
    </row>
    <row r="50" spans="1:5" ht="18.75" x14ac:dyDescent="0.25">
      <c r="A50" s="30" t="s">
        <v>700</v>
      </c>
      <c r="B50" s="5" t="s">
        <v>973</v>
      </c>
      <c r="C50" s="5">
        <v>8655446702</v>
      </c>
      <c r="D50" s="31" t="s">
        <v>674</v>
      </c>
      <c r="E50" s="52"/>
    </row>
    <row r="51" spans="1:5" ht="18.75" x14ac:dyDescent="0.25">
      <c r="A51" s="30" t="s">
        <v>701</v>
      </c>
      <c r="B51" s="5" t="s">
        <v>983</v>
      </c>
      <c r="C51" s="5">
        <v>8655446703</v>
      </c>
      <c r="D51" s="31" t="s">
        <v>592</v>
      </c>
      <c r="E51" s="52"/>
    </row>
    <row r="52" spans="1:5" ht="18.75" x14ac:dyDescent="0.25">
      <c r="A52" s="30" t="s">
        <v>702</v>
      </c>
      <c r="B52" s="5" t="s">
        <v>984</v>
      </c>
      <c r="C52" s="5">
        <v>8655446704</v>
      </c>
      <c r="D52" s="31" t="s">
        <v>572</v>
      </c>
      <c r="E52" s="52"/>
    </row>
    <row r="53" spans="1:5" ht="18.75" x14ac:dyDescent="0.25">
      <c r="A53" s="30" t="s">
        <v>703</v>
      </c>
      <c r="B53" s="5" t="s">
        <v>974</v>
      </c>
      <c r="C53" s="5">
        <v>8655446705</v>
      </c>
      <c r="D53" s="31" t="s">
        <v>658</v>
      </c>
      <c r="E53" s="52"/>
    </row>
    <row r="54" spans="1:5" ht="18.75" x14ac:dyDescent="0.25">
      <c r="A54" s="30" t="s">
        <v>704</v>
      </c>
      <c r="B54" s="5" t="s">
        <v>971</v>
      </c>
      <c r="C54" s="5">
        <v>8655446706</v>
      </c>
      <c r="D54" s="31" t="s">
        <v>662</v>
      </c>
      <c r="E54" s="52"/>
    </row>
    <row r="55" spans="1:5" ht="18.75" x14ac:dyDescent="0.25">
      <c r="A55" s="30" t="s">
        <v>705</v>
      </c>
      <c r="B55" s="5" t="s">
        <v>985</v>
      </c>
      <c r="C55" s="5">
        <v>8655446707</v>
      </c>
      <c r="D55" s="31" t="s">
        <v>674</v>
      </c>
      <c r="E55" s="52"/>
    </row>
    <row r="56" spans="1:5" ht="18.75" x14ac:dyDescent="0.25">
      <c r="A56" s="30" t="s">
        <v>706</v>
      </c>
      <c r="B56" s="5" t="s">
        <v>964</v>
      </c>
      <c r="C56" s="5">
        <v>8655446708</v>
      </c>
      <c r="D56" s="31" t="s">
        <v>574</v>
      </c>
      <c r="E56" s="52"/>
    </row>
    <row r="57" spans="1:5" ht="18.75" x14ac:dyDescent="0.25">
      <c r="A57" s="30" t="s">
        <v>707</v>
      </c>
      <c r="B57" s="5" t="s">
        <v>960</v>
      </c>
      <c r="C57" s="5">
        <v>8655446709</v>
      </c>
      <c r="D57" s="31" t="s">
        <v>658</v>
      </c>
      <c r="E57" s="52"/>
    </row>
    <row r="58" spans="1:5" ht="18.75" x14ac:dyDescent="0.25">
      <c r="A58" s="30" t="s">
        <v>708</v>
      </c>
      <c r="B58" s="5" t="s">
        <v>986</v>
      </c>
      <c r="C58" s="5">
        <v>8655446780</v>
      </c>
      <c r="D58" s="31" t="s">
        <v>658</v>
      </c>
      <c r="E58" s="52"/>
    </row>
    <row r="59" spans="1:5" ht="18.75" x14ac:dyDescent="0.25">
      <c r="A59" s="30" t="s">
        <v>709</v>
      </c>
      <c r="B59" s="5" t="s">
        <v>983</v>
      </c>
      <c r="C59" s="5">
        <v>8655446788</v>
      </c>
      <c r="D59" s="31" t="s">
        <v>592</v>
      </c>
      <c r="E59" s="52"/>
    </row>
    <row r="60" spans="1:5" ht="18.75" x14ac:dyDescent="0.25">
      <c r="A60" s="30" t="s">
        <v>710</v>
      </c>
      <c r="B60" s="5" t="s">
        <v>987</v>
      </c>
      <c r="C60" s="5">
        <v>8655446782</v>
      </c>
      <c r="D60" s="31" t="s">
        <v>662</v>
      </c>
      <c r="E60" s="52"/>
    </row>
    <row r="61" spans="1:5" ht="18.75" x14ac:dyDescent="0.25">
      <c r="A61" s="30" t="s">
        <v>711</v>
      </c>
      <c r="B61" s="5" t="s">
        <v>985</v>
      </c>
      <c r="C61" s="5">
        <v>8655446783</v>
      </c>
      <c r="D61" s="31" t="s">
        <v>662</v>
      </c>
      <c r="E61" s="52"/>
    </row>
    <row r="62" spans="1:5" ht="18.75" x14ac:dyDescent="0.25">
      <c r="A62" s="30" t="s">
        <v>712</v>
      </c>
      <c r="B62" s="5" t="s">
        <v>954</v>
      </c>
      <c r="C62" s="5">
        <v>8655446784</v>
      </c>
      <c r="D62" s="31" t="s">
        <v>592</v>
      </c>
      <c r="E62" s="52"/>
    </row>
    <row r="63" spans="1:5" ht="18.75" x14ac:dyDescent="0.25">
      <c r="A63" s="30" t="s">
        <v>713</v>
      </c>
      <c r="B63" s="5" t="s">
        <v>988</v>
      </c>
      <c r="C63" s="5">
        <v>8655446785</v>
      </c>
      <c r="D63" s="31" t="s">
        <v>662</v>
      </c>
      <c r="E63" s="52"/>
    </row>
    <row r="64" spans="1:5" ht="18.75" x14ac:dyDescent="0.25">
      <c r="A64" s="30" t="s">
        <v>714</v>
      </c>
      <c r="B64" s="5" t="s">
        <v>989</v>
      </c>
      <c r="C64" s="5">
        <v>8655446786</v>
      </c>
      <c r="D64" s="31" t="s">
        <v>592</v>
      </c>
      <c r="E64" s="52"/>
    </row>
    <row r="65" spans="1:5" ht="18.75" x14ac:dyDescent="0.25">
      <c r="A65" s="30" t="s">
        <v>715</v>
      </c>
      <c r="B65" s="5" t="s">
        <v>987</v>
      </c>
      <c r="C65" s="5">
        <v>8655446787</v>
      </c>
      <c r="D65" s="31" t="s">
        <v>572</v>
      </c>
      <c r="E65" s="52"/>
    </row>
    <row r="66" spans="1:5" ht="18.75" x14ac:dyDescent="0.25">
      <c r="A66" s="30" t="s">
        <v>716</v>
      </c>
      <c r="B66" s="5" t="s">
        <v>983</v>
      </c>
      <c r="C66" s="5">
        <v>8655446788</v>
      </c>
      <c r="D66" s="31" t="s">
        <v>572</v>
      </c>
      <c r="E66" s="52"/>
    </row>
    <row r="67" spans="1:5" ht="18.75" x14ac:dyDescent="0.25">
      <c r="A67" s="30" t="s">
        <v>717</v>
      </c>
      <c r="B67" s="5" t="s">
        <v>990</v>
      </c>
      <c r="C67" s="5">
        <v>8655446789</v>
      </c>
      <c r="D67" s="31" t="s">
        <v>658</v>
      </c>
      <c r="E67" s="52"/>
    </row>
    <row r="68" spans="1:5" ht="18.75" x14ac:dyDescent="0.25">
      <c r="A68" s="30" t="s">
        <v>718</v>
      </c>
      <c r="B68" s="5" t="s">
        <v>968</v>
      </c>
      <c r="C68" s="5">
        <v>8655446720</v>
      </c>
      <c r="D68" s="31" t="s">
        <v>574</v>
      </c>
      <c r="E68" s="52"/>
    </row>
    <row r="69" spans="1:5" ht="18.75" x14ac:dyDescent="0.25">
      <c r="A69" s="30" t="s">
        <v>719</v>
      </c>
      <c r="B69" s="5" t="s">
        <v>985</v>
      </c>
      <c r="C69" s="5">
        <v>8655446728</v>
      </c>
      <c r="D69" s="31" t="s">
        <v>592</v>
      </c>
      <c r="E69" s="52"/>
    </row>
    <row r="70" spans="1:5" ht="18.75" x14ac:dyDescent="0.25">
      <c r="A70" s="30" t="s">
        <v>720</v>
      </c>
      <c r="B70" s="5" t="s">
        <v>991</v>
      </c>
      <c r="C70" s="5">
        <v>8655446722</v>
      </c>
      <c r="D70" s="31" t="s">
        <v>674</v>
      </c>
      <c r="E70" s="52"/>
    </row>
    <row r="71" spans="1:5" ht="18.75" x14ac:dyDescent="0.25">
      <c r="A71" s="30" t="s">
        <v>721</v>
      </c>
      <c r="B71" s="5" t="s">
        <v>992</v>
      </c>
      <c r="C71" s="5">
        <v>8655446723</v>
      </c>
      <c r="D71" s="31" t="s">
        <v>572</v>
      </c>
      <c r="E71" s="52"/>
    </row>
    <row r="72" spans="1:5" ht="18.75" x14ac:dyDescent="0.25">
      <c r="A72" s="30" t="s">
        <v>722</v>
      </c>
      <c r="B72" s="5" t="s">
        <v>993</v>
      </c>
      <c r="C72" s="5">
        <v>8655446724</v>
      </c>
      <c r="D72" s="31" t="s">
        <v>572</v>
      </c>
      <c r="E72" s="52"/>
    </row>
    <row r="73" spans="1:5" ht="18.75" x14ac:dyDescent="0.25">
      <c r="A73" s="30" t="s">
        <v>723</v>
      </c>
      <c r="B73" s="5" t="s">
        <v>966</v>
      </c>
      <c r="C73" s="5">
        <v>8655446725</v>
      </c>
      <c r="D73" s="31" t="s">
        <v>572</v>
      </c>
      <c r="E73" s="52"/>
    </row>
    <row r="74" spans="1:5" ht="18.75" x14ac:dyDescent="0.25">
      <c r="A74" s="30" t="s">
        <v>724</v>
      </c>
      <c r="B74" s="5" t="s">
        <v>994</v>
      </c>
      <c r="C74" s="5">
        <v>8655446726</v>
      </c>
      <c r="D74" s="31" t="s">
        <v>662</v>
      </c>
      <c r="E74" s="52"/>
    </row>
    <row r="75" spans="1:5" ht="18.75" x14ac:dyDescent="0.25">
      <c r="A75" s="30" t="s">
        <v>725</v>
      </c>
      <c r="B75" s="5" t="s">
        <v>983</v>
      </c>
      <c r="C75" s="5">
        <v>8655446727</v>
      </c>
      <c r="D75" s="31" t="s">
        <v>662</v>
      </c>
      <c r="E75" s="52"/>
    </row>
    <row r="76" spans="1:5" ht="18.75" x14ac:dyDescent="0.25">
      <c r="A76" s="30" t="s">
        <v>726</v>
      </c>
      <c r="B76" s="5" t="s">
        <v>995</v>
      </c>
      <c r="C76" s="5">
        <v>8655446728</v>
      </c>
      <c r="D76" s="31" t="s">
        <v>674</v>
      </c>
      <c r="E76" s="52"/>
    </row>
    <row r="77" spans="1:5" ht="18.75" x14ac:dyDescent="0.25">
      <c r="A77" s="30" t="s">
        <v>727</v>
      </c>
      <c r="B77" s="5" t="s">
        <v>992</v>
      </c>
      <c r="C77" s="5">
        <v>8655446729</v>
      </c>
      <c r="D77" s="31" t="s">
        <v>592</v>
      </c>
      <c r="E77" s="52"/>
    </row>
    <row r="78" spans="1:5" ht="18.75" x14ac:dyDescent="0.25">
      <c r="A78" s="30" t="s">
        <v>728</v>
      </c>
      <c r="B78" s="5" t="s">
        <v>971</v>
      </c>
      <c r="C78" s="5">
        <v>8655446730</v>
      </c>
      <c r="D78" s="31" t="s">
        <v>662</v>
      </c>
      <c r="E78" s="52"/>
    </row>
    <row r="79" spans="1:5" ht="18.75" x14ac:dyDescent="0.25">
      <c r="A79" s="30" t="s">
        <v>729</v>
      </c>
      <c r="B79" s="5" t="s">
        <v>983</v>
      </c>
      <c r="C79" s="5">
        <v>8655446738</v>
      </c>
      <c r="D79" s="31" t="s">
        <v>674</v>
      </c>
      <c r="E79" s="52"/>
    </row>
    <row r="80" spans="1:5" ht="18.75" x14ac:dyDescent="0.25">
      <c r="A80" s="30" t="s">
        <v>730</v>
      </c>
      <c r="B80" s="5" t="s">
        <v>996</v>
      </c>
      <c r="C80" s="5">
        <v>8655446732</v>
      </c>
      <c r="D80" s="31" t="s">
        <v>592</v>
      </c>
      <c r="E80" s="52"/>
    </row>
    <row r="81" spans="1:5" ht="18.75" x14ac:dyDescent="0.25">
      <c r="A81" s="30" t="s">
        <v>731</v>
      </c>
      <c r="B81" s="5" t="s">
        <v>972</v>
      </c>
      <c r="C81" s="5">
        <v>8655446733</v>
      </c>
      <c r="D81" s="31" t="s">
        <v>574</v>
      </c>
      <c r="E81" s="52"/>
    </row>
    <row r="82" spans="1:5" ht="18.75" x14ac:dyDescent="0.25">
      <c r="A82" s="30" t="s">
        <v>732</v>
      </c>
      <c r="B82" s="5" t="s">
        <v>970</v>
      </c>
      <c r="C82" s="5">
        <v>8655446734</v>
      </c>
      <c r="D82" s="31" t="s">
        <v>572</v>
      </c>
      <c r="E82" s="52"/>
    </row>
    <row r="83" spans="1:5" ht="18.75" x14ac:dyDescent="0.25">
      <c r="A83" s="30" t="s">
        <v>733</v>
      </c>
      <c r="B83" s="5" t="s">
        <v>997</v>
      </c>
      <c r="C83" s="5">
        <v>8655446735</v>
      </c>
      <c r="D83" s="31" t="s">
        <v>572</v>
      </c>
      <c r="E83" s="52"/>
    </row>
    <row r="84" spans="1:5" ht="18.75" x14ac:dyDescent="0.25">
      <c r="A84" s="30" t="s">
        <v>734</v>
      </c>
      <c r="B84" s="5" t="s">
        <v>998</v>
      </c>
      <c r="C84" s="5">
        <v>8655446736</v>
      </c>
      <c r="D84" s="31" t="s">
        <v>592</v>
      </c>
      <c r="E84" s="52"/>
    </row>
    <row r="85" spans="1:5" ht="18.75" x14ac:dyDescent="0.25">
      <c r="A85" s="30" t="s">
        <v>735</v>
      </c>
      <c r="B85" s="5" t="s">
        <v>982</v>
      </c>
      <c r="C85" s="5">
        <v>8655446737</v>
      </c>
      <c r="D85" s="31" t="s">
        <v>662</v>
      </c>
      <c r="E85" s="52"/>
    </row>
    <row r="86" spans="1:5" ht="18.75" x14ac:dyDescent="0.25">
      <c r="A86" s="30" t="s">
        <v>736</v>
      </c>
      <c r="B86" s="5" t="s">
        <v>999</v>
      </c>
      <c r="C86" s="5">
        <v>8655446738</v>
      </c>
      <c r="D86" s="31" t="s">
        <v>572</v>
      </c>
      <c r="E86" s="52"/>
    </row>
    <row r="87" spans="1:5" ht="18.75" x14ac:dyDescent="0.25">
      <c r="A87" s="30" t="s">
        <v>737</v>
      </c>
      <c r="B87" s="5" t="s">
        <v>1000</v>
      </c>
      <c r="C87" s="5">
        <v>8655446739</v>
      </c>
      <c r="D87" s="31" t="s">
        <v>572</v>
      </c>
      <c r="E87" s="52"/>
    </row>
    <row r="88" spans="1:5" ht="18.75" x14ac:dyDescent="0.25">
      <c r="A88" s="30" t="s">
        <v>738</v>
      </c>
      <c r="B88" s="5" t="s">
        <v>956</v>
      </c>
      <c r="C88" s="5">
        <v>8655446740</v>
      </c>
      <c r="D88" s="31" t="s">
        <v>574</v>
      </c>
      <c r="E88" s="52"/>
    </row>
    <row r="89" spans="1:5" ht="18.75" x14ac:dyDescent="0.25">
      <c r="A89" s="30" t="s">
        <v>739</v>
      </c>
      <c r="B89" s="5" t="s">
        <v>1001</v>
      </c>
      <c r="C89" s="5">
        <v>8655446748</v>
      </c>
      <c r="D89" s="31" t="s">
        <v>572</v>
      </c>
      <c r="E89" s="52"/>
    </row>
    <row r="90" spans="1:5" ht="18.75" x14ac:dyDescent="0.25">
      <c r="A90" s="30" t="s">
        <v>740</v>
      </c>
      <c r="B90" s="5" t="s">
        <v>1002</v>
      </c>
      <c r="C90" s="5">
        <v>8655446742</v>
      </c>
      <c r="D90" s="31" t="s">
        <v>658</v>
      </c>
      <c r="E90" s="52"/>
    </row>
    <row r="91" spans="1:5" ht="18.75" x14ac:dyDescent="0.25">
      <c r="A91" s="30" t="s">
        <v>741</v>
      </c>
      <c r="B91" s="5" t="s">
        <v>967</v>
      </c>
      <c r="C91" s="5">
        <v>8655446743</v>
      </c>
      <c r="D91" s="31" t="s">
        <v>658</v>
      </c>
      <c r="E91" s="52"/>
    </row>
    <row r="92" spans="1:5" ht="18.75" x14ac:dyDescent="0.25">
      <c r="A92" s="30" t="s">
        <v>742</v>
      </c>
      <c r="B92" s="5" t="s">
        <v>967</v>
      </c>
      <c r="C92" s="5">
        <v>8655446744</v>
      </c>
      <c r="D92" s="31" t="s">
        <v>572</v>
      </c>
      <c r="E92" s="52"/>
    </row>
    <row r="93" spans="1:5" ht="18.75" x14ac:dyDescent="0.25">
      <c r="A93" s="30" t="s">
        <v>743</v>
      </c>
      <c r="B93" s="5" t="s">
        <v>971</v>
      </c>
      <c r="C93" s="5">
        <v>8655446745</v>
      </c>
      <c r="D93" s="31" t="s">
        <v>658</v>
      </c>
      <c r="E93" s="52"/>
    </row>
    <row r="94" spans="1:5" ht="18.75" x14ac:dyDescent="0.25">
      <c r="A94" s="30" t="s">
        <v>744</v>
      </c>
      <c r="B94" s="5" t="s">
        <v>968</v>
      </c>
      <c r="C94" s="5">
        <v>8655446746</v>
      </c>
      <c r="D94" s="31" t="s">
        <v>674</v>
      </c>
      <c r="E94" s="52"/>
    </row>
    <row r="95" spans="1:5" ht="18.75" x14ac:dyDescent="0.25">
      <c r="A95" s="30" t="s">
        <v>745</v>
      </c>
      <c r="B95" s="5" t="s">
        <v>980</v>
      </c>
      <c r="C95" s="5">
        <v>8655446747</v>
      </c>
      <c r="D95" s="31" t="s">
        <v>592</v>
      </c>
      <c r="E95" s="52"/>
    </row>
    <row r="96" spans="1:5" ht="18.75" x14ac:dyDescent="0.25">
      <c r="A96" s="30" t="s">
        <v>746</v>
      </c>
      <c r="B96" s="5" t="s">
        <v>1003</v>
      </c>
      <c r="C96" s="5">
        <v>8655446748</v>
      </c>
      <c r="D96" s="31" t="s">
        <v>662</v>
      </c>
      <c r="E96" s="52"/>
    </row>
    <row r="97" spans="1:5" ht="18.75" x14ac:dyDescent="0.25">
      <c r="A97" s="30" t="s">
        <v>747</v>
      </c>
      <c r="B97" s="5" t="s">
        <v>970</v>
      </c>
      <c r="C97" s="5">
        <v>8655446749</v>
      </c>
      <c r="D97" s="31" t="s">
        <v>592</v>
      </c>
      <c r="E97" s="52"/>
    </row>
    <row r="98" spans="1:5" ht="18.75" x14ac:dyDescent="0.25">
      <c r="A98" s="30" t="s">
        <v>748</v>
      </c>
      <c r="B98" s="5" t="s">
        <v>995</v>
      </c>
      <c r="C98" s="5">
        <v>8655446750</v>
      </c>
      <c r="D98" s="31" t="s">
        <v>662</v>
      </c>
      <c r="E98" s="52"/>
    </row>
    <row r="99" spans="1:5" ht="18.75" x14ac:dyDescent="0.25">
      <c r="A99" s="30" t="s">
        <v>749</v>
      </c>
      <c r="B99" s="5" t="s">
        <v>969</v>
      </c>
      <c r="C99" s="5">
        <v>8655446758</v>
      </c>
      <c r="D99" s="31" t="s">
        <v>592</v>
      </c>
      <c r="E99" s="52"/>
    </row>
    <row r="100" spans="1:5" ht="18.75" x14ac:dyDescent="0.25">
      <c r="A100" s="30" t="s">
        <v>750</v>
      </c>
      <c r="B100" s="5" t="s">
        <v>1007</v>
      </c>
      <c r="C100" s="5">
        <v>8655446752</v>
      </c>
      <c r="D100" s="31" t="s">
        <v>592</v>
      </c>
      <c r="E100" s="52"/>
    </row>
    <row r="101" spans="1:5" ht="18.75" x14ac:dyDescent="0.25">
      <c r="A101" s="30" t="s">
        <v>751</v>
      </c>
      <c r="B101" s="5" t="s">
        <v>999</v>
      </c>
      <c r="C101" s="5">
        <v>8655446753</v>
      </c>
      <c r="D101" s="31" t="s">
        <v>572</v>
      </c>
      <c r="E101" s="52"/>
    </row>
    <row r="102" spans="1:5" ht="18.75" x14ac:dyDescent="0.25">
      <c r="A102" s="30" t="s">
        <v>752</v>
      </c>
      <c r="B102" s="5" t="s">
        <v>956</v>
      </c>
      <c r="C102" s="5">
        <v>8655446754</v>
      </c>
      <c r="D102" s="31" t="s">
        <v>674</v>
      </c>
      <c r="E102" s="52"/>
    </row>
    <row r="103" spans="1:5" ht="18.75" x14ac:dyDescent="0.25">
      <c r="A103" s="30" t="s">
        <v>753</v>
      </c>
      <c r="B103" s="5" t="s">
        <v>970</v>
      </c>
      <c r="C103" s="5">
        <v>8655446755</v>
      </c>
      <c r="D103" s="31" t="s">
        <v>674</v>
      </c>
      <c r="E103" s="52"/>
    </row>
    <row r="104" spans="1:5" ht="18.75" x14ac:dyDescent="0.25">
      <c r="A104" s="30" t="s">
        <v>754</v>
      </c>
      <c r="B104" s="5" t="s">
        <v>1004</v>
      </c>
      <c r="C104" s="5">
        <v>8655446756</v>
      </c>
      <c r="D104" s="31" t="s">
        <v>592</v>
      </c>
      <c r="E104" s="52"/>
    </row>
    <row r="105" spans="1:5" ht="18.75" x14ac:dyDescent="0.25">
      <c r="A105" s="30" t="s">
        <v>755</v>
      </c>
      <c r="B105" s="5" t="s">
        <v>970</v>
      </c>
      <c r="C105" s="5">
        <v>8655446757</v>
      </c>
      <c r="D105" s="31" t="s">
        <v>658</v>
      </c>
      <c r="E105" s="52"/>
    </row>
    <row r="106" spans="1:5" ht="18.75" x14ac:dyDescent="0.25">
      <c r="A106" s="30" t="s">
        <v>756</v>
      </c>
      <c r="B106" s="5" t="s">
        <v>984</v>
      </c>
      <c r="C106" s="5">
        <v>8655446758</v>
      </c>
      <c r="D106" s="31" t="s">
        <v>574</v>
      </c>
      <c r="E106" s="52"/>
    </row>
    <row r="107" spans="1:5" ht="18.75" x14ac:dyDescent="0.25">
      <c r="A107" s="30" t="s">
        <v>757</v>
      </c>
      <c r="B107" s="5" t="s">
        <v>982</v>
      </c>
      <c r="C107" s="5">
        <v>8655446759</v>
      </c>
      <c r="D107" s="31" t="s">
        <v>658</v>
      </c>
      <c r="E107" s="52"/>
    </row>
    <row r="108" spans="1:5" ht="18.75" x14ac:dyDescent="0.25">
      <c r="A108" s="30" t="s">
        <v>758</v>
      </c>
      <c r="B108" s="5" t="s">
        <v>960</v>
      </c>
      <c r="C108" s="5">
        <v>8655446760</v>
      </c>
      <c r="D108" s="31" t="s">
        <v>674</v>
      </c>
      <c r="E108" s="52"/>
    </row>
    <row r="109" spans="1:5" ht="18.75" x14ac:dyDescent="0.25">
      <c r="A109" s="30" t="s">
        <v>759</v>
      </c>
      <c r="B109" s="5" t="s">
        <v>998</v>
      </c>
      <c r="C109" s="5">
        <v>8655446768</v>
      </c>
      <c r="D109" s="31" t="s">
        <v>574</v>
      </c>
      <c r="E109" s="52"/>
    </row>
    <row r="110" spans="1:5" ht="18.75" x14ac:dyDescent="0.25">
      <c r="A110" s="30" t="s">
        <v>760</v>
      </c>
      <c r="B110" s="5" t="s">
        <v>958</v>
      </c>
      <c r="C110" s="5">
        <v>8655446762</v>
      </c>
      <c r="D110" s="31" t="s">
        <v>658</v>
      </c>
      <c r="E110" s="52"/>
    </row>
    <row r="111" spans="1:5" ht="18.75" x14ac:dyDescent="0.25">
      <c r="A111" s="30" t="s">
        <v>761</v>
      </c>
      <c r="B111" s="5" t="s">
        <v>985</v>
      </c>
      <c r="C111" s="5">
        <v>8655446763</v>
      </c>
      <c r="D111" s="31" t="s">
        <v>574</v>
      </c>
      <c r="E111" s="52"/>
    </row>
    <row r="112" spans="1:5" ht="18.75" x14ac:dyDescent="0.25">
      <c r="A112" s="30" t="s">
        <v>762</v>
      </c>
      <c r="B112" s="5" t="s">
        <v>984</v>
      </c>
      <c r="C112" s="5">
        <v>8655446764</v>
      </c>
      <c r="D112" s="31" t="s">
        <v>658</v>
      </c>
      <c r="E112" s="52"/>
    </row>
    <row r="113" spans="1:5" ht="18.75" x14ac:dyDescent="0.25">
      <c r="A113" s="30" t="s">
        <v>763</v>
      </c>
      <c r="B113" s="5" t="s">
        <v>1000</v>
      </c>
      <c r="C113" s="5">
        <v>8655446765</v>
      </c>
      <c r="D113" s="31" t="s">
        <v>658</v>
      </c>
      <c r="E113" s="52"/>
    </row>
    <row r="114" spans="1:5" ht="18.75" x14ac:dyDescent="0.25">
      <c r="A114" s="30" t="s">
        <v>764</v>
      </c>
      <c r="B114" s="5" t="s">
        <v>978</v>
      </c>
      <c r="C114" s="5">
        <v>8655446766</v>
      </c>
      <c r="D114" s="31" t="s">
        <v>574</v>
      </c>
      <c r="E114" s="52"/>
    </row>
    <row r="115" spans="1:5" ht="18.75" x14ac:dyDescent="0.25">
      <c r="A115" s="30" t="s">
        <v>765</v>
      </c>
      <c r="B115" s="5" t="s">
        <v>1005</v>
      </c>
      <c r="C115" s="5">
        <v>8655446767</v>
      </c>
      <c r="D115" s="31" t="s">
        <v>658</v>
      </c>
      <c r="E115" s="52"/>
    </row>
    <row r="116" spans="1:5" ht="18.75" x14ac:dyDescent="0.25">
      <c r="A116" s="30" t="s">
        <v>766</v>
      </c>
      <c r="B116" s="5" t="s">
        <v>1005</v>
      </c>
      <c r="C116" s="5">
        <v>8655446768</v>
      </c>
      <c r="D116" s="31" t="s">
        <v>572</v>
      </c>
      <c r="E116" s="52"/>
    </row>
    <row r="117" spans="1:5" ht="18.75" x14ac:dyDescent="0.25">
      <c r="A117" s="30" t="s">
        <v>767</v>
      </c>
      <c r="B117" s="5" t="s">
        <v>990</v>
      </c>
      <c r="C117" s="5">
        <v>8655446769</v>
      </c>
      <c r="D117" s="31" t="s">
        <v>592</v>
      </c>
      <c r="E117" s="52"/>
    </row>
    <row r="118" spans="1:5" ht="18.75" x14ac:dyDescent="0.25">
      <c r="A118" s="30" t="s">
        <v>768</v>
      </c>
      <c r="B118" s="5" t="s">
        <v>980</v>
      </c>
      <c r="C118" s="5">
        <v>8655446770</v>
      </c>
      <c r="D118" s="31" t="s">
        <v>592</v>
      </c>
      <c r="E118" s="52"/>
    </row>
    <row r="119" spans="1:5" ht="18.75" x14ac:dyDescent="0.25">
      <c r="A119" s="30" t="s">
        <v>769</v>
      </c>
      <c r="B119" s="5" t="s">
        <v>955</v>
      </c>
      <c r="C119" s="5">
        <v>8655446778</v>
      </c>
      <c r="D119" s="31" t="s">
        <v>572</v>
      </c>
      <c r="E119" s="52"/>
    </row>
    <row r="120" spans="1:5" ht="18.75" x14ac:dyDescent="0.25">
      <c r="A120" s="30" t="s">
        <v>770</v>
      </c>
      <c r="B120" s="5" t="s">
        <v>994</v>
      </c>
      <c r="C120" s="5">
        <v>8655446772</v>
      </c>
      <c r="D120" s="31" t="s">
        <v>592</v>
      </c>
      <c r="E120" s="52"/>
    </row>
    <row r="121" spans="1:5" ht="18.75" x14ac:dyDescent="0.25">
      <c r="A121" s="30" t="s">
        <v>771</v>
      </c>
      <c r="B121" s="5" t="s">
        <v>1006</v>
      </c>
      <c r="C121" s="5">
        <v>8655446773</v>
      </c>
      <c r="D121" s="31" t="s">
        <v>572</v>
      </c>
      <c r="E121" s="52"/>
    </row>
    <row r="122" spans="1:5" ht="18.75" x14ac:dyDescent="0.25">
      <c r="A122" s="30" t="s">
        <v>772</v>
      </c>
      <c r="B122" s="5" t="s">
        <v>967</v>
      </c>
      <c r="C122" s="5">
        <v>8655446774</v>
      </c>
      <c r="D122" s="31" t="s">
        <v>658</v>
      </c>
      <c r="E122" s="52"/>
    </row>
    <row r="123" spans="1:5" ht="18.75" x14ac:dyDescent="0.25">
      <c r="A123" s="30" t="s">
        <v>773</v>
      </c>
      <c r="B123" s="5" t="s">
        <v>959</v>
      </c>
      <c r="C123" s="5">
        <v>8655446775</v>
      </c>
      <c r="D123" s="31" t="s">
        <v>662</v>
      </c>
      <c r="E123" s="52"/>
    </row>
    <row r="124" spans="1:5" ht="18.75" x14ac:dyDescent="0.25">
      <c r="A124" s="30" t="s">
        <v>774</v>
      </c>
      <c r="B124" s="5" t="s">
        <v>993</v>
      </c>
      <c r="C124" s="5">
        <v>8655446776</v>
      </c>
      <c r="D124" s="31" t="s">
        <v>674</v>
      </c>
      <c r="E124" s="52"/>
    </row>
    <row r="125" spans="1:5" ht="18.75" x14ac:dyDescent="0.25">
      <c r="A125" s="30" t="s">
        <v>775</v>
      </c>
      <c r="B125" s="5" t="s">
        <v>983</v>
      </c>
      <c r="C125" s="5">
        <v>8655446777</v>
      </c>
      <c r="D125" s="31" t="s">
        <v>662</v>
      </c>
      <c r="E125" s="52"/>
    </row>
    <row r="126" spans="1:5" ht="18.75" x14ac:dyDescent="0.25">
      <c r="A126" s="30" t="s">
        <v>776</v>
      </c>
      <c r="B126" s="5" t="s">
        <v>990</v>
      </c>
      <c r="C126" s="5">
        <v>8655446778</v>
      </c>
      <c r="D126" s="31" t="s">
        <v>658</v>
      </c>
      <c r="E126" s="52"/>
    </row>
    <row r="127" spans="1:5" ht="18.75" x14ac:dyDescent="0.25">
      <c r="A127" s="30" t="s">
        <v>777</v>
      </c>
      <c r="B127" s="5" t="s">
        <v>981</v>
      </c>
      <c r="C127" s="5">
        <v>8655446779</v>
      </c>
      <c r="D127" s="31" t="s">
        <v>592</v>
      </c>
      <c r="E127" s="52"/>
    </row>
    <row r="128" spans="1:5" ht="18.75" x14ac:dyDescent="0.25">
      <c r="A128" s="30" t="s">
        <v>778</v>
      </c>
      <c r="B128" s="5" t="s">
        <v>973</v>
      </c>
      <c r="C128" s="5">
        <v>8655446780</v>
      </c>
      <c r="D128" s="31" t="s">
        <v>674</v>
      </c>
      <c r="E128" s="52"/>
    </row>
    <row r="129" spans="1:5" ht="18.75" x14ac:dyDescent="0.25">
      <c r="A129" s="30" t="s">
        <v>779</v>
      </c>
      <c r="B129" s="5" t="s">
        <v>1007</v>
      </c>
      <c r="C129" s="5">
        <v>8655446788</v>
      </c>
      <c r="D129" s="31" t="s">
        <v>662</v>
      </c>
      <c r="E129" s="52"/>
    </row>
    <row r="130" spans="1:5" ht="18.75" x14ac:dyDescent="0.25">
      <c r="A130" s="30" t="s">
        <v>780</v>
      </c>
      <c r="B130" s="5" t="s">
        <v>966</v>
      </c>
      <c r="C130" s="5">
        <v>8655446782</v>
      </c>
      <c r="D130" s="31" t="s">
        <v>662</v>
      </c>
      <c r="E130" s="52"/>
    </row>
    <row r="131" spans="1:5" ht="18.75" x14ac:dyDescent="0.25">
      <c r="A131" s="30" t="s">
        <v>781</v>
      </c>
      <c r="B131" s="5" t="s">
        <v>965</v>
      </c>
      <c r="C131" s="5">
        <v>8655446783</v>
      </c>
      <c r="D131" s="31" t="s">
        <v>572</v>
      </c>
      <c r="E131" s="52"/>
    </row>
    <row r="132" spans="1:5" ht="18.75" x14ac:dyDescent="0.25">
      <c r="A132" s="30" t="s">
        <v>782</v>
      </c>
      <c r="B132" s="5" t="s">
        <v>1008</v>
      </c>
      <c r="C132" s="5">
        <v>8655446784</v>
      </c>
      <c r="D132" s="31" t="s">
        <v>658</v>
      </c>
      <c r="E132" s="52"/>
    </row>
    <row r="133" spans="1:5" ht="18.75" x14ac:dyDescent="0.25">
      <c r="A133" s="30" t="s">
        <v>783</v>
      </c>
      <c r="B133" s="5" t="s">
        <v>972</v>
      </c>
      <c r="C133" s="5">
        <v>8655446785</v>
      </c>
      <c r="D133" s="31" t="s">
        <v>572</v>
      </c>
      <c r="E133" s="52"/>
    </row>
    <row r="134" spans="1:5" ht="18.75" x14ac:dyDescent="0.25">
      <c r="A134" s="30" t="s">
        <v>784</v>
      </c>
      <c r="B134" s="5" t="s">
        <v>975</v>
      </c>
      <c r="C134" s="5">
        <v>8655446786</v>
      </c>
      <c r="D134" s="31" t="s">
        <v>574</v>
      </c>
      <c r="E134" s="52"/>
    </row>
    <row r="135" spans="1:5" ht="18.75" x14ac:dyDescent="0.25">
      <c r="A135" s="30" t="s">
        <v>785</v>
      </c>
      <c r="B135" s="5" t="s">
        <v>973</v>
      </c>
      <c r="C135" s="5">
        <v>8655446787</v>
      </c>
      <c r="D135" s="31" t="s">
        <v>674</v>
      </c>
      <c r="E135" s="52"/>
    </row>
    <row r="136" spans="1:5" ht="18.75" x14ac:dyDescent="0.25">
      <c r="A136" s="30" t="s">
        <v>786</v>
      </c>
      <c r="B136" s="5" t="s">
        <v>977</v>
      </c>
      <c r="C136" s="5">
        <v>8655446788</v>
      </c>
      <c r="D136" s="31" t="s">
        <v>574</v>
      </c>
      <c r="E136" s="52"/>
    </row>
    <row r="137" spans="1:5" ht="18.75" x14ac:dyDescent="0.25">
      <c r="A137" s="30" t="s">
        <v>787</v>
      </c>
      <c r="B137" s="5" t="s">
        <v>982</v>
      </c>
      <c r="C137" s="5">
        <v>8655446789</v>
      </c>
      <c r="D137" s="31" t="s">
        <v>662</v>
      </c>
      <c r="E137" s="52"/>
    </row>
    <row r="138" spans="1:5" ht="18.75" x14ac:dyDescent="0.25">
      <c r="A138" s="30" t="s">
        <v>788</v>
      </c>
      <c r="B138" s="5" t="s">
        <v>997</v>
      </c>
      <c r="C138" s="5">
        <v>8655446790</v>
      </c>
      <c r="D138" s="31" t="s">
        <v>674</v>
      </c>
      <c r="E138" s="52"/>
    </row>
    <row r="139" spans="1:5" ht="18.75" x14ac:dyDescent="0.25">
      <c r="A139" s="30" t="s">
        <v>789</v>
      </c>
      <c r="B139" s="5" t="s">
        <v>1009</v>
      </c>
      <c r="C139" s="5">
        <v>8655446798</v>
      </c>
      <c r="D139" s="31" t="s">
        <v>592</v>
      </c>
      <c r="E139" s="52"/>
    </row>
    <row r="140" spans="1:5" ht="18.75" x14ac:dyDescent="0.25">
      <c r="A140" s="30" t="s">
        <v>790</v>
      </c>
      <c r="B140" s="5" t="s">
        <v>963</v>
      </c>
      <c r="C140" s="5">
        <v>8655446792</v>
      </c>
      <c r="D140" s="31" t="s">
        <v>662</v>
      </c>
      <c r="E140" s="52"/>
    </row>
    <row r="141" spans="1:5" ht="18.75" x14ac:dyDescent="0.25">
      <c r="A141" s="30" t="s">
        <v>791</v>
      </c>
      <c r="B141" s="5" t="s">
        <v>961</v>
      </c>
      <c r="C141" s="5">
        <v>8655446793</v>
      </c>
      <c r="D141" s="31" t="s">
        <v>662</v>
      </c>
      <c r="E141" s="52"/>
    </row>
    <row r="142" spans="1:5" ht="18.75" x14ac:dyDescent="0.25">
      <c r="A142" s="30" t="s">
        <v>792</v>
      </c>
      <c r="B142" s="5" t="s">
        <v>1006</v>
      </c>
      <c r="C142" s="5">
        <v>8655446794</v>
      </c>
      <c r="D142" s="31" t="s">
        <v>658</v>
      </c>
      <c r="E142" s="52"/>
    </row>
    <row r="143" spans="1:5" ht="18.75" x14ac:dyDescent="0.25">
      <c r="A143" s="30" t="s">
        <v>793</v>
      </c>
      <c r="B143" s="5" t="s">
        <v>996</v>
      </c>
      <c r="C143" s="5">
        <v>8655446795</v>
      </c>
      <c r="D143" s="31" t="s">
        <v>574</v>
      </c>
      <c r="E143" s="52"/>
    </row>
    <row r="144" spans="1:5" ht="18.75" x14ac:dyDescent="0.25">
      <c r="A144" s="30" t="s">
        <v>794</v>
      </c>
      <c r="B144" s="5" t="s">
        <v>994</v>
      </c>
      <c r="C144" s="5">
        <v>8655446796</v>
      </c>
      <c r="D144" s="31" t="s">
        <v>572</v>
      </c>
      <c r="E144" s="52"/>
    </row>
    <row r="145" spans="1:5" ht="18.75" x14ac:dyDescent="0.25">
      <c r="A145" s="30" t="s">
        <v>795</v>
      </c>
      <c r="B145" s="5" t="s">
        <v>966</v>
      </c>
      <c r="C145" s="5">
        <v>8655446797</v>
      </c>
      <c r="D145" s="31" t="s">
        <v>592</v>
      </c>
      <c r="E145" s="52"/>
    </row>
    <row r="146" spans="1:5" ht="18.75" x14ac:dyDescent="0.25">
      <c r="A146" s="30" t="s">
        <v>796</v>
      </c>
      <c r="B146" s="5" t="s">
        <v>960</v>
      </c>
      <c r="C146" s="5">
        <v>8655446798</v>
      </c>
      <c r="D146" s="31" t="s">
        <v>658</v>
      </c>
      <c r="E146" s="52"/>
    </row>
    <row r="147" spans="1:5" ht="18.75" x14ac:dyDescent="0.25">
      <c r="A147" s="30" t="s">
        <v>797</v>
      </c>
      <c r="B147" s="5" t="s">
        <v>973</v>
      </c>
      <c r="C147" s="5">
        <v>8655446799</v>
      </c>
      <c r="D147" s="31" t="s">
        <v>592</v>
      </c>
      <c r="E147" s="52"/>
    </row>
    <row r="148" spans="1:5" ht="18.75" x14ac:dyDescent="0.25">
      <c r="A148" s="30" t="s">
        <v>798</v>
      </c>
      <c r="B148" s="5" t="s">
        <v>982</v>
      </c>
      <c r="C148" s="5">
        <v>8655446800</v>
      </c>
      <c r="D148" s="31" t="s">
        <v>574</v>
      </c>
      <c r="E148" s="52"/>
    </row>
    <row r="149" spans="1:5" ht="18.75" x14ac:dyDescent="0.25">
      <c r="A149" s="30" t="s">
        <v>799</v>
      </c>
      <c r="B149" s="5" t="s">
        <v>1004</v>
      </c>
      <c r="C149" s="5">
        <v>8655446808</v>
      </c>
      <c r="D149" s="31" t="s">
        <v>674</v>
      </c>
      <c r="E149" s="52"/>
    </row>
    <row r="150" spans="1:5" ht="18.75" x14ac:dyDescent="0.25">
      <c r="A150" s="30" t="s">
        <v>800</v>
      </c>
      <c r="B150" s="5" t="s">
        <v>978</v>
      </c>
      <c r="C150" s="5">
        <v>8655446802</v>
      </c>
      <c r="D150" s="31" t="s">
        <v>658</v>
      </c>
      <c r="E150" s="52"/>
    </row>
    <row r="151" spans="1:5" ht="18.75" x14ac:dyDescent="0.25">
      <c r="A151" s="30" t="s">
        <v>801</v>
      </c>
      <c r="B151" s="5" t="s">
        <v>957</v>
      </c>
      <c r="C151" s="5">
        <v>8655446803</v>
      </c>
      <c r="D151" s="31" t="s">
        <v>662</v>
      </c>
      <c r="E151" s="52"/>
    </row>
    <row r="152" spans="1:5" ht="18.75" x14ac:dyDescent="0.25">
      <c r="A152" s="30" t="s">
        <v>802</v>
      </c>
      <c r="B152" s="5" t="s">
        <v>968</v>
      </c>
      <c r="C152" s="5">
        <v>8655446804</v>
      </c>
      <c r="D152" s="31" t="s">
        <v>572</v>
      </c>
      <c r="E152" s="52"/>
    </row>
    <row r="153" spans="1:5" ht="18.75" x14ac:dyDescent="0.25">
      <c r="A153" s="30" t="s">
        <v>803</v>
      </c>
      <c r="B153" s="5" t="s">
        <v>958</v>
      </c>
      <c r="C153" s="5">
        <v>8655446805</v>
      </c>
      <c r="D153" s="31" t="s">
        <v>574</v>
      </c>
      <c r="E153" s="52"/>
    </row>
    <row r="154" spans="1:5" ht="18.75" x14ac:dyDescent="0.25">
      <c r="A154" s="30" t="s">
        <v>804</v>
      </c>
      <c r="B154" s="5" t="s">
        <v>988</v>
      </c>
      <c r="C154" s="5">
        <v>8655446806</v>
      </c>
      <c r="D154" s="31" t="s">
        <v>662</v>
      </c>
      <c r="E154" s="52"/>
    </row>
    <row r="155" spans="1:5" ht="18.75" x14ac:dyDescent="0.25">
      <c r="A155" s="30" t="s">
        <v>805</v>
      </c>
      <c r="B155" s="5" t="s">
        <v>980</v>
      </c>
      <c r="C155" s="5">
        <v>8655446807</v>
      </c>
      <c r="D155" s="31" t="s">
        <v>658</v>
      </c>
      <c r="E155" s="52"/>
    </row>
    <row r="156" spans="1:5" ht="18.75" x14ac:dyDescent="0.25">
      <c r="A156" s="30" t="s">
        <v>806</v>
      </c>
      <c r="B156" s="5" t="s">
        <v>1008</v>
      </c>
      <c r="C156" s="5">
        <v>8655446808</v>
      </c>
      <c r="D156" s="31" t="s">
        <v>572</v>
      </c>
      <c r="E156" s="52"/>
    </row>
    <row r="157" spans="1:5" ht="18.75" x14ac:dyDescent="0.25">
      <c r="A157" s="30" t="s">
        <v>807</v>
      </c>
      <c r="B157" s="5" t="s">
        <v>968</v>
      </c>
      <c r="C157" s="5">
        <v>8655446809</v>
      </c>
      <c r="D157" s="31" t="s">
        <v>572</v>
      </c>
      <c r="E157" s="52"/>
    </row>
    <row r="158" spans="1:5" ht="18.75" x14ac:dyDescent="0.25">
      <c r="A158" s="30" t="s">
        <v>808</v>
      </c>
      <c r="B158" s="5" t="s">
        <v>974</v>
      </c>
      <c r="C158" s="5">
        <v>8655446880</v>
      </c>
      <c r="D158" s="31" t="s">
        <v>572</v>
      </c>
      <c r="E158" s="52"/>
    </row>
    <row r="159" spans="1:5" ht="18.75" x14ac:dyDescent="0.25">
      <c r="A159" s="30" t="s">
        <v>809</v>
      </c>
      <c r="B159" s="5" t="s">
        <v>979</v>
      </c>
      <c r="C159" s="5">
        <v>8655446888</v>
      </c>
      <c r="D159" s="31" t="s">
        <v>572</v>
      </c>
      <c r="E159" s="52"/>
    </row>
    <row r="160" spans="1:5" ht="18.75" x14ac:dyDescent="0.25">
      <c r="A160" s="30" t="s">
        <v>810</v>
      </c>
      <c r="B160" s="5" t="s">
        <v>971</v>
      </c>
      <c r="C160" s="5">
        <v>8655446882</v>
      </c>
      <c r="D160" s="31" t="s">
        <v>572</v>
      </c>
      <c r="E160" s="52"/>
    </row>
    <row r="161" spans="1:5" ht="18.75" x14ac:dyDescent="0.25">
      <c r="A161" s="30" t="s">
        <v>811</v>
      </c>
      <c r="B161" s="5" t="s">
        <v>976</v>
      </c>
      <c r="C161" s="5">
        <v>8655446883</v>
      </c>
      <c r="D161" s="31" t="s">
        <v>592</v>
      </c>
      <c r="E161" s="52"/>
    </row>
    <row r="162" spans="1:5" ht="18.75" x14ac:dyDescent="0.25">
      <c r="A162" s="30" t="s">
        <v>812</v>
      </c>
      <c r="B162" s="5" t="s">
        <v>1005</v>
      </c>
      <c r="C162" s="5">
        <v>8655446884</v>
      </c>
      <c r="D162" s="31" t="s">
        <v>674</v>
      </c>
      <c r="E162" s="52"/>
    </row>
    <row r="163" spans="1:5" ht="18.75" x14ac:dyDescent="0.25">
      <c r="A163" s="30" t="s">
        <v>813</v>
      </c>
      <c r="B163" s="5" t="s">
        <v>996</v>
      </c>
      <c r="C163" s="5">
        <v>8655446885</v>
      </c>
      <c r="D163" s="31" t="s">
        <v>658</v>
      </c>
      <c r="E163" s="52"/>
    </row>
    <row r="164" spans="1:5" ht="18.75" x14ac:dyDescent="0.25">
      <c r="A164" s="30" t="s">
        <v>814</v>
      </c>
      <c r="B164" s="5" t="s">
        <v>975</v>
      </c>
      <c r="C164" s="5">
        <v>8655446886</v>
      </c>
      <c r="D164" s="31" t="s">
        <v>592</v>
      </c>
      <c r="E164" s="52"/>
    </row>
    <row r="165" spans="1:5" ht="18.75" x14ac:dyDescent="0.25">
      <c r="A165" s="30" t="s">
        <v>815</v>
      </c>
      <c r="B165" s="5" t="s">
        <v>978</v>
      </c>
      <c r="C165" s="5">
        <v>8655446887</v>
      </c>
      <c r="D165" s="31" t="s">
        <v>592</v>
      </c>
      <c r="E165" s="52"/>
    </row>
    <row r="166" spans="1:5" ht="18.75" x14ac:dyDescent="0.25">
      <c r="A166" s="30" t="s">
        <v>816</v>
      </c>
      <c r="B166" s="5" t="s">
        <v>984</v>
      </c>
      <c r="C166" s="5">
        <v>8655446888</v>
      </c>
      <c r="D166" s="31" t="s">
        <v>574</v>
      </c>
      <c r="E166" s="52"/>
    </row>
    <row r="167" spans="1:5" ht="18.75" x14ac:dyDescent="0.25">
      <c r="A167" s="30" t="s">
        <v>817</v>
      </c>
      <c r="B167" s="5" t="s">
        <v>1009</v>
      </c>
      <c r="C167" s="5">
        <v>8655446889</v>
      </c>
      <c r="D167" s="31" t="s">
        <v>574</v>
      </c>
      <c r="E167" s="52"/>
    </row>
    <row r="168" spans="1:5" ht="18.75" x14ac:dyDescent="0.25">
      <c r="A168" s="30" t="s">
        <v>818</v>
      </c>
      <c r="B168" s="5" t="s">
        <v>976</v>
      </c>
      <c r="C168" s="5">
        <v>8655446820</v>
      </c>
      <c r="D168" s="31" t="s">
        <v>662</v>
      </c>
      <c r="E168" s="52"/>
    </row>
    <row r="169" spans="1:5" ht="18.75" x14ac:dyDescent="0.25">
      <c r="A169" s="30" t="s">
        <v>819</v>
      </c>
      <c r="B169" s="5" t="s">
        <v>1005</v>
      </c>
      <c r="C169" s="5">
        <v>8655446828</v>
      </c>
      <c r="D169" s="31" t="s">
        <v>574</v>
      </c>
      <c r="E169" s="52"/>
    </row>
    <row r="170" spans="1:5" ht="18.75" x14ac:dyDescent="0.25">
      <c r="A170" s="30" t="s">
        <v>820</v>
      </c>
      <c r="B170" s="5" t="s">
        <v>966</v>
      </c>
      <c r="C170" s="5">
        <v>8655446822</v>
      </c>
      <c r="D170" s="31" t="s">
        <v>658</v>
      </c>
      <c r="E170" s="52"/>
    </row>
    <row r="171" spans="1:5" ht="18.75" x14ac:dyDescent="0.25">
      <c r="A171" s="30" t="s">
        <v>821</v>
      </c>
      <c r="B171" s="5" t="s">
        <v>961</v>
      </c>
      <c r="C171" s="5">
        <v>8655446823</v>
      </c>
      <c r="D171" s="31" t="s">
        <v>572</v>
      </c>
      <c r="E171" s="52"/>
    </row>
    <row r="172" spans="1:5" ht="18.75" x14ac:dyDescent="0.25">
      <c r="A172" s="30" t="s">
        <v>822</v>
      </c>
      <c r="B172" s="5" t="s">
        <v>1008</v>
      </c>
      <c r="C172" s="5">
        <v>8655446824</v>
      </c>
      <c r="D172" s="31" t="s">
        <v>662</v>
      </c>
      <c r="E172" s="52"/>
    </row>
    <row r="173" spans="1:5" ht="18.75" x14ac:dyDescent="0.25">
      <c r="A173" s="30" t="s">
        <v>823</v>
      </c>
      <c r="B173" s="5" t="s">
        <v>958</v>
      </c>
      <c r="C173" s="5">
        <v>8655446825</v>
      </c>
      <c r="D173" s="31" t="s">
        <v>674</v>
      </c>
      <c r="E173" s="52"/>
    </row>
    <row r="174" spans="1:5" ht="18.75" x14ac:dyDescent="0.25">
      <c r="A174" s="30" t="s">
        <v>824</v>
      </c>
      <c r="B174" s="5" t="s">
        <v>957</v>
      </c>
      <c r="C174" s="5">
        <v>8655446826</v>
      </c>
      <c r="D174" s="31" t="s">
        <v>658</v>
      </c>
      <c r="E174" s="52"/>
    </row>
    <row r="175" spans="1:5" ht="18.75" x14ac:dyDescent="0.25">
      <c r="A175" s="30" t="s">
        <v>825</v>
      </c>
      <c r="B175" s="5" t="s">
        <v>959</v>
      </c>
      <c r="C175" s="5">
        <v>8655446827</v>
      </c>
      <c r="D175" s="31" t="s">
        <v>574</v>
      </c>
      <c r="E175" s="52"/>
    </row>
    <row r="176" spans="1:5" ht="18.75" x14ac:dyDescent="0.25">
      <c r="A176" s="30" t="s">
        <v>826</v>
      </c>
      <c r="B176" s="5" t="s">
        <v>992</v>
      </c>
      <c r="C176" s="5">
        <v>8655446828</v>
      </c>
      <c r="D176" s="31" t="s">
        <v>592</v>
      </c>
      <c r="E176" s="52"/>
    </row>
    <row r="177" spans="1:5" ht="18.75" x14ac:dyDescent="0.25">
      <c r="A177" s="30" t="s">
        <v>827</v>
      </c>
      <c r="B177" s="5" t="s">
        <v>973</v>
      </c>
      <c r="C177" s="5">
        <v>8655446829</v>
      </c>
      <c r="D177" s="31" t="s">
        <v>572</v>
      </c>
      <c r="E177" s="52"/>
    </row>
    <row r="178" spans="1:5" ht="18.75" x14ac:dyDescent="0.25">
      <c r="A178" s="30" t="s">
        <v>828</v>
      </c>
      <c r="B178" s="5" t="s">
        <v>999</v>
      </c>
      <c r="C178" s="5">
        <v>8655446830</v>
      </c>
      <c r="D178" s="31" t="s">
        <v>592</v>
      </c>
      <c r="E178" s="52"/>
    </row>
    <row r="179" spans="1:5" ht="18.75" x14ac:dyDescent="0.25">
      <c r="A179" s="30" t="s">
        <v>829</v>
      </c>
      <c r="B179" s="5" t="s">
        <v>956</v>
      </c>
      <c r="C179" s="5">
        <v>8655446838</v>
      </c>
      <c r="D179" s="31" t="s">
        <v>592</v>
      </c>
      <c r="E179" s="52"/>
    </row>
    <row r="180" spans="1:5" ht="18.75" x14ac:dyDescent="0.25">
      <c r="A180" s="30" t="s">
        <v>830</v>
      </c>
      <c r="B180" s="5" t="s">
        <v>991</v>
      </c>
      <c r="C180" s="5">
        <v>8655446832</v>
      </c>
      <c r="D180" s="31" t="s">
        <v>592</v>
      </c>
      <c r="E180" s="52"/>
    </row>
    <row r="181" spans="1:5" ht="18.75" x14ac:dyDescent="0.25">
      <c r="A181" s="30" t="s">
        <v>831</v>
      </c>
      <c r="B181" s="5" t="s">
        <v>1002</v>
      </c>
      <c r="C181" s="5">
        <v>8655446833</v>
      </c>
      <c r="D181" s="31" t="s">
        <v>662</v>
      </c>
      <c r="E181" s="52"/>
    </row>
    <row r="182" spans="1:5" ht="18.75" x14ac:dyDescent="0.25">
      <c r="A182" s="30" t="s">
        <v>832</v>
      </c>
      <c r="B182" s="5" t="s">
        <v>965</v>
      </c>
      <c r="C182" s="5">
        <v>8655446834</v>
      </c>
      <c r="D182" s="31" t="s">
        <v>674</v>
      </c>
      <c r="E182" s="52"/>
    </row>
    <row r="183" spans="1:5" ht="18.75" x14ac:dyDescent="0.25">
      <c r="A183" s="30" t="s">
        <v>833</v>
      </c>
      <c r="B183" s="5" t="s">
        <v>1003</v>
      </c>
      <c r="C183" s="5">
        <v>8655446835</v>
      </c>
      <c r="D183" s="31" t="s">
        <v>674</v>
      </c>
      <c r="E183" s="52"/>
    </row>
    <row r="184" spans="1:5" ht="18.75" x14ac:dyDescent="0.25">
      <c r="A184" s="30" t="s">
        <v>834</v>
      </c>
      <c r="B184" s="5" t="s">
        <v>960</v>
      </c>
      <c r="C184" s="5">
        <v>8655446836</v>
      </c>
      <c r="D184" s="31" t="s">
        <v>658</v>
      </c>
      <c r="E184" s="52"/>
    </row>
    <row r="185" spans="1:5" ht="18.75" x14ac:dyDescent="0.25">
      <c r="A185" s="30" t="s">
        <v>835</v>
      </c>
      <c r="B185" s="5" t="s">
        <v>983</v>
      </c>
      <c r="C185" s="5">
        <v>8655446837</v>
      </c>
      <c r="D185" s="31" t="s">
        <v>662</v>
      </c>
      <c r="E185" s="52"/>
    </row>
    <row r="186" spans="1:5" ht="18.75" x14ac:dyDescent="0.25">
      <c r="A186" s="30" t="s">
        <v>836</v>
      </c>
      <c r="B186" s="5" t="s">
        <v>987</v>
      </c>
      <c r="C186" s="5">
        <v>8655446838</v>
      </c>
      <c r="D186" s="31" t="s">
        <v>662</v>
      </c>
      <c r="E186" s="52"/>
    </row>
    <row r="187" spans="1:5" ht="18.75" x14ac:dyDescent="0.25">
      <c r="A187" s="30" t="s">
        <v>837</v>
      </c>
      <c r="B187" s="5" t="s">
        <v>969</v>
      </c>
      <c r="C187" s="5">
        <v>8655446839</v>
      </c>
      <c r="D187" s="31" t="s">
        <v>658</v>
      </c>
      <c r="E187" s="52"/>
    </row>
    <row r="188" spans="1:5" ht="18.75" x14ac:dyDescent="0.25">
      <c r="A188" s="30" t="s">
        <v>838</v>
      </c>
      <c r="B188" s="5" t="s">
        <v>978</v>
      </c>
      <c r="C188" s="5">
        <v>8655446840</v>
      </c>
      <c r="D188" s="31" t="s">
        <v>572</v>
      </c>
      <c r="E188" s="52"/>
    </row>
    <row r="189" spans="1:5" ht="18.75" x14ac:dyDescent="0.25">
      <c r="A189" s="30" t="s">
        <v>839</v>
      </c>
      <c r="B189" s="5" t="s">
        <v>984</v>
      </c>
      <c r="C189" s="5">
        <v>8655446848</v>
      </c>
      <c r="D189" s="31" t="s">
        <v>674</v>
      </c>
      <c r="E189" s="52"/>
    </row>
    <row r="190" spans="1:5" ht="18.75" x14ac:dyDescent="0.25">
      <c r="A190" s="30" t="s">
        <v>840</v>
      </c>
      <c r="B190" s="5" t="s">
        <v>1007</v>
      </c>
      <c r="C190" s="5">
        <v>8655446842</v>
      </c>
      <c r="D190" s="31" t="s">
        <v>674</v>
      </c>
      <c r="E190" s="52"/>
    </row>
    <row r="191" spans="1:5" ht="18.75" x14ac:dyDescent="0.25">
      <c r="A191" s="30" t="s">
        <v>841</v>
      </c>
      <c r="B191" s="5" t="s">
        <v>1000</v>
      </c>
      <c r="C191" s="5">
        <v>8655446843</v>
      </c>
      <c r="D191" s="31" t="s">
        <v>572</v>
      </c>
      <c r="E191" s="52"/>
    </row>
    <row r="192" spans="1:5" ht="18.75" x14ac:dyDescent="0.25">
      <c r="A192" s="30" t="s">
        <v>842</v>
      </c>
      <c r="B192" s="5" t="s">
        <v>978</v>
      </c>
      <c r="C192" s="5">
        <v>8655446844</v>
      </c>
      <c r="D192" s="31" t="s">
        <v>674</v>
      </c>
      <c r="E192" s="52"/>
    </row>
    <row r="193" spans="1:5" ht="18.75" x14ac:dyDescent="0.25">
      <c r="A193" s="30" t="s">
        <v>843</v>
      </c>
      <c r="B193" s="5" t="s">
        <v>986</v>
      </c>
      <c r="C193" s="5">
        <v>8655446845</v>
      </c>
      <c r="D193" s="31" t="s">
        <v>574</v>
      </c>
      <c r="E193" s="52"/>
    </row>
    <row r="194" spans="1:5" ht="18.75" x14ac:dyDescent="0.25">
      <c r="A194" s="30" t="s">
        <v>844</v>
      </c>
      <c r="B194" s="5" t="s">
        <v>976</v>
      </c>
      <c r="C194" s="5">
        <v>8655446846</v>
      </c>
      <c r="D194" s="31" t="s">
        <v>592</v>
      </c>
      <c r="E194" s="52"/>
    </row>
    <row r="195" spans="1:5" ht="18.75" x14ac:dyDescent="0.25">
      <c r="A195" s="30" t="s">
        <v>845</v>
      </c>
      <c r="B195" s="5" t="s">
        <v>967</v>
      </c>
      <c r="C195" s="5">
        <v>8655446847</v>
      </c>
      <c r="D195" s="31" t="s">
        <v>572</v>
      </c>
      <c r="E195" s="52"/>
    </row>
    <row r="196" spans="1:5" ht="18.75" x14ac:dyDescent="0.25">
      <c r="A196" s="30" t="s">
        <v>846</v>
      </c>
      <c r="B196" s="5" t="s">
        <v>1009</v>
      </c>
      <c r="C196" s="5">
        <v>8655446848</v>
      </c>
      <c r="D196" s="31" t="s">
        <v>674</v>
      </c>
      <c r="E196" s="52"/>
    </row>
    <row r="197" spans="1:5" ht="18.75" x14ac:dyDescent="0.25">
      <c r="A197" s="30" t="s">
        <v>847</v>
      </c>
      <c r="B197" s="5" t="s">
        <v>973</v>
      </c>
      <c r="C197" s="5">
        <v>8655446849</v>
      </c>
      <c r="D197" s="31" t="s">
        <v>574</v>
      </c>
      <c r="E197" s="52"/>
    </row>
    <row r="198" spans="1:5" ht="18.75" x14ac:dyDescent="0.25">
      <c r="A198" s="30" t="s">
        <v>848</v>
      </c>
      <c r="B198" s="5" t="s">
        <v>968</v>
      </c>
      <c r="C198" s="5">
        <v>8655446850</v>
      </c>
      <c r="D198" s="31" t="s">
        <v>572</v>
      </c>
      <c r="E198" s="52"/>
    </row>
    <row r="199" spans="1:5" ht="18.75" x14ac:dyDescent="0.25">
      <c r="A199" s="30" t="s">
        <v>849</v>
      </c>
      <c r="B199" s="5" t="s">
        <v>994</v>
      </c>
      <c r="C199" s="5">
        <v>8655446858</v>
      </c>
      <c r="D199" s="31" t="s">
        <v>572</v>
      </c>
      <c r="E199" s="52"/>
    </row>
    <row r="200" spans="1:5" ht="18.75" x14ac:dyDescent="0.25">
      <c r="A200" s="30" t="s">
        <v>850</v>
      </c>
      <c r="B200" s="5" t="s">
        <v>969</v>
      </c>
      <c r="C200" s="5">
        <v>8655446852</v>
      </c>
      <c r="D200" s="31" t="s">
        <v>572</v>
      </c>
      <c r="E200" s="52"/>
    </row>
    <row r="201" spans="1:5" ht="18.75" x14ac:dyDescent="0.25">
      <c r="A201" s="30" t="s">
        <v>851</v>
      </c>
      <c r="B201" s="5" t="s">
        <v>958</v>
      </c>
      <c r="C201" s="5">
        <v>8655446853</v>
      </c>
      <c r="D201" s="31" t="s">
        <v>572</v>
      </c>
      <c r="E201" s="52"/>
    </row>
    <row r="202" spans="1:5" ht="18.75" x14ac:dyDescent="0.25">
      <c r="A202" s="30" t="s">
        <v>852</v>
      </c>
      <c r="B202" s="5" t="s">
        <v>972</v>
      </c>
      <c r="C202" s="5">
        <v>8655446854</v>
      </c>
      <c r="D202" s="31" t="s">
        <v>572</v>
      </c>
      <c r="E202" s="52"/>
    </row>
    <row r="203" spans="1:5" ht="18.75" x14ac:dyDescent="0.25">
      <c r="A203" s="30" t="s">
        <v>853</v>
      </c>
      <c r="B203" s="5" t="s">
        <v>982</v>
      </c>
      <c r="C203" s="5">
        <v>8655446855</v>
      </c>
      <c r="D203" s="31" t="s">
        <v>658</v>
      </c>
      <c r="E203" s="52"/>
    </row>
    <row r="204" spans="1:5" ht="18.75" x14ac:dyDescent="0.25">
      <c r="A204" s="30" t="s">
        <v>854</v>
      </c>
      <c r="B204" s="5" t="s">
        <v>981</v>
      </c>
      <c r="C204" s="5">
        <v>8655446856</v>
      </c>
      <c r="D204" s="31" t="s">
        <v>662</v>
      </c>
      <c r="E204" s="52"/>
    </row>
    <row r="205" spans="1:5" ht="18.75" x14ac:dyDescent="0.25">
      <c r="A205" s="30" t="s">
        <v>855</v>
      </c>
      <c r="B205" s="5" t="s">
        <v>1010</v>
      </c>
      <c r="C205" s="5">
        <v>8655446857</v>
      </c>
      <c r="D205" s="31" t="s">
        <v>574</v>
      </c>
      <c r="E205" s="52"/>
    </row>
    <row r="206" spans="1:5" ht="18.75" x14ac:dyDescent="0.25">
      <c r="A206" s="30" t="s">
        <v>856</v>
      </c>
      <c r="B206" s="5" t="s">
        <v>957</v>
      </c>
      <c r="C206" s="5">
        <v>8655446858</v>
      </c>
      <c r="D206" s="31" t="s">
        <v>574</v>
      </c>
      <c r="E206" s="52"/>
    </row>
    <row r="207" spans="1:5" ht="18.75" x14ac:dyDescent="0.25">
      <c r="A207" s="30" t="s">
        <v>857</v>
      </c>
      <c r="B207" s="5" t="s">
        <v>958</v>
      </c>
      <c r="C207" s="5">
        <v>8655446859</v>
      </c>
      <c r="D207" s="31" t="s">
        <v>662</v>
      </c>
      <c r="E207" s="52"/>
    </row>
    <row r="208" spans="1:5" ht="18.75" x14ac:dyDescent="0.25">
      <c r="A208" s="30" t="s">
        <v>858</v>
      </c>
      <c r="B208" s="5" t="s">
        <v>981</v>
      </c>
      <c r="C208" s="5">
        <v>8655446860</v>
      </c>
      <c r="D208" s="31" t="s">
        <v>574</v>
      </c>
      <c r="E208" s="52"/>
    </row>
    <row r="209" spans="1:5" ht="18.75" x14ac:dyDescent="0.25">
      <c r="A209" s="30" t="s">
        <v>859</v>
      </c>
      <c r="B209" s="5" t="s">
        <v>989</v>
      </c>
      <c r="C209" s="5">
        <v>8655446868</v>
      </c>
      <c r="D209" s="31" t="s">
        <v>658</v>
      </c>
      <c r="E209" s="52"/>
    </row>
    <row r="210" spans="1:5" ht="18.75" x14ac:dyDescent="0.25">
      <c r="A210" s="30" t="s">
        <v>860</v>
      </c>
      <c r="B210" s="5" t="s">
        <v>1007</v>
      </c>
      <c r="C210" s="5">
        <v>8655446862</v>
      </c>
      <c r="D210" s="31" t="s">
        <v>592</v>
      </c>
      <c r="E210" s="52"/>
    </row>
    <row r="211" spans="1:5" ht="18.75" x14ac:dyDescent="0.25">
      <c r="A211" s="30" t="s">
        <v>861</v>
      </c>
      <c r="B211" s="5" t="s">
        <v>968</v>
      </c>
      <c r="C211" s="5">
        <v>8655446863</v>
      </c>
      <c r="D211" s="31" t="s">
        <v>658</v>
      </c>
      <c r="E211" s="52"/>
    </row>
    <row r="212" spans="1:5" ht="18.75" x14ac:dyDescent="0.25">
      <c r="A212" s="30" t="s">
        <v>862</v>
      </c>
      <c r="B212" s="5" t="s">
        <v>961</v>
      </c>
      <c r="C212" s="5">
        <v>8655446864</v>
      </c>
      <c r="D212" s="31" t="s">
        <v>572</v>
      </c>
      <c r="E212" s="52"/>
    </row>
    <row r="213" spans="1:5" ht="18.75" x14ac:dyDescent="0.25">
      <c r="A213" s="30" t="s">
        <v>863</v>
      </c>
      <c r="B213" s="5" t="s">
        <v>992</v>
      </c>
      <c r="C213" s="5">
        <v>8655446865</v>
      </c>
      <c r="D213" s="31" t="s">
        <v>658</v>
      </c>
      <c r="E213" s="52"/>
    </row>
    <row r="214" spans="1:5" ht="18.75" x14ac:dyDescent="0.25">
      <c r="A214" s="30" t="s">
        <v>864</v>
      </c>
      <c r="B214" s="5" t="s">
        <v>992</v>
      </c>
      <c r="C214" s="5">
        <v>8655446866</v>
      </c>
      <c r="D214" s="31" t="s">
        <v>592</v>
      </c>
      <c r="E214" s="52"/>
    </row>
    <row r="215" spans="1:5" ht="18.75" x14ac:dyDescent="0.25">
      <c r="A215" s="30" t="s">
        <v>865</v>
      </c>
      <c r="B215" s="5" t="s">
        <v>970</v>
      </c>
      <c r="C215" s="5">
        <v>8655446867</v>
      </c>
      <c r="D215" s="31" t="s">
        <v>674</v>
      </c>
      <c r="E215" s="52"/>
    </row>
    <row r="216" spans="1:5" ht="18.75" x14ac:dyDescent="0.25">
      <c r="A216" s="30" t="s">
        <v>866</v>
      </c>
      <c r="B216" s="5" t="s">
        <v>979</v>
      </c>
      <c r="C216" s="5">
        <v>8655446868</v>
      </c>
      <c r="D216" s="31" t="s">
        <v>572</v>
      </c>
      <c r="E216" s="52"/>
    </row>
    <row r="217" spans="1:5" ht="18.75" x14ac:dyDescent="0.25">
      <c r="A217" s="30" t="s">
        <v>867</v>
      </c>
      <c r="B217" s="5" t="s">
        <v>978</v>
      </c>
      <c r="C217" s="5">
        <v>8655446869</v>
      </c>
      <c r="D217" s="31" t="s">
        <v>572</v>
      </c>
      <c r="E217" s="52"/>
    </row>
    <row r="218" spans="1:5" ht="18.75" x14ac:dyDescent="0.25">
      <c r="A218" s="30" t="s">
        <v>868</v>
      </c>
      <c r="B218" s="5" t="s">
        <v>960</v>
      </c>
      <c r="C218" s="5">
        <v>8655446870</v>
      </c>
      <c r="D218" s="31" t="s">
        <v>572</v>
      </c>
      <c r="E218" s="52"/>
    </row>
    <row r="219" spans="1:5" ht="18.75" x14ac:dyDescent="0.25">
      <c r="A219" s="30" t="s">
        <v>869</v>
      </c>
      <c r="B219" s="5" t="s">
        <v>968</v>
      </c>
      <c r="C219" s="5">
        <v>8655446878</v>
      </c>
      <c r="D219" s="31" t="s">
        <v>592</v>
      </c>
      <c r="E219" s="52"/>
    </row>
    <row r="220" spans="1:5" ht="18.75" x14ac:dyDescent="0.25">
      <c r="A220" s="30" t="s">
        <v>870</v>
      </c>
      <c r="B220" s="5" t="s">
        <v>1008</v>
      </c>
      <c r="C220" s="5">
        <v>8655446872</v>
      </c>
      <c r="D220" s="31" t="s">
        <v>572</v>
      </c>
      <c r="E220" s="52"/>
    </row>
    <row r="221" spans="1:5" ht="18.75" x14ac:dyDescent="0.25">
      <c r="A221" s="30" t="s">
        <v>871</v>
      </c>
      <c r="B221" s="5" t="s">
        <v>989</v>
      </c>
      <c r="C221" s="5">
        <v>8655446873</v>
      </c>
      <c r="D221" s="31" t="s">
        <v>574</v>
      </c>
      <c r="E221" s="52"/>
    </row>
    <row r="222" spans="1:5" ht="18.75" x14ac:dyDescent="0.25">
      <c r="A222" s="30" t="s">
        <v>872</v>
      </c>
      <c r="B222" s="5" t="s">
        <v>960</v>
      </c>
      <c r="C222" s="5">
        <v>8655446874</v>
      </c>
      <c r="D222" s="31" t="s">
        <v>662</v>
      </c>
      <c r="E222" s="52"/>
    </row>
    <row r="223" spans="1:5" ht="18.75" x14ac:dyDescent="0.25">
      <c r="A223" s="30" t="s">
        <v>873</v>
      </c>
      <c r="B223" s="5" t="s">
        <v>954</v>
      </c>
      <c r="C223" s="5">
        <v>8655446875</v>
      </c>
      <c r="D223" s="31" t="s">
        <v>662</v>
      </c>
      <c r="E223" s="52"/>
    </row>
    <row r="224" spans="1:5" ht="18.75" x14ac:dyDescent="0.25">
      <c r="A224" s="30" t="s">
        <v>874</v>
      </c>
      <c r="B224" s="5" t="s">
        <v>965</v>
      </c>
      <c r="C224" s="5">
        <v>8655446876</v>
      </c>
      <c r="D224" s="31" t="s">
        <v>658</v>
      </c>
      <c r="E224" s="52"/>
    </row>
    <row r="225" spans="1:5" ht="18.75" x14ac:dyDescent="0.25">
      <c r="A225" s="30" t="s">
        <v>875</v>
      </c>
      <c r="B225" s="5" t="s">
        <v>960</v>
      </c>
      <c r="C225" s="5">
        <v>8655446877</v>
      </c>
      <c r="D225" s="31" t="s">
        <v>674</v>
      </c>
      <c r="E225" s="52"/>
    </row>
    <row r="226" spans="1:5" ht="18.75" x14ac:dyDescent="0.25">
      <c r="A226" s="30" t="s">
        <v>876</v>
      </c>
      <c r="B226" s="5" t="s">
        <v>954</v>
      </c>
      <c r="C226" s="5">
        <v>8655446878</v>
      </c>
      <c r="D226" s="31" t="s">
        <v>662</v>
      </c>
      <c r="E226" s="52"/>
    </row>
    <row r="227" spans="1:5" ht="18.75" x14ac:dyDescent="0.25">
      <c r="A227" s="30" t="s">
        <v>877</v>
      </c>
      <c r="B227" s="5" t="s">
        <v>969</v>
      </c>
      <c r="C227" s="5">
        <v>8655446879</v>
      </c>
      <c r="D227" s="31" t="s">
        <v>658</v>
      </c>
      <c r="E227" s="52"/>
    </row>
    <row r="228" spans="1:5" ht="18.75" x14ac:dyDescent="0.25">
      <c r="A228" s="30" t="s">
        <v>878</v>
      </c>
      <c r="B228" s="5" t="s">
        <v>974</v>
      </c>
      <c r="C228" s="5">
        <v>8655446880</v>
      </c>
      <c r="D228" s="31" t="s">
        <v>658</v>
      </c>
      <c r="E228" s="52"/>
    </row>
    <row r="229" spans="1:5" ht="18.75" x14ac:dyDescent="0.25">
      <c r="A229" s="30" t="s">
        <v>879</v>
      </c>
      <c r="B229" s="5" t="s">
        <v>1009</v>
      </c>
      <c r="C229" s="5">
        <v>8655446888</v>
      </c>
      <c r="D229" s="31" t="s">
        <v>658</v>
      </c>
      <c r="E229" s="52"/>
    </row>
    <row r="230" spans="1:5" ht="18.75" x14ac:dyDescent="0.25">
      <c r="A230" s="30" t="s">
        <v>880</v>
      </c>
      <c r="B230" s="5" t="s">
        <v>976</v>
      </c>
      <c r="C230" s="5">
        <v>8655446882</v>
      </c>
      <c r="D230" s="31" t="s">
        <v>662</v>
      </c>
      <c r="E230" s="52"/>
    </row>
    <row r="231" spans="1:5" ht="18.75" x14ac:dyDescent="0.25">
      <c r="A231" s="30" t="s">
        <v>881</v>
      </c>
      <c r="B231" s="5" t="s">
        <v>1011</v>
      </c>
      <c r="C231" s="5">
        <v>8655446883</v>
      </c>
      <c r="D231" s="31" t="s">
        <v>592</v>
      </c>
      <c r="E231" s="52"/>
    </row>
    <row r="232" spans="1:5" ht="18.75" x14ac:dyDescent="0.25">
      <c r="A232" s="30" t="s">
        <v>882</v>
      </c>
      <c r="B232" s="5" t="s">
        <v>976</v>
      </c>
      <c r="C232" s="5">
        <v>8655446884</v>
      </c>
      <c r="D232" s="31" t="s">
        <v>574</v>
      </c>
      <c r="E232" s="52"/>
    </row>
    <row r="233" spans="1:5" ht="18.75" x14ac:dyDescent="0.25">
      <c r="A233" s="30" t="s">
        <v>883</v>
      </c>
      <c r="B233" s="5" t="s">
        <v>960</v>
      </c>
      <c r="C233" s="5">
        <v>8655446885</v>
      </c>
      <c r="D233" s="31" t="s">
        <v>662</v>
      </c>
      <c r="E233" s="52"/>
    </row>
    <row r="234" spans="1:5" ht="18.75" x14ac:dyDescent="0.25">
      <c r="A234" s="30" t="s">
        <v>884</v>
      </c>
      <c r="B234" s="5" t="s">
        <v>969</v>
      </c>
      <c r="C234" s="5">
        <v>8655446886</v>
      </c>
      <c r="D234" s="31" t="s">
        <v>572</v>
      </c>
      <c r="E234" s="52"/>
    </row>
    <row r="235" spans="1:5" ht="18.75" x14ac:dyDescent="0.25">
      <c r="A235" s="30" t="s">
        <v>885</v>
      </c>
      <c r="B235" s="5" t="s">
        <v>1000</v>
      </c>
      <c r="C235" s="5">
        <v>8655446887</v>
      </c>
      <c r="D235" s="31" t="s">
        <v>572</v>
      </c>
      <c r="E235" s="52"/>
    </row>
    <row r="236" spans="1:5" ht="18.75" x14ac:dyDescent="0.25">
      <c r="A236" s="30" t="s">
        <v>886</v>
      </c>
      <c r="B236" s="5" t="s">
        <v>970</v>
      </c>
      <c r="C236" s="5">
        <v>8655446888</v>
      </c>
      <c r="D236" s="31" t="s">
        <v>592</v>
      </c>
      <c r="E236" s="52"/>
    </row>
    <row r="237" spans="1:5" ht="18.75" x14ac:dyDescent="0.25">
      <c r="A237" s="30" t="s">
        <v>887</v>
      </c>
      <c r="B237" s="5" t="s">
        <v>954</v>
      </c>
      <c r="C237" s="5">
        <v>8655446889</v>
      </c>
      <c r="D237" s="31" t="s">
        <v>658</v>
      </c>
      <c r="E237" s="52"/>
    </row>
    <row r="238" spans="1:5" ht="18.75" x14ac:dyDescent="0.25">
      <c r="A238" s="30" t="s">
        <v>888</v>
      </c>
      <c r="B238" s="5" t="s">
        <v>967</v>
      </c>
      <c r="C238" s="5">
        <v>8655446890</v>
      </c>
      <c r="D238" s="31" t="s">
        <v>572</v>
      </c>
      <c r="E238" s="52"/>
    </row>
    <row r="239" spans="1:5" ht="18.75" x14ac:dyDescent="0.25">
      <c r="A239" s="30" t="s">
        <v>889</v>
      </c>
      <c r="B239" s="5" t="s">
        <v>961</v>
      </c>
      <c r="C239" s="5">
        <v>8655446898</v>
      </c>
      <c r="D239" s="31" t="s">
        <v>674</v>
      </c>
      <c r="E239" s="52"/>
    </row>
    <row r="240" spans="1:5" ht="18.75" x14ac:dyDescent="0.25">
      <c r="A240" s="30" t="s">
        <v>890</v>
      </c>
      <c r="B240" s="5" t="s">
        <v>968</v>
      </c>
      <c r="C240" s="5">
        <v>8655446892</v>
      </c>
      <c r="D240" s="31" t="s">
        <v>658</v>
      </c>
      <c r="E240" s="52"/>
    </row>
    <row r="241" spans="1:5" ht="18.75" x14ac:dyDescent="0.25">
      <c r="A241" s="30" t="s">
        <v>891</v>
      </c>
      <c r="B241" s="5" t="s">
        <v>1000</v>
      </c>
      <c r="C241" s="5">
        <v>8655446893</v>
      </c>
      <c r="D241" s="31" t="s">
        <v>658</v>
      </c>
      <c r="E241" s="52"/>
    </row>
    <row r="242" spans="1:5" ht="18.75" x14ac:dyDescent="0.25">
      <c r="A242" s="30" t="s">
        <v>892</v>
      </c>
      <c r="B242" s="5" t="s">
        <v>954</v>
      </c>
      <c r="C242" s="5">
        <v>8655446894</v>
      </c>
      <c r="D242" s="31" t="s">
        <v>572</v>
      </c>
      <c r="E242" s="52"/>
    </row>
    <row r="243" spans="1:5" ht="18.75" x14ac:dyDescent="0.25">
      <c r="A243" s="30" t="s">
        <v>893</v>
      </c>
      <c r="B243" s="5" t="s">
        <v>994</v>
      </c>
      <c r="C243" s="5">
        <v>8655446895</v>
      </c>
      <c r="D243" s="31" t="s">
        <v>662</v>
      </c>
      <c r="E243" s="52"/>
    </row>
    <row r="244" spans="1:5" ht="18.75" x14ac:dyDescent="0.25">
      <c r="A244" s="30" t="s">
        <v>894</v>
      </c>
      <c r="B244" s="5" t="s">
        <v>987</v>
      </c>
      <c r="C244" s="5">
        <v>8655446896</v>
      </c>
      <c r="D244" s="31" t="s">
        <v>574</v>
      </c>
      <c r="E244" s="52"/>
    </row>
    <row r="245" spans="1:5" ht="18.75" x14ac:dyDescent="0.25">
      <c r="A245" s="30" t="s">
        <v>895</v>
      </c>
      <c r="B245" s="5" t="s">
        <v>956</v>
      </c>
      <c r="C245" s="5">
        <v>8655446897</v>
      </c>
      <c r="D245" s="31" t="s">
        <v>592</v>
      </c>
      <c r="E245" s="52"/>
    </row>
    <row r="246" spans="1:5" ht="18.75" x14ac:dyDescent="0.25">
      <c r="A246" s="30" t="s">
        <v>896</v>
      </c>
      <c r="B246" s="5" t="s">
        <v>988</v>
      </c>
      <c r="C246" s="5">
        <v>8655446898</v>
      </c>
      <c r="D246" s="31" t="s">
        <v>592</v>
      </c>
      <c r="E246" s="52"/>
    </row>
    <row r="247" spans="1:5" ht="18.75" x14ac:dyDescent="0.25">
      <c r="A247" s="30" t="s">
        <v>897</v>
      </c>
      <c r="B247" s="5" t="s">
        <v>984</v>
      </c>
      <c r="C247" s="5">
        <v>8655446899</v>
      </c>
      <c r="D247" s="31" t="s">
        <v>674</v>
      </c>
      <c r="E247" s="52"/>
    </row>
    <row r="248" spans="1:5" ht="18.75" x14ac:dyDescent="0.25">
      <c r="A248" s="30" t="s">
        <v>898</v>
      </c>
      <c r="B248" s="5" t="s">
        <v>974</v>
      </c>
      <c r="C248" s="5">
        <v>8655446900</v>
      </c>
      <c r="D248" s="31" t="s">
        <v>674</v>
      </c>
      <c r="E248" s="52"/>
    </row>
    <row r="249" spans="1:5" ht="18.75" x14ac:dyDescent="0.25">
      <c r="A249" s="30" t="s">
        <v>899</v>
      </c>
      <c r="B249" s="5" t="s">
        <v>957</v>
      </c>
      <c r="C249" s="5">
        <v>8655446908</v>
      </c>
      <c r="D249" s="31" t="s">
        <v>658</v>
      </c>
      <c r="E249" s="52"/>
    </row>
    <row r="250" spans="1:5" ht="18.75" x14ac:dyDescent="0.25">
      <c r="A250" s="30" t="s">
        <v>900</v>
      </c>
      <c r="B250" s="5" t="s">
        <v>1012</v>
      </c>
      <c r="C250" s="5">
        <v>8655446902</v>
      </c>
      <c r="D250" s="31" t="s">
        <v>662</v>
      </c>
      <c r="E250" s="52"/>
    </row>
    <row r="251" spans="1:5" ht="18.75" x14ac:dyDescent="0.25">
      <c r="A251" s="30" t="s">
        <v>901</v>
      </c>
      <c r="B251" s="5" t="s">
        <v>997</v>
      </c>
      <c r="C251" s="5">
        <v>8655446903</v>
      </c>
      <c r="D251" s="31" t="s">
        <v>572</v>
      </c>
      <c r="E251" s="52"/>
    </row>
    <row r="252" spans="1:5" ht="18.75" x14ac:dyDescent="0.25">
      <c r="A252" s="30" t="s">
        <v>902</v>
      </c>
      <c r="B252" s="5" t="s">
        <v>990</v>
      </c>
      <c r="C252" s="5">
        <v>8655446904</v>
      </c>
      <c r="D252" s="31" t="s">
        <v>592</v>
      </c>
      <c r="E252" s="52"/>
    </row>
    <row r="253" spans="1:5" ht="18.75" x14ac:dyDescent="0.25">
      <c r="A253" s="30" t="s">
        <v>903</v>
      </c>
      <c r="B253" s="5" t="s">
        <v>1010</v>
      </c>
      <c r="C253" s="5">
        <v>8655446905</v>
      </c>
      <c r="D253" s="31" t="s">
        <v>572</v>
      </c>
      <c r="E253" s="52"/>
    </row>
    <row r="254" spans="1:5" ht="18.75" x14ac:dyDescent="0.25">
      <c r="A254" s="30" t="s">
        <v>904</v>
      </c>
      <c r="B254" s="5" t="s">
        <v>969</v>
      </c>
      <c r="C254" s="5">
        <v>8655446906</v>
      </c>
      <c r="D254" s="31" t="s">
        <v>658</v>
      </c>
      <c r="E254" s="52"/>
    </row>
    <row r="255" spans="1:5" ht="18.75" x14ac:dyDescent="0.25">
      <c r="A255" s="30" t="s">
        <v>905</v>
      </c>
      <c r="B255" s="5" t="s">
        <v>1004</v>
      </c>
      <c r="C255" s="5">
        <v>8655446907</v>
      </c>
      <c r="D255" s="31" t="s">
        <v>572</v>
      </c>
      <c r="E255" s="52"/>
    </row>
    <row r="256" spans="1:5" ht="18.75" x14ac:dyDescent="0.25">
      <c r="A256" s="30" t="s">
        <v>906</v>
      </c>
      <c r="B256" s="5" t="s">
        <v>998</v>
      </c>
      <c r="C256" s="5">
        <v>8655446908</v>
      </c>
      <c r="D256" s="31" t="s">
        <v>592</v>
      </c>
      <c r="E256" s="52"/>
    </row>
    <row r="257" spans="1:5" ht="18.75" x14ac:dyDescent="0.25">
      <c r="A257" s="30" t="s">
        <v>907</v>
      </c>
      <c r="B257" s="5" t="s">
        <v>1011</v>
      </c>
      <c r="C257" s="5">
        <v>8655446909</v>
      </c>
      <c r="D257" s="31" t="s">
        <v>658</v>
      </c>
      <c r="E257" s="52"/>
    </row>
    <row r="258" spans="1:5" ht="18.75" x14ac:dyDescent="0.25">
      <c r="A258" s="30" t="s">
        <v>908</v>
      </c>
      <c r="B258" s="5" t="s">
        <v>974</v>
      </c>
      <c r="C258" s="5">
        <v>8655446980</v>
      </c>
      <c r="D258" s="31" t="s">
        <v>572</v>
      </c>
      <c r="E258" s="52"/>
    </row>
    <row r="259" spans="1:5" ht="18.75" x14ac:dyDescent="0.25">
      <c r="A259" s="30" t="s">
        <v>909</v>
      </c>
      <c r="B259" s="5" t="s">
        <v>962</v>
      </c>
      <c r="C259" s="5">
        <v>8655446988</v>
      </c>
      <c r="D259" s="31" t="s">
        <v>658</v>
      </c>
      <c r="E259" s="52"/>
    </row>
    <row r="260" spans="1:5" ht="18.75" x14ac:dyDescent="0.25">
      <c r="A260" s="30" t="s">
        <v>910</v>
      </c>
      <c r="B260" s="5" t="s">
        <v>992</v>
      </c>
      <c r="C260" s="5">
        <v>8655446982</v>
      </c>
      <c r="D260" s="31" t="s">
        <v>572</v>
      </c>
      <c r="E260" s="52"/>
    </row>
    <row r="261" spans="1:5" ht="18.75" x14ac:dyDescent="0.25">
      <c r="A261" s="30" t="s">
        <v>911</v>
      </c>
      <c r="B261" s="5" t="s">
        <v>975</v>
      </c>
      <c r="C261" s="5">
        <v>8655446983</v>
      </c>
      <c r="D261" s="31" t="s">
        <v>574</v>
      </c>
      <c r="E261" s="52"/>
    </row>
    <row r="262" spans="1:5" ht="18.75" x14ac:dyDescent="0.25">
      <c r="A262" s="30" t="s">
        <v>912</v>
      </c>
      <c r="B262" s="5" t="s">
        <v>957</v>
      </c>
      <c r="C262" s="5">
        <v>8655446984</v>
      </c>
      <c r="D262" s="31" t="s">
        <v>592</v>
      </c>
      <c r="E262" s="52"/>
    </row>
    <row r="263" spans="1:5" ht="18.75" x14ac:dyDescent="0.25">
      <c r="A263" s="30" t="s">
        <v>913</v>
      </c>
      <c r="B263" s="5" t="s">
        <v>977</v>
      </c>
      <c r="C263" s="5">
        <v>8655446985</v>
      </c>
      <c r="D263" s="31" t="s">
        <v>658</v>
      </c>
      <c r="E263" s="52"/>
    </row>
    <row r="264" spans="1:5" ht="18.75" x14ac:dyDescent="0.25">
      <c r="A264" s="30" t="s">
        <v>914</v>
      </c>
      <c r="B264" s="5" t="s">
        <v>968</v>
      </c>
      <c r="C264" s="5">
        <v>8655446986</v>
      </c>
      <c r="D264" s="31" t="s">
        <v>674</v>
      </c>
      <c r="E264" s="52"/>
    </row>
    <row r="265" spans="1:5" ht="18.75" x14ac:dyDescent="0.25">
      <c r="A265" s="30" t="s">
        <v>915</v>
      </c>
      <c r="B265" s="5" t="s">
        <v>1003</v>
      </c>
      <c r="C265" s="5">
        <v>8655446987</v>
      </c>
      <c r="D265" s="31" t="s">
        <v>658</v>
      </c>
      <c r="E265" s="52"/>
    </row>
    <row r="266" spans="1:5" ht="18.75" x14ac:dyDescent="0.25">
      <c r="A266" s="30" t="s">
        <v>916</v>
      </c>
      <c r="B266" s="5" t="s">
        <v>1001</v>
      </c>
      <c r="C266" s="5">
        <v>8655446988</v>
      </c>
      <c r="D266" s="31" t="s">
        <v>674</v>
      </c>
      <c r="E266" s="52"/>
    </row>
    <row r="267" spans="1:5" ht="18.75" x14ac:dyDescent="0.25">
      <c r="A267" s="30" t="s">
        <v>917</v>
      </c>
      <c r="B267" s="5" t="s">
        <v>966</v>
      </c>
      <c r="C267" s="5">
        <v>8655446989</v>
      </c>
      <c r="D267" s="31" t="s">
        <v>574</v>
      </c>
      <c r="E267" s="52"/>
    </row>
    <row r="268" spans="1:5" ht="18.75" x14ac:dyDescent="0.25">
      <c r="A268" s="30" t="s">
        <v>918</v>
      </c>
      <c r="B268" s="5" t="s">
        <v>956</v>
      </c>
      <c r="C268" s="5">
        <v>8655446920</v>
      </c>
      <c r="D268" s="31" t="s">
        <v>674</v>
      </c>
      <c r="E268" s="52"/>
    </row>
    <row r="269" spans="1:5" ht="18.75" x14ac:dyDescent="0.25">
      <c r="A269" s="30" t="s">
        <v>919</v>
      </c>
      <c r="B269" s="5" t="s">
        <v>956</v>
      </c>
      <c r="C269" s="5">
        <v>8655446928</v>
      </c>
      <c r="D269" s="31" t="s">
        <v>572</v>
      </c>
      <c r="E269" s="52"/>
    </row>
    <row r="270" spans="1:5" ht="18.75" x14ac:dyDescent="0.25">
      <c r="A270" s="30" t="s">
        <v>920</v>
      </c>
      <c r="B270" s="5" t="s">
        <v>961</v>
      </c>
      <c r="C270" s="5">
        <v>8655446922</v>
      </c>
      <c r="D270" s="31" t="s">
        <v>592</v>
      </c>
      <c r="E270" s="52"/>
    </row>
    <row r="271" spans="1:5" ht="18.75" x14ac:dyDescent="0.25">
      <c r="A271" s="30" t="s">
        <v>921</v>
      </c>
      <c r="B271" s="5" t="s">
        <v>966</v>
      </c>
      <c r="C271" s="5">
        <v>8655446923</v>
      </c>
      <c r="D271" s="31" t="s">
        <v>572</v>
      </c>
      <c r="E271" s="52"/>
    </row>
    <row r="272" spans="1:5" ht="18.75" x14ac:dyDescent="0.25">
      <c r="A272" s="30" t="s">
        <v>922</v>
      </c>
      <c r="B272" s="5" t="s">
        <v>956</v>
      </c>
      <c r="C272" s="5">
        <v>8655446924</v>
      </c>
      <c r="D272" s="31" t="s">
        <v>574</v>
      </c>
      <c r="E272" s="52"/>
    </row>
    <row r="273" spans="1:5" ht="18.75" x14ac:dyDescent="0.25">
      <c r="A273" s="30" t="s">
        <v>923</v>
      </c>
      <c r="B273" s="5" t="s">
        <v>971</v>
      </c>
      <c r="C273" s="5">
        <v>8655446925</v>
      </c>
      <c r="D273" s="31" t="s">
        <v>658</v>
      </c>
      <c r="E273" s="52"/>
    </row>
    <row r="274" spans="1:5" ht="18.75" x14ac:dyDescent="0.25">
      <c r="A274" s="30" t="s">
        <v>924</v>
      </c>
      <c r="B274" s="5" t="s">
        <v>1004</v>
      </c>
      <c r="C274" s="5">
        <v>8655446926</v>
      </c>
      <c r="D274" s="31" t="s">
        <v>674</v>
      </c>
      <c r="E274" s="52"/>
    </row>
    <row r="275" spans="1:5" ht="18.75" x14ac:dyDescent="0.25">
      <c r="A275" s="30" t="s">
        <v>925</v>
      </c>
      <c r="B275" s="5" t="s">
        <v>972</v>
      </c>
      <c r="C275" s="5">
        <v>8655446927</v>
      </c>
      <c r="D275" s="31" t="s">
        <v>572</v>
      </c>
      <c r="E275" s="52"/>
    </row>
    <row r="276" spans="1:5" ht="18.75" x14ac:dyDescent="0.25">
      <c r="A276" s="30" t="s">
        <v>926</v>
      </c>
      <c r="B276" s="5" t="s">
        <v>958</v>
      </c>
      <c r="C276" s="5">
        <v>8655446928</v>
      </c>
      <c r="D276" s="31" t="s">
        <v>574</v>
      </c>
      <c r="E276" s="52"/>
    </row>
    <row r="277" spans="1:5" ht="18.75" x14ac:dyDescent="0.25">
      <c r="A277" s="30" t="s">
        <v>927</v>
      </c>
      <c r="B277" s="5" t="s">
        <v>987</v>
      </c>
      <c r="C277" s="5">
        <v>8655446929</v>
      </c>
      <c r="D277" s="31" t="s">
        <v>592</v>
      </c>
      <c r="E277" s="52"/>
    </row>
    <row r="278" spans="1:5" ht="18.75" x14ac:dyDescent="0.25">
      <c r="A278" s="30" t="s">
        <v>928</v>
      </c>
      <c r="B278" s="5" t="s">
        <v>959</v>
      </c>
      <c r="C278" s="5">
        <v>8655446930</v>
      </c>
      <c r="D278" s="31" t="s">
        <v>674</v>
      </c>
      <c r="E278" s="52"/>
    </row>
    <row r="279" spans="1:5" ht="18.75" x14ac:dyDescent="0.25">
      <c r="A279" s="30" t="s">
        <v>929</v>
      </c>
      <c r="B279" s="5" t="s">
        <v>970</v>
      </c>
      <c r="C279" s="5">
        <v>8655446938</v>
      </c>
      <c r="D279" s="31" t="s">
        <v>572</v>
      </c>
      <c r="E279" s="52"/>
    </row>
    <row r="280" spans="1:5" ht="18.75" x14ac:dyDescent="0.25">
      <c r="A280" s="30" t="s">
        <v>930</v>
      </c>
      <c r="B280" s="5" t="s">
        <v>1004</v>
      </c>
      <c r="C280" s="5">
        <v>8655446932</v>
      </c>
      <c r="D280" s="31" t="s">
        <v>658</v>
      </c>
      <c r="E280" s="52"/>
    </row>
    <row r="281" spans="1:5" ht="18.75" x14ac:dyDescent="0.25">
      <c r="A281" s="30" t="s">
        <v>931</v>
      </c>
      <c r="B281" s="5" t="s">
        <v>969</v>
      </c>
      <c r="C281" s="5">
        <v>8655446933</v>
      </c>
      <c r="D281" s="31" t="s">
        <v>658</v>
      </c>
      <c r="E281" s="52"/>
    </row>
    <row r="282" spans="1:5" ht="18.75" x14ac:dyDescent="0.25">
      <c r="A282" s="30" t="s">
        <v>932</v>
      </c>
      <c r="B282" s="5" t="s">
        <v>1002</v>
      </c>
      <c r="C282" s="5">
        <v>8655446934</v>
      </c>
      <c r="D282" s="31" t="s">
        <v>572</v>
      </c>
      <c r="E282" s="52"/>
    </row>
    <row r="283" spans="1:5" ht="18.75" x14ac:dyDescent="0.25">
      <c r="A283" s="30" t="s">
        <v>933</v>
      </c>
      <c r="B283" s="5" t="s">
        <v>1011</v>
      </c>
      <c r="C283" s="5">
        <v>8655446935</v>
      </c>
      <c r="D283" s="31" t="s">
        <v>592</v>
      </c>
      <c r="E283" s="52"/>
    </row>
    <row r="284" spans="1:5" ht="18.75" x14ac:dyDescent="0.25">
      <c r="A284" s="30" t="s">
        <v>934</v>
      </c>
      <c r="B284" s="5" t="s">
        <v>958</v>
      </c>
      <c r="C284" s="5">
        <v>8655446936</v>
      </c>
      <c r="D284" s="31" t="s">
        <v>592</v>
      </c>
      <c r="E284" s="52"/>
    </row>
    <row r="285" spans="1:5" ht="18.75" x14ac:dyDescent="0.25">
      <c r="A285" s="30" t="s">
        <v>935</v>
      </c>
      <c r="B285" s="5" t="s">
        <v>983</v>
      </c>
      <c r="C285" s="5">
        <v>8655446937</v>
      </c>
      <c r="D285" s="31" t="s">
        <v>658</v>
      </c>
      <c r="E285" s="52"/>
    </row>
    <row r="286" spans="1:5" ht="18.75" x14ac:dyDescent="0.25">
      <c r="A286" s="30" t="s">
        <v>936</v>
      </c>
      <c r="B286" s="5" t="s">
        <v>956</v>
      </c>
      <c r="C286" s="5">
        <v>8655446938</v>
      </c>
      <c r="D286" s="31" t="s">
        <v>658</v>
      </c>
      <c r="E286" s="52"/>
    </row>
    <row r="287" spans="1:5" ht="18.75" x14ac:dyDescent="0.25">
      <c r="A287" s="30" t="s">
        <v>937</v>
      </c>
      <c r="B287" s="5" t="s">
        <v>974</v>
      </c>
      <c r="C287" s="5">
        <v>8655446939</v>
      </c>
      <c r="D287" s="31" t="s">
        <v>592</v>
      </c>
      <c r="E287" s="52"/>
    </row>
    <row r="288" spans="1:5" ht="18.75" x14ac:dyDescent="0.25">
      <c r="A288" s="30" t="s">
        <v>938</v>
      </c>
      <c r="B288" s="5" t="s">
        <v>994</v>
      </c>
      <c r="C288" s="5">
        <v>8655446940</v>
      </c>
      <c r="D288" s="31" t="s">
        <v>592</v>
      </c>
      <c r="E288" s="52"/>
    </row>
    <row r="289" spans="1:5" ht="18.75" x14ac:dyDescent="0.25">
      <c r="A289" s="30" t="s">
        <v>939</v>
      </c>
      <c r="B289" s="5" t="s">
        <v>994</v>
      </c>
      <c r="C289" s="5">
        <v>8655446948</v>
      </c>
      <c r="D289" s="31" t="s">
        <v>592</v>
      </c>
      <c r="E289" s="52"/>
    </row>
    <row r="290" spans="1:5" ht="18.75" x14ac:dyDescent="0.25">
      <c r="A290" s="30" t="s">
        <v>940</v>
      </c>
      <c r="B290" s="5" t="s">
        <v>961</v>
      </c>
      <c r="C290" s="5">
        <v>8655446942</v>
      </c>
      <c r="D290" s="31" t="s">
        <v>658</v>
      </c>
      <c r="E290" s="52"/>
    </row>
    <row r="291" spans="1:5" ht="18.75" x14ac:dyDescent="0.25">
      <c r="A291" s="30" t="s">
        <v>941</v>
      </c>
      <c r="B291" s="5" t="s">
        <v>954</v>
      </c>
      <c r="C291" s="5">
        <v>8655446943</v>
      </c>
      <c r="D291" s="31" t="s">
        <v>658</v>
      </c>
      <c r="E291" s="52"/>
    </row>
    <row r="292" spans="1:5" ht="18.75" x14ac:dyDescent="0.25">
      <c r="A292" s="30" t="s">
        <v>942</v>
      </c>
      <c r="B292" s="5" t="s">
        <v>1003</v>
      </c>
      <c r="C292" s="5">
        <v>8655446944</v>
      </c>
      <c r="D292" s="31" t="s">
        <v>662</v>
      </c>
      <c r="E292" s="52"/>
    </row>
    <row r="293" spans="1:5" ht="18.75" x14ac:dyDescent="0.25">
      <c r="A293" s="30" t="s">
        <v>943</v>
      </c>
      <c r="B293" s="5" t="s">
        <v>1010</v>
      </c>
      <c r="C293" s="5">
        <v>8655446945</v>
      </c>
      <c r="D293" s="31" t="s">
        <v>592</v>
      </c>
      <c r="E293" s="52"/>
    </row>
    <row r="294" spans="1:5" ht="18.75" x14ac:dyDescent="0.25">
      <c r="A294" s="30" t="s">
        <v>944</v>
      </c>
      <c r="B294" s="5" t="s">
        <v>956</v>
      </c>
      <c r="C294" s="5">
        <v>8655446946</v>
      </c>
      <c r="D294" s="31" t="s">
        <v>674</v>
      </c>
      <c r="E294" s="52"/>
    </row>
    <row r="295" spans="1:5" ht="18.75" x14ac:dyDescent="0.25">
      <c r="A295" s="30" t="s">
        <v>945</v>
      </c>
      <c r="B295" s="5" t="s">
        <v>974</v>
      </c>
      <c r="C295" s="5">
        <v>8655446947</v>
      </c>
      <c r="D295" s="31" t="s">
        <v>674</v>
      </c>
      <c r="E295" s="52"/>
    </row>
    <row r="296" spans="1:5" ht="18.75" x14ac:dyDescent="0.25">
      <c r="A296" s="30" t="s">
        <v>946</v>
      </c>
      <c r="B296" s="5" t="s">
        <v>979</v>
      </c>
      <c r="C296" s="5">
        <v>8655446948</v>
      </c>
      <c r="D296" s="31" t="s">
        <v>572</v>
      </c>
      <c r="E296" s="52"/>
    </row>
    <row r="297" spans="1:5" ht="18.75" x14ac:dyDescent="0.25">
      <c r="A297" s="30" t="s">
        <v>947</v>
      </c>
      <c r="B297" s="5" t="s">
        <v>990</v>
      </c>
      <c r="C297" s="5">
        <v>8655446949</v>
      </c>
      <c r="D297" s="31" t="s">
        <v>592</v>
      </c>
      <c r="E297" s="52"/>
    </row>
    <row r="298" spans="1:5" ht="18.75" x14ac:dyDescent="0.25">
      <c r="A298" s="30" t="s">
        <v>948</v>
      </c>
      <c r="B298" s="5" t="s">
        <v>956</v>
      </c>
      <c r="C298" s="5">
        <v>8655446950</v>
      </c>
      <c r="D298" s="31" t="s">
        <v>574</v>
      </c>
      <c r="E298" s="52"/>
    </row>
    <row r="299" spans="1:5" ht="18.75" x14ac:dyDescent="0.25">
      <c r="A299" s="30" t="s">
        <v>949</v>
      </c>
      <c r="B299" s="5" t="s">
        <v>984</v>
      </c>
      <c r="C299" s="5">
        <v>8655446958</v>
      </c>
      <c r="D299" s="31" t="s">
        <v>592</v>
      </c>
      <c r="E299" s="52"/>
    </row>
    <row r="300" spans="1:5" ht="18.75" x14ac:dyDescent="0.25">
      <c r="A300" s="30" t="s">
        <v>950</v>
      </c>
      <c r="B300" s="5" t="s">
        <v>994</v>
      </c>
      <c r="C300" s="5">
        <v>8655446952</v>
      </c>
      <c r="D300" s="31" t="s">
        <v>592</v>
      </c>
      <c r="E300" s="52"/>
    </row>
    <row r="301" spans="1:5" ht="18.75" x14ac:dyDescent="0.25">
      <c r="A301" s="30" t="s">
        <v>951</v>
      </c>
      <c r="B301" s="5" t="s">
        <v>974</v>
      </c>
      <c r="C301" s="5">
        <v>8655446953</v>
      </c>
      <c r="D301" s="31" t="s">
        <v>662</v>
      </c>
      <c r="E301" s="52"/>
    </row>
    <row r="302" spans="1:5" ht="18.75" x14ac:dyDescent="0.25">
      <c r="A302" s="32" t="s">
        <v>952</v>
      </c>
      <c r="B302" s="33" t="s">
        <v>958</v>
      </c>
      <c r="C302" s="33">
        <v>8655446954</v>
      </c>
      <c r="D302" s="34" t="s">
        <v>662</v>
      </c>
      <c r="E302" s="52"/>
    </row>
    <row r="303" spans="1:5" ht="18.75" x14ac:dyDescent="0.25">
      <c r="A303" s="30" t="s">
        <v>8872</v>
      </c>
      <c r="B303" s="5" t="s">
        <v>8885</v>
      </c>
      <c r="C303" s="5">
        <v>8770387667</v>
      </c>
      <c r="D303" s="31" t="s">
        <v>592</v>
      </c>
      <c r="E303" s="52"/>
    </row>
    <row r="304" spans="1:5" ht="18.75" x14ac:dyDescent="0.25">
      <c r="A304" s="30" t="s">
        <v>8881</v>
      </c>
      <c r="B304" s="5" t="s">
        <v>8884</v>
      </c>
      <c r="C304" s="5">
        <v>8770387667</v>
      </c>
      <c r="D304" s="31" t="s">
        <v>592</v>
      </c>
      <c r="E304" s="52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A8107-1CFD-4764-8AD0-4F2BA665A483}">
  <sheetPr codeName="Sheet4"/>
  <dimension ref="A1:C502"/>
  <sheetViews>
    <sheetView workbookViewId="0">
      <selection activeCell="C2" sqref="C2"/>
    </sheetView>
  </sheetViews>
  <sheetFormatPr defaultRowHeight="15" x14ac:dyDescent="0.25"/>
  <cols>
    <col min="1" max="1" width="15.7109375" style="4" customWidth="1"/>
    <col min="2" max="2" width="18.140625" style="3" customWidth="1"/>
    <col min="3" max="3" width="19.28515625" style="2" customWidth="1"/>
  </cols>
  <sheetData>
    <row r="1" spans="1:3" s="11" customFormat="1" ht="28.5" x14ac:dyDescent="0.25">
      <c r="A1" s="190" t="s">
        <v>8774</v>
      </c>
      <c r="B1" s="190"/>
      <c r="C1" s="190"/>
    </row>
    <row r="2" spans="1:3" ht="18.75" x14ac:dyDescent="0.25">
      <c r="A2" s="36" t="s">
        <v>0</v>
      </c>
      <c r="B2" s="37" t="s">
        <v>1014</v>
      </c>
      <c r="C2" s="38" t="s">
        <v>1015</v>
      </c>
    </row>
    <row r="3" spans="1:3" ht="18.75" x14ac:dyDescent="0.25">
      <c r="A3" s="30" t="s">
        <v>4</v>
      </c>
      <c r="B3" s="6">
        <v>18</v>
      </c>
      <c r="C3" s="35">
        <v>38884</v>
      </c>
    </row>
    <row r="4" spans="1:3" ht="18.75" x14ac:dyDescent="0.25">
      <c r="A4" s="30" t="s">
        <v>7</v>
      </c>
      <c r="B4" s="6">
        <v>15</v>
      </c>
      <c r="C4" s="35">
        <v>27080</v>
      </c>
    </row>
    <row r="5" spans="1:3" ht="18.75" x14ac:dyDescent="0.25">
      <c r="A5" s="30" t="s">
        <v>10</v>
      </c>
      <c r="B5" s="6">
        <v>27</v>
      </c>
      <c r="C5" s="35">
        <v>15190</v>
      </c>
    </row>
    <row r="6" spans="1:3" ht="18.75" x14ac:dyDescent="0.25">
      <c r="A6" s="30" t="s">
        <v>12</v>
      </c>
      <c r="B6" s="6">
        <v>27</v>
      </c>
      <c r="C6" s="35">
        <v>1698</v>
      </c>
    </row>
    <row r="7" spans="1:3" ht="18.75" x14ac:dyDescent="0.25">
      <c r="A7" s="30" t="s">
        <v>15</v>
      </c>
      <c r="B7" s="6">
        <v>19</v>
      </c>
      <c r="C7" s="35">
        <v>3688</v>
      </c>
    </row>
    <row r="8" spans="1:3" ht="18.75" x14ac:dyDescent="0.25">
      <c r="A8" s="30" t="s">
        <v>18</v>
      </c>
      <c r="B8" s="6">
        <v>44</v>
      </c>
      <c r="C8" s="35">
        <v>701</v>
      </c>
    </row>
    <row r="9" spans="1:3" ht="18.75" x14ac:dyDescent="0.25">
      <c r="A9" s="30" t="s">
        <v>20</v>
      </c>
      <c r="B9" s="6">
        <v>27</v>
      </c>
      <c r="C9" s="35">
        <v>2532</v>
      </c>
    </row>
    <row r="10" spans="1:3" ht="18.75" x14ac:dyDescent="0.25">
      <c r="A10" s="30" t="s">
        <v>23</v>
      </c>
      <c r="B10" s="6">
        <v>18</v>
      </c>
      <c r="C10" s="35">
        <v>4851</v>
      </c>
    </row>
    <row r="11" spans="1:3" ht="18.75" x14ac:dyDescent="0.25">
      <c r="A11" s="30" t="s">
        <v>26</v>
      </c>
      <c r="B11" s="6">
        <v>43</v>
      </c>
      <c r="C11" s="35">
        <v>18890</v>
      </c>
    </row>
    <row r="12" spans="1:3" ht="18.75" x14ac:dyDescent="0.25">
      <c r="A12" s="30" t="s">
        <v>28</v>
      </c>
      <c r="B12" s="6">
        <v>41</v>
      </c>
      <c r="C12" s="35">
        <v>68618</v>
      </c>
    </row>
    <row r="13" spans="1:3" ht="18.75" x14ac:dyDescent="0.25">
      <c r="A13" s="30" t="s">
        <v>30</v>
      </c>
      <c r="B13" s="6">
        <v>13</v>
      </c>
      <c r="C13" s="35">
        <v>13487</v>
      </c>
    </row>
    <row r="14" spans="1:3" ht="18.75" x14ac:dyDescent="0.25">
      <c r="A14" s="30" t="s">
        <v>31</v>
      </c>
      <c r="B14" s="6">
        <v>44</v>
      </c>
      <c r="C14" s="35">
        <v>2320</v>
      </c>
    </row>
    <row r="15" spans="1:3" ht="18.75" x14ac:dyDescent="0.25">
      <c r="A15" s="30" t="s">
        <v>33</v>
      </c>
      <c r="B15" s="6">
        <v>16</v>
      </c>
      <c r="C15" s="35">
        <v>8458</v>
      </c>
    </row>
    <row r="16" spans="1:3" ht="18.75" x14ac:dyDescent="0.25">
      <c r="A16" s="30" t="s">
        <v>35</v>
      </c>
      <c r="B16" s="6">
        <v>10</v>
      </c>
      <c r="C16" s="35">
        <v>2905</v>
      </c>
    </row>
    <row r="17" spans="1:3" ht="18.75" x14ac:dyDescent="0.25">
      <c r="A17" s="30" t="s">
        <v>36</v>
      </c>
      <c r="B17" s="6">
        <v>37</v>
      </c>
      <c r="C17" s="35">
        <v>2303</v>
      </c>
    </row>
    <row r="18" spans="1:3" ht="18.75" x14ac:dyDescent="0.25">
      <c r="A18" s="30" t="s">
        <v>38</v>
      </c>
      <c r="B18" s="6">
        <v>57</v>
      </c>
      <c r="C18" s="35">
        <v>65586</v>
      </c>
    </row>
    <row r="19" spans="1:3" ht="18.75" x14ac:dyDescent="0.25">
      <c r="A19" s="30" t="s">
        <v>40</v>
      </c>
      <c r="B19" s="6">
        <v>45</v>
      </c>
      <c r="C19" s="35">
        <v>2831</v>
      </c>
    </row>
    <row r="20" spans="1:3" ht="18.75" x14ac:dyDescent="0.25">
      <c r="A20" s="30" t="s">
        <v>41</v>
      </c>
      <c r="B20" s="6">
        <v>16</v>
      </c>
      <c r="C20" s="35">
        <v>58660</v>
      </c>
    </row>
    <row r="21" spans="1:3" ht="18.75" x14ac:dyDescent="0.25">
      <c r="A21" s="30" t="s">
        <v>43</v>
      </c>
      <c r="B21" s="6">
        <v>31</v>
      </c>
      <c r="C21" s="35">
        <v>8664</v>
      </c>
    </row>
    <row r="22" spans="1:3" ht="18.75" x14ac:dyDescent="0.25">
      <c r="A22" s="30" t="s">
        <v>46</v>
      </c>
      <c r="B22" s="6">
        <v>12</v>
      </c>
      <c r="C22" s="35">
        <v>30419</v>
      </c>
    </row>
    <row r="23" spans="1:3" ht="18.75" x14ac:dyDescent="0.25">
      <c r="A23" s="30" t="s">
        <v>47</v>
      </c>
      <c r="B23" s="6">
        <v>20</v>
      </c>
      <c r="C23" s="35">
        <v>723</v>
      </c>
    </row>
    <row r="24" spans="1:3" ht="18.75" x14ac:dyDescent="0.25">
      <c r="A24" s="30" t="s">
        <v>48</v>
      </c>
      <c r="B24" s="6">
        <v>20</v>
      </c>
      <c r="C24" s="35">
        <v>3890</v>
      </c>
    </row>
    <row r="25" spans="1:3" ht="18.75" x14ac:dyDescent="0.25">
      <c r="A25" s="30" t="s">
        <v>49</v>
      </c>
      <c r="B25" s="6">
        <v>25</v>
      </c>
      <c r="C25" s="35">
        <v>798</v>
      </c>
    </row>
    <row r="26" spans="1:3" ht="18.75" x14ac:dyDescent="0.25">
      <c r="A26" s="30" t="s">
        <v>50</v>
      </c>
      <c r="B26" s="6">
        <v>22</v>
      </c>
      <c r="C26" s="35">
        <v>28268</v>
      </c>
    </row>
    <row r="27" spans="1:3" ht="18.75" x14ac:dyDescent="0.25">
      <c r="A27" s="30" t="s">
        <v>51</v>
      </c>
      <c r="B27" s="6">
        <v>21</v>
      </c>
      <c r="C27" s="35">
        <v>3994</v>
      </c>
    </row>
    <row r="28" spans="1:3" ht="18.75" x14ac:dyDescent="0.25">
      <c r="A28" s="30" t="s">
        <v>52</v>
      </c>
      <c r="B28" s="6">
        <v>24</v>
      </c>
      <c r="C28" s="35">
        <v>3643</v>
      </c>
    </row>
    <row r="29" spans="1:3" ht="18.75" x14ac:dyDescent="0.25">
      <c r="A29" s="30" t="s">
        <v>53</v>
      </c>
      <c r="B29" s="6">
        <v>41</v>
      </c>
      <c r="C29" s="35">
        <v>11269</v>
      </c>
    </row>
    <row r="30" spans="1:3" ht="18.75" x14ac:dyDescent="0.25">
      <c r="A30" s="30" t="s">
        <v>56</v>
      </c>
      <c r="B30" s="6">
        <v>50</v>
      </c>
      <c r="C30" s="35">
        <v>3467</v>
      </c>
    </row>
    <row r="31" spans="1:3" ht="18.75" x14ac:dyDescent="0.25">
      <c r="A31" s="30" t="s">
        <v>57</v>
      </c>
      <c r="B31" s="6">
        <v>57</v>
      </c>
      <c r="C31" s="35">
        <v>45619</v>
      </c>
    </row>
    <row r="32" spans="1:3" ht="18.75" x14ac:dyDescent="0.25">
      <c r="A32" s="30" t="s">
        <v>58</v>
      </c>
      <c r="B32" s="6">
        <v>21</v>
      </c>
      <c r="C32" s="35">
        <v>41929</v>
      </c>
    </row>
    <row r="33" spans="1:3" ht="18.75" x14ac:dyDescent="0.25">
      <c r="A33" s="30" t="s">
        <v>59</v>
      </c>
      <c r="B33" s="6">
        <v>14</v>
      </c>
      <c r="C33" s="35">
        <v>928</v>
      </c>
    </row>
    <row r="34" spans="1:3" ht="18.75" x14ac:dyDescent="0.25">
      <c r="A34" s="30" t="s">
        <v>61</v>
      </c>
      <c r="B34" s="6">
        <v>44</v>
      </c>
      <c r="C34" s="35">
        <v>2704</v>
      </c>
    </row>
    <row r="35" spans="1:3" ht="18.75" x14ac:dyDescent="0.25">
      <c r="A35" s="30" t="s">
        <v>62</v>
      </c>
      <c r="B35" s="6">
        <v>5</v>
      </c>
      <c r="C35" s="35">
        <v>5977</v>
      </c>
    </row>
    <row r="36" spans="1:3" ht="18.75" x14ac:dyDescent="0.25">
      <c r="A36" s="30" t="s">
        <v>64</v>
      </c>
      <c r="B36" s="6">
        <v>51</v>
      </c>
      <c r="C36" s="35">
        <v>771</v>
      </c>
    </row>
    <row r="37" spans="1:3" ht="18.75" x14ac:dyDescent="0.25">
      <c r="A37" s="30" t="s">
        <v>65</v>
      </c>
      <c r="B37" s="6">
        <v>53</v>
      </c>
      <c r="C37" s="35">
        <v>1758</v>
      </c>
    </row>
    <row r="38" spans="1:3" ht="18.75" x14ac:dyDescent="0.25">
      <c r="A38" s="30" t="s">
        <v>67</v>
      </c>
      <c r="B38" s="6">
        <v>46</v>
      </c>
      <c r="C38" s="35">
        <v>2409</v>
      </c>
    </row>
    <row r="39" spans="1:3" ht="18.75" x14ac:dyDescent="0.25">
      <c r="A39" s="30" t="s">
        <v>68</v>
      </c>
      <c r="B39" s="6">
        <v>40</v>
      </c>
      <c r="C39" s="35">
        <v>17186</v>
      </c>
    </row>
    <row r="40" spans="1:3" ht="18.75" x14ac:dyDescent="0.25">
      <c r="A40" s="30" t="s">
        <v>70</v>
      </c>
      <c r="B40" s="6">
        <v>14</v>
      </c>
      <c r="C40" s="35">
        <v>3980</v>
      </c>
    </row>
    <row r="41" spans="1:3" ht="18.75" x14ac:dyDescent="0.25">
      <c r="A41" s="30" t="s">
        <v>72</v>
      </c>
      <c r="B41" s="6">
        <v>26</v>
      </c>
      <c r="C41" s="35">
        <v>1000</v>
      </c>
    </row>
    <row r="42" spans="1:3" ht="18.75" x14ac:dyDescent="0.25">
      <c r="A42" s="30" t="s">
        <v>73</v>
      </c>
      <c r="B42" s="6">
        <v>39</v>
      </c>
      <c r="C42" s="35">
        <v>1360</v>
      </c>
    </row>
    <row r="43" spans="1:3" ht="18.75" x14ac:dyDescent="0.25">
      <c r="A43" s="30" t="s">
        <v>75</v>
      </c>
      <c r="B43" s="6">
        <v>7</v>
      </c>
      <c r="C43" s="35">
        <v>27287</v>
      </c>
    </row>
    <row r="44" spans="1:3" ht="18.75" x14ac:dyDescent="0.25">
      <c r="A44" s="30" t="s">
        <v>76</v>
      </c>
      <c r="B44" s="6">
        <v>42</v>
      </c>
      <c r="C44" s="35">
        <v>1400</v>
      </c>
    </row>
    <row r="45" spans="1:3" ht="18.75" x14ac:dyDescent="0.25">
      <c r="A45" s="30" t="s">
        <v>77</v>
      </c>
      <c r="B45" s="6">
        <v>41</v>
      </c>
      <c r="C45" s="35">
        <v>2282</v>
      </c>
    </row>
    <row r="46" spans="1:3" ht="18.75" x14ac:dyDescent="0.25">
      <c r="A46" s="30" t="s">
        <v>78</v>
      </c>
      <c r="B46" s="6">
        <v>46</v>
      </c>
      <c r="C46" s="35">
        <v>13714</v>
      </c>
    </row>
    <row r="47" spans="1:3" ht="18.75" x14ac:dyDescent="0.25">
      <c r="A47" s="30" t="s">
        <v>79</v>
      </c>
      <c r="B47" s="6">
        <v>16</v>
      </c>
      <c r="C47" s="35">
        <v>26386</v>
      </c>
    </row>
    <row r="48" spans="1:3" ht="18.75" x14ac:dyDescent="0.25">
      <c r="A48" s="30" t="s">
        <v>80</v>
      </c>
      <c r="B48" s="6">
        <v>30</v>
      </c>
      <c r="C48" s="35">
        <v>34693</v>
      </c>
    </row>
    <row r="49" spans="1:3" ht="18.75" x14ac:dyDescent="0.25">
      <c r="A49" s="30" t="s">
        <v>81</v>
      </c>
      <c r="B49" s="6">
        <v>22</v>
      </c>
      <c r="C49" s="35">
        <v>52393</v>
      </c>
    </row>
    <row r="50" spans="1:3" ht="18.75" x14ac:dyDescent="0.25">
      <c r="A50" s="30" t="s">
        <v>82</v>
      </c>
      <c r="B50" s="6">
        <v>49</v>
      </c>
      <c r="C50" s="35">
        <v>4177</v>
      </c>
    </row>
    <row r="51" spans="1:3" ht="18.75" x14ac:dyDescent="0.25">
      <c r="A51" s="30" t="s">
        <v>84</v>
      </c>
      <c r="B51" s="6">
        <v>40</v>
      </c>
      <c r="C51" s="35">
        <v>1086</v>
      </c>
    </row>
    <row r="52" spans="1:3" ht="18.75" x14ac:dyDescent="0.25">
      <c r="A52" s="30" t="s">
        <v>85</v>
      </c>
      <c r="B52" s="6">
        <v>11</v>
      </c>
      <c r="C52" s="35">
        <v>7130</v>
      </c>
    </row>
    <row r="53" spans="1:3" ht="18.75" x14ac:dyDescent="0.25">
      <c r="A53" s="30" t="s">
        <v>86</v>
      </c>
      <c r="B53" s="6">
        <v>10</v>
      </c>
      <c r="C53" s="35">
        <v>11919</v>
      </c>
    </row>
    <row r="54" spans="1:3" ht="18.75" x14ac:dyDescent="0.25">
      <c r="A54" s="30" t="s">
        <v>87</v>
      </c>
      <c r="B54" s="6">
        <v>20</v>
      </c>
      <c r="C54" s="35">
        <v>822</v>
      </c>
    </row>
    <row r="55" spans="1:3" ht="18.75" x14ac:dyDescent="0.25">
      <c r="A55" s="30" t="s">
        <v>88</v>
      </c>
      <c r="B55" s="6">
        <v>8</v>
      </c>
      <c r="C55" s="35">
        <v>33605</v>
      </c>
    </row>
    <row r="56" spans="1:3" ht="18.75" x14ac:dyDescent="0.25">
      <c r="A56" s="30" t="s">
        <v>89</v>
      </c>
      <c r="B56" s="6">
        <v>38</v>
      </c>
      <c r="C56" s="35">
        <v>341</v>
      </c>
    </row>
    <row r="57" spans="1:3" ht="18.75" x14ac:dyDescent="0.25">
      <c r="A57" s="30" t="s">
        <v>91</v>
      </c>
      <c r="B57" s="6">
        <v>6</v>
      </c>
      <c r="C57" s="35">
        <v>3315</v>
      </c>
    </row>
    <row r="58" spans="1:3" ht="18.75" x14ac:dyDescent="0.25">
      <c r="A58" s="30" t="s">
        <v>92</v>
      </c>
      <c r="B58" s="6">
        <v>47</v>
      </c>
      <c r="C58" s="35">
        <v>5110</v>
      </c>
    </row>
    <row r="59" spans="1:3" ht="18.75" x14ac:dyDescent="0.25">
      <c r="A59" s="30" t="s">
        <v>93</v>
      </c>
      <c r="B59" s="6">
        <v>6</v>
      </c>
      <c r="C59" s="35">
        <v>1436</v>
      </c>
    </row>
    <row r="60" spans="1:3" ht="18.75" x14ac:dyDescent="0.25">
      <c r="A60" s="30" t="s">
        <v>95</v>
      </c>
      <c r="B60" s="6">
        <v>8</v>
      </c>
      <c r="C60" s="35">
        <v>5781</v>
      </c>
    </row>
    <row r="61" spans="1:3" ht="18.75" x14ac:dyDescent="0.25">
      <c r="A61" s="30" t="s">
        <v>96</v>
      </c>
      <c r="B61" s="6">
        <v>5</v>
      </c>
      <c r="C61" s="35">
        <v>3785</v>
      </c>
    </row>
    <row r="62" spans="1:3" ht="18.75" x14ac:dyDescent="0.25">
      <c r="A62" s="30" t="s">
        <v>98</v>
      </c>
      <c r="B62" s="6">
        <v>32</v>
      </c>
      <c r="C62" s="35">
        <v>1125</v>
      </c>
    </row>
    <row r="63" spans="1:3" ht="18.75" x14ac:dyDescent="0.25">
      <c r="A63" s="30" t="s">
        <v>99</v>
      </c>
      <c r="B63" s="6">
        <v>46</v>
      </c>
      <c r="C63" s="35">
        <v>26896</v>
      </c>
    </row>
    <row r="64" spans="1:3" ht="18.75" x14ac:dyDescent="0.25">
      <c r="A64" s="30" t="s">
        <v>100</v>
      </c>
      <c r="B64" s="6">
        <v>41</v>
      </c>
      <c r="C64" s="35">
        <v>162</v>
      </c>
    </row>
    <row r="65" spans="1:3" ht="18.75" x14ac:dyDescent="0.25">
      <c r="A65" s="30" t="s">
        <v>102</v>
      </c>
      <c r="B65" s="6">
        <v>19</v>
      </c>
      <c r="C65" s="35">
        <v>10483</v>
      </c>
    </row>
    <row r="66" spans="1:3" ht="18.75" x14ac:dyDescent="0.25">
      <c r="A66" s="30" t="s">
        <v>104</v>
      </c>
      <c r="B66" s="6">
        <v>20</v>
      </c>
      <c r="C66" s="35">
        <v>39369</v>
      </c>
    </row>
    <row r="67" spans="1:3" ht="18.75" x14ac:dyDescent="0.25">
      <c r="A67" s="30" t="s">
        <v>105</v>
      </c>
      <c r="B67" s="6">
        <v>20</v>
      </c>
      <c r="C67" s="35">
        <v>2728</v>
      </c>
    </row>
    <row r="68" spans="1:3" ht="18.75" x14ac:dyDescent="0.25">
      <c r="A68" s="30" t="s">
        <v>106</v>
      </c>
      <c r="B68" s="6">
        <v>42</v>
      </c>
      <c r="C68" s="35">
        <v>6729</v>
      </c>
    </row>
    <row r="69" spans="1:3" ht="18.75" x14ac:dyDescent="0.25">
      <c r="A69" s="30" t="s">
        <v>107</v>
      </c>
      <c r="B69" s="6">
        <v>31</v>
      </c>
      <c r="C69" s="35">
        <v>11599</v>
      </c>
    </row>
    <row r="70" spans="1:3" ht="18.75" x14ac:dyDescent="0.25">
      <c r="A70" s="30" t="s">
        <v>109</v>
      </c>
      <c r="B70" s="6">
        <v>45</v>
      </c>
      <c r="C70" s="35">
        <v>1796</v>
      </c>
    </row>
    <row r="71" spans="1:3" ht="18.75" x14ac:dyDescent="0.25">
      <c r="A71" s="30" t="s">
        <v>110</v>
      </c>
      <c r="B71" s="6">
        <v>42</v>
      </c>
      <c r="C71" s="35">
        <v>59006</v>
      </c>
    </row>
    <row r="72" spans="1:3" ht="18.75" x14ac:dyDescent="0.25">
      <c r="A72" s="30" t="s">
        <v>111</v>
      </c>
      <c r="B72" s="6">
        <v>52</v>
      </c>
      <c r="C72" s="35">
        <v>13173</v>
      </c>
    </row>
    <row r="73" spans="1:3" ht="18.75" x14ac:dyDescent="0.25">
      <c r="A73" s="30" t="s">
        <v>112</v>
      </c>
      <c r="B73" s="6">
        <v>25</v>
      </c>
      <c r="C73" s="35">
        <v>2575</v>
      </c>
    </row>
    <row r="74" spans="1:3" ht="18.75" x14ac:dyDescent="0.25">
      <c r="A74" s="30" t="s">
        <v>113</v>
      </c>
      <c r="B74" s="6">
        <v>41</v>
      </c>
      <c r="C74" s="35">
        <v>72093</v>
      </c>
    </row>
    <row r="75" spans="1:3" ht="18.75" x14ac:dyDescent="0.25">
      <c r="A75" s="30" t="s">
        <v>114</v>
      </c>
      <c r="B75" s="6">
        <v>46</v>
      </c>
      <c r="C75" s="35">
        <v>13292</v>
      </c>
    </row>
    <row r="76" spans="1:3" ht="18.75" x14ac:dyDescent="0.25">
      <c r="A76" s="30" t="s">
        <v>115</v>
      </c>
      <c r="B76" s="6">
        <v>46</v>
      </c>
      <c r="C76" s="35">
        <v>1444</v>
      </c>
    </row>
    <row r="77" spans="1:3" ht="18.75" x14ac:dyDescent="0.25">
      <c r="A77" s="30" t="s">
        <v>116</v>
      </c>
      <c r="B77" s="6">
        <v>34</v>
      </c>
      <c r="C77" s="35">
        <v>33377</v>
      </c>
    </row>
    <row r="78" spans="1:3" ht="18.75" x14ac:dyDescent="0.25">
      <c r="A78" s="30" t="s">
        <v>117</v>
      </c>
      <c r="B78" s="6">
        <v>10</v>
      </c>
      <c r="C78" s="35">
        <v>2303</v>
      </c>
    </row>
    <row r="79" spans="1:3" ht="18.75" x14ac:dyDescent="0.25">
      <c r="A79" s="30" t="s">
        <v>118</v>
      </c>
      <c r="B79" s="6">
        <v>22</v>
      </c>
      <c r="C79" s="35">
        <v>3406</v>
      </c>
    </row>
    <row r="80" spans="1:3" ht="18.75" x14ac:dyDescent="0.25">
      <c r="A80" s="30" t="s">
        <v>120</v>
      </c>
      <c r="B80" s="6">
        <v>57</v>
      </c>
      <c r="C80" s="35">
        <v>5465</v>
      </c>
    </row>
    <row r="81" spans="1:3" ht="18.75" x14ac:dyDescent="0.25">
      <c r="A81" s="30" t="s">
        <v>121</v>
      </c>
      <c r="B81" s="6">
        <v>8</v>
      </c>
      <c r="C81" s="35">
        <v>1781</v>
      </c>
    </row>
    <row r="82" spans="1:3" ht="18.75" x14ac:dyDescent="0.25">
      <c r="A82" s="30" t="s">
        <v>122</v>
      </c>
      <c r="B82" s="6">
        <v>50</v>
      </c>
      <c r="C82" s="35">
        <v>1667</v>
      </c>
    </row>
    <row r="83" spans="1:3" ht="18.75" x14ac:dyDescent="0.25">
      <c r="A83" s="30" t="s">
        <v>123</v>
      </c>
      <c r="B83" s="6">
        <v>52</v>
      </c>
      <c r="C83" s="35">
        <v>2142</v>
      </c>
    </row>
    <row r="84" spans="1:3" ht="18.75" x14ac:dyDescent="0.25">
      <c r="A84" s="30" t="s">
        <v>124</v>
      </c>
      <c r="B84" s="6">
        <v>5</v>
      </c>
      <c r="C84" s="35">
        <v>12974</v>
      </c>
    </row>
    <row r="85" spans="1:3" ht="18.75" x14ac:dyDescent="0.25">
      <c r="A85" s="30" t="s">
        <v>125</v>
      </c>
      <c r="B85" s="6">
        <v>32</v>
      </c>
      <c r="C85" s="35">
        <v>33391</v>
      </c>
    </row>
    <row r="86" spans="1:3" ht="18.75" x14ac:dyDescent="0.25">
      <c r="A86" s="30" t="s">
        <v>126</v>
      </c>
      <c r="B86" s="6">
        <v>41</v>
      </c>
      <c r="C86" s="35">
        <v>19380</v>
      </c>
    </row>
    <row r="87" spans="1:3" ht="18.75" x14ac:dyDescent="0.25">
      <c r="A87" s="30" t="s">
        <v>127</v>
      </c>
      <c r="B87" s="6">
        <v>14</v>
      </c>
      <c r="C87" s="35">
        <v>3474</v>
      </c>
    </row>
    <row r="88" spans="1:3" ht="18.75" x14ac:dyDescent="0.25">
      <c r="A88" s="30" t="s">
        <v>128</v>
      </c>
      <c r="B88" s="6">
        <v>53</v>
      </c>
      <c r="C88" s="35">
        <v>2597</v>
      </c>
    </row>
    <row r="89" spans="1:3" ht="18.75" x14ac:dyDescent="0.25">
      <c r="A89" s="30" t="s">
        <v>129</v>
      </c>
      <c r="B89" s="6">
        <v>20</v>
      </c>
      <c r="C89" s="35">
        <v>1588</v>
      </c>
    </row>
    <row r="90" spans="1:3" ht="18.75" x14ac:dyDescent="0.25">
      <c r="A90" s="30" t="s">
        <v>130</v>
      </c>
      <c r="B90" s="6">
        <v>56</v>
      </c>
      <c r="C90" s="35">
        <v>32914</v>
      </c>
    </row>
    <row r="91" spans="1:3" ht="18.75" x14ac:dyDescent="0.25">
      <c r="A91" s="30" t="s">
        <v>131</v>
      </c>
      <c r="B91" s="6">
        <v>56</v>
      </c>
      <c r="C91" s="35">
        <v>2019</v>
      </c>
    </row>
    <row r="92" spans="1:3" ht="18.75" x14ac:dyDescent="0.25">
      <c r="A92" s="30" t="s">
        <v>132</v>
      </c>
      <c r="B92" s="6">
        <v>19</v>
      </c>
      <c r="C92" s="35">
        <v>6397</v>
      </c>
    </row>
    <row r="93" spans="1:3" ht="18.75" x14ac:dyDescent="0.25">
      <c r="A93" s="30" t="s">
        <v>133</v>
      </c>
      <c r="B93" s="6">
        <v>60</v>
      </c>
      <c r="C93" s="35">
        <v>39879</v>
      </c>
    </row>
    <row r="94" spans="1:3" ht="18.75" x14ac:dyDescent="0.25">
      <c r="A94" s="30" t="s">
        <v>134</v>
      </c>
      <c r="B94" s="6">
        <v>7</v>
      </c>
      <c r="C94" s="35">
        <v>3192</v>
      </c>
    </row>
    <row r="95" spans="1:3" ht="18.75" x14ac:dyDescent="0.25">
      <c r="A95" s="30" t="s">
        <v>135</v>
      </c>
      <c r="B95" s="6">
        <v>21</v>
      </c>
      <c r="C95" s="35">
        <v>2681</v>
      </c>
    </row>
    <row r="96" spans="1:3" ht="18.75" x14ac:dyDescent="0.25">
      <c r="A96" s="30" t="s">
        <v>136</v>
      </c>
      <c r="B96" s="6">
        <v>41</v>
      </c>
      <c r="C96" s="35">
        <v>29405</v>
      </c>
    </row>
    <row r="97" spans="1:3" ht="18.75" x14ac:dyDescent="0.25">
      <c r="A97" s="30" t="s">
        <v>137</v>
      </c>
      <c r="B97" s="6">
        <v>55</v>
      </c>
      <c r="C97" s="35">
        <v>6071</v>
      </c>
    </row>
    <row r="98" spans="1:3" ht="18.75" x14ac:dyDescent="0.25">
      <c r="A98" s="30" t="s">
        <v>139</v>
      </c>
      <c r="B98" s="6">
        <v>39</v>
      </c>
      <c r="C98" s="35">
        <v>21311</v>
      </c>
    </row>
    <row r="99" spans="1:3" ht="18.75" x14ac:dyDescent="0.25">
      <c r="A99" s="30" t="s">
        <v>140</v>
      </c>
      <c r="B99" s="6">
        <v>29</v>
      </c>
      <c r="C99" s="35">
        <v>2116</v>
      </c>
    </row>
    <row r="100" spans="1:3" ht="18.75" x14ac:dyDescent="0.25">
      <c r="A100" s="30" t="s">
        <v>141</v>
      </c>
      <c r="B100" s="6">
        <v>55</v>
      </c>
      <c r="C100" s="35">
        <v>11947</v>
      </c>
    </row>
    <row r="101" spans="1:3" ht="18.75" x14ac:dyDescent="0.25">
      <c r="A101" s="30" t="s">
        <v>144</v>
      </c>
      <c r="B101" s="6">
        <v>8</v>
      </c>
      <c r="C101" s="35">
        <v>6307</v>
      </c>
    </row>
    <row r="102" spans="1:3" ht="18.75" x14ac:dyDescent="0.25">
      <c r="A102" s="30" t="s">
        <v>145</v>
      </c>
      <c r="B102" s="6">
        <v>44</v>
      </c>
      <c r="C102" s="35">
        <v>7623</v>
      </c>
    </row>
    <row r="103" spans="1:3" ht="18.75" x14ac:dyDescent="0.25">
      <c r="A103" s="30" t="s">
        <v>147</v>
      </c>
      <c r="B103" s="6">
        <v>13</v>
      </c>
      <c r="C103" s="35">
        <v>3935</v>
      </c>
    </row>
    <row r="104" spans="1:3" ht="18.75" x14ac:dyDescent="0.25">
      <c r="A104" s="30" t="s">
        <v>148</v>
      </c>
      <c r="B104" s="6">
        <v>57</v>
      </c>
      <c r="C104" s="35">
        <v>17657</v>
      </c>
    </row>
    <row r="105" spans="1:3" ht="18.75" x14ac:dyDescent="0.25">
      <c r="A105" s="30" t="s">
        <v>149</v>
      </c>
      <c r="B105" s="6">
        <v>37</v>
      </c>
      <c r="C105" s="35">
        <v>5562</v>
      </c>
    </row>
    <row r="106" spans="1:3" ht="18.75" x14ac:dyDescent="0.25">
      <c r="A106" s="30" t="s">
        <v>150</v>
      </c>
      <c r="B106" s="6">
        <v>31</v>
      </c>
      <c r="C106" s="35">
        <v>7322</v>
      </c>
    </row>
    <row r="107" spans="1:3" ht="18.75" x14ac:dyDescent="0.25">
      <c r="A107" s="30" t="s">
        <v>151</v>
      </c>
      <c r="B107" s="6">
        <v>59</v>
      </c>
      <c r="C107" s="35">
        <v>5716</v>
      </c>
    </row>
    <row r="108" spans="1:3" ht="18.75" x14ac:dyDescent="0.25">
      <c r="A108" s="30" t="s">
        <v>152</v>
      </c>
      <c r="B108" s="6">
        <v>10</v>
      </c>
      <c r="C108" s="35">
        <v>29602</v>
      </c>
    </row>
    <row r="109" spans="1:3" ht="18.75" x14ac:dyDescent="0.25">
      <c r="A109" s="30" t="s">
        <v>153</v>
      </c>
      <c r="B109" s="6">
        <v>21</v>
      </c>
      <c r="C109" s="35">
        <v>835</v>
      </c>
    </row>
    <row r="110" spans="1:3" ht="18.75" x14ac:dyDescent="0.25">
      <c r="A110" s="30" t="s">
        <v>154</v>
      </c>
      <c r="B110" s="6">
        <v>54</v>
      </c>
      <c r="C110" s="35">
        <v>39768</v>
      </c>
    </row>
    <row r="111" spans="1:3" ht="18.75" x14ac:dyDescent="0.25">
      <c r="A111" s="30" t="s">
        <v>155</v>
      </c>
      <c r="B111" s="6">
        <v>19</v>
      </c>
      <c r="C111" s="35">
        <v>2996</v>
      </c>
    </row>
    <row r="112" spans="1:3" ht="18.75" x14ac:dyDescent="0.25">
      <c r="A112" s="30" t="s">
        <v>156</v>
      </c>
      <c r="B112" s="6">
        <v>9</v>
      </c>
      <c r="C112" s="35">
        <v>2558</v>
      </c>
    </row>
    <row r="113" spans="1:3" ht="18.75" x14ac:dyDescent="0.25">
      <c r="A113" s="30" t="s">
        <v>157</v>
      </c>
      <c r="B113" s="6">
        <v>46</v>
      </c>
      <c r="C113" s="35">
        <v>10034</v>
      </c>
    </row>
    <row r="114" spans="1:3" ht="18.75" x14ac:dyDescent="0.25">
      <c r="A114" s="30" t="s">
        <v>159</v>
      </c>
      <c r="B114" s="6">
        <v>55</v>
      </c>
      <c r="C114" s="35">
        <v>69103</v>
      </c>
    </row>
    <row r="115" spans="1:3" ht="18.75" x14ac:dyDescent="0.25">
      <c r="A115" s="30" t="s">
        <v>160</v>
      </c>
      <c r="B115" s="6">
        <v>33</v>
      </c>
      <c r="C115" s="35">
        <v>3382</v>
      </c>
    </row>
    <row r="116" spans="1:3" ht="18.75" x14ac:dyDescent="0.25">
      <c r="A116" s="30" t="s">
        <v>161</v>
      </c>
      <c r="B116" s="6">
        <v>34</v>
      </c>
      <c r="C116" s="35">
        <v>1064</v>
      </c>
    </row>
    <row r="117" spans="1:3" ht="18.75" x14ac:dyDescent="0.25">
      <c r="A117" s="30" t="s">
        <v>162</v>
      </c>
      <c r="B117" s="6">
        <v>54</v>
      </c>
      <c r="C117" s="35">
        <v>724</v>
      </c>
    </row>
    <row r="118" spans="1:3" ht="18.75" x14ac:dyDescent="0.25">
      <c r="A118" s="30" t="s">
        <v>163</v>
      </c>
      <c r="B118" s="6">
        <v>21</v>
      </c>
      <c r="C118" s="35">
        <v>13893</v>
      </c>
    </row>
    <row r="119" spans="1:3" ht="18.75" x14ac:dyDescent="0.25">
      <c r="A119" s="30" t="s">
        <v>164</v>
      </c>
      <c r="B119" s="6">
        <v>40</v>
      </c>
      <c r="C119" s="35">
        <v>2596</v>
      </c>
    </row>
    <row r="120" spans="1:3" ht="18.75" x14ac:dyDescent="0.25">
      <c r="A120" s="30" t="s">
        <v>165</v>
      </c>
      <c r="B120" s="6">
        <v>17</v>
      </c>
      <c r="C120" s="35">
        <v>6875</v>
      </c>
    </row>
    <row r="121" spans="1:3" ht="18.75" x14ac:dyDescent="0.25">
      <c r="A121" s="30" t="s">
        <v>166</v>
      </c>
      <c r="B121" s="6">
        <v>70</v>
      </c>
      <c r="C121" s="35">
        <v>30191</v>
      </c>
    </row>
    <row r="122" spans="1:3" ht="18.75" x14ac:dyDescent="0.25">
      <c r="A122" s="30" t="s">
        <v>167</v>
      </c>
      <c r="B122" s="6">
        <v>34</v>
      </c>
      <c r="C122" s="35">
        <v>2161</v>
      </c>
    </row>
    <row r="123" spans="1:3" ht="18.75" x14ac:dyDescent="0.25">
      <c r="A123" s="30" t="s">
        <v>168</v>
      </c>
      <c r="B123" s="6">
        <v>32</v>
      </c>
      <c r="C123" s="35">
        <v>1166</v>
      </c>
    </row>
    <row r="124" spans="1:3" ht="18.75" x14ac:dyDescent="0.25">
      <c r="A124" s="30" t="s">
        <v>169</v>
      </c>
      <c r="B124" s="6">
        <v>10</v>
      </c>
      <c r="C124" s="35">
        <v>20157</v>
      </c>
    </row>
    <row r="125" spans="1:3" ht="18.75" x14ac:dyDescent="0.25">
      <c r="A125" s="30" t="s">
        <v>170</v>
      </c>
      <c r="B125" s="6">
        <v>38</v>
      </c>
      <c r="C125" s="35">
        <v>26168</v>
      </c>
    </row>
    <row r="126" spans="1:3" ht="18.75" x14ac:dyDescent="0.25">
      <c r="A126" s="30" t="s">
        <v>171</v>
      </c>
      <c r="B126" s="6">
        <v>30</v>
      </c>
      <c r="C126" s="35">
        <v>3469</v>
      </c>
    </row>
    <row r="127" spans="1:3" ht="18.75" x14ac:dyDescent="0.25">
      <c r="A127" s="30" t="s">
        <v>172</v>
      </c>
      <c r="B127" s="6">
        <v>23</v>
      </c>
      <c r="C127" s="35">
        <v>6047</v>
      </c>
    </row>
    <row r="128" spans="1:3" ht="18.75" x14ac:dyDescent="0.25">
      <c r="A128" s="30" t="s">
        <v>173</v>
      </c>
      <c r="B128" s="6">
        <v>32</v>
      </c>
      <c r="C128" s="35">
        <v>60461</v>
      </c>
    </row>
    <row r="129" spans="1:3" ht="18.75" x14ac:dyDescent="0.25">
      <c r="A129" s="30" t="s">
        <v>175</v>
      </c>
      <c r="B129" s="6">
        <v>41</v>
      </c>
      <c r="C129" s="35">
        <v>1594</v>
      </c>
    </row>
    <row r="130" spans="1:3" ht="18.75" x14ac:dyDescent="0.25">
      <c r="A130" s="30" t="s">
        <v>176</v>
      </c>
      <c r="B130" s="6">
        <v>59</v>
      </c>
      <c r="C130" s="35">
        <v>14825</v>
      </c>
    </row>
    <row r="131" spans="1:3" ht="18.75" x14ac:dyDescent="0.25">
      <c r="A131" s="30" t="s">
        <v>177</v>
      </c>
      <c r="B131" s="6">
        <v>7</v>
      </c>
      <c r="C131" s="35">
        <v>45329</v>
      </c>
    </row>
    <row r="132" spans="1:3" ht="18.75" x14ac:dyDescent="0.25">
      <c r="A132" s="30" t="s">
        <v>178</v>
      </c>
      <c r="B132" s="6">
        <v>29</v>
      </c>
      <c r="C132" s="35">
        <v>8325</v>
      </c>
    </row>
    <row r="133" spans="1:3" ht="18.75" x14ac:dyDescent="0.25">
      <c r="A133" s="30" t="s">
        <v>179</v>
      </c>
      <c r="B133" s="6">
        <v>56</v>
      </c>
      <c r="C133" s="35">
        <v>1180</v>
      </c>
    </row>
    <row r="134" spans="1:3" ht="18.75" x14ac:dyDescent="0.25">
      <c r="A134" s="30" t="s">
        <v>180</v>
      </c>
      <c r="B134" s="6">
        <v>58</v>
      </c>
      <c r="C134" s="35">
        <v>9104</v>
      </c>
    </row>
    <row r="135" spans="1:3" ht="18.75" x14ac:dyDescent="0.25">
      <c r="A135" s="30" t="s">
        <v>181</v>
      </c>
      <c r="B135" s="6">
        <v>36</v>
      </c>
      <c r="C135" s="35">
        <v>4751</v>
      </c>
    </row>
    <row r="136" spans="1:3" ht="18.75" x14ac:dyDescent="0.25">
      <c r="A136" s="30" t="s">
        <v>182</v>
      </c>
      <c r="B136" s="6">
        <v>28</v>
      </c>
      <c r="C136" s="35">
        <v>8348</v>
      </c>
    </row>
    <row r="137" spans="1:3" ht="18.75" x14ac:dyDescent="0.25">
      <c r="A137" s="30" t="s">
        <v>183</v>
      </c>
      <c r="B137" s="6">
        <v>15</v>
      </c>
      <c r="C137" s="35">
        <v>1270</v>
      </c>
    </row>
    <row r="138" spans="1:3" ht="18.75" x14ac:dyDescent="0.25">
      <c r="A138" s="30" t="s">
        <v>184</v>
      </c>
      <c r="B138" s="6">
        <v>31</v>
      </c>
      <c r="C138" s="35">
        <v>9420</v>
      </c>
    </row>
    <row r="139" spans="1:3" ht="18.75" x14ac:dyDescent="0.25">
      <c r="A139" s="30" t="s">
        <v>185</v>
      </c>
      <c r="B139" s="6">
        <v>54</v>
      </c>
      <c r="C139" s="35">
        <v>3862</v>
      </c>
    </row>
    <row r="140" spans="1:3" ht="18.75" x14ac:dyDescent="0.25">
      <c r="A140" s="30" t="s">
        <v>186</v>
      </c>
      <c r="B140" s="6">
        <v>56</v>
      </c>
      <c r="C140" s="35">
        <v>9529</v>
      </c>
    </row>
    <row r="141" spans="1:3" ht="18.75" x14ac:dyDescent="0.25">
      <c r="A141" s="30" t="s">
        <v>187</v>
      </c>
      <c r="B141" s="6">
        <v>52</v>
      </c>
      <c r="C141" s="35">
        <v>712</v>
      </c>
    </row>
    <row r="142" spans="1:3" ht="18.75" x14ac:dyDescent="0.25">
      <c r="A142" s="30" t="s">
        <v>188</v>
      </c>
      <c r="B142" s="6">
        <v>52</v>
      </c>
      <c r="C142" s="35">
        <v>11278</v>
      </c>
    </row>
    <row r="143" spans="1:3" ht="18.75" x14ac:dyDescent="0.25">
      <c r="A143" s="30" t="s">
        <v>189</v>
      </c>
      <c r="B143" s="6">
        <v>43</v>
      </c>
      <c r="C143" s="35">
        <v>1280</v>
      </c>
    </row>
    <row r="144" spans="1:3" ht="18.75" x14ac:dyDescent="0.25">
      <c r="A144" s="30" t="s">
        <v>190</v>
      </c>
      <c r="B144" s="6">
        <v>9</v>
      </c>
      <c r="C144" s="35">
        <v>15766</v>
      </c>
    </row>
    <row r="145" spans="1:3" ht="18.75" x14ac:dyDescent="0.25">
      <c r="A145" s="30" t="s">
        <v>191</v>
      </c>
      <c r="B145" s="6">
        <v>24</v>
      </c>
      <c r="C145" s="35">
        <v>1533</v>
      </c>
    </row>
    <row r="146" spans="1:3" ht="18.75" x14ac:dyDescent="0.25">
      <c r="A146" s="30" t="s">
        <v>192</v>
      </c>
      <c r="B146" s="6">
        <v>47</v>
      </c>
      <c r="C146" s="35">
        <v>50201</v>
      </c>
    </row>
    <row r="147" spans="1:3" ht="18.75" x14ac:dyDescent="0.25">
      <c r="A147" s="30" t="s">
        <v>193</v>
      </c>
      <c r="B147" s="6">
        <v>23</v>
      </c>
      <c r="C147" s="35">
        <v>14944</v>
      </c>
    </row>
    <row r="148" spans="1:3" ht="18.75" x14ac:dyDescent="0.25">
      <c r="A148" s="30" t="s">
        <v>194</v>
      </c>
      <c r="B148" s="6">
        <v>51</v>
      </c>
      <c r="C148" s="35">
        <v>5498</v>
      </c>
    </row>
    <row r="149" spans="1:3" ht="18.75" x14ac:dyDescent="0.25">
      <c r="A149" s="30" t="s">
        <v>195</v>
      </c>
      <c r="B149" s="6">
        <v>48</v>
      </c>
      <c r="C149" s="35">
        <v>38353</v>
      </c>
    </row>
    <row r="150" spans="1:3" ht="18.75" x14ac:dyDescent="0.25">
      <c r="A150" s="30" t="s">
        <v>197</v>
      </c>
      <c r="B150" s="6">
        <v>55</v>
      </c>
      <c r="C150" s="35">
        <v>12461</v>
      </c>
    </row>
    <row r="151" spans="1:3" ht="18.75" x14ac:dyDescent="0.25">
      <c r="A151" s="30" t="s">
        <v>198</v>
      </c>
      <c r="B151" s="6">
        <v>50</v>
      </c>
      <c r="C151" s="35">
        <v>1905</v>
      </c>
    </row>
    <row r="152" spans="1:3" ht="18.75" x14ac:dyDescent="0.25">
      <c r="A152" s="30" t="s">
        <v>199</v>
      </c>
      <c r="B152" s="6">
        <v>44</v>
      </c>
      <c r="C152" s="35">
        <v>10351</v>
      </c>
    </row>
    <row r="153" spans="1:3" ht="18.75" x14ac:dyDescent="0.25">
      <c r="A153" s="30" t="s">
        <v>200</v>
      </c>
      <c r="B153" s="6">
        <v>50</v>
      </c>
      <c r="C153" s="35">
        <v>4331</v>
      </c>
    </row>
    <row r="154" spans="1:3" ht="18.75" x14ac:dyDescent="0.25">
      <c r="A154" s="30" t="s">
        <v>201</v>
      </c>
      <c r="B154" s="6">
        <v>14</v>
      </c>
      <c r="C154" s="35">
        <v>2195</v>
      </c>
    </row>
    <row r="155" spans="1:3" ht="18.75" x14ac:dyDescent="0.25">
      <c r="A155" s="30" t="s">
        <v>202</v>
      </c>
      <c r="B155" s="6">
        <v>36</v>
      </c>
      <c r="C155" s="35">
        <v>1062</v>
      </c>
    </row>
    <row r="156" spans="1:3" ht="18.75" x14ac:dyDescent="0.25">
      <c r="A156" s="30" t="s">
        <v>203</v>
      </c>
      <c r="B156" s="6">
        <v>16</v>
      </c>
      <c r="C156" s="35">
        <v>1713</v>
      </c>
    </row>
    <row r="157" spans="1:3" ht="18.75" x14ac:dyDescent="0.25">
      <c r="A157" s="30" t="s">
        <v>204</v>
      </c>
      <c r="B157" s="6">
        <v>40</v>
      </c>
      <c r="C157" s="35">
        <v>33533</v>
      </c>
    </row>
    <row r="158" spans="1:3" ht="18.75" x14ac:dyDescent="0.25">
      <c r="A158" s="30" t="s">
        <v>205</v>
      </c>
      <c r="B158" s="6">
        <v>11</v>
      </c>
      <c r="C158" s="35">
        <v>3906</v>
      </c>
    </row>
    <row r="159" spans="1:3" ht="18.75" x14ac:dyDescent="0.25">
      <c r="A159" s="30" t="s">
        <v>206</v>
      </c>
      <c r="B159" s="6">
        <v>45</v>
      </c>
      <c r="C159" s="35">
        <v>1892</v>
      </c>
    </row>
    <row r="160" spans="1:3" ht="18.75" x14ac:dyDescent="0.25">
      <c r="A160" s="30" t="s">
        <v>207</v>
      </c>
      <c r="B160" s="6">
        <v>8</v>
      </c>
      <c r="C160" s="35">
        <v>1218</v>
      </c>
    </row>
    <row r="161" spans="1:3" ht="18.75" x14ac:dyDescent="0.25">
      <c r="A161" s="30" t="s">
        <v>208</v>
      </c>
      <c r="B161" s="6">
        <v>60</v>
      </c>
      <c r="C161" s="35">
        <v>58903</v>
      </c>
    </row>
    <row r="162" spans="1:3" ht="18.75" x14ac:dyDescent="0.25">
      <c r="A162" s="30" t="s">
        <v>209</v>
      </c>
      <c r="B162" s="6">
        <v>6</v>
      </c>
      <c r="C162" s="35">
        <v>46511</v>
      </c>
    </row>
    <row r="163" spans="1:3" ht="18.75" x14ac:dyDescent="0.25">
      <c r="A163" s="30" t="s">
        <v>210</v>
      </c>
      <c r="B163" s="6">
        <v>29</v>
      </c>
      <c r="C163" s="35">
        <v>889</v>
      </c>
    </row>
    <row r="164" spans="1:3" ht="18.75" x14ac:dyDescent="0.25">
      <c r="A164" s="30" t="s">
        <v>211</v>
      </c>
      <c r="B164" s="6">
        <v>40</v>
      </c>
      <c r="C164" s="35">
        <v>13782</v>
      </c>
    </row>
    <row r="165" spans="1:3" ht="18.75" x14ac:dyDescent="0.25">
      <c r="A165" s="30" t="s">
        <v>212</v>
      </c>
      <c r="B165" s="6">
        <v>32</v>
      </c>
      <c r="C165" s="35">
        <v>931</v>
      </c>
    </row>
    <row r="166" spans="1:3" ht="18.75" x14ac:dyDescent="0.25">
      <c r="A166" s="30" t="s">
        <v>213</v>
      </c>
      <c r="B166" s="6">
        <v>57</v>
      </c>
      <c r="C166" s="35">
        <v>3086</v>
      </c>
    </row>
    <row r="167" spans="1:3" ht="18.75" x14ac:dyDescent="0.25">
      <c r="A167" s="30" t="s">
        <v>214</v>
      </c>
      <c r="B167" s="6">
        <v>18</v>
      </c>
      <c r="C167" s="35">
        <v>8627</v>
      </c>
    </row>
    <row r="168" spans="1:3" ht="18.75" x14ac:dyDescent="0.25">
      <c r="A168" s="30" t="s">
        <v>215</v>
      </c>
      <c r="B168" s="6">
        <v>10</v>
      </c>
      <c r="C168" s="35">
        <v>8074</v>
      </c>
    </row>
    <row r="169" spans="1:3" ht="18.75" x14ac:dyDescent="0.25">
      <c r="A169" s="30" t="s">
        <v>216</v>
      </c>
      <c r="B169" s="6">
        <v>6</v>
      </c>
      <c r="C169" s="35">
        <v>950</v>
      </c>
    </row>
    <row r="170" spans="1:3" ht="18.75" x14ac:dyDescent="0.25">
      <c r="A170" s="30" t="s">
        <v>217</v>
      </c>
      <c r="B170" s="6">
        <v>19</v>
      </c>
      <c r="C170" s="35">
        <v>1840</v>
      </c>
    </row>
    <row r="171" spans="1:3" ht="18.75" x14ac:dyDescent="0.25">
      <c r="A171" s="30" t="s">
        <v>219</v>
      </c>
      <c r="B171" s="6">
        <v>40</v>
      </c>
      <c r="C171" s="35">
        <v>18401</v>
      </c>
    </row>
    <row r="172" spans="1:3" ht="18.75" x14ac:dyDescent="0.25">
      <c r="A172" s="30" t="s">
        <v>220</v>
      </c>
      <c r="B172" s="6">
        <v>20</v>
      </c>
      <c r="C172" s="35">
        <v>34163</v>
      </c>
    </row>
    <row r="173" spans="1:3" ht="18.75" x14ac:dyDescent="0.25">
      <c r="A173" s="30" t="s">
        <v>221</v>
      </c>
      <c r="B173" s="6">
        <v>50</v>
      </c>
      <c r="C173" s="35">
        <v>2487</v>
      </c>
    </row>
    <row r="174" spans="1:3" ht="18.75" x14ac:dyDescent="0.25">
      <c r="A174" s="30" t="s">
        <v>222</v>
      </c>
      <c r="B174" s="6">
        <v>17</v>
      </c>
      <c r="C174" s="35">
        <v>6513</v>
      </c>
    </row>
    <row r="175" spans="1:3" ht="18.75" x14ac:dyDescent="0.25">
      <c r="A175" s="30" t="s">
        <v>223</v>
      </c>
      <c r="B175" s="6">
        <v>26</v>
      </c>
      <c r="C175" s="35">
        <v>8461</v>
      </c>
    </row>
    <row r="176" spans="1:3" ht="18.75" x14ac:dyDescent="0.25">
      <c r="A176" s="30" t="s">
        <v>224</v>
      </c>
      <c r="B176" s="6">
        <v>20</v>
      </c>
      <c r="C176" s="35">
        <v>6591</v>
      </c>
    </row>
    <row r="177" spans="1:3" ht="18.75" x14ac:dyDescent="0.25">
      <c r="A177" s="30" t="s">
        <v>225</v>
      </c>
      <c r="B177" s="6">
        <v>15</v>
      </c>
      <c r="C177" s="35">
        <v>2607</v>
      </c>
    </row>
    <row r="178" spans="1:3" ht="18.75" x14ac:dyDescent="0.25">
      <c r="A178" s="30" t="s">
        <v>226</v>
      </c>
      <c r="B178" s="6">
        <v>10</v>
      </c>
      <c r="C178" s="35">
        <v>3821</v>
      </c>
    </row>
    <row r="179" spans="1:3" ht="18.75" x14ac:dyDescent="0.25">
      <c r="A179" s="30" t="s">
        <v>227</v>
      </c>
      <c r="B179" s="6">
        <v>13</v>
      </c>
      <c r="C179" s="35">
        <v>11911</v>
      </c>
    </row>
    <row r="180" spans="1:3" ht="18.75" x14ac:dyDescent="0.25">
      <c r="A180" s="30" t="s">
        <v>228</v>
      </c>
      <c r="B180" s="6">
        <v>56</v>
      </c>
      <c r="C180" s="35">
        <v>25416</v>
      </c>
    </row>
    <row r="181" spans="1:3" ht="18.75" x14ac:dyDescent="0.25">
      <c r="A181" s="30" t="s">
        <v>229</v>
      </c>
      <c r="B181" s="6">
        <v>48</v>
      </c>
      <c r="C181" s="35">
        <v>2697</v>
      </c>
    </row>
    <row r="182" spans="1:3" ht="18.75" x14ac:dyDescent="0.25">
      <c r="A182" s="30" t="s">
        <v>230</v>
      </c>
      <c r="B182" s="6">
        <v>54</v>
      </c>
      <c r="C182" s="35">
        <v>59681</v>
      </c>
    </row>
    <row r="183" spans="1:3" ht="18.75" x14ac:dyDescent="0.25">
      <c r="A183" s="30" t="s">
        <v>231</v>
      </c>
      <c r="B183" s="6">
        <v>49</v>
      </c>
      <c r="C183" s="35">
        <v>1862</v>
      </c>
    </row>
    <row r="184" spans="1:3" ht="18.75" x14ac:dyDescent="0.25">
      <c r="A184" s="30" t="s">
        <v>232</v>
      </c>
      <c r="B184" s="6">
        <v>27</v>
      </c>
      <c r="C184" s="35">
        <v>30899</v>
      </c>
    </row>
    <row r="185" spans="1:3" ht="18.75" x14ac:dyDescent="0.25">
      <c r="A185" s="30" t="s">
        <v>233</v>
      </c>
      <c r="B185" s="6">
        <v>50</v>
      </c>
      <c r="C185" s="35">
        <v>710</v>
      </c>
    </row>
    <row r="186" spans="1:3" ht="18.75" x14ac:dyDescent="0.25">
      <c r="A186" s="30" t="s">
        <v>234</v>
      </c>
      <c r="B186" s="6">
        <v>13</v>
      </c>
      <c r="C186" s="35">
        <v>63093</v>
      </c>
    </row>
    <row r="187" spans="1:3" ht="18.75" x14ac:dyDescent="0.25">
      <c r="A187" s="30" t="s">
        <v>235</v>
      </c>
      <c r="B187" s="6">
        <v>50</v>
      </c>
      <c r="C187" s="35">
        <v>1096</v>
      </c>
    </row>
    <row r="188" spans="1:3" ht="18.75" x14ac:dyDescent="0.25">
      <c r="A188" s="30" t="s">
        <v>236</v>
      </c>
      <c r="B188" s="6">
        <v>51</v>
      </c>
      <c r="C188" s="35">
        <v>42438</v>
      </c>
    </row>
    <row r="189" spans="1:3" ht="18.75" x14ac:dyDescent="0.25">
      <c r="A189" s="30" t="s">
        <v>237</v>
      </c>
      <c r="B189" s="6">
        <v>13</v>
      </c>
      <c r="C189" s="35">
        <v>4240</v>
      </c>
    </row>
    <row r="190" spans="1:3" ht="18.75" x14ac:dyDescent="0.25">
      <c r="A190" s="30" t="s">
        <v>238</v>
      </c>
      <c r="B190" s="6">
        <v>60</v>
      </c>
      <c r="C190" s="35">
        <v>6619</v>
      </c>
    </row>
    <row r="191" spans="1:3" ht="18.75" x14ac:dyDescent="0.25">
      <c r="A191" s="30" t="s">
        <v>239</v>
      </c>
      <c r="B191" s="6">
        <v>32</v>
      </c>
      <c r="C191" s="35">
        <v>6638</v>
      </c>
    </row>
    <row r="192" spans="1:3" ht="18.75" x14ac:dyDescent="0.25">
      <c r="A192" s="30" t="s">
        <v>240</v>
      </c>
      <c r="B192" s="6">
        <v>20</v>
      </c>
      <c r="C192" s="35">
        <v>2844</v>
      </c>
    </row>
    <row r="193" spans="1:3" ht="18.75" x14ac:dyDescent="0.25">
      <c r="A193" s="30" t="s">
        <v>241</v>
      </c>
      <c r="B193" s="6">
        <v>51</v>
      </c>
      <c r="C193" s="35">
        <v>537</v>
      </c>
    </row>
    <row r="194" spans="1:3" ht="18.75" x14ac:dyDescent="0.25">
      <c r="A194" s="30" t="s">
        <v>242</v>
      </c>
      <c r="B194" s="6">
        <v>41</v>
      </c>
      <c r="C194" s="35">
        <v>15569</v>
      </c>
    </row>
    <row r="195" spans="1:3" ht="18.75" x14ac:dyDescent="0.25">
      <c r="A195" s="30" t="s">
        <v>243</v>
      </c>
      <c r="B195" s="6">
        <v>34</v>
      </c>
      <c r="C195" s="35">
        <v>2543</v>
      </c>
    </row>
    <row r="196" spans="1:3" ht="18.75" x14ac:dyDescent="0.25">
      <c r="A196" s="30" t="s">
        <v>244</v>
      </c>
      <c r="B196" s="6">
        <v>28</v>
      </c>
      <c r="C196" s="35">
        <v>3205</v>
      </c>
    </row>
    <row r="197" spans="1:3" ht="18.75" x14ac:dyDescent="0.25">
      <c r="A197" s="30" t="s">
        <v>245</v>
      </c>
      <c r="B197" s="6">
        <v>8</v>
      </c>
      <c r="C197" s="35">
        <v>9305</v>
      </c>
    </row>
    <row r="198" spans="1:3" ht="18.75" x14ac:dyDescent="0.25">
      <c r="A198" s="30" t="s">
        <v>246</v>
      </c>
      <c r="B198" s="6">
        <v>39</v>
      </c>
      <c r="C198" s="35">
        <v>1375</v>
      </c>
    </row>
    <row r="199" spans="1:3" ht="18.75" x14ac:dyDescent="0.25">
      <c r="A199" s="30" t="s">
        <v>247</v>
      </c>
      <c r="B199" s="6">
        <v>33</v>
      </c>
      <c r="C199" s="35">
        <v>57779</v>
      </c>
    </row>
    <row r="200" spans="1:3" ht="18.75" x14ac:dyDescent="0.25">
      <c r="A200" s="30" t="s">
        <v>248</v>
      </c>
      <c r="B200" s="6">
        <v>48</v>
      </c>
      <c r="C200" s="35">
        <v>824</v>
      </c>
    </row>
    <row r="201" spans="1:3" ht="18.75" x14ac:dyDescent="0.25">
      <c r="A201" s="30" t="s">
        <v>250</v>
      </c>
      <c r="B201" s="6">
        <v>52</v>
      </c>
      <c r="C201" s="35">
        <v>10586</v>
      </c>
    </row>
    <row r="202" spans="1:3" ht="18.75" x14ac:dyDescent="0.25">
      <c r="A202" s="30" t="s">
        <v>251</v>
      </c>
      <c r="B202" s="6">
        <v>25</v>
      </c>
      <c r="C202" s="35">
        <v>2536</v>
      </c>
    </row>
    <row r="203" spans="1:3" ht="18.75" x14ac:dyDescent="0.25">
      <c r="A203" s="30" t="s">
        <v>252</v>
      </c>
      <c r="B203" s="6">
        <v>26</v>
      </c>
      <c r="C203" s="35">
        <v>47932</v>
      </c>
    </row>
    <row r="204" spans="1:3" ht="18.75" x14ac:dyDescent="0.25">
      <c r="A204" s="30" t="s">
        <v>253</v>
      </c>
      <c r="B204" s="6">
        <v>56</v>
      </c>
      <c r="C204" s="35">
        <v>34835</v>
      </c>
    </row>
    <row r="205" spans="1:3" ht="18.75" x14ac:dyDescent="0.25">
      <c r="A205" s="30" t="s">
        <v>255</v>
      </c>
      <c r="B205" s="6">
        <v>17</v>
      </c>
      <c r="C205" s="35">
        <v>50809</v>
      </c>
    </row>
    <row r="206" spans="1:3" ht="18.75" x14ac:dyDescent="0.25">
      <c r="A206" s="30" t="s">
        <v>256</v>
      </c>
      <c r="B206" s="6">
        <v>58</v>
      </c>
      <c r="C206" s="35">
        <v>82676</v>
      </c>
    </row>
    <row r="207" spans="1:3" ht="18.75" x14ac:dyDescent="0.25">
      <c r="A207" s="30" t="s">
        <v>257</v>
      </c>
      <c r="B207" s="6">
        <v>8</v>
      </c>
      <c r="C207" s="35">
        <v>13056</v>
      </c>
    </row>
    <row r="208" spans="1:3" ht="18.75" x14ac:dyDescent="0.25">
      <c r="A208" s="30" t="s">
        <v>258</v>
      </c>
      <c r="B208" s="6">
        <v>7</v>
      </c>
      <c r="C208" s="35">
        <v>1957</v>
      </c>
    </row>
    <row r="209" spans="1:3" ht="18.75" x14ac:dyDescent="0.25">
      <c r="A209" s="30" t="s">
        <v>259</v>
      </c>
      <c r="B209" s="6">
        <v>58</v>
      </c>
      <c r="C209" s="35">
        <v>23039</v>
      </c>
    </row>
    <row r="210" spans="1:3" ht="18.75" x14ac:dyDescent="0.25">
      <c r="A210" s="30" t="s">
        <v>260</v>
      </c>
      <c r="B210" s="6">
        <v>27</v>
      </c>
      <c r="C210" s="35">
        <v>4751</v>
      </c>
    </row>
    <row r="211" spans="1:3" ht="18.75" x14ac:dyDescent="0.25">
      <c r="A211" s="30" t="s">
        <v>261</v>
      </c>
      <c r="B211" s="6">
        <v>30</v>
      </c>
      <c r="C211" s="35">
        <v>1130</v>
      </c>
    </row>
    <row r="212" spans="1:3" ht="18.75" x14ac:dyDescent="0.25">
      <c r="A212" s="30" t="s">
        <v>262</v>
      </c>
      <c r="B212" s="6">
        <v>23</v>
      </c>
      <c r="C212" s="35">
        <v>2712</v>
      </c>
    </row>
    <row r="213" spans="1:3" ht="18.75" x14ac:dyDescent="0.25">
      <c r="A213" s="30" t="s">
        <v>263</v>
      </c>
      <c r="B213" s="6">
        <v>46</v>
      </c>
      <c r="C213" s="35">
        <v>619</v>
      </c>
    </row>
    <row r="214" spans="1:3" ht="18.75" x14ac:dyDescent="0.25">
      <c r="A214" s="30" t="s">
        <v>264</v>
      </c>
      <c r="B214" s="6">
        <v>20</v>
      </c>
      <c r="C214" s="35">
        <v>58038</v>
      </c>
    </row>
    <row r="215" spans="1:3" ht="18.75" x14ac:dyDescent="0.25">
      <c r="A215" s="30" t="s">
        <v>265</v>
      </c>
      <c r="B215" s="6">
        <v>26</v>
      </c>
      <c r="C215" s="35">
        <v>28871</v>
      </c>
    </row>
    <row r="216" spans="1:3" ht="18.75" x14ac:dyDescent="0.25">
      <c r="A216" s="30" t="s">
        <v>266</v>
      </c>
      <c r="B216" s="6">
        <v>36</v>
      </c>
      <c r="C216" s="35">
        <v>3282</v>
      </c>
    </row>
    <row r="217" spans="1:3" ht="18.75" x14ac:dyDescent="0.25">
      <c r="A217" s="30" t="s">
        <v>267</v>
      </c>
      <c r="B217" s="6">
        <v>40</v>
      </c>
      <c r="C217" s="35">
        <v>1912</v>
      </c>
    </row>
    <row r="218" spans="1:3" ht="18.75" x14ac:dyDescent="0.25">
      <c r="A218" s="30" t="s">
        <v>268</v>
      </c>
      <c r="B218" s="6">
        <v>40</v>
      </c>
      <c r="C218" s="35">
        <v>1726</v>
      </c>
    </row>
    <row r="219" spans="1:3" ht="18.75" x14ac:dyDescent="0.25">
      <c r="A219" s="30" t="s">
        <v>269</v>
      </c>
      <c r="B219" s="6">
        <v>51</v>
      </c>
      <c r="C219" s="35">
        <v>8657</v>
      </c>
    </row>
    <row r="220" spans="1:3" ht="18.75" x14ac:dyDescent="0.25">
      <c r="A220" s="30" t="s">
        <v>270</v>
      </c>
      <c r="B220" s="6">
        <v>32</v>
      </c>
      <c r="C220" s="35">
        <v>4801</v>
      </c>
    </row>
    <row r="221" spans="1:3" ht="18.75" x14ac:dyDescent="0.25">
      <c r="A221" s="30" t="s">
        <v>271</v>
      </c>
      <c r="B221" s="6">
        <v>7</v>
      </c>
      <c r="C221" s="35">
        <v>353</v>
      </c>
    </row>
    <row r="222" spans="1:3" ht="18.75" x14ac:dyDescent="0.25">
      <c r="A222" s="30" t="s">
        <v>272</v>
      </c>
      <c r="B222" s="6">
        <v>36</v>
      </c>
      <c r="C222" s="35">
        <v>8385</v>
      </c>
    </row>
    <row r="223" spans="1:3" ht="18.75" x14ac:dyDescent="0.25">
      <c r="A223" s="30" t="s">
        <v>273</v>
      </c>
      <c r="B223" s="6">
        <v>21</v>
      </c>
      <c r="C223" s="35">
        <v>3783</v>
      </c>
    </row>
    <row r="224" spans="1:3" ht="18.75" x14ac:dyDescent="0.25">
      <c r="A224" s="30" t="s">
        <v>274</v>
      </c>
      <c r="B224" s="6">
        <v>49</v>
      </c>
      <c r="C224" s="35">
        <v>48641</v>
      </c>
    </row>
    <row r="225" spans="1:3" ht="18.75" x14ac:dyDescent="0.25">
      <c r="A225" s="30" t="s">
        <v>275</v>
      </c>
      <c r="B225" s="6">
        <v>50</v>
      </c>
      <c r="C225" s="35">
        <v>31184</v>
      </c>
    </row>
    <row r="226" spans="1:3" ht="18.75" x14ac:dyDescent="0.25">
      <c r="A226" s="30" t="s">
        <v>276</v>
      </c>
      <c r="B226" s="6">
        <v>42</v>
      </c>
      <c r="C226" s="35">
        <v>6200</v>
      </c>
    </row>
    <row r="227" spans="1:3" ht="18.75" x14ac:dyDescent="0.25">
      <c r="A227" s="30" t="s">
        <v>277</v>
      </c>
      <c r="B227" s="6">
        <v>45</v>
      </c>
      <c r="C227" s="35">
        <v>3844</v>
      </c>
    </row>
    <row r="228" spans="1:3" ht="18.75" x14ac:dyDescent="0.25">
      <c r="A228" s="30" t="s">
        <v>279</v>
      </c>
      <c r="B228" s="6">
        <v>50</v>
      </c>
      <c r="C228" s="35">
        <v>22633</v>
      </c>
    </row>
    <row r="229" spans="1:3" ht="18.75" x14ac:dyDescent="0.25">
      <c r="A229" s="30" t="s">
        <v>280</v>
      </c>
      <c r="B229" s="6">
        <v>28</v>
      </c>
      <c r="C229" s="35">
        <v>28461</v>
      </c>
    </row>
    <row r="230" spans="1:3" ht="18.75" x14ac:dyDescent="0.25">
      <c r="A230" s="30" t="s">
        <v>281</v>
      </c>
      <c r="B230" s="6">
        <v>38</v>
      </c>
      <c r="C230" s="35">
        <v>9854</v>
      </c>
    </row>
    <row r="231" spans="1:3" ht="18.75" x14ac:dyDescent="0.25">
      <c r="A231" s="30" t="s">
        <v>282</v>
      </c>
      <c r="B231" s="6">
        <v>7</v>
      </c>
      <c r="C231" s="35">
        <v>675</v>
      </c>
    </row>
    <row r="232" spans="1:3" ht="18.75" x14ac:dyDescent="0.25">
      <c r="A232" s="30" t="s">
        <v>283</v>
      </c>
      <c r="B232" s="6">
        <v>44</v>
      </c>
      <c r="C232" s="35">
        <v>28087</v>
      </c>
    </row>
    <row r="233" spans="1:3" ht="18.75" x14ac:dyDescent="0.25">
      <c r="A233" s="30" t="s">
        <v>284</v>
      </c>
      <c r="B233" s="6">
        <v>48</v>
      </c>
      <c r="C233" s="35">
        <v>1542</v>
      </c>
    </row>
    <row r="234" spans="1:3" ht="18.75" x14ac:dyDescent="0.25">
      <c r="A234" s="30" t="s">
        <v>285</v>
      </c>
      <c r="B234" s="6">
        <v>27</v>
      </c>
      <c r="C234" s="35">
        <v>1732</v>
      </c>
    </row>
    <row r="235" spans="1:3" ht="18.75" x14ac:dyDescent="0.25">
      <c r="A235" s="30" t="s">
        <v>286</v>
      </c>
      <c r="B235" s="6">
        <v>57</v>
      </c>
      <c r="C235" s="35">
        <v>51772</v>
      </c>
    </row>
    <row r="236" spans="1:3" ht="18.75" x14ac:dyDescent="0.25">
      <c r="A236" s="30" t="s">
        <v>287</v>
      </c>
      <c r="B236" s="6">
        <v>31</v>
      </c>
      <c r="C236" s="35">
        <v>1803</v>
      </c>
    </row>
    <row r="237" spans="1:3" ht="18.75" x14ac:dyDescent="0.25">
      <c r="A237" s="30" t="s">
        <v>288</v>
      </c>
      <c r="B237" s="6">
        <v>49</v>
      </c>
      <c r="C237" s="35">
        <v>33378</v>
      </c>
    </row>
    <row r="238" spans="1:3" ht="18.75" x14ac:dyDescent="0.25">
      <c r="A238" s="30" t="s">
        <v>289</v>
      </c>
      <c r="B238" s="6">
        <v>29</v>
      </c>
      <c r="C238" s="35">
        <v>927</v>
      </c>
    </row>
    <row r="239" spans="1:3" ht="18.75" x14ac:dyDescent="0.25">
      <c r="A239" s="30" t="s">
        <v>290</v>
      </c>
      <c r="B239" s="6">
        <v>25</v>
      </c>
      <c r="C239" s="35">
        <v>6487</v>
      </c>
    </row>
    <row r="240" spans="1:3" ht="18.75" x14ac:dyDescent="0.25">
      <c r="A240" s="30" t="s">
        <v>291</v>
      </c>
      <c r="B240" s="6">
        <v>48</v>
      </c>
      <c r="C240" s="35">
        <v>9494</v>
      </c>
    </row>
    <row r="241" spans="1:3" ht="18.75" x14ac:dyDescent="0.25">
      <c r="A241" s="30" t="s">
        <v>292</v>
      </c>
      <c r="B241" s="6">
        <v>43</v>
      </c>
      <c r="C241" s="35">
        <v>5549</v>
      </c>
    </row>
    <row r="242" spans="1:3" ht="18.75" x14ac:dyDescent="0.25">
      <c r="A242" s="30" t="s">
        <v>293</v>
      </c>
      <c r="B242" s="6">
        <v>25</v>
      </c>
      <c r="C242" s="35">
        <v>7511</v>
      </c>
    </row>
    <row r="243" spans="1:3" ht="18.75" x14ac:dyDescent="0.25">
      <c r="A243" s="30" t="s">
        <v>294</v>
      </c>
      <c r="B243" s="6">
        <v>55</v>
      </c>
      <c r="C243" s="35">
        <v>29371</v>
      </c>
    </row>
    <row r="244" spans="1:3" ht="18.75" x14ac:dyDescent="0.25">
      <c r="A244" s="30" t="s">
        <v>295</v>
      </c>
      <c r="B244" s="6">
        <v>55</v>
      </c>
      <c r="C244" s="35">
        <v>6747</v>
      </c>
    </row>
    <row r="245" spans="1:3" ht="18.75" x14ac:dyDescent="0.25">
      <c r="A245" s="30" t="s">
        <v>296</v>
      </c>
      <c r="B245" s="6">
        <v>51</v>
      </c>
      <c r="C245" s="35">
        <v>4747</v>
      </c>
    </row>
    <row r="246" spans="1:3" ht="18.75" x14ac:dyDescent="0.25">
      <c r="A246" s="30" t="s">
        <v>297</v>
      </c>
      <c r="B246" s="6">
        <v>28</v>
      </c>
      <c r="C246" s="35">
        <v>34985</v>
      </c>
    </row>
    <row r="247" spans="1:3" ht="18.75" x14ac:dyDescent="0.25">
      <c r="A247" s="30" t="s">
        <v>298</v>
      </c>
      <c r="B247" s="6">
        <v>24</v>
      </c>
      <c r="C247" s="35">
        <v>19959</v>
      </c>
    </row>
    <row r="248" spans="1:3" ht="18.75" x14ac:dyDescent="0.25">
      <c r="A248" s="30" t="s">
        <v>299</v>
      </c>
      <c r="B248" s="6">
        <v>11</v>
      </c>
      <c r="C248" s="35">
        <v>12050</v>
      </c>
    </row>
    <row r="249" spans="1:3" ht="18.75" x14ac:dyDescent="0.25">
      <c r="A249" s="30" t="s">
        <v>300</v>
      </c>
      <c r="B249" s="6">
        <v>37</v>
      </c>
      <c r="C249" s="35">
        <v>8629</v>
      </c>
    </row>
    <row r="250" spans="1:3" ht="18.75" x14ac:dyDescent="0.25">
      <c r="A250" s="30" t="s">
        <v>301</v>
      </c>
      <c r="B250" s="6">
        <v>42</v>
      </c>
      <c r="C250" s="35">
        <v>869</v>
      </c>
    </row>
    <row r="251" spans="1:3" ht="18.75" x14ac:dyDescent="0.25">
      <c r="A251" s="30" t="s">
        <v>302</v>
      </c>
      <c r="B251" s="6">
        <v>49</v>
      </c>
      <c r="C251" s="35">
        <v>2021</v>
      </c>
    </row>
    <row r="252" spans="1:3" ht="18.75" x14ac:dyDescent="0.25">
      <c r="A252" s="30" t="s">
        <v>303</v>
      </c>
      <c r="B252" s="6">
        <v>21</v>
      </c>
      <c r="C252" s="35">
        <v>6214</v>
      </c>
    </row>
    <row r="253" spans="1:3" ht="18.75" x14ac:dyDescent="0.25">
      <c r="A253" s="30" t="s">
        <v>304</v>
      </c>
      <c r="B253" s="6">
        <v>47</v>
      </c>
      <c r="C253" s="35">
        <v>2572</v>
      </c>
    </row>
    <row r="254" spans="1:3" ht="18.75" x14ac:dyDescent="0.25">
      <c r="A254" s="30" t="s">
        <v>305</v>
      </c>
      <c r="B254" s="6">
        <v>10</v>
      </c>
      <c r="C254" s="35">
        <v>2156</v>
      </c>
    </row>
    <row r="255" spans="1:3" ht="18.75" x14ac:dyDescent="0.25">
      <c r="A255" s="30" t="s">
        <v>306</v>
      </c>
      <c r="B255" s="6">
        <v>27</v>
      </c>
      <c r="C255" s="35">
        <v>157</v>
      </c>
    </row>
    <row r="256" spans="1:3" ht="18.75" x14ac:dyDescent="0.25">
      <c r="A256" s="30" t="s">
        <v>307</v>
      </c>
      <c r="B256" s="6">
        <v>39</v>
      </c>
      <c r="C256" s="35">
        <v>39890</v>
      </c>
    </row>
    <row r="257" spans="1:3" ht="18.75" x14ac:dyDescent="0.25">
      <c r="A257" s="30" t="s">
        <v>308</v>
      </c>
      <c r="B257" s="6">
        <v>44</v>
      </c>
      <c r="C257" s="35">
        <v>3398</v>
      </c>
    </row>
    <row r="258" spans="1:3" ht="18.75" x14ac:dyDescent="0.25">
      <c r="A258" s="30" t="s">
        <v>309</v>
      </c>
      <c r="B258" s="6">
        <v>26</v>
      </c>
      <c r="C258" s="35">
        <v>1051</v>
      </c>
    </row>
    <row r="259" spans="1:3" ht="18.75" x14ac:dyDescent="0.25">
      <c r="A259" s="30" t="s">
        <v>310</v>
      </c>
      <c r="B259" s="6">
        <v>55</v>
      </c>
      <c r="C259" s="35">
        <v>558</v>
      </c>
    </row>
    <row r="260" spans="1:3" ht="18.75" x14ac:dyDescent="0.25">
      <c r="A260" s="30" t="s">
        <v>311</v>
      </c>
      <c r="B260" s="6">
        <v>70</v>
      </c>
      <c r="C260" s="35">
        <v>471</v>
      </c>
    </row>
    <row r="261" spans="1:3" ht="18.75" x14ac:dyDescent="0.25">
      <c r="A261" s="30" t="s">
        <v>312</v>
      </c>
      <c r="B261" s="6">
        <v>40</v>
      </c>
      <c r="C261" s="35">
        <v>51220</v>
      </c>
    </row>
    <row r="262" spans="1:3" ht="18.75" x14ac:dyDescent="0.25">
      <c r="A262" s="30" t="s">
        <v>313</v>
      </c>
      <c r="B262" s="6">
        <v>58</v>
      </c>
      <c r="C262" s="35">
        <v>190</v>
      </c>
    </row>
    <row r="263" spans="1:3" ht="18.75" x14ac:dyDescent="0.25">
      <c r="A263" s="30" t="s">
        <v>314</v>
      </c>
      <c r="B263" s="6">
        <v>21</v>
      </c>
      <c r="C263" s="35">
        <v>53060</v>
      </c>
    </row>
    <row r="264" spans="1:3" ht="18.75" x14ac:dyDescent="0.25">
      <c r="A264" s="30" t="s">
        <v>315</v>
      </c>
      <c r="B264" s="6">
        <v>23</v>
      </c>
      <c r="C264" s="35">
        <v>2069</v>
      </c>
    </row>
    <row r="265" spans="1:3" ht="18.75" x14ac:dyDescent="0.25">
      <c r="A265" s="30" t="s">
        <v>316</v>
      </c>
      <c r="B265" s="6">
        <v>58</v>
      </c>
      <c r="C265" s="35">
        <v>3078</v>
      </c>
    </row>
    <row r="266" spans="1:3" ht="18.75" x14ac:dyDescent="0.25">
      <c r="A266" s="30" t="s">
        <v>317</v>
      </c>
      <c r="B266" s="6">
        <v>22</v>
      </c>
      <c r="C266" s="35">
        <v>850</v>
      </c>
    </row>
    <row r="267" spans="1:3" ht="18.75" x14ac:dyDescent="0.25">
      <c r="A267" s="30" t="s">
        <v>318</v>
      </c>
      <c r="B267" s="6">
        <v>51</v>
      </c>
      <c r="C267" s="35">
        <v>24445</v>
      </c>
    </row>
    <row r="268" spans="1:3" ht="18.75" x14ac:dyDescent="0.25">
      <c r="A268" s="30" t="s">
        <v>319</v>
      </c>
      <c r="B268" s="6">
        <v>32</v>
      </c>
      <c r="C268" s="35">
        <v>8807</v>
      </c>
    </row>
    <row r="269" spans="1:3" ht="18.75" x14ac:dyDescent="0.25">
      <c r="A269" s="30" t="s">
        <v>320</v>
      </c>
      <c r="B269" s="6">
        <v>46</v>
      </c>
      <c r="C269" s="35">
        <v>10004</v>
      </c>
    </row>
    <row r="270" spans="1:3" ht="18.75" x14ac:dyDescent="0.25">
      <c r="A270" s="30" t="s">
        <v>321</v>
      </c>
      <c r="B270" s="6">
        <v>17</v>
      </c>
      <c r="C270" s="35">
        <v>5707</v>
      </c>
    </row>
    <row r="271" spans="1:3" ht="18.75" x14ac:dyDescent="0.25">
      <c r="A271" s="30" t="s">
        <v>322</v>
      </c>
      <c r="B271" s="6">
        <v>28</v>
      </c>
      <c r="C271" s="35">
        <v>8005</v>
      </c>
    </row>
    <row r="272" spans="1:3" ht="18.75" x14ac:dyDescent="0.25">
      <c r="A272" s="30" t="s">
        <v>323</v>
      </c>
      <c r="B272" s="6">
        <v>7</v>
      </c>
      <c r="C272" s="35">
        <v>36082</v>
      </c>
    </row>
    <row r="273" spans="1:3" ht="18.75" x14ac:dyDescent="0.25">
      <c r="A273" s="30" t="s">
        <v>324</v>
      </c>
      <c r="B273" s="6">
        <v>34</v>
      </c>
      <c r="C273" s="35">
        <v>3690</v>
      </c>
    </row>
    <row r="274" spans="1:3" ht="18.75" x14ac:dyDescent="0.25">
      <c r="A274" s="30" t="s">
        <v>325</v>
      </c>
      <c r="B274" s="6">
        <v>57</v>
      </c>
      <c r="C274" s="35">
        <v>1396</v>
      </c>
    </row>
    <row r="275" spans="1:3" ht="18.75" x14ac:dyDescent="0.25">
      <c r="A275" s="30" t="s">
        <v>326</v>
      </c>
      <c r="B275" s="6">
        <v>13</v>
      </c>
      <c r="C275" s="35">
        <v>6904</v>
      </c>
    </row>
    <row r="276" spans="1:3" ht="18.75" x14ac:dyDescent="0.25">
      <c r="A276" s="30" t="s">
        <v>327</v>
      </c>
      <c r="B276" s="6">
        <v>39</v>
      </c>
      <c r="C276" s="35">
        <v>14383</v>
      </c>
    </row>
    <row r="277" spans="1:3" ht="18.75" x14ac:dyDescent="0.25">
      <c r="A277" s="30" t="s">
        <v>329</v>
      </c>
      <c r="B277" s="6">
        <v>9</v>
      </c>
      <c r="C277" s="35">
        <v>826</v>
      </c>
    </row>
    <row r="278" spans="1:3" ht="18.75" x14ac:dyDescent="0.25">
      <c r="A278" s="30" t="s">
        <v>330</v>
      </c>
      <c r="B278" s="6">
        <v>25</v>
      </c>
      <c r="C278" s="35">
        <v>4133</v>
      </c>
    </row>
    <row r="279" spans="1:3" ht="18.75" x14ac:dyDescent="0.25">
      <c r="A279" s="30" t="s">
        <v>331</v>
      </c>
      <c r="B279" s="6">
        <v>55</v>
      </c>
      <c r="C279" s="35">
        <v>1721</v>
      </c>
    </row>
    <row r="280" spans="1:3" ht="18.75" x14ac:dyDescent="0.25">
      <c r="A280" s="30" t="s">
        <v>332</v>
      </c>
      <c r="B280" s="6">
        <v>46</v>
      </c>
      <c r="C280" s="35">
        <v>21908</v>
      </c>
    </row>
    <row r="281" spans="1:3" ht="18.75" x14ac:dyDescent="0.25">
      <c r="A281" s="30" t="s">
        <v>333</v>
      </c>
      <c r="B281" s="6">
        <v>11</v>
      </c>
      <c r="C281" s="35">
        <v>2540</v>
      </c>
    </row>
    <row r="282" spans="1:3" ht="18.75" x14ac:dyDescent="0.25">
      <c r="A282" s="30" t="s">
        <v>334</v>
      </c>
      <c r="B282" s="6">
        <v>12</v>
      </c>
      <c r="C282" s="35">
        <v>2706</v>
      </c>
    </row>
    <row r="283" spans="1:3" ht="18.75" x14ac:dyDescent="0.25">
      <c r="A283" s="30" t="s">
        <v>335</v>
      </c>
      <c r="B283" s="6">
        <v>58</v>
      </c>
      <c r="C283" s="35">
        <v>3570</v>
      </c>
    </row>
    <row r="284" spans="1:3" ht="18.75" x14ac:dyDescent="0.25">
      <c r="A284" s="30" t="s">
        <v>336</v>
      </c>
      <c r="B284" s="6">
        <v>24</v>
      </c>
      <c r="C284" s="35">
        <v>1127</v>
      </c>
    </row>
    <row r="285" spans="1:3" ht="18.75" x14ac:dyDescent="0.25">
      <c r="A285" s="30" t="s">
        <v>337</v>
      </c>
      <c r="B285" s="6">
        <v>50</v>
      </c>
      <c r="C285" s="35">
        <v>8039</v>
      </c>
    </row>
    <row r="286" spans="1:3" ht="18.75" x14ac:dyDescent="0.25">
      <c r="A286" s="30" t="s">
        <v>338</v>
      </c>
      <c r="B286" s="6">
        <v>43</v>
      </c>
      <c r="C286" s="35">
        <v>10799</v>
      </c>
    </row>
    <row r="287" spans="1:3" ht="18.75" x14ac:dyDescent="0.25">
      <c r="A287" s="30" t="s">
        <v>339</v>
      </c>
      <c r="B287" s="6">
        <v>9</v>
      </c>
      <c r="C287" s="35">
        <v>7087</v>
      </c>
    </row>
    <row r="288" spans="1:3" ht="18.75" x14ac:dyDescent="0.25">
      <c r="A288" s="30" t="s">
        <v>340</v>
      </c>
      <c r="B288" s="6">
        <v>25</v>
      </c>
      <c r="C288" s="35">
        <v>1003</v>
      </c>
    </row>
    <row r="289" spans="1:3" ht="18.75" x14ac:dyDescent="0.25">
      <c r="A289" s="30" t="s">
        <v>341</v>
      </c>
      <c r="B289" s="6">
        <v>11</v>
      </c>
      <c r="C289" s="35">
        <v>17041</v>
      </c>
    </row>
    <row r="290" spans="1:3" ht="18.75" x14ac:dyDescent="0.25">
      <c r="A290" s="30" t="s">
        <v>342</v>
      </c>
      <c r="B290" s="6">
        <v>19</v>
      </c>
      <c r="C290" s="35">
        <v>58271</v>
      </c>
    </row>
    <row r="291" spans="1:3" ht="18.75" x14ac:dyDescent="0.25">
      <c r="A291" s="30" t="s">
        <v>343</v>
      </c>
      <c r="B291" s="6">
        <v>22</v>
      </c>
      <c r="C291" s="35">
        <v>692</v>
      </c>
    </row>
    <row r="292" spans="1:3" ht="18.75" x14ac:dyDescent="0.25">
      <c r="A292" s="30" t="s">
        <v>344</v>
      </c>
      <c r="B292" s="6">
        <v>58</v>
      </c>
      <c r="C292" s="35">
        <v>8630</v>
      </c>
    </row>
    <row r="293" spans="1:3" ht="18.75" x14ac:dyDescent="0.25">
      <c r="A293" s="30" t="s">
        <v>345</v>
      </c>
      <c r="B293" s="6">
        <v>28</v>
      </c>
      <c r="C293" s="35">
        <v>156</v>
      </c>
    </row>
    <row r="294" spans="1:3" ht="18.75" x14ac:dyDescent="0.25">
      <c r="A294" s="30" t="s">
        <v>346</v>
      </c>
      <c r="B294" s="6">
        <v>19</v>
      </c>
      <c r="C294" s="35">
        <v>77190</v>
      </c>
    </row>
    <row r="295" spans="1:3" ht="18.75" x14ac:dyDescent="0.25">
      <c r="A295" s="30" t="s">
        <v>347</v>
      </c>
      <c r="B295" s="6">
        <v>27</v>
      </c>
      <c r="C295" s="35">
        <v>598</v>
      </c>
    </row>
    <row r="296" spans="1:3" ht="18.75" x14ac:dyDescent="0.25">
      <c r="A296" s="30" t="s">
        <v>348</v>
      </c>
      <c r="B296" s="6">
        <v>7</v>
      </c>
      <c r="C296" s="35">
        <v>5315</v>
      </c>
    </row>
    <row r="297" spans="1:3" ht="18.75" x14ac:dyDescent="0.25">
      <c r="A297" s="30" t="s">
        <v>349</v>
      </c>
      <c r="B297" s="6">
        <v>51</v>
      </c>
      <c r="C297" s="35">
        <v>8796</v>
      </c>
    </row>
    <row r="298" spans="1:3" ht="18.75" x14ac:dyDescent="0.25">
      <c r="A298" s="30" t="s">
        <v>350</v>
      </c>
      <c r="B298" s="6">
        <v>23</v>
      </c>
      <c r="C298" s="35">
        <v>14913</v>
      </c>
    </row>
    <row r="299" spans="1:3" ht="18.75" x14ac:dyDescent="0.25">
      <c r="A299" s="30" t="s">
        <v>351</v>
      </c>
      <c r="B299" s="6">
        <v>56</v>
      </c>
      <c r="C299" s="35">
        <v>1797</v>
      </c>
    </row>
    <row r="300" spans="1:3" ht="18.75" x14ac:dyDescent="0.25">
      <c r="A300" s="30" t="s">
        <v>352</v>
      </c>
      <c r="B300" s="6">
        <v>12</v>
      </c>
      <c r="C300" s="35">
        <v>10783</v>
      </c>
    </row>
    <row r="301" spans="1:3" ht="18.75" x14ac:dyDescent="0.25">
      <c r="A301" s="30" t="s">
        <v>353</v>
      </c>
      <c r="B301" s="6">
        <v>40</v>
      </c>
      <c r="C301" s="35">
        <v>51991</v>
      </c>
    </row>
    <row r="302" spans="1:3" ht="18.75" x14ac:dyDescent="0.25">
      <c r="A302" s="30" t="s">
        <v>354</v>
      </c>
      <c r="B302" s="6">
        <v>45</v>
      </c>
      <c r="C302" s="35">
        <v>9951</v>
      </c>
    </row>
    <row r="303" spans="1:3" ht="18.75" x14ac:dyDescent="0.25">
      <c r="A303" s="30" t="s">
        <v>355</v>
      </c>
      <c r="B303" s="6">
        <v>21</v>
      </c>
      <c r="C303" s="35">
        <v>3223</v>
      </c>
    </row>
    <row r="304" spans="1:3" ht="18.75" x14ac:dyDescent="0.25">
      <c r="A304" s="30" t="s">
        <v>356</v>
      </c>
      <c r="B304" s="6">
        <v>54</v>
      </c>
      <c r="C304" s="35">
        <v>6914</v>
      </c>
    </row>
    <row r="305" spans="1:3" ht="18.75" x14ac:dyDescent="0.25">
      <c r="A305" s="30" t="s">
        <v>357</v>
      </c>
      <c r="B305" s="6">
        <v>22</v>
      </c>
      <c r="C305" s="35">
        <v>7550</v>
      </c>
    </row>
    <row r="306" spans="1:3" ht="18.75" x14ac:dyDescent="0.25">
      <c r="A306" s="30" t="s">
        <v>358</v>
      </c>
      <c r="B306" s="6">
        <v>52</v>
      </c>
      <c r="C306" s="35">
        <v>3087</v>
      </c>
    </row>
    <row r="307" spans="1:3" ht="18.75" x14ac:dyDescent="0.25">
      <c r="A307" s="30" t="s">
        <v>359</v>
      </c>
      <c r="B307" s="6">
        <v>58</v>
      </c>
      <c r="C307" s="35">
        <v>922</v>
      </c>
    </row>
    <row r="308" spans="1:3" ht="18.75" x14ac:dyDescent="0.25">
      <c r="A308" s="30" t="s">
        <v>360</v>
      </c>
      <c r="B308" s="6">
        <v>13</v>
      </c>
      <c r="C308" s="35">
        <v>23122</v>
      </c>
    </row>
    <row r="309" spans="1:3" ht="18.75" x14ac:dyDescent="0.25">
      <c r="A309" s="30" t="s">
        <v>361</v>
      </c>
      <c r="B309" s="6">
        <v>17</v>
      </c>
      <c r="C309" s="35">
        <v>20576</v>
      </c>
    </row>
    <row r="310" spans="1:3" ht="18.75" x14ac:dyDescent="0.25">
      <c r="A310" s="30" t="s">
        <v>362</v>
      </c>
      <c r="B310" s="6">
        <v>17</v>
      </c>
      <c r="C310" s="35">
        <v>3403</v>
      </c>
    </row>
    <row r="311" spans="1:3" ht="18.75" x14ac:dyDescent="0.25">
      <c r="A311" s="30" t="s">
        <v>363</v>
      </c>
      <c r="B311" s="6">
        <v>45</v>
      </c>
      <c r="C311" s="35">
        <v>30731</v>
      </c>
    </row>
    <row r="312" spans="1:3" ht="18.75" x14ac:dyDescent="0.25">
      <c r="A312" s="30" t="s">
        <v>364</v>
      </c>
      <c r="B312" s="6">
        <v>33</v>
      </c>
      <c r="C312" s="35">
        <v>36391</v>
      </c>
    </row>
    <row r="313" spans="1:3" ht="18.75" x14ac:dyDescent="0.25">
      <c r="A313" s="30" t="s">
        <v>365</v>
      </c>
      <c r="B313" s="6">
        <v>49</v>
      </c>
      <c r="C313" s="35">
        <v>1653</v>
      </c>
    </row>
    <row r="314" spans="1:3" ht="18.75" x14ac:dyDescent="0.25">
      <c r="A314" s="30" t="s">
        <v>366</v>
      </c>
      <c r="B314" s="6">
        <v>16</v>
      </c>
      <c r="C314" s="35">
        <v>3896</v>
      </c>
    </row>
    <row r="315" spans="1:3" ht="18.75" x14ac:dyDescent="0.25">
      <c r="A315" s="30" t="s">
        <v>367</v>
      </c>
      <c r="B315" s="6">
        <v>28</v>
      </c>
      <c r="C315" s="35">
        <v>4278</v>
      </c>
    </row>
    <row r="316" spans="1:3" ht="18.75" x14ac:dyDescent="0.25">
      <c r="A316" s="30" t="s">
        <v>368</v>
      </c>
      <c r="B316" s="6">
        <v>24</v>
      </c>
      <c r="C316" s="35">
        <v>1031</v>
      </c>
    </row>
    <row r="317" spans="1:3" ht="18.75" x14ac:dyDescent="0.25">
      <c r="A317" s="30" t="s">
        <v>369</v>
      </c>
      <c r="B317" s="6">
        <v>12</v>
      </c>
      <c r="C317" s="35">
        <v>1684</v>
      </c>
    </row>
    <row r="318" spans="1:3" ht="18.75" x14ac:dyDescent="0.25">
      <c r="A318" s="30" t="s">
        <v>370</v>
      </c>
      <c r="B318" s="6">
        <v>15</v>
      </c>
      <c r="C318" s="35">
        <v>19276</v>
      </c>
    </row>
    <row r="319" spans="1:3" ht="18.75" x14ac:dyDescent="0.25">
      <c r="A319" s="30" t="s">
        <v>371</v>
      </c>
      <c r="B319" s="6">
        <v>47</v>
      </c>
      <c r="C319" s="35">
        <v>372</v>
      </c>
    </row>
    <row r="320" spans="1:3" ht="18.75" x14ac:dyDescent="0.25">
      <c r="A320" s="30" t="s">
        <v>372</v>
      </c>
      <c r="B320" s="6">
        <v>13</v>
      </c>
      <c r="C320" s="35">
        <v>441</v>
      </c>
    </row>
    <row r="321" spans="1:3" ht="18.75" x14ac:dyDescent="0.25">
      <c r="A321" s="30" t="s">
        <v>373</v>
      </c>
      <c r="B321" s="6">
        <v>58</v>
      </c>
      <c r="C321" s="35">
        <v>8224</v>
      </c>
    </row>
    <row r="322" spans="1:3" ht="18.75" x14ac:dyDescent="0.25">
      <c r="A322" s="30" t="s">
        <v>374</v>
      </c>
      <c r="B322" s="6">
        <v>27</v>
      </c>
      <c r="C322" s="35">
        <v>2510</v>
      </c>
    </row>
    <row r="323" spans="1:3" ht="18.75" x14ac:dyDescent="0.25">
      <c r="A323" s="30" t="s">
        <v>375</v>
      </c>
      <c r="B323" s="6">
        <v>59</v>
      </c>
      <c r="C323" s="35">
        <v>4429</v>
      </c>
    </row>
    <row r="324" spans="1:3" ht="18.75" x14ac:dyDescent="0.25">
      <c r="A324" s="30" t="s">
        <v>376</v>
      </c>
      <c r="B324" s="6">
        <v>46</v>
      </c>
      <c r="C324" s="35">
        <v>29934</v>
      </c>
    </row>
    <row r="325" spans="1:3" ht="18.75" x14ac:dyDescent="0.25">
      <c r="A325" s="30" t="s">
        <v>377</v>
      </c>
      <c r="B325" s="6">
        <v>7</v>
      </c>
      <c r="C325" s="35">
        <v>54386</v>
      </c>
    </row>
    <row r="326" spans="1:3" ht="18.75" x14ac:dyDescent="0.25">
      <c r="A326" s="30" t="s">
        <v>378</v>
      </c>
      <c r="B326" s="6">
        <v>7</v>
      </c>
      <c r="C326" s="35">
        <v>3476</v>
      </c>
    </row>
    <row r="327" spans="1:3" ht="18.75" x14ac:dyDescent="0.25">
      <c r="A327" s="30" t="s">
        <v>379</v>
      </c>
      <c r="B327" s="6">
        <v>31</v>
      </c>
      <c r="C327" s="35">
        <v>66232</v>
      </c>
    </row>
    <row r="328" spans="1:3" ht="18.75" x14ac:dyDescent="0.25">
      <c r="A328" s="30" t="s">
        <v>380</v>
      </c>
      <c r="B328" s="6">
        <v>53</v>
      </c>
      <c r="C328" s="35">
        <v>72229</v>
      </c>
    </row>
    <row r="329" spans="1:3" ht="18.75" x14ac:dyDescent="0.25">
      <c r="A329" s="30" t="s">
        <v>381</v>
      </c>
      <c r="B329" s="6">
        <v>18</v>
      </c>
      <c r="C329" s="35">
        <v>829</v>
      </c>
    </row>
    <row r="330" spans="1:3" ht="18.75" x14ac:dyDescent="0.25">
      <c r="A330" s="30" t="s">
        <v>382</v>
      </c>
      <c r="B330" s="6">
        <v>40</v>
      </c>
      <c r="C330" s="35">
        <v>27552</v>
      </c>
    </row>
    <row r="331" spans="1:3" ht="18.75" x14ac:dyDescent="0.25">
      <c r="A331" s="30" t="s">
        <v>383</v>
      </c>
      <c r="B331" s="6">
        <v>13</v>
      </c>
      <c r="C331" s="35">
        <v>2478</v>
      </c>
    </row>
    <row r="332" spans="1:3" ht="18.75" x14ac:dyDescent="0.25">
      <c r="A332" s="30" t="s">
        <v>384</v>
      </c>
      <c r="B332" s="6">
        <v>6</v>
      </c>
      <c r="C332" s="35">
        <v>12176</v>
      </c>
    </row>
    <row r="333" spans="1:3" ht="18.75" x14ac:dyDescent="0.25">
      <c r="A333" s="30" t="s">
        <v>385</v>
      </c>
      <c r="B333" s="6">
        <v>13</v>
      </c>
      <c r="C333" s="35">
        <v>1060</v>
      </c>
    </row>
    <row r="334" spans="1:3" ht="18.75" x14ac:dyDescent="0.25">
      <c r="A334" s="30" t="s">
        <v>386</v>
      </c>
      <c r="B334" s="6">
        <v>28</v>
      </c>
      <c r="C334" s="35">
        <v>534</v>
      </c>
    </row>
    <row r="335" spans="1:3" ht="18.75" x14ac:dyDescent="0.25">
      <c r="A335" s="30" t="s">
        <v>387</v>
      </c>
      <c r="B335" s="6">
        <v>16</v>
      </c>
      <c r="C335" s="35">
        <v>12111</v>
      </c>
    </row>
    <row r="336" spans="1:3" ht="18.75" x14ac:dyDescent="0.25">
      <c r="A336" s="30" t="s">
        <v>388</v>
      </c>
      <c r="B336" s="6">
        <v>7</v>
      </c>
      <c r="C336" s="35">
        <v>57116</v>
      </c>
    </row>
    <row r="337" spans="1:3" ht="18.75" x14ac:dyDescent="0.25">
      <c r="A337" s="30" t="s">
        <v>389</v>
      </c>
      <c r="B337" s="6">
        <v>11</v>
      </c>
      <c r="C337" s="35">
        <v>9003</v>
      </c>
    </row>
    <row r="338" spans="1:3" ht="18.75" x14ac:dyDescent="0.25">
      <c r="A338" s="30" t="s">
        <v>390</v>
      </c>
      <c r="B338" s="6">
        <v>58</v>
      </c>
      <c r="C338" s="35">
        <v>3799</v>
      </c>
    </row>
    <row r="339" spans="1:3" ht="18.75" x14ac:dyDescent="0.25">
      <c r="A339" s="30" t="s">
        <v>391</v>
      </c>
      <c r="B339" s="6">
        <v>29</v>
      </c>
      <c r="C339" s="35">
        <v>8047</v>
      </c>
    </row>
    <row r="340" spans="1:3" ht="18.75" x14ac:dyDescent="0.25">
      <c r="A340" s="30" t="s">
        <v>392</v>
      </c>
      <c r="B340" s="6">
        <v>18</v>
      </c>
      <c r="C340" s="35">
        <v>2573</v>
      </c>
    </row>
    <row r="341" spans="1:3" ht="18.75" x14ac:dyDescent="0.25">
      <c r="A341" s="30" t="s">
        <v>393</v>
      </c>
      <c r="B341" s="6">
        <v>50</v>
      </c>
      <c r="C341" s="35">
        <v>2584</v>
      </c>
    </row>
    <row r="342" spans="1:3" ht="18.75" x14ac:dyDescent="0.25">
      <c r="A342" s="30" t="s">
        <v>394</v>
      </c>
      <c r="B342" s="6">
        <v>23</v>
      </c>
      <c r="C342" s="35">
        <v>1446</v>
      </c>
    </row>
    <row r="343" spans="1:3" ht="18.75" x14ac:dyDescent="0.25">
      <c r="A343" s="30" t="s">
        <v>395</v>
      </c>
      <c r="B343" s="6">
        <v>57</v>
      </c>
      <c r="C343" s="35">
        <v>4422</v>
      </c>
    </row>
    <row r="344" spans="1:3" ht="18.75" x14ac:dyDescent="0.25">
      <c r="A344" s="30" t="s">
        <v>396</v>
      </c>
      <c r="B344" s="6">
        <v>23</v>
      </c>
      <c r="C344" s="35">
        <v>63314</v>
      </c>
    </row>
    <row r="345" spans="1:3" ht="18.75" x14ac:dyDescent="0.25">
      <c r="A345" s="30" t="s">
        <v>397</v>
      </c>
      <c r="B345" s="6">
        <v>45</v>
      </c>
      <c r="C345" s="35">
        <v>60817</v>
      </c>
    </row>
    <row r="346" spans="1:3" ht="18.75" x14ac:dyDescent="0.25">
      <c r="A346" s="30" t="s">
        <v>398</v>
      </c>
      <c r="B346" s="6">
        <v>47</v>
      </c>
      <c r="C346" s="35">
        <v>4825</v>
      </c>
    </row>
    <row r="347" spans="1:3" ht="18.75" x14ac:dyDescent="0.25">
      <c r="A347" s="30" t="s">
        <v>399</v>
      </c>
      <c r="B347" s="6">
        <v>16</v>
      </c>
      <c r="C347" s="35">
        <v>35080</v>
      </c>
    </row>
    <row r="348" spans="1:3" ht="18.75" x14ac:dyDescent="0.25">
      <c r="A348" s="30" t="s">
        <v>400</v>
      </c>
      <c r="B348" s="6">
        <v>24</v>
      </c>
      <c r="C348" s="35">
        <v>1065</v>
      </c>
    </row>
    <row r="349" spans="1:3" ht="18.75" x14ac:dyDescent="0.25">
      <c r="A349" s="30" t="s">
        <v>401</v>
      </c>
      <c r="B349" s="6">
        <v>8</v>
      </c>
      <c r="C349" s="35">
        <v>517</v>
      </c>
    </row>
    <row r="350" spans="1:3" ht="18.75" x14ac:dyDescent="0.25">
      <c r="A350" s="30" t="s">
        <v>402</v>
      </c>
      <c r="B350" s="6">
        <v>51</v>
      </c>
      <c r="C350" s="35">
        <v>2925</v>
      </c>
    </row>
    <row r="351" spans="1:3" ht="18.75" x14ac:dyDescent="0.25">
      <c r="A351" s="30" t="s">
        <v>403</v>
      </c>
      <c r="B351" s="6">
        <v>56</v>
      </c>
      <c r="C351" s="35">
        <v>13869</v>
      </c>
    </row>
    <row r="352" spans="1:3" ht="18.75" x14ac:dyDescent="0.25">
      <c r="A352" s="30" t="s">
        <v>404</v>
      </c>
      <c r="B352" s="6">
        <v>22</v>
      </c>
      <c r="C352" s="35">
        <v>2655</v>
      </c>
    </row>
    <row r="353" spans="1:3" ht="18.75" x14ac:dyDescent="0.25">
      <c r="A353" s="30" t="s">
        <v>405</v>
      </c>
      <c r="B353" s="6">
        <v>48</v>
      </c>
      <c r="C353" s="35">
        <v>1259</v>
      </c>
    </row>
    <row r="354" spans="1:3" ht="18.75" x14ac:dyDescent="0.25">
      <c r="A354" s="30" t="s">
        <v>406</v>
      </c>
      <c r="B354" s="6">
        <v>26</v>
      </c>
      <c r="C354" s="35">
        <v>1517</v>
      </c>
    </row>
    <row r="355" spans="1:3" ht="18.75" x14ac:dyDescent="0.25">
      <c r="A355" s="30" t="s">
        <v>407</v>
      </c>
      <c r="B355" s="6">
        <v>55</v>
      </c>
      <c r="C355" s="35">
        <v>38335</v>
      </c>
    </row>
    <row r="356" spans="1:3" ht="18.75" x14ac:dyDescent="0.25">
      <c r="A356" s="30" t="s">
        <v>408</v>
      </c>
      <c r="B356" s="6">
        <v>32</v>
      </c>
      <c r="C356" s="35">
        <v>79437</v>
      </c>
    </row>
    <row r="357" spans="1:3" ht="18.75" x14ac:dyDescent="0.25">
      <c r="A357" s="30" t="s">
        <v>409</v>
      </c>
      <c r="B357" s="6">
        <v>37</v>
      </c>
      <c r="C357" s="35">
        <v>644</v>
      </c>
    </row>
    <row r="358" spans="1:3" ht="18.75" x14ac:dyDescent="0.25">
      <c r="A358" s="30" t="s">
        <v>410</v>
      </c>
      <c r="B358" s="6">
        <v>26</v>
      </c>
      <c r="C358" s="35">
        <v>9953</v>
      </c>
    </row>
    <row r="359" spans="1:3" ht="18.75" x14ac:dyDescent="0.25">
      <c r="A359" s="30" t="s">
        <v>411</v>
      </c>
      <c r="B359" s="6">
        <v>59</v>
      </c>
      <c r="C359" s="35">
        <v>2088</v>
      </c>
    </row>
    <row r="360" spans="1:3" ht="18.75" x14ac:dyDescent="0.25">
      <c r="A360" s="30" t="s">
        <v>412</v>
      </c>
      <c r="B360" s="6">
        <v>35</v>
      </c>
      <c r="C360" s="35">
        <v>23332</v>
      </c>
    </row>
    <row r="361" spans="1:3" ht="18.75" x14ac:dyDescent="0.25">
      <c r="A361" s="30" t="s">
        <v>413</v>
      </c>
      <c r="B361" s="6">
        <v>36</v>
      </c>
      <c r="C361" s="35">
        <v>8700</v>
      </c>
    </row>
    <row r="362" spans="1:3" ht="18.75" x14ac:dyDescent="0.25">
      <c r="A362" s="30" t="s">
        <v>414</v>
      </c>
      <c r="B362" s="6">
        <v>32</v>
      </c>
      <c r="C362" s="35">
        <v>1695</v>
      </c>
    </row>
    <row r="363" spans="1:3" ht="18.75" x14ac:dyDescent="0.25">
      <c r="A363" s="30" t="s">
        <v>415</v>
      </c>
      <c r="B363" s="6">
        <v>20</v>
      </c>
      <c r="C363" s="35">
        <v>4146</v>
      </c>
    </row>
    <row r="364" spans="1:3" ht="18.75" x14ac:dyDescent="0.25">
      <c r="A364" s="30" t="s">
        <v>416</v>
      </c>
      <c r="B364" s="6">
        <v>45</v>
      </c>
      <c r="C364" s="35">
        <v>726</v>
      </c>
    </row>
    <row r="365" spans="1:3" ht="18.75" x14ac:dyDescent="0.25">
      <c r="A365" s="30" t="s">
        <v>417</v>
      </c>
      <c r="B365" s="6">
        <v>58</v>
      </c>
      <c r="C365" s="35">
        <v>3422</v>
      </c>
    </row>
    <row r="366" spans="1:3" ht="18.75" x14ac:dyDescent="0.25">
      <c r="A366" s="30" t="s">
        <v>418</v>
      </c>
      <c r="B366" s="6">
        <v>57</v>
      </c>
      <c r="C366" s="35">
        <v>5541</v>
      </c>
    </row>
    <row r="367" spans="1:3" ht="18.75" x14ac:dyDescent="0.25">
      <c r="A367" s="30" t="s">
        <v>419</v>
      </c>
      <c r="B367" s="6">
        <v>33</v>
      </c>
      <c r="C367" s="35">
        <v>7279</v>
      </c>
    </row>
    <row r="368" spans="1:3" ht="18.75" x14ac:dyDescent="0.25">
      <c r="A368" s="30" t="s">
        <v>420</v>
      </c>
      <c r="B368" s="6">
        <v>18</v>
      </c>
      <c r="C368" s="35">
        <v>3054</v>
      </c>
    </row>
    <row r="369" spans="1:3" ht="18.75" x14ac:dyDescent="0.25">
      <c r="A369" s="30" t="s">
        <v>421</v>
      </c>
      <c r="B369" s="6">
        <v>18</v>
      </c>
      <c r="C369" s="35">
        <v>233</v>
      </c>
    </row>
    <row r="370" spans="1:3" ht="18.75" x14ac:dyDescent="0.25">
      <c r="A370" s="30" t="s">
        <v>422</v>
      </c>
      <c r="B370" s="6">
        <v>43</v>
      </c>
      <c r="C370" s="35">
        <v>5548</v>
      </c>
    </row>
    <row r="371" spans="1:3" ht="18.75" x14ac:dyDescent="0.25">
      <c r="A371" s="30" t="s">
        <v>423</v>
      </c>
      <c r="B371" s="6">
        <v>14</v>
      </c>
      <c r="C371" s="35">
        <v>33151</v>
      </c>
    </row>
    <row r="372" spans="1:3" ht="18.75" x14ac:dyDescent="0.25">
      <c r="A372" s="30" t="s">
        <v>424</v>
      </c>
      <c r="B372" s="6">
        <v>53</v>
      </c>
      <c r="C372" s="35">
        <v>598</v>
      </c>
    </row>
    <row r="373" spans="1:3" ht="18.75" x14ac:dyDescent="0.25">
      <c r="A373" s="30" t="s">
        <v>425</v>
      </c>
      <c r="B373" s="6">
        <v>68</v>
      </c>
      <c r="C373" s="35">
        <v>6244</v>
      </c>
    </row>
    <row r="374" spans="1:3" ht="18.75" x14ac:dyDescent="0.25">
      <c r="A374" s="30" t="s">
        <v>426</v>
      </c>
      <c r="B374" s="6">
        <v>22</v>
      </c>
      <c r="C374" s="35">
        <v>4401</v>
      </c>
    </row>
    <row r="375" spans="1:3" ht="18.75" x14ac:dyDescent="0.25">
      <c r="A375" s="30" t="s">
        <v>427</v>
      </c>
      <c r="B375" s="6">
        <v>44</v>
      </c>
      <c r="C375" s="35">
        <v>970</v>
      </c>
    </row>
    <row r="376" spans="1:3" ht="18.75" x14ac:dyDescent="0.25">
      <c r="A376" s="30" t="s">
        <v>428</v>
      </c>
      <c r="B376" s="6">
        <v>31</v>
      </c>
      <c r="C376" s="35">
        <v>6736</v>
      </c>
    </row>
    <row r="377" spans="1:3" ht="18.75" x14ac:dyDescent="0.25">
      <c r="A377" s="30" t="s">
        <v>429</v>
      </c>
      <c r="B377" s="6">
        <v>42</v>
      </c>
      <c r="C377" s="35">
        <v>1959</v>
      </c>
    </row>
    <row r="378" spans="1:3" ht="18.75" x14ac:dyDescent="0.25">
      <c r="A378" s="30" t="s">
        <v>430</v>
      </c>
      <c r="B378" s="6">
        <v>11</v>
      </c>
      <c r="C378" s="35">
        <v>5339</v>
      </c>
    </row>
    <row r="379" spans="1:3" ht="18.75" x14ac:dyDescent="0.25">
      <c r="A379" s="30" t="s">
        <v>431</v>
      </c>
      <c r="B379" s="6">
        <v>56</v>
      </c>
      <c r="C379" s="35">
        <v>14391</v>
      </c>
    </row>
    <row r="380" spans="1:3" ht="18.75" x14ac:dyDescent="0.25">
      <c r="A380" s="30" t="s">
        <v>432</v>
      </c>
      <c r="B380" s="6">
        <v>5</v>
      </c>
      <c r="C380" s="35">
        <v>628</v>
      </c>
    </row>
    <row r="381" spans="1:3" ht="18.75" x14ac:dyDescent="0.25">
      <c r="A381" s="30" t="s">
        <v>433</v>
      </c>
      <c r="B381" s="6">
        <v>42</v>
      </c>
      <c r="C381" s="35">
        <v>10926</v>
      </c>
    </row>
    <row r="382" spans="1:3" ht="18.75" x14ac:dyDescent="0.25">
      <c r="A382" s="30" t="s">
        <v>434</v>
      </c>
      <c r="B382" s="6">
        <v>10</v>
      </c>
      <c r="C382" s="35">
        <v>6372</v>
      </c>
    </row>
    <row r="383" spans="1:3" ht="18.75" x14ac:dyDescent="0.25">
      <c r="A383" s="30" t="s">
        <v>435</v>
      </c>
      <c r="B383" s="6">
        <v>6</v>
      </c>
      <c r="C383" s="35">
        <v>7192</v>
      </c>
    </row>
    <row r="384" spans="1:3" ht="18.75" x14ac:dyDescent="0.25">
      <c r="A384" s="30" t="s">
        <v>436</v>
      </c>
      <c r="B384" s="6">
        <v>47</v>
      </c>
      <c r="C384" s="35">
        <v>732</v>
      </c>
    </row>
    <row r="385" spans="1:3" ht="18.75" x14ac:dyDescent="0.25">
      <c r="A385" s="30" t="s">
        <v>437</v>
      </c>
      <c r="B385" s="6">
        <v>15</v>
      </c>
      <c r="C385" s="35">
        <v>2489</v>
      </c>
    </row>
    <row r="386" spans="1:3" ht="18.75" x14ac:dyDescent="0.25">
      <c r="A386" s="30" t="s">
        <v>438</v>
      </c>
      <c r="B386" s="6">
        <v>5</v>
      </c>
      <c r="C386" s="35">
        <v>1324</v>
      </c>
    </row>
    <row r="387" spans="1:3" ht="18.75" x14ac:dyDescent="0.25">
      <c r="A387" s="30" t="s">
        <v>439</v>
      </c>
      <c r="B387" s="6">
        <v>58</v>
      </c>
      <c r="C387" s="35">
        <v>73027</v>
      </c>
    </row>
    <row r="388" spans="1:3" ht="18.75" x14ac:dyDescent="0.25">
      <c r="A388" s="30" t="s">
        <v>440</v>
      </c>
      <c r="B388" s="6">
        <v>13</v>
      </c>
      <c r="C388" s="35">
        <v>20248</v>
      </c>
    </row>
    <row r="389" spans="1:3" ht="18.75" x14ac:dyDescent="0.25">
      <c r="A389" s="30" t="s">
        <v>441</v>
      </c>
      <c r="B389" s="6">
        <v>50</v>
      </c>
      <c r="C389" s="35">
        <v>3214</v>
      </c>
    </row>
    <row r="390" spans="1:3" ht="18.75" x14ac:dyDescent="0.25">
      <c r="A390" s="30" t="s">
        <v>442</v>
      </c>
      <c r="B390" s="6">
        <v>51</v>
      </c>
      <c r="C390" s="35">
        <v>3149</v>
      </c>
    </row>
    <row r="391" spans="1:3" ht="18.75" x14ac:dyDescent="0.25">
      <c r="A391" s="30" t="s">
        <v>443</v>
      </c>
      <c r="B391" s="6">
        <v>25</v>
      </c>
      <c r="C391" s="35">
        <v>3342</v>
      </c>
    </row>
    <row r="392" spans="1:3" ht="18.75" x14ac:dyDescent="0.25">
      <c r="A392" s="30" t="s">
        <v>444</v>
      </c>
      <c r="B392" s="6">
        <v>30</v>
      </c>
      <c r="C392" s="35">
        <v>47242</v>
      </c>
    </row>
    <row r="393" spans="1:3" ht="18.75" x14ac:dyDescent="0.25">
      <c r="A393" s="30" t="s">
        <v>445</v>
      </c>
      <c r="B393" s="6">
        <v>51</v>
      </c>
      <c r="C393" s="35">
        <v>33297</v>
      </c>
    </row>
    <row r="394" spans="1:3" ht="18.75" x14ac:dyDescent="0.25">
      <c r="A394" s="30" t="s">
        <v>446</v>
      </c>
      <c r="B394" s="6">
        <v>18</v>
      </c>
      <c r="C394" s="35">
        <v>38075</v>
      </c>
    </row>
    <row r="395" spans="1:3" ht="18.75" x14ac:dyDescent="0.25">
      <c r="A395" s="30" t="s">
        <v>447</v>
      </c>
      <c r="B395" s="6">
        <v>45</v>
      </c>
      <c r="C395" s="35">
        <v>2460</v>
      </c>
    </row>
    <row r="396" spans="1:3" ht="18.75" x14ac:dyDescent="0.25">
      <c r="A396" s="30" t="s">
        <v>448</v>
      </c>
      <c r="B396" s="6">
        <v>25</v>
      </c>
      <c r="C396" s="35">
        <v>7068</v>
      </c>
    </row>
    <row r="397" spans="1:3" ht="18.75" x14ac:dyDescent="0.25">
      <c r="A397" s="30" t="s">
        <v>449</v>
      </c>
      <c r="B397" s="6">
        <v>41</v>
      </c>
      <c r="C397" s="35">
        <v>16570</v>
      </c>
    </row>
    <row r="398" spans="1:3" ht="18.75" x14ac:dyDescent="0.25">
      <c r="A398" s="30" t="s">
        <v>450</v>
      </c>
      <c r="B398" s="6">
        <v>16</v>
      </c>
      <c r="C398" s="35">
        <v>1034</v>
      </c>
    </row>
    <row r="399" spans="1:3" ht="18.75" x14ac:dyDescent="0.25">
      <c r="A399" s="30" t="s">
        <v>451</v>
      </c>
      <c r="B399" s="6">
        <v>12</v>
      </c>
      <c r="C399" s="35">
        <v>28254</v>
      </c>
    </row>
    <row r="400" spans="1:3" ht="18.75" x14ac:dyDescent="0.25">
      <c r="A400" s="30" t="s">
        <v>452</v>
      </c>
      <c r="B400" s="6">
        <v>70</v>
      </c>
      <c r="C400" s="35">
        <v>723</v>
      </c>
    </row>
    <row r="401" spans="1:3" ht="18.75" x14ac:dyDescent="0.25">
      <c r="A401" s="30" t="s">
        <v>453</v>
      </c>
      <c r="B401" s="6">
        <v>38</v>
      </c>
      <c r="C401" s="35">
        <v>2343</v>
      </c>
    </row>
    <row r="402" spans="1:3" ht="18.75" x14ac:dyDescent="0.25">
      <c r="A402" s="30" t="s">
        <v>454</v>
      </c>
      <c r="B402" s="6">
        <v>48</v>
      </c>
      <c r="C402" s="35">
        <v>14397</v>
      </c>
    </row>
    <row r="403" spans="1:3" ht="18.75" x14ac:dyDescent="0.25">
      <c r="A403" s="30" t="s">
        <v>455</v>
      </c>
      <c r="B403" s="6">
        <v>27</v>
      </c>
      <c r="C403" s="35">
        <v>11737</v>
      </c>
    </row>
    <row r="404" spans="1:3" ht="18.75" x14ac:dyDescent="0.25">
      <c r="A404" s="30" t="s">
        <v>456</v>
      </c>
      <c r="B404" s="6">
        <v>6</v>
      </c>
      <c r="C404" s="35">
        <v>57453</v>
      </c>
    </row>
    <row r="405" spans="1:3" ht="18.75" x14ac:dyDescent="0.25">
      <c r="A405" s="30" t="s">
        <v>457</v>
      </c>
      <c r="B405" s="6">
        <v>26</v>
      </c>
      <c r="C405" s="35">
        <v>21190</v>
      </c>
    </row>
    <row r="406" spans="1:3" ht="18.75" x14ac:dyDescent="0.25">
      <c r="A406" s="30" t="s">
        <v>458</v>
      </c>
      <c r="B406" s="6">
        <v>59</v>
      </c>
      <c r="C406" s="35">
        <v>5242</v>
      </c>
    </row>
    <row r="407" spans="1:3" ht="18.75" x14ac:dyDescent="0.25">
      <c r="A407" s="30" t="s">
        <v>459</v>
      </c>
      <c r="B407" s="6">
        <v>8</v>
      </c>
      <c r="C407" s="35">
        <v>1347</v>
      </c>
    </row>
    <row r="408" spans="1:3" ht="18.75" x14ac:dyDescent="0.25">
      <c r="A408" s="30" t="s">
        <v>460</v>
      </c>
      <c r="B408" s="6">
        <v>80</v>
      </c>
      <c r="C408" s="35">
        <v>2470</v>
      </c>
    </row>
    <row r="409" spans="1:3" ht="18.75" x14ac:dyDescent="0.25">
      <c r="A409" s="30" t="s">
        <v>461</v>
      </c>
      <c r="B409" s="6">
        <v>41</v>
      </c>
      <c r="C409" s="35">
        <v>2113</v>
      </c>
    </row>
    <row r="410" spans="1:3" ht="18.75" x14ac:dyDescent="0.25">
      <c r="A410" s="30" t="s">
        <v>462</v>
      </c>
      <c r="B410" s="6">
        <v>51</v>
      </c>
      <c r="C410" s="35">
        <v>2201</v>
      </c>
    </row>
    <row r="411" spans="1:3" ht="18.75" x14ac:dyDescent="0.25">
      <c r="A411" s="30" t="s">
        <v>463</v>
      </c>
      <c r="B411" s="6">
        <v>27</v>
      </c>
      <c r="C411" s="35">
        <v>8739</v>
      </c>
    </row>
    <row r="412" spans="1:3" ht="18.75" x14ac:dyDescent="0.25">
      <c r="A412" s="30" t="s">
        <v>464</v>
      </c>
      <c r="B412" s="6">
        <v>24</v>
      </c>
      <c r="C412" s="35">
        <v>22348</v>
      </c>
    </row>
    <row r="413" spans="1:3" ht="18.75" x14ac:dyDescent="0.25">
      <c r="A413" s="30" t="s">
        <v>465</v>
      </c>
      <c r="B413" s="6">
        <v>80</v>
      </c>
      <c r="C413" s="35">
        <v>1749</v>
      </c>
    </row>
    <row r="414" spans="1:3" ht="18.75" x14ac:dyDescent="0.25">
      <c r="A414" s="30" t="s">
        <v>466</v>
      </c>
      <c r="B414" s="6">
        <v>32</v>
      </c>
      <c r="C414" s="35">
        <v>68885</v>
      </c>
    </row>
    <row r="415" spans="1:3" ht="18.75" x14ac:dyDescent="0.25">
      <c r="A415" s="30" t="s">
        <v>467</v>
      </c>
      <c r="B415" s="6">
        <v>59</v>
      </c>
      <c r="C415" s="35">
        <v>4805</v>
      </c>
    </row>
    <row r="416" spans="1:3" ht="18.75" x14ac:dyDescent="0.25">
      <c r="A416" s="30" t="s">
        <v>468</v>
      </c>
      <c r="B416" s="6">
        <v>49</v>
      </c>
      <c r="C416" s="35">
        <v>75590</v>
      </c>
    </row>
    <row r="417" spans="1:3" ht="18.75" x14ac:dyDescent="0.25">
      <c r="A417" s="30" t="s">
        <v>469</v>
      </c>
      <c r="B417" s="6">
        <v>5</v>
      </c>
      <c r="C417" s="35">
        <v>5378</v>
      </c>
    </row>
    <row r="418" spans="1:3" ht="18.75" x14ac:dyDescent="0.25">
      <c r="A418" s="30" t="s">
        <v>470</v>
      </c>
      <c r="B418" s="6">
        <v>53</v>
      </c>
      <c r="C418" s="35">
        <v>30694</v>
      </c>
    </row>
    <row r="419" spans="1:3" ht="18.75" x14ac:dyDescent="0.25">
      <c r="A419" s="30" t="s">
        <v>471</v>
      </c>
      <c r="B419" s="6">
        <v>44</v>
      </c>
      <c r="C419" s="35">
        <v>8339</v>
      </c>
    </row>
    <row r="420" spans="1:3" ht="18.75" x14ac:dyDescent="0.25">
      <c r="A420" s="30" t="s">
        <v>472</v>
      </c>
      <c r="B420" s="6">
        <v>60</v>
      </c>
      <c r="C420" s="35">
        <v>5430</v>
      </c>
    </row>
    <row r="421" spans="1:3" ht="18.75" x14ac:dyDescent="0.25">
      <c r="A421" s="30" t="s">
        <v>473</v>
      </c>
      <c r="B421" s="6">
        <v>43</v>
      </c>
      <c r="C421" s="35">
        <v>2274</v>
      </c>
    </row>
    <row r="422" spans="1:3" ht="18.75" x14ac:dyDescent="0.25">
      <c r="A422" s="30" t="s">
        <v>474</v>
      </c>
      <c r="B422" s="6">
        <v>45</v>
      </c>
      <c r="C422" s="35">
        <v>1027</v>
      </c>
    </row>
    <row r="423" spans="1:3" ht="18.75" x14ac:dyDescent="0.25">
      <c r="A423" s="30" t="s">
        <v>475</v>
      </c>
      <c r="B423" s="6">
        <v>52</v>
      </c>
      <c r="C423" s="35">
        <v>1253</v>
      </c>
    </row>
    <row r="424" spans="1:3" ht="18.75" x14ac:dyDescent="0.25">
      <c r="A424" s="30" t="s">
        <v>476</v>
      </c>
      <c r="B424" s="6">
        <v>59</v>
      </c>
      <c r="C424" s="35">
        <v>552</v>
      </c>
    </row>
    <row r="425" spans="1:3" ht="18.75" x14ac:dyDescent="0.25">
      <c r="A425" s="30" t="s">
        <v>477</v>
      </c>
      <c r="B425" s="6">
        <v>43</v>
      </c>
      <c r="C425" s="35">
        <v>13876</v>
      </c>
    </row>
    <row r="426" spans="1:3" ht="18.75" x14ac:dyDescent="0.25">
      <c r="A426" s="30" t="s">
        <v>478</v>
      </c>
      <c r="B426" s="6">
        <v>47</v>
      </c>
      <c r="C426" s="35">
        <v>4866</v>
      </c>
    </row>
    <row r="427" spans="1:3" ht="18.75" x14ac:dyDescent="0.25">
      <c r="A427" s="30" t="s">
        <v>479</v>
      </c>
      <c r="B427" s="6">
        <v>35</v>
      </c>
      <c r="C427" s="35">
        <v>4548</v>
      </c>
    </row>
    <row r="428" spans="1:3" ht="18.75" x14ac:dyDescent="0.25">
      <c r="A428" s="30" t="s">
        <v>480</v>
      </c>
      <c r="B428" s="6">
        <v>12</v>
      </c>
      <c r="C428" s="35">
        <v>1370</v>
      </c>
    </row>
    <row r="429" spans="1:3" ht="18.75" x14ac:dyDescent="0.25">
      <c r="A429" s="30" t="s">
        <v>481</v>
      </c>
      <c r="B429" s="6">
        <v>14</v>
      </c>
      <c r="C429" s="35">
        <v>29803</v>
      </c>
    </row>
    <row r="430" spans="1:3" ht="18.75" x14ac:dyDescent="0.25">
      <c r="A430" s="30" t="s">
        <v>482</v>
      </c>
      <c r="B430" s="6">
        <v>50</v>
      </c>
      <c r="C430" s="35">
        <v>611</v>
      </c>
    </row>
    <row r="431" spans="1:3" ht="18.75" x14ac:dyDescent="0.25">
      <c r="A431" s="30" t="s">
        <v>483</v>
      </c>
      <c r="B431" s="6">
        <v>59</v>
      </c>
      <c r="C431" s="35">
        <v>7184</v>
      </c>
    </row>
    <row r="432" spans="1:3" ht="18.75" x14ac:dyDescent="0.25">
      <c r="A432" s="30" t="s">
        <v>484</v>
      </c>
      <c r="B432" s="6">
        <v>52</v>
      </c>
      <c r="C432" s="35">
        <v>53726</v>
      </c>
    </row>
    <row r="433" spans="1:3" ht="18.75" x14ac:dyDescent="0.25">
      <c r="A433" s="30" t="s">
        <v>485</v>
      </c>
      <c r="B433" s="6">
        <v>20</v>
      </c>
      <c r="C433" s="35">
        <v>42398</v>
      </c>
    </row>
    <row r="434" spans="1:3" ht="18.75" x14ac:dyDescent="0.25">
      <c r="A434" s="30" t="s">
        <v>486</v>
      </c>
      <c r="B434" s="6">
        <v>40</v>
      </c>
      <c r="C434" s="35">
        <v>1345</v>
      </c>
    </row>
    <row r="435" spans="1:3" ht="18.75" x14ac:dyDescent="0.25">
      <c r="A435" s="30" t="s">
        <v>487</v>
      </c>
      <c r="B435" s="6">
        <v>59</v>
      </c>
      <c r="C435" s="35">
        <v>558</v>
      </c>
    </row>
    <row r="436" spans="1:3" ht="18.75" x14ac:dyDescent="0.25">
      <c r="A436" s="30" t="s">
        <v>488</v>
      </c>
      <c r="B436" s="6">
        <v>42</v>
      </c>
      <c r="C436" s="35">
        <v>28611</v>
      </c>
    </row>
    <row r="437" spans="1:3" ht="18.75" x14ac:dyDescent="0.25">
      <c r="A437" s="30" t="s">
        <v>489</v>
      </c>
      <c r="B437" s="6">
        <v>56</v>
      </c>
      <c r="C437" s="35">
        <v>6471</v>
      </c>
    </row>
    <row r="438" spans="1:3" ht="18.75" x14ac:dyDescent="0.25">
      <c r="A438" s="30" t="s">
        <v>490</v>
      </c>
      <c r="B438" s="6">
        <v>22</v>
      </c>
      <c r="C438" s="35">
        <v>33620</v>
      </c>
    </row>
    <row r="439" spans="1:3" ht="18.75" x14ac:dyDescent="0.25">
      <c r="A439" s="30" t="s">
        <v>491</v>
      </c>
      <c r="B439" s="6">
        <v>10</v>
      </c>
      <c r="C439" s="35">
        <v>1938</v>
      </c>
    </row>
    <row r="440" spans="1:3" ht="18.75" x14ac:dyDescent="0.25">
      <c r="A440" s="30" t="s">
        <v>492</v>
      </c>
      <c r="B440" s="6">
        <v>41</v>
      </c>
      <c r="C440" s="35">
        <v>11090</v>
      </c>
    </row>
    <row r="441" spans="1:3" ht="18.75" x14ac:dyDescent="0.25">
      <c r="A441" s="30" t="s">
        <v>493</v>
      </c>
      <c r="B441" s="6">
        <v>50</v>
      </c>
      <c r="C441" s="35">
        <v>2415</v>
      </c>
    </row>
    <row r="442" spans="1:3" ht="18.75" x14ac:dyDescent="0.25">
      <c r="A442" s="30" t="s">
        <v>494</v>
      </c>
      <c r="B442" s="6">
        <v>41</v>
      </c>
      <c r="C442" s="35">
        <v>549</v>
      </c>
    </row>
    <row r="443" spans="1:3" ht="18.75" x14ac:dyDescent="0.25">
      <c r="A443" s="30" t="s">
        <v>495</v>
      </c>
      <c r="B443" s="6">
        <v>38</v>
      </c>
      <c r="C443" s="35">
        <v>54252</v>
      </c>
    </row>
    <row r="444" spans="1:3" ht="18.75" x14ac:dyDescent="0.25">
      <c r="A444" s="30" t="s">
        <v>496</v>
      </c>
      <c r="B444" s="6">
        <v>49</v>
      </c>
      <c r="C444" s="35">
        <v>1731</v>
      </c>
    </row>
    <row r="445" spans="1:3" ht="18.75" x14ac:dyDescent="0.25">
      <c r="A445" s="30" t="s">
        <v>497</v>
      </c>
      <c r="B445" s="6">
        <v>33</v>
      </c>
      <c r="C445" s="35">
        <v>3742</v>
      </c>
    </row>
    <row r="446" spans="1:3" ht="18.75" x14ac:dyDescent="0.25">
      <c r="A446" s="30" t="s">
        <v>498</v>
      </c>
      <c r="B446" s="6">
        <v>19</v>
      </c>
      <c r="C446" s="35">
        <v>3653</v>
      </c>
    </row>
    <row r="447" spans="1:3" ht="18.75" x14ac:dyDescent="0.25">
      <c r="A447" s="30" t="s">
        <v>499</v>
      </c>
      <c r="B447" s="6">
        <v>6</v>
      </c>
      <c r="C447" s="35">
        <v>69609</v>
      </c>
    </row>
    <row r="448" spans="1:3" ht="18.75" x14ac:dyDescent="0.25">
      <c r="A448" s="30" t="s">
        <v>500</v>
      </c>
      <c r="B448" s="6">
        <v>59</v>
      </c>
      <c r="C448" s="35">
        <v>2600</v>
      </c>
    </row>
    <row r="449" spans="1:3" ht="18.75" x14ac:dyDescent="0.25">
      <c r="A449" s="30" t="s">
        <v>501</v>
      </c>
      <c r="B449" s="6">
        <v>33</v>
      </c>
      <c r="C449" s="35">
        <v>3547</v>
      </c>
    </row>
    <row r="450" spans="1:3" ht="18.75" x14ac:dyDescent="0.25">
      <c r="A450" s="30" t="s">
        <v>502</v>
      </c>
      <c r="B450" s="6">
        <v>48</v>
      </c>
      <c r="C450" s="35">
        <v>24343</v>
      </c>
    </row>
    <row r="451" spans="1:3" ht="18.75" x14ac:dyDescent="0.25">
      <c r="A451" s="30" t="s">
        <v>503</v>
      </c>
      <c r="B451" s="6">
        <v>17</v>
      </c>
      <c r="C451" s="35">
        <v>7350</v>
      </c>
    </row>
    <row r="452" spans="1:3" ht="18.75" x14ac:dyDescent="0.25">
      <c r="A452" s="30" t="s">
        <v>504</v>
      </c>
      <c r="B452" s="6">
        <v>25</v>
      </c>
      <c r="C452" s="35">
        <v>3172</v>
      </c>
    </row>
    <row r="453" spans="1:3" ht="18.75" x14ac:dyDescent="0.25">
      <c r="A453" s="30" t="s">
        <v>505</v>
      </c>
      <c r="B453" s="6">
        <v>15</v>
      </c>
      <c r="C453" s="35">
        <v>10762</v>
      </c>
    </row>
    <row r="454" spans="1:3" ht="18.75" x14ac:dyDescent="0.25">
      <c r="A454" s="30" t="s">
        <v>506</v>
      </c>
      <c r="B454" s="6">
        <v>25</v>
      </c>
      <c r="C454" s="35">
        <v>36215</v>
      </c>
    </row>
    <row r="455" spans="1:3" ht="18.75" x14ac:dyDescent="0.25">
      <c r="A455" s="30" t="s">
        <v>507</v>
      </c>
      <c r="B455" s="6">
        <v>48</v>
      </c>
      <c r="C455" s="35">
        <v>1636</v>
      </c>
    </row>
    <row r="456" spans="1:3" ht="18.75" x14ac:dyDescent="0.25">
      <c r="A456" s="30" t="s">
        <v>508</v>
      </c>
      <c r="B456" s="6">
        <v>20</v>
      </c>
      <c r="C456" s="35">
        <v>2005</v>
      </c>
    </row>
    <row r="457" spans="1:3" ht="18.75" x14ac:dyDescent="0.25">
      <c r="A457" s="30" t="s">
        <v>509</v>
      </c>
      <c r="B457" s="6">
        <v>12</v>
      </c>
      <c r="C457" s="35">
        <v>2682</v>
      </c>
    </row>
    <row r="458" spans="1:3" ht="18.75" x14ac:dyDescent="0.25">
      <c r="A458" s="30" t="s">
        <v>510</v>
      </c>
      <c r="B458" s="6">
        <v>21</v>
      </c>
      <c r="C458" s="35">
        <v>4271</v>
      </c>
    </row>
    <row r="459" spans="1:3" ht="18.75" x14ac:dyDescent="0.25">
      <c r="A459" s="30" t="s">
        <v>511</v>
      </c>
      <c r="B459" s="6">
        <v>13</v>
      </c>
      <c r="C459" s="35">
        <v>1027</v>
      </c>
    </row>
    <row r="460" spans="1:3" ht="18.75" x14ac:dyDescent="0.25">
      <c r="A460" s="30" t="s">
        <v>512</v>
      </c>
      <c r="B460" s="6">
        <v>9</v>
      </c>
      <c r="C460" s="35">
        <v>4495</v>
      </c>
    </row>
    <row r="461" spans="1:3" ht="18.75" x14ac:dyDescent="0.25">
      <c r="A461" s="30" t="s">
        <v>513</v>
      </c>
      <c r="B461" s="6">
        <v>59</v>
      </c>
      <c r="C461" s="35">
        <v>1887</v>
      </c>
    </row>
    <row r="462" spans="1:3" ht="18.75" x14ac:dyDescent="0.25">
      <c r="A462" s="30" t="s">
        <v>514</v>
      </c>
      <c r="B462" s="6">
        <v>59</v>
      </c>
      <c r="C462" s="35">
        <v>3697</v>
      </c>
    </row>
    <row r="463" spans="1:3" ht="18.75" x14ac:dyDescent="0.25">
      <c r="A463" s="30" t="s">
        <v>515</v>
      </c>
      <c r="B463" s="6">
        <v>45</v>
      </c>
      <c r="C463" s="35">
        <v>2141</v>
      </c>
    </row>
    <row r="464" spans="1:3" ht="18.75" x14ac:dyDescent="0.25">
      <c r="A464" s="30" t="s">
        <v>516</v>
      </c>
      <c r="B464" s="6">
        <v>37</v>
      </c>
      <c r="C464" s="35">
        <v>2042</v>
      </c>
    </row>
    <row r="465" spans="1:3" ht="18.75" x14ac:dyDescent="0.25">
      <c r="A465" s="30" t="s">
        <v>517</v>
      </c>
      <c r="B465" s="6">
        <v>38</v>
      </c>
      <c r="C465" s="35">
        <v>70864</v>
      </c>
    </row>
    <row r="466" spans="1:3" ht="18.75" x14ac:dyDescent="0.25">
      <c r="A466" s="30" t="s">
        <v>518</v>
      </c>
      <c r="B466" s="6">
        <v>20</v>
      </c>
      <c r="C466" s="35">
        <v>18538</v>
      </c>
    </row>
    <row r="467" spans="1:3" ht="18.75" x14ac:dyDescent="0.25">
      <c r="A467" s="30" t="s">
        <v>519</v>
      </c>
      <c r="B467" s="6">
        <v>38</v>
      </c>
      <c r="C467" s="35">
        <v>7430</v>
      </c>
    </row>
    <row r="468" spans="1:3" ht="18.75" x14ac:dyDescent="0.25">
      <c r="A468" s="30" t="s">
        <v>520</v>
      </c>
      <c r="B468" s="6">
        <v>22</v>
      </c>
      <c r="C468" s="35">
        <v>32021</v>
      </c>
    </row>
    <row r="469" spans="1:3" ht="18.75" x14ac:dyDescent="0.25">
      <c r="A469" s="30" t="s">
        <v>521</v>
      </c>
      <c r="B469" s="6">
        <v>6</v>
      </c>
      <c r="C469" s="35">
        <v>2442</v>
      </c>
    </row>
    <row r="470" spans="1:3" ht="18.75" x14ac:dyDescent="0.25">
      <c r="A470" s="30" t="s">
        <v>522</v>
      </c>
      <c r="B470" s="6">
        <v>10</v>
      </c>
      <c r="C470" s="35">
        <v>2356</v>
      </c>
    </row>
    <row r="471" spans="1:3" ht="18.75" x14ac:dyDescent="0.25">
      <c r="A471" s="30" t="s">
        <v>523</v>
      </c>
      <c r="B471" s="6">
        <v>30</v>
      </c>
      <c r="C471" s="35">
        <v>1062</v>
      </c>
    </row>
    <row r="472" spans="1:3" ht="18.75" x14ac:dyDescent="0.25">
      <c r="A472" s="30" t="s">
        <v>524</v>
      </c>
      <c r="B472" s="6">
        <v>22</v>
      </c>
      <c r="C472" s="35">
        <v>581</v>
      </c>
    </row>
    <row r="473" spans="1:3" ht="18.75" x14ac:dyDescent="0.25">
      <c r="A473" s="30" t="s">
        <v>525</v>
      </c>
      <c r="B473" s="6">
        <v>40</v>
      </c>
      <c r="C473" s="35">
        <v>1570</v>
      </c>
    </row>
    <row r="474" spans="1:3" ht="18.75" x14ac:dyDescent="0.25">
      <c r="A474" s="30" t="s">
        <v>526</v>
      </c>
      <c r="B474" s="6">
        <v>27</v>
      </c>
      <c r="C474" s="35">
        <v>1976</v>
      </c>
    </row>
    <row r="475" spans="1:3" ht="18.75" x14ac:dyDescent="0.25">
      <c r="A475" s="30" t="s">
        <v>527</v>
      </c>
      <c r="B475" s="6">
        <v>6</v>
      </c>
      <c r="C475" s="35">
        <v>24419</v>
      </c>
    </row>
    <row r="476" spans="1:3" ht="18.75" x14ac:dyDescent="0.25">
      <c r="A476" s="30" t="s">
        <v>528</v>
      </c>
      <c r="B476" s="6">
        <v>22</v>
      </c>
      <c r="C476" s="35">
        <v>4004</v>
      </c>
    </row>
    <row r="477" spans="1:3" ht="18.75" x14ac:dyDescent="0.25">
      <c r="A477" s="30" t="s">
        <v>529</v>
      </c>
      <c r="B477" s="6">
        <v>11</v>
      </c>
      <c r="C477" s="35">
        <v>2878</v>
      </c>
    </row>
    <row r="478" spans="1:3" ht="18.75" x14ac:dyDescent="0.25">
      <c r="A478" s="30" t="s">
        <v>530</v>
      </c>
      <c r="B478" s="6">
        <v>20</v>
      </c>
      <c r="C478" s="35">
        <v>26588</v>
      </c>
    </row>
    <row r="479" spans="1:3" ht="18.75" x14ac:dyDescent="0.25">
      <c r="A479" s="30" t="s">
        <v>531</v>
      </c>
      <c r="B479" s="6">
        <v>5</v>
      </c>
      <c r="C479" s="35">
        <v>5489</v>
      </c>
    </row>
    <row r="480" spans="1:3" ht="18.75" x14ac:dyDescent="0.25">
      <c r="A480" s="30" t="s">
        <v>532</v>
      </c>
      <c r="B480" s="6">
        <v>50</v>
      </c>
      <c r="C480" s="35">
        <v>38940</v>
      </c>
    </row>
    <row r="481" spans="1:3" ht="18.75" x14ac:dyDescent="0.25">
      <c r="A481" s="30" t="s">
        <v>533</v>
      </c>
      <c r="B481" s="6">
        <v>6</v>
      </c>
      <c r="C481" s="35">
        <v>60707</v>
      </c>
    </row>
    <row r="482" spans="1:3" ht="18.75" x14ac:dyDescent="0.25">
      <c r="A482" s="30" t="s">
        <v>534</v>
      </c>
      <c r="B482" s="6">
        <v>11</v>
      </c>
      <c r="C482" s="35">
        <v>31624</v>
      </c>
    </row>
    <row r="483" spans="1:3" ht="18.75" x14ac:dyDescent="0.25">
      <c r="A483" s="30" t="s">
        <v>535</v>
      </c>
      <c r="B483" s="6">
        <v>32</v>
      </c>
      <c r="C483" s="35">
        <v>679</v>
      </c>
    </row>
    <row r="484" spans="1:3" ht="18.75" x14ac:dyDescent="0.25">
      <c r="A484" s="30" t="s">
        <v>536</v>
      </c>
      <c r="B484" s="6">
        <v>19</v>
      </c>
      <c r="C484" s="35">
        <v>961</v>
      </c>
    </row>
    <row r="485" spans="1:3" ht="18.75" x14ac:dyDescent="0.25">
      <c r="A485" s="30" t="s">
        <v>537</v>
      </c>
      <c r="B485" s="6">
        <v>54</v>
      </c>
      <c r="C485" s="35">
        <v>73748</v>
      </c>
    </row>
    <row r="486" spans="1:3" ht="18.75" x14ac:dyDescent="0.25">
      <c r="A486" s="30" t="s">
        <v>538</v>
      </c>
      <c r="B486" s="6">
        <v>19</v>
      </c>
      <c r="C486" s="35">
        <v>36513</v>
      </c>
    </row>
    <row r="487" spans="1:3" ht="18.75" x14ac:dyDescent="0.25">
      <c r="A487" s="30" t="s">
        <v>539</v>
      </c>
      <c r="B487" s="6">
        <v>27</v>
      </c>
      <c r="C487" s="35">
        <v>21269</v>
      </c>
    </row>
    <row r="488" spans="1:3" ht="18.75" x14ac:dyDescent="0.25">
      <c r="A488" s="30" t="s">
        <v>540</v>
      </c>
      <c r="B488" s="6">
        <v>48</v>
      </c>
      <c r="C488" s="35">
        <v>29442</v>
      </c>
    </row>
    <row r="489" spans="1:3" ht="18.75" x14ac:dyDescent="0.25">
      <c r="A489" s="30" t="s">
        <v>541</v>
      </c>
      <c r="B489" s="6">
        <v>33</v>
      </c>
      <c r="C489" s="35">
        <v>7106</v>
      </c>
    </row>
    <row r="490" spans="1:3" ht="18.75" x14ac:dyDescent="0.25">
      <c r="A490" s="30" t="s">
        <v>542</v>
      </c>
      <c r="B490" s="6">
        <v>7</v>
      </c>
      <c r="C490" s="35">
        <v>3740</v>
      </c>
    </row>
    <row r="491" spans="1:3" ht="18.75" x14ac:dyDescent="0.25">
      <c r="A491" s="30" t="s">
        <v>543</v>
      </c>
      <c r="B491" s="6">
        <v>14</v>
      </c>
      <c r="C491" s="35">
        <v>2136</v>
      </c>
    </row>
    <row r="492" spans="1:3" ht="18.75" x14ac:dyDescent="0.25">
      <c r="A492" s="30" t="s">
        <v>544</v>
      </c>
      <c r="B492" s="6">
        <v>15</v>
      </c>
      <c r="C492" s="35">
        <v>14145</v>
      </c>
    </row>
    <row r="493" spans="1:3" ht="18.75" x14ac:dyDescent="0.25">
      <c r="A493" s="30" t="s">
        <v>545</v>
      </c>
      <c r="B493" s="6">
        <v>21</v>
      </c>
      <c r="C493" s="35">
        <v>5298</v>
      </c>
    </row>
    <row r="494" spans="1:3" ht="18.75" x14ac:dyDescent="0.25">
      <c r="A494" s="30" t="s">
        <v>546</v>
      </c>
      <c r="B494" s="6">
        <v>36</v>
      </c>
      <c r="C494" s="35">
        <v>12628</v>
      </c>
    </row>
    <row r="495" spans="1:3" ht="18.75" x14ac:dyDescent="0.25">
      <c r="A495" s="30" t="s">
        <v>547</v>
      </c>
      <c r="B495" s="6">
        <v>52</v>
      </c>
      <c r="C495" s="35">
        <v>28107</v>
      </c>
    </row>
    <row r="496" spans="1:3" ht="18.75" x14ac:dyDescent="0.25">
      <c r="A496" s="30" t="s">
        <v>548</v>
      </c>
      <c r="B496" s="6">
        <v>12</v>
      </c>
      <c r="C496" s="35">
        <v>2026</v>
      </c>
    </row>
    <row r="497" spans="1:3" ht="18.75" x14ac:dyDescent="0.25">
      <c r="A497" s="30" t="s">
        <v>549</v>
      </c>
      <c r="B497" s="6">
        <v>21</v>
      </c>
      <c r="C497" s="35">
        <v>2884</v>
      </c>
    </row>
    <row r="498" spans="1:3" ht="18.75" x14ac:dyDescent="0.25">
      <c r="A498" s="30" t="s">
        <v>550</v>
      </c>
      <c r="B498" s="6">
        <v>21</v>
      </c>
      <c r="C498" s="35">
        <v>1122</v>
      </c>
    </row>
    <row r="499" spans="1:3" ht="18.75" x14ac:dyDescent="0.25">
      <c r="A499" s="30" t="s">
        <v>551</v>
      </c>
      <c r="B499" s="6">
        <v>58</v>
      </c>
      <c r="C499" s="35">
        <v>33311</v>
      </c>
    </row>
    <row r="500" spans="1:3" ht="18.75" x14ac:dyDescent="0.25">
      <c r="A500" s="30" t="s">
        <v>552</v>
      </c>
      <c r="B500" s="6">
        <v>13</v>
      </c>
      <c r="C500" s="35">
        <v>4331</v>
      </c>
    </row>
    <row r="501" spans="1:3" ht="18.75" x14ac:dyDescent="0.25">
      <c r="A501" s="30" t="s">
        <v>553</v>
      </c>
      <c r="B501" s="6">
        <v>51</v>
      </c>
      <c r="C501" s="35">
        <v>3228</v>
      </c>
    </row>
    <row r="502" spans="1:3" ht="18.75" x14ac:dyDescent="0.25">
      <c r="A502" s="32" t="s">
        <v>554</v>
      </c>
      <c r="B502" s="39">
        <v>39</v>
      </c>
      <c r="C502" s="40">
        <v>4950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DD9C-74E2-4D46-9591-C56983AE4629}">
  <sheetPr codeName="Sheet5"/>
  <dimension ref="A1:U2501"/>
  <sheetViews>
    <sheetView topLeftCell="A2492" zoomScaleNormal="100" workbookViewId="0">
      <selection activeCell="A2502" sqref="A2502:XFD2502"/>
    </sheetView>
  </sheetViews>
  <sheetFormatPr defaultRowHeight="15" x14ac:dyDescent="0.25"/>
  <cols>
    <col min="1" max="1" width="14.85546875" customWidth="1"/>
    <col min="2" max="2" width="17" bestFit="1" customWidth="1"/>
    <col min="3" max="3" width="12.42578125" style="11" customWidth="1"/>
    <col min="4" max="4" width="24.7109375" style="11" customWidth="1"/>
    <col min="5" max="5" width="15.7109375" style="11" bestFit="1" customWidth="1"/>
    <col min="6" max="6" width="10" style="11" customWidth="1"/>
    <col min="7" max="7" width="8.5703125" style="11" customWidth="1"/>
    <col min="8" max="8" width="21.42578125" style="11" customWidth="1"/>
    <col min="9" max="9" width="11.28515625" style="11" customWidth="1"/>
    <col min="10" max="10" width="6" style="1" customWidth="1"/>
    <col min="11" max="11" width="13" style="144" customWidth="1"/>
    <col min="12" max="12" width="12.42578125" style="144" customWidth="1"/>
    <col min="13" max="13" width="8.42578125" style="66" customWidth="1"/>
    <col min="14" max="14" width="9" style="144" customWidth="1"/>
    <col min="15" max="15" width="8.28515625" style="8" customWidth="1"/>
    <col min="16" max="16" width="14.85546875" style="144" bestFit="1" customWidth="1"/>
    <col min="17" max="17" width="13.7109375" style="8" customWidth="1"/>
    <col min="18" max="18" width="11" customWidth="1"/>
    <col min="19" max="19" width="6.42578125" customWidth="1"/>
    <col min="20" max="20" width="13.28515625" customWidth="1"/>
    <col min="21" max="21" width="16" customWidth="1"/>
  </cols>
  <sheetData>
    <row r="1" spans="1:21" s="22" customFormat="1" ht="28.5" x14ac:dyDescent="0.45">
      <c r="A1" s="189" t="s">
        <v>8775</v>
      </c>
      <c r="B1" s="189"/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</row>
    <row r="2" spans="1:21" s="135" customFormat="1" ht="57.75" customHeight="1" thickBot="1" x14ac:dyDescent="0.3">
      <c r="A2" s="128" t="s">
        <v>8778</v>
      </c>
      <c r="B2" s="129" t="s">
        <v>8779</v>
      </c>
      <c r="C2" s="129" t="s">
        <v>8763</v>
      </c>
      <c r="D2" s="129" t="s">
        <v>8765</v>
      </c>
      <c r="E2" s="129" t="s">
        <v>8766</v>
      </c>
      <c r="F2" s="129" t="s">
        <v>562</v>
      </c>
      <c r="G2" s="129" t="s">
        <v>563</v>
      </c>
      <c r="H2" s="129" t="s">
        <v>8790</v>
      </c>
      <c r="I2" s="129" t="s">
        <v>555</v>
      </c>
      <c r="J2" s="130" t="s">
        <v>1016</v>
      </c>
      <c r="K2" s="142" t="s">
        <v>8753</v>
      </c>
      <c r="L2" s="142" t="s">
        <v>8736</v>
      </c>
      <c r="M2" s="132" t="s">
        <v>8878</v>
      </c>
      <c r="N2" s="142" t="s">
        <v>8879</v>
      </c>
      <c r="O2" s="131" t="s">
        <v>8780</v>
      </c>
      <c r="P2" s="142" t="s">
        <v>8782</v>
      </c>
      <c r="Q2" s="131" t="s">
        <v>8769</v>
      </c>
      <c r="R2" s="129" t="s">
        <v>1017</v>
      </c>
      <c r="S2" s="133" t="s">
        <v>8767</v>
      </c>
      <c r="T2" s="134" t="s">
        <v>8737</v>
      </c>
      <c r="U2" s="134" t="s">
        <v>8718</v>
      </c>
    </row>
    <row r="3" spans="1:21" ht="19.5" thickBot="1" x14ac:dyDescent="0.3">
      <c r="A3" s="136" t="s">
        <v>1018</v>
      </c>
      <c r="B3" s="137">
        <v>45658</v>
      </c>
      <c r="C3" s="138" t="s">
        <v>608</v>
      </c>
      <c r="D3" s="138" t="str">
        <f>VLOOKUP(Purchase[[#This Row],[Supplier ID]],Supplier[#All],2,0)</f>
        <v>Global Suppliers</v>
      </c>
      <c r="E3" s="138">
        <f>VLOOKUP(Purchase[[#This Row],[Supplier ID]],Supplier[#All],3,0)</f>
        <v>9689542499</v>
      </c>
      <c r="F3" s="138" t="str">
        <f>VLOOKUP(Purchase[[#This Row],[Supplier ID]],Supplier[#All],4,0)</f>
        <v>Korba</v>
      </c>
      <c r="G3" s="138" t="str">
        <f>VLOOKUP(Purchase[[#This Row],[Supplier ID]],Supplier[#All],5,0)</f>
        <v>CG</v>
      </c>
      <c r="H3" s="138" t="str">
        <f>VLOOKUP(Purchase[[#This Row],[Supplier ID]],Supplier[#All],6,0)</f>
        <v>GST2154521T053</v>
      </c>
      <c r="I3" s="138" t="s">
        <v>224</v>
      </c>
      <c r="J3" s="139">
        <v>39</v>
      </c>
      <c r="K3" s="143">
        <f>VLOOKUP(Purchase[[#This Row],[Product ID]],Product[#All],6,0)</f>
        <v>6591</v>
      </c>
      <c r="L3" s="143">
        <f>Purchase[[#This Row],[Purchase Rate]]*Purchase[[#This Row],[Qty]]</f>
        <v>257049</v>
      </c>
      <c r="M3" s="140">
        <v>0</v>
      </c>
      <c r="N3" s="143">
        <v>0</v>
      </c>
      <c r="O3" s="140">
        <v>0.18</v>
      </c>
      <c r="P3" s="145">
        <f>(Purchase[[#This Row],[Gross Amount]]-Purchase[[#This Row],[Disct %]])*Purchase[[#This Row],[GST %]]</f>
        <v>46268.82</v>
      </c>
      <c r="Q3" s="145">
        <f>Purchase[[#This Row],[Gross Amount]]-Purchase[[#This Row],[Disct Amnt]]+Purchase[[#This Row],[GST Amount]]</f>
        <v>303317.82</v>
      </c>
      <c r="R3" s="138" t="s">
        <v>1019</v>
      </c>
      <c r="S3" s="41">
        <f>IF(Purchase[[#This Row],[Status]]="Cancelled",0,Purchase[[#This Row],[Qty]])</f>
        <v>39</v>
      </c>
      <c r="T3" s="146">
        <f>IF(Purchase[[#This Row],[Status]]="Cancelled",0,Purchase[[#This Row],[Total Amount]])</f>
        <v>303317.82</v>
      </c>
      <c r="U3" s="146">
        <f>SUM(Purchase[Net Amount])</f>
        <v>814985438.68000126</v>
      </c>
    </row>
    <row r="4" spans="1:21" ht="19.5" thickBot="1" x14ac:dyDescent="0.3">
      <c r="A4" s="136" t="s">
        <v>1020</v>
      </c>
      <c r="B4" s="137">
        <v>45658</v>
      </c>
      <c r="C4" s="138" t="s">
        <v>567</v>
      </c>
      <c r="D4" s="138" t="str">
        <f>VLOOKUP(Purchase[[#This Row],[Supplier ID]],Supplier[#All],2,0)</f>
        <v>National Distributors</v>
      </c>
      <c r="E4" s="138">
        <f>VLOOKUP(Purchase[[#This Row],[Supplier ID]],Supplier[#All],3,0)</f>
        <v>9689542453</v>
      </c>
      <c r="F4" s="138" t="str">
        <f>VLOOKUP(Purchase[[#This Row],[Supplier ID]],Supplier[#All],4,0)</f>
        <v>Korba</v>
      </c>
      <c r="G4" s="138" t="str">
        <f>VLOOKUP(Purchase[[#This Row],[Supplier ID]],Supplier[#All],5,0)</f>
        <v>CG</v>
      </c>
      <c r="H4" s="138" t="str">
        <f>VLOOKUP(Purchase[[#This Row],[Supplier ID]],Supplier[#All],6,0)</f>
        <v>GST2154521T015</v>
      </c>
      <c r="I4" s="138" t="s">
        <v>330</v>
      </c>
      <c r="J4" s="139">
        <v>27</v>
      </c>
      <c r="K4" s="143">
        <f>VLOOKUP(Purchase[[#This Row],[Product ID]],Product[#All],6,0)</f>
        <v>4133</v>
      </c>
      <c r="L4" s="143">
        <f>Purchase[[#This Row],[Purchase Rate]]*Purchase[[#This Row],[Qty]]</f>
        <v>111591</v>
      </c>
      <c r="M4" s="140">
        <v>0</v>
      </c>
      <c r="N4" s="143">
        <v>0</v>
      </c>
      <c r="O4" s="140">
        <v>0.18</v>
      </c>
      <c r="P4" s="145">
        <f>(Purchase[[#This Row],[Gross Amount]]-Purchase[[#This Row],[Disct %]])*Purchase[[#This Row],[GST %]]</f>
        <v>20086.38</v>
      </c>
      <c r="Q4" s="145">
        <f>Purchase[[#This Row],[Gross Amount]]-Purchase[[#This Row],[Disct Amnt]]+Purchase[[#This Row],[GST Amount]]</f>
        <v>131677.38</v>
      </c>
      <c r="R4" s="138" t="s">
        <v>1019</v>
      </c>
      <c r="S4" s="41">
        <f>IF(Purchase[[#This Row],[Status]]="Cancelled",0,Purchase[[#This Row],[Qty]])</f>
        <v>27</v>
      </c>
      <c r="T4" s="146">
        <f>IF(Purchase[[#This Row],[Status]]="Cancelled",0,Purchase[[#This Row],[Total Amount]])</f>
        <v>131677.38</v>
      </c>
      <c r="U4" s="146">
        <f>SUM(Purchase[Net Amount])</f>
        <v>814985438.68000126</v>
      </c>
    </row>
    <row r="5" spans="1:21" ht="19.5" thickBot="1" x14ac:dyDescent="0.3">
      <c r="A5" s="136" t="s">
        <v>1021</v>
      </c>
      <c r="B5" s="137">
        <v>45658</v>
      </c>
      <c r="C5" s="138" t="s">
        <v>610</v>
      </c>
      <c r="D5" s="138" t="str">
        <f>VLOOKUP(Purchase[[#This Row],[Supplier ID]],Supplier[#All],2,0)</f>
        <v>Shree Electronics</v>
      </c>
      <c r="E5" s="138">
        <f>VLOOKUP(Purchase[[#This Row],[Supplier ID]],Supplier[#All],3,0)</f>
        <v>9689542493</v>
      </c>
      <c r="F5" s="138" t="str">
        <f>VLOOKUP(Purchase[[#This Row],[Supplier ID]],Supplier[#All],4,0)</f>
        <v>Kanpur</v>
      </c>
      <c r="G5" s="138" t="str">
        <f>VLOOKUP(Purchase[[#This Row],[Supplier ID]],Supplier[#All],5,0)</f>
        <v>UP</v>
      </c>
      <c r="H5" s="138" t="str">
        <f>VLOOKUP(Purchase[[#This Row],[Supplier ID]],Supplier[#All],6,0)</f>
        <v>GST2154521T055</v>
      </c>
      <c r="I5" s="138" t="s">
        <v>550</v>
      </c>
      <c r="J5" s="139">
        <v>31</v>
      </c>
      <c r="K5" s="143">
        <f>VLOOKUP(Purchase[[#This Row],[Product ID]],Product[#All],6,0)</f>
        <v>1122</v>
      </c>
      <c r="L5" s="143">
        <f>Purchase[[#This Row],[Purchase Rate]]*Purchase[[#This Row],[Qty]]</f>
        <v>34782</v>
      </c>
      <c r="M5" s="140">
        <v>0</v>
      </c>
      <c r="N5" s="143">
        <v>0</v>
      </c>
      <c r="O5" s="140">
        <v>0.18</v>
      </c>
      <c r="P5" s="145">
        <f>(Purchase[[#This Row],[Gross Amount]]-Purchase[[#This Row],[Disct %]])*Purchase[[#This Row],[GST %]]</f>
        <v>6260.76</v>
      </c>
      <c r="Q5" s="145">
        <f>Purchase[[#This Row],[Gross Amount]]-Purchase[[#This Row],[Disct Amnt]]+Purchase[[#This Row],[GST Amount]]</f>
        <v>41042.76</v>
      </c>
      <c r="R5" s="138" t="s">
        <v>1019</v>
      </c>
      <c r="S5" s="41">
        <f>IF(Purchase[[#This Row],[Status]]="Cancelled",0,Purchase[[#This Row],[Qty]])</f>
        <v>31</v>
      </c>
      <c r="T5" s="146">
        <f>IF(Purchase[[#This Row],[Status]]="Cancelled",0,Purchase[[#This Row],[Total Amount]])</f>
        <v>41042.76</v>
      </c>
      <c r="U5" s="146">
        <f>SUM(Purchase[Net Amount])</f>
        <v>814985438.68000126</v>
      </c>
    </row>
    <row r="6" spans="1:21" ht="19.5" thickBot="1" x14ac:dyDescent="0.3">
      <c r="A6" s="136" t="s">
        <v>1022</v>
      </c>
      <c r="B6" s="137">
        <v>45658</v>
      </c>
      <c r="C6" s="138" t="s">
        <v>602</v>
      </c>
      <c r="D6" s="138" t="str">
        <f>VLOOKUP(Purchase[[#This Row],[Supplier ID]],Supplier[#All],2,0)</f>
        <v>Maa Computers</v>
      </c>
      <c r="E6" s="138">
        <f>VLOOKUP(Purchase[[#This Row],[Supplier ID]],Supplier[#All],3,0)</f>
        <v>9689542485</v>
      </c>
      <c r="F6" s="138" t="str">
        <f>VLOOKUP(Purchase[[#This Row],[Supplier ID]],Supplier[#All],4,0)</f>
        <v>Korba</v>
      </c>
      <c r="G6" s="138" t="str">
        <f>VLOOKUP(Purchase[[#This Row],[Supplier ID]],Supplier[#All],5,0)</f>
        <v>CG</v>
      </c>
      <c r="H6" s="138" t="str">
        <f>VLOOKUP(Purchase[[#This Row],[Supplier ID]],Supplier[#All],6,0)</f>
        <v>GST2154521T047</v>
      </c>
      <c r="I6" s="138" t="s">
        <v>338</v>
      </c>
      <c r="J6" s="139">
        <v>40</v>
      </c>
      <c r="K6" s="143">
        <f>VLOOKUP(Purchase[[#This Row],[Product ID]],Product[#All],6,0)</f>
        <v>10799</v>
      </c>
      <c r="L6" s="143">
        <f>Purchase[[#This Row],[Purchase Rate]]*Purchase[[#This Row],[Qty]]</f>
        <v>431960</v>
      </c>
      <c r="M6" s="140">
        <v>0</v>
      </c>
      <c r="N6" s="143">
        <v>0</v>
      </c>
      <c r="O6" s="140">
        <v>0.18</v>
      </c>
      <c r="P6" s="145">
        <f>(Purchase[[#This Row],[Gross Amount]]-Purchase[[#This Row],[Disct %]])*Purchase[[#This Row],[GST %]]</f>
        <v>77752.800000000003</v>
      </c>
      <c r="Q6" s="145">
        <f>Purchase[[#This Row],[Gross Amount]]-Purchase[[#This Row],[Disct Amnt]]+Purchase[[#This Row],[GST Amount]]</f>
        <v>509712.8</v>
      </c>
      <c r="R6" s="138" t="s">
        <v>1019</v>
      </c>
      <c r="S6" s="41">
        <f>IF(Purchase[[#This Row],[Status]]="Cancelled",0,Purchase[[#This Row],[Qty]])</f>
        <v>40</v>
      </c>
      <c r="T6" s="146">
        <f>IF(Purchase[[#This Row],[Status]]="Cancelled",0,Purchase[[#This Row],[Total Amount]])</f>
        <v>509712.8</v>
      </c>
      <c r="U6" s="146">
        <f>SUM(Purchase[Net Amount])</f>
        <v>814985438.68000126</v>
      </c>
    </row>
    <row r="7" spans="1:21" ht="19.5" thickBot="1" x14ac:dyDescent="0.3">
      <c r="A7" s="136" t="s">
        <v>1023</v>
      </c>
      <c r="B7" s="137">
        <v>45658</v>
      </c>
      <c r="C7" s="138" t="s">
        <v>579</v>
      </c>
      <c r="D7" s="138" t="str">
        <f>VLOOKUP(Purchase[[#This Row],[Supplier ID]],Supplier[#All],2,0)</f>
        <v>Tech Traders</v>
      </c>
      <c r="E7" s="138">
        <f>VLOOKUP(Purchase[[#This Row],[Supplier ID]],Supplier[#All],3,0)</f>
        <v>9689542463</v>
      </c>
      <c r="F7" s="138" t="str">
        <f>VLOOKUP(Purchase[[#This Row],[Supplier ID]],Supplier[#All],4,0)</f>
        <v>Kanpur</v>
      </c>
      <c r="G7" s="138" t="str">
        <f>VLOOKUP(Purchase[[#This Row],[Supplier ID]],Supplier[#All],5,0)</f>
        <v>UP</v>
      </c>
      <c r="H7" s="138" t="str">
        <f>VLOOKUP(Purchase[[#This Row],[Supplier ID]],Supplier[#All],6,0)</f>
        <v>GST2154521T025</v>
      </c>
      <c r="I7" s="138" t="s">
        <v>238</v>
      </c>
      <c r="J7" s="139">
        <v>36</v>
      </c>
      <c r="K7" s="143">
        <f>VLOOKUP(Purchase[[#This Row],[Product ID]],Product[#All],6,0)</f>
        <v>6619</v>
      </c>
      <c r="L7" s="143">
        <f>Purchase[[#This Row],[Purchase Rate]]*Purchase[[#This Row],[Qty]]</f>
        <v>238284</v>
      </c>
      <c r="M7" s="140">
        <v>0</v>
      </c>
      <c r="N7" s="143">
        <v>0</v>
      </c>
      <c r="O7" s="140">
        <v>0.18</v>
      </c>
      <c r="P7" s="145">
        <f>(Purchase[[#This Row],[Gross Amount]]-Purchase[[#This Row],[Disct %]])*Purchase[[#This Row],[GST %]]</f>
        <v>42891.119999999995</v>
      </c>
      <c r="Q7" s="145">
        <f>Purchase[[#This Row],[Gross Amount]]-Purchase[[#This Row],[Disct Amnt]]+Purchase[[#This Row],[GST Amount]]</f>
        <v>281175.12</v>
      </c>
      <c r="R7" s="138" t="s">
        <v>1019</v>
      </c>
      <c r="S7" s="41">
        <f>IF(Purchase[[#This Row],[Status]]="Cancelled",0,Purchase[[#This Row],[Qty]])</f>
        <v>36</v>
      </c>
      <c r="T7" s="146">
        <f>IF(Purchase[[#This Row],[Status]]="Cancelled",0,Purchase[[#This Row],[Total Amount]])</f>
        <v>281175.12</v>
      </c>
      <c r="U7" s="146">
        <f>SUM(Purchase[Net Amount])</f>
        <v>814985438.68000126</v>
      </c>
    </row>
    <row r="8" spans="1:21" ht="19.5" thickBot="1" x14ac:dyDescent="0.3">
      <c r="A8" s="136" t="s">
        <v>1024</v>
      </c>
      <c r="B8" s="137">
        <v>45658</v>
      </c>
      <c r="C8" s="138" t="s">
        <v>589</v>
      </c>
      <c r="D8" s="138" t="str">
        <f>VLOOKUP(Purchase[[#This Row],[Supplier ID]],Supplier[#All],2,0)</f>
        <v>Maa Computers</v>
      </c>
      <c r="E8" s="138">
        <f>VLOOKUP(Purchase[[#This Row],[Supplier ID]],Supplier[#All],3,0)</f>
        <v>9689542473</v>
      </c>
      <c r="F8" s="138" t="str">
        <f>VLOOKUP(Purchase[[#This Row],[Supplier ID]],Supplier[#All],4,0)</f>
        <v>Kanpur</v>
      </c>
      <c r="G8" s="138" t="str">
        <f>VLOOKUP(Purchase[[#This Row],[Supplier ID]],Supplier[#All],5,0)</f>
        <v>UP</v>
      </c>
      <c r="H8" s="138" t="str">
        <f>VLOOKUP(Purchase[[#This Row],[Supplier ID]],Supplier[#All],6,0)</f>
        <v>GST2154521T035</v>
      </c>
      <c r="I8" s="138" t="s">
        <v>298</v>
      </c>
      <c r="J8" s="139">
        <v>5</v>
      </c>
      <c r="K8" s="143">
        <f>VLOOKUP(Purchase[[#This Row],[Product ID]],Product[#All],6,0)</f>
        <v>19959</v>
      </c>
      <c r="L8" s="143">
        <f>Purchase[[#This Row],[Purchase Rate]]*Purchase[[#This Row],[Qty]]</f>
        <v>99795</v>
      </c>
      <c r="M8" s="140">
        <v>0</v>
      </c>
      <c r="N8" s="143">
        <v>0</v>
      </c>
      <c r="O8" s="140">
        <v>0.18</v>
      </c>
      <c r="P8" s="145">
        <f>(Purchase[[#This Row],[Gross Amount]]-Purchase[[#This Row],[Disct %]])*Purchase[[#This Row],[GST %]]</f>
        <v>17963.099999999999</v>
      </c>
      <c r="Q8" s="145">
        <f>Purchase[[#This Row],[Gross Amount]]-Purchase[[#This Row],[Disct Amnt]]+Purchase[[#This Row],[GST Amount]]</f>
        <v>117758.1</v>
      </c>
      <c r="R8" s="138" t="s">
        <v>1019</v>
      </c>
      <c r="S8" s="41">
        <f>IF(Purchase[[#This Row],[Status]]="Cancelled",0,Purchase[[#This Row],[Qty]])</f>
        <v>5</v>
      </c>
      <c r="T8" s="146">
        <f>IF(Purchase[[#This Row],[Status]]="Cancelled",0,Purchase[[#This Row],[Total Amount]])</f>
        <v>117758.1</v>
      </c>
      <c r="U8" s="146">
        <f>SUM(Purchase[Net Amount])</f>
        <v>814985438.68000126</v>
      </c>
    </row>
    <row r="9" spans="1:21" ht="19.5" thickBot="1" x14ac:dyDescent="0.3">
      <c r="A9" s="136" t="s">
        <v>1025</v>
      </c>
      <c r="B9" s="137">
        <v>45658</v>
      </c>
      <c r="C9" s="138" t="s">
        <v>613</v>
      </c>
      <c r="D9" s="138" t="str">
        <f>VLOOKUP(Purchase[[#This Row],[Supplier ID]],Supplier[#All],2,0)</f>
        <v>National Traders</v>
      </c>
      <c r="E9" s="138">
        <f>VLOOKUP(Purchase[[#This Row],[Supplier ID]],Supplier[#All],3,0)</f>
        <v>9689542496</v>
      </c>
      <c r="F9" s="138" t="str">
        <f>VLOOKUP(Purchase[[#This Row],[Supplier ID]],Supplier[#All],4,0)</f>
        <v>Indore</v>
      </c>
      <c r="G9" s="138" t="str">
        <f>VLOOKUP(Purchase[[#This Row],[Supplier ID]],Supplier[#All],5,0)</f>
        <v>MP</v>
      </c>
      <c r="H9" s="138" t="str">
        <f>VLOOKUP(Purchase[[#This Row],[Supplier ID]],Supplier[#All],6,0)</f>
        <v>GST2154521T058</v>
      </c>
      <c r="I9" s="138" t="s">
        <v>536</v>
      </c>
      <c r="J9" s="139">
        <v>15</v>
      </c>
      <c r="K9" s="143">
        <f>VLOOKUP(Purchase[[#This Row],[Product ID]],Product[#All],6,0)</f>
        <v>961</v>
      </c>
      <c r="L9" s="143">
        <f>Purchase[[#This Row],[Purchase Rate]]*Purchase[[#This Row],[Qty]]</f>
        <v>14415</v>
      </c>
      <c r="M9" s="140">
        <v>0</v>
      </c>
      <c r="N9" s="143">
        <v>0</v>
      </c>
      <c r="O9" s="140">
        <v>0.18</v>
      </c>
      <c r="P9" s="145">
        <f>(Purchase[[#This Row],[Gross Amount]]-Purchase[[#This Row],[Disct %]])*Purchase[[#This Row],[GST %]]</f>
        <v>2594.6999999999998</v>
      </c>
      <c r="Q9" s="145">
        <f>Purchase[[#This Row],[Gross Amount]]-Purchase[[#This Row],[Disct Amnt]]+Purchase[[#This Row],[GST Amount]]</f>
        <v>17009.7</v>
      </c>
      <c r="R9" s="138" t="s">
        <v>1019</v>
      </c>
      <c r="S9" s="41">
        <f>IF(Purchase[[#This Row],[Status]]="Cancelled",0,Purchase[[#This Row],[Qty]])</f>
        <v>15</v>
      </c>
      <c r="T9" s="146">
        <f>IF(Purchase[[#This Row],[Status]]="Cancelled",0,Purchase[[#This Row],[Total Amount]])</f>
        <v>17009.7</v>
      </c>
      <c r="U9" s="146">
        <f>SUM(Purchase[Net Amount])</f>
        <v>814985438.68000126</v>
      </c>
    </row>
    <row r="10" spans="1:21" ht="19.5" thickBot="1" x14ac:dyDescent="0.3">
      <c r="A10" s="136" t="s">
        <v>1026</v>
      </c>
      <c r="B10" s="137">
        <v>45658</v>
      </c>
      <c r="C10" s="138" t="s">
        <v>584</v>
      </c>
      <c r="D10" s="138" t="str">
        <f>VLOOKUP(Purchase[[#This Row],[Supplier ID]],Supplier[#All],2,0)</f>
        <v>Prime Computers</v>
      </c>
      <c r="E10" s="138">
        <f>VLOOKUP(Purchase[[#This Row],[Supplier ID]],Supplier[#All],3,0)</f>
        <v>9689542468</v>
      </c>
      <c r="F10" s="138" t="str">
        <f>VLOOKUP(Purchase[[#This Row],[Supplier ID]],Supplier[#All],4,0)</f>
        <v>Kanpur</v>
      </c>
      <c r="G10" s="138" t="str">
        <f>VLOOKUP(Purchase[[#This Row],[Supplier ID]],Supplier[#All],5,0)</f>
        <v>UP</v>
      </c>
      <c r="H10" s="138" t="str">
        <f>VLOOKUP(Purchase[[#This Row],[Supplier ID]],Supplier[#All],6,0)</f>
        <v>GST2154521T030</v>
      </c>
      <c r="I10" s="138" t="s">
        <v>485</v>
      </c>
      <c r="J10" s="139">
        <v>16</v>
      </c>
      <c r="K10" s="143">
        <f>VLOOKUP(Purchase[[#This Row],[Product ID]],Product[#All],6,0)</f>
        <v>42398</v>
      </c>
      <c r="L10" s="143">
        <f>Purchase[[#This Row],[Purchase Rate]]*Purchase[[#This Row],[Qty]]</f>
        <v>678368</v>
      </c>
      <c r="M10" s="140">
        <v>0</v>
      </c>
      <c r="N10" s="143">
        <v>0</v>
      </c>
      <c r="O10" s="140">
        <v>0.18</v>
      </c>
      <c r="P10" s="145">
        <f>(Purchase[[#This Row],[Gross Amount]]-Purchase[[#This Row],[Disct %]])*Purchase[[#This Row],[GST %]]</f>
        <v>122106.23999999999</v>
      </c>
      <c r="Q10" s="145">
        <f>Purchase[[#This Row],[Gross Amount]]-Purchase[[#This Row],[Disct Amnt]]+Purchase[[#This Row],[GST Amount]]</f>
        <v>800474.24</v>
      </c>
      <c r="R10" s="138" t="s">
        <v>1019</v>
      </c>
      <c r="S10" s="41">
        <f>IF(Purchase[[#This Row],[Status]]="Cancelled",0,Purchase[[#This Row],[Qty]])</f>
        <v>16</v>
      </c>
      <c r="T10" s="146">
        <f>IF(Purchase[[#This Row],[Status]]="Cancelled",0,Purchase[[#This Row],[Total Amount]])</f>
        <v>800474.24</v>
      </c>
      <c r="U10" s="146">
        <f>SUM(Purchase[Net Amount])</f>
        <v>814985438.68000126</v>
      </c>
    </row>
    <row r="11" spans="1:21" ht="19.5" thickBot="1" x14ac:dyDescent="0.3">
      <c r="A11" s="136" t="s">
        <v>1027</v>
      </c>
      <c r="B11" s="137">
        <v>45658</v>
      </c>
      <c r="C11" s="138" t="s">
        <v>607</v>
      </c>
      <c r="D11" s="138" t="str">
        <f>VLOOKUP(Purchase[[#This Row],[Supplier ID]],Supplier[#All],2,0)</f>
        <v>Global Distributors</v>
      </c>
      <c r="E11" s="138">
        <f>VLOOKUP(Purchase[[#This Row],[Supplier ID]],Supplier[#All],3,0)</f>
        <v>9689542490</v>
      </c>
      <c r="F11" s="138" t="str">
        <f>VLOOKUP(Purchase[[#This Row],[Supplier ID]],Supplier[#All],4,0)</f>
        <v>Kanpur</v>
      </c>
      <c r="G11" s="138" t="str">
        <f>VLOOKUP(Purchase[[#This Row],[Supplier ID]],Supplier[#All],5,0)</f>
        <v>UP</v>
      </c>
      <c r="H11" s="138" t="str">
        <f>VLOOKUP(Purchase[[#This Row],[Supplier ID]],Supplier[#All],6,0)</f>
        <v>GST2154521T052</v>
      </c>
      <c r="I11" s="138" t="s">
        <v>548</v>
      </c>
      <c r="J11" s="139">
        <v>2</v>
      </c>
      <c r="K11" s="143">
        <f>VLOOKUP(Purchase[[#This Row],[Product ID]],Product[#All],6,0)</f>
        <v>2026</v>
      </c>
      <c r="L11" s="143">
        <f>Purchase[[#This Row],[Purchase Rate]]*Purchase[[#This Row],[Qty]]</f>
        <v>4052</v>
      </c>
      <c r="M11" s="140">
        <v>0</v>
      </c>
      <c r="N11" s="143">
        <v>0</v>
      </c>
      <c r="O11" s="140">
        <v>0.18</v>
      </c>
      <c r="P11" s="145">
        <f>(Purchase[[#This Row],[Gross Amount]]-Purchase[[#This Row],[Disct %]])*Purchase[[#This Row],[GST %]]</f>
        <v>729.36</v>
      </c>
      <c r="Q11" s="145">
        <f>Purchase[[#This Row],[Gross Amount]]-Purchase[[#This Row],[Disct Amnt]]+Purchase[[#This Row],[GST Amount]]</f>
        <v>4781.3599999999997</v>
      </c>
      <c r="R11" s="138" t="s">
        <v>1019</v>
      </c>
      <c r="S11" s="41">
        <f>IF(Purchase[[#This Row],[Status]]="Cancelled",0,Purchase[[#This Row],[Qty]])</f>
        <v>2</v>
      </c>
      <c r="T11" s="146">
        <f>IF(Purchase[[#This Row],[Status]]="Cancelled",0,Purchase[[#This Row],[Total Amount]])</f>
        <v>4781.3599999999997</v>
      </c>
      <c r="U11" s="146">
        <f>SUM(Purchase[Net Amount])</f>
        <v>814985438.68000126</v>
      </c>
    </row>
    <row r="12" spans="1:21" ht="19.5" thickBot="1" x14ac:dyDescent="0.3">
      <c r="A12" s="136" t="s">
        <v>1028</v>
      </c>
      <c r="B12" s="137">
        <v>45658</v>
      </c>
      <c r="C12" s="138" t="s">
        <v>613</v>
      </c>
      <c r="D12" s="138" t="str">
        <f>VLOOKUP(Purchase[[#This Row],[Supplier ID]],Supplier[#All],2,0)</f>
        <v>National Traders</v>
      </c>
      <c r="E12" s="138">
        <f>VLOOKUP(Purchase[[#This Row],[Supplier ID]],Supplier[#All],3,0)</f>
        <v>9689542496</v>
      </c>
      <c r="F12" s="138" t="str">
        <f>VLOOKUP(Purchase[[#This Row],[Supplier ID]],Supplier[#All],4,0)</f>
        <v>Indore</v>
      </c>
      <c r="G12" s="138" t="str">
        <f>VLOOKUP(Purchase[[#This Row],[Supplier ID]],Supplier[#All],5,0)</f>
        <v>MP</v>
      </c>
      <c r="H12" s="138" t="str">
        <f>VLOOKUP(Purchase[[#This Row],[Supplier ID]],Supplier[#All],6,0)</f>
        <v>GST2154521T058</v>
      </c>
      <c r="I12" s="138" t="s">
        <v>393</v>
      </c>
      <c r="J12" s="139">
        <v>11</v>
      </c>
      <c r="K12" s="143">
        <f>VLOOKUP(Purchase[[#This Row],[Product ID]],Product[#All],6,0)</f>
        <v>2584</v>
      </c>
      <c r="L12" s="143">
        <f>Purchase[[#This Row],[Purchase Rate]]*Purchase[[#This Row],[Qty]]</f>
        <v>28424</v>
      </c>
      <c r="M12" s="140">
        <v>0</v>
      </c>
      <c r="N12" s="143">
        <v>0</v>
      </c>
      <c r="O12" s="140">
        <v>0.18</v>
      </c>
      <c r="P12" s="145">
        <f>(Purchase[[#This Row],[Gross Amount]]-Purchase[[#This Row],[Disct %]])*Purchase[[#This Row],[GST %]]</f>
        <v>5116.32</v>
      </c>
      <c r="Q12" s="145">
        <f>Purchase[[#This Row],[Gross Amount]]-Purchase[[#This Row],[Disct Amnt]]+Purchase[[#This Row],[GST Amount]]</f>
        <v>33540.32</v>
      </c>
      <c r="R12" s="138" t="s">
        <v>1019</v>
      </c>
      <c r="S12" s="41">
        <f>IF(Purchase[[#This Row],[Status]]="Cancelled",0,Purchase[[#This Row],[Qty]])</f>
        <v>11</v>
      </c>
      <c r="T12" s="146">
        <f>IF(Purchase[[#This Row],[Status]]="Cancelled",0,Purchase[[#This Row],[Total Amount]])</f>
        <v>33540.32</v>
      </c>
      <c r="U12" s="146">
        <f>SUM(Purchase[Net Amount])</f>
        <v>814985438.68000126</v>
      </c>
    </row>
    <row r="13" spans="1:21" ht="19.5" thickBot="1" x14ac:dyDescent="0.3">
      <c r="A13" s="136" t="s">
        <v>1029</v>
      </c>
      <c r="B13" s="137">
        <v>45658</v>
      </c>
      <c r="C13" s="138" t="s">
        <v>571</v>
      </c>
      <c r="D13" s="138" t="str">
        <f>VLOOKUP(Purchase[[#This Row],[Supplier ID]],Supplier[#All],2,0)</f>
        <v>Tech Suppliers</v>
      </c>
      <c r="E13" s="138">
        <f>VLOOKUP(Purchase[[#This Row],[Supplier ID]],Supplier[#All],3,0)</f>
        <v>9689542457</v>
      </c>
      <c r="F13" s="138" t="str">
        <f>VLOOKUP(Purchase[[#This Row],[Supplier ID]],Supplier[#All],4,0)</f>
        <v>Korba</v>
      </c>
      <c r="G13" s="138" t="str">
        <f>VLOOKUP(Purchase[[#This Row],[Supplier ID]],Supplier[#All],5,0)</f>
        <v>CG</v>
      </c>
      <c r="H13" s="138" t="str">
        <f>VLOOKUP(Purchase[[#This Row],[Supplier ID]],Supplier[#All],6,0)</f>
        <v>GST2154521T019</v>
      </c>
      <c r="I13" s="138" t="s">
        <v>368</v>
      </c>
      <c r="J13" s="139">
        <v>14</v>
      </c>
      <c r="K13" s="143">
        <f>VLOOKUP(Purchase[[#This Row],[Product ID]],Product[#All],6,0)</f>
        <v>1031</v>
      </c>
      <c r="L13" s="143">
        <f>Purchase[[#This Row],[Purchase Rate]]*Purchase[[#This Row],[Qty]]</f>
        <v>14434</v>
      </c>
      <c r="M13" s="140">
        <v>0</v>
      </c>
      <c r="N13" s="143">
        <v>0</v>
      </c>
      <c r="O13" s="140">
        <v>0.18</v>
      </c>
      <c r="P13" s="145">
        <f>(Purchase[[#This Row],[Gross Amount]]-Purchase[[#This Row],[Disct %]])*Purchase[[#This Row],[GST %]]</f>
        <v>2598.12</v>
      </c>
      <c r="Q13" s="145">
        <f>Purchase[[#This Row],[Gross Amount]]-Purchase[[#This Row],[Disct Amnt]]+Purchase[[#This Row],[GST Amount]]</f>
        <v>17032.12</v>
      </c>
      <c r="R13" s="138" t="s">
        <v>1019</v>
      </c>
      <c r="S13" s="41">
        <f>IF(Purchase[[#This Row],[Status]]="Cancelled",0,Purchase[[#This Row],[Qty]])</f>
        <v>14</v>
      </c>
      <c r="T13" s="146">
        <f>IF(Purchase[[#This Row],[Status]]="Cancelled",0,Purchase[[#This Row],[Total Amount]])</f>
        <v>17032.12</v>
      </c>
      <c r="U13" s="146">
        <f>SUM(Purchase[Net Amount])</f>
        <v>814985438.68000126</v>
      </c>
    </row>
    <row r="14" spans="1:21" ht="19.5" thickBot="1" x14ac:dyDescent="0.3">
      <c r="A14" s="136" t="s">
        <v>1030</v>
      </c>
      <c r="B14" s="137">
        <v>45658</v>
      </c>
      <c r="C14" s="138" t="s">
        <v>569</v>
      </c>
      <c r="D14" s="138" t="str">
        <f>VLOOKUP(Purchase[[#This Row],[Supplier ID]],Supplier[#All],2,0)</f>
        <v>Tech Electronics</v>
      </c>
      <c r="E14" s="138">
        <f>VLOOKUP(Purchase[[#This Row],[Supplier ID]],Supplier[#All],3,0)</f>
        <v>9689542455</v>
      </c>
      <c r="F14" s="138" t="str">
        <f>VLOOKUP(Purchase[[#This Row],[Supplier ID]],Supplier[#All],4,0)</f>
        <v>Korba</v>
      </c>
      <c r="G14" s="138" t="str">
        <f>VLOOKUP(Purchase[[#This Row],[Supplier ID]],Supplier[#All],5,0)</f>
        <v>CG</v>
      </c>
      <c r="H14" s="138" t="str">
        <f>VLOOKUP(Purchase[[#This Row],[Supplier ID]],Supplier[#All],6,0)</f>
        <v>GST2154521T017</v>
      </c>
      <c r="I14" s="138" t="s">
        <v>20</v>
      </c>
      <c r="J14" s="139">
        <v>34</v>
      </c>
      <c r="K14" s="143">
        <f>VLOOKUP(Purchase[[#This Row],[Product ID]],Product[#All],6,0)</f>
        <v>2532</v>
      </c>
      <c r="L14" s="143">
        <f>Purchase[[#This Row],[Purchase Rate]]*Purchase[[#This Row],[Qty]]</f>
        <v>86088</v>
      </c>
      <c r="M14" s="140">
        <v>0</v>
      </c>
      <c r="N14" s="143">
        <v>0</v>
      </c>
      <c r="O14" s="140">
        <v>0.18</v>
      </c>
      <c r="P14" s="145">
        <f>(Purchase[[#This Row],[Gross Amount]]-Purchase[[#This Row],[Disct %]])*Purchase[[#This Row],[GST %]]</f>
        <v>15495.84</v>
      </c>
      <c r="Q14" s="145">
        <f>Purchase[[#This Row],[Gross Amount]]-Purchase[[#This Row],[Disct Amnt]]+Purchase[[#This Row],[GST Amount]]</f>
        <v>101583.84</v>
      </c>
      <c r="R14" s="138" t="s">
        <v>1019</v>
      </c>
      <c r="S14" s="41">
        <f>IF(Purchase[[#This Row],[Status]]="Cancelled",0,Purchase[[#This Row],[Qty]])</f>
        <v>34</v>
      </c>
      <c r="T14" s="146">
        <f>IF(Purchase[[#This Row],[Status]]="Cancelled",0,Purchase[[#This Row],[Total Amount]])</f>
        <v>101583.84</v>
      </c>
      <c r="U14" s="146">
        <f>SUM(Purchase[Net Amount])</f>
        <v>814985438.68000126</v>
      </c>
    </row>
    <row r="15" spans="1:21" ht="19.5" thickBot="1" x14ac:dyDescent="0.3">
      <c r="A15" s="136" t="s">
        <v>1031</v>
      </c>
      <c r="B15" s="137">
        <v>45658</v>
      </c>
      <c r="C15" s="138" t="s">
        <v>593</v>
      </c>
      <c r="D15" s="138" t="str">
        <f>VLOOKUP(Purchase[[#This Row],[Supplier ID]],Supplier[#All],2,0)</f>
        <v>Global Suppliers</v>
      </c>
      <c r="E15" s="138">
        <f>VLOOKUP(Purchase[[#This Row],[Supplier ID]],Supplier[#All],3,0)</f>
        <v>9689542476</v>
      </c>
      <c r="F15" s="138" t="str">
        <f>VLOOKUP(Purchase[[#This Row],[Supplier ID]],Supplier[#All],4,0)</f>
        <v>Korba</v>
      </c>
      <c r="G15" s="138" t="str">
        <f>VLOOKUP(Purchase[[#This Row],[Supplier ID]],Supplier[#All],5,0)</f>
        <v>CG</v>
      </c>
      <c r="H15" s="138" t="str">
        <f>VLOOKUP(Purchase[[#This Row],[Supplier ID]],Supplier[#All],6,0)</f>
        <v>GST2154521T038</v>
      </c>
      <c r="I15" s="138" t="s">
        <v>282</v>
      </c>
      <c r="J15" s="139">
        <v>24</v>
      </c>
      <c r="K15" s="143">
        <f>VLOOKUP(Purchase[[#This Row],[Product ID]],Product[#All],6,0)</f>
        <v>675</v>
      </c>
      <c r="L15" s="143">
        <f>Purchase[[#This Row],[Purchase Rate]]*Purchase[[#This Row],[Qty]]</f>
        <v>16200</v>
      </c>
      <c r="M15" s="140">
        <v>0</v>
      </c>
      <c r="N15" s="143">
        <v>0</v>
      </c>
      <c r="O15" s="140">
        <v>0.18</v>
      </c>
      <c r="P15" s="145">
        <f>(Purchase[[#This Row],[Gross Amount]]-Purchase[[#This Row],[Disct %]])*Purchase[[#This Row],[GST %]]</f>
        <v>2916</v>
      </c>
      <c r="Q15" s="145">
        <f>Purchase[[#This Row],[Gross Amount]]-Purchase[[#This Row],[Disct Amnt]]+Purchase[[#This Row],[GST Amount]]</f>
        <v>19116</v>
      </c>
      <c r="R15" s="138" t="s">
        <v>1019</v>
      </c>
      <c r="S15" s="41">
        <f>IF(Purchase[[#This Row],[Status]]="Cancelled",0,Purchase[[#This Row],[Qty]])</f>
        <v>24</v>
      </c>
      <c r="T15" s="146">
        <f>IF(Purchase[[#This Row],[Status]]="Cancelled",0,Purchase[[#This Row],[Total Amount]])</f>
        <v>19116</v>
      </c>
      <c r="U15" s="146">
        <f>SUM(Purchase[Net Amount])</f>
        <v>814985438.68000126</v>
      </c>
    </row>
    <row r="16" spans="1:21" ht="19.5" thickBot="1" x14ac:dyDescent="0.3">
      <c r="A16" s="136" t="s">
        <v>1032</v>
      </c>
      <c r="B16" s="137">
        <v>45658</v>
      </c>
      <c r="C16" s="138" t="s">
        <v>614</v>
      </c>
      <c r="D16" s="138" t="str">
        <f>VLOOKUP(Purchase[[#This Row],[Supplier ID]],Supplier[#All],2,0)</f>
        <v>National Electronics</v>
      </c>
      <c r="E16" s="138">
        <f>VLOOKUP(Purchase[[#This Row],[Supplier ID]],Supplier[#All],3,0)</f>
        <v>9689542497</v>
      </c>
      <c r="F16" s="138" t="str">
        <f>VLOOKUP(Purchase[[#This Row],[Supplier ID]],Supplier[#All],4,0)</f>
        <v>Kanpur</v>
      </c>
      <c r="G16" s="138" t="str">
        <f>VLOOKUP(Purchase[[#This Row],[Supplier ID]],Supplier[#All],5,0)</f>
        <v>UP</v>
      </c>
      <c r="H16" s="138" t="str">
        <f>VLOOKUP(Purchase[[#This Row],[Supplier ID]],Supplier[#All],6,0)</f>
        <v>GST2154521T059</v>
      </c>
      <c r="I16" s="138" t="s">
        <v>360</v>
      </c>
      <c r="J16" s="139">
        <v>36</v>
      </c>
      <c r="K16" s="143">
        <f>VLOOKUP(Purchase[[#This Row],[Product ID]],Product[#All],6,0)</f>
        <v>23122</v>
      </c>
      <c r="L16" s="143">
        <f>Purchase[[#This Row],[Purchase Rate]]*Purchase[[#This Row],[Qty]]</f>
        <v>832392</v>
      </c>
      <c r="M16" s="140">
        <v>0</v>
      </c>
      <c r="N16" s="143">
        <v>0</v>
      </c>
      <c r="O16" s="140">
        <v>0.18</v>
      </c>
      <c r="P16" s="145">
        <f>(Purchase[[#This Row],[Gross Amount]]-Purchase[[#This Row],[Disct %]])*Purchase[[#This Row],[GST %]]</f>
        <v>149830.56</v>
      </c>
      <c r="Q16" s="145">
        <f>Purchase[[#This Row],[Gross Amount]]-Purchase[[#This Row],[Disct Amnt]]+Purchase[[#This Row],[GST Amount]]</f>
        <v>982222.56</v>
      </c>
      <c r="R16" s="138" t="s">
        <v>1019</v>
      </c>
      <c r="S16" s="41">
        <f>IF(Purchase[[#This Row],[Status]]="Cancelled",0,Purchase[[#This Row],[Qty]])</f>
        <v>36</v>
      </c>
      <c r="T16" s="146">
        <f>IF(Purchase[[#This Row],[Status]]="Cancelled",0,Purchase[[#This Row],[Total Amount]])</f>
        <v>982222.56</v>
      </c>
      <c r="U16" s="146">
        <f>SUM(Purchase[Net Amount])</f>
        <v>814985438.68000126</v>
      </c>
    </row>
    <row r="17" spans="1:21" ht="19.5" thickBot="1" x14ac:dyDescent="0.3">
      <c r="A17" s="136" t="s">
        <v>1033</v>
      </c>
      <c r="B17" s="137">
        <v>45658</v>
      </c>
      <c r="C17" s="138" t="s">
        <v>569</v>
      </c>
      <c r="D17" s="138" t="str">
        <f>VLOOKUP(Purchase[[#This Row],[Supplier ID]],Supplier[#All],2,0)</f>
        <v>Tech Electronics</v>
      </c>
      <c r="E17" s="138">
        <f>VLOOKUP(Purchase[[#This Row],[Supplier ID]],Supplier[#All],3,0)</f>
        <v>9689542455</v>
      </c>
      <c r="F17" s="138" t="str">
        <f>VLOOKUP(Purchase[[#This Row],[Supplier ID]],Supplier[#All],4,0)</f>
        <v>Korba</v>
      </c>
      <c r="G17" s="138" t="str">
        <f>VLOOKUP(Purchase[[#This Row],[Supplier ID]],Supplier[#All],5,0)</f>
        <v>CG</v>
      </c>
      <c r="H17" s="138" t="str">
        <f>VLOOKUP(Purchase[[#This Row],[Supplier ID]],Supplier[#All],6,0)</f>
        <v>GST2154521T017</v>
      </c>
      <c r="I17" s="138" t="s">
        <v>212</v>
      </c>
      <c r="J17" s="139">
        <v>16</v>
      </c>
      <c r="K17" s="143">
        <f>VLOOKUP(Purchase[[#This Row],[Product ID]],Product[#All],6,0)</f>
        <v>931</v>
      </c>
      <c r="L17" s="143">
        <f>Purchase[[#This Row],[Purchase Rate]]*Purchase[[#This Row],[Qty]]</f>
        <v>14896</v>
      </c>
      <c r="M17" s="140">
        <v>0</v>
      </c>
      <c r="N17" s="143">
        <v>0</v>
      </c>
      <c r="O17" s="140">
        <v>0.18</v>
      </c>
      <c r="P17" s="145">
        <f>(Purchase[[#This Row],[Gross Amount]]-Purchase[[#This Row],[Disct %]])*Purchase[[#This Row],[GST %]]</f>
        <v>2681.2799999999997</v>
      </c>
      <c r="Q17" s="145">
        <f>Purchase[[#This Row],[Gross Amount]]-Purchase[[#This Row],[Disct Amnt]]+Purchase[[#This Row],[GST Amount]]</f>
        <v>17577.28</v>
      </c>
      <c r="R17" s="138" t="s">
        <v>1019</v>
      </c>
      <c r="S17" s="41">
        <f>IF(Purchase[[#This Row],[Status]]="Cancelled",0,Purchase[[#This Row],[Qty]])</f>
        <v>16</v>
      </c>
      <c r="T17" s="146">
        <f>IF(Purchase[[#This Row],[Status]]="Cancelled",0,Purchase[[#This Row],[Total Amount]])</f>
        <v>17577.28</v>
      </c>
      <c r="U17" s="146">
        <f>SUM(Purchase[Net Amount])</f>
        <v>814985438.68000126</v>
      </c>
    </row>
    <row r="18" spans="1:21" ht="19.5" thickBot="1" x14ac:dyDescent="0.3">
      <c r="A18" s="136" t="s">
        <v>1034</v>
      </c>
      <c r="B18" s="137">
        <v>45658</v>
      </c>
      <c r="C18" s="138" t="s">
        <v>576</v>
      </c>
      <c r="D18" s="138" t="str">
        <f>VLOOKUP(Purchase[[#This Row],[Supplier ID]],Supplier[#All],2,0)</f>
        <v>Maa Distributors</v>
      </c>
      <c r="E18" s="138">
        <f>VLOOKUP(Purchase[[#This Row],[Supplier ID]],Supplier[#All],3,0)</f>
        <v>9689542460</v>
      </c>
      <c r="F18" s="138" t="str">
        <f>VLOOKUP(Purchase[[#This Row],[Supplier ID]],Supplier[#All],4,0)</f>
        <v>Korba</v>
      </c>
      <c r="G18" s="138" t="str">
        <f>VLOOKUP(Purchase[[#This Row],[Supplier ID]],Supplier[#All],5,0)</f>
        <v>CG</v>
      </c>
      <c r="H18" s="138" t="str">
        <f>VLOOKUP(Purchase[[#This Row],[Supplier ID]],Supplier[#All],6,0)</f>
        <v>GST2154521T022</v>
      </c>
      <c r="I18" s="138" t="s">
        <v>359</v>
      </c>
      <c r="J18" s="139">
        <v>19</v>
      </c>
      <c r="K18" s="143">
        <f>VLOOKUP(Purchase[[#This Row],[Product ID]],Product[#All],6,0)</f>
        <v>922</v>
      </c>
      <c r="L18" s="143">
        <f>Purchase[[#This Row],[Purchase Rate]]*Purchase[[#This Row],[Qty]]</f>
        <v>17518</v>
      </c>
      <c r="M18" s="140">
        <v>0</v>
      </c>
      <c r="N18" s="143">
        <v>0</v>
      </c>
      <c r="O18" s="140">
        <v>0.18</v>
      </c>
      <c r="P18" s="145">
        <f>(Purchase[[#This Row],[Gross Amount]]-Purchase[[#This Row],[Disct %]])*Purchase[[#This Row],[GST %]]</f>
        <v>3153.24</v>
      </c>
      <c r="Q18" s="145">
        <f>Purchase[[#This Row],[Gross Amount]]-Purchase[[#This Row],[Disct Amnt]]+Purchase[[#This Row],[GST Amount]]</f>
        <v>20671.239999999998</v>
      </c>
      <c r="R18" s="138" t="s">
        <v>1019</v>
      </c>
      <c r="S18" s="41">
        <f>IF(Purchase[[#This Row],[Status]]="Cancelled",0,Purchase[[#This Row],[Qty]])</f>
        <v>19</v>
      </c>
      <c r="T18" s="146">
        <f>IF(Purchase[[#This Row],[Status]]="Cancelled",0,Purchase[[#This Row],[Total Amount]])</f>
        <v>20671.239999999998</v>
      </c>
      <c r="U18" s="146">
        <f>SUM(Purchase[Net Amount])</f>
        <v>814985438.68000126</v>
      </c>
    </row>
    <row r="19" spans="1:21" ht="19.5" thickBot="1" x14ac:dyDescent="0.3">
      <c r="A19" s="136" t="s">
        <v>1035</v>
      </c>
      <c r="B19" s="137">
        <v>45658</v>
      </c>
      <c r="C19" s="138" t="s">
        <v>610</v>
      </c>
      <c r="D19" s="138" t="str">
        <f>VLOOKUP(Purchase[[#This Row],[Supplier ID]],Supplier[#All],2,0)</f>
        <v>Shree Electronics</v>
      </c>
      <c r="E19" s="138">
        <f>VLOOKUP(Purchase[[#This Row],[Supplier ID]],Supplier[#All],3,0)</f>
        <v>9689542493</v>
      </c>
      <c r="F19" s="138" t="str">
        <f>VLOOKUP(Purchase[[#This Row],[Supplier ID]],Supplier[#All],4,0)</f>
        <v>Kanpur</v>
      </c>
      <c r="G19" s="138" t="str">
        <f>VLOOKUP(Purchase[[#This Row],[Supplier ID]],Supplier[#All],5,0)</f>
        <v>UP</v>
      </c>
      <c r="H19" s="138" t="str">
        <f>VLOOKUP(Purchase[[#This Row],[Supplier ID]],Supplier[#All],6,0)</f>
        <v>GST2154521T055</v>
      </c>
      <c r="I19" s="138" t="s">
        <v>195</v>
      </c>
      <c r="J19" s="139">
        <v>36</v>
      </c>
      <c r="K19" s="143">
        <f>VLOOKUP(Purchase[[#This Row],[Product ID]],Product[#All],6,0)</f>
        <v>38353</v>
      </c>
      <c r="L19" s="143">
        <f>Purchase[[#This Row],[Purchase Rate]]*Purchase[[#This Row],[Qty]]</f>
        <v>1380708</v>
      </c>
      <c r="M19" s="140">
        <v>0</v>
      </c>
      <c r="N19" s="143">
        <v>0</v>
      </c>
      <c r="O19" s="140">
        <v>0.18</v>
      </c>
      <c r="P19" s="145">
        <f>(Purchase[[#This Row],[Gross Amount]]-Purchase[[#This Row],[Disct %]])*Purchase[[#This Row],[GST %]]</f>
        <v>248527.44</v>
      </c>
      <c r="Q19" s="145">
        <f>Purchase[[#This Row],[Gross Amount]]-Purchase[[#This Row],[Disct Amnt]]+Purchase[[#This Row],[GST Amount]]</f>
        <v>1629235.44</v>
      </c>
      <c r="R19" s="138" t="s">
        <v>1019</v>
      </c>
      <c r="S19" s="41">
        <f>IF(Purchase[[#This Row],[Status]]="Cancelled",0,Purchase[[#This Row],[Qty]])</f>
        <v>36</v>
      </c>
      <c r="T19" s="146">
        <f>IF(Purchase[[#This Row],[Status]]="Cancelled",0,Purchase[[#This Row],[Total Amount]])</f>
        <v>1629235.44</v>
      </c>
      <c r="U19" s="146">
        <f>SUM(Purchase[Net Amount])</f>
        <v>814985438.68000126</v>
      </c>
    </row>
    <row r="20" spans="1:21" ht="19.5" thickBot="1" x14ac:dyDescent="0.3">
      <c r="A20" s="136" t="s">
        <v>1036</v>
      </c>
      <c r="B20" s="137">
        <v>45658</v>
      </c>
      <c r="C20" s="138" t="s">
        <v>569</v>
      </c>
      <c r="D20" s="138" t="str">
        <f>VLOOKUP(Purchase[[#This Row],[Supplier ID]],Supplier[#All],2,0)</f>
        <v>Tech Electronics</v>
      </c>
      <c r="E20" s="138">
        <f>VLOOKUP(Purchase[[#This Row],[Supplier ID]],Supplier[#All],3,0)</f>
        <v>9689542455</v>
      </c>
      <c r="F20" s="138" t="str">
        <f>VLOOKUP(Purchase[[#This Row],[Supplier ID]],Supplier[#All],4,0)</f>
        <v>Korba</v>
      </c>
      <c r="G20" s="138" t="str">
        <f>VLOOKUP(Purchase[[#This Row],[Supplier ID]],Supplier[#All],5,0)</f>
        <v>CG</v>
      </c>
      <c r="H20" s="138" t="str">
        <f>VLOOKUP(Purchase[[#This Row],[Supplier ID]],Supplier[#All],6,0)</f>
        <v>GST2154521T017</v>
      </c>
      <c r="I20" s="138" t="s">
        <v>446</v>
      </c>
      <c r="J20" s="139">
        <v>28</v>
      </c>
      <c r="K20" s="143">
        <f>VLOOKUP(Purchase[[#This Row],[Product ID]],Product[#All],6,0)</f>
        <v>38075</v>
      </c>
      <c r="L20" s="143">
        <f>Purchase[[#This Row],[Purchase Rate]]*Purchase[[#This Row],[Qty]]</f>
        <v>1066100</v>
      </c>
      <c r="M20" s="140">
        <v>0</v>
      </c>
      <c r="N20" s="143">
        <v>0</v>
      </c>
      <c r="O20" s="140">
        <v>0.18</v>
      </c>
      <c r="P20" s="145">
        <f>(Purchase[[#This Row],[Gross Amount]]-Purchase[[#This Row],[Disct %]])*Purchase[[#This Row],[GST %]]</f>
        <v>191898</v>
      </c>
      <c r="Q20" s="145">
        <f>Purchase[[#This Row],[Gross Amount]]-Purchase[[#This Row],[Disct Amnt]]+Purchase[[#This Row],[GST Amount]]</f>
        <v>1257998</v>
      </c>
      <c r="R20" s="138" t="s">
        <v>1019</v>
      </c>
      <c r="S20" s="41">
        <f>IF(Purchase[[#This Row],[Status]]="Cancelled",0,Purchase[[#This Row],[Qty]])</f>
        <v>28</v>
      </c>
      <c r="T20" s="146">
        <f>IF(Purchase[[#This Row],[Status]]="Cancelled",0,Purchase[[#This Row],[Total Amount]])</f>
        <v>1257998</v>
      </c>
      <c r="U20" s="146">
        <f>SUM(Purchase[Net Amount])</f>
        <v>814985438.68000126</v>
      </c>
    </row>
    <row r="21" spans="1:21" ht="19.5" thickBot="1" x14ac:dyDescent="0.3">
      <c r="A21" s="136" t="s">
        <v>1037</v>
      </c>
      <c r="B21" s="137">
        <v>45658</v>
      </c>
      <c r="C21" s="138" t="s">
        <v>571</v>
      </c>
      <c r="D21" s="138" t="str">
        <f>VLOOKUP(Purchase[[#This Row],[Supplier ID]],Supplier[#All],2,0)</f>
        <v>Tech Suppliers</v>
      </c>
      <c r="E21" s="138">
        <f>VLOOKUP(Purchase[[#This Row],[Supplier ID]],Supplier[#All],3,0)</f>
        <v>9689542457</v>
      </c>
      <c r="F21" s="138" t="str">
        <f>VLOOKUP(Purchase[[#This Row],[Supplier ID]],Supplier[#All],4,0)</f>
        <v>Korba</v>
      </c>
      <c r="G21" s="138" t="str">
        <f>VLOOKUP(Purchase[[#This Row],[Supplier ID]],Supplier[#All],5,0)</f>
        <v>CG</v>
      </c>
      <c r="H21" s="138" t="str">
        <f>VLOOKUP(Purchase[[#This Row],[Supplier ID]],Supplier[#All],6,0)</f>
        <v>GST2154521T019</v>
      </c>
      <c r="I21" s="138" t="s">
        <v>175</v>
      </c>
      <c r="J21" s="139">
        <v>39</v>
      </c>
      <c r="K21" s="143">
        <f>VLOOKUP(Purchase[[#This Row],[Product ID]],Product[#All],6,0)</f>
        <v>1594</v>
      </c>
      <c r="L21" s="143">
        <f>Purchase[[#This Row],[Purchase Rate]]*Purchase[[#This Row],[Qty]]</f>
        <v>62166</v>
      </c>
      <c r="M21" s="140">
        <v>0</v>
      </c>
      <c r="N21" s="143">
        <v>0</v>
      </c>
      <c r="O21" s="140">
        <v>0.18</v>
      </c>
      <c r="P21" s="145">
        <f>(Purchase[[#This Row],[Gross Amount]]-Purchase[[#This Row],[Disct %]])*Purchase[[#This Row],[GST %]]</f>
        <v>11189.88</v>
      </c>
      <c r="Q21" s="145">
        <f>Purchase[[#This Row],[Gross Amount]]-Purchase[[#This Row],[Disct Amnt]]+Purchase[[#This Row],[GST Amount]]</f>
        <v>73355.88</v>
      </c>
      <c r="R21" s="138" t="s">
        <v>1019</v>
      </c>
      <c r="S21" s="41">
        <f>IF(Purchase[[#This Row],[Status]]="Cancelled",0,Purchase[[#This Row],[Qty]])</f>
        <v>39</v>
      </c>
      <c r="T21" s="146">
        <f>IF(Purchase[[#This Row],[Status]]="Cancelled",0,Purchase[[#This Row],[Total Amount]])</f>
        <v>73355.88</v>
      </c>
      <c r="U21" s="146">
        <f>SUM(Purchase[Net Amount])</f>
        <v>814985438.68000126</v>
      </c>
    </row>
    <row r="22" spans="1:21" ht="19.5" thickBot="1" x14ac:dyDescent="0.3">
      <c r="A22" s="136" t="s">
        <v>1038</v>
      </c>
      <c r="B22" s="137">
        <v>45658</v>
      </c>
      <c r="C22" s="138" t="s">
        <v>565</v>
      </c>
      <c r="D22" s="138" t="str">
        <f>VLOOKUP(Purchase[[#This Row],[Supplier ID]],Supplier[#All],2,0)</f>
        <v>Global Suppliers</v>
      </c>
      <c r="E22" s="138">
        <f>VLOOKUP(Purchase[[#This Row],[Supplier ID]],Supplier[#All],3,0)</f>
        <v>9689542459</v>
      </c>
      <c r="F22" s="138" t="str">
        <f>VLOOKUP(Purchase[[#This Row],[Supplier ID]],Supplier[#All],4,0)</f>
        <v>Indore</v>
      </c>
      <c r="G22" s="138" t="str">
        <f>VLOOKUP(Purchase[[#This Row],[Supplier ID]],Supplier[#All],5,0)</f>
        <v>MP</v>
      </c>
      <c r="H22" s="138" t="str">
        <f>VLOOKUP(Purchase[[#This Row],[Supplier ID]],Supplier[#All],6,0)</f>
        <v>GST2154521T013</v>
      </c>
      <c r="I22" s="138" t="s">
        <v>447</v>
      </c>
      <c r="J22" s="139">
        <v>40</v>
      </c>
      <c r="K22" s="143">
        <f>VLOOKUP(Purchase[[#This Row],[Product ID]],Product[#All],6,0)</f>
        <v>2460</v>
      </c>
      <c r="L22" s="143">
        <f>Purchase[[#This Row],[Purchase Rate]]*Purchase[[#This Row],[Qty]]</f>
        <v>98400</v>
      </c>
      <c r="M22" s="140">
        <v>0</v>
      </c>
      <c r="N22" s="143">
        <v>0</v>
      </c>
      <c r="O22" s="140">
        <v>0.18</v>
      </c>
      <c r="P22" s="145">
        <f>(Purchase[[#This Row],[Gross Amount]]-Purchase[[#This Row],[Disct %]])*Purchase[[#This Row],[GST %]]</f>
        <v>17712</v>
      </c>
      <c r="Q22" s="145">
        <f>Purchase[[#This Row],[Gross Amount]]-Purchase[[#This Row],[Disct Amnt]]+Purchase[[#This Row],[GST Amount]]</f>
        <v>116112</v>
      </c>
      <c r="R22" s="138" t="s">
        <v>1019</v>
      </c>
      <c r="S22" s="41">
        <f>IF(Purchase[[#This Row],[Status]]="Cancelled",0,Purchase[[#This Row],[Qty]])</f>
        <v>40</v>
      </c>
      <c r="T22" s="146">
        <f>IF(Purchase[[#This Row],[Status]]="Cancelled",0,Purchase[[#This Row],[Total Amount]])</f>
        <v>116112</v>
      </c>
      <c r="U22" s="146">
        <f>SUM(Purchase[Net Amount])</f>
        <v>814985438.68000126</v>
      </c>
    </row>
    <row r="23" spans="1:21" ht="19.5" thickBot="1" x14ac:dyDescent="0.3">
      <c r="A23" s="136" t="s">
        <v>1039</v>
      </c>
      <c r="B23" s="137">
        <v>45658</v>
      </c>
      <c r="C23" s="138" t="s">
        <v>567</v>
      </c>
      <c r="D23" s="138" t="str">
        <f>VLOOKUP(Purchase[[#This Row],[Supplier ID]],Supplier[#All],2,0)</f>
        <v>National Distributors</v>
      </c>
      <c r="E23" s="138">
        <f>VLOOKUP(Purchase[[#This Row],[Supplier ID]],Supplier[#All],3,0)</f>
        <v>9689542453</v>
      </c>
      <c r="F23" s="138" t="str">
        <f>VLOOKUP(Purchase[[#This Row],[Supplier ID]],Supplier[#All],4,0)</f>
        <v>Korba</v>
      </c>
      <c r="G23" s="138" t="str">
        <f>VLOOKUP(Purchase[[#This Row],[Supplier ID]],Supplier[#All],5,0)</f>
        <v>CG</v>
      </c>
      <c r="H23" s="138" t="str">
        <f>VLOOKUP(Purchase[[#This Row],[Supplier ID]],Supplier[#All],6,0)</f>
        <v>GST2154521T015</v>
      </c>
      <c r="I23" s="138" t="s">
        <v>367</v>
      </c>
      <c r="J23" s="139">
        <v>34</v>
      </c>
      <c r="K23" s="143">
        <f>VLOOKUP(Purchase[[#This Row],[Product ID]],Product[#All],6,0)</f>
        <v>4278</v>
      </c>
      <c r="L23" s="143">
        <f>Purchase[[#This Row],[Purchase Rate]]*Purchase[[#This Row],[Qty]]</f>
        <v>145452</v>
      </c>
      <c r="M23" s="140">
        <v>0</v>
      </c>
      <c r="N23" s="143">
        <v>0</v>
      </c>
      <c r="O23" s="140">
        <v>0.18</v>
      </c>
      <c r="P23" s="145">
        <f>(Purchase[[#This Row],[Gross Amount]]-Purchase[[#This Row],[Disct %]])*Purchase[[#This Row],[GST %]]</f>
        <v>26181.360000000001</v>
      </c>
      <c r="Q23" s="145">
        <f>Purchase[[#This Row],[Gross Amount]]-Purchase[[#This Row],[Disct Amnt]]+Purchase[[#This Row],[GST Amount]]</f>
        <v>171633.36</v>
      </c>
      <c r="R23" s="138" t="s">
        <v>1040</v>
      </c>
      <c r="S23" s="41">
        <f>IF(Purchase[[#This Row],[Status]]="Cancelled",0,Purchase[[#This Row],[Qty]])</f>
        <v>0</v>
      </c>
      <c r="T23" s="146">
        <f>IF(Purchase[[#This Row],[Status]]="Cancelled",0,Purchase[[#This Row],[Total Amount]])</f>
        <v>0</v>
      </c>
      <c r="U23" s="146">
        <f>SUM(Purchase[Net Amount])</f>
        <v>814985438.68000126</v>
      </c>
    </row>
    <row r="24" spans="1:21" ht="19.5" thickBot="1" x14ac:dyDescent="0.3">
      <c r="A24" s="136" t="s">
        <v>1041</v>
      </c>
      <c r="B24" s="137">
        <v>45658</v>
      </c>
      <c r="C24" s="138" t="s">
        <v>594</v>
      </c>
      <c r="D24" s="138" t="str">
        <f>VLOOKUP(Purchase[[#This Row],[Supplier ID]],Supplier[#All],2,0)</f>
        <v>Shree Suppliers</v>
      </c>
      <c r="E24" s="138">
        <f>VLOOKUP(Purchase[[#This Row],[Supplier ID]],Supplier[#All],3,0)</f>
        <v>9689542477</v>
      </c>
      <c r="F24" s="138" t="str">
        <f>VLOOKUP(Purchase[[#This Row],[Supplier ID]],Supplier[#All],4,0)</f>
        <v>Indore</v>
      </c>
      <c r="G24" s="138" t="str">
        <f>VLOOKUP(Purchase[[#This Row],[Supplier ID]],Supplier[#All],5,0)</f>
        <v>MP</v>
      </c>
      <c r="H24" s="138" t="str">
        <f>VLOOKUP(Purchase[[#This Row],[Supplier ID]],Supplier[#All],6,0)</f>
        <v>GST2154521T039</v>
      </c>
      <c r="I24" s="138" t="s">
        <v>139</v>
      </c>
      <c r="J24" s="139">
        <v>20</v>
      </c>
      <c r="K24" s="143">
        <f>VLOOKUP(Purchase[[#This Row],[Product ID]],Product[#All],6,0)</f>
        <v>21311</v>
      </c>
      <c r="L24" s="143">
        <f>Purchase[[#This Row],[Purchase Rate]]*Purchase[[#This Row],[Qty]]</f>
        <v>426220</v>
      </c>
      <c r="M24" s="140">
        <v>0</v>
      </c>
      <c r="N24" s="143">
        <v>0</v>
      </c>
      <c r="O24" s="140">
        <v>0.18</v>
      </c>
      <c r="P24" s="145">
        <f>(Purchase[[#This Row],[Gross Amount]]-Purchase[[#This Row],[Disct %]])*Purchase[[#This Row],[GST %]]</f>
        <v>76719.599999999991</v>
      </c>
      <c r="Q24" s="145">
        <f>Purchase[[#This Row],[Gross Amount]]-Purchase[[#This Row],[Disct Amnt]]+Purchase[[#This Row],[GST Amount]]</f>
        <v>502939.6</v>
      </c>
      <c r="R24" s="138" t="s">
        <v>1019</v>
      </c>
      <c r="S24" s="41">
        <f>IF(Purchase[[#This Row],[Status]]="Cancelled",0,Purchase[[#This Row],[Qty]])</f>
        <v>20</v>
      </c>
      <c r="T24" s="146">
        <f>IF(Purchase[[#This Row],[Status]]="Cancelled",0,Purchase[[#This Row],[Total Amount]])</f>
        <v>502939.6</v>
      </c>
      <c r="U24" s="146">
        <f>SUM(Purchase[Net Amount])</f>
        <v>814985438.68000126</v>
      </c>
    </row>
    <row r="25" spans="1:21" ht="19.5" thickBot="1" x14ac:dyDescent="0.3">
      <c r="A25" s="136" t="s">
        <v>1042</v>
      </c>
      <c r="B25" s="137">
        <v>45658</v>
      </c>
      <c r="C25" s="138" t="s">
        <v>614</v>
      </c>
      <c r="D25" s="138" t="str">
        <f>VLOOKUP(Purchase[[#This Row],[Supplier ID]],Supplier[#All],2,0)</f>
        <v>National Electronics</v>
      </c>
      <c r="E25" s="138">
        <f>VLOOKUP(Purchase[[#This Row],[Supplier ID]],Supplier[#All],3,0)</f>
        <v>9689542497</v>
      </c>
      <c r="F25" s="138" t="str">
        <f>VLOOKUP(Purchase[[#This Row],[Supplier ID]],Supplier[#All],4,0)</f>
        <v>Kanpur</v>
      </c>
      <c r="G25" s="138" t="str">
        <f>VLOOKUP(Purchase[[#This Row],[Supplier ID]],Supplier[#All],5,0)</f>
        <v>UP</v>
      </c>
      <c r="H25" s="138" t="str">
        <f>VLOOKUP(Purchase[[#This Row],[Supplier ID]],Supplier[#All],6,0)</f>
        <v>GST2154521T059</v>
      </c>
      <c r="I25" s="138" t="s">
        <v>272</v>
      </c>
      <c r="J25" s="139">
        <v>7</v>
      </c>
      <c r="K25" s="143">
        <f>VLOOKUP(Purchase[[#This Row],[Product ID]],Product[#All],6,0)</f>
        <v>8385</v>
      </c>
      <c r="L25" s="143">
        <f>Purchase[[#This Row],[Purchase Rate]]*Purchase[[#This Row],[Qty]]</f>
        <v>58695</v>
      </c>
      <c r="M25" s="140">
        <v>0</v>
      </c>
      <c r="N25" s="143">
        <v>0</v>
      </c>
      <c r="O25" s="140">
        <v>0.18</v>
      </c>
      <c r="P25" s="145">
        <f>(Purchase[[#This Row],[Gross Amount]]-Purchase[[#This Row],[Disct %]])*Purchase[[#This Row],[GST %]]</f>
        <v>10565.1</v>
      </c>
      <c r="Q25" s="145">
        <f>Purchase[[#This Row],[Gross Amount]]-Purchase[[#This Row],[Disct Amnt]]+Purchase[[#This Row],[GST Amount]]</f>
        <v>69260.100000000006</v>
      </c>
      <c r="R25" s="138" t="s">
        <v>1019</v>
      </c>
      <c r="S25" s="41">
        <f>IF(Purchase[[#This Row],[Status]]="Cancelled",0,Purchase[[#This Row],[Qty]])</f>
        <v>7</v>
      </c>
      <c r="T25" s="146">
        <f>IF(Purchase[[#This Row],[Status]]="Cancelled",0,Purchase[[#This Row],[Total Amount]])</f>
        <v>69260.100000000006</v>
      </c>
      <c r="U25" s="146">
        <f>SUM(Purchase[Net Amount])</f>
        <v>814985438.68000126</v>
      </c>
    </row>
    <row r="26" spans="1:21" ht="19.5" thickBot="1" x14ac:dyDescent="0.3">
      <c r="A26" s="136" t="s">
        <v>1043</v>
      </c>
      <c r="B26" s="137">
        <v>45658</v>
      </c>
      <c r="C26" s="138" t="s">
        <v>605</v>
      </c>
      <c r="D26" s="138" t="str">
        <f>VLOOKUP(Purchase[[#This Row],[Supplier ID]],Supplier[#All],2,0)</f>
        <v>Star Traders</v>
      </c>
      <c r="E26" s="138">
        <f>VLOOKUP(Purchase[[#This Row],[Supplier ID]],Supplier[#All],3,0)</f>
        <v>9689542488</v>
      </c>
      <c r="F26" s="138" t="str">
        <f>VLOOKUP(Purchase[[#This Row],[Supplier ID]],Supplier[#All],4,0)</f>
        <v>Indore</v>
      </c>
      <c r="G26" s="138" t="str">
        <f>VLOOKUP(Purchase[[#This Row],[Supplier ID]],Supplier[#All],5,0)</f>
        <v>MP</v>
      </c>
      <c r="H26" s="138" t="str">
        <f>VLOOKUP(Purchase[[#This Row],[Supplier ID]],Supplier[#All],6,0)</f>
        <v>GST2154521T050</v>
      </c>
      <c r="I26" s="138" t="s">
        <v>185</v>
      </c>
      <c r="J26" s="139">
        <v>40</v>
      </c>
      <c r="K26" s="143">
        <f>VLOOKUP(Purchase[[#This Row],[Product ID]],Product[#All],6,0)</f>
        <v>3862</v>
      </c>
      <c r="L26" s="143">
        <f>Purchase[[#This Row],[Purchase Rate]]*Purchase[[#This Row],[Qty]]</f>
        <v>154480</v>
      </c>
      <c r="M26" s="140">
        <v>0</v>
      </c>
      <c r="N26" s="143">
        <v>0</v>
      </c>
      <c r="O26" s="140">
        <v>0.18</v>
      </c>
      <c r="P26" s="145">
        <f>(Purchase[[#This Row],[Gross Amount]]-Purchase[[#This Row],[Disct %]])*Purchase[[#This Row],[GST %]]</f>
        <v>27806.399999999998</v>
      </c>
      <c r="Q26" s="145">
        <f>Purchase[[#This Row],[Gross Amount]]-Purchase[[#This Row],[Disct Amnt]]+Purchase[[#This Row],[GST Amount]]</f>
        <v>182286.4</v>
      </c>
      <c r="R26" s="138" t="s">
        <v>1019</v>
      </c>
      <c r="S26" s="41">
        <f>IF(Purchase[[#This Row],[Status]]="Cancelled",0,Purchase[[#This Row],[Qty]])</f>
        <v>40</v>
      </c>
      <c r="T26" s="146">
        <f>IF(Purchase[[#This Row],[Status]]="Cancelled",0,Purchase[[#This Row],[Total Amount]])</f>
        <v>182286.4</v>
      </c>
      <c r="U26" s="146">
        <f>SUM(Purchase[Net Amount])</f>
        <v>814985438.68000126</v>
      </c>
    </row>
    <row r="27" spans="1:21" ht="19.5" thickBot="1" x14ac:dyDescent="0.3">
      <c r="A27" s="136" t="s">
        <v>1044</v>
      </c>
      <c r="B27" s="137">
        <v>45658</v>
      </c>
      <c r="C27" s="138" t="s">
        <v>1045</v>
      </c>
      <c r="D27" s="138" t="str">
        <f>VLOOKUP(Purchase[[#This Row],[Supplier ID]],Supplier[#All],2,0)</f>
        <v>Prime Suppliers</v>
      </c>
      <c r="E27" s="138">
        <f>VLOOKUP(Purchase[[#This Row],[Supplier ID]],Supplier[#All],3,0)</f>
        <v>9689542483</v>
      </c>
      <c r="F27" s="138" t="str">
        <f>VLOOKUP(Purchase[[#This Row],[Supplier ID]],Supplier[#All],4,0)</f>
        <v>Korba</v>
      </c>
      <c r="G27" s="138" t="str">
        <f>VLOOKUP(Purchase[[#This Row],[Supplier ID]],Supplier[#All],5,0)</f>
        <v>CG</v>
      </c>
      <c r="H27" s="138" t="str">
        <f>VLOOKUP(Purchase[[#This Row],[Supplier ID]],Supplier[#All],6,0)</f>
        <v>GST2154521T045</v>
      </c>
      <c r="I27" s="138" t="s">
        <v>292</v>
      </c>
      <c r="J27" s="139">
        <v>4</v>
      </c>
      <c r="K27" s="143">
        <f>VLOOKUP(Purchase[[#This Row],[Product ID]],Product[#All],6,0)</f>
        <v>5549</v>
      </c>
      <c r="L27" s="143">
        <f>Purchase[[#This Row],[Purchase Rate]]*Purchase[[#This Row],[Qty]]</f>
        <v>22196</v>
      </c>
      <c r="M27" s="140">
        <v>0</v>
      </c>
      <c r="N27" s="143">
        <v>0</v>
      </c>
      <c r="O27" s="140">
        <v>0.18</v>
      </c>
      <c r="P27" s="145">
        <f>(Purchase[[#This Row],[Gross Amount]]-Purchase[[#This Row],[Disct %]])*Purchase[[#This Row],[GST %]]</f>
        <v>3995.2799999999997</v>
      </c>
      <c r="Q27" s="145">
        <f>Purchase[[#This Row],[Gross Amount]]-Purchase[[#This Row],[Disct Amnt]]+Purchase[[#This Row],[GST Amount]]</f>
        <v>26191.279999999999</v>
      </c>
      <c r="R27" s="138" t="s">
        <v>1019</v>
      </c>
      <c r="S27" s="41">
        <f>IF(Purchase[[#This Row],[Status]]="Cancelled",0,Purchase[[#This Row],[Qty]])</f>
        <v>4</v>
      </c>
      <c r="T27" s="146">
        <f>IF(Purchase[[#This Row],[Status]]="Cancelled",0,Purchase[[#This Row],[Total Amount]])</f>
        <v>26191.279999999999</v>
      </c>
      <c r="U27" s="146">
        <f>SUM(Purchase[Net Amount])</f>
        <v>814985438.68000126</v>
      </c>
    </row>
    <row r="28" spans="1:21" ht="19.5" thickBot="1" x14ac:dyDescent="0.3">
      <c r="A28" s="136" t="s">
        <v>1046</v>
      </c>
      <c r="B28" s="137">
        <v>45658</v>
      </c>
      <c r="C28" s="138" t="s">
        <v>594</v>
      </c>
      <c r="D28" s="138" t="str">
        <f>VLOOKUP(Purchase[[#This Row],[Supplier ID]],Supplier[#All],2,0)</f>
        <v>Shree Suppliers</v>
      </c>
      <c r="E28" s="138">
        <f>VLOOKUP(Purchase[[#This Row],[Supplier ID]],Supplier[#All],3,0)</f>
        <v>9689542477</v>
      </c>
      <c r="F28" s="138" t="str">
        <f>VLOOKUP(Purchase[[#This Row],[Supplier ID]],Supplier[#All],4,0)</f>
        <v>Indore</v>
      </c>
      <c r="G28" s="138" t="str">
        <f>VLOOKUP(Purchase[[#This Row],[Supplier ID]],Supplier[#All],5,0)</f>
        <v>MP</v>
      </c>
      <c r="H28" s="138" t="str">
        <f>VLOOKUP(Purchase[[#This Row],[Supplier ID]],Supplier[#All],6,0)</f>
        <v>GST2154521T039</v>
      </c>
      <c r="I28" s="138" t="s">
        <v>210</v>
      </c>
      <c r="J28" s="139">
        <v>6</v>
      </c>
      <c r="K28" s="143">
        <f>VLOOKUP(Purchase[[#This Row],[Product ID]],Product[#All],6,0)</f>
        <v>889</v>
      </c>
      <c r="L28" s="143">
        <f>Purchase[[#This Row],[Purchase Rate]]*Purchase[[#This Row],[Qty]]</f>
        <v>5334</v>
      </c>
      <c r="M28" s="140">
        <v>0</v>
      </c>
      <c r="N28" s="143">
        <v>0</v>
      </c>
      <c r="O28" s="140">
        <v>0.18</v>
      </c>
      <c r="P28" s="145">
        <f>(Purchase[[#This Row],[Gross Amount]]-Purchase[[#This Row],[Disct %]])*Purchase[[#This Row],[GST %]]</f>
        <v>960.12</v>
      </c>
      <c r="Q28" s="145">
        <f>Purchase[[#This Row],[Gross Amount]]-Purchase[[#This Row],[Disct Amnt]]+Purchase[[#This Row],[GST Amount]]</f>
        <v>6294.12</v>
      </c>
      <c r="R28" s="138" t="s">
        <v>1019</v>
      </c>
      <c r="S28" s="41">
        <f>IF(Purchase[[#This Row],[Status]]="Cancelled",0,Purchase[[#This Row],[Qty]])</f>
        <v>6</v>
      </c>
      <c r="T28" s="146">
        <f>IF(Purchase[[#This Row],[Status]]="Cancelled",0,Purchase[[#This Row],[Total Amount]])</f>
        <v>6294.12</v>
      </c>
      <c r="U28" s="146">
        <f>SUM(Purchase[Net Amount])</f>
        <v>814985438.68000126</v>
      </c>
    </row>
    <row r="29" spans="1:21" ht="19.5" thickBot="1" x14ac:dyDescent="0.3">
      <c r="A29" s="136" t="s">
        <v>1047</v>
      </c>
      <c r="B29" s="137">
        <v>45658</v>
      </c>
      <c r="C29" s="138" t="s">
        <v>599</v>
      </c>
      <c r="D29" s="138" t="str">
        <f>VLOOKUP(Purchase[[#This Row],[Supplier ID]],Supplier[#All],2,0)</f>
        <v>National Distributors</v>
      </c>
      <c r="E29" s="138">
        <f>VLOOKUP(Purchase[[#This Row],[Supplier ID]],Supplier[#All],3,0)</f>
        <v>9689542482</v>
      </c>
      <c r="F29" s="138" t="str">
        <f>VLOOKUP(Purchase[[#This Row],[Supplier ID]],Supplier[#All],4,0)</f>
        <v>Kanpur</v>
      </c>
      <c r="G29" s="138" t="str">
        <f>VLOOKUP(Purchase[[#This Row],[Supplier ID]],Supplier[#All],5,0)</f>
        <v>UP</v>
      </c>
      <c r="H29" s="138" t="str">
        <f>VLOOKUP(Purchase[[#This Row],[Supplier ID]],Supplier[#All],6,0)</f>
        <v>GST2154521T044</v>
      </c>
      <c r="I29" s="138" t="s">
        <v>35</v>
      </c>
      <c r="J29" s="139">
        <v>22</v>
      </c>
      <c r="K29" s="143">
        <f>VLOOKUP(Purchase[[#This Row],[Product ID]],Product[#All],6,0)</f>
        <v>2905</v>
      </c>
      <c r="L29" s="143">
        <f>Purchase[[#This Row],[Purchase Rate]]*Purchase[[#This Row],[Qty]]</f>
        <v>63910</v>
      </c>
      <c r="M29" s="140">
        <v>0</v>
      </c>
      <c r="N29" s="143">
        <v>0</v>
      </c>
      <c r="O29" s="140">
        <v>0.18</v>
      </c>
      <c r="P29" s="145">
        <f>(Purchase[[#This Row],[Gross Amount]]-Purchase[[#This Row],[Disct %]])*Purchase[[#This Row],[GST %]]</f>
        <v>11503.8</v>
      </c>
      <c r="Q29" s="145">
        <f>Purchase[[#This Row],[Gross Amount]]-Purchase[[#This Row],[Disct Amnt]]+Purchase[[#This Row],[GST Amount]]</f>
        <v>75413.8</v>
      </c>
      <c r="R29" s="138" t="s">
        <v>1019</v>
      </c>
      <c r="S29" s="41">
        <f>IF(Purchase[[#This Row],[Status]]="Cancelled",0,Purchase[[#This Row],[Qty]])</f>
        <v>22</v>
      </c>
      <c r="T29" s="146">
        <f>IF(Purchase[[#This Row],[Status]]="Cancelled",0,Purchase[[#This Row],[Total Amount]])</f>
        <v>75413.8</v>
      </c>
      <c r="U29" s="146">
        <f>SUM(Purchase[Net Amount])</f>
        <v>814985438.68000126</v>
      </c>
    </row>
    <row r="30" spans="1:21" ht="19.5" thickBot="1" x14ac:dyDescent="0.3">
      <c r="A30" s="136" t="s">
        <v>1048</v>
      </c>
      <c r="B30" s="137">
        <v>45659</v>
      </c>
      <c r="C30" s="138" t="s">
        <v>602</v>
      </c>
      <c r="D30" s="138" t="str">
        <f>VLOOKUP(Purchase[[#This Row],[Supplier ID]],Supplier[#All],2,0)</f>
        <v>Maa Computers</v>
      </c>
      <c r="E30" s="138">
        <f>VLOOKUP(Purchase[[#This Row],[Supplier ID]],Supplier[#All],3,0)</f>
        <v>9689542485</v>
      </c>
      <c r="F30" s="138" t="str">
        <f>VLOOKUP(Purchase[[#This Row],[Supplier ID]],Supplier[#All],4,0)</f>
        <v>Korba</v>
      </c>
      <c r="G30" s="138" t="str">
        <f>VLOOKUP(Purchase[[#This Row],[Supplier ID]],Supplier[#All],5,0)</f>
        <v>CG</v>
      </c>
      <c r="H30" s="138" t="str">
        <f>VLOOKUP(Purchase[[#This Row],[Supplier ID]],Supplier[#All],6,0)</f>
        <v>GST2154521T047</v>
      </c>
      <c r="I30" s="138" t="s">
        <v>244</v>
      </c>
      <c r="J30" s="139">
        <v>29</v>
      </c>
      <c r="K30" s="143">
        <f>VLOOKUP(Purchase[[#This Row],[Product ID]],Product[#All],6,0)</f>
        <v>3205</v>
      </c>
      <c r="L30" s="143">
        <f>Purchase[[#This Row],[Purchase Rate]]*Purchase[[#This Row],[Qty]]</f>
        <v>92945</v>
      </c>
      <c r="M30" s="140">
        <v>0</v>
      </c>
      <c r="N30" s="143">
        <v>0</v>
      </c>
      <c r="O30" s="140">
        <v>0.18</v>
      </c>
      <c r="P30" s="145">
        <f>(Purchase[[#This Row],[Gross Amount]]-Purchase[[#This Row],[Disct %]])*Purchase[[#This Row],[GST %]]</f>
        <v>16730.099999999999</v>
      </c>
      <c r="Q30" s="145">
        <f>Purchase[[#This Row],[Gross Amount]]-Purchase[[#This Row],[Disct Amnt]]+Purchase[[#This Row],[GST Amount]]</f>
        <v>109675.1</v>
      </c>
      <c r="R30" s="138" t="s">
        <v>1019</v>
      </c>
      <c r="S30" s="41">
        <f>IF(Purchase[[#This Row],[Status]]="Cancelled",0,Purchase[[#This Row],[Qty]])</f>
        <v>29</v>
      </c>
      <c r="T30" s="146">
        <f>IF(Purchase[[#This Row],[Status]]="Cancelled",0,Purchase[[#This Row],[Total Amount]])</f>
        <v>109675.1</v>
      </c>
      <c r="U30" s="146">
        <f>SUM(Purchase[Net Amount])</f>
        <v>814985438.68000126</v>
      </c>
    </row>
    <row r="31" spans="1:21" ht="19.5" thickBot="1" x14ac:dyDescent="0.3">
      <c r="A31" s="136" t="s">
        <v>1049</v>
      </c>
      <c r="B31" s="137">
        <v>45659</v>
      </c>
      <c r="C31" s="138" t="s">
        <v>586</v>
      </c>
      <c r="D31" s="138" t="str">
        <f>VLOOKUP(Purchase[[#This Row],[Supplier ID]],Supplier[#All],2,0)</f>
        <v>Maa Traders</v>
      </c>
      <c r="E31" s="138">
        <f>VLOOKUP(Purchase[[#This Row],[Supplier ID]],Supplier[#All],3,0)</f>
        <v>9689542470</v>
      </c>
      <c r="F31" s="138" t="str">
        <f>VLOOKUP(Purchase[[#This Row],[Supplier ID]],Supplier[#All],4,0)</f>
        <v>Kanpur</v>
      </c>
      <c r="G31" s="138" t="str">
        <f>VLOOKUP(Purchase[[#This Row],[Supplier ID]],Supplier[#All],5,0)</f>
        <v>UP</v>
      </c>
      <c r="H31" s="138" t="str">
        <f>VLOOKUP(Purchase[[#This Row],[Supplier ID]],Supplier[#All],6,0)</f>
        <v>GST2154521T032</v>
      </c>
      <c r="I31" s="138" t="s">
        <v>538</v>
      </c>
      <c r="J31" s="139">
        <v>26</v>
      </c>
      <c r="K31" s="143">
        <f>VLOOKUP(Purchase[[#This Row],[Product ID]],Product[#All],6,0)</f>
        <v>36513</v>
      </c>
      <c r="L31" s="143">
        <f>Purchase[[#This Row],[Purchase Rate]]*Purchase[[#This Row],[Qty]]</f>
        <v>949338</v>
      </c>
      <c r="M31" s="140">
        <v>0</v>
      </c>
      <c r="N31" s="143">
        <v>0</v>
      </c>
      <c r="O31" s="140">
        <v>0.18</v>
      </c>
      <c r="P31" s="145">
        <f>(Purchase[[#This Row],[Gross Amount]]-Purchase[[#This Row],[Disct %]])*Purchase[[#This Row],[GST %]]</f>
        <v>170880.84</v>
      </c>
      <c r="Q31" s="145">
        <f>Purchase[[#This Row],[Gross Amount]]-Purchase[[#This Row],[Disct Amnt]]+Purchase[[#This Row],[GST Amount]]</f>
        <v>1120218.8400000001</v>
      </c>
      <c r="R31" s="138" t="s">
        <v>1019</v>
      </c>
      <c r="S31" s="41">
        <f>IF(Purchase[[#This Row],[Status]]="Cancelled",0,Purchase[[#This Row],[Qty]])</f>
        <v>26</v>
      </c>
      <c r="T31" s="146">
        <f>IF(Purchase[[#This Row],[Status]]="Cancelled",0,Purchase[[#This Row],[Total Amount]])</f>
        <v>1120218.8400000001</v>
      </c>
      <c r="U31" s="146">
        <f>SUM(Purchase[Net Amount])</f>
        <v>814985438.68000126</v>
      </c>
    </row>
    <row r="32" spans="1:21" ht="19.5" thickBot="1" x14ac:dyDescent="0.3">
      <c r="A32" s="136" t="s">
        <v>1050</v>
      </c>
      <c r="B32" s="137">
        <v>45659</v>
      </c>
      <c r="C32" s="138" t="s">
        <v>605</v>
      </c>
      <c r="D32" s="138" t="str">
        <f>VLOOKUP(Purchase[[#This Row],[Supplier ID]],Supplier[#All],2,0)</f>
        <v>Star Traders</v>
      </c>
      <c r="E32" s="138">
        <f>VLOOKUP(Purchase[[#This Row],[Supplier ID]],Supplier[#All],3,0)</f>
        <v>9689542488</v>
      </c>
      <c r="F32" s="138" t="str">
        <f>VLOOKUP(Purchase[[#This Row],[Supplier ID]],Supplier[#All],4,0)</f>
        <v>Indore</v>
      </c>
      <c r="G32" s="138" t="str">
        <f>VLOOKUP(Purchase[[#This Row],[Supplier ID]],Supplier[#All],5,0)</f>
        <v>MP</v>
      </c>
      <c r="H32" s="138" t="str">
        <f>VLOOKUP(Purchase[[#This Row],[Supplier ID]],Supplier[#All],6,0)</f>
        <v>GST2154521T050</v>
      </c>
      <c r="I32" s="138" t="s">
        <v>253</v>
      </c>
      <c r="J32" s="139">
        <v>21</v>
      </c>
      <c r="K32" s="143">
        <f>VLOOKUP(Purchase[[#This Row],[Product ID]],Product[#All],6,0)</f>
        <v>34835</v>
      </c>
      <c r="L32" s="143">
        <f>Purchase[[#This Row],[Purchase Rate]]*Purchase[[#This Row],[Qty]]</f>
        <v>731535</v>
      </c>
      <c r="M32" s="140">
        <v>0</v>
      </c>
      <c r="N32" s="143">
        <v>0</v>
      </c>
      <c r="O32" s="140">
        <v>0.18</v>
      </c>
      <c r="P32" s="145">
        <f>(Purchase[[#This Row],[Gross Amount]]-Purchase[[#This Row],[Disct %]])*Purchase[[#This Row],[GST %]]</f>
        <v>131676.29999999999</v>
      </c>
      <c r="Q32" s="145">
        <f>Purchase[[#This Row],[Gross Amount]]-Purchase[[#This Row],[Disct Amnt]]+Purchase[[#This Row],[GST Amount]]</f>
        <v>863211.3</v>
      </c>
      <c r="R32" s="138" t="s">
        <v>1019</v>
      </c>
      <c r="S32" s="41">
        <f>IF(Purchase[[#This Row],[Status]]="Cancelled",0,Purchase[[#This Row],[Qty]])</f>
        <v>21</v>
      </c>
      <c r="T32" s="146">
        <f>IF(Purchase[[#This Row],[Status]]="Cancelled",0,Purchase[[#This Row],[Total Amount]])</f>
        <v>863211.3</v>
      </c>
      <c r="U32" s="146">
        <f>SUM(Purchase[Net Amount])</f>
        <v>814985438.68000126</v>
      </c>
    </row>
    <row r="33" spans="1:21" ht="19.5" thickBot="1" x14ac:dyDescent="0.3">
      <c r="A33" s="136" t="s">
        <v>1051</v>
      </c>
      <c r="B33" s="137">
        <v>45659</v>
      </c>
      <c r="C33" s="138" t="s">
        <v>594</v>
      </c>
      <c r="D33" s="138" t="str">
        <f>VLOOKUP(Purchase[[#This Row],[Supplier ID]],Supplier[#All],2,0)</f>
        <v>Shree Suppliers</v>
      </c>
      <c r="E33" s="138">
        <f>VLOOKUP(Purchase[[#This Row],[Supplier ID]],Supplier[#All],3,0)</f>
        <v>9689542477</v>
      </c>
      <c r="F33" s="138" t="str">
        <f>VLOOKUP(Purchase[[#This Row],[Supplier ID]],Supplier[#All],4,0)</f>
        <v>Indore</v>
      </c>
      <c r="G33" s="138" t="str">
        <f>VLOOKUP(Purchase[[#This Row],[Supplier ID]],Supplier[#All],5,0)</f>
        <v>MP</v>
      </c>
      <c r="H33" s="138" t="str">
        <f>VLOOKUP(Purchase[[#This Row],[Supplier ID]],Supplier[#All],6,0)</f>
        <v>GST2154521T039</v>
      </c>
      <c r="I33" s="138" t="s">
        <v>314</v>
      </c>
      <c r="J33" s="139">
        <v>30</v>
      </c>
      <c r="K33" s="143">
        <f>VLOOKUP(Purchase[[#This Row],[Product ID]],Product[#All],6,0)</f>
        <v>53060</v>
      </c>
      <c r="L33" s="143">
        <f>Purchase[[#This Row],[Purchase Rate]]*Purchase[[#This Row],[Qty]]</f>
        <v>1591800</v>
      </c>
      <c r="M33" s="140">
        <v>0</v>
      </c>
      <c r="N33" s="143">
        <v>0</v>
      </c>
      <c r="O33" s="140">
        <v>0.18</v>
      </c>
      <c r="P33" s="145">
        <f>(Purchase[[#This Row],[Gross Amount]]-Purchase[[#This Row],[Disct %]])*Purchase[[#This Row],[GST %]]</f>
        <v>286524</v>
      </c>
      <c r="Q33" s="145">
        <f>Purchase[[#This Row],[Gross Amount]]-Purchase[[#This Row],[Disct Amnt]]+Purchase[[#This Row],[GST Amount]]</f>
        <v>1878324</v>
      </c>
      <c r="R33" s="138" t="s">
        <v>1019</v>
      </c>
      <c r="S33" s="41">
        <f>IF(Purchase[[#This Row],[Status]]="Cancelled",0,Purchase[[#This Row],[Qty]])</f>
        <v>30</v>
      </c>
      <c r="T33" s="146">
        <f>IF(Purchase[[#This Row],[Status]]="Cancelled",0,Purchase[[#This Row],[Total Amount]])</f>
        <v>1878324</v>
      </c>
      <c r="U33" s="146">
        <f>SUM(Purchase[Net Amount])</f>
        <v>814985438.68000126</v>
      </c>
    </row>
    <row r="34" spans="1:21" ht="19.5" thickBot="1" x14ac:dyDescent="0.3">
      <c r="A34" s="136" t="s">
        <v>1052</v>
      </c>
      <c r="B34" s="137">
        <v>45659</v>
      </c>
      <c r="C34" s="138" t="s">
        <v>606</v>
      </c>
      <c r="D34" s="138" t="str">
        <f>VLOOKUP(Purchase[[#This Row],[Supplier ID]],Supplier[#All],2,0)</f>
        <v>Prime Traders</v>
      </c>
      <c r="E34" s="138">
        <f>VLOOKUP(Purchase[[#This Row],[Supplier ID]],Supplier[#All],3,0)</f>
        <v>9689542489</v>
      </c>
      <c r="F34" s="138" t="str">
        <f>VLOOKUP(Purchase[[#This Row],[Supplier ID]],Supplier[#All],4,0)</f>
        <v>Indore</v>
      </c>
      <c r="G34" s="138" t="str">
        <f>VLOOKUP(Purchase[[#This Row],[Supplier ID]],Supplier[#All],5,0)</f>
        <v>MP</v>
      </c>
      <c r="H34" s="138" t="str">
        <f>VLOOKUP(Purchase[[#This Row],[Supplier ID]],Supplier[#All],6,0)</f>
        <v>GST2154521T051</v>
      </c>
      <c r="I34" s="138" t="s">
        <v>459</v>
      </c>
      <c r="J34" s="139">
        <v>36</v>
      </c>
      <c r="K34" s="143">
        <f>VLOOKUP(Purchase[[#This Row],[Product ID]],Product[#All],6,0)</f>
        <v>1347</v>
      </c>
      <c r="L34" s="143">
        <f>Purchase[[#This Row],[Purchase Rate]]*Purchase[[#This Row],[Qty]]</f>
        <v>48492</v>
      </c>
      <c r="M34" s="140">
        <v>0</v>
      </c>
      <c r="N34" s="143">
        <v>0</v>
      </c>
      <c r="O34" s="140">
        <v>0.18</v>
      </c>
      <c r="P34" s="145">
        <f>(Purchase[[#This Row],[Gross Amount]]-Purchase[[#This Row],[Disct %]])*Purchase[[#This Row],[GST %]]</f>
        <v>8728.56</v>
      </c>
      <c r="Q34" s="145">
        <f>Purchase[[#This Row],[Gross Amount]]-Purchase[[#This Row],[Disct Amnt]]+Purchase[[#This Row],[GST Amount]]</f>
        <v>57220.56</v>
      </c>
      <c r="R34" s="138" t="s">
        <v>1019</v>
      </c>
      <c r="S34" s="41">
        <f>IF(Purchase[[#This Row],[Status]]="Cancelled",0,Purchase[[#This Row],[Qty]])</f>
        <v>36</v>
      </c>
      <c r="T34" s="146">
        <f>IF(Purchase[[#This Row],[Status]]="Cancelled",0,Purchase[[#This Row],[Total Amount]])</f>
        <v>57220.56</v>
      </c>
      <c r="U34" s="146">
        <f>SUM(Purchase[Net Amount])</f>
        <v>814985438.68000126</v>
      </c>
    </row>
    <row r="35" spans="1:21" ht="19.5" thickBot="1" x14ac:dyDescent="0.3">
      <c r="A35" s="136" t="s">
        <v>1053</v>
      </c>
      <c r="B35" s="137">
        <v>45659</v>
      </c>
      <c r="C35" s="138" t="s">
        <v>581</v>
      </c>
      <c r="D35" s="138" t="str">
        <f>VLOOKUP(Purchase[[#This Row],[Supplier ID]],Supplier[#All],2,0)</f>
        <v>Prime Electronics</v>
      </c>
      <c r="E35" s="138">
        <f>VLOOKUP(Purchase[[#This Row],[Supplier ID]],Supplier[#All],3,0)</f>
        <v>9689542465</v>
      </c>
      <c r="F35" s="138" t="str">
        <f>VLOOKUP(Purchase[[#This Row],[Supplier ID]],Supplier[#All],4,0)</f>
        <v>Korba</v>
      </c>
      <c r="G35" s="138" t="str">
        <f>VLOOKUP(Purchase[[#This Row],[Supplier ID]],Supplier[#All],5,0)</f>
        <v>CG</v>
      </c>
      <c r="H35" s="138" t="str">
        <f>VLOOKUP(Purchase[[#This Row],[Supplier ID]],Supplier[#All],6,0)</f>
        <v>GST2154521T027</v>
      </c>
      <c r="I35" s="138" t="s">
        <v>92</v>
      </c>
      <c r="J35" s="139">
        <v>37</v>
      </c>
      <c r="K35" s="143">
        <f>VLOOKUP(Purchase[[#This Row],[Product ID]],Product[#All],6,0)</f>
        <v>5110</v>
      </c>
      <c r="L35" s="143">
        <f>Purchase[[#This Row],[Purchase Rate]]*Purchase[[#This Row],[Qty]]</f>
        <v>189070</v>
      </c>
      <c r="M35" s="140">
        <v>0</v>
      </c>
      <c r="N35" s="143">
        <v>0</v>
      </c>
      <c r="O35" s="140">
        <v>0.18</v>
      </c>
      <c r="P35" s="145">
        <f>(Purchase[[#This Row],[Gross Amount]]-Purchase[[#This Row],[Disct %]])*Purchase[[#This Row],[GST %]]</f>
        <v>34032.6</v>
      </c>
      <c r="Q35" s="145">
        <f>Purchase[[#This Row],[Gross Amount]]-Purchase[[#This Row],[Disct Amnt]]+Purchase[[#This Row],[GST Amount]]</f>
        <v>223102.6</v>
      </c>
      <c r="R35" s="138" t="s">
        <v>1019</v>
      </c>
      <c r="S35" s="41">
        <f>IF(Purchase[[#This Row],[Status]]="Cancelled",0,Purchase[[#This Row],[Qty]])</f>
        <v>37</v>
      </c>
      <c r="T35" s="146">
        <f>IF(Purchase[[#This Row],[Status]]="Cancelled",0,Purchase[[#This Row],[Total Amount]])</f>
        <v>223102.6</v>
      </c>
      <c r="U35" s="146">
        <f>SUM(Purchase[Net Amount])</f>
        <v>814985438.68000126</v>
      </c>
    </row>
    <row r="36" spans="1:21" ht="19.5" thickBot="1" x14ac:dyDescent="0.3">
      <c r="A36" s="136" t="s">
        <v>1054</v>
      </c>
      <c r="B36" s="137">
        <v>45659</v>
      </c>
      <c r="C36" s="138" t="s">
        <v>580</v>
      </c>
      <c r="D36" s="138" t="str">
        <f>VLOOKUP(Purchase[[#This Row],[Supplier ID]],Supplier[#All],2,0)</f>
        <v>Star Distributors</v>
      </c>
      <c r="E36" s="138">
        <f>VLOOKUP(Purchase[[#This Row],[Supplier ID]],Supplier[#All],3,0)</f>
        <v>9689542464</v>
      </c>
      <c r="F36" s="138" t="str">
        <f>VLOOKUP(Purchase[[#This Row],[Supplier ID]],Supplier[#All],4,0)</f>
        <v>Indore</v>
      </c>
      <c r="G36" s="138" t="str">
        <f>VLOOKUP(Purchase[[#This Row],[Supplier ID]],Supplier[#All],5,0)</f>
        <v>MP</v>
      </c>
      <c r="H36" s="138" t="str">
        <f>VLOOKUP(Purchase[[#This Row],[Supplier ID]],Supplier[#All],6,0)</f>
        <v>GST2154521T026</v>
      </c>
      <c r="I36" s="138" t="s">
        <v>513</v>
      </c>
      <c r="J36" s="139">
        <v>3</v>
      </c>
      <c r="K36" s="143">
        <f>VLOOKUP(Purchase[[#This Row],[Product ID]],Product[#All],6,0)</f>
        <v>1887</v>
      </c>
      <c r="L36" s="143">
        <f>Purchase[[#This Row],[Purchase Rate]]*Purchase[[#This Row],[Qty]]</f>
        <v>5661</v>
      </c>
      <c r="M36" s="140">
        <v>0</v>
      </c>
      <c r="N36" s="143">
        <v>0</v>
      </c>
      <c r="O36" s="140">
        <v>0.18</v>
      </c>
      <c r="P36" s="145">
        <f>(Purchase[[#This Row],[Gross Amount]]-Purchase[[#This Row],[Disct %]])*Purchase[[#This Row],[GST %]]</f>
        <v>1018.98</v>
      </c>
      <c r="Q36" s="145">
        <f>Purchase[[#This Row],[Gross Amount]]-Purchase[[#This Row],[Disct Amnt]]+Purchase[[#This Row],[GST Amount]]</f>
        <v>6679.98</v>
      </c>
      <c r="R36" s="138" t="s">
        <v>1040</v>
      </c>
      <c r="S36" s="41">
        <f>IF(Purchase[[#This Row],[Status]]="Cancelled",0,Purchase[[#This Row],[Qty]])</f>
        <v>0</v>
      </c>
      <c r="T36" s="146">
        <f>IF(Purchase[[#This Row],[Status]]="Cancelled",0,Purchase[[#This Row],[Total Amount]])</f>
        <v>0</v>
      </c>
      <c r="U36" s="146">
        <f>SUM(Purchase[Net Amount])</f>
        <v>814985438.68000126</v>
      </c>
    </row>
    <row r="37" spans="1:21" ht="19.5" thickBot="1" x14ac:dyDescent="0.3">
      <c r="A37" s="136" t="s">
        <v>1055</v>
      </c>
      <c r="B37" s="137">
        <v>45659</v>
      </c>
      <c r="C37" s="138" t="s">
        <v>600</v>
      </c>
      <c r="D37" s="138" t="str">
        <f>VLOOKUP(Purchase[[#This Row],[Supplier ID]],Supplier[#All],2,0)</f>
        <v>Prime Suppliers</v>
      </c>
      <c r="E37" s="138">
        <f>VLOOKUP(Purchase[[#This Row],[Supplier ID]],Supplier[#All],3,0)</f>
        <v>9689542483</v>
      </c>
      <c r="F37" s="138" t="str">
        <f>VLOOKUP(Purchase[[#This Row],[Supplier ID]],Supplier[#All],4,0)</f>
        <v>Korba</v>
      </c>
      <c r="G37" s="138" t="str">
        <f>VLOOKUP(Purchase[[#This Row],[Supplier ID]],Supplier[#All],5,0)</f>
        <v>CG</v>
      </c>
      <c r="H37" s="138" t="str">
        <f>VLOOKUP(Purchase[[#This Row],[Supplier ID]],Supplier[#All],6,0)</f>
        <v>GST2154521T045</v>
      </c>
      <c r="I37" s="138" t="s">
        <v>76</v>
      </c>
      <c r="J37" s="139">
        <v>29</v>
      </c>
      <c r="K37" s="143">
        <f>VLOOKUP(Purchase[[#This Row],[Product ID]],Product[#All],6,0)</f>
        <v>1400</v>
      </c>
      <c r="L37" s="143">
        <f>Purchase[[#This Row],[Purchase Rate]]*Purchase[[#This Row],[Qty]]</f>
        <v>40600</v>
      </c>
      <c r="M37" s="140">
        <v>0</v>
      </c>
      <c r="N37" s="143">
        <v>0</v>
      </c>
      <c r="O37" s="140">
        <v>0.18</v>
      </c>
      <c r="P37" s="145">
        <f>(Purchase[[#This Row],[Gross Amount]]-Purchase[[#This Row],[Disct %]])*Purchase[[#This Row],[GST %]]</f>
        <v>7308</v>
      </c>
      <c r="Q37" s="145">
        <f>Purchase[[#This Row],[Gross Amount]]-Purchase[[#This Row],[Disct Amnt]]+Purchase[[#This Row],[GST Amount]]</f>
        <v>47908</v>
      </c>
      <c r="R37" s="138" t="s">
        <v>1019</v>
      </c>
      <c r="S37" s="41">
        <f>IF(Purchase[[#This Row],[Status]]="Cancelled",0,Purchase[[#This Row],[Qty]])</f>
        <v>29</v>
      </c>
      <c r="T37" s="146">
        <f>IF(Purchase[[#This Row],[Status]]="Cancelled",0,Purchase[[#This Row],[Total Amount]])</f>
        <v>47908</v>
      </c>
      <c r="U37" s="146">
        <f>SUM(Purchase[Net Amount])</f>
        <v>814985438.68000126</v>
      </c>
    </row>
    <row r="38" spans="1:21" ht="19.5" thickBot="1" x14ac:dyDescent="0.3">
      <c r="A38" s="136" t="s">
        <v>1056</v>
      </c>
      <c r="B38" s="137">
        <v>45659</v>
      </c>
      <c r="C38" s="138" t="s">
        <v>579</v>
      </c>
      <c r="D38" s="138" t="str">
        <f>VLOOKUP(Purchase[[#This Row],[Supplier ID]],Supplier[#All],2,0)</f>
        <v>Tech Traders</v>
      </c>
      <c r="E38" s="138">
        <f>VLOOKUP(Purchase[[#This Row],[Supplier ID]],Supplier[#All],3,0)</f>
        <v>9689542463</v>
      </c>
      <c r="F38" s="138" t="str">
        <f>VLOOKUP(Purchase[[#This Row],[Supplier ID]],Supplier[#All],4,0)</f>
        <v>Kanpur</v>
      </c>
      <c r="G38" s="138" t="str">
        <f>VLOOKUP(Purchase[[#This Row],[Supplier ID]],Supplier[#All],5,0)</f>
        <v>UP</v>
      </c>
      <c r="H38" s="138" t="str">
        <f>VLOOKUP(Purchase[[#This Row],[Supplier ID]],Supplier[#All],6,0)</f>
        <v>GST2154521T025</v>
      </c>
      <c r="I38" s="138" t="s">
        <v>191</v>
      </c>
      <c r="J38" s="139">
        <v>5</v>
      </c>
      <c r="K38" s="143">
        <f>VLOOKUP(Purchase[[#This Row],[Product ID]],Product[#All],6,0)</f>
        <v>1533</v>
      </c>
      <c r="L38" s="143">
        <f>Purchase[[#This Row],[Purchase Rate]]*Purchase[[#This Row],[Qty]]</f>
        <v>7665</v>
      </c>
      <c r="M38" s="140">
        <v>0</v>
      </c>
      <c r="N38" s="143">
        <v>0</v>
      </c>
      <c r="O38" s="140">
        <v>0.18</v>
      </c>
      <c r="P38" s="145">
        <f>(Purchase[[#This Row],[Gross Amount]]-Purchase[[#This Row],[Disct %]])*Purchase[[#This Row],[GST %]]</f>
        <v>1379.7</v>
      </c>
      <c r="Q38" s="145">
        <f>Purchase[[#This Row],[Gross Amount]]-Purchase[[#This Row],[Disct Amnt]]+Purchase[[#This Row],[GST Amount]]</f>
        <v>9044.7000000000007</v>
      </c>
      <c r="R38" s="138" t="s">
        <v>1019</v>
      </c>
      <c r="S38" s="41">
        <f>IF(Purchase[[#This Row],[Status]]="Cancelled",0,Purchase[[#This Row],[Qty]])</f>
        <v>5</v>
      </c>
      <c r="T38" s="146">
        <f>IF(Purchase[[#This Row],[Status]]="Cancelled",0,Purchase[[#This Row],[Total Amount]])</f>
        <v>9044.7000000000007</v>
      </c>
      <c r="U38" s="146">
        <f>SUM(Purchase[Net Amount])</f>
        <v>814985438.68000126</v>
      </c>
    </row>
    <row r="39" spans="1:21" ht="19.5" thickBot="1" x14ac:dyDescent="0.3">
      <c r="A39" s="136" t="s">
        <v>1057</v>
      </c>
      <c r="B39" s="137">
        <v>45659</v>
      </c>
      <c r="C39" s="138" t="s">
        <v>568</v>
      </c>
      <c r="D39" s="138" t="str">
        <f>VLOOKUP(Purchase[[#This Row],[Supplier ID]],Supplier[#All],2,0)</f>
        <v>Maa Computers</v>
      </c>
      <c r="E39" s="138">
        <f>VLOOKUP(Purchase[[#This Row],[Supplier ID]],Supplier[#All],3,0)</f>
        <v>9689542454</v>
      </c>
      <c r="F39" s="138" t="str">
        <f>VLOOKUP(Purchase[[#This Row],[Supplier ID]],Supplier[#All],4,0)</f>
        <v>Korba</v>
      </c>
      <c r="G39" s="138" t="str">
        <f>VLOOKUP(Purchase[[#This Row],[Supplier ID]],Supplier[#All],5,0)</f>
        <v>CG</v>
      </c>
      <c r="H39" s="138" t="str">
        <f>VLOOKUP(Purchase[[#This Row],[Supplier ID]],Supplier[#All],6,0)</f>
        <v>GST2154521T016</v>
      </c>
      <c r="I39" s="138" t="s">
        <v>151</v>
      </c>
      <c r="J39" s="139">
        <v>29</v>
      </c>
      <c r="K39" s="143">
        <f>VLOOKUP(Purchase[[#This Row],[Product ID]],Product[#All],6,0)</f>
        <v>5716</v>
      </c>
      <c r="L39" s="143">
        <f>Purchase[[#This Row],[Purchase Rate]]*Purchase[[#This Row],[Qty]]</f>
        <v>165764</v>
      </c>
      <c r="M39" s="140">
        <v>0</v>
      </c>
      <c r="N39" s="143">
        <v>0</v>
      </c>
      <c r="O39" s="140">
        <v>0.18</v>
      </c>
      <c r="P39" s="145">
        <f>(Purchase[[#This Row],[Gross Amount]]-Purchase[[#This Row],[Disct %]])*Purchase[[#This Row],[GST %]]</f>
        <v>29837.52</v>
      </c>
      <c r="Q39" s="145">
        <f>Purchase[[#This Row],[Gross Amount]]-Purchase[[#This Row],[Disct Amnt]]+Purchase[[#This Row],[GST Amount]]</f>
        <v>195601.52</v>
      </c>
      <c r="R39" s="138" t="s">
        <v>1019</v>
      </c>
      <c r="S39" s="41">
        <f>IF(Purchase[[#This Row],[Status]]="Cancelled",0,Purchase[[#This Row],[Qty]])</f>
        <v>29</v>
      </c>
      <c r="T39" s="146">
        <f>IF(Purchase[[#This Row],[Status]]="Cancelled",0,Purchase[[#This Row],[Total Amount]])</f>
        <v>195601.52</v>
      </c>
      <c r="U39" s="146">
        <f>SUM(Purchase[Net Amount])</f>
        <v>814985438.68000126</v>
      </c>
    </row>
    <row r="40" spans="1:21" ht="19.5" thickBot="1" x14ac:dyDescent="0.3">
      <c r="A40" s="136" t="s">
        <v>1058</v>
      </c>
      <c r="B40" s="137">
        <v>45659</v>
      </c>
      <c r="C40" s="138" t="s">
        <v>589</v>
      </c>
      <c r="D40" s="138" t="str">
        <f>VLOOKUP(Purchase[[#This Row],[Supplier ID]],Supplier[#All],2,0)</f>
        <v>Maa Computers</v>
      </c>
      <c r="E40" s="138">
        <f>VLOOKUP(Purchase[[#This Row],[Supplier ID]],Supplier[#All],3,0)</f>
        <v>9689542473</v>
      </c>
      <c r="F40" s="138" t="str">
        <f>VLOOKUP(Purchase[[#This Row],[Supplier ID]],Supplier[#All],4,0)</f>
        <v>Kanpur</v>
      </c>
      <c r="G40" s="138" t="str">
        <f>VLOOKUP(Purchase[[#This Row],[Supplier ID]],Supplier[#All],5,0)</f>
        <v>UP</v>
      </c>
      <c r="H40" s="138" t="str">
        <f>VLOOKUP(Purchase[[#This Row],[Supplier ID]],Supplier[#All],6,0)</f>
        <v>GST2154521T035</v>
      </c>
      <c r="I40" s="138" t="s">
        <v>524</v>
      </c>
      <c r="J40" s="139">
        <v>6</v>
      </c>
      <c r="K40" s="143">
        <f>VLOOKUP(Purchase[[#This Row],[Product ID]],Product[#All],6,0)</f>
        <v>581</v>
      </c>
      <c r="L40" s="143">
        <f>Purchase[[#This Row],[Purchase Rate]]*Purchase[[#This Row],[Qty]]</f>
        <v>3486</v>
      </c>
      <c r="M40" s="140">
        <v>0</v>
      </c>
      <c r="N40" s="143">
        <v>0</v>
      </c>
      <c r="O40" s="140">
        <v>0.18</v>
      </c>
      <c r="P40" s="145">
        <f>(Purchase[[#This Row],[Gross Amount]]-Purchase[[#This Row],[Disct %]])*Purchase[[#This Row],[GST %]]</f>
        <v>627.48</v>
      </c>
      <c r="Q40" s="145">
        <f>Purchase[[#This Row],[Gross Amount]]-Purchase[[#This Row],[Disct Amnt]]+Purchase[[#This Row],[GST Amount]]</f>
        <v>4113.4799999999996</v>
      </c>
      <c r="R40" s="138" t="s">
        <v>1019</v>
      </c>
      <c r="S40" s="41">
        <f>IF(Purchase[[#This Row],[Status]]="Cancelled",0,Purchase[[#This Row],[Qty]])</f>
        <v>6</v>
      </c>
      <c r="T40" s="146">
        <f>IF(Purchase[[#This Row],[Status]]="Cancelled",0,Purchase[[#This Row],[Total Amount]])</f>
        <v>4113.4799999999996</v>
      </c>
      <c r="U40" s="146">
        <f>SUM(Purchase[Net Amount])</f>
        <v>814985438.68000126</v>
      </c>
    </row>
    <row r="41" spans="1:21" ht="19.5" thickBot="1" x14ac:dyDescent="0.3">
      <c r="A41" s="136" t="s">
        <v>1059</v>
      </c>
      <c r="B41" s="137">
        <v>45659</v>
      </c>
      <c r="C41" s="138" t="s">
        <v>573</v>
      </c>
      <c r="D41" s="138" t="str">
        <f>VLOOKUP(Purchase[[#This Row],[Supplier ID]],Supplier[#All],2,0)</f>
        <v>Shree Traders</v>
      </c>
      <c r="E41" s="138">
        <f>VLOOKUP(Purchase[[#This Row],[Supplier ID]],Supplier[#All],3,0)</f>
        <v>9689542458</v>
      </c>
      <c r="F41" s="138" t="str">
        <f>VLOOKUP(Purchase[[#This Row],[Supplier ID]],Supplier[#All],4,0)</f>
        <v>Korba</v>
      </c>
      <c r="G41" s="138" t="str">
        <f>VLOOKUP(Purchase[[#This Row],[Supplier ID]],Supplier[#All],5,0)</f>
        <v>CG</v>
      </c>
      <c r="H41" s="138" t="str">
        <f>VLOOKUP(Purchase[[#This Row],[Supplier ID]],Supplier[#All],6,0)</f>
        <v>GST2154521T020</v>
      </c>
      <c r="I41" s="138" t="s">
        <v>525</v>
      </c>
      <c r="J41" s="139">
        <v>31</v>
      </c>
      <c r="K41" s="143">
        <f>VLOOKUP(Purchase[[#This Row],[Product ID]],Product[#All],6,0)</f>
        <v>1570</v>
      </c>
      <c r="L41" s="143">
        <f>Purchase[[#This Row],[Purchase Rate]]*Purchase[[#This Row],[Qty]]</f>
        <v>48670</v>
      </c>
      <c r="M41" s="140">
        <v>0</v>
      </c>
      <c r="N41" s="143">
        <v>0</v>
      </c>
      <c r="O41" s="140">
        <v>0.18</v>
      </c>
      <c r="P41" s="145">
        <f>(Purchase[[#This Row],[Gross Amount]]-Purchase[[#This Row],[Disct %]])*Purchase[[#This Row],[GST %]]</f>
        <v>8760.6</v>
      </c>
      <c r="Q41" s="145">
        <f>Purchase[[#This Row],[Gross Amount]]-Purchase[[#This Row],[Disct Amnt]]+Purchase[[#This Row],[GST Amount]]</f>
        <v>57430.6</v>
      </c>
      <c r="R41" s="138" t="s">
        <v>1019</v>
      </c>
      <c r="S41" s="41">
        <f>IF(Purchase[[#This Row],[Status]]="Cancelled",0,Purchase[[#This Row],[Qty]])</f>
        <v>31</v>
      </c>
      <c r="T41" s="146">
        <f>IF(Purchase[[#This Row],[Status]]="Cancelled",0,Purchase[[#This Row],[Total Amount]])</f>
        <v>57430.6</v>
      </c>
      <c r="U41" s="146">
        <f>SUM(Purchase[Net Amount])</f>
        <v>814985438.68000126</v>
      </c>
    </row>
    <row r="42" spans="1:21" ht="19.5" thickBot="1" x14ac:dyDescent="0.3">
      <c r="A42" s="136" t="s">
        <v>1060</v>
      </c>
      <c r="B42" s="137">
        <v>45659</v>
      </c>
      <c r="C42" s="138" t="s">
        <v>582</v>
      </c>
      <c r="D42" s="138" t="str">
        <f>VLOOKUP(Purchase[[#This Row],[Supplier ID]],Supplier[#All],2,0)</f>
        <v>Tech Distributors</v>
      </c>
      <c r="E42" s="138">
        <f>VLOOKUP(Purchase[[#This Row],[Supplier ID]],Supplier[#All],3,0)</f>
        <v>9689542466</v>
      </c>
      <c r="F42" s="138" t="str">
        <f>VLOOKUP(Purchase[[#This Row],[Supplier ID]],Supplier[#All],4,0)</f>
        <v>Indore</v>
      </c>
      <c r="G42" s="138" t="str">
        <f>VLOOKUP(Purchase[[#This Row],[Supplier ID]],Supplier[#All],5,0)</f>
        <v>MP</v>
      </c>
      <c r="H42" s="138" t="str">
        <f>VLOOKUP(Purchase[[#This Row],[Supplier ID]],Supplier[#All],6,0)</f>
        <v>GST2154521T028</v>
      </c>
      <c r="I42" s="138" t="s">
        <v>224</v>
      </c>
      <c r="J42" s="139">
        <v>25</v>
      </c>
      <c r="K42" s="143">
        <f>VLOOKUP(Purchase[[#This Row],[Product ID]],Product[#All],6,0)</f>
        <v>6591</v>
      </c>
      <c r="L42" s="143">
        <f>Purchase[[#This Row],[Purchase Rate]]*Purchase[[#This Row],[Qty]]</f>
        <v>164775</v>
      </c>
      <c r="M42" s="140">
        <v>0</v>
      </c>
      <c r="N42" s="143">
        <v>0</v>
      </c>
      <c r="O42" s="140">
        <v>0.18</v>
      </c>
      <c r="P42" s="145">
        <f>(Purchase[[#This Row],[Gross Amount]]-Purchase[[#This Row],[Disct %]])*Purchase[[#This Row],[GST %]]</f>
        <v>29659.5</v>
      </c>
      <c r="Q42" s="145">
        <f>Purchase[[#This Row],[Gross Amount]]-Purchase[[#This Row],[Disct Amnt]]+Purchase[[#This Row],[GST Amount]]</f>
        <v>194434.5</v>
      </c>
      <c r="R42" s="138" t="s">
        <v>1019</v>
      </c>
      <c r="S42" s="41">
        <f>IF(Purchase[[#This Row],[Status]]="Cancelled",0,Purchase[[#This Row],[Qty]])</f>
        <v>25</v>
      </c>
      <c r="T42" s="146">
        <f>IF(Purchase[[#This Row],[Status]]="Cancelled",0,Purchase[[#This Row],[Total Amount]])</f>
        <v>194434.5</v>
      </c>
      <c r="U42" s="146">
        <f>SUM(Purchase[Net Amount])</f>
        <v>814985438.68000126</v>
      </c>
    </row>
    <row r="43" spans="1:21" ht="19.5" thickBot="1" x14ac:dyDescent="0.3">
      <c r="A43" s="136" t="s">
        <v>1061</v>
      </c>
      <c r="B43" s="137">
        <v>45659</v>
      </c>
      <c r="C43" s="138" t="s">
        <v>575</v>
      </c>
      <c r="D43" s="138" t="str">
        <f>VLOOKUP(Purchase[[#This Row],[Supplier ID]],Supplier[#All],2,0)</f>
        <v>Global Computers</v>
      </c>
      <c r="E43" s="138">
        <f>VLOOKUP(Purchase[[#This Row],[Supplier ID]],Supplier[#All],3,0)</f>
        <v>9689542459</v>
      </c>
      <c r="F43" s="138" t="str">
        <f>VLOOKUP(Purchase[[#This Row],[Supplier ID]],Supplier[#All],4,0)</f>
        <v>Indore</v>
      </c>
      <c r="G43" s="138" t="str">
        <f>VLOOKUP(Purchase[[#This Row],[Supplier ID]],Supplier[#All],5,0)</f>
        <v>MP</v>
      </c>
      <c r="H43" s="138" t="str">
        <f>VLOOKUP(Purchase[[#This Row],[Supplier ID]],Supplier[#All],6,0)</f>
        <v>GST2154521T021</v>
      </c>
      <c r="I43" s="138" t="s">
        <v>383</v>
      </c>
      <c r="J43" s="139">
        <v>26</v>
      </c>
      <c r="K43" s="143">
        <f>VLOOKUP(Purchase[[#This Row],[Product ID]],Product[#All],6,0)</f>
        <v>2478</v>
      </c>
      <c r="L43" s="143">
        <f>Purchase[[#This Row],[Purchase Rate]]*Purchase[[#This Row],[Qty]]</f>
        <v>64428</v>
      </c>
      <c r="M43" s="140">
        <v>0</v>
      </c>
      <c r="N43" s="143">
        <v>0</v>
      </c>
      <c r="O43" s="140">
        <v>0.18</v>
      </c>
      <c r="P43" s="145">
        <f>(Purchase[[#This Row],[Gross Amount]]-Purchase[[#This Row],[Disct %]])*Purchase[[#This Row],[GST %]]</f>
        <v>11597.039999999999</v>
      </c>
      <c r="Q43" s="145">
        <f>Purchase[[#This Row],[Gross Amount]]-Purchase[[#This Row],[Disct Amnt]]+Purchase[[#This Row],[GST Amount]]</f>
        <v>76025.039999999994</v>
      </c>
      <c r="R43" s="138" t="s">
        <v>1019</v>
      </c>
      <c r="S43" s="41">
        <f>IF(Purchase[[#This Row],[Status]]="Cancelled",0,Purchase[[#This Row],[Qty]])</f>
        <v>26</v>
      </c>
      <c r="T43" s="146">
        <f>IF(Purchase[[#This Row],[Status]]="Cancelled",0,Purchase[[#This Row],[Total Amount]])</f>
        <v>76025.039999999994</v>
      </c>
      <c r="U43" s="146">
        <f>SUM(Purchase[Net Amount])</f>
        <v>814985438.68000126</v>
      </c>
    </row>
    <row r="44" spans="1:21" ht="19.5" thickBot="1" x14ac:dyDescent="0.3">
      <c r="A44" s="136" t="s">
        <v>1062</v>
      </c>
      <c r="B44" s="137">
        <v>45659</v>
      </c>
      <c r="C44" s="138" t="s">
        <v>595</v>
      </c>
      <c r="D44" s="138" t="str">
        <f>VLOOKUP(Purchase[[#This Row],[Supplier ID]],Supplier[#All],2,0)</f>
        <v>Star Computers</v>
      </c>
      <c r="E44" s="138">
        <f>VLOOKUP(Purchase[[#This Row],[Supplier ID]],Supplier[#All],3,0)</f>
        <v>9689542478</v>
      </c>
      <c r="F44" s="138" t="str">
        <f>VLOOKUP(Purchase[[#This Row],[Supplier ID]],Supplier[#All],4,0)</f>
        <v>Kanpur</v>
      </c>
      <c r="G44" s="138" t="str">
        <f>VLOOKUP(Purchase[[#This Row],[Supplier ID]],Supplier[#All],5,0)</f>
        <v>UP</v>
      </c>
      <c r="H44" s="138" t="str">
        <f>VLOOKUP(Purchase[[#This Row],[Supplier ID]],Supplier[#All],6,0)</f>
        <v>GST2154521T040</v>
      </c>
      <c r="I44" s="138" t="s">
        <v>533</v>
      </c>
      <c r="J44" s="139">
        <v>2</v>
      </c>
      <c r="K44" s="143">
        <f>VLOOKUP(Purchase[[#This Row],[Product ID]],Product[#All],6,0)</f>
        <v>60707</v>
      </c>
      <c r="L44" s="143">
        <f>Purchase[[#This Row],[Purchase Rate]]*Purchase[[#This Row],[Qty]]</f>
        <v>121414</v>
      </c>
      <c r="M44" s="140">
        <v>0</v>
      </c>
      <c r="N44" s="143">
        <v>0</v>
      </c>
      <c r="O44" s="140">
        <v>0.18</v>
      </c>
      <c r="P44" s="145">
        <f>(Purchase[[#This Row],[Gross Amount]]-Purchase[[#This Row],[Disct %]])*Purchase[[#This Row],[GST %]]</f>
        <v>21854.52</v>
      </c>
      <c r="Q44" s="145">
        <f>Purchase[[#This Row],[Gross Amount]]-Purchase[[#This Row],[Disct Amnt]]+Purchase[[#This Row],[GST Amount]]</f>
        <v>143268.51999999999</v>
      </c>
      <c r="R44" s="138" t="s">
        <v>1019</v>
      </c>
      <c r="S44" s="41">
        <f>IF(Purchase[[#This Row],[Status]]="Cancelled",0,Purchase[[#This Row],[Qty]])</f>
        <v>2</v>
      </c>
      <c r="T44" s="146">
        <f>IF(Purchase[[#This Row],[Status]]="Cancelled",0,Purchase[[#This Row],[Total Amount]])</f>
        <v>143268.51999999999</v>
      </c>
      <c r="U44" s="146">
        <f>SUM(Purchase[Net Amount])</f>
        <v>814985438.68000126</v>
      </c>
    </row>
    <row r="45" spans="1:21" ht="19.5" thickBot="1" x14ac:dyDescent="0.3">
      <c r="A45" s="136" t="s">
        <v>1063</v>
      </c>
      <c r="B45" s="137">
        <v>45659</v>
      </c>
      <c r="C45" s="138" t="s">
        <v>614</v>
      </c>
      <c r="D45" s="138" t="str">
        <f>VLOOKUP(Purchase[[#This Row],[Supplier ID]],Supplier[#All],2,0)</f>
        <v>National Electronics</v>
      </c>
      <c r="E45" s="138">
        <f>VLOOKUP(Purchase[[#This Row],[Supplier ID]],Supplier[#All],3,0)</f>
        <v>9689542497</v>
      </c>
      <c r="F45" s="138" t="str">
        <f>VLOOKUP(Purchase[[#This Row],[Supplier ID]],Supplier[#All],4,0)</f>
        <v>Kanpur</v>
      </c>
      <c r="G45" s="138" t="str">
        <f>VLOOKUP(Purchase[[#This Row],[Supplier ID]],Supplier[#All],5,0)</f>
        <v>UP</v>
      </c>
      <c r="H45" s="138" t="str">
        <f>VLOOKUP(Purchase[[#This Row],[Supplier ID]],Supplier[#All],6,0)</f>
        <v>GST2154521T059</v>
      </c>
      <c r="I45" s="138" t="s">
        <v>65</v>
      </c>
      <c r="J45" s="139">
        <v>29</v>
      </c>
      <c r="K45" s="143">
        <f>VLOOKUP(Purchase[[#This Row],[Product ID]],Product[#All],6,0)</f>
        <v>1758</v>
      </c>
      <c r="L45" s="143">
        <f>Purchase[[#This Row],[Purchase Rate]]*Purchase[[#This Row],[Qty]]</f>
        <v>50982</v>
      </c>
      <c r="M45" s="140">
        <v>0</v>
      </c>
      <c r="N45" s="143">
        <v>0</v>
      </c>
      <c r="O45" s="140">
        <v>0.18</v>
      </c>
      <c r="P45" s="145">
        <f>(Purchase[[#This Row],[Gross Amount]]-Purchase[[#This Row],[Disct %]])*Purchase[[#This Row],[GST %]]</f>
        <v>9176.76</v>
      </c>
      <c r="Q45" s="145">
        <f>Purchase[[#This Row],[Gross Amount]]-Purchase[[#This Row],[Disct Amnt]]+Purchase[[#This Row],[GST Amount]]</f>
        <v>60158.76</v>
      </c>
      <c r="R45" s="138" t="s">
        <v>1019</v>
      </c>
      <c r="S45" s="41">
        <f>IF(Purchase[[#This Row],[Status]]="Cancelled",0,Purchase[[#This Row],[Qty]])</f>
        <v>29</v>
      </c>
      <c r="T45" s="146">
        <f>IF(Purchase[[#This Row],[Status]]="Cancelled",0,Purchase[[#This Row],[Total Amount]])</f>
        <v>60158.76</v>
      </c>
      <c r="U45" s="146">
        <f>SUM(Purchase[Net Amount])</f>
        <v>814985438.68000126</v>
      </c>
    </row>
    <row r="46" spans="1:21" ht="19.5" thickBot="1" x14ac:dyDescent="0.3">
      <c r="A46" s="136" t="s">
        <v>1064</v>
      </c>
      <c r="B46" s="137">
        <v>45659</v>
      </c>
      <c r="C46" s="138" t="s">
        <v>580</v>
      </c>
      <c r="D46" s="138" t="str">
        <f>VLOOKUP(Purchase[[#This Row],[Supplier ID]],Supplier[#All],2,0)</f>
        <v>Star Distributors</v>
      </c>
      <c r="E46" s="138">
        <f>VLOOKUP(Purchase[[#This Row],[Supplier ID]],Supplier[#All],3,0)</f>
        <v>9689542464</v>
      </c>
      <c r="F46" s="138" t="str">
        <f>VLOOKUP(Purchase[[#This Row],[Supplier ID]],Supplier[#All],4,0)</f>
        <v>Indore</v>
      </c>
      <c r="G46" s="138" t="str">
        <f>VLOOKUP(Purchase[[#This Row],[Supplier ID]],Supplier[#All],5,0)</f>
        <v>MP</v>
      </c>
      <c r="H46" s="138" t="str">
        <f>VLOOKUP(Purchase[[#This Row],[Supplier ID]],Supplier[#All],6,0)</f>
        <v>GST2154521T026</v>
      </c>
      <c r="I46" s="138" t="s">
        <v>12</v>
      </c>
      <c r="J46" s="139">
        <v>14</v>
      </c>
      <c r="K46" s="143">
        <f>VLOOKUP(Purchase[[#This Row],[Product ID]],Product[#All],6,0)</f>
        <v>1698</v>
      </c>
      <c r="L46" s="143">
        <f>Purchase[[#This Row],[Purchase Rate]]*Purchase[[#This Row],[Qty]]</f>
        <v>23772</v>
      </c>
      <c r="M46" s="140">
        <v>0</v>
      </c>
      <c r="N46" s="143">
        <v>0</v>
      </c>
      <c r="O46" s="140">
        <v>0.18</v>
      </c>
      <c r="P46" s="145">
        <f>(Purchase[[#This Row],[Gross Amount]]-Purchase[[#This Row],[Disct %]])*Purchase[[#This Row],[GST %]]</f>
        <v>4278.96</v>
      </c>
      <c r="Q46" s="145">
        <f>Purchase[[#This Row],[Gross Amount]]-Purchase[[#This Row],[Disct Amnt]]+Purchase[[#This Row],[GST Amount]]</f>
        <v>28050.959999999999</v>
      </c>
      <c r="R46" s="138" t="s">
        <v>1019</v>
      </c>
      <c r="S46" s="41">
        <f>IF(Purchase[[#This Row],[Status]]="Cancelled",0,Purchase[[#This Row],[Qty]])</f>
        <v>14</v>
      </c>
      <c r="T46" s="146">
        <f>IF(Purchase[[#This Row],[Status]]="Cancelled",0,Purchase[[#This Row],[Total Amount]])</f>
        <v>28050.959999999999</v>
      </c>
      <c r="U46" s="146">
        <f>SUM(Purchase[Net Amount])</f>
        <v>814985438.68000126</v>
      </c>
    </row>
    <row r="47" spans="1:21" ht="19.5" thickBot="1" x14ac:dyDescent="0.3">
      <c r="A47" s="136" t="s">
        <v>1065</v>
      </c>
      <c r="B47" s="137">
        <v>45659</v>
      </c>
      <c r="C47" s="138" t="s">
        <v>567</v>
      </c>
      <c r="D47" s="138" t="str">
        <f>VLOOKUP(Purchase[[#This Row],[Supplier ID]],Supplier[#All],2,0)</f>
        <v>National Distributors</v>
      </c>
      <c r="E47" s="138">
        <f>VLOOKUP(Purchase[[#This Row],[Supplier ID]],Supplier[#All],3,0)</f>
        <v>9689542453</v>
      </c>
      <c r="F47" s="138" t="str">
        <f>VLOOKUP(Purchase[[#This Row],[Supplier ID]],Supplier[#All],4,0)</f>
        <v>Korba</v>
      </c>
      <c r="G47" s="138" t="str">
        <f>VLOOKUP(Purchase[[#This Row],[Supplier ID]],Supplier[#All],5,0)</f>
        <v>CG</v>
      </c>
      <c r="H47" s="138" t="str">
        <f>VLOOKUP(Purchase[[#This Row],[Supplier ID]],Supplier[#All],6,0)</f>
        <v>GST2154521T015</v>
      </c>
      <c r="I47" s="138" t="s">
        <v>226</v>
      </c>
      <c r="J47" s="139">
        <v>5</v>
      </c>
      <c r="K47" s="143">
        <f>VLOOKUP(Purchase[[#This Row],[Product ID]],Product[#All],6,0)</f>
        <v>3821</v>
      </c>
      <c r="L47" s="143">
        <f>Purchase[[#This Row],[Purchase Rate]]*Purchase[[#This Row],[Qty]]</f>
        <v>19105</v>
      </c>
      <c r="M47" s="140">
        <v>0</v>
      </c>
      <c r="N47" s="143">
        <v>0</v>
      </c>
      <c r="O47" s="140">
        <v>0.18</v>
      </c>
      <c r="P47" s="145">
        <f>(Purchase[[#This Row],[Gross Amount]]-Purchase[[#This Row],[Disct %]])*Purchase[[#This Row],[GST %]]</f>
        <v>3438.9</v>
      </c>
      <c r="Q47" s="145">
        <f>Purchase[[#This Row],[Gross Amount]]-Purchase[[#This Row],[Disct Amnt]]+Purchase[[#This Row],[GST Amount]]</f>
        <v>22543.9</v>
      </c>
      <c r="R47" s="138" t="s">
        <v>1019</v>
      </c>
      <c r="S47" s="41">
        <f>IF(Purchase[[#This Row],[Status]]="Cancelled",0,Purchase[[#This Row],[Qty]])</f>
        <v>5</v>
      </c>
      <c r="T47" s="146">
        <f>IF(Purchase[[#This Row],[Status]]="Cancelled",0,Purchase[[#This Row],[Total Amount]])</f>
        <v>22543.9</v>
      </c>
      <c r="U47" s="146">
        <f>SUM(Purchase[Net Amount])</f>
        <v>814985438.68000126</v>
      </c>
    </row>
    <row r="48" spans="1:21" ht="19.5" thickBot="1" x14ac:dyDescent="0.3">
      <c r="A48" s="136" t="s">
        <v>1066</v>
      </c>
      <c r="B48" s="137">
        <v>45659</v>
      </c>
      <c r="C48" s="138" t="s">
        <v>598</v>
      </c>
      <c r="D48" s="138" t="str">
        <f>VLOOKUP(Purchase[[#This Row],[Supplier ID]],Supplier[#All],2,0)</f>
        <v>National Distributors</v>
      </c>
      <c r="E48" s="138">
        <f>VLOOKUP(Purchase[[#This Row],[Supplier ID]],Supplier[#All],3,0)</f>
        <v>9689542489</v>
      </c>
      <c r="F48" s="138" t="str">
        <f>VLOOKUP(Purchase[[#This Row],[Supplier ID]],Supplier[#All],4,0)</f>
        <v>Indore</v>
      </c>
      <c r="G48" s="138" t="str">
        <f>VLOOKUP(Purchase[[#This Row],[Supplier ID]],Supplier[#All],5,0)</f>
        <v>MP</v>
      </c>
      <c r="H48" s="138" t="str">
        <f>VLOOKUP(Purchase[[#This Row],[Supplier ID]],Supplier[#All],6,0)</f>
        <v>GST2154521T043</v>
      </c>
      <c r="I48" s="138" t="s">
        <v>64</v>
      </c>
      <c r="J48" s="139">
        <v>11</v>
      </c>
      <c r="K48" s="143">
        <f>VLOOKUP(Purchase[[#This Row],[Product ID]],Product[#All],6,0)</f>
        <v>771</v>
      </c>
      <c r="L48" s="143">
        <f>Purchase[[#This Row],[Purchase Rate]]*Purchase[[#This Row],[Qty]]</f>
        <v>8481</v>
      </c>
      <c r="M48" s="140">
        <v>0</v>
      </c>
      <c r="N48" s="143">
        <v>0</v>
      </c>
      <c r="O48" s="140">
        <v>0.18</v>
      </c>
      <c r="P48" s="145">
        <f>(Purchase[[#This Row],[Gross Amount]]-Purchase[[#This Row],[Disct %]])*Purchase[[#This Row],[GST %]]</f>
        <v>1526.58</v>
      </c>
      <c r="Q48" s="145">
        <f>Purchase[[#This Row],[Gross Amount]]-Purchase[[#This Row],[Disct Amnt]]+Purchase[[#This Row],[GST Amount]]</f>
        <v>10007.58</v>
      </c>
      <c r="R48" s="138" t="s">
        <v>1019</v>
      </c>
      <c r="S48" s="41">
        <f>IF(Purchase[[#This Row],[Status]]="Cancelled",0,Purchase[[#This Row],[Qty]])</f>
        <v>11</v>
      </c>
      <c r="T48" s="146">
        <f>IF(Purchase[[#This Row],[Status]]="Cancelled",0,Purchase[[#This Row],[Total Amount]])</f>
        <v>10007.58</v>
      </c>
      <c r="U48" s="146">
        <f>SUM(Purchase[Net Amount])</f>
        <v>814985438.68000126</v>
      </c>
    </row>
    <row r="49" spans="1:21" ht="19.5" thickBot="1" x14ac:dyDescent="0.3">
      <c r="A49" s="136" t="s">
        <v>1067</v>
      </c>
      <c r="B49" s="137">
        <v>45659</v>
      </c>
      <c r="C49" s="138" t="s">
        <v>616</v>
      </c>
      <c r="D49" s="138" t="str">
        <f>VLOOKUP(Purchase[[#This Row],[Supplier ID]],Supplier[#All],2,0)</f>
        <v>Global Suppliers</v>
      </c>
      <c r="E49" s="138">
        <f>VLOOKUP(Purchase[[#This Row],[Supplier ID]],Supplier[#All],3,0)</f>
        <v>9689542499</v>
      </c>
      <c r="F49" s="138" t="str">
        <f>VLOOKUP(Purchase[[#This Row],[Supplier ID]],Supplier[#All],4,0)</f>
        <v>Kanpur</v>
      </c>
      <c r="G49" s="138" t="str">
        <f>VLOOKUP(Purchase[[#This Row],[Supplier ID]],Supplier[#All],5,0)</f>
        <v>UP</v>
      </c>
      <c r="H49" s="138" t="str">
        <f>VLOOKUP(Purchase[[#This Row],[Supplier ID]],Supplier[#All],6,0)</f>
        <v>GST2154521T061</v>
      </c>
      <c r="I49" s="138" t="s">
        <v>178</v>
      </c>
      <c r="J49" s="139">
        <v>4</v>
      </c>
      <c r="K49" s="143">
        <f>VLOOKUP(Purchase[[#This Row],[Product ID]],Product[#All],6,0)</f>
        <v>8325</v>
      </c>
      <c r="L49" s="143">
        <f>Purchase[[#This Row],[Purchase Rate]]*Purchase[[#This Row],[Qty]]</f>
        <v>33300</v>
      </c>
      <c r="M49" s="140">
        <v>0</v>
      </c>
      <c r="N49" s="143">
        <v>0</v>
      </c>
      <c r="O49" s="140">
        <v>0.18</v>
      </c>
      <c r="P49" s="145">
        <f>(Purchase[[#This Row],[Gross Amount]]-Purchase[[#This Row],[Disct %]])*Purchase[[#This Row],[GST %]]</f>
        <v>5994</v>
      </c>
      <c r="Q49" s="145">
        <f>Purchase[[#This Row],[Gross Amount]]-Purchase[[#This Row],[Disct Amnt]]+Purchase[[#This Row],[GST Amount]]</f>
        <v>39294</v>
      </c>
      <c r="R49" s="138" t="s">
        <v>1019</v>
      </c>
      <c r="S49" s="41">
        <f>IF(Purchase[[#This Row],[Status]]="Cancelled",0,Purchase[[#This Row],[Qty]])</f>
        <v>4</v>
      </c>
      <c r="T49" s="146">
        <f>IF(Purchase[[#This Row],[Status]]="Cancelled",0,Purchase[[#This Row],[Total Amount]])</f>
        <v>39294</v>
      </c>
      <c r="U49" s="146">
        <f>SUM(Purchase[Net Amount])</f>
        <v>814985438.68000126</v>
      </c>
    </row>
    <row r="50" spans="1:21" ht="19.5" thickBot="1" x14ac:dyDescent="0.3">
      <c r="A50" s="136" t="s">
        <v>1068</v>
      </c>
      <c r="B50" s="137">
        <v>45659</v>
      </c>
      <c r="C50" s="138" t="s">
        <v>580</v>
      </c>
      <c r="D50" s="138" t="str">
        <f>VLOOKUP(Purchase[[#This Row],[Supplier ID]],Supplier[#All],2,0)</f>
        <v>Star Distributors</v>
      </c>
      <c r="E50" s="138">
        <f>VLOOKUP(Purchase[[#This Row],[Supplier ID]],Supplier[#All],3,0)</f>
        <v>9689542464</v>
      </c>
      <c r="F50" s="138" t="str">
        <f>VLOOKUP(Purchase[[#This Row],[Supplier ID]],Supplier[#All],4,0)</f>
        <v>Indore</v>
      </c>
      <c r="G50" s="138" t="str">
        <f>VLOOKUP(Purchase[[#This Row],[Supplier ID]],Supplier[#All],5,0)</f>
        <v>MP</v>
      </c>
      <c r="H50" s="138" t="str">
        <f>VLOOKUP(Purchase[[#This Row],[Supplier ID]],Supplier[#All],6,0)</f>
        <v>GST2154521T026</v>
      </c>
      <c r="I50" s="138" t="s">
        <v>152</v>
      </c>
      <c r="J50" s="139">
        <v>6</v>
      </c>
      <c r="K50" s="143">
        <f>VLOOKUP(Purchase[[#This Row],[Product ID]],Product[#All],6,0)</f>
        <v>29602</v>
      </c>
      <c r="L50" s="143">
        <f>Purchase[[#This Row],[Purchase Rate]]*Purchase[[#This Row],[Qty]]</f>
        <v>177612</v>
      </c>
      <c r="M50" s="140">
        <v>0</v>
      </c>
      <c r="N50" s="143">
        <v>0</v>
      </c>
      <c r="O50" s="140">
        <v>0.18</v>
      </c>
      <c r="P50" s="145">
        <f>(Purchase[[#This Row],[Gross Amount]]-Purchase[[#This Row],[Disct %]])*Purchase[[#This Row],[GST %]]</f>
        <v>31970.16</v>
      </c>
      <c r="Q50" s="145">
        <f>Purchase[[#This Row],[Gross Amount]]-Purchase[[#This Row],[Disct Amnt]]+Purchase[[#This Row],[GST Amount]]</f>
        <v>209582.16</v>
      </c>
      <c r="R50" s="138" t="s">
        <v>1019</v>
      </c>
      <c r="S50" s="41">
        <f>IF(Purchase[[#This Row],[Status]]="Cancelled",0,Purchase[[#This Row],[Qty]])</f>
        <v>6</v>
      </c>
      <c r="T50" s="146">
        <f>IF(Purchase[[#This Row],[Status]]="Cancelled",0,Purchase[[#This Row],[Total Amount]])</f>
        <v>209582.16</v>
      </c>
      <c r="U50" s="146">
        <f>SUM(Purchase[Net Amount])</f>
        <v>814985438.68000126</v>
      </c>
    </row>
    <row r="51" spans="1:21" ht="19.5" thickBot="1" x14ac:dyDescent="0.3">
      <c r="A51" s="136" t="s">
        <v>1069</v>
      </c>
      <c r="B51" s="137">
        <v>45659</v>
      </c>
      <c r="C51" s="138" t="s">
        <v>564</v>
      </c>
      <c r="D51" s="138" t="str">
        <f>VLOOKUP(Purchase[[#This Row],[Supplier ID]],Supplier[#All],2,0)</f>
        <v xml:space="preserve">Star Electronics </v>
      </c>
      <c r="E51" s="138">
        <f>VLOOKUP(Purchase[[#This Row],[Supplier ID]],Supplier[#All],3,0)</f>
        <v>9689542450</v>
      </c>
      <c r="F51" s="138" t="str">
        <f>VLOOKUP(Purchase[[#This Row],[Supplier ID]],Supplier[#All],4,0)</f>
        <v>Korba</v>
      </c>
      <c r="G51" s="138" t="str">
        <f>VLOOKUP(Purchase[[#This Row],[Supplier ID]],Supplier[#All],5,0)</f>
        <v>CG</v>
      </c>
      <c r="H51" s="138" t="str">
        <f>VLOOKUP(Purchase[[#This Row],[Supplier ID]],Supplier[#All],6,0)</f>
        <v>GST2154521T012</v>
      </c>
      <c r="I51" s="138" t="s">
        <v>28</v>
      </c>
      <c r="J51" s="139">
        <v>15</v>
      </c>
      <c r="K51" s="143">
        <f>VLOOKUP(Purchase[[#This Row],[Product ID]],Product[#All],6,0)</f>
        <v>68618</v>
      </c>
      <c r="L51" s="143">
        <f>Purchase[[#This Row],[Purchase Rate]]*Purchase[[#This Row],[Qty]]</f>
        <v>1029270</v>
      </c>
      <c r="M51" s="140">
        <v>0</v>
      </c>
      <c r="N51" s="143">
        <v>0</v>
      </c>
      <c r="O51" s="140">
        <v>0.18</v>
      </c>
      <c r="P51" s="145">
        <f>(Purchase[[#This Row],[Gross Amount]]-Purchase[[#This Row],[Disct %]])*Purchase[[#This Row],[GST %]]</f>
        <v>185268.6</v>
      </c>
      <c r="Q51" s="145">
        <f>Purchase[[#This Row],[Gross Amount]]-Purchase[[#This Row],[Disct Amnt]]+Purchase[[#This Row],[GST Amount]]</f>
        <v>1214538.6000000001</v>
      </c>
      <c r="R51" s="138" t="s">
        <v>1019</v>
      </c>
      <c r="S51" s="41">
        <f>IF(Purchase[[#This Row],[Status]]="Cancelled",0,Purchase[[#This Row],[Qty]])</f>
        <v>15</v>
      </c>
      <c r="T51" s="146">
        <f>IF(Purchase[[#This Row],[Status]]="Cancelled",0,Purchase[[#This Row],[Total Amount]])</f>
        <v>1214538.6000000001</v>
      </c>
      <c r="U51" s="146">
        <f>SUM(Purchase[Net Amount])</f>
        <v>814985438.68000126</v>
      </c>
    </row>
    <row r="52" spans="1:21" ht="19.5" thickBot="1" x14ac:dyDescent="0.3">
      <c r="A52" s="136" t="s">
        <v>1070</v>
      </c>
      <c r="B52" s="137">
        <v>45660</v>
      </c>
      <c r="C52" s="138" t="s">
        <v>616</v>
      </c>
      <c r="D52" s="138" t="str">
        <f>VLOOKUP(Purchase[[#This Row],[Supplier ID]],Supplier[#All],2,0)</f>
        <v>Global Suppliers</v>
      </c>
      <c r="E52" s="138">
        <f>VLOOKUP(Purchase[[#This Row],[Supplier ID]],Supplier[#All],3,0)</f>
        <v>9689542499</v>
      </c>
      <c r="F52" s="138" t="str">
        <f>VLOOKUP(Purchase[[#This Row],[Supplier ID]],Supplier[#All],4,0)</f>
        <v>Kanpur</v>
      </c>
      <c r="G52" s="138" t="str">
        <f>VLOOKUP(Purchase[[#This Row],[Supplier ID]],Supplier[#All],5,0)</f>
        <v>UP</v>
      </c>
      <c r="H52" s="138" t="str">
        <f>VLOOKUP(Purchase[[#This Row],[Supplier ID]],Supplier[#All],6,0)</f>
        <v>GST2154521T061</v>
      </c>
      <c r="I52" s="138" t="s">
        <v>124</v>
      </c>
      <c r="J52" s="139">
        <v>31</v>
      </c>
      <c r="K52" s="143">
        <f>VLOOKUP(Purchase[[#This Row],[Product ID]],Product[#All],6,0)</f>
        <v>12974</v>
      </c>
      <c r="L52" s="143">
        <f>Purchase[[#This Row],[Purchase Rate]]*Purchase[[#This Row],[Qty]]</f>
        <v>402194</v>
      </c>
      <c r="M52" s="140">
        <v>0</v>
      </c>
      <c r="N52" s="143">
        <v>0</v>
      </c>
      <c r="O52" s="140">
        <v>0.18</v>
      </c>
      <c r="P52" s="145">
        <f>(Purchase[[#This Row],[Gross Amount]]-Purchase[[#This Row],[Disct %]])*Purchase[[#This Row],[GST %]]</f>
        <v>72394.92</v>
      </c>
      <c r="Q52" s="145">
        <f>Purchase[[#This Row],[Gross Amount]]-Purchase[[#This Row],[Disct Amnt]]+Purchase[[#This Row],[GST Amount]]</f>
        <v>474588.92</v>
      </c>
      <c r="R52" s="138" t="s">
        <v>1019</v>
      </c>
      <c r="S52" s="41">
        <f>IF(Purchase[[#This Row],[Status]]="Cancelled",0,Purchase[[#This Row],[Qty]])</f>
        <v>31</v>
      </c>
      <c r="T52" s="146">
        <f>IF(Purchase[[#This Row],[Status]]="Cancelled",0,Purchase[[#This Row],[Total Amount]])</f>
        <v>474588.92</v>
      </c>
      <c r="U52" s="146">
        <f>SUM(Purchase[Net Amount])</f>
        <v>814985438.68000126</v>
      </c>
    </row>
    <row r="53" spans="1:21" ht="19.5" thickBot="1" x14ac:dyDescent="0.3">
      <c r="A53" s="136" t="s">
        <v>1071</v>
      </c>
      <c r="B53" s="137">
        <v>45660</v>
      </c>
      <c r="C53" s="138" t="s">
        <v>578</v>
      </c>
      <c r="D53" s="138" t="str">
        <f>VLOOKUP(Purchase[[#This Row],[Supplier ID]],Supplier[#All],2,0)</f>
        <v>Shree Computers</v>
      </c>
      <c r="E53" s="138">
        <f>VLOOKUP(Purchase[[#This Row],[Supplier ID]],Supplier[#All],3,0)</f>
        <v>9689542462</v>
      </c>
      <c r="F53" s="138" t="str">
        <f>VLOOKUP(Purchase[[#This Row],[Supplier ID]],Supplier[#All],4,0)</f>
        <v>Korba</v>
      </c>
      <c r="G53" s="138" t="str">
        <f>VLOOKUP(Purchase[[#This Row],[Supplier ID]],Supplier[#All],5,0)</f>
        <v>CG</v>
      </c>
      <c r="H53" s="138" t="str">
        <f>VLOOKUP(Purchase[[#This Row],[Supplier ID]],Supplier[#All],6,0)</f>
        <v>GST2154521T024</v>
      </c>
      <c r="I53" s="138" t="s">
        <v>47</v>
      </c>
      <c r="J53" s="139">
        <v>11</v>
      </c>
      <c r="K53" s="143">
        <f>VLOOKUP(Purchase[[#This Row],[Product ID]],Product[#All],6,0)</f>
        <v>723</v>
      </c>
      <c r="L53" s="143">
        <f>Purchase[[#This Row],[Purchase Rate]]*Purchase[[#This Row],[Qty]]</f>
        <v>7953</v>
      </c>
      <c r="M53" s="140">
        <v>0</v>
      </c>
      <c r="N53" s="143">
        <v>0</v>
      </c>
      <c r="O53" s="140">
        <v>0.18</v>
      </c>
      <c r="P53" s="145">
        <f>(Purchase[[#This Row],[Gross Amount]]-Purchase[[#This Row],[Disct %]])*Purchase[[#This Row],[GST %]]</f>
        <v>1431.54</v>
      </c>
      <c r="Q53" s="145">
        <f>Purchase[[#This Row],[Gross Amount]]-Purchase[[#This Row],[Disct Amnt]]+Purchase[[#This Row],[GST Amount]]</f>
        <v>9384.5400000000009</v>
      </c>
      <c r="R53" s="138" t="s">
        <v>1019</v>
      </c>
      <c r="S53" s="41">
        <f>IF(Purchase[[#This Row],[Status]]="Cancelled",0,Purchase[[#This Row],[Qty]])</f>
        <v>11</v>
      </c>
      <c r="T53" s="146">
        <f>IF(Purchase[[#This Row],[Status]]="Cancelled",0,Purchase[[#This Row],[Total Amount]])</f>
        <v>9384.5400000000009</v>
      </c>
      <c r="U53" s="146">
        <f>SUM(Purchase[Net Amount])</f>
        <v>814985438.68000126</v>
      </c>
    </row>
    <row r="54" spans="1:21" ht="19.5" thickBot="1" x14ac:dyDescent="0.3">
      <c r="A54" s="136" t="s">
        <v>1072</v>
      </c>
      <c r="B54" s="137">
        <v>45660</v>
      </c>
      <c r="C54" s="138" t="s">
        <v>568</v>
      </c>
      <c r="D54" s="138" t="str">
        <f>VLOOKUP(Purchase[[#This Row],[Supplier ID]],Supplier[#All],2,0)</f>
        <v>Maa Computers</v>
      </c>
      <c r="E54" s="138">
        <f>VLOOKUP(Purchase[[#This Row],[Supplier ID]],Supplier[#All],3,0)</f>
        <v>9689542454</v>
      </c>
      <c r="F54" s="138" t="str">
        <f>VLOOKUP(Purchase[[#This Row],[Supplier ID]],Supplier[#All],4,0)</f>
        <v>Korba</v>
      </c>
      <c r="G54" s="138" t="str">
        <f>VLOOKUP(Purchase[[#This Row],[Supplier ID]],Supplier[#All],5,0)</f>
        <v>CG</v>
      </c>
      <c r="H54" s="138" t="str">
        <f>VLOOKUP(Purchase[[#This Row],[Supplier ID]],Supplier[#All],6,0)</f>
        <v>GST2154521T016</v>
      </c>
      <c r="I54" s="138" t="s">
        <v>334</v>
      </c>
      <c r="J54" s="139">
        <v>20</v>
      </c>
      <c r="K54" s="143">
        <f>VLOOKUP(Purchase[[#This Row],[Product ID]],Product[#All],6,0)</f>
        <v>2706</v>
      </c>
      <c r="L54" s="143">
        <f>Purchase[[#This Row],[Purchase Rate]]*Purchase[[#This Row],[Qty]]</f>
        <v>54120</v>
      </c>
      <c r="M54" s="140">
        <v>0</v>
      </c>
      <c r="N54" s="143">
        <v>0</v>
      </c>
      <c r="O54" s="140">
        <v>0.18</v>
      </c>
      <c r="P54" s="145">
        <f>(Purchase[[#This Row],[Gross Amount]]-Purchase[[#This Row],[Disct %]])*Purchase[[#This Row],[GST %]]</f>
        <v>9741.6</v>
      </c>
      <c r="Q54" s="145">
        <f>Purchase[[#This Row],[Gross Amount]]-Purchase[[#This Row],[Disct Amnt]]+Purchase[[#This Row],[GST Amount]]</f>
        <v>63861.599999999999</v>
      </c>
      <c r="R54" s="138" t="s">
        <v>1019</v>
      </c>
      <c r="S54" s="41">
        <f>IF(Purchase[[#This Row],[Status]]="Cancelled",0,Purchase[[#This Row],[Qty]])</f>
        <v>20</v>
      </c>
      <c r="T54" s="146">
        <f>IF(Purchase[[#This Row],[Status]]="Cancelled",0,Purchase[[#This Row],[Total Amount]])</f>
        <v>63861.599999999999</v>
      </c>
      <c r="U54" s="146">
        <f>SUM(Purchase[Net Amount])</f>
        <v>814985438.68000126</v>
      </c>
    </row>
    <row r="55" spans="1:21" ht="19.5" thickBot="1" x14ac:dyDescent="0.3">
      <c r="A55" s="136" t="s">
        <v>1073</v>
      </c>
      <c r="B55" s="137">
        <v>45660</v>
      </c>
      <c r="C55" s="138" t="s">
        <v>564</v>
      </c>
      <c r="D55" s="138" t="str">
        <f>VLOOKUP(Purchase[[#This Row],[Supplier ID]],Supplier[#All],2,0)</f>
        <v xml:space="preserve">Star Electronics </v>
      </c>
      <c r="E55" s="138">
        <f>VLOOKUP(Purchase[[#This Row],[Supplier ID]],Supplier[#All],3,0)</f>
        <v>9689542450</v>
      </c>
      <c r="F55" s="138" t="str">
        <f>VLOOKUP(Purchase[[#This Row],[Supplier ID]],Supplier[#All],4,0)</f>
        <v>Korba</v>
      </c>
      <c r="G55" s="138" t="str">
        <f>VLOOKUP(Purchase[[#This Row],[Supplier ID]],Supplier[#All],5,0)</f>
        <v>CG</v>
      </c>
      <c r="H55" s="138" t="str">
        <f>VLOOKUP(Purchase[[#This Row],[Supplier ID]],Supplier[#All],6,0)</f>
        <v>GST2154521T012</v>
      </c>
      <c r="I55" s="138" t="s">
        <v>112</v>
      </c>
      <c r="J55" s="139">
        <v>21</v>
      </c>
      <c r="K55" s="143">
        <f>VLOOKUP(Purchase[[#This Row],[Product ID]],Product[#All],6,0)</f>
        <v>2575</v>
      </c>
      <c r="L55" s="143">
        <f>Purchase[[#This Row],[Purchase Rate]]*Purchase[[#This Row],[Qty]]</f>
        <v>54075</v>
      </c>
      <c r="M55" s="140">
        <v>0</v>
      </c>
      <c r="N55" s="143">
        <v>0</v>
      </c>
      <c r="O55" s="140">
        <v>0.18</v>
      </c>
      <c r="P55" s="145">
        <f>(Purchase[[#This Row],[Gross Amount]]-Purchase[[#This Row],[Disct %]])*Purchase[[#This Row],[GST %]]</f>
        <v>9733.5</v>
      </c>
      <c r="Q55" s="145">
        <f>Purchase[[#This Row],[Gross Amount]]-Purchase[[#This Row],[Disct Amnt]]+Purchase[[#This Row],[GST Amount]]</f>
        <v>63808.5</v>
      </c>
      <c r="R55" s="138" t="s">
        <v>1019</v>
      </c>
      <c r="S55" s="41">
        <f>IF(Purchase[[#This Row],[Status]]="Cancelled",0,Purchase[[#This Row],[Qty]])</f>
        <v>21</v>
      </c>
      <c r="T55" s="146">
        <f>IF(Purchase[[#This Row],[Status]]="Cancelled",0,Purchase[[#This Row],[Total Amount]])</f>
        <v>63808.5</v>
      </c>
      <c r="U55" s="146">
        <f>SUM(Purchase[Net Amount])</f>
        <v>814985438.68000126</v>
      </c>
    </row>
    <row r="56" spans="1:21" ht="19.5" thickBot="1" x14ac:dyDescent="0.3">
      <c r="A56" s="136" t="s">
        <v>1074</v>
      </c>
      <c r="B56" s="137">
        <v>45660</v>
      </c>
      <c r="C56" s="138" t="s">
        <v>599</v>
      </c>
      <c r="D56" s="138" t="str">
        <f>VLOOKUP(Purchase[[#This Row],[Supplier ID]],Supplier[#All],2,0)</f>
        <v>National Distributors</v>
      </c>
      <c r="E56" s="138">
        <f>VLOOKUP(Purchase[[#This Row],[Supplier ID]],Supplier[#All],3,0)</f>
        <v>9689542482</v>
      </c>
      <c r="F56" s="138" t="str">
        <f>VLOOKUP(Purchase[[#This Row],[Supplier ID]],Supplier[#All],4,0)</f>
        <v>Kanpur</v>
      </c>
      <c r="G56" s="138" t="str">
        <f>VLOOKUP(Purchase[[#This Row],[Supplier ID]],Supplier[#All],5,0)</f>
        <v>UP</v>
      </c>
      <c r="H56" s="138" t="str">
        <f>VLOOKUP(Purchase[[#This Row],[Supplier ID]],Supplier[#All],6,0)</f>
        <v>GST2154521T044</v>
      </c>
      <c r="I56" s="138" t="s">
        <v>264</v>
      </c>
      <c r="J56" s="139">
        <v>23</v>
      </c>
      <c r="K56" s="143">
        <f>VLOOKUP(Purchase[[#This Row],[Product ID]],Product[#All],6,0)</f>
        <v>58038</v>
      </c>
      <c r="L56" s="143">
        <f>Purchase[[#This Row],[Purchase Rate]]*Purchase[[#This Row],[Qty]]</f>
        <v>1334874</v>
      </c>
      <c r="M56" s="140">
        <v>0</v>
      </c>
      <c r="N56" s="143">
        <v>0</v>
      </c>
      <c r="O56" s="140">
        <v>0.18</v>
      </c>
      <c r="P56" s="145">
        <f>(Purchase[[#This Row],[Gross Amount]]-Purchase[[#This Row],[Disct %]])*Purchase[[#This Row],[GST %]]</f>
        <v>240277.31999999998</v>
      </c>
      <c r="Q56" s="145">
        <f>Purchase[[#This Row],[Gross Amount]]-Purchase[[#This Row],[Disct Amnt]]+Purchase[[#This Row],[GST Amount]]</f>
        <v>1575151.32</v>
      </c>
      <c r="R56" s="138" t="s">
        <v>1019</v>
      </c>
      <c r="S56" s="41">
        <f>IF(Purchase[[#This Row],[Status]]="Cancelled",0,Purchase[[#This Row],[Qty]])</f>
        <v>23</v>
      </c>
      <c r="T56" s="146">
        <f>IF(Purchase[[#This Row],[Status]]="Cancelled",0,Purchase[[#This Row],[Total Amount]])</f>
        <v>1575151.32</v>
      </c>
      <c r="U56" s="146">
        <f>SUM(Purchase[Net Amount])</f>
        <v>814985438.68000126</v>
      </c>
    </row>
    <row r="57" spans="1:21" ht="19.5" thickBot="1" x14ac:dyDescent="0.3">
      <c r="A57" s="136" t="s">
        <v>1075</v>
      </c>
      <c r="B57" s="137">
        <v>45660</v>
      </c>
      <c r="C57" s="138" t="s">
        <v>609</v>
      </c>
      <c r="D57" s="138" t="str">
        <f>VLOOKUP(Purchase[[#This Row],[Supplier ID]],Supplier[#All],2,0)</f>
        <v>Star Suppliers</v>
      </c>
      <c r="E57" s="138">
        <f>VLOOKUP(Purchase[[#This Row],[Supplier ID]],Supplier[#All],3,0)</f>
        <v>9689542492</v>
      </c>
      <c r="F57" s="138" t="str">
        <f>VLOOKUP(Purchase[[#This Row],[Supplier ID]],Supplier[#All],4,0)</f>
        <v>Kanpur</v>
      </c>
      <c r="G57" s="138" t="str">
        <f>VLOOKUP(Purchase[[#This Row],[Supplier ID]],Supplier[#All],5,0)</f>
        <v>UP</v>
      </c>
      <c r="H57" s="138" t="str">
        <f>VLOOKUP(Purchase[[#This Row],[Supplier ID]],Supplier[#All],6,0)</f>
        <v>GST2154521T054</v>
      </c>
      <c r="I57" s="138" t="s">
        <v>96</v>
      </c>
      <c r="J57" s="139">
        <v>11</v>
      </c>
      <c r="K57" s="143">
        <f>VLOOKUP(Purchase[[#This Row],[Product ID]],Product[#All],6,0)</f>
        <v>3785</v>
      </c>
      <c r="L57" s="143">
        <f>Purchase[[#This Row],[Purchase Rate]]*Purchase[[#This Row],[Qty]]</f>
        <v>41635</v>
      </c>
      <c r="M57" s="140">
        <v>0</v>
      </c>
      <c r="N57" s="143">
        <v>0</v>
      </c>
      <c r="O57" s="140">
        <v>0.18</v>
      </c>
      <c r="P57" s="145">
        <f>(Purchase[[#This Row],[Gross Amount]]-Purchase[[#This Row],[Disct %]])*Purchase[[#This Row],[GST %]]</f>
        <v>7494.2999999999993</v>
      </c>
      <c r="Q57" s="145">
        <f>Purchase[[#This Row],[Gross Amount]]-Purchase[[#This Row],[Disct Amnt]]+Purchase[[#This Row],[GST Amount]]</f>
        <v>49129.3</v>
      </c>
      <c r="R57" s="138" t="s">
        <v>1040</v>
      </c>
      <c r="S57" s="41">
        <f>IF(Purchase[[#This Row],[Status]]="Cancelled",0,Purchase[[#This Row],[Qty]])</f>
        <v>0</v>
      </c>
      <c r="T57" s="146">
        <f>IF(Purchase[[#This Row],[Status]]="Cancelled",0,Purchase[[#This Row],[Total Amount]])</f>
        <v>0</v>
      </c>
      <c r="U57" s="146">
        <f>SUM(Purchase[Net Amount])</f>
        <v>814985438.68000126</v>
      </c>
    </row>
    <row r="58" spans="1:21" ht="19.5" thickBot="1" x14ac:dyDescent="0.3">
      <c r="A58" s="136" t="s">
        <v>1076</v>
      </c>
      <c r="B58" s="137">
        <v>45660</v>
      </c>
      <c r="C58" s="138" t="s">
        <v>588</v>
      </c>
      <c r="D58" s="138" t="str">
        <f>VLOOKUP(Purchase[[#This Row],[Supplier ID]],Supplier[#All],2,0)</f>
        <v>Star Electronics</v>
      </c>
      <c r="E58" s="138">
        <f>VLOOKUP(Purchase[[#This Row],[Supplier ID]],Supplier[#All],3,0)</f>
        <v>9689542472</v>
      </c>
      <c r="F58" s="138" t="str">
        <f>VLOOKUP(Purchase[[#This Row],[Supplier ID]],Supplier[#All],4,0)</f>
        <v>Korba</v>
      </c>
      <c r="G58" s="138" t="str">
        <f>VLOOKUP(Purchase[[#This Row],[Supplier ID]],Supplier[#All],5,0)</f>
        <v>CG</v>
      </c>
      <c r="H58" s="138" t="str">
        <f>VLOOKUP(Purchase[[#This Row],[Supplier ID]],Supplier[#All],6,0)</f>
        <v>GST2154521T034</v>
      </c>
      <c r="I58" s="138" t="s">
        <v>36</v>
      </c>
      <c r="J58" s="139">
        <v>14</v>
      </c>
      <c r="K58" s="143">
        <f>VLOOKUP(Purchase[[#This Row],[Product ID]],Product[#All],6,0)</f>
        <v>2303</v>
      </c>
      <c r="L58" s="143">
        <f>Purchase[[#This Row],[Purchase Rate]]*Purchase[[#This Row],[Qty]]</f>
        <v>32242</v>
      </c>
      <c r="M58" s="140">
        <v>0</v>
      </c>
      <c r="N58" s="143">
        <v>0</v>
      </c>
      <c r="O58" s="140">
        <v>0.18</v>
      </c>
      <c r="P58" s="145">
        <f>(Purchase[[#This Row],[Gross Amount]]-Purchase[[#This Row],[Disct %]])*Purchase[[#This Row],[GST %]]</f>
        <v>5803.5599999999995</v>
      </c>
      <c r="Q58" s="145">
        <f>Purchase[[#This Row],[Gross Amount]]-Purchase[[#This Row],[Disct Amnt]]+Purchase[[#This Row],[GST Amount]]</f>
        <v>38045.56</v>
      </c>
      <c r="R58" s="138" t="s">
        <v>1019</v>
      </c>
      <c r="S58" s="41">
        <f>IF(Purchase[[#This Row],[Status]]="Cancelled",0,Purchase[[#This Row],[Qty]])</f>
        <v>14</v>
      </c>
      <c r="T58" s="146">
        <f>IF(Purchase[[#This Row],[Status]]="Cancelled",0,Purchase[[#This Row],[Total Amount]])</f>
        <v>38045.56</v>
      </c>
      <c r="U58" s="146">
        <f>SUM(Purchase[Net Amount])</f>
        <v>814985438.68000126</v>
      </c>
    </row>
    <row r="59" spans="1:21" ht="19.5" thickBot="1" x14ac:dyDescent="0.3">
      <c r="A59" s="136" t="s">
        <v>1077</v>
      </c>
      <c r="B59" s="137">
        <v>45660</v>
      </c>
      <c r="C59" s="138" t="s">
        <v>608</v>
      </c>
      <c r="D59" s="138" t="str">
        <f>VLOOKUP(Purchase[[#This Row],[Supplier ID]],Supplier[#All],2,0)</f>
        <v>Global Suppliers</v>
      </c>
      <c r="E59" s="138">
        <f>VLOOKUP(Purchase[[#This Row],[Supplier ID]],Supplier[#All],3,0)</f>
        <v>9689542499</v>
      </c>
      <c r="F59" s="138" t="str">
        <f>VLOOKUP(Purchase[[#This Row],[Supplier ID]],Supplier[#All],4,0)</f>
        <v>Korba</v>
      </c>
      <c r="G59" s="138" t="str">
        <f>VLOOKUP(Purchase[[#This Row],[Supplier ID]],Supplier[#All],5,0)</f>
        <v>CG</v>
      </c>
      <c r="H59" s="138" t="str">
        <f>VLOOKUP(Purchase[[#This Row],[Supplier ID]],Supplier[#All],6,0)</f>
        <v>GST2154521T053</v>
      </c>
      <c r="I59" s="138" t="s">
        <v>391</v>
      </c>
      <c r="J59" s="139">
        <v>7</v>
      </c>
      <c r="K59" s="143">
        <f>VLOOKUP(Purchase[[#This Row],[Product ID]],Product[#All],6,0)</f>
        <v>8047</v>
      </c>
      <c r="L59" s="143">
        <f>Purchase[[#This Row],[Purchase Rate]]*Purchase[[#This Row],[Qty]]</f>
        <v>56329</v>
      </c>
      <c r="M59" s="140">
        <v>0</v>
      </c>
      <c r="N59" s="143">
        <v>0</v>
      </c>
      <c r="O59" s="140">
        <v>0.18</v>
      </c>
      <c r="P59" s="145">
        <f>(Purchase[[#This Row],[Gross Amount]]-Purchase[[#This Row],[Disct %]])*Purchase[[#This Row],[GST %]]</f>
        <v>10139.219999999999</v>
      </c>
      <c r="Q59" s="145">
        <f>Purchase[[#This Row],[Gross Amount]]-Purchase[[#This Row],[Disct Amnt]]+Purchase[[#This Row],[GST Amount]]</f>
        <v>66468.22</v>
      </c>
      <c r="R59" s="138" t="s">
        <v>1019</v>
      </c>
      <c r="S59" s="41">
        <f>IF(Purchase[[#This Row],[Status]]="Cancelled",0,Purchase[[#This Row],[Qty]])</f>
        <v>7</v>
      </c>
      <c r="T59" s="146">
        <f>IF(Purchase[[#This Row],[Status]]="Cancelled",0,Purchase[[#This Row],[Total Amount]])</f>
        <v>66468.22</v>
      </c>
      <c r="U59" s="146">
        <f>SUM(Purchase[Net Amount])</f>
        <v>814985438.68000126</v>
      </c>
    </row>
    <row r="60" spans="1:21" ht="19.5" thickBot="1" x14ac:dyDescent="0.3">
      <c r="A60" s="136" t="s">
        <v>1078</v>
      </c>
      <c r="B60" s="137">
        <v>45660</v>
      </c>
      <c r="C60" s="138" t="s">
        <v>564</v>
      </c>
      <c r="D60" s="138" t="str">
        <f>VLOOKUP(Purchase[[#This Row],[Supplier ID]],Supplier[#All],2,0)</f>
        <v xml:space="preserve">Star Electronics </v>
      </c>
      <c r="E60" s="138">
        <f>VLOOKUP(Purchase[[#This Row],[Supplier ID]],Supplier[#All],3,0)</f>
        <v>9689542450</v>
      </c>
      <c r="F60" s="138" t="str">
        <f>VLOOKUP(Purchase[[#This Row],[Supplier ID]],Supplier[#All],4,0)</f>
        <v>Korba</v>
      </c>
      <c r="G60" s="138" t="str">
        <f>VLOOKUP(Purchase[[#This Row],[Supplier ID]],Supplier[#All],5,0)</f>
        <v>CG</v>
      </c>
      <c r="H60" s="138" t="str">
        <f>VLOOKUP(Purchase[[#This Row],[Supplier ID]],Supplier[#All],6,0)</f>
        <v>GST2154521T012</v>
      </c>
      <c r="I60" s="138" t="s">
        <v>478</v>
      </c>
      <c r="J60" s="139">
        <v>6</v>
      </c>
      <c r="K60" s="143">
        <f>VLOOKUP(Purchase[[#This Row],[Product ID]],Product[#All],6,0)</f>
        <v>4866</v>
      </c>
      <c r="L60" s="143">
        <f>Purchase[[#This Row],[Purchase Rate]]*Purchase[[#This Row],[Qty]]</f>
        <v>29196</v>
      </c>
      <c r="M60" s="140">
        <v>0</v>
      </c>
      <c r="N60" s="143">
        <v>0</v>
      </c>
      <c r="O60" s="140">
        <v>0.18</v>
      </c>
      <c r="P60" s="145">
        <f>(Purchase[[#This Row],[Gross Amount]]-Purchase[[#This Row],[Disct %]])*Purchase[[#This Row],[GST %]]</f>
        <v>5255.28</v>
      </c>
      <c r="Q60" s="145">
        <f>Purchase[[#This Row],[Gross Amount]]-Purchase[[#This Row],[Disct Amnt]]+Purchase[[#This Row],[GST Amount]]</f>
        <v>34451.279999999999</v>
      </c>
      <c r="R60" s="138" t="s">
        <v>1019</v>
      </c>
      <c r="S60" s="41">
        <f>IF(Purchase[[#This Row],[Status]]="Cancelled",0,Purchase[[#This Row],[Qty]])</f>
        <v>6</v>
      </c>
      <c r="T60" s="146">
        <f>IF(Purchase[[#This Row],[Status]]="Cancelled",0,Purchase[[#This Row],[Total Amount]])</f>
        <v>34451.279999999999</v>
      </c>
      <c r="U60" s="146">
        <f>SUM(Purchase[Net Amount])</f>
        <v>814985438.68000126</v>
      </c>
    </row>
    <row r="61" spans="1:21" ht="19.5" thickBot="1" x14ac:dyDescent="0.3">
      <c r="A61" s="136" t="s">
        <v>1079</v>
      </c>
      <c r="B61" s="137">
        <v>45660</v>
      </c>
      <c r="C61" s="138" t="s">
        <v>571</v>
      </c>
      <c r="D61" s="138" t="str">
        <f>VLOOKUP(Purchase[[#This Row],[Supplier ID]],Supplier[#All],2,0)</f>
        <v>Tech Suppliers</v>
      </c>
      <c r="E61" s="138">
        <f>VLOOKUP(Purchase[[#This Row],[Supplier ID]],Supplier[#All],3,0)</f>
        <v>9689542457</v>
      </c>
      <c r="F61" s="138" t="str">
        <f>VLOOKUP(Purchase[[#This Row],[Supplier ID]],Supplier[#All],4,0)</f>
        <v>Korba</v>
      </c>
      <c r="G61" s="138" t="str">
        <f>VLOOKUP(Purchase[[#This Row],[Supplier ID]],Supplier[#All],5,0)</f>
        <v>CG</v>
      </c>
      <c r="H61" s="138" t="str">
        <f>VLOOKUP(Purchase[[#This Row],[Supplier ID]],Supplier[#All],6,0)</f>
        <v>GST2154521T019</v>
      </c>
      <c r="I61" s="138" t="s">
        <v>424</v>
      </c>
      <c r="J61" s="139">
        <v>12</v>
      </c>
      <c r="K61" s="143">
        <f>VLOOKUP(Purchase[[#This Row],[Product ID]],Product[#All],6,0)</f>
        <v>598</v>
      </c>
      <c r="L61" s="143">
        <f>Purchase[[#This Row],[Purchase Rate]]*Purchase[[#This Row],[Qty]]</f>
        <v>7176</v>
      </c>
      <c r="M61" s="140">
        <v>0</v>
      </c>
      <c r="N61" s="143">
        <v>0</v>
      </c>
      <c r="O61" s="140">
        <v>0.18</v>
      </c>
      <c r="P61" s="145">
        <f>(Purchase[[#This Row],[Gross Amount]]-Purchase[[#This Row],[Disct %]])*Purchase[[#This Row],[GST %]]</f>
        <v>1291.68</v>
      </c>
      <c r="Q61" s="145">
        <f>Purchase[[#This Row],[Gross Amount]]-Purchase[[#This Row],[Disct Amnt]]+Purchase[[#This Row],[GST Amount]]</f>
        <v>8467.68</v>
      </c>
      <c r="R61" s="138" t="s">
        <v>1019</v>
      </c>
      <c r="S61" s="41">
        <f>IF(Purchase[[#This Row],[Status]]="Cancelled",0,Purchase[[#This Row],[Qty]])</f>
        <v>12</v>
      </c>
      <c r="T61" s="146">
        <f>IF(Purchase[[#This Row],[Status]]="Cancelled",0,Purchase[[#This Row],[Total Amount]])</f>
        <v>8467.68</v>
      </c>
      <c r="U61" s="146">
        <f>SUM(Purchase[Net Amount])</f>
        <v>814985438.68000126</v>
      </c>
    </row>
    <row r="62" spans="1:21" ht="19.5" thickBot="1" x14ac:dyDescent="0.3">
      <c r="A62" s="136" t="s">
        <v>1080</v>
      </c>
      <c r="B62" s="137">
        <v>45660</v>
      </c>
      <c r="C62" s="138" t="s">
        <v>566</v>
      </c>
      <c r="D62" s="138" t="str">
        <f>VLOOKUP(Purchase[[#This Row],[Supplier ID]],Supplier[#All],2,0)</f>
        <v>Maa Computers</v>
      </c>
      <c r="E62" s="138">
        <f>VLOOKUP(Purchase[[#This Row],[Supplier ID]],Supplier[#All],3,0)</f>
        <v>9689542452</v>
      </c>
      <c r="F62" s="138" t="str">
        <f>VLOOKUP(Purchase[[#This Row],[Supplier ID]],Supplier[#All],4,0)</f>
        <v>Kanpur</v>
      </c>
      <c r="G62" s="138" t="str">
        <f>VLOOKUP(Purchase[[#This Row],[Supplier ID]],Supplier[#All],5,0)</f>
        <v>UP</v>
      </c>
      <c r="H62" s="138" t="str">
        <f>VLOOKUP(Purchase[[#This Row],[Supplier ID]],Supplier[#All],6,0)</f>
        <v>GST2154521T014</v>
      </c>
      <c r="I62" s="138" t="s">
        <v>267</v>
      </c>
      <c r="J62" s="139">
        <v>18</v>
      </c>
      <c r="K62" s="143">
        <f>VLOOKUP(Purchase[[#This Row],[Product ID]],Product[#All],6,0)</f>
        <v>1912</v>
      </c>
      <c r="L62" s="143">
        <f>Purchase[[#This Row],[Purchase Rate]]*Purchase[[#This Row],[Qty]]</f>
        <v>34416</v>
      </c>
      <c r="M62" s="140">
        <v>0</v>
      </c>
      <c r="N62" s="143">
        <v>0</v>
      </c>
      <c r="O62" s="140">
        <v>0.18</v>
      </c>
      <c r="P62" s="145">
        <f>(Purchase[[#This Row],[Gross Amount]]-Purchase[[#This Row],[Disct %]])*Purchase[[#This Row],[GST %]]</f>
        <v>6194.88</v>
      </c>
      <c r="Q62" s="145">
        <f>Purchase[[#This Row],[Gross Amount]]-Purchase[[#This Row],[Disct Amnt]]+Purchase[[#This Row],[GST Amount]]</f>
        <v>40610.879999999997</v>
      </c>
      <c r="R62" s="138" t="s">
        <v>1040</v>
      </c>
      <c r="S62" s="41">
        <f>IF(Purchase[[#This Row],[Status]]="Cancelled",0,Purchase[[#This Row],[Qty]])</f>
        <v>0</v>
      </c>
      <c r="T62" s="146">
        <f>IF(Purchase[[#This Row],[Status]]="Cancelled",0,Purchase[[#This Row],[Total Amount]])</f>
        <v>0</v>
      </c>
      <c r="U62" s="146">
        <f>SUM(Purchase[Net Amount])</f>
        <v>814985438.68000126</v>
      </c>
    </row>
    <row r="63" spans="1:21" ht="19.5" thickBot="1" x14ac:dyDescent="0.3">
      <c r="A63" s="136" t="s">
        <v>1081</v>
      </c>
      <c r="B63" s="137">
        <v>45660</v>
      </c>
      <c r="C63" s="138" t="s">
        <v>605</v>
      </c>
      <c r="D63" s="138" t="str">
        <f>VLOOKUP(Purchase[[#This Row],[Supplier ID]],Supplier[#All],2,0)</f>
        <v>Star Traders</v>
      </c>
      <c r="E63" s="138">
        <f>VLOOKUP(Purchase[[#This Row],[Supplier ID]],Supplier[#All],3,0)</f>
        <v>9689542488</v>
      </c>
      <c r="F63" s="138" t="str">
        <f>VLOOKUP(Purchase[[#This Row],[Supplier ID]],Supplier[#All],4,0)</f>
        <v>Indore</v>
      </c>
      <c r="G63" s="138" t="str">
        <f>VLOOKUP(Purchase[[#This Row],[Supplier ID]],Supplier[#All],5,0)</f>
        <v>MP</v>
      </c>
      <c r="H63" s="138" t="str">
        <f>VLOOKUP(Purchase[[#This Row],[Supplier ID]],Supplier[#All],6,0)</f>
        <v>GST2154521T050</v>
      </c>
      <c r="I63" s="138" t="s">
        <v>126</v>
      </c>
      <c r="J63" s="139">
        <v>11</v>
      </c>
      <c r="K63" s="143">
        <f>VLOOKUP(Purchase[[#This Row],[Product ID]],Product[#All],6,0)</f>
        <v>19380</v>
      </c>
      <c r="L63" s="143">
        <f>Purchase[[#This Row],[Purchase Rate]]*Purchase[[#This Row],[Qty]]</f>
        <v>213180</v>
      </c>
      <c r="M63" s="140">
        <v>0</v>
      </c>
      <c r="N63" s="143">
        <v>0</v>
      </c>
      <c r="O63" s="140">
        <v>0.18</v>
      </c>
      <c r="P63" s="145">
        <f>(Purchase[[#This Row],[Gross Amount]]-Purchase[[#This Row],[Disct %]])*Purchase[[#This Row],[GST %]]</f>
        <v>38372.400000000001</v>
      </c>
      <c r="Q63" s="145">
        <f>Purchase[[#This Row],[Gross Amount]]-Purchase[[#This Row],[Disct Amnt]]+Purchase[[#This Row],[GST Amount]]</f>
        <v>251552.4</v>
      </c>
      <c r="R63" s="138" t="s">
        <v>1019</v>
      </c>
      <c r="S63" s="41">
        <f>IF(Purchase[[#This Row],[Status]]="Cancelled",0,Purchase[[#This Row],[Qty]])</f>
        <v>11</v>
      </c>
      <c r="T63" s="146">
        <f>IF(Purchase[[#This Row],[Status]]="Cancelled",0,Purchase[[#This Row],[Total Amount]])</f>
        <v>251552.4</v>
      </c>
      <c r="U63" s="146">
        <f>SUM(Purchase[Net Amount])</f>
        <v>814985438.68000126</v>
      </c>
    </row>
    <row r="64" spans="1:21" ht="19.5" thickBot="1" x14ac:dyDescent="0.3">
      <c r="A64" s="136" t="s">
        <v>1082</v>
      </c>
      <c r="B64" s="137">
        <v>45660</v>
      </c>
      <c r="C64" s="138" t="s">
        <v>599</v>
      </c>
      <c r="D64" s="138" t="str">
        <f>VLOOKUP(Purchase[[#This Row],[Supplier ID]],Supplier[#All],2,0)</f>
        <v>National Distributors</v>
      </c>
      <c r="E64" s="138">
        <f>VLOOKUP(Purchase[[#This Row],[Supplier ID]],Supplier[#All],3,0)</f>
        <v>9689542482</v>
      </c>
      <c r="F64" s="138" t="str">
        <f>VLOOKUP(Purchase[[#This Row],[Supplier ID]],Supplier[#All],4,0)</f>
        <v>Kanpur</v>
      </c>
      <c r="G64" s="138" t="str">
        <f>VLOOKUP(Purchase[[#This Row],[Supplier ID]],Supplier[#All],5,0)</f>
        <v>UP</v>
      </c>
      <c r="H64" s="138" t="str">
        <f>VLOOKUP(Purchase[[#This Row],[Supplier ID]],Supplier[#All],6,0)</f>
        <v>GST2154521T044</v>
      </c>
      <c r="I64" s="138" t="s">
        <v>322</v>
      </c>
      <c r="J64" s="139">
        <v>14</v>
      </c>
      <c r="K64" s="143">
        <f>VLOOKUP(Purchase[[#This Row],[Product ID]],Product[#All],6,0)</f>
        <v>8005</v>
      </c>
      <c r="L64" s="143">
        <f>Purchase[[#This Row],[Purchase Rate]]*Purchase[[#This Row],[Qty]]</f>
        <v>112070</v>
      </c>
      <c r="M64" s="140">
        <v>0</v>
      </c>
      <c r="N64" s="143">
        <v>0</v>
      </c>
      <c r="O64" s="140">
        <v>0.18</v>
      </c>
      <c r="P64" s="145">
        <f>(Purchase[[#This Row],[Gross Amount]]-Purchase[[#This Row],[Disct %]])*Purchase[[#This Row],[GST %]]</f>
        <v>20172.599999999999</v>
      </c>
      <c r="Q64" s="145">
        <f>Purchase[[#This Row],[Gross Amount]]-Purchase[[#This Row],[Disct Amnt]]+Purchase[[#This Row],[GST Amount]]</f>
        <v>132242.6</v>
      </c>
      <c r="R64" s="138" t="s">
        <v>1040</v>
      </c>
      <c r="S64" s="41">
        <f>IF(Purchase[[#This Row],[Status]]="Cancelled",0,Purchase[[#This Row],[Qty]])</f>
        <v>0</v>
      </c>
      <c r="T64" s="146">
        <f>IF(Purchase[[#This Row],[Status]]="Cancelled",0,Purchase[[#This Row],[Total Amount]])</f>
        <v>0</v>
      </c>
      <c r="U64" s="146">
        <f>SUM(Purchase[Net Amount])</f>
        <v>814985438.68000126</v>
      </c>
    </row>
    <row r="65" spans="1:21" ht="19.5" thickBot="1" x14ac:dyDescent="0.3">
      <c r="A65" s="136" t="s">
        <v>1083</v>
      </c>
      <c r="B65" s="137">
        <v>45660</v>
      </c>
      <c r="C65" s="138" t="s">
        <v>567</v>
      </c>
      <c r="D65" s="138" t="str">
        <f>VLOOKUP(Purchase[[#This Row],[Supplier ID]],Supplier[#All],2,0)</f>
        <v>National Distributors</v>
      </c>
      <c r="E65" s="138">
        <f>VLOOKUP(Purchase[[#This Row],[Supplier ID]],Supplier[#All],3,0)</f>
        <v>9689542453</v>
      </c>
      <c r="F65" s="138" t="str">
        <f>VLOOKUP(Purchase[[#This Row],[Supplier ID]],Supplier[#All],4,0)</f>
        <v>Korba</v>
      </c>
      <c r="G65" s="138" t="str">
        <f>VLOOKUP(Purchase[[#This Row],[Supplier ID]],Supplier[#All],5,0)</f>
        <v>CG</v>
      </c>
      <c r="H65" s="138" t="str">
        <f>VLOOKUP(Purchase[[#This Row],[Supplier ID]],Supplier[#All],6,0)</f>
        <v>GST2154521T015</v>
      </c>
      <c r="I65" s="138" t="s">
        <v>38</v>
      </c>
      <c r="J65" s="139">
        <v>26</v>
      </c>
      <c r="K65" s="143">
        <f>VLOOKUP(Purchase[[#This Row],[Product ID]],Product[#All],6,0)</f>
        <v>65586</v>
      </c>
      <c r="L65" s="143">
        <f>Purchase[[#This Row],[Purchase Rate]]*Purchase[[#This Row],[Qty]]</f>
        <v>1705236</v>
      </c>
      <c r="M65" s="140">
        <v>0</v>
      </c>
      <c r="N65" s="143">
        <v>0</v>
      </c>
      <c r="O65" s="140">
        <v>0.18</v>
      </c>
      <c r="P65" s="145">
        <f>(Purchase[[#This Row],[Gross Amount]]-Purchase[[#This Row],[Disct %]])*Purchase[[#This Row],[GST %]]</f>
        <v>306942.48</v>
      </c>
      <c r="Q65" s="145">
        <f>Purchase[[#This Row],[Gross Amount]]-Purchase[[#This Row],[Disct Amnt]]+Purchase[[#This Row],[GST Amount]]</f>
        <v>2012178.48</v>
      </c>
      <c r="R65" s="138" t="s">
        <v>1019</v>
      </c>
      <c r="S65" s="41">
        <f>IF(Purchase[[#This Row],[Status]]="Cancelled",0,Purchase[[#This Row],[Qty]])</f>
        <v>26</v>
      </c>
      <c r="T65" s="146">
        <f>IF(Purchase[[#This Row],[Status]]="Cancelled",0,Purchase[[#This Row],[Total Amount]])</f>
        <v>2012178.48</v>
      </c>
      <c r="U65" s="146">
        <f>SUM(Purchase[Net Amount])</f>
        <v>814985438.68000126</v>
      </c>
    </row>
    <row r="66" spans="1:21" ht="19.5" thickBot="1" x14ac:dyDescent="0.3">
      <c r="A66" s="136" t="s">
        <v>1084</v>
      </c>
      <c r="B66" s="137">
        <v>45660</v>
      </c>
      <c r="C66" s="138" t="s">
        <v>579</v>
      </c>
      <c r="D66" s="138" t="str">
        <f>VLOOKUP(Purchase[[#This Row],[Supplier ID]],Supplier[#All],2,0)</f>
        <v>Tech Traders</v>
      </c>
      <c r="E66" s="138">
        <f>VLOOKUP(Purchase[[#This Row],[Supplier ID]],Supplier[#All],3,0)</f>
        <v>9689542463</v>
      </c>
      <c r="F66" s="138" t="str">
        <f>VLOOKUP(Purchase[[#This Row],[Supplier ID]],Supplier[#All],4,0)</f>
        <v>Kanpur</v>
      </c>
      <c r="G66" s="138" t="str">
        <f>VLOOKUP(Purchase[[#This Row],[Supplier ID]],Supplier[#All],5,0)</f>
        <v>UP</v>
      </c>
      <c r="H66" s="138" t="str">
        <f>VLOOKUP(Purchase[[#This Row],[Supplier ID]],Supplier[#All],6,0)</f>
        <v>GST2154521T025</v>
      </c>
      <c r="I66" s="138" t="s">
        <v>217</v>
      </c>
      <c r="J66" s="139">
        <v>39</v>
      </c>
      <c r="K66" s="143">
        <f>VLOOKUP(Purchase[[#This Row],[Product ID]],Product[#All],6,0)</f>
        <v>1840</v>
      </c>
      <c r="L66" s="143">
        <f>Purchase[[#This Row],[Purchase Rate]]*Purchase[[#This Row],[Qty]]</f>
        <v>71760</v>
      </c>
      <c r="M66" s="140">
        <v>0</v>
      </c>
      <c r="N66" s="143">
        <v>0</v>
      </c>
      <c r="O66" s="140">
        <v>0.18</v>
      </c>
      <c r="P66" s="145">
        <f>(Purchase[[#This Row],[Gross Amount]]-Purchase[[#This Row],[Disct %]])*Purchase[[#This Row],[GST %]]</f>
        <v>12916.8</v>
      </c>
      <c r="Q66" s="145">
        <f>Purchase[[#This Row],[Gross Amount]]-Purchase[[#This Row],[Disct Amnt]]+Purchase[[#This Row],[GST Amount]]</f>
        <v>84676.800000000003</v>
      </c>
      <c r="R66" s="138" t="s">
        <v>1019</v>
      </c>
      <c r="S66" s="41">
        <f>IF(Purchase[[#This Row],[Status]]="Cancelled",0,Purchase[[#This Row],[Qty]])</f>
        <v>39</v>
      </c>
      <c r="T66" s="146">
        <f>IF(Purchase[[#This Row],[Status]]="Cancelled",0,Purchase[[#This Row],[Total Amount]])</f>
        <v>84676.800000000003</v>
      </c>
      <c r="U66" s="146">
        <f>SUM(Purchase[Net Amount])</f>
        <v>814985438.68000126</v>
      </c>
    </row>
    <row r="67" spans="1:21" ht="19.5" thickBot="1" x14ac:dyDescent="0.3">
      <c r="A67" s="136" t="s">
        <v>1085</v>
      </c>
      <c r="B67" s="137">
        <v>45661</v>
      </c>
      <c r="C67" s="138" t="s">
        <v>593</v>
      </c>
      <c r="D67" s="138" t="str">
        <f>VLOOKUP(Purchase[[#This Row],[Supplier ID]],Supplier[#All],2,0)</f>
        <v>Global Suppliers</v>
      </c>
      <c r="E67" s="138">
        <f>VLOOKUP(Purchase[[#This Row],[Supplier ID]],Supplier[#All],3,0)</f>
        <v>9689542476</v>
      </c>
      <c r="F67" s="138" t="str">
        <f>VLOOKUP(Purchase[[#This Row],[Supplier ID]],Supplier[#All],4,0)</f>
        <v>Korba</v>
      </c>
      <c r="G67" s="138" t="str">
        <f>VLOOKUP(Purchase[[#This Row],[Supplier ID]],Supplier[#All],5,0)</f>
        <v>CG</v>
      </c>
      <c r="H67" s="138" t="str">
        <f>VLOOKUP(Purchase[[#This Row],[Supplier ID]],Supplier[#All],6,0)</f>
        <v>GST2154521T038</v>
      </c>
      <c r="I67" s="138" t="s">
        <v>180</v>
      </c>
      <c r="J67" s="139">
        <v>10</v>
      </c>
      <c r="K67" s="143">
        <f>VLOOKUP(Purchase[[#This Row],[Product ID]],Product[#All],6,0)</f>
        <v>9104</v>
      </c>
      <c r="L67" s="143">
        <f>Purchase[[#This Row],[Purchase Rate]]*Purchase[[#This Row],[Qty]]</f>
        <v>91040</v>
      </c>
      <c r="M67" s="140">
        <v>0</v>
      </c>
      <c r="N67" s="143">
        <v>0</v>
      </c>
      <c r="O67" s="140">
        <v>0.18</v>
      </c>
      <c r="P67" s="145">
        <f>(Purchase[[#This Row],[Gross Amount]]-Purchase[[#This Row],[Disct %]])*Purchase[[#This Row],[GST %]]</f>
        <v>16387.2</v>
      </c>
      <c r="Q67" s="145">
        <f>Purchase[[#This Row],[Gross Amount]]-Purchase[[#This Row],[Disct Amnt]]+Purchase[[#This Row],[GST Amount]]</f>
        <v>107427.2</v>
      </c>
      <c r="R67" s="138" t="s">
        <v>1019</v>
      </c>
      <c r="S67" s="41">
        <f>IF(Purchase[[#This Row],[Status]]="Cancelled",0,Purchase[[#This Row],[Qty]])</f>
        <v>10</v>
      </c>
      <c r="T67" s="146">
        <f>IF(Purchase[[#This Row],[Status]]="Cancelled",0,Purchase[[#This Row],[Total Amount]])</f>
        <v>107427.2</v>
      </c>
      <c r="U67" s="146">
        <f>SUM(Purchase[Net Amount])</f>
        <v>814985438.68000126</v>
      </c>
    </row>
    <row r="68" spans="1:21" ht="19.5" thickBot="1" x14ac:dyDescent="0.3">
      <c r="A68" s="136" t="s">
        <v>1086</v>
      </c>
      <c r="B68" s="137">
        <v>45661</v>
      </c>
      <c r="C68" s="138" t="s">
        <v>585</v>
      </c>
      <c r="D68" s="138" t="str">
        <f>VLOOKUP(Purchase[[#This Row],[Supplier ID]],Supplier[#All],2,0)</f>
        <v>Tech Computers</v>
      </c>
      <c r="E68" s="138">
        <f>VLOOKUP(Purchase[[#This Row],[Supplier ID]],Supplier[#All],3,0)</f>
        <v>9689542469</v>
      </c>
      <c r="F68" s="138" t="str">
        <f>VLOOKUP(Purchase[[#This Row],[Supplier ID]],Supplier[#All],4,0)</f>
        <v>Korba</v>
      </c>
      <c r="G68" s="138" t="str">
        <f>VLOOKUP(Purchase[[#This Row],[Supplier ID]],Supplier[#All],5,0)</f>
        <v>CG</v>
      </c>
      <c r="H68" s="138" t="str">
        <f>VLOOKUP(Purchase[[#This Row],[Supplier ID]],Supplier[#All],6,0)</f>
        <v>GST2154521T031</v>
      </c>
      <c r="I68" s="138" t="s">
        <v>418</v>
      </c>
      <c r="J68" s="139">
        <v>11</v>
      </c>
      <c r="K68" s="143">
        <f>VLOOKUP(Purchase[[#This Row],[Product ID]],Product[#All],6,0)</f>
        <v>5541</v>
      </c>
      <c r="L68" s="143">
        <f>Purchase[[#This Row],[Purchase Rate]]*Purchase[[#This Row],[Qty]]</f>
        <v>60951</v>
      </c>
      <c r="M68" s="140">
        <v>0</v>
      </c>
      <c r="N68" s="143">
        <v>0</v>
      </c>
      <c r="O68" s="140">
        <v>0.18</v>
      </c>
      <c r="P68" s="145">
        <f>(Purchase[[#This Row],[Gross Amount]]-Purchase[[#This Row],[Disct %]])*Purchase[[#This Row],[GST %]]</f>
        <v>10971.18</v>
      </c>
      <c r="Q68" s="145">
        <f>Purchase[[#This Row],[Gross Amount]]-Purchase[[#This Row],[Disct Amnt]]+Purchase[[#This Row],[GST Amount]]</f>
        <v>71922.179999999993</v>
      </c>
      <c r="R68" s="138" t="s">
        <v>1019</v>
      </c>
      <c r="S68" s="41">
        <f>IF(Purchase[[#This Row],[Status]]="Cancelled",0,Purchase[[#This Row],[Qty]])</f>
        <v>11</v>
      </c>
      <c r="T68" s="146">
        <f>IF(Purchase[[#This Row],[Status]]="Cancelled",0,Purchase[[#This Row],[Total Amount]])</f>
        <v>71922.179999999993</v>
      </c>
      <c r="U68" s="146">
        <f>SUM(Purchase[Net Amount])</f>
        <v>814985438.68000126</v>
      </c>
    </row>
    <row r="69" spans="1:21" ht="19.5" thickBot="1" x14ac:dyDescent="0.3">
      <c r="A69" s="136" t="s">
        <v>1087</v>
      </c>
      <c r="B69" s="137">
        <v>45661</v>
      </c>
      <c r="C69" s="138" t="s">
        <v>612</v>
      </c>
      <c r="D69" s="138" t="str">
        <f>VLOOKUP(Purchase[[#This Row],[Supplier ID]],Supplier[#All],2,0)</f>
        <v>National Computers</v>
      </c>
      <c r="E69" s="138">
        <f>VLOOKUP(Purchase[[#This Row],[Supplier ID]],Supplier[#All],3,0)</f>
        <v>9689542495</v>
      </c>
      <c r="F69" s="138" t="str">
        <f>VLOOKUP(Purchase[[#This Row],[Supplier ID]],Supplier[#All],4,0)</f>
        <v>Indore</v>
      </c>
      <c r="G69" s="138" t="str">
        <f>VLOOKUP(Purchase[[#This Row],[Supplier ID]],Supplier[#All],5,0)</f>
        <v>MP</v>
      </c>
      <c r="H69" s="138" t="str">
        <f>VLOOKUP(Purchase[[#This Row],[Supplier ID]],Supplier[#All],6,0)</f>
        <v>GST2154521T057</v>
      </c>
      <c r="I69" s="138" t="s">
        <v>318</v>
      </c>
      <c r="J69" s="139">
        <v>17</v>
      </c>
      <c r="K69" s="143">
        <f>VLOOKUP(Purchase[[#This Row],[Product ID]],Product[#All],6,0)</f>
        <v>24445</v>
      </c>
      <c r="L69" s="143">
        <f>Purchase[[#This Row],[Purchase Rate]]*Purchase[[#This Row],[Qty]]</f>
        <v>415565</v>
      </c>
      <c r="M69" s="140">
        <v>0</v>
      </c>
      <c r="N69" s="143">
        <v>0</v>
      </c>
      <c r="O69" s="140">
        <v>0.18</v>
      </c>
      <c r="P69" s="145">
        <f>(Purchase[[#This Row],[Gross Amount]]-Purchase[[#This Row],[Disct %]])*Purchase[[#This Row],[GST %]]</f>
        <v>74801.7</v>
      </c>
      <c r="Q69" s="145">
        <f>Purchase[[#This Row],[Gross Amount]]-Purchase[[#This Row],[Disct Amnt]]+Purchase[[#This Row],[GST Amount]]</f>
        <v>490366.7</v>
      </c>
      <c r="R69" s="138" t="s">
        <v>1019</v>
      </c>
      <c r="S69" s="41">
        <f>IF(Purchase[[#This Row],[Status]]="Cancelled",0,Purchase[[#This Row],[Qty]])</f>
        <v>17</v>
      </c>
      <c r="T69" s="146">
        <f>IF(Purchase[[#This Row],[Status]]="Cancelled",0,Purchase[[#This Row],[Total Amount]])</f>
        <v>490366.7</v>
      </c>
      <c r="U69" s="146">
        <f>SUM(Purchase[Net Amount])</f>
        <v>814985438.68000126</v>
      </c>
    </row>
    <row r="70" spans="1:21" ht="19.5" thickBot="1" x14ac:dyDescent="0.3">
      <c r="A70" s="136" t="s">
        <v>1088</v>
      </c>
      <c r="B70" s="137">
        <v>45661</v>
      </c>
      <c r="C70" s="138" t="s">
        <v>597</v>
      </c>
      <c r="D70" s="138" t="str">
        <f>VLOOKUP(Purchase[[#This Row],[Supplier ID]],Supplier[#All],2,0)</f>
        <v>Tech Traders</v>
      </c>
      <c r="E70" s="138">
        <f>VLOOKUP(Purchase[[#This Row],[Supplier ID]],Supplier[#All],3,0)</f>
        <v>9689542480</v>
      </c>
      <c r="F70" s="138" t="str">
        <f>VLOOKUP(Purchase[[#This Row],[Supplier ID]],Supplier[#All],4,0)</f>
        <v>Kanpur</v>
      </c>
      <c r="G70" s="138" t="str">
        <f>VLOOKUP(Purchase[[#This Row],[Supplier ID]],Supplier[#All],5,0)</f>
        <v>UP</v>
      </c>
      <c r="H70" s="138" t="str">
        <f>VLOOKUP(Purchase[[#This Row],[Supplier ID]],Supplier[#All],6,0)</f>
        <v>GST2154521T042</v>
      </c>
      <c r="I70" s="138" t="s">
        <v>281</v>
      </c>
      <c r="J70" s="139">
        <v>18</v>
      </c>
      <c r="K70" s="143">
        <f>VLOOKUP(Purchase[[#This Row],[Product ID]],Product[#All],6,0)</f>
        <v>9854</v>
      </c>
      <c r="L70" s="143">
        <f>Purchase[[#This Row],[Purchase Rate]]*Purchase[[#This Row],[Qty]]</f>
        <v>177372</v>
      </c>
      <c r="M70" s="140">
        <v>0</v>
      </c>
      <c r="N70" s="143">
        <v>0</v>
      </c>
      <c r="O70" s="140">
        <v>0.18</v>
      </c>
      <c r="P70" s="145">
        <f>(Purchase[[#This Row],[Gross Amount]]-Purchase[[#This Row],[Disct %]])*Purchase[[#This Row],[GST %]]</f>
        <v>31926.959999999999</v>
      </c>
      <c r="Q70" s="145">
        <f>Purchase[[#This Row],[Gross Amount]]-Purchase[[#This Row],[Disct Amnt]]+Purchase[[#This Row],[GST Amount]]</f>
        <v>209298.96</v>
      </c>
      <c r="R70" s="138" t="s">
        <v>1019</v>
      </c>
      <c r="S70" s="41">
        <f>IF(Purchase[[#This Row],[Status]]="Cancelled",0,Purchase[[#This Row],[Qty]])</f>
        <v>18</v>
      </c>
      <c r="T70" s="146">
        <f>IF(Purchase[[#This Row],[Status]]="Cancelled",0,Purchase[[#This Row],[Total Amount]])</f>
        <v>209298.96</v>
      </c>
      <c r="U70" s="146">
        <f>SUM(Purchase[Net Amount])</f>
        <v>814985438.68000126</v>
      </c>
    </row>
    <row r="71" spans="1:21" ht="19.5" thickBot="1" x14ac:dyDescent="0.3">
      <c r="A71" s="136" t="s">
        <v>1089</v>
      </c>
      <c r="B71" s="137">
        <v>45661</v>
      </c>
      <c r="C71" s="138" t="s">
        <v>603</v>
      </c>
      <c r="D71" s="138" t="str">
        <f>VLOOKUP(Purchase[[#This Row],[Supplier ID]],Supplier[#All],2,0)</f>
        <v>Tech Computers</v>
      </c>
      <c r="E71" s="138">
        <f>VLOOKUP(Purchase[[#This Row],[Supplier ID]],Supplier[#All],3,0)</f>
        <v>9689542486</v>
      </c>
      <c r="F71" s="138" t="str">
        <f>VLOOKUP(Purchase[[#This Row],[Supplier ID]],Supplier[#All],4,0)</f>
        <v>Indore</v>
      </c>
      <c r="G71" s="138" t="str">
        <f>VLOOKUP(Purchase[[#This Row],[Supplier ID]],Supplier[#All],5,0)</f>
        <v>MP</v>
      </c>
      <c r="H71" s="138" t="str">
        <f>VLOOKUP(Purchase[[#This Row],[Supplier ID]],Supplier[#All],6,0)</f>
        <v>GST2154521T048</v>
      </c>
      <c r="I71" s="138" t="s">
        <v>31</v>
      </c>
      <c r="J71" s="139">
        <v>24</v>
      </c>
      <c r="K71" s="143">
        <f>VLOOKUP(Purchase[[#This Row],[Product ID]],Product[#All],6,0)</f>
        <v>2320</v>
      </c>
      <c r="L71" s="143">
        <f>Purchase[[#This Row],[Purchase Rate]]*Purchase[[#This Row],[Qty]]</f>
        <v>55680</v>
      </c>
      <c r="M71" s="140">
        <v>0</v>
      </c>
      <c r="N71" s="143">
        <v>0</v>
      </c>
      <c r="O71" s="140">
        <v>0.18</v>
      </c>
      <c r="P71" s="145">
        <f>(Purchase[[#This Row],[Gross Amount]]-Purchase[[#This Row],[Disct %]])*Purchase[[#This Row],[GST %]]</f>
        <v>10022.4</v>
      </c>
      <c r="Q71" s="145">
        <f>Purchase[[#This Row],[Gross Amount]]-Purchase[[#This Row],[Disct Amnt]]+Purchase[[#This Row],[GST Amount]]</f>
        <v>65702.399999999994</v>
      </c>
      <c r="R71" s="138" t="s">
        <v>1019</v>
      </c>
      <c r="S71" s="41">
        <f>IF(Purchase[[#This Row],[Status]]="Cancelled",0,Purchase[[#This Row],[Qty]])</f>
        <v>24</v>
      </c>
      <c r="T71" s="146">
        <f>IF(Purchase[[#This Row],[Status]]="Cancelled",0,Purchase[[#This Row],[Total Amount]])</f>
        <v>65702.399999999994</v>
      </c>
      <c r="U71" s="146">
        <f>SUM(Purchase[Net Amount])</f>
        <v>814985438.68000126</v>
      </c>
    </row>
    <row r="72" spans="1:21" ht="19.5" thickBot="1" x14ac:dyDescent="0.3">
      <c r="A72" s="136" t="s">
        <v>1090</v>
      </c>
      <c r="B72" s="137">
        <v>45661</v>
      </c>
      <c r="C72" s="138" t="s">
        <v>593</v>
      </c>
      <c r="D72" s="138" t="str">
        <f>VLOOKUP(Purchase[[#This Row],[Supplier ID]],Supplier[#All],2,0)</f>
        <v>Global Suppliers</v>
      </c>
      <c r="E72" s="138">
        <f>VLOOKUP(Purchase[[#This Row],[Supplier ID]],Supplier[#All],3,0)</f>
        <v>9689542476</v>
      </c>
      <c r="F72" s="138" t="str">
        <f>VLOOKUP(Purchase[[#This Row],[Supplier ID]],Supplier[#All],4,0)</f>
        <v>Korba</v>
      </c>
      <c r="G72" s="138" t="str">
        <f>VLOOKUP(Purchase[[#This Row],[Supplier ID]],Supplier[#All],5,0)</f>
        <v>CG</v>
      </c>
      <c r="H72" s="138" t="str">
        <f>VLOOKUP(Purchase[[#This Row],[Supplier ID]],Supplier[#All],6,0)</f>
        <v>GST2154521T038</v>
      </c>
      <c r="I72" s="138" t="s">
        <v>385</v>
      </c>
      <c r="J72" s="139">
        <v>34</v>
      </c>
      <c r="K72" s="143">
        <f>VLOOKUP(Purchase[[#This Row],[Product ID]],Product[#All],6,0)</f>
        <v>1060</v>
      </c>
      <c r="L72" s="143">
        <f>Purchase[[#This Row],[Purchase Rate]]*Purchase[[#This Row],[Qty]]</f>
        <v>36040</v>
      </c>
      <c r="M72" s="140">
        <v>0</v>
      </c>
      <c r="N72" s="143">
        <v>0</v>
      </c>
      <c r="O72" s="140">
        <v>0.18</v>
      </c>
      <c r="P72" s="145">
        <f>(Purchase[[#This Row],[Gross Amount]]-Purchase[[#This Row],[Disct %]])*Purchase[[#This Row],[GST %]]</f>
        <v>6487.2</v>
      </c>
      <c r="Q72" s="145">
        <f>Purchase[[#This Row],[Gross Amount]]-Purchase[[#This Row],[Disct Amnt]]+Purchase[[#This Row],[GST Amount]]</f>
        <v>42527.199999999997</v>
      </c>
      <c r="R72" s="138" t="s">
        <v>1019</v>
      </c>
      <c r="S72" s="41">
        <f>IF(Purchase[[#This Row],[Status]]="Cancelled",0,Purchase[[#This Row],[Qty]])</f>
        <v>34</v>
      </c>
      <c r="T72" s="146">
        <f>IF(Purchase[[#This Row],[Status]]="Cancelled",0,Purchase[[#This Row],[Total Amount]])</f>
        <v>42527.199999999997</v>
      </c>
      <c r="U72" s="146">
        <f>SUM(Purchase[Net Amount])</f>
        <v>814985438.68000126</v>
      </c>
    </row>
    <row r="73" spans="1:21" ht="19.5" thickBot="1" x14ac:dyDescent="0.3">
      <c r="A73" s="136" t="s">
        <v>1091</v>
      </c>
      <c r="B73" s="137">
        <v>45661</v>
      </c>
      <c r="C73" s="138" t="s">
        <v>599</v>
      </c>
      <c r="D73" s="138" t="str">
        <f>VLOOKUP(Purchase[[#This Row],[Supplier ID]],Supplier[#All],2,0)</f>
        <v>National Distributors</v>
      </c>
      <c r="E73" s="138">
        <f>VLOOKUP(Purchase[[#This Row],[Supplier ID]],Supplier[#All],3,0)</f>
        <v>9689542482</v>
      </c>
      <c r="F73" s="138" t="str">
        <f>VLOOKUP(Purchase[[#This Row],[Supplier ID]],Supplier[#All],4,0)</f>
        <v>Kanpur</v>
      </c>
      <c r="G73" s="138" t="str">
        <f>VLOOKUP(Purchase[[#This Row],[Supplier ID]],Supplier[#All],5,0)</f>
        <v>UP</v>
      </c>
      <c r="H73" s="138" t="str">
        <f>VLOOKUP(Purchase[[#This Row],[Supplier ID]],Supplier[#All],6,0)</f>
        <v>GST2154521T044</v>
      </c>
      <c r="I73" s="138" t="s">
        <v>46</v>
      </c>
      <c r="J73" s="139">
        <v>30</v>
      </c>
      <c r="K73" s="143">
        <f>VLOOKUP(Purchase[[#This Row],[Product ID]],Product[#All],6,0)</f>
        <v>30419</v>
      </c>
      <c r="L73" s="143">
        <f>Purchase[[#This Row],[Purchase Rate]]*Purchase[[#This Row],[Qty]]</f>
        <v>912570</v>
      </c>
      <c r="M73" s="140">
        <v>0</v>
      </c>
      <c r="N73" s="143">
        <v>0</v>
      </c>
      <c r="O73" s="140">
        <v>0.18</v>
      </c>
      <c r="P73" s="145">
        <f>(Purchase[[#This Row],[Gross Amount]]-Purchase[[#This Row],[Disct %]])*Purchase[[#This Row],[GST %]]</f>
        <v>164262.6</v>
      </c>
      <c r="Q73" s="145">
        <f>Purchase[[#This Row],[Gross Amount]]-Purchase[[#This Row],[Disct Amnt]]+Purchase[[#This Row],[GST Amount]]</f>
        <v>1076832.6000000001</v>
      </c>
      <c r="R73" s="138" t="s">
        <v>1019</v>
      </c>
      <c r="S73" s="41">
        <f>IF(Purchase[[#This Row],[Status]]="Cancelled",0,Purchase[[#This Row],[Qty]])</f>
        <v>30</v>
      </c>
      <c r="T73" s="146">
        <f>IF(Purchase[[#This Row],[Status]]="Cancelled",0,Purchase[[#This Row],[Total Amount]])</f>
        <v>1076832.6000000001</v>
      </c>
      <c r="U73" s="146">
        <f>SUM(Purchase[Net Amount])</f>
        <v>814985438.68000126</v>
      </c>
    </row>
    <row r="74" spans="1:21" ht="19.5" thickBot="1" x14ac:dyDescent="0.3">
      <c r="A74" s="136" t="s">
        <v>1092</v>
      </c>
      <c r="B74" s="137">
        <v>45661</v>
      </c>
      <c r="C74" s="138" t="s">
        <v>569</v>
      </c>
      <c r="D74" s="138" t="str">
        <f>VLOOKUP(Purchase[[#This Row],[Supplier ID]],Supplier[#All],2,0)</f>
        <v>Tech Electronics</v>
      </c>
      <c r="E74" s="138">
        <f>VLOOKUP(Purchase[[#This Row],[Supplier ID]],Supplier[#All],3,0)</f>
        <v>9689542455</v>
      </c>
      <c r="F74" s="138" t="str">
        <f>VLOOKUP(Purchase[[#This Row],[Supplier ID]],Supplier[#All],4,0)</f>
        <v>Korba</v>
      </c>
      <c r="G74" s="138" t="str">
        <f>VLOOKUP(Purchase[[#This Row],[Supplier ID]],Supplier[#All],5,0)</f>
        <v>CG</v>
      </c>
      <c r="H74" s="138" t="str">
        <f>VLOOKUP(Purchase[[#This Row],[Supplier ID]],Supplier[#All],6,0)</f>
        <v>GST2154521T017</v>
      </c>
      <c r="I74" s="138" t="s">
        <v>471</v>
      </c>
      <c r="J74" s="139">
        <v>36</v>
      </c>
      <c r="K74" s="143">
        <f>VLOOKUP(Purchase[[#This Row],[Product ID]],Product[#All],6,0)</f>
        <v>8339</v>
      </c>
      <c r="L74" s="143">
        <f>Purchase[[#This Row],[Purchase Rate]]*Purchase[[#This Row],[Qty]]</f>
        <v>300204</v>
      </c>
      <c r="M74" s="140">
        <v>0</v>
      </c>
      <c r="N74" s="143">
        <v>0</v>
      </c>
      <c r="O74" s="140">
        <v>0.18</v>
      </c>
      <c r="P74" s="145">
        <f>(Purchase[[#This Row],[Gross Amount]]-Purchase[[#This Row],[Disct %]])*Purchase[[#This Row],[GST %]]</f>
        <v>54036.72</v>
      </c>
      <c r="Q74" s="145">
        <f>Purchase[[#This Row],[Gross Amount]]-Purchase[[#This Row],[Disct Amnt]]+Purchase[[#This Row],[GST Amount]]</f>
        <v>354240.72</v>
      </c>
      <c r="R74" s="138" t="s">
        <v>1019</v>
      </c>
      <c r="S74" s="41">
        <f>IF(Purchase[[#This Row],[Status]]="Cancelled",0,Purchase[[#This Row],[Qty]])</f>
        <v>36</v>
      </c>
      <c r="T74" s="146">
        <f>IF(Purchase[[#This Row],[Status]]="Cancelled",0,Purchase[[#This Row],[Total Amount]])</f>
        <v>354240.72</v>
      </c>
      <c r="U74" s="146">
        <f>SUM(Purchase[Net Amount])</f>
        <v>814985438.68000126</v>
      </c>
    </row>
    <row r="75" spans="1:21" ht="19.5" thickBot="1" x14ac:dyDescent="0.3">
      <c r="A75" s="136" t="s">
        <v>1093</v>
      </c>
      <c r="B75" s="137">
        <v>45661</v>
      </c>
      <c r="C75" s="138" t="s">
        <v>566</v>
      </c>
      <c r="D75" s="138" t="str">
        <f>VLOOKUP(Purchase[[#This Row],[Supplier ID]],Supplier[#All],2,0)</f>
        <v>Maa Computers</v>
      </c>
      <c r="E75" s="138">
        <f>VLOOKUP(Purchase[[#This Row],[Supplier ID]],Supplier[#All],3,0)</f>
        <v>9689542452</v>
      </c>
      <c r="F75" s="138" t="str">
        <f>VLOOKUP(Purchase[[#This Row],[Supplier ID]],Supplier[#All],4,0)</f>
        <v>Kanpur</v>
      </c>
      <c r="G75" s="138" t="str">
        <f>VLOOKUP(Purchase[[#This Row],[Supplier ID]],Supplier[#All],5,0)</f>
        <v>UP</v>
      </c>
      <c r="H75" s="138" t="str">
        <f>VLOOKUP(Purchase[[#This Row],[Supplier ID]],Supplier[#All],6,0)</f>
        <v>GST2154521T014</v>
      </c>
      <c r="I75" s="138" t="s">
        <v>530</v>
      </c>
      <c r="J75" s="139">
        <v>30</v>
      </c>
      <c r="K75" s="143">
        <f>VLOOKUP(Purchase[[#This Row],[Product ID]],Product[#All],6,0)</f>
        <v>26588</v>
      </c>
      <c r="L75" s="143">
        <f>Purchase[[#This Row],[Purchase Rate]]*Purchase[[#This Row],[Qty]]</f>
        <v>797640</v>
      </c>
      <c r="M75" s="140">
        <v>0</v>
      </c>
      <c r="N75" s="143">
        <v>0</v>
      </c>
      <c r="O75" s="140">
        <v>0.18</v>
      </c>
      <c r="P75" s="145">
        <f>(Purchase[[#This Row],[Gross Amount]]-Purchase[[#This Row],[Disct %]])*Purchase[[#This Row],[GST %]]</f>
        <v>143575.19999999998</v>
      </c>
      <c r="Q75" s="145">
        <f>Purchase[[#This Row],[Gross Amount]]-Purchase[[#This Row],[Disct Amnt]]+Purchase[[#This Row],[GST Amount]]</f>
        <v>941215.2</v>
      </c>
      <c r="R75" s="138" t="s">
        <v>1019</v>
      </c>
      <c r="S75" s="41">
        <f>IF(Purchase[[#This Row],[Status]]="Cancelled",0,Purchase[[#This Row],[Qty]])</f>
        <v>30</v>
      </c>
      <c r="T75" s="146">
        <f>IF(Purchase[[#This Row],[Status]]="Cancelled",0,Purchase[[#This Row],[Total Amount]])</f>
        <v>941215.2</v>
      </c>
      <c r="U75" s="146">
        <f>SUM(Purchase[Net Amount])</f>
        <v>814985438.68000126</v>
      </c>
    </row>
    <row r="76" spans="1:21" ht="19.5" thickBot="1" x14ac:dyDescent="0.3">
      <c r="A76" s="136" t="s">
        <v>1094</v>
      </c>
      <c r="B76" s="137">
        <v>45661</v>
      </c>
      <c r="C76" s="138" t="s">
        <v>591</v>
      </c>
      <c r="D76" s="138" t="str">
        <f>VLOOKUP(Purchase[[#This Row],[Supplier ID]],Supplier[#All],2,0)</f>
        <v>Shree Computers</v>
      </c>
      <c r="E76" s="138">
        <f>VLOOKUP(Purchase[[#This Row],[Supplier ID]],Supplier[#All],3,0)</f>
        <v>9689542475</v>
      </c>
      <c r="F76" s="138" t="str">
        <f>VLOOKUP(Purchase[[#This Row],[Supplier ID]],Supplier[#All],4,0)</f>
        <v>Indore</v>
      </c>
      <c r="G76" s="138" t="str">
        <f>VLOOKUP(Purchase[[#This Row],[Supplier ID]],Supplier[#All],5,0)</f>
        <v>MP</v>
      </c>
      <c r="H76" s="138" t="str">
        <f>VLOOKUP(Purchase[[#This Row],[Supplier ID]],Supplier[#All],6,0)</f>
        <v>GST2154521T037</v>
      </c>
      <c r="I76" s="138" t="s">
        <v>85</v>
      </c>
      <c r="J76" s="139">
        <v>29</v>
      </c>
      <c r="K76" s="143">
        <f>VLOOKUP(Purchase[[#This Row],[Product ID]],Product[#All],6,0)</f>
        <v>7130</v>
      </c>
      <c r="L76" s="143">
        <f>Purchase[[#This Row],[Purchase Rate]]*Purchase[[#This Row],[Qty]]</f>
        <v>206770</v>
      </c>
      <c r="M76" s="140">
        <v>0</v>
      </c>
      <c r="N76" s="143">
        <v>0</v>
      </c>
      <c r="O76" s="140">
        <v>0.18</v>
      </c>
      <c r="P76" s="145">
        <f>(Purchase[[#This Row],[Gross Amount]]-Purchase[[#This Row],[Disct %]])*Purchase[[#This Row],[GST %]]</f>
        <v>37218.6</v>
      </c>
      <c r="Q76" s="145">
        <f>Purchase[[#This Row],[Gross Amount]]-Purchase[[#This Row],[Disct Amnt]]+Purchase[[#This Row],[GST Amount]]</f>
        <v>243988.6</v>
      </c>
      <c r="R76" s="138" t="s">
        <v>1019</v>
      </c>
      <c r="S76" s="41">
        <f>IF(Purchase[[#This Row],[Status]]="Cancelled",0,Purchase[[#This Row],[Qty]])</f>
        <v>29</v>
      </c>
      <c r="T76" s="146">
        <f>IF(Purchase[[#This Row],[Status]]="Cancelled",0,Purchase[[#This Row],[Total Amount]])</f>
        <v>243988.6</v>
      </c>
      <c r="U76" s="146">
        <f>SUM(Purchase[Net Amount])</f>
        <v>814985438.68000126</v>
      </c>
    </row>
    <row r="77" spans="1:21" ht="19.5" thickBot="1" x14ac:dyDescent="0.3">
      <c r="A77" s="136" t="s">
        <v>1095</v>
      </c>
      <c r="B77" s="137">
        <v>45661</v>
      </c>
      <c r="C77" s="138" t="s">
        <v>607</v>
      </c>
      <c r="D77" s="138" t="str">
        <f>VLOOKUP(Purchase[[#This Row],[Supplier ID]],Supplier[#All],2,0)</f>
        <v>Global Distributors</v>
      </c>
      <c r="E77" s="138">
        <f>VLOOKUP(Purchase[[#This Row],[Supplier ID]],Supplier[#All],3,0)</f>
        <v>9689542490</v>
      </c>
      <c r="F77" s="138" t="str">
        <f>VLOOKUP(Purchase[[#This Row],[Supplier ID]],Supplier[#All],4,0)</f>
        <v>Kanpur</v>
      </c>
      <c r="G77" s="138" t="str">
        <f>VLOOKUP(Purchase[[#This Row],[Supplier ID]],Supplier[#All],5,0)</f>
        <v>UP</v>
      </c>
      <c r="H77" s="138" t="str">
        <f>VLOOKUP(Purchase[[#This Row],[Supplier ID]],Supplier[#All],6,0)</f>
        <v>GST2154521T052</v>
      </c>
      <c r="I77" s="138" t="s">
        <v>139</v>
      </c>
      <c r="J77" s="139">
        <v>32</v>
      </c>
      <c r="K77" s="143">
        <f>VLOOKUP(Purchase[[#This Row],[Product ID]],Product[#All],6,0)</f>
        <v>21311</v>
      </c>
      <c r="L77" s="143">
        <f>Purchase[[#This Row],[Purchase Rate]]*Purchase[[#This Row],[Qty]]</f>
        <v>681952</v>
      </c>
      <c r="M77" s="140">
        <v>0</v>
      </c>
      <c r="N77" s="143">
        <v>0</v>
      </c>
      <c r="O77" s="140">
        <v>0.18</v>
      </c>
      <c r="P77" s="145">
        <f>(Purchase[[#This Row],[Gross Amount]]-Purchase[[#This Row],[Disct %]])*Purchase[[#This Row],[GST %]]</f>
        <v>122751.36</v>
      </c>
      <c r="Q77" s="145">
        <f>Purchase[[#This Row],[Gross Amount]]-Purchase[[#This Row],[Disct Amnt]]+Purchase[[#This Row],[GST Amount]]</f>
        <v>804703.36</v>
      </c>
      <c r="R77" s="138" t="s">
        <v>1019</v>
      </c>
      <c r="S77" s="41">
        <f>IF(Purchase[[#This Row],[Status]]="Cancelled",0,Purchase[[#This Row],[Qty]])</f>
        <v>32</v>
      </c>
      <c r="T77" s="146">
        <f>IF(Purchase[[#This Row],[Status]]="Cancelled",0,Purchase[[#This Row],[Total Amount]])</f>
        <v>804703.36</v>
      </c>
      <c r="U77" s="146">
        <f>SUM(Purchase[Net Amount])</f>
        <v>814985438.68000126</v>
      </c>
    </row>
    <row r="78" spans="1:21" ht="19.5" thickBot="1" x14ac:dyDescent="0.3">
      <c r="A78" s="136" t="s">
        <v>1096</v>
      </c>
      <c r="B78" s="137">
        <v>45661</v>
      </c>
      <c r="C78" s="138" t="s">
        <v>573</v>
      </c>
      <c r="D78" s="138" t="str">
        <f>VLOOKUP(Purchase[[#This Row],[Supplier ID]],Supplier[#All],2,0)</f>
        <v>Shree Traders</v>
      </c>
      <c r="E78" s="138">
        <f>VLOOKUP(Purchase[[#This Row],[Supplier ID]],Supplier[#All],3,0)</f>
        <v>9689542458</v>
      </c>
      <c r="F78" s="138" t="str">
        <f>VLOOKUP(Purchase[[#This Row],[Supplier ID]],Supplier[#All],4,0)</f>
        <v>Korba</v>
      </c>
      <c r="G78" s="138" t="str">
        <f>VLOOKUP(Purchase[[#This Row],[Supplier ID]],Supplier[#All],5,0)</f>
        <v>CG</v>
      </c>
      <c r="H78" s="138" t="str">
        <f>VLOOKUP(Purchase[[#This Row],[Supplier ID]],Supplier[#All],6,0)</f>
        <v>GST2154521T020</v>
      </c>
      <c r="I78" s="138" t="s">
        <v>102</v>
      </c>
      <c r="J78" s="139">
        <v>21</v>
      </c>
      <c r="K78" s="143">
        <f>VLOOKUP(Purchase[[#This Row],[Product ID]],Product[#All],6,0)</f>
        <v>10483</v>
      </c>
      <c r="L78" s="143">
        <f>Purchase[[#This Row],[Purchase Rate]]*Purchase[[#This Row],[Qty]]</f>
        <v>220143</v>
      </c>
      <c r="M78" s="140">
        <v>0</v>
      </c>
      <c r="N78" s="143">
        <v>0</v>
      </c>
      <c r="O78" s="140">
        <v>0.18</v>
      </c>
      <c r="P78" s="145">
        <f>(Purchase[[#This Row],[Gross Amount]]-Purchase[[#This Row],[Disct %]])*Purchase[[#This Row],[GST %]]</f>
        <v>39625.74</v>
      </c>
      <c r="Q78" s="145">
        <f>Purchase[[#This Row],[Gross Amount]]-Purchase[[#This Row],[Disct Amnt]]+Purchase[[#This Row],[GST Amount]]</f>
        <v>259768.74</v>
      </c>
      <c r="R78" s="138" t="s">
        <v>1019</v>
      </c>
      <c r="S78" s="41">
        <f>IF(Purchase[[#This Row],[Status]]="Cancelled",0,Purchase[[#This Row],[Qty]])</f>
        <v>21</v>
      </c>
      <c r="T78" s="146">
        <f>IF(Purchase[[#This Row],[Status]]="Cancelled",0,Purchase[[#This Row],[Total Amount]])</f>
        <v>259768.74</v>
      </c>
      <c r="U78" s="146">
        <f>SUM(Purchase[Net Amount])</f>
        <v>814985438.68000126</v>
      </c>
    </row>
    <row r="79" spans="1:21" ht="19.5" thickBot="1" x14ac:dyDescent="0.3">
      <c r="A79" s="136" t="s">
        <v>1097</v>
      </c>
      <c r="B79" s="137">
        <v>45661</v>
      </c>
      <c r="C79" s="138" t="s">
        <v>1098</v>
      </c>
      <c r="D79" s="138" t="str">
        <f>VLOOKUP(Purchase[[#This Row],[Supplier ID]],Supplier[#All],2,0)</f>
        <v>maa distributors</v>
      </c>
      <c r="E79" s="138">
        <f>VLOOKUP(Purchase[[#This Row],[Supplier ID]],Supplier[#All],3,0)</f>
        <v>9689542479</v>
      </c>
      <c r="F79" s="138" t="str">
        <f>VLOOKUP(Purchase[[#This Row],[Supplier ID]],Supplier[#All],4,0)</f>
        <v>Indore</v>
      </c>
      <c r="G79" s="138" t="str">
        <f>VLOOKUP(Purchase[[#This Row],[Supplier ID]],Supplier[#All],5,0)</f>
        <v>MP</v>
      </c>
      <c r="H79" s="138" t="str">
        <f>VLOOKUP(Purchase[[#This Row],[Supplier ID]],Supplier[#All],6,0)</f>
        <v>GST2154521T033</v>
      </c>
      <c r="I79" s="138" t="s">
        <v>320</v>
      </c>
      <c r="J79" s="139">
        <v>9</v>
      </c>
      <c r="K79" s="143">
        <f>VLOOKUP(Purchase[[#This Row],[Product ID]],Product[#All],6,0)</f>
        <v>10004</v>
      </c>
      <c r="L79" s="143">
        <f>Purchase[[#This Row],[Purchase Rate]]*Purchase[[#This Row],[Qty]]</f>
        <v>90036</v>
      </c>
      <c r="M79" s="140">
        <v>0</v>
      </c>
      <c r="N79" s="143">
        <v>0</v>
      </c>
      <c r="O79" s="140">
        <v>0.18</v>
      </c>
      <c r="P79" s="145">
        <f>(Purchase[[#This Row],[Gross Amount]]-Purchase[[#This Row],[Disct %]])*Purchase[[#This Row],[GST %]]</f>
        <v>16206.48</v>
      </c>
      <c r="Q79" s="145">
        <f>Purchase[[#This Row],[Gross Amount]]-Purchase[[#This Row],[Disct Amnt]]+Purchase[[#This Row],[GST Amount]]</f>
        <v>106242.48</v>
      </c>
      <c r="R79" s="138" t="s">
        <v>1019</v>
      </c>
      <c r="S79" s="41">
        <f>IF(Purchase[[#This Row],[Status]]="Cancelled",0,Purchase[[#This Row],[Qty]])</f>
        <v>9</v>
      </c>
      <c r="T79" s="146">
        <f>IF(Purchase[[#This Row],[Status]]="Cancelled",0,Purchase[[#This Row],[Total Amount]])</f>
        <v>106242.48</v>
      </c>
      <c r="U79" s="146">
        <f>SUM(Purchase[Net Amount])</f>
        <v>814985438.68000126</v>
      </c>
    </row>
    <row r="80" spans="1:21" ht="19.5" thickBot="1" x14ac:dyDescent="0.3">
      <c r="A80" s="136" t="s">
        <v>1099</v>
      </c>
      <c r="B80" s="137">
        <v>45661</v>
      </c>
      <c r="C80" s="138" t="s">
        <v>578</v>
      </c>
      <c r="D80" s="138" t="str">
        <f>VLOOKUP(Purchase[[#This Row],[Supplier ID]],Supplier[#All],2,0)</f>
        <v>Shree Computers</v>
      </c>
      <c r="E80" s="138">
        <f>VLOOKUP(Purchase[[#This Row],[Supplier ID]],Supplier[#All],3,0)</f>
        <v>9689542462</v>
      </c>
      <c r="F80" s="138" t="str">
        <f>VLOOKUP(Purchase[[#This Row],[Supplier ID]],Supplier[#All],4,0)</f>
        <v>Korba</v>
      </c>
      <c r="G80" s="138" t="str">
        <f>VLOOKUP(Purchase[[#This Row],[Supplier ID]],Supplier[#All],5,0)</f>
        <v>CG</v>
      </c>
      <c r="H80" s="138" t="str">
        <f>VLOOKUP(Purchase[[#This Row],[Supplier ID]],Supplier[#All],6,0)</f>
        <v>GST2154521T024</v>
      </c>
      <c r="I80" s="138" t="s">
        <v>201</v>
      </c>
      <c r="J80" s="139">
        <v>32</v>
      </c>
      <c r="K80" s="143">
        <f>VLOOKUP(Purchase[[#This Row],[Product ID]],Product[#All],6,0)</f>
        <v>2195</v>
      </c>
      <c r="L80" s="143">
        <f>Purchase[[#This Row],[Purchase Rate]]*Purchase[[#This Row],[Qty]]</f>
        <v>70240</v>
      </c>
      <c r="M80" s="140">
        <v>0</v>
      </c>
      <c r="N80" s="143">
        <v>0</v>
      </c>
      <c r="O80" s="140">
        <v>0.18</v>
      </c>
      <c r="P80" s="145">
        <f>(Purchase[[#This Row],[Gross Amount]]-Purchase[[#This Row],[Disct %]])*Purchase[[#This Row],[GST %]]</f>
        <v>12643.199999999999</v>
      </c>
      <c r="Q80" s="145">
        <f>Purchase[[#This Row],[Gross Amount]]-Purchase[[#This Row],[Disct Amnt]]+Purchase[[#This Row],[GST Amount]]</f>
        <v>82883.199999999997</v>
      </c>
      <c r="R80" s="138" t="s">
        <v>1040</v>
      </c>
      <c r="S80" s="41">
        <f>IF(Purchase[[#This Row],[Status]]="Cancelled",0,Purchase[[#This Row],[Qty]])</f>
        <v>0</v>
      </c>
      <c r="T80" s="146">
        <f>IF(Purchase[[#This Row],[Status]]="Cancelled",0,Purchase[[#This Row],[Total Amount]])</f>
        <v>0</v>
      </c>
      <c r="U80" s="146">
        <f>SUM(Purchase[Net Amount])</f>
        <v>814985438.68000126</v>
      </c>
    </row>
    <row r="81" spans="1:21" ht="19.5" thickBot="1" x14ac:dyDescent="0.3">
      <c r="A81" s="136" t="s">
        <v>1100</v>
      </c>
      <c r="B81" s="137">
        <v>45661</v>
      </c>
      <c r="C81" s="138" t="s">
        <v>580</v>
      </c>
      <c r="D81" s="138" t="str">
        <f>VLOOKUP(Purchase[[#This Row],[Supplier ID]],Supplier[#All],2,0)</f>
        <v>Star Distributors</v>
      </c>
      <c r="E81" s="138">
        <f>VLOOKUP(Purchase[[#This Row],[Supplier ID]],Supplier[#All],3,0)</f>
        <v>9689542464</v>
      </c>
      <c r="F81" s="138" t="str">
        <f>VLOOKUP(Purchase[[#This Row],[Supplier ID]],Supplier[#All],4,0)</f>
        <v>Indore</v>
      </c>
      <c r="G81" s="138" t="str">
        <f>VLOOKUP(Purchase[[#This Row],[Supplier ID]],Supplier[#All],5,0)</f>
        <v>MP</v>
      </c>
      <c r="H81" s="138" t="str">
        <f>VLOOKUP(Purchase[[#This Row],[Supplier ID]],Supplier[#All],6,0)</f>
        <v>GST2154521T026</v>
      </c>
      <c r="I81" s="138" t="s">
        <v>432</v>
      </c>
      <c r="J81" s="139">
        <v>37</v>
      </c>
      <c r="K81" s="143">
        <f>VLOOKUP(Purchase[[#This Row],[Product ID]],Product[#All],6,0)</f>
        <v>628</v>
      </c>
      <c r="L81" s="143">
        <f>Purchase[[#This Row],[Purchase Rate]]*Purchase[[#This Row],[Qty]]</f>
        <v>23236</v>
      </c>
      <c r="M81" s="140">
        <v>0</v>
      </c>
      <c r="N81" s="143">
        <v>0</v>
      </c>
      <c r="O81" s="140">
        <v>0.18</v>
      </c>
      <c r="P81" s="145">
        <f>(Purchase[[#This Row],[Gross Amount]]-Purchase[[#This Row],[Disct %]])*Purchase[[#This Row],[GST %]]</f>
        <v>4182.4799999999996</v>
      </c>
      <c r="Q81" s="145">
        <f>Purchase[[#This Row],[Gross Amount]]-Purchase[[#This Row],[Disct Amnt]]+Purchase[[#This Row],[GST Amount]]</f>
        <v>27418.48</v>
      </c>
      <c r="R81" s="138" t="s">
        <v>1019</v>
      </c>
      <c r="S81" s="41">
        <f>IF(Purchase[[#This Row],[Status]]="Cancelled",0,Purchase[[#This Row],[Qty]])</f>
        <v>37</v>
      </c>
      <c r="T81" s="146">
        <f>IF(Purchase[[#This Row],[Status]]="Cancelled",0,Purchase[[#This Row],[Total Amount]])</f>
        <v>27418.48</v>
      </c>
      <c r="U81" s="146">
        <f>SUM(Purchase[Net Amount])</f>
        <v>814985438.68000126</v>
      </c>
    </row>
    <row r="82" spans="1:21" ht="19.5" thickBot="1" x14ac:dyDescent="0.3">
      <c r="A82" s="136" t="s">
        <v>1101</v>
      </c>
      <c r="B82" s="137">
        <v>45661</v>
      </c>
      <c r="C82" s="138" t="s">
        <v>586</v>
      </c>
      <c r="D82" s="138" t="str">
        <f>VLOOKUP(Purchase[[#This Row],[Supplier ID]],Supplier[#All],2,0)</f>
        <v>Maa Traders</v>
      </c>
      <c r="E82" s="138">
        <f>VLOOKUP(Purchase[[#This Row],[Supplier ID]],Supplier[#All],3,0)</f>
        <v>9689542470</v>
      </c>
      <c r="F82" s="138" t="str">
        <f>VLOOKUP(Purchase[[#This Row],[Supplier ID]],Supplier[#All],4,0)</f>
        <v>Kanpur</v>
      </c>
      <c r="G82" s="138" t="str">
        <f>VLOOKUP(Purchase[[#This Row],[Supplier ID]],Supplier[#All],5,0)</f>
        <v>UP</v>
      </c>
      <c r="H82" s="138" t="str">
        <f>VLOOKUP(Purchase[[#This Row],[Supplier ID]],Supplier[#All],6,0)</f>
        <v>GST2154521T032</v>
      </c>
      <c r="I82" s="138" t="s">
        <v>452</v>
      </c>
      <c r="J82" s="139">
        <v>8</v>
      </c>
      <c r="K82" s="143">
        <f>VLOOKUP(Purchase[[#This Row],[Product ID]],Product[#All],6,0)</f>
        <v>723</v>
      </c>
      <c r="L82" s="143">
        <f>Purchase[[#This Row],[Purchase Rate]]*Purchase[[#This Row],[Qty]]</f>
        <v>5784</v>
      </c>
      <c r="M82" s="140">
        <v>0</v>
      </c>
      <c r="N82" s="143">
        <v>0</v>
      </c>
      <c r="O82" s="140">
        <v>0.18</v>
      </c>
      <c r="P82" s="145">
        <f>(Purchase[[#This Row],[Gross Amount]]-Purchase[[#This Row],[Disct %]])*Purchase[[#This Row],[GST %]]</f>
        <v>1041.1199999999999</v>
      </c>
      <c r="Q82" s="145">
        <f>Purchase[[#This Row],[Gross Amount]]-Purchase[[#This Row],[Disct Amnt]]+Purchase[[#This Row],[GST Amount]]</f>
        <v>6825.12</v>
      </c>
      <c r="R82" s="138" t="s">
        <v>1019</v>
      </c>
      <c r="S82" s="41">
        <f>IF(Purchase[[#This Row],[Status]]="Cancelled",0,Purchase[[#This Row],[Qty]])</f>
        <v>8</v>
      </c>
      <c r="T82" s="146">
        <f>IF(Purchase[[#This Row],[Status]]="Cancelled",0,Purchase[[#This Row],[Total Amount]])</f>
        <v>6825.12</v>
      </c>
      <c r="U82" s="146">
        <f>SUM(Purchase[Net Amount])</f>
        <v>814985438.68000126</v>
      </c>
    </row>
    <row r="83" spans="1:21" ht="19.5" thickBot="1" x14ac:dyDescent="0.3">
      <c r="A83" s="136" t="s">
        <v>1102</v>
      </c>
      <c r="B83" s="137">
        <v>45661</v>
      </c>
      <c r="C83" s="138" t="s">
        <v>568</v>
      </c>
      <c r="D83" s="138" t="str">
        <f>VLOOKUP(Purchase[[#This Row],[Supplier ID]],Supplier[#All],2,0)</f>
        <v>Maa Computers</v>
      </c>
      <c r="E83" s="138">
        <f>VLOOKUP(Purchase[[#This Row],[Supplier ID]],Supplier[#All],3,0)</f>
        <v>9689542454</v>
      </c>
      <c r="F83" s="138" t="str">
        <f>VLOOKUP(Purchase[[#This Row],[Supplier ID]],Supplier[#All],4,0)</f>
        <v>Korba</v>
      </c>
      <c r="G83" s="138" t="str">
        <f>VLOOKUP(Purchase[[#This Row],[Supplier ID]],Supplier[#All],5,0)</f>
        <v>CG</v>
      </c>
      <c r="H83" s="138" t="str">
        <f>VLOOKUP(Purchase[[#This Row],[Supplier ID]],Supplier[#All],6,0)</f>
        <v>GST2154521T016</v>
      </c>
      <c r="I83" s="138" t="s">
        <v>399</v>
      </c>
      <c r="J83" s="139">
        <v>29</v>
      </c>
      <c r="K83" s="143">
        <f>VLOOKUP(Purchase[[#This Row],[Product ID]],Product[#All],6,0)</f>
        <v>35080</v>
      </c>
      <c r="L83" s="143">
        <f>Purchase[[#This Row],[Purchase Rate]]*Purchase[[#This Row],[Qty]]</f>
        <v>1017320</v>
      </c>
      <c r="M83" s="140">
        <v>0</v>
      </c>
      <c r="N83" s="143">
        <v>0</v>
      </c>
      <c r="O83" s="140">
        <v>0.18</v>
      </c>
      <c r="P83" s="145">
        <f>(Purchase[[#This Row],[Gross Amount]]-Purchase[[#This Row],[Disct %]])*Purchase[[#This Row],[GST %]]</f>
        <v>183117.6</v>
      </c>
      <c r="Q83" s="145">
        <f>Purchase[[#This Row],[Gross Amount]]-Purchase[[#This Row],[Disct Amnt]]+Purchase[[#This Row],[GST Amount]]</f>
        <v>1200437.6000000001</v>
      </c>
      <c r="R83" s="138" t="s">
        <v>1019</v>
      </c>
      <c r="S83" s="41">
        <f>IF(Purchase[[#This Row],[Status]]="Cancelled",0,Purchase[[#This Row],[Qty]])</f>
        <v>29</v>
      </c>
      <c r="T83" s="146">
        <f>IF(Purchase[[#This Row],[Status]]="Cancelled",0,Purchase[[#This Row],[Total Amount]])</f>
        <v>1200437.6000000001</v>
      </c>
      <c r="U83" s="146">
        <f>SUM(Purchase[Net Amount])</f>
        <v>814985438.68000126</v>
      </c>
    </row>
    <row r="84" spans="1:21" ht="19.5" thickBot="1" x14ac:dyDescent="0.3">
      <c r="A84" s="136" t="s">
        <v>1103</v>
      </c>
      <c r="B84" s="137">
        <v>45661</v>
      </c>
      <c r="C84" s="138" t="s">
        <v>581</v>
      </c>
      <c r="D84" s="138" t="str">
        <f>VLOOKUP(Purchase[[#This Row],[Supplier ID]],Supplier[#All],2,0)</f>
        <v>Prime Electronics</v>
      </c>
      <c r="E84" s="138">
        <f>VLOOKUP(Purchase[[#This Row],[Supplier ID]],Supplier[#All],3,0)</f>
        <v>9689542465</v>
      </c>
      <c r="F84" s="138" t="str">
        <f>VLOOKUP(Purchase[[#This Row],[Supplier ID]],Supplier[#All],4,0)</f>
        <v>Korba</v>
      </c>
      <c r="G84" s="138" t="str">
        <f>VLOOKUP(Purchase[[#This Row],[Supplier ID]],Supplier[#All],5,0)</f>
        <v>CG</v>
      </c>
      <c r="H84" s="138" t="str">
        <f>VLOOKUP(Purchase[[#This Row],[Supplier ID]],Supplier[#All],6,0)</f>
        <v>GST2154521T027</v>
      </c>
      <c r="I84" s="138" t="s">
        <v>453</v>
      </c>
      <c r="J84" s="139">
        <v>2</v>
      </c>
      <c r="K84" s="143">
        <f>VLOOKUP(Purchase[[#This Row],[Product ID]],Product[#All],6,0)</f>
        <v>2343</v>
      </c>
      <c r="L84" s="143">
        <f>Purchase[[#This Row],[Purchase Rate]]*Purchase[[#This Row],[Qty]]</f>
        <v>4686</v>
      </c>
      <c r="M84" s="140">
        <v>0</v>
      </c>
      <c r="N84" s="143">
        <v>0</v>
      </c>
      <c r="O84" s="140">
        <v>0.18</v>
      </c>
      <c r="P84" s="145">
        <f>(Purchase[[#This Row],[Gross Amount]]-Purchase[[#This Row],[Disct %]])*Purchase[[#This Row],[GST %]]</f>
        <v>843.48</v>
      </c>
      <c r="Q84" s="145">
        <f>Purchase[[#This Row],[Gross Amount]]-Purchase[[#This Row],[Disct Amnt]]+Purchase[[#This Row],[GST Amount]]</f>
        <v>5529.48</v>
      </c>
      <c r="R84" s="138" t="s">
        <v>1019</v>
      </c>
      <c r="S84" s="41">
        <f>IF(Purchase[[#This Row],[Status]]="Cancelled",0,Purchase[[#This Row],[Qty]])</f>
        <v>2</v>
      </c>
      <c r="T84" s="146">
        <f>IF(Purchase[[#This Row],[Status]]="Cancelled",0,Purchase[[#This Row],[Total Amount]])</f>
        <v>5529.48</v>
      </c>
      <c r="U84" s="146">
        <f>SUM(Purchase[Net Amount])</f>
        <v>814985438.68000126</v>
      </c>
    </row>
    <row r="85" spans="1:21" ht="19.5" thickBot="1" x14ac:dyDescent="0.3">
      <c r="A85" s="136" t="s">
        <v>1104</v>
      </c>
      <c r="B85" s="137">
        <v>45661</v>
      </c>
      <c r="C85" s="138" t="s">
        <v>575</v>
      </c>
      <c r="D85" s="138" t="str">
        <f>VLOOKUP(Purchase[[#This Row],[Supplier ID]],Supplier[#All],2,0)</f>
        <v>Global Computers</v>
      </c>
      <c r="E85" s="138">
        <f>VLOOKUP(Purchase[[#This Row],[Supplier ID]],Supplier[#All],3,0)</f>
        <v>9689542459</v>
      </c>
      <c r="F85" s="138" t="str">
        <f>VLOOKUP(Purchase[[#This Row],[Supplier ID]],Supplier[#All],4,0)</f>
        <v>Indore</v>
      </c>
      <c r="G85" s="138" t="str">
        <f>VLOOKUP(Purchase[[#This Row],[Supplier ID]],Supplier[#All],5,0)</f>
        <v>MP</v>
      </c>
      <c r="H85" s="138" t="str">
        <f>VLOOKUP(Purchase[[#This Row],[Supplier ID]],Supplier[#All],6,0)</f>
        <v>GST2154521T021</v>
      </c>
      <c r="I85" s="138" t="s">
        <v>364</v>
      </c>
      <c r="J85" s="139">
        <v>5</v>
      </c>
      <c r="K85" s="143">
        <f>VLOOKUP(Purchase[[#This Row],[Product ID]],Product[#All],6,0)</f>
        <v>36391</v>
      </c>
      <c r="L85" s="143">
        <f>Purchase[[#This Row],[Purchase Rate]]*Purchase[[#This Row],[Qty]]</f>
        <v>181955</v>
      </c>
      <c r="M85" s="140">
        <v>0</v>
      </c>
      <c r="N85" s="143">
        <v>0</v>
      </c>
      <c r="O85" s="140">
        <v>0.18</v>
      </c>
      <c r="P85" s="145">
        <f>(Purchase[[#This Row],[Gross Amount]]-Purchase[[#This Row],[Disct %]])*Purchase[[#This Row],[GST %]]</f>
        <v>32751.899999999998</v>
      </c>
      <c r="Q85" s="145">
        <f>Purchase[[#This Row],[Gross Amount]]-Purchase[[#This Row],[Disct Amnt]]+Purchase[[#This Row],[GST Amount]]</f>
        <v>214706.9</v>
      </c>
      <c r="R85" s="138" t="s">
        <v>1019</v>
      </c>
      <c r="S85" s="41">
        <f>IF(Purchase[[#This Row],[Status]]="Cancelled",0,Purchase[[#This Row],[Qty]])</f>
        <v>5</v>
      </c>
      <c r="T85" s="146">
        <f>IF(Purchase[[#This Row],[Status]]="Cancelled",0,Purchase[[#This Row],[Total Amount]])</f>
        <v>214706.9</v>
      </c>
      <c r="U85" s="146">
        <f>SUM(Purchase[Net Amount])</f>
        <v>814985438.68000126</v>
      </c>
    </row>
    <row r="86" spans="1:21" ht="19.5" thickBot="1" x14ac:dyDescent="0.3">
      <c r="A86" s="136" t="s">
        <v>1105</v>
      </c>
      <c r="B86" s="137">
        <v>45661</v>
      </c>
      <c r="C86" s="138" t="s">
        <v>615</v>
      </c>
      <c r="D86" s="138" t="str">
        <f>VLOOKUP(Purchase[[#This Row],[Supplier ID]],Supplier[#All],2,0)</f>
        <v>NATIONAL ELECTRONICS</v>
      </c>
      <c r="E86" s="138">
        <f>VLOOKUP(Purchase[[#This Row],[Supplier ID]],Supplier[#All],3,0)</f>
        <v>9689542498</v>
      </c>
      <c r="F86" s="138" t="str">
        <f>VLOOKUP(Purchase[[#This Row],[Supplier ID]],Supplier[#All],4,0)</f>
        <v>Kanpur</v>
      </c>
      <c r="G86" s="138" t="str">
        <f>VLOOKUP(Purchase[[#This Row],[Supplier ID]],Supplier[#All],5,0)</f>
        <v>UP</v>
      </c>
      <c r="H86" s="138" t="str">
        <f>VLOOKUP(Purchase[[#This Row],[Supplier ID]],Supplier[#All],6,0)</f>
        <v>GST2154521T060</v>
      </c>
      <c r="I86" s="138" t="s">
        <v>80</v>
      </c>
      <c r="J86" s="139">
        <v>22</v>
      </c>
      <c r="K86" s="143">
        <f>VLOOKUP(Purchase[[#This Row],[Product ID]],Product[#All],6,0)</f>
        <v>34693</v>
      </c>
      <c r="L86" s="143">
        <f>Purchase[[#This Row],[Purchase Rate]]*Purchase[[#This Row],[Qty]]</f>
        <v>763246</v>
      </c>
      <c r="M86" s="140">
        <v>0</v>
      </c>
      <c r="N86" s="143">
        <v>0</v>
      </c>
      <c r="O86" s="140">
        <v>0.18</v>
      </c>
      <c r="P86" s="145">
        <f>(Purchase[[#This Row],[Gross Amount]]-Purchase[[#This Row],[Disct %]])*Purchase[[#This Row],[GST %]]</f>
        <v>137384.28</v>
      </c>
      <c r="Q86" s="145">
        <f>Purchase[[#This Row],[Gross Amount]]-Purchase[[#This Row],[Disct Amnt]]+Purchase[[#This Row],[GST Amount]]</f>
        <v>900630.28</v>
      </c>
      <c r="R86" s="138" t="s">
        <v>1019</v>
      </c>
      <c r="S86" s="41">
        <f>IF(Purchase[[#This Row],[Status]]="Cancelled",0,Purchase[[#This Row],[Qty]])</f>
        <v>22</v>
      </c>
      <c r="T86" s="146">
        <f>IF(Purchase[[#This Row],[Status]]="Cancelled",0,Purchase[[#This Row],[Total Amount]])</f>
        <v>900630.28</v>
      </c>
      <c r="U86" s="146">
        <f>SUM(Purchase[Net Amount])</f>
        <v>814985438.68000126</v>
      </c>
    </row>
    <row r="87" spans="1:21" ht="19.5" thickBot="1" x14ac:dyDescent="0.3">
      <c r="A87" s="136" t="s">
        <v>1106</v>
      </c>
      <c r="B87" s="137">
        <v>45662</v>
      </c>
      <c r="C87" s="138" t="s">
        <v>567</v>
      </c>
      <c r="D87" s="138" t="str">
        <f>VLOOKUP(Purchase[[#This Row],[Supplier ID]],Supplier[#All],2,0)</f>
        <v>National Distributors</v>
      </c>
      <c r="E87" s="138">
        <f>VLOOKUP(Purchase[[#This Row],[Supplier ID]],Supplier[#All],3,0)</f>
        <v>9689542453</v>
      </c>
      <c r="F87" s="138" t="str">
        <f>VLOOKUP(Purchase[[#This Row],[Supplier ID]],Supplier[#All],4,0)</f>
        <v>Korba</v>
      </c>
      <c r="G87" s="138" t="str">
        <f>VLOOKUP(Purchase[[#This Row],[Supplier ID]],Supplier[#All],5,0)</f>
        <v>CG</v>
      </c>
      <c r="H87" s="138" t="str">
        <f>VLOOKUP(Purchase[[#This Row],[Supplier ID]],Supplier[#All],6,0)</f>
        <v>GST2154521T015</v>
      </c>
      <c r="I87" s="138" t="s">
        <v>120</v>
      </c>
      <c r="J87" s="139">
        <v>29</v>
      </c>
      <c r="K87" s="143">
        <f>VLOOKUP(Purchase[[#This Row],[Product ID]],Product[#All],6,0)</f>
        <v>5465</v>
      </c>
      <c r="L87" s="143">
        <f>Purchase[[#This Row],[Purchase Rate]]*Purchase[[#This Row],[Qty]]</f>
        <v>158485</v>
      </c>
      <c r="M87" s="140">
        <v>0</v>
      </c>
      <c r="N87" s="143">
        <v>0</v>
      </c>
      <c r="O87" s="140">
        <v>0.18</v>
      </c>
      <c r="P87" s="145">
        <f>(Purchase[[#This Row],[Gross Amount]]-Purchase[[#This Row],[Disct %]])*Purchase[[#This Row],[GST %]]</f>
        <v>28527.3</v>
      </c>
      <c r="Q87" s="145">
        <f>Purchase[[#This Row],[Gross Amount]]-Purchase[[#This Row],[Disct Amnt]]+Purchase[[#This Row],[GST Amount]]</f>
        <v>187012.3</v>
      </c>
      <c r="R87" s="138" t="s">
        <v>1019</v>
      </c>
      <c r="S87" s="41">
        <f>IF(Purchase[[#This Row],[Status]]="Cancelled",0,Purchase[[#This Row],[Qty]])</f>
        <v>29</v>
      </c>
      <c r="T87" s="146">
        <f>IF(Purchase[[#This Row],[Status]]="Cancelled",0,Purchase[[#This Row],[Total Amount]])</f>
        <v>187012.3</v>
      </c>
      <c r="U87" s="146">
        <f>SUM(Purchase[Net Amount])</f>
        <v>814985438.68000126</v>
      </c>
    </row>
    <row r="88" spans="1:21" ht="19.5" thickBot="1" x14ac:dyDescent="0.3">
      <c r="A88" s="136" t="s">
        <v>1107</v>
      </c>
      <c r="B88" s="137">
        <v>45662</v>
      </c>
      <c r="C88" s="138" t="s">
        <v>613</v>
      </c>
      <c r="D88" s="138" t="str">
        <f>VLOOKUP(Purchase[[#This Row],[Supplier ID]],Supplier[#All],2,0)</f>
        <v>National Traders</v>
      </c>
      <c r="E88" s="138">
        <f>VLOOKUP(Purchase[[#This Row],[Supplier ID]],Supplier[#All],3,0)</f>
        <v>9689542496</v>
      </c>
      <c r="F88" s="138" t="str">
        <f>VLOOKUP(Purchase[[#This Row],[Supplier ID]],Supplier[#All],4,0)</f>
        <v>Indore</v>
      </c>
      <c r="G88" s="138" t="str">
        <f>VLOOKUP(Purchase[[#This Row],[Supplier ID]],Supplier[#All],5,0)</f>
        <v>MP</v>
      </c>
      <c r="H88" s="138" t="str">
        <f>VLOOKUP(Purchase[[#This Row],[Supplier ID]],Supplier[#All],6,0)</f>
        <v>GST2154521T058</v>
      </c>
      <c r="I88" s="138" t="s">
        <v>204</v>
      </c>
      <c r="J88" s="139">
        <v>12</v>
      </c>
      <c r="K88" s="143">
        <f>VLOOKUP(Purchase[[#This Row],[Product ID]],Product[#All],6,0)</f>
        <v>33533</v>
      </c>
      <c r="L88" s="143">
        <f>Purchase[[#This Row],[Purchase Rate]]*Purchase[[#This Row],[Qty]]</f>
        <v>402396</v>
      </c>
      <c r="M88" s="140">
        <v>0</v>
      </c>
      <c r="N88" s="143">
        <v>0</v>
      </c>
      <c r="O88" s="140">
        <v>0.18</v>
      </c>
      <c r="P88" s="145">
        <f>(Purchase[[#This Row],[Gross Amount]]-Purchase[[#This Row],[Disct %]])*Purchase[[#This Row],[GST %]]</f>
        <v>72431.28</v>
      </c>
      <c r="Q88" s="145">
        <f>Purchase[[#This Row],[Gross Amount]]-Purchase[[#This Row],[Disct Amnt]]+Purchase[[#This Row],[GST Amount]]</f>
        <v>474827.28</v>
      </c>
      <c r="R88" s="138" t="s">
        <v>1019</v>
      </c>
      <c r="S88" s="41">
        <f>IF(Purchase[[#This Row],[Status]]="Cancelled",0,Purchase[[#This Row],[Qty]])</f>
        <v>12</v>
      </c>
      <c r="T88" s="146">
        <f>IF(Purchase[[#This Row],[Status]]="Cancelled",0,Purchase[[#This Row],[Total Amount]])</f>
        <v>474827.28</v>
      </c>
      <c r="U88" s="146">
        <f>SUM(Purchase[Net Amount])</f>
        <v>814985438.68000126</v>
      </c>
    </row>
    <row r="89" spans="1:21" ht="19.5" thickBot="1" x14ac:dyDescent="0.3">
      <c r="A89" s="136" t="s">
        <v>1108</v>
      </c>
      <c r="B89" s="137">
        <v>45662</v>
      </c>
      <c r="C89" s="138" t="s">
        <v>598</v>
      </c>
      <c r="D89" s="138" t="str">
        <f>VLOOKUP(Purchase[[#This Row],[Supplier ID]],Supplier[#All],2,0)</f>
        <v>National Distributors</v>
      </c>
      <c r="E89" s="138">
        <f>VLOOKUP(Purchase[[#This Row],[Supplier ID]],Supplier[#All],3,0)</f>
        <v>9689542489</v>
      </c>
      <c r="F89" s="138" t="str">
        <f>VLOOKUP(Purchase[[#This Row],[Supplier ID]],Supplier[#All],4,0)</f>
        <v>Indore</v>
      </c>
      <c r="G89" s="138" t="str">
        <f>VLOOKUP(Purchase[[#This Row],[Supplier ID]],Supplier[#All],5,0)</f>
        <v>MP</v>
      </c>
      <c r="H89" s="138" t="str">
        <f>VLOOKUP(Purchase[[#This Row],[Supplier ID]],Supplier[#All],6,0)</f>
        <v>GST2154521T043</v>
      </c>
      <c r="I89" s="138" t="s">
        <v>20</v>
      </c>
      <c r="J89" s="139">
        <v>22</v>
      </c>
      <c r="K89" s="143">
        <f>VLOOKUP(Purchase[[#This Row],[Product ID]],Product[#All],6,0)</f>
        <v>2532</v>
      </c>
      <c r="L89" s="143">
        <f>Purchase[[#This Row],[Purchase Rate]]*Purchase[[#This Row],[Qty]]</f>
        <v>55704</v>
      </c>
      <c r="M89" s="140">
        <v>0</v>
      </c>
      <c r="N89" s="143">
        <v>0</v>
      </c>
      <c r="O89" s="140">
        <v>0.18</v>
      </c>
      <c r="P89" s="145">
        <f>(Purchase[[#This Row],[Gross Amount]]-Purchase[[#This Row],[Disct %]])*Purchase[[#This Row],[GST %]]</f>
        <v>10026.719999999999</v>
      </c>
      <c r="Q89" s="145">
        <f>Purchase[[#This Row],[Gross Amount]]-Purchase[[#This Row],[Disct Amnt]]+Purchase[[#This Row],[GST Amount]]</f>
        <v>65730.720000000001</v>
      </c>
      <c r="R89" s="138" t="s">
        <v>1019</v>
      </c>
      <c r="S89" s="41">
        <f>IF(Purchase[[#This Row],[Status]]="Cancelled",0,Purchase[[#This Row],[Qty]])</f>
        <v>22</v>
      </c>
      <c r="T89" s="146">
        <f>IF(Purchase[[#This Row],[Status]]="Cancelled",0,Purchase[[#This Row],[Total Amount]])</f>
        <v>65730.720000000001</v>
      </c>
      <c r="U89" s="146">
        <f>SUM(Purchase[Net Amount])</f>
        <v>814985438.68000126</v>
      </c>
    </row>
    <row r="90" spans="1:21" ht="19.5" thickBot="1" x14ac:dyDescent="0.3">
      <c r="A90" s="136" t="s">
        <v>1109</v>
      </c>
      <c r="B90" s="137">
        <v>45662</v>
      </c>
      <c r="C90" s="138" t="s">
        <v>594</v>
      </c>
      <c r="D90" s="138" t="str">
        <f>VLOOKUP(Purchase[[#This Row],[Supplier ID]],Supplier[#All],2,0)</f>
        <v>Shree Suppliers</v>
      </c>
      <c r="E90" s="138">
        <f>VLOOKUP(Purchase[[#This Row],[Supplier ID]],Supplier[#All],3,0)</f>
        <v>9689542477</v>
      </c>
      <c r="F90" s="138" t="str">
        <f>VLOOKUP(Purchase[[#This Row],[Supplier ID]],Supplier[#All],4,0)</f>
        <v>Indore</v>
      </c>
      <c r="G90" s="138" t="str">
        <f>VLOOKUP(Purchase[[#This Row],[Supplier ID]],Supplier[#All],5,0)</f>
        <v>MP</v>
      </c>
      <c r="H90" s="138" t="str">
        <f>VLOOKUP(Purchase[[#This Row],[Supplier ID]],Supplier[#All],6,0)</f>
        <v>GST2154521T039</v>
      </c>
      <c r="I90" s="138" t="s">
        <v>513</v>
      </c>
      <c r="J90" s="139">
        <v>23</v>
      </c>
      <c r="K90" s="143">
        <f>VLOOKUP(Purchase[[#This Row],[Product ID]],Product[#All],6,0)</f>
        <v>1887</v>
      </c>
      <c r="L90" s="143">
        <f>Purchase[[#This Row],[Purchase Rate]]*Purchase[[#This Row],[Qty]]</f>
        <v>43401</v>
      </c>
      <c r="M90" s="140">
        <v>0</v>
      </c>
      <c r="N90" s="143">
        <v>0</v>
      </c>
      <c r="O90" s="140">
        <v>0.18</v>
      </c>
      <c r="P90" s="145">
        <f>(Purchase[[#This Row],[Gross Amount]]-Purchase[[#This Row],[Disct %]])*Purchase[[#This Row],[GST %]]</f>
        <v>7812.1799999999994</v>
      </c>
      <c r="Q90" s="145">
        <f>Purchase[[#This Row],[Gross Amount]]-Purchase[[#This Row],[Disct Amnt]]+Purchase[[#This Row],[GST Amount]]</f>
        <v>51213.18</v>
      </c>
      <c r="R90" s="138" t="s">
        <v>1040</v>
      </c>
      <c r="S90" s="41">
        <f>IF(Purchase[[#This Row],[Status]]="Cancelled",0,Purchase[[#This Row],[Qty]])</f>
        <v>0</v>
      </c>
      <c r="T90" s="146">
        <f>IF(Purchase[[#This Row],[Status]]="Cancelled",0,Purchase[[#This Row],[Total Amount]])</f>
        <v>0</v>
      </c>
      <c r="U90" s="146">
        <f>SUM(Purchase[Net Amount])</f>
        <v>814985438.68000126</v>
      </c>
    </row>
    <row r="91" spans="1:21" ht="19.5" thickBot="1" x14ac:dyDescent="0.3">
      <c r="A91" s="136" t="s">
        <v>1110</v>
      </c>
      <c r="B91" s="137">
        <v>45662</v>
      </c>
      <c r="C91" s="138" t="s">
        <v>1111</v>
      </c>
      <c r="D91" s="138" t="str">
        <f>VLOOKUP(Purchase[[#This Row],[Supplier ID]],Supplier[#All],2,0)</f>
        <v>Prime Traders</v>
      </c>
      <c r="E91" s="138">
        <f>VLOOKUP(Purchase[[#This Row],[Supplier ID]],Supplier[#All],3,0)</f>
        <v>9689542489</v>
      </c>
      <c r="F91" s="138" t="str">
        <f>VLOOKUP(Purchase[[#This Row],[Supplier ID]],Supplier[#All],4,0)</f>
        <v>Indore</v>
      </c>
      <c r="G91" s="138" t="str">
        <f>VLOOKUP(Purchase[[#This Row],[Supplier ID]],Supplier[#All],5,0)</f>
        <v>MP</v>
      </c>
      <c r="H91" s="138" t="str">
        <f>VLOOKUP(Purchase[[#This Row],[Supplier ID]],Supplier[#All],6,0)</f>
        <v>GST2154521T051</v>
      </c>
      <c r="I91" s="138" t="s">
        <v>137</v>
      </c>
      <c r="J91" s="139">
        <v>9</v>
      </c>
      <c r="K91" s="143">
        <f>VLOOKUP(Purchase[[#This Row],[Product ID]],Product[#All],6,0)</f>
        <v>6071</v>
      </c>
      <c r="L91" s="143">
        <f>Purchase[[#This Row],[Purchase Rate]]*Purchase[[#This Row],[Qty]]</f>
        <v>54639</v>
      </c>
      <c r="M91" s="140">
        <v>0</v>
      </c>
      <c r="N91" s="143">
        <v>0</v>
      </c>
      <c r="O91" s="140">
        <v>0.18</v>
      </c>
      <c r="P91" s="145">
        <f>(Purchase[[#This Row],[Gross Amount]]-Purchase[[#This Row],[Disct %]])*Purchase[[#This Row],[GST %]]</f>
        <v>9835.02</v>
      </c>
      <c r="Q91" s="145">
        <f>Purchase[[#This Row],[Gross Amount]]-Purchase[[#This Row],[Disct Amnt]]+Purchase[[#This Row],[GST Amount]]</f>
        <v>64474.020000000004</v>
      </c>
      <c r="R91" s="138" t="s">
        <v>1019</v>
      </c>
      <c r="S91" s="41">
        <f>IF(Purchase[[#This Row],[Status]]="Cancelled",0,Purchase[[#This Row],[Qty]])</f>
        <v>9</v>
      </c>
      <c r="T91" s="146">
        <f>IF(Purchase[[#This Row],[Status]]="Cancelled",0,Purchase[[#This Row],[Total Amount]])</f>
        <v>64474.020000000004</v>
      </c>
      <c r="U91" s="146">
        <f>SUM(Purchase[Net Amount])</f>
        <v>814985438.68000126</v>
      </c>
    </row>
    <row r="92" spans="1:21" ht="19.5" thickBot="1" x14ac:dyDescent="0.3">
      <c r="A92" s="136" t="s">
        <v>1112</v>
      </c>
      <c r="B92" s="137">
        <v>45662</v>
      </c>
      <c r="C92" s="138" t="s">
        <v>600</v>
      </c>
      <c r="D92" s="138" t="str">
        <f>VLOOKUP(Purchase[[#This Row],[Supplier ID]],Supplier[#All],2,0)</f>
        <v>Prime Suppliers</v>
      </c>
      <c r="E92" s="138">
        <f>VLOOKUP(Purchase[[#This Row],[Supplier ID]],Supplier[#All],3,0)</f>
        <v>9689542483</v>
      </c>
      <c r="F92" s="138" t="str">
        <f>VLOOKUP(Purchase[[#This Row],[Supplier ID]],Supplier[#All],4,0)</f>
        <v>Korba</v>
      </c>
      <c r="G92" s="138" t="str">
        <f>VLOOKUP(Purchase[[#This Row],[Supplier ID]],Supplier[#All],5,0)</f>
        <v>CG</v>
      </c>
      <c r="H92" s="138" t="str">
        <f>VLOOKUP(Purchase[[#This Row],[Supplier ID]],Supplier[#All],6,0)</f>
        <v>GST2154521T045</v>
      </c>
      <c r="I92" s="138" t="s">
        <v>109</v>
      </c>
      <c r="J92" s="139">
        <v>37</v>
      </c>
      <c r="K92" s="143">
        <f>VLOOKUP(Purchase[[#This Row],[Product ID]],Product[#All],6,0)</f>
        <v>1796</v>
      </c>
      <c r="L92" s="143">
        <f>Purchase[[#This Row],[Purchase Rate]]*Purchase[[#This Row],[Qty]]</f>
        <v>66452</v>
      </c>
      <c r="M92" s="140">
        <v>0</v>
      </c>
      <c r="N92" s="143">
        <v>0</v>
      </c>
      <c r="O92" s="140">
        <v>0.18</v>
      </c>
      <c r="P92" s="145">
        <f>(Purchase[[#This Row],[Gross Amount]]-Purchase[[#This Row],[Disct %]])*Purchase[[#This Row],[GST %]]</f>
        <v>11961.359999999999</v>
      </c>
      <c r="Q92" s="145">
        <f>Purchase[[#This Row],[Gross Amount]]-Purchase[[#This Row],[Disct Amnt]]+Purchase[[#This Row],[GST Amount]]</f>
        <v>78413.36</v>
      </c>
      <c r="R92" s="138" t="s">
        <v>1019</v>
      </c>
      <c r="S92" s="41">
        <f>IF(Purchase[[#This Row],[Status]]="Cancelled",0,Purchase[[#This Row],[Qty]])</f>
        <v>37</v>
      </c>
      <c r="T92" s="146">
        <f>IF(Purchase[[#This Row],[Status]]="Cancelled",0,Purchase[[#This Row],[Total Amount]])</f>
        <v>78413.36</v>
      </c>
      <c r="U92" s="146">
        <f>SUM(Purchase[Net Amount])</f>
        <v>814985438.68000126</v>
      </c>
    </row>
    <row r="93" spans="1:21" ht="19.5" thickBot="1" x14ac:dyDescent="0.3">
      <c r="A93" s="136" t="s">
        <v>1113</v>
      </c>
      <c r="B93" s="137">
        <v>45662</v>
      </c>
      <c r="C93" s="138" t="s">
        <v>597</v>
      </c>
      <c r="D93" s="138" t="str">
        <f>VLOOKUP(Purchase[[#This Row],[Supplier ID]],Supplier[#All],2,0)</f>
        <v>Tech Traders</v>
      </c>
      <c r="E93" s="138">
        <f>VLOOKUP(Purchase[[#This Row],[Supplier ID]],Supplier[#All],3,0)</f>
        <v>9689542480</v>
      </c>
      <c r="F93" s="138" t="str">
        <f>VLOOKUP(Purchase[[#This Row],[Supplier ID]],Supplier[#All],4,0)</f>
        <v>Kanpur</v>
      </c>
      <c r="G93" s="138" t="str">
        <f>VLOOKUP(Purchase[[#This Row],[Supplier ID]],Supplier[#All],5,0)</f>
        <v>UP</v>
      </c>
      <c r="H93" s="138" t="str">
        <f>VLOOKUP(Purchase[[#This Row],[Supplier ID]],Supplier[#All],6,0)</f>
        <v>GST2154521T042</v>
      </c>
      <c r="I93" s="138" t="s">
        <v>483</v>
      </c>
      <c r="J93" s="139">
        <v>39</v>
      </c>
      <c r="K93" s="143">
        <f>VLOOKUP(Purchase[[#This Row],[Product ID]],Product[#All],6,0)</f>
        <v>7184</v>
      </c>
      <c r="L93" s="143">
        <f>Purchase[[#This Row],[Purchase Rate]]*Purchase[[#This Row],[Qty]]</f>
        <v>280176</v>
      </c>
      <c r="M93" s="140">
        <v>0</v>
      </c>
      <c r="N93" s="143">
        <v>0</v>
      </c>
      <c r="O93" s="140">
        <v>0.18</v>
      </c>
      <c r="P93" s="145">
        <f>(Purchase[[#This Row],[Gross Amount]]-Purchase[[#This Row],[Disct %]])*Purchase[[#This Row],[GST %]]</f>
        <v>50431.68</v>
      </c>
      <c r="Q93" s="145">
        <f>Purchase[[#This Row],[Gross Amount]]-Purchase[[#This Row],[Disct Amnt]]+Purchase[[#This Row],[GST Amount]]</f>
        <v>330607.68</v>
      </c>
      <c r="R93" s="138" t="s">
        <v>1019</v>
      </c>
      <c r="S93" s="41">
        <f>IF(Purchase[[#This Row],[Status]]="Cancelled",0,Purchase[[#This Row],[Qty]])</f>
        <v>39</v>
      </c>
      <c r="T93" s="146">
        <f>IF(Purchase[[#This Row],[Status]]="Cancelled",0,Purchase[[#This Row],[Total Amount]])</f>
        <v>330607.68</v>
      </c>
      <c r="U93" s="146">
        <f>SUM(Purchase[Net Amount])</f>
        <v>814985438.68000126</v>
      </c>
    </row>
    <row r="94" spans="1:21" ht="19.5" thickBot="1" x14ac:dyDescent="0.3">
      <c r="A94" s="136" t="s">
        <v>1114</v>
      </c>
      <c r="B94" s="137">
        <v>45662</v>
      </c>
      <c r="C94" s="138" t="s">
        <v>597</v>
      </c>
      <c r="D94" s="138" t="str">
        <f>VLOOKUP(Purchase[[#This Row],[Supplier ID]],Supplier[#All],2,0)</f>
        <v>Tech Traders</v>
      </c>
      <c r="E94" s="138">
        <f>VLOOKUP(Purchase[[#This Row],[Supplier ID]],Supplier[#All],3,0)</f>
        <v>9689542480</v>
      </c>
      <c r="F94" s="138" t="str">
        <f>VLOOKUP(Purchase[[#This Row],[Supplier ID]],Supplier[#All],4,0)</f>
        <v>Kanpur</v>
      </c>
      <c r="G94" s="138" t="str">
        <f>VLOOKUP(Purchase[[#This Row],[Supplier ID]],Supplier[#All],5,0)</f>
        <v>UP</v>
      </c>
      <c r="H94" s="138" t="str">
        <f>VLOOKUP(Purchase[[#This Row],[Supplier ID]],Supplier[#All],6,0)</f>
        <v>GST2154521T042</v>
      </c>
      <c r="I94" s="138" t="s">
        <v>206</v>
      </c>
      <c r="J94" s="139">
        <v>24</v>
      </c>
      <c r="K94" s="143">
        <f>VLOOKUP(Purchase[[#This Row],[Product ID]],Product[#All],6,0)</f>
        <v>1892</v>
      </c>
      <c r="L94" s="143">
        <f>Purchase[[#This Row],[Purchase Rate]]*Purchase[[#This Row],[Qty]]</f>
        <v>45408</v>
      </c>
      <c r="M94" s="140">
        <v>0</v>
      </c>
      <c r="N94" s="143">
        <v>0</v>
      </c>
      <c r="O94" s="140">
        <v>0.18</v>
      </c>
      <c r="P94" s="145">
        <f>(Purchase[[#This Row],[Gross Amount]]-Purchase[[#This Row],[Disct %]])*Purchase[[#This Row],[GST %]]</f>
        <v>8173.44</v>
      </c>
      <c r="Q94" s="145">
        <f>Purchase[[#This Row],[Gross Amount]]-Purchase[[#This Row],[Disct Amnt]]+Purchase[[#This Row],[GST Amount]]</f>
        <v>53581.440000000002</v>
      </c>
      <c r="R94" s="138" t="s">
        <v>1019</v>
      </c>
      <c r="S94" s="41">
        <f>IF(Purchase[[#This Row],[Status]]="Cancelled",0,Purchase[[#This Row],[Qty]])</f>
        <v>24</v>
      </c>
      <c r="T94" s="146">
        <f>IF(Purchase[[#This Row],[Status]]="Cancelled",0,Purchase[[#This Row],[Total Amount]])</f>
        <v>53581.440000000002</v>
      </c>
      <c r="U94" s="146">
        <f>SUM(Purchase[Net Amount])</f>
        <v>814985438.68000126</v>
      </c>
    </row>
    <row r="95" spans="1:21" ht="19.5" thickBot="1" x14ac:dyDescent="0.3">
      <c r="A95" s="136" t="s">
        <v>1115</v>
      </c>
      <c r="B95" s="137">
        <v>45662</v>
      </c>
      <c r="C95" s="138" t="s">
        <v>1116</v>
      </c>
      <c r="D95" s="138" t="str">
        <f>VLOOKUP(Purchase[[#This Row],[Supplier ID]],Supplier[#All],2,0)</f>
        <v>Shree Traders</v>
      </c>
      <c r="E95" s="138">
        <f>VLOOKUP(Purchase[[#This Row],[Supplier ID]],Supplier[#All],3,0)</f>
        <v>9689542458</v>
      </c>
      <c r="F95" s="138" t="str">
        <f>VLOOKUP(Purchase[[#This Row],[Supplier ID]],Supplier[#All],4,0)</f>
        <v>Korba</v>
      </c>
      <c r="G95" s="138" t="str">
        <f>VLOOKUP(Purchase[[#This Row],[Supplier ID]],Supplier[#All],5,0)</f>
        <v>CG</v>
      </c>
      <c r="H95" s="138" t="str">
        <f>VLOOKUP(Purchase[[#This Row],[Supplier ID]],Supplier[#All],6,0)</f>
        <v>GST2154521T020</v>
      </c>
      <c r="I95" s="138" t="s">
        <v>273</v>
      </c>
      <c r="J95" s="139">
        <v>32</v>
      </c>
      <c r="K95" s="143">
        <f>VLOOKUP(Purchase[[#This Row],[Product ID]],Product[#All],6,0)</f>
        <v>3783</v>
      </c>
      <c r="L95" s="143">
        <f>Purchase[[#This Row],[Purchase Rate]]*Purchase[[#This Row],[Qty]]</f>
        <v>121056</v>
      </c>
      <c r="M95" s="140">
        <v>0</v>
      </c>
      <c r="N95" s="143">
        <v>0</v>
      </c>
      <c r="O95" s="140">
        <v>0.18</v>
      </c>
      <c r="P95" s="145">
        <f>(Purchase[[#This Row],[Gross Amount]]-Purchase[[#This Row],[Disct %]])*Purchase[[#This Row],[GST %]]</f>
        <v>21790.079999999998</v>
      </c>
      <c r="Q95" s="145">
        <f>Purchase[[#This Row],[Gross Amount]]-Purchase[[#This Row],[Disct Amnt]]+Purchase[[#This Row],[GST Amount]]</f>
        <v>142846.07999999999</v>
      </c>
      <c r="R95" s="138" t="s">
        <v>1019</v>
      </c>
      <c r="S95" s="41">
        <f>IF(Purchase[[#This Row],[Status]]="Cancelled",0,Purchase[[#This Row],[Qty]])</f>
        <v>32</v>
      </c>
      <c r="T95" s="146">
        <f>IF(Purchase[[#This Row],[Status]]="Cancelled",0,Purchase[[#This Row],[Total Amount]])</f>
        <v>142846.07999999999</v>
      </c>
      <c r="U95" s="146">
        <f>SUM(Purchase[Net Amount])</f>
        <v>814985438.68000126</v>
      </c>
    </row>
    <row r="96" spans="1:21" ht="19.5" thickBot="1" x14ac:dyDescent="0.3">
      <c r="A96" s="136" t="s">
        <v>1117</v>
      </c>
      <c r="B96" s="137">
        <v>45662</v>
      </c>
      <c r="C96" s="138" t="s">
        <v>605</v>
      </c>
      <c r="D96" s="138" t="str">
        <f>VLOOKUP(Purchase[[#This Row],[Supplier ID]],Supplier[#All],2,0)</f>
        <v>Star Traders</v>
      </c>
      <c r="E96" s="138">
        <f>VLOOKUP(Purchase[[#This Row],[Supplier ID]],Supplier[#All],3,0)</f>
        <v>9689542488</v>
      </c>
      <c r="F96" s="138" t="str">
        <f>VLOOKUP(Purchase[[#This Row],[Supplier ID]],Supplier[#All],4,0)</f>
        <v>Indore</v>
      </c>
      <c r="G96" s="138" t="str">
        <f>VLOOKUP(Purchase[[#This Row],[Supplier ID]],Supplier[#All],5,0)</f>
        <v>MP</v>
      </c>
      <c r="H96" s="138" t="str">
        <f>VLOOKUP(Purchase[[#This Row],[Supplier ID]],Supplier[#All],6,0)</f>
        <v>GST2154521T050</v>
      </c>
      <c r="I96" s="138" t="s">
        <v>451</v>
      </c>
      <c r="J96" s="139">
        <v>14</v>
      </c>
      <c r="K96" s="143">
        <f>VLOOKUP(Purchase[[#This Row],[Product ID]],Product[#All],6,0)</f>
        <v>28254</v>
      </c>
      <c r="L96" s="143">
        <f>Purchase[[#This Row],[Purchase Rate]]*Purchase[[#This Row],[Qty]]</f>
        <v>395556</v>
      </c>
      <c r="M96" s="140">
        <v>0</v>
      </c>
      <c r="N96" s="143">
        <v>0</v>
      </c>
      <c r="O96" s="140">
        <v>0.18</v>
      </c>
      <c r="P96" s="145">
        <f>(Purchase[[#This Row],[Gross Amount]]-Purchase[[#This Row],[Disct %]])*Purchase[[#This Row],[GST %]]</f>
        <v>71200.08</v>
      </c>
      <c r="Q96" s="145">
        <f>Purchase[[#This Row],[Gross Amount]]-Purchase[[#This Row],[Disct Amnt]]+Purchase[[#This Row],[GST Amount]]</f>
        <v>466756.08</v>
      </c>
      <c r="R96" s="138" t="s">
        <v>1019</v>
      </c>
      <c r="S96" s="41">
        <f>IF(Purchase[[#This Row],[Status]]="Cancelled",0,Purchase[[#This Row],[Qty]])</f>
        <v>14</v>
      </c>
      <c r="T96" s="146">
        <f>IF(Purchase[[#This Row],[Status]]="Cancelled",0,Purchase[[#This Row],[Total Amount]])</f>
        <v>466756.08</v>
      </c>
      <c r="U96" s="146">
        <f>SUM(Purchase[Net Amount])</f>
        <v>814985438.68000126</v>
      </c>
    </row>
    <row r="97" spans="1:21" ht="19.5" thickBot="1" x14ac:dyDescent="0.3">
      <c r="A97" s="136" t="s">
        <v>1118</v>
      </c>
      <c r="B97" s="137">
        <v>45662</v>
      </c>
      <c r="C97" s="138" t="s">
        <v>578</v>
      </c>
      <c r="D97" s="138" t="str">
        <f>VLOOKUP(Purchase[[#This Row],[Supplier ID]],Supplier[#All],2,0)</f>
        <v>Shree Computers</v>
      </c>
      <c r="E97" s="138">
        <f>VLOOKUP(Purchase[[#This Row],[Supplier ID]],Supplier[#All],3,0)</f>
        <v>9689542462</v>
      </c>
      <c r="F97" s="138" t="str">
        <f>VLOOKUP(Purchase[[#This Row],[Supplier ID]],Supplier[#All],4,0)</f>
        <v>Korba</v>
      </c>
      <c r="G97" s="138" t="str">
        <f>VLOOKUP(Purchase[[#This Row],[Supplier ID]],Supplier[#All],5,0)</f>
        <v>CG</v>
      </c>
      <c r="H97" s="138" t="str">
        <f>VLOOKUP(Purchase[[#This Row],[Supplier ID]],Supplier[#All],6,0)</f>
        <v>GST2154521T024</v>
      </c>
      <c r="I97" s="138" t="s">
        <v>535</v>
      </c>
      <c r="J97" s="139">
        <v>19</v>
      </c>
      <c r="K97" s="143">
        <f>VLOOKUP(Purchase[[#This Row],[Product ID]],Product[#All],6,0)</f>
        <v>679</v>
      </c>
      <c r="L97" s="143">
        <f>Purchase[[#This Row],[Purchase Rate]]*Purchase[[#This Row],[Qty]]</f>
        <v>12901</v>
      </c>
      <c r="M97" s="140">
        <v>0</v>
      </c>
      <c r="N97" s="143">
        <v>0</v>
      </c>
      <c r="O97" s="140">
        <v>0.18</v>
      </c>
      <c r="P97" s="145">
        <f>(Purchase[[#This Row],[Gross Amount]]-Purchase[[#This Row],[Disct %]])*Purchase[[#This Row],[GST %]]</f>
        <v>2322.1799999999998</v>
      </c>
      <c r="Q97" s="145">
        <f>Purchase[[#This Row],[Gross Amount]]-Purchase[[#This Row],[Disct Amnt]]+Purchase[[#This Row],[GST Amount]]</f>
        <v>15223.18</v>
      </c>
      <c r="R97" s="138" t="s">
        <v>1019</v>
      </c>
      <c r="S97" s="41">
        <f>IF(Purchase[[#This Row],[Status]]="Cancelled",0,Purchase[[#This Row],[Qty]])</f>
        <v>19</v>
      </c>
      <c r="T97" s="146">
        <f>IF(Purchase[[#This Row],[Status]]="Cancelled",0,Purchase[[#This Row],[Total Amount]])</f>
        <v>15223.18</v>
      </c>
      <c r="U97" s="146">
        <f>SUM(Purchase[Net Amount])</f>
        <v>814985438.68000126</v>
      </c>
    </row>
    <row r="98" spans="1:21" ht="19.5" thickBot="1" x14ac:dyDescent="0.3">
      <c r="A98" s="136" t="s">
        <v>1119</v>
      </c>
      <c r="B98" s="137">
        <v>45662</v>
      </c>
      <c r="C98" s="138" t="s">
        <v>607</v>
      </c>
      <c r="D98" s="138" t="str">
        <f>VLOOKUP(Purchase[[#This Row],[Supplier ID]],Supplier[#All],2,0)</f>
        <v>Global Distributors</v>
      </c>
      <c r="E98" s="138">
        <f>VLOOKUP(Purchase[[#This Row],[Supplier ID]],Supplier[#All],3,0)</f>
        <v>9689542490</v>
      </c>
      <c r="F98" s="138" t="str">
        <f>VLOOKUP(Purchase[[#This Row],[Supplier ID]],Supplier[#All],4,0)</f>
        <v>Kanpur</v>
      </c>
      <c r="G98" s="138" t="str">
        <f>VLOOKUP(Purchase[[#This Row],[Supplier ID]],Supplier[#All],5,0)</f>
        <v>UP</v>
      </c>
      <c r="H98" s="138" t="str">
        <f>VLOOKUP(Purchase[[#This Row],[Supplier ID]],Supplier[#All],6,0)</f>
        <v>GST2154521T052</v>
      </c>
      <c r="I98" s="138" t="s">
        <v>354</v>
      </c>
      <c r="J98" s="139">
        <v>39</v>
      </c>
      <c r="K98" s="143">
        <f>VLOOKUP(Purchase[[#This Row],[Product ID]],Product[#All],6,0)</f>
        <v>9951</v>
      </c>
      <c r="L98" s="143">
        <f>Purchase[[#This Row],[Purchase Rate]]*Purchase[[#This Row],[Qty]]</f>
        <v>388089</v>
      </c>
      <c r="M98" s="140">
        <v>0</v>
      </c>
      <c r="N98" s="143">
        <v>0</v>
      </c>
      <c r="O98" s="140">
        <v>0.18</v>
      </c>
      <c r="P98" s="145">
        <f>(Purchase[[#This Row],[Gross Amount]]-Purchase[[#This Row],[Disct %]])*Purchase[[#This Row],[GST %]]</f>
        <v>69856.02</v>
      </c>
      <c r="Q98" s="145">
        <f>Purchase[[#This Row],[Gross Amount]]-Purchase[[#This Row],[Disct Amnt]]+Purchase[[#This Row],[GST Amount]]</f>
        <v>457945.02</v>
      </c>
      <c r="R98" s="138" t="s">
        <v>1019</v>
      </c>
      <c r="S98" s="41">
        <f>IF(Purchase[[#This Row],[Status]]="Cancelled",0,Purchase[[#This Row],[Qty]])</f>
        <v>39</v>
      </c>
      <c r="T98" s="146">
        <f>IF(Purchase[[#This Row],[Status]]="Cancelled",0,Purchase[[#This Row],[Total Amount]])</f>
        <v>457945.02</v>
      </c>
      <c r="U98" s="146">
        <f>SUM(Purchase[Net Amount])</f>
        <v>814985438.68000126</v>
      </c>
    </row>
    <row r="99" spans="1:21" ht="19.5" thickBot="1" x14ac:dyDescent="0.3">
      <c r="A99" s="136" t="s">
        <v>1120</v>
      </c>
      <c r="B99" s="137">
        <v>45662</v>
      </c>
      <c r="C99" s="138" t="s">
        <v>610</v>
      </c>
      <c r="D99" s="138" t="str">
        <f>VLOOKUP(Purchase[[#This Row],[Supplier ID]],Supplier[#All],2,0)</f>
        <v>Shree Electronics</v>
      </c>
      <c r="E99" s="138">
        <f>VLOOKUP(Purchase[[#This Row],[Supplier ID]],Supplier[#All],3,0)</f>
        <v>9689542493</v>
      </c>
      <c r="F99" s="138" t="str">
        <f>VLOOKUP(Purchase[[#This Row],[Supplier ID]],Supplier[#All],4,0)</f>
        <v>Kanpur</v>
      </c>
      <c r="G99" s="138" t="str">
        <f>VLOOKUP(Purchase[[#This Row],[Supplier ID]],Supplier[#All],5,0)</f>
        <v>UP</v>
      </c>
      <c r="H99" s="138" t="str">
        <f>VLOOKUP(Purchase[[#This Row],[Supplier ID]],Supplier[#All],6,0)</f>
        <v>GST2154521T055</v>
      </c>
      <c r="I99" s="138" t="s">
        <v>376</v>
      </c>
      <c r="J99" s="139">
        <v>2</v>
      </c>
      <c r="K99" s="143">
        <f>VLOOKUP(Purchase[[#This Row],[Product ID]],Product[#All],6,0)</f>
        <v>29934</v>
      </c>
      <c r="L99" s="143">
        <f>Purchase[[#This Row],[Purchase Rate]]*Purchase[[#This Row],[Qty]]</f>
        <v>59868</v>
      </c>
      <c r="M99" s="140">
        <v>0</v>
      </c>
      <c r="N99" s="143">
        <v>0</v>
      </c>
      <c r="O99" s="140">
        <v>0.18</v>
      </c>
      <c r="P99" s="145">
        <f>(Purchase[[#This Row],[Gross Amount]]-Purchase[[#This Row],[Disct %]])*Purchase[[#This Row],[GST %]]</f>
        <v>10776.24</v>
      </c>
      <c r="Q99" s="145">
        <f>Purchase[[#This Row],[Gross Amount]]-Purchase[[#This Row],[Disct Amnt]]+Purchase[[#This Row],[GST Amount]]</f>
        <v>70644.240000000005</v>
      </c>
      <c r="R99" s="138" t="s">
        <v>1019</v>
      </c>
      <c r="S99" s="41">
        <f>IF(Purchase[[#This Row],[Status]]="Cancelled",0,Purchase[[#This Row],[Qty]])</f>
        <v>2</v>
      </c>
      <c r="T99" s="146">
        <f>IF(Purchase[[#This Row],[Status]]="Cancelled",0,Purchase[[#This Row],[Total Amount]])</f>
        <v>70644.240000000005</v>
      </c>
      <c r="U99" s="146">
        <f>SUM(Purchase[Net Amount])</f>
        <v>814985438.68000126</v>
      </c>
    </row>
    <row r="100" spans="1:21" ht="19.5" thickBot="1" x14ac:dyDescent="0.3">
      <c r="A100" s="136" t="s">
        <v>1121</v>
      </c>
      <c r="B100" s="137">
        <v>45662</v>
      </c>
      <c r="C100" s="138" t="s">
        <v>597</v>
      </c>
      <c r="D100" s="138" t="str">
        <f>VLOOKUP(Purchase[[#This Row],[Supplier ID]],Supplier[#All],2,0)</f>
        <v>Tech Traders</v>
      </c>
      <c r="E100" s="138">
        <f>VLOOKUP(Purchase[[#This Row],[Supplier ID]],Supplier[#All],3,0)</f>
        <v>9689542480</v>
      </c>
      <c r="F100" s="138" t="str">
        <f>VLOOKUP(Purchase[[#This Row],[Supplier ID]],Supplier[#All],4,0)</f>
        <v>Kanpur</v>
      </c>
      <c r="G100" s="138" t="str">
        <f>VLOOKUP(Purchase[[#This Row],[Supplier ID]],Supplier[#All],5,0)</f>
        <v>UP</v>
      </c>
      <c r="H100" s="138" t="str">
        <f>VLOOKUP(Purchase[[#This Row],[Supplier ID]],Supplier[#All],6,0)</f>
        <v>GST2154521T042</v>
      </c>
      <c r="I100" s="138" t="s">
        <v>363</v>
      </c>
      <c r="J100" s="139">
        <v>26</v>
      </c>
      <c r="K100" s="143">
        <f>VLOOKUP(Purchase[[#This Row],[Product ID]],Product[#All],6,0)</f>
        <v>30731</v>
      </c>
      <c r="L100" s="143">
        <f>Purchase[[#This Row],[Purchase Rate]]*Purchase[[#This Row],[Qty]]</f>
        <v>799006</v>
      </c>
      <c r="M100" s="140">
        <v>0</v>
      </c>
      <c r="N100" s="143">
        <v>0</v>
      </c>
      <c r="O100" s="140">
        <v>0.18</v>
      </c>
      <c r="P100" s="145">
        <f>(Purchase[[#This Row],[Gross Amount]]-Purchase[[#This Row],[Disct %]])*Purchase[[#This Row],[GST %]]</f>
        <v>143821.07999999999</v>
      </c>
      <c r="Q100" s="145">
        <f>Purchase[[#This Row],[Gross Amount]]-Purchase[[#This Row],[Disct Amnt]]+Purchase[[#This Row],[GST Amount]]</f>
        <v>942827.08</v>
      </c>
      <c r="R100" s="138" t="s">
        <v>1019</v>
      </c>
      <c r="S100" s="41">
        <f>IF(Purchase[[#This Row],[Status]]="Cancelled",0,Purchase[[#This Row],[Qty]])</f>
        <v>26</v>
      </c>
      <c r="T100" s="146">
        <f>IF(Purchase[[#This Row],[Status]]="Cancelled",0,Purchase[[#This Row],[Total Amount]])</f>
        <v>942827.08</v>
      </c>
      <c r="U100" s="146">
        <f>SUM(Purchase[Net Amount])</f>
        <v>814985438.68000126</v>
      </c>
    </row>
    <row r="101" spans="1:21" ht="19.5" thickBot="1" x14ac:dyDescent="0.3">
      <c r="A101" s="136" t="s">
        <v>1122</v>
      </c>
      <c r="B101" s="137">
        <v>45662</v>
      </c>
      <c r="C101" s="138" t="s">
        <v>599</v>
      </c>
      <c r="D101" s="138" t="str">
        <f>VLOOKUP(Purchase[[#This Row],[Supplier ID]],Supplier[#All],2,0)</f>
        <v>National Distributors</v>
      </c>
      <c r="E101" s="138">
        <f>VLOOKUP(Purchase[[#This Row],[Supplier ID]],Supplier[#All],3,0)</f>
        <v>9689542482</v>
      </c>
      <c r="F101" s="138" t="str">
        <f>VLOOKUP(Purchase[[#This Row],[Supplier ID]],Supplier[#All],4,0)</f>
        <v>Kanpur</v>
      </c>
      <c r="G101" s="138" t="str">
        <f>VLOOKUP(Purchase[[#This Row],[Supplier ID]],Supplier[#All],5,0)</f>
        <v>UP</v>
      </c>
      <c r="H101" s="138" t="str">
        <f>VLOOKUP(Purchase[[#This Row],[Supplier ID]],Supplier[#All],6,0)</f>
        <v>GST2154521T044</v>
      </c>
      <c r="I101" s="138" t="s">
        <v>364</v>
      </c>
      <c r="J101" s="139">
        <v>4</v>
      </c>
      <c r="K101" s="143">
        <f>VLOOKUP(Purchase[[#This Row],[Product ID]],Product[#All],6,0)</f>
        <v>36391</v>
      </c>
      <c r="L101" s="143">
        <f>Purchase[[#This Row],[Purchase Rate]]*Purchase[[#This Row],[Qty]]</f>
        <v>145564</v>
      </c>
      <c r="M101" s="140">
        <v>0</v>
      </c>
      <c r="N101" s="143">
        <v>0</v>
      </c>
      <c r="O101" s="140">
        <v>0.18</v>
      </c>
      <c r="P101" s="145">
        <f>(Purchase[[#This Row],[Gross Amount]]-Purchase[[#This Row],[Disct %]])*Purchase[[#This Row],[GST %]]</f>
        <v>26201.52</v>
      </c>
      <c r="Q101" s="145">
        <f>Purchase[[#This Row],[Gross Amount]]-Purchase[[#This Row],[Disct Amnt]]+Purchase[[#This Row],[GST Amount]]</f>
        <v>171765.52</v>
      </c>
      <c r="R101" s="138" t="s">
        <v>1019</v>
      </c>
      <c r="S101" s="41">
        <f>IF(Purchase[[#This Row],[Status]]="Cancelled",0,Purchase[[#This Row],[Qty]])</f>
        <v>4</v>
      </c>
      <c r="T101" s="146">
        <f>IF(Purchase[[#This Row],[Status]]="Cancelled",0,Purchase[[#This Row],[Total Amount]])</f>
        <v>171765.52</v>
      </c>
      <c r="U101" s="146">
        <f>SUM(Purchase[Net Amount])</f>
        <v>814985438.68000126</v>
      </c>
    </row>
    <row r="102" spans="1:21" ht="19.5" thickBot="1" x14ac:dyDescent="0.3">
      <c r="A102" s="136" t="s">
        <v>1123</v>
      </c>
      <c r="B102" s="137">
        <v>45663</v>
      </c>
      <c r="C102" s="138" t="s">
        <v>582</v>
      </c>
      <c r="D102" s="138" t="str">
        <f>VLOOKUP(Purchase[[#This Row],[Supplier ID]],Supplier[#All],2,0)</f>
        <v>Tech Distributors</v>
      </c>
      <c r="E102" s="138">
        <f>VLOOKUP(Purchase[[#This Row],[Supplier ID]],Supplier[#All],3,0)</f>
        <v>9689542466</v>
      </c>
      <c r="F102" s="138" t="str">
        <f>VLOOKUP(Purchase[[#This Row],[Supplier ID]],Supplier[#All],4,0)</f>
        <v>Indore</v>
      </c>
      <c r="G102" s="138" t="str">
        <f>VLOOKUP(Purchase[[#This Row],[Supplier ID]],Supplier[#All],5,0)</f>
        <v>MP</v>
      </c>
      <c r="H102" s="138" t="str">
        <f>VLOOKUP(Purchase[[#This Row],[Supplier ID]],Supplier[#All],6,0)</f>
        <v>GST2154521T028</v>
      </c>
      <c r="I102" s="138" t="s">
        <v>408</v>
      </c>
      <c r="J102" s="139">
        <v>13</v>
      </c>
      <c r="K102" s="143">
        <f>VLOOKUP(Purchase[[#This Row],[Product ID]],Product[#All],6,0)</f>
        <v>79437</v>
      </c>
      <c r="L102" s="143">
        <f>Purchase[[#This Row],[Purchase Rate]]*Purchase[[#This Row],[Qty]]</f>
        <v>1032681</v>
      </c>
      <c r="M102" s="140">
        <v>0</v>
      </c>
      <c r="N102" s="143">
        <v>0</v>
      </c>
      <c r="O102" s="140">
        <v>0.18</v>
      </c>
      <c r="P102" s="145">
        <f>(Purchase[[#This Row],[Gross Amount]]-Purchase[[#This Row],[Disct %]])*Purchase[[#This Row],[GST %]]</f>
        <v>185882.58</v>
      </c>
      <c r="Q102" s="145">
        <f>Purchase[[#This Row],[Gross Amount]]-Purchase[[#This Row],[Disct Amnt]]+Purchase[[#This Row],[GST Amount]]</f>
        <v>1218563.58</v>
      </c>
      <c r="R102" s="138" t="s">
        <v>1019</v>
      </c>
      <c r="S102" s="41">
        <f>IF(Purchase[[#This Row],[Status]]="Cancelled",0,Purchase[[#This Row],[Qty]])</f>
        <v>13</v>
      </c>
      <c r="T102" s="146">
        <f>IF(Purchase[[#This Row],[Status]]="Cancelled",0,Purchase[[#This Row],[Total Amount]])</f>
        <v>1218563.58</v>
      </c>
      <c r="U102" s="146">
        <f>SUM(Purchase[Net Amount])</f>
        <v>814985438.68000126</v>
      </c>
    </row>
    <row r="103" spans="1:21" ht="19.5" thickBot="1" x14ac:dyDescent="0.3">
      <c r="A103" s="136" t="s">
        <v>1124</v>
      </c>
      <c r="B103" s="137">
        <v>45663</v>
      </c>
      <c r="C103" s="138" t="s">
        <v>597</v>
      </c>
      <c r="D103" s="138" t="str">
        <f>VLOOKUP(Purchase[[#This Row],[Supplier ID]],Supplier[#All],2,0)</f>
        <v>Tech Traders</v>
      </c>
      <c r="E103" s="138">
        <f>VLOOKUP(Purchase[[#This Row],[Supplier ID]],Supplier[#All],3,0)</f>
        <v>9689542480</v>
      </c>
      <c r="F103" s="138" t="str">
        <f>VLOOKUP(Purchase[[#This Row],[Supplier ID]],Supplier[#All],4,0)</f>
        <v>Kanpur</v>
      </c>
      <c r="G103" s="138" t="str">
        <f>VLOOKUP(Purchase[[#This Row],[Supplier ID]],Supplier[#All],5,0)</f>
        <v>UP</v>
      </c>
      <c r="H103" s="138" t="str">
        <f>VLOOKUP(Purchase[[#This Row],[Supplier ID]],Supplier[#All],6,0)</f>
        <v>GST2154521T042</v>
      </c>
      <c r="I103" s="138" t="s">
        <v>216</v>
      </c>
      <c r="J103" s="139">
        <v>24</v>
      </c>
      <c r="K103" s="143">
        <f>VLOOKUP(Purchase[[#This Row],[Product ID]],Product[#All],6,0)</f>
        <v>950</v>
      </c>
      <c r="L103" s="143">
        <f>Purchase[[#This Row],[Purchase Rate]]*Purchase[[#This Row],[Qty]]</f>
        <v>22800</v>
      </c>
      <c r="M103" s="140">
        <v>0</v>
      </c>
      <c r="N103" s="143">
        <v>0</v>
      </c>
      <c r="O103" s="140">
        <v>0.18</v>
      </c>
      <c r="P103" s="145">
        <f>(Purchase[[#This Row],[Gross Amount]]-Purchase[[#This Row],[Disct %]])*Purchase[[#This Row],[GST %]]</f>
        <v>4104</v>
      </c>
      <c r="Q103" s="145">
        <f>Purchase[[#This Row],[Gross Amount]]-Purchase[[#This Row],[Disct Amnt]]+Purchase[[#This Row],[GST Amount]]</f>
        <v>26904</v>
      </c>
      <c r="R103" s="138" t="s">
        <v>1019</v>
      </c>
      <c r="S103" s="41">
        <f>IF(Purchase[[#This Row],[Status]]="Cancelled",0,Purchase[[#This Row],[Qty]])</f>
        <v>24</v>
      </c>
      <c r="T103" s="146">
        <f>IF(Purchase[[#This Row],[Status]]="Cancelled",0,Purchase[[#This Row],[Total Amount]])</f>
        <v>26904</v>
      </c>
      <c r="U103" s="146">
        <f>SUM(Purchase[Net Amount])</f>
        <v>814985438.68000126</v>
      </c>
    </row>
    <row r="104" spans="1:21" ht="19.5" thickBot="1" x14ac:dyDescent="0.3">
      <c r="A104" s="136" t="s">
        <v>1125</v>
      </c>
      <c r="B104" s="137">
        <v>45663</v>
      </c>
      <c r="C104" s="138" t="s">
        <v>610</v>
      </c>
      <c r="D104" s="138" t="str">
        <f>VLOOKUP(Purchase[[#This Row],[Supplier ID]],Supplier[#All],2,0)</f>
        <v>Shree Electronics</v>
      </c>
      <c r="E104" s="138">
        <f>VLOOKUP(Purchase[[#This Row],[Supplier ID]],Supplier[#All],3,0)</f>
        <v>9689542493</v>
      </c>
      <c r="F104" s="138" t="str">
        <f>VLOOKUP(Purchase[[#This Row],[Supplier ID]],Supplier[#All],4,0)</f>
        <v>Kanpur</v>
      </c>
      <c r="G104" s="138" t="str">
        <f>VLOOKUP(Purchase[[#This Row],[Supplier ID]],Supplier[#All],5,0)</f>
        <v>UP</v>
      </c>
      <c r="H104" s="138" t="str">
        <f>VLOOKUP(Purchase[[#This Row],[Supplier ID]],Supplier[#All],6,0)</f>
        <v>GST2154521T055</v>
      </c>
      <c r="I104" s="138" t="s">
        <v>523</v>
      </c>
      <c r="J104" s="139">
        <v>5</v>
      </c>
      <c r="K104" s="143">
        <f>VLOOKUP(Purchase[[#This Row],[Product ID]],Product[#All],6,0)</f>
        <v>1062</v>
      </c>
      <c r="L104" s="143">
        <f>Purchase[[#This Row],[Purchase Rate]]*Purchase[[#This Row],[Qty]]</f>
        <v>5310</v>
      </c>
      <c r="M104" s="140">
        <v>0</v>
      </c>
      <c r="N104" s="143">
        <v>0</v>
      </c>
      <c r="O104" s="140">
        <v>0.18</v>
      </c>
      <c r="P104" s="145">
        <f>(Purchase[[#This Row],[Gross Amount]]-Purchase[[#This Row],[Disct %]])*Purchase[[#This Row],[GST %]]</f>
        <v>955.8</v>
      </c>
      <c r="Q104" s="145">
        <f>Purchase[[#This Row],[Gross Amount]]-Purchase[[#This Row],[Disct Amnt]]+Purchase[[#This Row],[GST Amount]]</f>
        <v>6265.8</v>
      </c>
      <c r="R104" s="138" t="s">
        <v>1019</v>
      </c>
      <c r="S104" s="41">
        <f>IF(Purchase[[#This Row],[Status]]="Cancelled",0,Purchase[[#This Row],[Qty]])</f>
        <v>5</v>
      </c>
      <c r="T104" s="146">
        <f>IF(Purchase[[#This Row],[Status]]="Cancelled",0,Purchase[[#This Row],[Total Amount]])</f>
        <v>6265.8</v>
      </c>
      <c r="U104" s="146">
        <f>SUM(Purchase[Net Amount])</f>
        <v>814985438.68000126</v>
      </c>
    </row>
    <row r="105" spans="1:21" ht="19.5" thickBot="1" x14ac:dyDescent="0.3">
      <c r="A105" s="136" t="s">
        <v>1126</v>
      </c>
      <c r="B105" s="137">
        <v>45663</v>
      </c>
      <c r="C105" s="138" t="s">
        <v>570</v>
      </c>
      <c r="D105" s="138" t="str">
        <f>VLOOKUP(Purchase[[#This Row],[Supplier ID]],Supplier[#All],2,0)</f>
        <v>Prime Traders</v>
      </c>
      <c r="E105" s="138">
        <f>VLOOKUP(Purchase[[#This Row],[Supplier ID]],Supplier[#All],3,0)</f>
        <v>9689542456</v>
      </c>
      <c r="F105" s="138" t="str">
        <f>VLOOKUP(Purchase[[#This Row],[Supplier ID]],Supplier[#All],4,0)</f>
        <v>Indore</v>
      </c>
      <c r="G105" s="138" t="str">
        <f>VLOOKUP(Purchase[[#This Row],[Supplier ID]],Supplier[#All],5,0)</f>
        <v>MP</v>
      </c>
      <c r="H105" s="138" t="str">
        <f>VLOOKUP(Purchase[[#This Row],[Supplier ID]],Supplier[#All],6,0)</f>
        <v>GST2154521T018</v>
      </c>
      <c r="I105" s="138" t="s">
        <v>512</v>
      </c>
      <c r="J105" s="139">
        <v>40</v>
      </c>
      <c r="K105" s="143">
        <f>VLOOKUP(Purchase[[#This Row],[Product ID]],Product[#All],6,0)</f>
        <v>4495</v>
      </c>
      <c r="L105" s="143">
        <f>Purchase[[#This Row],[Purchase Rate]]*Purchase[[#This Row],[Qty]]</f>
        <v>179800</v>
      </c>
      <c r="M105" s="140">
        <v>0</v>
      </c>
      <c r="N105" s="143">
        <v>0</v>
      </c>
      <c r="O105" s="140">
        <v>0.18</v>
      </c>
      <c r="P105" s="145">
        <f>(Purchase[[#This Row],[Gross Amount]]-Purchase[[#This Row],[Disct %]])*Purchase[[#This Row],[GST %]]</f>
        <v>32364</v>
      </c>
      <c r="Q105" s="145">
        <f>Purchase[[#This Row],[Gross Amount]]-Purchase[[#This Row],[Disct Amnt]]+Purchase[[#This Row],[GST Amount]]</f>
        <v>212164</v>
      </c>
      <c r="R105" s="138" t="s">
        <v>1019</v>
      </c>
      <c r="S105" s="41">
        <f>IF(Purchase[[#This Row],[Status]]="Cancelled",0,Purchase[[#This Row],[Qty]])</f>
        <v>40</v>
      </c>
      <c r="T105" s="146">
        <f>IF(Purchase[[#This Row],[Status]]="Cancelled",0,Purchase[[#This Row],[Total Amount]])</f>
        <v>212164</v>
      </c>
      <c r="U105" s="146">
        <f>SUM(Purchase[Net Amount])</f>
        <v>814985438.68000126</v>
      </c>
    </row>
    <row r="106" spans="1:21" ht="19.5" thickBot="1" x14ac:dyDescent="0.3">
      <c r="A106" s="136" t="s">
        <v>1127</v>
      </c>
      <c r="B106" s="137">
        <v>45663</v>
      </c>
      <c r="C106" s="138" t="s">
        <v>588</v>
      </c>
      <c r="D106" s="138" t="str">
        <f>VLOOKUP(Purchase[[#This Row],[Supplier ID]],Supplier[#All],2,0)</f>
        <v>Star Electronics</v>
      </c>
      <c r="E106" s="138">
        <f>VLOOKUP(Purchase[[#This Row],[Supplier ID]],Supplier[#All],3,0)</f>
        <v>9689542472</v>
      </c>
      <c r="F106" s="138" t="str">
        <f>VLOOKUP(Purchase[[#This Row],[Supplier ID]],Supplier[#All],4,0)</f>
        <v>Korba</v>
      </c>
      <c r="G106" s="138" t="str">
        <f>VLOOKUP(Purchase[[#This Row],[Supplier ID]],Supplier[#All],5,0)</f>
        <v>CG</v>
      </c>
      <c r="H106" s="138" t="str">
        <f>VLOOKUP(Purchase[[#This Row],[Supplier ID]],Supplier[#All],6,0)</f>
        <v>GST2154521T034</v>
      </c>
      <c r="I106" s="138" t="s">
        <v>463</v>
      </c>
      <c r="J106" s="139">
        <v>23</v>
      </c>
      <c r="K106" s="143">
        <f>VLOOKUP(Purchase[[#This Row],[Product ID]],Product[#All],6,0)</f>
        <v>8739</v>
      </c>
      <c r="L106" s="143">
        <f>Purchase[[#This Row],[Purchase Rate]]*Purchase[[#This Row],[Qty]]</f>
        <v>200997</v>
      </c>
      <c r="M106" s="140">
        <v>0</v>
      </c>
      <c r="N106" s="143">
        <v>0</v>
      </c>
      <c r="O106" s="140">
        <v>0.18</v>
      </c>
      <c r="P106" s="145">
        <f>(Purchase[[#This Row],[Gross Amount]]-Purchase[[#This Row],[Disct %]])*Purchase[[#This Row],[GST %]]</f>
        <v>36179.46</v>
      </c>
      <c r="Q106" s="145">
        <f>Purchase[[#This Row],[Gross Amount]]-Purchase[[#This Row],[Disct Amnt]]+Purchase[[#This Row],[GST Amount]]</f>
        <v>237176.46</v>
      </c>
      <c r="R106" s="138" t="s">
        <v>1019</v>
      </c>
      <c r="S106" s="41">
        <f>IF(Purchase[[#This Row],[Status]]="Cancelled",0,Purchase[[#This Row],[Qty]])</f>
        <v>23</v>
      </c>
      <c r="T106" s="146">
        <f>IF(Purchase[[#This Row],[Status]]="Cancelled",0,Purchase[[#This Row],[Total Amount]])</f>
        <v>237176.46</v>
      </c>
      <c r="U106" s="146">
        <f>SUM(Purchase[Net Amount])</f>
        <v>814985438.68000126</v>
      </c>
    </row>
    <row r="107" spans="1:21" ht="19.5" thickBot="1" x14ac:dyDescent="0.3">
      <c r="A107" s="136" t="s">
        <v>1128</v>
      </c>
      <c r="B107" s="137">
        <v>45663</v>
      </c>
      <c r="C107" s="138" t="s">
        <v>588</v>
      </c>
      <c r="D107" s="138" t="str">
        <f>VLOOKUP(Purchase[[#This Row],[Supplier ID]],Supplier[#All],2,0)</f>
        <v>Star Electronics</v>
      </c>
      <c r="E107" s="138">
        <f>VLOOKUP(Purchase[[#This Row],[Supplier ID]],Supplier[#All],3,0)</f>
        <v>9689542472</v>
      </c>
      <c r="F107" s="138" t="str">
        <f>VLOOKUP(Purchase[[#This Row],[Supplier ID]],Supplier[#All],4,0)</f>
        <v>Korba</v>
      </c>
      <c r="G107" s="138" t="str">
        <f>VLOOKUP(Purchase[[#This Row],[Supplier ID]],Supplier[#All],5,0)</f>
        <v>CG</v>
      </c>
      <c r="H107" s="138" t="str">
        <f>VLOOKUP(Purchase[[#This Row],[Supplier ID]],Supplier[#All],6,0)</f>
        <v>GST2154521T034</v>
      </c>
      <c r="I107" s="138" t="s">
        <v>240</v>
      </c>
      <c r="J107" s="139">
        <v>39</v>
      </c>
      <c r="K107" s="143">
        <f>VLOOKUP(Purchase[[#This Row],[Product ID]],Product[#All],6,0)</f>
        <v>2844</v>
      </c>
      <c r="L107" s="143">
        <f>Purchase[[#This Row],[Purchase Rate]]*Purchase[[#This Row],[Qty]]</f>
        <v>110916</v>
      </c>
      <c r="M107" s="140">
        <v>0</v>
      </c>
      <c r="N107" s="143">
        <v>0</v>
      </c>
      <c r="O107" s="140">
        <v>0.18</v>
      </c>
      <c r="P107" s="145">
        <f>(Purchase[[#This Row],[Gross Amount]]-Purchase[[#This Row],[Disct %]])*Purchase[[#This Row],[GST %]]</f>
        <v>19964.88</v>
      </c>
      <c r="Q107" s="145">
        <f>Purchase[[#This Row],[Gross Amount]]-Purchase[[#This Row],[Disct Amnt]]+Purchase[[#This Row],[GST Amount]]</f>
        <v>130880.88</v>
      </c>
      <c r="R107" s="138" t="s">
        <v>1019</v>
      </c>
      <c r="S107" s="41">
        <f>IF(Purchase[[#This Row],[Status]]="Cancelled",0,Purchase[[#This Row],[Qty]])</f>
        <v>39</v>
      </c>
      <c r="T107" s="146">
        <f>IF(Purchase[[#This Row],[Status]]="Cancelled",0,Purchase[[#This Row],[Total Amount]])</f>
        <v>130880.88</v>
      </c>
      <c r="U107" s="146">
        <f>SUM(Purchase[Net Amount])</f>
        <v>814985438.68000126</v>
      </c>
    </row>
    <row r="108" spans="1:21" ht="19.5" thickBot="1" x14ac:dyDescent="0.3">
      <c r="A108" s="136" t="s">
        <v>1129</v>
      </c>
      <c r="B108" s="137">
        <v>45663</v>
      </c>
      <c r="C108" s="138" t="s">
        <v>586</v>
      </c>
      <c r="D108" s="138" t="str">
        <f>VLOOKUP(Purchase[[#This Row],[Supplier ID]],Supplier[#All],2,0)</f>
        <v>Maa Traders</v>
      </c>
      <c r="E108" s="138">
        <f>VLOOKUP(Purchase[[#This Row],[Supplier ID]],Supplier[#All],3,0)</f>
        <v>9689542470</v>
      </c>
      <c r="F108" s="138" t="str">
        <f>VLOOKUP(Purchase[[#This Row],[Supplier ID]],Supplier[#All],4,0)</f>
        <v>Kanpur</v>
      </c>
      <c r="G108" s="138" t="str">
        <f>VLOOKUP(Purchase[[#This Row],[Supplier ID]],Supplier[#All],5,0)</f>
        <v>UP</v>
      </c>
      <c r="H108" s="138" t="str">
        <f>VLOOKUP(Purchase[[#This Row],[Supplier ID]],Supplier[#All],6,0)</f>
        <v>GST2154521T032</v>
      </c>
      <c r="I108" s="138" t="s">
        <v>377</v>
      </c>
      <c r="J108" s="139">
        <v>3</v>
      </c>
      <c r="K108" s="143">
        <f>VLOOKUP(Purchase[[#This Row],[Product ID]],Product[#All],6,0)</f>
        <v>54386</v>
      </c>
      <c r="L108" s="143">
        <f>Purchase[[#This Row],[Purchase Rate]]*Purchase[[#This Row],[Qty]]</f>
        <v>163158</v>
      </c>
      <c r="M108" s="140">
        <v>0</v>
      </c>
      <c r="N108" s="143">
        <v>0</v>
      </c>
      <c r="O108" s="140">
        <v>0.18</v>
      </c>
      <c r="P108" s="145">
        <f>(Purchase[[#This Row],[Gross Amount]]-Purchase[[#This Row],[Disct %]])*Purchase[[#This Row],[GST %]]</f>
        <v>29368.44</v>
      </c>
      <c r="Q108" s="145">
        <f>Purchase[[#This Row],[Gross Amount]]-Purchase[[#This Row],[Disct Amnt]]+Purchase[[#This Row],[GST Amount]]</f>
        <v>192526.44</v>
      </c>
      <c r="R108" s="138" t="s">
        <v>1019</v>
      </c>
      <c r="S108" s="41">
        <f>IF(Purchase[[#This Row],[Status]]="Cancelled",0,Purchase[[#This Row],[Qty]])</f>
        <v>3</v>
      </c>
      <c r="T108" s="146">
        <f>IF(Purchase[[#This Row],[Status]]="Cancelled",0,Purchase[[#This Row],[Total Amount]])</f>
        <v>192526.44</v>
      </c>
      <c r="U108" s="146">
        <f>SUM(Purchase[Net Amount])</f>
        <v>814985438.68000126</v>
      </c>
    </row>
    <row r="109" spans="1:21" ht="19.5" thickBot="1" x14ac:dyDescent="0.3">
      <c r="A109" s="136" t="s">
        <v>1130</v>
      </c>
      <c r="B109" s="137">
        <v>45663</v>
      </c>
      <c r="C109" s="138" t="s">
        <v>588</v>
      </c>
      <c r="D109" s="138" t="str">
        <f>VLOOKUP(Purchase[[#This Row],[Supplier ID]],Supplier[#All],2,0)</f>
        <v>Star Electronics</v>
      </c>
      <c r="E109" s="138">
        <f>VLOOKUP(Purchase[[#This Row],[Supplier ID]],Supplier[#All],3,0)</f>
        <v>9689542472</v>
      </c>
      <c r="F109" s="138" t="str">
        <f>VLOOKUP(Purchase[[#This Row],[Supplier ID]],Supplier[#All],4,0)</f>
        <v>Korba</v>
      </c>
      <c r="G109" s="138" t="str">
        <f>VLOOKUP(Purchase[[#This Row],[Supplier ID]],Supplier[#All],5,0)</f>
        <v>CG</v>
      </c>
      <c r="H109" s="138" t="str">
        <f>VLOOKUP(Purchase[[#This Row],[Supplier ID]],Supplier[#All],6,0)</f>
        <v>GST2154521T034</v>
      </c>
      <c r="I109" s="138" t="s">
        <v>495</v>
      </c>
      <c r="J109" s="139">
        <v>11</v>
      </c>
      <c r="K109" s="143">
        <f>VLOOKUP(Purchase[[#This Row],[Product ID]],Product[#All],6,0)</f>
        <v>54252</v>
      </c>
      <c r="L109" s="143">
        <f>Purchase[[#This Row],[Purchase Rate]]*Purchase[[#This Row],[Qty]]</f>
        <v>596772</v>
      </c>
      <c r="M109" s="140">
        <v>0</v>
      </c>
      <c r="N109" s="143">
        <v>0</v>
      </c>
      <c r="O109" s="140">
        <v>0.18</v>
      </c>
      <c r="P109" s="145">
        <f>(Purchase[[#This Row],[Gross Amount]]-Purchase[[#This Row],[Disct %]])*Purchase[[#This Row],[GST %]]</f>
        <v>107418.95999999999</v>
      </c>
      <c r="Q109" s="145">
        <f>Purchase[[#This Row],[Gross Amount]]-Purchase[[#This Row],[Disct Amnt]]+Purchase[[#This Row],[GST Amount]]</f>
        <v>704190.96</v>
      </c>
      <c r="R109" s="138" t="s">
        <v>1019</v>
      </c>
      <c r="S109" s="41">
        <f>IF(Purchase[[#This Row],[Status]]="Cancelled",0,Purchase[[#This Row],[Qty]])</f>
        <v>11</v>
      </c>
      <c r="T109" s="146">
        <f>IF(Purchase[[#This Row],[Status]]="Cancelled",0,Purchase[[#This Row],[Total Amount]])</f>
        <v>704190.96</v>
      </c>
      <c r="U109" s="146">
        <f>SUM(Purchase[Net Amount])</f>
        <v>814985438.68000126</v>
      </c>
    </row>
    <row r="110" spans="1:21" ht="19.5" thickBot="1" x14ac:dyDescent="0.3">
      <c r="A110" s="136" t="s">
        <v>1131</v>
      </c>
      <c r="B110" s="137">
        <v>45663</v>
      </c>
      <c r="C110" s="138" t="s">
        <v>583</v>
      </c>
      <c r="D110" s="138" t="str">
        <f>VLOOKUP(Purchase[[#This Row],[Supplier ID]],Supplier[#All],2,0)</f>
        <v>Shree Distributors</v>
      </c>
      <c r="E110" s="138">
        <f>VLOOKUP(Purchase[[#This Row],[Supplier ID]],Supplier[#All],3,0)</f>
        <v>9689542467</v>
      </c>
      <c r="F110" s="138" t="str">
        <f>VLOOKUP(Purchase[[#This Row],[Supplier ID]],Supplier[#All],4,0)</f>
        <v>Indore</v>
      </c>
      <c r="G110" s="138" t="str">
        <f>VLOOKUP(Purchase[[#This Row],[Supplier ID]],Supplier[#All],5,0)</f>
        <v>MP</v>
      </c>
      <c r="H110" s="138" t="str">
        <f>VLOOKUP(Purchase[[#This Row],[Supplier ID]],Supplier[#All],6,0)</f>
        <v>GST2154521T029</v>
      </c>
      <c r="I110" s="138" t="s">
        <v>544</v>
      </c>
      <c r="J110" s="139">
        <v>20</v>
      </c>
      <c r="K110" s="143">
        <f>VLOOKUP(Purchase[[#This Row],[Product ID]],Product[#All],6,0)</f>
        <v>14145</v>
      </c>
      <c r="L110" s="143">
        <f>Purchase[[#This Row],[Purchase Rate]]*Purchase[[#This Row],[Qty]]</f>
        <v>282900</v>
      </c>
      <c r="M110" s="140">
        <v>0</v>
      </c>
      <c r="N110" s="143">
        <v>0</v>
      </c>
      <c r="O110" s="140">
        <v>0.18</v>
      </c>
      <c r="P110" s="145">
        <f>(Purchase[[#This Row],[Gross Amount]]-Purchase[[#This Row],[Disct %]])*Purchase[[#This Row],[GST %]]</f>
        <v>50922</v>
      </c>
      <c r="Q110" s="145">
        <f>Purchase[[#This Row],[Gross Amount]]-Purchase[[#This Row],[Disct Amnt]]+Purchase[[#This Row],[GST Amount]]</f>
        <v>333822</v>
      </c>
      <c r="R110" s="138" t="s">
        <v>1019</v>
      </c>
      <c r="S110" s="41">
        <f>IF(Purchase[[#This Row],[Status]]="Cancelled",0,Purchase[[#This Row],[Qty]])</f>
        <v>20</v>
      </c>
      <c r="T110" s="146">
        <f>IF(Purchase[[#This Row],[Status]]="Cancelled",0,Purchase[[#This Row],[Total Amount]])</f>
        <v>333822</v>
      </c>
      <c r="U110" s="146">
        <f>SUM(Purchase[Net Amount])</f>
        <v>814985438.68000126</v>
      </c>
    </row>
    <row r="111" spans="1:21" ht="19.5" thickBot="1" x14ac:dyDescent="0.3">
      <c r="A111" s="136" t="s">
        <v>1132</v>
      </c>
      <c r="B111" s="137">
        <v>45663</v>
      </c>
      <c r="C111" s="138" t="s">
        <v>583</v>
      </c>
      <c r="D111" s="138" t="str">
        <f>VLOOKUP(Purchase[[#This Row],[Supplier ID]],Supplier[#All],2,0)</f>
        <v>Shree Distributors</v>
      </c>
      <c r="E111" s="138">
        <f>VLOOKUP(Purchase[[#This Row],[Supplier ID]],Supplier[#All],3,0)</f>
        <v>9689542467</v>
      </c>
      <c r="F111" s="138" t="str">
        <f>VLOOKUP(Purchase[[#This Row],[Supplier ID]],Supplier[#All],4,0)</f>
        <v>Indore</v>
      </c>
      <c r="G111" s="138" t="str">
        <f>VLOOKUP(Purchase[[#This Row],[Supplier ID]],Supplier[#All],5,0)</f>
        <v>MP</v>
      </c>
      <c r="H111" s="138" t="str">
        <f>VLOOKUP(Purchase[[#This Row],[Supplier ID]],Supplier[#All],6,0)</f>
        <v>GST2154521T029</v>
      </c>
      <c r="I111" s="138" t="s">
        <v>241</v>
      </c>
      <c r="J111" s="139">
        <v>34</v>
      </c>
      <c r="K111" s="143">
        <f>VLOOKUP(Purchase[[#This Row],[Product ID]],Product[#All],6,0)</f>
        <v>537</v>
      </c>
      <c r="L111" s="143">
        <f>Purchase[[#This Row],[Purchase Rate]]*Purchase[[#This Row],[Qty]]</f>
        <v>18258</v>
      </c>
      <c r="M111" s="140">
        <v>0</v>
      </c>
      <c r="N111" s="143">
        <v>0</v>
      </c>
      <c r="O111" s="140">
        <v>0.18</v>
      </c>
      <c r="P111" s="145">
        <f>(Purchase[[#This Row],[Gross Amount]]-Purchase[[#This Row],[Disct %]])*Purchase[[#This Row],[GST %]]</f>
        <v>3286.44</v>
      </c>
      <c r="Q111" s="145">
        <f>Purchase[[#This Row],[Gross Amount]]-Purchase[[#This Row],[Disct Amnt]]+Purchase[[#This Row],[GST Amount]]</f>
        <v>21544.44</v>
      </c>
      <c r="R111" s="138" t="s">
        <v>1019</v>
      </c>
      <c r="S111" s="41">
        <f>IF(Purchase[[#This Row],[Status]]="Cancelled",0,Purchase[[#This Row],[Qty]])</f>
        <v>34</v>
      </c>
      <c r="T111" s="146">
        <f>IF(Purchase[[#This Row],[Status]]="Cancelled",0,Purchase[[#This Row],[Total Amount]])</f>
        <v>21544.44</v>
      </c>
      <c r="U111" s="146">
        <f>SUM(Purchase[Net Amount])</f>
        <v>814985438.68000126</v>
      </c>
    </row>
    <row r="112" spans="1:21" ht="19.5" thickBot="1" x14ac:dyDescent="0.3">
      <c r="A112" s="136" t="s">
        <v>1133</v>
      </c>
      <c r="B112" s="137">
        <v>45663</v>
      </c>
      <c r="C112" s="138" t="s">
        <v>595</v>
      </c>
      <c r="D112" s="138" t="str">
        <f>VLOOKUP(Purchase[[#This Row],[Supplier ID]],Supplier[#All],2,0)</f>
        <v>Star Computers</v>
      </c>
      <c r="E112" s="138">
        <f>VLOOKUP(Purchase[[#This Row],[Supplier ID]],Supplier[#All],3,0)</f>
        <v>9689542478</v>
      </c>
      <c r="F112" s="138" t="str">
        <f>VLOOKUP(Purchase[[#This Row],[Supplier ID]],Supplier[#All],4,0)</f>
        <v>Kanpur</v>
      </c>
      <c r="G112" s="138" t="str">
        <f>VLOOKUP(Purchase[[#This Row],[Supplier ID]],Supplier[#All],5,0)</f>
        <v>UP</v>
      </c>
      <c r="H112" s="138" t="str">
        <f>VLOOKUP(Purchase[[#This Row],[Supplier ID]],Supplier[#All],6,0)</f>
        <v>GST2154521T040</v>
      </c>
      <c r="I112" s="138" t="s">
        <v>341</v>
      </c>
      <c r="J112" s="139">
        <v>20</v>
      </c>
      <c r="K112" s="143">
        <f>VLOOKUP(Purchase[[#This Row],[Product ID]],Product[#All],6,0)</f>
        <v>17041</v>
      </c>
      <c r="L112" s="143">
        <f>Purchase[[#This Row],[Purchase Rate]]*Purchase[[#This Row],[Qty]]</f>
        <v>340820</v>
      </c>
      <c r="M112" s="140">
        <v>0</v>
      </c>
      <c r="N112" s="143">
        <v>0</v>
      </c>
      <c r="O112" s="140">
        <v>0.18</v>
      </c>
      <c r="P112" s="145">
        <f>(Purchase[[#This Row],[Gross Amount]]-Purchase[[#This Row],[Disct %]])*Purchase[[#This Row],[GST %]]</f>
        <v>61347.6</v>
      </c>
      <c r="Q112" s="145">
        <f>Purchase[[#This Row],[Gross Amount]]-Purchase[[#This Row],[Disct Amnt]]+Purchase[[#This Row],[GST Amount]]</f>
        <v>402167.6</v>
      </c>
      <c r="R112" s="138" t="s">
        <v>1019</v>
      </c>
      <c r="S112" s="41">
        <f>IF(Purchase[[#This Row],[Status]]="Cancelled",0,Purchase[[#This Row],[Qty]])</f>
        <v>20</v>
      </c>
      <c r="T112" s="146">
        <f>IF(Purchase[[#This Row],[Status]]="Cancelled",0,Purchase[[#This Row],[Total Amount]])</f>
        <v>402167.6</v>
      </c>
      <c r="U112" s="146">
        <f>SUM(Purchase[Net Amount])</f>
        <v>814985438.68000126</v>
      </c>
    </row>
    <row r="113" spans="1:21" ht="19.5" thickBot="1" x14ac:dyDescent="0.3">
      <c r="A113" s="136" t="s">
        <v>1134</v>
      </c>
      <c r="B113" s="137">
        <v>45663</v>
      </c>
      <c r="C113" s="138" t="s">
        <v>611</v>
      </c>
      <c r="D113" s="138" t="str">
        <f>VLOOKUP(Purchase[[#This Row],[Supplier ID]],Supplier[#All],2,0)</f>
        <v>National Distributors</v>
      </c>
      <c r="E113" s="138">
        <f>VLOOKUP(Purchase[[#This Row],[Supplier ID]],Supplier[#All],3,0)</f>
        <v>9689542494</v>
      </c>
      <c r="F113" s="138" t="str">
        <f>VLOOKUP(Purchase[[#This Row],[Supplier ID]],Supplier[#All],4,0)</f>
        <v>Korba</v>
      </c>
      <c r="G113" s="138" t="str">
        <f>VLOOKUP(Purchase[[#This Row],[Supplier ID]],Supplier[#All],5,0)</f>
        <v>CG</v>
      </c>
      <c r="H113" s="138" t="str">
        <f>VLOOKUP(Purchase[[#This Row],[Supplier ID]],Supplier[#All],6,0)</f>
        <v>GST2154521T056</v>
      </c>
      <c r="I113" s="138" t="s">
        <v>489</v>
      </c>
      <c r="J113" s="139">
        <v>30</v>
      </c>
      <c r="K113" s="143">
        <f>VLOOKUP(Purchase[[#This Row],[Product ID]],Product[#All],6,0)</f>
        <v>6471</v>
      </c>
      <c r="L113" s="143">
        <f>Purchase[[#This Row],[Purchase Rate]]*Purchase[[#This Row],[Qty]]</f>
        <v>194130</v>
      </c>
      <c r="M113" s="140">
        <v>0</v>
      </c>
      <c r="N113" s="143">
        <v>0</v>
      </c>
      <c r="O113" s="140">
        <v>0.18</v>
      </c>
      <c r="P113" s="145">
        <f>(Purchase[[#This Row],[Gross Amount]]-Purchase[[#This Row],[Disct %]])*Purchase[[#This Row],[GST %]]</f>
        <v>34943.4</v>
      </c>
      <c r="Q113" s="145">
        <f>Purchase[[#This Row],[Gross Amount]]-Purchase[[#This Row],[Disct Amnt]]+Purchase[[#This Row],[GST Amount]]</f>
        <v>229073.4</v>
      </c>
      <c r="R113" s="138" t="s">
        <v>1019</v>
      </c>
      <c r="S113" s="41">
        <f>IF(Purchase[[#This Row],[Status]]="Cancelled",0,Purchase[[#This Row],[Qty]])</f>
        <v>30</v>
      </c>
      <c r="T113" s="146">
        <f>IF(Purchase[[#This Row],[Status]]="Cancelled",0,Purchase[[#This Row],[Total Amount]])</f>
        <v>229073.4</v>
      </c>
      <c r="U113" s="146">
        <f>SUM(Purchase[Net Amount])</f>
        <v>814985438.68000126</v>
      </c>
    </row>
    <row r="114" spans="1:21" ht="19.5" thickBot="1" x14ac:dyDescent="0.3">
      <c r="A114" s="136" t="s">
        <v>1135</v>
      </c>
      <c r="B114" s="137">
        <v>45663</v>
      </c>
      <c r="C114" s="138" t="s">
        <v>615</v>
      </c>
      <c r="D114" s="138" t="str">
        <f>VLOOKUP(Purchase[[#This Row],[Supplier ID]],Supplier[#All],2,0)</f>
        <v>NATIONAL ELECTRONICS</v>
      </c>
      <c r="E114" s="138">
        <f>VLOOKUP(Purchase[[#This Row],[Supplier ID]],Supplier[#All],3,0)</f>
        <v>9689542498</v>
      </c>
      <c r="F114" s="138" t="str">
        <f>VLOOKUP(Purchase[[#This Row],[Supplier ID]],Supplier[#All],4,0)</f>
        <v>Kanpur</v>
      </c>
      <c r="G114" s="138" t="str">
        <f>VLOOKUP(Purchase[[#This Row],[Supplier ID]],Supplier[#All],5,0)</f>
        <v>UP</v>
      </c>
      <c r="H114" s="138" t="str">
        <f>VLOOKUP(Purchase[[#This Row],[Supplier ID]],Supplier[#All],6,0)</f>
        <v>GST2154521T060</v>
      </c>
      <c r="I114" s="138" t="s">
        <v>262</v>
      </c>
      <c r="J114" s="139">
        <v>29</v>
      </c>
      <c r="K114" s="143">
        <f>VLOOKUP(Purchase[[#This Row],[Product ID]],Product[#All],6,0)</f>
        <v>2712</v>
      </c>
      <c r="L114" s="143">
        <f>Purchase[[#This Row],[Purchase Rate]]*Purchase[[#This Row],[Qty]]</f>
        <v>78648</v>
      </c>
      <c r="M114" s="140">
        <v>0</v>
      </c>
      <c r="N114" s="143">
        <v>0</v>
      </c>
      <c r="O114" s="140">
        <v>0.18</v>
      </c>
      <c r="P114" s="145">
        <f>(Purchase[[#This Row],[Gross Amount]]-Purchase[[#This Row],[Disct %]])*Purchase[[#This Row],[GST %]]</f>
        <v>14156.64</v>
      </c>
      <c r="Q114" s="145">
        <f>Purchase[[#This Row],[Gross Amount]]-Purchase[[#This Row],[Disct Amnt]]+Purchase[[#This Row],[GST Amount]]</f>
        <v>92804.64</v>
      </c>
      <c r="R114" s="138" t="s">
        <v>1019</v>
      </c>
      <c r="S114" s="41">
        <f>IF(Purchase[[#This Row],[Status]]="Cancelled",0,Purchase[[#This Row],[Qty]])</f>
        <v>29</v>
      </c>
      <c r="T114" s="146">
        <f>IF(Purchase[[#This Row],[Status]]="Cancelled",0,Purchase[[#This Row],[Total Amount]])</f>
        <v>92804.64</v>
      </c>
      <c r="U114" s="146">
        <f>SUM(Purchase[Net Amount])</f>
        <v>814985438.68000126</v>
      </c>
    </row>
    <row r="115" spans="1:21" ht="19.5" thickBot="1" x14ac:dyDescent="0.3">
      <c r="A115" s="136" t="s">
        <v>1136</v>
      </c>
      <c r="B115" s="137">
        <v>45663</v>
      </c>
      <c r="C115" s="138" t="s">
        <v>595</v>
      </c>
      <c r="D115" s="138" t="str">
        <f>VLOOKUP(Purchase[[#This Row],[Supplier ID]],Supplier[#All],2,0)</f>
        <v>Star Computers</v>
      </c>
      <c r="E115" s="138">
        <f>VLOOKUP(Purchase[[#This Row],[Supplier ID]],Supplier[#All],3,0)</f>
        <v>9689542478</v>
      </c>
      <c r="F115" s="138" t="str">
        <f>VLOOKUP(Purchase[[#This Row],[Supplier ID]],Supplier[#All],4,0)</f>
        <v>Kanpur</v>
      </c>
      <c r="G115" s="138" t="str">
        <f>VLOOKUP(Purchase[[#This Row],[Supplier ID]],Supplier[#All],5,0)</f>
        <v>UP</v>
      </c>
      <c r="H115" s="138" t="str">
        <f>VLOOKUP(Purchase[[#This Row],[Supplier ID]],Supplier[#All],6,0)</f>
        <v>GST2154521T040</v>
      </c>
      <c r="I115" s="138" t="s">
        <v>202</v>
      </c>
      <c r="J115" s="139">
        <v>21</v>
      </c>
      <c r="K115" s="143">
        <f>VLOOKUP(Purchase[[#This Row],[Product ID]],Product[#All],6,0)</f>
        <v>1062</v>
      </c>
      <c r="L115" s="143">
        <f>Purchase[[#This Row],[Purchase Rate]]*Purchase[[#This Row],[Qty]]</f>
        <v>22302</v>
      </c>
      <c r="M115" s="140">
        <v>0</v>
      </c>
      <c r="N115" s="143">
        <v>0</v>
      </c>
      <c r="O115" s="140">
        <v>0.18</v>
      </c>
      <c r="P115" s="145">
        <f>(Purchase[[#This Row],[Gross Amount]]-Purchase[[#This Row],[Disct %]])*Purchase[[#This Row],[GST %]]</f>
        <v>4014.3599999999997</v>
      </c>
      <c r="Q115" s="145">
        <f>Purchase[[#This Row],[Gross Amount]]-Purchase[[#This Row],[Disct Amnt]]+Purchase[[#This Row],[GST Amount]]</f>
        <v>26316.36</v>
      </c>
      <c r="R115" s="138" t="s">
        <v>1019</v>
      </c>
      <c r="S115" s="41">
        <f>IF(Purchase[[#This Row],[Status]]="Cancelled",0,Purchase[[#This Row],[Qty]])</f>
        <v>21</v>
      </c>
      <c r="T115" s="146">
        <f>IF(Purchase[[#This Row],[Status]]="Cancelled",0,Purchase[[#This Row],[Total Amount]])</f>
        <v>26316.36</v>
      </c>
      <c r="U115" s="146">
        <f>SUM(Purchase[Net Amount])</f>
        <v>814985438.68000126</v>
      </c>
    </row>
    <row r="116" spans="1:21" ht="19.5" thickBot="1" x14ac:dyDescent="0.3">
      <c r="A116" s="136" t="s">
        <v>1137</v>
      </c>
      <c r="B116" s="137">
        <v>45663</v>
      </c>
      <c r="C116" s="138" t="s">
        <v>581</v>
      </c>
      <c r="D116" s="138" t="str">
        <f>VLOOKUP(Purchase[[#This Row],[Supplier ID]],Supplier[#All],2,0)</f>
        <v>Prime Electronics</v>
      </c>
      <c r="E116" s="138">
        <f>VLOOKUP(Purchase[[#This Row],[Supplier ID]],Supplier[#All],3,0)</f>
        <v>9689542465</v>
      </c>
      <c r="F116" s="138" t="str">
        <f>VLOOKUP(Purchase[[#This Row],[Supplier ID]],Supplier[#All],4,0)</f>
        <v>Korba</v>
      </c>
      <c r="G116" s="138" t="str">
        <f>VLOOKUP(Purchase[[#This Row],[Supplier ID]],Supplier[#All],5,0)</f>
        <v>CG</v>
      </c>
      <c r="H116" s="138" t="str">
        <f>VLOOKUP(Purchase[[#This Row],[Supplier ID]],Supplier[#All],6,0)</f>
        <v>GST2154521T027</v>
      </c>
      <c r="I116" s="138" t="s">
        <v>58</v>
      </c>
      <c r="J116" s="139">
        <v>35</v>
      </c>
      <c r="K116" s="143">
        <f>VLOOKUP(Purchase[[#This Row],[Product ID]],Product[#All],6,0)</f>
        <v>41929</v>
      </c>
      <c r="L116" s="143">
        <f>Purchase[[#This Row],[Purchase Rate]]*Purchase[[#This Row],[Qty]]</f>
        <v>1467515</v>
      </c>
      <c r="M116" s="140">
        <v>0</v>
      </c>
      <c r="N116" s="143">
        <v>0</v>
      </c>
      <c r="O116" s="140">
        <v>0.18</v>
      </c>
      <c r="P116" s="145">
        <f>(Purchase[[#This Row],[Gross Amount]]-Purchase[[#This Row],[Disct %]])*Purchase[[#This Row],[GST %]]</f>
        <v>264152.7</v>
      </c>
      <c r="Q116" s="145">
        <f>Purchase[[#This Row],[Gross Amount]]-Purchase[[#This Row],[Disct Amnt]]+Purchase[[#This Row],[GST Amount]]</f>
        <v>1731667.7</v>
      </c>
      <c r="R116" s="138" t="s">
        <v>1019</v>
      </c>
      <c r="S116" s="41">
        <f>IF(Purchase[[#This Row],[Status]]="Cancelled",0,Purchase[[#This Row],[Qty]])</f>
        <v>35</v>
      </c>
      <c r="T116" s="146">
        <f>IF(Purchase[[#This Row],[Status]]="Cancelled",0,Purchase[[#This Row],[Total Amount]])</f>
        <v>1731667.7</v>
      </c>
      <c r="U116" s="146">
        <f>SUM(Purchase[Net Amount])</f>
        <v>814985438.68000126</v>
      </c>
    </row>
    <row r="117" spans="1:21" ht="19.5" thickBot="1" x14ac:dyDescent="0.3">
      <c r="A117" s="136" t="s">
        <v>1138</v>
      </c>
      <c r="B117" s="137">
        <v>45663</v>
      </c>
      <c r="C117" s="138" t="s">
        <v>605</v>
      </c>
      <c r="D117" s="138" t="str">
        <f>VLOOKUP(Purchase[[#This Row],[Supplier ID]],Supplier[#All],2,0)</f>
        <v>Star Traders</v>
      </c>
      <c r="E117" s="138">
        <f>VLOOKUP(Purchase[[#This Row],[Supplier ID]],Supplier[#All],3,0)</f>
        <v>9689542488</v>
      </c>
      <c r="F117" s="138" t="str">
        <f>VLOOKUP(Purchase[[#This Row],[Supplier ID]],Supplier[#All],4,0)</f>
        <v>Indore</v>
      </c>
      <c r="G117" s="138" t="str">
        <f>VLOOKUP(Purchase[[#This Row],[Supplier ID]],Supplier[#All],5,0)</f>
        <v>MP</v>
      </c>
      <c r="H117" s="138" t="str">
        <f>VLOOKUP(Purchase[[#This Row],[Supplier ID]],Supplier[#All],6,0)</f>
        <v>GST2154521T050</v>
      </c>
      <c r="I117" s="138" t="s">
        <v>57</v>
      </c>
      <c r="J117" s="139">
        <v>37</v>
      </c>
      <c r="K117" s="143">
        <f>VLOOKUP(Purchase[[#This Row],[Product ID]],Product[#All],6,0)</f>
        <v>45619</v>
      </c>
      <c r="L117" s="143">
        <f>Purchase[[#This Row],[Purchase Rate]]*Purchase[[#This Row],[Qty]]</f>
        <v>1687903</v>
      </c>
      <c r="M117" s="140">
        <v>0</v>
      </c>
      <c r="N117" s="143">
        <v>0</v>
      </c>
      <c r="O117" s="140">
        <v>0.18</v>
      </c>
      <c r="P117" s="145">
        <f>(Purchase[[#This Row],[Gross Amount]]-Purchase[[#This Row],[Disct %]])*Purchase[[#This Row],[GST %]]</f>
        <v>303822.53999999998</v>
      </c>
      <c r="Q117" s="145">
        <f>Purchase[[#This Row],[Gross Amount]]-Purchase[[#This Row],[Disct Amnt]]+Purchase[[#This Row],[GST Amount]]</f>
        <v>1991725.54</v>
      </c>
      <c r="R117" s="138" t="s">
        <v>1019</v>
      </c>
      <c r="S117" s="41">
        <f>IF(Purchase[[#This Row],[Status]]="Cancelled",0,Purchase[[#This Row],[Qty]])</f>
        <v>37</v>
      </c>
      <c r="T117" s="146">
        <f>IF(Purchase[[#This Row],[Status]]="Cancelled",0,Purchase[[#This Row],[Total Amount]])</f>
        <v>1991725.54</v>
      </c>
      <c r="U117" s="146">
        <f>SUM(Purchase[Net Amount])</f>
        <v>814985438.68000126</v>
      </c>
    </row>
    <row r="118" spans="1:21" ht="19.5" thickBot="1" x14ac:dyDescent="0.3">
      <c r="A118" s="136" t="s">
        <v>1139</v>
      </c>
      <c r="B118" s="137">
        <v>45663</v>
      </c>
      <c r="C118" s="138" t="s">
        <v>588</v>
      </c>
      <c r="D118" s="138" t="str">
        <f>VLOOKUP(Purchase[[#This Row],[Supplier ID]],Supplier[#All],2,0)</f>
        <v>Star Electronics</v>
      </c>
      <c r="E118" s="138">
        <f>VLOOKUP(Purchase[[#This Row],[Supplier ID]],Supplier[#All],3,0)</f>
        <v>9689542472</v>
      </c>
      <c r="F118" s="138" t="str">
        <f>VLOOKUP(Purchase[[#This Row],[Supplier ID]],Supplier[#All],4,0)</f>
        <v>Korba</v>
      </c>
      <c r="G118" s="138" t="str">
        <f>VLOOKUP(Purchase[[#This Row],[Supplier ID]],Supplier[#All],5,0)</f>
        <v>CG</v>
      </c>
      <c r="H118" s="138" t="str">
        <f>VLOOKUP(Purchase[[#This Row],[Supplier ID]],Supplier[#All],6,0)</f>
        <v>GST2154521T034</v>
      </c>
      <c r="I118" s="138" t="s">
        <v>145</v>
      </c>
      <c r="J118" s="139">
        <v>30</v>
      </c>
      <c r="K118" s="143">
        <f>VLOOKUP(Purchase[[#This Row],[Product ID]],Product[#All],6,0)</f>
        <v>7623</v>
      </c>
      <c r="L118" s="143">
        <f>Purchase[[#This Row],[Purchase Rate]]*Purchase[[#This Row],[Qty]]</f>
        <v>228690</v>
      </c>
      <c r="M118" s="140">
        <v>0</v>
      </c>
      <c r="N118" s="143">
        <v>0</v>
      </c>
      <c r="O118" s="140">
        <v>0.18</v>
      </c>
      <c r="P118" s="145">
        <f>(Purchase[[#This Row],[Gross Amount]]-Purchase[[#This Row],[Disct %]])*Purchase[[#This Row],[GST %]]</f>
        <v>41164.199999999997</v>
      </c>
      <c r="Q118" s="145">
        <f>Purchase[[#This Row],[Gross Amount]]-Purchase[[#This Row],[Disct Amnt]]+Purchase[[#This Row],[GST Amount]]</f>
        <v>269854.2</v>
      </c>
      <c r="R118" s="138" t="s">
        <v>1019</v>
      </c>
      <c r="S118" s="41">
        <f>IF(Purchase[[#This Row],[Status]]="Cancelled",0,Purchase[[#This Row],[Qty]])</f>
        <v>30</v>
      </c>
      <c r="T118" s="146">
        <f>IF(Purchase[[#This Row],[Status]]="Cancelled",0,Purchase[[#This Row],[Total Amount]])</f>
        <v>269854.2</v>
      </c>
      <c r="U118" s="146">
        <f>SUM(Purchase[Net Amount])</f>
        <v>814985438.68000126</v>
      </c>
    </row>
    <row r="119" spans="1:21" ht="19.5" thickBot="1" x14ac:dyDescent="0.3">
      <c r="A119" s="136" t="s">
        <v>1140</v>
      </c>
      <c r="B119" s="137">
        <v>45663</v>
      </c>
      <c r="C119" s="138" t="s">
        <v>608</v>
      </c>
      <c r="D119" s="138" t="str">
        <f>VLOOKUP(Purchase[[#This Row],[Supplier ID]],Supplier[#All],2,0)</f>
        <v>Global Suppliers</v>
      </c>
      <c r="E119" s="138">
        <f>VLOOKUP(Purchase[[#This Row],[Supplier ID]],Supplier[#All],3,0)</f>
        <v>9689542499</v>
      </c>
      <c r="F119" s="138" t="str">
        <f>VLOOKUP(Purchase[[#This Row],[Supplier ID]],Supplier[#All],4,0)</f>
        <v>Korba</v>
      </c>
      <c r="G119" s="138" t="str">
        <f>VLOOKUP(Purchase[[#This Row],[Supplier ID]],Supplier[#All],5,0)</f>
        <v>CG</v>
      </c>
      <c r="H119" s="138" t="str">
        <f>VLOOKUP(Purchase[[#This Row],[Supplier ID]],Supplier[#All],6,0)</f>
        <v>GST2154521T053</v>
      </c>
      <c r="I119" s="138" t="s">
        <v>129</v>
      </c>
      <c r="J119" s="139">
        <v>36</v>
      </c>
      <c r="K119" s="143">
        <f>VLOOKUP(Purchase[[#This Row],[Product ID]],Product[#All],6,0)</f>
        <v>1588</v>
      </c>
      <c r="L119" s="143">
        <f>Purchase[[#This Row],[Purchase Rate]]*Purchase[[#This Row],[Qty]]</f>
        <v>57168</v>
      </c>
      <c r="M119" s="140">
        <v>0</v>
      </c>
      <c r="N119" s="143">
        <v>0</v>
      </c>
      <c r="O119" s="140">
        <v>0.18</v>
      </c>
      <c r="P119" s="145">
        <f>(Purchase[[#This Row],[Gross Amount]]-Purchase[[#This Row],[Disct %]])*Purchase[[#This Row],[GST %]]</f>
        <v>10290.24</v>
      </c>
      <c r="Q119" s="145">
        <f>Purchase[[#This Row],[Gross Amount]]-Purchase[[#This Row],[Disct Amnt]]+Purchase[[#This Row],[GST Amount]]</f>
        <v>67458.240000000005</v>
      </c>
      <c r="R119" s="138" t="s">
        <v>1019</v>
      </c>
      <c r="S119" s="41">
        <f>IF(Purchase[[#This Row],[Status]]="Cancelled",0,Purchase[[#This Row],[Qty]])</f>
        <v>36</v>
      </c>
      <c r="T119" s="146">
        <f>IF(Purchase[[#This Row],[Status]]="Cancelled",0,Purchase[[#This Row],[Total Amount]])</f>
        <v>67458.240000000005</v>
      </c>
      <c r="U119" s="146">
        <f>SUM(Purchase[Net Amount])</f>
        <v>814985438.68000126</v>
      </c>
    </row>
    <row r="120" spans="1:21" ht="19.5" thickBot="1" x14ac:dyDescent="0.3">
      <c r="A120" s="136" t="s">
        <v>1141</v>
      </c>
      <c r="B120" s="137">
        <v>45664</v>
      </c>
      <c r="C120" s="138" t="s">
        <v>564</v>
      </c>
      <c r="D120" s="138" t="str">
        <f>VLOOKUP(Purchase[[#This Row],[Supplier ID]],Supplier[#All],2,0)</f>
        <v xml:space="preserve">Star Electronics </v>
      </c>
      <c r="E120" s="138">
        <f>VLOOKUP(Purchase[[#This Row],[Supplier ID]],Supplier[#All],3,0)</f>
        <v>9689542450</v>
      </c>
      <c r="F120" s="138" t="str">
        <f>VLOOKUP(Purchase[[#This Row],[Supplier ID]],Supplier[#All],4,0)</f>
        <v>Korba</v>
      </c>
      <c r="G120" s="138" t="str">
        <f>VLOOKUP(Purchase[[#This Row],[Supplier ID]],Supplier[#All],5,0)</f>
        <v>CG</v>
      </c>
      <c r="H120" s="138" t="str">
        <f>VLOOKUP(Purchase[[#This Row],[Supplier ID]],Supplier[#All],6,0)</f>
        <v>GST2154521T012</v>
      </c>
      <c r="I120" s="138" t="s">
        <v>220</v>
      </c>
      <c r="J120" s="139">
        <v>14</v>
      </c>
      <c r="K120" s="143">
        <f>VLOOKUP(Purchase[[#This Row],[Product ID]],Product[#All],6,0)</f>
        <v>34163</v>
      </c>
      <c r="L120" s="143">
        <f>Purchase[[#This Row],[Purchase Rate]]*Purchase[[#This Row],[Qty]]</f>
        <v>478282</v>
      </c>
      <c r="M120" s="140">
        <v>0</v>
      </c>
      <c r="N120" s="143">
        <v>0</v>
      </c>
      <c r="O120" s="140">
        <v>0.18</v>
      </c>
      <c r="P120" s="145">
        <f>(Purchase[[#This Row],[Gross Amount]]-Purchase[[#This Row],[Disct %]])*Purchase[[#This Row],[GST %]]</f>
        <v>86090.76</v>
      </c>
      <c r="Q120" s="145">
        <f>Purchase[[#This Row],[Gross Amount]]-Purchase[[#This Row],[Disct Amnt]]+Purchase[[#This Row],[GST Amount]]</f>
        <v>564372.76</v>
      </c>
      <c r="R120" s="138" t="s">
        <v>1019</v>
      </c>
      <c r="S120" s="41">
        <f>IF(Purchase[[#This Row],[Status]]="Cancelled",0,Purchase[[#This Row],[Qty]])</f>
        <v>14</v>
      </c>
      <c r="T120" s="146">
        <f>IF(Purchase[[#This Row],[Status]]="Cancelled",0,Purchase[[#This Row],[Total Amount]])</f>
        <v>564372.76</v>
      </c>
      <c r="U120" s="146">
        <f>SUM(Purchase[Net Amount])</f>
        <v>814985438.68000126</v>
      </c>
    </row>
    <row r="121" spans="1:21" ht="19.5" thickBot="1" x14ac:dyDescent="0.3">
      <c r="A121" s="136" t="s">
        <v>1142</v>
      </c>
      <c r="B121" s="137">
        <v>45664</v>
      </c>
      <c r="C121" s="138" t="s">
        <v>571</v>
      </c>
      <c r="D121" s="138" t="str">
        <f>VLOOKUP(Purchase[[#This Row],[Supplier ID]],Supplier[#All],2,0)</f>
        <v>Tech Suppliers</v>
      </c>
      <c r="E121" s="138">
        <f>VLOOKUP(Purchase[[#This Row],[Supplier ID]],Supplier[#All],3,0)</f>
        <v>9689542457</v>
      </c>
      <c r="F121" s="138" t="str">
        <f>VLOOKUP(Purchase[[#This Row],[Supplier ID]],Supplier[#All],4,0)</f>
        <v>Korba</v>
      </c>
      <c r="G121" s="138" t="str">
        <f>VLOOKUP(Purchase[[#This Row],[Supplier ID]],Supplier[#All],5,0)</f>
        <v>CG</v>
      </c>
      <c r="H121" s="138" t="str">
        <f>VLOOKUP(Purchase[[#This Row],[Supplier ID]],Supplier[#All],6,0)</f>
        <v>GST2154521T019</v>
      </c>
      <c r="I121" s="138" t="s">
        <v>276</v>
      </c>
      <c r="J121" s="139">
        <v>38</v>
      </c>
      <c r="K121" s="143">
        <f>VLOOKUP(Purchase[[#This Row],[Product ID]],Product[#All],6,0)</f>
        <v>6200</v>
      </c>
      <c r="L121" s="143">
        <f>Purchase[[#This Row],[Purchase Rate]]*Purchase[[#This Row],[Qty]]</f>
        <v>235600</v>
      </c>
      <c r="M121" s="140">
        <v>0</v>
      </c>
      <c r="N121" s="143">
        <v>0</v>
      </c>
      <c r="O121" s="140">
        <v>0.18</v>
      </c>
      <c r="P121" s="145">
        <f>(Purchase[[#This Row],[Gross Amount]]-Purchase[[#This Row],[Disct %]])*Purchase[[#This Row],[GST %]]</f>
        <v>42408</v>
      </c>
      <c r="Q121" s="145">
        <f>Purchase[[#This Row],[Gross Amount]]-Purchase[[#This Row],[Disct Amnt]]+Purchase[[#This Row],[GST Amount]]</f>
        <v>278008</v>
      </c>
      <c r="R121" s="138" t="s">
        <v>1019</v>
      </c>
      <c r="S121" s="41">
        <f>IF(Purchase[[#This Row],[Status]]="Cancelled",0,Purchase[[#This Row],[Qty]])</f>
        <v>38</v>
      </c>
      <c r="T121" s="146">
        <f>IF(Purchase[[#This Row],[Status]]="Cancelled",0,Purchase[[#This Row],[Total Amount]])</f>
        <v>278008</v>
      </c>
      <c r="U121" s="146">
        <f>SUM(Purchase[Net Amount])</f>
        <v>814985438.68000126</v>
      </c>
    </row>
    <row r="122" spans="1:21" ht="19.5" thickBot="1" x14ac:dyDescent="0.3">
      <c r="A122" s="136" t="s">
        <v>1143</v>
      </c>
      <c r="B122" s="137">
        <v>45664</v>
      </c>
      <c r="C122" s="138" t="s">
        <v>578</v>
      </c>
      <c r="D122" s="138" t="str">
        <f>VLOOKUP(Purchase[[#This Row],[Supplier ID]],Supplier[#All],2,0)</f>
        <v>Shree Computers</v>
      </c>
      <c r="E122" s="138">
        <f>VLOOKUP(Purchase[[#This Row],[Supplier ID]],Supplier[#All],3,0)</f>
        <v>9689542462</v>
      </c>
      <c r="F122" s="138" t="str">
        <f>VLOOKUP(Purchase[[#This Row],[Supplier ID]],Supplier[#All],4,0)</f>
        <v>Korba</v>
      </c>
      <c r="G122" s="138" t="str">
        <f>VLOOKUP(Purchase[[#This Row],[Supplier ID]],Supplier[#All],5,0)</f>
        <v>CG</v>
      </c>
      <c r="H122" s="138" t="str">
        <f>VLOOKUP(Purchase[[#This Row],[Supplier ID]],Supplier[#All],6,0)</f>
        <v>GST2154521T024</v>
      </c>
      <c r="I122" s="138" t="s">
        <v>374</v>
      </c>
      <c r="J122" s="139">
        <v>37</v>
      </c>
      <c r="K122" s="143">
        <f>VLOOKUP(Purchase[[#This Row],[Product ID]],Product[#All],6,0)</f>
        <v>2510</v>
      </c>
      <c r="L122" s="143">
        <f>Purchase[[#This Row],[Purchase Rate]]*Purchase[[#This Row],[Qty]]</f>
        <v>92870</v>
      </c>
      <c r="M122" s="140">
        <v>0</v>
      </c>
      <c r="N122" s="143">
        <v>0</v>
      </c>
      <c r="O122" s="140">
        <v>0.18</v>
      </c>
      <c r="P122" s="145">
        <f>(Purchase[[#This Row],[Gross Amount]]-Purchase[[#This Row],[Disct %]])*Purchase[[#This Row],[GST %]]</f>
        <v>16716.599999999999</v>
      </c>
      <c r="Q122" s="145">
        <f>Purchase[[#This Row],[Gross Amount]]-Purchase[[#This Row],[Disct Amnt]]+Purchase[[#This Row],[GST Amount]]</f>
        <v>109586.6</v>
      </c>
      <c r="R122" s="138" t="s">
        <v>1019</v>
      </c>
      <c r="S122" s="41">
        <f>IF(Purchase[[#This Row],[Status]]="Cancelled",0,Purchase[[#This Row],[Qty]])</f>
        <v>37</v>
      </c>
      <c r="T122" s="146">
        <f>IF(Purchase[[#This Row],[Status]]="Cancelled",0,Purchase[[#This Row],[Total Amount]])</f>
        <v>109586.6</v>
      </c>
      <c r="U122" s="146">
        <f>SUM(Purchase[Net Amount])</f>
        <v>814985438.68000126</v>
      </c>
    </row>
    <row r="123" spans="1:21" ht="19.5" thickBot="1" x14ac:dyDescent="0.3">
      <c r="A123" s="136" t="s">
        <v>1144</v>
      </c>
      <c r="B123" s="137">
        <v>45664</v>
      </c>
      <c r="C123" s="138" t="s">
        <v>598</v>
      </c>
      <c r="D123" s="138" t="str">
        <f>VLOOKUP(Purchase[[#This Row],[Supplier ID]],Supplier[#All],2,0)</f>
        <v>National Distributors</v>
      </c>
      <c r="E123" s="138">
        <f>VLOOKUP(Purchase[[#This Row],[Supplier ID]],Supplier[#All],3,0)</f>
        <v>9689542489</v>
      </c>
      <c r="F123" s="138" t="str">
        <f>VLOOKUP(Purchase[[#This Row],[Supplier ID]],Supplier[#All],4,0)</f>
        <v>Indore</v>
      </c>
      <c r="G123" s="138" t="str">
        <f>VLOOKUP(Purchase[[#This Row],[Supplier ID]],Supplier[#All],5,0)</f>
        <v>MP</v>
      </c>
      <c r="H123" s="138" t="str">
        <f>VLOOKUP(Purchase[[#This Row],[Supplier ID]],Supplier[#All],6,0)</f>
        <v>GST2154521T043</v>
      </c>
      <c r="I123" s="138" t="s">
        <v>280</v>
      </c>
      <c r="J123" s="139">
        <v>31</v>
      </c>
      <c r="K123" s="143">
        <f>VLOOKUP(Purchase[[#This Row],[Product ID]],Product[#All],6,0)</f>
        <v>28461</v>
      </c>
      <c r="L123" s="143">
        <f>Purchase[[#This Row],[Purchase Rate]]*Purchase[[#This Row],[Qty]]</f>
        <v>882291</v>
      </c>
      <c r="M123" s="140">
        <v>0</v>
      </c>
      <c r="N123" s="143">
        <v>0</v>
      </c>
      <c r="O123" s="140">
        <v>0.18</v>
      </c>
      <c r="P123" s="145">
        <f>(Purchase[[#This Row],[Gross Amount]]-Purchase[[#This Row],[Disct %]])*Purchase[[#This Row],[GST %]]</f>
        <v>158812.38</v>
      </c>
      <c r="Q123" s="145">
        <f>Purchase[[#This Row],[Gross Amount]]-Purchase[[#This Row],[Disct Amnt]]+Purchase[[#This Row],[GST Amount]]</f>
        <v>1041103.38</v>
      </c>
      <c r="R123" s="138" t="s">
        <v>1019</v>
      </c>
      <c r="S123" s="41">
        <f>IF(Purchase[[#This Row],[Status]]="Cancelled",0,Purchase[[#This Row],[Qty]])</f>
        <v>31</v>
      </c>
      <c r="T123" s="146">
        <f>IF(Purchase[[#This Row],[Status]]="Cancelled",0,Purchase[[#This Row],[Total Amount]])</f>
        <v>1041103.38</v>
      </c>
      <c r="U123" s="146">
        <f>SUM(Purchase[Net Amount])</f>
        <v>814985438.68000126</v>
      </c>
    </row>
    <row r="124" spans="1:21" ht="19.5" thickBot="1" x14ac:dyDescent="0.3">
      <c r="A124" s="136" t="s">
        <v>1145</v>
      </c>
      <c r="B124" s="137">
        <v>45664</v>
      </c>
      <c r="C124" s="138" t="s">
        <v>614</v>
      </c>
      <c r="D124" s="138" t="str">
        <f>VLOOKUP(Purchase[[#This Row],[Supplier ID]],Supplier[#All],2,0)</f>
        <v>National Electronics</v>
      </c>
      <c r="E124" s="138">
        <f>VLOOKUP(Purchase[[#This Row],[Supplier ID]],Supplier[#All],3,0)</f>
        <v>9689542497</v>
      </c>
      <c r="F124" s="138" t="str">
        <f>VLOOKUP(Purchase[[#This Row],[Supplier ID]],Supplier[#All],4,0)</f>
        <v>Kanpur</v>
      </c>
      <c r="G124" s="138" t="str">
        <f>VLOOKUP(Purchase[[#This Row],[Supplier ID]],Supplier[#All],5,0)</f>
        <v>UP</v>
      </c>
      <c r="H124" s="138" t="str">
        <f>VLOOKUP(Purchase[[#This Row],[Supplier ID]],Supplier[#All],6,0)</f>
        <v>GST2154521T059</v>
      </c>
      <c r="I124" s="138" t="s">
        <v>331</v>
      </c>
      <c r="J124" s="139">
        <v>19</v>
      </c>
      <c r="K124" s="143">
        <f>VLOOKUP(Purchase[[#This Row],[Product ID]],Product[#All],6,0)</f>
        <v>1721</v>
      </c>
      <c r="L124" s="143">
        <f>Purchase[[#This Row],[Purchase Rate]]*Purchase[[#This Row],[Qty]]</f>
        <v>32699</v>
      </c>
      <c r="M124" s="140">
        <v>0</v>
      </c>
      <c r="N124" s="143">
        <v>0</v>
      </c>
      <c r="O124" s="140">
        <v>0.18</v>
      </c>
      <c r="P124" s="145">
        <f>(Purchase[[#This Row],[Gross Amount]]-Purchase[[#This Row],[Disct %]])*Purchase[[#This Row],[GST %]]</f>
        <v>5885.82</v>
      </c>
      <c r="Q124" s="145">
        <f>Purchase[[#This Row],[Gross Amount]]-Purchase[[#This Row],[Disct Amnt]]+Purchase[[#This Row],[GST Amount]]</f>
        <v>38584.82</v>
      </c>
      <c r="R124" s="138" t="s">
        <v>1019</v>
      </c>
      <c r="S124" s="41">
        <f>IF(Purchase[[#This Row],[Status]]="Cancelled",0,Purchase[[#This Row],[Qty]])</f>
        <v>19</v>
      </c>
      <c r="T124" s="146">
        <f>IF(Purchase[[#This Row],[Status]]="Cancelled",0,Purchase[[#This Row],[Total Amount]])</f>
        <v>38584.82</v>
      </c>
      <c r="U124" s="146">
        <f>SUM(Purchase[Net Amount])</f>
        <v>814985438.68000126</v>
      </c>
    </row>
    <row r="125" spans="1:21" ht="19.5" thickBot="1" x14ac:dyDescent="0.3">
      <c r="A125" s="136" t="s">
        <v>1146</v>
      </c>
      <c r="B125" s="137">
        <v>45664</v>
      </c>
      <c r="C125" s="138" t="s">
        <v>584</v>
      </c>
      <c r="D125" s="138" t="str">
        <f>VLOOKUP(Purchase[[#This Row],[Supplier ID]],Supplier[#All],2,0)</f>
        <v>Prime Computers</v>
      </c>
      <c r="E125" s="138">
        <f>VLOOKUP(Purchase[[#This Row],[Supplier ID]],Supplier[#All],3,0)</f>
        <v>9689542468</v>
      </c>
      <c r="F125" s="138" t="str">
        <f>VLOOKUP(Purchase[[#This Row],[Supplier ID]],Supplier[#All],4,0)</f>
        <v>Kanpur</v>
      </c>
      <c r="G125" s="138" t="str">
        <f>VLOOKUP(Purchase[[#This Row],[Supplier ID]],Supplier[#All],5,0)</f>
        <v>UP</v>
      </c>
      <c r="H125" s="138" t="str">
        <f>VLOOKUP(Purchase[[#This Row],[Supplier ID]],Supplier[#All],6,0)</f>
        <v>GST2154521T030</v>
      </c>
      <c r="I125" s="138" t="s">
        <v>200</v>
      </c>
      <c r="J125" s="139">
        <v>18</v>
      </c>
      <c r="K125" s="143">
        <f>VLOOKUP(Purchase[[#This Row],[Product ID]],Product[#All],6,0)</f>
        <v>4331</v>
      </c>
      <c r="L125" s="143">
        <f>Purchase[[#This Row],[Purchase Rate]]*Purchase[[#This Row],[Qty]]</f>
        <v>77958</v>
      </c>
      <c r="M125" s="140">
        <v>0</v>
      </c>
      <c r="N125" s="143">
        <v>0</v>
      </c>
      <c r="O125" s="140">
        <v>0.18</v>
      </c>
      <c r="P125" s="145">
        <f>(Purchase[[#This Row],[Gross Amount]]-Purchase[[#This Row],[Disct %]])*Purchase[[#This Row],[GST %]]</f>
        <v>14032.439999999999</v>
      </c>
      <c r="Q125" s="145">
        <f>Purchase[[#This Row],[Gross Amount]]-Purchase[[#This Row],[Disct Amnt]]+Purchase[[#This Row],[GST Amount]]</f>
        <v>91990.44</v>
      </c>
      <c r="R125" s="138" t="s">
        <v>1019</v>
      </c>
      <c r="S125" s="41">
        <f>IF(Purchase[[#This Row],[Status]]="Cancelled",0,Purchase[[#This Row],[Qty]])</f>
        <v>18</v>
      </c>
      <c r="T125" s="146">
        <f>IF(Purchase[[#This Row],[Status]]="Cancelled",0,Purchase[[#This Row],[Total Amount]])</f>
        <v>91990.44</v>
      </c>
      <c r="U125" s="146">
        <f>SUM(Purchase[Net Amount])</f>
        <v>814985438.68000126</v>
      </c>
    </row>
    <row r="126" spans="1:21" ht="19.5" thickBot="1" x14ac:dyDescent="0.3">
      <c r="A126" s="136" t="s">
        <v>1147</v>
      </c>
      <c r="B126" s="137">
        <v>45664</v>
      </c>
      <c r="C126" s="138" t="s">
        <v>596</v>
      </c>
      <c r="D126" s="138" t="str">
        <f>VLOOKUP(Purchase[[#This Row],[Supplier ID]],Supplier[#All],2,0)</f>
        <v>star traders</v>
      </c>
      <c r="E126" s="138">
        <f>VLOOKUP(Purchase[[#This Row],[Supplier ID]],Supplier[#All],3,0)</f>
        <v>9689542479</v>
      </c>
      <c r="F126" s="138" t="str">
        <f>VLOOKUP(Purchase[[#This Row],[Supplier ID]],Supplier[#All],4,0)</f>
        <v>Korba</v>
      </c>
      <c r="G126" s="138" t="str">
        <f>VLOOKUP(Purchase[[#This Row],[Supplier ID]],Supplier[#All],5,0)</f>
        <v>CG</v>
      </c>
      <c r="H126" s="138" t="str">
        <f>VLOOKUP(Purchase[[#This Row],[Supplier ID]],Supplier[#All],6,0)</f>
        <v>GST2154521T041</v>
      </c>
      <c r="I126" s="138" t="s">
        <v>204</v>
      </c>
      <c r="J126" s="139">
        <v>26</v>
      </c>
      <c r="K126" s="143">
        <f>VLOOKUP(Purchase[[#This Row],[Product ID]],Product[#All],6,0)</f>
        <v>33533</v>
      </c>
      <c r="L126" s="143">
        <f>Purchase[[#This Row],[Purchase Rate]]*Purchase[[#This Row],[Qty]]</f>
        <v>871858</v>
      </c>
      <c r="M126" s="140">
        <v>0</v>
      </c>
      <c r="N126" s="143">
        <v>0</v>
      </c>
      <c r="O126" s="140">
        <v>0.18</v>
      </c>
      <c r="P126" s="145">
        <f>(Purchase[[#This Row],[Gross Amount]]-Purchase[[#This Row],[Disct %]])*Purchase[[#This Row],[GST %]]</f>
        <v>156934.44</v>
      </c>
      <c r="Q126" s="145">
        <f>Purchase[[#This Row],[Gross Amount]]-Purchase[[#This Row],[Disct Amnt]]+Purchase[[#This Row],[GST Amount]]</f>
        <v>1028792.44</v>
      </c>
      <c r="R126" s="138" t="s">
        <v>1019</v>
      </c>
      <c r="S126" s="41">
        <f>IF(Purchase[[#This Row],[Status]]="Cancelled",0,Purchase[[#This Row],[Qty]])</f>
        <v>26</v>
      </c>
      <c r="T126" s="146">
        <f>IF(Purchase[[#This Row],[Status]]="Cancelled",0,Purchase[[#This Row],[Total Amount]])</f>
        <v>1028792.44</v>
      </c>
      <c r="U126" s="146">
        <f>SUM(Purchase[Net Amount])</f>
        <v>814985438.68000126</v>
      </c>
    </row>
    <row r="127" spans="1:21" ht="19.5" thickBot="1" x14ac:dyDescent="0.3">
      <c r="A127" s="136" t="s">
        <v>1148</v>
      </c>
      <c r="B127" s="137">
        <v>45664</v>
      </c>
      <c r="C127" s="138" t="s">
        <v>599</v>
      </c>
      <c r="D127" s="138" t="str">
        <f>VLOOKUP(Purchase[[#This Row],[Supplier ID]],Supplier[#All],2,0)</f>
        <v>National Distributors</v>
      </c>
      <c r="E127" s="138">
        <f>VLOOKUP(Purchase[[#This Row],[Supplier ID]],Supplier[#All],3,0)</f>
        <v>9689542482</v>
      </c>
      <c r="F127" s="138" t="str">
        <f>VLOOKUP(Purchase[[#This Row],[Supplier ID]],Supplier[#All],4,0)</f>
        <v>Kanpur</v>
      </c>
      <c r="G127" s="138" t="str">
        <f>VLOOKUP(Purchase[[#This Row],[Supplier ID]],Supplier[#All],5,0)</f>
        <v>UP</v>
      </c>
      <c r="H127" s="138" t="str">
        <f>VLOOKUP(Purchase[[#This Row],[Supplier ID]],Supplier[#All],6,0)</f>
        <v>GST2154521T044</v>
      </c>
      <c r="I127" s="138" t="s">
        <v>120</v>
      </c>
      <c r="J127" s="139">
        <v>38</v>
      </c>
      <c r="K127" s="143">
        <f>VLOOKUP(Purchase[[#This Row],[Product ID]],Product[#All],6,0)</f>
        <v>5465</v>
      </c>
      <c r="L127" s="143">
        <f>Purchase[[#This Row],[Purchase Rate]]*Purchase[[#This Row],[Qty]]</f>
        <v>207670</v>
      </c>
      <c r="M127" s="140">
        <v>0</v>
      </c>
      <c r="N127" s="143">
        <v>0</v>
      </c>
      <c r="O127" s="140">
        <v>0.18</v>
      </c>
      <c r="P127" s="145">
        <f>(Purchase[[#This Row],[Gross Amount]]-Purchase[[#This Row],[Disct %]])*Purchase[[#This Row],[GST %]]</f>
        <v>37380.6</v>
      </c>
      <c r="Q127" s="145">
        <f>Purchase[[#This Row],[Gross Amount]]-Purchase[[#This Row],[Disct Amnt]]+Purchase[[#This Row],[GST Amount]]</f>
        <v>245050.6</v>
      </c>
      <c r="R127" s="138" t="s">
        <v>1019</v>
      </c>
      <c r="S127" s="41">
        <f>IF(Purchase[[#This Row],[Status]]="Cancelled",0,Purchase[[#This Row],[Qty]])</f>
        <v>38</v>
      </c>
      <c r="T127" s="146">
        <f>IF(Purchase[[#This Row],[Status]]="Cancelled",0,Purchase[[#This Row],[Total Amount]])</f>
        <v>245050.6</v>
      </c>
      <c r="U127" s="146">
        <f>SUM(Purchase[Net Amount])</f>
        <v>814985438.68000126</v>
      </c>
    </row>
    <row r="128" spans="1:21" ht="19.5" thickBot="1" x14ac:dyDescent="0.3">
      <c r="A128" s="136" t="s">
        <v>1149</v>
      </c>
      <c r="B128" s="137">
        <v>45664</v>
      </c>
      <c r="C128" s="138" t="s">
        <v>568</v>
      </c>
      <c r="D128" s="138" t="str">
        <f>VLOOKUP(Purchase[[#This Row],[Supplier ID]],Supplier[#All],2,0)</f>
        <v>Maa Computers</v>
      </c>
      <c r="E128" s="138">
        <f>VLOOKUP(Purchase[[#This Row],[Supplier ID]],Supplier[#All],3,0)</f>
        <v>9689542454</v>
      </c>
      <c r="F128" s="138" t="str">
        <f>VLOOKUP(Purchase[[#This Row],[Supplier ID]],Supplier[#All],4,0)</f>
        <v>Korba</v>
      </c>
      <c r="G128" s="138" t="str">
        <f>VLOOKUP(Purchase[[#This Row],[Supplier ID]],Supplier[#All],5,0)</f>
        <v>CG</v>
      </c>
      <c r="H128" s="138" t="str">
        <f>VLOOKUP(Purchase[[#This Row],[Supplier ID]],Supplier[#All],6,0)</f>
        <v>GST2154521T016</v>
      </c>
      <c r="I128" s="138" t="s">
        <v>384</v>
      </c>
      <c r="J128" s="139">
        <v>4</v>
      </c>
      <c r="K128" s="143">
        <f>VLOOKUP(Purchase[[#This Row],[Product ID]],Product[#All],6,0)</f>
        <v>12176</v>
      </c>
      <c r="L128" s="143">
        <f>Purchase[[#This Row],[Purchase Rate]]*Purchase[[#This Row],[Qty]]</f>
        <v>48704</v>
      </c>
      <c r="M128" s="140">
        <v>0</v>
      </c>
      <c r="N128" s="143">
        <v>0</v>
      </c>
      <c r="O128" s="140">
        <v>0.18</v>
      </c>
      <c r="P128" s="145">
        <f>(Purchase[[#This Row],[Gross Amount]]-Purchase[[#This Row],[Disct %]])*Purchase[[#This Row],[GST %]]</f>
        <v>8766.7199999999993</v>
      </c>
      <c r="Q128" s="145">
        <f>Purchase[[#This Row],[Gross Amount]]-Purchase[[#This Row],[Disct Amnt]]+Purchase[[#This Row],[GST Amount]]</f>
        <v>57470.720000000001</v>
      </c>
      <c r="R128" s="138" t="s">
        <v>1019</v>
      </c>
      <c r="S128" s="41">
        <f>IF(Purchase[[#This Row],[Status]]="Cancelled",0,Purchase[[#This Row],[Qty]])</f>
        <v>4</v>
      </c>
      <c r="T128" s="146">
        <f>IF(Purchase[[#This Row],[Status]]="Cancelled",0,Purchase[[#This Row],[Total Amount]])</f>
        <v>57470.720000000001</v>
      </c>
      <c r="U128" s="146">
        <f>SUM(Purchase[Net Amount])</f>
        <v>814985438.68000126</v>
      </c>
    </row>
    <row r="129" spans="1:21" ht="19.5" thickBot="1" x14ac:dyDescent="0.3">
      <c r="A129" s="136" t="s">
        <v>1150</v>
      </c>
      <c r="B129" s="137">
        <v>45664</v>
      </c>
      <c r="C129" s="138" t="s">
        <v>605</v>
      </c>
      <c r="D129" s="138" t="str">
        <f>VLOOKUP(Purchase[[#This Row],[Supplier ID]],Supplier[#All],2,0)</f>
        <v>Star Traders</v>
      </c>
      <c r="E129" s="138">
        <f>VLOOKUP(Purchase[[#This Row],[Supplier ID]],Supplier[#All],3,0)</f>
        <v>9689542488</v>
      </c>
      <c r="F129" s="138" t="str">
        <f>VLOOKUP(Purchase[[#This Row],[Supplier ID]],Supplier[#All],4,0)</f>
        <v>Indore</v>
      </c>
      <c r="G129" s="138" t="str">
        <f>VLOOKUP(Purchase[[#This Row],[Supplier ID]],Supplier[#All],5,0)</f>
        <v>MP</v>
      </c>
      <c r="H129" s="138" t="str">
        <f>VLOOKUP(Purchase[[#This Row],[Supplier ID]],Supplier[#All],6,0)</f>
        <v>GST2154521T050</v>
      </c>
      <c r="I129" s="138" t="s">
        <v>191</v>
      </c>
      <c r="J129" s="139">
        <v>32</v>
      </c>
      <c r="K129" s="143">
        <f>VLOOKUP(Purchase[[#This Row],[Product ID]],Product[#All],6,0)</f>
        <v>1533</v>
      </c>
      <c r="L129" s="143">
        <f>Purchase[[#This Row],[Purchase Rate]]*Purchase[[#This Row],[Qty]]</f>
        <v>49056</v>
      </c>
      <c r="M129" s="140">
        <v>0</v>
      </c>
      <c r="N129" s="143">
        <v>0</v>
      </c>
      <c r="O129" s="140">
        <v>0.18</v>
      </c>
      <c r="P129" s="145">
        <f>(Purchase[[#This Row],[Gross Amount]]-Purchase[[#This Row],[Disct %]])*Purchase[[#This Row],[GST %]]</f>
        <v>8830.08</v>
      </c>
      <c r="Q129" s="145">
        <f>Purchase[[#This Row],[Gross Amount]]-Purchase[[#This Row],[Disct Amnt]]+Purchase[[#This Row],[GST Amount]]</f>
        <v>57886.080000000002</v>
      </c>
      <c r="R129" s="138" t="s">
        <v>1019</v>
      </c>
      <c r="S129" s="41">
        <f>IF(Purchase[[#This Row],[Status]]="Cancelled",0,Purchase[[#This Row],[Qty]])</f>
        <v>32</v>
      </c>
      <c r="T129" s="146">
        <f>IF(Purchase[[#This Row],[Status]]="Cancelled",0,Purchase[[#This Row],[Total Amount]])</f>
        <v>57886.080000000002</v>
      </c>
      <c r="U129" s="146">
        <f>SUM(Purchase[Net Amount])</f>
        <v>814985438.68000126</v>
      </c>
    </row>
    <row r="130" spans="1:21" ht="19.5" thickBot="1" x14ac:dyDescent="0.3">
      <c r="A130" s="136" t="s">
        <v>1151</v>
      </c>
      <c r="B130" s="137">
        <v>45664</v>
      </c>
      <c r="C130" s="138" t="s">
        <v>594</v>
      </c>
      <c r="D130" s="138" t="str">
        <f>VLOOKUP(Purchase[[#This Row],[Supplier ID]],Supplier[#All],2,0)</f>
        <v>Shree Suppliers</v>
      </c>
      <c r="E130" s="138">
        <f>VLOOKUP(Purchase[[#This Row],[Supplier ID]],Supplier[#All],3,0)</f>
        <v>9689542477</v>
      </c>
      <c r="F130" s="138" t="str">
        <f>VLOOKUP(Purchase[[#This Row],[Supplier ID]],Supplier[#All],4,0)</f>
        <v>Indore</v>
      </c>
      <c r="G130" s="138" t="str">
        <f>VLOOKUP(Purchase[[#This Row],[Supplier ID]],Supplier[#All],5,0)</f>
        <v>MP</v>
      </c>
      <c r="H130" s="138" t="str">
        <f>VLOOKUP(Purchase[[#This Row],[Supplier ID]],Supplier[#All],6,0)</f>
        <v>GST2154521T039</v>
      </c>
      <c r="I130" s="138" t="s">
        <v>352</v>
      </c>
      <c r="J130" s="139">
        <v>4</v>
      </c>
      <c r="K130" s="143">
        <f>VLOOKUP(Purchase[[#This Row],[Product ID]],Product[#All],6,0)</f>
        <v>10783</v>
      </c>
      <c r="L130" s="143">
        <f>Purchase[[#This Row],[Purchase Rate]]*Purchase[[#This Row],[Qty]]</f>
        <v>43132</v>
      </c>
      <c r="M130" s="140">
        <v>0</v>
      </c>
      <c r="N130" s="143">
        <v>0</v>
      </c>
      <c r="O130" s="140">
        <v>0.18</v>
      </c>
      <c r="P130" s="145">
        <f>(Purchase[[#This Row],[Gross Amount]]-Purchase[[#This Row],[Disct %]])*Purchase[[#This Row],[GST %]]</f>
        <v>7763.7599999999993</v>
      </c>
      <c r="Q130" s="145">
        <f>Purchase[[#This Row],[Gross Amount]]-Purchase[[#This Row],[Disct Amnt]]+Purchase[[#This Row],[GST Amount]]</f>
        <v>50895.76</v>
      </c>
      <c r="R130" s="138" t="s">
        <v>1019</v>
      </c>
      <c r="S130" s="41">
        <f>IF(Purchase[[#This Row],[Status]]="Cancelled",0,Purchase[[#This Row],[Qty]])</f>
        <v>4</v>
      </c>
      <c r="T130" s="146">
        <f>IF(Purchase[[#This Row],[Status]]="Cancelled",0,Purchase[[#This Row],[Total Amount]])</f>
        <v>50895.76</v>
      </c>
      <c r="U130" s="146">
        <f>SUM(Purchase[Net Amount])</f>
        <v>814985438.68000126</v>
      </c>
    </row>
    <row r="131" spans="1:21" ht="19.5" thickBot="1" x14ac:dyDescent="0.3">
      <c r="A131" s="136" t="s">
        <v>1152</v>
      </c>
      <c r="B131" s="137">
        <v>45664</v>
      </c>
      <c r="C131" s="138" t="s">
        <v>567</v>
      </c>
      <c r="D131" s="138" t="str">
        <f>VLOOKUP(Purchase[[#This Row],[Supplier ID]],Supplier[#All],2,0)</f>
        <v>National Distributors</v>
      </c>
      <c r="E131" s="138">
        <f>VLOOKUP(Purchase[[#This Row],[Supplier ID]],Supplier[#All],3,0)</f>
        <v>9689542453</v>
      </c>
      <c r="F131" s="138" t="str">
        <f>VLOOKUP(Purchase[[#This Row],[Supplier ID]],Supplier[#All],4,0)</f>
        <v>Korba</v>
      </c>
      <c r="G131" s="138" t="str">
        <f>VLOOKUP(Purchase[[#This Row],[Supplier ID]],Supplier[#All],5,0)</f>
        <v>CG</v>
      </c>
      <c r="H131" s="138" t="str">
        <f>VLOOKUP(Purchase[[#This Row],[Supplier ID]],Supplier[#All],6,0)</f>
        <v>GST2154521T015</v>
      </c>
      <c r="I131" s="138" t="s">
        <v>200</v>
      </c>
      <c r="J131" s="139">
        <v>12</v>
      </c>
      <c r="K131" s="143">
        <f>VLOOKUP(Purchase[[#This Row],[Product ID]],Product[#All],6,0)</f>
        <v>4331</v>
      </c>
      <c r="L131" s="143">
        <f>Purchase[[#This Row],[Purchase Rate]]*Purchase[[#This Row],[Qty]]</f>
        <v>51972</v>
      </c>
      <c r="M131" s="140">
        <v>0</v>
      </c>
      <c r="N131" s="143">
        <v>0</v>
      </c>
      <c r="O131" s="140">
        <v>0.18</v>
      </c>
      <c r="P131" s="145">
        <f>(Purchase[[#This Row],[Gross Amount]]-Purchase[[#This Row],[Disct %]])*Purchase[[#This Row],[GST %]]</f>
        <v>9354.9599999999991</v>
      </c>
      <c r="Q131" s="145">
        <f>Purchase[[#This Row],[Gross Amount]]-Purchase[[#This Row],[Disct Amnt]]+Purchase[[#This Row],[GST Amount]]</f>
        <v>61326.96</v>
      </c>
      <c r="R131" s="138" t="s">
        <v>1019</v>
      </c>
      <c r="S131" s="41">
        <f>IF(Purchase[[#This Row],[Status]]="Cancelled",0,Purchase[[#This Row],[Qty]])</f>
        <v>12</v>
      </c>
      <c r="T131" s="146">
        <f>IF(Purchase[[#This Row],[Status]]="Cancelled",0,Purchase[[#This Row],[Total Amount]])</f>
        <v>61326.96</v>
      </c>
      <c r="U131" s="146">
        <f>SUM(Purchase[Net Amount])</f>
        <v>814985438.68000126</v>
      </c>
    </row>
    <row r="132" spans="1:21" ht="19.5" thickBot="1" x14ac:dyDescent="0.3">
      <c r="A132" s="136" t="s">
        <v>1153</v>
      </c>
      <c r="B132" s="137">
        <v>45664</v>
      </c>
      <c r="C132" s="138" t="s">
        <v>587</v>
      </c>
      <c r="D132" s="138" t="str">
        <f>VLOOKUP(Purchase[[#This Row],[Supplier ID]],Supplier[#All],2,0)</f>
        <v>maa distributors</v>
      </c>
      <c r="E132" s="138">
        <f>VLOOKUP(Purchase[[#This Row],[Supplier ID]],Supplier[#All],3,0)</f>
        <v>9689542479</v>
      </c>
      <c r="F132" s="138" t="str">
        <f>VLOOKUP(Purchase[[#This Row],[Supplier ID]],Supplier[#All],4,0)</f>
        <v>Indore</v>
      </c>
      <c r="G132" s="138" t="str">
        <f>VLOOKUP(Purchase[[#This Row],[Supplier ID]],Supplier[#All],5,0)</f>
        <v>MP</v>
      </c>
      <c r="H132" s="138" t="str">
        <f>VLOOKUP(Purchase[[#This Row],[Supplier ID]],Supplier[#All],6,0)</f>
        <v>GST2154521T033</v>
      </c>
      <c r="I132" s="138" t="s">
        <v>401</v>
      </c>
      <c r="J132" s="139">
        <v>15</v>
      </c>
      <c r="K132" s="143">
        <f>VLOOKUP(Purchase[[#This Row],[Product ID]],Product[#All],6,0)</f>
        <v>517</v>
      </c>
      <c r="L132" s="143">
        <f>Purchase[[#This Row],[Purchase Rate]]*Purchase[[#This Row],[Qty]]</f>
        <v>7755</v>
      </c>
      <c r="M132" s="140">
        <v>0</v>
      </c>
      <c r="N132" s="143">
        <v>0</v>
      </c>
      <c r="O132" s="140">
        <v>0.18</v>
      </c>
      <c r="P132" s="145">
        <f>(Purchase[[#This Row],[Gross Amount]]-Purchase[[#This Row],[Disct %]])*Purchase[[#This Row],[GST %]]</f>
        <v>1395.8999999999999</v>
      </c>
      <c r="Q132" s="145">
        <f>Purchase[[#This Row],[Gross Amount]]-Purchase[[#This Row],[Disct Amnt]]+Purchase[[#This Row],[GST Amount]]</f>
        <v>9150.9</v>
      </c>
      <c r="R132" s="138" t="s">
        <v>1019</v>
      </c>
      <c r="S132" s="41">
        <f>IF(Purchase[[#This Row],[Status]]="Cancelled",0,Purchase[[#This Row],[Qty]])</f>
        <v>15</v>
      </c>
      <c r="T132" s="146">
        <f>IF(Purchase[[#This Row],[Status]]="Cancelled",0,Purchase[[#This Row],[Total Amount]])</f>
        <v>9150.9</v>
      </c>
      <c r="U132" s="146">
        <f>SUM(Purchase[Net Amount])</f>
        <v>814985438.68000126</v>
      </c>
    </row>
    <row r="133" spans="1:21" ht="19.5" thickBot="1" x14ac:dyDescent="0.3">
      <c r="A133" s="136" t="s">
        <v>1154</v>
      </c>
      <c r="B133" s="137">
        <v>45664</v>
      </c>
      <c r="C133" s="138" t="s">
        <v>573</v>
      </c>
      <c r="D133" s="138" t="str">
        <f>VLOOKUP(Purchase[[#This Row],[Supplier ID]],Supplier[#All],2,0)</f>
        <v>Shree Traders</v>
      </c>
      <c r="E133" s="138">
        <f>VLOOKUP(Purchase[[#This Row],[Supplier ID]],Supplier[#All],3,0)</f>
        <v>9689542458</v>
      </c>
      <c r="F133" s="138" t="str">
        <f>VLOOKUP(Purchase[[#This Row],[Supplier ID]],Supplier[#All],4,0)</f>
        <v>Korba</v>
      </c>
      <c r="G133" s="138" t="str">
        <f>VLOOKUP(Purchase[[#This Row],[Supplier ID]],Supplier[#All],5,0)</f>
        <v>CG</v>
      </c>
      <c r="H133" s="138" t="str">
        <f>VLOOKUP(Purchase[[#This Row],[Supplier ID]],Supplier[#All],6,0)</f>
        <v>GST2154521T020</v>
      </c>
      <c r="I133" s="138" t="s">
        <v>77</v>
      </c>
      <c r="J133" s="139">
        <v>35</v>
      </c>
      <c r="K133" s="143">
        <f>VLOOKUP(Purchase[[#This Row],[Product ID]],Product[#All],6,0)</f>
        <v>2282</v>
      </c>
      <c r="L133" s="143">
        <f>Purchase[[#This Row],[Purchase Rate]]*Purchase[[#This Row],[Qty]]</f>
        <v>79870</v>
      </c>
      <c r="M133" s="140">
        <v>0</v>
      </c>
      <c r="N133" s="143">
        <v>0</v>
      </c>
      <c r="O133" s="140">
        <v>0.18</v>
      </c>
      <c r="P133" s="145">
        <f>(Purchase[[#This Row],[Gross Amount]]-Purchase[[#This Row],[Disct %]])*Purchase[[#This Row],[GST %]]</f>
        <v>14376.6</v>
      </c>
      <c r="Q133" s="145">
        <f>Purchase[[#This Row],[Gross Amount]]-Purchase[[#This Row],[Disct Amnt]]+Purchase[[#This Row],[GST Amount]]</f>
        <v>94246.6</v>
      </c>
      <c r="R133" s="138" t="s">
        <v>1019</v>
      </c>
      <c r="S133" s="41">
        <f>IF(Purchase[[#This Row],[Status]]="Cancelled",0,Purchase[[#This Row],[Qty]])</f>
        <v>35</v>
      </c>
      <c r="T133" s="146">
        <f>IF(Purchase[[#This Row],[Status]]="Cancelled",0,Purchase[[#This Row],[Total Amount]])</f>
        <v>94246.6</v>
      </c>
      <c r="U133" s="146">
        <f>SUM(Purchase[Net Amount])</f>
        <v>814985438.68000126</v>
      </c>
    </row>
    <row r="134" spans="1:21" ht="19.5" thickBot="1" x14ac:dyDescent="0.3">
      <c r="A134" s="136" t="s">
        <v>1155</v>
      </c>
      <c r="B134" s="137">
        <v>45664</v>
      </c>
      <c r="C134" s="138" t="s">
        <v>569</v>
      </c>
      <c r="D134" s="138" t="str">
        <f>VLOOKUP(Purchase[[#This Row],[Supplier ID]],Supplier[#All],2,0)</f>
        <v>Tech Electronics</v>
      </c>
      <c r="E134" s="138">
        <f>VLOOKUP(Purchase[[#This Row],[Supplier ID]],Supplier[#All],3,0)</f>
        <v>9689542455</v>
      </c>
      <c r="F134" s="138" t="str">
        <f>VLOOKUP(Purchase[[#This Row],[Supplier ID]],Supplier[#All],4,0)</f>
        <v>Korba</v>
      </c>
      <c r="G134" s="138" t="str">
        <f>VLOOKUP(Purchase[[#This Row],[Supplier ID]],Supplier[#All],5,0)</f>
        <v>CG</v>
      </c>
      <c r="H134" s="138" t="str">
        <f>VLOOKUP(Purchase[[#This Row],[Supplier ID]],Supplier[#All],6,0)</f>
        <v>GST2154521T017</v>
      </c>
      <c r="I134" s="138" t="s">
        <v>494</v>
      </c>
      <c r="J134" s="139">
        <v>32</v>
      </c>
      <c r="K134" s="143">
        <f>VLOOKUP(Purchase[[#This Row],[Product ID]],Product[#All],6,0)</f>
        <v>549</v>
      </c>
      <c r="L134" s="143">
        <f>Purchase[[#This Row],[Purchase Rate]]*Purchase[[#This Row],[Qty]]</f>
        <v>17568</v>
      </c>
      <c r="M134" s="140">
        <v>0</v>
      </c>
      <c r="N134" s="143">
        <v>0</v>
      </c>
      <c r="O134" s="140">
        <v>0.18</v>
      </c>
      <c r="P134" s="145">
        <f>(Purchase[[#This Row],[Gross Amount]]-Purchase[[#This Row],[Disct %]])*Purchase[[#This Row],[GST %]]</f>
        <v>3162.24</v>
      </c>
      <c r="Q134" s="145">
        <f>Purchase[[#This Row],[Gross Amount]]-Purchase[[#This Row],[Disct Amnt]]+Purchase[[#This Row],[GST Amount]]</f>
        <v>20730.239999999998</v>
      </c>
      <c r="R134" s="138" t="s">
        <v>1019</v>
      </c>
      <c r="S134" s="41">
        <f>IF(Purchase[[#This Row],[Status]]="Cancelled",0,Purchase[[#This Row],[Qty]])</f>
        <v>32</v>
      </c>
      <c r="T134" s="146">
        <f>IF(Purchase[[#This Row],[Status]]="Cancelled",0,Purchase[[#This Row],[Total Amount]])</f>
        <v>20730.239999999998</v>
      </c>
      <c r="U134" s="146">
        <f>SUM(Purchase[Net Amount])</f>
        <v>814985438.68000126</v>
      </c>
    </row>
    <row r="135" spans="1:21" ht="19.5" thickBot="1" x14ac:dyDescent="0.3">
      <c r="A135" s="136" t="s">
        <v>1156</v>
      </c>
      <c r="B135" s="137">
        <v>45664</v>
      </c>
      <c r="C135" s="138" t="s">
        <v>575</v>
      </c>
      <c r="D135" s="138" t="str">
        <f>VLOOKUP(Purchase[[#This Row],[Supplier ID]],Supplier[#All],2,0)</f>
        <v>Global Computers</v>
      </c>
      <c r="E135" s="138">
        <f>VLOOKUP(Purchase[[#This Row],[Supplier ID]],Supplier[#All],3,0)</f>
        <v>9689542459</v>
      </c>
      <c r="F135" s="138" t="str">
        <f>VLOOKUP(Purchase[[#This Row],[Supplier ID]],Supplier[#All],4,0)</f>
        <v>Indore</v>
      </c>
      <c r="G135" s="138" t="str">
        <f>VLOOKUP(Purchase[[#This Row],[Supplier ID]],Supplier[#All],5,0)</f>
        <v>MP</v>
      </c>
      <c r="H135" s="138" t="str">
        <f>VLOOKUP(Purchase[[#This Row],[Supplier ID]],Supplier[#All],6,0)</f>
        <v>GST2154521T021</v>
      </c>
      <c r="I135" s="138" t="s">
        <v>81</v>
      </c>
      <c r="J135" s="139">
        <v>14</v>
      </c>
      <c r="K135" s="143">
        <f>VLOOKUP(Purchase[[#This Row],[Product ID]],Product[#All],6,0)</f>
        <v>52393</v>
      </c>
      <c r="L135" s="143">
        <f>Purchase[[#This Row],[Purchase Rate]]*Purchase[[#This Row],[Qty]]</f>
        <v>733502</v>
      </c>
      <c r="M135" s="140">
        <v>0</v>
      </c>
      <c r="N135" s="143">
        <v>0</v>
      </c>
      <c r="O135" s="140">
        <v>0.18</v>
      </c>
      <c r="P135" s="145">
        <f>(Purchase[[#This Row],[Gross Amount]]-Purchase[[#This Row],[Disct %]])*Purchase[[#This Row],[GST %]]</f>
        <v>132030.35999999999</v>
      </c>
      <c r="Q135" s="145">
        <f>Purchase[[#This Row],[Gross Amount]]-Purchase[[#This Row],[Disct Amnt]]+Purchase[[#This Row],[GST Amount]]</f>
        <v>865532.36</v>
      </c>
      <c r="R135" s="138" t="s">
        <v>1019</v>
      </c>
      <c r="S135" s="41">
        <f>IF(Purchase[[#This Row],[Status]]="Cancelled",0,Purchase[[#This Row],[Qty]])</f>
        <v>14</v>
      </c>
      <c r="T135" s="146">
        <f>IF(Purchase[[#This Row],[Status]]="Cancelled",0,Purchase[[#This Row],[Total Amount]])</f>
        <v>865532.36</v>
      </c>
      <c r="U135" s="146">
        <f>SUM(Purchase[Net Amount])</f>
        <v>814985438.68000126</v>
      </c>
    </row>
    <row r="136" spans="1:21" ht="19.5" thickBot="1" x14ac:dyDescent="0.3">
      <c r="A136" s="136" t="s">
        <v>1157</v>
      </c>
      <c r="B136" s="137">
        <v>45664</v>
      </c>
      <c r="C136" s="138" t="s">
        <v>575</v>
      </c>
      <c r="D136" s="138" t="str">
        <f>VLOOKUP(Purchase[[#This Row],[Supplier ID]],Supplier[#All],2,0)</f>
        <v>Global Computers</v>
      </c>
      <c r="E136" s="138">
        <f>VLOOKUP(Purchase[[#This Row],[Supplier ID]],Supplier[#All],3,0)</f>
        <v>9689542459</v>
      </c>
      <c r="F136" s="138" t="str">
        <f>VLOOKUP(Purchase[[#This Row],[Supplier ID]],Supplier[#All],4,0)</f>
        <v>Indore</v>
      </c>
      <c r="G136" s="138" t="str">
        <f>VLOOKUP(Purchase[[#This Row],[Supplier ID]],Supplier[#All],5,0)</f>
        <v>MP</v>
      </c>
      <c r="H136" s="138" t="str">
        <f>VLOOKUP(Purchase[[#This Row],[Supplier ID]],Supplier[#All],6,0)</f>
        <v>GST2154521T021</v>
      </c>
      <c r="I136" s="138" t="s">
        <v>224</v>
      </c>
      <c r="J136" s="139">
        <v>17</v>
      </c>
      <c r="K136" s="143">
        <f>VLOOKUP(Purchase[[#This Row],[Product ID]],Product[#All],6,0)</f>
        <v>6591</v>
      </c>
      <c r="L136" s="143">
        <f>Purchase[[#This Row],[Purchase Rate]]*Purchase[[#This Row],[Qty]]</f>
        <v>112047</v>
      </c>
      <c r="M136" s="140">
        <v>0</v>
      </c>
      <c r="N136" s="143">
        <v>0</v>
      </c>
      <c r="O136" s="140">
        <v>0.18</v>
      </c>
      <c r="P136" s="145">
        <f>(Purchase[[#This Row],[Gross Amount]]-Purchase[[#This Row],[Disct %]])*Purchase[[#This Row],[GST %]]</f>
        <v>20168.46</v>
      </c>
      <c r="Q136" s="145">
        <f>Purchase[[#This Row],[Gross Amount]]-Purchase[[#This Row],[Disct Amnt]]+Purchase[[#This Row],[GST Amount]]</f>
        <v>132215.46</v>
      </c>
      <c r="R136" s="138" t="s">
        <v>1019</v>
      </c>
      <c r="S136" s="41">
        <f>IF(Purchase[[#This Row],[Status]]="Cancelled",0,Purchase[[#This Row],[Qty]])</f>
        <v>17</v>
      </c>
      <c r="T136" s="146">
        <f>IF(Purchase[[#This Row],[Status]]="Cancelled",0,Purchase[[#This Row],[Total Amount]])</f>
        <v>132215.46</v>
      </c>
      <c r="U136" s="146">
        <f>SUM(Purchase[Net Amount])</f>
        <v>814985438.68000126</v>
      </c>
    </row>
    <row r="137" spans="1:21" ht="19.5" thickBot="1" x14ac:dyDescent="0.3">
      <c r="A137" s="136" t="s">
        <v>1158</v>
      </c>
      <c r="B137" s="137">
        <v>45664</v>
      </c>
      <c r="C137" s="138" t="s">
        <v>589</v>
      </c>
      <c r="D137" s="138" t="str">
        <f>VLOOKUP(Purchase[[#This Row],[Supplier ID]],Supplier[#All],2,0)</f>
        <v>Maa Computers</v>
      </c>
      <c r="E137" s="138">
        <f>VLOOKUP(Purchase[[#This Row],[Supplier ID]],Supplier[#All],3,0)</f>
        <v>9689542473</v>
      </c>
      <c r="F137" s="138" t="str">
        <f>VLOOKUP(Purchase[[#This Row],[Supplier ID]],Supplier[#All],4,0)</f>
        <v>Kanpur</v>
      </c>
      <c r="G137" s="138" t="str">
        <f>VLOOKUP(Purchase[[#This Row],[Supplier ID]],Supplier[#All],5,0)</f>
        <v>UP</v>
      </c>
      <c r="H137" s="138" t="str">
        <f>VLOOKUP(Purchase[[#This Row],[Supplier ID]],Supplier[#All],6,0)</f>
        <v>GST2154521T035</v>
      </c>
      <c r="I137" s="138" t="s">
        <v>386</v>
      </c>
      <c r="J137" s="139">
        <v>24</v>
      </c>
      <c r="K137" s="143">
        <f>VLOOKUP(Purchase[[#This Row],[Product ID]],Product[#All],6,0)</f>
        <v>534</v>
      </c>
      <c r="L137" s="143">
        <f>Purchase[[#This Row],[Purchase Rate]]*Purchase[[#This Row],[Qty]]</f>
        <v>12816</v>
      </c>
      <c r="M137" s="140">
        <v>0</v>
      </c>
      <c r="N137" s="143">
        <v>0</v>
      </c>
      <c r="O137" s="140">
        <v>0.18</v>
      </c>
      <c r="P137" s="145">
        <f>(Purchase[[#This Row],[Gross Amount]]-Purchase[[#This Row],[Disct %]])*Purchase[[#This Row],[GST %]]</f>
        <v>2306.88</v>
      </c>
      <c r="Q137" s="145">
        <f>Purchase[[#This Row],[Gross Amount]]-Purchase[[#This Row],[Disct Amnt]]+Purchase[[#This Row],[GST Amount]]</f>
        <v>15122.880000000001</v>
      </c>
      <c r="R137" s="138" t="s">
        <v>1019</v>
      </c>
      <c r="S137" s="41">
        <f>IF(Purchase[[#This Row],[Status]]="Cancelled",0,Purchase[[#This Row],[Qty]])</f>
        <v>24</v>
      </c>
      <c r="T137" s="146">
        <f>IF(Purchase[[#This Row],[Status]]="Cancelled",0,Purchase[[#This Row],[Total Amount]])</f>
        <v>15122.880000000001</v>
      </c>
      <c r="U137" s="146">
        <f>SUM(Purchase[Net Amount])</f>
        <v>814985438.68000126</v>
      </c>
    </row>
    <row r="138" spans="1:21" ht="19.5" thickBot="1" x14ac:dyDescent="0.3">
      <c r="A138" s="136" t="s">
        <v>1159</v>
      </c>
      <c r="B138" s="137">
        <v>45664</v>
      </c>
      <c r="C138" s="138" t="s">
        <v>567</v>
      </c>
      <c r="D138" s="138" t="str">
        <f>VLOOKUP(Purchase[[#This Row],[Supplier ID]],Supplier[#All],2,0)</f>
        <v>National Distributors</v>
      </c>
      <c r="E138" s="138">
        <f>VLOOKUP(Purchase[[#This Row],[Supplier ID]],Supplier[#All],3,0)</f>
        <v>9689542453</v>
      </c>
      <c r="F138" s="138" t="str">
        <f>VLOOKUP(Purchase[[#This Row],[Supplier ID]],Supplier[#All],4,0)</f>
        <v>Korba</v>
      </c>
      <c r="G138" s="138" t="str">
        <f>VLOOKUP(Purchase[[#This Row],[Supplier ID]],Supplier[#All],5,0)</f>
        <v>CG</v>
      </c>
      <c r="H138" s="138" t="str">
        <f>VLOOKUP(Purchase[[#This Row],[Supplier ID]],Supplier[#All],6,0)</f>
        <v>GST2154521T015</v>
      </c>
      <c r="I138" s="138" t="s">
        <v>478</v>
      </c>
      <c r="J138" s="139">
        <v>26</v>
      </c>
      <c r="K138" s="143">
        <f>VLOOKUP(Purchase[[#This Row],[Product ID]],Product[#All],6,0)</f>
        <v>4866</v>
      </c>
      <c r="L138" s="143">
        <f>Purchase[[#This Row],[Purchase Rate]]*Purchase[[#This Row],[Qty]]</f>
        <v>126516</v>
      </c>
      <c r="M138" s="140">
        <v>0</v>
      </c>
      <c r="N138" s="143">
        <v>0</v>
      </c>
      <c r="O138" s="140">
        <v>0.18</v>
      </c>
      <c r="P138" s="145">
        <f>(Purchase[[#This Row],[Gross Amount]]-Purchase[[#This Row],[Disct %]])*Purchase[[#This Row],[GST %]]</f>
        <v>22772.879999999997</v>
      </c>
      <c r="Q138" s="145">
        <f>Purchase[[#This Row],[Gross Amount]]-Purchase[[#This Row],[Disct Amnt]]+Purchase[[#This Row],[GST Amount]]</f>
        <v>149288.88</v>
      </c>
      <c r="R138" s="138" t="s">
        <v>1019</v>
      </c>
      <c r="S138" s="41">
        <f>IF(Purchase[[#This Row],[Status]]="Cancelled",0,Purchase[[#This Row],[Qty]])</f>
        <v>26</v>
      </c>
      <c r="T138" s="146">
        <f>IF(Purchase[[#This Row],[Status]]="Cancelled",0,Purchase[[#This Row],[Total Amount]])</f>
        <v>149288.88</v>
      </c>
      <c r="U138" s="146">
        <f>SUM(Purchase[Net Amount])</f>
        <v>814985438.68000126</v>
      </c>
    </row>
    <row r="139" spans="1:21" ht="19.5" thickBot="1" x14ac:dyDescent="0.3">
      <c r="A139" s="136" t="s">
        <v>1160</v>
      </c>
      <c r="B139" s="137">
        <v>45664</v>
      </c>
      <c r="C139" s="138" t="s">
        <v>616</v>
      </c>
      <c r="D139" s="138" t="str">
        <f>VLOOKUP(Purchase[[#This Row],[Supplier ID]],Supplier[#All],2,0)</f>
        <v>Global Suppliers</v>
      </c>
      <c r="E139" s="138">
        <f>VLOOKUP(Purchase[[#This Row],[Supplier ID]],Supplier[#All],3,0)</f>
        <v>9689542499</v>
      </c>
      <c r="F139" s="138" t="str">
        <f>VLOOKUP(Purchase[[#This Row],[Supplier ID]],Supplier[#All],4,0)</f>
        <v>Kanpur</v>
      </c>
      <c r="G139" s="138" t="str">
        <f>VLOOKUP(Purchase[[#This Row],[Supplier ID]],Supplier[#All],5,0)</f>
        <v>UP</v>
      </c>
      <c r="H139" s="138" t="str">
        <f>VLOOKUP(Purchase[[#This Row],[Supplier ID]],Supplier[#All],6,0)</f>
        <v>GST2154521T061</v>
      </c>
      <c r="I139" s="138" t="s">
        <v>438</v>
      </c>
      <c r="J139" s="139">
        <v>19</v>
      </c>
      <c r="K139" s="143">
        <f>VLOOKUP(Purchase[[#This Row],[Product ID]],Product[#All],6,0)</f>
        <v>1324</v>
      </c>
      <c r="L139" s="143">
        <f>Purchase[[#This Row],[Purchase Rate]]*Purchase[[#This Row],[Qty]]</f>
        <v>25156</v>
      </c>
      <c r="M139" s="140">
        <v>0</v>
      </c>
      <c r="N139" s="143">
        <v>0</v>
      </c>
      <c r="O139" s="140">
        <v>0.18</v>
      </c>
      <c r="P139" s="145">
        <f>(Purchase[[#This Row],[Gross Amount]]-Purchase[[#This Row],[Disct %]])*Purchase[[#This Row],[GST %]]</f>
        <v>4528.08</v>
      </c>
      <c r="Q139" s="145">
        <f>Purchase[[#This Row],[Gross Amount]]-Purchase[[#This Row],[Disct Amnt]]+Purchase[[#This Row],[GST Amount]]</f>
        <v>29684.080000000002</v>
      </c>
      <c r="R139" s="138" t="s">
        <v>1019</v>
      </c>
      <c r="S139" s="41">
        <f>IF(Purchase[[#This Row],[Status]]="Cancelled",0,Purchase[[#This Row],[Qty]])</f>
        <v>19</v>
      </c>
      <c r="T139" s="146">
        <f>IF(Purchase[[#This Row],[Status]]="Cancelled",0,Purchase[[#This Row],[Total Amount]])</f>
        <v>29684.080000000002</v>
      </c>
      <c r="U139" s="146">
        <f>SUM(Purchase[Net Amount])</f>
        <v>814985438.68000126</v>
      </c>
    </row>
    <row r="140" spans="1:21" ht="19.5" thickBot="1" x14ac:dyDescent="0.3">
      <c r="A140" s="136" t="s">
        <v>1161</v>
      </c>
      <c r="B140" s="137">
        <v>45664</v>
      </c>
      <c r="C140" s="138" t="s">
        <v>571</v>
      </c>
      <c r="D140" s="138" t="str">
        <f>VLOOKUP(Purchase[[#This Row],[Supplier ID]],Supplier[#All],2,0)</f>
        <v>Tech Suppliers</v>
      </c>
      <c r="E140" s="138">
        <f>VLOOKUP(Purchase[[#This Row],[Supplier ID]],Supplier[#All],3,0)</f>
        <v>9689542457</v>
      </c>
      <c r="F140" s="138" t="str">
        <f>VLOOKUP(Purchase[[#This Row],[Supplier ID]],Supplier[#All],4,0)</f>
        <v>Korba</v>
      </c>
      <c r="G140" s="138" t="str">
        <f>VLOOKUP(Purchase[[#This Row],[Supplier ID]],Supplier[#All],5,0)</f>
        <v>CG</v>
      </c>
      <c r="H140" s="138" t="str">
        <f>VLOOKUP(Purchase[[#This Row],[Supplier ID]],Supplier[#All],6,0)</f>
        <v>GST2154521T019</v>
      </c>
      <c r="I140" s="138" t="s">
        <v>391</v>
      </c>
      <c r="J140" s="139">
        <v>25</v>
      </c>
      <c r="K140" s="143">
        <f>VLOOKUP(Purchase[[#This Row],[Product ID]],Product[#All],6,0)</f>
        <v>8047</v>
      </c>
      <c r="L140" s="143">
        <f>Purchase[[#This Row],[Purchase Rate]]*Purchase[[#This Row],[Qty]]</f>
        <v>201175</v>
      </c>
      <c r="M140" s="140">
        <v>0</v>
      </c>
      <c r="N140" s="143">
        <v>0</v>
      </c>
      <c r="O140" s="140">
        <v>0.18</v>
      </c>
      <c r="P140" s="145">
        <f>(Purchase[[#This Row],[Gross Amount]]-Purchase[[#This Row],[Disct %]])*Purchase[[#This Row],[GST %]]</f>
        <v>36211.5</v>
      </c>
      <c r="Q140" s="145">
        <f>Purchase[[#This Row],[Gross Amount]]-Purchase[[#This Row],[Disct Amnt]]+Purchase[[#This Row],[GST Amount]]</f>
        <v>237386.5</v>
      </c>
      <c r="R140" s="138" t="s">
        <v>1019</v>
      </c>
      <c r="S140" s="41">
        <f>IF(Purchase[[#This Row],[Status]]="Cancelled",0,Purchase[[#This Row],[Qty]])</f>
        <v>25</v>
      </c>
      <c r="T140" s="146">
        <f>IF(Purchase[[#This Row],[Status]]="Cancelled",0,Purchase[[#This Row],[Total Amount]])</f>
        <v>237386.5</v>
      </c>
      <c r="U140" s="146">
        <f>SUM(Purchase[Net Amount])</f>
        <v>814985438.68000126</v>
      </c>
    </row>
    <row r="141" spans="1:21" ht="19.5" thickBot="1" x14ac:dyDescent="0.3">
      <c r="A141" s="136" t="s">
        <v>1162</v>
      </c>
      <c r="B141" s="137">
        <v>45664</v>
      </c>
      <c r="C141" s="138" t="s">
        <v>608</v>
      </c>
      <c r="D141" s="138" t="str">
        <f>VLOOKUP(Purchase[[#This Row],[Supplier ID]],Supplier[#All],2,0)</f>
        <v>Global Suppliers</v>
      </c>
      <c r="E141" s="138">
        <f>VLOOKUP(Purchase[[#This Row],[Supplier ID]],Supplier[#All],3,0)</f>
        <v>9689542499</v>
      </c>
      <c r="F141" s="138" t="str">
        <f>VLOOKUP(Purchase[[#This Row],[Supplier ID]],Supplier[#All],4,0)</f>
        <v>Korba</v>
      </c>
      <c r="G141" s="138" t="str">
        <f>VLOOKUP(Purchase[[#This Row],[Supplier ID]],Supplier[#All],5,0)</f>
        <v>CG</v>
      </c>
      <c r="H141" s="138" t="str">
        <f>VLOOKUP(Purchase[[#This Row],[Supplier ID]],Supplier[#All],6,0)</f>
        <v>GST2154521T053</v>
      </c>
      <c r="I141" s="138" t="s">
        <v>360</v>
      </c>
      <c r="J141" s="139">
        <v>28</v>
      </c>
      <c r="K141" s="143">
        <f>VLOOKUP(Purchase[[#This Row],[Product ID]],Product[#All],6,0)</f>
        <v>23122</v>
      </c>
      <c r="L141" s="143">
        <f>Purchase[[#This Row],[Purchase Rate]]*Purchase[[#This Row],[Qty]]</f>
        <v>647416</v>
      </c>
      <c r="M141" s="140">
        <v>0</v>
      </c>
      <c r="N141" s="143">
        <v>0</v>
      </c>
      <c r="O141" s="140">
        <v>0.18</v>
      </c>
      <c r="P141" s="145">
        <f>(Purchase[[#This Row],[Gross Amount]]-Purchase[[#This Row],[Disct %]])*Purchase[[#This Row],[GST %]]</f>
        <v>116534.87999999999</v>
      </c>
      <c r="Q141" s="145">
        <f>Purchase[[#This Row],[Gross Amount]]-Purchase[[#This Row],[Disct Amnt]]+Purchase[[#This Row],[GST Amount]]</f>
        <v>763950.88</v>
      </c>
      <c r="R141" s="138" t="s">
        <v>1019</v>
      </c>
      <c r="S141" s="41">
        <f>IF(Purchase[[#This Row],[Status]]="Cancelled",0,Purchase[[#This Row],[Qty]])</f>
        <v>28</v>
      </c>
      <c r="T141" s="146">
        <f>IF(Purchase[[#This Row],[Status]]="Cancelled",0,Purchase[[#This Row],[Total Amount]])</f>
        <v>763950.88</v>
      </c>
      <c r="U141" s="146">
        <f>SUM(Purchase[Net Amount])</f>
        <v>814985438.68000126</v>
      </c>
    </row>
    <row r="142" spans="1:21" ht="19.5" thickBot="1" x14ac:dyDescent="0.3">
      <c r="A142" s="136" t="s">
        <v>1163</v>
      </c>
      <c r="B142" s="137">
        <v>45664</v>
      </c>
      <c r="C142" s="138" t="s">
        <v>616</v>
      </c>
      <c r="D142" s="138" t="str">
        <f>VLOOKUP(Purchase[[#This Row],[Supplier ID]],Supplier[#All],2,0)</f>
        <v>Global Suppliers</v>
      </c>
      <c r="E142" s="138">
        <f>VLOOKUP(Purchase[[#This Row],[Supplier ID]],Supplier[#All],3,0)</f>
        <v>9689542499</v>
      </c>
      <c r="F142" s="138" t="str">
        <f>VLOOKUP(Purchase[[#This Row],[Supplier ID]],Supplier[#All],4,0)</f>
        <v>Kanpur</v>
      </c>
      <c r="G142" s="138" t="str">
        <f>VLOOKUP(Purchase[[#This Row],[Supplier ID]],Supplier[#All],5,0)</f>
        <v>UP</v>
      </c>
      <c r="H142" s="138" t="str">
        <f>VLOOKUP(Purchase[[#This Row],[Supplier ID]],Supplier[#All],6,0)</f>
        <v>GST2154521T061</v>
      </c>
      <c r="I142" s="138" t="s">
        <v>362</v>
      </c>
      <c r="J142" s="139">
        <v>19</v>
      </c>
      <c r="K142" s="143">
        <f>VLOOKUP(Purchase[[#This Row],[Product ID]],Product[#All],6,0)</f>
        <v>3403</v>
      </c>
      <c r="L142" s="143">
        <f>Purchase[[#This Row],[Purchase Rate]]*Purchase[[#This Row],[Qty]]</f>
        <v>64657</v>
      </c>
      <c r="M142" s="140">
        <v>0</v>
      </c>
      <c r="N142" s="143">
        <v>0</v>
      </c>
      <c r="O142" s="140">
        <v>0.18</v>
      </c>
      <c r="P142" s="145">
        <f>(Purchase[[#This Row],[Gross Amount]]-Purchase[[#This Row],[Disct %]])*Purchase[[#This Row],[GST %]]</f>
        <v>11638.26</v>
      </c>
      <c r="Q142" s="145">
        <f>Purchase[[#This Row],[Gross Amount]]-Purchase[[#This Row],[Disct Amnt]]+Purchase[[#This Row],[GST Amount]]</f>
        <v>76295.259999999995</v>
      </c>
      <c r="R142" s="138" t="s">
        <v>1019</v>
      </c>
      <c r="S142" s="41">
        <f>IF(Purchase[[#This Row],[Status]]="Cancelled",0,Purchase[[#This Row],[Qty]])</f>
        <v>19</v>
      </c>
      <c r="T142" s="146">
        <f>IF(Purchase[[#This Row],[Status]]="Cancelled",0,Purchase[[#This Row],[Total Amount]])</f>
        <v>76295.259999999995</v>
      </c>
      <c r="U142" s="146">
        <f>SUM(Purchase[Net Amount])</f>
        <v>814985438.68000126</v>
      </c>
    </row>
    <row r="143" spans="1:21" ht="19.5" thickBot="1" x14ac:dyDescent="0.3">
      <c r="A143" s="136" t="s">
        <v>1164</v>
      </c>
      <c r="B143" s="137">
        <v>45664</v>
      </c>
      <c r="C143" s="138" t="s">
        <v>616</v>
      </c>
      <c r="D143" s="138" t="str">
        <f>VLOOKUP(Purchase[[#This Row],[Supplier ID]],Supplier[#All],2,0)</f>
        <v>Global Suppliers</v>
      </c>
      <c r="E143" s="138">
        <f>VLOOKUP(Purchase[[#This Row],[Supplier ID]],Supplier[#All],3,0)</f>
        <v>9689542499</v>
      </c>
      <c r="F143" s="138" t="str">
        <f>VLOOKUP(Purchase[[#This Row],[Supplier ID]],Supplier[#All],4,0)</f>
        <v>Kanpur</v>
      </c>
      <c r="G143" s="138" t="str">
        <f>VLOOKUP(Purchase[[#This Row],[Supplier ID]],Supplier[#All],5,0)</f>
        <v>UP</v>
      </c>
      <c r="H143" s="138" t="str">
        <f>VLOOKUP(Purchase[[#This Row],[Supplier ID]],Supplier[#All],6,0)</f>
        <v>GST2154521T061</v>
      </c>
      <c r="I143" s="138" t="s">
        <v>360</v>
      </c>
      <c r="J143" s="139">
        <v>39</v>
      </c>
      <c r="K143" s="143">
        <f>VLOOKUP(Purchase[[#This Row],[Product ID]],Product[#All],6,0)</f>
        <v>23122</v>
      </c>
      <c r="L143" s="143">
        <f>Purchase[[#This Row],[Purchase Rate]]*Purchase[[#This Row],[Qty]]</f>
        <v>901758</v>
      </c>
      <c r="M143" s="140">
        <v>0</v>
      </c>
      <c r="N143" s="143">
        <v>0</v>
      </c>
      <c r="O143" s="140">
        <v>0.18</v>
      </c>
      <c r="P143" s="145">
        <f>(Purchase[[#This Row],[Gross Amount]]-Purchase[[#This Row],[Disct %]])*Purchase[[#This Row],[GST %]]</f>
        <v>162316.44</v>
      </c>
      <c r="Q143" s="145">
        <f>Purchase[[#This Row],[Gross Amount]]-Purchase[[#This Row],[Disct Amnt]]+Purchase[[#This Row],[GST Amount]]</f>
        <v>1064074.44</v>
      </c>
      <c r="R143" s="138" t="s">
        <v>1019</v>
      </c>
      <c r="S143" s="41">
        <f>IF(Purchase[[#This Row],[Status]]="Cancelled",0,Purchase[[#This Row],[Qty]])</f>
        <v>39</v>
      </c>
      <c r="T143" s="146">
        <f>IF(Purchase[[#This Row],[Status]]="Cancelled",0,Purchase[[#This Row],[Total Amount]])</f>
        <v>1064074.44</v>
      </c>
      <c r="U143" s="146">
        <f>SUM(Purchase[Net Amount])</f>
        <v>814985438.68000126</v>
      </c>
    </row>
    <row r="144" spans="1:21" ht="19.5" thickBot="1" x14ac:dyDescent="0.3">
      <c r="A144" s="136" t="s">
        <v>1165</v>
      </c>
      <c r="B144" s="137">
        <v>45664</v>
      </c>
      <c r="C144" s="138" t="s">
        <v>599</v>
      </c>
      <c r="D144" s="138" t="str">
        <f>VLOOKUP(Purchase[[#This Row],[Supplier ID]],Supplier[#All],2,0)</f>
        <v>National Distributors</v>
      </c>
      <c r="E144" s="138">
        <f>VLOOKUP(Purchase[[#This Row],[Supplier ID]],Supplier[#All],3,0)</f>
        <v>9689542482</v>
      </c>
      <c r="F144" s="138" t="str">
        <f>VLOOKUP(Purchase[[#This Row],[Supplier ID]],Supplier[#All],4,0)</f>
        <v>Kanpur</v>
      </c>
      <c r="G144" s="138" t="str">
        <f>VLOOKUP(Purchase[[#This Row],[Supplier ID]],Supplier[#All],5,0)</f>
        <v>UP</v>
      </c>
      <c r="H144" s="138" t="str">
        <f>VLOOKUP(Purchase[[#This Row],[Supplier ID]],Supplier[#All],6,0)</f>
        <v>GST2154521T044</v>
      </c>
      <c r="I144" s="138" t="s">
        <v>257</v>
      </c>
      <c r="J144" s="139">
        <v>27</v>
      </c>
      <c r="K144" s="143">
        <f>VLOOKUP(Purchase[[#This Row],[Product ID]],Product[#All],6,0)</f>
        <v>13056</v>
      </c>
      <c r="L144" s="143">
        <f>Purchase[[#This Row],[Purchase Rate]]*Purchase[[#This Row],[Qty]]</f>
        <v>352512</v>
      </c>
      <c r="M144" s="140">
        <v>0</v>
      </c>
      <c r="N144" s="143">
        <v>0</v>
      </c>
      <c r="O144" s="140">
        <v>0.18</v>
      </c>
      <c r="P144" s="145">
        <f>(Purchase[[#This Row],[Gross Amount]]-Purchase[[#This Row],[Disct %]])*Purchase[[#This Row],[GST %]]</f>
        <v>63452.159999999996</v>
      </c>
      <c r="Q144" s="145">
        <f>Purchase[[#This Row],[Gross Amount]]-Purchase[[#This Row],[Disct Amnt]]+Purchase[[#This Row],[GST Amount]]</f>
        <v>415964.15999999997</v>
      </c>
      <c r="R144" s="138" t="s">
        <v>1019</v>
      </c>
      <c r="S144" s="41">
        <f>IF(Purchase[[#This Row],[Status]]="Cancelled",0,Purchase[[#This Row],[Qty]])</f>
        <v>27</v>
      </c>
      <c r="T144" s="146">
        <f>IF(Purchase[[#This Row],[Status]]="Cancelled",0,Purchase[[#This Row],[Total Amount]])</f>
        <v>415964.15999999997</v>
      </c>
      <c r="U144" s="146">
        <f>SUM(Purchase[Net Amount])</f>
        <v>814985438.68000126</v>
      </c>
    </row>
    <row r="145" spans="1:21" ht="19.5" thickBot="1" x14ac:dyDescent="0.3">
      <c r="A145" s="136" t="s">
        <v>1166</v>
      </c>
      <c r="B145" s="137">
        <v>45665</v>
      </c>
      <c r="C145" s="138" t="s">
        <v>590</v>
      </c>
      <c r="D145" s="138" t="str">
        <f>VLOOKUP(Purchase[[#This Row],[Supplier ID]],Supplier[#All],2,0)</f>
        <v>Star Distributors</v>
      </c>
      <c r="E145" s="138">
        <f>VLOOKUP(Purchase[[#This Row],[Supplier ID]],Supplier[#All],3,0)</f>
        <v>9689542474</v>
      </c>
      <c r="F145" s="138" t="str">
        <f>VLOOKUP(Purchase[[#This Row],[Supplier ID]],Supplier[#All],4,0)</f>
        <v>Kanpur</v>
      </c>
      <c r="G145" s="138" t="str">
        <f>VLOOKUP(Purchase[[#This Row],[Supplier ID]],Supplier[#All],5,0)</f>
        <v>UP</v>
      </c>
      <c r="H145" s="138" t="str">
        <f>VLOOKUP(Purchase[[#This Row],[Supplier ID]],Supplier[#All],6,0)</f>
        <v>GST2154521T036</v>
      </c>
      <c r="I145" s="138" t="s">
        <v>552</v>
      </c>
      <c r="J145" s="139">
        <v>18</v>
      </c>
      <c r="K145" s="143">
        <f>VLOOKUP(Purchase[[#This Row],[Product ID]],Product[#All],6,0)</f>
        <v>4331</v>
      </c>
      <c r="L145" s="143">
        <f>Purchase[[#This Row],[Purchase Rate]]*Purchase[[#This Row],[Qty]]</f>
        <v>77958</v>
      </c>
      <c r="M145" s="140">
        <v>0</v>
      </c>
      <c r="N145" s="143">
        <v>0</v>
      </c>
      <c r="O145" s="140">
        <v>0.18</v>
      </c>
      <c r="P145" s="145">
        <f>(Purchase[[#This Row],[Gross Amount]]-Purchase[[#This Row],[Disct %]])*Purchase[[#This Row],[GST %]]</f>
        <v>14032.439999999999</v>
      </c>
      <c r="Q145" s="145">
        <f>Purchase[[#This Row],[Gross Amount]]-Purchase[[#This Row],[Disct Amnt]]+Purchase[[#This Row],[GST Amount]]</f>
        <v>91990.44</v>
      </c>
      <c r="R145" s="138" t="s">
        <v>1019</v>
      </c>
      <c r="S145" s="41">
        <f>IF(Purchase[[#This Row],[Status]]="Cancelled",0,Purchase[[#This Row],[Qty]])</f>
        <v>18</v>
      </c>
      <c r="T145" s="146">
        <f>IF(Purchase[[#This Row],[Status]]="Cancelled",0,Purchase[[#This Row],[Total Amount]])</f>
        <v>91990.44</v>
      </c>
      <c r="U145" s="146">
        <f>SUM(Purchase[Net Amount])</f>
        <v>814985438.68000126</v>
      </c>
    </row>
    <row r="146" spans="1:21" ht="19.5" thickBot="1" x14ac:dyDescent="0.3">
      <c r="A146" s="136" t="s">
        <v>1167</v>
      </c>
      <c r="B146" s="137">
        <v>45665</v>
      </c>
      <c r="C146" s="138" t="s">
        <v>595</v>
      </c>
      <c r="D146" s="138" t="str">
        <f>VLOOKUP(Purchase[[#This Row],[Supplier ID]],Supplier[#All],2,0)</f>
        <v>Star Computers</v>
      </c>
      <c r="E146" s="138">
        <f>VLOOKUP(Purchase[[#This Row],[Supplier ID]],Supplier[#All],3,0)</f>
        <v>9689542478</v>
      </c>
      <c r="F146" s="138" t="str">
        <f>VLOOKUP(Purchase[[#This Row],[Supplier ID]],Supplier[#All],4,0)</f>
        <v>Kanpur</v>
      </c>
      <c r="G146" s="138" t="str">
        <f>VLOOKUP(Purchase[[#This Row],[Supplier ID]],Supplier[#All],5,0)</f>
        <v>UP</v>
      </c>
      <c r="H146" s="138" t="str">
        <f>VLOOKUP(Purchase[[#This Row],[Supplier ID]],Supplier[#All],6,0)</f>
        <v>GST2154521T040</v>
      </c>
      <c r="I146" s="138" t="s">
        <v>277</v>
      </c>
      <c r="J146" s="139">
        <v>19</v>
      </c>
      <c r="K146" s="143">
        <f>VLOOKUP(Purchase[[#This Row],[Product ID]],Product[#All],6,0)</f>
        <v>3844</v>
      </c>
      <c r="L146" s="143">
        <f>Purchase[[#This Row],[Purchase Rate]]*Purchase[[#This Row],[Qty]]</f>
        <v>73036</v>
      </c>
      <c r="M146" s="140">
        <v>0</v>
      </c>
      <c r="N146" s="143">
        <v>0</v>
      </c>
      <c r="O146" s="140">
        <v>0.18</v>
      </c>
      <c r="P146" s="145">
        <f>(Purchase[[#This Row],[Gross Amount]]-Purchase[[#This Row],[Disct %]])*Purchase[[#This Row],[GST %]]</f>
        <v>13146.48</v>
      </c>
      <c r="Q146" s="145">
        <f>Purchase[[#This Row],[Gross Amount]]-Purchase[[#This Row],[Disct Amnt]]+Purchase[[#This Row],[GST Amount]]</f>
        <v>86182.48</v>
      </c>
      <c r="R146" s="138" t="s">
        <v>1019</v>
      </c>
      <c r="S146" s="41">
        <f>IF(Purchase[[#This Row],[Status]]="Cancelled",0,Purchase[[#This Row],[Qty]])</f>
        <v>19</v>
      </c>
      <c r="T146" s="146">
        <f>IF(Purchase[[#This Row],[Status]]="Cancelled",0,Purchase[[#This Row],[Total Amount]])</f>
        <v>86182.48</v>
      </c>
      <c r="U146" s="146">
        <f>SUM(Purchase[Net Amount])</f>
        <v>814985438.68000126</v>
      </c>
    </row>
    <row r="147" spans="1:21" ht="19.5" thickBot="1" x14ac:dyDescent="0.3">
      <c r="A147" s="136" t="s">
        <v>1168</v>
      </c>
      <c r="B147" s="137">
        <v>45665</v>
      </c>
      <c r="C147" s="138" t="s">
        <v>565</v>
      </c>
      <c r="D147" s="138" t="str">
        <f>VLOOKUP(Purchase[[#This Row],[Supplier ID]],Supplier[#All],2,0)</f>
        <v>Global Suppliers</v>
      </c>
      <c r="E147" s="138">
        <f>VLOOKUP(Purchase[[#This Row],[Supplier ID]],Supplier[#All],3,0)</f>
        <v>9689542459</v>
      </c>
      <c r="F147" s="138" t="str">
        <f>VLOOKUP(Purchase[[#This Row],[Supplier ID]],Supplier[#All],4,0)</f>
        <v>Indore</v>
      </c>
      <c r="G147" s="138" t="str">
        <f>VLOOKUP(Purchase[[#This Row],[Supplier ID]],Supplier[#All],5,0)</f>
        <v>MP</v>
      </c>
      <c r="H147" s="138" t="str">
        <f>VLOOKUP(Purchase[[#This Row],[Supplier ID]],Supplier[#All],6,0)</f>
        <v>GST2154521T013</v>
      </c>
      <c r="I147" s="138" t="s">
        <v>464</v>
      </c>
      <c r="J147" s="139">
        <v>24</v>
      </c>
      <c r="K147" s="143">
        <f>VLOOKUP(Purchase[[#This Row],[Product ID]],Product[#All],6,0)</f>
        <v>22348</v>
      </c>
      <c r="L147" s="143">
        <f>Purchase[[#This Row],[Purchase Rate]]*Purchase[[#This Row],[Qty]]</f>
        <v>536352</v>
      </c>
      <c r="M147" s="140">
        <v>0</v>
      </c>
      <c r="N147" s="143">
        <v>0</v>
      </c>
      <c r="O147" s="140">
        <v>0.18</v>
      </c>
      <c r="P147" s="145">
        <f>(Purchase[[#This Row],[Gross Amount]]-Purchase[[#This Row],[Disct %]])*Purchase[[#This Row],[GST %]]</f>
        <v>96543.360000000001</v>
      </c>
      <c r="Q147" s="145">
        <f>Purchase[[#This Row],[Gross Amount]]-Purchase[[#This Row],[Disct Amnt]]+Purchase[[#This Row],[GST Amount]]</f>
        <v>632895.36</v>
      </c>
      <c r="R147" s="138" t="s">
        <v>1019</v>
      </c>
      <c r="S147" s="41">
        <f>IF(Purchase[[#This Row],[Status]]="Cancelled",0,Purchase[[#This Row],[Qty]])</f>
        <v>24</v>
      </c>
      <c r="T147" s="146">
        <f>IF(Purchase[[#This Row],[Status]]="Cancelled",0,Purchase[[#This Row],[Total Amount]])</f>
        <v>632895.36</v>
      </c>
      <c r="U147" s="146">
        <f>SUM(Purchase[Net Amount])</f>
        <v>814985438.68000126</v>
      </c>
    </row>
    <row r="148" spans="1:21" ht="19.5" thickBot="1" x14ac:dyDescent="0.3">
      <c r="A148" s="136" t="s">
        <v>1169</v>
      </c>
      <c r="B148" s="137">
        <v>45665</v>
      </c>
      <c r="C148" s="138" t="s">
        <v>589</v>
      </c>
      <c r="D148" s="138" t="str">
        <f>VLOOKUP(Purchase[[#This Row],[Supplier ID]],Supplier[#All],2,0)</f>
        <v>Maa Computers</v>
      </c>
      <c r="E148" s="138">
        <f>VLOOKUP(Purchase[[#This Row],[Supplier ID]],Supplier[#All],3,0)</f>
        <v>9689542473</v>
      </c>
      <c r="F148" s="138" t="str">
        <f>VLOOKUP(Purchase[[#This Row],[Supplier ID]],Supplier[#All],4,0)</f>
        <v>Kanpur</v>
      </c>
      <c r="G148" s="138" t="str">
        <f>VLOOKUP(Purchase[[#This Row],[Supplier ID]],Supplier[#All],5,0)</f>
        <v>UP</v>
      </c>
      <c r="H148" s="138" t="str">
        <f>VLOOKUP(Purchase[[#This Row],[Supplier ID]],Supplier[#All],6,0)</f>
        <v>GST2154521T035</v>
      </c>
      <c r="I148" s="138" t="s">
        <v>397</v>
      </c>
      <c r="J148" s="139">
        <v>33</v>
      </c>
      <c r="K148" s="143">
        <f>VLOOKUP(Purchase[[#This Row],[Product ID]],Product[#All],6,0)</f>
        <v>60817</v>
      </c>
      <c r="L148" s="143">
        <f>Purchase[[#This Row],[Purchase Rate]]*Purchase[[#This Row],[Qty]]</f>
        <v>2006961</v>
      </c>
      <c r="M148" s="140">
        <v>0</v>
      </c>
      <c r="N148" s="143">
        <v>0</v>
      </c>
      <c r="O148" s="140">
        <v>0.18</v>
      </c>
      <c r="P148" s="145">
        <f>(Purchase[[#This Row],[Gross Amount]]-Purchase[[#This Row],[Disct %]])*Purchase[[#This Row],[GST %]]</f>
        <v>361252.98</v>
      </c>
      <c r="Q148" s="145">
        <f>Purchase[[#This Row],[Gross Amount]]-Purchase[[#This Row],[Disct Amnt]]+Purchase[[#This Row],[GST Amount]]</f>
        <v>2368213.98</v>
      </c>
      <c r="R148" s="138" t="s">
        <v>1019</v>
      </c>
      <c r="S148" s="41">
        <f>IF(Purchase[[#This Row],[Status]]="Cancelled",0,Purchase[[#This Row],[Qty]])</f>
        <v>33</v>
      </c>
      <c r="T148" s="146">
        <f>IF(Purchase[[#This Row],[Status]]="Cancelled",0,Purchase[[#This Row],[Total Amount]])</f>
        <v>2368213.98</v>
      </c>
      <c r="U148" s="146">
        <f>SUM(Purchase[Net Amount])</f>
        <v>814985438.68000126</v>
      </c>
    </row>
    <row r="149" spans="1:21" ht="19.5" thickBot="1" x14ac:dyDescent="0.3">
      <c r="A149" s="136" t="s">
        <v>1170</v>
      </c>
      <c r="B149" s="137">
        <v>45665</v>
      </c>
      <c r="C149" s="138" t="s">
        <v>616</v>
      </c>
      <c r="D149" s="138" t="str">
        <f>VLOOKUP(Purchase[[#This Row],[Supplier ID]],Supplier[#All],2,0)</f>
        <v>Global Suppliers</v>
      </c>
      <c r="E149" s="138">
        <f>VLOOKUP(Purchase[[#This Row],[Supplier ID]],Supplier[#All],3,0)</f>
        <v>9689542499</v>
      </c>
      <c r="F149" s="138" t="str">
        <f>VLOOKUP(Purchase[[#This Row],[Supplier ID]],Supplier[#All],4,0)</f>
        <v>Kanpur</v>
      </c>
      <c r="G149" s="138" t="str">
        <f>VLOOKUP(Purchase[[#This Row],[Supplier ID]],Supplier[#All],5,0)</f>
        <v>UP</v>
      </c>
      <c r="H149" s="138" t="str">
        <f>VLOOKUP(Purchase[[#This Row],[Supplier ID]],Supplier[#All],6,0)</f>
        <v>GST2154521T061</v>
      </c>
      <c r="I149" s="138" t="s">
        <v>306</v>
      </c>
      <c r="J149" s="139">
        <v>37</v>
      </c>
      <c r="K149" s="143">
        <f>VLOOKUP(Purchase[[#This Row],[Product ID]],Product[#All],6,0)</f>
        <v>157</v>
      </c>
      <c r="L149" s="143">
        <f>Purchase[[#This Row],[Purchase Rate]]*Purchase[[#This Row],[Qty]]</f>
        <v>5809</v>
      </c>
      <c r="M149" s="140">
        <v>0</v>
      </c>
      <c r="N149" s="143">
        <v>0</v>
      </c>
      <c r="O149" s="140">
        <v>0.18</v>
      </c>
      <c r="P149" s="145">
        <f>(Purchase[[#This Row],[Gross Amount]]-Purchase[[#This Row],[Disct %]])*Purchase[[#This Row],[GST %]]</f>
        <v>1045.6199999999999</v>
      </c>
      <c r="Q149" s="145">
        <f>Purchase[[#This Row],[Gross Amount]]-Purchase[[#This Row],[Disct Amnt]]+Purchase[[#This Row],[GST Amount]]</f>
        <v>6854.62</v>
      </c>
      <c r="R149" s="138" t="s">
        <v>1019</v>
      </c>
      <c r="S149" s="41">
        <f>IF(Purchase[[#This Row],[Status]]="Cancelled",0,Purchase[[#This Row],[Qty]])</f>
        <v>37</v>
      </c>
      <c r="T149" s="146">
        <f>IF(Purchase[[#This Row],[Status]]="Cancelled",0,Purchase[[#This Row],[Total Amount]])</f>
        <v>6854.62</v>
      </c>
      <c r="U149" s="146">
        <f>SUM(Purchase[Net Amount])</f>
        <v>814985438.68000126</v>
      </c>
    </row>
    <row r="150" spans="1:21" ht="19.5" thickBot="1" x14ac:dyDescent="0.3">
      <c r="A150" s="136" t="s">
        <v>1171</v>
      </c>
      <c r="B150" s="137">
        <v>45665</v>
      </c>
      <c r="C150" s="138" t="s">
        <v>575</v>
      </c>
      <c r="D150" s="138" t="str">
        <f>VLOOKUP(Purchase[[#This Row],[Supplier ID]],Supplier[#All],2,0)</f>
        <v>Global Computers</v>
      </c>
      <c r="E150" s="138">
        <f>VLOOKUP(Purchase[[#This Row],[Supplier ID]],Supplier[#All],3,0)</f>
        <v>9689542459</v>
      </c>
      <c r="F150" s="138" t="str">
        <f>VLOOKUP(Purchase[[#This Row],[Supplier ID]],Supplier[#All],4,0)</f>
        <v>Indore</v>
      </c>
      <c r="G150" s="138" t="str">
        <f>VLOOKUP(Purchase[[#This Row],[Supplier ID]],Supplier[#All],5,0)</f>
        <v>MP</v>
      </c>
      <c r="H150" s="138" t="str">
        <f>VLOOKUP(Purchase[[#This Row],[Supplier ID]],Supplier[#All],6,0)</f>
        <v>GST2154521T021</v>
      </c>
      <c r="I150" s="138" t="s">
        <v>132</v>
      </c>
      <c r="J150" s="139">
        <v>2</v>
      </c>
      <c r="K150" s="143">
        <f>VLOOKUP(Purchase[[#This Row],[Product ID]],Product[#All],6,0)</f>
        <v>6397</v>
      </c>
      <c r="L150" s="143">
        <f>Purchase[[#This Row],[Purchase Rate]]*Purchase[[#This Row],[Qty]]</f>
        <v>12794</v>
      </c>
      <c r="M150" s="140">
        <v>0</v>
      </c>
      <c r="N150" s="143">
        <v>0</v>
      </c>
      <c r="O150" s="140">
        <v>0.18</v>
      </c>
      <c r="P150" s="145">
        <f>(Purchase[[#This Row],[Gross Amount]]-Purchase[[#This Row],[Disct %]])*Purchase[[#This Row],[GST %]]</f>
        <v>2302.92</v>
      </c>
      <c r="Q150" s="145">
        <f>Purchase[[#This Row],[Gross Amount]]-Purchase[[#This Row],[Disct Amnt]]+Purchase[[#This Row],[GST Amount]]</f>
        <v>15096.92</v>
      </c>
      <c r="R150" s="138" t="s">
        <v>1019</v>
      </c>
      <c r="S150" s="41">
        <f>IF(Purchase[[#This Row],[Status]]="Cancelled",0,Purchase[[#This Row],[Qty]])</f>
        <v>2</v>
      </c>
      <c r="T150" s="146">
        <f>IF(Purchase[[#This Row],[Status]]="Cancelled",0,Purchase[[#This Row],[Total Amount]])</f>
        <v>15096.92</v>
      </c>
      <c r="U150" s="146">
        <f>SUM(Purchase[Net Amount])</f>
        <v>814985438.68000126</v>
      </c>
    </row>
    <row r="151" spans="1:21" ht="19.5" thickBot="1" x14ac:dyDescent="0.3">
      <c r="A151" s="136" t="s">
        <v>1172</v>
      </c>
      <c r="B151" s="137">
        <v>45665</v>
      </c>
      <c r="C151" s="138" t="s">
        <v>571</v>
      </c>
      <c r="D151" s="138" t="str">
        <f>VLOOKUP(Purchase[[#This Row],[Supplier ID]],Supplier[#All],2,0)</f>
        <v>Tech Suppliers</v>
      </c>
      <c r="E151" s="138">
        <f>VLOOKUP(Purchase[[#This Row],[Supplier ID]],Supplier[#All],3,0)</f>
        <v>9689542457</v>
      </c>
      <c r="F151" s="138" t="str">
        <f>VLOOKUP(Purchase[[#This Row],[Supplier ID]],Supplier[#All],4,0)</f>
        <v>Korba</v>
      </c>
      <c r="G151" s="138" t="str">
        <f>VLOOKUP(Purchase[[#This Row],[Supplier ID]],Supplier[#All],5,0)</f>
        <v>CG</v>
      </c>
      <c r="H151" s="138" t="str">
        <f>VLOOKUP(Purchase[[#This Row],[Supplier ID]],Supplier[#All],6,0)</f>
        <v>GST2154521T019</v>
      </c>
      <c r="I151" s="138" t="s">
        <v>277</v>
      </c>
      <c r="J151" s="139">
        <v>21</v>
      </c>
      <c r="K151" s="143">
        <f>VLOOKUP(Purchase[[#This Row],[Product ID]],Product[#All],6,0)</f>
        <v>3844</v>
      </c>
      <c r="L151" s="143">
        <f>Purchase[[#This Row],[Purchase Rate]]*Purchase[[#This Row],[Qty]]</f>
        <v>80724</v>
      </c>
      <c r="M151" s="140">
        <v>0</v>
      </c>
      <c r="N151" s="143">
        <v>0</v>
      </c>
      <c r="O151" s="140">
        <v>0.18</v>
      </c>
      <c r="P151" s="145">
        <f>(Purchase[[#This Row],[Gross Amount]]-Purchase[[#This Row],[Disct %]])*Purchase[[#This Row],[GST %]]</f>
        <v>14530.32</v>
      </c>
      <c r="Q151" s="145">
        <f>Purchase[[#This Row],[Gross Amount]]-Purchase[[#This Row],[Disct Amnt]]+Purchase[[#This Row],[GST Amount]]</f>
        <v>95254.32</v>
      </c>
      <c r="R151" s="138" t="s">
        <v>1019</v>
      </c>
      <c r="S151" s="41">
        <f>IF(Purchase[[#This Row],[Status]]="Cancelled",0,Purchase[[#This Row],[Qty]])</f>
        <v>21</v>
      </c>
      <c r="T151" s="146">
        <f>IF(Purchase[[#This Row],[Status]]="Cancelled",0,Purchase[[#This Row],[Total Amount]])</f>
        <v>95254.32</v>
      </c>
      <c r="U151" s="146">
        <f>SUM(Purchase[Net Amount])</f>
        <v>814985438.68000126</v>
      </c>
    </row>
    <row r="152" spans="1:21" ht="19.5" thickBot="1" x14ac:dyDescent="0.3">
      <c r="A152" s="136" t="s">
        <v>1173</v>
      </c>
      <c r="B152" s="137">
        <v>45665</v>
      </c>
      <c r="C152" s="138" t="s">
        <v>594</v>
      </c>
      <c r="D152" s="138" t="str">
        <f>VLOOKUP(Purchase[[#This Row],[Supplier ID]],Supplier[#All],2,0)</f>
        <v>Shree Suppliers</v>
      </c>
      <c r="E152" s="138">
        <f>VLOOKUP(Purchase[[#This Row],[Supplier ID]],Supplier[#All],3,0)</f>
        <v>9689542477</v>
      </c>
      <c r="F152" s="138" t="str">
        <f>VLOOKUP(Purchase[[#This Row],[Supplier ID]],Supplier[#All],4,0)</f>
        <v>Indore</v>
      </c>
      <c r="G152" s="138" t="str">
        <f>VLOOKUP(Purchase[[#This Row],[Supplier ID]],Supplier[#All],5,0)</f>
        <v>MP</v>
      </c>
      <c r="H152" s="138" t="str">
        <f>VLOOKUP(Purchase[[#This Row],[Supplier ID]],Supplier[#All],6,0)</f>
        <v>GST2154521T039</v>
      </c>
      <c r="I152" s="138" t="s">
        <v>233</v>
      </c>
      <c r="J152" s="139">
        <v>35</v>
      </c>
      <c r="K152" s="143">
        <f>VLOOKUP(Purchase[[#This Row],[Product ID]],Product[#All],6,0)</f>
        <v>710</v>
      </c>
      <c r="L152" s="143">
        <f>Purchase[[#This Row],[Purchase Rate]]*Purchase[[#This Row],[Qty]]</f>
        <v>24850</v>
      </c>
      <c r="M152" s="140">
        <v>0</v>
      </c>
      <c r="N152" s="143">
        <v>0</v>
      </c>
      <c r="O152" s="140">
        <v>0.18</v>
      </c>
      <c r="P152" s="145">
        <f>(Purchase[[#This Row],[Gross Amount]]-Purchase[[#This Row],[Disct %]])*Purchase[[#This Row],[GST %]]</f>
        <v>4473</v>
      </c>
      <c r="Q152" s="145">
        <f>Purchase[[#This Row],[Gross Amount]]-Purchase[[#This Row],[Disct Amnt]]+Purchase[[#This Row],[GST Amount]]</f>
        <v>29323</v>
      </c>
      <c r="R152" s="138" t="s">
        <v>1019</v>
      </c>
      <c r="S152" s="41">
        <f>IF(Purchase[[#This Row],[Status]]="Cancelled",0,Purchase[[#This Row],[Qty]])</f>
        <v>35</v>
      </c>
      <c r="T152" s="146">
        <f>IF(Purchase[[#This Row],[Status]]="Cancelled",0,Purchase[[#This Row],[Total Amount]])</f>
        <v>29323</v>
      </c>
      <c r="U152" s="146">
        <f>SUM(Purchase[Net Amount])</f>
        <v>814985438.68000126</v>
      </c>
    </row>
    <row r="153" spans="1:21" ht="19.5" thickBot="1" x14ac:dyDescent="0.3">
      <c r="A153" s="136" t="s">
        <v>1174</v>
      </c>
      <c r="B153" s="137">
        <v>45665</v>
      </c>
      <c r="C153" s="138" t="s">
        <v>600</v>
      </c>
      <c r="D153" s="138" t="str">
        <f>VLOOKUP(Purchase[[#This Row],[Supplier ID]],Supplier[#All],2,0)</f>
        <v>Prime Suppliers</v>
      </c>
      <c r="E153" s="138">
        <f>VLOOKUP(Purchase[[#This Row],[Supplier ID]],Supplier[#All],3,0)</f>
        <v>9689542483</v>
      </c>
      <c r="F153" s="138" t="str">
        <f>VLOOKUP(Purchase[[#This Row],[Supplier ID]],Supplier[#All],4,0)</f>
        <v>Korba</v>
      </c>
      <c r="G153" s="138" t="str">
        <f>VLOOKUP(Purchase[[#This Row],[Supplier ID]],Supplier[#All],5,0)</f>
        <v>CG</v>
      </c>
      <c r="H153" s="138" t="str">
        <f>VLOOKUP(Purchase[[#This Row],[Supplier ID]],Supplier[#All],6,0)</f>
        <v>GST2154521T045</v>
      </c>
      <c r="I153" s="138" t="s">
        <v>453</v>
      </c>
      <c r="J153" s="139">
        <v>34</v>
      </c>
      <c r="K153" s="143">
        <f>VLOOKUP(Purchase[[#This Row],[Product ID]],Product[#All],6,0)</f>
        <v>2343</v>
      </c>
      <c r="L153" s="143">
        <f>Purchase[[#This Row],[Purchase Rate]]*Purchase[[#This Row],[Qty]]</f>
        <v>79662</v>
      </c>
      <c r="M153" s="140">
        <v>0</v>
      </c>
      <c r="N153" s="143">
        <v>0</v>
      </c>
      <c r="O153" s="140">
        <v>0.18</v>
      </c>
      <c r="P153" s="145">
        <f>(Purchase[[#This Row],[Gross Amount]]-Purchase[[#This Row],[Disct %]])*Purchase[[#This Row],[GST %]]</f>
        <v>14339.16</v>
      </c>
      <c r="Q153" s="145">
        <f>Purchase[[#This Row],[Gross Amount]]-Purchase[[#This Row],[Disct Amnt]]+Purchase[[#This Row],[GST Amount]]</f>
        <v>94001.16</v>
      </c>
      <c r="R153" s="138" t="s">
        <v>1019</v>
      </c>
      <c r="S153" s="41">
        <f>IF(Purchase[[#This Row],[Status]]="Cancelled",0,Purchase[[#This Row],[Qty]])</f>
        <v>34</v>
      </c>
      <c r="T153" s="146">
        <f>IF(Purchase[[#This Row],[Status]]="Cancelled",0,Purchase[[#This Row],[Total Amount]])</f>
        <v>94001.16</v>
      </c>
      <c r="U153" s="146">
        <f>SUM(Purchase[Net Amount])</f>
        <v>814985438.68000126</v>
      </c>
    </row>
    <row r="154" spans="1:21" ht="19.5" thickBot="1" x14ac:dyDescent="0.3">
      <c r="A154" s="136" t="s">
        <v>1175</v>
      </c>
      <c r="B154" s="137">
        <v>45665</v>
      </c>
      <c r="C154" s="138" t="s">
        <v>575</v>
      </c>
      <c r="D154" s="138" t="str">
        <f>VLOOKUP(Purchase[[#This Row],[Supplier ID]],Supplier[#All],2,0)</f>
        <v>Global Computers</v>
      </c>
      <c r="E154" s="138">
        <f>VLOOKUP(Purchase[[#This Row],[Supplier ID]],Supplier[#All],3,0)</f>
        <v>9689542459</v>
      </c>
      <c r="F154" s="138" t="str">
        <f>VLOOKUP(Purchase[[#This Row],[Supplier ID]],Supplier[#All],4,0)</f>
        <v>Indore</v>
      </c>
      <c r="G154" s="138" t="str">
        <f>VLOOKUP(Purchase[[#This Row],[Supplier ID]],Supplier[#All],5,0)</f>
        <v>MP</v>
      </c>
      <c r="H154" s="138" t="str">
        <f>VLOOKUP(Purchase[[#This Row],[Supplier ID]],Supplier[#All],6,0)</f>
        <v>GST2154521T021</v>
      </c>
      <c r="I154" s="138" t="s">
        <v>223</v>
      </c>
      <c r="J154" s="139">
        <v>29</v>
      </c>
      <c r="K154" s="143">
        <f>VLOOKUP(Purchase[[#This Row],[Product ID]],Product[#All],6,0)</f>
        <v>8461</v>
      </c>
      <c r="L154" s="143">
        <f>Purchase[[#This Row],[Purchase Rate]]*Purchase[[#This Row],[Qty]]</f>
        <v>245369</v>
      </c>
      <c r="M154" s="140">
        <v>0</v>
      </c>
      <c r="N154" s="143">
        <v>0</v>
      </c>
      <c r="O154" s="140">
        <v>0.18</v>
      </c>
      <c r="P154" s="145">
        <f>(Purchase[[#This Row],[Gross Amount]]-Purchase[[#This Row],[Disct %]])*Purchase[[#This Row],[GST %]]</f>
        <v>44166.42</v>
      </c>
      <c r="Q154" s="145">
        <f>Purchase[[#This Row],[Gross Amount]]-Purchase[[#This Row],[Disct Amnt]]+Purchase[[#This Row],[GST Amount]]</f>
        <v>289535.42</v>
      </c>
      <c r="R154" s="138" t="s">
        <v>1040</v>
      </c>
      <c r="S154" s="41">
        <f>IF(Purchase[[#This Row],[Status]]="Cancelled",0,Purchase[[#This Row],[Qty]])</f>
        <v>0</v>
      </c>
      <c r="T154" s="146">
        <f>IF(Purchase[[#This Row],[Status]]="Cancelled",0,Purchase[[#This Row],[Total Amount]])</f>
        <v>0</v>
      </c>
      <c r="U154" s="146">
        <f>SUM(Purchase[Net Amount])</f>
        <v>814985438.68000126</v>
      </c>
    </row>
    <row r="155" spans="1:21" ht="19.5" thickBot="1" x14ac:dyDescent="0.3">
      <c r="A155" s="136" t="s">
        <v>1176</v>
      </c>
      <c r="B155" s="137">
        <v>45665</v>
      </c>
      <c r="C155" s="138" t="s">
        <v>596</v>
      </c>
      <c r="D155" s="138" t="str">
        <f>VLOOKUP(Purchase[[#This Row],[Supplier ID]],Supplier[#All],2,0)</f>
        <v>star traders</v>
      </c>
      <c r="E155" s="138">
        <f>VLOOKUP(Purchase[[#This Row],[Supplier ID]],Supplier[#All],3,0)</f>
        <v>9689542479</v>
      </c>
      <c r="F155" s="138" t="str">
        <f>VLOOKUP(Purchase[[#This Row],[Supplier ID]],Supplier[#All],4,0)</f>
        <v>Korba</v>
      </c>
      <c r="G155" s="138" t="str">
        <f>VLOOKUP(Purchase[[#This Row],[Supplier ID]],Supplier[#All],5,0)</f>
        <v>CG</v>
      </c>
      <c r="H155" s="138" t="str">
        <f>VLOOKUP(Purchase[[#This Row],[Supplier ID]],Supplier[#All],6,0)</f>
        <v>GST2154521T041</v>
      </c>
      <c r="I155" s="138" t="s">
        <v>348</v>
      </c>
      <c r="J155" s="139">
        <v>30</v>
      </c>
      <c r="K155" s="143">
        <f>VLOOKUP(Purchase[[#This Row],[Product ID]],Product[#All],6,0)</f>
        <v>5315</v>
      </c>
      <c r="L155" s="143">
        <f>Purchase[[#This Row],[Purchase Rate]]*Purchase[[#This Row],[Qty]]</f>
        <v>159450</v>
      </c>
      <c r="M155" s="140">
        <v>0</v>
      </c>
      <c r="N155" s="143">
        <v>0</v>
      </c>
      <c r="O155" s="140">
        <v>0.18</v>
      </c>
      <c r="P155" s="145">
        <f>(Purchase[[#This Row],[Gross Amount]]-Purchase[[#This Row],[Disct %]])*Purchase[[#This Row],[GST %]]</f>
        <v>28701</v>
      </c>
      <c r="Q155" s="145">
        <f>Purchase[[#This Row],[Gross Amount]]-Purchase[[#This Row],[Disct Amnt]]+Purchase[[#This Row],[GST Amount]]</f>
        <v>188151</v>
      </c>
      <c r="R155" s="138" t="s">
        <v>1019</v>
      </c>
      <c r="S155" s="41">
        <f>IF(Purchase[[#This Row],[Status]]="Cancelled",0,Purchase[[#This Row],[Qty]])</f>
        <v>30</v>
      </c>
      <c r="T155" s="146">
        <f>IF(Purchase[[#This Row],[Status]]="Cancelled",0,Purchase[[#This Row],[Total Amount]])</f>
        <v>188151</v>
      </c>
      <c r="U155" s="146">
        <f>SUM(Purchase[Net Amount])</f>
        <v>814985438.68000126</v>
      </c>
    </row>
    <row r="156" spans="1:21" ht="19.5" thickBot="1" x14ac:dyDescent="0.3">
      <c r="A156" s="136" t="s">
        <v>1177</v>
      </c>
      <c r="B156" s="137">
        <v>45665</v>
      </c>
      <c r="C156" s="138" t="s">
        <v>1178</v>
      </c>
      <c r="D156" s="138" t="str">
        <f>VLOOKUP(Purchase[[#This Row],[Supplier ID]],Supplier[#All],2,0)</f>
        <v>Tech Electronics</v>
      </c>
      <c r="E156" s="138">
        <f>VLOOKUP(Purchase[[#This Row],[Supplier ID]],Supplier[#All],3,0)</f>
        <v>9689542455</v>
      </c>
      <c r="F156" s="138" t="str">
        <f>VLOOKUP(Purchase[[#This Row],[Supplier ID]],Supplier[#All],4,0)</f>
        <v>Korba</v>
      </c>
      <c r="G156" s="138" t="str">
        <f>VLOOKUP(Purchase[[#This Row],[Supplier ID]],Supplier[#All],5,0)</f>
        <v>CG</v>
      </c>
      <c r="H156" s="138" t="str">
        <f>VLOOKUP(Purchase[[#This Row],[Supplier ID]],Supplier[#All],6,0)</f>
        <v>GST2154521T017</v>
      </c>
      <c r="I156" s="138" t="s">
        <v>322</v>
      </c>
      <c r="J156" s="139">
        <v>6</v>
      </c>
      <c r="K156" s="143">
        <f>VLOOKUP(Purchase[[#This Row],[Product ID]],Product[#All],6,0)</f>
        <v>8005</v>
      </c>
      <c r="L156" s="143">
        <f>Purchase[[#This Row],[Purchase Rate]]*Purchase[[#This Row],[Qty]]</f>
        <v>48030</v>
      </c>
      <c r="M156" s="140">
        <v>0</v>
      </c>
      <c r="N156" s="143">
        <v>0</v>
      </c>
      <c r="O156" s="140">
        <v>0.18</v>
      </c>
      <c r="P156" s="145">
        <f>(Purchase[[#This Row],[Gross Amount]]-Purchase[[#This Row],[Disct %]])*Purchase[[#This Row],[GST %]]</f>
        <v>8645.4</v>
      </c>
      <c r="Q156" s="145">
        <f>Purchase[[#This Row],[Gross Amount]]-Purchase[[#This Row],[Disct Amnt]]+Purchase[[#This Row],[GST Amount]]</f>
        <v>56675.4</v>
      </c>
      <c r="R156" s="138" t="s">
        <v>1019</v>
      </c>
      <c r="S156" s="41">
        <f>IF(Purchase[[#This Row],[Status]]="Cancelled",0,Purchase[[#This Row],[Qty]])</f>
        <v>6</v>
      </c>
      <c r="T156" s="146">
        <f>IF(Purchase[[#This Row],[Status]]="Cancelled",0,Purchase[[#This Row],[Total Amount]])</f>
        <v>56675.4</v>
      </c>
      <c r="U156" s="146">
        <f>SUM(Purchase[Net Amount])</f>
        <v>814985438.68000126</v>
      </c>
    </row>
    <row r="157" spans="1:21" ht="19.5" thickBot="1" x14ac:dyDescent="0.3">
      <c r="A157" s="136" t="s">
        <v>1179</v>
      </c>
      <c r="B157" s="137">
        <v>45665</v>
      </c>
      <c r="C157" s="138" t="s">
        <v>583</v>
      </c>
      <c r="D157" s="138" t="str">
        <f>VLOOKUP(Purchase[[#This Row],[Supplier ID]],Supplier[#All],2,0)</f>
        <v>Shree Distributors</v>
      </c>
      <c r="E157" s="138">
        <f>VLOOKUP(Purchase[[#This Row],[Supplier ID]],Supplier[#All],3,0)</f>
        <v>9689542467</v>
      </c>
      <c r="F157" s="138" t="str">
        <f>VLOOKUP(Purchase[[#This Row],[Supplier ID]],Supplier[#All],4,0)</f>
        <v>Indore</v>
      </c>
      <c r="G157" s="138" t="str">
        <f>VLOOKUP(Purchase[[#This Row],[Supplier ID]],Supplier[#All],5,0)</f>
        <v>MP</v>
      </c>
      <c r="H157" s="138" t="str">
        <f>VLOOKUP(Purchase[[#This Row],[Supplier ID]],Supplier[#All],6,0)</f>
        <v>GST2154521T029</v>
      </c>
      <c r="I157" s="138" t="s">
        <v>316</v>
      </c>
      <c r="J157" s="139">
        <v>10</v>
      </c>
      <c r="K157" s="143">
        <f>VLOOKUP(Purchase[[#This Row],[Product ID]],Product[#All],6,0)</f>
        <v>3078</v>
      </c>
      <c r="L157" s="143">
        <f>Purchase[[#This Row],[Purchase Rate]]*Purchase[[#This Row],[Qty]]</f>
        <v>30780</v>
      </c>
      <c r="M157" s="140">
        <v>0</v>
      </c>
      <c r="N157" s="143">
        <v>0</v>
      </c>
      <c r="O157" s="140">
        <v>0.18</v>
      </c>
      <c r="P157" s="145">
        <f>(Purchase[[#This Row],[Gross Amount]]-Purchase[[#This Row],[Disct %]])*Purchase[[#This Row],[GST %]]</f>
        <v>5540.4</v>
      </c>
      <c r="Q157" s="145">
        <f>Purchase[[#This Row],[Gross Amount]]-Purchase[[#This Row],[Disct Amnt]]+Purchase[[#This Row],[GST Amount]]</f>
        <v>36320.400000000001</v>
      </c>
      <c r="R157" s="138" t="s">
        <v>1019</v>
      </c>
      <c r="S157" s="41">
        <f>IF(Purchase[[#This Row],[Status]]="Cancelled",0,Purchase[[#This Row],[Qty]])</f>
        <v>10</v>
      </c>
      <c r="T157" s="146">
        <f>IF(Purchase[[#This Row],[Status]]="Cancelled",0,Purchase[[#This Row],[Total Amount]])</f>
        <v>36320.400000000001</v>
      </c>
      <c r="U157" s="146">
        <f>SUM(Purchase[Net Amount])</f>
        <v>814985438.68000126</v>
      </c>
    </row>
    <row r="158" spans="1:21" ht="19.5" thickBot="1" x14ac:dyDescent="0.3">
      <c r="A158" s="136" t="s">
        <v>1180</v>
      </c>
      <c r="B158" s="137">
        <v>45665</v>
      </c>
      <c r="C158" s="138" t="s">
        <v>589</v>
      </c>
      <c r="D158" s="138" t="str">
        <f>VLOOKUP(Purchase[[#This Row],[Supplier ID]],Supplier[#All],2,0)</f>
        <v>Maa Computers</v>
      </c>
      <c r="E158" s="138">
        <f>VLOOKUP(Purchase[[#This Row],[Supplier ID]],Supplier[#All],3,0)</f>
        <v>9689542473</v>
      </c>
      <c r="F158" s="138" t="str">
        <f>VLOOKUP(Purchase[[#This Row],[Supplier ID]],Supplier[#All],4,0)</f>
        <v>Kanpur</v>
      </c>
      <c r="G158" s="138" t="str">
        <f>VLOOKUP(Purchase[[#This Row],[Supplier ID]],Supplier[#All],5,0)</f>
        <v>UP</v>
      </c>
      <c r="H158" s="138" t="str">
        <f>VLOOKUP(Purchase[[#This Row],[Supplier ID]],Supplier[#All],6,0)</f>
        <v>GST2154521T035</v>
      </c>
      <c r="I158" s="138" t="s">
        <v>372</v>
      </c>
      <c r="J158" s="139">
        <v>13</v>
      </c>
      <c r="K158" s="143">
        <f>VLOOKUP(Purchase[[#This Row],[Product ID]],Product[#All],6,0)</f>
        <v>441</v>
      </c>
      <c r="L158" s="143">
        <f>Purchase[[#This Row],[Purchase Rate]]*Purchase[[#This Row],[Qty]]</f>
        <v>5733</v>
      </c>
      <c r="M158" s="140">
        <v>0</v>
      </c>
      <c r="N158" s="143">
        <v>0</v>
      </c>
      <c r="O158" s="140">
        <v>0.18</v>
      </c>
      <c r="P158" s="145">
        <f>(Purchase[[#This Row],[Gross Amount]]-Purchase[[#This Row],[Disct %]])*Purchase[[#This Row],[GST %]]</f>
        <v>1031.94</v>
      </c>
      <c r="Q158" s="145">
        <f>Purchase[[#This Row],[Gross Amount]]-Purchase[[#This Row],[Disct Amnt]]+Purchase[[#This Row],[GST Amount]]</f>
        <v>6764.9400000000005</v>
      </c>
      <c r="R158" s="138" t="s">
        <v>1019</v>
      </c>
      <c r="S158" s="41">
        <f>IF(Purchase[[#This Row],[Status]]="Cancelled",0,Purchase[[#This Row],[Qty]])</f>
        <v>13</v>
      </c>
      <c r="T158" s="146">
        <f>IF(Purchase[[#This Row],[Status]]="Cancelled",0,Purchase[[#This Row],[Total Amount]])</f>
        <v>6764.9400000000005</v>
      </c>
      <c r="U158" s="146">
        <f>SUM(Purchase[Net Amount])</f>
        <v>814985438.68000126</v>
      </c>
    </row>
    <row r="159" spans="1:21" ht="19.5" thickBot="1" x14ac:dyDescent="0.3">
      <c r="A159" s="136" t="s">
        <v>1181</v>
      </c>
      <c r="B159" s="137">
        <v>45665</v>
      </c>
      <c r="C159" s="138" t="s">
        <v>614</v>
      </c>
      <c r="D159" s="138" t="str">
        <f>VLOOKUP(Purchase[[#This Row],[Supplier ID]],Supplier[#All],2,0)</f>
        <v>National Electronics</v>
      </c>
      <c r="E159" s="138">
        <f>VLOOKUP(Purchase[[#This Row],[Supplier ID]],Supplier[#All],3,0)</f>
        <v>9689542497</v>
      </c>
      <c r="F159" s="138" t="str">
        <f>VLOOKUP(Purchase[[#This Row],[Supplier ID]],Supplier[#All],4,0)</f>
        <v>Kanpur</v>
      </c>
      <c r="G159" s="138" t="str">
        <f>VLOOKUP(Purchase[[#This Row],[Supplier ID]],Supplier[#All],5,0)</f>
        <v>UP</v>
      </c>
      <c r="H159" s="138" t="str">
        <f>VLOOKUP(Purchase[[#This Row],[Supplier ID]],Supplier[#All],6,0)</f>
        <v>GST2154521T059</v>
      </c>
      <c r="I159" s="138" t="s">
        <v>423</v>
      </c>
      <c r="J159" s="139">
        <v>34</v>
      </c>
      <c r="K159" s="143">
        <f>VLOOKUP(Purchase[[#This Row],[Product ID]],Product[#All],6,0)</f>
        <v>33151</v>
      </c>
      <c r="L159" s="143">
        <f>Purchase[[#This Row],[Purchase Rate]]*Purchase[[#This Row],[Qty]]</f>
        <v>1127134</v>
      </c>
      <c r="M159" s="140">
        <v>0</v>
      </c>
      <c r="N159" s="143">
        <v>0</v>
      </c>
      <c r="O159" s="140">
        <v>0.18</v>
      </c>
      <c r="P159" s="145">
        <f>(Purchase[[#This Row],[Gross Amount]]-Purchase[[#This Row],[Disct %]])*Purchase[[#This Row],[GST %]]</f>
        <v>202884.12</v>
      </c>
      <c r="Q159" s="145">
        <f>Purchase[[#This Row],[Gross Amount]]-Purchase[[#This Row],[Disct Amnt]]+Purchase[[#This Row],[GST Amount]]</f>
        <v>1330018.1200000001</v>
      </c>
      <c r="R159" s="138" t="s">
        <v>1019</v>
      </c>
      <c r="S159" s="41">
        <f>IF(Purchase[[#This Row],[Status]]="Cancelled",0,Purchase[[#This Row],[Qty]])</f>
        <v>34</v>
      </c>
      <c r="T159" s="146">
        <f>IF(Purchase[[#This Row],[Status]]="Cancelled",0,Purchase[[#This Row],[Total Amount]])</f>
        <v>1330018.1200000001</v>
      </c>
      <c r="U159" s="146">
        <f>SUM(Purchase[Net Amount])</f>
        <v>814985438.68000126</v>
      </c>
    </row>
    <row r="160" spans="1:21" ht="19.5" thickBot="1" x14ac:dyDescent="0.3">
      <c r="A160" s="136" t="s">
        <v>1182</v>
      </c>
      <c r="B160" s="137">
        <v>45665</v>
      </c>
      <c r="C160" s="138" t="s">
        <v>616</v>
      </c>
      <c r="D160" s="138" t="str">
        <f>VLOOKUP(Purchase[[#This Row],[Supplier ID]],Supplier[#All],2,0)</f>
        <v>Global Suppliers</v>
      </c>
      <c r="E160" s="138">
        <f>VLOOKUP(Purchase[[#This Row],[Supplier ID]],Supplier[#All],3,0)</f>
        <v>9689542499</v>
      </c>
      <c r="F160" s="138" t="str">
        <f>VLOOKUP(Purchase[[#This Row],[Supplier ID]],Supplier[#All],4,0)</f>
        <v>Kanpur</v>
      </c>
      <c r="G160" s="138" t="str">
        <f>VLOOKUP(Purchase[[#This Row],[Supplier ID]],Supplier[#All],5,0)</f>
        <v>UP</v>
      </c>
      <c r="H160" s="138" t="str">
        <f>VLOOKUP(Purchase[[#This Row],[Supplier ID]],Supplier[#All],6,0)</f>
        <v>GST2154521T061</v>
      </c>
      <c r="I160" s="138" t="s">
        <v>339</v>
      </c>
      <c r="J160" s="139">
        <v>24</v>
      </c>
      <c r="K160" s="143">
        <f>VLOOKUP(Purchase[[#This Row],[Product ID]],Product[#All],6,0)</f>
        <v>7087</v>
      </c>
      <c r="L160" s="143">
        <f>Purchase[[#This Row],[Purchase Rate]]*Purchase[[#This Row],[Qty]]</f>
        <v>170088</v>
      </c>
      <c r="M160" s="140">
        <v>0</v>
      </c>
      <c r="N160" s="143">
        <v>0</v>
      </c>
      <c r="O160" s="140">
        <v>0.18</v>
      </c>
      <c r="P160" s="145">
        <f>(Purchase[[#This Row],[Gross Amount]]-Purchase[[#This Row],[Disct %]])*Purchase[[#This Row],[GST %]]</f>
        <v>30615.84</v>
      </c>
      <c r="Q160" s="145">
        <f>Purchase[[#This Row],[Gross Amount]]-Purchase[[#This Row],[Disct Amnt]]+Purchase[[#This Row],[GST Amount]]</f>
        <v>200703.84</v>
      </c>
      <c r="R160" s="138" t="s">
        <v>1019</v>
      </c>
      <c r="S160" s="41">
        <f>IF(Purchase[[#This Row],[Status]]="Cancelled",0,Purchase[[#This Row],[Qty]])</f>
        <v>24</v>
      </c>
      <c r="T160" s="146">
        <f>IF(Purchase[[#This Row],[Status]]="Cancelled",0,Purchase[[#This Row],[Total Amount]])</f>
        <v>200703.84</v>
      </c>
      <c r="U160" s="146">
        <f>SUM(Purchase[Net Amount])</f>
        <v>814985438.68000126</v>
      </c>
    </row>
    <row r="161" spans="1:21" ht="19.5" thickBot="1" x14ac:dyDescent="0.3">
      <c r="A161" s="136" t="s">
        <v>1183</v>
      </c>
      <c r="B161" s="137">
        <v>45665</v>
      </c>
      <c r="C161" s="138" t="s">
        <v>615</v>
      </c>
      <c r="D161" s="138" t="str">
        <f>VLOOKUP(Purchase[[#This Row],[Supplier ID]],Supplier[#All],2,0)</f>
        <v>NATIONAL ELECTRONICS</v>
      </c>
      <c r="E161" s="138">
        <f>VLOOKUP(Purchase[[#This Row],[Supplier ID]],Supplier[#All],3,0)</f>
        <v>9689542498</v>
      </c>
      <c r="F161" s="138" t="str">
        <f>VLOOKUP(Purchase[[#This Row],[Supplier ID]],Supplier[#All],4,0)</f>
        <v>Kanpur</v>
      </c>
      <c r="G161" s="138" t="str">
        <f>VLOOKUP(Purchase[[#This Row],[Supplier ID]],Supplier[#All],5,0)</f>
        <v>UP</v>
      </c>
      <c r="H161" s="138" t="str">
        <f>VLOOKUP(Purchase[[#This Row],[Supplier ID]],Supplier[#All],6,0)</f>
        <v>GST2154521T060</v>
      </c>
      <c r="I161" s="138" t="s">
        <v>406</v>
      </c>
      <c r="J161" s="139">
        <v>34</v>
      </c>
      <c r="K161" s="143">
        <f>VLOOKUP(Purchase[[#This Row],[Product ID]],Product[#All],6,0)</f>
        <v>1517</v>
      </c>
      <c r="L161" s="143">
        <f>Purchase[[#This Row],[Purchase Rate]]*Purchase[[#This Row],[Qty]]</f>
        <v>51578</v>
      </c>
      <c r="M161" s="140">
        <v>0</v>
      </c>
      <c r="N161" s="143">
        <v>0</v>
      </c>
      <c r="O161" s="140">
        <v>0.18</v>
      </c>
      <c r="P161" s="145">
        <f>(Purchase[[#This Row],[Gross Amount]]-Purchase[[#This Row],[Disct %]])*Purchase[[#This Row],[GST %]]</f>
        <v>9284.0399999999991</v>
      </c>
      <c r="Q161" s="145">
        <f>Purchase[[#This Row],[Gross Amount]]-Purchase[[#This Row],[Disct Amnt]]+Purchase[[#This Row],[GST Amount]]</f>
        <v>60862.04</v>
      </c>
      <c r="R161" s="138" t="s">
        <v>1019</v>
      </c>
      <c r="S161" s="41">
        <f>IF(Purchase[[#This Row],[Status]]="Cancelled",0,Purchase[[#This Row],[Qty]])</f>
        <v>34</v>
      </c>
      <c r="T161" s="146">
        <f>IF(Purchase[[#This Row],[Status]]="Cancelled",0,Purchase[[#This Row],[Total Amount]])</f>
        <v>60862.04</v>
      </c>
      <c r="U161" s="146">
        <f>SUM(Purchase[Net Amount])</f>
        <v>814985438.68000126</v>
      </c>
    </row>
    <row r="162" spans="1:21" ht="19.5" thickBot="1" x14ac:dyDescent="0.3">
      <c r="A162" s="136" t="s">
        <v>1184</v>
      </c>
      <c r="B162" s="137">
        <v>45665</v>
      </c>
      <c r="C162" s="138" t="s">
        <v>581</v>
      </c>
      <c r="D162" s="138" t="str">
        <f>VLOOKUP(Purchase[[#This Row],[Supplier ID]],Supplier[#All],2,0)</f>
        <v>Prime Electronics</v>
      </c>
      <c r="E162" s="138">
        <f>VLOOKUP(Purchase[[#This Row],[Supplier ID]],Supplier[#All],3,0)</f>
        <v>9689542465</v>
      </c>
      <c r="F162" s="138" t="str">
        <f>VLOOKUP(Purchase[[#This Row],[Supplier ID]],Supplier[#All],4,0)</f>
        <v>Korba</v>
      </c>
      <c r="G162" s="138" t="str">
        <f>VLOOKUP(Purchase[[#This Row],[Supplier ID]],Supplier[#All],5,0)</f>
        <v>CG</v>
      </c>
      <c r="H162" s="138" t="str">
        <f>VLOOKUP(Purchase[[#This Row],[Supplier ID]],Supplier[#All],6,0)</f>
        <v>GST2154521T027</v>
      </c>
      <c r="I162" s="138" t="s">
        <v>81</v>
      </c>
      <c r="J162" s="139">
        <v>27</v>
      </c>
      <c r="K162" s="143">
        <f>VLOOKUP(Purchase[[#This Row],[Product ID]],Product[#All],6,0)</f>
        <v>52393</v>
      </c>
      <c r="L162" s="143">
        <f>Purchase[[#This Row],[Purchase Rate]]*Purchase[[#This Row],[Qty]]</f>
        <v>1414611</v>
      </c>
      <c r="M162" s="140">
        <v>0</v>
      </c>
      <c r="N162" s="143">
        <v>0</v>
      </c>
      <c r="O162" s="140">
        <v>0.18</v>
      </c>
      <c r="P162" s="145">
        <f>(Purchase[[#This Row],[Gross Amount]]-Purchase[[#This Row],[Disct %]])*Purchase[[#This Row],[GST %]]</f>
        <v>254629.97999999998</v>
      </c>
      <c r="Q162" s="145">
        <f>Purchase[[#This Row],[Gross Amount]]-Purchase[[#This Row],[Disct Amnt]]+Purchase[[#This Row],[GST Amount]]</f>
        <v>1669240.98</v>
      </c>
      <c r="R162" s="138" t="s">
        <v>1019</v>
      </c>
      <c r="S162" s="41">
        <f>IF(Purchase[[#This Row],[Status]]="Cancelled",0,Purchase[[#This Row],[Qty]])</f>
        <v>27</v>
      </c>
      <c r="T162" s="146">
        <f>IF(Purchase[[#This Row],[Status]]="Cancelled",0,Purchase[[#This Row],[Total Amount]])</f>
        <v>1669240.98</v>
      </c>
      <c r="U162" s="146">
        <f>SUM(Purchase[Net Amount])</f>
        <v>814985438.68000126</v>
      </c>
    </row>
    <row r="163" spans="1:21" ht="19.5" thickBot="1" x14ac:dyDescent="0.3">
      <c r="A163" s="136" t="s">
        <v>1185</v>
      </c>
      <c r="B163" s="137">
        <v>45666</v>
      </c>
      <c r="C163" s="138" t="s">
        <v>601</v>
      </c>
      <c r="D163" s="138" t="str">
        <f>VLOOKUP(Purchase[[#This Row],[Supplier ID]],Supplier[#All],2,0)</f>
        <v>Maa Distributors</v>
      </c>
      <c r="E163" s="138">
        <f>VLOOKUP(Purchase[[#This Row],[Supplier ID]],Supplier[#All],3,0)</f>
        <v>9689542484</v>
      </c>
      <c r="F163" s="138" t="str">
        <f>VLOOKUP(Purchase[[#This Row],[Supplier ID]],Supplier[#All],4,0)</f>
        <v>Indore</v>
      </c>
      <c r="G163" s="138" t="str">
        <f>VLOOKUP(Purchase[[#This Row],[Supplier ID]],Supplier[#All],5,0)</f>
        <v>MP</v>
      </c>
      <c r="H163" s="138" t="str">
        <f>VLOOKUP(Purchase[[#This Row],[Supplier ID]],Supplier[#All],6,0)</f>
        <v>GST2154521T046</v>
      </c>
      <c r="I163" s="138" t="s">
        <v>534</v>
      </c>
      <c r="J163" s="139">
        <v>12</v>
      </c>
      <c r="K163" s="143">
        <f>VLOOKUP(Purchase[[#This Row],[Product ID]],Product[#All],6,0)</f>
        <v>31624</v>
      </c>
      <c r="L163" s="143">
        <f>Purchase[[#This Row],[Purchase Rate]]*Purchase[[#This Row],[Qty]]</f>
        <v>379488</v>
      </c>
      <c r="M163" s="140">
        <v>0</v>
      </c>
      <c r="N163" s="143">
        <v>0</v>
      </c>
      <c r="O163" s="140">
        <v>0.18</v>
      </c>
      <c r="P163" s="145">
        <f>(Purchase[[#This Row],[Gross Amount]]-Purchase[[#This Row],[Disct %]])*Purchase[[#This Row],[GST %]]</f>
        <v>68307.839999999997</v>
      </c>
      <c r="Q163" s="145">
        <f>Purchase[[#This Row],[Gross Amount]]-Purchase[[#This Row],[Disct Amnt]]+Purchase[[#This Row],[GST Amount]]</f>
        <v>447795.83999999997</v>
      </c>
      <c r="R163" s="138" t="s">
        <v>1019</v>
      </c>
      <c r="S163" s="41">
        <f>IF(Purchase[[#This Row],[Status]]="Cancelled",0,Purchase[[#This Row],[Qty]])</f>
        <v>12</v>
      </c>
      <c r="T163" s="146">
        <f>IF(Purchase[[#This Row],[Status]]="Cancelled",0,Purchase[[#This Row],[Total Amount]])</f>
        <v>447795.83999999997</v>
      </c>
      <c r="U163" s="146">
        <f>SUM(Purchase[Net Amount])</f>
        <v>814985438.68000126</v>
      </c>
    </row>
    <row r="164" spans="1:21" ht="19.5" thickBot="1" x14ac:dyDescent="0.3">
      <c r="A164" s="136" t="s">
        <v>1186</v>
      </c>
      <c r="B164" s="137">
        <v>45666</v>
      </c>
      <c r="C164" s="138" t="s">
        <v>600</v>
      </c>
      <c r="D164" s="138" t="str">
        <f>VLOOKUP(Purchase[[#This Row],[Supplier ID]],Supplier[#All],2,0)</f>
        <v>Prime Suppliers</v>
      </c>
      <c r="E164" s="138">
        <f>VLOOKUP(Purchase[[#This Row],[Supplier ID]],Supplier[#All],3,0)</f>
        <v>9689542483</v>
      </c>
      <c r="F164" s="138" t="str">
        <f>VLOOKUP(Purchase[[#This Row],[Supplier ID]],Supplier[#All],4,0)</f>
        <v>Korba</v>
      </c>
      <c r="G164" s="138" t="str">
        <f>VLOOKUP(Purchase[[#This Row],[Supplier ID]],Supplier[#All],5,0)</f>
        <v>CG</v>
      </c>
      <c r="H164" s="138" t="str">
        <f>VLOOKUP(Purchase[[#This Row],[Supplier ID]],Supplier[#All],6,0)</f>
        <v>GST2154521T045</v>
      </c>
      <c r="I164" s="138" t="s">
        <v>109</v>
      </c>
      <c r="J164" s="139">
        <v>25</v>
      </c>
      <c r="K164" s="143">
        <f>VLOOKUP(Purchase[[#This Row],[Product ID]],Product[#All],6,0)</f>
        <v>1796</v>
      </c>
      <c r="L164" s="143">
        <f>Purchase[[#This Row],[Purchase Rate]]*Purchase[[#This Row],[Qty]]</f>
        <v>44900</v>
      </c>
      <c r="M164" s="140">
        <v>0</v>
      </c>
      <c r="N164" s="143">
        <v>0</v>
      </c>
      <c r="O164" s="140">
        <v>0.18</v>
      </c>
      <c r="P164" s="145">
        <f>(Purchase[[#This Row],[Gross Amount]]-Purchase[[#This Row],[Disct %]])*Purchase[[#This Row],[GST %]]</f>
        <v>8082</v>
      </c>
      <c r="Q164" s="145">
        <f>Purchase[[#This Row],[Gross Amount]]-Purchase[[#This Row],[Disct Amnt]]+Purchase[[#This Row],[GST Amount]]</f>
        <v>52982</v>
      </c>
      <c r="R164" s="138" t="s">
        <v>1019</v>
      </c>
      <c r="S164" s="41">
        <f>IF(Purchase[[#This Row],[Status]]="Cancelled",0,Purchase[[#This Row],[Qty]])</f>
        <v>25</v>
      </c>
      <c r="T164" s="146">
        <f>IF(Purchase[[#This Row],[Status]]="Cancelled",0,Purchase[[#This Row],[Total Amount]])</f>
        <v>52982</v>
      </c>
      <c r="U164" s="146">
        <f>SUM(Purchase[Net Amount])</f>
        <v>814985438.68000126</v>
      </c>
    </row>
    <row r="165" spans="1:21" ht="19.5" thickBot="1" x14ac:dyDescent="0.3">
      <c r="A165" s="136" t="s">
        <v>1187</v>
      </c>
      <c r="B165" s="137">
        <v>45666</v>
      </c>
      <c r="C165" s="138" t="s">
        <v>612</v>
      </c>
      <c r="D165" s="138" t="str">
        <f>VLOOKUP(Purchase[[#This Row],[Supplier ID]],Supplier[#All],2,0)</f>
        <v>National Computers</v>
      </c>
      <c r="E165" s="138">
        <f>VLOOKUP(Purchase[[#This Row],[Supplier ID]],Supplier[#All],3,0)</f>
        <v>9689542495</v>
      </c>
      <c r="F165" s="138" t="str">
        <f>VLOOKUP(Purchase[[#This Row],[Supplier ID]],Supplier[#All],4,0)</f>
        <v>Indore</v>
      </c>
      <c r="G165" s="138" t="str">
        <f>VLOOKUP(Purchase[[#This Row],[Supplier ID]],Supplier[#All],5,0)</f>
        <v>MP</v>
      </c>
      <c r="H165" s="138" t="str">
        <f>VLOOKUP(Purchase[[#This Row],[Supplier ID]],Supplier[#All],6,0)</f>
        <v>GST2154521T057</v>
      </c>
      <c r="I165" s="138" t="s">
        <v>535</v>
      </c>
      <c r="J165" s="139">
        <v>39</v>
      </c>
      <c r="K165" s="143">
        <f>VLOOKUP(Purchase[[#This Row],[Product ID]],Product[#All],6,0)</f>
        <v>679</v>
      </c>
      <c r="L165" s="143">
        <f>Purchase[[#This Row],[Purchase Rate]]*Purchase[[#This Row],[Qty]]</f>
        <v>26481</v>
      </c>
      <c r="M165" s="140">
        <v>0</v>
      </c>
      <c r="N165" s="143">
        <v>0</v>
      </c>
      <c r="O165" s="140">
        <v>0.18</v>
      </c>
      <c r="P165" s="145">
        <f>(Purchase[[#This Row],[Gross Amount]]-Purchase[[#This Row],[Disct %]])*Purchase[[#This Row],[GST %]]</f>
        <v>4766.58</v>
      </c>
      <c r="Q165" s="145">
        <f>Purchase[[#This Row],[Gross Amount]]-Purchase[[#This Row],[Disct Amnt]]+Purchase[[#This Row],[GST Amount]]</f>
        <v>31247.58</v>
      </c>
      <c r="R165" s="138" t="s">
        <v>1019</v>
      </c>
      <c r="S165" s="41">
        <f>IF(Purchase[[#This Row],[Status]]="Cancelled",0,Purchase[[#This Row],[Qty]])</f>
        <v>39</v>
      </c>
      <c r="T165" s="146">
        <f>IF(Purchase[[#This Row],[Status]]="Cancelled",0,Purchase[[#This Row],[Total Amount]])</f>
        <v>31247.58</v>
      </c>
      <c r="U165" s="146">
        <f>SUM(Purchase[Net Amount])</f>
        <v>814985438.68000126</v>
      </c>
    </row>
    <row r="166" spans="1:21" ht="19.5" thickBot="1" x14ac:dyDescent="0.3">
      <c r="A166" s="136" t="s">
        <v>1188</v>
      </c>
      <c r="B166" s="137">
        <v>45666</v>
      </c>
      <c r="C166" s="138" t="s">
        <v>571</v>
      </c>
      <c r="D166" s="138" t="str">
        <f>VLOOKUP(Purchase[[#This Row],[Supplier ID]],Supplier[#All],2,0)</f>
        <v>Tech Suppliers</v>
      </c>
      <c r="E166" s="138">
        <f>VLOOKUP(Purchase[[#This Row],[Supplier ID]],Supplier[#All],3,0)</f>
        <v>9689542457</v>
      </c>
      <c r="F166" s="138" t="str">
        <f>VLOOKUP(Purchase[[#This Row],[Supplier ID]],Supplier[#All],4,0)</f>
        <v>Korba</v>
      </c>
      <c r="G166" s="138" t="str">
        <f>VLOOKUP(Purchase[[#This Row],[Supplier ID]],Supplier[#All],5,0)</f>
        <v>CG</v>
      </c>
      <c r="H166" s="138" t="str">
        <f>VLOOKUP(Purchase[[#This Row],[Supplier ID]],Supplier[#All],6,0)</f>
        <v>GST2154521T019</v>
      </c>
      <c r="I166" s="138" t="s">
        <v>321</v>
      </c>
      <c r="J166" s="139">
        <v>6</v>
      </c>
      <c r="K166" s="143">
        <f>VLOOKUP(Purchase[[#This Row],[Product ID]],Product[#All],6,0)</f>
        <v>5707</v>
      </c>
      <c r="L166" s="143">
        <f>Purchase[[#This Row],[Purchase Rate]]*Purchase[[#This Row],[Qty]]</f>
        <v>34242</v>
      </c>
      <c r="M166" s="140">
        <v>0</v>
      </c>
      <c r="N166" s="143">
        <v>0</v>
      </c>
      <c r="O166" s="140">
        <v>0.18</v>
      </c>
      <c r="P166" s="145">
        <f>(Purchase[[#This Row],[Gross Amount]]-Purchase[[#This Row],[Disct %]])*Purchase[[#This Row],[GST %]]</f>
        <v>6163.5599999999995</v>
      </c>
      <c r="Q166" s="145">
        <f>Purchase[[#This Row],[Gross Amount]]-Purchase[[#This Row],[Disct Amnt]]+Purchase[[#This Row],[GST Amount]]</f>
        <v>40405.56</v>
      </c>
      <c r="R166" s="138" t="s">
        <v>1019</v>
      </c>
      <c r="S166" s="41">
        <f>IF(Purchase[[#This Row],[Status]]="Cancelled",0,Purchase[[#This Row],[Qty]])</f>
        <v>6</v>
      </c>
      <c r="T166" s="146">
        <f>IF(Purchase[[#This Row],[Status]]="Cancelled",0,Purchase[[#This Row],[Total Amount]])</f>
        <v>40405.56</v>
      </c>
      <c r="U166" s="146">
        <f>SUM(Purchase[Net Amount])</f>
        <v>814985438.68000126</v>
      </c>
    </row>
    <row r="167" spans="1:21" ht="19.5" thickBot="1" x14ac:dyDescent="0.3">
      <c r="A167" s="136" t="s">
        <v>1189</v>
      </c>
      <c r="B167" s="137">
        <v>45666</v>
      </c>
      <c r="C167" s="138" t="s">
        <v>583</v>
      </c>
      <c r="D167" s="138" t="str">
        <f>VLOOKUP(Purchase[[#This Row],[Supplier ID]],Supplier[#All],2,0)</f>
        <v>Shree Distributors</v>
      </c>
      <c r="E167" s="138">
        <f>VLOOKUP(Purchase[[#This Row],[Supplier ID]],Supplier[#All],3,0)</f>
        <v>9689542467</v>
      </c>
      <c r="F167" s="138" t="str">
        <f>VLOOKUP(Purchase[[#This Row],[Supplier ID]],Supplier[#All],4,0)</f>
        <v>Indore</v>
      </c>
      <c r="G167" s="138" t="str">
        <f>VLOOKUP(Purchase[[#This Row],[Supplier ID]],Supplier[#All],5,0)</f>
        <v>MP</v>
      </c>
      <c r="H167" s="138" t="str">
        <f>VLOOKUP(Purchase[[#This Row],[Supplier ID]],Supplier[#All],6,0)</f>
        <v>GST2154521T029</v>
      </c>
      <c r="I167" s="138" t="s">
        <v>435</v>
      </c>
      <c r="J167" s="139">
        <v>38</v>
      </c>
      <c r="K167" s="143">
        <f>VLOOKUP(Purchase[[#This Row],[Product ID]],Product[#All],6,0)</f>
        <v>7192</v>
      </c>
      <c r="L167" s="143">
        <f>Purchase[[#This Row],[Purchase Rate]]*Purchase[[#This Row],[Qty]]</f>
        <v>273296</v>
      </c>
      <c r="M167" s="140">
        <v>0</v>
      </c>
      <c r="N167" s="143">
        <v>0</v>
      </c>
      <c r="O167" s="140">
        <v>0.18</v>
      </c>
      <c r="P167" s="145">
        <f>(Purchase[[#This Row],[Gross Amount]]-Purchase[[#This Row],[Disct %]])*Purchase[[#This Row],[GST %]]</f>
        <v>49193.279999999999</v>
      </c>
      <c r="Q167" s="145">
        <f>Purchase[[#This Row],[Gross Amount]]-Purchase[[#This Row],[Disct Amnt]]+Purchase[[#This Row],[GST Amount]]</f>
        <v>322489.28000000003</v>
      </c>
      <c r="R167" s="138" t="s">
        <v>1019</v>
      </c>
      <c r="S167" s="41">
        <f>IF(Purchase[[#This Row],[Status]]="Cancelled",0,Purchase[[#This Row],[Qty]])</f>
        <v>38</v>
      </c>
      <c r="T167" s="146">
        <f>IF(Purchase[[#This Row],[Status]]="Cancelled",0,Purchase[[#This Row],[Total Amount]])</f>
        <v>322489.28000000003</v>
      </c>
      <c r="U167" s="146">
        <f>SUM(Purchase[Net Amount])</f>
        <v>814985438.68000126</v>
      </c>
    </row>
    <row r="168" spans="1:21" ht="19.5" thickBot="1" x14ac:dyDescent="0.3">
      <c r="A168" s="136" t="s">
        <v>1190</v>
      </c>
      <c r="B168" s="137">
        <v>45666</v>
      </c>
      <c r="C168" s="138" t="s">
        <v>588</v>
      </c>
      <c r="D168" s="138" t="str">
        <f>VLOOKUP(Purchase[[#This Row],[Supplier ID]],Supplier[#All],2,0)</f>
        <v>Star Electronics</v>
      </c>
      <c r="E168" s="138">
        <f>VLOOKUP(Purchase[[#This Row],[Supplier ID]],Supplier[#All],3,0)</f>
        <v>9689542472</v>
      </c>
      <c r="F168" s="138" t="str">
        <f>VLOOKUP(Purchase[[#This Row],[Supplier ID]],Supplier[#All],4,0)</f>
        <v>Korba</v>
      </c>
      <c r="G168" s="138" t="str">
        <f>VLOOKUP(Purchase[[#This Row],[Supplier ID]],Supplier[#All],5,0)</f>
        <v>CG</v>
      </c>
      <c r="H168" s="138" t="str">
        <f>VLOOKUP(Purchase[[#This Row],[Supplier ID]],Supplier[#All],6,0)</f>
        <v>GST2154521T034</v>
      </c>
      <c r="I168" s="138" t="s">
        <v>303</v>
      </c>
      <c r="J168" s="139">
        <v>33</v>
      </c>
      <c r="K168" s="143">
        <f>VLOOKUP(Purchase[[#This Row],[Product ID]],Product[#All],6,0)</f>
        <v>6214</v>
      </c>
      <c r="L168" s="143">
        <f>Purchase[[#This Row],[Purchase Rate]]*Purchase[[#This Row],[Qty]]</f>
        <v>205062</v>
      </c>
      <c r="M168" s="140">
        <v>0</v>
      </c>
      <c r="N168" s="143">
        <v>0</v>
      </c>
      <c r="O168" s="140">
        <v>0.18</v>
      </c>
      <c r="P168" s="145">
        <f>(Purchase[[#This Row],[Gross Amount]]-Purchase[[#This Row],[Disct %]])*Purchase[[#This Row],[GST %]]</f>
        <v>36911.159999999996</v>
      </c>
      <c r="Q168" s="145">
        <f>Purchase[[#This Row],[Gross Amount]]-Purchase[[#This Row],[Disct Amnt]]+Purchase[[#This Row],[GST Amount]]</f>
        <v>241973.16</v>
      </c>
      <c r="R168" s="138" t="s">
        <v>1019</v>
      </c>
      <c r="S168" s="41">
        <f>IF(Purchase[[#This Row],[Status]]="Cancelled",0,Purchase[[#This Row],[Qty]])</f>
        <v>33</v>
      </c>
      <c r="T168" s="146">
        <f>IF(Purchase[[#This Row],[Status]]="Cancelled",0,Purchase[[#This Row],[Total Amount]])</f>
        <v>241973.16</v>
      </c>
      <c r="U168" s="146">
        <f>SUM(Purchase[Net Amount])</f>
        <v>814985438.68000126</v>
      </c>
    </row>
    <row r="169" spans="1:21" ht="19.5" thickBot="1" x14ac:dyDescent="0.3">
      <c r="A169" s="136" t="s">
        <v>1191</v>
      </c>
      <c r="B169" s="137">
        <v>45666</v>
      </c>
      <c r="C169" s="138" t="s">
        <v>606</v>
      </c>
      <c r="D169" s="138" t="str">
        <f>VLOOKUP(Purchase[[#This Row],[Supplier ID]],Supplier[#All],2,0)</f>
        <v>Prime Traders</v>
      </c>
      <c r="E169" s="138">
        <f>VLOOKUP(Purchase[[#This Row],[Supplier ID]],Supplier[#All],3,0)</f>
        <v>9689542489</v>
      </c>
      <c r="F169" s="138" t="str">
        <f>VLOOKUP(Purchase[[#This Row],[Supplier ID]],Supplier[#All],4,0)</f>
        <v>Indore</v>
      </c>
      <c r="G169" s="138" t="str">
        <f>VLOOKUP(Purchase[[#This Row],[Supplier ID]],Supplier[#All],5,0)</f>
        <v>MP</v>
      </c>
      <c r="H169" s="138" t="str">
        <f>VLOOKUP(Purchase[[#This Row],[Supplier ID]],Supplier[#All],6,0)</f>
        <v>GST2154521T051</v>
      </c>
      <c r="I169" s="138" t="s">
        <v>545</v>
      </c>
      <c r="J169" s="139">
        <v>6</v>
      </c>
      <c r="K169" s="143">
        <f>VLOOKUP(Purchase[[#This Row],[Product ID]],Product[#All],6,0)</f>
        <v>5298</v>
      </c>
      <c r="L169" s="143">
        <f>Purchase[[#This Row],[Purchase Rate]]*Purchase[[#This Row],[Qty]]</f>
        <v>31788</v>
      </c>
      <c r="M169" s="140">
        <v>0</v>
      </c>
      <c r="N169" s="143">
        <v>0</v>
      </c>
      <c r="O169" s="140">
        <v>0.18</v>
      </c>
      <c r="P169" s="145">
        <f>(Purchase[[#This Row],[Gross Amount]]-Purchase[[#This Row],[Disct %]])*Purchase[[#This Row],[GST %]]</f>
        <v>5721.84</v>
      </c>
      <c r="Q169" s="145">
        <f>Purchase[[#This Row],[Gross Amount]]-Purchase[[#This Row],[Disct Amnt]]+Purchase[[#This Row],[GST Amount]]</f>
        <v>37509.839999999997</v>
      </c>
      <c r="R169" s="138" t="s">
        <v>1019</v>
      </c>
      <c r="S169" s="41">
        <f>IF(Purchase[[#This Row],[Status]]="Cancelled",0,Purchase[[#This Row],[Qty]])</f>
        <v>6</v>
      </c>
      <c r="T169" s="146">
        <f>IF(Purchase[[#This Row],[Status]]="Cancelled",0,Purchase[[#This Row],[Total Amount]])</f>
        <v>37509.839999999997</v>
      </c>
      <c r="U169" s="146">
        <f>SUM(Purchase[Net Amount])</f>
        <v>814985438.68000126</v>
      </c>
    </row>
    <row r="170" spans="1:21" ht="19.5" thickBot="1" x14ac:dyDescent="0.3">
      <c r="A170" s="136" t="s">
        <v>1192</v>
      </c>
      <c r="B170" s="137">
        <v>45666</v>
      </c>
      <c r="C170" s="138" t="s">
        <v>599</v>
      </c>
      <c r="D170" s="138" t="str">
        <f>VLOOKUP(Purchase[[#This Row],[Supplier ID]],Supplier[#All],2,0)</f>
        <v>National Distributors</v>
      </c>
      <c r="E170" s="138">
        <f>VLOOKUP(Purchase[[#This Row],[Supplier ID]],Supplier[#All],3,0)</f>
        <v>9689542482</v>
      </c>
      <c r="F170" s="138" t="str">
        <f>VLOOKUP(Purchase[[#This Row],[Supplier ID]],Supplier[#All],4,0)</f>
        <v>Kanpur</v>
      </c>
      <c r="G170" s="138" t="str">
        <f>VLOOKUP(Purchase[[#This Row],[Supplier ID]],Supplier[#All],5,0)</f>
        <v>UP</v>
      </c>
      <c r="H170" s="138" t="str">
        <f>VLOOKUP(Purchase[[#This Row],[Supplier ID]],Supplier[#All],6,0)</f>
        <v>GST2154521T044</v>
      </c>
      <c r="I170" s="138" t="s">
        <v>509</v>
      </c>
      <c r="J170" s="139">
        <v>38</v>
      </c>
      <c r="K170" s="143">
        <f>VLOOKUP(Purchase[[#This Row],[Product ID]],Product[#All],6,0)</f>
        <v>2682</v>
      </c>
      <c r="L170" s="143">
        <f>Purchase[[#This Row],[Purchase Rate]]*Purchase[[#This Row],[Qty]]</f>
        <v>101916</v>
      </c>
      <c r="M170" s="140">
        <v>0</v>
      </c>
      <c r="N170" s="143">
        <v>0</v>
      </c>
      <c r="O170" s="140">
        <v>0.18</v>
      </c>
      <c r="P170" s="145">
        <f>(Purchase[[#This Row],[Gross Amount]]-Purchase[[#This Row],[Disct %]])*Purchase[[#This Row],[GST %]]</f>
        <v>18344.88</v>
      </c>
      <c r="Q170" s="145">
        <f>Purchase[[#This Row],[Gross Amount]]-Purchase[[#This Row],[Disct Amnt]]+Purchase[[#This Row],[GST Amount]]</f>
        <v>120260.88</v>
      </c>
      <c r="R170" s="138" t="s">
        <v>1019</v>
      </c>
      <c r="S170" s="41">
        <f>IF(Purchase[[#This Row],[Status]]="Cancelled",0,Purchase[[#This Row],[Qty]])</f>
        <v>38</v>
      </c>
      <c r="T170" s="146">
        <f>IF(Purchase[[#This Row],[Status]]="Cancelled",0,Purchase[[#This Row],[Total Amount]])</f>
        <v>120260.88</v>
      </c>
      <c r="U170" s="146">
        <f>SUM(Purchase[Net Amount])</f>
        <v>814985438.68000126</v>
      </c>
    </row>
    <row r="171" spans="1:21" ht="19.5" thickBot="1" x14ac:dyDescent="0.3">
      <c r="A171" s="136" t="s">
        <v>1193</v>
      </c>
      <c r="B171" s="137">
        <v>45666</v>
      </c>
      <c r="C171" s="138" t="s">
        <v>610</v>
      </c>
      <c r="D171" s="138" t="str">
        <f>VLOOKUP(Purchase[[#This Row],[Supplier ID]],Supplier[#All],2,0)</f>
        <v>Shree Electronics</v>
      </c>
      <c r="E171" s="138">
        <f>VLOOKUP(Purchase[[#This Row],[Supplier ID]],Supplier[#All],3,0)</f>
        <v>9689542493</v>
      </c>
      <c r="F171" s="138" t="str">
        <f>VLOOKUP(Purchase[[#This Row],[Supplier ID]],Supplier[#All],4,0)</f>
        <v>Kanpur</v>
      </c>
      <c r="G171" s="138" t="str">
        <f>VLOOKUP(Purchase[[#This Row],[Supplier ID]],Supplier[#All],5,0)</f>
        <v>UP</v>
      </c>
      <c r="H171" s="138" t="str">
        <f>VLOOKUP(Purchase[[#This Row],[Supplier ID]],Supplier[#All],6,0)</f>
        <v>GST2154521T055</v>
      </c>
      <c r="I171" s="138" t="s">
        <v>468</v>
      </c>
      <c r="J171" s="139">
        <v>10</v>
      </c>
      <c r="K171" s="143">
        <f>VLOOKUP(Purchase[[#This Row],[Product ID]],Product[#All],6,0)</f>
        <v>75590</v>
      </c>
      <c r="L171" s="143">
        <f>Purchase[[#This Row],[Purchase Rate]]*Purchase[[#This Row],[Qty]]</f>
        <v>755900</v>
      </c>
      <c r="M171" s="140">
        <v>0</v>
      </c>
      <c r="N171" s="143">
        <v>0</v>
      </c>
      <c r="O171" s="140">
        <v>0.18</v>
      </c>
      <c r="P171" s="145">
        <f>(Purchase[[#This Row],[Gross Amount]]-Purchase[[#This Row],[Disct %]])*Purchase[[#This Row],[GST %]]</f>
        <v>136062</v>
      </c>
      <c r="Q171" s="145">
        <f>Purchase[[#This Row],[Gross Amount]]-Purchase[[#This Row],[Disct Amnt]]+Purchase[[#This Row],[GST Amount]]</f>
        <v>891962</v>
      </c>
      <c r="R171" s="138" t="s">
        <v>1019</v>
      </c>
      <c r="S171" s="41">
        <f>IF(Purchase[[#This Row],[Status]]="Cancelled",0,Purchase[[#This Row],[Qty]])</f>
        <v>10</v>
      </c>
      <c r="T171" s="146">
        <f>IF(Purchase[[#This Row],[Status]]="Cancelled",0,Purchase[[#This Row],[Total Amount]])</f>
        <v>891962</v>
      </c>
      <c r="U171" s="146">
        <f>SUM(Purchase[Net Amount])</f>
        <v>814985438.68000126</v>
      </c>
    </row>
    <row r="172" spans="1:21" ht="19.5" thickBot="1" x14ac:dyDescent="0.3">
      <c r="A172" s="136" t="s">
        <v>1194</v>
      </c>
      <c r="B172" s="137">
        <v>45666</v>
      </c>
      <c r="C172" s="138" t="s">
        <v>609</v>
      </c>
      <c r="D172" s="138" t="str">
        <f>VLOOKUP(Purchase[[#This Row],[Supplier ID]],Supplier[#All],2,0)</f>
        <v>Star Suppliers</v>
      </c>
      <c r="E172" s="138">
        <f>VLOOKUP(Purchase[[#This Row],[Supplier ID]],Supplier[#All],3,0)</f>
        <v>9689542492</v>
      </c>
      <c r="F172" s="138" t="str">
        <f>VLOOKUP(Purchase[[#This Row],[Supplier ID]],Supplier[#All],4,0)</f>
        <v>Kanpur</v>
      </c>
      <c r="G172" s="138" t="str">
        <f>VLOOKUP(Purchase[[#This Row],[Supplier ID]],Supplier[#All],5,0)</f>
        <v>UP</v>
      </c>
      <c r="H172" s="138" t="str">
        <f>VLOOKUP(Purchase[[#This Row],[Supplier ID]],Supplier[#All],6,0)</f>
        <v>GST2154521T054</v>
      </c>
      <c r="I172" s="138" t="s">
        <v>420</v>
      </c>
      <c r="J172" s="139">
        <v>17</v>
      </c>
      <c r="K172" s="143">
        <f>VLOOKUP(Purchase[[#This Row],[Product ID]],Product[#All],6,0)</f>
        <v>3054</v>
      </c>
      <c r="L172" s="143">
        <f>Purchase[[#This Row],[Purchase Rate]]*Purchase[[#This Row],[Qty]]</f>
        <v>51918</v>
      </c>
      <c r="M172" s="140">
        <v>0</v>
      </c>
      <c r="N172" s="143">
        <v>0</v>
      </c>
      <c r="O172" s="140">
        <v>0.18</v>
      </c>
      <c r="P172" s="145">
        <f>(Purchase[[#This Row],[Gross Amount]]-Purchase[[#This Row],[Disct %]])*Purchase[[#This Row],[GST %]]</f>
        <v>9345.24</v>
      </c>
      <c r="Q172" s="145">
        <f>Purchase[[#This Row],[Gross Amount]]-Purchase[[#This Row],[Disct Amnt]]+Purchase[[#This Row],[GST Amount]]</f>
        <v>61263.24</v>
      </c>
      <c r="R172" s="138" t="s">
        <v>1019</v>
      </c>
      <c r="S172" s="41">
        <f>IF(Purchase[[#This Row],[Status]]="Cancelled",0,Purchase[[#This Row],[Qty]])</f>
        <v>17</v>
      </c>
      <c r="T172" s="146">
        <f>IF(Purchase[[#This Row],[Status]]="Cancelled",0,Purchase[[#This Row],[Total Amount]])</f>
        <v>61263.24</v>
      </c>
      <c r="U172" s="146">
        <f>SUM(Purchase[Net Amount])</f>
        <v>814985438.68000126</v>
      </c>
    </row>
    <row r="173" spans="1:21" ht="19.5" thickBot="1" x14ac:dyDescent="0.3">
      <c r="A173" s="136" t="s">
        <v>1195</v>
      </c>
      <c r="B173" s="137">
        <v>45666</v>
      </c>
      <c r="C173" s="138" t="s">
        <v>589</v>
      </c>
      <c r="D173" s="138" t="str">
        <f>VLOOKUP(Purchase[[#This Row],[Supplier ID]],Supplier[#All],2,0)</f>
        <v>Maa Computers</v>
      </c>
      <c r="E173" s="138">
        <f>VLOOKUP(Purchase[[#This Row],[Supplier ID]],Supplier[#All],3,0)</f>
        <v>9689542473</v>
      </c>
      <c r="F173" s="138" t="str">
        <f>VLOOKUP(Purchase[[#This Row],[Supplier ID]],Supplier[#All],4,0)</f>
        <v>Kanpur</v>
      </c>
      <c r="G173" s="138" t="str">
        <f>VLOOKUP(Purchase[[#This Row],[Supplier ID]],Supplier[#All],5,0)</f>
        <v>UP</v>
      </c>
      <c r="H173" s="138" t="str">
        <f>VLOOKUP(Purchase[[#This Row],[Supplier ID]],Supplier[#All],6,0)</f>
        <v>GST2154521T035</v>
      </c>
      <c r="I173" s="138" t="s">
        <v>407</v>
      </c>
      <c r="J173" s="139">
        <v>3</v>
      </c>
      <c r="K173" s="143">
        <f>VLOOKUP(Purchase[[#This Row],[Product ID]],Product[#All],6,0)</f>
        <v>38335</v>
      </c>
      <c r="L173" s="143">
        <f>Purchase[[#This Row],[Purchase Rate]]*Purchase[[#This Row],[Qty]]</f>
        <v>115005</v>
      </c>
      <c r="M173" s="140">
        <v>0</v>
      </c>
      <c r="N173" s="143">
        <v>0</v>
      </c>
      <c r="O173" s="140">
        <v>0.18</v>
      </c>
      <c r="P173" s="145">
        <f>(Purchase[[#This Row],[Gross Amount]]-Purchase[[#This Row],[Disct %]])*Purchase[[#This Row],[GST %]]</f>
        <v>20700.899999999998</v>
      </c>
      <c r="Q173" s="145">
        <f>Purchase[[#This Row],[Gross Amount]]-Purchase[[#This Row],[Disct Amnt]]+Purchase[[#This Row],[GST Amount]]</f>
        <v>135705.9</v>
      </c>
      <c r="R173" s="138" t="s">
        <v>1019</v>
      </c>
      <c r="S173" s="41">
        <f>IF(Purchase[[#This Row],[Status]]="Cancelled",0,Purchase[[#This Row],[Qty]])</f>
        <v>3</v>
      </c>
      <c r="T173" s="146">
        <f>IF(Purchase[[#This Row],[Status]]="Cancelled",0,Purchase[[#This Row],[Total Amount]])</f>
        <v>135705.9</v>
      </c>
      <c r="U173" s="146">
        <f>SUM(Purchase[Net Amount])</f>
        <v>814985438.68000126</v>
      </c>
    </row>
    <row r="174" spans="1:21" ht="19.5" thickBot="1" x14ac:dyDescent="0.3">
      <c r="A174" s="136" t="s">
        <v>1196</v>
      </c>
      <c r="B174" s="137">
        <v>45666</v>
      </c>
      <c r="C174" s="138" t="s">
        <v>583</v>
      </c>
      <c r="D174" s="138" t="str">
        <f>VLOOKUP(Purchase[[#This Row],[Supplier ID]],Supplier[#All],2,0)</f>
        <v>Shree Distributors</v>
      </c>
      <c r="E174" s="138">
        <f>VLOOKUP(Purchase[[#This Row],[Supplier ID]],Supplier[#All],3,0)</f>
        <v>9689542467</v>
      </c>
      <c r="F174" s="138" t="str">
        <f>VLOOKUP(Purchase[[#This Row],[Supplier ID]],Supplier[#All],4,0)</f>
        <v>Indore</v>
      </c>
      <c r="G174" s="138" t="str">
        <f>VLOOKUP(Purchase[[#This Row],[Supplier ID]],Supplier[#All],5,0)</f>
        <v>MP</v>
      </c>
      <c r="H174" s="138" t="str">
        <f>VLOOKUP(Purchase[[#This Row],[Supplier ID]],Supplier[#All],6,0)</f>
        <v>GST2154521T029</v>
      </c>
      <c r="I174" s="138" t="s">
        <v>396</v>
      </c>
      <c r="J174" s="139">
        <v>9</v>
      </c>
      <c r="K174" s="143">
        <f>VLOOKUP(Purchase[[#This Row],[Product ID]],Product[#All],6,0)</f>
        <v>63314</v>
      </c>
      <c r="L174" s="143">
        <f>Purchase[[#This Row],[Purchase Rate]]*Purchase[[#This Row],[Qty]]</f>
        <v>569826</v>
      </c>
      <c r="M174" s="140">
        <v>0</v>
      </c>
      <c r="N174" s="143">
        <v>0</v>
      </c>
      <c r="O174" s="140">
        <v>0.18</v>
      </c>
      <c r="P174" s="145">
        <f>(Purchase[[#This Row],[Gross Amount]]-Purchase[[#This Row],[Disct %]])*Purchase[[#This Row],[GST %]]</f>
        <v>102568.68</v>
      </c>
      <c r="Q174" s="145">
        <f>Purchase[[#This Row],[Gross Amount]]-Purchase[[#This Row],[Disct Amnt]]+Purchase[[#This Row],[GST Amount]]</f>
        <v>672394.67999999993</v>
      </c>
      <c r="R174" s="138" t="s">
        <v>1019</v>
      </c>
      <c r="S174" s="41">
        <f>IF(Purchase[[#This Row],[Status]]="Cancelled",0,Purchase[[#This Row],[Qty]])</f>
        <v>9</v>
      </c>
      <c r="T174" s="146">
        <f>IF(Purchase[[#This Row],[Status]]="Cancelled",0,Purchase[[#This Row],[Total Amount]])</f>
        <v>672394.67999999993</v>
      </c>
      <c r="U174" s="146">
        <f>SUM(Purchase[Net Amount])</f>
        <v>814985438.68000126</v>
      </c>
    </row>
    <row r="175" spans="1:21" ht="19.5" thickBot="1" x14ac:dyDescent="0.3">
      <c r="A175" s="136" t="s">
        <v>1197</v>
      </c>
      <c r="B175" s="137">
        <v>45666</v>
      </c>
      <c r="C175" s="138" t="s">
        <v>584</v>
      </c>
      <c r="D175" s="138" t="str">
        <f>VLOOKUP(Purchase[[#This Row],[Supplier ID]],Supplier[#All],2,0)</f>
        <v>Prime Computers</v>
      </c>
      <c r="E175" s="138">
        <f>VLOOKUP(Purchase[[#This Row],[Supplier ID]],Supplier[#All],3,0)</f>
        <v>9689542468</v>
      </c>
      <c r="F175" s="138" t="str">
        <f>VLOOKUP(Purchase[[#This Row],[Supplier ID]],Supplier[#All],4,0)</f>
        <v>Kanpur</v>
      </c>
      <c r="G175" s="138" t="str">
        <f>VLOOKUP(Purchase[[#This Row],[Supplier ID]],Supplier[#All],5,0)</f>
        <v>UP</v>
      </c>
      <c r="H175" s="138" t="str">
        <f>VLOOKUP(Purchase[[#This Row],[Supplier ID]],Supplier[#All],6,0)</f>
        <v>GST2154521T030</v>
      </c>
      <c r="I175" s="138" t="s">
        <v>380</v>
      </c>
      <c r="J175" s="139">
        <v>19</v>
      </c>
      <c r="K175" s="143">
        <f>VLOOKUP(Purchase[[#This Row],[Product ID]],Product[#All],6,0)</f>
        <v>72229</v>
      </c>
      <c r="L175" s="143">
        <f>Purchase[[#This Row],[Purchase Rate]]*Purchase[[#This Row],[Qty]]</f>
        <v>1372351</v>
      </c>
      <c r="M175" s="140">
        <v>0</v>
      </c>
      <c r="N175" s="143">
        <v>0</v>
      </c>
      <c r="O175" s="140">
        <v>0.18</v>
      </c>
      <c r="P175" s="145">
        <f>(Purchase[[#This Row],[Gross Amount]]-Purchase[[#This Row],[Disct %]])*Purchase[[#This Row],[GST %]]</f>
        <v>247023.18</v>
      </c>
      <c r="Q175" s="145">
        <f>Purchase[[#This Row],[Gross Amount]]-Purchase[[#This Row],[Disct Amnt]]+Purchase[[#This Row],[GST Amount]]</f>
        <v>1619374.18</v>
      </c>
      <c r="R175" s="138" t="s">
        <v>1019</v>
      </c>
      <c r="S175" s="41">
        <f>IF(Purchase[[#This Row],[Status]]="Cancelled",0,Purchase[[#This Row],[Qty]])</f>
        <v>19</v>
      </c>
      <c r="T175" s="146">
        <f>IF(Purchase[[#This Row],[Status]]="Cancelled",0,Purchase[[#This Row],[Total Amount]])</f>
        <v>1619374.18</v>
      </c>
      <c r="U175" s="146">
        <f>SUM(Purchase[Net Amount])</f>
        <v>814985438.68000126</v>
      </c>
    </row>
    <row r="176" spans="1:21" ht="19.5" thickBot="1" x14ac:dyDescent="0.3">
      <c r="A176" s="136" t="s">
        <v>1198</v>
      </c>
      <c r="B176" s="137">
        <v>45666</v>
      </c>
      <c r="C176" s="138" t="s">
        <v>567</v>
      </c>
      <c r="D176" s="138" t="str">
        <f>VLOOKUP(Purchase[[#This Row],[Supplier ID]],Supplier[#All],2,0)</f>
        <v>National Distributors</v>
      </c>
      <c r="E176" s="138">
        <f>VLOOKUP(Purchase[[#This Row],[Supplier ID]],Supplier[#All],3,0)</f>
        <v>9689542453</v>
      </c>
      <c r="F176" s="138" t="str">
        <f>VLOOKUP(Purchase[[#This Row],[Supplier ID]],Supplier[#All],4,0)</f>
        <v>Korba</v>
      </c>
      <c r="G176" s="138" t="str">
        <f>VLOOKUP(Purchase[[#This Row],[Supplier ID]],Supplier[#All],5,0)</f>
        <v>CG</v>
      </c>
      <c r="H176" s="138" t="str">
        <f>VLOOKUP(Purchase[[#This Row],[Supplier ID]],Supplier[#All],6,0)</f>
        <v>GST2154521T015</v>
      </c>
      <c r="I176" s="138" t="s">
        <v>223</v>
      </c>
      <c r="J176" s="139">
        <v>4</v>
      </c>
      <c r="K176" s="143">
        <f>VLOOKUP(Purchase[[#This Row],[Product ID]],Product[#All],6,0)</f>
        <v>8461</v>
      </c>
      <c r="L176" s="143">
        <f>Purchase[[#This Row],[Purchase Rate]]*Purchase[[#This Row],[Qty]]</f>
        <v>33844</v>
      </c>
      <c r="M176" s="140">
        <v>0</v>
      </c>
      <c r="N176" s="143">
        <v>0</v>
      </c>
      <c r="O176" s="140">
        <v>0.18</v>
      </c>
      <c r="P176" s="145">
        <f>(Purchase[[#This Row],[Gross Amount]]-Purchase[[#This Row],[Disct %]])*Purchase[[#This Row],[GST %]]</f>
        <v>6091.92</v>
      </c>
      <c r="Q176" s="145">
        <f>Purchase[[#This Row],[Gross Amount]]-Purchase[[#This Row],[Disct Amnt]]+Purchase[[#This Row],[GST Amount]]</f>
        <v>39935.919999999998</v>
      </c>
      <c r="R176" s="138" t="s">
        <v>1019</v>
      </c>
      <c r="S176" s="41">
        <f>IF(Purchase[[#This Row],[Status]]="Cancelled",0,Purchase[[#This Row],[Qty]])</f>
        <v>4</v>
      </c>
      <c r="T176" s="146">
        <f>IF(Purchase[[#This Row],[Status]]="Cancelled",0,Purchase[[#This Row],[Total Amount]])</f>
        <v>39935.919999999998</v>
      </c>
      <c r="U176" s="146">
        <f>SUM(Purchase[Net Amount])</f>
        <v>814985438.68000126</v>
      </c>
    </row>
    <row r="177" spans="1:21" ht="19.5" thickBot="1" x14ac:dyDescent="0.3">
      <c r="A177" s="136" t="s">
        <v>1199</v>
      </c>
      <c r="B177" s="137">
        <v>45667</v>
      </c>
      <c r="C177" s="138" t="s">
        <v>601</v>
      </c>
      <c r="D177" s="138" t="str">
        <f>VLOOKUP(Purchase[[#This Row],[Supplier ID]],Supplier[#All],2,0)</f>
        <v>Maa Distributors</v>
      </c>
      <c r="E177" s="138">
        <f>VLOOKUP(Purchase[[#This Row],[Supplier ID]],Supplier[#All],3,0)</f>
        <v>9689542484</v>
      </c>
      <c r="F177" s="138" t="str">
        <f>VLOOKUP(Purchase[[#This Row],[Supplier ID]],Supplier[#All],4,0)</f>
        <v>Indore</v>
      </c>
      <c r="G177" s="138" t="str">
        <f>VLOOKUP(Purchase[[#This Row],[Supplier ID]],Supplier[#All],5,0)</f>
        <v>MP</v>
      </c>
      <c r="H177" s="138" t="str">
        <f>VLOOKUP(Purchase[[#This Row],[Supplier ID]],Supplier[#All],6,0)</f>
        <v>GST2154521T046</v>
      </c>
      <c r="I177" s="138" t="s">
        <v>148</v>
      </c>
      <c r="J177" s="139">
        <v>9</v>
      </c>
      <c r="K177" s="143">
        <f>VLOOKUP(Purchase[[#This Row],[Product ID]],Product[#All],6,0)</f>
        <v>17657</v>
      </c>
      <c r="L177" s="143">
        <f>Purchase[[#This Row],[Purchase Rate]]*Purchase[[#This Row],[Qty]]</f>
        <v>158913</v>
      </c>
      <c r="M177" s="140">
        <v>0</v>
      </c>
      <c r="N177" s="143">
        <v>0</v>
      </c>
      <c r="O177" s="140">
        <v>0.18</v>
      </c>
      <c r="P177" s="145">
        <f>(Purchase[[#This Row],[Gross Amount]]-Purchase[[#This Row],[Disct %]])*Purchase[[#This Row],[GST %]]</f>
        <v>28604.34</v>
      </c>
      <c r="Q177" s="145">
        <f>Purchase[[#This Row],[Gross Amount]]-Purchase[[#This Row],[Disct Amnt]]+Purchase[[#This Row],[GST Amount]]</f>
        <v>187517.34</v>
      </c>
      <c r="R177" s="138" t="s">
        <v>1019</v>
      </c>
      <c r="S177" s="41">
        <f>IF(Purchase[[#This Row],[Status]]="Cancelled",0,Purchase[[#This Row],[Qty]])</f>
        <v>9</v>
      </c>
      <c r="T177" s="146">
        <f>IF(Purchase[[#This Row],[Status]]="Cancelled",0,Purchase[[#This Row],[Total Amount]])</f>
        <v>187517.34</v>
      </c>
      <c r="U177" s="146">
        <f>SUM(Purchase[Net Amount])</f>
        <v>814985438.68000126</v>
      </c>
    </row>
    <row r="178" spans="1:21" ht="19.5" thickBot="1" x14ac:dyDescent="0.3">
      <c r="A178" s="136" t="s">
        <v>1200</v>
      </c>
      <c r="B178" s="137">
        <v>45667</v>
      </c>
      <c r="C178" s="138" t="s">
        <v>1201</v>
      </c>
      <c r="D178" s="138" t="str">
        <f>VLOOKUP(Purchase[[#This Row],[Supplier ID]],Supplier[#All],2,0)</f>
        <v>Global Suppliers</v>
      </c>
      <c r="E178" s="138">
        <f>VLOOKUP(Purchase[[#This Row],[Supplier ID]],Supplier[#All],3,0)</f>
        <v>9689542476</v>
      </c>
      <c r="F178" s="138" t="str">
        <f>VLOOKUP(Purchase[[#This Row],[Supplier ID]],Supplier[#All],4,0)</f>
        <v>Korba</v>
      </c>
      <c r="G178" s="138" t="str">
        <f>VLOOKUP(Purchase[[#This Row],[Supplier ID]],Supplier[#All],5,0)</f>
        <v>CG</v>
      </c>
      <c r="H178" s="138" t="str">
        <f>VLOOKUP(Purchase[[#This Row],[Supplier ID]],Supplier[#All],6,0)</f>
        <v>GST2154521T038</v>
      </c>
      <c r="I178" s="138" t="s">
        <v>202</v>
      </c>
      <c r="J178" s="139">
        <v>19</v>
      </c>
      <c r="K178" s="143">
        <f>VLOOKUP(Purchase[[#This Row],[Product ID]],Product[#All],6,0)</f>
        <v>1062</v>
      </c>
      <c r="L178" s="143">
        <f>Purchase[[#This Row],[Purchase Rate]]*Purchase[[#This Row],[Qty]]</f>
        <v>20178</v>
      </c>
      <c r="M178" s="140">
        <v>0</v>
      </c>
      <c r="N178" s="143">
        <v>0</v>
      </c>
      <c r="O178" s="140">
        <v>0.18</v>
      </c>
      <c r="P178" s="145">
        <f>(Purchase[[#This Row],[Gross Amount]]-Purchase[[#This Row],[Disct %]])*Purchase[[#This Row],[GST %]]</f>
        <v>3632.04</v>
      </c>
      <c r="Q178" s="145">
        <f>Purchase[[#This Row],[Gross Amount]]-Purchase[[#This Row],[Disct Amnt]]+Purchase[[#This Row],[GST Amount]]</f>
        <v>23810.04</v>
      </c>
      <c r="R178" s="138" t="s">
        <v>1019</v>
      </c>
      <c r="S178" s="41">
        <f>IF(Purchase[[#This Row],[Status]]="Cancelled",0,Purchase[[#This Row],[Qty]])</f>
        <v>19</v>
      </c>
      <c r="T178" s="146">
        <f>IF(Purchase[[#This Row],[Status]]="Cancelled",0,Purchase[[#This Row],[Total Amount]])</f>
        <v>23810.04</v>
      </c>
      <c r="U178" s="146">
        <f>SUM(Purchase[Net Amount])</f>
        <v>814985438.68000126</v>
      </c>
    </row>
    <row r="179" spans="1:21" ht="19.5" thickBot="1" x14ac:dyDescent="0.3">
      <c r="A179" s="136" t="s">
        <v>1202</v>
      </c>
      <c r="B179" s="137">
        <v>45667</v>
      </c>
      <c r="C179" s="138" t="s">
        <v>580</v>
      </c>
      <c r="D179" s="138" t="str">
        <f>VLOOKUP(Purchase[[#This Row],[Supplier ID]],Supplier[#All],2,0)</f>
        <v>Star Distributors</v>
      </c>
      <c r="E179" s="138">
        <f>VLOOKUP(Purchase[[#This Row],[Supplier ID]],Supplier[#All],3,0)</f>
        <v>9689542464</v>
      </c>
      <c r="F179" s="138" t="str">
        <f>VLOOKUP(Purchase[[#This Row],[Supplier ID]],Supplier[#All],4,0)</f>
        <v>Indore</v>
      </c>
      <c r="G179" s="138" t="str">
        <f>VLOOKUP(Purchase[[#This Row],[Supplier ID]],Supplier[#All],5,0)</f>
        <v>MP</v>
      </c>
      <c r="H179" s="138" t="str">
        <f>VLOOKUP(Purchase[[#This Row],[Supplier ID]],Supplier[#All],6,0)</f>
        <v>GST2154521T026</v>
      </c>
      <c r="I179" s="138" t="s">
        <v>462</v>
      </c>
      <c r="J179" s="139">
        <v>19</v>
      </c>
      <c r="K179" s="143">
        <f>VLOOKUP(Purchase[[#This Row],[Product ID]],Product[#All],6,0)</f>
        <v>2201</v>
      </c>
      <c r="L179" s="143">
        <f>Purchase[[#This Row],[Purchase Rate]]*Purchase[[#This Row],[Qty]]</f>
        <v>41819</v>
      </c>
      <c r="M179" s="140">
        <v>0</v>
      </c>
      <c r="N179" s="143">
        <v>0</v>
      </c>
      <c r="O179" s="140">
        <v>0.18</v>
      </c>
      <c r="P179" s="145">
        <f>(Purchase[[#This Row],[Gross Amount]]-Purchase[[#This Row],[Disct %]])*Purchase[[#This Row],[GST %]]</f>
        <v>7527.42</v>
      </c>
      <c r="Q179" s="145">
        <f>Purchase[[#This Row],[Gross Amount]]-Purchase[[#This Row],[Disct Amnt]]+Purchase[[#This Row],[GST Amount]]</f>
        <v>49346.42</v>
      </c>
      <c r="R179" s="138" t="s">
        <v>1019</v>
      </c>
      <c r="S179" s="41">
        <f>IF(Purchase[[#This Row],[Status]]="Cancelled",0,Purchase[[#This Row],[Qty]])</f>
        <v>19</v>
      </c>
      <c r="T179" s="146">
        <f>IF(Purchase[[#This Row],[Status]]="Cancelled",0,Purchase[[#This Row],[Total Amount]])</f>
        <v>49346.42</v>
      </c>
      <c r="U179" s="146">
        <f>SUM(Purchase[Net Amount])</f>
        <v>814985438.68000126</v>
      </c>
    </row>
    <row r="180" spans="1:21" ht="19.5" thickBot="1" x14ac:dyDescent="0.3">
      <c r="A180" s="136" t="s">
        <v>1203</v>
      </c>
      <c r="B180" s="137">
        <v>45667</v>
      </c>
      <c r="C180" s="138" t="s">
        <v>567</v>
      </c>
      <c r="D180" s="138" t="str">
        <f>VLOOKUP(Purchase[[#This Row],[Supplier ID]],Supplier[#All],2,0)</f>
        <v>National Distributors</v>
      </c>
      <c r="E180" s="138">
        <f>VLOOKUP(Purchase[[#This Row],[Supplier ID]],Supplier[#All],3,0)</f>
        <v>9689542453</v>
      </c>
      <c r="F180" s="138" t="str">
        <f>VLOOKUP(Purchase[[#This Row],[Supplier ID]],Supplier[#All],4,0)</f>
        <v>Korba</v>
      </c>
      <c r="G180" s="138" t="str">
        <f>VLOOKUP(Purchase[[#This Row],[Supplier ID]],Supplier[#All],5,0)</f>
        <v>CG</v>
      </c>
      <c r="H180" s="138" t="str">
        <f>VLOOKUP(Purchase[[#This Row],[Supplier ID]],Supplier[#All],6,0)</f>
        <v>GST2154521T015</v>
      </c>
      <c r="I180" s="138" t="s">
        <v>169</v>
      </c>
      <c r="J180" s="139">
        <v>27</v>
      </c>
      <c r="K180" s="143">
        <f>VLOOKUP(Purchase[[#This Row],[Product ID]],Product[#All],6,0)</f>
        <v>20157</v>
      </c>
      <c r="L180" s="143">
        <f>Purchase[[#This Row],[Purchase Rate]]*Purchase[[#This Row],[Qty]]</f>
        <v>544239</v>
      </c>
      <c r="M180" s="140">
        <v>0</v>
      </c>
      <c r="N180" s="143">
        <v>0</v>
      </c>
      <c r="O180" s="140">
        <v>0.18</v>
      </c>
      <c r="P180" s="145">
        <f>(Purchase[[#This Row],[Gross Amount]]-Purchase[[#This Row],[Disct %]])*Purchase[[#This Row],[GST %]]</f>
        <v>97963.01999999999</v>
      </c>
      <c r="Q180" s="145">
        <f>Purchase[[#This Row],[Gross Amount]]-Purchase[[#This Row],[Disct Amnt]]+Purchase[[#This Row],[GST Amount]]</f>
        <v>642202.02</v>
      </c>
      <c r="R180" s="138" t="s">
        <v>1019</v>
      </c>
      <c r="S180" s="41">
        <f>IF(Purchase[[#This Row],[Status]]="Cancelled",0,Purchase[[#This Row],[Qty]])</f>
        <v>27</v>
      </c>
      <c r="T180" s="146">
        <f>IF(Purchase[[#This Row],[Status]]="Cancelled",0,Purchase[[#This Row],[Total Amount]])</f>
        <v>642202.02</v>
      </c>
      <c r="U180" s="146">
        <f>SUM(Purchase[Net Amount])</f>
        <v>814985438.68000126</v>
      </c>
    </row>
    <row r="181" spans="1:21" ht="19.5" thickBot="1" x14ac:dyDescent="0.3">
      <c r="A181" s="136" t="s">
        <v>1204</v>
      </c>
      <c r="B181" s="137">
        <v>45667</v>
      </c>
      <c r="C181" s="138" t="s">
        <v>607</v>
      </c>
      <c r="D181" s="138" t="str">
        <f>VLOOKUP(Purchase[[#This Row],[Supplier ID]],Supplier[#All],2,0)</f>
        <v>Global Distributors</v>
      </c>
      <c r="E181" s="138">
        <f>VLOOKUP(Purchase[[#This Row],[Supplier ID]],Supplier[#All],3,0)</f>
        <v>9689542490</v>
      </c>
      <c r="F181" s="138" t="str">
        <f>VLOOKUP(Purchase[[#This Row],[Supplier ID]],Supplier[#All],4,0)</f>
        <v>Kanpur</v>
      </c>
      <c r="G181" s="138" t="str">
        <f>VLOOKUP(Purchase[[#This Row],[Supplier ID]],Supplier[#All],5,0)</f>
        <v>UP</v>
      </c>
      <c r="H181" s="138" t="str">
        <f>VLOOKUP(Purchase[[#This Row],[Supplier ID]],Supplier[#All],6,0)</f>
        <v>GST2154521T052</v>
      </c>
      <c r="I181" s="138" t="s">
        <v>286</v>
      </c>
      <c r="J181" s="139">
        <v>31</v>
      </c>
      <c r="K181" s="143">
        <f>VLOOKUP(Purchase[[#This Row],[Product ID]],Product[#All],6,0)</f>
        <v>51772</v>
      </c>
      <c r="L181" s="143">
        <f>Purchase[[#This Row],[Purchase Rate]]*Purchase[[#This Row],[Qty]]</f>
        <v>1604932</v>
      </c>
      <c r="M181" s="140">
        <v>0</v>
      </c>
      <c r="N181" s="143">
        <v>0</v>
      </c>
      <c r="O181" s="140">
        <v>0.18</v>
      </c>
      <c r="P181" s="145">
        <f>(Purchase[[#This Row],[Gross Amount]]-Purchase[[#This Row],[Disct %]])*Purchase[[#This Row],[GST %]]</f>
        <v>288887.76</v>
      </c>
      <c r="Q181" s="145">
        <f>Purchase[[#This Row],[Gross Amount]]-Purchase[[#This Row],[Disct Amnt]]+Purchase[[#This Row],[GST Amount]]</f>
        <v>1893819.76</v>
      </c>
      <c r="R181" s="138" t="s">
        <v>1019</v>
      </c>
      <c r="S181" s="41">
        <f>IF(Purchase[[#This Row],[Status]]="Cancelled",0,Purchase[[#This Row],[Qty]])</f>
        <v>31</v>
      </c>
      <c r="T181" s="146">
        <f>IF(Purchase[[#This Row],[Status]]="Cancelled",0,Purchase[[#This Row],[Total Amount]])</f>
        <v>1893819.76</v>
      </c>
      <c r="U181" s="146">
        <f>SUM(Purchase[Net Amount])</f>
        <v>814985438.68000126</v>
      </c>
    </row>
    <row r="182" spans="1:21" ht="19.5" thickBot="1" x14ac:dyDescent="0.3">
      <c r="A182" s="136" t="s">
        <v>1205</v>
      </c>
      <c r="B182" s="137">
        <v>45667</v>
      </c>
      <c r="C182" s="138" t="s">
        <v>607</v>
      </c>
      <c r="D182" s="138" t="str">
        <f>VLOOKUP(Purchase[[#This Row],[Supplier ID]],Supplier[#All],2,0)</f>
        <v>Global Distributors</v>
      </c>
      <c r="E182" s="138">
        <f>VLOOKUP(Purchase[[#This Row],[Supplier ID]],Supplier[#All],3,0)</f>
        <v>9689542490</v>
      </c>
      <c r="F182" s="138" t="str">
        <f>VLOOKUP(Purchase[[#This Row],[Supplier ID]],Supplier[#All],4,0)</f>
        <v>Kanpur</v>
      </c>
      <c r="G182" s="138" t="str">
        <f>VLOOKUP(Purchase[[#This Row],[Supplier ID]],Supplier[#All],5,0)</f>
        <v>UP</v>
      </c>
      <c r="H182" s="138" t="str">
        <f>VLOOKUP(Purchase[[#This Row],[Supplier ID]],Supplier[#All],6,0)</f>
        <v>GST2154521T052</v>
      </c>
      <c r="I182" s="138" t="s">
        <v>499</v>
      </c>
      <c r="J182" s="139">
        <v>2</v>
      </c>
      <c r="K182" s="143">
        <f>VLOOKUP(Purchase[[#This Row],[Product ID]],Product[#All],6,0)</f>
        <v>69609</v>
      </c>
      <c r="L182" s="143">
        <f>Purchase[[#This Row],[Purchase Rate]]*Purchase[[#This Row],[Qty]]</f>
        <v>139218</v>
      </c>
      <c r="M182" s="140">
        <v>0</v>
      </c>
      <c r="N182" s="143">
        <v>0</v>
      </c>
      <c r="O182" s="140">
        <v>0.18</v>
      </c>
      <c r="P182" s="145">
        <f>(Purchase[[#This Row],[Gross Amount]]-Purchase[[#This Row],[Disct %]])*Purchase[[#This Row],[GST %]]</f>
        <v>25059.239999999998</v>
      </c>
      <c r="Q182" s="145">
        <f>Purchase[[#This Row],[Gross Amount]]-Purchase[[#This Row],[Disct Amnt]]+Purchase[[#This Row],[GST Amount]]</f>
        <v>164277.24</v>
      </c>
      <c r="R182" s="138" t="s">
        <v>1019</v>
      </c>
      <c r="S182" s="41">
        <f>IF(Purchase[[#This Row],[Status]]="Cancelled",0,Purchase[[#This Row],[Qty]])</f>
        <v>2</v>
      </c>
      <c r="T182" s="146">
        <f>IF(Purchase[[#This Row],[Status]]="Cancelled",0,Purchase[[#This Row],[Total Amount]])</f>
        <v>164277.24</v>
      </c>
      <c r="U182" s="146">
        <f>SUM(Purchase[Net Amount])</f>
        <v>814985438.68000126</v>
      </c>
    </row>
    <row r="183" spans="1:21" ht="19.5" thickBot="1" x14ac:dyDescent="0.3">
      <c r="A183" s="136" t="s">
        <v>1206</v>
      </c>
      <c r="B183" s="137">
        <v>45667</v>
      </c>
      <c r="C183" s="138" t="s">
        <v>601</v>
      </c>
      <c r="D183" s="138" t="str">
        <f>VLOOKUP(Purchase[[#This Row],[Supplier ID]],Supplier[#All],2,0)</f>
        <v>Maa Distributors</v>
      </c>
      <c r="E183" s="138">
        <f>VLOOKUP(Purchase[[#This Row],[Supplier ID]],Supplier[#All],3,0)</f>
        <v>9689542484</v>
      </c>
      <c r="F183" s="138" t="str">
        <f>VLOOKUP(Purchase[[#This Row],[Supplier ID]],Supplier[#All],4,0)</f>
        <v>Indore</v>
      </c>
      <c r="G183" s="138" t="str">
        <f>VLOOKUP(Purchase[[#This Row],[Supplier ID]],Supplier[#All],5,0)</f>
        <v>MP</v>
      </c>
      <c r="H183" s="138" t="str">
        <f>VLOOKUP(Purchase[[#This Row],[Supplier ID]],Supplier[#All],6,0)</f>
        <v>GST2154521T046</v>
      </c>
      <c r="I183" s="138" t="s">
        <v>208</v>
      </c>
      <c r="J183" s="139">
        <v>15</v>
      </c>
      <c r="K183" s="143">
        <f>VLOOKUP(Purchase[[#This Row],[Product ID]],Product[#All],6,0)</f>
        <v>58903</v>
      </c>
      <c r="L183" s="143">
        <f>Purchase[[#This Row],[Purchase Rate]]*Purchase[[#This Row],[Qty]]</f>
        <v>883545</v>
      </c>
      <c r="M183" s="140">
        <v>0</v>
      </c>
      <c r="N183" s="143">
        <v>0</v>
      </c>
      <c r="O183" s="140">
        <v>0.18</v>
      </c>
      <c r="P183" s="145">
        <f>(Purchase[[#This Row],[Gross Amount]]-Purchase[[#This Row],[Disct %]])*Purchase[[#This Row],[GST %]]</f>
        <v>159038.1</v>
      </c>
      <c r="Q183" s="145">
        <f>Purchase[[#This Row],[Gross Amount]]-Purchase[[#This Row],[Disct Amnt]]+Purchase[[#This Row],[GST Amount]]</f>
        <v>1042583.1</v>
      </c>
      <c r="R183" s="138" t="s">
        <v>1040</v>
      </c>
      <c r="S183" s="41">
        <f>IF(Purchase[[#This Row],[Status]]="Cancelled",0,Purchase[[#This Row],[Qty]])</f>
        <v>0</v>
      </c>
      <c r="T183" s="146">
        <f>IF(Purchase[[#This Row],[Status]]="Cancelled",0,Purchase[[#This Row],[Total Amount]])</f>
        <v>0</v>
      </c>
      <c r="U183" s="146">
        <f>SUM(Purchase[Net Amount])</f>
        <v>814985438.68000126</v>
      </c>
    </row>
    <row r="184" spans="1:21" ht="19.5" thickBot="1" x14ac:dyDescent="0.3">
      <c r="A184" s="136" t="s">
        <v>1207</v>
      </c>
      <c r="B184" s="137">
        <v>45667</v>
      </c>
      <c r="C184" s="138" t="s">
        <v>595</v>
      </c>
      <c r="D184" s="138" t="str">
        <f>VLOOKUP(Purchase[[#This Row],[Supplier ID]],Supplier[#All],2,0)</f>
        <v>Star Computers</v>
      </c>
      <c r="E184" s="138">
        <f>VLOOKUP(Purchase[[#This Row],[Supplier ID]],Supplier[#All],3,0)</f>
        <v>9689542478</v>
      </c>
      <c r="F184" s="138" t="str">
        <f>VLOOKUP(Purchase[[#This Row],[Supplier ID]],Supplier[#All],4,0)</f>
        <v>Kanpur</v>
      </c>
      <c r="G184" s="138" t="str">
        <f>VLOOKUP(Purchase[[#This Row],[Supplier ID]],Supplier[#All],5,0)</f>
        <v>UP</v>
      </c>
      <c r="H184" s="138" t="str">
        <f>VLOOKUP(Purchase[[#This Row],[Supplier ID]],Supplier[#All],6,0)</f>
        <v>GST2154521T040</v>
      </c>
      <c r="I184" s="138" t="s">
        <v>403</v>
      </c>
      <c r="J184" s="139">
        <v>16</v>
      </c>
      <c r="K184" s="143">
        <f>VLOOKUP(Purchase[[#This Row],[Product ID]],Product[#All],6,0)</f>
        <v>13869</v>
      </c>
      <c r="L184" s="143">
        <f>Purchase[[#This Row],[Purchase Rate]]*Purchase[[#This Row],[Qty]]</f>
        <v>221904</v>
      </c>
      <c r="M184" s="140">
        <v>0</v>
      </c>
      <c r="N184" s="143">
        <v>0</v>
      </c>
      <c r="O184" s="140">
        <v>0.18</v>
      </c>
      <c r="P184" s="145">
        <f>(Purchase[[#This Row],[Gross Amount]]-Purchase[[#This Row],[Disct %]])*Purchase[[#This Row],[GST %]]</f>
        <v>39942.720000000001</v>
      </c>
      <c r="Q184" s="145">
        <f>Purchase[[#This Row],[Gross Amount]]-Purchase[[#This Row],[Disct Amnt]]+Purchase[[#This Row],[GST Amount]]</f>
        <v>261846.72</v>
      </c>
      <c r="R184" s="138" t="s">
        <v>1019</v>
      </c>
      <c r="S184" s="41">
        <f>IF(Purchase[[#This Row],[Status]]="Cancelled",0,Purchase[[#This Row],[Qty]])</f>
        <v>16</v>
      </c>
      <c r="T184" s="146">
        <f>IF(Purchase[[#This Row],[Status]]="Cancelled",0,Purchase[[#This Row],[Total Amount]])</f>
        <v>261846.72</v>
      </c>
      <c r="U184" s="146">
        <f>SUM(Purchase[Net Amount])</f>
        <v>814985438.68000126</v>
      </c>
    </row>
    <row r="185" spans="1:21" ht="19.5" thickBot="1" x14ac:dyDescent="0.3">
      <c r="A185" s="136" t="s">
        <v>1208</v>
      </c>
      <c r="B185" s="137">
        <v>45667</v>
      </c>
      <c r="C185" s="138" t="s">
        <v>588</v>
      </c>
      <c r="D185" s="138" t="str">
        <f>VLOOKUP(Purchase[[#This Row],[Supplier ID]],Supplier[#All],2,0)</f>
        <v>Star Electronics</v>
      </c>
      <c r="E185" s="138">
        <f>VLOOKUP(Purchase[[#This Row],[Supplier ID]],Supplier[#All],3,0)</f>
        <v>9689542472</v>
      </c>
      <c r="F185" s="138" t="str">
        <f>VLOOKUP(Purchase[[#This Row],[Supplier ID]],Supplier[#All],4,0)</f>
        <v>Korba</v>
      </c>
      <c r="G185" s="138" t="str">
        <f>VLOOKUP(Purchase[[#This Row],[Supplier ID]],Supplier[#All],5,0)</f>
        <v>CG</v>
      </c>
      <c r="H185" s="138" t="str">
        <f>VLOOKUP(Purchase[[#This Row],[Supplier ID]],Supplier[#All],6,0)</f>
        <v>GST2154521T034</v>
      </c>
      <c r="I185" s="138" t="s">
        <v>261</v>
      </c>
      <c r="J185" s="139">
        <v>39</v>
      </c>
      <c r="K185" s="143">
        <f>VLOOKUP(Purchase[[#This Row],[Product ID]],Product[#All],6,0)</f>
        <v>1130</v>
      </c>
      <c r="L185" s="143">
        <f>Purchase[[#This Row],[Purchase Rate]]*Purchase[[#This Row],[Qty]]</f>
        <v>44070</v>
      </c>
      <c r="M185" s="140">
        <v>0</v>
      </c>
      <c r="N185" s="143">
        <v>0</v>
      </c>
      <c r="O185" s="140">
        <v>0.18</v>
      </c>
      <c r="P185" s="145">
        <f>(Purchase[[#This Row],[Gross Amount]]-Purchase[[#This Row],[Disct %]])*Purchase[[#This Row],[GST %]]</f>
        <v>7932.5999999999995</v>
      </c>
      <c r="Q185" s="145">
        <f>Purchase[[#This Row],[Gross Amount]]-Purchase[[#This Row],[Disct Amnt]]+Purchase[[#This Row],[GST Amount]]</f>
        <v>52002.6</v>
      </c>
      <c r="R185" s="138" t="s">
        <v>1019</v>
      </c>
      <c r="S185" s="41">
        <f>IF(Purchase[[#This Row],[Status]]="Cancelled",0,Purchase[[#This Row],[Qty]])</f>
        <v>39</v>
      </c>
      <c r="T185" s="146">
        <f>IF(Purchase[[#This Row],[Status]]="Cancelled",0,Purchase[[#This Row],[Total Amount]])</f>
        <v>52002.6</v>
      </c>
      <c r="U185" s="146">
        <f>SUM(Purchase[Net Amount])</f>
        <v>814985438.68000126</v>
      </c>
    </row>
    <row r="186" spans="1:21" ht="19.5" thickBot="1" x14ac:dyDescent="0.3">
      <c r="A186" s="136" t="s">
        <v>1209</v>
      </c>
      <c r="B186" s="137">
        <v>45667</v>
      </c>
      <c r="C186" s="138" t="s">
        <v>609</v>
      </c>
      <c r="D186" s="138" t="str">
        <f>VLOOKUP(Purchase[[#This Row],[Supplier ID]],Supplier[#All],2,0)</f>
        <v>Star Suppliers</v>
      </c>
      <c r="E186" s="138">
        <f>VLOOKUP(Purchase[[#This Row],[Supplier ID]],Supplier[#All],3,0)</f>
        <v>9689542492</v>
      </c>
      <c r="F186" s="138" t="str">
        <f>VLOOKUP(Purchase[[#This Row],[Supplier ID]],Supplier[#All],4,0)</f>
        <v>Kanpur</v>
      </c>
      <c r="G186" s="138" t="str">
        <f>VLOOKUP(Purchase[[#This Row],[Supplier ID]],Supplier[#All],5,0)</f>
        <v>UP</v>
      </c>
      <c r="H186" s="138" t="str">
        <f>VLOOKUP(Purchase[[#This Row],[Supplier ID]],Supplier[#All],6,0)</f>
        <v>GST2154521T054</v>
      </c>
      <c r="I186" s="138" t="s">
        <v>468</v>
      </c>
      <c r="J186" s="139">
        <v>4</v>
      </c>
      <c r="K186" s="143">
        <f>VLOOKUP(Purchase[[#This Row],[Product ID]],Product[#All],6,0)</f>
        <v>75590</v>
      </c>
      <c r="L186" s="143">
        <f>Purchase[[#This Row],[Purchase Rate]]*Purchase[[#This Row],[Qty]]</f>
        <v>302360</v>
      </c>
      <c r="M186" s="140">
        <v>0</v>
      </c>
      <c r="N186" s="143">
        <v>0</v>
      </c>
      <c r="O186" s="140">
        <v>0.18</v>
      </c>
      <c r="P186" s="145">
        <f>(Purchase[[#This Row],[Gross Amount]]-Purchase[[#This Row],[Disct %]])*Purchase[[#This Row],[GST %]]</f>
        <v>54424.799999999996</v>
      </c>
      <c r="Q186" s="145">
        <f>Purchase[[#This Row],[Gross Amount]]-Purchase[[#This Row],[Disct Amnt]]+Purchase[[#This Row],[GST Amount]]</f>
        <v>356784.8</v>
      </c>
      <c r="R186" s="138" t="s">
        <v>1019</v>
      </c>
      <c r="S186" s="41">
        <f>IF(Purchase[[#This Row],[Status]]="Cancelled",0,Purchase[[#This Row],[Qty]])</f>
        <v>4</v>
      </c>
      <c r="T186" s="146">
        <f>IF(Purchase[[#This Row],[Status]]="Cancelled",0,Purchase[[#This Row],[Total Amount]])</f>
        <v>356784.8</v>
      </c>
      <c r="U186" s="146">
        <f>SUM(Purchase[Net Amount])</f>
        <v>814985438.68000126</v>
      </c>
    </row>
    <row r="187" spans="1:21" ht="19.5" thickBot="1" x14ac:dyDescent="0.3">
      <c r="A187" s="136" t="s">
        <v>1210</v>
      </c>
      <c r="B187" s="137">
        <v>45667</v>
      </c>
      <c r="C187" s="138" t="s">
        <v>610</v>
      </c>
      <c r="D187" s="138" t="str">
        <f>VLOOKUP(Purchase[[#This Row],[Supplier ID]],Supplier[#All],2,0)</f>
        <v>Shree Electronics</v>
      </c>
      <c r="E187" s="138">
        <f>VLOOKUP(Purchase[[#This Row],[Supplier ID]],Supplier[#All],3,0)</f>
        <v>9689542493</v>
      </c>
      <c r="F187" s="138" t="str">
        <f>VLOOKUP(Purchase[[#This Row],[Supplier ID]],Supplier[#All],4,0)</f>
        <v>Kanpur</v>
      </c>
      <c r="G187" s="138" t="str">
        <f>VLOOKUP(Purchase[[#This Row],[Supplier ID]],Supplier[#All],5,0)</f>
        <v>UP</v>
      </c>
      <c r="H187" s="138" t="str">
        <f>VLOOKUP(Purchase[[#This Row],[Supplier ID]],Supplier[#All],6,0)</f>
        <v>GST2154521T055</v>
      </c>
      <c r="I187" s="138" t="s">
        <v>259</v>
      </c>
      <c r="J187" s="139">
        <v>21</v>
      </c>
      <c r="K187" s="143">
        <f>VLOOKUP(Purchase[[#This Row],[Product ID]],Product[#All],6,0)</f>
        <v>23039</v>
      </c>
      <c r="L187" s="143">
        <f>Purchase[[#This Row],[Purchase Rate]]*Purchase[[#This Row],[Qty]]</f>
        <v>483819</v>
      </c>
      <c r="M187" s="140">
        <v>0</v>
      </c>
      <c r="N187" s="143">
        <v>0</v>
      </c>
      <c r="O187" s="140">
        <v>0.18</v>
      </c>
      <c r="P187" s="145">
        <f>(Purchase[[#This Row],[Gross Amount]]-Purchase[[#This Row],[Disct %]])*Purchase[[#This Row],[GST %]]</f>
        <v>87087.42</v>
      </c>
      <c r="Q187" s="145">
        <f>Purchase[[#This Row],[Gross Amount]]-Purchase[[#This Row],[Disct Amnt]]+Purchase[[#This Row],[GST Amount]]</f>
        <v>570906.42000000004</v>
      </c>
      <c r="R187" s="138" t="s">
        <v>1019</v>
      </c>
      <c r="S187" s="41">
        <f>IF(Purchase[[#This Row],[Status]]="Cancelled",0,Purchase[[#This Row],[Qty]])</f>
        <v>21</v>
      </c>
      <c r="T187" s="146">
        <f>IF(Purchase[[#This Row],[Status]]="Cancelled",0,Purchase[[#This Row],[Total Amount]])</f>
        <v>570906.42000000004</v>
      </c>
      <c r="U187" s="146">
        <f>SUM(Purchase[Net Amount])</f>
        <v>814985438.68000126</v>
      </c>
    </row>
    <row r="188" spans="1:21" ht="19.5" thickBot="1" x14ac:dyDescent="0.3">
      <c r="A188" s="136" t="s">
        <v>1211</v>
      </c>
      <c r="B188" s="137">
        <v>45667</v>
      </c>
      <c r="C188" s="138" t="s">
        <v>593</v>
      </c>
      <c r="D188" s="138" t="str">
        <f>VLOOKUP(Purchase[[#This Row],[Supplier ID]],Supplier[#All],2,0)</f>
        <v>Global Suppliers</v>
      </c>
      <c r="E188" s="138">
        <f>VLOOKUP(Purchase[[#This Row],[Supplier ID]],Supplier[#All],3,0)</f>
        <v>9689542476</v>
      </c>
      <c r="F188" s="138" t="str">
        <f>VLOOKUP(Purchase[[#This Row],[Supplier ID]],Supplier[#All],4,0)</f>
        <v>Korba</v>
      </c>
      <c r="G188" s="138" t="str">
        <f>VLOOKUP(Purchase[[#This Row],[Supplier ID]],Supplier[#All],5,0)</f>
        <v>CG</v>
      </c>
      <c r="H188" s="138" t="str">
        <f>VLOOKUP(Purchase[[#This Row],[Supplier ID]],Supplier[#All],6,0)</f>
        <v>GST2154521T038</v>
      </c>
      <c r="I188" s="138" t="s">
        <v>81</v>
      </c>
      <c r="J188" s="139">
        <v>21</v>
      </c>
      <c r="K188" s="143">
        <f>VLOOKUP(Purchase[[#This Row],[Product ID]],Product[#All],6,0)</f>
        <v>52393</v>
      </c>
      <c r="L188" s="143">
        <f>Purchase[[#This Row],[Purchase Rate]]*Purchase[[#This Row],[Qty]]</f>
        <v>1100253</v>
      </c>
      <c r="M188" s="140">
        <v>0</v>
      </c>
      <c r="N188" s="143">
        <v>0</v>
      </c>
      <c r="O188" s="140">
        <v>0.18</v>
      </c>
      <c r="P188" s="145">
        <f>(Purchase[[#This Row],[Gross Amount]]-Purchase[[#This Row],[Disct %]])*Purchase[[#This Row],[GST %]]</f>
        <v>198045.53999999998</v>
      </c>
      <c r="Q188" s="145">
        <f>Purchase[[#This Row],[Gross Amount]]-Purchase[[#This Row],[Disct Amnt]]+Purchase[[#This Row],[GST Amount]]</f>
        <v>1298298.54</v>
      </c>
      <c r="R188" s="138" t="s">
        <v>1019</v>
      </c>
      <c r="S188" s="41">
        <f>IF(Purchase[[#This Row],[Status]]="Cancelled",0,Purchase[[#This Row],[Qty]])</f>
        <v>21</v>
      </c>
      <c r="T188" s="146">
        <f>IF(Purchase[[#This Row],[Status]]="Cancelled",0,Purchase[[#This Row],[Total Amount]])</f>
        <v>1298298.54</v>
      </c>
      <c r="U188" s="146">
        <f>SUM(Purchase[Net Amount])</f>
        <v>814985438.68000126</v>
      </c>
    </row>
    <row r="189" spans="1:21" ht="19.5" thickBot="1" x14ac:dyDescent="0.3">
      <c r="A189" s="136" t="s">
        <v>1212</v>
      </c>
      <c r="B189" s="137">
        <v>45667</v>
      </c>
      <c r="C189" s="138" t="s">
        <v>588</v>
      </c>
      <c r="D189" s="138" t="str">
        <f>VLOOKUP(Purchase[[#This Row],[Supplier ID]],Supplier[#All],2,0)</f>
        <v>Star Electronics</v>
      </c>
      <c r="E189" s="138">
        <f>VLOOKUP(Purchase[[#This Row],[Supplier ID]],Supplier[#All],3,0)</f>
        <v>9689542472</v>
      </c>
      <c r="F189" s="138" t="str">
        <f>VLOOKUP(Purchase[[#This Row],[Supplier ID]],Supplier[#All],4,0)</f>
        <v>Korba</v>
      </c>
      <c r="G189" s="138" t="str">
        <f>VLOOKUP(Purchase[[#This Row],[Supplier ID]],Supplier[#All],5,0)</f>
        <v>CG</v>
      </c>
      <c r="H189" s="138" t="str">
        <f>VLOOKUP(Purchase[[#This Row],[Supplier ID]],Supplier[#All],6,0)</f>
        <v>GST2154521T034</v>
      </c>
      <c r="I189" s="138" t="s">
        <v>252</v>
      </c>
      <c r="J189" s="139">
        <v>33</v>
      </c>
      <c r="K189" s="143">
        <f>VLOOKUP(Purchase[[#This Row],[Product ID]],Product[#All],6,0)</f>
        <v>47932</v>
      </c>
      <c r="L189" s="143">
        <f>Purchase[[#This Row],[Purchase Rate]]*Purchase[[#This Row],[Qty]]</f>
        <v>1581756</v>
      </c>
      <c r="M189" s="140">
        <v>0</v>
      </c>
      <c r="N189" s="143">
        <v>0</v>
      </c>
      <c r="O189" s="140">
        <v>0.18</v>
      </c>
      <c r="P189" s="145">
        <f>(Purchase[[#This Row],[Gross Amount]]-Purchase[[#This Row],[Disct %]])*Purchase[[#This Row],[GST %]]</f>
        <v>284716.08</v>
      </c>
      <c r="Q189" s="145">
        <f>Purchase[[#This Row],[Gross Amount]]-Purchase[[#This Row],[Disct Amnt]]+Purchase[[#This Row],[GST Amount]]</f>
        <v>1866472.08</v>
      </c>
      <c r="R189" s="138" t="s">
        <v>1019</v>
      </c>
      <c r="S189" s="41">
        <f>IF(Purchase[[#This Row],[Status]]="Cancelled",0,Purchase[[#This Row],[Qty]])</f>
        <v>33</v>
      </c>
      <c r="T189" s="146">
        <f>IF(Purchase[[#This Row],[Status]]="Cancelled",0,Purchase[[#This Row],[Total Amount]])</f>
        <v>1866472.08</v>
      </c>
      <c r="U189" s="146">
        <f>SUM(Purchase[Net Amount])</f>
        <v>814985438.68000126</v>
      </c>
    </row>
    <row r="190" spans="1:21" ht="19.5" thickBot="1" x14ac:dyDescent="0.3">
      <c r="A190" s="136" t="s">
        <v>1213</v>
      </c>
      <c r="B190" s="137">
        <v>45667</v>
      </c>
      <c r="C190" s="138" t="s">
        <v>578</v>
      </c>
      <c r="D190" s="138" t="str">
        <f>VLOOKUP(Purchase[[#This Row],[Supplier ID]],Supplier[#All],2,0)</f>
        <v>Shree Computers</v>
      </c>
      <c r="E190" s="138">
        <f>VLOOKUP(Purchase[[#This Row],[Supplier ID]],Supplier[#All],3,0)</f>
        <v>9689542462</v>
      </c>
      <c r="F190" s="138" t="str">
        <f>VLOOKUP(Purchase[[#This Row],[Supplier ID]],Supplier[#All],4,0)</f>
        <v>Korba</v>
      </c>
      <c r="G190" s="138" t="str">
        <f>VLOOKUP(Purchase[[#This Row],[Supplier ID]],Supplier[#All],5,0)</f>
        <v>CG</v>
      </c>
      <c r="H190" s="138" t="str">
        <f>VLOOKUP(Purchase[[#This Row],[Supplier ID]],Supplier[#All],6,0)</f>
        <v>GST2154521T024</v>
      </c>
      <c r="I190" s="138" t="s">
        <v>157</v>
      </c>
      <c r="J190" s="139">
        <v>31</v>
      </c>
      <c r="K190" s="143">
        <f>VLOOKUP(Purchase[[#This Row],[Product ID]],Product[#All],6,0)</f>
        <v>10034</v>
      </c>
      <c r="L190" s="143">
        <f>Purchase[[#This Row],[Purchase Rate]]*Purchase[[#This Row],[Qty]]</f>
        <v>311054</v>
      </c>
      <c r="M190" s="140">
        <v>0</v>
      </c>
      <c r="N190" s="143">
        <v>0</v>
      </c>
      <c r="O190" s="140">
        <v>0.18</v>
      </c>
      <c r="P190" s="145">
        <f>(Purchase[[#This Row],[Gross Amount]]-Purchase[[#This Row],[Disct %]])*Purchase[[#This Row],[GST %]]</f>
        <v>55989.72</v>
      </c>
      <c r="Q190" s="145">
        <f>Purchase[[#This Row],[Gross Amount]]-Purchase[[#This Row],[Disct Amnt]]+Purchase[[#This Row],[GST Amount]]</f>
        <v>367043.72</v>
      </c>
      <c r="R190" s="138" t="s">
        <v>1019</v>
      </c>
      <c r="S190" s="41">
        <f>IF(Purchase[[#This Row],[Status]]="Cancelled",0,Purchase[[#This Row],[Qty]])</f>
        <v>31</v>
      </c>
      <c r="T190" s="146">
        <f>IF(Purchase[[#This Row],[Status]]="Cancelled",0,Purchase[[#This Row],[Total Amount]])</f>
        <v>367043.72</v>
      </c>
      <c r="U190" s="146">
        <f>SUM(Purchase[Net Amount])</f>
        <v>814985438.68000126</v>
      </c>
    </row>
    <row r="191" spans="1:21" ht="19.5" thickBot="1" x14ac:dyDescent="0.3">
      <c r="A191" s="136" t="s">
        <v>1214</v>
      </c>
      <c r="B191" s="137">
        <v>45667</v>
      </c>
      <c r="C191" s="138" t="s">
        <v>1116</v>
      </c>
      <c r="D191" s="138" t="str">
        <f>VLOOKUP(Purchase[[#This Row],[Supplier ID]],Supplier[#All],2,0)</f>
        <v>Shree Traders</v>
      </c>
      <c r="E191" s="138">
        <f>VLOOKUP(Purchase[[#This Row],[Supplier ID]],Supplier[#All],3,0)</f>
        <v>9689542458</v>
      </c>
      <c r="F191" s="138" t="str">
        <f>VLOOKUP(Purchase[[#This Row],[Supplier ID]],Supplier[#All],4,0)</f>
        <v>Korba</v>
      </c>
      <c r="G191" s="138" t="str">
        <f>VLOOKUP(Purchase[[#This Row],[Supplier ID]],Supplier[#All],5,0)</f>
        <v>CG</v>
      </c>
      <c r="H191" s="138" t="str">
        <f>VLOOKUP(Purchase[[#This Row],[Supplier ID]],Supplier[#All],6,0)</f>
        <v>GST2154521T020</v>
      </c>
      <c r="I191" s="138" t="s">
        <v>409</v>
      </c>
      <c r="J191" s="139">
        <v>39</v>
      </c>
      <c r="K191" s="143">
        <f>VLOOKUP(Purchase[[#This Row],[Product ID]],Product[#All],6,0)</f>
        <v>644</v>
      </c>
      <c r="L191" s="143">
        <f>Purchase[[#This Row],[Purchase Rate]]*Purchase[[#This Row],[Qty]]</f>
        <v>25116</v>
      </c>
      <c r="M191" s="140">
        <v>0</v>
      </c>
      <c r="N191" s="143">
        <v>0</v>
      </c>
      <c r="O191" s="140">
        <v>0.18</v>
      </c>
      <c r="P191" s="145">
        <f>(Purchase[[#This Row],[Gross Amount]]-Purchase[[#This Row],[Disct %]])*Purchase[[#This Row],[GST %]]</f>
        <v>4520.88</v>
      </c>
      <c r="Q191" s="145">
        <f>Purchase[[#This Row],[Gross Amount]]-Purchase[[#This Row],[Disct Amnt]]+Purchase[[#This Row],[GST Amount]]</f>
        <v>29636.880000000001</v>
      </c>
      <c r="R191" s="138" t="s">
        <v>1019</v>
      </c>
      <c r="S191" s="41">
        <f>IF(Purchase[[#This Row],[Status]]="Cancelled",0,Purchase[[#This Row],[Qty]])</f>
        <v>39</v>
      </c>
      <c r="T191" s="146">
        <f>IF(Purchase[[#This Row],[Status]]="Cancelled",0,Purchase[[#This Row],[Total Amount]])</f>
        <v>29636.880000000001</v>
      </c>
      <c r="U191" s="146">
        <f>SUM(Purchase[Net Amount])</f>
        <v>814985438.68000126</v>
      </c>
    </row>
    <row r="192" spans="1:21" ht="19.5" thickBot="1" x14ac:dyDescent="0.3">
      <c r="A192" s="136" t="s">
        <v>1215</v>
      </c>
      <c r="B192" s="137">
        <v>45667</v>
      </c>
      <c r="C192" s="138" t="s">
        <v>566</v>
      </c>
      <c r="D192" s="138" t="str">
        <f>VLOOKUP(Purchase[[#This Row],[Supplier ID]],Supplier[#All],2,0)</f>
        <v>Maa Computers</v>
      </c>
      <c r="E192" s="138">
        <f>VLOOKUP(Purchase[[#This Row],[Supplier ID]],Supplier[#All],3,0)</f>
        <v>9689542452</v>
      </c>
      <c r="F192" s="138" t="str">
        <f>VLOOKUP(Purchase[[#This Row],[Supplier ID]],Supplier[#All],4,0)</f>
        <v>Kanpur</v>
      </c>
      <c r="G192" s="138" t="str">
        <f>VLOOKUP(Purchase[[#This Row],[Supplier ID]],Supplier[#All],5,0)</f>
        <v>UP</v>
      </c>
      <c r="H192" s="138" t="str">
        <f>VLOOKUP(Purchase[[#This Row],[Supplier ID]],Supplier[#All],6,0)</f>
        <v>GST2154521T014</v>
      </c>
      <c r="I192" s="138" t="s">
        <v>415</v>
      </c>
      <c r="J192" s="139">
        <v>6</v>
      </c>
      <c r="K192" s="143">
        <f>VLOOKUP(Purchase[[#This Row],[Product ID]],Product[#All],6,0)</f>
        <v>4146</v>
      </c>
      <c r="L192" s="143">
        <f>Purchase[[#This Row],[Purchase Rate]]*Purchase[[#This Row],[Qty]]</f>
        <v>24876</v>
      </c>
      <c r="M192" s="140">
        <v>0</v>
      </c>
      <c r="N192" s="143">
        <v>0</v>
      </c>
      <c r="O192" s="140">
        <v>0.18</v>
      </c>
      <c r="P192" s="145">
        <f>(Purchase[[#This Row],[Gross Amount]]-Purchase[[#This Row],[Disct %]])*Purchase[[#This Row],[GST %]]</f>
        <v>4477.6799999999994</v>
      </c>
      <c r="Q192" s="145">
        <f>Purchase[[#This Row],[Gross Amount]]-Purchase[[#This Row],[Disct Amnt]]+Purchase[[#This Row],[GST Amount]]</f>
        <v>29353.68</v>
      </c>
      <c r="R192" s="138" t="s">
        <v>1019</v>
      </c>
      <c r="S192" s="41">
        <f>IF(Purchase[[#This Row],[Status]]="Cancelled",0,Purchase[[#This Row],[Qty]])</f>
        <v>6</v>
      </c>
      <c r="T192" s="146">
        <f>IF(Purchase[[#This Row],[Status]]="Cancelled",0,Purchase[[#This Row],[Total Amount]])</f>
        <v>29353.68</v>
      </c>
      <c r="U192" s="146">
        <f>SUM(Purchase[Net Amount])</f>
        <v>814985438.68000126</v>
      </c>
    </row>
    <row r="193" spans="1:21" ht="19.5" thickBot="1" x14ac:dyDescent="0.3">
      <c r="A193" s="136" t="s">
        <v>1216</v>
      </c>
      <c r="B193" s="137">
        <v>45667</v>
      </c>
      <c r="C193" s="138" t="s">
        <v>581</v>
      </c>
      <c r="D193" s="138" t="str">
        <f>VLOOKUP(Purchase[[#This Row],[Supplier ID]],Supplier[#All],2,0)</f>
        <v>Prime Electronics</v>
      </c>
      <c r="E193" s="138">
        <f>VLOOKUP(Purchase[[#This Row],[Supplier ID]],Supplier[#All],3,0)</f>
        <v>9689542465</v>
      </c>
      <c r="F193" s="138" t="str">
        <f>VLOOKUP(Purchase[[#This Row],[Supplier ID]],Supplier[#All],4,0)</f>
        <v>Korba</v>
      </c>
      <c r="G193" s="138" t="str">
        <f>VLOOKUP(Purchase[[#This Row],[Supplier ID]],Supplier[#All],5,0)</f>
        <v>CG</v>
      </c>
      <c r="H193" s="138" t="str">
        <f>VLOOKUP(Purchase[[#This Row],[Supplier ID]],Supplier[#All],6,0)</f>
        <v>GST2154521T027</v>
      </c>
      <c r="I193" s="138" t="s">
        <v>351</v>
      </c>
      <c r="J193" s="139">
        <v>28</v>
      </c>
      <c r="K193" s="143">
        <f>VLOOKUP(Purchase[[#This Row],[Product ID]],Product[#All],6,0)</f>
        <v>1797</v>
      </c>
      <c r="L193" s="143">
        <f>Purchase[[#This Row],[Purchase Rate]]*Purchase[[#This Row],[Qty]]</f>
        <v>50316</v>
      </c>
      <c r="M193" s="140">
        <v>0</v>
      </c>
      <c r="N193" s="143">
        <v>0</v>
      </c>
      <c r="O193" s="140">
        <v>0.18</v>
      </c>
      <c r="P193" s="145">
        <f>(Purchase[[#This Row],[Gross Amount]]-Purchase[[#This Row],[Disct %]])*Purchase[[#This Row],[GST %]]</f>
        <v>9056.8799999999992</v>
      </c>
      <c r="Q193" s="145">
        <f>Purchase[[#This Row],[Gross Amount]]-Purchase[[#This Row],[Disct Amnt]]+Purchase[[#This Row],[GST Amount]]</f>
        <v>59372.88</v>
      </c>
      <c r="R193" s="138" t="s">
        <v>1019</v>
      </c>
      <c r="S193" s="41">
        <f>IF(Purchase[[#This Row],[Status]]="Cancelled",0,Purchase[[#This Row],[Qty]])</f>
        <v>28</v>
      </c>
      <c r="T193" s="146">
        <f>IF(Purchase[[#This Row],[Status]]="Cancelled",0,Purchase[[#This Row],[Total Amount]])</f>
        <v>59372.88</v>
      </c>
      <c r="U193" s="146">
        <f>SUM(Purchase[Net Amount])</f>
        <v>814985438.68000126</v>
      </c>
    </row>
    <row r="194" spans="1:21" ht="19.5" thickBot="1" x14ac:dyDescent="0.3">
      <c r="A194" s="136" t="s">
        <v>1217</v>
      </c>
      <c r="B194" s="137">
        <v>45667</v>
      </c>
      <c r="C194" s="138" t="s">
        <v>608</v>
      </c>
      <c r="D194" s="138" t="str">
        <f>VLOOKUP(Purchase[[#This Row],[Supplier ID]],Supplier[#All],2,0)</f>
        <v>Global Suppliers</v>
      </c>
      <c r="E194" s="138">
        <f>VLOOKUP(Purchase[[#This Row],[Supplier ID]],Supplier[#All],3,0)</f>
        <v>9689542499</v>
      </c>
      <c r="F194" s="138" t="str">
        <f>VLOOKUP(Purchase[[#This Row],[Supplier ID]],Supplier[#All],4,0)</f>
        <v>Korba</v>
      </c>
      <c r="G194" s="138" t="str">
        <f>VLOOKUP(Purchase[[#This Row],[Supplier ID]],Supplier[#All],5,0)</f>
        <v>CG</v>
      </c>
      <c r="H194" s="138" t="str">
        <f>VLOOKUP(Purchase[[#This Row],[Supplier ID]],Supplier[#All],6,0)</f>
        <v>GST2154521T053</v>
      </c>
      <c r="I194" s="138" t="s">
        <v>402</v>
      </c>
      <c r="J194" s="139">
        <v>18</v>
      </c>
      <c r="K194" s="143">
        <f>VLOOKUP(Purchase[[#This Row],[Product ID]],Product[#All],6,0)</f>
        <v>2925</v>
      </c>
      <c r="L194" s="143">
        <f>Purchase[[#This Row],[Purchase Rate]]*Purchase[[#This Row],[Qty]]</f>
        <v>52650</v>
      </c>
      <c r="M194" s="140">
        <v>0</v>
      </c>
      <c r="N194" s="143">
        <v>0</v>
      </c>
      <c r="O194" s="140">
        <v>0.18</v>
      </c>
      <c r="P194" s="145">
        <f>(Purchase[[#This Row],[Gross Amount]]-Purchase[[#This Row],[Disct %]])*Purchase[[#This Row],[GST %]]</f>
        <v>9477</v>
      </c>
      <c r="Q194" s="145">
        <f>Purchase[[#This Row],[Gross Amount]]-Purchase[[#This Row],[Disct Amnt]]+Purchase[[#This Row],[GST Amount]]</f>
        <v>62127</v>
      </c>
      <c r="R194" s="138" t="s">
        <v>1019</v>
      </c>
      <c r="S194" s="41">
        <f>IF(Purchase[[#This Row],[Status]]="Cancelled",0,Purchase[[#This Row],[Qty]])</f>
        <v>18</v>
      </c>
      <c r="T194" s="146">
        <f>IF(Purchase[[#This Row],[Status]]="Cancelled",0,Purchase[[#This Row],[Total Amount]])</f>
        <v>62127</v>
      </c>
      <c r="U194" s="146">
        <f>SUM(Purchase[Net Amount])</f>
        <v>814985438.68000126</v>
      </c>
    </row>
    <row r="195" spans="1:21" ht="19.5" thickBot="1" x14ac:dyDescent="0.3">
      <c r="A195" s="136" t="s">
        <v>1218</v>
      </c>
      <c r="B195" s="137">
        <v>45667</v>
      </c>
      <c r="C195" s="138" t="s">
        <v>568</v>
      </c>
      <c r="D195" s="138" t="str">
        <f>VLOOKUP(Purchase[[#This Row],[Supplier ID]],Supplier[#All],2,0)</f>
        <v>Maa Computers</v>
      </c>
      <c r="E195" s="138">
        <f>VLOOKUP(Purchase[[#This Row],[Supplier ID]],Supplier[#All],3,0)</f>
        <v>9689542454</v>
      </c>
      <c r="F195" s="138" t="str">
        <f>VLOOKUP(Purchase[[#This Row],[Supplier ID]],Supplier[#All],4,0)</f>
        <v>Korba</v>
      </c>
      <c r="G195" s="138" t="str">
        <f>VLOOKUP(Purchase[[#This Row],[Supplier ID]],Supplier[#All],5,0)</f>
        <v>CG</v>
      </c>
      <c r="H195" s="138" t="str">
        <f>VLOOKUP(Purchase[[#This Row],[Supplier ID]],Supplier[#All],6,0)</f>
        <v>GST2154521T016</v>
      </c>
      <c r="I195" s="138" t="s">
        <v>255</v>
      </c>
      <c r="J195" s="139">
        <v>12</v>
      </c>
      <c r="K195" s="143">
        <f>VLOOKUP(Purchase[[#This Row],[Product ID]],Product[#All],6,0)</f>
        <v>50809</v>
      </c>
      <c r="L195" s="143">
        <f>Purchase[[#This Row],[Purchase Rate]]*Purchase[[#This Row],[Qty]]</f>
        <v>609708</v>
      </c>
      <c r="M195" s="140">
        <v>0</v>
      </c>
      <c r="N195" s="143">
        <v>0</v>
      </c>
      <c r="O195" s="140">
        <v>0.18</v>
      </c>
      <c r="P195" s="145">
        <f>(Purchase[[#This Row],[Gross Amount]]-Purchase[[#This Row],[Disct %]])*Purchase[[#This Row],[GST %]]</f>
        <v>109747.44</v>
      </c>
      <c r="Q195" s="145">
        <f>Purchase[[#This Row],[Gross Amount]]-Purchase[[#This Row],[Disct Amnt]]+Purchase[[#This Row],[GST Amount]]</f>
        <v>719455.44</v>
      </c>
      <c r="R195" s="138" t="s">
        <v>1019</v>
      </c>
      <c r="S195" s="41">
        <f>IF(Purchase[[#This Row],[Status]]="Cancelled",0,Purchase[[#This Row],[Qty]])</f>
        <v>12</v>
      </c>
      <c r="T195" s="146">
        <f>IF(Purchase[[#This Row],[Status]]="Cancelled",0,Purchase[[#This Row],[Total Amount]])</f>
        <v>719455.44</v>
      </c>
      <c r="U195" s="146">
        <f>SUM(Purchase[Net Amount])</f>
        <v>814985438.68000126</v>
      </c>
    </row>
    <row r="196" spans="1:21" ht="19.5" thickBot="1" x14ac:dyDescent="0.3">
      <c r="A196" s="136" t="s">
        <v>1219</v>
      </c>
      <c r="B196" s="137">
        <v>45667</v>
      </c>
      <c r="C196" s="138" t="s">
        <v>598</v>
      </c>
      <c r="D196" s="138" t="str">
        <f>VLOOKUP(Purchase[[#This Row],[Supplier ID]],Supplier[#All],2,0)</f>
        <v>National Distributors</v>
      </c>
      <c r="E196" s="138">
        <f>VLOOKUP(Purchase[[#This Row],[Supplier ID]],Supplier[#All],3,0)</f>
        <v>9689542489</v>
      </c>
      <c r="F196" s="138" t="str">
        <f>VLOOKUP(Purchase[[#This Row],[Supplier ID]],Supplier[#All],4,0)</f>
        <v>Indore</v>
      </c>
      <c r="G196" s="138" t="str">
        <f>VLOOKUP(Purchase[[#This Row],[Supplier ID]],Supplier[#All],5,0)</f>
        <v>MP</v>
      </c>
      <c r="H196" s="138" t="str">
        <f>VLOOKUP(Purchase[[#This Row],[Supplier ID]],Supplier[#All],6,0)</f>
        <v>GST2154521T043</v>
      </c>
      <c r="I196" s="138" t="s">
        <v>379</v>
      </c>
      <c r="J196" s="139">
        <v>10</v>
      </c>
      <c r="K196" s="143">
        <f>VLOOKUP(Purchase[[#This Row],[Product ID]],Product[#All],6,0)</f>
        <v>66232</v>
      </c>
      <c r="L196" s="143">
        <f>Purchase[[#This Row],[Purchase Rate]]*Purchase[[#This Row],[Qty]]</f>
        <v>662320</v>
      </c>
      <c r="M196" s="140">
        <v>0</v>
      </c>
      <c r="N196" s="143">
        <v>0</v>
      </c>
      <c r="O196" s="140">
        <v>0.18</v>
      </c>
      <c r="P196" s="145">
        <f>(Purchase[[#This Row],[Gross Amount]]-Purchase[[#This Row],[Disct %]])*Purchase[[#This Row],[GST %]]</f>
        <v>119217.59999999999</v>
      </c>
      <c r="Q196" s="145">
        <f>Purchase[[#This Row],[Gross Amount]]-Purchase[[#This Row],[Disct Amnt]]+Purchase[[#This Row],[GST Amount]]</f>
        <v>781537.6</v>
      </c>
      <c r="R196" s="138" t="s">
        <v>1019</v>
      </c>
      <c r="S196" s="41">
        <f>IF(Purchase[[#This Row],[Status]]="Cancelled",0,Purchase[[#This Row],[Qty]])</f>
        <v>10</v>
      </c>
      <c r="T196" s="146">
        <f>IF(Purchase[[#This Row],[Status]]="Cancelled",0,Purchase[[#This Row],[Total Amount]])</f>
        <v>781537.6</v>
      </c>
      <c r="U196" s="146">
        <f>SUM(Purchase[Net Amount])</f>
        <v>814985438.68000126</v>
      </c>
    </row>
    <row r="197" spans="1:21" ht="19.5" thickBot="1" x14ac:dyDescent="0.3">
      <c r="A197" s="136" t="s">
        <v>1220</v>
      </c>
      <c r="B197" s="137">
        <v>45668</v>
      </c>
      <c r="C197" s="138" t="s">
        <v>578</v>
      </c>
      <c r="D197" s="138" t="str">
        <f>VLOOKUP(Purchase[[#This Row],[Supplier ID]],Supplier[#All],2,0)</f>
        <v>Shree Computers</v>
      </c>
      <c r="E197" s="138">
        <f>VLOOKUP(Purchase[[#This Row],[Supplier ID]],Supplier[#All],3,0)</f>
        <v>9689542462</v>
      </c>
      <c r="F197" s="138" t="str">
        <f>VLOOKUP(Purchase[[#This Row],[Supplier ID]],Supplier[#All],4,0)</f>
        <v>Korba</v>
      </c>
      <c r="G197" s="138" t="str">
        <f>VLOOKUP(Purchase[[#This Row],[Supplier ID]],Supplier[#All],5,0)</f>
        <v>CG</v>
      </c>
      <c r="H197" s="138" t="str">
        <f>VLOOKUP(Purchase[[#This Row],[Supplier ID]],Supplier[#All],6,0)</f>
        <v>GST2154521T024</v>
      </c>
      <c r="I197" s="138" t="s">
        <v>151</v>
      </c>
      <c r="J197" s="139">
        <v>26</v>
      </c>
      <c r="K197" s="143">
        <f>VLOOKUP(Purchase[[#This Row],[Product ID]],Product[#All],6,0)</f>
        <v>5716</v>
      </c>
      <c r="L197" s="143">
        <f>Purchase[[#This Row],[Purchase Rate]]*Purchase[[#This Row],[Qty]]</f>
        <v>148616</v>
      </c>
      <c r="M197" s="140">
        <v>0</v>
      </c>
      <c r="N197" s="143">
        <v>0</v>
      </c>
      <c r="O197" s="140">
        <v>0.18</v>
      </c>
      <c r="P197" s="145">
        <f>(Purchase[[#This Row],[Gross Amount]]-Purchase[[#This Row],[Disct %]])*Purchase[[#This Row],[GST %]]</f>
        <v>26750.879999999997</v>
      </c>
      <c r="Q197" s="145">
        <f>Purchase[[#This Row],[Gross Amount]]-Purchase[[#This Row],[Disct Amnt]]+Purchase[[#This Row],[GST Amount]]</f>
        <v>175366.88</v>
      </c>
      <c r="R197" s="138" t="s">
        <v>1019</v>
      </c>
      <c r="S197" s="41">
        <f>IF(Purchase[[#This Row],[Status]]="Cancelled",0,Purchase[[#This Row],[Qty]])</f>
        <v>26</v>
      </c>
      <c r="T197" s="146">
        <f>IF(Purchase[[#This Row],[Status]]="Cancelled",0,Purchase[[#This Row],[Total Amount]])</f>
        <v>175366.88</v>
      </c>
      <c r="U197" s="146">
        <f>SUM(Purchase[Net Amount])</f>
        <v>814985438.68000126</v>
      </c>
    </row>
    <row r="198" spans="1:21" ht="19.5" thickBot="1" x14ac:dyDescent="0.3">
      <c r="A198" s="136" t="s">
        <v>1221</v>
      </c>
      <c r="B198" s="137">
        <v>45668</v>
      </c>
      <c r="C198" s="138" t="s">
        <v>610</v>
      </c>
      <c r="D198" s="138" t="str">
        <f>VLOOKUP(Purchase[[#This Row],[Supplier ID]],Supplier[#All],2,0)</f>
        <v>Shree Electronics</v>
      </c>
      <c r="E198" s="138">
        <f>VLOOKUP(Purchase[[#This Row],[Supplier ID]],Supplier[#All],3,0)</f>
        <v>9689542493</v>
      </c>
      <c r="F198" s="138" t="str">
        <f>VLOOKUP(Purchase[[#This Row],[Supplier ID]],Supplier[#All],4,0)</f>
        <v>Kanpur</v>
      </c>
      <c r="G198" s="138" t="str">
        <f>VLOOKUP(Purchase[[#This Row],[Supplier ID]],Supplier[#All],5,0)</f>
        <v>UP</v>
      </c>
      <c r="H198" s="138" t="str">
        <f>VLOOKUP(Purchase[[#This Row],[Supplier ID]],Supplier[#All],6,0)</f>
        <v>GST2154521T055</v>
      </c>
      <c r="I198" s="138" t="s">
        <v>387</v>
      </c>
      <c r="J198" s="139">
        <v>40</v>
      </c>
      <c r="K198" s="143">
        <f>VLOOKUP(Purchase[[#This Row],[Product ID]],Product[#All],6,0)</f>
        <v>12111</v>
      </c>
      <c r="L198" s="143">
        <f>Purchase[[#This Row],[Purchase Rate]]*Purchase[[#This Row],[Qty]]</f>
        <v>484440</v>
      </c>
      <c r="M198" s="140">
        <v>0</v>
      </c>
      <c r="N198" s="143">
        <v>0</v>
      </c>
      <c r="O198" s="140">
        <v>0.18</v>
      </c>
      <c r="P198" s="145">
        <f>(Purchase[[#This Row],[Gross Amount]]-Purchase[[#This Row],[Disct %]])*Purchase[[#This Row],[GST %]]</f>
        <v>87199.2</v>
      </c>
      <c r="Q198" s="145">
        <f>Purchase[[#This Row],[Gross Amount]]-Purchase[[#This Row],[Disct Amnt]]+Purchase[[#This Row],[GST Amount]]</f>
        <v>571639.19999999995</v>
      </c>
      <c r="R198" s="138" t="s">
        <v>1019</v>
      </c>
      <c r="S198" s="41">
        <f>IF(Purchase[[#This Row],[Status]]="Cancelled",0,Purchase[[#This Row],[Qty]])</f>
        <v>40</v>
      </c>
      <c r="T198" s="146">
        <f>IF(Purchase[[#This Row],[Status]]="Cancelled",0,Purchase[[#This Row],[Total Amount]])</f>
        <v>571639.19999999995</v>
      </c>
      <c r="U198" s="146">
        <f>SUM(Purchase[Net Amount])</f>
        <v>814985438.68000126</v>
      </c>
    </row>
    <row r="199" spans="1:21" ht="19.5" thickBot="1" x14ac:dyDescent="0.3">
      <c r="A199" s="136" t="s">
        <v>1222</v>
      </c>
      <c r="B199" s="137">
        <v>45668</v>
      </c>
      <c r="C199" s="138" t="s">
        <v>585</v>
      </c>
      <c r="D199" s="138" t="str">
        <f>VLOOKUP(Purchase[[#This Row],[Supplier ID]],Supplier[#All],2,0)</f>
        <v>Tech Computers</v>
      </c>
      <c r="E199" s="138">
        <f>VLOOKUP(Purchase[[#This Row],[Supplier ID]],Supplier[#All],3,0)</f>
        <v>9689542469</v>
      </c>
      <c r="F199" s="138" t="str">
        <f>VLOOKUP(Purchase[[#This Row],[Supplier ID]],Supplier[#All],4,0)</f>
        <v>Korba</v>
      </c>
      <c r="G199" s="138" t="str">
        <f>VLOOKUP(Purchase[[#This Row],[Supplier ID]],Supplier[#All],5,0)</f>
        <v>CG</v>
      </c>
      <c r="H199" s="138" t="str">
        <f>VLOOKUP(Purchase[[#This Row],[Supplier ID]],Supplier[#All],6,0)</f>
        <v>GST2154521T031</v>
      </c>
      <c r="I199" s="138" t="s">
        <v>516</v>
      </c>
      <c r="J199" s="139">
        <v>18</v>
      </c>
      <c r="K199" s="143">
        <f>VLOOKUP(Purchase[[#This Row],[Product ID]],Product[#All],6,0)</f>
        <v>2042</v>
      </c>
      <c r="L199" s="143">
        <f>Purchase[[#This Row],[Purchase Rate]]*Purchase[[#This Row],[Qty]]</f>
        <v>36756</v>
      </c>
      <c r="M199" s="140">
        <v>0</v>
      </c>
      <c r="N199" s="143">
        <v>0</v>
      </c>
      <c r="O199" s="140">
        <v>0.18</v>
      </c>
      <c r="P199" s="145">
        <f>(Purchase[[#This Row],[Gross Amount]]-Purchase[[#This Row],[Disct %]])*Purchase[[#This Row],[GST %]]</f>
        <v>6616.08</v>
      </c>
      <c r="Q199" s="145">
        <f>Purchase[[#This Row],[Gross Amount]]-Purchase[[#This Row],[Disct Amnt]]+Purchase[[#This Row],[GST Amount]]</f>
        <v>43372.08</v>
      </c>
      <c r="R199" s="138" t="s">
        <v>1019</v>
      </c>
      <c r="S199" s="41">
        <f>IF(Purchase[[#This Row],[Status]]="Cancelled",0,Purchase[[#This Row],[Qty]])</f>
        <v>18</v>
      </c>
      <c r="T199" s="146">
        <f>IF(Purchase[[#This Row],[Status]]="Cancelled",0,Purchase[[#This Row],[Total Amount]])</f>
        <v>43372.08</v>
      </c>
      <c r="U199" s="146">
        <f>SUM(Purchase[Net Amount])</f>
        <v>814985438.68000126</v>
      </c>
    </row>
    <row r="200" spans="1:21" ht="19.5" thickBot="1" x14ac:dyDescent="0.3">
      <c r="A200" s="136" t="s">
        <v>1223</v>
      </c>
      <c r="B200" s="137">
        <v>45668</v>
      </c>
      <c r="C200" s="138" t="s">
        <v>573</v>
      </c>
      <c r="D200" s="138" t="str">
        <f>VLOOKUP(Purchase[[#This Row],[Supplier ID]],Supplier[#All],2,0)</f>
        <v>Shree Traders</v>
      </c>
      <c r="E200" s="138">
        <f>VLOOKUP(Purchase[[#This Row],[Supplier ID]],Supplier[#All],3,0)</f>
        <v>9689542458</v>
      </c>
      <c r="F200" s="138" t="str">
        <f>VLOOKUP(Purchase[[#This Row],[Supplier ID]],Supplier[#All],4,0)</f>
        <v>Korba</v>
      </c>
      <c r="G200" s="138" t="str">
        <f>VLOOKUP(Purchase[[#This Row],[Supplier ID]],Supplier[#All],5,0)</f>
        <v>CG</v>
      </c>
      <c r="H200" s="138" t="str">
        <f>VLOOKUP(Purchase[[#This Row],[Supplier ID]],Supplier[#All],6,0)</f>
        <v>GST2154521T020</v>
      </c>
      <c r="I200" s="138" t="s">
        <v>512</v>
      </c>
      <c r="J200" s="139">
        <v>33</v>
      </c>
      <c r="K200" s="143">
        <f>VLOOKUP(Purchase[[#This Row],[Product ID]],Product[#All],6,0)</f>
        <v>4495</v>
      </c>
      <c r="L200" s="143">
        <f>Purchase[[#This Row],[Purchase Rate]]*Purchase[[#This Row],[Qty]]</f>
        <v>148335</v>
      </c>
      <c r="M200" s="140">
        <v>0</v>
      </c>
      <c r="N200" s="143">
        <v>0</v>
      </c>
      <c r="O200" s="140">
        <v>0.18</v>
      </c>
      <c r="P200" s="145">
        <f>(Purchase[[#This Row],[Gross Amount]]-Purchase[[#This Row],[Disct %]])*Purchase[[#This Row],[GST %]]</f>
        <v>26700.3</v>
      </c>
      <c r="Q200" s="145">
        <f>Purchase[[#This Row],[Gross Amount]]-Purchase[[#This Row],[Disct Amnt]]+Purchase[[#This Row],[GST Amount]]</f>
        <v>175035.3</v>
      </c>
      <c r="R200" s="138" t="s">
        <v>1019</v>
      </c>
      <c r="S200" s="41">
        <f>IF(Purchase[[#This Row],[Status]]="Cancelled",0,Purchase[[#This Row],[Qty]])</f>
        <v>33</v>
      </c>
      <c r="T200" s="146">
        <f>IF(Purchase[[#This Row],[Status]]="Cancelled",0,Purchase[[#This Row],[Total Amount]])</f>
        <v>175035.3</v>
      </c>
      <c r="U200" s="146">
        <f>SUM(Purchase[Net Amount])</f>
        <v>814985438.68000126</v>
      </c>
    </row>
    <row r="201" spans="1:21" ht="19.5" thickBot="1" x14ac:dyDescent="0.3">
      <c r="A201" s="136" t="s">
        <v>1224</v>
      </c>
      <c r="B201" s="137">
        <v>45668</v>
      </c>
      <c r="C201" s="138" t="s">
        <v>1225</v>
      </c>
      <c r="D201" s="138" t="str">
        <f>VLOOKUP(Purchase[[#This Row],[Supplier ID]],Supplier[#All],2,0)</f>
        <v>Star Distributors</v>
      </c>
      <c r="E201" s="138">
        <f>VLOOKUP(Purchase[[#This Row],[Supplier ID]],Supplier[#All],3,0)</f>
        <v>9689542474</v>
      </c>
      <c r="F201" s="138" t="str">
        <f>VLOOKUP(Purchase[[#This Row],[Supplier ID]],Supplier[#All],4,0)</f>
        <v>Kanpur</v>
      </c>
      <c r="G201" s="138" t="str">
        <f>VLOOKUP(Purchase[[#This Row],[Supplier ID]],Supplier[#All],5,0)</f>
        <v>UP</v>
      </c>
      <c r="H201" s="138" t="str">
        <f>VLOOKUP(Purchase[[#This Row],[Supplier ID]],Supplier[#All],6,0)</f>
        <v>GST2154521T036</v>
      </c>
      <c r="I201" s="138" t="s">
        <v>375</v>
      </c>
      <c r="J201" s="139">
        <v>33</v>
      </c>
      <c r="K201" s="143">
        <f>VLOOKUP(Purchase[[#This Row],[Product ID]],Product[#All],6,0)</f>
        <v>4429</v>
      </c>
      <c r="L201" s="143">
        <f>Purchase[[#This Row],[Purchase Rate]]*Purchase[[#This Row],[Qty]]</f>
        <v>146157</v>
      </c>
      <c r="M201" s="140">
        <v>0</v>
      </c>
      <c r="N201" s="143">
        <v>0</v>
      </c>
      <c r="O201" s="140">
        <v>0.18</v>
      </c>
      <c r="P201" s="145">
        <f>(Purchase[[#This Row],[Gross Amount]]-Purchase[[#This Row],[Disct %]])*Purchase[[#This Row],[GST %]]</f>
        <v>26308.26</v>
      </c>
      <c r="Q201" s="145">
        <f>Purchase[[#This Row],[Gross Amount]]-Purchase[[#This Row],[Disct Amnt]]+Purchase[[#This Row],[GST Amount]]</f>
        <v>172465.26</v>
      </c>
      <c r="R201" s="138" t="s">
        <v>1019</v>
      </c>
      <c r="S201" s="41">
        <f>IF(Purchase[[#This Row],[Status]]="Cancelled",0,Purchase[[#This Row],[Qty]])</f>
        <v>33</v>
      </c>
      <c r="T201" s="146">
        <f>IF(Purchase[[#This Row],[Status]]="Cancelled",0,Purchase[[#This Row],[Total Amount]])</f>
        <v>172465.26</v>
      </c>
      <c r="U201" s="146">
        <f>SUM(Purchase[Net Amount])</f>
        <v>814985438.68000126</v>
      </c>
    </row>
    <row r="202" spans="1:21" ht="19.5" thickBot="1" x14ac:dyDescent="0.3">
      <c r="A202" s="136" t="s">
        <v>1226</v>
      </c>
      <c r="B202" s="137">
        <v>45668</v>
      </c>
      <c r="C202" s="138" t="s">
        <v>613</v>
      </c>
      <c r="D202" s="138" t="str">
        <f>VLOOKUP(Purchase[[#This Row],[Supplier ID]],Supplier[#All],2,0)</f>
        <v>National Traders</v>
      </c>
      <c r="E202" s="138">
        <f>VLOOKUP(Purchase[[#This Row],[Supplier ID]],Supplier[#All],3,0)</f>
        <v>9689542496</v>
      </c>
      <c r="F202" s="138" t="str">
        <f>VLOOKUP(Purchase[[#This Row],[Supplier ID]],Supplier[#All],4,0)</f>
        <v>Indore</v>
      </c>
      <c r="G202" s="138" t="str">
        <f>VLOOKUP(Purchase[[#This Row],[Supplier ID]],Supplier[#All],5,0)</f>
        <v>MP</v>
      </c>
      <c r="H202" s="138" t="str">
        <f>VLOOKUP(Purchase[[#This Row],[Supplier ID]],Supplier[#All],6,0)</f>
        <v>GST2154521T058</v>
      </c>
      <c r="I202" s="138" t="s">
        <v>26</v>
      </c>
      <c r="J202" s="139">
        <v>17</v>
      </c>
      <c r="K202" s="143">
        <f>VLOOKUP(Purchase[[#This Row],[Product ID]],Product[#All],6,0)</f>
        <v>18890</v>
      </c>
      <c r="L202" s="143">
        <f>Purchase[[#This Row],[Purchase Rate]]*Purchase[[#This Row],[Qty]]</f>
        <v>321130</v>
      </c>
      <c r="M202" s="140">
        <v>0</v>
      </c>
      <c r="N202" s="143">
        <v>0</v>
      </c>
      <c r="O202" s="140">
        <v>0.18</v>
      </c>
      <c r="P202" s="145">
        <f>(Purchase[[#This Row],[Gross Amount]]-Purchase[[#This Row],[Disct %]])*Purchase[[#This Row],[GST %]]</f>
        <v>57803.4</v>
      </c>
      <c r="Q202" s="145">
        <f>Purchase[[#This Row],[Gross Amount]]-Purchase[[#This Row],[Disct Amnt]]+Purchase[[#This Row],[GST Amount]]</f>
        <v>378933.4</v>
      </c>
      <c r="R202" s="138" t="s">
        <v>1019</v>
      </c>
      <c r="S202" s="41">
        <f>IF(Purchase[[#This Row],[Status]]="Cancelled",0,Purchase[[#This Row],[Qty]])</f>
        <v>17</v>
      </c>
      <c r="T202" s="146">
        <f>IF(Purchase[[#This Row],[Status]]="Cancelled",0,Purchase[[#This Row],[Total Amount]])</f>
        <v>378933.4</v>
      </c>
      <c r="U202" s="146">
        <f>SUM(Purchase[Net Amount])</f>
        <v>814985438.68000126</v>
      </c>
    </row>
    <row r="203" spans="1:21" ht="19.5" thickBot="1" x14ac:dyDescent="0.3">
      <c r="A203" s="136" t="s">
        <v>1227</v>
      </c>
      <c r="B203" s="137">
        <v>45668</v>
      </c>
      <c r="C203" s="138" t="s">
        <v>570</v>
      </c>
      <c r="D203" s="138" t="str">
        <f>VLOOKUP(Purchase[[#This Row],[Supplier ID]],Supplier[#All],2,0)</f>
        <v>Prime Traders</v>
      </c>
      <c r="E203" s="138">
        <f>VLOOKUP(Purchase[[#This Row],[Supplier ID]],Supplier[#All],3,0)</f>
        <v>9689542456</v>
      </c>
      <c r="F203" s="138" t="str">
        <f>VLOOKUP(Purchase[[#This Row],[Supplier ID]],Supplier[#All],4,0)</f>
        <v>Indore</v>
      </c>
      <c r="G203" s="138" t="str">
        <f>VLOOKUP(Purchase[[#This Row],[Supplier ID]],Supplier[#All],5,0)</f>
        <v>MP</v>
      </c>
      <c r="H203" s="138" t="str">
        <f>VLOOKUP(Purchase[[#This Row],[Supplier ID]],Supplier[#All],6,0)</f>
        <v>GST2154521T018</v>
      </c>
      <c r="I203" s="138" t="s">
        <v>337</v>
      </c>
      <c r="J203" s="139">
        <v>16</v>
      </c>
      <c r="K203" s="143">
        <f>VLOOKUP(Purchase[[#This Row],[Product ID]],Product[#All],6,0)</f>
        <v>8039</v>
      </c>
      <c r="L203" s="143">
        <f>Purchase[[#This Row],[Purchase Rate]]*Purchase[[#This Row],[Qty]]</f>
        <v>128624</v>
      </c>
      <c r="M203" s="140">
        <v>0</v>
      </c>
      <c r="N203" s="143">
        <v>0</v>
      </c>
      <c r="O203" s="140">
        <v>0.18</v>
      </c>
      <c r="P203" s="145">
        <f>(Purchase[[#This Row],[Gross Amount]]-Purchase[[#This Row],[Disct %]])*Purchase[[#This Row],[GST %]]</f>
        <v>23152.32</v>
      </c>
      <c r="Q203" s="145">
        <f>Purchase[[#This Row],[Gross Amount]]-Purchase[[#This Row],[Disct Amnt]]+Purchase[[#This Row],[GST Amount]]</f>
        <v>151776.32000000001</v>
      </c>
      <c r="R203" s="138" t="s">
        <v>1019</v>
      </c>
      <c r="S203" s="41">
        <f>IF(Purchase[[#This Row],[Status]]="Cancelled",0,Purchase[[#This Row],[Qty]])</f>
        <v>16</v>
      </c>
      <c r="T203" s="146">
        <f>IF(Purchase[[#This Row],[Status]]="Cancelled",0,Purchase[[#This Row],[Total Amount]])</f>
        <v>151776.32000000001</v>
      </c>
      <c r="U203" s="146">
        <f>SUM(Purchase[Net Amount])</f>
        <v>814985438.68000126</v>
      </c>
    </row>
    <row r="204" spans="1:21" ht="19.5" thickBot="1" x14ac:dyDescent="0.3">
      <c r="A204" s="136" t="s">
        <v>1228</v>
      </c>
      <c r="B204" s="137">
        <v>45668</v>
      </c>
      <c r="C204" s="138" t="s">
        <v>593</v>
      </c>
      <c r="D204" s="138" t="str">
        <f>VLOOKUP(Purchase[[#This Row],[Supplier ID]],Supplier[#All],2,0)</f>
        <v>Global Suppliers</v>
      </c>
      <c r="E204" s="138">
        <f>VLOOKUP(Purchase[[#This Row],[Supplier ID]],Supplier[#All],3,0)</f>
        <v>9689542476</v>
      </c>
      <c r="F204" s="138" t="str">
        <f>VLOOKUP(Purchase[[#This Row],[Supplier ID]],Supplier[#All],4,0)</f>
        <v>Korba</v>
      </c>
      <c r="G204" s="138" t="str">
        <f>VLOOKUP(Purchase[[#This Row],[Supplier ID]],Supplier[#All],5,0)</f>
        <v>CG</v>
      </c>
      <c r="H204" s="138" t="str">
        <f>VLOOKUP(Purchase[[#This Row],[Supplier ID]],Supplier[#All],6,0)</f>
        <v>GST2154521T038</v>
      </c>
      <c r="I204" s="138" t="s">
        <v>450</v>
      </c>
      <c r="J204" s="139">
        <v>23</v>
      </c>
      <c r="K204" s="143">
        <f>VLOOKUP(Purchase[[#This Row],[Product ID]],Product[#All],6,0)</f>
        <v>1034</v>
      </c>
      <c r="L204" s="143">
        <f>Purchase[[#This Row],[Purchase Rate]]*Purchase[[#This Row],[Qty]]</f>
        <v>23782</v>
      </c>
      <c r="M204" s="140">
        <v>0</v>
      </c>
      <c r="N204" s="143">
        <v>0</v>
      </c>
      <c r="O204" s="140">
        <v>0.18</v>
      </c>
      <c r="P204" s="145">
        <f>(Purchase[[#This Row],[Gross Amount]]-Purchase[[#This Row],[Disct %]])*Purchase[[#This Row],[GST %]]</f>
        <v>4280.76</v>
      </c>
      <c r="Q204" s="145">
        <f>Purchase[[#This Row],[Gross Amount]]-Purchase[[#This Row],[Disct Amnt]]+Purchase[[#This Row],[GST Amount]]</f>
        <v>28062.760000000002</v>
      </c>
      <c r="R204" s="138" t="s">
        <v>1040</v>
      </c>
      <c r="S204" s="41">
        <f>IF(Purchase[[#This Row],[Status]]="Cancelled",0,Purchase[[#This Row],[Qty]])</f>
        <v>0</v>
      </c>
      <c r="T204" s="146">
        <f>IF(Purchase[[#This Row],[Status]]="Cancelled",0,Purchase[[#This Row],[Total Amount]])</f>
        <v>0</v>
      </c>
      <c r="U204" s="146">
        <f>SUM(Purchase[Net Amount])</f>
        <v>814985438.68000126</v>
      </c>
    </row>
    <row r="205" spans="1:21" ht="19.5" thickBot="1" x14ac:dyDescent="0.3">
      <c r="A205" s="136" t="s">
        <v>1229</v>
      </c>
      <c r="B205" s="137">
        <v>45668</v>
      </c>
      <c r="C205" s="138" t="s">
        <v>593</v>
      </c>
      <c r="D205" s="138" t="str">
        <f>VLOOKUP(Purchase[[#This Row],[Supplier ID]],Supplier[#All],2,0)</f>
        <v>Global Suppliers</v>
      </c>
      <c r="E205" s="138">
        <f>VLOOKUP(Purchase[[#This Row],[Supplier ID]],Supplier[#All],3,0)</f>
        <v>9689542476</v>
      </c>
      <c r="F205" s="138" t="str">
        <f>VLOOKUP(Purchase[[#This Row],[Supplier ID]],Supplier[#All],4,0)</f>
        <v>Korba</v>
      </c>
      <c r="G205" s="138" t="str">
        <f>VLOOKUP(Purchase[[#This Row],[Supplier ID]],Supplier[#All],5,0)</f>
        <v>CG</v>
      </c>
      <c r="H205" s="138" t="str">
        <f>VLOOKUP(Purchase[[#This Row],[Supplier ID]],Supplier[#All],6,0)</f>
        <v>GST2154521T038</v>
      </c>
      <c r="I205" s="138" t="s">
        <v>405</v>
      </c>
      <c r="J205" s="139">
        <v>7</v>
      </c>
      <c r="K205" s="143">
        <f>VLOOKUP(Purchase[[#This Row],[Product ID]],Product[#All],6,0)</f>
        <v>1259</v>
      </c>
      <c r="L205" s="143">
        <f>Purchase[[#This Row],[Purchase Rate]]*Purchase[[#This Row],[Qty]]</f>
        <v>8813</v>
      </c>
      <c r="M205" s="140">
        <v>0</v>
      </c>
      <c r="N205" s="143">
        <v>0</v>
      </c>
      <c r="O205" s="140">
        <v>0.18</v>
      </c>
      <c r="P205" s="145">
        <f>(Purchase[[#This Row],[Gross Amount]]-Purchase[[#This Row],[Disct %]])*Purchase[[#This Row],[GST %]]</f>
        <v>1586.34</v>
      </c>
      <c r="Q205" s="145">
        <f>Purchase[[#This Row],[Gross Amount]]-Purchase[[#This Row],[Disct Amnt]]+Purchase[[#This Row],[GST Amount]]</f>
        <v>10399.34</v>
      </c>
      <c r="R205" s="138" t="s">
        <v>1019</v>
      </c>
      <c r="S205" s="41">
        <f>IF(Purchase[[#This Row],[Status]]="Cancelled",0,Purchase[[#This Row],[Qty]])</f>
        <v>7</v>
      </c>
      <c r="T205" s="146">
        <f>IF(Purchase[[#This Row],[Status]]="Cancelled",0,Purchase[[#This Row],[Total Amount]])</f>
        <v>10399.34</v>
      </c>
      <c r="U205" s="146">
        <f>SUM(Purchase[Net Amount])</f>
        <v>814985438.68000126</v>
      </c>
    </row>
    <row r="206" spans="1:21" ht="19.5" thickBot="1" x14ac:dyDescent="0.3">
      <c r="A206" s="136" t="s">
        <v>1230</v>
      </c>
      <c r="B206" s="137">
        <v>45668</v>
      </c>
      <c r="C206" s="138" t="s">
        <v>599</v>
      </c>
      <c r="D206" s="138" t="str">
        <f>VLOOKUP(Purchase[[#This Row],[Supplier ID]],Supplier[#All],2,0)</f>
        <v>National Distributors</v>
      </c>
      <c r="E206" s="138">
        <f>VLOOKUP(Purchase[[#This Row],[Supplier ID]],Supplier[#All],3,0)</f>
        <v>9689542482</v>
      </c>
      <c r="F206" s="138" t="str">
        <f>VLOOKUP(Purchase[[#This Row],[Supplier ID]],Supplier[#All],4,0)</f>
        <v>Kanpur</v>
      </c>
      <c r="G206" s="138" t="str">
        <f>VLOOKUP(Purchase[[#This Row],[Supplier ID]],Supplier[#All],5,0)</f>
        <v>UP</v>
      </c>
      <c r="H206" s="138" t="str">
        <f>VLOOKUP(Purchase[[#This Row],[Supplier ID]],Supplier[#All],6,0)</f>
        <v>GST2154521T044</v>
      </c>
      <c r="I206" s="138" t="s">
        <v>111</v>
      </c>
      <c r="J206" s="139">
        <v>15</v>
      </c>
      <c r="K206" s="143">
        <f>VLOOKUP(Purchase[[#This Row],[Product ID]],Product[#All],6,0)</f>
        <v>13173</v>
      </c>
      <c r="L206" s="143">
        <f>Purchase[[#This Row],[Purchase Rate]]*Purchase[[#This Row],[Qty]]</f>
        <v>197595</v>
      </c>
      <c r="M206" s="140">
        <v>0</v>
      </c>
      <c r="N206" s="143">
        <v>0</v>
      </c>
      <c r="O206" s="140">
        <v>0.18</v>
      </c>
      <c r="P206" s="145">
        <f>(Purchase[[#This Row],[Gross Amount]]-Purchase[[#This Row],[Disct %]])*Purchase[[#This Row],[GST %]]</f>
        <v>35567.1</v>
      </c>
      <c r="Q206" s="145">
        <f>Purchase[[#This Row],[Gross Amount]]-Purchase[[#This Row],[Disct Amnt]]+Purchase[[#This Row],[GST Amount]]</f>
        <v>233162.1</v>
      </c>
      <c r="R206" s="138" t="s">
        <v>1019</v>
      </c>
      <c r="S206" s="41">
        <f>IF(Purchase[[#This Row],[Status]]="Cancelled",0,Purchase[[#This Row],[Qty]])</f>
        <v>15</v>
      </c>
      <c r="T206" s="146">
        <f>IF(Purchase[[#This Row],[Status]]="Cancelled",0,Purchase[[#This Row],[Total Amount]])</f>
        <v>233162.1</v>
      </c>
      <c r="U206" s="146">
        <f>SUM(Purchase[Net Amount])</f>
        <v>814985438.68000126</v>
      </c>
    </row>
    <row r="207" spans="1:21" ht="19.5" thickBot="1" x14ac:dyDescent="0.3">
      <c r="A207" s="136" t="s">
        <v>1231</v>
      </c>
      <c r="B207" s="137">
        <v>45668</v>
      </c>
      <c r="C207" s="138" t="s">
        <v>616</v>
      </c>
      <c r="D207" s="138" t="str">
        <f>VLOOKUP(Purchase[[#This Row],[Supplier ID]],Supplier[#All],2,0)</f>
        <v>Global Suppliers</v>
      </c>
      <c r="E207" s="138">
        <f>VLOOKUP(Purchase[[#This Row],[Supplier ID]],Supplier[#All],3,0)</f>
        <v>9689542499</v>
      </c>
      <c r="F207" s="138" t="str">
        <f>VLOOKUP(Purchase[[#This Row],[Supplier ID]],Supplier[#All],4,0)</f>
        <v>Kanpur</v>
      </c>
      <c r="G207" s="138" t="str">
        <f>VLOOKUP(Purchase[[#This Row],[Supplier ID]],Supplier[#All],5,0)</f>
        <v>UP</v>
      </c>
      <c r="H207" s="138" t="str">
        <f>VLOOKUP(Purchase[[#This Row],[Supplier ID]],Supplier[#All],6,0)</f>
        <v>GST2154521T061</v>
      </c>
      <c r="I207" s="138" t="s">
        <v>416</v>
      </c>
      <c r="J207" s="139">
        <v>12</v>
      </c>
      <c r="K207" s="143">
        <f>VLOOKUP(Purchase[[#This Row],[Product ID]],Product[#All],6,0)</f>
        <v>726</v>
      </c>
      <c r="L207" s="143">
        <f>Purchase[[#This Row],[Purchase Rate]]*Purchase[[#This Row],[Qty]]</f>
        <v>8712</v>
      </c>
      <c r="M207" s="140">
        <v>0</v>
      </c>
      <c r="N207" s="143">
        <v>0</v>
      </c>
      <c r="O207" s="140">
        <v>0.18</v>
      </c>
      <c r="P207" s="145">
        <f>(Purchase[[#This Row],[Gross Amount]]-Purchase[[#This Row],[Disct %]])*Purchase[[#This Row],[GST %]]</f>
        <v>1568.1599999999999</v>
      </c>
      <c r="Q207" s="145">
        <f>Purchase[[#This Row],[Gross Amount]]-Purchase[[#This Row],[Disct Amnt]]+Purchase[[#This Row],[GST Amount]]</f>
        <v>10280.16</v>
      </c>
      <c r="R207" s="138" t="s">
        <v>1019</v>
      </c>
      <c r="S207" s="41">
        <f>IF(Purchase[[#This Row],[Status]]="Cancelled",0,Purchase[[#This Row],[Qty]])</f>
        <v>12</v>
      </c>
      <c r="T207" s="146">
        <f>IF(Purchase[[#This Row],[Status]]="Cancelled",0,Purchase[[#This Row],[Total Amount]])</f>
        <v>10280.16</v>
      </c>
      <c r="U207" s="146">
        <f>SUM(Purchase[Net Amount])</f>
        <v>814985438.68000126</v>
      </c>
    </row>
    <row r="208" spans="1:21" ht="19.5" thickBot="1" x14ac:dyDescent="0.3">
      <c r="A208" s="136" t="s">
        <v>1232</v>
      </c>
      <c r="B208" s="137">
        <v>45668</v>
      </c>
      <c r="C208" s="138" t="s">
        <v>598</v>
      </c>
      <c r="D208" s="138" t="str">
        <f>VLOOKUP(Purchase[[#This Row],[Supplier ID]],Supplier[#All],2,0)</f>
        <v>National Distributors</v>
      </c>
      <c r="E208" s="138">
        <f>VLOOKUP(Purchase[[#This Row],[Supplier ID]],Supplier[#All],3,0)</f>
        <v>9689542489</v>
      </c>
      <c r="F208" s="138" t="str">
        <f>VLOOKUP(Purchase[[#This Row],[Supplier ID]],Supplier[#All],4,0)</f>
        <v>Indore</v>
      </c>
      <c r="G208" s="138" t="str">
        <f>VLOOKUP(Purchase[[#This Row],[Supplier ID]],Supplier[#All],5,0)</f>
        <v>MP</v>
      </c>
      <c r="H208" s="138" t="str">
        <f>VLOOKUP(Purchase[[#This Row],[Supplier ID]],Supplier[#All],6,0)</f>
        <v>GST2154521T043</v>
      </c>
      <c r="I208" s="138" t="s">
        <v>212</v>
      </c>
      <c r="J208" s="139">
        <v>16</v>
      </c>
      <c r="K208" s="143">
        <f>VLOOKUP(Purchase[[#This Row],[Product ID]],Product[#All],6,0)</f>
        <v>931</v>
      </c>
      <c r="L208" s="143">
        <f>Purchase[[#This Row],[Purchase Rate]]*Purchase[[#This Row],[Qty]]</f>
        <v>14896</v>
      </c>
      <c r="M208" s="140">
        <v>0</v>
      </c>
      <c r="N208" s="143">
        <v>0</v>
      </c>
      <c r="O208" s="140">
        <v>0.18</v>
      </c>
      <c r="P208" s="145">
        <f>(Purchase[[#This Row],[Gross Amount]]-Purchase[[#This Row],[Disct %]])*Purchase[[#This Row],[GST %]]</f>
        <v>2681.2799999999997</v>
      </c>
      <c r="Q208" s="145">
        <f>Purchase[[#This Row],[Gross Amount]]-Purchase[[#This Row],[Disct Amnt]]+Purchase[[#This Row],[GST Amount]]</f>
        <v>17577.28</v>
      </c>
      <c r="R208" s="138" t="s">
        <v>1019</v>
      </c>
      <c r="S208" s="41">
        <f>IF(Purchase[[#This Row],[Status]]="Cancelled",0,Purchase[[#This Row],[Qty]])</f>
        <v>16</v>
      </c>
      <c r="T208" s="146">
        <f>IF(Purchase[[#This Row],[Status]]="Cancelled",0,Purchase[[#This Row],[Total Amount]])</f>
        <v>17577.28</v>
      </c>
      <c r="U208" s="146">
        <f>SUM(Purchase[Net Amount])</f>
        <v>814985438.68000126</v>
      </c>
    </row>
    <row r="209" spans="1:21" ht="19.5" thickBot="1" x14ac:dyDescent="0.3">
      <c r="A209" s="136" t="s">
        <v>1233</v>
      </c>
      <c r="B209" s="137">
        <v>45668</v>
      </c>
      <c r="C209" s="138" t="s">
        <v>602</v>
      </c>
      <c r="D209" s="138" t="str">
        <f>VLOOKUP(Purchase[[#This Row],[Supplier ID]],Supplier[#All],2,0)</f>
        <v>Maa Computers</v>
      </c>
      <c r="E209" s="138">
        <f>VLOOKUP(Purchase[[#This Row],[Supplier ID]],Supplier[#All],3,0)</f>
        <v>9689542485</v>
      </c>
      <c r="F209" s="138" t="str">
        <f>VLOOKUP(Purchase[[#This Row],[Supplier ID]],Supplier[#All],4,0)</f>
        <v>Korba</v>
      </c>
      <c r="G209" s="138" t="str">
        <f>VLOOKUP(Purchase[[#This Row],[Supplier ID]],Supplier[#All],5,0)</f>
        <v>CG</v>
      </c>
      <c r="H209" s="138" t="str">
        <f>VLOOKUP(Purchase[[#This Row],[Supplier ID]],Supplier[#All],6,0)</f>
        <v>GST2154521T047</v>
      </c>
      <c r="I209" s="138" t="s">
        <v>216</v>
      </c>
      <c r="J209" s="139">
        <v>23</v>
      </c>
      <c r="K209" s="143">
        <f>VLOOKUP(Purchase[[#This Row],[Product ID]],Product[#All],6,0)</f>
        <v>950</v>
      </c>
      <c r="L209" s="143">
        <f>Purchase[[#This Row],[Purchase Rate]]*Purchase[[#This Row],[Qty]]</f>
        <v>21850</v>
      </c>
      <c r="M209" s="140">
        <v>0</v>
      </c>
      <c r="N209" s="143">
        <v>0</v>
      </c>
      <c r="O209" s="140">
        <v>0.18</v>
      </c>
      <c r="P209" s="145">
        <f>(Purchase[[#This Row],[Gross Amount]]-Purchase[[#This Row],[Disct %]])*Purchase[[#This Row],[GST %]]</f>
        <v>3933</v>
      </c>
      <c r="Q209" s="145">
        <f>Purchase[[#This Row],[Gross Amount]]-Purchase[[#This Row],[Disct Amnt]]+Purchase[[#This Row],[GST Amount]]</f>
        <v>25783</v>
      </c>
      <c r="R209" s="138" t="s">
        <v>1019</v>
      </c>
      <c r="S209" s="41">
        <f>IF(Purchase[[#This Row],[Status]]="Cancelled",0,Purchase[[#This Row],[Qty]])</f>
        <v>23</v>
      </c>
      <c r="T209" s="146">
        <f>IF(Purchase[[#This Row],[Status]]="Cancelled",0,Purchase[[#This Row],[Total Amount]])</f>
        <v>25783</v>
      </c>
      <c r="U209" s="146">
        <f>SUM(Purchase[Net Amount])</f>
        <v>814985438.68000126</v>
      </c>
    </row>
    <row r="210" spans="1:21" ht="19.5" thickBot="1" x14ac:dyDescent="0.3">
      <c r="A210" s="136" t="s">
        <v>1234</v>
      </c>
      <c r="B210" s="137">
        <v>45668</v>
      </c>
      <c r="C210" s="138" t="s">
        <v>577</v>
      </c>
      <c r="D210" s="138" t="str">
        <f>VLOOKUP(Purchase[[#This Row],[Supplier ID]],Supplier[#All],2,0)</f>
        <v>National Electronics</v>
      </c>
      <c r="E210" s="138">
        <f>VLOOKUP(Purchase[[#This Row],[Supplier ID]],Supplier[#All],3,0)</f>
        <v>9689542469</v>
      </c>
      <c r="F210" s="138" t="str">
        <f>VLOOKUP(Purchase[[#This Row],[Supplier ID]],Supplier[#All],4,0)</f>
        <v>Korba</v>
      </c>
      <c r="G210" s="138" t="str">
        <f>VLOOKUP(Purchase[[#This Row],[Supplier ID]],Supplier[#All],5,0)</f>
        <v>CG</v>
      </c>
      <c r="H210" s="138" t="str">
        <f>VLOOKUP(Purchase[[#This Row],[Supplier ID]],Supplier[#All],6,0)</f>
        <v>GST2154521T023</v>
      </c>
      <c r="I210" s="138" t="s">
        <v>236</v>
      </c>
      <c r="J210" s="139">
        <v>26</v>
      </c>
      <c r="K210" s="143">
        <f>VLOOKUP(Purchase[[#This Row],[Product ID]],Product[#All],6,0)</f>
        <v>42438</v>
      </c>
      <c r="L210" s="143">
        <f>Purchase[[#This Row],[Purchase Rate]]*Purchase[[#This Row],[Qty]]</f>
        <v>1103388</v>
      </c>
      <c r="M210" s="140">
        <v>0</v>
      </c>
      <c r="N210" s="143">
        <v>0</v>
      </c>
      <c r="O210" s="140">
        <v>0.18</v>
      </c>
      <c r="P210" s="145">
        <f>(Purchase[[#This Row],[Gross Amount]]-Purchase[[#This Row],[Disct %]])*Purchase[[#This Row],[GST %]]</f>
        <v>198609.84</v>
      </c>
      <c r="Q210" s="145">
        <f>Purchase[[#This Row],[Gross Amount]]-Purchase[[#This Row],[Disct Amnt]]+Purchase[[#This Row],[GST Amount]]</f>
        <v>1301997.8400000001</v>
      </c>
      <c r="R210" s="138" t="s">
        <v>1019</v>
      </c>
      <c r="S210" s="41">
        <f>IF(Purchase[[#This Row],[Status]]="Cancelled",0,Purchase[[#This Row],[Qty]])</f>
        <v>26</v>
      </c>
      <c r="T210" s="146">
        <f>IF(Purchase[[#This Row],[Status]]="Cancelled",0,Purchase[[#This Row],[Total Amount]])</f>
        <v>1301997.8400000001</v>
      </c>
      <c r="U210" s="146">
        <f>SUM(Purchase[Net Amount])</f>
        <v>814985438.68000126</v>
      </c>
    </row>
    <row r="211" spans="1:21" ht="19.5" thickBot="1" x14ac:dyDescent="0.3">
      <c r="A211" s="136" t="s">
        <v>1235</v>
      </c>
      <c r="B211" s="137">
        <v>45668</v>
      </c>
      <c r="C211" s="138" t="s">
        <v>609</v>
      </c>
      <c r="D211" s="138" t="str">
        <f>VLOOKUP(Purchase[[#This Row],[Supplier ID]],Supplier[#All],2,0)</f>
        <v>Star Suppliers</v>
      </c>
      <c r="E211" s="138">
        <f>VLOOKUP(Purchase[[#This Row],[Supplier ID]],Supplier[#All],3,0)</f>
        <v>9689542492</v>
      </c>
      <c r="F211" s="138" t="str">
        <f>VLOOKUP(Purchase[[#This Row],[Supplier ID]],Supplier[#All],4,0)</f>
        <v>Kanpur</v>
      </c>
      <c r="G211" s="138" t="str">
        <f>VLOOKUP(Purchase[[#This Row],[Supplier ID]],Supplier[#All],5,0)</f>
        <v>UP</v>
      </c>
      <c r="H211" s="138" t="str">
        <f>VLOOKUP(Purchase[[#This Row],[Supplier ID]],Supplier[#All],6,0)</f>
        <v>GST2154521T054</v>
      </c>
      <c r="I211" s="138" t="s">
        <v>323</v>
      </c>
      <c r="J211" s="139">
        <v>34</v>
      </c>
      <c r="K211" s="143">
        <f>VLOOKUP(Purchase[[#This Row],[Product ID]],Product[#All],6,0)</f>
        <v>36082</v>
      </c>
      <c r="L211" s="143">
        <f>Purchase[[#This Row],[Purchase Rate]]*Purchase[[#This Row],[Qty]]</f>
        <v>1226788</v>
      </c>
      <c r="M211" s="140">
        <v>0</v>
      </c>
      <c r="N211" s="143">
        <v>0</v>
      </c>
      <c r="O211" s="140">
        <v>0.18</v>
      </c>
      <c r="P211" s="145">
        <f>(Purchase[[#This Row],[Gross Amount]]-Purchase[[#This Row],[Disct %]])*Purchase[[#This Row],[GST %]]</f>
        <v>220821.84</v>
      </c>
      <c r="Q211" s="145">
        <f>Purchase[[#This Row],[Gross Amount]]-Purchase[[#This Row],[Disct Amnt]]+Purchase[[#This Row],[GST Amount]]</f>
        <v>1447609.84</v>
      </c>
      <c r="R211" s="138" t="s">
        <v>1019</v>
      </c>
      <c r="S211" s="41">
        <f>IF(Purchase[[#This Row],[Status]]="Cancelled",0,Purchase[[#This Row],[Qty]])</f>
        <v>34</v>
      </c>
      <c r="T211" s="146">
        <f>IF(Purchase[[#This Row],[Status]]="Cancelled",0,Purchase[[#This Row],[Total Amount]])</f>
        <v>1447609.84</v>
      </c>
      <c r="U211" s="146">
        <f>SUM(Purchase[Net Amount])</f>
        <v>814985438.68000126</v>
      </c>
    </row>
    <row r="212" spans="1:21" ht="19.5" thickBot="1" x14ac:dyDescent="0.3">
      <c r="A212" s="136" t="s">
        <v>1236</v>
      </c>
      <c r="B212" s="137">
        <v>45668</v>
      </c>
      <c r="C212" s="138" t="s">
        <v>566</v>
      </c>
      <c r="D212" s="138" t="str">
        <f>VLOOKUP(Purchase[[#This Row],[Supplier ID]],Supplier[#All],2,0)</f>
        <v>Maa Computers</v>
      </c>
      <c r="E212" s="138">
        <f>VLOOKUP(Purchase[[#This Row],[Supplier ID]],Supplier[#All],3,0)</f>
        <v>9689542452</v>
      </c>
      <c r="F212" s="138" t="str">
        <f>VLOOKUP(Purchase[[#This Row],[Supplier ID]],Supplier[#All],4,0)</f>
        <v>Kanpur</v>
      </c>
      <c r="G212" s="138" t="str">
        <f>VLOOKUP(Purchase[[#This Row],[Supplier ID]],Supplier[#All],5,0)</f>
        <v>UP</v>
      </c>
      <c r="H212" s="138" t="str">
        <f>VLOOKUP(Purchase[[#This Row],[Supplier ID]],Supplier[#All],6,0)</f>
        <v>GST2154521T014</v>
      </c>
      <c r="I212" s="138" t="s">
        <v>467</v>
      </c>
      <c r="J212" s="139">
        <v>8</v>
      </c>
      <c r="K212" s="143">
        <f>VLOOKUP(Purchase[[#This Row],[Product ID]],Product[#All],6,0)</f>
        <v>4805</v>
      </c>
      <c r="L212" s="143">
        <f>Purchase[[#This Row],[Purchase Rate]]*Purchase[[#This Row],[Qty]]</f>
        <v>38440</v>
      </c>
      <c r="M212" s="140">
        <v>0</v>
      </c>
      <c r="N212" s="143">
        <v>0</v>
      </c>
      <c r="O212" s="140">
        <v>0.18</v>
      </c>
      <c r="P212" s="145">
        <f>(Purchase[[#This Row],[Gross Amount]]-Purchase[[#This Row],[Disct %]])*Purchase[[#This Row],[GST %]]</f>
        <v>6919.2</v>
      </c>
      <c r="Q212" s="145">
        <f>Purchase[[#This Row],[Gross Amount]]-Purchase[[#This Row],[Disct Amnt]]+Purchase[[#This Row],[GST Amount]]</f>
        <v>45359.199999999997</v>
      </c>
      <c r="R212" s="138" t="s">
        <v>1019</v>
      </c>
      <c r="S212" s="41">
        <f>IF(Purchase[[#This Row],[Status]]="Cancelled",0,Purchase[[#This Row],[Qty]])</f>
        <v>8</v>
      </c>
      <c r="T212" s="146">
        <f>IF(Purchase[[#This Row],[Status]]="Cancelled",0,Purchase[[#This Row],[Total Amount]])</f>
        <v>45359.199999999997</v>
      </c>
      <c r="U212" s="146">
        <f>SUM(Purchase[Net Amount])</f>
        <v>814985438.68000126</v>
      </c>
    </row>
    <row r="213" spans="1:21" ht="19.5" thickBot="1" x14ac:dyDescent="0.3">
      <c r="A213" s="136" t="s">
        <v>1237</v>
      </c>
      <c r="B213" s="137">
        <v>45668</v>
      </c>
      <c r="C213" s="138" t="s">
        <v>597</v>
      </c>
      <c r="D213" s="138" t="str">
        <f>VLOOKUP(Purchase[[#This Row],[Supplier ID]],Supplier[#All],2,0)</f>
        <v>Tech Traders</v>
      </c>
      <c r="E213" s="138">
        <f>VLOOKUP(Purchase[[#This Row],[Supplier ID]],Supplier[#All],3,0)</f>
        <v>9689542480</v>
      </c>
      <c r="F213" s="138" t="str">
        <f>VLOOKUP(Purchase[[#This Row],[Supplier ID]],Supplier[#All],4,0)</f>
        <v>Kanpur</v>
      </c>
      <c r="G213" s="138" t="str">
        <f>VLOOKUP(Purchase[[#This Row],[Supplier ID]],Supplier[#All],5,0)</f>
        <v>UP</v>
      </c>
      <c r="H213" s="138" t="str">
        <f>VLOOKUP(Purchase[[#This Row],[Supplier ID]],Supplier[#All],6,0)</f>
        <v>GST2154521T042</v>
      </c>
      <c r="I213" s="138" t="s">
        <v>191</v>
      </c>
      <c r="J213" s="139">
        <v>39</v>
      </c>
      <c r="K213" s="143">
        <f>VLOOKUP(Purchase[[#This Row],[Product ID]],Product[#All],6,0)</f>
        <v>1533</v>
      </c>
      <c r="L213" s="143">
        <f>Purchase[[#This Row],[Purchase Rate]]*Purchase[[#This Row],[Qty]]</f>
        <v>59787</v>
      </c>
      <c r="M213" s="140">
        <v>0</v>
      </c>
      <c r="N213" s="143">
        <v>0</v>
      </c>
      <c r="O213" s="140">
        <v>0.18</v>
      </c>
      <c r="P213" s="145">
        <f>(Purchase[[#This Row],[Gross Amount]]-Purchase[[#This Row],[Disct %]])*Purchase[[#This Row],[GST %]]</f>
        <v>10761.66</v>
      </c>
      <c r="Q213" s="145">
        <f>Purchase[[#This Row],[Gross Amount]]-Purchase[[#This Row],[Disct Amnt]]+Purchase[[#This Row],[GST Amount]]</f>
        <v>70548.66</v>
      </c>
      <c r="R213" s="138" t="s">
        <v>1019</v>
      </c>
      <c r="S213" s="41">
        <f>IF(Purchase[[#This Row],[Status]]="Cancelled",0,Purchase[[#This Row],[Qty]])</f>
        <v>39</v>
      </c>
      <c r="T213" s="146">
        <f>IF(Purchase[[#This Row],[Status]]="Cancelled",0,Purchase[[#This Row],[Total Amount]])</f>
        <v>70548.66</v>
      </c>
      <c r="U213" s="146">
        <f>SUM(Purchase[Net Amount])</f>
        <v>814985438.68000126</v>
      </c>
    </row>
    <row r="214" spans="1:21" ht="19.5" thickBot="1" x14ac:dyDescent="0.3">
      <c r="A214" s="136" t="s">
        <v>1238</v>
      </c>
      <c r="B214" s="137">
        <v>45668</v>
      </c>
      <c r="C214" s="138" t="s">
        <v>595</v>
      </c>
      <c r="D214" s="138" t="str">
        <f>VLOOKUP(Purchase[[#This Row],[Supplier ID]],Supplier[#All],2,0)</f>
        <v>Star Computers</v>
      </c>
      <c r="E214" s="138">
        <f>VLOOKUP(Purchase[[#This Row],[Supplier ID]],Supplier[#All],3,0)</f>
        <v>9689542478</v>
      </c>
      <c r="F214" s="138" t="str">
        <f>VLOOKUP(Purchase[[#This Row],[Supplier ID]],Supplier[#All],4,0)</f>
        <v>Kanpur</v>
      </c>
      <c r="G214" s="138" t="str">
        <f>VLOOKUP(Purchase[[#This Row],[Supplier ID]],Supplier[#All],5,0)</f>
        <v>UP</v>
      </c>
      <c r="H214" s="138" t="str">
        <f>VLOOKUP(Purchase[[#This Row],[Supplier ID]],Supplier[#All],6,0)</f>
        <v>GST2154521T040</v>
      </c>
      <c r="I214" s="138" t="s">
        <v>82</v>
      </c>
      <c r="J214" s="139">
        <v>7</v>
      </c>
      <c r="K214" s="143">
        <f>VLOOKUP(Purchase[[#This Row],[Product ID]],Product[#All],6,0)</f>
        <v>4177</v>
      </c>
      <c r="L214" s="143">
        <f>Purchase[[#This Row],[Purchase Rate]]*Purchase[[#This Row],[Qty]]</f>
        <v>29239</v>
      </c>
      <c r="M214" s="140">
        <v>0</v>
      </c>
      <c r="N214" s="143">
        <v>0</v>
      </c>
      <c r="O214" s="140">
        <v>0.18</v>
      </c>
      <c r="P214" s="145">
        <f>(Purchase[[#This Row],[Gross Amount]]-Purchase[[#This Row],[Disct %]])*Purchase[[#This Row],[GST %]]</f>
        <v>5263.0199999999995</v>
      </c>
      <c r="Q214" s="145">
        <f>Purchase[[#This Row],[Gross Amount]]-Purchase[[#This Row],[Disct Amnt]]+Purchase[[#This Row],[GST Amount]]</f>
        <v>34502.019999999997</v>
      </c>
      <c r="R214" s="138" t="s">
        <v>1019</v>
      </c>
      <c r="S214" s="41">
        <f>IF(Purchase[[#This Row],[Status]]="Cancelled",0,Purchase[[#This Row],[Qty]])</f>
        <v>7</v>
      </c>
      <c r="T214" s="146">
        <f>IF(Purchase[[#This Row],[Status]]="Cancelled",0,Purchase[[#This Row],[Total Amount]])</f>
        <v>34502.019999999997</v>
      </c>
      <c r="U214" s="146">
        <f>SUM(Purchase[Net Amount])</f>
        <v>814985438.68000126</v>
      </c>
    </row>
    <row r="215" spans="1:21" ht="19.5" thickBot="1" x14ac:dyDescent="0.3">
      <c r="A215" s="136" t="s">
        <v>1239</v>
      </c>
      <c r="B215" s="137">
        <v>45668</v>
      </c>
      <c r="C215" s="138" t="s">
        <v>593</v>
      </c>
      <c r="D215" s="138" t="str">
        <f>VLOOKUP(Purchase[[#This Row],[Supplier ID]],Supplier[#All],2,0)</f>
        <v>Global Suppliers</v>
      </c>
      <c r="E215" s="138">
        <f>VLOOKUP(Purchase[[#This Row],[Supplier ID]],Supplier[#All],3,0)</f>
        <v>9689542476</v>
      </c>
      <c r="F215" s="138" t="str">
        <f>VLOOKUP(Purchase[[#This Row],[Supplier ID]],Supplier[#All],4,0)</f>
        <v>Korba</v>
      </c>
      <c r="G215" s="138" t="str">
        <f>VLOOKUP(Purchase[[#This Row],[Supplier ID]],Supplier[#All],5,0)</f>
        <v>CG</v>
      </c>
      <c r="H215" s="138" t="str">
        <f>VLOOKUP(Purchase[[#This Row],[Supplier ID]],Supplier[#All],6,0)</f>
        <v>GST2154521T038</v>
      </c>
      <c r="I215" s="138" t="s">
        <v>325</v>
      </c>
      <c r="J215" s="139">
        <v>11</v>
      </c>
      <c r="K215" s="143">
        <f>VLOOKUP(Purchase[[#This Row],[Product ID]],Product[#All],6,0)</f>
        <v>1396</v>
      </c>
      <c r="L215" s="143">
        <f>Purchase[[#This Row],[Purchase Rate]]*Purchase[[#This Row],[Qty]]</f>
        <v>15356</v>
      </c>
      <c r="M215" s="140">
        <v>0</v>
      </c>
      <c r="N215" s="143">
        <v>0</v>
      </c>
      <c r="O215" s="140">
        <v>0.18</v>
      </c>
      <c r="P215" s="145">
        <f>(Purchase[[#This Row],[Gross Amount]]-Purchase[[#This Row],[Disct %]])*Purchase[[#This Row],[GST %]]</f>
        <v>2764.08</v>
      </c>
      <c r="Q215" s="145">
        <f>Purchase[[#This Row],[Gross Amount]]-Purchase[[#This Row],[Disct Amnt]]+Purchase[[#This Row],[GST Amount]]</f>
        <v>18120.080000000002</v>
      </c>
      <c r="R215" s="138" t="s">
        <v>1019</v>
      </c>
      <c r="S215" s="41">
        <f>IF(Purchase[[#This Row],[Status]]="Cancelled",0,Purchase[[#This Row],[Qty]])</f>
        <v>11</v>
      </c>
      <c r="T215" s="146">
        <f>IF(Purchase[[#This Row],[Status]]="Cancelled",0,Purchase[[#This Row],[Total Amount]])</f>
        <v>18120.080000000002</v>
      </c>
      <c r="U215" s="146">
        <f>SUM(Purchase[Net Amount])</f>
        <v>814985438.68000126</v>
      </c>
    </row>
    <row r="216" spans="1:21" ht="19.5" thickBot="1" x14ac:dyDescent="0.3">
      <c r="A216" s="136" t="s">
        <v>1240</v>
      </c>
      <c r="B216" s="137">
        <v>45668</v>
      </c>
      <c r="C216" s="138" t="s">
        <v>577</v>
      </c>
      <c r="D216" s="138" t="str">
        <f>VLOOKUP(Purchase[[#This Row],[Supplier ID]],Supplier[#All],2,0)</f>
        <v>National Electronics</v>
      </c>
      <c r="E216" s="138">
        <f>VLOOKUP(Purchase[[#This Row],[Supplier ID]],Supplier[#All],3,0)</f>
        <v>9689542469</v>
      </c>
      <c r="F216" s="138" t="str">
        <f>VLOOKUP(Purchase[[#This Row],[Supplier ID]],Supplier[#All],4,0)</f>
        <v>Korba</v>
      </c>
      <c r="G216" s="138" t="str">
        <f>VLOOKUP(Purchase[[#This Row],[Supplier ID]],Supplier[#All],5,0)</f>
        <v>CG</v>
      </c>
      <c r="H216" s="138" t="str">
        <f>VLOOKUP(Purchase[[#This Row],[Supplier ID]],Supplier[#All],6,0)</f>
        <v>GST2154521T023</v>
      </c>
      <c r="I216" s="138" t="s">
        <v>161</v>
      </c>
      <c r="J216" s="139">
        <v>33</v>
      </c>
      <c r="K216" s="143">
        <f>VLOOKUP(Purchase[[#This Row],[Product ID]],Product[#All],6,0)</f>
        <v>1064</v>
      </c>
      <c r="L216" s="143">
        <f>Purchase[[#This Row],[Purchase Rate]]*Purchase[[#This Row],[Qty]]</f>
        <v>35112</v>
      </c>
      <c r="M216" s="140">
        <v>0</v>
      </c>
      <c r="N216" s="143">
        <v>0</v>
      </c>
      <c r="O216" s="140">
        <v>0.18</v>
      </c>
      <c r="P216" s="145">
        <f>(Purchase[[#This Row],[Gross Amount]]-Purchase[[#This Row],[Disct %]])*Purchase[[#This Row],[GST %]]</f>
        <v>6320.16</v>
      </c>
      <c r="Q216" s="145">
        <f>Purchase[[#This Row],[Gross Amount]]-Purchase[[#This Row],[Disct Amnt]]+Purchase[[#This Row],[GST Amount]]</f>
        <v>41432.160000000003</v>
      </c>
      <c r="R216" s="138" t="s">
        <v>1019</v>
      </c>
      <c r="S216" s="41">
        <f>IF(Purchase[[#This Row],[Status]]="Cancelled",0,Purchase[[#This Row],[Qty]])</f>
        <v>33</v>
      </c>
      <c r="T216" s="146">
        <f>IF(Purchase[[#This Row],[Status]]="Cancelled",0,Purchase[[#This Row],[Total Amount]])</f>
        <v>41432.160000000003</v>
      </c>
      <c r="U216" s="146">
        <f>SUM(Purchase[Net Amount])</f>
        <v>814985438.68000126</v>
      </c>
    </row>
    <row r="217" spans="1:21" ht="19.5" thickBot="1" x14ac:dyDescent="0.3">
      <c r="A217" s="136" t="s">
        <v>1241</v>
      </c>
      <c r="B217" s="137">
        <v>45668</v>
      </c>
      <c r="C217" s="138" t="s">
        <v>1242</v>
      </c>
      <c r="D217" s="138" t="str">
        <f>VLOOKUP(Purchase[[#This Row],[Supplier ID]],Supplier[#All],2,0)</f>
        <v>Star Electronics</v>
      </c>
      <c r="E217" s="138">
        <f>VLOOKUP(Purchase[[#This Row],[Supplier ID]],Supplier[#All],3,0)</f>
        <v>9689542472</v>
      </c>
      <c r="F217" s="138" t="str">
        <f>VLOOKUP(Purchase[[#This Row],[Supplier ID]],Supplier[#All],4,0)</f>
        <v>Korba</v>
      </c>
      <c r="G217" s="138" t="str">
        <f>VLOOKUP(Purchase[[#This Row],[Supplier ID]],Supplier[#All],5,0)</f>
        <v>CG</v>
      </c>
      <c r="H217" s="138" t="str">
        <f>VLOOKUP(Purchase[[#This Row],[Supplier ID]],Supplier[#All],6,0)</f>
        <v>GST2154521T034</v>
      </c>
      <c r="I217" s="138" t="s">
        <v>289</v>
      </c>
      <c r="J217" s="139">
        <v>9</v>
      </c>
      <c r="K217" s="143">
        <f>VLOOKUP(Purchase[[#This Row],[Product ID]],Product[#All],6,0)</f>
        <v>927</v>
      </c>
      <c r="L217" s="143">
        <f>Purchase[[#This Row],[Purchase Rate]]*Purchase[[#This Row],[Qty]]</f>
        <v>8343</v>
      </c>
      <c r="M217" s="140">
        <v>0</v>
      </c>
      <c r="N217" s="143">
        <v>0</v>
      </c>
      <c r="O217" s="140">
        <v>0.18</v>
      </c>
      <c r="P217" s="145">
        <f>(Purchase[[#This Row],[Gross Amount]]-Purchase[[#This Row],[Disct %]])*Purchase[[#This Row],[GST %]]</f>
        <v>1501.74</v>
      </c>
      <c r="Q217" s="145">
        <f>Purchase[[#This Row],[Gross Amount]]-Purchase[[#This Row],[Disct Amnt]]+Purchase[[#This Row],[GST Amount]]</f>
        <v>9844.74</v>
      </c>
      <c r="R217" s="138" t="s">
        <v>1019</v>
      </c>
      <c r="S217" s="41">
        <f>IF(Purchase[[#This Row],[Status]]="Cancelled",0,Purchase[[#This Row],[Qty]])</f>
        <v>9</v>
      </c>
      <c r="T217" s="146">
        <f>IF(Purchase[[#This Row],[Status]]="Cancelled",0,Purchase[[#This Row],[Total Amount]])</f>
        <v>9844.74</v>
      </c>
      <c r="U217" s="146">
        <f>SUM(Purchase[Net Amount])</f>
        <v>814985438.68000126</v>
      </c>
    </row>
    <row r="218" spans="1:21" ht="19.5" thickBot="1" x14ac:dyDescent="0.3">
      <c r="A218" s="136" t="s">
        <v>1243</v>
      </c>
      <c r="B218" s="137">
        <v>45668</v>
      </c>
      <c r="C218" s="138" t="s">
        <v>595</v>
      </c>
      <c r="D218" s="138" t="str">
        <f>VLOOKUP(Purchase[[#This Row],[Supplier ID]],Supplier[#All],2,0)</f>
        <v>Star Computers</v>
      </c>
      <c r="E218" s="138">
        <f>VLOOKUP(Purchase[[#This Row],[Supplier ID]],Supplier[#All],3,0)</f>
        <v>9689542478</v>
      </c>
      <c r="F218" s="138" t="str">
        <f>VLOOKUP(Purchase[[#This Row],[Supplier ID]],Supplier[#All],4,0)</f>
        <v>Kanpur</v>
      </c>
      <c r="G218" s="138" t="str">
        <f>VLOOKUP(Purchase[[#This Row],[Supplier ID]],Supplier[#All],5,0)</f>
        <v>UP</v>
      </c>
      <c r="H218" s="138" t="str">
        <f>VLOOKUP(Purchase[[#This Row],[Supplier ID]],Supplier[#All],6,0)</f>
        <v>GST2154521T040</v>
      </c>
      <c r="I218" s="138" t="s">
        <v>136</v>
      </c>
      <c r="J218" s="139">
        <v>12</v>
      </c>
      <c r="K218" s="143">
        <f>VLOOKUP(Purchase[[#This Row],[Product ID]],Product[#All],6,0)</f>
        <v>29405</v>
      </c>
      <c r="L218" s="143">
        <f>Purchase[[#This Row],[Purchase Rate]]*Purchase[[#This Row],[Qty]]</f>
        <v>352860</v>
      </c>
      <c r="M218" s="140">
        <v>0</v>
      </c>
      <c r="N218" s="143">
        <v>0</v>
      </c>
      <c r="O218" s="140">
        <v>0.18</v>
      </c>
      <c r="P218" s="145">
        <f>(Purchase[[#This Row],[Gross Amount]]-Purchase[[#This Row],[Disct %]])*Purchase[[#This Row],[GST %]]</f>
        <v>63514.799999999996</v>
      </c>
      <c r="Q218" s="145">
        <f>Purchase[[#This Row],[Gross Amount]]-Purchase[[#This Row],[Disct Amnt]]+Purchase[[#This Row],[GST Amount]]</f>
        <v>416374.8</v>
      </c>
      <c r="R218" s="138" t="s">
        <v>1019</v>
      </c>
      <c r="S218" s="41">
        <f>IF(Purchase[[#This Row],[Status]]="Cancelled",0,Purchase[[#This Row],[Qty]])</f>
        <v>12</v>
      </c>
      <c r="T218" s="146">
        <f>IF(Purchase[[#This Row],[Status]]="Cancelled",0,Purchase[[#This Row],[Total Amount]])</f>
        <v>416374.8</v>
      </c>
      <c r="U218" s="146">
        <f>SUM(Purchase[Net Amount])</f>
        <v>814985438.68000126</v>
      </c>
    </row>
    <row r="219" spans="1:21" ht="19.5" thickBot="1" x14ac:dyDescent="0.3">
      <c r="A219" s="136" t="s">
        <v>1244</v>
      </c>
      <c r="B219" s="137">
        <v>45668</v>
      </c>
      <c r="C219" s="138" t="s">
        <v>610</v>
      </c>
      <c r="D219" s="138" t="str">
        <f>VLOOKUP(Purchase[[#This Row],[Supplier ID]],Supplier[#All],2,0)</f>
        <v>Shree Electronics</v>
      </c>
      <c r="E219" s="138">
        <f>VLOOKUP(Purchase[[#This Row],[Supplier ID]],Supplier[#All],3,0)</f>
        <v>9689542493</v>
      </c>
      <c r="F219" s="138" t="str">
        <f>VLOOKUP(Purchase[[#This Row],[Supplier ID]],Supplier[#All],4,0)</f>
        <v>Kanpur</v>
      </c>
      <c r="G219" s="138" t="str">
        <f>VLOOKUP(Purchase[[#This Row],[Supplier ID]],Supplier[#All],5,0)</f>
        <v>UP</v>
      </c>
      <c r="H219" s="138" t="str">
        <f>VLOOKUP(Purchase[[#This Row],[Supplier ID]],Supplier[#All],6,0)</f>
        <v>GST2154521T055</v>
      </c>
      <c r="I219" s="138" t="s">
        <v>325</v>
      </c>
      <c r="J219" s="139">
        <v>19</v>
      </c>
      <c r="K219" s="143">
        <f>VLOOKUP(Purchase[[#This Row],[Product ID]],Product[#All],6,0)</f>
        <v>1396</v>
      </c>
      <c r="L219" s="143">
        <f>Purchase[[#This Row],[Purchase Rate]]*Purchase[[#This Row],[Qty]]</f>
        <v>26524</v>
      </c>
      <c r="M219" s="140">
        <v>0</v>
      </c>
      <c r="N219" s="143">
        <v>0</v>
      </c>
      <c r="O219" s="140">
        <v>0.18</v>
      </c>
      <c r="P219" s="145">
        <f>(Purchase[[#This Row],[Gross Amount]]-Purchase[[#This Row],[Disct %]])*Purchase[[#This Row],[GST %]]</f>
        <v>4774.32</v>
      </c>
      <c r="Q219" s="145">
        <f>Purchase[[#This Row],[Gross Amount]]-Purchase[[#This Row],[Disct Amnt]]+Purchase[[#This Row],[GST Amount]]</f>
        <v>31298.32</v>
      </c>
      <c r="R219" s="138" t="s">
        <v>1019</v>
      </c>
      <c r="S219" s="41">
        <f>IF(Purchase[[#This Row],[Status]]="Cancelled",0,Purchase[[#This Row],[Qty]])</f>
        <v>19</v>
      </c>
      <c r="T219" s="146">
        <f>IF(Purchase[[#This Row],[Status]]="Cancelled",0,Purchase[[#This Row],[Total Amount]])</f>
        <v>31298.32</v>
      </c>
      <c r="U219" s="146">
        <f>SUM(Purchase[Net Amount])</f>
        <v>814985438.68000126</v>
      </c>
    </row>
    <row r="220" spans="1:21" ht="19.5" thickBot="1" x14ac:dyDescent="0.3">
      <c r="A220" s="136" t="s">
        <v>1245</v>
      </c>
      <c r="B220" s="137">
        <v>45668</v>
      </c>
      <c r="C220" s="138" t="s">
        <v>615</v>
      </c>
      <c r="D220" s="138" t="str">
        <f>VLOOKUP(Purchase[[#This Row],[Supplier ID]],Supplier[#All],2,0)</f>
        <v>NATIONAL ELECTRONICS</v>
      </c>
      <c r="E220" s="138">
        <f>VLOOKUP(Purchase[[#This Row],[Supplier ID]],Supplier[#All],3,0)</f>
        <v>9689542498</v>
      </c>
      <c r="F220" s="138" t="str">
        <f>VLOOKUP(Purchase[[#This Row],[Supplier ID]],Supplier[#All],4,0)</f>
        <v>Kanpur</v>
      </c>
      <c r="G220" s="138" t="str">
        <f>VLOOKUP(Purchase[[#This Row],[Supplier ID]],Supplier[#All],5,0)</f>
        <v>UP</v>
      </c>
      <c r="H220" s="138" t="str">
        <f>VLOOKUP(Purchase[[#This Row],[Supplier ID]],Supplier[#All],6,0)</f>
        <v>GST2154521T060</v>
      </c>
      <c r="I220" s="138" t="s">
        <v>20</v>
      </c>
      <c r="J220" s="139">
        <v>30</v>
      </c>
      <c r="K220" s="143">
        <f>VLOOKUP(Purchase[[#This Row],[Product ID]],Product[#All],6,0)</f>
        <v>2532</v>
      </c>
      <c r="L220" s="143">
        <f>Purchase[[#This Row],[Purchase Rate]]*Purchase[[#This Row],[Qty]]</f>
        <v>75960</v>
      </c>
      <c r="M220" s="140">
        <v>0</v>
      </c>
      <c r="N220" s="143">
        <v>0</v>
      </c>
      <c r="O220" s="140">
        <v>0.18</v>
      </c>
      <c r="P220" s="145">
        <f>(Purchase[[#This Row],[Gross Amount]]-Purchase[[#This Row],[Disct %]])*Purchase[[#This Row],[GST %]]</f>
        <v>13672.8</v>
      </c>
      <c r="Q220" s="145">
        <f>Purchase[[#This Row],[Gross Amount]]-Purchase[[#This Row],[Disct Amnt]]+Purchase[[#This Row],[GST Amount]]</f>
        <v>89632.8</v>
      </c>
      <c r="R220" s="138" t="s">
        <v>1019</v>
      </c>
      <c r="S220" s="41">
        <f>IF(Purchase[[#This Row],[Status]]="Cancelled",0,Purchase[[#This Row],[Qty]])</f>
        <v>30</v>
      </c>
      <c r="T220" s="146">
        <f>IF(Purchase[[#This Row],[Status]]="Cancelled",0,Purchase[[#This Row],[Total Amount]])</f>
        <v>89632.8</v>
      </c>
      <c r="U220" s="146">
        <f>SUM(Purchase[Net Amount])</f>
        <v>814985438.68000126</v>
      </c>
    </row>
    <row r="221" spans="1:21" ht="19.5" thickBot="1" x14ac:dyDescent="0.3">
      <c r="A221" s="136" t="s">
        <v>1246</v>
      </c>
      <c r="B221" s="137">
        <v>45668</v>
      </c>
      <c r="C221" s="138" t="s">
        <v>588</v>
      </c>
      <c r="D221" s="138" t="str">
        <f>VLOOKUP(Purchase[[#This Row],[Supplier ID]],Supplier[#All],2,0)</f>
        <v>Star Electronics</v>
      </c>
      <c r="E221" s="138">
        <f>VLOOKUP(Purchase[[#This Row],[Supplier ID]],Supplier[#All],3,0)</f>
        <v>9689542472</v>
      </c>
      <c r="F221" s="138" t="str">
        <f>VLOOKUP(Purchase[[#This Row],[Supplier ID]],Supplier[#All],4,0)</f>
        <v>Korba</v>
      </c>
      <c r="G221" s="138" t="str">
        <f>VLOOKUP(Purchase[[#This Row],[Supplier ID]],Supplier[#All],5,0)</f>
        <v>CG</v>
      </c>
      <c r="H221" s="138" t="str">
        <f>VLOOKUP(Purchase[[#This Row],[Supplier ID]],Supplier[#All],6,0)</f>
        <v>GST2154521T034</v>
      </c>
      <c r="I221" s="138" t="s">
        <v>120</v>
      </c>
      <c r="J221" s="139">
        <v>34</v>
      </c>
      <c r="K221" s="143">
        <f>VLOOKUP(Purchase[[#This Row],[Product ID]],Product[#All],6,0)</f>
        <v>5465</v>
      </c>
      <c r="L221" s="143">
        <f>Purchase[[#This Row],[Purchase Rate]]*Purchase[[#This Row],[Qty]]</f>
        <v>185810</v>
      </c>
      <c r="M221" s="140">
        <v>0</v>
      </c>
      <c r="N221" s="143">
        <v>0</v>
      </c>
      <c r="O221" s="140">
        <v>0.18</v>
      </c>
      <c r="P221" s="145">
        <f>(Purchase[[#This Row],[Gross Amount]]-Purchase[[#This Row],[Disct %]])*Purchase[[#This Row],[GST %]]</f>
        <v>33445.799999999996</v>
      </c>
      <c r="Q221" s="145">
        <f>Purchase[[#This Row],[Gross Amount]]-Purchase[[#This Row],[Disct Amnt]]+Purchase[[#This Row],[GST Amount]]</f>
        <v>219255.8</v>
      </c>
      <c r="R221" s="138" t="s">
        <v>1019</v>
      </c>
      <c r="S221" s="41">
        <f>IF(Purchase[[#This Row],[Status]]="Cancelled",0,Purchase[[#This Row],[Qty]])</f>
        <v>34</v>
      </c>
      <c r="T221" s="146">
        <f>IF(Purchase[[#This Row],[Status]]="Cancelled",0,Purchase[[#This Row],[Total Amount]])</f>
        <v>219255.8</v>
      </c>
      <c r="U221" s="146">
        <f>SUM(Purchase[Net Amount])</f>
        <v>814985438.68000126</v>
      </c>
    </row>
    <row r="222" spans="1:21" ht="19.5" thickBot="1" x14ac:dyDescent="0.3">
      <c r="A222" s="136" t="s">
        <v>1247</v>
      </c>
      <c r="B222" s="137">
        <v>45668</v>
      </c>
      <c r="C222" s="138" t="s">
        <v>596</v>
      </c>
      <c r="D222" s="138" t="str">
        <f>VLOOKUP(Purchase[[#This Row],[Supplier ID]],Supplier[#All],2,0)</f>
        <v>star traders</v>
      </c>
      <c r="E222" s="138">
        <f>VLOOKUP(Purchase[[#This Row],[Supplier ID]],Supplier[#All],3,0)</f>
        <v>9689542479</v>
      </c>
      <c r="F222" s="138" t="str">
        <f>VLOOKUP(Purchase[[#This Row],[Supplier ID]],Supplier[#All],4,0)</f>
        <v>Korba</v>
      </c>
      <c r="G222" s="138" t="str">
        <f>VLOOKUP(Purchase[[#This Row],[Supplier ID]],Supplier[#All],5,0)</f>
        <v>CG</v>
      </c>
      <c r="H222" s="138" t="str">
        <f>VLOOKUP(Purchase[[#This Row],[Supplier ID]],Supplier[#All],6,0)</f>
        <v>GST2154521T041</v>
      </c>
      <c r="I222" s="138" t="s">
        <v>131</v>
      </c>
      <c r="J222" s="139">
        <v>16</v>
      </c>
      <c r="K222" s="143">
        <f>VLOOKUP(Purchase[[#This Row],[Product ID]],Product[#All],6,0)</f>
        <v>2019</v>
      </c>
      <c r="L222" s="143">
        <f>Purchase[[#This Row],[Purchase Rate]]*Purchase[[#This Row],[Qty]]</f>
        <v>32304</v>
      </c>
      <c r="M222" s="140">
        <v>0</v>
      </c>
      <c r="N222" s="143">
        <v>0</v>
      </c>
      <c r="O222" s="140">
        <v>0.18</v>
      </c>
      <c r="P222" s="145">
        <f>(Purchase[[#This Row],[Gross Amount]]-Purchase[[#This Row],[Disct %]])*Purchase[[#This Row],[GST %]]</f>
        <v>5814.7199999999993</v>
      </c>
      <c r="Q222" s="145">
        <f>Purchase[[#This Row],[Gross Amount]]-Purchase[[#This Row],[Disct Amnt]]+Purchase[[#This Row],[GST Amount]]</f>
        <v>38118.720000000001</v>
      </c>
      <c r="R222" s="138" t="s">
        <v>1019</v>
      </c>
      <c r="S222" s="41">
        <f>IF(Purchase[[#This Row],[Status]]="Cancelled",0,Purchase[[#This Row],[Qty]])</f>
        <v>16</v>
      </c>
      <c r="T222" s="146">
        <f>IF(Purchase[[#This Row],[Status]]="Cancelled",0,Purchase[[#This Row],[Total Amount]])</f>
        <v>38118.720000000001</v>
      </c>
      <c r="U222" s="146">
        <f>SUM(Purchase[Net Amount])</f>
        <v>814985438.68000126</v>
      </c>
    </row>
    <row r="223" spans="1:21" ht="19.5" thickBot="1" x14ac:dyDescent="0.3">
      <c r="A223" s="136" t="s">
        <v>1248</v>
      </c>
      <c r="B223" s="137">
        <v>45668</v>
      </c>
      <c r="C223" s="138" t="s">
        <v>578</v>
      </c>
      <c r="D223" s="138" t="str">
        <f>VLOOKUP(Purchase[[#This Row],[Supplier ID]],Supplier[#All],2,0)</f>
        <v>Shree Computers</v>
      </c>
      <c r="E223" s="138">
        <f>VLOOKUP(Purchase[[#This Row],[Supplier ID]],Supplier[#All],3,0)</f>
        <v>9689542462</v>
      </c>
      <c r="F223" s="138" t="str">
        <f>VLOOKUP(Purchase[[#This Row],[Supplier ID]],Supplier[#All],4,0)</f>
        <v>Korba</v>
      </c>
      <c r="G223" s="138" t="str">
        <f>VLOOKUP(Purchase[[#This Row],[Supplier ID]],Supplier[#All],5,0)</f>
        <v>CG</v>
      </c>
      <c r="H223" s="138" t="str">
        <f>VLOOKUP(Purchase[[#This Row],[Supplier ID]],Supplier[#All],6,0)</f>
        <v>GST2154521T024</v>
      </c>
      <c r="I223" s="138" t="s">
        <v>311</v>
      </c>
      <c r="J223" s="139">
        <v>32</v>
      </c>
      <c r="K223" s="143">
        <f>VLOOKUP(Purchase[[#This Row],[Product ID]],Product[#All],6,0)</f>
        <v>471</v>
      </c>
      <c r="L223" s="143">
        <f>Purchase[[#This Row],[Purchase Rate]]*Purchase[[#This Row],[Qty]]</f>
        <v>15072</v>
      </c>
      <c r="M223" s="140">
        <v>0</v>
      </c>
      <c r="N223" s="143">
        <v>0</v>
      </c>
      <c r="O223" s="140">
        <v>0.18</v>
      </c>
      <c r="P223" s="145">
        <f>(Purchase[[#This Row],[Gross Amount]]-Purchase[[#This Row],[Disct %]])*Purchase[[#This Row],[GST %]]</f>
        <v>2712.96</v>
      </c>
      <c r="Q223" s="145">
        <f>Purchase[[#This Row],[Gross Amount]]-Purchase[[#This Row],[Disct Amnt]]+Purchase[[#This Row],[GST Amount]]</f>
        <v>17784.96</v>
      </c>
      <c r="R223" s="138" t="s">
        <v>1019</v>
      </c>
      <c r="S223" s="41">
        <f>IF(Purchase[[#This Row],[Status]]="Cancelled",0,Purchase[[#This Row],[Qty]])</f>
        <v>32</v>
      </c>
      <c r="T223" s="146">
        <f>IF(Purchase[[#This Row],[Status]]="Cancelled",0,Purchase[[#This Row],[Total Amount]])</f>
        <v>17784.96</v>
      </c>
      <c r="U223" s="146">
        <f>SUM(Purchase[Net Amount])</f>
        <v>814985438.68000126</v>
      </c>
    </row>
    <row r="224" spans="1:21" ht="19.5" thickBot="1" x14ac:dyDescent="0.3">
      <c r="A224" s="136" t="s">
        <v>1249</v>
      </c>
      <c r="B224" s="137">
        <v>45668</v>
      </c>
      <c r="C224" s="138" t="s">
        <v>570</v>
      </c>
      <c r="D224" s="138" t="str">
        <f>VLOOKUP(Purchase[[#This Row],[Supplier ID]],Supplier[#All],2,0)</f>
        <v>Prime Traders</v>
      </c>
      <c r="E224" s="138">
        <f>VLOOKUP(Purchase[[#This Row],[Supplier ID]],Supplier[#All],3,0)</f>
        <v>9689542456</v>
      </c>
      <c r="F224" s="138" t="str">
        <f>VLOOKUP(Purchase[[#This Row],[Supplier ID]],Supplier[#All],4,0)</f>
        <v>Indore</v>
      </c>
      <c r="G224" s="138" t="str">
        <f>VLOOKUP(Purchase[[#This Row],[Supplier ID]],Supplier[#All],5,0)</f>
        <v>MP</v>
      </c>
      <c r="H224" s="138" t="str">
        <f>VLOOKUP(Purchase[[#This Row],[Supplier ID]],Supplier[#All],6,0)</f>
        <v>GST2154521T018</v>
      </c>
      <c r="I224" s="138" t="s">
        <v>202</v>
      </c>
      <c r="J224" s="139">
        <v>12</v>
      </c>
      <c r="K224" s="143">
        <f>VLOOKUP(Purchase[[#This Row],[Product ID]],Product[#All],6,0)</f>
        <v>1062</v>
      </c>
      <c r="L224" s="143">
        <f>Purchase[[#This Row],[Purchase Rate]]*Purchase[[#This Row],[Qty]]</f>
        <v>12744</v>
      </c>
      <c r="M224" s="140">
        <v>0</v>
      </c>
      <c r="N224" s="143">
        <v>0</v>
      </c>
      <c r="O224" s="140">
        <v>0.18</v>
      </c>
      <c r="P224" s="145">
        <f>(Purchase[[#This Row],[Gross Amount]]-Purchase[[#This Row],[Disct %]])*Purchase[[#This Row],[GST %]]</f>
        <v>2293.92</v>
      </c>
      <c r="Q224" s="145">
        <f>Purchase[[#This Row],[Gross Amount]]-Purchase[[#This Row],[Disct Amnt]]+Purchase[[#This Row],[GST Amount]]</f>
        <v>15037.92</v>
      </c>
      <c r="R224" s="138" t="s">
        <v>1019</v>
      </c>
      <c r="S224" s="41">
        <f>IF(Purchase[[#This Row],[Status]]="Cancelled",0,Purchase[[#This Row],[Qty]])</f>
        <v>12</v>
      </c>
      <c r="T224" s="146">
        <f>IF(Purchase[[#This Row],[Status]]="Cancelled",0,Purchase[[#This Row],[Total Amount]])</f>
        <v>15037.92</v>
      </c>
      <c r="U224" s="146">
        <f>SUM(Purchase[Net Amount])</f>
        <v>814985438.68000126</v>
      </c>
    </row>
    <row r="225" spans="1:21" ht="19.5" thickBot="1" x14ac:dyDescent="0.3">
      <c r="A225" s="136" t="s">
        <v>1250</v>
      </c>
      <c r="B225" s="137">
        <v>45669</v>
      </c>
      <c r="C225" s="138" t="s">
        <v>567</v>
      </c>
      <c r="D225" s="138" t="str">
        <f>VLOOKUP(Purchase[[#This Row],[Supplier ID]],Supplier[#All],2,0)</f>
        <v>National Distributors</v>
      </c>
      <c r="E225" s="138">
        <f>VLOOKUP(Purchase[[#This Row],[Supplier ID]],Supplier[#All],3,0)</f>
        <v>9689542453</v>
      </c>
      <c r="F225" s="138" t="str">
        <f>VLOOKUP(Purchase[[#This Row],[Supplier ID]],Supplier[#All],4,0)</f>
        <v>Korba</v>
      </c>
      <c r="G225" s="138" t="str">
        <f>VLOOKUP(Purchase[[#This Row],[Supplier ID]],Supplier[#All],5,0)</f>
        <v>CG</v>
      </c>
      <c r="H225" s="138" t="str">
        <f>VLOOKUP(Purchase[[#This Row],[Supplier ID]],Supplier[#All],6,0)</f>
        <v>GST2154521T015</v>
      </c>
      <c r="I225" s="138" t="s">
        <v>445</v>
      </c>
      <c r="J225" s="139">
        <v>27</v>
      </c>
      <c r="K225" s="143">
        <f>VLOOKUP(Purchase[[#This Row],[Product ID]],Product[#All],6,0)</f>
        <v>33297</v>
      </c>
      <c r="L225" s="143">
        <f>Purchase[[#This Row],[Purchase Rate]]*Purchase[[#This Row],[Qty]]</f>
        <v>899019</v>
      </c>
      <c r="M225" s="140">
        <v>0</v>
      </c>
      <c r="N225" s="143">
        <v>0</v>
      </c>
      <c r="O225" s="140">
        <v>0.18</v>
      </c>
      <c r="P225" s="145">
        <f>(Purchase[[#This Row],[Gross Amount]]-Purchase[[#This Row],[Disct %]])*Purchase[[#This Row],[GST %]]</f>
        <v>161823.41999999998</v>
      </c>
      <c r="Q225" s="145">
        <f>Purchase[[#This Row],[Gross Amount]]-Purchase[[#This Row],[Disct Amnt]]+Purchase[[#This Row],[GST Amount]]</f>
        <v>1060842.42</v>
      </c>
      <c r="R225" s="138" t="s">
        <v>1019</v>
      </c>
      <c r="S225" s="41">
        <f>IF(Purchase[[#This Row],[Status]]="Cancelled",0,Purchase[[#This Row],[Qty]])</f>
        <v>27</v>
      </c>
      <c r="T225" s="146">
        <f>IF(Purchase[[#This Row],[Status]]="Cancelled",0,Purchase[[#This Row],[Total Amount]])</f>
        <v>1060842.42</v>
      </c>
      <c r="U225" s="146">
        <f>SUM(Purchase[Net Amount])</f>
        <v>814985438.68000126</v>
      </c>
    </row>
    <row r="226" spans="1:21" ht="19.5" thickBot="1" x14ac:dyDescent="0.3">
      <c r="A226" s="136" t="s">
        <v>1251</v>
      </c>
      <c r="B226" s="137">
        <v>45669</v>
      </c>
      <c r="C226" s="138" t="s">
        <v>589</v>
      </c>
      <c r="D226" s="138" t="str">
        <f>VLOOKUP(Purchase[[#This Row],[Supplier ID]],Supplier[#All],2,0)</f>
        <v>Maa Computers</v>
      </c>
      <c r="E226" s="138">
        <f>VLOOKUP(Purchase[[#This Row],[Supplier ID]],Supplier[#All],3,0)</f>
        <v>9689542473</v>
      </c>
      <c r="F226" s="138" t="str">
        <f>VLOOKUP(Purchase[[#This Row],[Supplier ID]],Supplier[#All],4,0)</f>
        <v>Kanpur</v>
      </c>
      <c r="G226" s="138" t="str">
        <f>VLOOKUP(Purchase[[#This Row],[Supplier ID]],Supplier[#All],5,0)</f>
        <v>UP</v>
      </c>
      <c r="H226" s="138" t="str">
        <f>VLOOKUP(Purchase[[#This Row],[Supplier ID]],Supplier[#All],6,0)</f>
        <v>GST2154521T035</v>
      </c>
      <c r="I226" s="138" t="s">
        <v>322</v>
      </c>
      <c r="J226" s="139">
        <v>31</v>
      </c>
      <c r="K226" s="143">
        <f>VLOOKUP(Purchase[[#This Row],[Product ID]],Product[#All],6,0)</f>
        <v>8005</v>
      </c>
      <c r="L226" s="143">
        <f>Purchase[[#This Row],[Purchase Rate]]*Purchase[[#This Row],[Qty]]</f>
        <v>248155</v>
      </c>
      <c r="M226" s="140">
        <v>0</v>
      </c>
      <c r="N226" s="143">
        <v>0</v>
      </c>
      <c r="O226" s="140">
        <v>0.18</v>
      </c>
      <c r="P226" s="145">
        <f>(Purchase[[#This Row],[Gross Amount]]-Purchase[[#This Row],[Disct %]])*Purchase[[#This Row],[GST %]]</f>
        <v>44667.9</v>
      </c>
      <c r="Q226" s="145">
        <f>Purchase[[#This Row],[Gross Amount]]-Purchase[[#This Row],[Disct Amnt]]+Purchase[[#This Row],[GST Amount]]</f>
        <v>292822.90000000002</v>
      </c>
      <c r="R226" s="138" t="s">
        <v>1019</v>
      </c>
      <c r="S226" s="41">
        <f>IF(Purchase[[#This Row],[Status]]="Cancelled",0,Purchase[[#This Row],[Qty]])</f>
        <v>31</v>
      </c>
      <c r="T226" s="146">
        <f>IF(Purchase[[#This Row],[Status]]="Cancelled",0,Purchase[[#This Row],[Total Amount]])</f>
        <v>292822.90000000002</v>
      </c>
      <c r="U226" s="146">
        <f>SUM(Purchase[Net Amount])</f>
        <v>814985438.68000126</v>
      </c>
    </row>
    <row r="227" spans="1:21" ht="19.5" thickBot="1" x14ac:dyDescent="0.3">
      <c r="A227" s="136" t="s">
        <v>1252</v>
      </c>
      <c r="B227" s="137">
        <v>45669</v>
      </c>
      <c r="C227" s="138" t="s">
        <v>590</v>
      </c>
      <c r="D227" s="138" t="str">
        <f>VLOOKUP(Purchase[[#This Row],[Supplier ID]],Supplier[#All],2,0)</f>
        <v>Star Distributors</v>
      </c>
      <c r="E227" s="138">
        <f>VLOOKUP(Purchase[[#This Row],[Supplier ID]],Supplier[#All],3,0)</f>
        <v>9689542474</v>
      </c>
      <c r="F227" s="138" t="str">
        <f>VLOOKUP(Purchase[[#This Row],[Supplier ID]],Supplier[#All],4,0)</f>
        <v>Kanpur</v>
      </c>
      <c r="G227" s="138" t="str">
        <f>VLOOKUP(Purchase[[#This Row],[Supplier ID]],Supplier[#All],5,0)</f>
        <v>UP</v>
      </c>
      <c r="H227" s="138" t="str">
        <f>VLOOKUP(Purchase[[#This Row],[Supplier ID]],Supplier[#All],6,0)</f>
        <v>GST2154521T036</v>
      </c>
      <c r="I227" s="138" t="s">
        <v>432</v>
      </c>
      <c r="J227" s="139">
        <v>40</v>
      </c>
      <c r="K227" s="143">
        <f>VLOOKUP(Purchase[[#This Row],[Product ID]],Product[#All],6,0)</f>
        <v>628</v>
      </c>
      <c r="L227" s="143">
        <f>Purchase[[#This Row],[Purchase Rate]]*Purchase[[#This Row],[Qty]]</f>
        <v>25120</v>
      </c>
      <c r="M227" s="140">
        <v>0</v>
      </c>
      <c r="N227" s="143">
        <v>0</v>
      </c>
      <c r="O227" s="140">
        <v>0.18</v>
      </c>
      <c r="P227" s="145">
        <f>(Purchase[[#This Row],[Gross Amount]]-Purchase[[#This Row],[Disct %]])*Purchase[[#This Row],[GST %]]</f>
        <v>4521.5999999999995</v>
      </c>
      <c r="Q227" s="145">
        <f>Purchase[[#This Row],[Gross Amount]]-Purchase[[#This Row],[Disct Amnt]]+Purchase[[#This Row],[GST Amount]]</f>
        <v>29641.599999999999</v>
      </c>
      <c r="R227" s="138" t="s">
        <v>1019</v>
      </c>
      <c r="S227" s="41">
        <f>IF(Purchase[[#This Row],[Status]]="Cancelled",0,Purchase[[#This Row],[Qty]])</f>
        <v>40</v>
      </c>
      <c r="T227" s="146">
        <f>IF(Purchase[[#This Row],[Status]]="Cancelled",0,Purchase[[#This Row],[Total Amount]])</f>
        <v>29641.599999999999</v>
      </c>
      <c r="U227" s="146">
        <f>SUM(Purchase[Net Amount])</f>
        <v>814985438.68000126</v>
      </c>
    </row>
    <row r="228" spans="1:21" ht="19.5" thickBot="1" x14ac:dyDescent="0.3">
      <c r="A228" s="136" t="s">
        <v>1253</v>
      </c>
      <c r="B228" s="137">
        <v>45669</v>
      </c>
      <c r="C228" s="138" t="s">
        <v>613</v>
      </c>
      <c r="D228" s="138" t="str">
        <f>VLOOKUP(Purchase[[#This Row],[Supplier ID]],Supplier[#All],2,0)</f>
        <v>National Traders</v>
      </c>
      <c r="E228" s="138">
        <f>VLOOKUP(Purchase[[#This Row],[Supplier ID]],Supplier[#All],3,0)</f>
        <v>9689542496</v>
      </c>
      <c r="F228" s="138" t="str">
        <f>VLOOKUP(Purchase[[#This Row],[Supplier ID]],Supplier[#All],4,0)</f>
        <v>Indore</v>
      </c>
      <c r="G228" s="138" t="str">
        <f>VLOOKUP(Purchase[[#This Row],[Supplier ID]],Supplier[#All],5,0)</f>
        <v>MP</v>
      </c>
      <c r="H228" s="138" t="str">
        <f>VLOOKUP(Purchase[[#This Row],[Supplier ID]],Supplier[#All],6,0)</f>
        <v>GST2154521T058</v>
      </c>
      <c r="I228" s="138" t="s">
        <v>514</v>
      </c>
      <c r="J228" s="139">
        <v>7</v>
      </c>
      <c r="K228" s="143">
        <f>VLOOKUP(Purchase[[#This Row],[Product ID]],Product[#All],6,0)</f>
        <v>3697</v>
      </c>
      <c r="L228" s="143">
        <f>Purchase[[#This Row],[Purchase Rate]]*Purchase[[#This Row],[Qty]]</f>
        <v>25879</v>
      </c>
      <c r="M228" s="140">
        <v>0</v>
      </c>
      <c r="N228" s="143">
        <v>0</v>
      </c>
      <c r="O228" s="140">
        <v>0.18</v>
      </c>
      <c r="P228" s="145">
        <f>(Purchase[[#This Row],[Gross Amount]]-Purchase[[#This Row],[Disct %]])*Purchase[[#This Row],[GST %]]</f>
        <v>4658.22</v>
      </c>
      <c r="Q228" s="145">
        <f>Purchase[[#This Row],[Gross Amount]]-Purchase[[#This Row],[Disct Amnt]]+Purchase[[#This Row],[GST Amount]]</f>
        <v>30537.22</v>
      </c>
      <c r="R228" s="138" t="s">
        <v>1019</v>
      </c>
      <c r="S228" s="41">
        <f>IF(Purchase[[#This Row],[Status]]="Cancelled",0,Purchase[[#This Row],[Qty]])</f>
        <v>7</v>
      </c>
      <c r="T228" s="146">
        <f>IF(Purchase[[#This Row],[Status]]="Cancelled",0,Purchase[[#This Row],[Total Amount]])</f>
        <v>30537.22</v>
      </c>
      <c r="U228" s="146">
        <f>SUM(Purchase[Net Amount])</f>
        <v>814985438.68000126</v>
      </c>
    </row>
    <row r="229" spans="1:21" ht="19.5" thickBot="1" x14ac:dyDescent="0.3">
      <c r="A229" s="136" t="s">
        <v>1254</v>
      </c>
      <c r="B229" s="137">
        <v>45669</v>
      </c>
      <c r="C229" s="138" t="s">
        <v>578</v>
      </c>
      <c r="D229" s="138" t="str">
        <f>VLOOKUP(Purchase[[#This Row],[Supplier ID]],Supplier[#All],2,0)</f>
        <v>Shree Computers</v>
      </c>
      <c r="E229" s="138">
        <f>VLOOKUP(Purchase[[#This Row],[Supplier ID]],Supplier[#All],3,0)</f>
        <v>9689542462</v>
      </c>
      <c r="F229" s="138" t="str">
        <f>VLOOKUP(Purchase[[#This Row],[Supplier ID]],Supplier[#All],4,0)</f>
        <v>Korba</v>
      </c>
      <c r="G229" s="138" t="str">
        <f>VLOOKUP(Purchase[[#This Row],[Supplier ID]],Supplier[#All],5,0)</f>
        <v>CG</v>
      </c>
      <c r="H229" s="138" t="str">
        <f>VLOOKUP(Purchase[[#This Row],[Supplier ID]],Supplier[#All],6,0)</f>
        <v>GST2154521T024</v>
      </c>
      <c r="I229" s="138" t="s">
        <v>466</v>
      </c>
      <c r="J229" s="139">
        <v>11</v>
      </c>
      <c r="K229" s="143">
        <f>VLOOKUP(Purchase[[#This Row],[Product ID]],Product[#All],6,0)</f>
        <v>68885</v>
      </c>
      <c r="L229" s="143">
        <f>Purchase[[#This Row],[Purchase Rate]]*Purchase[[#This Row],[Qty]]</f>
        <v>757735</v>
      </c>
      <c r="M229" s="140">
        <v>0</v>
      </c>
      <c r="N229" s="143">
        <v>0</v>
      </c>
      <c r="O229" s="140">
        <v>0.18</v>
      </c>
      <c r="P229" s="145">
        <f>(Purchase[[#This Row],[Gross Amount]]-Purchase[[#This Row],[Disct %]])*Purchase[[#This Row],[GST %]]</f>
        <v>136392.29999999999</v>
      </c>
      <c r="Q229" s="145">
        <f>Purchase[[#This Row],[Gross Amount]]-Purchase[[#This Row],[Disct Amnt]]+Purchase[[#This Row],[GST Amount]]</f>
        <v>894127.3</v>
      </c>
      <c r="R229" s="138" t="s">
        <v>1019</v>
      </c>
      <c r="S229" s="41">
        <f>IF(Purchase[[#This Row],[Status]]="Cancelled",0,Purchase[[#This Row],[Qty]])</f>
        <v>11</v>
      </c>
      <c r="T229" s="146">
        <f>IF(Purchase[[#This Row],[Status]]="Cancelled",0,Purchase[[#This Row],[Total Amount]])</f>
        <v>894127.3</v>
      </c>
      <c r="U229" s="146">
        <f>SUM(Purchase[Net Amount])</f>
        <v>814985438.68000126</v>
      </c>
    </row>
    <row r="230" spans="1:21" ht="19.5" thickBot="1" x14ac:dyDescent="0.3">
      <c r="A230" s="136" t="s">
        <v>1255</v>
      </c>
      <c r="B230" s="137">
        <v>45669</v>
      </c>
      <c r="C230" s="138" t="s">
        <v>582</v>
      </c>
      <c r="D230" s="138" t="str">
        <f>VLOOKUP(Purchase[[#This Row],[Supplier ID]],Supplier[#All],2,0)</f>
        <v>Tech Distributors</v>
      </c>
      <c r="E230" s="138">
        <f>VLOOKUP(Purchase[[#This Row],[Supplier ID]],Supplier[#All],3,0)</f>
        <v>9689542466</v>
      </c>
      <c r="F230" s="138" t="str">
        <f>VLOOKUP(Purchase[[#This Row],[Supplier ID]],Supplier[#All],4,0)</f>
        <v>Indore</v>
      </c>
      <c r="G230" s="138" t="str">
        <f>VLOOKUP(Purchase[[#This Row],[Supplier ID]],Supplier[#All],5,0)</f>
        <v>MP</v>
      </c>
      <c r="H230" s="138" t="str">
        <f>VLOOKUP(Purchase[[#This Row],[Supplier ID]],Supplier[#All],6,0)</f>
        <v>GST2154521T028</v>
      </c>
      <c r="I230" s="138" t="s">
        <v>290</v>
      </c>
      <c r="J230" s="139">
        <v>9</v>
      </c>
      <c r="K230" s="143">
        <f>VLOOKUP(Purchase[[#This Row],[Product ID]],Product[#All],6,0)</f>
        <v>6487</v>
      </c>
      <c r="L230" s="143">
        <f>Purchase[[#This Row],[Purchase Rate]]*Purchase[[#This Row],[Qty]]</f>
        <v>58383</v>
      </c>
      <c r="M230" s="140">
        <v>0</v>
      </c>
      <c r="N230" s="143">
        <v>0</v>
      </c>
      <c r="O230" s="140">
        <v>0.18</v>
      </c>
      <c r="P230" s="145">
        <f>(Purchase[[#This Row],[Gross Amount]]-Purchase[[#This Row],[Disct %]])*Purchase[[#This Row],[GST %]]</f>
        <v>10508.94</v>
      </c>
      <c r="Q230" s="145">
        <f>Purchase[[#This Row],[Gross Amount]]-Purchase[[#This Row],[Disct Amnt]]+Purchase[[#This Row],[GST Amount]]</f>
        <v>68891.94</v>
      </c>
      <c r="R230" s="138" t="s">
        <v>1019</v>
      </c>
      <c r="S230" s="41">
        <f>IF(Purchase[[#This Row],[Status]]="Cancelled",0,Purchase[[#This Row],[Qty]])</f>
        <v>9</v>
      </c>
      <c r="T230" s="146">
        <f>IF(Purchase[[#This Row],[Status]]="Cancelled",0,Purchase[[#This Row],[Total Amount]])</f>
        <v>68891.94</v>
      </c>
      <c r="U230" s="146">
        <f>SUM(Purchase[Net Amount])</f>
        <v>814985438.68000126</v>
      </c>
    </row>
    <row r="231" spans="1:21" ht="19.5" thickBot="1" x14ac:dyDescent="0.3">
      <c r="A231" s="136" t="s">
        <v>1256</v>
      </c>
      <c r="B231" s="137">
        <v>45669</v>
      </c>
      <c r="C231" s="138" t="s">
        <v>607</v>
      </c>
      <c r="D231" s="138" t="str">
        <f>VLOOKUP(Purchase[[#This Row],[Supplier ID]],Supplier[#All],2,0)</f>
        <v>Global Distributors</v>
      </c>
      <c r="E231" s="138">
        <f>VLOOKUP(Purchase[[#This Row],[Supplier ID]],Supplier[#All],3,0)</f>
        <v>9689542490</v>
      </c>
      <c r="F231" s="138" t="str">
        <f>VLOOKUP(Purchase[[#This Row],[Supplier ID]],Supplier[#All],4,0)</f>
        <v>Kanpur</v>
      </c>
      <c r="G231" s="138" t="str">
        <f>VLOOKUP(Purchase[[#This Row],[Supplier ID]],Supplier[#All],5,0)</f>
        <v>UP</v>
      </c>
      <c r="H231" s="138" t="str">
        <f>VLOOKUP(Purchase[[#This Row],[Supplier ID]],Supplier[#All],6,0)</f>
        <v>GST2154521T052</v>
      </c>
      <c r="I231" s="138" t="s">
        <v>115</v>
      </c>
      <c r="J231" s="139">
        <v>24</v>
      </c>
      <c r="K231" s="143">
        <f>VLOOKUP(Purchase[[#This Row],[Product ID]],Product[#All],6,0)</f>
        <v>1444</v>
      </c>
      <c r="L231" s="143">
        <f>Purchase[[#This Row],[Purchase Rate]]*Purchase[[#This Row],[Qty]]</f>
        <v>34656</v>
      </c>
      <c r="M231" s="140">
        <v>0</v>
      </c>
      <c r="N231" s="143">
        <v>0</v>
      </c>
      <c r="O231" s="140">
        <v>0.18</v>
      </c>
      <c r="P231" s="145">
        <f>(Purchase[[#This Row],[Gross Amount]]-Purchase[[#This Row],[Disct %]])*Purchase[[#This Row],[GST %]]</f>
        <v>6238.08</v>
      </c>
      <c r="Q231" s="145">
        <f>Purchase[[#This Row],[Gross Amount]]-Purchase[[#This Row],[Disct Amnt]]+Purchase[[#This Row],[GST Amount]]</f>
        <v>40894.080000000002</v>
      </c>
      <c r="R231" s="138" t="s">
        <v>1019</v>
      </c>
      <c r="S231" s="41">
        <f>IF(Purchase[[#This Row],[Status]]="Cancelled",0,Purchase[[#This Row],[Qty]])</f>
        <v>24</v>
      </c>
      <c r="T231" s="146">
        <f>IF(Purchase[[#This Row],[Status]]="Cancelled",0,Purchase[[#This Row],[Total Amount]])</f>
        <v>40894.080000000002</v>
      </c>
      <c r="U231" s="146">
        <f>SUM(Purchase[Net Amount])</f>
        <v>814985438.68000126</v>
      </c>
    </row>
    <row r="232" spans="1:21" ht="19.5" thickBot="1" x14ac:dyDescent="0.3">
      <c r="A232" s="136" t="s">
        <v>1257</v>
      </c>
      <c r="B232" s="137">
        <v>45669</v>
      </c>
      <c r="C232" s="138" t="s">
        <v>566</v>
      </c>
      <c r="D232" s="138" t="str">
        <f>VLOOKUP(Purchase[[#This Row],[Supplier ID]],Supplier[#All],2,0)</f>
        <v>Maa Computers</v>
      </c>
      <c r="E232" s="138">
        <f>VLOOKUP(Purchase[[#This Row],[Supplier ID]],Supplier[#All],3,0)</f>
        <v>9689542452</v>
      </c>
      <c r="F232" s="138" t="str">
        <f>VLOOKUP(Purchase[[#This Row],[Supplier ID]],Supplier[#All],4,0)</f>
        <v>Kanpur</v>
      </c>
      <c r="G232" s="138" t="str">
        <f>VLOOKUP(Purchase[[#This Row],[Supplier ID]],Supplier[#All],5,0)</f>
        <v>UP</v>
      </c>
      <c r="H232" s="138" t="str">
        <f>VLOOKUP(Purchase[[#This Row],[Supplier ID]],Supplier[#All],6,0)</f>
        <v>GST2154521T014</v>
      </c>
      <c r="I232" s="138" t="s">
        <v>487</v>
      </c>
      <c r="J232" s="139">
        <v>29</v>
      </c>
      <c r="K232" s="143">
        <f>VLOOKUP(Purchase[[#This Row],[Product ID]],Product[#All],6,0)</f>
        <v>558</v>
      </c>
      <c r="L232" s="143">
        <f>Purchase[[#This Row],[Purchase Rate]]*Purchase[[#This Row],[Qty]]</f>
        <v>16182</v>
      </c>
      <c r="M232" s="140">
        <v>0</v>
      </c>
      <c r="N232" s="143">
        <v>0</v>
      </c>
      <c r="O232" s="140">
        <v>0.18</v>
      </c>
      <c r="P232" s="145">
        <f>(Purchase[[#This Row],[Gross Amount]]-Purchase[[#This Row],[Disct %]])*Purchase[[#This Row],[GST %]]</f>
        <v>2912.7599999999998</v>
      </c>
      <c r="Q232" s="145">
        <f>Purchase[[#This Row],[Gross Amount]]-Purchase[[#This Row],[Disct Amnt]]+Purchase[[#This Row],[GST Amount]]</f>
        <v>19094.759999999998</v>
      </c>
      <c r="R232" s="138" t="s">
        <v>1019</v>
      </c>
      <c r="S232" s="41">
        <f>IF(Purchase[[#This Row],[Status]]="Cancelled",0,Purchase[[#This Row],[Qty]])</f>
        <v>29</v>
      </c>
      <c r="T232" s="146">
        <f>IF(Purchase[[#This Row],[Status]]="Cancelled",0,Purchase[[#This Row],[Total Amount]])</f>
        <v>19094.759999999998</v>
      </c>
      <c r="U232" s="146">
        <f>SUM(Purchase[Net Amount])</f>
        <v>814985438.68000126</v>
      </c>
    </row>
    <row r="233" spans="1:21" ht="19.5" thickBot="1" x14ac:dyDescent="0.3">
      <c r="A233" s="136" t="s">
        <v>1258</v>
      </c>
      <c r="B233" s="137">
        <v>45669</v>
      </c>
      <c r="C233" s="138" t="s">
        <v>602</v>
      </c>
      <c r="D233" s="138" t="str">
        <f>VLOOKUP(Purchase[[#This Row],[Supplier ID]],Supplier[#All],2,0)</f>
        <v>Maa Computers</v>
      </c>
      <c r="E233" s="138">
        <f>VLOOKUP(Purchase[[#This Row],[Supplier ID]],Supplier[#All],3,0)</f>
        <v>9689542485</v>
      </c>
      <c r="F233" s="138" t="str">
        <f>VLOOKUP(Purchase[[#This Row],[Supplier ID]],Supplier[#All],4,0)</f>
        <v>Korba</v>
      </c>
      <c r="G233" s="138" t="str">
        <f>VLOOKUP(Purchase[[#This Row],[Supplier ID]],Supplier[#All],5,0)</f>
        <v>CG</v>
      </c>
      <c r="H233" s="138" t="str">
        <f>VLOOKUP(Purchase[[#This Row],[Supplier ID]],Supplier[#All],6,0)</f>
        <v>GST2154521T047</v>
      </c>
      <c r="I233" s="138" t="s">
        <v>362</v>
      </c>
      <c r="J233" s="139">
        <v>32</v>
      </c>
      <c r="K233" s="143">
        <f>VLOOKUP(Purchase[[#This Row],[Product ID]],Product[#All],6,0)</f>
        <v>3403</v>
      </c>
      <c r="L233" s="143">
        <f>Purchase[[#This Row],[Purchase Rate]]*Purchase[[#This Row],[Qty]]</f>
        <v>108896</v>
      </c>
      <c r="M233" s="140">
        <v>0</v>
      </c>
      <c r="N233" s="143">
        <v>0</v>
      </c>
      <c r="O233" s="140">
        <v>0.18</v>
      </c>
      <c r="P233" s="145">
        <f>(Purchase[[#This Row],[Gross Amount]]-Purchase[[#This Row],[Disct %]])*Purchase[[#This Row],[GST %]]</f>
        <v>19601.28</v>
      </c>
      <c r="Q233" s="145">
        <f>Purchase[[#This Row],[Gross Amount]]-Purchase[[#This Row],[Disct Amnt]]+Purchase[[#This Row],[GST Amount]]</f>
        <v>128497.28</v>
      </c>
      <c r="R233" s="138" t="s">
        <v>1040</v>
      </c>
      <c r="S233" s="41">
        <f>IF(Purchase[[#This Row],[Status]]="Cancelled",0,Purchase[[#This Row],[Qty]])</f>
        <v>0</v>
      </c>
      <c r="T233" s="146">
        <f>IF(Purchase[[#This Row],[Status]]="Cancelled",0,Purchase[[#This Row],[Total Amount]])</f>
        <v>0</v>
      </c>
      <c r="U233" s="146">
        <f>SUM(Purchase[Net Amount])</f>
        <v>814985438.68000126</v>
      </c>
    </row>
    <row r="234" spans="1:21" ht="19.5" thickBot="1" x14ac:dyDescent="0.3">
      <c r="A234" s="136" t="s">
        <v>1259</v>
      </c>
      <c r="B234" s="137">
        <v>45669</v>
      </c>
      <c r="C234" s="138" t="s">
        <v>566</v>
      </c>
      <c r="D234" s="138" t="str">
        <f>VLOOKUP(Purchase[[#This Row],[Supplier ID]],Supplier[#All],2,0)</f>
        <v>Maa Computers</v>
      </c>
      <c r="E234" s="138">
        <f>VLOOKUP(Purchase[[#This Row],[Supplier ID]],Supplier[#All],3,0)</f>
        <v>9689542452</v>
      </c>
      <c r="F234" s="138" t="str">
        <f>VLOOKUP(Purchase[[#This Row],[Supplier ID]],Supplier[#All],4,0)</f>
        <v>Kanpur</v>
      </c>
      <c r="G234" s="138" t="str">
        <f>VLOOKUP(Purchase[[#This Row],[Supplier ID]],Supplier[#All],5,0)</f>
        <v>UP</v>
      </c>
      <c r="H234" s="138" t="str">
        <f>VLOOKUP(Purchase[[#This Row],[Supplier ID]],Supplier[#All],6,0)</f>
        <v>GST2154521T014</v>
      </c>
      <c r="I234" s="138" t="s">
        <v>255</v>
      </c>
      <c r="J234" s="139">
        <v>12</v>
      </c>
      <c r="K234" s="143">
        <f>VLOOKUP(Purchase[[#This Row],[Product ID]],Product[#All],6,0)</f>
        <v>50809</v>
      </c>
      <c r="L234" s="143">
        <f>Purchase[[#This Row],[Purchase Rate]]*Purchase[[#This Row],[Qty]]</f>
        <v>609708</v>
      </c>
      <c r="M234" s="140">
        <v>0</v>
      </c>
      <c r="N234" s="143">
        <v>0</v>
      </c>
      <c r="O234" s="140">
        <v>0.18</v>
      </c>
      <c r="P234" s="145">
        <f>(Purchase[[#This Row],[Gross Amount]]-Purchase[[#This Row],[Disct %]])*Purchase[[#This Row],[GST %]]</f>
        <v>109747.44</v>
      </c>
      <c r="Q234" s="145">
        <f>Purchase[[#This Row],[Gross Amount]]-Purchase[[#This Row],[Disct Amnt]]+Purchase[[#This Row],[GST Amount]]</f>
        <v>719455.44</v>
      </c>
      <c r="R234" s="138" t="s">
        <v>1019</v>
      </c>
      <c r="S234" s="41">
        <f>IF(Purchase[[#This Row],[Status]]="Cancelled",0,Purchase[[#This Row],[Qty]])</f>
        <v>12</v>
      </c>
      <c r="T234" s="146">
        <f>IF(Purchase[[#This Row],[Status]]="Cancelled",0,Purchase[[#This Row],[Total Amount]])</f>
        <v>719455.44</v>
      </c>
      <c r="U234" s="146">
        <f>SUM(Purchase[Net Amount])</f>
        <v>814985438.68000126</v>
      </c>
    </row>
    <row r="235" spans="1:21" ht="19.5" thickBot="1" x14ac:dyDescent="0.3">
      <c r="A235" s="136" t="s">
        <v>1260</v>
      </c>
      <c r="B235" s="137">
        <v>45669</v>
      </c>
      <c r="C235" s="138" t="s">
        <v>589</v>
      </c>
      <c r="D235" s="138" t="str">
        <f>VLOOKUP(Purchase[[#This Row],[Supplier ID]],Supplier[#All],2,0)</f>
        <v>Maa Computers</v>
      </c>
      <c r="E235" s="138">
        <f>VLOOKUP(Purchase[[#This Row],[Supplier ID]],Supplier[#All],3,0)</f>
        <v>9689542473</v>
      </c>
      <c r="F235" s="138" t="str">
        <f>VLOOKUP(Purchase[[#This Row],[Supplier ID]],Supplier[#All],4,0)</f>
        <v>Kanpur</v>
      </c>
      <c r="G235" s="138" t="str">
        <f>VLOOKUP(Purchase[[#This Row],[Supplier ID]],Supplier[#All],5,0)</f>
        <v>UP</v>
      </c>
      <c r="H235" s="138" t="str">
        <f>VLOOKUP(Purchase[[#This Row],[Supplier ID]],Supplier[#All],6,0)</f>
        <v>GST2154521T035</v>
      </c>
      <c r="I235" s="138" t="s">
        <v>518</v>
      </c>
      <c r="J235" s="139">
        <v>13</v>
      </c>
      <c r="K235" s="143">
        <f>VLOOKUP(Purchase[[#This Row],[Product ID]],Product[#All],6,0)</f>
        <v>18538</v>
      </c>
      <c r="L235" s="143">
        <f>Purchase[[#This Row],[Purchase Rate]]*Purchase[[#This Row],[Qty]]</f>
        <v>240994</v>
      </c>
      <c r="M235" s="140">
        <v>0</v>
      </c>
      <c r="N235" s="143">
        <v>0</v>
      </c>
      <c r="O235" s="140">
        <v>0.18</v>
      </c>
      <c r="P235" s="145">
        <f>(Purchase[[#This Row],[Gross Amount]]-Purchase[[#This Row],[Disct %]])*Purchase[[#This Row],[GST %]]</f>
        <v>43378.92</v>
      </c>
      <c r="Q235" s="145">
        <f>Purchase[[#This Row],[Gross Amount]]-Purchase[[#This Row],[Disct Amnt]]+Purchase[[#This Row],[GST Amount]]</f>
        <v>284372.92</v>
      </c>
      <c r="R235" s="138" t="s">
        <v>1019</v>
      </c>
      <c r="S235" s="41">
        <f>IF(Purchase[[#This Row],[Status]]="Cancelled",0,Purchase[[#This Row],[Qty]])</f>
        <v>13</v>
      </c>
      <c r="T235" s="146">
        <f>IF(Purchase[[#This Row],[Status]]="Cancelled",0,Purchase[[#This Row],[Total Amount]])</f>
        <v>284372.92</v>
      </c>
      <c r="U235" s="146">
        <f>SUM(Purchase[Net Amount])</f>
        <v>814985438.68000126</v>
      </c>
    </row>
    <row r="236" spans="1:21" ht="19.5" thickBot="1" x14ac:dyDescent="0.3">
      <c r="A236" s="136" t="s">
        <v>1261</v>
      </c>
      <c r="B236" s="137">
        <v>45669</v>
      </c>
      <c r="C236" s="138" t="s">
        <v>581</v>
      </c>
      <c r="D236" s="138" t="str">
        <f>VLOOKUP(Purchase[[#This Row],[Supplier ID]],Supplier[#All],2,0)</f>
        <v>Prime Electronics</v>
      </c>
      <c r="E236" s="138">
        <f>VLOOKUP(Purchase[[#This Row],[Supplier ID]],Supplier[#All],3,0)</f>
        <v>9689542465</v>
      </c>
      <c r="F236" s="138" t="str">
        <f>VLOOKUP(Purchase[[#This Row],[Supplier ID]],Supplier[#All],4,0)</f>
        <v>Korba</v>
      </c>
      <c r="G236" s="138" t="str">
        <f>VLOOKUP(Purchase[[#This Row],[Supplier ID]],Supplier[#All],5,0)</f>
        <v>CG</v>
      </c>
      <c r="H236" s="138" t="str">
        <f>VLOOKUP(Purchase[[#This Row],[Supplier ID]],Supplier[#All],6,0)</f>
        <v>GST2154521T027</v>
      </c>
      <c r="I236" s="138" t="s">
        <v>43</v>
      </c>
      <c r="J236" s="139">
        <v>6</v>
      </c>
      <c r="K236" s="143">
        <f>VLOOKUP(Purchase[[#This Row],[Product ID]],Product[#All],6,0)</f>
        <v>8664</v>
      </c>
      <c r="L236" s="143">
        <f>Purchase[[#This Row],[Purchase Rate]]*Purchase[[#This Row],[Qty]]</f>
        <v>51984</v>
      </c>
      <c r="M236" s="140">
        <v>0</v>
      </c>
      <c r="N236" s="143">
        <v>0</v>
      </c>
      <c r="O236" s="140">
        <v>0.18</v>
      </c>
      <c r="P236" s="145">
        <f>(Purchase[[#This Row],[Gross Amount]]-Purchase[[#This Row],[Disct %]])*Purchase[[#This Row],[GST %]]</f>
        <v>9357.119999999999</v>
      </c>
      <c r="Q236" s="145">
        <f>Purchase[[#This Row],[Gross Amount]]-Purchase[[#This Row],[Disct Amnt]]+Purchase[[#This Row],[GST Amount]]</f>
        <v>61341.119999999995</v>
      </c>
      <c r="R236" s="138" t="s">
        <v>1019</v>
      </c>
      <c r="S236" s="41">
        <f>IF(Purchase[[#This Row],[Status]]="Cancelled",0,Purchase[[#This Row],[Qty]])</f>
        <v>6</v>
      </c>
      <c r="T236" s="146">
        <f>IF(Purchase[[#This Row],[Status]]="Cancelled",0,Purchase[[#This Row],[Total Amount]])</f>
        <v>61341.119999999995</v>
      </c>
      <c r="U236" s="146">
        <f>SUM(Purchase[Net Amount])</f>
        <v>814985438.68000126</v>
      </c>
    </row>
    <row r="237" spans="1:21" ht="19.5" thickBot="1" x14ac:dyDescent="0.3">
      <c r="A237" s="136" t="s">
        <v>1262</v>
      </c>
      <c r="B237" s="137">
        <v>45669</v>
      </c>
      <c r="C237" s="138" t="s">
        <v>607</v>
      </c>
      <c r="D237" s="138" t="str">
        <f>VLOOKUP(Purchase[[#This Row],[Supplier ID]],Supplier[#All],2,0)</f>
        <v>Global Distributors</v>
      </c>
      <c r="E237" s="138">
        <f>VLOOKUP(Purchase[[#This Row],[Supplier ID]],Supplier[#All],3,0)</f>
        <v>9689542490</v>
      </c>
      <c r="F237" s="138" t="str">
        <f>VLOOKUP(Purchase[[#This Row],[Supplier ID]],Supplier[#All],4,0)</f>
        <v>Kanpur</v>
      </c>
      <c r="G237" s="138" t="str">
        <f>VLOOKUP(Purchase[[#This Row],[Supplier ID]],Supplier[#All],5,0)</f>
        <v>UP</v>
      </c>
      <c r="H237" s="138" t="str">
        <f>VLOOKUP(Purchase[[#This Row],[Supplier ID]],Supplier[#All],6,0)</f>
        <v>GST2154521T052</v>
      </c>
      <c r="I237" s="138" t="s">
        <v>424</v>
      </c>
      <c r="J237" s="139">
        <v>11</v>
      </c>
      <c r="K237" s="143">
        <f>VLOOKUP(Purchase[[#This Row],[Product ID]],Product[#All],6,0)</f>
        <v>598</v>
      </c>
      <c r="L237" s="143">
        <f>Purchase[[#This Row],[Purchase Rate]]*Purchase[[#This Row],[Qty]]</f>
        <v>6578</v>
      </c>
      <c r="M237" s="140">
        <v>0</v>
      </c>
      <c r="N237" s="143">
        <v>0</v>
      </c>
      <c r="O237" s="140">
        <v>0.18</v>
      </c>
      <c r="P237" s="145">
        <f>(Purchase[[#This Row],[Gross Amount]]-Purchase[[#This Row],[Disct %]])*Purchase[[#This Row],[GST %]]</f>
        <v>1184.04</v>
      </c>
      <c r="Q237" s="145">
        <f>Purchase[[#This Row],[Gross Amount]]-Purchase[[#This Row],[Disct Amnt]]+Purchase[[#This Row],[GST Amount]]</f>
        <v>7762.04</v>
      </c>
      <c r="R237" s="138" t="s">
        <v>1019</v>
      </c>
      <c r="S237" s="41">
        <f>IF(Purchase[[#This Row],[Status]]="Cancelled",0,Purchase[[#This Row],[Qty]])</f>
        <v>11</v>
      </c>
      <c r="T237" s="146">
        <f>IF(Purchase[[#This Row],[Status]]="Cancelled",0,Purchase[[#This Row],[Total Amount]])</f>
        <v>7762.04</v>
      </c>
      <c r="U237" s="146">
        <f>SUM(Purchase[Net Amount])</f>
        <v>814985438.68000126</v>
      </c>
    </row>
    <row r="238" spans="1:21" ht="19.5" thickBot="1" x14ac:dyDescent="0.3">
      <c r="A238" s="136" t="s">
        <v>1263</v>
      </c>
      <c r="B238" s="137">
        <v>45669</v>
      </c>
      <c r="C238" s="138" t="s">
        <v>603</v>
      </c>
      <c r="D238" s="138" t="str">
        <f>VLOOKUP(Purchase[[#This Row],[Supplier ID]],Supplier[#All],2,0)</f>
        <v>Tech Computers</v>
      </c>
      <c r="E238" s="138">
        <f>VLOOKUP(Purchase[[#This Row],[Supplier ID]],Supplier[#All],3,0)</f>
        <v>9689542486</v>
      </c>
      <c r="F238" s="138" t="str">
        <f>VLOOKUP(Purchase[[#This Row],[Supplier ID]],Supplier[#All],4,0)</f>
        <v>Indore</v>
      </c>
      <c r="G238" s="138" t="str">
        <f>VLOOKUP(Purchase[[#This Row],[Supplier ID]],Supplier[#All],5,0)</f>
        <v>MP</v>
      </c>
      <c r="H238" s="138" t="str">
        <f>VLOOKUP(Purchase[[#This Row],[Supplier ID]],Supplier[#All],6,0)</f>
        <v>GST2154521T048</v>
      </c>
      <c r="I238" s="138" t="s">
        <v>338</v>
      </c>
      <c r="J238" s="139">
        <v>18</v>
      </c>
      <c r="K238" s="143">
        <f>VLOOKUP(Purchase[[#This Row],[Product ID]],Product[#All],6,0)</f>
        <v>10799</v>
      </c>
      <c r="L238" s="143">
        <f>Purchase[[#This Row],[Purchase Rate]]*Purchase[[#This Row],[Qty]]</f>
        <v>194382</v>
      </c>
      <c r="M238" s="140">
        <v>0</v>
      </c>
      <c r="N238" s="143">
        <v>0</v>
      </c>
      <c r="O238" s="140">
        <v>0.18</v>
      </c>
      <c r="P238" s="145">
        <f>(Purchase[[#This Row],[Gross Amount]]-Purchase[[#This Row],[Disct %]])*Purchase[[#This Row],[GST %]]</f>
        <v>34988.76</v>
      </c>
      <c r="Q238" s="145">
        <f>Purchase[[#This Row],[Gross Amount]]-Purchase[[#This Row],[Disct Amnt]]+Purchase[[#This Row],[GST Amount]]</f>
        <v>229370.76</v>
      </c>
      <c r="R238" s="138" t="s">
        <v>1019</v>
      </c>
      <c r="S238" s="41">
        <f>IF(Purchase[[#This Row],[Status]]="Cancelled",0,Purchase[[#This Row],[Qty]])</f>
        <v>18</v>
      </c>
      <c r="T238" s="146">
        <f>IF(Purchase[[#This Row],[Status]]="Cancelled",0,Purchase[[#This Row],[Total Amount]])</f>
        <v>229370.76</v>
      </c>
      <c r="U238" s="146">
        <f>SUM(Purchase[Net Amount])</f>
        <v>814985438.68000126</v>
      </c>
    </row>
    <row r="239" spans="1:21" ht="19.5" thickBot="1" x14ac:dyDescent="0.3">
      <c r="A239" s="136" t="s">
        <v>1264</v>
      </c>
      <c r="B239" s="137">
        <v>45669</v>
      </c>
      <c r="C239" s="138" t="s">
        <v>1265</v>
      </c>
      <c r="D239" s="138" t="str">
        <f>VLOOKUP(Purchase[[#This Row],[Supplier ID]],Supplier[#All],2,0)</f>
        <v>Prime Computers</v>
      </c>
      <c r="E239" s="138">
        <f>VLOOKUP(Purchase[[#This Row],[Supplier ID]],Supplier[#All],3,0)</f>
        <v>9689542468</v>
      </c>
      <c r="F239" s="138" t="str">
        <f>VLOOKUP(Purchase[[#This Row],[Supplier ID]],Supplier[#All],4,0)</f>
        <v>Kanpur</v>
      </c>
      <c r="G239" s="138" t="str">
        <f>VLOOKUP(Purchase[[#This Row],[Supplier ID]],Supplier[#All],5,0)</f>
        <v>UP</v>
      </c>
      <c r="H239" s="138" t="str">
        <f>VLOOKUP(Purchase[[#This Row],[Supplier ID]],Supplier[#All],6,0)</f>
        <v>GST2154521T030</v>
      </c>
      <c r="I239" s="138" t="s">
        <v>361</v>
      </c>
      <c r="J239" s="139">
        <v>24</v>
      </c>
      <c r="K239" s="143">
        <f>VLOOKUP(Purchase[[#This Row],[Product ID]],Product[#All],6,0)</f>
        <v>20576</v>
      </c>
      <c r="L239" s="143">
        <f>Purchase[[#This Row],[Purchase Rate]]*Purchase[[#This Row],[Qty]]</f>
        <v>493824</v>
      </c>
      <c r="M239" s="140">
        <v>0</v>
      </c>
      <c r="N239" s="143">
        <v>0</v>
      </c>
      <c r="O239" s="140">
        <v>0.18</v>
      </c>
      <c r="P239" s="145">
        <f>(Purchase[[#This Row],[Gross Amount]]-Purchase[[#This Row],[Disct %]])*Purchase[[#This Row],[GST %]]</f>
        <v>88888.319999999992</v>
      </c>
      <c r="Q239" s="145">
        <f>Purchase[[#This Row],[Gross Amount]]-Purchase[[#This Row],[Disct Amnt]]+Purchase[[#This Row],[GST Amount]]</f>
        <v>582712.31999999995</v>
      </c>
      <c r="R239" s="138" t="s">
        <v>1019</v>
      </c>
      <c r="S239" s="41">
        <f>IF(Purchase[[#This Row],[Status]]="Cancelled",0,Purchase[[#This Row],[Qty]])</f>
        <v>24</v>
      </c>
      <c r="T239" s="146">
        <f>IF(Purchase[[#This Row],[Status]]="Cancelled",0,Purchase[[#This Row],[Total Amount]])</f>
        <v>582712.31999999995</v>
      </c>
      <c r="U239" s="146">
        <f>SUM(Purchase[Net Amount])</f>
        <v>814985438.68000126</v>
      </c>
    </row>
    <row r="240" spans="1:21" ht="19.5" thickBot="1" x14ac:dyDescent="0.3">
      <c r="A240" s="136" t="s">
        <v>1266</v>
      </c>
      <c r="B240" s="137">
        <v>45670</v>
      </c>
      <c r="C240" s="138" t="s">
        <v>576</v>
      </c>
      <c r="D240" s="138" t="str">
        <f>VLOOKUP(Purchase[[#This Row],[Supplier ID]],Supplier[#All],2,0)</f>
        <v>Maa Distributors</v>
      </c>
      <c r="E240" s="138">
        <f>VLOOKUP(Purchase[[#This Row],[Supplier ID]],Supplier[#All],3,0)</f>
        <v>9689542460</v>
      </c>
      <c r="F240" s="138" t="str">
        <f>VLOOKUP(Purchase[[#This Row],[Supplier ID]],Supplier[#All],4,0)</f>
        <v>Korba</v>
      </c>
      <c r="G240" s="138" t="str">
        <f>VLOOKUP(Purchase[[#This Row],[Supplier ID]],Supplier[#All],5,0)</f>
        <v>CG</v>
      </c>
      <c r="H240" s="138" t="str">
        <f>VLOOKUP(Purchase[[#This Row],[Supplier ID]],Supplier[#All],6,0)</f>
        <v>GST2154521T022</v>
      </c>
      <c r="I240" s="138" t="s">
        <v>378</v>
      </c>
      <c r="J240" s="139">
        <v>23</v>
      </c>
      <c r="K240" s="143">
        <f>VLOOKUP(Purchase[[#This Row],[Product ID]],Product[#All],6,0)</f>
        <v>3476</v>
      </c>
      <c r="L240" s="143">
        <f>Purchase[[#This Row],[Purchase Rate]]*Purchase[[#This Row],[Qty]]</f>
        <v>79948</v>
      </c>
      <c r="M240" s="140">
        <v>0</v>
      </c>
      <c r="N240" s="143">
        <v>0</v>
      </c>
      <c r="O240" s="140">
        <v>0.18</v>
      </c>
      <c r="P240" s="145">
        <f>(Purchase[[#This Row],[Gross Amount]]-Purchase[[#This Row],[Disct %]])*Purchase[[#This Row],[GST %]]</f>
        <v>14390.64</v>
      </c>
      <c r="Q240" s="145">
        <f>Purchase[[#This Row],[Gross Amount]]-Purchase[[#This Row],[Disct Amnt]]+Purchase[[#This Row],[GST Amount]]</f>
        <v>94338.64</v>
      </c>
      <c r="R240" s="138" t="s">
        <v>1019</v>
      </c>
      <c r="S240" s="41">
        <f>IF(Purchase[[#This Row],[Status]]="Cancelled",0,Purchase[[#This Row],[Qty]])</f>
        <v>23</v>
      </c>
      <c r="T240" s="146">
        <f>IF(Purchase[[#This Row],[Status]]="Cancelled",0,Purchase[[#This Row],[Total Amount]])</f>
        <v>94338.64</v>
      </c>
      <c r="U240" s="146">
        <f>SUM(Purchase[Net Amount])</f>
        <v>814985438.68000126</v>
      </c>
    </row>
    <row r="241" spans="1:21" ht="19.5" thickBot="1" x14ac:dyDescent="0.3">
      <c r="A241" s="136" t="s">
        <v>1267</v>
      </c>
      <c r="B241" s="137">
        <v>45670</v>
      </c>
      <c r="C241" s="138" t="s">
        <v>609</v>
      </c>
      <c r="D241" s="138" t="str">
        <f>VLOOKUP(Purchase[[#This Row],[Supplier ID]],Supplier[#All],2,0)</f>
        <v>Star Suppliers</v>
      </c>
      <c r="E241" s="138">
        <f>VLOOKUP(Purchase[[#This Row],[Supplier ID]],Supplier[#All],3,0)</f>
        <v>9689542492</v>
      </c>
      <c r="F241" s="138" t="str">
        <f>VLOOKUP(Purchase[[#This Row],[Supplier ID]],Supplier[#All],4,0)</f>
        <v>Kanpur</v>
      </c>
      <c r="G241" s="138" t="str">
        <f>VLOOKUP(Purchase[[#This Row],[Supplier ID]],Supplier[#All],5,0)</f>
        <v>UP</v>
      </c>
      <c r="H241" s="138" t="str">
        <f>VLOOKUP(Purchase[[#This Row],[Supplier ID]],Supplier[#All],6,0)</f>
        <v>GST2154521T054</v>
      </c>
      <c r="I241" s="138" t="s">
        <v>243</v>
      </c>
      <c r="J241" s="139">
        <v>11</v>
      </c>
      <c r="K241" s="143">
        <f>VLOOKUP(Purchase[[#This Row],[Product ID]],Product[#All],6,0)</f>
        <v>2543</v>
      </c>
      <c r="L241" s="143">
        <f>Purchase[[#This Row],[Purchase Rate]]*Purchase[[#This Row],[Qty]]</f>
        <v>27973</v>
      </c>
      <c r="M241" s="140">
        <v>0</v>
      </c>
      <c r="N241" s="143">
        <v>0</v>
      </c>
      <c r="O241" s="140">
        <v>0.18</v>
      </c>
      <c r="P241" s="145">
        <f>(Purchase[[#This Row],[Gross Amount]]-Purchase[[#This Row],[Disct %]])*Purchase[[#This Row],[GST %]]</f>
        <v>5035.1399999999994</v>
      </c>
      <c r="Q241" s="145">
        <f>Purchase[[#This Row],[Gross Amount]]-Purchase[[#This Row],[Disct Amnt]]+Purchase[[#This Row],[GST Amount]]</f>
        <v>33008.14</v>
      </c>
      <c r="R241" s="138" t="s">
        <v>1019</v>
      </c>
      <c r="S241" s="41">
        <f>IF(Purchase[[#This Row],[Status]]="Cancelled",0,Purchase[[#This Row],[Qty]])</f>
        <v>11</v>
      </c>
      <c r="T241" s="146">
        <f>IF(Purchase[[#This Row],[Status]]="Cancelled",0,Purchase[[#This Row],[Total Amount]])</f>
        <v>33008.14</v>
      </c>
      <c r="U241" s="146">
        <f>SUM(Purchase[Net Amount])</f>
        <v>814985438.68000126</v>
      </c>
    </row>
    <row r="242" spans="1:21" ht="19.5" thickBot="1" x14ac:dyDescent="0.3">
      <c r="A242" s="136" t="s">
        <v>1268</v>
      </c>
      <c r="B242" s="137">
        <v>45670</v>
      </c>
      <c r="C242" s="138" t="s">
        <v>591</v>
      </c>
      <c r="D242" s="138" t="str">
        <f>VLOOKUP(Purchase[[#This Row],[Supplier ID]],Supplier[#All],2,0)</f>
        <v>Shree Computers</v>
      </c>
      <c r="E242" s="138">
        <f>VLOOKUP(Purchase[[#This Row],[Supplier ID]],Supplier[#All],3,0)</f>
        <v>9689542475</v>
      </c>
      <c r="F242" s="138" t="str">
        <f>VLOOKUP(Purchase[[#This Row],[Supplier ID]],Supplier[#All],4,0)</f>
        <v>Indore</v>
      </c>
      <c r="G242" s="138" t="str">
        <f>VLOOKUP(Purchase[[#This Row],[Supplier ID]],Supplier[#All],5,0)</f>
        <v>MP</v>
      </c>
      <c r="H242" s="138" t="str">
        <f>VLOOKUP(Purchase[[#This Row],[Supplier ID]],Supplier[#All],6,0)</f>
        <v>GST2154521T037</v>
      </c>
      <c r="I242" s="138" t="s">
        <v>554</v>
      </c>
      <c r="J242" s="139">
        <v>31</v>
      </c>
      <c r="K242" s="143">
        <f>VLOOKUP(Purchase[[#This Row],[Product ID]],Product[#All],6,0)</f>
        <v>4950</v>
      </c>
      <c r="L242" s="143">
        <f>Purchase[[#This Row],[Purchase Rate]]*Purchase[[#This Row],[Qty]]</f>
        <v>153450</v>
      </c>
      <c r="M242" s="140">
        <v>0</v>
      </c>
      <c r="N242" s="143">
        <v>0</v>
      </c>
      <c r="O242" s="140">
        <v>0.18</v>
      </c>
      <c r="P242" s="145">
        <f>(Purchase[[#This Row],[Gross Amount]]-Purchase[[#This Row],[Disct %]])*Purchase[[#This Row],[GST %]]</f>
        <v>27621</v>
      </c>
      <c r="Q242" s="145">
        <f>Purchase[[#This Row],[Gross Amount]]-Purchase[[#This Row],[Disct Amnt]]+Purchase[[#This Row],[GST Amount]]</f>
        <v>181071</v>
      </c>
      <c r="R242" s="138" t="s">
        <v>1019</v>
      </c>
      <c r="S242" s="41">
        <f>IF(Purchase[[#This Row],[Status]]="Cancelled",0,Purchase[[#This Row],[Qty]])</f>
        <v>31</v>
      </c>
      <c r="T242" s="146">
        <f>IF(Purchase[[#This Row],[Status]]="Cancelled",0,Purchase[[#This Row],[Total Amount]])</f>
        <v>181071</v>
      </c>
      <c r="U242" s="146">
        <f>SUM(Purchase[Net Amount])</f>
        <v>814985438.68000126</v>
      </c>
    </row>
    <row r="243" spans="1:21" ht="19.5" thickBot="1" x14ac:dyDescent="0.3">
      <c r="A243" s="136" t="s">
        <v>1269</v>
      </c>
      <c r="B243" s="137">
        <v>45670</v>
      </c>
      <c r="C243" s="138" t="s">
        <v>605</v>
      </c>
      <c r="D243" s="138" t="str">
        <f>VLOOKUP(Purchase[[#This Row],[Supplier ID]],Supplier[#All],2,0)</f>
        <v>Star Traders</v>
      </c>
      <c r="E243" s="138">
        <f>VLOOKUP(Purchase[[#This Row],[Supplier ID]],Supplier[#All],3,0)</f>
        <v>9689542488</v>
      </c>
      <c r="F243" s="138" t="str">
        <f>VLOOKUP(Purchase[[#This Row],[Supplier ID]],Supplier[#All],4,0)</f>
        <v>Indore</v>
      </c>
      <c r="G243" s="138" t="str">
        <f>VLOOKUP(Purchase[[#This Row],[Supplier ID]],Supplier[#All],5,0)</f>
        <v>MP</v>
      </c>
      <c r="H243" s="138" t="str">
        <f>VLOOKUP(Purchase[[#This Row],[Supplier ID]],Supplier[#All],6,0)</f>
        <v>GST2154521T050</v>
      </c>
      <c r="I243" s="138" t="s">
        <v>396</v>
      </c>
      <c r="J243" s="139">
        <v>31</v>
      </c>
      <c r="K243" s="143">
        <f>VLOOKUP(Purchase[[#This Row],[Product ID]],Product[#All],6,0)</f>
        <v>63314</v>
      </c>
      <c r="L243" s="143">
        <f>Purchase[[#This Row],[Purchase Rate]]*Purchase[[#This Row],[Qty]]</f>
        <v>1962734</v>
      </c>
      <c r="M243" s="140">
        <v>0</v>
      </c>
      <c r="N243" s="143">
        <v>0</v>
      </c>
      <c r="O243" s="140">
        <v>0.18</v>
      </c>
      <c r="P243" s="145">
        <f>(Purchase[[#This Row],[Gross Amount]]-Purchase[[#This Row],[Disct %]])*Purchase[[#This Row],[GST %]]</f>
        <v>353292.12</v>
      </c>
      <c r="Q243" s="145">
        <f>Purchase[[#This Row],[Gross Amount]]-Purchase[[#This Row],[Disct Amnt]]+Purchase[[#This Row],[GST Amount]]</f>
        <v>2316026.12</v>
      </c>
      <c r="R243" s="138" t="s">
        <v>1019</v>
      </c>
      <c r="S243" s="41">
        <f>IF(Purchase[[#This Row],[Status]]="Cancelled",0,Purchase[[#This Row],[Qty]])</f>
        <v>31</v>
      </c>
      <c r="T243" s="146">
        <f>IF(Purchase[[#This Row],[Status]]="Cancelled",0,Purchase[[#This Row],[Total Amount]])</f>
        <v>2316026.12</v>
      </c>
      <c r="U243" s="146">
        <f>SUM(Purchase[Net Amount])</f>
        <v>814985438.68000126</v>
      </c>
    </row>
    <row r="244" spans="1:21" ht="19.5" thickBot="1" x14ac:dyDescent="0.3">
      <c r="A244" s="136" t="s">
        <v>1270</v>
      </c>
      <c r="B244" s="137">
        <v>45670</v>
      </c>
      <c r="C244" s="138" t="s">
        <v>583</v>
      </c>
      <c r="D244" s="138" t="str">
        <f>VLOOKUP(Purchase[[#This Row],[Supplier ID]],Supplier[#All],2,0)</f>
        <v>Shree Distributors</v>
      </c>
      <c r="E244" s="138">
        <f>VLOOKUP(Purchase[[#This Row],[Supplier ID]],Supplier[#All],3,0)</f>
        <v>9689542467</v>
      </c>
      <c r="F244" s="138" t="str">
        <f>VLOOKUP(Purchase[[#This Row],[Supplier ID]],Supplier[#All],4,0)</f>
        <v>Indore</v>
      </c>
      <c r="G244" s="138" t="str">
        <f>VLOOKUP(Purchase[[#This Row],[Supplier ID]],Supplier[#All],5,0)</f>
        <v>MP</v>
      </c>
      <c r="H244" s="138" t="str">
        <f>VLOOKUP(Purchase[[#This Row],[Supplier ID]],Supplier[#All],6,0)</f>
        <v>GST2154521T029</v>
      </c>
      <c r="I244" s="138" t="s">
        <v>180</v>
      </c>
      <c r="J244" s="139">
        <v>3</v>
      </c>
      <c r="K244" s="143">
        <f>VLOOKUP(Purchase[[#This Row],[Product ID]],Product[#All],6,0)</f>
        <v>9104</v>
      </c>
      <c r="L244" s="143">
        <f>Purchase[[#This Row],[Purchase Rate]]*Purchase[[#This Row],[Qty]]</f>
        <v>27312</v>
      </c>
      <c r="M244" s="140">
        <v>0</v>
      </c>
      <c r="N244" s="143">
        <v>0</v>
      </c>
      <c r="O244" s="140">
        <v>0.18</v>
      </c>
      <c r="P244" s="145">
        <f>(Purchase[[#This Row],[Gross Amount]]-Purchase[[#This Row],[Disct %]])*Purchase[[#This Row],[GST %]]</f>
        <v>4916.16</v>
      </c>
      <c r="Q244" s="145">
        <f>Purchase[[#This Row],[Gross Amount]]-Purchase[[#This Row],[Disct Amnt]]+Purchase[[#This Row],[GST Amount]]</f>
        <v>32228.16</v>
      </c>
      <c r="R244" s="138" t="s">
        <v>1019</v>
      </c>
      <c r="S244" s="41">
        <f>IF(Purchase[[#This Row],[Status]]="Cancelled",0,Purchase[[#This Row],[Qty]])</f>
        <v>3</v>
      </c>
      <c r="T244" s="146">
        <f>IF(Purchase[[#This Row],[Status]]="Cancelled",0,Purchase[[#This Row],[Total Amount]])</f>
        <v>32228.16</v>
      </c>
      <c r="U244" s="146">
        <f>SUM(Purchase[Net Amount])</f>
        <v>814985438.68000126</v>
      </c>
    </row>
    <row r="245" spans="1:21" ht="19.5" thickBot="1" x14ac:dyDescent="0.3">
      <c r="A245" s="136" t="s">
        <v>1271</v>
      </c>
      <c r="B245" s="137">
        <v>45670</v>
      </c>
      <c r="C245" s="138" t="s">
        <v>614</v>
      </c>
      <c r="D245" s="138" t="str">
        <f>VLOOKUP(Purchase[[#This Row],[Supplier ID]],Supplier[#All],2,0)</f>
        <v>National Electronics</v>
      </c>
      <c r="E245" s="138">
        <f>VLOOKUP(Purchase[[#This Row],[Supplier ID]],Supplier[#All],3,0)</f>
        <v>9689542497</v>
      </c>
      <c r="F245" s="138" t="str">
        <f>VLOOKUP(Purchase[[#This Row],[Supplier ID]],Supplier[#All],4,0)</f>
        <v>Kanpur</v>
      </c>
      <c r="G245" s="138" t="str">
        <f>VLOOKUP(Purchase[[#This Row],[Supplier ID]],Supplier[#All],5,0)</f>
        <v>UP</v>
      </c>
      <c r="H245" s="138" t="str">
        <f>VLOOKUP(Purchase[[#This Row],[Supplier ID]],Supplier[#All],6,0)</f>
        <v>GST2154521T059</v>
      </c>
      <c r="I245" s="138" t="s">
        <v>312</v>
      </c>
      <c r="J245" s="139">
        <v>10</v>
      </c>
      <c r="K245" s="143">
        <f>VLOOKUP(Purchase[[#This Row],[Product ID]],Product[#All],6,0)</f>
        <v>51220</v>
      </c>
      <c r="L245" s="143">
        <f>Purchase[[#This Row],[Purchase Rate]]*Purchase[[#This Row],[Qty]]</f>
        <v>512200</v>
      </c>
      <c r="M245" s="140">
        <v>0</v>
      </c>
      <c r="N245" s="143">
        <v>0</v>
      </c>
      <c r="O245" s="140">
        <v>0.18</v>
      </c>
      <c r="P245" s="145">
        <f>(Purchase[[#This Row],[Gross Amount]]-Purchase[[#This Row],[Disct %]])*Purchase[[#This Row],[GST %]]</f>
        <v>92196</v>
      </c>
      <c r="Q245" s="145">
        <f>Purchase[[#This Row],[Gross Amount]]-Purchase[[#This Row],[Disct Amnt]]+Purchase[[#This Row],[GST Amount]]</f>
        <v>604396</v>
      </c>
      <c r="R245" s="138" t="s">
        <v>1019</v>
      </c>
      <c r="S245" s="41">
        <f>IF(Purchase[[#This Row],[Status]]="Cancelled",0,Purchase[[#This Row],[Qty]])</f>
        <v>10</v>
      </c>
      <c r="T245" s="146">
        <f>IF(Purchase[[#This Row],[Status]]="Cancelled",0,Purchase[[#This Row],[Total Amount]])</f>
        <v>604396</v>
      </c>
      <c r="U245" s="146">
        <f>SUM(Purchase[Net Amount])</f>
        <v>814985438.68000126</v>
      </c>
    </row>
    <row r="246" spans="1:21" ht="19.5" thickBot="1" x14ac:dyDescent="0.3">
      <c r="A246" s="136" t="s">
        <v>1272</v>
      </c>
      <c r="B246" s="137">
        <v>45670</v>
      </c>
      <c r="C246" s="138" t="s">
        <v>581</v>
      </c>
      <c r="D246" s="138" t="str">
        <f>VLOOKUP(Purchase[[#This Row],[Supplier ID]],Supplier[#All],2,0)</f>
        <v>Prime Electronics</v>
      </c>
      <c r="E246" s="138">
        <f>VLOOKUP(Purchase[[#This Row],[Supplier ID]],Supplier[#All],3,0)</f>
        <v>9689542465</v>
      </c>
      <c r="F246" s="138" t="str">
        <f>VLOOKUP(Purchase[[#This Row],[Supplier ID]],Supplier[#All],4,0)</f>
        <v>Korba</v>
      </c>
      <c r="G246" s="138" t="str">
        <f>VLOOKUP(Purchase[[#This Row],[Supplier ID]],Supplier[#All],5,0)</f>
        <v>CG</v>
      </c>
      <c r="H246" s="138" t="str">
        <f>VLOOKUP(Purchase[[#This Row],[Supplier ID]],Supplier[#All],6,0)</f>
        <v>GST2154521T027</v>
      </c>
      <c r="I246" s="138" t="s">
        <v>486</v>
      </c>
      <c r="J246" s="139">
        <v>12</v>
      </c>
      <c r="K246" s="143">
        <f>VLOOKUP(Purchase[[#This Row],[Product ID]],Product[#All],6,0)</f>
        <v>1345</v>
      </c>
      <c r="L246" s="143">
        <f>Purchase[[#This Row],[Purchase Rate]]*Purchase[[#This Row],[Qty]]</f>
        <v>16140</v>
      </c>
      <c r="M246" s="140">
        <v>0</v>
      </c>
      <c r="N246" s="143">
        <v>0</v>
      </c>
      <c r="O246" s="140">
        <v>0.18</v>
      </c>
      <c r="P246" s="145">
        <f>(Purchase[[#This Row],[Gross Amount]]-Purchase[[#This Row],[Disct %]])*Purchase[[#This Row],[GST %]]</f>
        <v>2905.2</v>
      </c>
      <c r="Q246" s="145">
        <f>Purchase[[#This Row],[Gross Amount]]-Purchase[[#This Row],[Disct Amnt]]+Purchase[[#This Row],[GST Amount]]</f>
        <v>19045.2</v>
      </c>
      <c r="R246" s="138" t="s">
        <v>1019</v>
      </c>
      <c r="S246" s="41">
        <f>IF(Purchase[[#This Row],[Status]]="Cancelled",0,Purchase[[#This Row],[Qty]])</f>
        <v>12</v>
      </c>
      <c r="T246" s="146">
        <f>IF(Purchase[[#This Row],[Status]]="Cancelled",0,Purchase[[#This Row],[Total Amount]])</f>
        <v>19045.2</v>
      </c>
      <c r="U246" s="146">
        <f>SUM(Purchase[Net Amount])</f>
        <v>814985438.68000126</v>
      </c>
    </row>
    <row r="247" spans="1:21" ht="19.5" thickBot="1" x14ac:dyDescent="0.3">
      <c r="A247" s="136" t="s">
        <v>1273</v>
      </c>
      <c r="B247" s="137">
        <v>45670</v>
      </c>
      <c r="C247" s="138" t="s">
        <v>565</v>
      </c>
      <c r="D247" s="138" t="str">
        <f>VLOOKUP(Purchase[[#This Row],[Supplier ID]],Supplier[#All],2,0)</f>
        <v>Global Suppliers</v>
      </c>
      <c r="E247" s="138">
        <f>VLOOKUP(Purchase[[#This Row],[Supplier ID]],Supplier[#All],3,0)</f>
        <v>9689542459</v>
      </c>
      <c r="F247" s="138" t="str">
        <f>VLOOKUP(Purchase[[#This Row],[Supplier ID]],Supplier[#All],4,0)</f>
        <v>Indore</v>
      </c>
      <c r="G247" s="138" t="str">
        <f>VLOOKUP(Purchase[[#This Row],[Supplier ID]],Supplier[#All],5,0)</f>
        <v>MP</v>
      </c>
      <c r="H247" s="138" t="str">
        <f>VLOOKUP(Purchase[[#This Row],[Supplier ID]],Supplier[#All],6,0)</f>
        <v>GST2154521T013</v>
      </c>
      <c r="I247" s="138" t="s">
        <v>406</v>
      </c>
      <c r="J247" s="139">
        <v>29</v>
      </c>
      <c r="K247" s="143">
        <f>VLOOKUP(Purchase[[#This Row],[Product ID]],Product[#All],6,0)</f>
        <v>1517</v>
      </c>
      <c r="L247" s="143">
        <f>Purchase[[#This Row],[Purchase Rate]]*Purchase[[#This Row],[Qty]]</f>
        <v>43993</v>
      </c>
      <c r="M247" s="140">
        <v>0</v>
      </c>
      <c r="N247" s="143">
        <v>0</v>
      </c>
      <c r="O247" s="140">
        <v>0.18</v>
      </c>
      <c r="P247" s="145">
        <f>(Purchase[[#This Row],[Gross Amount]]-Purchase[[#This Row],[Disct %]])*Purchase[[#This Row],[GST %]]</f>
        <v>7918.74</v>
      </c>
      <c r="Q247" s="145">
        <f>Purchase[[#This Row],[Gross Amount]]-Purchase[[#This Row],[Disct Amnt]]+Purchase[[#This Row],[GST Amount]]</f>
        <v>51911.74</v>
      </c>
      <c r="R247" s="138" t="s">
        <v>1019</v>
      </c>
      <c r="S247" s="41">
        <f>IF(Purchase[[#This Row],[Status]]="Cancelled",0,Purchase[[#This Row],[Qty]])</f>
        <v>29</v>
      </c>
      <c r="T247" s="146">
        <f>IF(Purchase[[#This Row],[Status]]="Cancelled",0,Purchase[[#This Row],[Total Amount]])</f>
        <v>51911.74</v>
      </c>
      <c r="U247" s="146">
        <f>SUM(Purchase[Net Amount])</f>
        <v>814985438.68000126</v>
      </c>
    </row>
    <row r="248" spans="1:21" ht="19.5" thickBot="1" x14ac:dyDescent="0.3">
      <c r="A248" s="136" t="s">
        <v>1274</v>
      </c>
      <c r="B248" s="137">
        <v>45670</v>
      </c>
      <c r="C248" s="138" t="s">
        <v>594</v>
      </c>
      <c r="D248" s="138" t="str">
        <f>VLOOKUP(Purchase[[#This Row],[Supplier ID]],Supplier[#All],2,0)</f>
        <v>Shree Suppliers</v>
      </c>
      <c r="E248" s="138">
        <f>VLOOKUP(Purchase[[#This Row],[Supplier ID]],Supplier[#All],3,0)</f>
        <v>9689542477</v>
      </c>
      <c r="F248" s="138" t="str">
        <f>VLOOKUP(Purchase[[#This Row],[Supplier ID]],Supplier[#All],4,0)</f>
        <v>Indore</v>
      </c>
      <c r="G248" s="138" t="str">
        <f>VLOOKUP(Purchase[[#This Row],[Supplier ID]],Supplier[#All],5,0)</f>
        <v>MP</v>
      </c>
      <c r="H248" s="138" t="str">
        <f>VLOOKUP(Purchase[[#This Row],[Supplier ID]],Supplier[#All],6,0)</f>
        <v>GST2154521T039</v>
      </c>
      <c r="I248" s="138" t="s">
        <v>33</v>
      </c>
      <c r="J248" s="139">
        <v>9</v>
      </c>
      <c r="K248" s="143">
        <f>VLOOKUP(Purchase[[#This Row],[Product ID]],Product[#All],6,0)</f>
        <v>8458</v>
      </c>
      <c r="L248" s="143">
        <f>Purchase[[#This Row],[Purchase Rate]]*Purchase[[#This Row],[Qty]]</f>
        <v>76122</v>
      </c>
      <c r="M248" s="140">
        <v>0</v>
      </c>
      <c r="N248" s="143">
        <v>0</v>
      </c>
      <c r="O248" s="140">
        <v>0.18</v>
      </c>
      <c r="P248" s="145">
        <f>(Purchase[[#This Row],[Gross Amount]]-Purchase[[#This Row],[Disct %]])*Purchase[[#This Row],[GST %]]</f>
        <v>13701.96</v>
      </c>
      <c r="Q248" s="145">
        <f>Purchase[[#This Row],[Gross Amount]]-Purchase[[#This Row],[Disct Amnt]]+Purchase[[#This Row],[GST Amount]]</f>
        <v>89823.959999999992</v>
      </c>
      <c r="R248" s="138" t="s">
        <v>1019</v>
      </c>
      <c r="S248" s="41">
        <f>IF(Purchase[[#This Row],[Status]]="Cancelled",0,Purchase[[#This Row],[Qty]])</f>
        <v>9</v>
      </c>
      <c r="T248" s="146">
        <f>IF(Purchase[[#This Row],[Status]]="Cancelled",0,Purchase[[#This Row],[Total Amount]])</f>
        <v>89823.959999999992</v>
      </c>
      <c r="U248" s="146">
        <f>SUM(Purchase[Net Amount])</f>
        <v>814985438.68000126</v>
      </c>
    </row>
    <row r="249" spans="1:21" ht="19.5" thickBot="1" x14ac:dyDescent="0.3">
      <c r="A249" s="136" t="s">
        <v>1275</v>
      </c>
      <c r="B249" s="137">
        <v>45670</v>
      </c>
      <c r="C249" s="138" t="s">
        <v>609</v>
      </c>
      <c r="D249" s="138" t="str">
        <f>VLOOKUP(Purchase[[#This Row],[Supplier ID]],Supplier[#All],2,0)</f>
        <v>Star Suppliers</v>
      </c>
      <c r="E249" s="138">
        <f>VLOOKUP(Purchase[[#This Row],[Supplier ID]],Supplier[#All],3,0)</f>
        <v>9689542492</v>
      </c>
      <c r="F249" s="138" t="str">
        <f>VLOOKUP(Purchase[[#This Row],[Supplier ID]],Supplier[#All],4,0)</f>
        <v>Kanpur</v>
      </c>
      <c r="G249" s="138" t="str">
        <f>VLOOKUP(Purchase[[#This Row],[Supplier ID]],Supplier[#All],5,0)</f>
        <v>UP</v>
      </c>
      <c r="H249" s="138" t="str">
        <f>VLOOKUP(Purchase[[#This Row],[Supplier ID]],Supplier[#All],6,0)</f>
        <v>GST2154521T054</v>
      </c>
      <c r="I249" s="138" t="s">
        <v>370</v>
      </c>
      <c r="J249" s="139">
        <v>26</v>
      </c>
      <c r="K249" s="143">
        <f>VLOOKUP(Purchase[[#This Row],[Product ID]],Product[#All],6,0)</f>
        <v>19276</v>
      </c>
      <c r="L249" s="143">
        <f>Purchase[[#This Row],[Purchase Rate]]*Purchase[[#This Row],[Qty]]</f>
        <v>501176</v>
      </c>
      <c r="M249" s="140">
        <v>0</v>
      </c>
      <c r="N249" s="143">
        <v>0</v>
      </c>
      <c r="O249" s="140">
        <v>0.18</v>
      </c>
      <c r="P249" s="145">
        <f>(Purchase[[#This Row],[Gross Amount]]-Purchase[[#This Row],[Disct %]])*Purchase[[#This Row],[GST %]]</f>
        <v>90211.68</v>
      </c>
      <c r="Q249" s="145">
        <f>Purchase[[#This Row],[Gross Amount]]-Purchase[[#This Row],[Disct Amnt]]+Purchase[[#This Row],[GST Amount]]</f>
        <v>591387.67999999993</v>
      </c>
      <c r="R249" s="138" t="s">
        <v>1019</v>
      </c>
      <c r="S249" s="41">
        <f>IF(Purchase[[#This Row],[Status]]="Cancelled",0,Purchase[[#This Row],[Qty]])</f>
        <v>26</v>
      </c>
      <c r="T249" s="146">
        <f>IF(Purchase[[#This Row],[Status]]="Cancelled",0,Purchase[[#This Row],[Total Amount]])</f>
        <v>591387.67999999993</v>
      </c>
      <c r="U249" s="146">
        <f>SUM(Purchase[Net Amount])</f>
        <v>814985438.68000126</v>
      </c>
    </row>
    <row r="250" spans="1:21" ht="19.5" thickBot="1" x14ac:dyDescent="0.3">
      <c r="A250" s="136" t="s">
        <v>1276</v>
      </c>
      <c r="B250" s="137">
        <v>45670</v>
      </c>
      <c r="C250" s="138" t="s">
        <v>590</v>
      </c>
      <c r="D250" s="138" t="str">
        <f>VLOOKUP(Purchase[[#This Row],[Supplier ID]],Supplier[#All],2,0)</f>
        <v>Star Distributors</v>
      </c>
      <c r="E250" s="138">
        <f>VLOOKUP(Purchase[[#This Row],[Supplier ID]],Supplier[#All],3,0)</f>
        <v>9689542474</v>
      </c>
      <c r="F250" s="138" t="str">
        <f>VLOOKUP(Purchase[[#This Row],[Supplier ID]],Supplier[#All],4,0)</f>
        <v>Kanpur</v>
      </c>
      <c r="G250" s="138" t="str">
        <f>VLOOKUP(Purchase[[#This Row],[Supplier ID]],Supplier[#All],5,0)</f>
        <v>UP</v>
      </c>
      <c r="H250" s="138" t="str">
        <f>VLOOKUP(Purchase[[#This Row],[Supplier ID]],Supplier[#All],6,0)</f>
        <v>GST2154521T036</v>
      </c>
      <c r="I250" s="138" t="s">
        <v>135</v>
      </c>
      <c r="J250" s="139">
        <v>3</v>
      </c>
      <c r="K250" s="143">
        <f>VLOOKUP(Purchase[[#This Row],[Product ID]],Product[#All],6,0)</f>
        <v>2681</v>
      </c>
      <c r="L250" s="143">
        <f>Purchase[[#This Row],[Purchase Rate]]*Purchase[[#This Row],[Qty]]</f>
        <v>8043</v>
      </c>
      <c r="M250" s="140">
        <v>0</v>
      </c>
      <c r="N250" s="143">
        <v>0</v>
      </c>
      <c r="O250" s="140">
        <v>0.18</v>
      </c>
      <c r="P250" s="145">
        <f>(Purchase[[#This Row],[Gross Amount]]-Purchase[[#This Row],[Disct %]])*Purchase[[#This Row],[GST %]]</f>
        <v>1447.74</v>
      </c>
      <c r="Q250" s="145">
        <f>Purchase[[#This Row],[Gross Amount]]-Purchase[[#This Row],[Disct Amnt]]+Purchase[[#This Row],[GST Amount]]</f>
        <v>9490.74</v>
      </c>
      <c r="R250" s="138" t="s">
        <v>1040</v>
      </c>
      <c r="S250" s="41">
        <f>IF(Purchase[[#This Row],[Status]]="Cancelled",0,Purchase[[#This Row],[Qty]])</f>
        <v>0</v>
      </c>
      <c r="T250" s="146">
        <f>IF(Purchase[[#This Row],[Status]]="Cancelled",0,Purchase[[#This Row],[Total Amount]])</f>
        <v>0</v>
      </c>
      <c r="U250" s="146">
        <f>SUM(Purchase[Net Amount])</f>
        <v>814985438.68000126</v>
      </c>
    </row>
    <row r="251" spans="1:21" ht="19.5" thickBot="1" x14ac:dyDescent="0.3">
      <c r="A251" s="136" t="s">
        <v>1277</v>
      </c>
      <c r="B251" s="137">
        <v>45670</v>
      </c>
      <c r="C251" s="138" t="s">
        <v>581</v>
      </c>
      <c r="D251" s="138" t="str">
        <f>VLOOKUP(Purchase[[#This Row],[Supplier ID]],Supplier[#All],2,0)</f>
        <v>Prime Electronics</v>
      </c>
      <c r="E251" s="138">
        <f>VLOOKUP(Purchase[[#This Row],[Supplier ID]],Supplier[#All],3,0)</f>
        <v>9689542465</v>
      </c>
      <c r="F251" s="138" t="str">
        <f>VLOOKUP(Purchase[[#This Row],[Supplier ID]],Supplier[#All],4,0)</f>
        <v>Korba</v>
      </c>
      <c r="G251" s="138" t="str">
        <f>VLOOKUP(Purchase[[#This Row],[Supplier ID]],Supplier[#All],5,0)</f>
        <v>CG</v>
      </c>
      <c r="H251" s="138" t="str">
        <f>VLOOKUP(Purchase[[#This Row],[Supplier ID]],Supplier[#All],6,0)</f>
        <v>GST2154521T027</v>
      </c>
      <c r="I251" s="138" t="s">
        <v>419</v>
      </c>
      <c r="J251" s="139">
        <v>38</v>
      </c>
      <c r="K251" s="143">
        <f>VLOOKUP(Purchase[[#This Row],[Product ID]],Product[#All],6,0)</f>
        <v>7279</v>
      </c>
      <c r="L251" s="143">
        <f>Purchase[[#This Row],[Purchase Rate]]*Purchase[[#This Row],[Qty]]</f>
        <v>276602</v>
      </c>
      <c r="M251" s="140">
        <v>0</v>
      </c>
      <c r="N251" s="143">
        <v>0</v>
      </c>
      <c r="O251" s="140">
        <v>0.18</v>
      </c>
      <c r="P251" s="145">
        <f>(Purchase[[#This Row],[Gross Amount]]-Purchase[[#This Row],[Disct %]])*Purchase[[#This Row],[GST %]]</f>
        <v>49788.36</v>
      </c>
      <c r="Q251" s="145">
        <f>Purchase[[#This Row],[Gross Amount]]-Purchase[[#This Row],[Disct Amnt]]+Purchase[[#This Row],[GST Amount]]</f>
        <v>326390.36</v>
      </c>
      <c r="R251" s="138" t="s">
        <v>1019</v>
      </c>
      <c r="S251" s="41">
        <f>IF(Purchase[[#This Row],[Status]]="Cancelled",0,Purchase[[#This Row],[Qty]])</f>
        <v>38</v>
      </c>
      <c r="T251" s="146">
        <f>IF(Purchase[[#This Row],[Status]]="Cancelled",0,Purchase[[#This Row],[Total Amount]])</f>
        <v>326390.36</v>
      </c>
      <c r="U251" s="146">
        <f>SUM(Purchase[Net Amount])</f>
        <v>814985438.68000126</v>
      </c>
    </row>
    <row r="252" spans="1:21" ht="19.5" thickBot="1" x14ac:dyDescent="0.3">
      <c r="A252" s="136" t="s">
        <v>1278</v>
      </c>
      <c r="B252" s="137">
        <v>45670</v>
      </c>
      <c r="C252" s="138" t="s">
        <v>1279</v>
      </c>
      <c r="D252" s="138" t="str">
        <f>VLOOKUP(Purchase[[#This Row],[Supplier ID]],Supplier[#All],2,0)</f>
        <v>National Distributors</v>
      </c>
      <c r="E252" s="138">
        <f>VLOOKUP(Purchase[[#This Row],[Supplier ID]],Supplier[#All],3,0)</f>
        <v>9689542494</v>
      </c>
      <c r="F252" s="138" t="str">
        <f>VLOOKUP(Purchase[[#This Row],[Supplier ID]],Supplier[#All],4,0)</f>
        <v>Korba</v>
      </c>
      <c r="G252" s="138" t="str">
        <f>VLOOKUP(Purchase[[#This Row],[Supplier ID]],Supplier[#All],5,0)</f>
        <v>CG</v>
      </c>
      <c r="H252" s="138" t="str">
        <f>VLOOKUP(Purchase[[#This Row],[Supplier ID]],Supplier[#All],6,0)</f>
        <v>GST2154521T056</v>
      </c>
      <c r="I252" s="138" t="s">
        <v>312</v>
      </c>
      <c r="J252" s="139">
        <v>12</v>
      </c>
      <c r="K252" s="143">
        <f>VLOOKUP(Purchase[[#This Row],[Product ID]],Product[#All],6,0)</f>
        <v>51220</v>
      </c>
      <c r="L252" s="143">
        <f>Purchase[[#This Row],[Purchase Rate]]*Purchase[[#This Row],[Qty]]</f>
        <v>614640</v>
      </c>
      <c r="M252" s="140">
        <v>0</v>
      </c>
      <c r="N252" s="143">
        <v>0</v>
      </c>
      <c r="O252" s="140">
        <v>0.18</v>
      </c>
      <c r="P252" s="145">
        <f>(Purchase[[#This Row],[Gross Amount]]-Purchase[[#This Row],[Disct %]])*Purchase[[#This Row],[GST %]]</f>
        <v>110635.2</v>
      </c>
      <c r="Q252" s="145">
        <f>Purchase[[#This Row],[Gross Amount]]-Purchase[[#This Row],[Disct Amnt]]+Purchase[[#This Row],[GST Amount]]</f>
        <v>725275.2</v>
      </c>
      <c r="R252" s="138" t="s">
        <v>1019</v>
      </c>
      <c r="S252" s="41">
        <f>IF(Purchase[[#This Row],[Status]]="Cancelled",0,Purchase[[#This Row],[Qty]])</f>
        <v>12</v>
      </c>
      <c r="T252" s="146">
        <f>IF(Purchase[[#This Row],[Status]]="Cancelled",0,Purchase[[#This Row],[Total Amount]])</f>
        <v>725275.2</v>
      </c>
      <c r="U252" s="146">
        <f>SUM(Purchase[Net Amount])</f>
        <v>814985438.68000126</v>
      </c>
    </row>
    <row r="253" spans="1:21" ht="19.5" thickBot="1" x14ac:dyDescent="0.3">
      <c r="A253" s="136" t="s">
        <v>1280</v>
      </c>
      <c r="B253" s="137">
        <v>45670</v>
      </c>
      <c r="C253" s="138" t="s">
        <v>565</v>
      </c>
      <c r="D253" s="138" t="str">
        <f>VLOOKUP(Purchase[[#This Row],[Supplier ID]],Supplier[#All],2,0)</f>
        <v>Global Suppliers</v>
      </c>
      <c r="E253" s="138">
        <f>VLOOKUP(Purchase[[#This Row],[Supplier ID]],Supplier[#All],3,0)</f>
        <v>9689542459</v>
      </c>
      <c r="F253" s="138" t="str">
        <f>VLOOKUP(Purchase[[#This Row],[Supplier ID]],Supplier[#All],4,0)</f>
        <v>Indore</v>
      </c>
      <c r="G253" s="138" t="str">
        <f>VLOOKUP(Purchase[[#This Row],[Supplier ID]],Supplier[#All],5,0)</f>
        <v>MP</v>
      </c>
      <c r="H253" s="138" t="str">
        <f>VLOOKUP(Purchase[[#This Row],[Supplier ID]],Supplier[#All],6,0)</f>
        <v>GST2154521T013</v>
      </c>
      <c r="I253" s="138" t="s">
        <v>157</v>
      </c>
      <c r="J253" s="139">
        <v>34</v>
      </c>
      <c r="K253" s="143">
        <f>VLOOKUP(Purchase[[#This Row],[Product ID]],Product[#All],6,0)</f>
        <v>10034</v>
      </c>
      <c r="L253" s="143">
        <f>Purchase[[#This Row],[Purchase Rate]]*Purchase[[#This Row],[Qty]]</f>
        <v>341156</v>
      </c>
      <c r="M253" s="140">
        <v>0</v>
      </c>
      <c r="N253" s="143">
        <v>0</v>
      </c>
      <c r="O253" s="140">
        <v>0.18</v>
      </c>
      <c r="P253" s="145">
        <f>(Purchase[[#This Row],[Gross Amount]]-Purchase[[#This Row],[Disct %]])*Purchase[[#This Row],[GST %]]</f>
        <v>61408.079999999994</v>
      </c>
      <c r="Q253" s="145">
        <f>Purchase[[#This Row],[Gross Amount]]-Purchase[[#This Row],[Disct Amnt]]+Purchase[[#This Row],[GST Amount]]</f>
        <v>402564.08</v>
      </c>
      <c r="R253" s="138" t="s">
        <v>1019</v>
      </c>
      <c r="S253" s="41">
        <f>IF(Purchase[[#This Row],[Status]]="Cancelled",0,Purchase[[#This Row],[Qty]])</f>
        <v>34</v>
      </c>
      <c r="T253" s="146">
        <f>IF(Purchase[[#This Row],[Status]]="Cancelled",0,Purchase[[#This Row],[Total Amount]])</f>
        <v>402564.08</v>
      </c>
      <c r="U253" s="146">
        <f>SUM(Purchase[Net Amount])</f>
        <v>814985438.68000126</v>
      </c>
    </row>
    <row r="254" spans="1:21" ht="19.5" thickBot="1" x14ac:dyDescent="0.3">
      <c r="A254" s="136" t="s">
        <v>1281</v>
      </c>
      <c r="B254" s="137">
        <v>45670</v>
      </c>
      <c r="C254" s="138" t="s">
        <v>608</v>
      </c>
      <c r="D254" s="138" t="str">
        <f>VLOOKUP(Purchase[[#This Row],[Supplier ID]],Supplier[#All],2,0)</f>
        <v>Global Suppliers</v>
      </c>
      <c r="E254" s="138">
        <f>VLOOKUP(Purchase[[#This Row],[Supplier ID]],Supplier[#All],3,0)</f>
        <v>9689542499</v>
      </c>
      <c r="F254" s="138" t="str">
        <f>VLOOKUP(Purchase[[#This Row],[Supplier ID]],Supplier[#All],4,0)</f>
        <v>Korba</v>
      </c>
      <c r="G254" s="138" t="str">
        <f>VLOOKUP(Purchase[[#This Row],[Supplier ID]],Supplier[#All],5,0)</f>
        <v>CG</v>
      </c>
      <c r="H254" s="138" t="str">
        <f>VLOOKUP(Purchase[[#This Row],[Supplier ID]],Supplier[#All],6,0)</f>
        <v>GST2154521T053</v>
      </c>
      <c r="I254" s="138" t="s">
        <v>377</v>
      </c>
      <c r="J254" s="139">
        <v>34</v>
      </c>
      <c r="K254" s="143">
        <f>VLOOKUP(Purchase[[#This Row],[Product ID]],Product[#All],6,0)</f>
        <v>54386</v>
      </c>
      <c r="L254" s="143">
        <f>Purchase[[#This Row],[Purchase Rate]]*Purchase[[#This Row],[Qty]]</f>
        <v>1849124</v>
      </c>
      <c r="M254" s="140">
        <v>0</v>
      </c>
      <c r="N254" s="143">
        <v>0</v>
      </c>
      <c r="O254" s="140">
        <v>0.18</v>
      </c>
      <c r="P254" s="145">
        <f>(Purchase[[#This Row],[Gross Amount]]-Purchase[[#This Row],[Disct %]])*Purchase[[#This Row],[GST %]]</f>
        <v>332842.32</v>
      </c>
      <c r="Q254" s="145">
        <f>Purchase[[#This Row],[Gross Amount]]-Purchase[[#This Row],[Disct Amnt]]+Purchase[[#This Row],[GST Amount]]</f>
        <v>2181966.3199999998</v>
      </c>
      <c r="R254" s="138" t="s">
        <v>1019</v>
      </c>
      <c r="S254" s="41">
        <f>IF(Purchase[[#This Row],[Status]]="Cancelled",0,Purchase[[#This Row],[Qty]])</f>
        <v>34</v>
      </c>
      <c r="T254" s="146">
        <f>IF(Purchase[[#This Row],[Status]]="Cancelled",0,Purchase[[#This Row],[Total Amount]])</f>
        <v>2181966.3199999998</v>
      </c>
      <c r="U254" s="146">
        <f>SUM(Purchase[Net Amount])</f>
        <v>814985438.68000126</v>
      </c>
    </row>
    <row r="255" spans="1:21" ht="19.5" thickBot="1" x14ac:dyDescent="0.3">
      <c r="A255" s="136" t="s">
        <v>1282</v>
      </c>
      <c r="B255" s="137">
        <v>45670</v>
      </c>
      <c r="C255" s="138" t="s">
        <v>573</v>
      </c>
      <c r="D255" s="138" t="str">
        <f>VLOOKUP(Purchase[[#This Row],[Supplier ID]],Supplier[#All],2,0)</f>
        <v>Shree Traders</v>
      </c>
      <c r="E255" s="138">
        <f>VLOOKUP(Purchase[[#This Row],[Supplier ID]],Supplier[#All],3,0)</f>
        <v>9689542458</v>
      </c>
      <c r="F255" s="138" t="str">
        <f>VLOOKUP(Purchase[[#This Row],[Supplier ID]],Supplier[#All],4,0)</f>
        <v>Korba</v>
      </c>
      <c r="G255" s="138" t="str">
        <f>VLOOKUP(Purchase[[#This Row],[Supplier ID]],Supplier[#All],5,0)</f>
        <v>CG</v>
      </c>
      <c r="H255" s="138" t="str">
        <f>VLOOKUP(Purchase[[#This Row],[Supplier ID]],Supplier[#All],6,0)</f>
        <v>GST2154521T020</v>
      </c>
      <c r="I255" s="138" t="s">
        <v>464</v>
      </c>
      <c r="J255" s="139">
        <v>30</v>
      </c>
      <c r="K255" s="143">
        <f>VLOOKUP(Purchase[[#This Row],[Product ID]],Product[#All],6,0)</f>
        <v>22348</v>
      </c>
      <c r="L255" s="143">
        <f>Purchase[[#This Row],[Purchase Rate]]*Purchase[[#This Row],[Qty]]</f>
        <v>670440</v>
      </c>
      <c r="M255" s="140">
        <v>0</v>
      </c>
      <c r="N255" s="143">
        <v>0</v>
      </c>
      <c r="O255" s="140">
        <v>0.18</v>
      </c>
      <c r="P255" s="145">
        <f>(Purchase[[#This Row],[Gross Amount]]-Purchase[[#This Row],[Disct %]])*Purchase[[#This Row],[GST %]]</f>
        <v>120679.2</v>
      </c>
      <c r="Q255" s="145">
        <f>Purchase[[#This Row],[Gross Amount]]-Purchase[[#This Row],[Disct Amnt]]+Purchase[[#This Row],[GST Amount]]</f>
        <v>791119.2</v>
      </c>
      <c r="R255" s="138" t="s">
        <v>1019</v>
      </c>
      <c r="S255" s="41">
        <f>IF(Purchase[[#This Row],[Status]]="Cancelled",0,Purchase[[#This Row],[Qty]])</f>
        <v>30</v>
      </c>
      <c r="T255" s="146">
        <f>IF(Purchase[[#This Row],[Status]]="Cancelled",0,Purchase[[#This Row],[Total Amount]])</f>
        <v>791119.2</v>
      </c>
      <c r="U255" s="146">
        <f>SUM(Purchase[Net Amount])</f>
        <v>814985438.68000126</v>
      </c>
    </row>
    <row r="256" spans="1:21" ht="19.5" thickBot="1" x14ac:dyDescent="0.3">
      <c r="A256" s="136" t="s">
        <v>1283</v>
      </c>
      <c r="B256" s="137">
        <v>45670</v>
      </c>
      <c r="C256" s="138" t="s">
        <v>607</v>
      </c>
      <c r="D256" s="138" t="str">
        <f>VLOOKUP(Purchase[[#This Row],[Supplier ID]],Supplier[#All],2,0)</f>
        <v>Global Distributors</v>
      </c>
      <c r="E256" s="138">
        <f>VLOOKUP(Purchase[[#This Row],[Supplier ID]],Supplier[#All],3,0)</f>
        <v>9689542490</v>
      </c>
      <c r="F256" s="138" t="str">
        <f>VLOOKUP(Purchase[[#This Row],[Supplier ID]],Supplier[#All],4,0)</f>
        <v>Kanpur</v>
      </c>
      <c r="G256" s="138" t="str">
        <f>VLOOKUP(Purchase[[#This Row],[Supplier ID]],Supplier[#All],5,0)</f>
        <v>UP</v>
      </c>
      <c r="H256" s="138" t="str">
        <f>VLOOKUP(Purchase[[#This Row],[Supplier ID]],Supplier[#All],6,0)</f>
        <v>GST2154521T052</v>
      </c>
      <c r="I256" s="138" t="s">
        <v>550</v>
      </c>
      <c r="J256" s="139">
        <v>17</v>
      </c>
      <c r="K256" s="143">
        <f>VLOOKUP(Purchase[[#This Row],[Product ID]],Product[#All],6,0)</f>
        <v>1122</v>
      </c>
      <c r="L256" s="143">
        <f>Purchase[[#This Row],[Purchase Rate]]*Purchase[[#This Row],[Qty]]</f>
        <v>19074</v>
      </c>
      <c r="M256" s="140">
        <v>0</v>
      </c>
      <c r="N256" s="143">
        <v>0</v>
      </c>
      <c r="O256" s="140">
        <v>0.18</v>
      </c>
      <c r="P256" s="145">
        <f>(Purchase[[#This Row],[Gross Amount]]-Purchase[[#This Row],[Disct %]])*Purchase[[#This Row],[GST %]]</f>
        <v>3433.3199999999997</v>
      </c>
      <c r="Q256" s="145">
        <f>Purchase[[#This Row],[Gross Amount]]-Purchase[[#This Row],[Disct Amnt]]+Purchase[[#This Row],[GST Amount]]</f>
        <v>22507.32</v>
      </c>
      <c r="R256" s="138" t="s">
        <v>1019</v>
      </c>
      <c r="S256" s="41">
        <f>IF(Purchase[[#This Row],[Status]]="Cancelled",0,Purchase[[#This Row],[Qty]])</f>
        <v>17</v>
      </c>
      <c r="T256" s="146">
        <f>IF(Purchase[[#This Row],[Status]]="Cancelled",0,Purchase[[#This Row],[Total Amount]])</f>
        <v>22507.32</v>
      </c>
      <c r="U256" s="146">
        <f>SUM(Purchase[Net Amount])</f>
        <v>814985438.68000126</v>
      </c>
    </row>
    <row r="257" spans="1:21" ht="19.5" thickBot="1" x14ac:dyDescent="0.3">
      <c r="A257" s="136" t="s">
        <v>1284</v>
      </c>
      <c r="B257" s="137">
        <v>45670</v>
      </c>
      <c r="C257" s="138" t="s">
        <v>586</v>
      </c>
      <c r="D257" s="138" t="str">
        <f>VLOOKUP(Purchase[[#This Row],[Supplier ID]],Supplier[#All],2,0)</f>
        <v>Maa Traders</v>
      </c>
      <c r="E257" s="138">
        <f>VLOOKUP(Purchase[[#This Row],[Supplier ID]],Supplier[#All],3,0)</f>
        <v>9689542470</v>
      </c>
      <c r="F257" s="138" t="str">
        <f>VLOOKUP(Purchase[[#This Row],[Supplier ID]],Supplier[#All],4,0)</f>
        <v>Kanpur</v>
      </c>
      <c r="G257" s="138" t="str">
        <f>VLOOKUP(Purchase[[#This Row],[Supplier ID]],Supplier[#All],5,0)</f>
        <v>UP</v>
      </c>
      <c r="H257" s="138" t="str">
        <f>VLOOKUP(Purchase[[#This Row],[Supplier ID]],Supplier[#All],6,0)</f>
        <v>GST2154521T032</v>
      </c>
      <c r="I257" s="138" t="s">
        <v>453</v>
      </c>
      <c r="J257" s="139">
        <v>9</v>
      </c>
      <c r="K257" s="143">
        <f>VLOOKUP(Purchase[[#This Row],[Product ID]],Product[#All],6,0)</f>
        <v>2343</v>
      </c>
      <c r="L257" s="143">
        <f>Purchase[[#This Row],[Purchase Rate]]*Purchase[[#This Row],[Qty]]</f>
        <v>21087</v>
      </c>
      <c r="M257" s="140">
        <v>0</v>
      </c>
      <c r="N257" s="143">
        <v>0</v>
      </c>
      <c r="O257" s="140">
        <v>0.18</v>
      </c>
      <c r="P257" s="145">
        <f>(Purchase[[#This Row],[Gross Amount]]-Purchase[[#This Row],[Disct %]])*Purchase[[#This Row],[GST %]]</f>
        <v>3795.66</v>
      </c>
      <c r="Q257" s="145">
        <f>Purchase[[#This Row],[Gross Amount]]-Purchase[[#This Row],[Disct Amnt]]+Purchase[[#This Row],[GST Amount]]</f>
        <v>24882.66</v>
      </c>
      <c r="R257" s="138" t="s">
        <v>1019</v>
      </c>
      <c r="S257" s="41">
        <f>IF(Purchase[[#This Row],[Status]]="Cancelled",0,Purchase[[#This Row],[Qty]])</f>
        <v>9</v>
      </c>
      <c r="T257" s="146">
        <f>IF(Purchase[[#This Row],[Status]]="Cancelled",0,Purchase[[#This Row],[Total Amount]])</f>
        <v>24882.66</v>
      </c>
      <c r="U257" s="146">
        <f>SUM(Purchase[Net Amount])</f>
        <v>814985438.68000126</v>
      </c>
    </row>
    <row r="258" spans="1:21" ht="19.5" thickBot="1" x14ac:dyDescent="0.3">
      <c r="A258" s="136" t="s">
        <v>1285</v>
      </c>
      <c r="B258" s="137">
        <v>45670</v>
      </c>
      <c r="C258" s="138" t="s">
        <v>602</v>
      </c>
      <c r="D258" s="138" t="str">
        <f>VLOOKUP(Purchase[[#This Row],[Supplier ID]],Supplier[#All],2,0)</f>
        <v>Maa Computers</v>
      </c>
      <c r="E258" s="138">
        <f>VLOOKUP(Purchase[[#This Row],[Supplier ID]],Supplier[#All],3,0)</f>
        <v>9689542485</v>
      </c>
      <c r="F258" s="138" t="str">
        <f>VLOOKUP(Purchase[[#This Row],[Supplier ID]],Supplier[#All],4,0)</f>
        <v>Korba</v>
      </c>
      <c r="G258" s="138" t="str">
        <f>VLOOKUP(Purchase[[#This Row],[Supplier ID]],Supplier[#All],5,0)</f>
        <v>CG</v>
      </c>
      <c r="H258" s="138" t="str">
        <f>VLOOKUP(Purchase[[#This Row],[Supplier ID]],Supplier[#All],6,0)</f>
        <v>GST2154521T047</v>
      </c>
      <c r="I258" s="138" t="s">
        <v>512</v>
      </c>
      <c r="J258" s="139">
        <v>28</v>
      </c>
      <c r="K258" s="143">
        <f>VLOOKUP(Purchase[[#This Row],[Product ID]],Product[#All],6,0)</f>
        <v>4495</v>
      </c>
      <c r="L258" s="143">
        <f>Purchase[[#This Row],[Purchase Rate]]*Purchase[[#This Row],[Qty]]</f>
        <v>125860</v>
      </c>
      <c r="M258" s="140">
        <v>0</v>
      </c>
      <c r="N258" s="143">
        <v>0</v>
      </c>
      <c r="O258" s="140">
        <v>0.18</v>
      </c>
      <c r="P258" s="145">
        <f>(Purchase[[#This Row],[Gross Amount]]-Purchase[[#This Row],[Disct %]])*Purchase[[#This Row],[GST %]]</f>
        <v>22654.799999999999</v>
      </c>
      <c r="Q258" s="145">
        <f>Purchase[[#This Row],[Gross Amount]]-Purchase[[#This Row],[Disct Amnt]]+Purchase[[#This Row],[GST Amount]]</f>
        <v>148514.79999999999</v>
      </c>
      <c r="R258" s="138" t="s">
        <v>1019</v>
      </c>
      <c r="S258" s="41">
        <f>IF(Purchase[[#This Row],[Status]]="Cancelled",0,Purchase[[#This Row],[Qty]])</f>
        <v>28</v>
      </c>
      <c r="T258" s="146">
        <f>IF(Purchase[[#This Row],[Status]]="Cancelled",0,Purchase[[#This Row],[Total Amount]])</f>
        <v>148514.79999999999</v>
      </c>
      <c r="U258" s="146">
        <f>SUM(Purchase[Net Amount])</f>
        <v>814985438.68000126</v>
      </c>
    </row>
    <row r="259" spans="1:21" ht="19.5" thickBot="1" x14ac:dyDescent="0.3">
      <c r="A259" s="136" t="s">
        <v>1286</v>
      </c>
      <c r="B259" s="137">
        <v>45670</v>
      </c>
      <c r="C259" s="138" t="s">
        <v>590</v>
      </c>
      <c r="D259" s="138" t="str">
        <f>VLOOKUP(Purchase[[#This Row],[Supplier ID]],Supplier[#All],2,0)</f>
        <v>Star Distributors</v>
      </c>
      <c r="E259" s="138">
        <f>VLOOKUP(Purchase[[#This Row],[Supplier ID]],Supplier[#All],3,0)</f>
        <v>9689542474</v>
      </c>
      <c r="F259" s="138" t="str">
        <f>VLOOKUP(Purchase[[#This Row],[Supplier ID]],Supplier[#All],4,0)</f>
        <v>Kanpur</v>
      </c>
      <c r="G259" s="138" t="str">
        <f>VLOOKUP(Purchase[[#This Row],[Supplier ID]],Supplier[#All],5,0)</f>
        <v>UP</v>
      </c>
      <c r="H259" s="138" t="str">
        <f>VLOOKUP(Purchase[[#This Row],[Supplier ID]],Supplier[#All],6,0)</f>
        <v>GST2154521T036</v>
      </c>
      <c r="I259" s="138" t="s">
        <v>492</v>
      </c>
      <c r="J259" s="139">
        <v>34</v>
      </c>
      <c r="K259" s="143">
        <f>VLOOKUP(Purchase[[#This Row],[Product ID]],Product[#All],6,0)</f>
        <v>11090</v>
      </c>
      <c r="L259" s="143">
        <f>Purchase[[#This Row],[Purchase Rate]]*Purchase[[#This Row],[Qty]]</f>
        <v>377060</v>
      </c>
      <c r="M259" s="140">
        <v>0</v>
      </c>
      <c r="N259" s="143">
        <v>0</v>
      </c>
      <c r="O259" s="140">
        <v>0.18</v>
      </c>
      <c r="P259" s="145">
        <f>(Purchase[[#This Row],[Gross Amount]]-Purchase[[#This Row],[Disct %]])*Purchase[[#This Row],[GST %]]</f>
        <v>67870.8</v>
      </c>
      <c r="Q259" s="145">
        <f>Purchase[[#This Row],[Gross Amount]]-Purchase[[#This Row],[Disct Amnt]]+Purchase[[#This Row],[GST Amount]]</f>
        <v>444930.8</v>
      </c>
      <c r="R259" s="138" t="s">
        <v>1019</v>
      </c>
      <c r="S259" s="41">
        <f>IF(Purchase[[#This Row],[Status]]="Cancelled",0,Purchase[[#This Row],[Qty]])</f>
        <v>34</v>
      </c>
      <c r="T259" s="146">
        <f>IF(Purchase[[#This Row],[Status]]="Cancelled",0,Purchase[[#This Row],[Total Amount]])</f>
        <v>444930.8</v>
      </c>
      <c r="U259" s="146">
        <f>SUM(Purchase[Net Amount])</f>
        <v>814985438.68000126</v>
      </c>
    </row>
    <row r="260" spans="1:21" ht="19.5" thickBot="1" x14ac:dyDescent="0.3">
      <c r="A260" s="136" t="s">
        <v>1287</v>
      </c>
      <c r="B260" s="137">
        <v>45670</v>
      </c>
      <c r="C260" s="138" t="s">
        <v>585</v>
      </c>
      <c r="D260" s="138" t="str">
        <f>VLOOKUP(Purchase[[#This Row],[Supplier ID]],Supplier[#All],2,0)</f>
        <v>Tech Computers</v>
      </c>
      <c r="E260" s="138">
        <f>VLOOKUP(Purchase[[#This Row],[Supplier ID]],Supplier[#All],3,0)</f>
        <v>9689542469</v>
      </c>
      <c r="F260" s="138" t="str">
        <f>VLOOKUP(Purchase[[#This Row],[Supplier ID]],Supplier[#All],4,0)</f>
        <v>Korba</v>
      </c>
      <c r="G260" s="138" t="str">
        <f>VLOOKUP(Purchase[[#This Row],[Supplier ID]],Supplier[#All],5,0)</f>
        <v>CG</v>
      </c>
      <c r="H260" s="138" t="str">
        <f>VLOOKUP(Purchase[[#This Row],[Supplier ID]],Supplier[#All],6,0)</f>
        <v>GST2154521T031</v>
      </c>
      <c r="I260" s="138" t="s">
        <v>86</v>
      </c>
      <c r="J260" s="139">
        <v>18</v>
      </c>
      <c r="K260" s="143">
        <f>VLOOKUP(Purchase[[#This Row],[Product ID]],Product[#All],6,0)</f>
        <v>11919</v>
      </c>
      <c r="L260" s="143">
        <f>Purchase[[#This Row],[Purchase Rate]]*Purchase[[#This Row],[Qty]]</f>
        <v>214542</v>
      </c>
      <c r="M260" s="140">
        <v>0</v>
      </c>
      <c r="N260" s="143">
        <v>0</v>
      </c>
      <c r="O260" s="140">
        <v>0.18</v>
      </c>
      <c r="P260" s="145">
        <f>(Purchase[[#This Row],[Gross Amount]]-Purchase[[#This Row],[Disct %]])*Purchase[[#This Row],[GST %]]</f>
        <v>38617.56</v>
      </c>
      <c r="Q260" s="145">
        <f>Purchase[[#This Row],[Gross Amount]]-Purchase[[#This Row],[Disct Amnt]]+Purchase[[#This Row],[GST Amount]]</f>
        <v>253159.56</v>
      </c>
      <c r="R260" s="138" t="s">
        <v>1019</v>
      </c>
      <c r="S260" s="41">
        <f>IF(Purchase[[#This Row],[Status]]="Cancelled",0,Purchase[[#This Row],[Qty]])</f>
        <v>18</v>
      </c>
      <c r="T260" s="146">
        <f>IF(Purchase[[#This Row],[Status]]="Cancelled",0,Purchase[[#This Row],[Total Amount]])</f>
        <v>253159.56</v>
      </c>
      <c r="U260" s="146">
        <f>SUM(Purchase[Net Amount])</f>
        <v>814985438.68000126</v>
      </c>
    </row>
    <row r="261" spans="1:21" ht="19.5" thickBot="1" x14ac:dyDescent="0.3">
      <c r="A261" s="136" t="s">
        <v>1288</v>
      </c>
      <c r="B261" s="137">
        <v>45671</v>
      </c>
      <c r="C261" s="138" t="s">
        <v>565</v>
      </c>
      <c r="D261" s="138" t="str">
        <f>VLOOKUP(Purchase[[#This Row],[Supplier ID]],Supplier[#All],2,0)</f>
        <v>Global Suppliers</v>
      </c>
      <c r="E261" s="138">
        <f>VLOOKUP(Purchase[[#This Row],[Supplier ID]],Supplier[#All],3,0)</f>
        <v>9689542459</v>
      </c>
      <c r="F261" s="138" t="str">
        <f>VLOOKUP(Purchase[[#This Row],[Supplier ID]],Supplier[#All],4,0)</f>
        <v>Indore</v>
      </c>
      <c r="G261" s="138" t="str">
        <f>VLOOKUP(Purchase[[#This Row],[Supplier ID]],Supplier[#All],5,0)</f>
        <v>MP</v>
      </c>
      <c r="H261" s="138" t="str">
        <f>VLOOKUP(Purchase[[#This Row],[Supplier ID]],Supplier[#All],6,0)</f>
        <v>GST2154521T013</v>
      </c>
      <c r="I261" s="138" t="s">
        <v>195</v>
      </c>
      <c r="J261" s="139">
        <v>21</v>
      </c>
      <c r="K261" s="143">
        <f>VLOOKUP(Purchase[[#This Row],[Product ID]],Product[#All],6,0)</f>
        <v>38353</v>
      </c>
      <c r="L261" s="143">
        <f>Purchase[[#This Row],[Purchase Rate]]*Purchase[[#This Row],[Qty]]</f>
        <v>805413</v>
      </c>
      <c r="M261" s="140">
        <v>0</v>
      </c>
      <c r="N261" s="143">
        <v>0</v>
      </c>
      <c r="O261" s="140">
        <v>0.18</v>
      </c>
      <c r="P261" s="145">
        <f>(Purchase[[#This Row],[Gross Amount]]-Purchase[[#This Row],[Disct %]])*Purchase[[#This Row],[GST %]]</f>
        <v>144974.34</v>
      </c>
      <c r="Q261" s="145">
        <f>Purchase[[#This Row],[Gross Amount]]-Purchase[[#This Row],[Disct Amnt]]+Purchase[[#This Row],[GST Amount]]</f>
        <v>950387.34</v>
      </c>
      <c r="R261" s="138" t="s">
        <v>1019</v>
      </c>
      <c r="S261" s="41">
        <f>IF(Purchase[[#This Row],[Status]]="Cancelled",0,Purchase[[#This Row],[Qty]])</f>
        <v>21</v>
      </c>
      <c r="T261" s="146">
        <f>IF(Purchase[[#This Row],[Status]]="Cancelled",0,Purchase[[#This Row],[Total Amount]])</f>
        <v>950387.34</v>
      </c>
      <c r="U261" s="146">
        <f>SUM(Purchase[Net Amount])</f>
        <v>814985438.68000126</v>
      </c>
    </row>
    <row r="262" spans="1:21" ht="19.5" thickBot="1" x14ac:dyDescent="0.3">
      <c r="A262" s="136" t="s">
        <v>1289</v>
      </c>
      <c r="B262" s="137">
        <v>45671</v>
      </c>
      <c r="C262" s="138" t="s">
        <v>612</v>
      </c>
      <c r="D262" s="138" t="str">
        <f>VLOOKUP(Purchase[[#This Row],[Supplier ID]],Supplier[#All],2,0)</f>
        <v>National Computers</v>
      </c>
      <c r="E262" s="138">
        <f>VLOOKUP(Purchase[[#This Row],[Supplier ID]],Supplier[#All],3,0)</f>
        <v>9689542495</v>
      </c>
      <c r="F262" s="138" t="str">
        <f>VLOOKUP(Purchase[[#This Row],[Supplier ID]],Supplier[#All],4,0)</f>
        <v>Indore</v>
      </c>
      <c r="G262" s="138" t="str">
        <f>VLOOKUP(Purchase[[#This Row],[Supplier ID]],Supplier[#All],5,0)</f>
        <v>MP</v>
      </c>
      <c r="H262" s="138" t="str">
        <f>VLOOKUP(Purchase[[#This Row],[Supplier ID]],Supplier[#All],6,0)</f>
        <v>GST2154521T057</v>
      </c>
      <c r="I262" s="138" t="s">
        <v>23</v>
      </c>
      <c r="J262" s="139">
        <v>23</v>
      </c>
      <c r="K262" s="143">
        <f>VLOOKUP(Purchase[[#This Row],[Product ID]],Product[#All],6,0)</f>
        <v>4851</v>
      </c>
      <c r="L262" s="143">
        <f>Purchase[[#This Row],[Purchase Rate]]*Purchase[[#This Row],[Qty]]</f>
        <v>111573</v>
      </c>
      <c r="M262" s="140">
        <v>0</v>
      </c>
      <c r="N262" s="143">
        <v>0</v>
      </c>
      <c r="O262" s="140">
        <v>0.18</v>
      </c>
      <c r="P262" s="145">
        <f>(Purchase[[#This Row],[Gross Amount]]-Purchase[[#This Row],[Disct %]])*Purchase[[#This Row],[GST %]]</f>
        <v>20083.14</v>
      </c>
      <c r="Q262" s="145">
        <f>Purchase[[#This Row],[Gross Amount]]-Purchase[[#This Row],[Disct Amnt]]+Purchase[[#This Row],[GST Amount]]</f>
        <v>131656.14000000001</v>
      </c>
      <c r="R262" s="138" t="s">
        <v>1019</v>
      </c>
      <c r="S262" s="41">
        <f>IF(Purchase[[#This Row],[Status]]="Cancelled",0,Purchase[[#This Row],[Qty]])</f>
        <v>23</v>
      </c>
      <c r="T262" s="146">
        <f>IF(Purchase[[#This Row],[Status]]="Cancelled",0,Purchase[[#This Row],[Total Amount]])</f>
        <v>131656.14000000001</v>
      </c>
      <c r="U262" s="146">
        <f>SUM(Purchase[Net Amount])</f>
        <v>814985438.68000126</v>
      </c>
    </row>
    <row r="263" spans="1:21" ht="19.5" thickBot="1" x14ac:dyDescent="0.3">
      <c r="A263" s="136" t="s">
        <v>1290</v>
      </c>
      <c r="B263" s="137">
        <v>45671</v>
      </c>
      <c r="C263" s="138" t="s">
        <v>604</v>
      </c>
      <c r="D263" s="138" t="str">
        <f>VLOOKUP(Purchase[[#This Row],[Supplier ID]],Supplier[#All],2,0)</f>
        <v>Prime Traders</v>
      </c>
      <c r="E263" s="138">
        <f>VLOOKUP(Purchase[[#This Row],[Supplier ID]],Supplier[#All],3,0)</f>
        <v>9689542487</v>
      </c>
      <c r="F263" s="138" t="str">
        <f>VLOOKUP(Purchase[[#This Row],[Supplier ID]],Supplier[#All],4,0)</f>
        <v>Indore</v>
      </c>
      <c r="G263" s="138" t="str">
        <f>VLOOKUP(Purchase[[#This Row],[Supplier ID]],Supplier[#All],5,0)</f>
        <v>MP</v>
      </c>
      <c r="H263" s="138" t="str">
        <f>VLOOKUP(Purchase[[#This Row],[Supplier ID]],Supplier[#All],6,0)</f>
        <v>GST2154521T049</v>
      </c>
      <c r="I263" s="138" t="s">
        <v>338</v>
      </c>
      <c r="J263" s="139">
        <v>31</v>
      </c>
      <c r="K263" s="143">
        <f>VLOOKUP(Purchase[[#This Row],[Product ID]],Product[#All],6,0)</f>
        <v>10799</v>
      </c>
      <c r="L263" s="143">
        <f>Purchase[[#This Row],[Purchase Rate]]*Purchase[[#This Row],[Qty]]</f>
        <v>334769</v>
      </c>
      <c r="M263" s="140">
        <v>0</v>
      </c>
      <c r="N263" s="143">
        <v>0</v>
      </c>
      <c r="O263" s="140">
        <v>0.18</v>
      </c>
      <c r="P263" s="145">
        <f>(Purchase[[#This Row],[Gross Amount]]-Purchase[[#This Row],[Disct %]])*Purchase[[#This Row],[GST %]]</f>
        <v>60258.42</v>
      </c>
      <c r="Q263" s="145">
        <f>Purchase[[#This Row],[Gross Amount]]-Purchase[[#This Row],[Disct Amnt]]+Purchase[[#This Row],[GST Amount]]</f>
        <v>395027.42</v>
      </c>
      <c r="R263" s="138" t="s">
        <v>1019</v>
      </c>
      <c r="S263" s="41">
        <f>IF(Purchase[[#This Row],[Status]]="Cancelled",0,Purchase[[#This Row],[Qty]])</f>
        <v>31</v>
      </c>
      <c r="T263" s="146">
        <f>IF(Purchase[[#This Row],[Status]]="Cancelled",0,Purchase[[#This Row],[Total Amount]])</f>
        <v>395027.42</v>
      </c>
      <c r="U263" s="146">
        <f>SUM(Purchase[Net Amount])</f>
        <v>814985438.68000126</v>
      </c>
    </row>
    <row r="264" spans="1:21" ht="19.5" thickBot="1" x14ac:dyDescent="0.3">
      <c r="A264" s="136" t="s">
        <v>1291</v>
      </c>
      <c r="B264" s="137">
        <v>45671</v>
      </c>
      <c r="C264" s="138" t="s">
        <v>606</v>
      </c>
      <c r="D264" s="138" t="str">
        <f>VLOOKUP(Purchase[[#This Row],[Supplier ID]],Supplier[#All],2,0)</f>
        <v>Prime Traders</v>
      </c>
      <c r="E264" s="138">
        <f>VLOOKUP(Purchase[[#This Row],[Supplier ID]],Supplier[#All],3,0)</f>
        <v>9689542489</v>
      </c>
      <c r="F264" s="138" t="str">
        <f>VLOOKUP(Purchase[[#This Row],[Supplier ID]],Supplier[#All],4,0)</f>
        <v>Indore</v>
      </c>
      <c r="G264" s="138" t="str">
        <f>VLOOKUP(Purchase[[#This Row],[Supplier ID]],Supplier[#All],5,0)</f>
        <v>MP</v>
      </c>
      <c r="H264" s="138" t="str">
        <f>VLOOKUP(Purchase[[#This Row],[Supplier ID]],Supplier[#All],6,0)</f>
        <v>GST2154521T051</v>
      </c>
      <c r="I264" s="138" t="s">
        <v>403</v>
      </c>
      <c r="J264" s="139">
        <v>5</v>
      </c>
      <c r="K264" s="143">
        <f>VLOOKUP(Purchase[[#This Row],[Product ID]],Product[#All],6,0)</f>
        <v>13869</v>
      </c>
      <c r="L264" s="143">
        <f>Purchase[[#This Row],[Purchase Rate]]*Purchase[[#This Row],[Qty]]</f>
        <v>69345</v>
      </c>
      <c r="M264" s="140">
        <v>0</v>
      </c>
      <c r="N264" s="143">
        <v>0</v>
      </c>
      <c r="O264" s="140">
        <v>0.18</v>
      </c>
      <c r="P264" s="145">
        <f>(Purchase[[#This Row],[Gross Amount]]-Purchase[[#This Row],[Disct %]])*Purchase[[#This Row],[GST %]]</f>
        <v>12482.1</v>
      </c>
      <c r="Q264" s="145">
        <f>Purchase[[#This Row],[Gross Amount]]-Purchase[[#This Row],[Disct Amnt]]+Purchase[[#This Row],[GST Amount]]</f>
        <v>81827.100000000006</v>
      </c>
      <c r="R264" s="138" t="s">
        <v>1019</v>
      </c>
      <c r="S264" s="41">
        <f>IF(Purchase[[#This Row],[Status]]="Cancelled",0,Purchase[[#This Row],[Qty]])</f>
        <v>5</v>
      </c>
      <c r="T264" s="146">
        <f>IF(Purchase[[#This Row],[Status]]="Cancelled",0,Purchase[[#This Row],[Total Amount]])</f>
        <v>81827.100000000006</v>
      </c>
      <c r="U264" s="146">
        <f>SUM(Purchase[Net Amount])</f>
        <v>814985438.68000126</v>
      </c>
    </row>
    <row r="265" spans="1:21" ht="19.5" thickBot="1" x14ac:dyDescent="0.3">
      <c r="A265" s="136" t="s">
        <v>1292</v>
      </c>
      <c r="B265" s="137">
        <v>45671</v>
      </c>
      <c r="C265" s="138" t="s">
        <v>616</v>
      </c>
      <c r="D265" s="138" t="str">
        <f>VLOOKUP(Purchase[[#This Row],[Supplier ID]],Supplier[#All],2,0)</f>
        <v>Global Suppliers</v>
      </c>
      <c r="E265" s="138">
        <f>VLOOKUP(Purchase[[#This Row],[Supplier ID]],Supplier[#All],3,0)</f>
        <v>9689542499</v>
      </c>
      <c r="F265" s="138" t="str">
        <f>VLOOKUP(Purchase[[#This Row],[Supplier ID]],Supplier[#All],4,0)</f>
        <v>Kanpur</v>
      </c>
      <c r="G265" s="138" t="str">
        <f>VLOOKUP(Purchase[[#This Row],[Supplier ID]],Supplier[#All],5,0)</f>
        <v>UP</v>
      </c>
      <c r="H265" s="138" t="str">
        <f>VLOOKUP(Purchase[[#This Row],[Supplier ID]],Supplier[#All],6,0)</f>
        <v>GST2154521T061</v>
      </c>
      <c r="I265" s="138" t="s">
        <v>18</v>
      </c>
      <c r="J265" s="139">
        <v>21</v>
      </c>
      <c r="K265" s="143">
        <f>VLOOKUP(Purchase[[#This Row],[Product ID]],Product[#All],6,0)</f>
        <v>701</v>
      </c>
      <c r="L265" s="143">
        <f>Purchase[[#This Row],[Purchase Rate]]*Purchase[[#This Row],[Qty]]</f>
        <v>14721</v>
      </c>
      <c r="M265" s="140">
        <v>0</v>
      </c>
      <c r="N265" s="143">
        <v>0</v>
      </c>
      <c r="O265" s="140">
        <v>0.18</v>
      </c>
      <c r="P265" s="145">
        <f>(Purchase[[#This Row],[Gross Amount]]-Purchase[[#This Row],[Disct %]])*Purchase[[#This Row],[GST %]]</f>
        <v>2649.7799999999997</v>
      </c>
      <c r="Q265" s="145">
        <f>Purchase[[#This Row],[Gross Amount]]-Purchase[[#This Row],[Disct Amnt]]+Purchase[[#This Row],[GST Amount]]</f>
        <v>17370.78</v>
      </c>
      <c r="R265" s="138" t="s">
        <v>1019</v>
      </c>
      <c r="S265" s="41">
        <f>IF(Purchase[[#This Row],[Status]]="Cancelled",0,Purchase[[#This Row],[Qty]])</f>
        <v>21</v>
      </c>
      <c r="T265" s="146">
        <f>IF(Purchase[[#This Row],[Status]]="Cancelled",0,Purchase[[#This Row],[Total Amount]])</f>
        <v>17370.78</v>
      </c>
      <c r="U265" s="146">
        <f>SUM(Purchase[Net Amount])</f>
        <v>814985438.68000126</v>
      </c>
    </row>
    <row r="266" spans="1:21" ht="19.5" thickBot="1" x14ac:dyDescent="0.3">
      <c r="A266" s="136" t="s">
        <v>1293</v>
      </c>
      <c r="B266" s="137">
        <v>45671</v>
      </c>
      <c r="C266" s="138" t="s">
        <v>565</v>
      </c>
      <c r="D266" s="138" t="str">
        <f>VLOOKUP(Purchase[[#This Row],[Supplier ID]],Supplier[#All],2,0)</f>
        <v>Global Suppliers</v>
      </c>
      <c r="E266" s="138">
        <f>VLOOKUP(Purchase[[#This Row],[Supplier ID]],Supplier[#All],3,0)</f>
        <v>9689542459</v>
      </c>
      <c r="F266" s="138" t="str">
        <f>VLOOKUP(Purchase[[#This Row],[Supplier ID]],Supplier[#All],4,0)</f>
        <v>Indore</v>
      </c>
      <c r="G266" s="138" t="str">
        <f>VLOOKUP(Purchase[[#This Row],[Supplier ID]],Supplier[#All],5,0)</f>
        <v>MP</v>
      </c>
      <c r="H266" s="138" t="str">
        <f>VLOOKUP(Purchase[[#This Row],[Supplier ID]],Supplier[#All],6,0)</f>
        <v>GST2154521T013</v>
      </c>
      <c r="I266" s="138" t="s">
        <v>73</v>
      </c>
      <c r="J266" s="139">
        <v>9</v>
      </c>
      <c r="K266" s="143">
        <f>VLOOKUP(Purchase[[#This Row],[Product ID]],Product[#All],6,0)</f>
        <v>1360</v>
      </c>
      <c r="L266" s="143">
        <f>Purchase[[#This Row],[Purchase Rate]]*Purchase[[#This Row],[Qty]]</f>
        <v>12240</v>
      </c>
      <c r="M266" s="140">
        <v>0</v>
      </c>
      <c r="N266" s="143">
        <v>0</v>
      </c>
      <c r="O266" s="140">
        <v>0.18</v>
      </c>
      <c r="P266" s="145">
        <f>(Purchase[[#This Row],[Gross Amount]]-Purchase[[#This Row],[Disct %]])*Purchase[[#This Row],[GST %]]</f>
        <v>2203.1999999999998</v>
      </c>
      <c r="Q266" s="145">
        <f>Purchase[[#This Row],[Gross Amount]]-Purchase[[#This Row],[Disct Amnt]]+Purchase[[#This Row],[GST Amount]]</f>
        <v>14443.2</v>
      </c>
      <c r="R266" s="138" t="s">
        <v>1019</v>
      </c>
      <c r="S266" s="41">
        <f>IF(Purchase[[#This Row],[Status]]="Cancelled",0,Purchase[[#This Row],[Qty]])</f>
        <v>9</v>
      </c>
      <c r="T266" s="146">
        <f>IF(Purchase[[#This Row],[Status]]="Cancelled",0,Purchase[[#This Row],[Total Amount]])</f>
        <v>14443.2</v>
      </c>
      <c r="U266" s="146">
        <f>SUM(Purchase[Net Amount])</f>
        <v>814985438.68000126</v>
      </c>
    </row>
    <row r="267" spans="1:21" ht="19.5" thickBot="1" x14ac:dyDescent="0.3">
      <c r="A267" s="136" t="s">
        <v>1294</v>
      </c>
      <c r="B267" s="137">
        <v>45671</v>
      </c>
      <c r="C267" s="138" t="s">
        <v>603</v>
      </c>
      <c r="D267" s="138" t="str">
        <f>VLOOKUP(Purchase[[#This Row],[Supplier ID]],Supplier[#All],2,0)</f>
        <v>Tech Computers</v>
      </c>
      <c r="E267" s="138">
        <f>VLOOKUP(Purchase[[#This Row],[Supplier ID]],Supplier[#All],3,0)</f>
        <v>9689542486</v>
      </c>
      <c r="F267" s="138" t="str">
        <f>VLOOKUP(Purchase[[#This Row],[Supplier ID]],Supplier[#All],4,0)</f>
        <v>Indore</v>
      </c>
      <c r="G267" s="138" t="str">
        <f>VLOOKUP(Purchase[[#This Row],[Supplier ID]],Supplier[#All],5,0)</f>
        <v>MP</v>
      </c>
      <c r="H267" s="138" t="str">
        <f>VLOOKUP(Purchase[[#This Row],[Supplier ID]],Supplier[#All],6,0)</f>
        <v>GST2154521T048</v>
      </c>
      <c r="I267" s="138" t="s">
        <v>453</v>
      </c>
      <c r="J267" s="139">
        <v>37</v>
      </c>
      <c r="K267" s="143">
        <f>VLOOKUP(Purchase[[#This Row],[Product ID]],Product[#All],6,0)</f>
        <v>2343</v>
      </c>
      <c r="L267" s="143">
        <f>Purchase[[#This Row],[Purchase Rate]]*Purchase[[#This Row],[Qty]]</f>
        <v>86691</v>
      </c>
      <c r="M267" s="140">
        <v>0</v>
      </c>
      <c r="N267" s="143">
        <v>0</v>
      </c>
      <c r="O267" s="140">
        <v>0.18</v>
      </c>
      <c r="P267" s="145">
        <f>(Purchase[[#This Row],[Gross Amount]]-Purchase[[#This Row],[Disct %]])*Purchase[[#This Row],[GST %]]</f>
        <v>15604.38</v>
      </c>
      <c r="Q267" s="145">
        <f>Purchase[[#This Row],[Gross Amount]]-Purchase[[#This Row],[Disct Amnt]]+Purchase[[#This Row],[GST Amount]]</f>
        <v>102295.38</v>
      </c>
      <c r="R267" s="138" t="s">
        <v>1019</v>
      </c>
      <c r="S267" s="41">
        <f>IF(Purchase[[#This Row],[Status]]="Cancelled",0,Purchase[[#This Row],[Qty]])</f>
        <v>37</v>
      </c>
      <c r="T267" s="146">
        <f>IF(Purchase[[#This Row],[Status]]="Cancelled",0,Purchase[[#This Row],[Total Amount]])</f>
        <v>102295.38</v>
      </c>
      <c r="U267" s="146">
        <f>SUM(Purchase[Net Amount])</f>
        <v>814985438.68000126</v>
      </c>
    </row>
    <row r="268" spans="1:21" ht="19.5" thickBot="1" x14ac:dyDescent="0.3">
      <c r="A268" s="136" t="s">
        <v>1295</v>
      </c>
      <c r="B268" s="137">
        <v>45671</v>
      </c>
      <c r="C268" s="138" t="s">
        <v>594</v>
      </c>
      <c r="D268" s="138" t="str">
        <f>VLOOKUP(Purchase[[#This Row],[Supplier ID]],Supplier[#All],2,0)</f>
        <v>Shree Suppliers</v>
      </c>
      <c r="E268" s="138">
        <f>VLOOKUP(Purchase[[#This Row],[Supplier ID]],Supplier[#All],3,0)</f>
        <v>9689542477</v>
      </c>
      <c r="F268" s="138" t="str">
        <f>VLOOKUP(Purchase[[#This Row],[Supplier ID]],Supplier[#All],4,0)</f>
        <v>Indore</v>
      </c>
      <c r="G268" s="138" t="str">
        <f>VLOOKUP(Purchase[[#This Row],[Supplier ID]],Supplier[#All],5,0)</f>
        <v>MP</v>
      </c>
      <c r="H268" s="138" t="str">
        <f>VLOOKUP(Purchase[[#This Row],[Supplier ID]],Supplier[#All],6,0)</f>
        <v>GST2154521T039</v>
      </c>
      <c r="I268" s="138" t="s">
        <v>365</v>
      </c>
      <c r="J268" s="139">
        <v>3</v>
      </c>
      <c r="K268" s="143">
        <f>VLOOKUP(Purchase[[#This Row],[Product ID]],Product[#All],6,0)</f>
        <v>1653</v>
      </c>
      <c r="L268" s="143">
        <f>Purchase[[#This Row],[Purchase Rate]]*Purchase[[#This Row],[Qty]]</f>
        <v>4959</v>
      </c>
      <c r="M268" s="140">
        <v>0</v>
      </c>
      <c r="N268" s="143">
        <v>0</v>
      </c>
      <c r="O268" s="140">
        <v>0.18</v>
      </c>
      <c r="P268" s="145">
        <f>(Purchase[[#This Row],[Gross Amount]]-Purchase[[#This Row],[Disct %]])*Purchase[[#This Row],[GST %]]</f>
        <v>892.62</v>
      </c>
      <c r="Q268" s="145">
        <f>Purchase[[#This Row],[Gross Amount]]-Purchase[[#This Row],[Disct Amnt]]+Purchase[[#This Row],[GST Amount]]</f>
        <v>5851.62</v>
      </c>
      <c r="R268" s="138" t="s">
        <v>1019</v>
      </c>
      <c r="S268" s="41">
        <f>IF(Purchase[[#This Row],[Status]]="Cancelled",0,Purchase[[#This Row],[Qty]])</f>
        <v>3</v>
      </c>
      <c r="T268" s="146">
        <f>IF(Purchase[[#This Row],[Status]]="Cancelled",0,Purchase[[#This Row],[Total Amount]])</f>
        <v>5851.62</v>
      </c>
      <c r="U268" s="146">
        <f>SUM(Purchase[Net Amount])</f>
        <v>814985438.68000126</v>
      </c>
    </row>
    <row r="269" spans="1:21" ht="19.5" thickBot="1" x14ac:dyDescent="0.3">
      <c r="A269" s="136" t="s">
        <v>1296</v>
      </c>
      <c r="B269" s="137">
        <v>45671</v>
      </c>
      <c r="C269" s="138" t="s">
        <v>608</v>
      </c>
      <c r="D269" s="138" t="str">
        <f>VLOOKUP(Purchase[[#This Row],[Supplier ID]],Supplier[#All],2,0)</f>
        <v>Global Suppliers</v>
      </c>
      <c r="E269" s="138">
        <f>VLOOKUP(Purchase[[#This Row],[Supplier ID]],Supplier[#All],3,0)</f>
        <v>9689542499</v>
      </c>
      <c r="F269" s="138" t="str">
        <f>VLOOKUP(Purchase[[#This Row],[Supplier ID]],Supplier[#All],4,0)</f>
        <v>Korba</v>
      </c>
      <c r="G269" s="138" t="str">
        <f>VLOOKUP(Purchase[[#This Row],[Supplier ID]],Supplier[#All],5,0)</f>
        <v>CG</v>
      </c>
      <c r="H269" s="138" t="str">
        <f>VLOOKUP(Purchase[[#This Row],[Supplier ID]],Supplier[#All],6,0)</f>
        <v>GST2154521T053</v>
      </c>
      <c r="I269" s="138" t="s">
        <v>419</v>
      </c>
      <c r="J269" s="139">
        <v>5</v>
      </c>
      <c r="K269" s="143">
        <f>VLOOKUP(Purchase[[#This Row],[Product ID]],Product[#All],6,0)</f>
        <v>7279</v>
      </c>
      <c r="L269" s="143">
        <f>Purchase[[#This Row],[Purchase Rate]]*Purchase[[#This Row],[Qty]]</f>
        <v>36395</v>
      </c>
      <c r="M269" s="140">
        <v>0</v>
      </c>
      <c r="N269" s="143">
        <v>0</v>
      </c>
      <c r="O269" s="140">
        <v>0.18</v>
      </c>
      <c r="P269" s="145">
        <f>(Purchase[[#This Row],[Gross Amount]]-Purchase[[#This Row],[Disct %]])*Purchase[[#This Row],[GST %]]</f>
        <v>6551.0999999999995</v>
      </c>
      <c r="Q269" s="145">
        <f>Purchase[[#This Row],[Gross Amount]]-Purchase[[#This Row],[Disct Amnt]]+Purchase[[#This Row],[GST Amount]]</f>
        <v>42946.1</v>
      </c>
      <c r="R269" s="138" t="s">
        <v>1019</v>
      </c>
      <c r="S269" s="41">
        <f>IF(Purchase[[#This Row],[Status]]="Cancelled",0,Purchase[[#This Row],[Qty]])</f>
        <v>5</v>
      </c>
      <c r="T269" s="146">
        <f>IF(Purchase[[#This Row],[Status]]="Cancelled",0,Purchase[[#This Row],[Total Amount]])</f>
        <v>42946.1</v>
      </c>
      <c r="U269" s="146">
        <f>SUM(Purchase[Net Amount])</f>
        <v>814985438.68000126</v>
      </c>
    </row>
    <row r="270" spans="1:21" ht="19.5" thickBot="1" x14ac:dyDescent="0.3">
      <c r="A270" s="136" t="s">
        <v>1297</v>
      </c>
      <c r="B270" s="137">
        <v>45671</v>
      </c>
      <c r="C270" s="138" t="s">
        <v>578</v>
      </c>
      <c r="D270" s="138" t="str">
        <f>VLOOKUP(Purchase[[#This Row],[Supplier ID]],Supplier[#All],2,0)</f>
        <v>Shree Computers</v>
      </c>
      <c r="E270" s="138">
        <f>VLOOKUP(Purchase[[#This Row],[Supplier ID]],Supplier[#All],3,0)</f>
        <v>9689542462</v>
      </c>
      <c r="F270" s="138" t="str">
        <f>VLOOKUP(Purchase[[#This Row],[Supplier ID]],Supplier[#All],4,0)</f>
        <v>Korba</v>
      </c>
      <c r="G270" s="138" t="str">
        <f>VLOOKUP(Purchase[[#This Row],[Supplier ID]],Supplier[#All],5,0)</f>
        <v>CG</v>
      </c>
      <c r="H270" s="138" t="str">
        <f>VLOOKUP(Purchase[[#This Row],[Supplier ID]],Supplier[#All],6,0)</f>
        <v>GST2154521T024</v>
      </c>
      <c r="I270" s="138" t="s">
        <v>15</v>
      </c>
      <c r="J270" s="139">
        <v>2</v>
      </c>
      <c r="K270" s="143">
        <f>VLOOKUP(Purchase[[#This Row],[Product ID]],Product[#All],6,0)</f>
        <v>3688</v>
      </c>
      <c r="L270" s="143">
        <f>Purchase[[#This Row],[Purchase Rate]]*Purchase[[#This Row],[Qty]]</f>
        <v>7376</v>
      </c>
      <c r="M270" s="140">
        <v>0</v>
      </c>
      <c r="N270" s="143">
        <v>0</v>
      </c>
      <c r="O270" s="140">
        <v>0.18</v>
      </c>
      <c r="P270" s="145">
        <f>(Purchase[[#This Row],[Gross Amount]]-Purchase[[#This Row],[Disct %]])*Purchase[[#This Row],[GST %]]</f>
        <v>1327.68</v>
      </c>
      <c r="Q270" s="145">
        <f>Purchase[[#This Row],[Gross Amount]]-Purchase[[#This Row],[Disct Amnt]]+Purchase[[#This Row],[GST Amount]]</f>
        <v>8703.68</v>
      </c>
      <c r="R270" s="138" t="s">
        <v>1019</v>
      </c>
      <c r="S270" s="41">
        <f>IF(Purchase[[#This Row],[Status]]="Cancelled",0,Purchase[[#This Row],[Qty]])</f>
        <v>2</v>
      </c>
      <c r="T270" s="146">
        <f>IF(Purchase[[#This Row],[Status]]="Cancelled",0,Purchase[[#This Row],[Total Amount]])</f>
        <v>8703.68</v>
      </c>
      <c r="U270" s="146">
        <f>SUM(Purchase[Net Amount])</f>
        <v>814985438.68000126</v>
      </c>
    </row>
    <row r="271" spans="1:21" ht="19.5" thickBot="1" x14ac:dyDescent="0.3">
      <c r="A271" s="136" t="s">
        <v>1298</v>
      </c>
      <c r="B271" s="137">
        <v>45671</v>
      </c>
      <c r="C271" s="138" t="s">
        <v>609</v>
      </c>
      <c r="D271" s="138" t="str">
        <f>VLOOKUP(Purchase[[#This Row],[Supplier ID]],Supplier[#All],2,0)</f>
        <v>Star Suppliers</v>
      </c>
      <c r="E271" s="138">
        <f>VLOOKUP(Purchase[[#This Row],[Supplier ID]],Supplier[#All],3,0)</f>
        <v>9689542492</v>
      </c>
      <c r="F271" s="138" t="str">
        <f>VLOOKUP(Purchase[[#This Row],[Supplier ID]],Supplier[#All],4,0)</f>
        <v>Kanpur</v>
      </c>
      <c r="G271" s="138" t="str">
        <f>VLOOKUP(Purchase[[#This Row],[Supplier ID]],Supplier[#All],5,0)</f>
        <v>UP</v>
      </c>
      <c r="H271" s="138" t="str">
        <f>VLOOKUP(Purchase[[#This Row],[Supplier ID]],Supplier[#All],6,0)</f>
        <v>GST2154521T054</v>
      </c>
      <c r="I271" s="138" t="s">
        <v>507</v>
      </c>
      <c r="J271" s="139">
        <v>24</v>
      </c>
      <c r="K271" s="143">
        <f>VLOOKUP(Purchase[[#This Row],[Product ID]],Product[#All],6,0)</f>
        <v>1636</v>
      </c>
      <c r="L271" s="143">
        <f>Purchase[[#This Row],[Purchase Rate]]*Purchase[[#This Row],[Qty]]</f>
        <v>39264</v>
      </c>
      <c r="M271" s="140">
        <v>0</v>
      </c>
      <c r="N271" s="143">
        <v>0</v>
      </c>
      <c r="O271" s="140">
        <v>0.18</v>
      </c>
      <c r="P271" s="145">
        <f>(Purchase[[#This Row],[Gross Amount]]-Purchase[[#This Row],[Disct %]])*Purchase[[#This Row],[GST %]]</f>
        <v>7067.5199999999995</v>
      </c>
      <c r="Q271" s="145">
        <f>Purchase[[#This Row],[Gross Amount]]-Purchase[[#This Row],[Disct Amnt]]+Purchase[[#This Row],[GST Amount]]</f>
        <v>46331.519999999997</v>
      </c>
      <c r="R271" s="138" t="s">
        <v>1019</v>
      </c>
      <c r="S271" s="41">
        <f>IF(Purchase[[#This Row],[Status]]="Cancelled",0,Purchase[[#This Row],[Qty]])</f>
        <v>24</v>
      </c>
      <c r="T271" s="146">
        <f>IF(Purchase[[#This Row],[Status]]="Cancelled",0,Purchase[[#This Row],[Total Amount]])</f>
        <v>46331.519999999997</v>
      </c>
      <c r="U271" s="146">
        <f>SUM(Purchase[Net Amount])</f>
        <v>814985438.68000126</v>
      </c>
    </row>
    <row r="272" spans="1:21" ht="19.5" thickBot="1" x14ac:dyDescent="0.3">
      <c r="A272" s="136" t="s">
        <v>1299</v>
      </c>
      <c r="B272" s="137">
        <v>45671</v>
      </c>
      <c r="C272" s="138" t="s">
        <v>582</v>
      </c>
      <c r="D272" s="138" t="str">
        <f>VLOOKUP(Purchase[[#This Row],[Supplier ID]],Supplier[#All],2,0)</f>
        <v>Tech Distributors</v>
      </c>
      <c r="E272" s="138">
        <f>VLOOKUP(Purchase[[#This Row],[Supplier ID]],Supplier[#All],3,0)</f>
        <v>9689542466</v>
      </c>
      <c r="F272" s="138" t="str">
        <f>VLOOKUP(Purchase[[#This Row],[Supplier ID]],Supplier[#All],4,0)</f>
        <v>Indore</v>
      </c>
      <c r="G272" s="138" t="str">
        <f>VLOOKUP(Purchase[[#This Row],[Supplier ID]],Supplier[#All],5,0)</f>
        <v>MP</v>
      </c>
      <c r="H272" s="138" t="str">
        <f>VLOOKUP(Purchase[[#This Row],[Supplier ID]],Supplier[#All],6,0)</f>
        <v>GST2154521T028</v>
      </c>
      <c r="I272" s="138" t="s">
        <v>470</v>
      </c>
      <c r="J272" s="139">
        <v>7</v>
      </c>
      <c r="K272" s="143">
        <f>VLOOKUP(Purchase[[#This Row],[Product ID]],Product[#All],6,0)</f>
        <v>30694</v>
      </c>
      <c r="L272" s="143">
        <f>Purchase[[#This Row],[Purchase Rate]]*Purchase[[#This Row],[Qty]]</f>
        <v>214858</v>
      </c>
      <c r="M272" s="140">
        <v>0</v>
      </c>
      <c r="N272" s="143">
        <v>0</v>
      </c>
      <c r="O272" s="140">
        <v>0.18</v>
      </c>
      <c r="P272" s="145">
        <f>(Purchase[[#This Row],[Gross Amount]]-Purchase[[#This Row],[Disct %]])*Purchase[[#This Row],[GST %]]</f>
        <v>38674.439999999995</v>
      </c>
      <c r="Q272" s="145">
        <f>Purchase[[#This Row],[Gross Amount]]-Purchase[[#This Row],[Disct Amnt]]+Purchase[[#This Row],[GST Amount]]</f>
        <v>253532.44</v>
      </c>
      <c r="R272" s="138" t="s">
        <v>1040</v>
      </c>
      <c r="S272" s="41">
        <f>IF(Purchase[[#This Row],[Status]]="Cancelled",0,Purchase[[#This Row],[Qty]])</f>
        <v>0</v>
      </c>
      <c r="T272" s="146">
        <f>IF(Purchase[[#This Row],[Status]]="Cancelled",0,Purchase[[#This Row],[Total Amount]])</f>
        <v>0</v>
      </c>
      <c r="U272" s="146">
        <f>SUM(Purchase[Net Amount])</f>
        <v>814985438.68000126</v>
      </c>
    </row>
    <row r="273" spans="1:21" ht="19.5" thickBot="1" x14ac:dyDescent="0.3">
      <c r="A273" s="136" t="s">
        <v>1300</v>
      </c>
      <c r="B273" s="137">
        <v>45671</v>
      </c>
      <c r="C273" s="138" t="s">
        <v>594</v>
      </c>
      <c r="D273" s="138" t="str">
        <f>VLOOKUP(Purchase[[#This Row],[Supplier ID]],Supplier[#All],2,0)</f>
        <v>Shree Suppliers</v>
      </c>
      <c r="E273" s="138">
        <f>VLOOKUP(Purchase[[#This Row],[Supplier ID]],Supplier[#All],3,0)</f>
        <v>9689542477</v>
      </c>
      <c r="F273" s="138" t="str">
        <f>VLOOKUP(Purchase[[#This Row],[Supplier ID]],Supplier[#All],4,0)</f>
        <v>Indore</v>
      </c>
      <c r="G273" s="138" t="str">
        <f>VLOOKUP(Purchase[[#This Row],[Supplier ID]],Supplier[#All],5,0)</f>
        <v>MP</v>
      </c>
      <c r="H273" s="138" t="str">
        <f>VLOOKUP(Purchase[[#This Row],[Supplier ID]],Supplier[#All],6,0)</f>
        <v>GST2154521T039</v>
      </c>
      <c r="I273" s="138" t="s">
        <v>282</v>
      </c>
      <c r="J273" s="139">
        <v>14</v>
      </c>
      <c r="K273" s="143">
        <f>VLOOKUP(Purchase[[#This Row],[Product ID]],Product[#All],6,0)</f>
        <v>675</v>
      </c>
      <c r="L273" s="143">
        <f>Purchase[[#This Row],[Purchase Rate]]*Purchase[[#This Row],[Qty]]</f>
        <v>9450</v>
      </c>
      <c r="M273" s="140">
        <v>0</v>
      </c>
      <c r="N273" s="143">
        <v>0</v>
      </c>
      <c r="O273" s="140">
        <v>0.18</v>
      </c>
      <c r="P273" s="145">
        <f>(Purchase[[#This Row],[Gross Amount]]-Purchase[[#This Row],[Disct %]])*Purchase[[#This Row],[GST %]]</f>
        <v>1701</v>
      </c>
      <c r="Q273" s="145">
        <f>Purchase[[#This Row],[Gross Amount]]-Purchase[[#This Row],[Disct Amnt]]+Purchase[[#This Row],[GST Amount]]</f>
        <v>11151</v>
      </c>
      <c r="R273" s="138" t="s">
        <v>1019</v>
      </c>
      <c r="S273" s="41">
        <f>IF(Purchase[[#This Row],[Status]]="Cancelled",0,Purchase[[#This Row],[Qty]])</f>
        <v>14</v>
      </c>
      <c r="T273" s="146">
        <f>IF(Purchase[[#This Row],[Status]]="Cancelled",0,Purchase[[#This Row],[Total Amount]])</f>
        <v>11151</v>
      </c>
      <c r="U273" s="146">
        <f>SUM(Purchase[Net Amount])</f>
        <v>814985438.68000126</v>
      </c>
    </row>
    <row r="274" spans="1:21" ht="19.5" thickBot="1" x14ac:dyDescent="0.3">
      <c r="A274" s="136" t="s">
        <v>1301</v>
      </c>
      <c r="B274" s="137">
        <v>45671</v>
      </c>
      <c r="C274" s="138" t="s">
        <v>570</v>
      </c>
      <c r="D274" s="138" t="str">
        <f>VLOOKUP(Purchase[[#This Row],[Supplier ID]],Supplier[#All],2,0)</f>
        <v>Prime Traders</v>
      </c>
      <c r="E274" s="138">
        <f>VLOOKUP(Purchase[[#This Row],[Supplier ID]],Supplier[#All],3,0)</f>
        <v>9689542456</v>
      </c>
      <c r="F274" s="138" t="str">
        <f>VLOOKUP(Purchase[[#This Row],[Supplier ID]],Supplier[#All],4,0)</f>
        <v>Indore</v>
      </c>
      <c r="G274" s="138" t="str">
        <f>VLOOKUP(Purchase[[#This Row],[Supplier ID]],Supplier[#All],5,0)</f>
        <v>MP</v>
      </c>
      <c r="H274" s="138" t="str">
        <f>VLOOKUP(Purchase[[#This Row],[Supplier ID]],Supplier[#All],6,0)</f>
        <v>GST2154521T018</v>
      </c>
      <c r="I274" s="138" t="s">
        <v>407</v>
      </c>
      <c r="J274" s="139">
        <v>37</v>
      </c>
      <c r="K274" s="143">
        <f>VLOOKUP(Purchase[[#This Row],[Product ID]],Product[#All],6,0)</f>
        <v>38335</v>
      </c>
      <c r="L274" s="143">
        <f>Purchase[[#This Row],[Purchase Rate]]*Purchase[[#This Row],[Qty]]</f>
        <v>1418395</v>
      </c>
      <c r="M274" s="140">
        <v>0</v>
      </c>
      <c r="N274" s="143">
        <v>0</v>
      </c>
      <c r="O274" s="140">
        <v>0.18</v>
      </c>
      <c r="P274" s="145">
        <f>(Purchase[[#This Row],[Gross Amount]]-Purchase[[#This Row],[Disct %]])*Purchase[[#This Row],[GST %]]</f>
        <v>255311.09999999998</v>
      </c>
      <c r="Q274" s="145">
        <f>Purchase[[#This Row],[Gross Amount]]-Purchase[[#This Row],[Disct Amnt]]+Purchase[[#This Row],[GST Amount]]</f>
        <v>1673706.1</v>
      </c>
      <c r="R274" s="138" t="s">
        <v>1019</v>
      </c>
      <c r="S274" s="41">
        <f>IF(Purchase[[#This Row],[Status]]="Cancelled",0,Purchase[[#This Row],[Qty]])</f>
        <v>37</v>
      </c>
      <c r="T274" s="146">
        <f>IF(Purchase[[#This Row],[Status]]="Cancelled",0,Purchase[[#This Row],[Total Amount]])</f>
        <v>1673706.1</v>
      </c>
      <c r="U274" s="146">
        <f>SUM(Purchase[Net Amount])</f>
        <v>814985438.68000126</v>
      </c>
    </row>
    <row r="275" spans="1:21" ht="19.5" thickBot="1" x14ac:dyDescent="0.3">
      <c r="A275" s="136" t="s">
        <v>1302</v>
      </c>
      <c r="B275" s="137">
        <v>45671</v>
      </c>
      <c r="C275" s="138" t="s">
        <v>616</v>
      </c>
      <c r="D275" s="138" t="str">
        <f>VLOOKUP(Purchase[[#This Row],[Supplier ID]],Supplier[#All],2,0)</f>
        <v>Global Suppliers</v>
      </c>
      <c r="E275" s="138">
        <f>VLOOKUP(Purchase[[#This Row],[Supplier ID]],Supplier[#All],3,0)</f>
        <v>9689542499</v>
      </c>
      <c r="F275" s="138" t="str">
        <f>VLOOKUP(Purchase[[#This Row],[Supplier ID]],Supplier[#All],4,0)</f>
        <v>Kanpur</v>
      </c>
      <c r="G275" s="138" t="str">
        <f>VLOOKUP(Purchase[[#This Row],[Supplier ID]],Supplier[#All],5,0)</f>
        <v>UP</v>
      </c>
      <c r="H275" s="138" t="str">
        <f>VLOOKUP(Purchase[[#This Row],[Supplier ID]],Supplier[#All],6,0)</f>
        <v>GST2154521T061</v>
      </c>
      <c r="I275" s="138" t="s">
        <v>363</v>
      </c>
      <c r="J275" s="139">
        <v>32</v>
      </c>
      <c r="K275" s="143">
        <f>VLOOKUP(Purchase[[#This Row],[Product ID]],Product[#All],6,0)</f>
        <v>30731</v>
      </c>
      <c r="L275" s="143">
        <f>Purchase[[#This Row],[Purchase Rate]]*Purchase[[#This Row],[Qty]]</f>
        <v>983392</v>
      </c>
      <c r="M275" s="140">
        <v>0</v>
      </c>
      <c r="N275" s="143">
        <v>0</v>
      </c>
      <c r="O275" s="140">
        <v>0.18</v>
      </c>
      <c r="P275" s="145">
        <f>(Purchase[[#This Row],[Gross Amount]]-Purchase[[#This Row],[Disct %]])*Purchase[[#This Row],[GST %]]</f>
        <v>177010.56</v>
      </c>
      <c r="Q275" s="145">
        <f>Purchase[[#This Row],[Gross Amount]]-Purchase[[#This Row],[Disct Amnt]]+Purchase[[#This Row],[GST Amount]]</f>
        <v>1160402.56</v>
      </c>
      <c r="R275" s="138" t="s">
        <v>1019</v>
      </c>
      <c r="S275" s="41">
        <f>IF(Purchase[[#This Row],[Status]]="Cancelled",0,Purchase[[#This Row],[Qty]])</f>
        <v>32</v>
      </c>
      <c r="T275" s="146">
        <f>IF(Purchase[[#This Row],[Status]]="Cancelled",0,Purchase[[#This Row],[Total Amount]])</f>
        <v>1160402.56</v>
      </c>
      <c r="U275" s="146">
        <f>SUM(Purchase[Net Amount])</f>
        <v>814985438.68000126</v>
      </c>
    </row>
    <row r="276" spans="1:21" ht="19.5" thickBot="1" x14ac:dyDescent="0.3">
      <c r="A276" s="136" t="s">
        <v>1303</v>
      </c>
      <c r="B276" s="137">
        <v>45671</v>
      </c>
      <c r="C276" s="138" t="s">
        <v>597</v>
      </c>
      <c r="D276" s="138" t="str">
        <f>VLOOKUP(Purchase[[#This Row],[Supplier ID]],Supplier[#All],2,0)</f>
        <v>Tech Traders</v>
      </c>
      <c r="E276" s="138">
        <f>VLOOKUP(Purchase[[#This Row],[Supplier ID]],Supplier[#All],3,0)</f>
        <v>9689542480</v>
      </c>
      <c r="F276" s="138" t="str">
        <f>VLOOKUP(Purchase[[#This Row],[Supplier ID]],Supplier[#All],4,0)</f>
        <v>Kanpur</v>
      </c>
      <c r="G276" s="138" t="str">
        <f>VLOOKUP(Purchase[[#This Row],[Supplier ID]],Supplier[#All],5,0)</f>
        <v>UP</v>
      </c>
      <c r="H276" s="138" t="str">
        <f>VLOOKUP(Purchase[[#This Row],[Supplier ID]],Supplier[#All],6,0)</f>
        <v>GST2154521T042</v>
      </c>
      <c r="I276" s="138" t="s">
        <v>529</v>
      </c>
      <c r="J276" s="139">
        <v>14</v>
      </c>
      <c r="K276" s="143">
        <f>VLOOKUP(Purchase[[#This Row],[Product ID]],Product[#All],6,0)</f>
        <v>2878</v>
      </c>
      <c r="L276" s="143">
        <f>Purchase[[#This Row],[Purchase Rate]]*Purchase[[#This Row],[Qty]]</f>
        <v>40292</v>
      </c>
      <c r="M276" s="140">
        <v>0</v>
      </c>
      <c r="N276" s="143">
        <v>0</v>
      </c>
      <c r="O276" s="140">
        <v>0.18</v>
      </c>
      <c r="P276" s="145">
        <f>(Purchase[[#This Row],[Gross Amount]]-Purchase[[#This Row],[Disct %]])*Purchase[[#This Row],[GST %]]</f>
        <v>7252.5599999999995</v>
      </c>
      <c r="Q276" s="145">
        <f>Purchase[[#This Row],[Gross Amount]]-Purchase[[#This Row],[Disct Amnt]]+Purchase[[#This Row],[GST Amount]]</f>
        <v>47544.56</v>
      </c>
      <c r="R276" s="138" t="s">
        <v>1019</v>
      </c>
      <c r="S276" s="41">
        <f>IF(Purchase[[#This Row],[Status]]="Cancelled",0,Purchase[[#This Row],[Qty]])</f>
        <v>14</v>
      </c>
      <c r="T276" s="146">
        <f>IF(Purchase[[#This Row],[Status]]="Cancelled",0,Purchase[[#This Row],[Total Amount]])</f>
        <v>47544.56</v>
      </c>
      <c r="U276" s="146">
        <f>SUM(Purchase[Net Amount])</f>
        <v>814985438.68000126</v>
      </c>
    </row>
    <row r="277" spans="1:21" ht="19.5" thickBot="1" x14ac:dyDescent="0.3">
      <c r="A277" s="136" t="s">
        <v>1304</v>
      </c>
      <c r="B277" s="137">
        <v>45671</v>
      </c>
      <c r="C277" s="138" t="s">
        <v>584</v>
      </c>
      <c r="D277" s="138" t="str">
        <f>VLOOKUP(Purchase[[#This Row],[Supplier ID]],Supplier[#All],2,0)</f>
        <v>Prime Computers</v>
      </c>
      <c r="E277" s="138">
        <f>VLOOKUP(Purchase[[#This Row],[Supplier ID]],Supplier[#All],3,0)</f>
        <v>9689542468</v>
      </c>
      <c r="F277" s="138" t="str">
        <f>VLOOKUP(Purchase[[#This Row],[Supplier ID]],Supplier[#All],4,0)</f>
        <v>Kanpur</v>
      </c>
      <c r="G277" s="138" t="str">
        <f>VLOOKUP(Purchase[[#This Row],[Supplier ID]],Supplier[#All],5,0)</f>
        <v>UP</v>
      </c>
      <c r="H277" s="138" t="str">
        <f>VLOOKUP(Purchase[[#This Row],[Supplier ID]],Supplier[#All],6,0)</f>
        <v>GST2154521T030</v>
      </c>
      <c r="I277" s="138" t="s">
        <v>334</v>
      </c>
      <c r="J277" s="139">
        <v>7</v>
      </c>
      <c r="K277" s="143">
        <f>VLOOKUP(Purchase[[#This Row],[Product ID]],Product[#All],6,0)</f>
        <v>2706</v>
      </c>
      <c r="L277" s="143">
        <f>Purchase[[#This Row],[Purchase Rate]]*Purchase[[#This Row],[Qty]]</f>
        <v>18942</v>
      </c>
      <c r="M277" s="140">
        <v>0</v>
      </c>
      <c r="N277" s="143">
        <v>0</v>
      </c>
      <c r="O277" s="140">
        <v>0.18</v>
      </c>
      <c r="P277" s="145">
        <f>(Purchase[[#This Row],[Gross Amount]]-Purchase[[#This Row],[Disct %]])*Purchase[[#This Row],[GST %]]</f>
        <v>3409.56</v>
      </c>
      <c r="Q277" s="145">
        <f>Purchase[[#This Row],[Gross Amount]]-Purchase[[#This Row],[Disct Amnt]]+Purchase[[#This Row],[GST Amount]]</f>
        <v>22351.56</v>
      </c>
      <c r="R277" s="138" t="s">
        <v>1019</v>
      </c>
      <c r="S277" s="41">
        <f>IF(Purchase[[#This Row],[Status]]="Cancelled",0,Purchase[[#This Row],[Qty]])</f>
        <v>7</v>
      </c>
      <c r="T277" s="146">
        <f>IF(Purchase[[#This Row],[Status]]="Cancelled",0,Purchase[[#This Row],[Total Amount]])</f>
        <v>22351.56</v>
      </c>
      <c r="U277" s="146">
        <f>SUM(Purchase[Net Amount])</f>
        <v>814985438.68000126</v>
      </c>
    </row>
    <row r="278" spans="1:21" ht="19.5" thickBot="1" x14ac:dyDescent="0.3">
      <c r="A278" s="136" t="s">
        <v>1305</v>
      </c>
      <c r="B278" s="137">
        <v>45671</v>
      </c>
      <c r="C278" s="138" t="s">
        <v>604</v>
      </c>
      <c r="D278" s="138" t="str">
        <f>VLOOKUP(Purchase[[#This Row],[Supplier ID]],Supplier[#All],2,0)</f>
        <v>Prime Traders</v>
      </c>
      <c r="E278" s="138">
        <f>VLOOKUP(Purchase[[#This Row],[Supplier ID]],Supplier[#All],3,0)</f>
        <v>9689542487</v>
      </c>
      <c r="F278" s="138" t="str">
        <f>VLOOKUP(Purchase[[#This Row],[Supplier ID]],Supplier[#All],4,0)</f>
        <v>Indore</v>
      </c>
      <c r="G278" s="138" t="str">
        <f>VLOOKUP(Purchase[[#This Row],[Supplier ID]],Supplier[#All],5,0)</f>
        <v>MP</v>
      </c>
      <c r="H278" s="138" t="str">
        <f>VLOOKUP(Purchase[[#This Row],[Supplier ID]],Supplier[#All],6,0)</f>
        <v>GST2154521T049</v>
      </c>
      <c r="I278" s="138" t="s">
        <v>431</v>
      </c>
      <c r="J278" s="139">
        <v>40</v>
      </c>
      <c r="K278" s="143">
        <f>VLOOKUP(Purchase[[#This Row],[Product ID]],Product[#All],6,0)</f>
        <v>14391</v>
      </c>
      <c r="L278" s="143">
        <f>Purchase[[#This Row],[Purchase Rate]]*Purchase[[#This Row],[Qty]]</f>
        <v>575640</v>
      </c>
      <c r="M278" s="140">
        <v>0</v>
      </c>
      <c r="N278" s="143">
        <v>0</v>
      </c>
      <c r="O278" s="140">
        <v>0.18</v>
      </c>
      <c r="P278" s="145">
        <f>(Purchase[[#This Row],[Gross Amount]]-Purchase[[#This Row],[Disct %]])*Purchase[[#This Row],[GST %]]</f>
        <v>103615.2</v>
      </c>
      <c r="Q278" s="145">
        <f>Purchase[[#This Row],[Gross Amount]]-Purchase[[#This Row],[Disct Amnt]]+Purchase[[#This Row],[GST Amount]]</f>
        <v>679255.2</v>
      </c>
      <c r="R278" s="138" t="s">
        <v>1019</v>
      </c>
      <c r="S278" s="41">
        <f>IF(Purchase[[#This Row],[Status]]="Cancelled",0,Purchase[[#This Row],[Qty]])</f>
        <v>40</v>
      </c>
      <c r="T278" s="146">
        <f>IF(Purchase[[#This Row],[Status]]="Cancelled",0,Purchase[[#This Row],[Total Amount]])</f>
        <v>679255.2</v>
      </c>
      <c r="U278" s="146">
        <f>SUM(Purchase[Net Amount])</f>
        <v>814985438.68000126</v>
      </c>
    </row>
    <row r="279" spans="1:21" ht="19.5" thickBot="1" x14ac:dyDescent="0.3">
      <c r="A279" s="136" t="s">
        <v>1306</v>
      </c>
      <c r="B279" s="137">
        <v>45671</v>
      </c>
      <c r="C279" s="138" t="s">
        <v>604</v>
      </c>
      <c r="D279" s="138" t="str">
        <f>VLOOKUP(Purchase[[#This Row],[Supplier ID]],Supplier[#All],2,0)</f>
        <v>Prime Traders</v>
      </c>
      <c r="E279" s="138">
        <f>VLOOKUP(Purchase[[#This Row],[Supplier ID]],Supplier[#All],3,0)</f>
        <v>9689542487</v>
      </c>
      <c r="F279" s="138" t="str">
        <f>VLOOKUP(Purchase[[#This Row],[Supplier ID]],Supplier[#All],4,0)</f>
        <v>Indore</v>
      </c>
      <c r="G279" s="138" t="str">
        <f>VLOOKUP(Purchase[[#This Row],[Supplier ID]],Supplier[#All],5,0)</f>
        <v>MP</v>
      </c>
      <c r="H279" s="138" t="str">
        <f>VLOOKUP(Purchase[[#This Row],[Supplier ID]],Supplier[#All],6,0)</f>
        <v>GST2154521T049</v>
      </c>
      <c r="I279" s="138" t="s">
        <v>380</v>
      </c>
      <c r="J279" s="139">
        <v>40</v>
      </c>
      <c r="K279" s="143">
        <f>VLOOKUP(Purchase[[#This Row],[Product ID]],Product[#All],6,0)</f>
        <v>72229</v>
      </c>
      <c r="L279" s="143">
        <f>Purchase[[#This Row],[Purchase Rate]]*Purchase[[#This Row],[Qty]]</f>
        <v>2889160</v>
      </c>
      <c r="M279" s="140">
        <v>0</v>
      </c>
      <c r="N279" s="143">
        <v>0</v>
      </c>
      <c r="O279" s="140">
        <v>0.18</v>
      </c>
      <c r="P279" s="145">
        <f>(Purchase[[#This Row],[Gross Amount]]-Purchase[[#This Row],[Disct %]])*Purchase[[#This Row],[GST %]]</f>
        <v>520048.8</v>
      </c>
      <c r="Q279" s="145">
        <f>Purchase[[#This Row],[Gross Amount]]-Purchase[[#This Row],[Disct Amnt]]+Purchase[[#This Row],[GST Amount]]</f>
        <v>3409208.8</v>
      </c>
      <c r="R279" s="138" t="s">
        <v>1019</v>
      </c>
      <c r="S279" s="41">
        <f>IF(Purchase[[#This Row],[Status]]="Cancelled",0,Purchase[[#This Row],[Qty]])</f>
        <v>40</v>
      </c>
      <c r="T279" s="146">
        <f>IF(Purchase[[#This Row],[Status]]="Cancelled",0,Purchase[[#This Row],[Total Amount]])</f>
        <v>3409208.8</v>
      </c>
      <c r="U279" s="146">
        <f>SUM(Purchase[Net Amount])</f>
        <v>814985438.68000126</v>
      </c>
    </row>
    <row r="280" spans="1:21" ht="19.5" thickBot="1" x14ac:dyDescent="0.3">
      <c r="A280" s="136" t="s">
        <v>1307</v>
      </c>
      <c r="B280" s="137">
        <v>45671</v>
      </c>
      <c r="C280" s="138" t="s">
        <v>583</v>
      </c>
      <c r="D280" s="138" t="str">
        <f>VLOOKUP(Purchase[[#This Row],[Supplier ID]],Supplier[#All],2,0)</f>
        <v>Shree Distributors</v>
      </c>
      <c r="E280" s="138">
        <f>VLOOKUP(Purchase[[#This Row],[Supplier ID]],Supplier[#All],3,0)</f>
        <v>9689542467</v>
      </c>
      <c r="F280" s="138" t="str">
        <f>VLOOKUP(Purchase[[#This Row],[Supplier ID]],Supplier[#All],4,0)</f>
        <v>Indore</v>
      </c>
      <c r="G280" s="138" t="str">
        <f>VLOOKUP(Purchase[[#This Row],[Supplier ID]],Supplier[#All],5,0)</f>
        <v>MP</v>
      </c>
      <c r="H280" s="138" t="str">
        <f>VLOOKUP(Purchase[[#This Row],[Supplier ID]],Supplier[#All],6,0)</f>
        <v>GST2154521T029</v>
      </c>
      <c r="I280" s="138" t="s">
        <v>273</v>
      </c>
      <c r="J280" s="139">
        <v>4</v>
      </c>
      <c r="K280" s="143">
        <f>VLOOKUP(Purchase[[#This Row],[Product ID]],Product[#All],6,0)</f>
        <v>3783</v>
      </c>
      <c r="L280" s="143">
        <f>Purchase[[#This Row],[Purchase Rate]]*Purchase[[#This Row],[Qty]]</f>
        <v>15132</v>
      </c>
      <c r="M280" s="140">
        <v>0</v>
      </c>
      <c r="N280" s="143">
        <v>0</v>
      </c>
      <c r="O280" s="140">
        <v>0.18</v>
      </c>
      <c r="P280" s="145">
        <f>(Purchase[[#This Row],[Gross Amount]]-Purchase[[#This Row],[Disct %]])*Purchase[[#This Row],[GST %]]</f>
        <v>2723.7599999999998</v>
      </c>
      <c r="Q280" s="145">
        <f>Purchase[[#This Row],[Gross Amount]]-Purchase[[#This Row],[Disct Amnt]]+Purchase[[#This Row],[GST Amount]]</f>
        <v>17855.759999999998</v>
      </c>
      <c r="R280" s="138" t="s">
        <v>1019</v>
      </c>
      <c r="S280" s="41">
        <f>IF(Purchase[[#This Row],[Status]]="Cancelled",0,Purchase[[#This Row],[Qty]])</f>
        <v>4</v>
      </c>
      <c r="T280" s="146">
        <f>IF(Purchase[[#This Row],[Status]]="Cancelled",0,Purchase[[#This Row],[Total Amount]])</f>
        <v>17855.759999999998</v>
      </c>
      <c r="U280" s="146">
        <f>SUM(Purchase[Net Amount])</f>
        <v>814985438.68000126</v>
      </c>
    </row>
    <row r="281" spans="1:21" ht="19.5" thickBot="1" x14ac:dyDescent="0.3">
      <c r="A281" s="136" t="s">
        <v>1308</v>
      </c>
      <c r="B281" s="137">
        <v>45671</v>
      </c>
      <c r="C281" s="138" t="s">
        <v>595</v>
      </c>
      <c r="D281" s="138" t="str">
        <f>VLOOKUP(Purchase[[#This Row],[Supplier ID]],Supplier[#All],2,0)</f>
        <v>Star Computers</v>
      </c>
      <c r="E281" s="138">
        <f>VLOOKUP(Purchase[[#This Row],[Supplier ID]],Supplier[#All],3,0)</f>
        <v>9689542478</v>
      </c>
      <c r="F281" s="138" t="str">
        <f>VLOOKUP(Purchase[[#This Row],[Supplier ID]],Supplier[#All],4,0)</f>
        <v>Kanpur</v>
      </c>
      <c r="G281" s="138" t="str">
        <f>VLOOKUP(Purchase[[#This Row],[Supplier ID]],Supplier[#All],5,0)</f>
        <v>UP</v>
      </c>
      <c r="H281" s="138" t="str">
        <f>VLOOKUP(Purchase[[#This Row],[Supplier ID]],Supplier[#All],6,0)</f>
        <v>GST2154521T040</v>
      </c>
      <c r="I281" s="138" t="s">
        <v>92</v>
      </c>
      <c r="J281" s="139">
        <v>28</v>
      </c>
      <c r="K281" s="143">
        <f>VLOOKUP(Purchase[[#This Row],[Product ID]],Product[#All],6,0)</f>
        <v>5110</v>
      </c>
      <c r="L281" s="143">
        <f>Purchase[[#This Row],[Purchase Rate]]*Purchase[[#This Row],[Qty]]</f>
        <v>143080</v>
      </c>
      <c r="M281" s="140">
        <v>0</v>
      </c>
      <c r="N281" s="143">
        <v>0</v>
      </c>
      <c r="O281" s="140">
        <v>0.18</v>
      </c>
      <c r="P281" s="145">
        <f>(Purchase[[#This Row],[Gross Amount]]-Purchase[[#This Row],[Disct %]])*Purchase[[#This Row],[GST %]]</f>
        <v>25754.399999999998</v>
      </c>
      <c r="Q281" s="145">
        <f>Purchase[[#This Row],[Gross Amount]]-Purchase[[#This Row],[Disct Amnt]]+Purchase[[#This Row],[GST Amount]]</f>
        <v>168834.4</v>
      </c>
      <c r="R281" s="138" t="s">
        <v>1019</v>
      </c>
      <c r="S281" s="41">
        <f>IF(Purchase[[#This Row],[Status]]="Cancelled",0,Purchase[[#This Row],[Qty]])</f>
        <v>28</v>
      </c>
      <c r="T281" s="146">
        <f>IF(Purchase[[#This Row],[Status]]="Cancelled",0,Purchase[[#This Row],[Total Amount]])</f>
        <v>168834.4</v>
      </c>
      <c r="U281" s="146">
        <f>SUM(Purchase[Net Amount])</f>
        <v>814985438.68000126</v>
      </c>
    </row>
    <row r="282" spans="1:21" ht="19.5" thickBot="1" x14ac:dyDescent="0.3">
      <c r="A282" s="136" t="s">
        <v>1309</v>
      </c>
      <c r="B282" s="137">
        <v>45671</v>
      </c>
      <c r="C282" s="138" t="s">
        <v>570</v>
      </c>
      <c r="D282" s="138" t="str">
        <f>VLOOKUP(Purchase[[#This Row],[Supplier ID]],Supplier[#All],2,0)</f>
        <v>Prime Traders</v>
      </c>
      <c r="E282" s="138">
        <f>VLOOKUP(Purchase[[#This Row],[Supplier ID]],Supplier[#All],3,0)</f>
        <v>9689542456</v>
      </c>
      <c r="F282" s="138" t="str">
        <f>VLOOKUP(Purchase[[#This Row],[Supplier ID]],Supplier[#All],4,0)</f>
        <v>Indore</v>
      </c>
      <c r="G282" s="138" t="str">
        <f>VLOOKUP(Purchase[[#This Row],[Supplier ID]],Supplier[#All],5,0)</f>
        <v>MP</v>
      </c>
      <c r="H282" s="138" t="str">
        <f>VLOOKUP(Purchase[[#This Row],[Supplier ID]],Supplier[#All],6,0)</f>
        <v>GST2154521T018</v>
      </c>
      <c r="I282" s="138" t="s">
        <v>530</v>
      </c>
      <c r="J282" s="139">
        <v>17</v>
      </c>
      <c r="K282" s="143">
        <f>VLOOKUP(Purchase[[#This Row],[Product ID]],Product[#All],6,0)</f>
        <v>26588</v>
      </c>
      <c r="L282" s="143">
        <f>Purchase[[#This Row],[Purchase Rate]]*Purchase[[#This Row],[Qty]]</f>
        <v>451996</v>
      </c>
      <c r="M282" s="140">
        <v>0</v>
      </c>
      <c r="N282" s="143">
        <v>0</v>
      </c>
      <c r="O282" s="140">
        <v>0.18</v>
      </c>
      <c r="P282" s="145">
        <f>(Purchase[[#This Row],[Gross Amount]]-Purchase[[#This Row],[Disct %]])*Purchase[[#This Row],[GST %]]</f>
        <v>81359.28</v>
      </c>
      <c r="Q282" s="145">
        <f>Purchase[[#This Row],[Gross Amount]]-Purchase[[#This Row],[Disct Amnt]]+Purchase[[#This Row],[GST Amount]]</f>
        <v>533355.28</v>
      </c>
      <c r="R282" s="138" t="s">
        <v>1019</v>
      </c>
      <c r="S282" s="41">
        <f>IF(Purchase[[#This Row],[Status]]="Cancelled",0,Purchase[[#This Row],[Qty]])</f>
        <v>17</v>
      </c>
      <c r="T282" s="146">
        <f>IF(Purchase[[#This Row],[Status]]="Cancelled",0,Purchase[[#This Row],[Total Amount]])</f>
        <v>533355.28</v>
      </c>
      <c r="U282" s="146">
        <f>SUM(Purchase[Net Amount])</f>
        <v>814985438.68000126</v>
      </c>
    </row>
    <row r="283" spans="1:21" ht="19.5" thickBot="1" x14ac:dyDescent="0.3">
      <c r="A283" s="136" t="s">
        <v>1310</v>
      </c>
      <c r="B283" s="137">
        <v>45672</v>
      </c>
      <c r="C283" s="138" t="s">
        <v>576</v>
      </c>
      <c r="D283" s="138" t="str">
        <f>VLOOKUP(Purchase[[#This Row],[Supplier ID]],Supplier[#All],2,0)</f>
        <v>Maa Distributors</v>
      </c>
      <c r="E283" s="138">
        <f>VLOOKUP(Purchase[[#This Row],[Supplier ID]],Supplier[#All],3,0)</f>
        <v>9689542460</v>
      </c>
      <c r="F283" s="138" t="str">
        <f>VLOOKUP(Purchase[[#This Row],[Supplier ID]],Supplier[#All],4,0)</f>
        <v>Korba</v>
      </c>
      <c r="G283" s="138" t="str">
        <f>VLOOKUP(Purchase[[#This Row],[Supplier ID]],Supplier[#All],5,0)</f>
        <v>CG</v>
      </c>
      <c r="H283" s="138" t="str">
        <f>VLOOKUP(Purchase[[#This Row],[Supplier ID]],Supplier[#All],6,0)</f>
        <v>GST2154521T022</v>
      </c>
      <c r="I283" s="138" t="s">
        <v>545</v>
      </c>
      <c r="J283" s="139">
        <v>38</v>
      </c>
      <c r="K283" s="143">
        <f>VLOOKUP(Purchase[[#This Row],[Product ID]],Product[#All],6,0)</f>
        <v>5298</v>
      </c>
      <c r="L283" s="143">
        <f>Purchase[[#This Row],[Purchase Rate]]*Purchase[[#This Row],[Qty]]</f>
        <v>201324</v>
      </c>
      <c r="M283" s="140">
        <v>0</v>
      </c>
      <c r="N283" s="143">
        <v>0</v>
      </c>
      <c r="O283" s="140">
        <v>0.18</v>
      </c>
      <c r="P283" s="145">
        <f>(Purchase[[#This Row],[Gross Amount]]-Purchase[[#This Row],[Disct %]])*Purchase[[#This Row],[GST %]]</f>
        <v>36238.32</v>
      </c>
      <c r="Q283" s="145">
        <f>Purchase[[#This Row],[Gross Amount]]-Purchase[[#This Row],[Disct Amnt]]+Purchase[[#This Row],[GST Amount]]</f>
        <v>237562.32</v>
      </c>
      <c r="R283" s="138" t="s">
        <v>1019</v>
      </c>
      <c r="S283" s="41">
        <f>IF(Purchase[[#This Row],[Status]]="Cancelled",0,Purchase[[#This Row],[Qty]])</f>
        <v>38</v>
      </c>
      <c r="T283" s="146">
        <f>IF(Purchase[[#This Row],[Status]]="Cancelled",0,Purchase[[#This Row],[Total Amount]])</f>
        <v>237562.32</v>
      </c>
      <c r="U283" s="146">
        <f>SUM(Purchase[Net Amount])</f>
        <v>814985438.68000126</v>
      </c>
    </row>
    <row r="284" spans="1:21" ht="19.5" thickBot="1" x14ac:dyDescent="0.3">
      <c r="A284" s="136" t="s">
        <v>1311</v>
      </c>
      <c r="B284" s="137">
        <v>45672</v>
      </c>
      <c r="C284" s="138" t="s">
        <v>587</v>
      </c>
      <c r="D284" s="138" t="str">
        <f>VLOOKUP(Purchase[[#This Row],[Supplier ID]],Supplier[#All],2,0)</f>
        <v>maa distributors</v>
      </c>
      <c r="E284" s="138">
        <f>VLOOKUP(Purchase[[#This Row],[Supplier ID]],Supplier[#All],3,0)</f>
        <v>9689542479</v>
      </c>
      <c r="F284" s="138" t="str">
        <f>VLOOKUP(Purchase[[#This Row],[Supplier ID]],Supplier[#All],4,0)</f>
        <v>Indore</v>
      </c>
      <c r="G284" s="138" t="str">
        <f>VLOOKUP(Purchase[[#This Row],[Supplier ID]],Supplier[#All],5,0)</f>
        <v>MP</v>
      </c>
      <c r="H284" s="138" t="str">
        <f>VLOOKUP(Purchase[[#This Row],[Supplier ID]],Supplier[#All],6,0)</f>
        <v>GST2154521T033</v>
      </c>
      <c r="I284" s="138" t="s">
        <v>204</v>
      </c>
      <c r="J284" s="139">
        <v>35</v>
      </c>
      <c r="K284" s="143">
        <f>VLOOKUP(Purchase[[#This Row],[Product ID]],Product[#All],6,0)</f>
        <v>33533</v>
      </c>
      <c r="L284" s="143">
        <f>Purchase[[#This Row],[Purchase Rate]]*Purchase[[#This Row],[Qty]]</f>
        <v>1173655</v>
      </c>
      <c r="M284" s="140">
        <v>0</v>
      </c>
      <c r="N284" s="143">
        <v>0</v>
      </c>
      <c r="O284" s="140">
        <v>0.18</v>
      </c>
      <c r="P284" s="145">
        <f>(Purchase[[#This Row],[Gross Amount]]-Purchase[[#This Row],[Disct %]])*Purchase[[#This Row],[GST %]]</f>
        <v>211257.9</v>
      </c>
      <c r="Q284" s="145">
        <f>Purchase[[#This Row],[Gross Amount]]-Purchase[[#This Row],[Disct Amnt]]+Purchase[[#This Row],[GST Amount]]</f>
        <v>1384912.9</v>
      </c>
      <c r="R284" s="138" t="s">
        <v>1019</v>
      </c>
      <c r="S284" s="41">
        <f>IF(Purchase[[#This Row],[Status]]="Cancelled",0,Purchase[[#This Row],[Qty]])</f>
        <v>35</v>
      </c>
      <c r="T284" s="146">
        <f>IF(Purchase[[#This Row],[Status]]="Cancelled",0,Purchase[[#This Row],[Total Amount]])</f>
        <v>1384912.9</v>
      </c>
      <c r="U284" s="146">
        <f>SUM(Purchase[Net Amount])</f>
        <v>814985438.68000126</v>
      </c>
    </row>
    <row r="285" spans="1:21" ht="19.5" thickBot="1" x14ac:dyDescent="0.3">
      <c r="A285" s="136" t="s">
        <v>1312</v>
      </c>
      <c r="B285" s="137">
        <v>45672</v>
      </c>
      <c r="C285" s="138" t="s">
        <v>613</v>
      </c>
      <c r="D285" s="138" t="str">
        <f>VLOOKUP(Purchase[[#This Row],[Supplier ID]],Supplier[#All],2,0)</f>
        <v>National Traders</v>
      </c>
      <c r="E285" s="138">
        <f>VLOOKUP(Purchase[[#This Row],[Supplier ID]],Supplier[#All],3,0)</f>
        <v>9689542496</v>
      </c>
      <c r="F285" s="138" t="str">
        <f>VLOOKUP(Purchase[[#This Row],[Supplier ID]],Supplier[#All],4,0)</f>
        <v>Indore</v>
      </c>
      <c r="G285" s="138" t="str">
        <f>VLOOKUP(Purchase[[#This Row],[Supplier ID]],Supplier[#All],5,0)</f>
        <v>MP</v>
      </c>
      <c r="H285" s="138" t="str">
        <f>VLOOKUP(Purchase[[#This Row],[Supplier ID]],Supplier[#All],6,0)</f>
        <v>GST2154521T058</v>
      </c>
      <c r="I285" s="138" t="s">
        <v>329</v>
      </c>
      <c r="J285" s="139">
        <v>21</v>
      </c>
      <c r="K285" s="143">
        <f>VLOOKUP(Purchase[[#This Row],[Product ID]],Product[#All],6,0)</f>
        <v>826</v>
      </c>
      <c r="L285" s="143">
        <f>Purchase[[#This Row],[Purchase Rate]]*Purchase[[#This Row],[Qty]]</f>
        <v>17346</v>
      </c>
      <c r="M285" s="140">
        <v>0</v>
      </c>
      <c r="N285" s="143">
        <v>0</v>
      </c>
      <c r="O285" s="140">
        <v>0.18</v>
      </c>
      <c r="P285" s="145">
        <f>(Purchase[[#This Row],[Gross Amount]]-Purchase[[#This Row],[Disct %]])*Purchase[[#This Row],[GST %]]</f>
        <v>3122.2799999999997</v>
      </c>
      <c r="Q285" s="145">
        <f>Purchase[[#This Row],[Gross Amount]]-Purchase[[#This Row],[Disct Amnt]]+Purchase[[#This Row],[GST Amount]]</f>
        <v>20468.28</v>
      </c>
      <c r="R285" s="138" t="s">
        <v>1019</v>
      </c>
      <c r="S285" s="41">
        <f>IF(Purchase[[#This Row],[Status]]="Cancelled",0,Purchase[[#This Row],[Qty]])</f>
        <v>21</v>
      </c>
      <c r="T285" s="146">
        <f>IF(Purchase[[#This Row],[Status]]="Cancelled",0,Purchase[[#This Row],[Total Amount]])</f>
        <v>20468.28</v>
      </c>
      <c r="U285" s="146">
        <f>SUM(Purchase[Net Amount])</f>
        <v>814985438.68000126</v>
      </c>
    </row>
    <row r="286" spans="1:21" ht="19.5" thickBot="1" x14ac:dyDescent="0.3">
      <c r="A286" s="136" t="s">
        <v>1313</v>
      </c>
      <c r="B286" s="137">
        <v>45672</v>
      </c>
      <c r="C286" s="138" t="s">
        <v>605</v>
      </c>
      <c r="D286" s="138" t="str">
        <f>VLOOKUP(Purchase[[#This Row],[Supplier ID]],Supplier[#All],2,0)</f>
        <v>Star Traders</v>
      </c>
      <c r="E286" s="138">
        <f>VLOOKUP(Purchase[[#This Row],[Supplier ID]],Supplier[#All],3,0)</f>
        <v>9689542488</v>
      </c>
      <c r="F286" s="138" t="str">
        <f>VLOOKUP(Purchase[[#This Row],[Supplier ID]],Supplier[#All],4,0)</f>
        <v>Indore</v>
      </c>
      <c r="G286" s="138" t="str">
        <f>VLOOKUP(Purchase[[#This Row],[Supplier ID]],Supplier[#All],5,0)</f>
        <v>MP</v>
      </c>
      <c r="H286" s="138" t="str">
        <f>VLOOKUP(Purchase[[#This Row],[Supplier ID]],Supplier[#All],6,0)</f>
        <v>GST2154521T050</v>
      </c>
      <c r="I286" s="138" t="s">
        <v>297</v>
      </c>
      <c r="J286" s="139">
        <v>35</v>
      </c>
      <c r="K286" s="143">
        <f>VLOOKUP(Purchase[[#This Row],[Product ID]],Product[#All],6,0)</f>
        <v>34985</v>
      </c>
      <c r="L286" s="143">
        <f>Purchase[[#This Row],[Purchase Rate]]*Purchase[[#This Row],[Qty]]</f>
        <v>1224475</v>
      </c>
      <c r="M286" s="140">
        <v>0</v>
      </c>
      <c r="N286" s="143">
        <v>0</v>
      </c>
      <c r="O286" s="140">
        <v>0.18</v>
      </c>
      <c r="P286" s="145">
        <f>(Purchase[[#This Row],[Gross Amount]]-Purchase[[#This Row],[Disct %]])*Purchase[[#This Row],[GST %]]</f>
        <v>220405.5</v>
      </c>
      <c r="Q286" s="145">
        <f>Purchase[[#This Row],[Gross Amount]]-Purchase[[#This Row],[Disct Amnt]]+Purchase[[#This Row],[GST Amount]]</f>
        <v>1444880.5</v>
      </c>
      <c r="R286" s="138" t="s">
        <v>1019</v>
      </c>
      <c r="S286" s="41">
        <f>IF(Purchase[[#This Row],[Status]]="Cancelled",0,Purchase[[#This Row],[Qty]])</f>
        <v>35</v>
      </c>
      <c r="T286" s="146">
        <f>IF(Purchase[[#This Row],[Status]]="Cancelled",0,Purchase[[#This Row],[Total Amount]])</f>
        <v>1444880.5</v>
      </c>
      <c r="U286" s="146">
        <f>SUM(Purchase[Net Amount])</f>
        <v>814985438.68000126</v>
      </c>
    </row>
    <row r="287" spans="1:21" ht="19.5" thickBot="1" x14ac:dyDescent="0.3">
      <c r="A287" s="136" t="s">
        <v>1314</v>
      </c>
      <c r="B287" s="137">
        <v>45672</v>
      </c>
      <c r="C287" s="138" t="s">
        <v>607</v>
      </c>
      <c r="D287" s="138" t="str">
        <f>VLOOKUP(Purchase[[#This Row],[Supplier ID]],Supplier[#All],2,0)</f>
        <v>Global Distributors</v>
      </c>
      <c r="E287" s="138">
        <f>VLOOKUP(Purchase[[#This Row],[Supplier ID]],Supplier[#All],3,0)</f>
        <v>9689542490</v>
      </c>
      <c r="F287" s="138" t="str">
        <f>VLOOKUP(Purchase[[#This Row],[Supplier ID]],Supplier[#All],4,0)</f>
        <v>Kanpur</v>
      </c>
      <c r="G287" s="138" t="str">
        <f>VLOOKUP(Purchase[[#This Row],[Supplier ID]],Supplier[#All],5,0)</f>
        <v>UP</v>
      </c>
      <c r="H287" s="138" t="str">
        <f>VLOOKUP(Purchase[[#This Row],[Supplier ID]],Supplier[#All],6,0)</f>
        <v>GST2154521T052</v>
      </c>
      <c r="I287" s="138" t="s">
        <v>197</v>
      </c>
      <c r="J287" s="139">
        <v>28</v>
      </c>
      <c r="K287" s="143">
        <f>VLOOKUP(Purchase[[#This Row],[Product ID]],Product[#All],6,0)</f>
        <v>12461</v>
      </c>
      <c r="L287" s="143">
        <f>Purchase[[#This Row],[Purchase Rate]]*Purchase[[#This Row],[Qty]]</f>
        <v>348908</v>
      </c>
      <c r="M287" s="140">
        <v>0</v>
      </c>
      <c r="N287" s="143">
        <v>0</v>
      </c>
      <c r="O287" s="140">
        <v>0.18</v>
      </c>
      <c r="P287" s="145">
        <f>(Purchase[[#This Row],[Gross Amount]]-Purchase[[#This Row],[Disct %]])*Purchase[[#This Row],[GST %]]</f>
        <v>62803.439999999995</v>
      </c>
      <c r="Q287" s="145">
        <f>Purchase[[#This Row],[Gross Amount]]-Purchase[[#This Row],[Disct Amnt]]+Purchase[[#This Row],[GST Amount]]</f>
        <v>411711.44</v>
      </c>
      <c r="R287" s="138" t="s">
        <v>1040</v>
      </c>
      <c r="S287" s="41">
        <f>IF(Purchase[[#This Row],[Status]]="Cancelled",0,Purchase[[#This Row],[Qty]])</f>
        <v>0</v>
      </c>
      <c r="T287" s="146">
        <f>IF(Purchase[[#This Row],[Status]]="Cancelled",0,Purchase[[#This Row],[Total Amount]])</f>
        <v>0</v>
      </c>
      <c r="U287" s="146">
        <f>SUM(Purchase[Net Amount])</f>
        <v>814985438.68000126</v>
      </c>
    </row>
    <row r="288" spans="1:21" ht="19.5" thickBot="1" x14ac:dyDescent="0.3">
      <c r="A288" s="136" t="s">
        <v>1315</v>
      </c>
      <c r="B288" s="137">
        <v>45672</v>
      </c>
      <c r="C288" s="138" t="s">
        <v>599</v>
      </c>
      <c r="D288" s="138" t="str">
        <f>VLOOKUP(Purchase[[#This Row],[Supplier ID]],Supplier[#All],2,0)</f>
        <v>National Distributors</v>
      </c>
      <c r="E288" s="138">
        <f>VLOOKUP(Purchase[[#This Row],[Supplier ID]],Supplier[#All],3,0)</f>
        <v>9689542482</v>
      </c>
      <c r="F288" s="138" t="str">
        <f>VLOOKUP(Purchase[[#This Row],[Supplier ID]],Supplier[#All],4,0)</f>
        <v>Kanpur</v>
      </c>
      <c r="G288" s="138" t="str">
        <f>VLOOKUP(Purchase[[#This Row],[Supplier ID]],Supplier[#All],5,0)</f>
        <v>UP</v>
      </c>
      <c r="H288" s="138" t="str">
        <f>VLOOKUP(Purchase[[#This Row],[Supplier ID]],Supplier[#All],6,0)</f>
        <v>GST2154521T044</v>
      </c>
      <c r="I288" s="138" t="s">
        <v>216</v>
      </c>
      <c r="J288" s="139">
        <v>35</v>
      </c>
      <c r="K288" s="143">
        <f>VLOOKUP(Purchase[[#This Row],[Product ID]],Product[#All],6,0)</f>
        <v>950</v>
      </c>
      <c r="L288" s="143">
        <f>Purchase[[#This Row],[Purchase Rate]]*Purchase[[#This Row],[Qty]]</f>
        <v>33250</v>
      </c>
      <c r="M288" s="140">
        <v>0</v>
      </c>
      <c r="N288" s="143">
        <v>0</v>
      </c>
      <c r="O288" s="140">
        <v>0.18</v>
      </c>
      <c r="P288" s="145">
        <f>(Purchase[[#This Row],[Gross Amount]]-Purchase[[#This Row],[Disct %]])*Purchase[[#This Row],[GST %]]</f>
        <v>5985</v>
      </c>
      <c r="Q288" s="145">
        <f>Purchase[[#This Row],[Gross Amount]]-Purchase[[#This Row],[Disct Amnt]]+Purchase[[#This Row],[GST Amount]]</f>
        <v>39235</v>
      </c>
      <c r="R288" s="138" t="s">
        <v>1019</v>
      </c>
      <c r="S288" s="41">
        <f>IF(Purchase[[#This Row],[Status]]="Cancelled",0,Purchase[[#This Row],[Qty]])</f>
        <v>35</v>
      </c>
      <c r="T288" s="146">
        <f>IF(Purchase[[#This Row],[Status]]="Cancelled",0,Purchase[[#This Row],[Total Amount]])</f>
        <v>39235</v>
      </c>
      <c r="U288" s="146">
        <f>SUM(Purchase[Net Amount])</f>
        <v>814985438.68000126</v>
      </c>
    </row>
    <row r="289" spans="1:21" ht="19.5" thickBot="1" x14ac:dyDescent="0.3">
      <c r="A289" s="136" t="s">
        <v>1316</v>
      </c>
      <c r="B289" s="137">
        <v>45672</v>
      </c>
      <c r="C289" s="138" t="s">
        <v>604</v>
      </c>
      <c r="D289" s="138" t="str">
        <f>VLOOKUP(Purchase[[#This Row],[Supplier ID]],Supplier[#All],2,0)</f>
        <v>Prime Traders</v>
      </c>
      <c r="E289" s="138">
        <f>VLOOKUP(Purchase[[#This Row],[Supplier ID]],Supplier[#All],3,0)</f>
        <v>9689542487</v>
      </c>
      <c r="F289" s="138" t="str">
        <f>VLOOKUP(Purchase[[#This Row],[Supplier ID]],Supplier[#All],4,0)</f>
        <v>Indore</v>
      </c>
      <c r="G289" s="138" t="str">
        <f>VLOOKUP(Purchase[[#This Row],[Supplier ID]],Supplier[#All],5,0)</f>
        <v>MP</v>
      </c>
      <c r="H289" s="138" t="str">
        <f>VLOOKUP(Purchase[[#This Row],[Supplier ID]],Supplier[#All],6,0)</f>
        <v>GST2154521T049</v>
      </c>
      <c r="I289" s="138" t="s">
        <v>322</v>
      </c>
      <c r="J289" s="139">
        <v>18</v>
      </c>
      <c r="K289" s="143">
        <f>VLOOKUP(Purchase[[#This Row],[Product ID]],Product[#All],6,0)</f>
        <v>8005</v>
      </c>
      <c r="L289" s="143">
        <f>Purchase[[#This Row],[Purchase Rate]]*Purchase[[#This Row],[Qty]]</f>
        <v>144090</v>
      </c>
      <c r="M289" s="140">
        <v>0</v>
      </c>
      <c r="N289" s="143">
        <v>0</v>
      </c>
      <c r="O289" s="140">
        <v>0.18</v>
      </c>
      <c r="P289" s="145">
        <f>(Purchase[[#This Row],[Gross Amount]]-Purchase[[#This Row],[Disct %]])*Purchase[[#This Row],[GST %]]</f>
        <v>25936.2</v>
      </c>
      <c r="Q289" s="145">
        <f>Purchase[[#This Row],[Gross Amount]]-Purchase[[#This Row],[Disct Amnt]]+Purchase[[#This Row],[GST Amount]]</f>
        <v>170026.2</v>
      </c>
      <c r="R289" s="138" t="s">
        <v>1019</v>
      </c>
      <c r="S289" s="41">
        <f>IF(Purchase[[#This Row],[Status]]="Cancelled",0,Purchase[[#This Row],[Qty]])</f>
        <v>18</v>
      </c>
      <c r="T289" s="146">
        <f>IF(Purchase[[#This Row],[Status]]="Cancelled",0,Purchase[[#This Row],[Total Amount]])</f>
        <v>170026.2</v>
      </c>
      <c r="U289" s="146">
        <f>SUM(Purchase[Net Amount])</f>
        <v>814985438.68000126</v>
      </c>
    </row>
    <row r="290" spans="1:21" ht="19.5" thickBot="1" x14ac:dyDescent="0.3">
      <c r="A290" s="136" t="s">
        <v>1317</v>
      </c>
      <c r="B290" s="137">
        <v>45672</v>
      </c>
      <c r="C290" s="138" t="s">
        <v>588</v>
      </c>
      <c r="D290" s="138" t="str">
        <f>VLOOKUP(Purchase[[#This Row],[Supplier ID]],Supplier[#All],2,0)</f>
        <v>Star Electronics</v>
      </c>
      <c r="E290" s="138">
        <f>VLOOKUP(Purchase[[#This Row],[Supplier ID]],Supplier[#All],3,0)</f>
        <v>9689542472</v>
      </c>
      <c r="F290" s="138" t="str">
        <f>VLOOKUP(Purchase[[#This Row],[Supplier ID]],Supplier[#All],4,0)</f>
        <v>Korba</v>
      </c>
      <c r="G290" s="138" t="str">
        <f>VLOOKUP(Purchase[[#This Row],[Supplier ID]],Supplier[#All],5,0)</f>
        <v>CG</v>
      </c>
      <c r="H290" s="138" t="str">
        <f>VLOOKUP(Purchase[[#This Row],[Supplier ID]],Supplier[#All],6,0)</f>
        <v>GST2154521T034</v>
      </c>
      <c r="I290" s="138" t="s">
        <v>88</v>
      </c>
      <c r="J290" s="139">
        <v>17</v>
      </c>
      <c r="K290" s="143">
        <f>VLOOKUP(Purchase[[#This Row],[Product ID]],Product[#All],6,0)</f>
        <v>33605</v>
      </c>
      <c r="L290" s="143">
        <f>Purchase[[#This Row],[Purchase Rate]]*Purchase[[#This Row],[Qty]]</f>
        <v>571285</v>
      </c>
      <c r="M290" s="140">
        <v>0</v>
      </c>
      <c r="N290" s="143">
        <v>0</v>
      </c>
      <c r="O290" s="140">
        <v>0.18</v>
      </c>
      <c r="P290" s="145">
        <f>(Purchase[[#This Row],[Gross Amount]]-Purchase[[#This Row],[Disct %]])*Purchase[[#This Row],[GST %]]</f>
        <v>102831.3</v>
      </c>
      <c r="Q290" s="145">
        <f>Purchase[[#This Row],[Gross Amount]]-Purchase[[#This Row],[Disct Amnt]]+Purchase[[#This Row],[GST Amount]]</f>
        <v>674116.3</v>
      </c>
      <c r="R290" s="138" t="s">
        <v>1019</v>
      </c>
      <c r="S290" s="41">
        <f>IF(Purchase[[#This Row],[Status]]="Cancelled",0,Purchase[[#This Row],[Qty]])</f>
        <v>17</v>
      </c>
      <c r="T290" s="146">
        <f>IF(Purchase[[#This Row],[Status]]="Cancelled",0,Purchase[[#This Row],[Total Amount]])</f>
        <v>674116.3</v>
      </c>
      <c r="U290" s="146">
        <f>SUM(Purchase[Net Amount])</f>
        <v>814985438.68000126</v>
      </c>
    </row>
    <row r="291" spans="1:21" ht="19.5" thickBot="1" x14ac:dyDescent="0.3">
      <c r="A291" s="136" t="s">
        <v>1318</v>
      </c>
      <c r="B291" s="137">
        <v>45672</v>
      </c>
      <c r="C291" s="138" t="s">
        <v>584</v>
      </c>
      <c r="D291" s="138" t="str">
        <f>VLOOKUP(Purchase[[#This Row],[Supplier ID]],Supplier[#All],2,0)</f>
        <v>Prime Computers</v>
      </c>
      <c r="E291" s="138">
        <f>VLOOKUP(Purchase[[#This Row],[Supplier ID]],Supplier[#All],3,0)</f>
        <v>9689542468</v>
      </c>
      <c r="F291" s="138" t="str">
        <f>VLOOKUP(Purchase[[#This Row],[Supplier ID]],Supplier[#All],4,0)</f>
        <v>Kanpur</v>
      </c>
      <c r="G291" s="138" t="str">
        <f>VLOOKUP(Purchase[[#This Row],[Supplier ID]],Supplier[#All],5,0)</f>
        <v>UP</v>
      </c>
      <c r="H291" s="138" t="str">
        <f>VLOOKUP(Purchase[[#This Row],[Supplier ID]],Supplier[#All],6,0)</f>
        <v>GST2154521T030</v>
      </c>
      <c r="I291" s="138" t="s">
        <v>188</v>
      </c>
      <c r="J291" s="139">
        <v>38</v>
      </c>
      <c r="K291" s="143">
        <f>VLOOKUP(Purchase[[#This Row],[Product ID]],Product[#All],6,0)</f>
        <v>11278</v>
      </c>
      <c r="L291" s="143">
        <f>Purchase[[#This Row],[Purchase Rate]]*Purchase[[#This Row],[Qty]]</f>
        <v>428564</v>
      </c>
      <c r="M291" s="140">
        <v>0</v>
      </c>
      <c r="N291" s="143">
        <v>0</v>
      </c>
      <c r="O291" s="140">
        <v>0.18</v>
      </c>
      <c r="P291" s="145">
        <f>(Purchase[[#This Row],[Gross Amount]]-Purchase[[#This Row],[Disct %]])*Purchase[[#This Row],[GST %]]</f>
        <v>77141.52</v>
      </c>
      <c r="Q291" s="145">
        <f>Purchase[[#This Row],[Gross Amount]]-Purchase[[#This Row],[Disct Amnt]]+Purchase[[#This Row],[GST Amount]]</f>
        <v>505705.52</v>
      </c>
      <c r="R291" s="138" t="s">
        <v>1019</v>
      </c>
      <c r="S291" s="41">
        <f>IF(Purchase[[#This Row],[Status]]="Cancelled",0,Purchase[[#This Row],[Qty]])</f>
        <v>38</v>
      </c>
      <c r="T291" s="146">
        <f>IF(Purchase[[#This Row],[Status]]="Cancelled",0,Purchase[[#This Row],[Total Amount]])</f>
        <v>505705.52</v>
      </c>
      <c r="U291" s="146">
        <f>SUM(Purchase[Net Amount])</f>
        <v>814985438.68000126</v>
      </c>
    </row>
    <row r="292" spans="1:21" ht="19.5" thickBot="1" x14ac:dyDescent="0.3">
      <c r="A292" s="136" t="s">
        <v>1319</v>
      </c>
      <c r="B292" s="137">
        <v>45672</v>
      </c>
      <c r="C292" s="138" t="s">
        <v>590</v>
      </c>
      <c r="D292" s="138" t="str">
        <f>VLOOKUP(Purchase[[#This Row],[Supplier ID]],Supplier[#All],2,0)</f>
        <v>Star Distributors</v>
      </c>
      <c r="E292" s="138">
        <f>VLOOKUP(Purchase[[#This Row],[Supplier ID]],Supplier[#All],3,0)</f>
        <v>9689542474</v>
      </c>
      <c r="F292" s="138" t="str">
        <f>VLOOKUP(Purchase[[#This Row],[Supplier ID]],Supplier[#All],4,0)</f>
        <v>Kanpur</v>
      </c>
      <c r="G292" s="138" t="str">
        <f>VLOOKUP(Purchase[[#This Row],[Supplier ID]],Supplier[#All],5,0)</f>
        <v>UP</v>
      </c>
      <c r="H292" s="138" t="str">
        <f>VLOOKUP(Purchase[[#This Row],[Supplier ID]],Supplier[#All],6,0)</f>
        <v>GST2154521T036</v>
      </c>
      <c r="I292" s="138" t="s">
        <v>425</v>
      </c>
      <c r="J292" s="139">
        <v>15</v>
      </c>
      <c r="K292" s="143">
        <f>VLOOKUP(Purchase[[#This Row],[Product ID]],Product[#All],6,0)</f>
        <v>6244</v>
      </c>
      <c r="L292" s="143">
        <f>Purchase[[#This Row],[Purchase Rate]]*Purchase[[#This Row],[Qty]]</f>
        <v>93660</v>
      </c>
      <c r="M292" s="140">
        <v>0</v>
      </c>
      <c r="N292" s="143">
        <v>0</v>
      </c>
      <c r="O292" s="140">
        <v>0.18</v>
      </c>
      <c r="P292" s="145">
        <f>(Purchase[[#This Row],[Gross Amount]]-Purchase[[#This Row],[Disct %]])*Purchase[[#This Row],[GST %]]</f>
        <v>16858.8</v>
      </c>
      <c r="Q292" s="145">
        <f>Purchase[[#This Row],[Gross Amount]]-Purchase[[#This Row],[Disct Amnt]]+Purchase[[#This Row],[GST Amount]]</f>
        <v>110518.8</v>
      </c>
      <c r="R292" s="138" t="s">
        <v>1019</v>
      </c>
      <c r="S292" s="41">
        <f>IF(Purchase[[#This Row],[Status]]="Cancelled",0,Purchase[[#This Row],[Qty]])</f>
        <v>15</v>
      </c>
      <c r="T292" s="146">
        <f>IF(Purchase[[#This Row],[Status]]="Cancelled",0,Purchase[[#This Row],[Total Amount]])</f>
        <v>110518.8</v>
      </c>
      <c r="U292" s="146">
        <f>SUM(Purchase[Net Amount])</f>
        <v>814985438.68000126</v>
      </c>
    </row>
    <row r="293" spans="1:21" ht="19.5" thickBot="1" x14ac:dyDescent="0.3">
      <c r="A293" s="136" t="s">
        <v>1320</v>
      </c>
      <c r="B293" s="137">
        <v>45672</v>
      </c>
      <c r="C293" s="138" t="s">
        <v>569</v>
      </c>
      <c r="D293" s="138" t="str">
        <f>VLOOKUP(Purchase[[#This Row],[Supplier ID]],Supplier[#All],2,0)</f>
        <v>Tech Electronics</v>
      </c>
      <c r="E293" s="138">
        <f>VLOOKUP(Purchase[[#This Row],[Supplier ID]],Supplier[#All],3,0)</f>
        <v>9689542455</v>
      </c>
      <c r="F293" s="138" t="str">
        <f>VLOOKUP(Purchase[[#This Row],[Supplier ID]],Supplier[#All],4,0)</f>
        <v>Korba</v>
      </c>
      <c r="G293" s="138" t="str">
        <f>VLOOKUP(Purchase[[#This Row],[Supplier ID]],Supplier[#All],5,0)</f>
        <v>CG</v>
      </c>
      <c r="H293" s="138" t="str">
        <f>VLOOKUP(Purchase[[#This Row],[Supplier ID]],Supplier[#All],6,0)</f>
        <v>GST2154521T017</v>
      </c>
      <c r="I293" s="138" t="s">
        <v>310</v>
      </c>
      <c r="J293" s="139">
        <v>32</v>
      </c>
      <c r="K293" s="143">
        <f>VLOOKUP(Purchase[[#This Row],[Product ID]],Product[#All],6,0)</f>
        <v>558</v>
      </c>
      <c r="L293" s="143">
        <f>Purchase[[#This Row],[Purchase Rate]]*Purchase[[#This Row],[Qty]]</f>
        <v>17856</v>
      </c>
      <c r="M293" s="140">
        <v>0</v>
      </c>
      <c r="N293" s="143">
        <v>0</v>
      </c>
      <c r="O293" s="140">
        <v>0.18</v>
      </c>
      <c r="P293" s="145">
        <f>(Purchase[[#This Row],[Gross Amount]]-Purchase[[#This Row],[Disct %]])*Purchase[[#This Row],[GST %]]</f>
        <v>3214.08</v>
      </c>
      <c r="Q293" s="145">
        <f>Purchase[[#This Row],[Gross Amount]]-Purchase[[#This Row],[Disct Amnt]]+Purchase[[#This Row],[GST Amount]]</f>
        <v>21070.080000000002</v>
      </c>
      <c r="R293" s="138" t="s">
        <v>1019</v>
      </c>
      <c r="S293" s="41">
        <f>IF(Purchase[[#This Row],[Status]]="Cancelled",0,Purchase[[#This Row],[Qty]])</f>
        <v>32</v>
      </c>
      <c r="T293" s="146">
        <f>IF(Purchase[[#This Row],[Status]]="Cancelled",0,Purchase[[#This Row],[Total Amount]])</f>
        <v>21070.080000000002</v>
      </c>
      <c r="U293" s="146">
        <f>SUM(Purchase[Net Amount])</f>
        <v>814985438.68000126</v>
      </c>
    </row>
    <row r="294" spans="1:21" ht="19.5" thickBot="1" x14ac:dyDescent="0.3">
      <c r="A294" s="136" t="s">
        <v>1321</v>
      </c>
      <c r="B294" s="137">
        <v>45672</v>
      </c>
      <c r="C294" s="138" t="s">
        <v>577</v>
      </c>
      <c r="D294" s="138" t="str">
        <f>VLOOKUP(Purchase[[#This Row],[Supplier ID]],Supplier[#All],2,0)</f>
        <v>National Electronics</v>
      </c>
      <c r="E294" s="138">
        <f>VLOOKUP(Purchase[[#This Row],[Supplier ID]],Supplier[#All],3,0)</f>
        <v>9689542469</v>
      </c>
      <c r="F294" s="138" t="str">
        <f>VLOOKUP(Purchase[[#This Row],[Supplier ID]],Supplier[#All],4,0)</f>
        <v>Korba</v>
      </c>
      <c r="G294" s="138" t="str">
        <f>VLOOKUP(Purchase[[#This Row],[Supplier ID]],Supplier[#All],5,0)</f>
        <v>CG</v>
      </c>
      <c r="H294" s="138" t="str">
        <f>VLOOKUP(Purchase[[#This Row],[Supplier ID]],Supplier[#All],6,0)</f>
        <v>GST2154521T023</v>
      </c>
      <c r="I294" s="138" t="s">
        <v>15</v>
      </c>
      <c r="J294" s="139">
        <v>5</v>
      </c>
      <c r="K294" s="143">
        <f>VLOOKUP(Purchase[[#This Row],[Product ID]],Product[#All],6,0)</f>
        <v>3688</v>
      </c>
      <c r="L294" s="143">
        <f>Purchase[[#This Row],[Purchase Rate]]*Purchase[[#This Row],[Qty]]</f>
        <v>18440</v>
      </c>
      <c r="M294" s="140">
        <v>0</v>
      </c>
      <c r="N294" s="143">
        <v>0</v>
      </c>
      <c r="O294" s="140">
        <v>0.18</v>
      </c>
      <c r="P294" s="145">
        <f>(Purchase[[#This Row],[Gross Amount]]-Purchase[[#This Row],[Disct %]])*Purchase[[#This Row],[GST %]]</f>
        <v>3319.2</v>
      </c>
      <c r="Q294" s="145">
        <f>Purchase[[#This Row],[Gross Amount]]-Purchase[[#This Row],[Disct Amnt]]+Purchase[[#This Row],[GST Amount]]</f>
        <v>21759.200000000001</v>
      </c>
      <c r="R294" s="138" t="s">
        <v>1019</v>
      </c>
      <c r="S294" s="41">
        <f>IF(Purchase[[#This Row],[Status]]="Cancelled",0,Purchase[[#This Row],[Qty]])</f>
        <v>5</v>
      </c>
      <c r="T294" s="146">
        <f>IF(Purchase[[#This Row],[Status]]="Cancelled",0,Purchase[[#This Row],[Total Amount]])</f>
        <v>21759.200000000001</v>
      </c>
      <c r="U294" s="146">
        <f>SUM(Purchase[Net Amount])</f>
        <v>814985438.68000126</v>
      </c>
    </row>
    <row r="295" spans="1:21" ht="19.5" thickBot="1" x14ac:dyDescent="0.3">
      <c r="A295" s="136" t="s">
        <v>1322</v>
      </c>
      <c r="B295" s="137">
        <v>45672</v>
      </c>
      <c r="C295" s="138" t="s">
        <v>584</v>
      </c>
      <c r="D295" s="138" t="str">
        <f>VLOOKUP(Purchase[[#This Row],[Supplier ID]],Supplier[#All],2,0)</f>
        <v>Prime Computers</v>
      </c>
      <c r="E295" s="138">
        <f>VLOOKUP(Purchase[[#This Row],[Supplier ID]],Supplier[#All],3,0)</f>
        <v>9689542468</v>
      </c>
      <c r="F295" s="138" t="str">
        <f>VLOOKUP(Purchase[[#This Row],[Supplier ID]],Supplier[#All],4,0)</f>
        <v>Kanpur</v>
      </c>
      <c r="G295" s="138" t="str">
        <f>VLOOKUP(Purchase[[#This Row],[Supplier ID]],Supplier[#All],5,0)</f>
        <v>UP</v>
      </c>
      <c r="H295" s="138" t="str">
        <f>VLOOKUP(Purchase[[#This Row],[Supplier ID]],Supplier[#All],6,0)</f>
        <v>GST2154521T030</v>
      </c>
      <c r="I295" s="138" t="s">
        <v>64</v>
      </c>
      <c r="J295" s="139">
        <v>10</v>
      </c>
      <c r="K295" s="143">
        <f>VLOOKUP(Purchase[[#This Row],[Product ID]],Product[#All],6,0)</f>
        <v>771</v>
      </c>
      <c r="L295" s="143">
        <f>Purchase[[#This Row],[Purchase Rate]]*Purchase[[#This Row],[Qty]]</f>
        <v>7710</v>
      </c>
      <c r="M295" s="140">
        <v>0</v>
      </c>
      <c r="N295" s="143">
        <v>0</v>
      </c>
      <c r="O295" s="140">
        <v>0.18</v>
      </c>
      <c r="P295" s="145">
        <f>(Purchase[[#This Row],[Gross Amount]]-Purchase[[#This Row],[Disct %]])*Purchase[[#This Row],[GST %]]</f>
        <v>1387.8</v>
      </c>
      <c r="Q295" s="145">
        <f>Purchase[[#This Row],[Gross Amount]]-Purchase[[#This Row],[Disct Amnt]]+Purchase[[#This Row],[GST Amount]]</f>
        <v>9097.7999999999993</v>
      </c>
      <c r="R295" s="138" t="s">
        <v>1019</v>
      </c>
      <c r="S295" s="41">
        <f>IF(Purchase[[#This Row],[Status]]="Cancelled",0,Purchase[[#This Row],[Qty]])</f>
        <v>10</v>
      </c>
      <c r="T295" s="146">
        <f>IF(Purchase[[#This Row],[Status]]="Cancelled",0,Purchase[[#This Row],[Total Amount]])</f>
        <v>9097.7999999999993</v>
      </c>
      <c r="U295" s="146">
        <f>SUM(Purchase[Net Amount])</f>
        <v>814985438.68000126</v>
      </c>
    </row>
    <row r="296" spans="1:21" ht="19.5" thickBot="1" x14ac:dyDescent="0.3">
      <c r="A296" s="136" t="s">
        <v>1323</v>
      </c>
      <c r="B296" s="137">
        <v>45672</v>
      </c>
      <c r="C296" s="138" t="s">
        <v>610</v>
      </c>
      <c r="D296" s="138" t="str">
        <f>VLOOKUP(Purchase[[#This Row],[Supplier ID]],Supplier[#All],2,0)</f>
        <v>Shree Electronics</v>
      </c>
      <c r="E296" s="138">
        <f>VLOOKUP(Purchase[[#This Row],[Supplier ID]],Supplier[#All],3,0)</f>
        <v>9689542493</v>
      </c>
      <c r="F296" s="138" t="str">
        <f>VLOOKUP(Purchase[[#This Row],[Supplier ID]],Supplier[#All],4,0)</f>
        <v>Kanpur</v>
      </c>
      <c r="G296" s="138" t="str">
        <f>VLOOKUP(Purchase[[#This Row],[Supplier ID]],Supplier[#All],5,0)</f>
        <v>UP</v>
      </c>
      <c r="H296" s="138" t="str">
        <f>VLOOKUP(Purchase[[#This Row],[Supplier ID]],Supplier[#All],6,0)</f>
        <v>GST2154521T055</v>
      </c>
      <c r="I296" s="138" t="s">
        <v>164</v>
      </c>
      <c r="J296" s="139">
        <v>25</v>
      </c>
      <c r="K296" s="143">
        <f>VLOOKUP(Purchase[[#This Row],[Product ID]],Product[#All],6,0)</f>
        <v>2596</v>
      </c>
      <c r="L296" s="143">
        <f>Purchase[[#This Row],[Purchase Rate]]*Purchase[[#This Row],[Qty]]</f>
        <v>64900</v>
      </c>
      <c r="M296" s="140">
        <v>0</v>
      </c>
      <c r="N296" s="143">
        <v>0</v>
      </c>
      <c r="O296" s="140">
        <v>0.18</v>
      </c>
      <c r="P296" s="145">
        <f>(Purchase[[#This Row],[Gross Amount]]-Purchase[[#This Row],[Disct %]])*Purchase[[#This Row],[GST %]]</f>
        <v>11682</v>
      </c>
      <c r="Q296" s="145">
        <f>Purchase[[#This Row],[Gross Amount]]-Purchase[[#This Row],[Disct Amnt]]+Purchase[[#This Row],[GST Amount]]</f>
        <v>76582</v>
      </c>
      <c r="R296" s="138" t="s">
        <v>1019</v>
      </c>
      <c r="S296" s="41">
        <f>IF(Purchase[[#This Row],[Status]]="Cancelled",0,Purchase[[#This Row],[Qty]])</f>
        <v>25</v>
      </c>
      <c r="T296" s="146">
        <f>IF(Purchase[[#This Row],[Status]]="Cancelled",0,Purchase[[#This Row],[Total Amount]])</f>
        <v>76582</v>
      </c>
      <c r="U296" s="146">
        <f>SUM(Purchase[Net Amount])</f>
        <v>814985438.68000126</v>
      </c>
    </row>
    <row r="297" spans="1:21" ht="19.5" thickBot="1" x14ac:dyDescent="0.3">
      <c r="A297" s="136" t="s">
        <v>1324</v>
      </c>
      <c r="B297" s="137">
        <v>45672</v>
      </c>
      <c r="C297" s="138" t="s">
        <v>603</v>
      </c>
      <c r="D297" s="138" t="str">
        <f>VLOOKUP(Purchase[[#This Row],[Supplier ID]],Supplier[#All],2,0)</f>
        <v>Tech Computers</v>
      </c>
      <c r="E297" s="138">
        <f>VLOOKUP(Purchase[[#This Row],[Supplier ID]],Supplier[#All],3,0)</f>
        <v>9689542486</v>
      </c>
      <c r="F297" s="138" t="str">
        <f>VLOOKUP(Purchase[[#This Row],[Supplier ID]],Supplier[#All],4,0)</f>
        <v>Indore</v>
      </c>
      <c r="G297" s="138" t="str">
        <f>VLOOKUP(Purchase[[#This Row],[Supplier ID]],Supplier[#All],5,0)</f>
        <v>MP</v>
      </c>
      <c r="H297" s="138" t="str">
        <f>VLOOKUP(Purchase[[#This Row],[Supplier ID]],Supplier[#All],6,0)</f>
        <v>GST2154521T048</v>
      </c>
      <c r="I297" s="138" t="s">
        <v>215</v>
      </c>
      <c r="J297" s="139">
        <v>12</v>
      </c>
      <c r="K297" s="143">
        <f>VLOOKUP(Purchase[[#This Row],[Product ID]],Product[#All],6,0)</f>
        <v>8074</v>
      </c>
      <c r="L297" s="143">
        <f>Purchase[[#This Row],[Purchase Rate]]*Purchase[[#This Row],[Qty]]</f>
        <v>96888</v>
      </c>
      <c r="M297" s="140">
        <v>0</v>
      </c>
      <c r="N297" s="143">
        <v>0</v>
      </c>
      <c r="O297" s="140">
        <v>0.18</v>
      </c>
      <c r="P297" s="145">
        <f>(Purchase[[#This Row],[Gross Amount]]-Purchase[[#This Row],[Disct %]])*Purchase[[#This Row],[GST %]]</f>
        <v>17439.84</v>
      </c>
      <c r="Q297" s="145">
        <f>Purchase[[#This Row],[Gross Amount]]-Purchase[[#This Row],[Disct Amnt]]+Purchase[[#This Row],[GST Amount]]</f>
        <v>114327.84</v>
      </c>
      <c r="R297" s="138" t="s">
        <v>1019</v>
      </c>
      <c r="S297" s="41">
        <f>IF(Purchase[[#This Row],[Status]]="Cancelled",0,Purchase[[#This Row],[Qty]])</f>
        <v>12</v>
      </c>
      <c r="T297" s="146">
        <f>IF(Purchase[[#This Row],[Status]]="Cancelled",0,Purchase[[#This Row],[Total Amount]])</f>
        <v>114327.84</v>
      </c>
      <c r="U297" s="146">
        <f>SUM(Purchase[Net Amount])</f>
        <v>814985438.68000126</v>
      </c>
    </row>
    <row r="298" spans="1:21" ht="19.5" thickBot="1" x14ac:dyDescent="0.3">
      <c r="A298" s="136" t="s">
        <v>1325</v>
      </c>
      <c r="B298" s="137">
        <v>45672</v>
      </c>
      <c r="C298" s="138" t="s">
        <v>581</v>
      </c>
      <c r="D298" s="138" t="str">
        <f>VLOOKUP(Purchase[[#This Row],[Supplier ID]],Supplier[#All],2,0)</f>
        <v>Prime Electronics</v>
      </c>
      <c r="E298" s="138">
        <f>VLOOKUP(Purchase[[#This Row],[Supplier ID]],Supplier[#All],3,0)</f>
        <v>9689542465</v>
      </c>
      <c r="F298" s="138" t="str">
        <f>VLOOKUP(Purchase[[#This Row],[Supplier ID]],Supplier[#All],4,0)</f>
        <v>Korba</v>
      </c>
      <c r="G298" s="138" t="str">
        <f>VLOOKUP(Purchase[[#This Row],[Supplier ID]],Supplier[#All],5,0)</f>
        <v>CG</v>
      </c>
      <c r="H298" s="138" t="str">
        <f>VLOOKUP(Purchase[[#This Row],[Supplier ID]],Supplier[#All],6,0)</f>
        <v>GST2154521T027</v>
      </c>
      <c r="I298" s="138" t="s">
        <v>125</v>
      </c>
      <c r="J298" s="139">
        <v>10</v>
      </c>
      <c r="K298" s="143">
        <f>VLOOKUP(Purchase[[#This Row],[Product ID]],Product[#All],6,0)</f>
        <v>33391</v>
      </c>
      <c r="L298" s="143">
        <f>Purchase[[#This Row],[Purchase Rate]]*Purchase[[#This Row],[Qty]]</f>
        <v>333910</v>
      </c>
      <c r="M298" s="140">
        <v>0</v>
      </c>
      <c r="N298" s="143">
        <v>0</v>
      </c>
      <c r="O298" s="140">
        <v>0.18</v>
      </c>
      <c r="P298" s="145">
        <f>(Purchase[[#This Row],[Gross Amount]]-Purchase[[#This Row],[Disct %]])*Purchase[[#This Row],[GST %]]</f>
        <v>60103.799999999996</v>
      </c>
      <c r="Q298" s="145">
        <f>Purchase[[#This Row],[Gross Amount]]-Purchase[[#This Row],[Disct Amnt]]+Purchase[[#This Row],[GST Amount]]</f>
        <v>394013.8</v>
      </c>
      <c r="R298" s="138" t="s">
        <v>1019</v>
      </c>
      <c r="S298" s="41">
        <f>IF(Purchase[[#This Row],[Status]]="Cancelled",0,Purchase[[#This Row],[Qty]])</f>
        <v>10</v>
      </c>
      <c r="T298" s="146">
        <f>IF(Purchase[[#This Row],[Status]]="Cancelled",0,Purchase[[#This Row],[Total Amount]])</f>
        <v>394013.8</v>
      </c>
      <c r="U298" s="146">
        <f>SUM(Purchase[Net Amount])</f>
        <v>814985438.68000126</v>
      </c>
    </row>
    <row r="299" spans="1:21" ht="19.5" thickBot="1" x14ac:dyDescent="0.3">
      <c r="A299" s="136" t="s">
        <v>1326</v>
      </c>
      <c r="B299" s="137">
        <v>45672</v>
      </c>
      <c r="C299" s="138" t="s">
        <v>593</v>
      </c>
      <c r="D299" s="138" t="str">
        <f>VLOOKUP(Purchase[[#This Row],[Supplier ID]],Supplier[#All],2,0)</f>
        <v>Global Suppliers</v>
      </c>
      <c r="E299" s="138">
        <f>VLOOKUP(Purchase[[#This Row],[Supplier ID]],Supplier[#All],3,0)</f>
        <v>9689542476</v>
      </c>
      <c r="F299" s="138" t="str">
        <f>VLOOKUP(Purchase[[#This Row],[Supplier ID]],Supplier[#All],4,0)</f>
        <v>Korba</v>
      </c>
      <c r="G299" s="138" t="str">
        <f>VLOOKUP(Purchase[[#This Row],[Supplier ID]],Supplier[#All],5,0)</f>
        <v>CG</v>
      </c>
      <c r="H299" s="138" t="str">
        <f>VLOOKUP(Purchase[[#This Row],[Supplier ID]],Supplier[#All],6,0)</f>
        <v>GST2154521T038</v>
      </c>
      <c r="I299" s="138" t="s">
        <v>239</v>
      </c>
      <c r="J299" s="139">
        <v>18</v>
      </c>
      <c r="K299" s="143">
        <f>VLOOKUP(Purchase[[#This Row],[Product ID]],Product[#All],6,0)</f>
        <v>6638</v>
      </c>
      <c r="L299" s="143">
        <f>Purchase[[#This Row],[Purchase Rate]]*Purchase[[#This Row],[Qty]]</f>
        <v>119484</v>
      </c>
      <c r="M299" s="140">
        <v>0</v>
      </c>
      <c r="N299" s="143">
        <v>0</v>
      </c>
      <c r="O299" s="140">
        <v>0.18</v>
      </c>
      <c r="P299" s="145">
        <f>(Purchase[[#This Row],[Gross Amount]]-Purchase[[#This Row],[Disct %]])*Purchase[[#This Row],[GST %]]</f>
        <v>21507.119999999999</v>
      </c>
      <c r="Q299" s="145">
        <f>Purchase[[#This Row],[Gross Amount]]-Purchase[[#This Row],[Disct Amnt]]+Purchase[[#This Row],[GST Amount]]</f>
        <v>140991.12</v>
      </c>
      <c r="R299" s="138" t="s">
        <v>1019</v>
      </c>
      <c r="S299" s="41">
        <f>IF(Purchase[[#This Row],[Status]]="Cancelled",0,Purchase[[#This Row],[Qty]])</f>
        <v>18</v>
      </c>
      <c r="T299" s="146">
        <f>IF(Purchase[[#This Row],[Status]]="Cancelled",0,Purchase[[#This Row],[Total Amount]])</f>
        <v>140991.12</v>
      </c>
      <c r="U299" s="146">
        <f>SUM(Purchase[Net Amount])</f>
        <v>814985438.68000126</v>
      </c>
    </row>
    <row r="300" spans="1:21" ht="19.5" thickBot="1" x14ac:dyDescent="0.3">
      <c r="A300" s="136" t="s">
        <v>1327</v>
      </c>
      <c r="B300" s="137">
        <v>45672</v>
      </c>
      <c r="C300" s="138" t="s">
        <v>607</v>
      </c>
      <c r="D300" s="138" t="str">
        <f>VLOOKUP(Purchase[[#This Row],[Supplier ID]],Supplier[#All],2,0)</f>
        <v>Global Distributors</v>
      </c>
      <c r="E300" s="138">
        <f>VLOOKUP(Purchase[[#This Row],[Supplier ID]],Supplier[#All],3,0)</f>
        <v>9689542490</v>
      </c>
      <c r="F300" s="138" t="str">
        <f>VLOOKUP(Purchase[[#This Row],[Supplier ID]],Supplier[#All],4,0)</f>
        <v>Kanpur</v>
      </c>
      <c r="G300" s="138" t="str">
        <f>VLOOKUP(Purchase[[#This Row],[Supplier ID]],Supplier[#All],5,0)</f>
        <v>UP</v>
      </c>
      <c r="H300" s="138" t="str">
        <f>VLOOKUP(Purchase[[#This Row],[Supplier ID]],Supplier[#All],6,0)</f>
        <v>GST2154521T052</v>
      </c>
      <c r="I300" s="138" t="s">
        <v>415</v>
      </c>
      <c r="J300" s="139">
        <v>34</v>
      </c>
      <c r="K300" s="143">
        <f>VLOOKUP(Purchase[[#This Row],[Product ID]],Product[#All],6,0)</f>
        <v>4146</v>
      </c>
      <c r="L300" s="143">
        <f>Purchase[[#This Row],[Purchase Rate]]*Purchase[[#This Row],[Qty]]</f>
        <v>140964</v>
      </c>
      <c r="M300" s="140">
        <v>0</v>
      </c>
      <c r="N300" s="143">
        <v>0</v>
      </c>
      <c r="O300" s="140">
        <v>0.18</v>
      </c>
      <c r="P300" s="145">
        <f>(Purchase[[#This Row],[Gross Amount]]-Purchase[[#This Row],[Disct %]])*Purchase[[#This Row],[GST %]]</f>
        <v>25373.52</v>
      </c>
      <c r="Q300" s="145">
        <f>Purchase[[#This Row],[Gross Amount]]-Purchase[[#This Row],[Disct Amnt]]+Purchase[[#This Row],[GST Amount]]</f>
        <v>166337.51999999999</v>
      </c>
      <c r="R300" s="138" t="s">
        <v>1019</v>
      </c>
      <c r="S300" s="41">
        <f>IF(Purchase[[#This Row],[Status]]="Cancelled",0,Purchase[[#This Row],[Qty]])</f>
        <v>34</v>
      </c>
      <c r="T300" s="146">
        <f>IF(Purchase[[#This Row],[Status]]="Cancelled",0,Purchase[[#This Row],[Total Amount]])</f>
        <v>166337.51999999999</v>
      </c>
      <c r="U300" s="146">
        <f>SUM(Purchase[Net Amount])</f>
        <v>814985438.68000126</v>
      </c>
    </row>
    <row r="301" spans="1:21" ht="19.5" thickBot="1" x14ac:dyDescent="0.3">
      <c r="A301" s="136" t="s">
        <v>1328</v>
      </c>
      <c r="B301" s="137">
        <v>45672</v>
      </c>
      <c r="C301" s="138" t="s">
        <v>594</v>
      </c>
      <c r="D301" s="138" t="str">
        <f>VLOOKUP(Purchase[[#This Row],[Supplier ID]],Supplier[#All],2,0)</f>
        <v>Shree Suppliers</v>
      </c>
      <c r="E301" s="138">
        <f>VLOOKUP(Purchase[[#This Row],[Supplier ID]],Supplier[#All],3,0)</f>
        <v>9689542477</v>
      </c>
      <c r="F301" s="138" t="str">
        <f>VLOOKUP(Purchase[[#This Row],[Supplier ID]],Supplier[#All],4,0)</f>
        <v>Indore</v>
      </c>
      <c r="G301" s="138" t="str">
        <f>VLOOKUP(Purchase[[#This Row],[Supplier ID]],Supplier[#All],5,0)</f>
        <v>MP</v>
      </c>
      <c r="H301" s="138" t="str">
        <f>VLOOKUP(Purchase[[#This Row],[Supplier ID]],Supplier[#All],6,0)</f>
        <v>GST2154521T039</v>
      </c>
      <c r="I301" s="138" t="s">
        <v>212</v>
      </c>
      <c r="J301" s="139">
        <v>16</v>
      </c>
      <c r="K301" s="143">
        <f>VLOOKUP(Purchase[[#This Row],[Product ID]],Product[#All],6,0)</f>
        <v>931</v>
      </c>
      <c r="L301" s="143">
        <f>Purchase[[#This Row],[Purchase Rate]]*Purchase[[#This Row],[Qty]]</f>
        <v>14896</v>
      </c>
      <c r="M301" s="140">
        <v>0</v>
      </c>
      <c r="N301" s="143">
        <v>0</v>
      </c>
      <c r="O301" s="140">
        <v>0.18</v>
      </c>
      <c r="P301" s="145">
        <f>(Purchase[[#This Row],[Gross Amount]]-Purchase[[#This Row],[Disct %]])*Purchase[[#This Row],[GST %]]</f>
        <v>2681.2799999999997</v>
      </c>
      <c r="Q301" s="145">
        <f>Purchase[[#This Row],[Gross Amount]]-Purchase[[#This Row],[Disct Amnt]]+Purchase[[#This Row],[GST Amount]]</f>
        <v>17577.28</v>
      </c>
      <c r="R301" s="138" t="s">
        <v>1019</v>
      </c>
      <c r="S301" s="41">
        <f>IF(Purchase[[#This Row],[Status]]="Cancelled",0,Purchase[[#This Row],[Qty]])</f>
        <v>16</v>
      </c>
      <c r="T301" s="146">
        <f>IF(Purchase[[#This Row],[Status]]="Cancelled",0,Purchase[[#This Row],[Total Amount]])</f>
        <v>17577.28</v>
      </c>
      <c r="U301" s="146">
        <f>SUM(Purchase[Net Amount])</f>
        <v>814985438.68000126</v>
      </c>
    </row>
    <row r="302" spans="1:21" ht="19.5" thickBot="1" x14ac:dyDescent="0.3">
      <c r="A302" s="136" t="s">
        <v>1329</v>
      </c>
      <c r="B302" s="137">
        <v>45672</v>
      </c>
      <c r="C302" s="138" t="s">
        <v>610</v>
      </c>
      <c r="D302" s="138" t="str">
        <f>VLOOKUP(Purchase[[#This Row],[Supplier ID]],Supplier[#All],2,0)</f>
        <v>Shree Electronics</v>
      </c>
      <c r="E302" s="138">
        <f>VLOOKUP(Purchase[[#This Row],[Supplier ID]],Supplier[#All],3,0)</f>
        <v>9689542493</v>
      </c>
      <c r="F302" s="138" t="str">
        <f>VLOOKUP(Purchase[[#This Row],[Supplier ID]],Supplier[#All],4,0)</f>
        <v>Kanpur</v>
      </c>
      <c r="G302" s="138" t="str">
        <f>VLOOKUP(Purchase[[#This Row],[Supplier ID]],Supplier[#All],5,0)</f>
        <v>UP</v>
      </c>
      <c r="H302" s="138" t="str">
        <f>VLOOKUP(Purchase[[#This Row],[Supplier ID]],Supplier[#All],6,0)</f>
        <v>GST2154521T055</v>
      </c>
      <c r="I302" s="138" t="s">
        <v>149</v>
      </c>
      <c r="J302" s="139">
        <v>40</v>
      </c>
      <c r="K302" s="143">
        <f>VLOOKUP(Purchase[[#This Row],[Product ID]],Product[#All],6,0)</f>
        <v>5562</v>
      </c>
      <c r="L302" s="143">
        <f>Purchase[[#This Row],[Purchase Rate]]*Purchase[[#This Row],[Qty]]</f>
        <v>222480</v>
      </c>
      <c r="M302" s="140">
        <v>0</v>
      </c>
      <c r="N302" s="143">
        <v>0</v>
      </c>
      <c r="O302" s="140">
        <v>0.18</v>
      </c>
      <c r="P302" s="145">
        <f>(Purchase[[#This Row],[Gross Amount]]-Purchase[[#This Row],[Disct %]])*Purchase[[#This Row],[GST %]]</f>
        <v>40046.400000000001</v>
      </c>
      <c r="Q302" s="145">
        <f>Purchase[[#This Row],[Gross Amount]]-Purchase[[#This Row],[Disct Amnt]]+Purchase[[#This Row],[GST Amount]]</f>
        <v>262526.40000000002</v>
      </c>
      <c r="R302" s="138" t="s">
        <v>1019</v>
      </c>
      <c r="S302" s="41">
        <f>IF(Purchase[[#This Row],[Status]]="Cancelled",0,Purchase[[#This Row],[Qty]])</f>
        <v>40</v>
      </c>
      <c r="T302" s="146">
        <f>IF(Purchase[[#This Row],[Status]]="Cancelled",0,Purchase[[#This Row],[Total Amount]])</f>
        <v>262526.40000000002</v>
      </c>
      <c r="U302" s="146">
        <f>SUM(Purchase[Net Amount])</f>
        <v>814985438.68000126</v>
      </c>
    </row>
    <row r="303" spans="1:21" ht="19.5" thickBot="1" x14ac:dyDescent="0.3">
      <c r="A303" s="136" t="s">
        <v>1330</v>
      </c>
      <c r="B303" s="137">
        <v>45672</v>
      </c>
      <c r="C303" s="138" t="s">
        <v>612</v>
      </c>
      <c r="D303" s="138" t="str">
        <f>VLOOKUP(Purchase[[#This Row],[Supplier ID]],Supplier[#All],2,0)</f>
        <v>National Computers</v>
      </c>
      <c r="E303" s="138">
        <f>VLOOKUP(Purchase[[#This Row],[Supplier ID]],Supplier[#All],3,0)</f>
        <v>9689542495</v>
      </c>
      <c r="F303" s="138" t="str">
        <f>VLOOKUP(Purchase[[#This Row],[Supplier ID]],Supplier[#All],4,0)</f>
        <v>Indore</v>
      </c>
      <c r="G303" s="138" t="str">
        <f>VLOOKUP(Purchase[[#This Row],[Supplier ID]],Supplier[#All],5,0)</f>
        <v>MP</v>
      </c>
      <c r="H303" s="138" t="str">
        <f>VLOOKUP(Purchase[[#This Row],[Supplier ID]],Supplier[#All],6,0)</f>
        <v>GST2154521T057</v>
      </c>
      <c r="I303" s="138" t="s">
        <v>137</v>
      </c>
      <c r="J303" s="139">
        <v>25</v>
      </c>
      <c r="K303" s="143">
        <f>VLOOKUP(Purchase[[#This Row],[Product ID]],Product[#All],6,0)</f>
        <v>6071</v>
      </c>
      <c r="L303" s="143">
        <f>Purchase[[#This Row],[Purchase Rate]]*Purchase[[#This Row],[Qty]]</f>
        <v>151775</v>
      </c>
      <c r="M303" s="140">
        <v>0</v>
      </c>
      <c r="N303" s="143">
        <v>0</v>
      </c>
      <c r="O303" s="140">
        <v>0.18</v>
      </c>
      <c r="P303" s="145">
        <f>(Purchase[[#This Row],[Gross Amount]]-Purchase[[#This Row],[Disct %]])*Purchase[[#This Row],[GST %]]</f>
        <v>27319.5</v>
      </c>
      <c r="Q303" s="145">
        <f>Purchase[[#This Row],[Gross Amount]]-Purchase[[#This Row],[Disct Amnt]]+Purchase[[#This Row],[GST Amount]]</f>
        <v>179094.5</v>
      </c>
      <c r="R303" s="138" t="s">
        <v>1019</v>
      </c>
      <c r="S303" s="41">
        <f>IF(Purchase[[#This Row],[Status]]="Cancelled",0,Purchase[[#This Row],[Qty]])</f>
        <v>25</v>
      </c>
      <c r="T303" s="146">
        <f>IF(Purchase[[#This Row],[Status]]="Cancelled",0,Purchase[[#This Row],[Total Amount]])</f>
        <v>179094.5</v>
      </c>
      <c r="U303" s="146">
        <f>SUM(Purchase[Net Amount])</f>
        <v>814985438.68000126</v>
      </c>
    </row>
    <row r="304" spans="1:21" ht="19.5" thickBot="1" x14ac:dyDescent="0.3">
      <c r="A304" s="136" t="s">
        <v>1331</v>
      </c>
      <c r="B304" s="137">
        <v>45672</v>
      </c>
      <c r="C304" s="138" t="s">
        <v>1332</v>
      </c>
      <c r="D304" s="138" t="str">
        <f>VLOOKUP(Purchase[[#This Row],[Supplier ID]],Supplier[#All],2,0)</f>
        <v>National Computers</v>
      </c>
      <c r="E304" s="138">
        <f>VLOOKUP(Purchase[[#This Row],[Supplier ID]],Supplier[#All],3,0)</f>
        <v>9689542495</v>
      </c>
      <c r="F304" s="138" t="str">
        <f>VLOOKUP(Purchase[[#This Row],[Supplier ID]],Supplier[#All],4,0)</f>
        <v>Indore</v>
      </c>
      <c r="G304" s="138" t="str">
        <f>VLOOKUP(Purchase[[#This Row],[Supplier ID]],Supplier[#All],5,0)</f>
        <v>MP</v>
      </c>
      <c r="H304" s="138" t="str">
        <f>VLOOKUP(Purchase[[#This Row],[Supplier ID]],Supplier[#All],6,0)</f>
        <v>GST2154521T057</v>
      </c>
      <c r="I304" s="138" t="s">
        <v>407</v>
      </c>
      <c r="J304" s="139">
        <v>20</v>
      </c>
      <c r="K304" s="143">
        <f>VLOOKUP(Purchase[[#This Row],[Product ID]],Product[#All],6,0)</f>
        <v>38335</v>
      </c>
      <c r="L304" s="143">
        <f>Purchase[[#This Row],[Purchase Rate]]*Purchase[[#This Row],[Qty]]</f>
        <v>766700</v>
      </c>
      <c r="M304" s="140">
        <v>0</v>
      </c>
      <c r="N304" s="143">
        <v>0</v>
      </c>
      <c r="O304" s="140">
        <v>0.18</v>
      </c>
      <c r="P304" s="145">
        <f>(Purchase[[#This Row],[Gross Amount]]-Purchase[[#This Row],[Disct %]])*Purchase[[#This Row],[GST %]]</f>
        <v>138006</v>
      </c>
      <c r="Q304" s="145">
        <f>Purchase[[#This Row],[Gross Amount]]-Purchase[[#This Row],[Disct Amnt]]+Purchase[[#This Row],[GST Amount]]</f>
        <v>904706</v>
      </c>
      <c r="R304" s="138" t="s">
        <v>1019</v>
      </c>
      <c r="S304" s="41">
        <f>IF(Purchase[[#This Row],[Status]]="Cancelled",0,Purchase[[#This Row],[Qty]])</f>
        <v>20</v>
      </c>
      <c r="T304" s="146">
        <f>IF(Purchase[[#This Row],[Status]]="Cancelled",0,Purchase[[#This Row],[Total Amount]])</f>
        <v>904706</v>
      </c>
      <c r="U304" s="146">
        <f>SUM(Purchase[Net Amount])</f>
        <v>814985438.68000126</v>
      </c>
    </row>
    <row r="305" spans="1:21" ht="19.5" thickBot="1" x14ac:dyDescent="0.3">
      <c r="A305" s="136" t="s">
        <v>1333</v>
      </c>
      <c r="B305" s="137">
        <v>45673</v>
      </c>
      <c r="C305" s="138" t="s">
        <v>569</v>
      </c>
      <c r="D305" s="138" t="str">
        <f>VLOOKUP(Purchase[[#This Row],[Supplier ID]],Supplier[#All],2,0)</f>
        <v>Tech Electronics</v>
      </c>
      <c r="E305" s="138">
        <f>VLOOKUP(Purchase[[#This Row],[Supplier ID]],Supplier[#All],3,0)</f>
        <v>9689542455</v>
      </c>
      <c r="F305" s="138" t="str">
        <f>VLOOKUP(Purchase[[#This Row],[Supplier ID]],Supplier[#All],4,0)</f>
        <v>Korba</v>
      </c>
      <c r="G305" s="138" t="str">
        <f>VLOOKUP(Purchase[[#This Row],[Supplier ID]],Supplier[#All],5,0)</f>
        <v>CG</v>
      </c>
      <c r="H305" s="138" t="str">
        <f>VLOOKUP(Purchase[[#This Row],[Supplier ID]],Supplier[#All],6,0)</f>
        <v>GST2154521T017</v>
      </c>
      <c r="I305" s="138" t="s">
        <v>231</v>
      </c>
      <c r="J305" s="139">
        <v>21</v>
      </c>
      <c r="K305" s="143">
        <f>VLOOKUP(Purchase[[#This Row],[Product ID]],Product[#All],6,0)</f>
        <v>1862</v>
      </c>
      <c r="L305" s="143">
        <f>Purchase[[#This Row],[Purchase Rate]]*Purchase[[#This Row],[Qty]]</f>
        <v>39102</v>
      </c>
      <c r="M305" s="140">
        <v>0</v>
      </c>
      <c r="N305" s="143">
        <v>0</v>
      </c>
      <c r="O305" s="140">
        <v>0.18</v>
      </c>
      <c r="P305" s="145">
        <f>(Purchase[[#This Row],[Gross Amount]]-Purchase[[#This Row],[Disct %]])*Purchase[[#This Row],[GST %]]</f>
        <v>7038.36</v>
      </c>
      <c r="Q305" s="145">
        <f>Purchase[[#This Row],[Gross Amount]]-Purchase[[#This Row],[Disct Amnt]]+Purchase[[#This Row],[GST Amount]]</f>
        <v>46140.36</v>
      </c>
      <c r="R305" s="138" t="s">
        <v>1019</v>
      </c>
      <c r="S305" s="41">
        <f>IF(Purchase[[#This Row],[Status]]="Cancelled",0,Purchase[[#This Row],[Qty]])</f>
        <v>21</v>
      </c>
      <c r="T305" s="146">
        <f>IF(Purchase[[#This Row],[Status]]="Cancelled",0,Purchase[[#This Row],[Total Amount]])</f>
        <v>46140.36</v>
      </c>
      <c r="U305" s="146">
        <f>SUM(Purchase[Net Amount])</f>
        <v>814985438.68000126</v>
      </c>
    </row>
    <row r="306" spans="1:21" ht="19.5" thickBot="1" x14ac:dyDescent="0.3">
      <c r="A306" s="136" t="s">
        <v>1334</v>
      </c>
      <c r="B306" s="137">
        <v>45673</v>
      </c>
      <c r="C306" s="138" t="s">
        <v>575</v>
      </c>
      <c r="D306" s="138" t="str">
        <f>VLOOKUP(Purchase[[#This Row],[Supplier ID]],Supplier[#All],2,0)</f>
        <v>Global Computers</v>
      </c>
      <c r="E306" s="138">
        <f>VLOOKUP(Purchase[[#This Row],[Supplier ID]],Supplier[#All],3,0)</f>
        <v>9689542459</v>
      </c>
      <c r="F306" s="138" t="str">
        <f>VLOOKUP(Purchase[[#This Row],[Supplier ID]],Supplier[#All],4,0)</f>
        <v>Indore</v>
      </c>
      <c r="G306" s="138" t="str">
        <f>VLOOKUP(Purchase[[#This Row],[Supplier ID]],Supplier[#All],5,0)</f>
        <v>MP</v>
      </c>
      <c r="H306" s="138" t="str">
        <f>VLOOKUP(Purchase[[#This Row],[Supplier ID]],Supplier[#All],6,0)</f>
        <v>GST2154521T021</v>
      </c>
      <c r="I306" s="138" t="s">
        <v>486</v>
      </c>
      <c r="J306" s="139">
        <v>6</v>
      </c>
      <c r="K306" s="143">
        <f>VLOOKUP(Purchase[[#This Row],[Product ID]],Product[#All],6,0)</f>
        <v>1345</v>
      </c>
      <c r="L306" s="143">
        <f>Purchase[[#This Row],[Purchase Rate]]*Purchase[[#This Row],[Qty]]</f>
        <v>8070</v>
      </c>
      <c r="M306" s="140">
        <v>0</v>
      </c>
      <c r="N306" s="143">
        <v>0</v>
      </c>
      <c r="O306" s="140">
        <v>0.18</v>
      </c>
      <c r="P306" s="145">
        <f>(Purchase[[#This Row],[Gross Amount]]-Purchase[[#This Row],[Disct %]])*Purchase[[#This Row],[GST %]]</f>
        <v>1452.6</v>
      </c>
      <c r="Q306" s="145">
        <f>Purchase[[#This Row],[Gross Amount]]-Purchase[[#This Row],[Disct Amnt]]+Purchase[[#This Row],[GST Amount]]</f>
        <v>9522.6</v>
      </c>
      <c r="R306" s="138" t="s">
        <v>1019</v>
      </c>
      <c r="S306" s="41">
        <f>IF(Purchase[[#This Row],[Status]]="Cancelled",0,Purchase[[#This Row],[Qty]])</f>
        <v>6</v>
      </c>
      <c r="T306" s="146">
        <f>IF(Purchase[[#This Row],[Status]]="Cancelled",0,Purchase[[#This Row],[Total Amount]])</f>
        <v>9522.6</v>
      </c>
      <c r="U306" s="146">
        <f>SUM(Purchase[Net Amount])</f>
        <v>814985438.68000126</v>
      </c>
    </row>
    <row r="307" spans="1:21" ht="19.5" thickBot="1" x14ac:dyDescent="0.3">
      <c r="A307" s="136" t="s">
        <v>1335</v>
      </c>
      <c r="B307" s="137">
        <v>45673</v>
      </c>
      <c r="C307" s="138" t="s">
        <v>612</v>
      </c>
      <c r="D307" s="138" t="str">
        <f>VLOOKUP(Purchase[[#This Row],[Supplier ID]],Supplier[#All],2,0)</f>
        <v>National Computers</v>
      </c>
      <c r="E307" s="138">
        <f>VLOOKUP(Purchase[[#This Row],[Supplier ID]],Supplier[#All],3,0)</f>
        <v>9689542495</v>
      </c>
      <c r="F307" s="138" t="str">
        <f>VLOOKUP(Purchase[[#This Row],[Supplier ID]],Supplier[#All],4,0)</f>
        <v>Indore</v>
      </c>
      <c r="G307" s="138" t="str">
        <f>VLOOKUP(Purchase[[#This Row],[Supplier ID]],Supplier[#All],5,0)</f>
        <v>MP</v>
      </c>
      <c r="H307" s="138" t="str">
        <f>VLOOKUP(Purchase[[#This Row],[Supplier ID]],Supplier[#All],6,0)</f>
        <v>GST2154521T057</v>
      </c>
      <c r="I307" s="138" t="s">
        <v>550</v>
      </c>
      <c r="J307" s="139">
        <v>5</v>
      </c>
      <c r="K307" s="143">
        <f>VLOOKUP(Purchase[[#This Row],[Product ID]],Product[#All],6,0)</f>
        <v>1122</v>
      </c>
      <c r="L307" s="143">
        <f>Purchase[[#This Row],[Purchase Rate]]*Purchase[[#This Row],[Qty]]</f>
        <v>5610</v>
      </c>
      <c r="M307" s="140">
        <v>0</v>
      </c>
      <c r="N307" s="143">
        <v>0</v>
      </c>
      <c r="O307" s="140">
        <v>0.18</v>
      </c>
      <c r="P307" s="145">
        <f>(Purchase[[#This Row],[Gross Amount]]-Purchase[[#This Row],[Disct %]])*Purchase[[#This Row],[GST %]]</f>
        <v>1009.8</v>
      </c>
      <c r="Q307" s="145">
        <f>Purchase[[#This Row],[Gross Amount]]-Purchase[[#This Row],[Disct Amnt]]+Purchase[[#This Row],[GST Amount]]</f>
        <v>6619.8</v>
      </c>
      <c r="R307" s="138" t="s">
        <v>1019</v>
      </c>
      <c r="S307" s="41">
        <f>IF(Purchase[[#This Row],[Status]]="Cancelled",0,Purchase[[#This Row],[Qty]])</f>
        <v>5</v>
      </c>
      <c r="T307" s="146">
        <f>IF(Purchase[[#This Row],[Status]]="Cancelled",0,Purchase[[#This Row],[Total Amount]])</f>
        <v>6619.8</v>
      </c>
      <c r="U307" s="146">
        <f>SUM(Purchase[Net Amount])</f>
        <v>814985438.68000126</v>
      </c>
    </row>
    <row r="308" spans="1:21" ht="19.5" thickBot="1" x14ac:dyDescent="0.3">
      <c r="A308" s="136" t="s">
        <v>1336</v>
      </c>
      <c r="B308" s="137">
        <v>45673</v>
      </c>
      <c r="C308" s="138" t="s">
        <v>605</v>
      </c>
      <c r="D308" s="138" t="str">
        <f>VLOOKUP(Purchase[[#This Row],[Supplier ID]],Supplier[#All],2,0)</f>
        <v>Star Traders</v>
      </c>
      <c r="E308" s="138">
        <f>VLOOKUP(Purchase[[#This Row],[Supplier ID]],Supplier[#All],3,0)</f>
        <v>9689542488</v>
      </c>
      <c r="F308" s="138" t="str">
        <f>VLOOKUP(Purchase[[#This Row],[Supplier ID]],Supplier[#All],4,0)</f>
        <v>Indore</v>
      </c>
      <c r="G308" s="138" t="str">
        <f>VLOOKUP(Purchase[[#This Row],[Supplier ID]],Supplier[#All],5,0)</f>
        <v>MP</v>
      </c>
      <c r="H308" s="138" t="str">
        <f>VLOOKUP(Purchase[[#This Row],[Supplier ID]],Supplier[#All],6,0)</f>
        <v>GST2154521T050</v>
      </c>
      <c r="I308" s="138" t="s">
        <v>525</v>
      </c>
      <c r="J308" s="139">
        <v>4</v>
      </c>
      <c r="K308" s="143">
        <f>VLOOKUP(Purchase[[#This Row],[Product ID]],Product[#All],6,0)</f>
        <v>1570</v>
      </c>
      <c r="L308" s="143">
        <f>Purchase[[#This Row],[Purchase Rate]]*Purchase[[#This Row],[Qty]]</f>
        <v>6280</v>
      </c>
      <c r="M308" s="140">
        <v>0</v>
      </c>
      <c r="N308" s="143">
        <v>0</v>
      </c>
      <c r="O308" s="140">
        <v>0.18</v>
      </c>
      <c r="P308" s="145">
        <f>(Purchase[[#This Row],[Gross Amount]]-Purchase[[#This Row],[Disct %]])*Purchase[[#This Row],[GST %]]</f>
        <v>1130.3999999999999</v>
      </c>
      <c r="Q308" s="145">
        <f>Purchase[[#This Row],[Gross Amount]]-Purchase[[#This Row],[Disct Amnt]]+Purchase[[#This Row],[GST Amount]]</f>
        <v>7410.4</v>
      </c>
      <c r="R308" s="138" t="s">
        <v>1019</v>
      </c>
      <c r="S308" s="41">
        <f>IF(Purchase[[#This Row],[Status]]="Cancelled",0,Purchase[[#This Row],[Qty]])</f>
        <v>4</v>
      </c>
      <c r="T308" s="146">
        <f>IF(Purchase[[#This Row],[Status]]="Cancelled",0,Purchase[[#This Row],[Total Amount]])</f>
        <v>7410.4</v>
      </c>
      <c r="U308" s="146">
        <f>SUM(Purchase[Net Amount])</f>
        <v>814985438.68000126</v>
      </c>
    </row>
    <row r="309" spans="1:21" ht="19.5" thickBot="1" x14ac:dyDescent="0.3">
      <c r="A309" s="136" t="s">
        <v>1337</v>
      </c>
      <c r="B309" s="137">
        <v>45673</v>
      </c>
      <c r="C309" s="138" t="s">
        <v>581</v>
      </c>
      <c r="D309" s="138" t="str">
        <f>VLOOKUP(Purchase[[#This Row],[Supplier ID]],Supplier[#All],2,0)</f>
        <v>Prime Electronics</v>
      </c>
      <c r="E309" s="138">
        <f>VLOOKUP(Purchase[[#This Row],[Supplier ID]],Supplier[#All],3,0)</f>
        <v>9689542465</v>
      </c>
      <c r="F309" s="138" t="str">
        <f>VLOOKUP(Purchase[[#This Row],[Supplier ID]],Supplier[#All],4,0)</f>
        <v>Korba</v>
      </c>
      <c r="G309" s="138" t="str">
        <f>VLOOKUP(Purchase[[#This Row],[Supplier ID]],Supplier[#All],5,0)</f>
        <v>CG</v>
      </c>
      <c r="H309" s="138" t="str">
        <f>VLOOKUP(Purchase[[#This Row],[Supplier ID]],Supplier[#All],6,0)</f>
        <v>GST2154521T027</v>
      </c>
      <c r="I309" s="138" t="s">
        <v>183</v>
      </c>
      <c r="J309" s="139">
        <v>35</v>
      </c>
      <c r="K309" s="143">
        <f>VLOOKUP(Purchase[[#This Row],[Product ID]],Product[#All],6,0)</f>
        <v>1270</v>
      </c>
      <c r="L309" s="143">
        <f>Purchase[[#This Row],[Purchase Rate]]*Purchase[[#This Row],[Qty]]</f>
        <v>44450</v>
      </c>
      <c r="M309" s="140">
        <v>0</v>
      </c>
      <c r="N309" s="143">
        <v>0</v>
      </c>
      <c r="O309" s="140">
        <v>0.18</v>
      </c>
      <c r="P309" s="145">
        <f>(Purchase[[#This Row],[Gross Amount]]-Purchase[[#This Row],[Disct %]])*Purchase[[#This Row],[GST %]]</f>
        <v>8001</v>
      </c>
      <c r="Q309" s="145">
        <f>Purchase[[#This Row],[Gross Amount]]-Purchase[[#This Row],[Disct Amnt]]+Purchase[[#This Row],[GST Amount]]</f>
        <v>52451</v>
      </c>
      <c r="R309" s="138" t="s">
        <v>1019</v>
      </c>
      <c r="S309" s="41">
        <f>IF(Purchase[[#This Row],[Status]]="Cancelled",0,Purchase[[#This Row],[Qty]])</f>
        <v>35</v>
      </c>
      <c r="T309" s="146">
        <f>IF(Purchase[[#This Row],[Status]]="Cancelled",0,Purchase[[#This Row],[Total Amount]])</f>
        <v>52451</v>
      </c>
      <c r="U309" s="146">
        <f>SUM(Purchase[Net Amount])</f>
        <v>814985438.68000126</v>
      </c>
    </row>
    <row r="310" spans="1:21" ht="19.5" thickBot="1" x14ac:dyDescent="0.3">
      <c r="A310" s="136" t="s">
        <v>1338</v>
      </c>
      <c r="B310" s="137">
        <v>45673</v>
      </c>
      <c r="C310" s="138" t="s">
        <v>608</v>
      </c>
      <c r="D310" s="138" t="str">
        <f>VLOOKUP(Purchase[[#This Row],[Supplier ID]],Supplier[#All],2,0)</f>
        <v>Global Suppliers</v>
      </c>
      <c r="E310" s="138">
        <f>VLOOKUP(Purchase[[#This Row],[Supplier ID]],Supplier[#All],3,0)</f>
        <v>9689542499</v>
      </c>
      <c r="F310" s="138" t="str">
        <f>VLOOKUP(Purchase[[#This Row],[Supplier ID]],Supplier[#All],4,0)</f>
        <v>Korba</v>
      </c>
      <c r="G310" s="138" t="str">
        <f>VLOOKUP(Purchase[[#This Row],[Supplier ID]],Supplier[#All],5,0)</f>
        <v>CG</v>
      </c>
      <c r="H310" s="138" t="str">
        <f>VLOOKUP(Purchase[[#This Row],[Supplier ID]],Supplier[#All],6,0)</f>
        <v>GST2154521T053</v>
      </c>
      <c r="I310" s="138" t="s">
        <v>488</v>
      </c>
      <c r="J310" s="139">
        <v>40</v>
      </c>
      <c r="K310" s="143">
        <f>VLOOKUP(Purchase[[#This Row],[Product ID]],Product[#All],6,0)</f>
        <v>28611</v>
      </c>
      <c r="L310" s="143">
        <f>Purchase[[#This Row],[Purchase Rate]]*Purchase[[#This Row],[Qty]]</f>
        <v>1144440</v>
      </c>
      <c r="M310" s="140">
        <v>0</v>
      </c>
      <c r="N310" s="143">
        <v>0</v>
      </c>
      <c r="O310" s="140">
        <v>0.18</v>
      </c>
      <c r="P310" s="145">
        <f>(Purchase[[#This Row],[Gross Amount]]-Purchase[[#This Row],[Disct %]])*Purchase[[#This Row],[GST %]]</f>
        <v>205999.19999999998</v>
      </c>
      <c r="Q310" s="145">
        <f>Purchase[[#This Row],[Gross Amount]]-Purchase[[#This Row],[Disct Amnt]]+Purchase[[#This Row],[GST Amount]]</f>
        <v>1350439.2</v>
      </c>
      <c r="R310" s="138" t="s">
        <v>1019</v>
      </c>
      <c r="S310" s="41">
        <f>IF(Purchase[[#This Row],[Status]]="Cancelled",0,Purchase[[#This Row],[Qty]])</f>
        <v>40</v>
      </c>
      <c r="T310" s="146">
        <f>IF(Purchase[[#This Row],[Status]]="Cancelled",0,Purchase[[#This Row],[Total Amount]])</f>
        <v>1350439.2</v>
      </c>
      <c r="U310" s="146">
        <f>SUM(Purchase[Net Amount])</f>
        <v>814985438.68000126</v>
      </c>
    </row>
    <row r="311" spans="1:21" ht="19.5" thickBot="1" x14ac:dyDescent="0.3">
      <c r="A311" s="136" t="s">
        <v>1339</v>
      </c>
      <c r="B311" s="137">
        <v>45673</v>
      </c>
      <c r="C311" s="138" t="s">
        <v>613</v>
      </c>
      <c r="D311" s="138" t="str">
        <f>VLOOKUP(Purchase[[#This Row],[Supplier ID]],Supplier[#All],2,0)</f>
        <v>National Traders</v>
      </c>
      <c r="E311" s="138">
        <f>VLOOKUP(Purchase[[#This Row],[Supplier ID]],Supplier[#All],3,0)</f>
        <v>9689542496</v>
      </c>
      <c r="F311" s="138" t="str">
        <f>VLOOKUP(Purchase[[#This Row],[Supplier ID]],Supplier[#All],4,0)</f>
        <v>Indore</v>
      </c>
      <c r="G311" s="138" t="str">
        <f>VLOOKUP(Purchase[[#This Row],[Supplier ID]],Supplier[#All],5,0)</f>
        <v>MP</v>
      </c>
      <c r="H311" s="138" t="str">
        <f>VLOOKUP(Purchase[[#This Row],[Supplier ID]],Supplier[#All],6,0)</f>
        <v>GST2154521T058</v>
      </c>
      <c r="I311" s="138" t="s">
        <v>509</v>
      </c>
      <c r="J311" s="139">
        <v>13</v>
      </c>
      <c r="K311" s="143">
        <f>VLOOKUP(Purchase[[#This Row],[Product ID]],Product[#All],6,0)</f>
        <v>2682</v>
      </c>
      <c r="L311" s="143">
        <f>Purchase[[#This Row],[Purchase Rate]]*Purchase[[#This Row],[Qty]]</f>
        <v>34866</v>
      </c>
      <c r="M311" s="140">
        <v>0</v>
      </c>
      <c r="N311" s="143">
        <v>0</v>
      </c>
      <c r="O311" s="140">
        <v>0.18</v>
      </c>
      <c r="P311" s="145">
        <f>(Purchase[[#This Row],[Gross Amount]]-Purchase[[#This Row],[Disct %]])*Purchase[[#This Row],[GST %]]</f>
        <v>6275.88</v>
      </c>
      <c r="Q311" s="145">
        <f>Purchase[[#This Row],[Gross Amount]]-Purchase[[#This Row],[Disct Amnt]]+Purchase[[#This Row],[GST Amount]]</f>
        <v>41141.879999999997</v>
      </c>
      <c r="R311" s="138" t="s">
        <v>1040</v>
      </c>
      <c r="S311" s="41">
        <f>IF(Purchase[[#This Row],[Status]]="Cancelled",0,Purchase[[#This Row],[Qty]])</f>
        <v>0</v>
      </c>
      <c r="T311" s="146">
        <f>IF(Purchase[[#This Row],[Status]]="Cancelled",0,Purchase[[#This Row],[Total Amount]])</f>
        <v>0</v>
      </c>
      <c r="U311" s="146">
        <f>SUM(Purchase[Net Amount])</f>
        <v>814985438.68000126</v>
      </c>
    </row>
    <row r="312" spans="1:21" ht="19.5" thickBot="1" x14ac:dyDescent="0.3">
      <c r="A312" s="136" t="s">
        <v>1340</v>
      </c>
      <c r="B312" s="137">
        <v>45673</v>
      </c>
      <c r="C312" s="138" t="s">
        <v>587</v>
      </c>
      <c r="D312" s="138" t="str">
        <f>VLOOKUP(Purchase[[#This Row],[Supplier ID]],Supplier[#All],2,0)</f>
        <v>maa distributors</v>
      </c>
      <c r="E312" s="138">
        <f>VLOOKUP(Purchase[[#This Row],[Supplier ID]],Supplier[#All],3,0)</f>
        <v>9689542479</v>
      </c>
      <c r="F312" s="138" t="str">
        <f>VLOOKUP(Purchase[[#This Row],[Supplier ID]],Supplier[#All],4,0)</f>
        <v>Indore</v>
      </c>
      <c r="G312" s="138" t="str">
        <f>VLOOKUP(Purchase[[#This Row],[Supplier ID]],Supplier[#All],5,0)</f>
        <v>MP</v>
      </c>
      <c r="H312" s="138" t="str">
        <f>VLOOKUP(Purchase[[#This Row],[Supplier ID]],Supplier[#All],6,0)</f>
        <v>GST2154521T033</v>
      </c>
      <c r="I312" s="138" t="s">
        <v>51</v>
      </c>
      <c r="J312" s="139">
        <v>7</v>
      </c>
      <c r="K312" s="143">
        <f>VLOOKUP(Purchase[[#This Row],[Product ID]],Product[#All],6,0)</f>
        <v>3994</v>
      </c>
      <c r="L312" s="143">
        <f>Purchase[[#This Row],[Purchase Rate]]*Purchase[[#This Row],[Qty]]</f>
        <v>27958</v>
      </c>
      <c r="M312" s="140">
        <v>0</v>
      </c>
      <c r="N312" s="143">
        <v>0</v>
      </c>
      <c r="O312" s="140">
        <v>0.18</v>
      </c>
      <c r="P312" s="145">
        <f>(Purchase[[#This Row],[Gross Amount]]-Purchase[[#This Row],[Disct %]])*Purchase[[#This Row],[GST %]]</f>
        <v>5032.4399999999996</v>
      </c>
      <c r="Q312" s="145">
        <f>Purchase[[#This Row],[Gross Amount]]-Purchase[[#This Row],[Disct Amnt]]+Purchase[[#This Row],[GST Amount]]</f>
        <v>32990.44</v>
      </c>
      <c r="R312" s="138" t="s">
        <v>1019</v>
      </c>
      <c r="S312" s="41">
        <f>IF(Purchase[[#This Row],[Status]]="Cancelled",0,Purchase[[#This Row],[Qty]])</f>
        <v>7</v>
      </c>
      <c r="T312" s="146">
        <f>IF(Purchase[[#This Row],[Status]]="Cancelled",0,Purchase[[#This Row],[Total Amount]])</f>
        <v>32990.44</v>
      </c>
      <c r="U312" s="146">
        <f>SUM(Purchase[Net Amount])</f>
        <v>814985438.68000126</v>
      </c>
    </row>
    <row r="313" spans="1:21" ht="19.5" thickBot="1" x14ac:dyDescent="0.3">
      <c r="A313" s="136" t="s">
        <v>1341</v>
      </c>
      <c r="B313" s="137">
        <v>45673</v>
      </c>
      <c r="C313" s="138" t="s">
        <v>583</v>
      </c>
      <c r="D313" s="138" t="str">
        <f>VLOOKUP(Purchase[[#This Row],[Supplier ID]],Supplier[#All],2,0)</f>
        <v>Shree Distributors</v>
      </c>
      <c r="E313" s="138">
        <f>VLOOKUP(Purchase[[#This Row],[Supplier ID]],Supplier[#All],3,0)</f>
        <v>9689542467</v>
      </c>
      <c r="F313" s="138" t="str">
        <f>VLOOKUP(Purchase[[#This Row],[Supplier ID]],Supplier[#All],4,0)</f>
        <v>Indore</v>
      </c>
      <c r="G313" s="138" t="str">
        <f>VLOOKUP(Purchase[[#This Row],[Supplier ID]],Supplier[#All],5,0)</f>
        <v>MP</v>
      </c>
      <c r="H313" s="138" t="str">
        <f>VLOOKUP(Purchase[[#This Row],[Supplier ID]],Supplier[#All],6,0)</f>
        <v>GST2154521T029</v>
      </c>
      <c r="I313" s="138" t="s">
        <v>65</v>
      </c>
      <c r="J313" s="139">
        <v>34</v>
      </c>
      <c r="K313" s="143">
        <f>VLOOKUP(Purchase[[#This Row],[Product ID]],Product[#All],6,0)</f>
        <v>1758</v>
      </c>
      <c r="L313" s="143">
        <f>Purchase[[#This Row],[Purchase Rate]]*Purchase[[#This Row],[Qty]]</f>
        <v>59772</v>
      </c>
      <c r="M313" s="140">
        <v>0</v>
      </c>
      <c r="N313" s="143">
        <v>0</v>
      </c>
      <c r="O313" s="140">
        <v>0.18</v>
      </c>
      <c r="P313" s="145">
        <f>(Purchase[[#This Row],[Gross Amount]]-Purchase[[#This Row],[Disct %]])*Purchase[[#This Row],[GST %]]</f>
        <v>10758.96</v>
      </c>
      <c r="Q313" s="145">
        <f>Purchase[[#This Row],[Gross Amount]]-Purchase[[#This Row],[Disct Amnt]]+Purchase[[#This Row],[GST Amount]]</f>
        <v>70530.959999999992</v>
      </c>
      <c r="R313" s="138" t="s">
        <v>1019</v>
      </c>
      <c r="S313" s="41">
        <f>IF(Purchase[[#This Row],[Status]]="Cancelled",0,Purchase[[#This Row],[Qty]])</f>
        <v>34</v>
      </c>
      <c r="T313" s="146">
        <f>IF(Purchase[[#This Row],[Status]]="Cancelled",0,Purchase[[#This Row],[Total Amount]])</f>
        <v>70530.959999999992</v>
      </c>
      <c r="U313" s="146">
        <f>SUM(Purchase[Net Amount])</f>
        <v>814985438.68000126</v>
      </c>
    </row>
    <row r="314" spans="1:21" ht="19.5" thickBot="1" x14ac:dyDescent="0.3">
      <c r="A314" s="136" t="s">
        <v>1342</v>
      </c>
      <c r="B314" s="137">
        <v>45673</v>
      </c>
      <c r="C314" s="138" t="s">
        <v>565</v>
      </c>
      <c r="D314" s="138" t="str">
        <f>VLOOKUP(Purchase[[#This Row],[Supplier ID]],Supplier[#All],2,0)</f>
        <v>Global Suppliers</v>
      </c>
      <c r="E314" s="138">
        <f>VLOOKUP(Purchase[[#This Row],[Supplier ID]],Supplier[#All],3,0)</f>
        <v>9689542459</v>
      </c>
      <c r="F314" s="138" t="str">
        <f>VLOOKUP(Purchase[[#This Row],[Supplier ID]],Supplier[#All],4,0)</f>
        <v>Indore</v>
      </c>
      <c r="G314" s="138" t="str">
        <f>VLOOKUP(Purchase[[#This Row],[Supplier ID]],Supplier[#All],5,0)</f>
        <v>MP</v>
      </c>
      <c r="H314" s="138" t="str">
        <f>VLOOKUP(Purchase[[#This Row],[Supplier ID]],Supplier[#All],6,0)</f>
        <v>GST2154521T013</v>
      </c>
      <c r="I314" s="138" t="s">
        <v>470</v>
      </c>
      <c r="J314" s="139">
        <v>29</v>
      </c>
      <c r="K314" s="143">
        <f>VLOOKUP(Purchase[[#This Row],[Product ID]],Product[#All],6,0)</f>
        <v>30694</v>
      </c>
      <c r="L314" s="143">
        <f>Purchase[[#This Row],[Purchase Rate]]*Purchase[[#This Row],[Qty]]</f>
        <v>890126</v>
      </c>
      <c r="M314" s="140">
        <v>0</v>
      </c>
      <c r="N314" s="143">
        <v>0</v>
      </c>
      <c r="O314" s="140">
        <v>0.18</v>
      </c>
      <c r="P314" s="145">
        <f>(Purchase[[#This Row],[Gross Amount]]-Purchase[[#This Row],[Disct %]])*Purchase[[#This Row],[GST %]]</f>
        <v>160222.68</v>
      </c>
      <c r="Q314" s="145">
        <f>Purchase[[#This Row],[Gross Amount]]-Purchase[[#This Row],[Disct Amnt]]+Purchase[[#This Row],[GST Amount]]</f>
        <v>1050348.68</v>
      </c>
      <c r="R314" s="138" t="s">
        <v>1019</v>
      </c>
      <c r="S314" s="41">
        <f>IF(Purchase[[#This Row],[Status]]="Cancelled",0,Purchase[[#This Row],[Qty]])</f>
        <v>29</v>
      </c>
      <c r="T314" s="146">
        <f>IF(Purchase[[#This Row],[Status]]="Cancelled",0,Purchase[[#This Row],[Total Amount]])</f>
        <v>1050348.68</v>
      </c>
      <c r="U314" s="146">
        <f>SUM(Purchase[Net Amount])</f>
        <v>814985438.68000126</v>
      </c>
    </row>
    <row r="315" spans="1:21" ht="19.5" thickBot="1" x14ac:dyDescent="0.3">
      <c r="A315" s="136" t="s">
        <v>1343</v>
      </c>
      <c r="B315" s="137">
        <v>45673</v>
      </c>
      <c r="C315" s="138" t="s">
        <v>568</v>
      </c>
      <c r="D315" s="138" t="str">
        <f>VLOOKUP(Purchase[[#This Row],[Supplier ID]],Supplier[#All],2,0)</f>
        <v>Maa Computers</v>
      </c>
      <c r="E315" s="138">
        <f>VLOOKUP(Purchase[[#This Row],[Supplier ID]],Supplier[#All],3,0)</f>
        <v>9689542454</v>
      </c>
      <c r="F315" s="138" t="str">
        <f>VLOOKUP(Purchase[[#This Row],[Supplier ID]],Supplier[#All],4,0)</f>
        <v>Korba</v>
      </c>
      <c r="G315" s="138" t="str">
        <f>VLOOKUP(Purchase[[#This Row],[Supplier ID]],Supplier[#All],5,0)</f>
        <v>CG</v>
      </c>
      <c r="H315" s="138" t="str">
        <f>VLOOKUP(Purchase[[#This Row],[Supplier ID]],Supplier[#All],6,0)</f>
        <v>GST2154521T016</v>
      </c>
      <c r="I315" s="138" t="s">
        <v>154</v>
      </c>
      <c r="J315" s="139">
        <v>6</v>
      </c>
      <c r="K315" s="143">
        <f>VLOOKUP(Purchase[[#This Row],[Product ID]],Product[#All],6,0)</f>
        <v>39768</v>
      </c>
      <c r="L315" s="143">
        <f>Purchase[[#This Row],[Purchase Rate]]*Purchase[[#This Row],[Qty]]</f>
        <v>238608</v>
      </c>
      <c r="M315" s="140">
        <v>0</v>
      </c>
      <c r="N315" s="143">
        <v>0</v>
      </c>
      <c r="O315" s="140">
        <v>0.18</v>
      </c>
      <c r="P315" s="145">
        <f>(Purchase[[#This Row],[Gross Amount]]-Purchase[[#This Row],[Disct %]])*Purchase[[#This Row],[GST %]]</f>
        <v>42949.439999999995</v>
      </c>
      <c r="Q315" s="145">
        <f>Purchase[[#This Row],[Gross Amount]]-Purchase[[#This Row],[Disct Amnt]]+Purchase[[#This Row],[GST Amount]]</f>
        <v>281557.44</v>
      </c>
      <c r="R315" s="138" t="s">
        <v>1019</v>
      </c>
      <c r="S315" s="41">
        <f>IF(Purchase[[#This Row],[Status]]="Cancelled",0,Purchase[[#This Row],[Qty]])</f>
        <v>6</v>
      </c>
      <c r="T315" s="146">
        <f>IF(Purchase[[#This Row],[Status]]="Cancelled",0,Purchase[[#This Row],[Total Amount]])</f>
        <v>281557.44</v>
      </c>
      <c r="U315" s="146">
        <f>SUM(Purchase[Net Amount])</f>
        <v>814985438.68000126</v>
      </c>
    </row>
    <row r="316" spans="1:21" ht="19.5" thickBot="1" x14ac:dyDescent="0.3">
      <c r="A316" s="136" t="s">
        <v>1344</v>
      </c>
      <c r="B316" s="137">
        <v>45674</v>
      </c>
      <c r="C316" s="138" t="s">
        <v>609</v>
      </c>
      <c r="D316" s="138" t="str">
        <f>VLOOKUP(Purchase[[#This Row],[Supplier ID]],Supplier[#All],2,0)</f>
        <v>Star Suppliers</v>
      </c>
      <c r="E316" s="138">
        <f>VLOOKUP(Purchase[[#This Row],[Supplier ID]],Supplier[#All],3,0)</f>
        <v>9689542492</v>
      </c>
      <c r="F316" s="138" t="str">
        <f>VLOOKUP(Purchase[[#This Row],[Supplier ID]],Supplier[#All],4,0)</f>
        <v>Kanpur</v>
      </c>
      <c r="G316" s="138" t="str">
        <f>VLOOKUP(Purchase[[#This Row],[Supplier ID]],Supplier[#All],5,0)</f>
        <v>UP</v>
      </c>
      <c r="H316" s="138" t="str">
        <f>VLOOKUP(Purchase[[#This Row],[Supplier ID]],Supplier[#All],6,0)</f>
        <v>GST2154521T054</v>
      </c>
      <c r="I316" s="138" t="s">
        <v>244</v>
      </c>
      <c r="J316" s="139">
        <v>10</v>
      </c>
      <c r="K316" s="143">
        <f>VLOOKUP(Purchase[[#This Row],[Product ID]],Product[#All],6,0)</f>
        <v>3205</v>
      </c>
      <c r="L316" s="143">
        <f>Purchase[[#This Row],[Purchase Rate]]*Purchase[[#This Row],[Qty]]</f>
        <v>32050</v>
      </c>
      <c r="M316" s="140">
        <v>0</v>
      </c>
      <c r="N316" s="143">
        <v>0</v>
      </c>
      <c r="O316" s="140">
        <v>0.18</v>
      </c>
      <c r="P316" s="145">
        <f>(Purchase[[#This Row],[Gross Amount]]-Purchase[[#This Row],[Disct %]])*Purchase[[#This Row],[GST %]]</f>
        <v>5769</v>
      </c>
      <c r="Q316" s="145">
        <f>Purchase[[#This Row],[Gross Amount]]-Purchase[[#This Row],[Disct Amnt]]+Purchase[[#This Row],[GST Amount]]</f>
        <v>37819</v>
      </c>
      <c r="R316" s="138" t="s">
        <v>1019</v>
      </c>
      <c r="S316" s="41">
        <f>IF(Purchase[[#This Row],[Status]]="Cancelled",0,Purchase[[#This Row],[Qty]])</f>
        <v>10</v>
      </c>
      <c r="T316" s="146">
        <f>IF(Purchase[[#This Row],[Status]]="Cancelled",0,Purchase[[#This Row],[Total Amount]])</f>
        <v>37819</v>
      </c>
      <c r="U316" s="146">
        <f>SUM(Purchase[Net Amount])</f>
        <v>814985438.68000126</v>
      </c>
    </row>
    <row r="317" spans="1:21" ht="19.5" thickBot="1" x14ac:dyDescent="0.3">
      <c r="A317" s="136" t="s">
        <v>1345</v>
      </c>
      <c r="B317" s="137">
        <v>45674</v>
      </c>
      <c r="C317" s="138" t="s">
        <v>596</v>
      </c>
      <c r="D317" s="138" t="str">
        <f>VLOOKUP(Purchase[[#This Row],[Supplier ID]],Supplier[#All],2,0)</f>
        <v>star traders</v>
      </c>
      <c r="E317" s="138">
        <f>VLOOKUP(Purchase[[#This Row],[Supplier ID]],Supplier[#All],3,0)</f>
        <v>9689542479</v>
      </c>
      <c r="F317" s="138" t="str">
        <f>VLOOKUP(Purchase[[#This Row],[Supplier ID]],Supplier[#All],4,0)</f>
        <v>Korba</v>
      </c>
      <c r="G317" s="138" t="str">
        <f>VLOOKUP(Purchase[[#This Row],[Supplier ID]],Supplier[#All],5,0)</f>
        <v>CG</v>
      </c>
      <c r="H317" s="138" t="str">
        <f>VLOOKUP(Purchase[[#This Row],[Supplier ID]],Supplier[#All],6,0)</f>
        <v>GST2154521T041</v>
      </c>
      <c r="I317" s="138" t="s">
        <v>506</v>
      </c>
      <c r="J317" s="139">
        <v>6</v>
      </c>
      <c r="K317" s="143">
        <f>VLOOKUP(Purchase[[#This Row],[Product ID]],Product[#All],6,0)</f>
        <v>36215</v>
      </c>
      <c r="L317" s="143">
        <f>Purchase[[#This Row],[Purchase Rate]]*Purchase[[#This Row],[Qty]]</f>
        <v>217290</v>
      </c>
      <c r="M317" s="140">
        <v>0</v>
      </c>
      <c r="N317" s="143">
        <v>0</v>
      </c>
      <c r="O317" s="140">
        <v>0.18</v>
      </c>
      <c r="P317" s="145">
        <f>(Purchase[[#This Row],[Gross Amount]]-Purchase[[#This Row],[Disct %]])*Purchase[[#This Row],[GST %]]</f>
        <v>39112.199999999997</v>
      </c>
      <c r="Q317" s="145">
        <f>Purchase[[#This Row],[Gross Amount]]-Purchase[[#This Row],[Disct Amnt]]+Purchase[[#This Row],[GST Amount]]</f>
        <v>256402.2</v>
      </c>
      <c r="R317" s="138" t="s">
        <v>1019</v>
      </c>
      <c r="S317" s="41">
        <f>IF(Purchase[[#This Row],[Status]]="Cancelled",0,Purchase[[#This Row],[Qty]])</f>
        <v>6</v>
      </c>
      <c r="T317" s="146">
        <f>IF(Purchase[[#This Row],[Status]]="Cancelled",0,Purchase[[#This Row],[Total Amount]])</f>
        <v>256402.2</v>
      </c>
      <c r="U317" s="146">
        <f>SUM(Purchase[Net Amount])</f>
        <v>814985438.68000126</v>
      </c>
    </row>
    <row r="318" spans="1:21" ht="19.5" thickBot="1" x14ac:dyDescent="0.3">
      <c r="A318" s="136" t="s">
        <v>1346</v>
      </c>
      <c r="B318" s="137">
        <v>45674</v>
      </c>
      <c r="C318" s="138" t="s">
        <v>573</v>
      </c>
      <c r="D318" s="138" t="str">
        <f>VLOOKUP(Purchase[[#This Row],[Supplier ID]],Supplier[#All],2,0)</f>
        <v>Shree Traders</v>
      </c>
      <c r="E318" s="138">
        <f>VLOOKUP(Purchase[[#This Row],[Supplier ID]],Supplier[#All],3,0)</f>
        <v>9689542458</v>
      </c>
      <c r="F318" s="138" t="str">
        <f>VLOOKUP(Purchase[[#This Row],[Supplier ID]],Supplier[#All],4,0)</f>
        <v>Korba</v>
      </c>
      <c r="G318" s="138" t="str">
        <f>VLOOKUP(Purchase[[#This Row],[Supplier ID]],Supplier[#All],5,0)</f>
        <v>CG</v>
      </c>
      <c r="H318" s="138" t="str">
        <f>VLOOKUP(Purchase[[#This Row],[Supplier ID]],Supplier[#All],6,0)</f>
        <v>GST2154521T020</v>
      </c>
      <c r="I318" s="138" t="s">
        <v>495</v>
      </c>
      <c r="J318" s="139">
        <v>30</v>
      </c>
      <c r="K318" s="143">
        <f>VLOOKUP(Purchase[[#This Row],[Product ID]],Product[#All],6,0)</f>
        <v>54252</v>
      </c>
      <c r="L318" s="143">
        <f>Purchase[[#This Row],[Purchase Rate]]*Purchase[[#This Row],[Qty]]</f>
        <v>1627560</v>
      </c>
      <c r="M318" s="140">
        <v>0</v>
      </c>
      <c r="N318" s="143">
        <v>0</v>
      </c>
      <c r="O318" s="140">
        <v>0.18</v>
      </c>
      <c r="P318" s="145">
        <f>(Purchase[[#This Row],[Gross Amount]]-Purchase[[#This Row],[Disct %]])*Purchase[[#This Row],[GST %]]</f>
        <v>292960.8</v>
      </c>
      <c r="Q318" s="145">
        <f>Purchase[[#This Row],[Gross Amount]]-Purchase[[#This Row],[Disct Amnt]]+Purchase[[#This Row],[GST Amount]]</f>
        <v>1920520.8</v>
      </c>
      <c r="R318" s="138" t="s">
        <v>1019</v>
      </c>
      <c r="S318" s="41">
        <f>IF(Purchase[[#This Row],[Status]]="Cancelled",0,Purchase[[#This Row],[Qty]])</f>
        <v>30</v>
      </c>
      <c r="T318" s="146">
        <f>IF(Purchase[[#This Row],[Status]]="Cancelled",0,Purchase[[#This Row],[Total Amount]])</f>
        <v>1920520.8</v>
      </c>
      <c r="U318" s="146">
        <f>SUM(Purchase[Net Amount])</f>
        <v>814985438.68000126</v>
      </c>
    </row>
    <row r="319" spans="1:21" ht="19.5" thickBot="1" x14ac:dyDescent="0.3">
      <c r="A319" s="136" t="s">
        <v>1347</v>
      </c>
      <c r="B319" s="137">
        <v>45674</v>
      </c>
      <c r="C319" s="138" t="s">
        <v>1348</v>
      </c>
      <c r="D319" s="138" t="str">
        <f>VLOOKUP(Purchase[[#This Row],[Supplier ID]],Supplier[#All],2,0)</f>
        <v>Shree Suppliers</v>
      </c>
      <c r="E319" s="138">
        <f>VLOOKUP(Purchase[[#This Row],[Supplier ID]],Supplier[#All],3,0)</f>
        <v>9689542477</v>
      </c>
      <c r="F319" s="138" t="str">
        <f>VLOOKUP(Purchase[[#This Row],[Supplier ID]],Supplier[#All],4,0)</f>
        <v>Indore</v>
      </c>
      <c r="G319" s="138" t="str">
        <f>VLOOKUP(Purchase[[#This Row],[Supplier ID]],Supplier[#All],5,0)</f>
        <v>MP</v>
      </c>
      <c r="H319" s="138" t="str">
        <f>VLOOKUP(Purchase[[#This Row],[Supplier ID]],Supplier[#All],6,0)</f>
        <v>GST2154521T039</v>
      </c>
      <c r="I319" s="138" t="s">
        <v>393</v>
      </c>
      <c r="J319" s="139">
        <v>36</v>
      </c>
      <c r="K319" s="143">
        <f>VLOOKUP(Purchase[[#This Row],[Product ID]],Product[#All],6,0)</f>
        <v>2584</v>
      </c>
      <c r="L319" s="143">
        <f>Purchase[[#This Row],[Purchase Rate]]*Purchase[[#This Row],[Qty]]</f>
        <v>93024</v>
      </c>
      <c r="M319" s="140">
        <v>0</v>
      </c>
      <c r="N319" s="143">
        <v>0</v>
      </c>
      <c r="O319" s="140">
        <v>0.18</v>
      </c>
      <c r="P319" s="145">
        <f>(Purchase[[#This Row],[Gross Amount]]-Purchase[[#This Row],[Disct %]])*Purchase[[#This Row],[GST %]]</f>
        <v>16744.32</v>
      </c>
      <c r="Q319" s="145">
        <f>Purchase[[#This Row],[Gross Amount]]-Purchase[[#This Row],[Disct Amnt]]+Purchase[[#This Row],[GST Amount]]</f>
        <v>109768.32000000001</v>
      </c>
      <c r="R319" s="138" t="s">
        <v>1040</v>
      </c>
      <c r="S319" s="41">
        <f>IF(Purchase[[#This Row],[Status]]="Cancelled",0,Purchase[[#This Row],[Qty]])</f>
        <v>0</v>
      </c>
      <c r="T319" s="146">
        <f>IF(Purchase[[#This Row],[Status]]="Cancelled",0,Purchase[[#This Row],[Total Amount]])</f>
        <v>0</v>
      </c>
      <c r="U319" s="146">
        <f>SUM(Purchase[Net Amount])</f>
        <v>814985438.68000126</v>
      </c>
    </row>
    <row r="320" spans="1:21" ht="19.5" thickBot="1" x14ac:dyDescent="0.3">
      <c r="A320" s="136" t="s">
        <v>1349</v>
      </c>
      <c r="B320" s="137">
        <v>45674</v>
      </c>
      <c r="C320" s="138" t="s">
        <v>599</v>
      </c>
      <c r="D320" s="138" t="str">
        <f>VLOOKUP(Purchase[[#This Row],[Supplier ID]],Supplier[#All],2,0)</f>
        <v>National Distributors</v>
      </c>
      <c r="E320" s="138">
        <f>VLOOKUP(Purchase[[#This Row],[Supplier ID]],Supplier[#All],3,0)</f>
        <v>9689542482</v>
      </c>
      <c r="F320" s="138" t="str">
        <f>VLOOKUP(Purchase[[#This Row],[Supplier ID]],Supplier[#All],4,0)</f>
        <v>Kanpur</v>
      </c>
      <c r="G320" s="138" t="str">
        <f>VLOOKUP(Purchase[[#This Row],[Supplier ID]],Supplier[#All],5,0)</f>
        <v>UP</v>
      </c>
      <c r="H320" s="138" t="str">
        <f>VLOOKUP(Purchase[[#This Row],[Supplier ID]],Supplier[#All],6,0)</f>
        <v>GST2154521T044</v>
      </c>
      <c r="I320" s="138" t="s">
        <v>205</v>
      </c>
      <c r="J320" s="139">
        <v>8</v>
      </c>
      <c r="K320" s="143">
        <f>VLOOKUP(Purchase[[#This Row],[Product ID]],Product[#All],6,0)</f>
        <v>3906</v>
      </c>
      <c r="L320" s="143">
        <f>Purchase[[#This Row],[Purchase Rate]]*Purchase[[#This Row],[Qty]]</f>
        <v>31248</v>
      </c>
      <c r="M320" s="140">
        <v>0</v>
      </c>
      <c r="N320" s="143">
        <v>0</v>
      </c>
      <c r="O320" s="140">
        <v>0.18</v>
      </c>
      <c r="P320" s="145">
        <f>(Purchase[[#This Row],[Gross Amount]]-Purchase[[#This Row],[Disct %]])*Purchase[[#This Row],[GST %]]</f>
        <v>5624.6399999999994</v>
      </c>
      <c r="Q320" s="145">
        <f>Purchase[[#This Row],[Gross Amount]]-Purchase[[#This Row],[Disct Amnt]]+Purchase[[#This Row],[GST Amount]]</f>
        <v>36872.639999999999</v>
      </c>
      <c r="R320" s="138" t="s">
        <v>1019</v>
      </c>
      <c r="S320" s="41">
        <f>IF(Purchase[[#This Row],[Status]]="Cancelled",0,Purchase[[#This Row],[Qty]])</f>
        <v>8</v>
      </c>
      <c r="T320" s="146">
        <f>IF(Purchase[[#This Row],[Status]]="Cancelled",0,Purchase[[#This Row],[Total Amount]])</f>
        <v>36872.639999999999</v>
      </c>
      <c r="U320" s="146">
        <f>SUM(Purchase[Net Amount])</f>
        <v>814985438.68000126</v>
      </c>
    </row>
    <row r="321" spans="1:21" ht="19.5" thickBot="1" x14ac:dyDescent="0.3">
      <c r="A321" s="136" t="s">
        <v>1350</v>
      </c>
      <c r="B321" s="137">
        <v>45674</v>
      </c>
      <c r="C321" s="138" t="s">
        <v>565</v>
      </c>
      <c r="D321" s="138" t="str">
        <f>VLOOKUP(Purchase[[#This Row],[Supplier ID]],Supplier[#All],2,0)</f>
        <v>Global Suppliers</v>
      </c>
      <c r="E321" s="138">
        <f>VLOOKUP(Purchase[[#This Row],[Supplier ID]],Supplier[#All],3,0)</f>
        <v>9689542459</v>
      </c>
      <c r="F321" s="138" t="str">
        <f>VLOOKUP(Purchase[[#This Row],[Supplier ID]],Supplier[#All],4,0)</f>
        <v>Indore</v>
      </c>
      <c r="G321" s="138" t="str">
        <f>VLOOKUP(Purchase[[#This Row],[Supplier ID]],Supplier[#All],5,0)</f>
        <v>MP</v>
      </c>
      <c r="H321" s="138" t="str">
        <f>VLOOKUP(Purchase[[#This Row],[Supplier ID]],Supplier[#All],6,0)</f>
        <v>GST2154521T013</v>
      </c>
      <c r="I321" s="138" t="s">
        <v>429</v>
      </c>
      <c r="J321" s="139">
        <v>27</v>
      </c>
      <c r="K321" s="143">
        <f>VLOOKUP(Purchase[[#This Row],[Product ID]],Product[#All],6,0)</f>
        <v>1959</v>
      </c>
      <c r="L321" s="143">
        <f>Purchase[[#This Row],[Purchase Rate]]*Purchase[[#This Row],[Qty]]</f>
        <v>52893</v>
      </c>
      <c r="M321" s="140">
        <v>0</v>
      </c>
      <c r="N321" s="143">
        <v>0</v>
      </c>
      <c r="O321" s="140">
        <v>0.18</v>
      </c>
      <c r="P321" s="145">
        <f>(Purchase[[#This Row],[Gross Amount]]-Purchase[[#This Row],[Disct %]])*Purchase[[#This Row],[GST %]]</f>
        <v>9520.74</v>
      </c>
      <c r="Q321" s="145">
        <f>Purchase[[#This Row],[Gross Amount]]-Purchase[[#This Row],[Disct Amnt]]+Purchase[[#This Row],[GST Amount]]</f>
        <v>62413.74</v>
      </c>
      <c r="R321" s="138" t="s">
        <v>1019</v>
      </c>
      <c r="S321" s="41">
        <f>IF(Purchase[[#This Row],[Status]]="Cancelled",0,Purchase[[#This Row],[Qty]])</f>
        <v>27</v>
      </c>
      <c r="T321" s="146">
        <f>IF(Purchase[[#This Row],[Status]]="Cancelled",0,Purchase[[#This Row],[Total Amount]])</f>
        <v>62413.74</v>
      </c>
      <c r="U321" s="146">
        <f>SUM(Purchase[Net Amount])</f>
        <v>814985438.68000126</v>
      </c>
    </row>
    <row r="322" spans="1:21" ht="19.5" thickBot="1" x14ac:dyDescent="0.3">
      <c r="A322" s="136" t="s">
        <v>1351</v>
      </c>
      <c r="B322" s="137">
        <v>45674</v>
      </c>
      <c r="C322" s="138" t="s">
        <v>604</v>
      </c>
      <c r="D322" s="138" t="str">
        <f>VLOOKUP(Purchase[[#This Row],[Supplier ID]],Supplier[#All],2,0)</f>
        <v>Prime Traders</v>
      </c>
      <c r="E322" s="138">
        <f>VLOOKUP(Purchase[[#This Row],[Supplier ID]],Supplier[#All],3,0)</f>
        <v>9689542487</v>
      </c>
      <c r="F322" s="138" t="str">
        <f>VLOOKUP(Purchase[[#This Row],[Supplier ID]],Supplier[#All],4,0)</f>
        <v>Indore</v>
      </c>
      <c r="G322" s="138" t="str">
        <f>VLOOKUP(Purchase[[#This Row],[Supplier ID]],Supplier[#All],5,0)</f>
        <v>MP</v>
      </c>
      <c r="H322" s="138" t="str">
        <f>VLOOKUP(Purchase[[#This Row],[Supplier ID]],Supplier[#All],6,0)</f>
        <v>GST2154521T049</v>
      </c>
      <c r="I322" s="138" t="s">
        <v>133</v>
      </c>
      <c r="J322" s="139">
        <v>32</v>
      </c>
      <c r="K322" s="143">
        <f>VLOOKUP(Purchase[[#This Row],[Product ID]],Product[#All],6,0)</f>
        <v>39879</v>
      </c>
      <c r="L322" s="143">
        <f>Purchase[[#This Row],[Purchase Rate]]*Purchase[[#This Row],[Qty]]</f>
        <v>1276128</v>
      </c>
      <c r="M322" s="140">
        <v>0</v>
      </c>
      <c r="N322" s="143">
        <v>0</v>
      </c>
      <c r="O322" s="140">
        <v>0.18</v>
      </c>
      <c r="P322" s="145">
        <f>(Purchase[[#This Row],[Gross Amount]]-Purchase[[#This Row],[Disct %]])*Purchase[[#This Row],[GST %]]</f>
        <v>229703.03999999998</v>
      </c>
      <c r="Q322" s="145">
        <f>Purchase[[#This Row],[Gross Amount]]-Purchase[[#This Row],[Disct Amnt]]+Purchase[[#This Row],[GST Amount]]</f>
        <v>1505831.04</v>
      </c>
      <c r="R322" s="138" t="s">
        <v>1019</v>
      </c>
      <c r="S322" s="41">
        <f>IF(Purchase[[#This Row],[Status]]="Cancelled",0,Purchase[[#This Row],[Qty]])</f>
        <v>32</v>
      </c>
      <c r="T322" s="146">
        <f>IF(Purchase[[#This Row],[Status]]="Cancelled",0,Purchase[[#This Row],[Total Amount]])</f>
        <v>1505831.04</v>
      </c>
      <c r="U322" s="146">
        <f>SUM(Purchase[Net Amount])</f>
        <v>814985438.68000126</v>
      </c>
    </row>
    <row r="323" spans="1:21" ht="19.5" thickBot="1" x14ac:dyDescent="0.3">
      <c r="A323" s="136" t="s">
        <v>1352</v>
      </c>
      <c r="B323" s="137">
        <v>45674</v>
      </c>
      <c r="C323" s="138" t="s">
        <v>612</v>
      </c>
      <c r="D323" s="138" t="str">
        <f>VLOOKUP(Purchase[[#This Row],[Supplier ID]],Supplier[#All],2,0)</f>
        <v>National Computers</v>
      </c>
      <c r="E323" s="138">
        <f>VLOOKUP(Purchase[[#This Row],[Supplier ID]],Supplier[#All],3,0)</f>
        <v>9689542495</v>
      </c>
      <c r="F323" s="138" t="str">
        <f>VLOOKUP(Purchase[[#This Row],[Supplier ID]],Supplier[#All],4,0)</f>
        <v>Indore</v>
      </c>
      <c r="G323" s="138" t="str">
        <f>VLOOKUP(Purchase[[#This Row],[Supplier ID]],Supplier[#All],5,0)</f>
        <v>MP</v>
      </c>
      <c r="H323" s="138" t="str">
        <f>VLOOKUP(Purchase[[#This Row],[Supplier ID]],Supplier[#All],6,0)</f>
        <v>GST2154521T057</v>
      </c>
      <c r="I323" s="138" t="s">
        <v>230</v>
      </c>
      <c r="J323" s="139">
        <v>7</v>
      </c>
      <c r="K323" s="143">
        <f>VLOOKUP(Purchase[[#This Row],[Product ID]],Product[#All],6,0)</f>
        <v>59681</v>
      </c>
      <c r="L323" s="143">
        <f>Purchase[[#This Row],[Purchase Rate]]*Purchase[[#This Row],[Qty]]</f>
        <v>417767</v>
      </c>
      <c r="M323" s="140">
        <v>0</v>
      </c>
      <c r="N323" s="143">
        <v>0</v>
      </c>
      <c r="O323" s="140">
        <v>0.18</v>
      </c>
      <c r="P323" s="145">
        <f>(Purchase[[#This Row],[Gross Amount]]-Purchase[[#This Row],[Disct %]])*Purchase[[#This Row],[GST %]]</f>
        <v>75198.06</v>
      </c>
      <c r="Q323" s="145">
        <f>Purchase[[#This Row],[Gross Amount]]-Purchase[[#This Row],[Disct Amnt]]+Purchase[[#This Row],[GST Amount]]</f>
        <v>492965.06</v>
      </c>
      <c r="R323" s="138" t="s">
        <v>1019</v>
      </c>
      <c r="S323" s="41">
        <f>IF(Purchase[[#This Row],[Status]]="Cancelled",0,Purchase[[#This Row],[Qty]])</f>
        <v>7</v>
      </c>
      <c r="T323" s="146">
        <f>IF(Purchase[[#This Row],[Status]]="Cancelled",0,Purchase[[#This Row],[Total Amount]])</f>
        <v>492965.06</v>
      </c>
      <c r="U323" s="146">
        <f>SUM(Purchase[Net Amount])</f>
        <v>814985438.68000126</v>
      </c>
    </row>
    <row r="324" spans="1:21" ht="19.5" thickBot="1" x14ac:dyDescent="0.3">
      <c r="A324" s="136" t="s">
        <v>1353</v>
      </c>
      <c r="B324" s="137">
        <v>45674</v>
      </c>
      <c r="C324" s="138" t="s">
        <v>565</v>
      </c>
      <c r="D324" s="138" t="str">
        <f>VLOOKUP(Purchase[[#This Row],[Supplier ID]],Supplier[#All],2,0)</f>
        <v>Global Suppliers</v>
      </c>
      <c r="E324" s="138">
        <f>VLOOKUP(Purchase[[#This Row],[Supplier ID]],Supplier[#All],3,0)</f>
        <v>9689542459</v>
      </c>
      <c r="F324" s="138" t="str">
        <f>VLOOKUP(Purchase[[#This Row],[Supplier ID]],Supplier[#All],4,0)</f>
        <v>Indore</v>
      </c>
      <c r="G324" s="138" t="str">
        <f>VLOOKUP(Purchase[[#This Row],[Supplier ID]],Supplier[#All],5,0)</f>
        <v>MP</v>
      </c>
      <c r="H324" s="138" t="str">
        <f>VLOOKUP(Purchase[[#This Row],[Supplier ID]],Supplier[#All],6,0)</f>
        <v>GST2154521T013</v>
      </c>
      <c r="I324" s="138" t="s">
        <v>274</v>
      </c>
      <c r="J324" s="139">
        <v>22</v>
      </c>
      <c r="K324" s="143">
        <f>VLOOKUP(Purchase[[#This Row],[Product ID]],Product[#All],6,0)</f>
        <v>48641</v>
      </c>
      <c r="L324" s="143">
        <f>Purchase[[#This Row],[Purchase Rate]]*Purchase[[#This Row],[Qty]]</f>
        <v>1070102</v>
      </c>
      <c r="M324" s="140">
        <v>0</v>
      </c>
      <c r="N324" s="143">
        <v>0</v>
      </c>
      <c r="O324" s="140">
        <v>0.18</v>
      </c>
      <c r="P324" s="145">
        <f>(Purchase[[#This Row],[Gross Amount]]-Purchase[[#This Row],[Disct %]])*Purchase[[#This Row],[GST %]]</f>
        <v>192618.36</v>
      </c>
      <c r="Q324" s="145">
        <f>Purchase[[#This Row],[Gross Amount]]-Purchase[[#This Row],[Disct Amnt]]+Purchase[[#This Row],[GST Amount]]</f>
        <v>1262720.3599999999</v>
      </c>
      <c r="R324" s="138" t="s">
        <v>1019</v>
      </c>
      <c r="S324" s="41">
        <f>IF(Purchase[[#This Row],[Status]]="Cancelled",0,Purchase[[#This Row],[Qty]])</f>
        <v>22</v>
      </c>
      <c r="T324" s="146">
        <f>IF(Purchase[[#This Row],[Status]]="Cancelled",0,Purchase[[#This Row],[Total Amount]])</f>
        <v>1262720.3599999999</v>
      </c>
      <c r="U324" s="146">
        <f>SUM(Purchase[Net Amount])</f>
        <v>814985438.68000126</v>
      </c>
    </row>
    <row r="325" spans="1:21" ht="19.5" thickBot="1" x14ac:dyDescent="0.3">
      <c r="A325" s="136" t="s">
        <v>1354</v>
      </c>
      <c r="B325" s="137">
        <v>45674</v>
      </c>
      <c r="C325" s="138" t="s">
        <v>596</v>
      </c>
      <c r="D325" s="138" t="str">
        <f>VLOOKUP(Purchase[[#This Row],[Supplier ID]],Supplier[#All],2,0)</f>
        <v>star traders</v>
      </c>
      <c r="E325" s="138">
        <f>VLOOKUP(Purchase[[#This Row],[Supplier ID]],Supplier[#All],3,0)</f>
        <v>9689542479</v>
      </c>
      <c r="F325" s="138" t="str">
        <f>VLOOKUP(Purchase[[#This Row],[Supplier ID]],Supplier[#All],4,0)</f>
        <v>Korba</v>
      </c>
      <c r="G325" s="138" t="str">
        <f>VLOOKUP(Purchase[[#This Row],[Supplier ID]],Supplier[#All],5,0)</f>
        <v>CG</v>
      </c>
      <c r="H325" s="138" t="str">
        <f>VLOOKUP(Purchase[[#This Row],[Supplier ID]],Supplier[#All],6,0)</f>
        <v>GST2154521T041</v>
      </c>
      <c r="I325" s="138" t="s">
        <v>50</v>
      </c>
      <c r="J325" s="139">
        <v>15</v>
      </c>
      <c r="K325" s="143">
        <f>VLOOKUP(Purchase[[#This Row],[Product ID]],Product[#All],6,0)</f>
        <v>28268</v>
      </c>
      <c r="L325" s="143">
        <f>Purchase[[#This Row],[Purchase Rate]]*Purchase[[#This Row],[Qty]]</f>
        <v>424020</v>
      </c>
      <c r="M325" s="140">
        <v>0</v>
      </c>
      <c r="N325" s="143">
        <v>0</v>
      </c>
      <c r="O325" s="140">
        <v>0.18</v>
      </c>
      <c r="P325" s="145">
        <f>(Purchase[[#This Row],[Gross Amount]]-Purchase[[#This Row],[Disct %]])*Purchase[[#This Row],[GST %]]</f>
        <v>76323.599999999991</v>
      </c>
      <c r="Q325" s="145">
        <f>Purchase[[#This Row],[Gross Amount]]-Purchase[[#This Row],[Disct Amnt]]+Purchase[[#This Row],[GST Amount]]</f>
        <v>500343.6</v>
      </c>
      <c r="R325" s="138" t="s">
        <v>1019</v>
      </c>
      <c r="S325" s="41">
        <f>IF(Purchase[[#This Row],[Status]]="Cancelled",0,Purchase[[#This Row],[Qty]])</f>
        <v>15</v>
      </c>
      <c r="T325" s="146">
        <f>IF(Purchase[[#This Row],[Status]]="Cancelled",0,Purchase[[#This Row],[Total Amount]])</f>
        <v>500343.6</v>
      </c>
      <c r="U325" s="146">
        <f>SUM(Purchase[Net Amount])</f>
        <v>814985438.68000126</v>
      </c>
    </row>
    <row r="326" spans="1:21" ht="19.5" thickBot="1" x14ac:dyDescent="0.3">
      <c r="A326" s="136" t="s">
        <v>1355</v>
      </c>
      <c r="B326" s="137">
        <v>45674</v>
      </c>
      <c r="C326" s="138" t="s">
        <v>566</v>
      </c>
      <c r="D326" s="138" t="str">
        <f>VLOOKUP(Purchase[[#This Row],[Supplier ID]],Supplier[#All],2,0)</f>
        <v>Maa Computers</v>
      </c>
      <c r="E326" s="138">
        <f>VLOOKUP(Purchase[[#This Row],[Supplier ID]],Supplier[#All],3,0)</f>
        <v>9689542452</v>
      </c>
      <c r="F326" s="138" t="str">
        <f>VLOOKUP(Purchase[[#This Row],[Supplier ID]],Supplier[#All],4,0)</f>
        <v>Kanpur</v>
      </c>
      <c r="G326" s="138" t="str">
        <f>VLOOKUP(Purchase[[#This Row],[Supplier ID]],Supplier[#All],5,0)</f>
        <v>UP</v>
      </c>
      <c r="H326" s="138" t="str">
        <f>VLOOKUP(Purchase[[#This Row],[Supplier ID]],Supplier[#All],6,0)</f>
        <v>GST2154521T014</v>
      </c>
      <c r="I326" s="138" t="s">
        <v>155</v>
      </c>
      <c r="J326" s="139">
        <v>21</v>
      </c>
      <c r="K326" s="143">
        <f>VLOOKUP(Purchase[[#This Row],[Product ID]],Product[#All],6,0)</f>
        <v>2996</v>
      </c>
      <c r="L326" s="143">
        <f>Purchase[[#This Row],[Purchase Rate]]*Purchase[[#This Row],[Qty]]</f>
        <v>62916</v>
      </c>
      <c r="M326" s="140">
        <v>0</v>
      </c>
      <c r="N326" s="143">
        <v>0</v>
      </c>
      <c r="O326" s="140">
        <v>0.18</v>
      </c>
      <c r="P326" s="145">
        <f>(Purchase[[#This Row],[Gross Amount]]-Purchase[[#This Row],[Disct %]])*Purchase[[#This Row],[GST %]]</f>
        <v>11324.88</v>
      </c>
      <c r="Q326" s="145">
        <f>Purchase[[#This Row],[Gross Amount]]-Purchase[[#This Row],[Disct Amnt]]+Purchase[[#This Row],[GST Amount]]</f>
        <v>74240.88</v>
      </c>
      <c r="R326" s="138" t="s">
        <v>1019</v>
      </c>
      <c r="S326" s="41">
        <f>IF(Purchase[[#This Row],[Status]]="Cancelled",0,Purchase[[#This Row],[Qty]])</f>
        <v>21</v>
      </c>
      <c r="T326" s="146">
        <f>IF(Purchase[[#This Row],[Status]]="Cancelled",0,Purchase[[#This Row],[Total Amount]])</f>
        <v>74240.88</v>
      </c>
      <c r="U326" s="146">
        <f>SUM(Purchase[Net Amount])</f>
        <v>814985438.68000126</v>
      </c>
    </row>
    <row r="327" spans="1:21" ht="19.5" thickBot="1" x14ac:dyDescent="0.3">
      <c r="A327" s="136" t="s">
        <v>1356</v>
      </c>
      <c r="B327" s="137">
        <v>45674</v>
      </c>
      <c r="C327" s="138" t="s">
        <v>587</v>
      </c>
      <c r="D327" s="138" t="str">
        <f>VLOOKUP(Purchase[[#This Row],[Supplier ID]],Supplier[#All],2,0)</f>
        <v>maa distributors</v>
      </c>
      <c r="E327" s="138">
        <f>VLOOKUP(Purchase[[#This Row],[Supplier ID]],Supplier[#All],3,0)</f>
        <v>9689542479</v>
      </c>
      <c r="F327" s="138" t="str">
        <f>VLOOKUP(Purchase[[#This Row],[Supplier ID]],Supplier[#All],4,0)</f>
        <v>Indore</v>
      </c>
      <c r="G327" s="138" t="str">
        <f>VLOOKUP(Purchase[[#This Row],[Supplier ID]],Supplier[#All],5,0)</f>
        <v>MP</v>
      </c>
      <c r="H327" s="138" t="str">
        <f>VLOOKUP(Purchase[[#This Row],[Supplier ID]],Supplier[#All],6,0)</f>
        <v>GST2154521T033</v>
      </c>
      <c r="I327" s="138" t="s">
        <v>416</v>
      </c>
      <c r="J327" s="139">
        <v>4</v>
      </c>
      <c r="K327" s="143">
        <f>VLOOKUP(Purchase[[#This Row],[Product ID]],Product[#All],6,0)</f>
        <v>726</v>
      </c>
      <c r="L327" s="143">
        <f>Purchase[[#This Row],[Purchase Rate]]*Purchase[[#This Row],[Qty]]</f>
        <v>2904</v>
      </c>
      <c r="M327" s="140">
        <v>0</v>
      </c>
      <c r="N327" s="143">
        <v>0</v>
      </c>
      <c r="O327" s="140">
        <v>0.18</v>
      </c>
      <c r="P327" s="145">
        <f>(Purchase[[#This Row],[Gross Amount]]-Purchase[[#This Row],[Disct %]])*Purchase[[#This Row],[GST %]]</f>
        <v>522.72</v>
      </c>
      <c r="Q327" s="145">
        <f>Purchase[[#This Row],[Gross Amount]]-Purchase[[#This Row],[Disct Amnt]]+Purchase[[#This Row],[GST Amount]]</f>
        <v>3426.7200000000003</v>
      </c>
      <c r="R327" s="138" t="s">
        <v>1019</v>
      </c>
      <c r="S327" s="41">
        <f>IF(Purchase[[#This Row],[Status]]="Cancelled",0,Purchase[[#This Row],[Qty]])</f>
        <v>4</v>
      </c>
      <c r="T327" s="146">
        <f>IF(Purchase[[#This Row],[Status]]="Cancelled",0,Purchase[[#This Row],[Total Amount]])</f>
        <v>3426.7200000000003</v>
      </c>
      <c r="U327" s="146">
        <f>SUM(Purchase[Net Amount])</f>
        <v>814985438.68000126</v>
      </c>
    </row>
    <row r="328" spans="1:21" ht="19.5" thickBot="1" x14ac:dyDescent="0.3">
      <c r="A328" s="136" t="s">
        <v>1357</v>
      </c>
      <c r="B328" s="137">
        <v>45674</v>
      </c>
      <c r="C328" s="138" t="s">
        <v>611</v>
      </c>
      <c r="D328" s="138" t="str">
        <f>VLOOKUP(Purchase[[#This Row],[Supplier ID]],Supplier[#All],2,0)</f>
        <v>National Distributors</v>
      </c>
      <c r="E328" s="138">
        <f>VLOOKUP(Purchase[[#This Row],[Supplier ID]],Supplier[#All],3,0)</f>
        <v>9689542494</v>
      </c>
      <c r="F328" s="138" t="str">
        <f>VLOOKUP(Purchase[[#This Row],[Supplier ID]],Supplier[#All],4,0)</f>
        <v>Korba</v>
      </c>
      <c r="G328" s="138" t="str">
        <f>VLOOKUP(Purchase[[#This Row],[Supplier ID]],Supplier[#All],5,0)</f>
        <v>CG</v>
      </c>
      <c r="H328" s="138" t="str">
        <f>VLOOKUP(Purchase[[#This Row],[Supplier ID]],Supplier[#All],6,0)</f>
        <v>GST2154521T056</v>
      </c>
      <c r="I328" s="138" t="s">
        <v>258</v>
      </c>
      <c r="J328" s="139">
        <v>33</v>
      </c>
      <c r="K328" s="143">
        <f>VLOOKUP(Purchase[[#This Row],[Product ID]],Product[#All],6,0)</f>
        <v>1957</v>
      </c>
      <c r="L328" s="143">
        <f>Purchase[[#This Row],[Purchase Rate]]*Purchase[[#This Row],[Qty]]</f>
        <v>64581</v>
      </c>
      <c r="M328" s="140">
        <v>0</v>
      </c>
      <c r="N328" s="143">
        <v>0</v>
      </c>
      <c r="O328" s="140">
        <v>0.18</v>
      </c>
      <c r="P328" s="145">
        <f>(Purchase[[#This Row],[Gross Amount]]-Purchase[[#This Row],[Disct %]])*Purchase[[#This Row],[GST %]]</f>
        <v>11624.58</v>
      </c>
      <c r="Q328" s="145">
        <f>Purchase[[#This Row],[Gross Amount]]-Purchase[[#This Row],[Disct Amnt]]+Purchase[[#This Row],[GST Amount]]</f>
        <v>76205.58</v>
      </c>
      <c r="R328" s="138" t="s">
        <v>1019</v>
      </c>
      <c r="S328" s="41">
        <f>IF(Purchase[[#This Row],[Status]]="Cancelled",0,Purchase[[#This Row],[Qty]])</f>
        <v>33</v>
      </c>
      <c r="T328" s="146">
        <f>IF(Purchase[[#This Row],[Status]]="Cancelled",0,Purchase[[#This Row],[Total Amount]])</f>
        <v>76205.58</v>
      </c>
      <c r="U328" s="146">
        <f>SUM(Purchase[Net Amount])</f>
        <v>814985438.68000126</v>
      </c>
    </row>
    <row r="329" spans="1:21" ht="19.5" thickBot="1" x14ac:dyDescent="0.3">
      <c r="A329" s="136" t="s">
        <v>1358</v>
      </c>
      <c r="B329" s="137">
        <v>45674</v>
      </c>
      <c r="C329" s="138" t="s">
        <v>612</v>
      </c>
      <c r="D329" s="138" t="str">
        <f>VLOOKUP(Purchase[[#This Row],[Supplier ID]],Supplier[#All],2,0)</f>
        <v>National Computers</v>
      </c>
      <c r="E329" s="138">
        <f>VLOOKUP(Purchase[[#This Row],[Supplier ID]],Supplier[#All],3,0)</f>
        <v>9689542495</v>
      </c>
      <c r="F329" s="138" t="str">
        <f>VLOOKUP(Purchase[[#This Row],[Supplier ID]],Supplier[#All],4,0)</f>
        <v>Indore</v>
      </c>
      <c r="G329" s="138" t="str">
        <f>VLOOKUP(Purchase[[#This Row],[Supplier ID]],Supplier[#All],5,0)</f>
        <v>MP</v>
      </c>
      <c r="H329" s="138" t="str">
        <f>VLOOKUP(Purchase[[#This Row],[Supplier ID]],Supplier[#All],6,0)</f>
        <v>GST2154521T057</v>
      </c>
      <c r="I329" s="138" t="s">
        <v>92</v>
      </c>
      <c r="J329" s="139">
        <v>6</v>
      </c>
      <c r="K329" s="143">
        <f>VLOOKUP(Purchase[[#This Row],[Product ID]],Product[#All],6,0)</f>
        <v>5110</v>
      </c>
      <c r="L329" s="143">
        <f>Purchase[[#This Row],[Purchase Rate]]*Purchase[[#This Row],[Qty]]</f>
        <v>30660</v>
      </c>
      <c r="M329" s="140">
        <v>0</v>
      </c>
      <c r="N329" s="143">
        <v>0</v>
      </c>
      <c r="O329" s="140">
        <v>0.18</v>
      </c>
      <c r="P329" s="145">
        <f>(Purchase[[#This Row],[Gross Amount]]-Purchase[[#This Row],[Disct %]])*Purchase[[#This Row],[GST %]]</f>
        <v>5518.8</v>
      </c>
      <c r="Q329" s="145">
        <f>Purchase[[#This Row],[Gross Amount]]-Purchase[[#This Row],[Disct Amnt]]+Purchase[[#This Row],[GST Amount]]</f>
        <v>36178.800000000003</v>
      </c>
      <c r="R329" s="138" t="s">
        <v>1019</v>
      </c>
      <c r="S329" s="41">
        <f>IF(Purchase[[#This Row],[Status]]="Cancelled",0,Purchase[[#This Row],[Qty]])</f>
        <v>6</v>
      </c>
      <c r="T329" s="146">
        <f>IF(Purchase[[#This Row],[Status]]="Cancelled",0,Purchase[[#This Row],[Total Amount]])</f>
        <v>36178.800000000003</v>
      </c>
      <c r="U329" s="146">
        <f>SUM(Purchase[Net Amount])</f>
        <v>814985438.68000126</v>
      </c>
    </row>
    <row r="330" spans="1:21" ht="19.5" thickBot="1" x14ac:dyDescent="0.3">
      <c r="A330" s="136" t="s">
        <v>1359</v>
      </c>
      <c r="B330" s="137">
        <v>45674</v>
      </c>
      <c r="C330" s="138" t="s">
        <v>600</v>
      </c>
      <c r="D330" s="138" t="str">
        <f>VLOOKUP(Purchase[[#This Row],[Supplier ID]],Supplier[#All],2,0)</f>
        <v>Prime Suppliers</v>
      </c>
      <c r="E330" s="138">
        <f>VLOOKUP(Purchase[[#This Row],[Supplier ID]],Supplier[#All],3,0)</f>
        <v>9689542483</v>
      </c>
      <c r="F330" s="138" t="str">
        <f>VLOOKUP(Purchase[[#This Row],[Supplier ID]],Supplier[#All],4,0)</f>
        <v>Korba</v>
      </c>
      <c r="G330" s="138" t="str">
        <f>VLOOKUP(Purchase[[#This Row],[Supplier ID]],Supplier[#All],5,0)</f>
        <v>CG</v>
      </c>
      <c r="H330" s="138" t="str">
        <f>VLOOKUP(Purchase[[#This Row],[Supplier ID]],Supplier[#All],6,0)</f>
        <v>GST2154521T045</v>
      </c>
      <c r="I330" s="138" t="s">
        <v>224</v>
      </c>
      <c r="J330" s="139">
        <v>5</v>
      </c>
      <c r="K330" s="143">
        <f>VLOOKUP(Purchase[[#This Row],[Product ID]],Product[#All],6,0)</f>
        <v>6591</v>
      </c>
      <c r="L330" s="143">
        <f>Purchase[[#This Row],[Purchase Rate]]*Purchase[[#This Row],[Qty]]</f>
        <v>32955</v>
      </c>
      <c r="M330" s="140">
        <v>0</v>
      </c>
      <c r="N330" s="143">
        <v>0</v>
      </c>
      <c r="O330" s="140">
        <v>0.18</v>
      </c>
      <c r="P330" s="145">
        <f>(Purchase[[#This Row],[Gross Amount]]-Purchase[[#This Row],[Disct %]])*Purchase[[#This Row],[GST %]]</f>
        <v>5931.9</v>
      </c>
      <c r="Q330" s="145">
        <f>Purchase[[#This Row],[Gross Amount]]-Purchase[[#This Row],[Disct Amnt]]+Purchase[[#This Row],[GST Amount]]</f>
        <v>38886.9</v>
      </c>
      <c r="R330" s="138" t="s">
        <v>1019</v>
      </c>
      <c r="S330" s="41">
        <f>IF(Purchase[[#This Row],[Status]]="Cancelled",0,Purchase[[#This Row],[Qty]])</f>
        <v>5</v>
      </c>
      <c r="T330" s="146">
        <f>IF(Purchase[[#This Row],[Status]]="Cancelled",0,Purchase[[#This Row],[Total Amount]])</f>
        <v>38886.9</v>
      </c>
      <c r="U330" s="146">
        <f>SUM(Purchase[Net Amount])</f>
        <v>814985438.68000126</v>
      </c>
    </row>
    <row r="331" spans="1:21" ht="19.5" thickBot="1" x14ac:dyDescent="0.3">
      <c r="A331" s="136" t="s">
        <v>1360</v>
      </c>
      <c r="B331" s="137">
        <v>45674</v>
      </c>
      <c r="C331" s="138" t="s">
        <v>578</v>
      </c>
      <c r="D331" s="138" t="str">
        <f>VLOOKUP(Purchase[[#This Row],[Supplier ID]],Supplier[#All],2,0)</f>
        <v>Shree Computers</v>
      </c>
      <c r="E331" s="138">
        <f>VLOOKUP(Purchase[[#This Row],[Supplier ID]],Supplier[#All],3,0)</f>
        <v>9689542462</v>
      </c>
      <c r="F331" s="138" t="str">
        <f>VLOOKUP(Purchase[[#This Row],[Supplier ID]],Supplier[#All],4,0)</f>
        <v>Korba</v>
      </c>
      <c r="G331" s="138" t="str">
        <f>VLOOKUP(Purchase[[#This Row],[Supplier ID]],Supplier[#All],5,0)</f>
        <v>CG</v>
      </c>
      <c r="H331" s="138" t="str">
        <f>VLOOKUP(Purchase[[#This Row],[Supplier ID]],Supplier[#All],6,0)</f>
        <v>GST2154521T024</v>
      </c>
      <c r="I331" s="138" t="s">
        <v>255</v>
      </c>
      <c r="J331" s="139">
        <v>3</v>
      </c>
      <c r="K331" s="143">
        <f>VLOOKUP(Purchase[[#This Row],[Product ID]],Product[#All],6,0)</f>
        <v>50809</v>
      </c>
      <c r="L331" s="143">
        <f>Purchase[[#This Row],[Purchase Rate]]*Purchase[[#This Row],[Qty]]</f>
        <v>152427</v>
      </c>
      <c r="M331" s="140">
        <v>0</v>
      </c>
      <c r="N331" s="143">
        <v>0</v>
      </c>
      <c r="O331" s="140">
        <v>0.18</v>
      </c>
      <c r="P331" s="145">
        <f>(Purchase[[#This Row],[Gross Amount]]-Purchase[[#This Row],[Disct %]])*Purchase[[#This Row],[GST %]]</f>
        <v>27436.86</v>
      </c>
      <c r="Q331" s="145">
        <f>Purchase[[#This Row],[Gross Amount]]-Purchase[[#This Row],[Disct Amnt]]+Purchase[[#This Row],[GST Amount]]</f>
        <v>179863.86</v>
      </c>
      <c r="R331" s="138" t="s">
        <v>1019</v>
      </c>
      <c r="S331" s="41">
        <f>IF(Purchase[[#This Row],[Status]]="Cancelled",0,Purchase[[#This Row],[Qty]])</f>
        <v>3</v>
      </c>
      <c r="T331" s="146">
        <f>IF(Purchase[[#This Row],[Status]]="Cancelled",0,Purchase[[#This Row],[Total Amount]])</f>
        <v>179863.86</v>
      </c>
      <c r="U331" s="146">
        <f>SUM(Purchase[Net Amount])</f>
        <v>814985438.68000126</v>
      </c>
    </row>
    <row r="332" spans="1:21" ht="19.5" thickBot="1" x14ac:dyDescent="0.3">
      <c r="A332" s="136" t="s">
        <v>1361</v>
      </c>
      <c r="B332" s="137">
        <v>45674</v>
      </c>
      <c r="C332" s="138" t="s">
        <v>590</v>
      </c>
      <c r="D332" s="138" t="str">
        <f>VLOOKUP(Purchase[[#This Row],[Supplier ID]],Supplier[#All],2,0)</f>
        <v>Star Distributors</v>
      </c>
      <c r="E332" s="138">
        <f>VLOOKUP(Purchase[[#This Row],[Supplier ID]],Supplier[#All],3,0)</f>
        <v>9689542474</v>
      </c>
      <c r="F332" s="138" t="str">
        <f>VLOOKUP(Purchase[[#This Row],[Supplier ID]],Supplier[#All],4,0)</f>
        <v>Kanpur</v>
      </c>
      <c r="G332" s="138" t="str">
        <f>VLOOKUP(Purchase[[#This Row],[Supplier ID]],Supplier[#All],5,0)</f>
        <v>UP</v>
      </c>
      <c r="H332" s="138" t="str">
        <f>VLOOKUP(Purchase[[#This Row],[Supplier ID]],Supplier[#All],6,0)</f>
        <v>GST2154521T036</v>
      </c>
      <c r="I332" s="138" t="s">
        <v>477</v>
      </c>
      <c r="J332" s="139">
        <v>24</v>
      </c>
      <c r="K332" s="143">
        <f>VLOOKUP(Purchase[[#This Row],[Product ID]],Product[#All],6,0)</f>
        <v>13876</v>
      </c>
      <c r="L332" s="143">
        <f>Purchase[[#This Row],[Purchase Rate]]*Purchase[[#This Row],[Qty]]</f>
        <v>333024</v>
      </c>
      <c r="M332" s="140">
        <v>0</v>
      </c>
      <c r="N332" s="143">
        <v>0</v>
      </c>
      <c r="O332" s="140">
        <v>0.18</v>
      </c>
      <c r="P332" s="145">
        <f>(Purchase[[#This Row],[Gross Amount]]-Purchase[[#This Row],[Disct %]])*Purchase[[#This Row],[GST %]]</f>
        <v>59944.32</v>
      </c>
      <c r="Q332" s="145">
        <f>Purchase[[#This Row],[Gross Amount]]-Purchase[[#This Row],[Disct Amnt]]+Purchase[[#This Row],[GST Amount]]</f>
        <v>392968.32</v>
      </c>
      <c r="R332" s="138" t="s">
        <v>1019</v>
      </c>
      <c r="S332" s="41">
        <f>IF(Purchase[[#This Row],[Status]]="Cancelled",0,Purchase[[#This Row],[Qty]])</f>
        <v>24</v>
      </c>
      <c r="T332" s="146">
        <f>IF(Purchase[[#This Row],[Status]]="Cancelled",0,Purchase[[#This Row],[Total Amount]])</f>
        <v>392968.32</v>
      </c>
      <c r="U332" s="146">
        <f>SUM(Purchase[Net Amount])</f>
        <v>814985438.68000126</v>
      </c>
    </row>
    <row r="333" spans="1:21" ht="19.5" thickBot="1" x14ac:dyDescent="0.3">
      <c r="A333" s="136" t="s">
        <v>1362</v>
      </c>
      <c r="B333" s="137">
        <v>45675</v>
      </c>
      <c r="C333" s="138" t="s">
        <v>568</v>
      </c>
      <c r="D333" s="138" t="str">
        <f>VLOOKUP(Purchase[[#This Row],[Supplier ID]],Supplier[#All],2,0)</f>
        <v>Maa Computers</v>
      </c>
      <c r="E333" s="138">
        <f>VLOOKUP(Purchase[[#This Row],[Supplier ID]],Supplier[#All],3,0)</f>
        <v>9689542454</v>
      </c>
      <c r="F333" s="138" t="str">
        <f>VLOOKUP(Purchase[[#This Row],[Supplier ID]],Supplier[#All],4,0)</f>
        <v>Korba</v>
      </c>
      <c r="G333" s="138" t="str">
        <f>VLOOKUP(Purchase[[#This Row],[Supplier ID]],Supplier[#All],5,0)</f>
        <v>CG</v>
      </c>
      <c r="H333" s="138" t="str">
        <f>VLOOKUP(Purchase[[#This Row],[Supplier ID]],Supplier[#All],6,0)</f>
        <v>GST2154521T016</v>
      </c>
      <c r="I333" s="138" t="s">
        <v>366</v>
      </c>
      <c r="J333" s="139">
        <v>40</v>
      </c>
      <c r="K333" s="143">
        <f>VLOOKUP(Purchase[[#This Row],[Product ID]],Product[#All],6,0)</f>
        <v>3896</v>
      </c>
      <c r="L333" s="143">
        <f>Purchase[[#This Row],[Purchase Rate]]*Purchase[[#This Row],[Qty]]</f>
        <v>155840</v>
      </c>
      <c r="M333" s="140">
        <v>0</v>
      </c>
      <c r="N333" s="143">
        <v>0</v>
      </c>
      <c r="O333" s="140">
        <v>0.18</v>
      </c>
      <c r="P333" s="145">
        <f>(Purchase[[#This Row],[Gross Amount]]-Purchase[[#This Row],[Disct %]])*Purchase[[#This Row],[GST %]]</f>
        <v>28051.200000000001</v>
      </c>
      <c r="Q333" s="145">
        <f>Purchase[[#This Row],[Gross Amount]]-Purchase[[#This Row],[Disct Amnt]]+Purchase[[#This Row],[GST Amount]]</f>
        <v>183891.20000000001</v>
      </c>
      <c r="R333" s="138" t="s">
        <v>1019</v>
      </c>
      <c r="S333" s="41">
        <f>IF(Purchase[[#This Row],[Status]]="Cancelled",0,Purchase[[#This Row],[Qty]])</f>
        <v>40</v>
      </c>
      <c r="T333" s="146">
        <f>IF(Purchase[[#This Row],[Status]]="Cancelled",0,Purchase[[#This Row],[Total Amount]])</f>
        <v>183891.20000000001</v>
      </c>
      <c r="U333" s="146">
        <f>SUM(Purchase[Net Amount])</f>
        <v>814985438.68000126</v>
      </c>
    </row>
    <row r="334" spans="1:21" ht="19.5" thickBot="1" x14ac:dyDescent="0.3">
      <c r="A334" s="136" t="s">
        <v>1363</v>
      </c>
      <c r="B334" s="137">
        <v>45675</v>
      </c>
      <c r="C334" s="138" t="s">
        <v>615</v>
      </c>
      <c r="D334" s="138" t="str">
        <f>VLOOKUP(Purchase[[#This Row],[Supplier ID]],Supplier[#All],2,0)</f>
        <v>NATIONAL ELECTRONICS</v>
      </c>
      <c r="E334" s="138">
        <f>VLOOKUP(Purchase[[#This Row],[Supplier ID]],Supplier[#All],3,0)</f>
        <v>9689542498</v>
      </c>
      <c r="F334" s="138" t="str">
        <f>VLOOKUP(Purchase[[#This Row],[Supplier ID]],Supplier[#All],4,0)</f>
        <v>Kanpur</v>
      </c>
      <c r="G334" s="138" t="str">
        <f>VLOOKUP(Purchase[[#This Row],[Supplier ID]],Supplier[#All],5,0)</f>
        <v>UP</v>
      </c>
      <c r="H334" s="138" t="str">
        <f>VLOOKUP(Purchase[[#This Row],[Supplier ID]],Supplier[#All],6,0)</f>
        <v>GST2154521T060</v>
      </c>
      <c r="I334" s="138" t="s">
        <v>373</v>
      </c>
      <c r="J334" s="139">
        <v>27</v>
      </c>
      <c r="K334" s="143">
        <f>VLOOKUP(Purchase[[#This Row],[Product ID]],Product[#All],6,0)</f>
        <v>8224</v>
      </c>
      <c r="L334" s="143">
        <f>Purchase[[#This Row],[Purchase Rate]]*Purchase[[#This Row],[Qty]]</f>
        <v>222048</v>
      </c>
      <c r="M334" s="140">
        <v>0</v>
      </c>
      <c r="N334" s="143">
        <v>0</v>
      </c>
      <c r="O334" s="140">
        <v>0.18</v>
      </c>
      <c r="P334" s="145">
        <f>(Purchase[[#This Row],[Gross Amount]]-Purchase[[#This Row],[Disct %]])*Purchase[[#This Row],[GST %]]</f>
        <v>39968.639999999999</v>
      </c>
      <c r="Q334" s="145">
        <f>Purchase[[#This Row],[Gross Amount]]-Purchase[[#This Row],[Disct Amnt]]+Purchase[[#This Row],[GST Amount]]</f>
        <v>262016.64000000001</v>
      </c>
      <c r="R334" s="138" t="s">
        <v>1019</v>
      </c>
      <c r="S334" s="41">
        <f>IF(Purchase[[#This Row],[Status]]="Cancelled",0,Purchase[[#This Row],[Qty]])</f>
        <v>27</v>
      </c>
      <c r="T334" s="146">
        <f>IF(Purchase[[#This Row],[Status]]="Cancelled",0,Purchase[[#This Row],[Total Amount]])</f>
        <v>262016.64000000001</v>
      </c>
      <c r="U334" s="146">
        <f>SUM(Purchase[Net Amount])</f>
        <v>814985438.68000126</v>
      </c>
    </row>
    <row r="335" spans="1:21" ht="19.5" thickBot="1" x14ac:dyDescent="0.3">
      <c r="A335" s="136" t="s">
        <v>1364</v>
      </c>
      <c r="B335" s="137">
        <v>45675</v>
      </c>
      <c r="C335" s="138" t="s">
        <v>599</v>
      </c>
      <c r="D335" s="138" t="str">
        <f>VLOOKUP(Purchase[[#This Row],[Supplier ID]],Supplier[#All],2,0)</f>
        <v>National Distributors</v>
      </c>
      <c r="E335" s="138">
        <f>VLOOKUP(Purchase[[#This Row],[Supplier ID]],Supplier[#All],3,0)</f>
        <v>9689542482</v>
      </c>
      <c r="F335" s="138" t="str">
        <f>VLOOKUP(Purchase[[#This Row],[Supplier ID]],Supplier[#All],4,0)</f>
        <v>Kanpur</v>
      </c>
      <c r="G335" s="138" t="str">
        <f>VLOOKUP(Purchase[[#This Row],[Supplier ID]],Supplier[#All],5,0)</f>
        <v>UP</v>
      </c>
      <c r="H335" s="138" t="str">
        <f>VLOOKUP(Purchase[[#This Row],[Supplier ID]],Supplier[#All],6,0)</f>
        <v>GST2154521T044</v>
      </c>
      <c r="I335" s="138" t="s">
        <v>332</v>
      </c>
      <c r="J335" s="139">
        <v>6</v>
      </c>
      <c r="K335" s="143">
        <f>VLOOKUP(Purchase[[#This Row],[Product ID]],Product[#All],6,0)</f>
        <v>21908</v>
      </c>
      <c r="L335" s="143">
        <f>Purchase[[#This Row],[Purchase Rate]]*Purchase[[#This Row],[Qty]]</f>
        <v>131448</v>
      </c>
      <c r="M335" s="140">
        <v>0</v>
      </c>
      <c r="N335" s="143">
        <v>0</v>
      </c>
      <c r="O335" s="140">
        <v>0.18</v>
      </c>
      <c r="P335" s="145">
        <f>(Purchase[[#This Row],[Gross Amount]]-Purchase[[#This Row],[Disct %]])*Purchase[[#This Row],[GST %]]</f>
        <v>23660.639999999999</v>
      </c>
      <c r="Q335" s="145">
        <f>Purchase[[#This Row],[Gross Amount]]-Purchase[[#This Row],[Disct Amnt]]+Purchase[[#This Row],[GST Amount]]</f>
        <v>155108.64000000001</v>
      </c>
      <c r="R335" s="138" t="s">
        <v>1040</v>
      </c>
      <c r="S335" s="41">
        <f>IF(Purchase[[#This Row],[Status]]="Cancelled",0,Purchase[[#This Row],[Qty]])</f>
        <v>0</v>
      </c>
      <c r="T335" s="146">
        <f>IF(Purchase[[#This Row],[Status]]="Cancelled",0,Purchase[[#This Row],[Total Amount]])</f>
        <v>0</v>
      </c>
      <c r="U335" s="146">
        <f>SUM(Purchase[Net Amount])</f>
        <v>814985438.68000126</v>
      </c>
    </row>
    <row r="336" spans="1:21" ht="19.5" thickBot="1" x14ac:dyDescent="0.3">
      <c r="A336" s="136" t="s">
        <v>1365</v>
      </c>
      <c r="B336" s="137">
        <v>45675</v>
      </c>
      <c r="C336" s="138" t="s">
        <v>565</v>
      </c>
      <c r="D336" s="138" t="str">
        <f>VLOOKUP(Purchase[[#This Row],[Supplier ID]],Supplier[#All],2,0)</f>
        <v>Global Suppliers</v>
      </c>
      <c r="E336" s="138">
        <f>VLOOKUP(Purchase[[#This Row],[Supplier ID]],Supplier[#All],3,0)</f>
        <v>9689542459</v>
      </c>
      <c r="F336" s="138" t="str">
        <f>VLOOKUP(Purchase[[#This Row],[Supplier ID]],Supplier[#All],4,0)</f>
        <v>Indore</v>
      </c>
      <c r="G336" s="138" t="str">
        <f>VLOOKUP(Purchase[[#This Row],[Supplier ID]],Supplier[#All],5,0)</f>
        <v>MP</v>
      </c>
      <c r="H336" s="138" t="str">
        <f>VLOOKUP(Purchase[[#This Row],[Supplier ID]],Supplier[#All],6,0)</f>
        <v>GST2154521T013</v>
      </c>
      <c r="I336" s="138" t="s">
        <v>58</v>
      </c>
      <c r="J336" s="139">
        <v>11</v>
      </c>
      <c r="K336" s="143">
        <f>VLOOKUP(Purchase[[#This Row],[Product ID]],Product[#All],6,0)</f>
        <v>41929</v>
      </c>
      <c r="L336" s="143">
        <f>Purchase[[#This Row],[Purchase Rate]]*Purchase[[#This Row],[Qty]]</f>
        <v>461219</v>
      </c>
      <c r="M336" s="140">
        <v>0</v>
      </c>
      <c r="N336" s="143">
        <v>0</v>
      </c>
      <c r="O336" s="140">
        <v>0.18</v>
      </c>
      <c r="P336" s="145">
        <f>(Purchase[[#This Row],[Gross Amount]]-Purchase[[#This Row],[Disct %]])*Purchase[[#This Row],[GST %]]</f>
        <v>83019.42</v>
      </c>
      <c r="Q336" s="145">
        <f>Purchase[[#This Row],[Gross Amount]]-Purchase[[#This Row],[Disct Amnt]]+Purchase[[#This Row],[GST Amount]]</f>
        <v>544238.42000000004</v>
      </c>
      <c r="R336" s="138" t="s">
        <v>1019</v>
      </c>
      <c r="S336" s="41">
        <f>IF(Purchase[[#This Row],[Status]]="Cancelled",0,Purchase[[#This Row],[Qty]])</f>
        <v>11</v>
      </c>
      <c r="T336" s="146">
        <f>IF(Purchase[[#This Row],[Status]]="Cancelled",0,Purchase[[#This Row],[Total Amount]])</f>
        <v>544238.42000000004</v>
      </c>
      <c r="U336" s="146">
        <f>SUM(Purchase[Net Amount])</f>
        <v>814985438.68000126</v>
      </c>
    </row>
    <row r="337" spans="1:21" ht="19.5" thickBot="1" x14ac:dyDescent="0.3">
      <c r="A337" s="136" t="s">
        <v>1366</v>
      </c>
      <c r="B337" s="137">
        <v>45675</v>
      </c>
      <c r="C337" s="138" t="s">
        <v>581</v>
      </c>
      <c r="D337" s="138" t="str">
        <f>VLOOKUP(Purchase[[#This Row],[Supplier ID]],Supplier[#All],2,0)</f>
        <v>Prime Electronics</v>
      </c>
      <c r="E337" s="138">
        <f>VLOOKUP(Purchase[[#This Row],[Supplier ID]],Supplier[#All],3,0)</f>
        <v>9689542465</v>
      </c>
      <c r="F337" s="138" t="str">
        <f>VLOOKUP(Purchase[[#This Row],[Supplier ID]],Supplier[#All],4,0)</f>
        <v>Korba</v>
      </c>
      <c r="G337" s="138" t="str">
        <f>VLOOKUP(Purchase[[#This Row],[Supplier ID]],Supplier[#All],5,0)</f>
        <v>CG</v>
      </c>
      <c r="H337" s="138" t="str">
        <f>VLOOKUP(Purchase[[#This Row],[Supplier ID]],Supplier[#All],6,0)</f>
        <v>GST2154521T027</v>
      </c>
      <c r="I337" s="138" t="s">
        <v>359</v>
      </c>
      <c r="J337" s="139">
        <v>11</v>
      </c>
      <c r="K337" s="143">
        <f>VLOOKUP(Purchase[[#This Row],[Product ID]],Product[#All],6,0)</f>
        <v>922</v>
      </c>
      <c r="L337" s="143">
        <f>Purchase[[#This Row],[Purchase Rate]]*Purchase[[#This Row],[Qty]]</f>
        <v>10142</v>
      </c>
      <c r="M337" s="140">
        <v>0</v>
      </c>
      <c r="N337" s="143">
        <v>0</v>
      </c>
      <c r="O337" s="140">
        <v>0.18</v>
      </c>
      <c r="P337" s="145">
        <f>(Purchase[[#This Row],[Gross Amount]]-Purchase[[#This Row],[Disct %]])*Purchase[[#This Row],[GST %]]</f>
        <v>1825.56</v>
      </c>
      <c r="Q337" s="145">
        <f>Purchase[[#This Row],[Gross Amount]]-Purchase[[#This Row],[Disct Amnt]]+Purchase[[#This Row],[GST Amount]]</f>
        <v>11967.56</v>
      </c>
      <c r="R337" s="138" t="s">
        <v>1019</v>
      </c>
      <c r="S337" s="41">
        <f>IF(Purchase[[#This Row],[Status]]="Cancelled",0,Purchase[[#This Row],[Qty]])</f>
        <v>11</v>
      </c>
      <c r="T337" s="146">
        <f>IF(Purchase[[#This Row],[Status]]="Cancelled",0,Purchase[[#This Row],[Total Amount]])</f>
        <v>11967.56</v>
      </c>
      <c r="U337" s="146">
        <f>SUM(Purchase[Net Amount])</f>
        <v>814985438.68000126</v>
      </c>
    </row>
    <row r="338" spans="1:21" ht="19.5" thickBot="1" x14ac:dyDescent="0.3">
      <c r="A338" s="136" t="s">
        <v>1367</v>
      </c>
      <c r="B338" s="137">
        <v>45675</v>
      </c>
      <c r="C338" s="138" t="s">
        <v>583</v>
      </c>
      <c r="D338" s="138" t="str">
        <f>VLOOKUP(Purchase[[#This Row],[Supplier ID]],Supplier[#All],2,0)</f>
        <v>Shree Distributors</v>
      </c>
      <c r="E338" s="138">
        <f>VLOOKUP(Purchase[[#This Row],[Supplier ID]],Supplier[#All],3,0)</f>
        <v>9689542467</v>
      </c>
      <c r="F338" s="138" t="str">
        <f>VLOOKUP(Purchase[[#This Row],[Supplier ID]],Supplier[#All],4,0)</f>
        <v>Indore</v>
      </c>
      <c r="G338" s="138" t="str">
        <f>VLOOKUP(Purchase[[#This Row],[Supplier ID]],Supplier[#All],5,0)</f>
        <v>MP</v>
      </c>
      <c r="H338" s="138" t="str">
        <f>VLOOKUP(Purchase[[#This Row],[Supplier ID]],Supplier[#All],6,0)</f>
        <v>GST2154521T029</v>
      </c>
      <c r="I338" s="138" t="s">
        <v>68</v>
      </c>
      <c r="J338" s="139">
        <v>11</v>
      </c>
      <c r="K338" s="143">
        <f>VLOOKUP(Purchase[[#This Row],[Product ID]],Product[#All],6,0)</f>
        <v>17186</v>
      </c>
      <c r="L338" s="143">
        <f>Purchase[[#This Row],[Purchase Rate]]*Purchase[[#This Row],[Qty]]</f>
        <v>189046</v>
      </c>
      <c r="M338" s="140">
        <v>0</v>
      </c>
      <c r="N338" s="143">
        <v>0</v>
      </c>
      <c r="O338" s="140">
        <v>0.18</v>
      </c>
      <c r="P338" s="145">
        <f>(Purchase[[#This Row],[Gross Amount]]-Purchase[[#This Row],[Disct %]])*Purchase[[#This Row],[GST %]]</f>
        <v>34028.28</v>
      </c>
      <c r="Q338" s="145">
        <f>Purchase[[#This Row],[Gross Amount]]-Purchase[[#This Row],[Disct Amnt]]+Purchase[[#This Row],[GST Amount]]</f>
        <v>223074.28</v>
      </c>
      <c r="R338" s="138" t="s">
        <v>1019</v>
      </c>
      <c r="S338" s="41">
        <f>IF(Purchase[[#This Row],[Status]]="Cancelled",0,Purchase[[#This Row],[Qty]])</f>
        <v>11</v>
      </c>
      <c r="T338" s="146">
        <f>IF(Purchase[[#This Row],[Status]]="Cancelled",0,Purchase[[#This Row],[Total Amount]])</f>
        <v>223074.28</v>
      </c>
      <c r="U338" s="146">
        <f>SUM(Purchase[Net Amount])</f>
        <v>814985438.68000126</v>
      </c>
    </row>
    <row r="339" spans="1:21" ht="19.5" thickBot="1" x14ac:dyDescent="0.3">
      <c r="A339" s="136" t="s">
        <v>1368</v>
      </c>
      <c r="B339" s="137">
        <v>45675</v>
      </c>
      <c r="C339" s="138" t="s">
        <v>1369</v>
      </c>
      <c r="D339" s="138" t="str">
        <f>VLOOKUP(Purchase[[#This Row],[Supplier ID]],Supplier[#All],2,0)</f>
        <v xml:space="preserve">Star Electronics </v>
      </c>
      <c r="E339" s="138">
        <f>VLOOKUP(Purchase[[#This Row],[Supplier ID]],Supplier[#All],3,0)</f>
        <v>9689542450</v>
      </c>
      <c r="F339" s="138" t="str">
        <f>VLOOKUP(Purchase[[#This Row],[Supplier ID]],Supplier[#All],4,0)</f>
        <v>Korba</v>
      </c>
      <c r="G339" s="138" t="str">
        <f>VLOOKUP(Purchase[[#This Row],[Supplier ID]],Supplier[#All],5,0)</f>
        <v>CG</v>
      </c>
      <c r="H339" s="138" t="str">
        <f>VLOOKUP(Purchase[[#This Row],[Supplier ID]],Supplier[#All],6,0)</f>
        <v>GST2154521T012</v>
      </c>
      <c r="I339" s="138" t="s">
        <v>200</v>
      </c>
      <c r="J339" s="139">
        <v>31</v>
      </c>
      <c r="K339" s="143">
        <f>VLOOKUP(Purchase[[#This Row],[Product ID]],Product[#All],6,0)</f>
        <v>4331</v>
      </c>
      <c r="L339" s="143">
        <f>Purchase[[#This Row],[Purchase Rate]]*Purchase[[#This Row],[Qty]]</f>
        <v>134261</v>
      </c>
      <c r="M339" s="140">
        <v>0</v>
      </c>
      <c r="N339" s="143">
        <v>0</v>
      </c>
      <c r="O339" s="140">
        <v>0.18</v>
      </c>
      <c r="P339" s="145">
        <f>(Purchase[[#This Row],[Gross Amount]]-Purchase[[#This Row],[Disct %]])*Purchase[[#This Row],[GST %]]</f>
        <v>24166.98</v>
      </c>
      <c r="Q339" s="145">
        <f>Purchase[[#This Row],[Gross Amount]]-Purchase[[#This Row],[Disct Amnt]]+Purchase[[#This Row],[GST Amount]]</f>
        <v>158427.98000000001</v>
      </c>
      <c r="R339" s="138" t="s">
        <v>1019</v>
      </c>
      <c r="S339" s="41">
        <f>IF(Purchase[[#This Row],[Status]]="Cancelled",0,Purchase[[#This Row],[Qty]])</f>
        <v>31</v>
      </c>
      <c r="T339" s="146">
        <f>IF(Purchase[[#This Row],[Status]]="Cancelled",0,Purchase[[#This Row],[Total Amount]])</f>
        <v>158427.98000000001</v>
      </c>
      <c r="U339" s="146">
        <f>SUM(Purchase[Net Amount])</f>
        <v>814985438.68000126</v>
      </c>
    </row>
    <row r="340" spans="1:21" ht="19.5" thickBot="1" x14ac:dyDescent="0.3">
      <c r="A340" s="136" t="s">
        <v>1370</v>
      </c>
      <c r="B340" s="137">
        <v>45675</v>
      </c>
      <c r="C340" s="138" t="s">
        <v>612</v>
      </c>
      <c r="D340" s="138" t="str">
        <f>VLOOKUP(Purchase[[#This Row],[Supplier ID]],Supplier[#All],2,0)</f>
        <v>National Computers</v>
      </c>
      <c r="E340" s="138">
        <f>VLOOKUP(Purchase[[#This Row],[Supplier ID]],Supplier[#All],3,0)</f>
        <v>9689542495</v>
      </c>
      <c r="F340" s="138" t="str">
        <f>VLOOKUP(Purchase[[#This Row],[Supplier ID]],Supplier[#All],4,0)</f>
        <v>Indore</v>
      </c>
      <c r="G340" s="138" t="str">
        <f>VLOOKUP(Purchase[[#This Row],[Supplier ID]],Supplier[#All],5,0)</f>
        <v>MP</v>
      </c>
      <c r="H340" s="138" t="str">
        <f>VLOOKUP(Purchase[[#This Row],[Supplier ID]],Supplier[#All],6,0)</f>
        <v>GST2154521T057</v>
      </c>
      <c r="I340" s="138" t="s">
        <v>357</v>
      </c>
      <c r="J340" s="139">
        <v>20</v>
      </c>
      <c r="K340" s="143">
        <f>VLOOKUP(Purchase[[#This Row],[Product ID]],Product[#All],6,0)</f>
        <v>7550</v>
      </c>
      <c r="L340" s="143">
        <f>Purchase[[#This Row],[Purchase Rate]]*Purchase[[#This Row],[Qty]]</f>
        <v>151000</v>
      </c>
      <c r="M340" s="140">
        <v>0</v>
      </c>
      <c r="N340" s="143">
        <v>0</v>
      </c>
      <c r="O340" s="140">
        <v>0.18</v>
      </c>
      <c r="P340" s="145">
        <f>(Purchase[[#This Row],[Gross Amount]]-Purchase[[#This Row],[Disct %]])*Purchase[[#This Row],[GST %]]</f>
        <v>27180</v>
      </c>
      <c r="Q340" s="145">
        <f>Purchase[[#This Row],[Gross Amount]]-Purchase[[#This Row],[Disct Amnt]]+Purchase[[#This Row],[GST Amount]]</f>
        <v>178180</v>
      </c>
      <c r="R340" s="138" t="s">
        <v>1019</v>
      </c>
      <c r="S340" s="41">
        <f>IF(Purchase[[#This Row],[Status]]="Cancelled",0,Purchase[[#This Row],[Qty]])</f>
        <v>20</v>
      </c>
      <c r="T340" s="146">
        <f>IF(Purchase[[#This Row],[Status]]="Cancelled",0,Purchase[[#This Row],[Total Amount]])</f>
        <v>178180</v>
      </c>
      <c r="U340" s="146">
        <f>SUM(Purchase[Net Amount])</f>
        <v>814985438.68000126</v>
      </c>
    </row>
    <row r="341" spans="1:21" ht="19.5" thickBot="1" x14ac:dyDescent="0.3">
      <c r="A341" s="136" t="s">
        <v>1371</v>
      </c>
      <c r="B341" s="137">
        <v>45675</v>
      </c>
      <c r="C341" s="138" t="s">
        <v>598</v>
      </c>
      <c r="D341" s="138" t="str">
        <f>VLOOKUP(Purchase[[#This Row],[Supplier ID]],Supplier[#All],2,0)</f>
        <v>National Distributors</v>
      </c>
      <c r="E341" s="138">
        <f>VLOOKUP(Purchase[[#This Row],[Supplier ID]],Supplier[#All],3,0)</f>
        <v>9689542489</v>
      </c>
      <c r="F341" s="138" t="str">
        <f>VLOOKUP(Purchase[[#This Row],[Supplier ID]],Supplier[#All],4,0)</f>
        <v>Indore</v>
      </c>
      <c r="G341" s="138" t="str">
        <f>VLOOKUP(Purchase[[#This Row],[Supplier ID]],Supplier[#All],5,0)</f>
        <v>MP</v>
      </c>
      <c r="H341" s="138" t="str">
        <f>VLOOKUP(Purchase[[#This Row],[Supplier ID]],Supplier[#All],6,0)</f>
        <v>GST2154521T043</v>
      </c>
      <c r="I341" s="138" t="s">
        <v>58</v>
      </c>
      <c r="J341" s="139">
        <v>31</v>
      </c>
      <c r="K341" s="143">
        <f>VLOOKUP(Purchase[[#This Row],[Product ID]],Product[#All],6,0)</f>
        <v>41929</v>
      </c>
      <c r="L341" s="143">
        <f>Purchase[[#This Row],[Purchase Rate]]*Purchase[[#This Row],[Qty]]</f>
        <v>1299799</v>
      </c>
      <c r="M341" s="140">
        <v>0</v>
      </c>
      <c r="N341" s="143">
        <v>0</v>
      </c>
      <c r="O341" s="140">
        <v>0.18</v>
      </c>
      <c r="P341" s="145">
        <f>(Purchase[[#This Row],[Gross Amount]]-Purchase[[#This Row],[Disct %]])*Purchase[[#This Row],[GST %]]</f>
        <v>233963.81999999998</v>
      </c>
      <c r="Q341" s="145">
        <f>Purchase[[#This Row],[Gross Amount]]-Purchase[[#This Row],[Disct Amnt]]+Purchase[[#This Row],[GST Amount]]</f>
        <v>1533762.82</v>
      </c>
      <c r="R341" s="138" t="s">
        <v>1019</v>
      </c>
      <c r="S341" s="41">
        <f>IF(Purchase[[#This Row],[Status]]="Cancelled",0,Purchase[[#This Row],[Qty]])</f>
        <v>31</v>
      </c>
      <c r="T341" s="146">
        <f>IF(Purchase[[#This Row],[Status]]="Cancelled",0,Purchase[[#This Row],[Total Amount]])</f>
        <v>1533762.82</v>
      </c>
      <c r="U341" s="146">
        <f>SUM(Purchase[Net Amount])</f>
        <v>814985438.68000126</v>
      </c>
    </row>
    <row r="342" spans="1:21" ht="19.5" thickBot="1" x14ac:dyDescent="0.3">
      <c r="A342" s="136" t="s">
        <v>1372</v>
      </c>
      <c r="B342" s="137">
        <v>45675</v>
      </c>
      <c r="C342" s="138" t="s">
        <v>594</v>
      </c>
      <c r="D342" s="138" t="str">
        <f>VLOOKUP(Purchase[[#This Row],[Supplier ID]],Supplier[#All],2,0)</f>
        <v>Shree Suppliers</v>
      </c>
      <c r="E342" s="138">
        <f>VLOOKUP(Purchase[[#This Row],[Supplier ID]],Supplier[#All],3,0)</f>
        <v>9689542477</v>
      </c>
      <c r="F342" s="138" t="str">
        <f>VLOOKUP(Purchase[[#This Row],[Supplier ID]],Supplier[#All],4,0)</f>
        <v>Indore</v>
      </c>
      <c r="G342" s="138" t="str">
        <f>VLOOKUP(Purchase[[#This Row],[Supplier ID]],Supplier[#All],5,0)</f>
        <v>MP</v>
      </c>
      <c r="H342" s="138" t="str">
        <f>VLOOKUP(Purchase[[#This Row],[Supplier ID]],Supplier[#All],6,0)</f>
        <v>GST2154521T039</v>
      </c>
      <c r="I342" s="138" t="s">
        <v>362</v>
      </c>
      <c r="J342" s="139">
        <v>22</v>
      </c>
      <c r="K342" s="143">
        <f>VLOOKUP(Purchase[[#This Row],[Product ID]],Product[#All],6,0)</f>
        <v>3403</v>
      </c>
      <c r="L342" s="143">
        <f>Purchase[[#This Row],[Purchase Rate]]*Purchase[[#This Row],[Qty]]</f>
        <v>74866</v>
      </c>
      <c r="M342" s="140">
        <v>0</v>
      </c>
      <c r="N342" s="143">
        <v>0</v>
      </c>
      <c r="O342" s="140">
        <v>0.18</v>
      </c>
      <c r="P342" s="145">
        <f>(Purchase[[#This Row],[Gross Amount]]-Purchase[[#This Row],[Disct %]])*Purchase[[#This Row],[GST %]]</f>
        <v>13475.88</v>
      </c>
      <c r="Q342" s="145">
        <f>Purchase[[#This Row],[Gross Amount]]-Purchase[[#This Row],[Disct Amnt]]+Purchase[[#This Row],[GST Amount]]</f>
        <v>88341.88</v>
      </c>
      <c r="R342" s="138" t="s">
        <v>1019</v>
      </c>
      <c r="S342" s="41">
        <f>IF(Purchase[[#This Row],[Status]]="Cancelled",0,Purchase[[#This Row],[Qty]])</f>
        <v>22</v>
      </c>
      <c r="T342" s="146">
        <f>IF(Purchase[[#This Row],[Status]]="Cancelled",0,Purchase[[#This Row],[Total Amount]])</f>
        <v>88341.88</v>
      </c>
      <c r="U342" s="146">
        <f>SUM(Purchase[Net Amount])</f>
        <v>814985438.68000126</v>
      </c>
    </row>
    <row r="343" spans="1:21" ht="19.5" thickBot="1" x14ac:dyDescent="0.3">
      <c r="A343" s="136" t="s">
        <v>1373</v>
      </c>
      <c r="B343" s="137">
        <v>45675</v>
      </c>
      <c r="C343" s="138" t="s">
        <v>584</v>
      </c>
      <c r="D343" s="138" t="str">
        <f>VLOOKUP(Purchase[[#This Row],[Supplier ID]],Supplier[#All],2,0)</f>
        <v>Prime Computers</v>
      </c>
      <c r="E343" s="138">
        <f>VLOOKUP(Purchase[[#This Row],[Supplier ID]],Supplier[#All],3,0)</f>
        <v>9689542468</v>
      </c>
      <c r="F343" s="138" t="str">
        <f>VLOOKUP(Purchase[[#This Row],[Supplier ID]],Supplier[#All],4,0)</f>
        <v>Kanpur</v>
      </c>
      <c r="G343" s="138" t="str">
        <f>VLOOKUP(Purchase[[#This Row],[Supplier ID]],Supplier[#All],5,0)</f>
        <v>UP</v>
      </c>
      <c r="H343" s="138" t="str">
        <f>VLOOKUP(Purchase[[#This Row],[Supplier ID]],Supplier[#All],6,0)</f>
        <v>GST2154521T030</v>
      </c>
      <c r="I343" s="138" t="s">
        <v>509</v>
      </c>
      <c r="J343" s="139">
        <v>34</v>
      </c>
      <c r="K343" s="143">
        <f>VLOOKUP(Purchase[[#This Row],[Product ID]],Product[#All],6,0)</f>
        <v>2682</v>
      </c>
      <c r="L343" s="143">
        <f>Purchase[[#This Row],[Purchase Rate]]*Purchase[[#This Row],[Qty]]</f>
        <v>91188</v>
      </c>
      <c r="M343" s="140">
        <v>0</v>
      </c>
      <c r="N343" s="143">
        <v>0</v>
      </c>
      <c r="O343" s="140">
        <v>0.18</v>
      </c>
      <c r="P343" s="145">
        <f>(Purchase[[#This Row],[Gross Amount]]-Purchase[[#This Row],[Disct %]])*Purchase[[#This Row],[GST %]]</f>
        <v>16413.84</v>
      </c>
      <c r="Q343" s="145">
        <f>Purchase[[#This Row],[Gross Amount]]-Purchase[[#This Row],[Disct Amnt]]+Purchase[[#This Row],[GST Amount]]</f>
        <v>107601.84</v>
      </c>
      <c r="R343" s="138" t="s">
        <v>1019</v>
      </c>
      <c r="S343" s="41">
        <f>IF(Purchase[[#This Row],[Status]]="Cancelled",0,Purchase[[#This Row],[Qty]])</f>
        <v>34</v>
      </c>
      <c r="T343" s="146">
        <f>IF(Purchase[[#This Row],[Status]]="Cancelled",0,Purchase[[#This Row],[Total Amount]])</f>
        <v>107601.84</v>
      </c>
      <c r="U343" s="146">
        <f>SUM(Purchase[Net Amount])</f>
        <v>814985438.68000126</v>
      </c>
    </row>
    <row r="344" spans="1:21" ht="19.5" thickBot="1" x14ac:dyDescent="0.3">
      <c r="A344" s="136" t="s">
        <v>1374</v>
      </c>
      <c r="B344" s="137">
        <v>45675</v>
      </c>
      <c r="C344" s="138" t="s">
        <v>590</v>
      </c>
      <c r="D344" s="138" t="str">
        <f>VLOOKUP(Purchase[[#This Row],[Supplier ID]],Supplier[#All],2,0)</f>
        <v>Star Distributors</v>
      </c>
      <c r="E344" s="138">
        <f>VLOOKUP(Purchase[[#This Row],[Supplier ID]],Supplier[#All],3,0)</f>
        <v>9689542474</v>
      </c>
      <c r="F344" s="138" t="str">
        <f>VLOOKUP(Purchase[[#This Row],[Supplier ID]],Supplier[#All],4,0)</f>
        <v>Kanpur</v>
      </c>
      <c r="G344" s="138" t="str">
        <f>VLOOKUP(Purchase[[#This Row],[Supplier ID]],Supplier[#All],5,0)</f>
        <v>UP</v>
      </c>
      <c r="H344" s="138" t="str">
        <f>VLOOKUP(Purchase[[#This Row],[Supplier ID]],Supplier[#All],6,0)</f>
        <v>GST2154521T036</v>
      </c>
      <c r="I344" s="138" t="s">
        <v>466</v>
      </c>
      <c r="J344" s="139">
        <v>23</v>
      </c>
      <c r="K344" s="143">
        <f>VLOOKUP(Purchase[[#This Row],[Product ID]],Product[#All],6,0)</f>
        <v>68885</v>
      </c>
      <c r="L344" s="143">
        <f>Purchase[[#This Row],[Purchase Rate]]*Purchase[[#This Row],[Qty]]</f>
        <v>1584355</v>
      </c>
      <c r="M344" s="140">
        <v>0</v>
      </c>
      <c r="N344" s="143">
        <v>0</v>
      </c>
      <c r="O344" s="140">
        <v>0.18</v>
      </c>
      <c r="P344" s="145">
        <f>(Purchase[[#This Row],[Gross Amount]]-Purchase[[#This Row],[Disct %]])*Purchase[[#This Row],[GST %]]</f>
        <v>285183.89999999997</v>
      </c>
      <c r="Q344" s="145">
        <f>Purchase[[#This Row],[Gross Amount]]-Purchase[[#This Row],[Disct Amnt]]+Purchase[[#This Row],[GST Amount]]</f>
        <v>1869538.9</v>
      </c>
      <c r="R344" s="138" t="s">
        <v>1019</v>
      </c>
      <c r="S344" s="41">
        <f>IF(Purchase[[#This Row],[Status]]="Cancelled",0,Purchase[[#This Row],[Qty]])</f>
        <v>23</v>
      </c>
      <c r="T344" s="146">
        <f>IF(Purchase[[#This Row],[Status]]="Cancelled",0,Purchase[[#This Row],[Total Amount]])</f>
        <v>1869538.9</v>
      </c>
      <c r="U344" s="146">
        <f>SUM(Purchase[Net Amount])</f>
        <v>814985438.68000126</v>
      </c>
    </row>
    <row r="345" spans="1:21" ht="19.5" thickBot="1" x14ac:dyDescent="0.3">
      <c r="A345" s="136" t="s">
        <v>1375</v>
      </c>
      <c r="B345" s="137">
        <v>45675</v>
      </c>
      <c r="C345" s="138" t="s">
        <v>596</v>
      </c>
      <c r="D345" s="138" t="str">
        <f>VLOOKUP(Purchase[[#This Row],[Supplier ID]],Supplier[#All],2,0)</f>
        <v>star traders</v>
      </c>
      <c r="E345" s="138">
        <f>VLOOKUP(Purchase[[#This Row],[Supplier ID]],Supplier[#All],3,0)</f>
        <v>9689542479</v>
      </c>
      <c r="F345" s="138" t="str">
        <f>VLOOKUP(Purchase[[#This Row],[Supplier ID]],Supplier[#All],4,0)</f>
        <v>Korba</v>
      </c>
      <c r="G345" s="138" t="str">
        <f>VLOOKUP(Purchase[[#This Row],[Supplier ID]],Supplier[#All],5,0)</f>
        <v>CG</v>
      </c>
      <c r="H345" s="138" t="str">
        <f>VLOOKUP(Purchase[[#This Row],[Supplier ID]],Supplier[#All],6,0)</f>
        <v>GST2154521T041</v>
      </c>
      <c r="I345" s="138" t="s">
        <v>426</v>
      </c>
      <c r="J345" s="139">
        <v>16</v>
      </c>
      <c r="K345" s="143">
        <f>VLOOKUP(Purchase[[#This Row],[Product ID]],Product[#All],6,0)</f>
        <v>4401</v>
      </c>
      <c r="L345" s="143">
        <f>Purchase[[#This Row],[Purchase Rate]]*Purchase[[#This Row],[Qty]]</f>
        <v>70416</v>
      </c>
      <c r="M345" s="140">
        <v>0</v>
      </c>
      <c r="N345" s="143">
        <v>0</v>
      </c>
      <c r="O345" s="140">
        <v>0.18</v>
      </c>
      <c r="P345" s="145">
        <f>(Purchase[[#This Row],[Gross Amount]]-Purchase[[#This Row],[Disct %]])*Purchase[[#This Row],[GST %]]</f>
        <v>12674.88</v>
      </c>
      <c r="Q345" s="145">
        <f>Purchase[[#This Row],[Gross Amount]]-Purchase[[#This Row],[Disct Amnt]]+Purchase[[#This Row],[GST Amount]]</f>
        <v>83090.880000000005</v>
      </c>
      <c r="R345" s="138" t="s">
        <v>1019</v>
      </c>
      <c r="S345" s="41">
        <f>IF(Purchase[[#This Row],[Status]]="Cancelled",0,Purchase[[#This Row],[Qty]])</f>
        <v>16</v>
      </c>
      <c r="T345" s="146">
        <f>IF(Purchase[[#This Row],[Status]]="Cancelled",0,Purchase[[#This Row],[Total Amount]])</f>
        <v>83090.880000000005</v>
      </c>
      <c r="U345" s="146">
        <f>SUM(Purchase[Net Amount])</f>
        <v>814985438.68000126</v>
      </c>
    </row>
    <row r="346" spans="1:21" ht="19.5" thickBot="1" x14ac:dyDescent="0.3">
      <c r="A346" s="136" t="s">
        <v>1376</v>
      </c>
      <c r="B346" s="137">
        <v>45675</v>
      </c>
      <c r="C346" s="138" t="s">
        <v>604</v>
      </c>
      <c r="D346" s="138" t="str">
        <f>VLOOKUP(Purchase[[#This Row],[Supplier ID]],Supplier[#All],2,0)</f>
        <v>Prime Traders</v>
      </c>
      <c r="E346" s="138">
        <f>VLOOKUP(Purchase[[#This Row],[Supplier ID]],Supplier[#All],3,0)</f>
        <v>9689542487</v>
      </c>
      <c r="F346" s="138" t="str">
        <f>VLOOKUP(Purchase[[#This Row],[Supplier ID]],Supplier[#All],4,0)</f>
        <v>Indore</v>
      </c>
      <c r="G346" s="138" t="str">
        <f>VLOOKUP(Purchase[[#This Row],[Supplier ID]],Supplier[#All],5,0)</f>
        <v>MP</v>
      </c>
      <c r="H346" s="138" t="str">
        <f>VLOOKUP(Purchase[[#This Row],[Supplier ID]],Supplier[#All],6,0)</f>
        <v>GST2154521T049</v>
      </c>
      <c r="I346" s="138" t="s">
        <v>264</v>
      </c>
      <c r="J346" s="139">
        <v>15</v>
      </c>
      <c r="K346" s="143">
        <f>VLOOKUP(Purchase[[#This Row],[Product ID]],Product[#All],6,0)</f>
        <v>58038</v>
      </c>
      <c r="L346" s="143">
        <f>Purchase[[#This Row],[Purchase Rate]]*Purchase[[#This Row],[Qty]]</f>
        <v>870570</v>
      </c>
      <c r="M346" s="140">
        <v>0</v>
      </c>
      <c r="N346" s="143">
        <v>0</v>
      </c>
      <c r="O346" s="140">
        <v>0.18</v>
      </c>
      <c r="P346" s="145">
        <f>(Purchase[[#This Row],[Gross Amount]]-Purchase[[#This Row],[Disct %]])*Purchase[[#This Row],[GST %]]</f>
        <v>156702.6</v>
      </c>
      <c r="Q346" s="145">
        <f>Purchase[[#This Row],[Gross Amount]]-Purchase[[#This Row],[Disct Amnt]]+Purchase[[#This Row],[GST Amount]]</f>
        <v>1027272.6</v>
      </c>
      <c r="R346" s="138" t="s">
        <v>1019</v>
      </c>
      <c r="S346" s="41">
        <f>IF(Purchase[[#This Row],[Status]]="Cancelled",0,Purchase[[#This Row],[Qty]])</f>
        <v>15</v>
      </c>
      <c r="T346" s="146">
        <f>IF(Purchase[[#This Row],[Status]]="Cancelled",0,Purchase[[#This Row],[Total Amount]])</f>
        <v>1027272.6</v>
      </c>
      <c r="U346" s="146">
        <f>SUM(Purchase[Net Amount])</f>
        <v>814985438.68000126</v>
      </c>
    </row>
    <row r="347" spans="1:21" ht="19.5" thickBot="1" x14ac:dyDescent="0.3">
      <c r="A347" s="136" t="s">
        <v>1377</v>
      </c>
      <c r="B347" s="137">
        <v>45675</v>
      </c>
      <c r="C347" s="138" t="s">
        <v>597</v>
      </c>
      <c r="D347" s="138" t="str">
        <f>VLOOKUP(Purchase[[#This Row],[Supplier ID]],Supplier[#All],2,0)</f>
        <v>Tech Traders</v>
      </c>
      <c r="E347" s="138">
        <f>VLOOKUP(Purchase[[#This Row],[Supplier ID]],Supplier[#All],3,0)</f>
        <v>9689542480</v>
      </c>
      <c r="F347" s="138" t="str">
        <f>VLOOKUP(Purchase[[#This Row],[Supplier ID]],Supplier[#All],4,0)</f>
        <v>Kanpur</v>
      </c>
      <c r="G347" s="138" t="str">
        <f>VLOOKUP(Purchase[[#This Row],[Supplier ID]],Supplier[#All],5,0)</f>
        <v>UP</v>
      </c>
      <c r="H347" s="138" t="str">
        <f>VLOOKUP(Purchase[[#This Row],[Supplier ID]],Supplier[#All],6,0)</f>
        <v>GST2154521T042</v>
      </c>
      <c r="I347" s="138" t="s">
        <v>298</v>
      </c>
      <c r="J347" s="139">
        <v>32</v>
      </c>
      <c r="K347" s="143">
        <f>VLOOKUP(Purchase[[#This Row],[Product ID]],Product[#All],6,0)</f>
        <v>19959</v>
      </c>
      <c r="L347" s="143">
        <f>Purchase[[#This Row],[Purchase Rate]]*Purchase[[#This Row],[Qty]]</f>
        <v>638688</v>
      </c>
      <c r="M347" s="140">
        <v>0</v>
      </c>
      <c r="N347" s="143">
        <v>0</v>
      </c>
      <c r="O347" s="140">
        <v>0.18</v>
      </c>
      <c r="P347" s="145">
        <f>(Purchase[[#This Row],[Gross Amount]]-Purchase[[#This Row],[Disct %]])*Purchase[[#This Row],[GST %]]</f>
        <v>114963.84</v>
      </c>
      <c r="Q347" s="145">
        <f>Purchase[[#This Row],[Gross Amount]]-Purchase[[#This Row],[Disct Amnt]]+Purchase[[#This Row],[GST Amount]]</f>
        <v>753651.84</v>
      </c>
      <c r="R347" s="138" t="s">
        <v>1019</v>
      </c>
      <c r="S347" s="41">
        <f>IF(Purchase[[#This Row],[Status]]="Cancelled",0,Purchase[[#This Row],[Qty]])</f>
        <v>32</v>
      </c>
      <c r="T347" s="146">
        <f>IF(Purchase[[#This Row],[Status]]="Cancelled",0,Purchase[[#This Row],[Total Amount]])</f>
        <v>753651.84</v>
      </c>
      <c r="U347" s="146">
        <f>SUM(Purchase[Net Amount])</f>
        <v>814985438.68000126</v>
      </c>
    </row>
    <row r="348" spans="1:21" ht="19.5" thickBot="1" x14ac:dyDescent="0.3">
      <c r="A348" s="136" t="s">
        <v>1378</v>
      </c>
      <c r="B348" s="137">
        <v>45675</v>
      </c>
      <c r="C348" s="138" t="s">
        <v>577</v>
      </c>
      <c r="D348" s="138" t="str">
        <f>VLOOKUP(Purchase[[#This Row],[Supplier ID]],Supplier[#All],2,0)</f>
        <v>National Electronics</v>
      </c>
      <c r="E348" s="138">
        <f>VLOOKUP(Purchase[[#This Row],[Supplier ID]],Supplier[#All],3,0)</f>
        <v>9689542469</v>
      </c>
      <c r="F348" s="138" t="str">
        <f>VLOOKUP(Purchase[[#This Row],[Supplier ID]],Supplier[#All],4,0)</f>
        <v>Korba</v>
      </c>
      <c r="G348" s="138" t="str">
        <f>VLOOKUP(Purchase[[#This Row],[Supplier ID]],Supplier[#All],5,0)</f>
        <v>CG</v>
      </c>
      <c r="H348" s="138" t="str">
        <f>VLOOKUP(Purchase[[#This Row],[Supplier ID]],Supplier[#All],6,0)</f>
        <v>GST2154521T023</v>
      </c>
      <c r="I348" s="138" t="s">
        <v>544</v>
      </c>
      <c r="J348" s="139">
        <v>8</v>
      </c>
      <c r="K348" s="143">
        <f>VLOOKUP(Purchase[[#This Row],[Product ID]],Product[#All],6,0)</f>
        <v>14145</v>
      </c>
      <c r="L348" s="143">
        <f>Purchase[[#This Row],[Purchase Rate]]*Purchase[[#This Row],[Qty]]</f>
        <v>113160</v>
      </c>
      <c r="M348" s="140">
        <v>0</v>
      </c>
      <c r="N348" s="143">
        <v>0</v>
      </c>
      <c r="O348" s="140">
        <v>0.18</v>
      </c>
      <c r="P348" s="145">
        <f>(Purchase[[#This Row],[Gross Amount]]-Purchase[[#This Row],[Disct %]])*Purchase[[#This Row],[GST %]]</f>
        <v>20368.8</v>
      </c>
      <c r="Q348" s="145">
        <f>Purchase[[#This Row],[Gross Amount]]-Purchase[[#This Row],[Disct Amnt]]+Purchase[[#This Row],[GST Amount]]</f>
        <v>133528.79999999999</v>
      </c>
      <c r="R348" s="138" t="s">
        <v>1019</v>
      </c>
      <c r="S348" s="41">
        <f>IF(Purchase[[#This Row],[Status]]="Cancelled",0,Purchase[[#This Row],[Qty]])</f>
        <v>8</v>
      </c>
      <c r="T348" s="146">
        <f>IF(Purchase[[#This Row],[Status]]="Cancelled",0,Purchase[[#This Row],[Total Amount]])</f>
        <v>133528.79999999999</v>
      </c>
      <c r="U348" s="146">
        <f>SUM(Purchase[Net Amount])</f>
        <v>814985438.68000126</v>
      </c>
    </row>
    <row r="349" spans="1:21" ht="19.5" thickBot="1" x14ac:dyDescent="0.3">
      <c r="A349" s="136" t="s">
        <v>1379</v>
      </c>
      <c r="B349" s="137">
        <v>45675</v>
      </c>
      <c r="C349" s="138" t="s">
        <v>601</v>
      </c>
      <c r="D349" s="138" t="str">
        <f>VLOOKUP(Purchase[[#This Row],[Supplier ID]],Supplier[#All],2,0)</f>
        <v>Maa Distributors</v>
      </c>
      <c r="E349" s="138">
        <f>VLOOKUP(Purchase[[#This Row],[Supplier ID]],Supplier[#All],3,0)</f>
        <v>9689542484</v>
      </c>
      <c r="F349" s="138" t="str">
        <f>VLOOKUP(Purchase[[#This Row],[Supplier ID]],Supplier[#All],4,0)</f>
        <v>Indore</v>
      </c>
      <c r="G349" s="138" t="str">
        <f>VLOOKUP(Purchase[[#This Row],[Supplier ID]],Supplier[#All],5,0)</f>
        <v>MP</v>
      </c>
      <c r="H349" s="138" t="str">
        <f>VLOOKUP(Purchase[[#This Row],[Supplier ID]],Supplier[#All],6,0)</f>
        <v>GST2154521T046</v>
      </c>
      <c r="I349" s="138" t="s">
        <v>291</v>
      </c>
      <c r="J349" s="139">
        <v>16</v>
      </c>
      <c r="K349" s="143">
        <f>VLOOKUP(Purchase[[#This Row],[Product ID]],Product[#All],6,0)</f>
        <v>9494</v>
      </c>
      <c r="L349" s="143">
        <f>Purchase[[#This Row],[Purchase Rate]]*Purchase[[#This Row],[Qty]]</f>
        <v>151904</v>
      </c>
      <c r="M349" s="140">
        <v>0</v>
      </c>
      <c r="N349" s="143">
        <v>0</v>
      </c>
      <c r="O349" s="140">
        <v>0.18</v>
      </c>
      <c r="P349" s="145">
        <f>(Purchase[[#This Row],[Gross Amount]]-Purchase[[#This Row],[Disct %]])*Purchase[[#This Row],[GST %]]</f>
        <v>27342.719999999998</v>
      </c>
      <c r="Q349" s="145">
        <f>Purchase[[#This Row],[Gross Amount]]-Purchase[[#This Row],[Disct Amnt]]+Purchase[[#This Row],[GST Amount]]</f>
        <v>179246.72</v>
      </c>
      <c r="R349" s="138" t="s">
        <v>1019</v>
      </c>
      <c r="S349" s="41">
        <f>IF(Purchase[[#This Row],[Status]]="Cancelled",0,Purchase[[#This Row],[Qty]])</f>
        <v>16</v>
      </c>
      <c r="T349" s="146">
        <f>IF(Purchase[[#This Row],[Status]]="Cancelled",0,Purchase[[#This Row],[Total Amount]])</f>
        <v>179246.72</v>
      </c>
      <c r="U349" s="146">
        <f>SUM(Purchase[Net Amount])</f>
        <v>814985438.68000126</v>
      </c>
    </row>
    <row r="350" spans="1:21" ht="19.5" thickBot="1" x14ac:dyDescent="0.3">
      <c r="A350" s="136" t="s">
        <v>1380</v>
      </c>
      <c r="B350" s="137">
        <v>45675</v>
      </c>
      <c r="C350" s="138" t="s">
        <v>610</v>
      </c>
      <c r="D350" s="138" t="str">
        <f>VLOOKUP(Purchase[[#This Row],[Supplier ID]],Supplier[#All],2,0)</f>
        <v>Shree Electronics</v>
      </c>
      <c r="E350" s="138">
        <f>VLOOKUP(Purchase[[#This Row],[Supplier ID]],Supplier[#All],3,0)</f>
        <v>9689542493</v>
      </c>
      <c r="F350" s="138" t="str">
        <f>VLOOKUP(Purchase[[#This Row],[Supplier ID]],Supplier[#All],4,0)</f>
        <v>Kanpur</v>
      </c>
      <c r="G350" s="138" t="str">
        <f>VLOOKUP(Purchase[[#This Row],[Supplier ID]],Supplier[#All],5,0)</f>
        <v>UP</v>
      </c>
      <c r="H350" s="138" t="str">
        <f>VLOOKUP(Purchase[[#This Row],[Supplier ID]],Supplier[#All],6,0)</f>
        <v>GST2154521T055</v>
      </c>
      <c r="I350" s="138" t="s">
        <v>277</v>
      </c>
      <c r="J350" s="139">
        <v>34</v>
      </c>
      <c r="K350" s="143">
        <f>VLOOKUP(Purchase[[#This Row],[Product ID]],Product[#All],6,0)</f>
        <v>3844</v>
      </c>
      <c r="L350" s="143">
        <f>Purchase[[#This Row],[Purchase Rate]]*Purchase[[#This Row],[Qty]]</f>
        <v>130696</v>
      </c>
      <c r="M350" s="140">
        <v>0</v>
      </c>
      <c r="N350" s="143">
        <v>0</v>
      </c>
      <c r="O350" s="140">
        <v>0.18</v>
      </c>
      <c r="P350" s="145">
        <f>(Purchase[[#This Row],[Gross Amount]]-Purchase[[#This Row],[Disct %]])*Purchase[[#This Row],[GST %]]</f>
        <v>23525.279999999999</v>
      </c>
      <c r="Q350" s="145">
        <f>Purchase[[#This Row],[Gross Amount]]-Purchase[[#This Row],[Disct Amnt]]+Purchase[[#This Row],[GST Amount]]</f>
        <v>154221.28</v>
      </c>
      <c r="R350" s="138" t="s">
        <v>1040</v>
      </c>
      <c r="S350" s="41">
        <f>IF(Purchase[[#This Row],[Status]]="Cancelled",0,Purchase[[#This Row],[Qty]])</f>
        <v>0</v>
      </c>
      <c r="T350" s="146">
        <f>IF(Purchase[[#This Row],[Status]]="Cancelled",0,Purchase[[#This Row],[Total Amount]])</f>
        <v>0</v>
      </c>
      <c r="U350" s="146">
        <f>SUM(Purchase[Net Amount])</f>
        <v>814985438.68000126</v>
      </c>
    </row>
    <row r="351" spans="1:21" ht="19.5" thickBot="1" x14ac:dyDescent="0.3">
      <c r="A351" s="136" t="s">
        <v>1381</v>
      </c>
      <c r="B351" s="137">
        <v>45675</v>
      </c>
      <c r="C351" s="138" t="s">
        <v>596</v>
      </c>
      <c r="D351" s="138" t="str">
        <f>VLOOKUP(Purchase[[#This Row],[Supplier ID]],Supplier[#All],2,0)</f>
        <v>star traders</v>
      </c>
      <c r="E351" s="138">
        <f>VLOOKUP(Purchase[[#This Row],[Supplier ID]],Supplier[#All],3,0)</f>
        <v>9689542479</v>
      </c>
      <c r="F351" s="138" t="str">
        <f>VLOOKUP(Purchase[[#This Row],[Supplier ID]],Supplier[#All],4,0)</f>
        <v>Korba</v>
      </c>
      <c r="G351" s="138" t="str">
        <f>VLOOKUP(Purchase[[#This Row],[Supplier ID]],Supplier[#All],5,0)</f>
        <v>CG</v>
      </c>
      <c r="H351" s="138" t="str">
        <f>VLOOKUP(Purchase[[#This Row],[Supplier ID]],Supplier[#All],6,0)</f>
        <v>GST2154521T041</v>
      </c>
      <c r="I351" s="138" t="s">
        <v>65</v>
      </c>
      <c r="J351" s="139">
        <v>3</v>
      </c>
      <c r="K351" s="143">
        <f>VLOOKUP(Purchase[[#This Row],[Product ID]],Product[#All],6,0)</f>
        <v>1758</v>
      </c>
      <c r="L351" s="143">
        <f>Purchase[[#This Row],[Purchase Rate]]*Purchase[[#This Row],[Qty]]</f>
        <v>5274</v>
      </c>
      <c r="M351" s="140">
        <v>0</v>
      </c>
      <c r="N351" s="143">
        <v>0</v>
      </c>
      <c r="O351" s="140">
        <v>0.18</v>
      </c>
      <c r="P351" s="145">
        <f>(Purchase[[#This Row],[Gross Amount]]-Purchase[[#This Row],[Disct %]])*Purchase[[#This Row],[GST %]]</f>
        <v>949.31999999999994</v>
      </c>
      <c r="Q351" s="145">
        <f>Purchase[[#This Row],[Gross Amount]]-Purchase[[#This Row],[Disct Amnt]]+Purchase[[#This Row],[GST Amount]]</f>
        <v>6223.32</v>
      </c>
      <c r="R351" s="138" t="s">
        <v>1019</v>
      </c>
      <c r="S351" s="41">
        <f>IF(Purchase[[#This Row],[Status]]="Cancelled",0,Purchase[[#This Row],[Qty]])</f>
        <v>3</v>
      </c>
      <c r="T351" s="146">
        <f>IF(Purchase[[#This Row],[Status]]="Cancelled",0,Purchase[[#This Row],[Total Amount]])</f>
        <v>6223.32</v>
      </c>
      <c r="U351" s="146">
        <f>SUM(Purchase[Net Amount])</f>
        <v>814985438.68000126</v>
      </c>
    </row>
    <row r="352" spans="1:21" ht="19.5" thickBot="1" x14ac:dyDescent="0.3">
      <c r="A352" s="136" t="s">
        <v>1382</v>
      </c>
      <c r="B352" s="137">
        <v>45675</v>
      </c>
      <c r="C352" s="138" t="s">
        <v>603</v>
      </c>
      <c r="D352" s="138" t="str">
        <f>VLOOKUP(Purchase[[#This Row],[Supplier ID]],Supplier[#All],2,0)</f>
        <v>Tech Computers</v>
      </c>
      <c r="E352" s="138">
        <f>VLOOKUP(Purchase[[#This Row],[Supplier ID]],Supplier[#All],3,0)</f>
        <v>9689542486</v>
      </c>
      <c r="F352" s="138" t="str">
        <f>VLOOKUP(Purchase[[#This Row],[Supplier ID]],Supplier[#All],4,0)</f>
        <v>Indore</v>
      </c>
      <c r="G352" s="138" t="str">
        <f>VLOOKUP(Purchase[[#This Row],[Supplier ID]],Supplier[#All],5,0)</f>
        <v>MP</v>
      </c>
      <c r="H352" s="138" t="str">
        <f>VLOOKUP(Purchase[[#This Row],[Supplier ID]],Supplier[#All],6,0)</f>
        <v>GST2154521T048</v>
      </c>
      <c r="I352" s="138" t="s">
        <v>26</v>
      </c>
      <c r="J352" s="139">
        <v>32</v>
      </c>
      <c r="K352" s="143">
        <f>VLOOKUP(Purchase[[#This Row],[Product ID]],Product[#All],6,0)</f>
        <v>18890</v>
      </c>
      <c r="L352" s="143">
        <f>Purchase[[#This Row],[Purchase Rate]]*Purchase[[#This Row],[Qty]]</f>
        <v>604480</v>
      </c>
      <c r="M352" s="140">
        <v>0</v>
      </c>
      <c r="N352" s="143">
        <v>0</v>
      </c>
      <c r="O352" s="140">
        <v>0.18</v>
      </c>
      <c r="P352" s="145">
        <f>(Purchase[[#This Row],[Gross Amount]]-Purchase[[#This Row],[Disct %]])*Purchase[[#This Row],[GST %]]</f>
        <v>108806.39999999999</v>
      </c>
      <c r="Q352" s="145">
        <f>Purchase[[#This Row],[Gross Amount]]-Purchase[[#This Row],[Disct Amnt]]+Purchase[[#This Row],[GST Amount]]</f>
        <v>713286.4</v>
      </c>
      <c r="R352" s="138" t="s">
        <v>1019</v>
      </c>
      <c r="S352" s="41">
        <f>IF(Purchase[[#This Row],[Status]]="Cancelled",0,Purchase[[#This Row],[Qty]])</f>
        <v>32</v>
      </c>
      <c r="T352" s="146">
        <f>IF(Purchase[[#This Row],[Status]]="Cancelled",0,Purchase[[#This Row],[Total Amount]])</f>
        <v>713286.4</v>
      </c>
      <c r="U352" s="146">
        <f>SUM(Purchase[Net Amount])</f>
        <v>814985438.68000126</v>
      </c>
    </row>
    <row r="353" spans="1:21" ht="19.5" thickBot="1" x14ac:dyDescent="0.3">
      <c r="A353" s="136" t="s">
        <v>1383</v>
      </c>
      <c r="B353" s="137">
        <v>45675</v>
      </c>
      <c r="C353" s="138" t="s">
        <v>577</v>
      </c>
      <c r="D353" s="138" t="str">
        <f>VLOOKUP(Purchase[[#This Row],[Supplier ID]],Supplier[#All],2,0)</f>
        <v>National Electronics</v>
      </c>
      <c r="E353" s="138">
        <f>VLOOKUP(Purchase[[#This Row],[Supplier ID]],Supplier[#All],3,0)</f>
        <v>9689542469</v>
      </c>
      <c r="F353" s="138" t="str">
        <f>VLOOKUP(Purchase[[#This Row],[Supplier ID]],Supplier[#All],4,0)</f>
        <v>Korba</v>
      </c>
      <c r="G353" s="138" t="str">
        <f>VLOOKUP(Purchase[[#This Row],[Supplier ID]],Supplier[#All],5,0)</f>
        <v>CG</v>
      </c>
      <c r="H353" s="138" t="str">
        <f>VLOOKUP(Purchase[[#This Row],[Supplier ID]],Supplier[#All],6,0)</f>
        <v>GST2154521T023</v>
      </c>
      <c r="I353" s="138" t="s">
        <v>181</v>
      </c>
      <c r="J353" s="139">
        <v>9</v>
      </c>
      <c r="K353" s="143">
        <f>VLOOKUP(Purchase[[#This Row],[Product ID]],Product[#All],6,0)</f>
        <v>4751</v>
      </c>
      <c r="L353" s="143">
        <f>Purchase[[#This Row],[Purchase Rate]]*Purchase[[#This Row],[Qty]]</f>
        <v>42759</v>
      </c>
      <c r="M353" s="140">
        <v>0</v>
      </c>
      <c r="N353" s="143">
        <v>0</v>
      </c>
      <c r="O353" s="140">
        <v>0.18</v>
      </c>
      <c r="P353" s="145">
        <f>(Purchase[[#This Row],[Gross Amount]]-Purchase[[#This Row],[Disct %]])*Purchase[[#This Row],[GST %]]</f>
        <v>7696.62</v>
      </c>
      <c r="Q353" s="145">
        <f>Purchase[[#This Row],[Gross Amount]]-Purchase[[#This Row],[Disct Amnt]]+Purchase[[#This Row],[GST Amount]]</f>
        <v>50455.62</v>
      </c>
      <c r="R353" s="138" t="s">
        <v>1019</v>
      </c>
      <c r="S353" s="41">
        <f>IF(Purchase[[#This Row],[Status]]="Cancelled",0,Purchase[[#This Row],[Qty]])</f>
        <v>9</v>
      </c>
      <c r="T353" s="146">
        <f>IF(Purchase[[#This Row],[Status]]="Cancelled",0,Purchase[[#This Row],[Total Amount]])</f>
        <v>50455.62</v>
      </c>
      <c r="U353" s="146">
        <f>SUM(Purchase[Net Amount])</f>
        <v>814985438.68000126</v>
      </c>
    </row>
    <row r="354" spans="1:21" ht="19.5" thickBot="1" x14ac:dyDescent="0.3">
      <c r="A354" s="136" t="s">
        <v>1384</v>
      </c>
      <c r="B354" s="137">
        <v>45675</v>
      </c>
      <c r="C354" s="138" t="s">
        <v>582</v>
      </c>
      <c r="D354" s="138" t="str">
        <f>VLOOKUP(Purchase[[#This Row],[Supplier ID]],Supplier[#All],2,0)</f>
        <v>Tech Distributors</v>
      </c>
      <c r="E354" s="138">
        <f>VLOOKUP(Purchase[[#This Row],[Supplier ID]],Supplier[#All],3,0)</f>
        <v>9689542466</v>
      </c>
      <c r="F354" s="138" t="str">
        <f>VLOOKUP(Purchase[[#This Row],[Supplier ID]],Supplier[#All],4,0)</f>
        <v>Indore</v>
      </c>
      <c r="G354" s="138" t="str">
        <f>VLOOKUP(Purchase[[#This Row],[Supplier ID]],Supplier[#All],5,0)</f>
        <v>MP</v>
      </c>
      <c r="H354" s="138" t="str">
        <f>VLOOKUP(Purchase[[#This Row],[Supplier ID]],Supplier[#All],6,0)</f>
        <v>GST2154521T028</v>
      </c>
      <c r="I354" s="138" t="s">
        <v>98</v>
      </c>
      <c r="J354" s="139">
        <v>37</v>
      </c>
      <c r="K354" s="143">
        <f>VLOOKUP(Purchase[[#This Row],[Product ID]],Product[#All],6,0)</f>
        <v>1125</v>
      </c>
      <c r="L354" s="143">
        <f>Purchase[[#This Row],[Purchase Rate]]*Purchase[[#This Row],[Qty]]</f>
        <v>41625</v>
      </c>
      <c r="M354" s="140">
        <v>0</v>
      </c>
      <c r="N354" s="143">
        <v>0</v>
      </c>
      <c r="O354" s="140">
        <v>0.18</v>
      </c>
      <c r="P354" s="145">
        <f>(Purchase[[#This Row],[Gross Amount]]-Purchase[[#This Row],[Disct %]])*Purchase[[#This Row],[GST %]]</f>
        <v>7492.5</v>
      </c>
      <c r="Q354" s="145">
        <f>Purchase[[#This Row],[Gross Amount]]-Purchase[[#This Row],[Disct Amnt]]+Purchase[[#This Row],[GST Amount]]</f>
        <v>49117.5</v>
      </c>
      <c r="R354" s="138" t="s">
        <v>1019</v>
      </c>
      <c r="S354" s="41">
        <f>IF(Purchase[[#This Row],[Status]]="Cancelled",0,Purchase[[#This Row],[Qty]])</f>
        <v>37</v>
      </c>
      <c r="T354" s="146">
        <f>IF(Purchase[[#This Row],[Status]]="Cancelled",0,Purchase[[#This Row],[Total Amount]])</f>
        <v>49117.5</v>
      </c>
      <c r="U354" s="146">
        <f>SUM(Purchase[Net Amount])</f>
        <v>814985438.68000126</v>
      </c>
    </row>
    <row r="355" spans="1:21" ht="19.5" thickBot="1" x14ac:dyDescent="0.3">
      <c r="A355" s="136" t="s">
        <v>1385</v>
      </c>
      <c r="B355" s="137">
        <v>45676</v>
      </c>
      <c r="C355" s="138" t="s">
        <v>1178</v>
      </c>
      <c r="D355" s="138" t="str">
        <f>VLOOKUP(Purchase[[#This Row],[Supplier ID]],Supplier[#All],2,0)</f>
        <v>Tech Electronics</v>
      </c>
      <c r="E355" s="138">
        <f>VLOOKUP(Purchase[[#This Row],[Supplier ID]],Supplier[#All],3,0)</f>
        <v>9689542455</v>
      </c>
      <c r="F355" s="138" t="str">
        <f>VLOOKUP(Purchase[[#This Row],[Supplier ID]],Supplier[#All],4,0)</f>
        <v>Korba</v>
      </c>
      <c r="G355" s="138" t="str">
        <f>VLOOKUP(Purchase[[#This Row],[Supplier ID]],Supplier[#All],5,0)</f>
        <v>CG</v>
      </c>
      <c r="H355" s="138" t="str">
        <f>VLOOKUP(Purchase[[#This Row],[Supplier ID]],Supplier[#All],6,0)</f>
        <v>GST2154521T017</v>
      </c>
      <c r="I355" s="138" t="s">
        <v>359</v>
      </c>
      <c r="J355" s="139">
        <v>2</v>
      </c>
      <c r="K355" s="143">
        <f>VLOOKUP(Purchase[[#This Row],[Product ID]],Product[#All],6,0)</f>
        <v>922</v>
      </c>
      <c r="L355" s="143">
        <f>Purchase[[#This Row],[Purchase Rate]]*Purchase[[#This Row],[Qty]]</f>
        <v>1844</v>
      </c>
      <c r="M355" s="140">
        <v>0</v>
      </c>
      <c r="N355" s="143">
        <v>0</v>
      </c>
      <c r="O355" s="140">
        <v>0.18</v>
      </c>
      <c r="P355" s="145">
        <f>(Purchase[[#This Row],[Gross Amount]]-Purchase[[#This Row],[Disct %]])*Purchase[[#This Row],[GST %]]</f>
        <v>331.92</v>
      </c>
      <c r="Q355" s="145">
        <f>Purchase[[#This Row],[Gross Amount]]-Purchase[[#This Row],[Disct Amnt]]+Purchase[[#This Row],[GST Amount]]</f>
        <v>2175.92</v>
      </c>
      <c r="R355" s="138" t="s">
        <v>1019</v>
      </c>
      <c r="S355" s="41">
        <f>IF(Purchase[[#This Row],[Status]]="Cancelled",0,Purchase[[#This Row],[Qty]])</f>
        <v>2</v>
      </c>
      <c r="T355" s="146">
        <f>IF(Purchase[[#This Row],[Status]]="Cancelled",0,Purchase[[#This Row],[Total Amount]])</f>
        <v>2175.92</v>
      </c>
      <c r="U355" s="146">
        <f>SUM(Purchase[Net Amount])</f>
        <v>814985438.68000126</v>
      </c>
    </row>
    <row r="356" spans="1:21" ht="19.5" thickBot="1" x14ac:dyDescent="0.3">
      <c r="A356" s="136" t="s">
        <v>1386</v>
      </c>
      <c r="B356" s="137">
        <v>45676</v>
      </c>
      <c r="C356" s="138" t="s">
        <v>564</v>
      </c>
      <c r="D356" s="138" t="str">
        <f>VLOOKUP(Purchase[[#This Row],[Supplier ID]],Supplier[#All],2,0)</f>
        <v xml:space="preserve">Star Electronics </v>
      </c>
      <c r="E356" s="138">
        <f>VLOOKUP(Purchase[[#This Row],[Supplier ID]],Supplier[#All],3,0)</f>
        <v>9689542450</v>
      </c>
      <c r="F356" s="138" t="str">
        <f>VLOOKUP(Purchase[[#This Row],[Supplier ID]],Supplier[#All],4,0)</f>
        <v>Korba</v>
      </c>
      <c r="G356" s="138" t="str">
        <f>VLOOKUP(Purchase[[#This Row],[Supplier ID]],Supplier[#All],5,0)</f>
        <v>CG</v>
      </c>
      <c r="H356" s="138" t="str">
        <f>VLOOKUP(Purchase[[#This Row],[Supplier ID]],Supplier[#All],6,0)</f>
        <v>GST2154521T012</v>
      </c>
      <c r="I356" s="138" t="s">
        <v>52</v>
      </c>
      <c r="J356" s="139">
        <v>29</v>
      </c>
      <c r="K356" s="143">
        <f>VLOOKUP(Purchase[[#This Row],[Product ID]],Product[#All],6,0)</f>
        <v>3643</v>
      </c>
      <c r="L356" s="143">
        <f>Purchase[[#This Row],[Purchase Rate]]*Purchase[[#This Row],[Qty]]</f>
        <v>105647</v>
      </c>
      <c r="M356" s="140">
        <v>0</v>
      </c>
      <c r="N356" s="143">
        <v>0</v>
      </c>
      <c r="O356" s="140">
        <v>0.18</v>
      </c>
      <c r="P356" s="145">
        <f>(Purchase[[#This Row],[Gross Amount]]-Purchase[[#This Row],[Disct %]])*Purchase[[#This Row],[GST %]]</f>
        <v>19016.46</v>
      </c>
      <c r="Q356" s="145">
        <f>Purchase[[#This Row],[Gross Amount]]-Purchase[[#This Row],[Disct Amnt]]+Purchase[[#This Row],[GST Amount]]</f>
        <v>124663.45999999999</v>
      </c>
      <c r="R356" s="138" t="s">
        <v>1019</v>
      </c>
      <c r="S356" s="41">
        <f>IF(Purchase[[#This Row],[Status]]="Cancelled",0,Purchase[[#This Row],[Qty]])</f>
        <v>29</v>
      </c>
      <c r="T356" s="146">
        <f>IF(Purchase[[#This Row],[Status]]="Cancelled",0,Purchase[[#This Row],[Total Amount]])</f>
        <v>124663.45999999999</v>
      </c>
      <c r="U356" s="146">
        <f>SUM(Purchase[Net Amount])</f>
        <v>814985438.68000126</v>
      </c>
    </row>
    <row r="357" spans="1:21" ht="19.5" thickBot="1" x14ac:dyDescent="0.3">
      <c r="A357" s="136" t="s">
        <v>1387</v>
      </c>
      <c r="B357" s="137">
        <v>45676</v>
      </c>
      <c r="C357" s="138" t="s">
        <v>566</v>
      </c>
      <c r="D357" s="138" t="str">
        <f>VLOOKUP(Purchase[[#This Row],[Supplier ID]],Supplier[#All],2,0)</f>
        <v>Maa Computers</v>
      </c>
      <c r="E357" s="138">
        <f>VLOOKUP(Purchase[[#This Row],[Supplier ID]],Supplier[#All],3,0)</f>
        <v>9689542452</v>
      </c>
      <c r="F357" s="138" t="str">
        <f>VLOOKUP(Purchase[[#This Row],[Supplier ID]],Supplier[#All],4,0)</f>
        <v>Kanpur</v>
      </c>
      <c r="G357" s="138" t="str">
        <f>VLOOKUP(Purchase[[#This Row],[Supplier ID]],Supplier[#All],5,0)</f>
        <v>UP</v>
      </c>
      <c r="H357" s="138" t="str">
        <f>VLOOKUP(Purchase[[#This Row],[Supplier ID]],Supplier[#All],6,0)</f>
        <v>GST2154521T014</v>
      </c>
      <c r="I357" s="138" t="s">
        <v>486</v>
      </c>
      <c r="J357" s="139">
        <v>4</v>
      </c>
      <c r="K357" s="143">
        <f>VLOOKUP(Purchase[[#This Row],[Product ID]],Product[#All],6,0)</f>
        <v>1345</v>
      </c>
      <c r="L357" s="143">
        <f>Purchase[[#This Row],[Purchase Rate]]*Purchase[[#This Row],[Qty]]</f>
        <v>5380</v>
      </c>
      <c r="M357" s="140">
        <v>0</v>
      </c>
      <c r="N357" s="143">
        <v>0</v>
      </c>
      <c r="O357" s="140">
        <v>0.18</v>
      </c>
      <c r="P357" s="145">
        <f>(Purchase[[#This Row],[Gross Amount]]-Purchase[[#This Row],[Disct %]])*Purchase[[#This Row],[GST %]]</f>
        <v>968.4</v>
      </c>
      <c r="Q357" s="145">
        <f>Purchase[[#This Row],[Gross Amount]]-Purchase[[#This Row],[Disct Amnt]]+Purchase[[#This Row],[GST Amount]]</f>
        <v>6348.4</v>
      </c>
      <c r="R357" s="138" t="s">
        <v>1019</v>
      </c>
      <c r="S357" s="41">
        <f>IF(Purchase[[#This Row],[Status]]="Cancelled",0,Purchase[[#This Row],[Qty]])</f>
        <v>4</v>
      </c>
      <c r="T357" s="146">
        <f>IF(Purchase[[#This Row],[Status]]="Cancelled",0,Purchase[[#This Row],[Total Amount]])</f>
        <v>6348.4</v>
      </c>
      <c r="U357" s="146">
        <f>SUM(Purchase[Net Amount])</f>
        <v>814985438.68000126</v>
      </c>
    </row>
    <row r="358" spans="1:21" ht="19.5" thickBot="1" x14ac:dyDescent="0.3">
      <c r="A358" s="136" t="s">
        <v>1388</v>
      </c>
      <c r="B358" s="137">
        <v>45676</v>
      </c>
      <c r="C358" s="138" t="s">
        <v>1451</v>
      </c>
      <c r="D358" s="138" t="str">
        <f>VLOOKUP(Purchase[[#This Row],[Supplier ID]],Supplier[#All],2,0)</f>
        <v>Global Suppliers</v>
      </c>
      <c r="E358" s="138">
        <f>VLOOKUP(Purchase[[#This Row],[Supplier ID]],Supplier[#All],3,0)</f>
        <v>9689542499</v>
      </c>
      <c r="F358" s="138" t="str">
        <f>VLOOKUP(Purchase[[#This Row],[Supplier ID]],Supplier[#All],4,0)</f>
        <v>Korba</v>
      </c>
      <c r="G358" s="138" t="str">
        <f>VLOOKUP(Purchase[[#This Row],[Supplier ID]],Supplier[#All],5,0)</f>
        <v>CG</v>
      </c>
      <c r="H358" s="138" t="str">
        <f>VLOOKUP(Purchase[[#This Row],[Supplier ID]],Supplier[#All],6,0)</f>
        <v>GST2154521T053</v>
      </c>
      <c r="I358" s="138" t="s">
        <v>496</v>
      </c>
      <c r="J358" s="139">
        <v>30</v>
      </c>
      <c r="K358" s="143">
        <f>VLOOKUP(Purchase[[#This Row],[Product ID]],Product[#All],6,0)</f>
        <v>1731</v>
      </c>
      <c r="L358" s="143">
        <f>Purchase[[#This Row],[Purchase Rate]]*Purchase[[#This Row],[Qty]]</f>
        <v>51930</v>
      </c>
      <c r="M358" s="140">
        <v>0</v>
      </c>
      <c r="N358" s="143">
        <v>0</v>
      </c>
      <c r="O358" s="140">
        <v>0.18</v>
      </c>
      <c r="P358" s="145">
        <f>(Purchase[[#This Row],[Gross Amount]]-Purchase[[#This Row],[Disct %]])*Purchase[[#This Row],[GST %]]</f>
        <v>9347.4</v>
      </c>
      <c r="Q358" s="145">
        <f>Purchase[[#This Row],[Gross Amount]]-Purchase[[#This Row],[Disct Amnt]]+Purchase[[#This Row],[GST Amount]]</f>
        <v>61277.4</v>
      </c>
      <c r="R358" s="138" t="s">
        <v>1019</v>
      </c>
      <c r="S358" s="41">
        <f>IF(Purchase[[#This Row],[Status]]="Cancelled",0,Purchase[[#This Row],[Qty]])</f>
        <v>30</v>
      </c>
      <c r="T358" s="146">
        <f>IF(Purchase[[#This Row],[Status]]="Cancelled",0,Purchase[[#This Row],[Total Amount]])</f>
        <v>61277.4</v>
      </c>
      <c r="U358" s="146">
        <f>SUM(Purchase[Net Amount])</f>
        <v>814985438.68000126</v>
      </c>
    </row>
    <row r="359" spans="1:21" ht="19.5" thickBot="1" x14ac:dyDescent="0.3">
      <c r="A359" s="136" t="s">
        <v>1389</v>
      </c>
      <c r="B359" s="137">
        <v>45676</v>
      </c>
      <c r="C359" s="138" t="s">
        <v>576</v>
      </c>
      <c r="D359" s="138" t="str">
        <f>VLOOKUP(Purchase[[#This Row],[Supplier ID]],Supplier[#All],2,0)</f>
        <v>Maa Distributors</v>
      </c>
      <c r="E359" s="138">
        <f>VLOOKUP(Purchase[[#This Row],[Supplier ID]],Supplier[#All],3,0)</f>
        <v>9689542460</v>
      </c>
      <c r="F359" s="138" t="str">
        <f>VLOOKUP(Purchase[[#This Row],[Supplier ID]],Supplier[#All],4,0)</f>
        <v>Korba</v>
      </c>
      <c r="G359" s="138" t="str">
        <f>VLOOKUP(Purchase[[#This Row],[Supplier ID]],Supplier[#All],5,0)</f>
        <v>CG</v>
      </c>
      <c r="H359" s="138" t="str">
        <f>VLOOKUP(Purchase[[#This Row],[Supplier ID]],Supplier[#All],6,0)</f>
        <v>GST2154521T022</v>
      </c>
      <c r="I359" s="138" t="s">
        <v>365</v>
      </c>
      <c r="J359" s="139">
        <v>16</v>
      </c>
      <c r="K359" s="143">
        <f>VLOOKUP(Purchase[[#This Row],[Product ID]],Product[#All],6,0)</f>
        <v>1653</v>
      </c>
      <c r="L359" s="143">
        <f>Purchase[[#This Row],[Purchase Rate]]*Purchase[[#This Row],[Qty]]</f>
        <v>26448</v>
      </c>
      <c r="M359" s="140">
        <v>0</v>
      </c>
      <c r="N359" s="143">
        <v>0</v>
      </c>
      <c r="O359" s="140">
        <v>0.18</v>
      </c>
      <c r="P359" s="145">
        <f>(Purchase[[#This Row],[Gross Amount]]-Purchase[[#This Row],[Disct %]])*Purchase[[#This Row],[GST %]]</f>
        <v>4760.6399999999994</v>
      </c>
      <c r="Q359" s="145">
        <f>Purchase[[#This Row],[Gross Amount]]-Purchase[[#This Row],[Disct Amnt]]+Purchase[[#This Row],[GST Amount]]</f>
        <v>31208.639999999999</v>
      </c>
      <c r="R359" s="138" t="s">
        <v>1019</v>
      </c>
      <c r="S359" s="41">
        <f>IF(Purchase[[#This Row],[Status]]="Cancelled",0,Purchase[[#This Row],[Qty]])</f>
        <v>16</v>
      </c>
      <c r="T359" s="146">
        <f>IF(Purchase[[#This Row],[Status]]="Cancelled",0,Purchase[[#This Row],[Total Amount]])</f>
        <v>31208.639999999999</v>
      </c>
      <c r="U359" s="146">
        <f>SUM(Purchase[Net Amount])</f>
        <v>814985438.68000126</v>
      </c>
    </row>
    <row r="360" spans="1:21" ht="19.5" thickBot="1" x14ac:dyDescent="0.3">
      <c r="A360" s="136" t="s">
        <v>1390</v>
      </c>
      <c r="B360" s="137">
        <v>45676</v>
      </c>
      <c r="C360" s="138" t="s">
        <v>579</v>
      </c>
      <c r="D360" s="138" t="str">
        <f>VLOOKUP(Purchase[[#This Row],[Supplier ID]],Supplier[#All],2,0)</f>
        <v>Tech Traders</v>
      </c>
      <c r="E360" s="138">
        <f>VLOOKUP(Purchase[[#This Row],[Supplier ID]],Supplier[#All],3,0)</f>
        <v>9689542463</v>
      </c>
      <c r="F360" s="138" t="str">
        <f>VLOOKUP(Purchase[[#This Row],[Supplier ID]],Supplier[#All],4,0)</f>
        <v>Kanpur</v>
      </c>
      <c r="G360" s="138" t="str">
        <f>VLOOKUP(Purchase[[#This Row],[Supplier ID]],Supplier[#All],5,0)</f>
        <v>UP</v>
      </c>
      <c r="H360" s="138" t="str">
        <f>VLOOKUP(Purchase[[#This Row],[Supplier ID]],Supplier[#All],6,0)</f>
        <v>GST2154521T025</v>
      </c>
      <c r="I360" s="138" t="s">
        <v>98</v>
      </c>
      <c r="J360" s="139">
        <v>13</v>
      </c>
      <c r="K360" s="143">
        <f>VLOOKUP(Purchase[[#This Row],[Product ID]],Product[#All],6,0)</f>
        <v>1125</v>
      </c>
      <c r="L360" s="143">
        <f>Purchase[[#This Row],[Purchase Rate]]*Purchase[[#This Row],[Qty]]</f>
        <v>14625</v>
      </c>
      <c r="M360" s="140">
        <v>0</v>
      </c>
      <c r="N360" s="143">
        <v>0</v>
      </c>
      <c r="O360" s="140">
        <v>0.18</v>
      </c>
      <c r="P360" s="145">
        <f>(Purchase[[#This Row],[Gross Amount]]-Purchase[[#This Row],[Disct %]])*Purchase[[#This Row],[GST %]]</f>
        <v>2632.5</v>
      </c>
      <c r="Q360" s="145">
        <f>Purchase[[#This Row],[Gross Amount]]-Purchase[[#This Row],[Disct Amnt]]+Purchase[[#This Row],[GST Amount]]</f>
        <v>17257.5</v>
      </c>
      <c r="R360" s="138" t="s">
        <v>1019</v>
      </c>
      <c r="S360" s="41">
        <f>IF(Purchase[[#This Row],[Status]]="Cancelled",0,Purchase[[#This Row],[Qty]])</f>
        <v>13</v>
      </c>
      <c r="T360" s="146">
        <f>IF(Purchase[[#This Row],[Status]]="Cancelled",0,Purchase[[#This Row],[Total Amount]])</f>
        <v>17257.5</v>
      </c>
      <c r="U360" s="146">
        <f>SUM(Purchase[Net Amount])</f>
        <v>814985438.68000126</v>
      </c>
    </row>
    <row r="361" spans="1:21" ht="19.5" thickBot="1" x14ac:dyDescent="0.3">
      <c r="A361" s="136" t="s">
        <v>1391</v>
      </c>
      <c r="B361" s="137">
        <v>45676</v>
      </c>
      <c r="C361" s="138" t="s">
        <v>594</v>
      </c>
      <c r="D361" s="138" t="str">
        <f>VLOOKUP(Purchase[[#This Row],[Supplier ID]],Supplier[#All],2,0)</f>
        <v>Shree Suppliers</v>
      </c>
      <c r="E361" s="138">
        <f>VLOOKUP(Purchase[[#This Row],[Supplier ID]],Supplier[#All],3,0)</f>
        <v>9689542477</v>
      </c>
      <c r="F361" s="138" t="str">
        <f>VLOOKUP(Purchase[[#This Row],[Supplier ID]],Supplier[#All],4,0)</f>
        <v>Indore</v>
      </c>
      <c r="G361" s="138" t="str">
        <f>VLOOKUP(Purchase[[#This Row],[Supplier ID]],Supplier[#All],5,0)</f>
        <v>MP</v>
      </c>
      <c r="H361" s="138" t="str">
        <f>VLOOKUP(Purchase[[#This Row],[Supplier ID]],Supplier[#All],6,0)</f>
        <v>GST2154521T039</v>
      </c>
      <c r="I361" s="138" t="s">
        <v>398</v>
      </c>
      <c r="J361" s="139">
        <v>30</v>
      </c>
      <c r="K361" s="143">
        <f>VLOOKUP(Purchase[[#This Row],[Product ID]],Product[#All],6,0)</f>
        <v>4825</v>
      </c>
      <c r="L361" s="143">
        <f>Purchase[[#This Row],[Purchase Rate]]*Purchase[[#This Row],[Qty]]</f>
        <v>144750</v>
      </c>
      <c r="M361" s="140">
        <v>0</v>
      </c>
      <c r="N361" s="143">
        <v>0</v>
      </c>
      <c r="O361" s="140">
        <v>0.18</v>
      </c>
      <c r="P361" s="145">
        <f>(Purchase[[#This Row],[Gross Amount]]-Purchase[[#This Row],[Disct %]])*Purchase[[#This Row],[GST %]]</f>
        <v>26055</v>
      </c>
      <c r="Q361" s="145">
        <f>Purchase[[#This Row],[Gross Amount]]-Purchase[[#This Row],[Disct Amnt]]+Purchase[[#This Row],[GST Amount]]</f>
        <v>170805</v>
      </c>
      <c r="R361" s="138" t="s">
        <v>1019</v>
      </c>
      <c r="S361" s="41">
        <f>IF(Purchase[[#This Row],[Status]]="Cancelled",0,Purchase[[#This Row],[Qty]])</f>
        <v>30</v>
      </c>
      <c r="T361" s="146">
        <f>IF(Purchase[[#This Row],[Status]]="Cancelled",0,Purchase[[#This Row],[Total Amount]])</f>
        <v>170805</v>
      </c>
      <c r="U361" s="146">
        <f>SUM(Purchase[Net Amount])</f>
        <v>814985438.68000126</v>
      </c>
    </row>
    <row r="362" spans="1:21" ht="19.5" thickBot="1" x14ac:dyDescent="0.3">
      <c r="A362" s="136" t="s">
        <v>1392</v>
      </c>
      <c r="B362" s="137">
        <v>45676</v>
      </c>
      <c r="C362" s="138" t="s">
        <v>570</v>
      </c>
      <c r="D362" s="138" t="str">
        <f>VLOOKUP(Purchase[[#This Row],[Supplier ID]],Supplier[#All],2,0)</f>
        <v>Prime Traders</v>
      </c>
      <c r="E362" s="138">
        <f>VLOOKUP(Purchase[[#This Row],[Supplier ID]],Supplier[#All],3,0)</f>
        <v>9689542456</v>
      </c>
      <c r="F362" s="138" t="str">
        <f>VLOOKUP(Purchase[[#This Row],[Supplier ID]],Supplier[#All],4,0)</f>
        <v>Indore</v>
      </c>
      <c r="G362" s="138" t="str">
        <f>VLOOKUP(Purchase[[#This Row],[Supplier ID]],Supplier[#All],5,0)</f>
        <v>MP</v>
      </c>
      <c r="H362" s="138" t="str">
        <f>VLOOKUP(Purchase[[#This Row],[Supplier ID]],Supplier[#All],6,0)</f>
        <v>GST2154521T018</v>
      </c>
      <c r="I362" s="138" t="s">
        <v>406</v>
      </c>
      <c r="J362" s="139">
        <v>8</v>
      </c>
      <c r="K362" s="143">
        <f>VLOOKUP(Purchase[[#This Row],[Product ID]],Product[#All],6,0)</f>
        <v>1517</v>
      </c>
      <c r="L362" s="143">
        <f>Purchase[[#This Row],[Purchase Rate]]*Purchase[[#This Row],[Qty]]</f>
        <v>12136</v>
      </c>
      <c r="M362" s="140">
        <v>0</v>
      </c>
      <c r="N362" s="143">
        <v>0</v>
      </c>
      <c r="O362" s="140">
        <v>0.18</v>
      </c>
      <c r="P362" s="145">
        <f>(Purchase[[#This Row],[Gross Amount]]-Purchase[[#This Row],[Disct %]])*Purchase[[#This Row],[GST %]]</f>
        <v>2184.48</v>
      </c>
      <c r="Q362" s="145">
        <f>Purchase[[#This Row],[Gross Amount]]-Purchase[[#This Row],[Disct Amnt]]+Purchase[[#This Row],[GST Amount]]</f>
        <v>14320.48</v>
      </c>
      <c r="R362" s="138" t="s">
        <v>1019</v>
      </c>
      <c r="S362" s="41">
        <f>IF(Purchase[[#This Row],[Status]]="Cancelled",0,Purchase[[#This Row],[Qty]])</f>
        <v>8</v>
      </c>
      <c r="T362" s="146">
        <f>IF(Purchase[[#This Row],[Status]]="Cancelled",0,Purchase[[#This Row],[Total Amount]])</f>
        <v>14320.48</v>
      </c>
      <c r="U362" s="146">
        <f>SUM(Purchase[Net Amount])</f>
        <v>814985438.68000126</v>
      </c>
    </row>
    <row r="363" spans="1:21" ht="19.5" thickBot="1" x14ac:dyDescent="0.3">
      <c r="A363" s="136" t="s">
        <v>1393</v>
      </c>
      <c r="B363" s="137">
        <v>45676</v>
      </c>
      <c r="C363" s="138" t="s">
        <v>616</v>
      </c>
      <c r="D363" s="138" t="str">
        <f>VLOOKUP(Purchase[[#This Row],[Supplier ID]],Supplier[#All],2,0)</f>
        <v>Global Suppliers</v>
      </c>
      <c r="E363" s="138">
        <f>VLOOKUP(Purchase[[#This Row],[Supplier ID]],Supplier[#All],3,0)</f>
        <v>9689542499</v>
      </c>
      <c r="F363" s="138" t="str">
        <f>VLOOKUP(Purchase[[#This Row],[Supplier ID]],Supplier[#All],4,0)</f>
        <v>Kanpur</v>
      </c>
      <c r="G363" s="138" t="str">
        <f>VLOOKUP(Purchase[[#This Row],[Supplier ID]],Supplier[#All],5,0)</f>
        <v>UP</v>
      </c>
      <c r="H363" s="138" t="str">
        <f>VLOOKUP(Purchase[[#This Row],[Supplier ID]],Supplier[#All],6,0)</f>
        <v>GST2154521T061</v>
      </c>
      <c r="I363" s="138" t="s">
        <v>411</v>
      </c>
      <c r="J363" s="139">
        <v>11</v>
      </c>
      <c r="K363" s="143">
        <f>VLOOKUP(Purchase[[#This Row],[Product ID]],Product[#All],6,0)</f>
        <v>2088</v>
      </c>
      <c r="L363" s="143">
        <f>Purchase[[#This Row],[Purchase Rate]]*Purchase[[#This Row],[Qty]]</f>
        <v>22968</v>
      </c>
      <c r="M363" s="140">
        <v>0</v>
      </c>
      <c r="N363" s="143">
        <v>0</v>
      </c>
      <c r="O363" s="140">
        <v>0.18</v>
      </c>
      <c r="P363" s="145">
        <f>(Purchase[[#This Row],[Gross Amount]]-Purchase[[#This Row],[Disct %]])*Purchase[[#This Row],[GST %]]</f>
        <v>4134.24</v>
      </c>
      <c r="Q363" s="145">
        <f>Purchase[[#This Row],[Gross Amount]]-Purchase[[#This Row],[Disct Amnt]]+Purchase[[#This Row],[GST Amount]]</f>
        <v>27102.239999999998</v>
      </c>
      <c r="R363" s="138" t="s">
        <v>1019</v>
      </c>
      <c r="S363" s="41">
        <f>IF(Purchase[[#This Row],[Status]]="Cancelled",0,Purchase[[#This Row],[Qty]])</f>
        <v>11</v>
      </c>
      <c r="T363" s="146">
        <f>IF(Purchase[[#This Row],[Status]]="Cancelled",0,Purchase[[#This Row],[Total Amount]])</f>
        <v>27102.239999999998</v>
      </c>
      <c r="U363" s="146">
        <f>SUM(Purchase[Net Amount])</f>
        <v>814985438.68000126</v>
      </c>
    </row>
    <row r="364" spans="1:21" ht="19.5" thickBot="1" x14ac:dyDescent="0.3">
      <c r="A364" s="136" t="s">
        <v>1394</v>
      </c>
      <c r="B364" s="137">
        <v>45676</v>
      </c>
      <c r="C364" s="138" t="s">
        <v>566</v>
      </c>
      <c r="D364" s="138" t="str">
        <f>VLOOKUP(Purchase[[#This Row],[Supplier ID]],Supplier[#All],2,0)</f>
        <v>Maa Computers</v>
      </c>
      <c r="E364" s="138">
        <f>VLOOKUP(Purchase[[#This Row],[Supplier ID]],Supplier[#All],3,0)</f>
        <v>9689542452</v>
      </c>
      <c r="F364" s="138" t="str">
        <f>VLOOKUP(Purchase[[#This Row],[Supplier ID]],Supplier[#All],4,0)</f>
        <v>Kanpur</v>
      </c>
      <c r="G364" s="138" t="str">
        <f>VLOOKUP(Purchase[[#This Row],[Supplier ID]],Supplier[#All],5,0)</f>
        <v>UP</v>
      </c>
      <c r="H364" s="138" t="str">
        <f>VLOOKUP(Purchase[[#This Row],[Supplier ID]],Supplier[#All],6,0)</f>
        <v>GST2154521T014</v>
      </c>
      <c r="I364" s="138" t="s">
        <v>476</v>
      </c>
      <c r="J364" s="139">
        <v>9</v>
      </c>
      <c r="K364" s="143">
        <f>VLOOKUP(Purchase[[#This Row],[Product ID]],Product[#All],6,0)</f>
        <v>552</v>
      </c>
      <c r="L364" s="143">
        <f>Purchase[[#This Row],[Purchase Rate]]*Purchase[[#This Row],[Qty]]</f>
        <v>4968</v>
      </c>
      <c r="M364" s="140">
        <v>0</v>
      </c>
      <c r="N364" s="143">
        <v>0</v>
      </c>
      <c r="O364" s="140">
        <v>0.18</v>
      </c>
      <c r="P364" s="145">
        <f>(Purchase[[#This Row],[Gross Amount]]-Purchase[[#This Row],[Disct %]])*Purchase[[#This Row],[GST %]]</f>
        <v>894.24</v>
      </c>
      <c r="Q364" s="145">
        <f>Purchase[[#This Row],[Gross Amount]]-Purchase[[#This Row],[Disct Amnt]]+Purchase[[#This Row],[GST Amount]]</f>
        <v>5862.24</v>
      </c>
      <c r="R364" s="138" t="s">
        <v>1019</v>
      </c>
      <c r="S364" s="41">
        <f>IF(Purchase[[#This Row],[Status]]="Cancelled",0,Purchase[[#This Row],[Qty]])</f>
        <v>9</v>
      </c>
      <c r="T364" s="146">
        <f>IF(Purchase[[#This Row],[Status]]="Cancelled",0,Purchase[[#This Row],[Total Amount]])</f>
        <v>5862.24</v>
      </c>
      <c r="U364" s="146">
        <f>SUM(Purchase[Net Amount])</f>
        <v>814985438.68000126</v>
      </c>
    </row>
    <row r="365" spans="1:21" ht="19.5" thickBot="1" x14ac:dyDescent="0.3">
      <c r="A365" s="136" t="s">
        <v>1395</v>
      </c>
      <c r="B365" s="137">
        <v>45676</v>
      </c>
      <c r="C365" s="138" t="s">
        <v>593</v>
      </c>
      <c r="D365" s="138" t="str">
        <f>VLOOKUP(Purchase[[#This Row],[Supplier ID]],Supplier[#All],2,0)</f>
        <v>Global Suppliers</v>
      </c>
      <c r="E365" s="138">
        <f>VLOOKUP(Purchase[[#This Row],[Supplier ID]],Supplier[#All],3,0)</f>
        <v>9689542476</v>
      </c>
      <c r="F365" s="138" t="str">
        <f>VLOOKUP(Purchase[[#This Row],[Supplier ID]],Supplier[#All],4,0)</f>
        <v>Korba</v>
      </c>
      <c r="G365" s="138" t="str">
        <f>VLOOKUP(Purchase[[#This Row],[Supplier ID]],Supplier[#All],5,0)</f>
        <v>CG</v>
      </c>
      <c r="H365" s="138" t="str">
        <f>VLOOKUP(Purchase[[#This Row],[Supplier ID]],Supplier[#All],6,0)</f>
        <v>GST2154521T038</v>
      </c>
      <c r="I365" s="138" t="s">
        <v>318</v>
      </c>
      <c r="J365" s="139">
        <v>8</v>
      </c>
      <c r="K365" s="143">
        <f>VLOOKUP(Purchase[[#This Row],[Product ID]],Product[#All],6,0)</f>
        <v>24445</v>
      </c>
      <c r="L365" s="143">
        <f>Purchase[[#This Row],[Purchase Rate]]*Purchase[[#This Row],[Qty]]</f>
        <v>195560</v>
      </c>
      <c r="M365" s="140">
        <v>0</v>
      </c>
      <c r="N365" s="143">
        <v>0</v>
      </c>
      <c r="O365" s="140">
        <v>0.18</v>
      </c>
      <c r="P365" s="145">
        <f>(Purchase[[#This Row],[Gross Amount]]-Purchase[[#This Row],[Disct %]])*Purchase[[#This Row],[GST %]]</f>
        <v>35200.799999999996</v>
      </c>
      <c r="Q365" s="145">
        <f>Purchase[[#This Row],[Gross Amount]]-Purchase[[#This Row],[Disct Amnt]]+Purchase[[#This Row],[GST Amount]]</f>
        <v>230760.8</v>
      </c>
      <c r="R365" s="138" t="s">
        <v>1019</v>
      </c>
      <c r="S365" s="41">
        <f>IF(Purchase[[#This Row],[Status]]="Cancelled",0,Purchase[[#This Row],[Qty]])</f>
        <v>8</v>
      </c>
      <c r="T365" s="146">
        <f>IF(Purchase[[#This Row],[Status]]="Cancelled",0,Purchase[[#This Row],[Total Amount]])</f>
        <v>230760.8</v>
      </c>
      <c r="U365" s="146">
        <f>SUM(Purchase[Net Amount])</f>
        <v>814985438.68000126</v>
      </c>
    </row>
    <row r="366" spans="1:21" ht="19.5" thickBot="1" x14ac:dyDescent="0.3">
      <c r="A366" s="136" t="s">
        <v>1396</v>
      </c>
      <c r="B366" s="137">
        <v>45676</v>
      </c>
      <c r="C366" s="138" t="s">
        <v>578</v>
      </c>
      <c r="D366" s="138" t="str">
        <f>VLOOKUP(Purchase[[#This Row],[Supplier ID]],Supplier[#All],2,0)</f>
        <v>Shree Computers</v>
      </c>
      <c r="E366" s="138">
        <f>VLOOKUP(Purchase[[#This Row],[Supplier ID]],Supplier[#All],3,0)</f>
        <v>9689542462</v>
      </c>
      <c r="F366" s="138" t="str">
        <f>VLOOKUP(Purchase[[#This Row],[Supplier ID]],Supplier[#All],4,0)</f>
        <v>Korba</v>
      </c>
      <c r="G366" s="138" t="str">
        <f>VLOOKUP(Purchase[[#This Row],[Supplier ID]],Supplier[#All],5,0)</f>
        <v>CG</v>
      </c>
      <c r="H366" s="138" t="str">
        <f>VLOOKUP(Purchase[[#This Row],[Supplier ID]],Supplier[#All],6,0)</f>
        <v>GST2154521T024</v>
      </c>
      <c r="I366" s="138" t="s">
        <v>293</v>
      </c>
      <c r="J366" s="139">
        <v>30</v>
      </c>
      <c r="K366" s="143">
        <f>VLOOKUP(Purchase[[#This Row],[Product ID]],Product[#All],6,0)</f>
        <v>7511</v>
      </c>
      <c r="L366" s="143">
        <f>Purchase[[#This Row],[Purchase Rate]]*Purchase[[#This Row],[Qty]]</f>
        <v>225330</v>
      </c>
      <c r="M366" s="140">
        <v>0</v>
      </c>
      <c r="N366" s="143">
        <v>0</v>
      </c>
      <c r="O366" s="140">
        <v>0.18</v>
      </c>
      <c r="P366" s="145">
        <f>(Purchase[[#This Row],[Gross Amount]]-Purchase[[#This Row],[Disct %]])*Purchase[[#This Row],[GST %]]</f>
        <v>40559.4</v>
      </c>
      <c r="Q366" s="145">
        <f>Purchase[[#This Row],[Gross Amount]]-Purchase[[#This Row],[Disct Amnt]]+Purchase[[#This Row],[GST Amount]]</f>
        <v>265889.40000000002</v>
      </c>
      <c r="R366" s="138" t="s">
        <v>1019</v>
      </c>
      <c r="S366" s="41">
        <f>IF(Purchase[[#This Row],[Status]]="Cancelled",0,Purchase[[#This Row],[Qty]])</f>
        <v>30</v>
      </c>
      <c r="T366" s="146">
        <f>IF(Purchase[[#This Row],[Status]]="Cancelled",0,Purchase[[#This Row],[Total Amount]])</f>
        <v>265889.40000000002</v>
      </c>
      <c r="U366" s="146">
        <f>SUM(Purchase[Net Amount])</f>
        <v>814985438.68000126</v>
      </c>
    </row>
    <row r="367" spans="1:21" ht="19.5" thickBot="1" x14ac:dyDescent="0.3">
      <c r="A367" s="136" t="s">
        <v>1397</v>
      </c>
      <c r="B367" s="137">
        <v>45676</v>
      </c>
      <c r="C367" s="138" t="s">
        <v>1398</v>
      </c>
      <c r="D367" s="138" t="str">
        <f>VLOOKUP(Purchase[[#This Row],[Supplier ID]],Supplier[#All],2,0)</f>
        <v>Tech Traders</v>
      </c>
      <c r="E367" s="138">
        <f>VLOOKUP(Purchase[[#This Row],[Supplier ID]],Supplier[#All],3,0)</f>
        <v>9689542463</v>
      </c>
      <c r="F367" s="138" t="str">
        <f>VLOOKUP(Purchase[[#This Row],[Supplier ID]],Supplier[#All],4,0)</f>
        <v>Kanpur</v>
      </c>
      <c r="G367" s="138" t="str">
        <f>VLOOKUP(Purchase[[#This Row],[Supplier ID]],Supplier[#All],5,0)</f>
        <v>UP</v>
      </c>
      <c r="H367" s="138" t="str">
        <f>VLOOKUP(Purchase[[#This Row],[Supplier ID]],Supplier[#All],6,0)</f>
        <v>GST2154521T025</v>
      </c>
      <c r="I367" s="138" t="s">
        <v>84</v>
      </c>
      <c r="J367" s="139">
        <v>21</v>
      </c>
      <c r="K367" s="143">
        <f>VLOOKUP(Purchase[[#This Row],[Product ID]],Product[#All],6,0)</f>
        <v>1086</v>
      </c>
      <c r="L367" s="143">
        <f>Purchase[[#This Row],[Purchase Rate]]*Purchase[[#This Row],[Qty]]</f>
        <v>22806</v>
      </c>
      <c r="M367" s="140">
        <v>0</v>
      </c>
      <c r="N367" s="143">
        <v>0</v>
      </c>
      <c r="O367" s="140">
        <v>0.18</v>
      </c>
      <c r="P367" s="145">
        <f>(Purchase[[#This Row],[Gross Amount]]-Purchase[[#This Row],[Disct %]])*Purchase[[#This Row],[GST %]]</f>
        <v>4105.08</v>
      </c>
      <c r="Q367" s="145">
        <f>Purchase[[#This Row],[Gross Amount]]-Purchase[[#This Row],[Disct Amnt]]+Purchase[[#This Row],[GST Amount]]</f>
        <v>26911.08</v>
      </c>
      <c r="R367" s="138" t="s">
        <v>1019</v>
      </c>
      <c r="S367" s="41">
        <f>IF(Purchase[[#This Row],[Status]]="Cancelled",0,Purchase[[#This Row],[Qty]])</f>
        <v>21</v>
      </c>
      <c r="T367" s="146">
        <f>IF(Purchase[[#This Row],[Status]]="Cancelled",0,Purchase[[#This Row],[Total Amount]])</f>
        <v>26911.08</v>
      </c>
      <c r="U367" s="146">
        <f>SUM(Purchase[Net Amount])</f>
        <v>814985438.68000126</v>
      </c>
    </row>
    <row r="368" spans="1:21" ht="19.5" thickBot="1" x14ac:dyDescent="0.3">
      <c r="A368" s="136" t="s">
        <v>1399</v>
      </c>
      <c r="B368" s="137">
        <v>45676</v>
      </c>
      <c r="C368" s="138" t="s">
        <v>616</v>
      </c>
      <c r="D368" s="138" t="str">
        <f>VLOOKUP(Purchase[[#This Row],[Supplier ID]],Supplier[#All],2,0)</f>
        <v>Global Suppliers</v>
      </c>
      <c r="E368" s="138">
        <f>VLOOKUP(Purchase[[#This Row],[Supplier ID]],Supplier[#All],3,0)</f>
        <v>9689542499</v>
      </c>
      <c r="F368" s="138" t="str">
        <f>VLOOKUP(Purchase[[#This Row],[Supplier ID]],Supplier[#All],4,0)</f>
        <v>Kanpur</v>
      </c>
      <c r="G368" s="138" t="str">
        <f>VLOOKUP(Purchase[[#This Row],[Supplier ID]],Supplier[#All],5,0)</f>
        <v>UP</v>
      </c>
      <c r="H368" s="138" t="str">
        <f>VLOOKUP(Purchase[[#This Row],[Supplier ID]],Supplier[#All],6,0)</f>
        <v>GST2154521T061</v>
      </c>
      <c r="I368" s="138" t="s">
        <v>292</v>
      </c>
      <c r="J368" s="139">
        <v>21</v>
      </c>
      <c r="K368" s="143">
        <f>VLOOKUP(Purchase[[#This Row],[Product ID]],Product[#All],6,0)</f>
        <v>5549</v>
      </c>
      <c r="L368" s="143">
        <f>Purchase[[#This Row],[Purchase Rate]]*Purchase[[#This Row],[Qty]]</f>
        <v>116529</v>
      </c>
      <c r="M368" s="140">
        <v>0</v>
      </c>
      <c r="N368" s="143">
        <v>0</v>
      </c>
      <c r="O368" s="140">
        <v>0.18</v>
      </c>
      <c r="P368" s="145">
        <f>(Purchase[[#This Row],[Gross Amount]]-Purchase[[#This Row],[Disct %]])*Purchase[[#This Row],[GST %]]</f>
        <v>20975.219999999998</v>
      </c>
      <c r="Q368" s="145">
        <f>Purchase[[#This Row],[Gross Amount]]-Purchase[[#This Row],[Disct Amnt]]+Purchase[[#This Row],[GST Amount]]</f>
        <v>137504.22</v>
      </c>
      <c r="R368" s="138" t="s">
        <v>1019</v>
      </c>
      <c r="S368" s="41">
        <f>IF(Purchase[[#This Row],[Status]]="Cancelled",0,Purchase[[#This Row],[Qty]])</f>
        <v>21</v>
      </c>
      <c r="T368" s="146">
        <f>IF(Purchase[[#This Row],[Status]]="Cancelled",0,Purchase[[#This Row],[Total Amount]])</f>
        <v>137504.22</v>
      </c>
      <c r="U368" s="146">
        <f>SUM(Purchase[Net Amount])</f>
        <v>814985438.68000126</v>
      </c>
    </row>
    <row r="369" spans="1:21" ht="19.5" thickBot="1" x14ac:dyDescent="0.3">
      <c r="A369" s="136" t="s">
        <v>1400</v>
      </c>
      <c r="B369" s="137">
        <v>45676</v>
      </c>
      <c r="C369" s="138" t="s">
        <v>575</v>
      </c>
      <c r="D369" s="138" t="str">
        <f>VLOOKUP(Purchase[[#This Row],[Supplier ID]],Supplier[#All],2,0)</f>
        <v>Global Computers</v>
      </c>
      <c r="E369" s="138">
        <f>VLOOKUP(Purchase[[#This Row],[Supplier ID]],Supplier[#All],3,0)</f>
        <v>9689542459</v>
      </c>
      <c r="F369" s="138" t="str">
        <f>VLOOKUP(Purchase[[#This Row],[Supplier ID]],Supplier[#All],4,0)</f>
        <v>Indore</v>
      </c>
      <c r="G369" s="138" t="str">
        <f>VLOOKUP(Purchase[[#This Row],[Supplier ID]],Supplier[#All],5,0)</f>
        <v>MP</v>
      </c>
      <c r="H369" s="138" t="str">
        <f>VLOOKUP(Purchase[[#This Row],[Supplier ID]],Supplier[#All],6,0)</f>
        <v>GST2154521T021</v>
      </c>
      <c r="I369" s="138" t="s">
        <v>134</v>
      </c>
      <c r="J369" s="139">
        <v>19</v>
      </c>
      <c r="K369" s="143">
        <f>VLOOKUP(Purchase[[#This Row],[Product ID]],Product[#All],6,0)</f>
        <v>3192</v>
      </c>
      <c r="L369" s="143">
        <f>Purchase[[#This Row],[Purchase Rate]]*Purchase[[#This Row],[Qty]]</f>
        <v>60648</v>
      </c>
      <c r="M369" s="140">
        <v>0</v>
      </c>
      <c r="N369" s="143">
        <v>0</v>
      </c>
      <c r="O369" s="140">
        <v>0.18</v>
      </c>
      <c r="P369" s="145">
        <f>(Purchase[[#This Row],[Gross Amount]]-Purchase[[#This Row],[Disct %]])*Purchase[[#This Row],[GST %]]</f>
        <v>10916.64</v>
      </c>
      <c r="Q369" s="145">
        <f>Purchase[[#This Row],[Gross Amount]]-Purchase[[#This Row],[Disct Amnt]]+Purchase[[#This Row],[GST Amount]]</f>
        <v>71564.639999999999</v>
      </c>
      <c r="R369" s="138" t="s">
        <v>1019</v>
      </c>
      <c r="S369" s="41">
        <f>IF(Purchase[[#This Row],[Status]]="Cancelled",0,Purchase[[#This Row],[Qty]])</f>
        <v>19</v>
      </c>
      <c r="T369" s="146">
        <f>IF(Purchase[[#This Row],[Status]]="Cancelled",0,Purchase[[#This Row],[Total Amount]])</f>
        <v>71564.639999999999</v>
      </c>
      <c r="U369" s="146">
        <f>SUM(Purchase[Net Amount])</f>
        <v>814985438.68000126</v>
      </c>
    </row>
    <row r="370" spans="1:21" ht="19.5" thickBot="1" x14ac:dyDescent="0.3">
      <c r="A370" s="136" t="s">
        <v>1401</v>
      </c>
      <c r="B370" s="137">
        <v>45676</v>
      </c>
      <c r="C370" s="138" t="s">
        <v>605</v>
      </c>
      <c r="D370" s="138" t="str">
        <f>VLOOKUP(Purchase[[#This Row],[Supplier ID]],Supplier[#All],2,0)</f>
        <v>Star Traders</v>
      </c>
      <c r="E370" s="138">
        <f>VLOOKUP(Purchase[[#This Row],[Supplier ID]],Supplier[#All],3,0)</f>
        <v>9689542488</v>
      </c>
      <c r="F370" s="138" t="str">
        <f>VLOOKUP(Purchase[[#This Row],[Supplier ID]],Supplier[#All],4,0)</f>
        <v>Indore</v>
      </c>
      <c r="G370" s="138" t="str">
        <f>VLOOKUP(Purchase[[#This Row],[Supplier ID]],Supplier[#All],5,0)</f>
        <v>MP</v>
      </c>
      <c r="H370" s="138" t="str">
        <f>VLOOKUP(Purchase[[#This Row],[Supplier ID]],Supplier[#All],6,0)</f>
        <v>GST2154521T050</v>
      </c>
      <c r="I370" s="138" t="s">
        <v>417</v>
      </c>
      <c r="J370" s="139">
        <v>20</v>
      </c>
      <c r="K370" s="143">
        <f>VLOOKUP(Purchase[[#This Row],[Product ID]],Product[#All],6,0)</f>
        <v>3422</v>
      </c>
      <c r="L370" s="143">
        <f>Purchase[[#This Row],[Purchase Rate]]*Purchase[[#This Row],[Qty]]</f>
        <v>68440</v>
      </c>
      <c r="M370" s="140">
        <v>0</v>
      </c>
      <c r="N370" s="143">
        <v>0</v>
      </c>
      <c r="O370" s="140">
        <v>0.18</v>
      </c>
      <c r="P370" s="145">
        <f>(Purchase[[#This Row],[Gross Amount]]-Purchase[[#This Row],[Disct %]])*Purchase[[#This Row],[GST %]]</f>
        <v>12319.199999999999</v>
      </c>
      <c r="Q370" s="145">
        <f>Purchase[[#This Row],[Gross Amount]]-Purchase[[#This Row],[Disct Amnt]]+Purchase[[#This Row],[GST Amount]]</f>
        <v>80759.199999999997</v>
      </c>
      <c r="R370" s="138" t="s">
        <v>1019</v>
      </c>
      <c r="S370" s="41">
        <f>IF(Purchase[[#This Row],[Status]]="Cancelled",0,Purchase[[#This Row],[Qty]])</f>
        <v>20</v>
      </c>
      <c r="T370" s="146">
        <f>IF(Purchase[[#This Row],[Status]]="Cancelled",0,Purchase[[#This Row],[Total Amount]])</f>
        <v>80759.199999999997</v>
      </c>
      <c r="U370" s="146">
        <f>SUM(Purchase[Net Amount])</f>
        <v>814985438.68000126</v>
      </c>
    </row>
    <row r="371" spans="1:21" ht="19.5" thickBot="1" x14ac:dyDescent="0.3">
      <c r="A371" s="136" t="s">
        <v>1402</v>
      </c>
      <c r="B371" s="137">
        <v>45676</v>
      </c>
      <c r="C371" s="138" t="s">
        <v>566</v>
      </c>
      <c r="D371" s="138" t="str">
        <f>VLOOKUP(Purchase[[#This Row],[Supplier ID]],Supplier[#All],2,0)</f>
        <v>Maa Computers</v>
      </c>
      <c r="E371" s="138">
        <f>VLOOKUP(Purchase[[#This Row],[Supplier ID]],Supplier[#All],3,0)</f>
        <v>9689542452</v>
      </c>
      <c r="F371" s="138" t="str">
        <f>VLOOKUP(Purchase[[#This Row],[Supplier ID]],Supplier[#All],4,0)</f>
        <v>Kanpur</v>
      </c>
      <c r="G371" s="138" t="str">
        <f>VLOOKUP(Purchase[[#This Row],[Supplier ID]],Supplier[#All],5,0)</f>
        <v>UP</v>
      </c>
      <c r="H371" s="138" t="str">
        <f>VLOOKUP(Purchase[[#This Row],[Supplier ID]],Supplier[#All],6,0)</f>
        <v>GST2154521T014</v>
      </c>
      <c r="I371" s="138" t="s">
        <v>35</v>
      </c>
      <c r="J371" s="139">
        <v>22</v>
      </c>
      <c r="K371" s="143">
        <f>VLOOKUP(Purchase[[#This Row],[Product ID]],Product[#All],6,0)</f>
        <v>2905</v>
      </c>
      <c r="L371" s="143">
        <f>Purchase[[#This Row],[Purchase Rate]]*Purchase[[#This Row],[Qty]]</f>
        <v>63910</v>
      </c>
      <c r="M371" s="140">
        <v>0</v>
      </c>
      <c r="N371" s="143">
        <v>0</v>
      </c>
      <c r="O371" s="140">
        <v>0.18</v>
      </c>
      <c r="P371" s="145">
        <f>(Purchase[[#This Row],[Gross Amount]]-Purchase[[#This Row],[Disct %]])*Purchase[[#This Row],[GST %]]</f>
        <v>11503.8</v>
      </c>
      <c r="Q371" s="145">
        <f>Purchase[[#This Row],[Gross Amount]]-Purchase[[#This Row],[Disct Amnt]]+Purchase[[#This Row],[GST Amount]]</f>
        <v>75413.8</v>
      </c>
      <c r="R371" s="138" t="s">
        <v>1019</v>
      </c>
      <c r="S371" s="41">
        <f>IF(Purchase[[#This Row],[Status]]="Cancelled",0,Purchase[[#This Row],[Qty]])</f>
        <v>22</v>
      </c>
      <c r="T371" s="146">
        <f>IF(Purchase[[#This Row],[Status]]="Cancelled",0,Purchase[[#This Row],[Total Amount]])</f>
        <v>75413.8</v>
      </c>
      <c r="U371" s="146">
        <f>SUM(Purchase[Net Amount])</f>
        <v>814985438.68000126</v>
      </c>
    </row>
    <row r="372" spans="1:21" ht="19.5" thickBot="1" x14ac:dyDescent="0.3">
      <c r="A372" s="136" t="s">
        <v>1403</v>
      </c>
      <c r="B372" s="137">
        <v>45676</v>
      </c>
      <c r="C372" s="138" t="s">
        <v>607</v>
      </c>
      <c r="D372" s="138" t="str">
        <f>VLOOKUP(Purchase[[#This Row],[Supplier ID]],Supplier[#All],2,0)</f>
        <v>Global Distributors</v>
      </c>
      <c r="E372" s="138">
        <f>VLOOKUP(Purchase[[#This Row],[Supplier ID]],Supplier[#All],3,0)</f>
        <v>9689542490</v>
      </c>
      <c r="F372" s="138" t="str">
        <f>VLOOKUP(Purchase[[#This Row],[Supplier ID]],Supplier[#All],4,0)</f>
        <v>Kanpur</v>
      </c>
      <c r="G372" s="138" t="str">
        <f>VLOOKUP(Purchase[[#This Row],[Supplier ID]],Supplier[#All],5,0)</f>
        <v>UP</v>
      </c>
      <c r="H372" s="138" t="str">
        <f>VLOOKUP(Purchase[[#This Row],[Supplier ID]],Supplier[#All],6,0)</f>
        <v>GST2154521T052</v>
      </c>
      <c r="I372" s="138" t="s">
        <v>239</v>
      </c>
      <c r="J372" s="139">
        <v>23</v>
      </c>
      <c r="K372" s="143">
        <f>VLOOKUP(Purchase[[#This Row],[Product ID]],Product[#All],6,0)</f>
        <v>6638</v>
      </c>
      <c r="L372" s="143">
        <f>Purchase[[#This Row],[Purchase Rate]]*Purchase[[#This Row],[Qty]]</f>
        <v>152674</v>
      </c>
      <c r="M372" s="140">
        <v>0</v>
      </c>
      <c r="N372" s="143">
        <v>0</v>
      </c>
      <c r="O372" s="140">
        <v>0.18</v>
      </c>
      <c r="P372" s="145">
        <f>(Purchase[[#This Row],[Gross Amount]]-Purchase[[#This Row],[Disct %]])*Purchase[[#This Row],[GST %]]</f>
        <v>27481.32</v>
      </c>
      <c r="Q372" s="145">
        <f>Purchase[[#This Row],[Gross Amount]]-Purchase[[#This Row],[Disct Amnt]]+Purchase[[#This Row],[GST Amount]]</f>
        <v>180155.32</v>
      </c>
      <c r="R372" s="138" t="s">
        <v>1019</v>
      </c>
      <c r="S372" s="41">
        <f>IF(Purchase[[#This Row],[Status]]="Cancelled",0,Purchase[[#This Row],[Qty]])</f>
        <v>23</v>
      </c>
      <c r="T372" s="146">
        <f>IF(Purchase[[#This Row],[Status]]="Cancelled",0,Purchase[[#This Row],[Total Amount]])</f>
        <v>180155.32</v>
      </c>
      <c r="U372" s="146">
        <f>SUM(Purchase[Net Amount])</f>
        <v>814985438.68000126</v>
      </c>
    </row>
    <row r="373" spans="1:21" ht="19.5" thickBot="1" x14ac:dyDescent="0.3">
      <c r="A373" s="136" t="s">
        <v>1404</v>
      </c>
      <c r="B373" s="137">
        <v>45677</v>
      </c>
      <c r="C373" s="138" t="s">
        <v>614</v>
      </c>
      <c r="D373" s="138" t="str">
        <f>VLOOKUP(Purchase[[#This Row],[Supplier ID]],Supplier[#All],2,0)</f>
        <v>National Electronics</v>
      </c>
      <c r="E373" s="138">
        <f>VLOOKUP(Purchase[[#This Row],[Supplier ID]],Supplier[#All],3,0)</f>
        <v>9689542497</v>
      </c>
      <c r="F373" s="138" t="str">
        <f>VLOOKUP(Purchase[[#This Row],[Supplier ID]],Supplier[#All],4,0)</f>
        <v>Kanpur</v>
      </c>
      <c r="G373" s="138" t="str">
        <f>VLOOKUP(Purchase[[#This Row],[Supplier ID]],Supplier[#All],5,0)</f>
        <v>UP</v>
      </c>
      <c r="H373" s="138" t="str">
        <f>VLOOKUP(Purchase[[#This Row],[Supplier ID]],Supplier[#All],6,0)</f>
        <v>GST2154521T059</v>
      </c>
      <c r="I373" s="138" t="s">
        <v>277</v>
      </c>
      <c r="J373" s="139">
        <v>30</v>
      </c>
      <c r="K373" s="143">
        <f>VLOOKUP(Purchase[[#This Row],[Product ID]],Product[#All],6,0)</f>
        <v>3844</v>
      </c>
      <c r="L373" s="143">
        <f>Purchase[[#This Row],[Purchase Rate]]*Purchase[[#This Row],[Qty]]</f>
        <v>115320</v>
      </c>
      <c r="M373" s="140">
        <v>0</v>
      </c>
      <c r="N373" s="143">
        <v>0</v>
      </c>
      <c r="O373" s="140">
        <v>0.18</v>
      </c>
      <c r="P373" s="145">
        <f>(Purchase[[#This Row],[Gross Amount]]-Purchase[[#This Row],[Disct %]])*Purchase[[#This Row],[GST %]]</f>
        <v>20757.599999999999</v>
      </c>
      <c r="Q373" s="145">
        <f>Purchase[[#This Row],[Gross Amount]]-Purchase[[#This Row],[Disct Amnt]]+Purchase[[#This Row],[GST Amount]]</f>
        <v>136077.6</v>
      </c>
      <c r="R373" s="138" t="s">
        <v>1019</v>
      </c>
      <c r="S373" s="41">
        <f>IF(Purchase[[#This Row],[Status]]="Cancelled",0,Purchase[[#This Row],[Qty]])</f>
        <v>30</v>
      </c>
      <c r="T373" s="146">
        <f>IF(Purchase[[#This Row],[Status]]="Cancelled",0,Purchase[[#This Row],[Total Amount]])</f>
        <v>136077.6</v>
      </c>
      <c r="U373" s="146">
        <f>SUM(Purchase[Net Amount])</f>
        <v>814985438.68000126</v>
      </c>
    </row>
    <row r="374" spans="1:21" ht="19.5" thickBot="1" x14ac:dyDescent="0.3">
      <c r="A374" s="136" t="s">
        <v>1405</v>
      </c>
      <c r="B374" s="137">
        <v>45677</v>
      </c>
      <c r="C374" s="138" t="s">
        <v>588</v>
      </c>
      <c r="D374" s="138" t="str">
        <f>VLOOKUP(Purchase[[#This Row],[Supplier ID]],Supplier[#All],2,0)</f>
        <v>Star Electronics</v>
      </c>
      <c r="E374" s="138">
        <f>VLOOKUP(Purchase[[#This Row],[Supplier ID]],Supplier[#All],3,0)</f>
        <v>9689542472</v>
      </c>
      <c r="F374" s="138" t="str">
        <f>VLOOKUP(Purchase[[#This Row],[Supplier ID]],Supplier[#All],4,0)</f>
        <v>Korba</v>
      </c>
      <c r="G374" s="138" t="str">
        <f>VLOOKUP(Purchase[[#This Row],[Supplier ID]],Supplier[#All],5,0)</f>
        <v>CG</v>
      </c>
      <c r="H374" s="138" t="str">
        <f>VLOOKUP(Purchase[[#This Row],[Supplier ID]],Supplier[#All],6,0)</f>
        <v>GST2154521T034</v>
      </c>
      <c r="I374" s="138" t="s">
        <v>134</v>
      </c>
      <c r="J374" s="139">
        <v>35</v>
      </c>
      <c r="K374" s="143">
        <f>VLOOKUP(Purchase[[#This Row],[Product ID]],Product[#All],6,0)</f>
        <v>3192</v>
      </c>
      <c r="L374" s="143">
        <f>Purchase[[#This Row],[Purchase Rate]]*Purchase[[#This Row],[Qty]]</f>
        <v>111720</v>
      </c>
      <c r="M374" s="140">
        <v>0</v>
      </c>
      <c r="N374" s="143">
        <v>0</v>
      </c>
      <c r="O374" s="140">
        <v>0.18</v>
      </c>
      <c r="P374" s="145">
        <f>(Purchase[[#This Row],[Gross Amount]]-Purchase[[#This Row],[Disct %]])*Purchase[[#This Row],[GST %]]</f>
        <v>20109.599999999999</v>
      </c>
      <c r="Q374" s="145">
        <f>Purchase[[#This Row],[Gross Amount]]-Purchase[[#This Row],[Disct Amnt]]+Purchase[[#This Row],[GST Amount]]</f>
        <v>131829.6</v>
      </c>
      <c r="R374" s="138" t="s">
        <v>1019</v>
      </c>
      <c r="S374" s="41">
        <f>IF(Purchase[[#This Row],[Status]]="Cancelled",0,Purchase[[#This Row],[Qty]])</f>
        <v>35</v>
      </c>
      <c r="T374" s="146">
        <f>IF(Purchase[[#This Row],[Status]]="Cancelled",0,Purchase[[#This Row],[Total Amount]])</f>
        <v>131829.6</v>
      </c>
      <c r="U374" s="146">
        <f>SUM(Purchase[Net Amount])</f>
        <v>814985438.68000126</v>
      </c>
    </row>
    <row r="375" spans="1:21" ht="19.5" thickBot="1" x14ac:dyDescent="0.3">
      <c r="A375" s="136" t="s">
        <v>1406</v>
      </c>
      <c r="B375" s="137">
        <v>45677</v>
      </c>
      <c r="C375" s="138" t="s">
        <v>590</v>
      </c>
      <c r="D375" s="138" t="str">
        <f>VLOOKUP(Purchase[[#This Row],[Supplier ID]],Supplier[#All],2,0)</f>
        <v>Star Distributors</v>
      </c>
      <c r="E375" s="138">
        <f>VLOOKUP(Purchase[[#This Row],[Supplier ID]],Supplier[#All],3,0)</f>
        <v>9689542474</v>
      </c>
      <c r="F375" s="138" t="str">
        <f>VLOOKUP(Purchase[[#This Row],[Supplier ID]],Supplier[#All],4,0)</f>
        <v>Kanpur</v>
      </c>
      <c r="G375" s="138" t="str">
        <f>VLOOKUP(Purchase[[#This Row],[Supplier ID]],Supplier[#All],5,0)</f>
        <v>UP</v>
      </c>
      <c r="H375" s="138" t="str">
        <f>VLOOKUP(Purchase[[#This Row],[Supplier ID]],Supplier[#All],6,0)</f>
        <v>GST2154521T036</v>
      </c>
      <c r="I375" s="138" t="s">
        <v>406</v>
      </c>
      <c r="J375" s="139">
        <v>6</v>
      </c>
      <c r="K375" s="143">
        <f>VLOOKUP(Purchase[[#This Row],[Product ID]],Product[#All],6,0)</f>
        <v>1517</v>
      </c>
      <c r="L375" s="143">
        <f>Purchase[[#This Row],[Purchase Rate]]*Purchase[[#This Row],[Qty]]</f>
        <v>9102</v>
      </c>
      <c r="M375" s="140">
        <v>0</v>
      </c>
      <c r="N375" s="143">
        <v>0</v>
      </c>
      <c r="O375" s="140">
        <v>0.18</v>
      </c>
      <c r="P375" s="145">
        <f>(Purchase[[#This Row],[Gross Amount]]-Purchase[[#This Row],[Disct %]])*Purchase[[#This Row],[GST %]]</f>
        <v>1638.36</v>
      </c>
      <c r="Q375" s="145">
        <f>Purchase[[#This Row],[Gross Amount]]-Purchase[[#This Row],[Disct Amnt]]+Purchase[[#This Row],[GST Amount]]</f>
        <v>10740.36</v>
      </c>
      <c r="R375" s="138" t="s">
        <v>1019</v>
      </c>
      <c r="S375" s="41">
        <f>IF(Purchase[[#This Row],[Status]]="Cancelled",0,Purchase[[#This Row],[Qty]])</f>
        <v>6</v>
      </c>
      <c r="T375" s="146">
        <f>IF(Purchase[[#This Row],[Status]]="Cancelled",0,Purchase[[#This Row],[Total Amount]])</f>
        <v>10740.36</v>
      </c>
      <c r="U375" s="146">
        <f>SUM(Purchase[Net Amount])</f>
        <v>814985438.68000126</v>
      </c>
    </row>
    <row r="376" spans="1:21" ht="19.5" thickBot="1" x14ac:dyDescent="0.3">
      <c r="A376" s="136" t="s">
        <v>1407</v>
      </c>
      <c r="B376" s="137">
        <v>45677</v>
      </c>
      <c r="C376" s="138" t="s">
        <v>564</v>
      </c>
      <c r="D376" s="138" t="str">
        <f>VLOOKUP(Purchase[[#This Row],[Supplier ID]],Supplier[#All],2,0)</f>
        <v xml:space="preserve">Star Electronics </v>
      </c>
      <c r="E376" s="138">
        <f>VLOOKUP(Purchase[[#This Row],[Supplier ID]],Supplier[#All],3,0)</f>
        <v>9689542450</v>
      </c>
      <c r="F376" s="138" t="str">
        <f>VLOOKUP(Purchase[[#This Row],[Supplier ID]],Supplier[#All],4,0)</f>
        <v>Korba</v>
      </c>
      <c r="G376" s="138" t="str">
        <f>VLOOKUP(Purchase[[#This Row],[Supplier ID]],Supplier[#All],5,0)</f>
        <v>CG</v>
      </c>
      <c r="H376" s="138" t="str">
        <f>VLOOKUP(Purchase[[#This Row],[Supplier ID]],Supplier[#All],6,0)</f>
        <v>GST2154521T012</v>
      </c>
      <c r="I376" s="138" t="s">
        <v>251</v>
      </c>
      <c r="J376" s="139">
        <v>32</v>
      </c>
      <c r="K376" s="143">
        <f>VLOOKUP(Purchase[[#This Row],[Product ID]],Product[#All],6,0)</f>
        <v>2536</v>
      </c>
      <c r="L376" s="143">
        <f>Purchase[[#This Row],[Purchase Rate]]*Purchase[[#This Row],[Qty]]</f>
        <v>81152</v>
      </c>
      <c r="M376" s="140">
        <v>0</v>
      </c>
      <c r="N376" s="143">
        <v>0</v>
      </c>
      <c r="O376" s="140">
        <v>0.18</v>
      </c>
      <c r="P376" s="145">
        <f>(Purchase[[#This Row],[Gross Amount]]-Purchase[[#This Row],[Disct %]])*Purchase[[#This Row],[GST %]]</f>
        <v>14607.359999999999</v>
      </c>
      <c r="Q376" s="145">
        <f>Purchase[[#This Row],[Gross Amount]]-Purchase[[#This Row],[Disct Amnt]]+Purchase[[#This Row],[GST Amount]]</f>
        <v>95759.360000000001</v>
      </c>
      <c r="R376" s="138" t="s">
        <v>1019</v>
      </c>
      <c r="S376" s="41">
        <f>IF(Purchase[[#This Row],[Status]]="Cancelled",0,Purchase[[#This Row],[Qty]])</f>
        <v>32</v>
      </c>
      <c r="T376" s="146">
        <f>IF(Purchase[[#This Row],[Status]]="Cancelled",0,Purchase[[#This Row],[Total Amount]])</f>
        <v>95759.360000000001</v>
      </c>
      <c r="U376" s="146">
        <f>SUM(Purchase[Net Amount])</f>
        <v>814985438.68000126</v>
      </c>
    </row>
    <row r="377" spans="1:21" ht="19.5" thickBot="1" x14ac:dyDescent="0.3">
      <c r="A377" s="136" t="s">
        <v>1408</v>
      </c>
      <c r="B377" s="137">
        <v>45677</v>
      </c>
      <c r="C377" s="138" t="s">
        <v>580</v>
      </c>
      <c r="D377" s="138" t="str">
        <f>VLOOKUP(Purchase[[#This Row],[Supplier ID]],Supplier[#All],2,0)</f>
        <v>Star Distributors</v>
      </c>
      <c r="E377" s="138">
        <f>VLOOKUP(Purchase[[#This Row],[Supplier ID]],Supplier[#All],3,0)</f>
        <v>9689542464</v>
      </c>
      <c r="F377" s="138" t="str">
        <f>VLOOKUP(Purchase[[#This Row],[Supplier ID]],Supplier[#All],4,0)</f>
        <v>Indore</v>
      </c>
      <c r="G377" s="138" t="str">
        <f>VLOOKUP(Purchase[[#This Row],[Supplier ID]],Supplier[#All],5,0)</f>
        <v>MP</v>
      </c>
      <c r="H377" s="138" t="str">
        <f>VLOOKUP(Purchase[[#This Row],[Supplier ID]],Supplier[#All],6,0)</f>
        <v>GST2154521T026</v>
      </c>
      <c r="I377" s="138" t="s">
        <v>385</v>
      </c>
      <c r="J377" s="139">
        <v>36</v>
      </c>
      <c r="K377" s="143">
        <f>VLOOKUP(Purchase[[#This Row],[Product ID]],Product[#All],6,0)</f>
        <v>1060</v>
      </c>
      <c r="L377" s="143">
        <f>Purchase[[#This Row],[Purchase Rate]]*Purchase[[#This Row],[Qty]]</f>
        <v>38160</v>
      </c>
      <c r="M377" s="140">
        <v>0</v>
      </c>
      <c r="N377" s="143">
        <v>0</v>
      </c>
      <c r="O377" s="140">
        <v>0.18</v>
      </c>
      <c r="P377" s="145">
        <f>(Purchase[[#This Row],[Gross Amount]]-Purchase[[#This Row],[Disct %]])*Purchase[[#This Row],[GST %]]</f>
        <v>6868.8</v>
      </c>
      <c r="Q377" s="145">
        <f>Purchase[[#This Row],[Gross Amount]]-Purchase[[#This Row],[Disct Amnt]]+Purchase[[#This Row],[GST Amount]]</f>
        <v>45028.800000000003</v>
      </c>
      <c r="R377" s="138" t="s">
        <v>1040</v>
      </c>
      <c r="S377" s="41">
        <f>IF(Purchase[[#This Row],[Status]]="Cancelled",0,Purchase[[#This Row],[Qty]])</f>
        <v>0</v>
      </c>
      <c r="T377" s="146">
        <f>IF(Purchase[[#This Row],[Status]]="Cancelled",0,Purchase[[#This Row],[Total Amount]])</f>
        <v>0</v>
      </c>
      <c r="U377" s="146">
        <f>SUM(Purchase[Net Amount])</f>
        <v>814985438.68000126</v>
      </c>
    </row>
    <row r="378" spans="1:21" ht="19.5" thickBot="1" x14ac:dyDescent="0.3">
      <c r="A378" s="136" t="s">
        <v>1409</v>
      </c>
      <c r="B378" s="137">
        <v>45677</v>
      </c>
      <c r="C378" s="138" t="s">
        <v>564</v>
      </c>
      <c r="D378" s="138" t="str">
        <f>VLOOKUP(Purchase[[#This Row],[Supplier ID]],Supplier[#All],2,0)</f>
        <v xml:space="preserve">Star Electronics </v>
      </c>
      <c r="E378" s="138">
        <f>VLOOKUP(Purchase[[#This Row],[Supplier ID]],Supplier[#All],3,0)</f>
        <v>9689542450</v>
      </c>
      <c r="F378" s="138" t="str">
        <f>VLOOKUP(Purchase[[#This Row],[Supplier ID]],Supplier[#All],4,0)</f>
        <v>Korba</v>
      </c>
      <c r="G378" s="138" t="str">
        <f>VLOOKUP(Purchase[[#This Row],[Supplier ID]],Supplier[#All],5,0)</f>
        <v>CG</v>
      </c>
      <c r="H378" s="138" t="str">
        <f>VLOOKUP(Purchase[[#This Row],[Supplier ID]],Supplier[#All],6,0)</f>
        <v>GST2154521T012</v>
      </c>
      <c r="I378" s="138" t="s">
        <v>330</v>
      </c>
      <c r="J378" s="139">
        <v>21</v>
      </c>
      <c r="K378" s="143">
        <f>VLOOKUP(Purchase[[#This Row],[Product ID]],Product[#All],6,0)</f>
        <v>4133</v>
      </c>
      <c r="L378" s="143">
        <f>Purchase[[#This Row],[Purchase Rate]]*Purchase[[#This Row],[Qty]]</f>
        <v>86793</v>
      </c>
      <c r="M378" s="140">
        <v>0</v>
      </c>
      <c r="N378" s="143">
        <v>0</v>
      </c>
      <c r="O378" s="140">
        <v>0.18</v>
      </c>
      <c r="P378" s="145">
        <f>(Purchase[[#This Row],[Gross Amount]]-Purchase[[#This Row],[Disct %]])*Purchase[[#This Row],[GST %]]</f>
        <v>15622.74</v>
      </c>
      <c r="Q378" s="145">
        <f>Purchase[[#This Row],[Gross Amount]]-Purchase[[#This Row],[Disct Amnt]]+Purchase[[#This Row],[GST Amount]]</f>
        <v>102415.74</v>
      </c>
      <c r="R378" s="138" t="s">
        <v>1019</v>
      </c>
      <c r="S378" s="41">
        <f>IF(Purchase[[#This Row],[Status]]="Cancelled",0,Purchase[[#This Row],[Qty]])</f>
        <v>21</v>
      </c>
      <c r="T378" s="146">
        <f>IF(Purchase[[#This Row],[Status]]="Cancelled",0,Purchase[[#This Row],[Total Amount]])</f>
        <v>102415.74</v>
      </c>
      <c r="U378" s="146">
        <f>SUM(Purchase[Net Amount])</f>
        <v>814985438.68000126</v>
      </c>
    </row>
    <row r="379" spans="1:21" ht="19.5" thickBot="1" x14ac:dyDescent="0.3">
      <c r="A379" s="136" t="s">
        <v>1410</v>
      </c>
      <c r="B379" s="137">
        <v>45677</v>
      </c>
      <c r="C379" s="138" t="s">
        <v>604</v>
      </c>
      <c r="D379" s="138" t="str">
        <f>VLOOKUP(Purchase[[#This Row],[Supplier ID]],Supplier[#All],2,0)</f>
        <v>Prime Traders</v>
      </c>
      <c r="E379" s="138">
        <f>VLOOKUP(Purchase[[#This Row],[Supplier ID]],Supplier[#All],3,0)</f>
        <v>9689542487</v>
      </c>
      <c r="F379" s="138" t="str">
        <f>VLOOKUP(Purchase[[#This Row],[Supplier ID]],Supplier[#All],4,0)</f>
        <v>Indore</v>
      </c>
      <c r="G379" s="138" t="str">
        <f>VLOOKUP(Purchase[[#This Row],[Supplier ID]],Supplier[#All],5,0)</f>
        <v>MP</v>
      </c>
      <c r="H379" s="138" t="str">
        <f>VLOOKUP(Purchase[[#This Row],[Supplier ID]],Supplier[#All],6,0)</f>
        <v>GST2154521T049</v>
      </c>
      <c r="I379" s="138" t="s">
        <v>153</v>
      </c>
      <c r="J379" s="139">
        <v>20</v>
      </c>
      <c r="K379" s="143">
        <f>VLOOKUP(Purchase[[#This Row],[Product ID]],Product[#All],6,0)</f>
        <v>835</v>
      </c>
      <c r="L379" s="143">
        <f>Purchase[[#This Row],[Purchase Rate]]*Purchase[[#This Row],[Qty]]</f>
        <v>16700</v>
      </c>
      <c r="M379" s="140">
        <v>0</v>
      </c>
      <c r="N379" s="143">
        <v>0</v>
      </c>
      <c r="O379" s="140">
        <v>0.18</v>
      </c>
      <c r="P379" s="145">
        <f>(Purchase[[#This Row],[Gross Amount]]-Purchase[[#This Row],[Disct %]])*Purchase[[#This Row],[GST %]]</f>
        <v>3006</v>
      </c>
      <c r="Q379" s="145">
        <f>Purchase[[#This Row],[Gross Amount]]-Purchase[[#This Row],[Disct Amnt]]+Purchase[[#This Row],[GST Amount]]</f>
        <v>19706</v>
      </c>
      <c r="R379" s="138" t="s">
        <v>1019</v>
      </c>
      <c r="S379" s="41">
        <f>IF(Purchase[[#This Row],[Status]]="Cancelled",0,Purchase[[#This Row],[Qty]])</f>
        <v>20</v>
      </c>
      <c r="T379" s="146">
        <f>IF(Purchase[[#This Row],[Status]]="Cancelled",0,Purchase[[#This Row],[Total Amount]])</f>
        <v>19706</v>
      </c>
      <c r="U379" s="146">
        <f>SUM(Purchase[Net Amount])</f>
        <v>814985438.68000126</v>
      </c>
    </row>
    <row r="380" spans="1:21" ht="19.5" thickBot="1" x14ac:dyDescent="0.3">
      <c r="A380" s="136" t="s">
        <v>1411</v>
      </c>
      <c r="B380" s="137">
        <v>45677</v>
      </c>
      <c r="C380" s="138" t="s">
        <v>594</v>
      </c>
      <c r="D380" s="138" t="str">
        <f>VLOOKUP(Purchase[[#This Row],[Supplier ID]],Supplier[#All],2,0)</f>
        <v>Shree Suppliers</v>
      </c>
      <c r="E380" s="138">
        <f>VLOOKUP(Purchase[[#This Row],[Supplier ID]],Supplier[#All],3,0)</f>
        <v>9689542477</v>
      </c>
      <c r="F380" s="138" t="str">
        <f>VLOOKUP(Purchase[[#This Row],[Supplier ID]],Supplier[#All],4,0)</f>
        <v>Indore</v>
      </c>
      <c r="G380" s="138" t="str">
        <f>VLOOKUP(Purchase[[#This Row],[Supplier ID]],Supplier[#All],5,0)</f>
        <v>MP</v>
      </c>
      <c r="H380" s="138" t="str">
        <f>VLOOKUP(Purchase[[#This Row],[Supplier ID]],Supplier[#All],6,0)</f>
        <v>GST2154521T039</v>
      </c>
      <c r="I380" s="138" t="s">
        <v>116</v>
      </c>
      <c r="J380" s="139">
        <v>8</v>
      </c>
      <c r="K380" s="143">
        <f>VLOOKUP(Purchase[[#This Row],[Product ID]],Product[#All],6,0)</f>
        <v>33377</v>
      </c>
      <c r="L380" s="143">
        <f>Purchase[[#This Row],[Purchase Rate]]*Purchase[[#This Row],[Qty]]</f>
        <v>267016</v>
      </c>
      <c r="M380" s="140">
        <v>0</v>
      </c>
      <c r="N380" s="143">
        <v>0</v>
      </c>
      <c r="O380" s="140">
        <v>0.18</v>
      </c>
      <c r="P380" s="145">
        <f>(Purchase[[#This Row],[Gross Amount]]-Purchase[[#This Row],[Disct %]])*Purchase[[#This Row],[GST %]]</f>
        <v>48062.879999999997</v>
      </c>
      <c r="Q380" s="145">
        <f>Purchase[[#This Row],[Gross Amount]]-Purchase[[#This Row],[Disct Amnt]]+Purchase[[#This Row],[GST Amount]]</f>
        <v>315078.88</v>
      </c>
      <c r="R380" s="138" t="s">
        <v>1019</v>
      </c>
      <c r="S380" s="41">
        <f>IF(Purchase[[#This Row],[Status]]="Cancelled",0,Purchase[[#This Row],[Qty]])</f>
        <v>8</v>
      </c>
      <c r="T380" s="146">
        <f>IF(Purchase[[#This Row],[Status]]="Cancelled",0,Purchase[[#This Row],[Total Amount]])</f>
        <v>315078.88</v>
      </c>
      <c r="U380" s="146">
        <f>SUM(Purchase[Net Amount])</f>
        <v>814985438.68000126</v>
      </c>
    </row>
    <row r="381" spans="1:21" ht="19.5" thickBot="1" x14ac:dyDescent="0.3">
      <c r="A381" s="136" t="s">
        <v>1412</v>
      </c>
      <c r="B381" s="137">
        <v>45677</v>
      </c>
      <c r="C381" s="138" t="s">
        <v>613</v>
      </c>
      <c r="D381" s="138" t="str">
        <f>VLOOKUP(Purchase[[#This Row],[Supplier ID]],Supplier[#All],2,0)</f>
        <v>National Traders</v>
      </c>
      <c r="E381" s="138">
        <f>VLOOKUP(Purchase[[#This Row],[Supplier ID]],Supplier[#All],3,0)</f>
        <v>9689542496</v>
      </c>
      <c r="F381" s="138" t="str">
        <f>VLOOKUP(Purchase[[#This Row],[Supplier ID]],Supplier[#All],4,0)</f>
        <v>Indore</v>
      </c>
      <c r="G381" s="138" t="str">
        <f>VLOOKUP(Purchase[[#This Row],[Supplier ID]],Supplier[#All],5,0)</f>
        <v>MP</v>
      </c>
      <c r="H381" s="138" t="str">
        <f>VLOOKUP(Purchase[[#This Row],[Supplier ID]],Supplier[#All],6,0)</f>
        <v>GST2154521T058</v>
      </c>
      <c r="I381" s="138" t="s">
        <v>455</v>
      </c>
      <c r="J381" s="139">
        <v>27</v>
      </c>
      <c r="K381" s="143">
        <f>VLOOKUP(Purchase[[#This Row],[Product ID]],Product[#All],6,0)</f>
        <v>11737</v>
      </c>
      <c r="L381" s="143">
        <f>Purchase[[#This Row],[Purchase Rate]]*Purchase[[#This Row],[Qty]]</f>
        <v>316899</v>
      </c>
      <c r="M381" s="140">
        <v>0</v>
      </c>
      <c r="N381" s="143">
        <v>0</v>
      </c>
      <c r="O381" s="140">
        <v>0.18</v>
      </c>
      <c r="P381" s="145">
        <f>(Purchase[[#This Row],[Gross Amount]]-Purchase[[#This Row],[Disct %]])*Purchase[[#This Row],[GST %]]</f>
        <v>57041.82</v>
      </c>
      <c r="Q381" s="145">
        <f>Purchase[[#This Row],[Gross Amount]]-Purchase[[#This Row],[Disct Amnt]]+Purchase[[#This Row],[GST Amount]]</f>
        <v>373940.82</v>
      </c>
      <c r="R381" s="138" t="s">
        <v>1019</v>
      </c>
      <c r="S381" s="41">
        <f>IF(Purchase[[#This Row],[Status]]="Cancelled",0,Purchase[[#This Row],[Qty]])</f>
        <v>27</v>
      </c>
      <c r="T381" s="146">
        <f>IF(Purchase[[#This Row],[Status]]="Cancelled",0,Purchase[[#This Row],[Total Amount]])</f>
        <v>373940.82</v>
      </c>
      <c r="U381" s="146">
        <f>SUM(Purchase[Net Amount])</f>
        <v>814985438.68000126</v>
      </c>
    </row>
    <row r="382" spans="1:21" ht="19.5" thickBot="1" x14ac:dyDescent="0.3">
      <c r="A382" s="136" t="s">
        <v>1413</v>
      </c>
      <c r="B382" s="137">
        <v>45677</v>
      </c>
      <c r="C382" s="138" t="s">
        <v>575</v>
      </c>
      <c r="D382" s="138" t="str">
        <f>VLOOKUP(Purchase[[#This Row],[Supplier ID]],Supplier[#All],2,0)</f>
        <v>Global Computers</v>
      </c>
      <c r="E382" s="138">
        <f>VLOOKUP(Purchase[[#This Row],[Supplier ID]],Supplier[#All],3,0)</f>
        <v>9689542459</v>
      </c>
      <c r="F382" s="138" t="str">
        <f>VLOOKUP(Purchase[[#This Row],[Supplier ID]],Supplier[#All],4,0)</f>
        <v>Indore</v>
      </c>
      <c r="G382" s="138" t="str">
        <f>VLOOKUP(Purchase[[#This Row],[Supplier ID]],Supplier[#All],5,0)</f>
        <v>MP</v>
      </c>
      <c r="H382" s="138" t="str">
        <f>VLOOKUP(Purchase[[#This Row],[Supplier ID]],Supplier[#All],6,0)</f>
        <v>GST2154521T021</v>
      </c>
      <c r="I382" s="138" t="s">
        <v>135</v>
      </c>
      <c r="J382" s="139">
        <v>38</v>
      </c>
      <c r="K382" s="143">
        <f>VLOOKUP(Purchase[[#This Row],[Product ID]],Product[#All],6,0)</f>
        <v>2681</v>
      </c>
      <c r="L382" s="143">
        <f>Purchase[[#This Row],[Purchase Rate]]*Purchase[[#This Row],[Qty]]</f>
        <v>101878</v>
      </c>
      <c r="M382" s="140">
        <v>0</v>
      </c>
      <c r="N382" s="143">
        <v>0</v>
      </c>
      <c r="O382" s="140">
        <v>0.18</v>
      </c>
      <c r="P382" s="145">
        <f>(Purchase[[#This Row],[Gross Amount]]-Purchase[[#This Row],[Disct %]])*Purchase[[#This Row],[GST %]]</f>
        <v>18338.04</v>
      </c>
      <c r="Q382" s="145">
        <f>Purchase[[#This Row],[Gross Amount]]-Purchase[[#This Row],[Disct Amnt]]+Purchase[[#This Row],[GST Amount]]</f>
        <v>120216.04000000001</v>
      </c>
      <c r="R382" s="138" t="s">
        <v>1019</v>
      </c>
      <c r="S382" s="41">
        <f>IF(Purchase[[#This Row],[Status]]="Cancelled",0,Purchase[[#This Row],[Qty]])</f>
        <v>38</v>
      </c>
      <c r="T382" s="146">
        <f>IF(Purchase[[#This Row],[Status]]="Cancelled",0,Purchase[[#This Row],[Total Amount]])</f>
        <v>120216.04000000001</v>
      </c>
      <c r="U382" s="146">
        <f>SUM(Purchase[Net Amount])</f>
        <v>814985438.68000126</v>
      </c>
    </row>
    <row r="383" spans="1:21" ht="19.5" thickBot="1" x14ac:dyDescent="0.3">
      <c r="A383" s="136" t="s">
        <v>1414</v>
      </c>
      <c r="B383" s="137">
        <v>45677</v>
      </c>
      <c r="C383" s="138" t="s">
        <v>583</v>
      </c>
      <c r="D383" s="138" t="str">
        <f>VLOOKUP(Purchase[[#This Row],[Supplier ID]],Supplier[#All],2,0)</f>
        <v>Shree Distributors</v>
      </c>
      <c r="E383" s="138">
        <f>VLOOKUP(Purchase[[#This Row],[Supplier ID]],Supplier[#All],3,0)</f>
        <v>9689542467</v>
      </c>
      <c r="F383" s="138" t="str">
        <f>VLOOKUP(Purchase[[#This Row],[Supplier ID]],Supplier[#All],4,0)</f>
        <v>Indore</v>
      </c>
      <c r="G383" s="138" t="str">
        <f>VLOOKUP(Purchase[[#This Row],[Supplier ID]],Supplier[#All],5,0)</f>
        <v>MP</v>
      </c>
      <c r="H383" s="138" t="str">
        <f>VLOOKUP(Purchase[[#This Row],[Supplier ID]],Supplier[#All],6,0)</f>
        <v>GST2154521T029</v>
      </c>
      <c r="I383" s="138" t="s">
        <v>263</v>
      </c>
      <c r="J383" s="139">
        <v>14</v>
      </c>
      <c r="K383" s="143">
        <f>VLOOKUP(Purchase[[#This Row],[Product ID]],Product[#All],6,0)</f>
        <v>619</v>
      </c>
      <c r="L383" s="143">
        <f>Purchase[[#This Row],[Purchase Rate]]*Purchase[[#This Row],[Qty]]</f>
        <v>8666</v>
      </c>
      <c r="M383" s="140">
        <v>0</v>
      </c>
      <c r="N383" s="143">
        <v>0</v>
      </c>
      <c r="O383" s="140">
        <v>0.18</v>
      </c>
      <c r="P383" s="145">
        <f>(Purchase[[#This Row],[Gross Amount]]-Purchase[[#This Row],[Disct %]])*Purchase[[#This Row],[GST %]]</f>
        <v>1559.8799999999999</v>
      </c>
      <c r="Q383" s="145">
        <f>Purchase[[#This Row],[Gross Amount]]-Purchase[[#This Row],[Disct Amnt]]+Purchase[[#This Row],[GST Amount]]</f>
        <v>10225.879999999999</v>
      </c>
      <c r="R383" s="138" t="s">
        <v>1019</v>
      </c>
      <c r="S383" s="41">
        <f>IF(Purchase[[#This Row],[Status]]="Cancelled",0,Purchase[[#This Row],[Qty]])</f>
        <v>14</v>
      </c>
      <c r="T383" s="146">
        <f>IF(Purchase[[#This Row],[Status]]="Cancelled",0,Purchase[[#This Row],[Total Amount]])</f>
        <v>10225.879999999999</v>
      </c>
      <c r="U383" s="146">
        <f>SUM(Purchase[Net Amount])</f>
        <v>814985438.68000126</v>
      </c>
    </row>
    <row r="384" spans="1:21" ht="19.5" thickBot="1" x14ac:dyDescent="0.3">
      <c r="A384" s="136" t="s">
        <v>1415</v>
      </c>
      <c r="B384" s="137">
        <v>45677</v>
      </c>
      <c r="C384" s="138" t="s">
        <v>568</v>
      </c>
      <c r="D384" s="138" t="str">
        <f>VLOOKUP(Purchase[[#This Row],[Supplier ID]],Supplier[#All],2,0)</f>
        <v>Maa Computers</v>
      </c>
      <c r="E384" s="138">
        <f>VLOOKUP(Purchase[[#This Row],[Supplier ID]],Supplier[#All],3,0)</f>
        <v>9689542454</v>
      </c>
      <c r="F384" s="138" t="str">
        <f>VLOOKUP(Purchase[[#This Row],[Supplier ID]],Supplier[#All],4,0)</f>
        <v>Korba</v>
      </c>
      <c r="G384" s="138" t="str">
        <f>VLOOKUP(Purchase[[#This Row],[Supplier ID]],Supplier[#All],5,0)</f>
        <v>CG</v>
      </c>
      <c r="H384" s="138" t="str">
        <f>VLOOKUP(Purchase[[#This Row],[Supplier ID]],Supplier[#All],6,0)</f>
        <v>GST2154521T016</v>
      </c>
      <c r="I384" s="138" t="s">
        <v>332</v>
      </c>
      <c r="J384" s="139">
        <v>14</v>
      </c>
      <c r="K384" s="143">
        <f>VLOOKUP(Purchase[[#This Row],[Product ID]],Product[#All],6,0)</f>
        <v>21908</v>
      </c>
      <c r="L384" s="143">
        <f>Purchase[[#This Row],[Purchase Rate]]*Purchase[[#This Row],[Qty]]</f>
        <v>306712</v>
      </c>
      <c r="M384" s="140">
        <v>0</v>
      </c>
      <c r="N384" s="143">
        <v>0</v>
      </c>
      <c r="O384" s="140">
        <v>0.18</v>
      </c>
      <c r="P384" s="145">
        <f>(Purchase[[#This Row],[Gross Amount]]-Purchase[[#This Row],[Disct %]])*Purchase[[#This Row],[GST %]]</f>
        <v>55208.159999999996</v>
      </c>
      <c r="Q384" s="145">
        <f>Purchase[[#This Row],[Gross Amount]]-Purchase[[#This Row],[Disct Amnt]]+Purchase[[#This Row],[GST Amount]]</f>
        <v>361920.16</v>
      </c>
      <c r="R384" s="138" t="s">
        <v>1019</v>
      </c>
      <c r="S384" s="41">
        <f>IF(Purchase[[#This Row],[Status]]="Cancelled",0,Purchase[[#This Row],[Qty]])</f>
        <v>14</v>
      </c>
      <c r="T384" s="146">
        <f>IF(Purchase[[#This Row],[Status]]="Cancelled",0,Purchase[[#This Row],[Total Amount]])</f>
        <v>361920.16</v>
      </c>
      <c r="U384" s="146">
        <f>SUM(Purchase[Net Amount])</f>
        <v>814985438.68000126</v>
      </c>
    </row>
    <row r="385" spans="1:21" ht="19.5" thickBot="1" x14ac:dyDescent="0.3">
      <c r="A385" s="136" t="s">
        <v>1416</v>
      </c>
      <c r="B385" s="137">
        <v>45677</v>
      </c>
      <c r="C385" s="138" t="s">
        <v>616</v>
      </c>
      <c r="D385" s="138" t="str">
        <f>VLOOKUP(Purchase[[#This Row],[Supplier ID]],Supplier[#All],2,0)</f>
        <v>Global Suppliers</v>
      </c>
      <c r="E385" s="138">
        <f>VLOOKUP(Purchase[[#This Row],[Supplier ID]],Supplier[#All],3,0)</f>
        <v>9689542499</v>
      </c>
      <c r="F385" s="138" t="str">
        <f>VLOOKUP(Purchase[[#This Row],[Supplier ID]],Supplier[#All],4,0)</f>
        <v>Kanpur</v>
      </c>
      <c r="G385" s="138" t="str">
        <f>VLOOKUP(Purchase[[#This Row],[Supplier ID]],Supplier[#All],5,0)</f>
        <v>UP</v>
      </c>
      <c r="H385" s="138" t="str">
        <f>VLOOKUP(Purchase[[#This Row],[Supplier ID]],Supplier[#All],6,0)</f>
        <v>GST2154521T061</v>
      </c>
      <c r="I385" s="138" t="s">
        <v>242</v>
      </c>
      <c r="J385" s="139">
        <v>39</v>
      </c>
      <c r="K385" s="143">
        <f>VLOOKUP(Purchase[[#This Row],[Product ID]],Product[#All],6,0)</f>
        <v>15569</v>
      </c>
      <c r="L385" s="143">
        <f>Purchase[[#This Row],[Purchase Rate]]*Purchase[[#This Row],[Qty]]</f>
        <v>607191</v>
      </c>
      <c r="M385" s="140">
        <v>0</v>
      </c>
      <c r="N385" s="143">
        <v>0</v>
      </c>
      <c r="O385" s="140">
        <v>0.18</v>
      </c>
      <c r="P385" s="145">
        <f>(Purchase[[#This Row],[Gross Amount]]-Purchase[[#This Row],[Disct %]])*Purchase[[#This Row],[GST %]]</f>
        <v>109294.37999999999</v>
      </c>
      <c r="Q385" s="145">
        <f>Purchase[[#This Row],[Gross Amount]]-Purchase[[#This Row],[Disct Amnt]]+Purchase[[#This Row],[GST Amount]]</f>
        <v>716485.38</v>
      </c>
      <c r="R385" s="138" t="s">
        <v>1019</v>
      </c>
      <c r="S385" s="41">
        <f>IF(Purchase[[#This Row],[Status]]="Cancelled",0,Purchase[[#This Row],[Qty]])</f>
        <v>39</v>
      </c>
      <c r="T385" s="146">
        <f>IF(Purchase[[#This Row],[Status]]="Cancelled",0,Purchase[[#This Row],[Total Amount]])</f>
        <v>716485.38</v>
      </c>
      <c r="U385" s="146">
        <f>SUM(Purchase[Net Amount])</f>
        <v>814985438.68000126</v>
      </c>
    </row>
    <row r="386" spans="1:21" ht="19.5" thickBot="1" x14ac:dyDescent="0.3">
      <c r="A386" s="136" t="s">
        <v>1417</v>
      </c>
      <c r="B386" s="137">
        <v>45677</v>
      </c>
      <c r="C386" s="138" t="s">
        <v>613</v>
      </c>
      <c r="D386" s="138" t="str">
        <f>VLOOKUP(Purchase[[#This Row],[Supplier ID]],Supplier[#All],2,0)</f>
        <v>National Traders</v>
      </c>
      <c r="E386" s="138">
        <f>VLOOKUP(Purchase[[#This Row],[Supplier ID]],Supplier[#All],3,0)</f>
        <v>9689542496</v>
      </c>
      <c r="F386" s="138" t="str">
        <f>VLOOKUP(Purchase[[#This Row],[Supplier ID]],Supplier[#All],4,0)</f>
        <v>Indore</v>
      </c>
      <c r="G386" s="138" t="str">
        <f>VLOOKUP(Purchase[[#This Row],[Supplier ID]],Supplier[#All],5,0)</f>
        <v>MP</v>
      </c>
      <c r="H386" s="138" t="str">
        <f>VLOOKUP(Purchase[[#This Row],[Supplier ID]],Supplier[#All],6,0)</f>
        <v>GST2154521T058</v>
      </c>
      <c r="I386" s="138" t="s">
        <v>438</v>
      </c>
      <c r="J386" s="139">
        <v>18</v>
      </c>
      <c r="K386" s="143">
        <f>VLOOKUP(Purchase[[#This Row],[Product ID]],Product[#All],6,0)</f>
        <v>1324</v>
      </c>
      <c r="L386" s="143">
        <f>Purchase[[#This Row],[Purchase Rate]]*Purchase[[#This Row],[Qty]]</f>
        <v>23832</v>
      </c>
      <c r="M386" s="140">
        <v>0</v>
      </c>
      <c r="N386" s="143">
        <v>0</v>
      </c>
      <c r="O386" s="140">
        <v>0.18</v>
      </c>
      <c r="P386" s="145">
        <f>(Purchase[[#This Row],[Gross Amount]]-Purchase[[#This Row],[Disct %]])*Purchase[[#This Row],[GST %]]</f>
        <v>4289.76</v>
      </c>
      <c r="Q386" s="145">
        <f>Purchase[[#This Row],[Gross Amount]]-Purchase[[#This Row],[Disct Amnt]]+Purchase[[#This Row],[GST Amount]]</f>
        <v>28121.760000000002</v>
      </c>
      <c r="R386" s="138" t="s">
        <v>1019</v>
      </c>
      <c r="S386" s="41">
        <f>IF(Purchase[[#This Row],[Status]]="Cancelled",0,Purchase[[#This Row],[Qty]])</f>
        <v>18</v>
      </c>
      <c r="T386" s="146">
        <f>IF(Purchase[[#This Row],[Status]]="Cancelled",0,Purchase[[#This Row],[Total Amount]])</f>
        <v>28121.760000000002</v>
      </c>
      <c r="U386" s="146">
        <f>SUM(Purchase[Net Amount])</f>
        <v>814985438.68000126</v>
      </c>
    </row>
    <row r="387" spans="1:21" ht="19.5" thickBot="1" x14ac:dyDescent="0.3">
      <c r="A387" s="136" t="s">
        <v>1418</v>
      </c>
      <c r="B387" s="137">
        <v>45677</v>
      </c>
      <c r="C387" s="138" t="s">
        <v>575</v>
      </c>
      <c r="D387" s="138" t="str">
        <f>VLOOKUP(Purchase[[#This Row],[Supplier ID]],Supplier[#All],2,0)</f>
        <v>Global Computers</v>
      </c>
      <c r="E387" s="138">
        <f>VLOOKUP(Purchase[[#This Row],[Supplier ID]],Supplier[#All],3,0)</f>
        <v>9689542459</v>
      </c>
      <c r="F387" s="138" t="str">
        <f>VLOOKUP(Purchase[[#This Row],[Supplier ID]],Supplier[#All],4,0)</f>
        <v>Indore</v>
      </c>
      <c r="G387" s="138" t="str">
        <f>VLOOKUP(Purchase[[#This Row],[Supplier ID]],Supplier[#All],5,0)</f>
        <v>MP</v>
      </c>
      <c r="H387" s="138" t="str">
        <f>VLOOKUP(Purchase[[#This Row],[Supplier ID]],Supplier[#All],6,0)</f>
        <v>GST2154521T021</v>
      </c>
      <c r="I387" s="138" t="s">
        <v>501</v>
      </c>
      <c r="J387" s="139">
        <v>13</v>
      </c>
      <c r="K387" s="143">
        <f>VLOOKUP(Purchase[[#This Row],[Product ID]],Product[#All],6,0)</f>
        <v>3547</v>
      </c>
      <c r="L387" s="143">
        <f>Purchase[[#This Row],[Purchase Rate]]*Purchase[[#This Row],[Qty]]</f>
        <v>46111</v>
      </c>
      <c r="M387" s="140">
        <v>0</v>
      </c>
      <c r="N387" s="143">
        <v>0</v>
      </c>
      <c r="O387" s="140">
        <v>0.18</v>
      </c>
      <c r="P387" s="145">
        <f>(Purchase[[#This Row],[Gross Amount]]-Purchase[[#This Row],[Disct %]])*Purchase[[#This Row],[GST %]]</f>
        <v>8299.98</v>
      </c>
      <c r="Q387" s="145">
        <f>Purchase[[#This Row],[Gross Amount]]-Purchase[[#This Row],[Disct Amnt]]+Purchase[[#This Row],[GST Amount]]</f>
        <v>54410.979999999996</v>
      </c>
      <c r="R387" s="138" t="s">
        <v>1019</v>
      </c>
      <c r="S387" s="41">
        <f>IF(Purchase[[#This Row],[Status]]="Cancelled",0,Purchase[[#This Row],[Qty]])</f>
        <v>13</v>
      </c>
      <c r="T387" s="146">
        <f>IF(Purchase[[#This Row],[Status]]="Cancelled",0,Purchase[[#This Row],[Total Amount]])</f>
        <v>54410.979999999996</v>
      </c>
      <c r="U387" s="146">
        <f>SUM(Purchase[Net Amount])</f>
        <v>814985438.68000126</v>
      </c>
    </row>
    <row r="388" spans="1:21" ht="19.5" thickBot="1" x14ac:dyDescent="0.3">
      <c r="A388" s="136" t="s">
        <v>1419</v>
      </c>
      <c r="B388" s="137">
        <v>45677</v>
      </c>
      <c r="C388" s="138" t="s">
        <v>597</v>
      </c>
      <c r="D388" s="138" t="str">
        <f>VLOOKUP(Purchase[[#This Row],[Supplier ID]],Supplier[#All],2,0)</f>
        <v>Tech Traders</v>
      </c>
      <c r="E388" s="138">
        <f>VLOOKUP(Purchase[[#This Row],[Supplier ID]],Supplier[#All],3,0)</f>
        <v>9689542480</v>
      </c>
      <c r="F388" s="138" t="str">
        <f>VLOOKUP(Purchase[[#This Row],[Supplier ID]],Supplier[#All],4,0)</f>
        <v>Kanpur</v>
      </c>
      <c r="G388" s="138" t="str">
        <f>VLOOKUP(Purchase[[#This Row],[Supplier ID]],Supplier[#All],5,0)</f>
        <v>UP</v>
      </c>
      <c r="H388" s="138" t="str">
        <f>VLOOKUP(Purchase[[#This Row],[Supplier ID]],Supplier[#All],6,0)</f>
        <v>GST2154521T042</v>
      </c>
      <c r="I388" s="138" t="s">
        <v>433</v>
      </c>
      <c r="J388" s="139">
        <v>14</v>
      </c>
      <c r="K388" s="143">
        <f>VLOOKUP(Purchase[[#This Row],[Product ID]],Product[#All],6,0)</f>
        <v>10926</v>
      </c>
      <c r="L388" s="143">
        <f>Purchase[[#This Row],[Purchase Rate]]*Purchase[[#This Row],[Qty]]</f>
        <v>152964</v>
      </c>
      <c r="M388" s="140">
        <v>0</v>
      </c>
      <c r="N388" s="143">
        <v>0</v>
      </c>
      <c r="O388" s="140">
        <v>0.18</v>
      </c>
      <c r="P388" s="145">
        <f>(Purchase[[#This Row],[Gross Amount]]-Purchase[[#This Row],[Disct %]])*Purchase[[#This Row],[GST %]]</f>
        <v>27533.52</v>
      </c>
      <c r="Q388" s="145">
        <f>Purchase[[#This Row],[Gross Amount]]-Purchase[[#This Row],[Disct Amnt]]+Purchase[[#This Row],[GST Amount]]</f>
        <v>180497.52</v>
      </c>
      <c r="R388" s="138" t="s">
        <v>1040</v>
      </c>
      <c r="S388" s="41">
        <f>IF(Purchase[[#This Row],[Status]]="Cancelled",0,Purchase[[#This Row],[Qty]])</f>
        <v>0</v>
      </c>
      <c r="T388" s="146">
        <f>IF(Purchase[[#This Row],[Status]]="Cancelled",0,Purchase[[#This Row],[Total Amount]])</f>
        <v>0</v>
      </c>
      <c r="U388" s="146">
        <f>SUM(Purchase[Net Amount])</f>
        <v>814985438.68000126</v>
      </c>
    </row>
    <row r="389" spans="1:21" ht="19.5" thickBot="1" x14ac:dyDescent="0.3">
      <c r="A389" s="136" t="s">
        <v>1420</v>
      </c>
      <c r="B389" s="137">
        <v>45677</v>
      </c>
      <c r="C389" s="138" t="s">
        <v>566</v>
      </c>
      <c r="D389" s="138" t="str">
        <f>VLOOKUP(Purchase[[#This Row],[Supplier ID]],Supplier[#All],2,0)</f>
        <v>Maa Computers</v>
      </c>
      <c r="E389" s="138">
        <f>VLOOKUP(Purchase[[#This Row],[Supplier ID]],Supplier[#All],3,0)</f>
        <v>9689542452</v>
      </c>
      <c r="F389" s="138" t="str">
        <f>VLOOKUP(Purchase[[#This Row],[Supplier ID]],Supplier[#All],4,0)</f>
        <v>Kanpur</v>
      </c>
      <c r="G389" s="138" t="str">
        <f>VLOOKUP(Purchase[[#This Row],[Supplier ID]],Supplier[#All],5,0)</f>
        <v>UP</v>
      </c>
      <c r="H389" s="138" t="str">
        <f>VLOOKUP(Purchase[[#This Row],[Supplier ID]],Supplier[#All],6,0)</f>
        <v>GST2154521T014</v>
      </c>
      <c r="I389" s="138" t="s">
        <v>120</v>
      </c>
      <c r="J389" s="139">
        <v>39</v>
      </c>
      <c r="K389" s="143">
        <f>VLOOKUP(Purchase[[#This Row],[Product ID]],Product[#All],6,0)</f>
        <v>5465</v>
      </c>
      <c r="L389" s="143">
        <f>Purchase[[#This Row],[Purchase Rate]]*Purchase[[#This Row],[Qty]]</f>
        <v>213135</v>
      </c>
      <c r="M389" s="140">
        <v>0</v>
      </c>
      <c r="N389" s="143">
        <v>0</v>
      </c>
      <c r="O389" s="140">
        <v>0.18</v>
      </c>
      <c r="P389" s="145">
        <f>(Purchase[[#This Row],[Gross Amount]]-Purchase[[#This Row],[Disct %]])*Purchase[[#This Row],[GST %]]</f>
        <v>38364.299999999996</v>
      </c>
      <c r="Q389" s="145">
        <f>Purchase[[#This Row],[Gross Amount]]-Purchase[[#This Row],[Disct Amnt]]+Purchase[[#This Row],[GST Amount]]</f>
        <v>251499.3</v>
      </c>
      <c r="R389" s="138" t="s">
        <v>1019</v>
      </c>
      <c r="S389" s="41">
        <f>IF(Purchase[[#This Row],[Status]]="Cancelled",0,Purchase[[#This Row],[Qty]])</f>
        <v>39</v>
      </c>
      <c r="T389" s="146">
        <f>IF(Purchase[[#This Row],[Status]]="Cancelled",0,Purchase[[#This Row],[Total Amount]])</f>
        <v>251499.3</v>
      </c>
      <c r="U389" s="146">
        <f>SUM(Purchase[Net Amount])</f>
        <v>814985438.68000126</v>
      </c>
    </row>
    <row r="390" spans="1:21" ht="19.5" thickBot="1" x14ac:dyDescent="0.3">
      <c r="A390" s="136" t="s">
        <v>1421</v>
      </c>
      <c r="B390" s="137">
        <v>45677</v>
      </c>
      <c r="C390" s="138" t="s">
        <v>599</v>
      </c>
      <c r="D390" s="138" t="str">
        <f>VLOOKUP(Purchase[[#This Row],[Supplier ID]],Supplier[#All],2,0)</f>
        <v>National Distributors</v>
      </c>
      <c r="E390" s="138">
        <f>VLOOKUP(Purchase[[#This Row],[Supplier ID]],Supplier[#All],3,0)</f>
        <v>9689542482</v>
      </c>
      <c r="F390" s="138" t="str">
        <f>VLOOKUP(Purchase[[#This Row],[Supplier ID]],Supplier[#All],4,0)</f>
        <v>Kanpur</v>
      </c>
      <c r="G390" s="138" t="str">
        <f>VLOOKUP(Purchase[[#This Row],[Supplier ID]],Supplier[#All],5,0)</f>
        <v>UP</v>
      </c>
      <c r="H390" s="138" t="str">
        <f>VLOOKUP(Purchase[[#This Row],[Supplier ID]],Supplier[#All],6,0)</f>
        <v>GST2154521T044</v>
      </c>
      <c r="I390" s="138" t="s">
        <v>175</v>
      </c>
      <c r="J390" s="139">
        <v>6</v>
      </c>
      <c r="K390" s="143">
        <f>VLOOKUP(Purchase[[#This Row],[Product ID]],Product[#All],6,0)</f>
        <v>1594</v>
      </c>
      <c r="L390" s="143">
        <f>Purchase[[#This Row],[Purchase Rate]]*Purchase[[#This Row],[Qty]]</f>
        <v>9564</v>
      </c>
      <c r="M390" s="140">
        <v>0</v>
      </c>
      <c r="N390" s="143">
        <v>0</v>
      </c>
      <c r="O390" s="140">
        <v>0.18</v>
      </c>
      <c r="P390" s="145">
        <f>(Purchase[[#This Row],[Gross Amount]]-Purchase[[#This Row],[Disct %]])*Purchase[[#This Row],[GST %]]</f>
        <v>1721.52</v>
      </c>
      <c r="Q390" s="145">
        <f>Purchase[[#This Row],[Gross Amount]]-Purchase[[#This Row],[Disct Amnt]]+Purchase[[#This Row],[GST Amount]]</f>
        <v>11285.52</v>
      </c>
      <c r="R390" s="138" t="s">
        <v>1019</v>
      </c>
      <c r="S390" s="41">
        <f>IF(Purchase[[#This Row],[Status]]="Cancelled",0,Purchase[[#This Row],[Qty]])</f>
        <v>6</v>
      </c>
      <c r="T390" s="146">
        <f>IF(Purchase[[#This Row],[Status]]="Cancelled",0,Purchase[[#This Row],[Total Amount]])</f>
        <v>11285.52</v>
      </c>
      <c r="U390" s="146">
        <f>SUM(Purchase[Net Amount])</f>
        <v>814985438.68000126</v>
      </c>
    </row>
    <row r="391" spans="1:21" ht="19.5" thickBot="1" x14ac:dyDescent="0.3">
      <c r="A391" s="136" t="s">
        <v>1422</v>
      </c>
      <c r="B391" s="137">
        <v>45677</v>
      </c>
      <c r="C391" s="138" t="s">
        <v>576</v>
      </c>
      <c r="D391" s="138" t="str">
        <f>VLOOKUP(Purchase[[#This Row],[Supplier ID]],Supplier[#All],2,0)</f>
        <v>Maa Distributors</v>
      </c>
      <c r="E391" s="138">
        <f>VLOOKUP(Purchase[[#This Row],[Supplier ID]],Supplier[#All],3,0)</f>
        <v>9689542460</v>
      </c>
      <c r="F391" s="138" t="str">
        <f>VLOOKUP(Purchase[[#This Row],[Supplier ID]],Supplier[#All],4,0)</f>
        <v>Korba</v>
      </c>
      <c r="G391" s="138" t="str">
        <f>VLOOKUP(Purchase[[#This Row],[Supplier ID]],Supplier[#All],5,0)</f>
        <v>CG</v>
      </c>
      <c r="H391" s="138" t="str">
        <f>VLOOKUP(Purchase[[#This Row],[Supplier ID]],Supplier[#All],6,0)</f>
        <v>GST2154521T022</v>
      </c>
      <c r="I391" s="138" t="s">
        <v>446</v>
      </c>
      <c r="J391" s="139">
        <v>33</v>
      </c>
      <c r="K391" s="143">
        <f>VLOOKUP(Purchase[[#This Row],[Product ID]],Product[#All],6,0)</f>
        <v>38075</v>
      </c>
      <c r="L391" s="143">
        <f>Purchase[[#This Row],[Purchase Rate]]*Purchase[[#This Row],[Qty]]</f>
        <v>1256475</v>
      </c>
      <c r="M391" s="140">
        <v>0</v>
      </c>
      <c r="N391" s="143">
        <v>0</v>
      </c>
      <c r="O391" s="140">
        <v>0.18</v>
      </c>
      <c r="P391" s="145">
        <f>(Purchase[[#This Row],[Gross Amount]]-Purchase[[#This Row],[Disct %]])*Purchase[[#This Row],[GST %]]</f>
        <v>226165.5</v>
      </c>
      <c r="Q391" s="145">
        <f>Purchase[[#This Row],[Gross Amount]]-Purchase[[#This Row],[Disct Amnt]]+Purchase[[#This Row],[GST Amount]]</f>
        <v>1482640.5</v>
      </c>
      <c r="R391" s="138" t="s">
        <v>1019</v>
      </c>
      <c r="S391" s="41">
        <f>IF(Purchase[[#This Row],[Status]]="Cancelled",0,Purchase[[#This Row],[Qty]])</f>
        <v>33</v>
      </c>
      <c r="T391" s="146">
        <f>IF(Purchase[[#This Row],[Status]]="Cancelled",0,Purchase[[#This Row],[Total Amount]])</f>
        <v>1482640.5</v>
      </c>
      <c r="U391" s="146">
        <f>SUM(Purchase[Net Amount])</f>
        <v>814985438.68000126</v>
      </c>
    </row>
    <row r="392" spans="1:21" ht="19.5" thickBot="1" x14ac:dyDescent="0.3">
      <c r="A392" s="136" t="s">
        <v>1423</v>
      </c>
      <c r="B392" s="137">
        <v>45677</v>
      </c>
      <c r="C392" s="138" t="s">
        <v>578</v>
      </c>
      <c r="D392" s="138" t="str">
        <f>VLOOKUP(Purchase[[#This Row],[Supplier ID]],Supplier[#All],2,0)</f>
        <v>Shree Computers</v>
      </c>
      <c r="E392" s="138">
        <f>VLOOKUP(Purchase[[#This Row],[Supplier ID]],Supplier[#All],3,0)</f>
        <v>9689542462</v>
      </c>
      <c r="F392" s="138" t="str">
        <f>VLOOKUP(Purchase[[#This Row],[Supplier ID]],Supplier[#All],4,0)</f>
        <v>Korba</v>
      </c>
      <c r="G392" s="138" t="str">
        <f>VLOOKUP(Purchase[[#This Row],[Supplier ID]],Supplier[#All],5,0)</f>
        <v>CG</v>
      </c>
      <c r="H392" s="138" t="str">
        <f>VLOOKUP(Purchase[[#This Row],[Supplier ID]],Supplier[#All],6,0)</f>
        <v>GST2154521T024</v>
      </c>
      <c r="I392" s="138" t="s">
        <v>403</v>
      </c>
      <c r="J392" s="139">
        <v>5</v>
      </c>
      <c r="K392" s="143">
        <f>VLOOKUP(Purchase[[#This Row],[Product ID]],Product[#All],6,0)</f>
        <v>13869</v>
      </c>
      <c r="L392" s="143">
        <f>Purchase[[#This Row],[Purchase Rate]]*Purchase[[#This Row],[Qty]]</f>
        <v>69345</v>
      </c>
      <c r="M392" s="140">
        <v>0</v>
      </c>
      <c r="N392" s="143">
        <v>0</v>
      </c>
      <c r="O392" s="140">
        <v>0.18</v>
      </c>
      <c r="P392" s="145">
        <f>(Purchase[[#This Row],[Gross Amount]]-Purchase[[#This Row],[Disct %]])*Purchase[[#This Row],[GST %]]</f>
        <v>12482.1</v>
      </c>
      <c r="Q392" s="145">
        <f>Purchase[[#This Row],[Gross Amount]]-Purchase[[#This Row],[Disct Amnt]]+Purchase[[#This Row],[GST Amount]]</f>
        <v>81827.100000000006</v>
      </c>
      <c r="R392" s="138" t="s">
        <v>1019</v>
      </c>
      <c r="S392" s="41">
        <f>IF(Purchase[[#This Row],[Status]]="Cancelled",0,Purchase[[#This Row],[Qty]])</f>
        <v>5</v>
      </c>
      <c r="T392" s="146">
        <f>IF(Purchase[[#This Row],[Status]]="Cancelled",0,Purchase[[#This Row],[Total Amount]])</f>
        <v>81827.100000000006</v>
      </c>
      <c r="U392" s="146">
        <f>SUM(Purchase[Net Amount])</f>
        <v>814985438.68000126</v>
      </c>
    </row>
    <row r="393" spans="1:21" ht="19.5" thickBot="1" x14ac:dyDescent="0.3">
      <c r="A393" s="136" t="s">
        <v>1424</v>
      </c>
      <c r="B393" s="137">
        <v>45677</v>
      </c>
      <c r="C393" s="138" t="s">
        <v>564</v>
      </c>
      <c r="D393" s="138" t="str">
        <f>VLOOKUP(Purchase[[#This Row],[Supplier ID]],Supplier[#All],2,0)</f>
        <v xml:space="preserve">Star Electronics </v>
      </c>
      <c r="E393" s="138">
        <f>VLOOKUP(Purchase[[#This Row],[Supplier ID]],Supplier[#All],3,0)</f>
        <v>9689542450</v>
      </c>
      <c r="F393" s="138" t="str">
        <f>VLOOKUP(Purchase[[#This Row],[Supplier ID]],Supplier[#All],4,0)</f>
        <v>Korba</v>
      </c>
      <c r="G393" s="138" t="str">
        <f>VLOOKUP(Purchase[[#This Row],[Supplier ID]],Supplier[#All],5,0)</f>
        <v>CG</v>
      </c>
      <c r="H393" s="138" t="str">
        <f>VLOOKUP(Purchase[[#This Row],[Supplier ID]],Supplier[#All],6,0)</f>
        <v>GST2154521T012</v>
      </c>
      <c r="I393" s="138" t="s">
        <v>516</v>
      </c>
      <c r="J393" s="139">
        <v>4</v>
      </c>
      <c r="K393" s="143">
        <f>VLOOKUP(Purchase[[#This Row],[Product ID]],Product[#All],6,0)</f>
        <v>2042</v>
      </c>
      <c r="L393" s="143">
        <f>Purchase[[#This Row],[Purchase Rate]]*Purchase[[#This Row],[Qty]]</f>
        <v>8168</v>
      </c>
      <c r="M393" s="140">
        <v>0</v>
      </c>
      <c r="N393" s="143">
        <v>0</v>
      </c>
      <c r="O393" s="140">
        <v>0.18</v>
      </c>
      <c r="P393" s="145">
        <f>(Purchase[[#This Row],[Gross Amount]]-Purchase[[#This Row],[Disct %]])*Purchase[[#This Row],[GST %]]</f>
        <v>1470.24</v>
      </c>
      <c r="Q393" s="145">
        <f>Purchase[[#This Row],[Gross Amount]]-Purchase[[#This Row],[Disct Amnt]]+Purchase[[#This Row],[GST Amount]]</f>
        <v>9638.24</v>
      </c>
      <c r="R393" s="138" t="s">
        <v>1019</v>
      </c>
      <c r="S393" s="41">
        <f>IF(Purchase[[#This Row],[Status]]="Cancelled",0,Purchase[[#This Row],[Qty]])</f>
        <v>4</v>
      </c>
      <c r="T393" s="146">
        <f>IF(Purchase[[#This Row],[Status]]="Cancelled",0,Purchase[[#This Row],[Total Amount]])</f>
        <v>9638.24</v>
      </c>
      <c r="U393" s="146">
        <f>SUM(Purchase[Net Amount])</f>
        <v>814985438.68000126</v>
      </c>
    </row>
    <row r="394" spans="1:21" ht="19.5" thickBot="1" x14ac:dyDescent="0.3">
      <c r="A394" s="136" t="s">
        <v>1425</v>
      </c>
      <c r="B394" s="137">
        <v>45677</v>
      </c>
      <c r="C394" s="138" t="s">
        <v>603</v>
      </c>
      <c r="D394" s="138" t="str">
        <f>VLOOKUP(Purchase[[#This Row],[Supplier ID]],Supplier[#All],2,0)</f>
        <v>Tech Computers</v>
      </c>
      <c r="E394" s="138">
        <f>VLOOKUP(Purchase[[#This Row],[Supplier ID]],Supplier[#All],3,0)</f>
        <v>9689542486</v>
      </c>
      <c r="F394" s="138" t="str">
        <f>VLOOKUP(Purchase[[#This Row],[Supplier ID]],Supplier[#All],4,0)</f>
        <v>Indore</v>
      </c>
      <c r="G394" s="138" t="str">
        <f>VLOOKUP(Purchase[[#This Row],[Supplier ID]],Supplier[#All],5,0)</f>
        <v>MP</v>
      </c>
      <c r="H394" s="138" t="str">
        <f>VLOOKUP(Purchase[[#This Row],[Supplier ID]],Supplier[#All],6,0)</f>
        <v>GST2154521T048</v>
      </c>
      <c r="I394" s="138" t="s">
        <v>268</v>
      </c>
      <c r="J394" s="139">
        <v>32</v>
      </c>
      <c r="K394" s="143">
        <f>VLOOKUP(Purchase[[#This Row],[Product ID]],Product[#All],6,0)</f>
        <v>1726</v>
      </c>
      <c r="L394" s="143">
        <f>Purchase[[#This Row],[Purchase Rate]]*Purchase[[#This Row],[Qty]]</f>
        <v>55232</v>
      </c>
      <c r="M394" s="140">
        <v>0</v>
      </c>
      <c r="N394" s="143">
        <v>0</v>
      </c>
      <c r="O394" s="140">
        <v>0.18</v>
      </c>
      <c r="P394" s="145">
        <f>(Purchase[[#This Row],[Gross Amount]]-Purchase[[#This Row],[Disct %]])*Purchase[[#This Row],[GST %]]</f>
        <v>9941.76</v>
      </c>
      <c r="Q394" s="145">
        <f>Purchase[[#This Row],[Gross Amount]]-Purchase[[#This Row],[Disct Amnt]]+Purchase[[#This Row],[GST Amount]]</f>
        <v>65173.760000000002</v>
      </c>
      <c r="R394" s="138" t="s">
        <v>1019</v>
      </c>
      <c r="S394" s="41">
        <f>IF(Purchase[[#This Row],[Status]]="Cancelled",0,Purchase[[#This Row],[Qty]])</f>
        <v>32</v>
      </c>
      <c r="T394" s="146">
        <f>IF(Purchase[[#This Row],[Status]]="Cancelled",0,Purchase[[#This Row],[Total Amount]])</f>
        <v>65173.760000000002</v>
      </c>
      <c r="U394" s="146">
        <f>SUM(Purchase[Net Amount])</f>
        <v>814985438.68000126</v>
      </c>
    </row>
    <row r="395" spans="1:21" ht="19.5" thickBot="1" x14ac:dyDescent="0.3">
      <c r="A395" s="136" t="s">
        <v>1426</v>
      </c>
      <c r="B395" s="137">
        <v>45677</v>
      </c>
      <c r="C395" s="138" t="s">
        <v>564</v>
      </c>
      <c r="D395" s="138" t="str">
        <f>VLOOKUP(Purchase[[#This Row],[Supplier ID]],Supplier[#All],2,0)</f>
        <v xml:space="preserve">Star Electronics </v>
      </c>
      <c r="E395" s="138">
        <f>VLOOKUP(Purchase[[#This Row],[Supplier ID]],Supplier[#All],3,0)</f>
        <v>9689542450</v>
      </c>
      <c r="F395" s="138" t="str">
        <f>VLOOKUP(Purchase[[#This Row],[Supplier ID]],Supplier[#All],4,0)</f>
        <v>Korba</v>
      </c>
      <c r="G395" s="138" t="str">
        <f>VLOOKUP(Purchase[[#This Row],[Supplier ID]],Supplier[#All],5,0)</f>
        <v>CG</v>
      </c>
      <c r="H395" s="138" t="str">
        <f>VLOOKUP(Purchase[[#This Row],[Supplier ID]],Supplier[#All],6,0)</f>
        <v>GST2154521T012</v>
      </c>
      <c r="I395" s="138" t="s">
        <v>208</v>
      </c>
      <c r="J395" s="139">
        <v>12</v>
      </c>
      <c r="K395" s="143">
        <f>VLOOKUP(Purchase[[#This Row],[Product ID]],Product[#All],6,0)</f>
        <v>58903</v>
      </c>
      <c r="L395" s="143">
        <f>Purchase[[#This Row],[Purchase Rate]]*Purchase[[#This Row],[Qty]]</f>
        <v>706836</v>
      </c>
      <c r="M395" s="140">
        <v>0</v>
      </c>
      <c r="N395" s="143">
        <v>0</v>
      </c>
      <c r="O395" s="140">
        <v>0.18</v>
      </c>
      <c r="P395" s="145">
        <f>(Purchase[[#This Row],[Gross Amount]]-Purchase[[#This Row],[Disct %]])*Purchase[[#This Row],[GST %]]</f>
        <v>127230.48</v>
      </c>
      <c r="Q395" s="145">
        <f>Purchase[[#This Row],[Gross Amount]]-Purchase[[#This Row],[Disct Amnt]]+Purchase[[#This Row],[GST Amount]]</f>
        <v>834066.48</v>
      </c>
      <c r="R395" s="138" t="s">
        <v>1019</v>
      </c>
      <c r="S395" s="41">
        <f>IF(Purchase[[#This Row],[Status]]="Cancelled",0,Purchase[[#This Row],[Qty]])</f>
        <v>12</v>
      </c>
      <c r="T395" s="146">
        <f>IF(Purchase[[#This Row],[Status]]="Cancelled",0,Purchase[[#This Row],[Total Amount]])</f>
        <v>834066.48</v>
      </c>
      <c r="U395" s="146">
        <f>SUM(Purchase[Net Amount])</f>
        <v>814985438.68000126</v>
      </c>
    </row>
    <row r="396" spans="1:21" ht="19.5" thickBot="1" x14ac:dyDescent="0.3">
      <c r="A396" s="136" t="s">
        <v>1427</v>
      </c>
      <c r="B396" s="137">
        <v>45678</v>
      </c>
      <c r="C396" s="138" t="s">
        <v>1428</v>
      </c>
      <c r="D396" s="138" t="str">
        <f>VLOOKUP(Purchase[[#This Row],[Supplier ID]],Supplier[#All],2,0)</f>
        <v>NATIONAL ELECTRONICS</v>
      </c>
      <c r="E396" s="138">
        <f>VLOOKUP(Purchase[[#This Row],[Supplier ID]],Supplier[#All],3,0)</f>
        <v>9689542498</v>
      </c>
      <c r="F396" s="138" t="str">
        <f>VLOOKUP(Purchase[[#This Row],[Supplier ID]],Supplier[#All],4,0)</f>
        <v>Kanpur</v>
      </c>
      <c r="G396" s="138" t="str">
        <f>VLOOKUP(Purchase[[#This Row],[Supplier ID]],Supplier[#All],5,0)</f>
        <v>UP</v>
      </c>
      <c r="H396" s="138" t="str">
        <f>VLOOKUP(Purchase[[#This Row],[Supplier ID]],Supplier[#All],6,0)</f>
        <v>GST2154521T060</v>
      </c>
      <c r="I396" s="138" t="s">
        <v>205</v>
      </c>
      <c r="J396" s="139">
        <v>14</v>
      </c>
      <c r="K396" s="143">
        <f>VLOOKUP(Purchase[[#This Row],[Product ID]],Product[#All],6,0)</f>
        <v>3906</v>
      </c>
      <c r="L396" s="143">
        <f>Purchase[[#This Row],[Purchase Rate]]*Purchase[[#This Row],[Qty]]</f>
        <v>54684</v>
      </c>
      <c r="M396" s="140">
        <v>0</v>
      </c>
      <c r="N396" s="143">
        <v>0</v>
      </c>
      <c r="O396" s="140">
        <v>0.18</v>
      </c>
      <c r="P396" s="145">
        <f>(Purchase[[#This Row],[Gross Amount]]-Purchase[[#This Row],[Disct %]])*Purchase[[#This Row],[GST %]]</f>
        <v>9843.119999999999</v>
      </c>
      <c r="Q396" s="145">
        <f>Purchase[[#This Row],[Gross Amount]]-Purchase[[#This Row],[Disct Amnt]]+Purchase[[#This Row],[GST Amount]]</f>
        <v>64527.119999999995</v>
      </c>
      <c r="R396" s="138" t="s">
        <v>1019</v>
      </c>
      <c r="S396" s="41">
        <f>IF(Purchase[[#This Row],[Status]]="Cancelled",0,Purchase[[#This Row],[Qty]])</f>
        <v>14</v>
      </c>
      <c r="T396" s="146">
        <f>IF(Purchase[[#This Row],[Status]]="Cancelled",0,Purchase[[#This Row],[Total Amount]])</f>
        <v>64527.119999999995</v>
      </c>
      <c r="U396" s="146">
        <f>SUM(Purchase[Net Amount])</f>
        <v>814985438.68000126</v>
      </c>
    </row>
    <row r="397" spans="1:21" ht="19.5" thickBot="1" x14ac:dyDescent="0.3">
      <c r="A397" s="136" t="s">
        <v>1429</v>
      </c>
      <c r="B397" s="137">
        <v>45678</v>
      </c>
      <c r="C397" s="138" t="s">
        <v>593</v>
      </c>
      <c r="D397" s="138" t="str">
        <f>VLOOKUP(Purchase[[#This Row],[Supplier ID]],Supplier[#All],2,0)</f>
        <v>Global Suppliers</v>
      </c>
      <c r="E397" s="138">
        <f>VLOOKUP(Purchase[[#This Row],[Supplier ID]],Supplier[#All],3,0)</f>
        <v>9689542476</v>
      </c>
      <c r="F397" s="138" t="str">
        <f>VLOOKUP(Purchase[[#This Row],[Supplier ID]],Supplier[#All],4,0)</f>
        <v>Korba</v>
      </c>
      <c r="G397" s="138" t="str">
        <f>VLOOKUP(Purchase[[#This Row],[Supplier ID]],Supplier[#All],5,0)</f>
        <v>CG</v>
      </c>
      <c r="H397" s="138" t="str">
        <f>VLOOKUP(Purchase[[#This Row],[Supplier ID]],Supplier[#All],6,0)</f>
        <v>GST2154521T038</v>
      </c>
      <c r="I397" s="138" t="s">
        <v>186</v>
      </c>
      <c r="J397" s="139">
        <v>38</v>
      </c>
      <c r="K397" s="143">
        <f>VLOOKUP(Purchase[[#This Row],[Product ID]],Product[#All],6,0)</f>
        <v>9529</v>
      </c>
      <c r="L397" s="143">
        <f>Purchase[[#This Row],[Purchase Rate]]*Purchase[[#This Row],[Qty]]</f>
        <v>362102</v>
      </c>
      <c r="M397" s="140">
        <v>0</v>
      </c>
      <c r="N397" s="143">
        <v>0</v>
      </c>
      <c r="O397" s="140">
        <v>0.18</v>
      </c>
      <c r="P397" s="145">
        <f>(Purchase[[#This Row],[Gross Amount]]-Purchase[[#This Row],[Disct %]])*Purchase[[#This Row],[GST %]]</f>
        <v>65178.36</v>
      </c>
      <c r="Q397" s="145">
        <f>Purchase[[#This Row],[Gross Amount]]-Purchase[[#This Row],[Disct Amnt]]+Purchase[[#This Row],[GST Amount]]</f>
        <v>427280.36</v>
      </c>
      <c r="R397" s="138" t="s">
        <v>1019</v>
      </c>
      <c r="S397" s="41">
        <f>IF(Purchase[[#This Row],[Status]]="Cancelled",0,Purchase[[#This Row],[Qty]])</f>
        <v>38</v>
      </c>
      <c r="T397" s="146">
        <f>IF(Purchase[[#This Row],[Status]]="Cancelled",0,Purchase[[#This Row],[Total Amount]])</f>
        <v>427280.36</v>
      </c>
      <c r="U397" s="146">
        <f>SUM(Purchase[Net Amount])</f>
        <v>814985438.68000126</v>
      </c>
    </row>
    <row r="398" spans="1:21" ht="19.5" thickBot="1" x14ac:dyDescent="0.3">
      <c r="A398" s="136" t="s">
        <v>1430</v>
      </c>
      <c r="B398" s="137">
        <v>45678</v>
      </c>
      <c r="C398" s="138" t="s">
        <v>590</v>
      </c>
      <c r="D398" s="138" t="str">
        <f>VLOOKUP(Purchase[[#This Row],[Supplier ID]],Supplier[#All],2,0)</f>
        <v>Star Distributors</v>
      </c>
      <c r="E398" s="138">
        <f>VLOOKUP(Purchase[[#This Row],[Supplier ID]],Supplier[#All],3,0)</f>
        <v>9689542474</v>
      </c>
      <c r="F398" s="138" t="str">
        <f>VLOOKUP(Purchase[[#This Row],[Supplier ID]],Supplier[#All],4,0)</f>
        <v>Kanpur</v>
      </c>
      <c r="G398" s="138" t="str">
        <f>VLOOKUP(Purchase[[#This Row],[Supplier ID]],Supplier[#All],5,0)</f>
        <v>UP</v>
      </c>
      <c r="H398" s="138" t="str">
        <f>VLOOKUP(Purchase[[#This Row],[Supplier ID]],Supplier[#All],6,0)</f>
        <v>GST2154521T036</v>
      </c>
      <c r="I398" s="138" t="s">
        <v>451</v>
      </c>
      <c r="J398" s="139">
        <v>8</v>
      </c>
      <c r="K398" s="143">
        <f>VLOOKUP(Purchase[[#This Row],[Product ID]],Product[#All],6,0)</f>
        <v>28254</v>
      </c>
      <c r="L398" s="143">
        <f>Purchase[[#This Row],[Purchase Rate]]*Purchase[[#This Row],[Qty]]</f>
        <v>226032</v>
      </c>
      <c r="M398" s="140">
        <v>0</v>
      </c>
      <c r="N398" s="143">
        <v>0</v>
      </c>
      <c r="O398" s="140">
        <v>0.18</v>
      </c>
      <c r="P398" s="145">
        <f>(Purchase[[#This Row],[Gross Amount]]-Purchase[[#This Row],[Disct %]])*Purchase[[#This Row],[GST %]]</f>
        <v>40685.760000000002</v>
      </c>
      <c r="Q398" s="145">
        <f>Purchase[[#This Row],[Gross Amount]]-Purchase[[#This Row],[Disct Amnt]]+Purchase[[#This Row],[GST Amount]]</f>
        <v>266717.76</v>
      </c>
      <c r="R398" s="138" t="s">
        <v>1019</v>
      </c>
      <c r="S398" s="41">
        <f>IF(Purchase[[#This Row],[Status]]="Cancelled",0,Purchase[[#This Row],[Qty]])</f>
        <v>8</v>
      </c>
      <c r="T398" s="146">
        <f>IF(Purchase[[#This Row],[Status]]="Cancelled",0,Purchase[[#This Row],[Total Amount]])</f>
        <v>266717.76</v>
      </c>
      <c r="U398" s="146">
        <f>SUM(Purchase[Net Amount])</f>
        <v>814985438.68000126</v>
      </c>
    </row>
    <row r="399" spans="1:21" ht="19.5" thickBot="1" x14ac:dyDescent="0.3">
      <c r="A399" s="136" t="s">
        <v>1431</v>
      </c>
      <c r="B399" s="137">
        <v>45678</v>
      </c>
      <c r="C399" s="138" t="s">
        <v>587</v>
      </c>
      <c r="D399" s="138" t="str">
        <f>VLOOKUP(Purchase[[#This Row],[Supplier ID]],Supplier[#All],2,0)</f>
        <v>maa distributors</v>
      </c>
      <c r="E399" s="138">
        <f>VLOOKUP(Purchase[[#This Row],[Supplier ID]],Supplier[#All],3,0)</f>
        <v>9689542479</v>
      </c>
      <c r="F399" s="138" t="str">
        <f>VLOOKUP(Purchase[[#This Row],[Supplier ID]],Supplier[#All],4,0)</f>
        <v>Indore</v>
      </c>
      <c r="G399" s="138" t="str">
        <f>VLOOKUP(Purchase[[#This Row],[Supplier ID]],Supplier[#All],5,0)</f>
        <v>MP</v>
      </c>
      <c r="H399" s="138" t="str">
        <f>VLOOKUP(Purchase[[#This Row],[Supplier ID]],Supplier[#All],6,0)</f>
        <v>GST2154521T033</v>
      </c>
      <c r="I399" s="138" t="s">
        <v>67</v>
      </c>
      <c r="J399" s="139">
        <v>23</v>
      </c>
      <c r="K399" s="143">
        <f>VLOOKUP(Purchase[[#This Row],[Product ID]],Product[#All],6,0)</f>
        <v>2409</v>
      </c>
      <c r="L399" s="143">
        <f>Purchase[[#This Row],[Purchase Rate]]*Purchase[[#This Row],[Qty]]</f>
        <v>55407</v>
      </c>
      <c r="M399" s="140">
        <v>0</v>
      </c>
      <c r="N399" s="143">
        <v>0</v>
      </c>
      <c r="O399" s="140">
        <v>0.18</v>
      </c>
      <c r="P399" s="145">
        <f>(Purchase[[#This Row],[Gross Amount]]-Purchase[[#This Row],[Disct %]])*Purchase[[#This Row],[GST %]]</f>
        <v>9973.26</v>
      </c>
      <c r="Q399" s="145">
        <f>Purchase[[#This Row],[Gross Amount]]-Purchase[[#This Row],[Disct Amnt]]+Purchase[[#This Row],[GST Amount]]</f>
        <v>65380.26</v>
      </c>
      <c r="R399" s="138" t="s">
        <v>1019</v>
      </c>
      <c r="S399" s="41">
        <f>IF(Purchase[[#This Row],[Status]]="Cancelled",0,Purchase[[#This Row],[Qty]])</f>
        <v>23</v>
      </c>
      <c r="T399" s="146">
        <f>IF(Purchase[[#This Row],[Status]]="Cancelled",0,Purchase[[#This Row],[Total Amount]])</f>
        <v>65380.26</v>
      </c>
      <c r="U399" s="146">
        <f>SUM(Purchase[Net Amount])</f>
        <v>814985438.68000126</v>
      </c>
    </row>
    <row r="400" spans="1:21" ht="19.5" thickBot="1" x14ac:dyDescent="0.3">
      <c r="A400" s="136" t="s">
        <v>1432</v>
      </c>
      <c r="B400" s="137">
        <v>45678</v>
      </c>
      <c r="C400" s="138" t="s">
        <v>582</v>
      </c>
      <c r="D400" s="138" t="str">
        <f>VLOOKUP(Purchase[[#This Row],[Supplier ID]],Supplier[#All],2,0)</f>
        <v>Tech Distributors</v>
      </c>
      <c r="E400" s="138">
        <f>VLOOKUP(Purchase[[#This Row],[Supplier ID]],Supplier[#All],3,0)</f>
        <v>9689542466</v>
      </c>
      <c r="F400" s="138" t="str">
        <f>VLOOKUP(Purchase[[#This Row],[Supplier ID]],Supplier[#All],4,0)</f>
        <v>Indore</v>
      </c>
      <c r="G400" s="138" t="str">
        <f>VLOOKUP(Purchase[[#This Row],[Supplier ID]],Supplier[#All],5,0)</f>
        <v>MP</v>
      </c>
      <c r="H400" s="138" t="str">
        <f>VLOOKUP(Purchase[[#This Row],[Supplier ID]],Supplier[#All],6,0)</f>
        <v>GST2154521T028</v>
      </c>
      <c r="I400" s="138" t="s">
        <v>360</v>
      </c>
      <c r="J400" s="139">
        <v>18</v>
      </c>
      <c r="K400" s="143">
        <f>VLOOKUP(Purchase[[#This Row],[Product ID]],Product[#All],6,0)</f>
        <v>23122</v>
      </c>
      <c r="L400" s="143">
        <f>Purchase[[#This Row],[Purchase Rate]]*Purchase[[#This Row],[Qty]]</f>
        <v>416196</v>
      </c>
      <c r="M400" s="140">
        <v>0</v>
      </c>
      <c r="N400" s="143">
        <v>0</v>
      </c>
      <c r="O400" s="140">
        <v>0.18</v>
      </c>
      <c r="P400" s="145">
        <f>(Purchase[[#This Row],[Gross Amount]]-Purchase[[#This Row],[Disct %]])*Purchase[[#This Row],[GST %]]</f>
        <v>74915.28</v>
      </c>
      <c r="Q400" s="145">
        <f>Purchase[[#This Row],[Gross Amount]]-Purchase[[#This Row],[Disct Amnt]]+Purchase[[#This Row],[GST Amount]]</f>
        <v>491111.28</v>
      </c>
      <c r="R400" s="138" t="s">
        <v>1019</v>
      </c>
      <c r="S400" s="41">
        <f>IF(Purchase[[#This Row],[Status]]="Cancelled",0,Purchase[[#This Row],[Qty]])</f>
        <v>18</v>
      </c>
      <c r="T400" s="146">
        <f>IF(Purchase[[#This Row],[Status]]="Cancelled",0,Purchase[[#This Row],[Total Amount]])</f>
        <v>491111.28</v>
      </c>
      <c r="U400" s="146">
        <f>SUM(Purchase[Net Amount])</f>
        <v>814985438.68000126</v>
      </c>
    </row>
    <row r="401" spans="1:21" ht="19.5" thickBot="1" x14ac:dyDescent="0.3">
      <c r="A401" s="136" t="s">
        <v>1433</v>
      </c>
      <c r="B401" s="137">
        <v>45678</v>
      </c>
      <c r="C401" s="138" t="s">
        <v>600</v>
      </c>
      <c r="D401" s="138" t="str">
        <f>VLOOKUP(Purchase[[#This Row],[Supplier ID]],Supplier[#All],2,0)</f>
        <v>Prime Suppliers</v>
      </c>
      <c r="E401" s="138">
        <f>VLOOKUP(Purchase[[#This Row],[Supplier ID]],Supplier[#All],3,0)</f>
        <v>9689542483</v>
      </c>
      <c r="F401" s="138" t="str">
        <f>VLOOKUP(Purchase[[#This Row],[Supplier ID]],Supplier[#All],4,0)</f>
        <v>Korba</v>
      </c>
      <c r="G401" s="138" t="str">
        <f>VLOOKUP(Purchase[[#This Row],[Supplier ID]],Supplier[#All],5,0)</f>
        <v>CG</v>
      </c>
      <c r="H401" s="138" t="str">
        <f>VLOOKUP(Purchase[[#This Row],[Supplier ID]],Supplier[#All],6,0)</f>
        <v>GST2154521T045</v>
      </c>
      <c r="I401" s="138" t="s">
        <v>494</v>
      </c>
      <c r="J401" s="139">
        <v>32</v>
      </c>
      <c r="K401" s="143">
        <f>VLOOKUP(Purchase[[#This Row],[Product ID]],Product[#All],6,0)</f>
        <v>549</v>
      </c>
      <c r="L401" s="143">
        <f>Purchase[[#This Row],[Purchase Rate]]*Purchase[[#This Row],[Qty]]</f>
        <v>17568</v>
      </c>
      <c r="M401" s="140">
        <v>0</v>
      </c>
      <c r="N401" s="143">
        <v>0</v>
      </c>
      <c r="O401" s="140">
        <v>0.18</v>
      </c>
      <c r="P401" s="145">
        <f>(Purchase[[#This Row],[Gross Amount]]-Purchase[[#This Row],[Disct %]])*Purchase[[#This Row],[GST %]]</f>
        <v>3162.24</v>
      </c>
      <c r="Q401" s="145">
        <f>Purchase[[#This Row],[Gross Amount]]-Purchase[[#This Row],[Disct Amnt]]+Purchase[[#This Row],[GST Amount]]</f>
        <v>20730.239999999998</v>
      </c>
      <c r="R401" s="138" t="s">
        <v>1019</v>
      </c>
      <c r="S401" s="41">
        <f>IF(Purchase[[#This Row],[Status]]="Cancelled",0,Purchase[[#This Row],[Qty]])</f>
        <v>32</v>
      </c>
      <c r="T401" s="146">
        <f>IF(Purchase[[#This Row],[Status]]="Cancelled",0,Purchase[[#This Row],[Total Amount]])</f>
        <v>20730.239999999998</v>
      </c>
      <c r="U401" s="146">
        <f>SUM(Purchase[Net Amount])</f>
        <v>814985438.68000126</v>
      </c>
    </row>
    <row r="402" spans="1:21" ht="19.5" thickBot="1" x14ac:dyDescent="0.3">
      <c r="A402" s="136" t="s">
        <v>1434</v>
      </c>
      <c r="B402" s="137">
        <v>45678</v>
      </c>
      <c r="C402" s="138" t="s">
        <v>581</v>
      </c>
      <c r="D402" s="138" t="str">
        <f>VLOOKUP(Purchase[[#This Row],[Supplier ID]],Supplier[#All],2,0)</f>
        <v>Prime Electronics</v>
      </c>
      <c r="E402" s="138">
        <f>VLOOKUP(Purchase[[#This Row],[Supplier ID]],Supplier[#All],3,0)</f>
        <v>9689542465</v>
      </c>
      <c r="F402" s="138" t="str">
        <f>VLOOKUP(Purchase[[#This Row],[Supplier ID]],Supplier[#All],4,0)</f>
        <v>Korba</v>
      </c>
      <c r="G402" s="138" t="str">
        <f>VLOOKUP(Purchase[[#This Row],[Supplier ID]],Supplier[#All],5,0)</f>
        <v>CG</v>
      </c>
      <c r="H402" s="138" t="str">
        <f>VLOOKUP(Purchase[[#This Row],[Supplier ID]],Supplier[#All],6,0)</f>
        <v>GST2154521T027</v>
      </c>
      <c r="I402" s="138" t="s">
        <v>409</v>
      </c>
      <c r="J402" s="139">
        <v>19</v>
      </c>
      <c r="K402" s="143">
        <f>VLOOKUP(Purchase[[#This Row],[Product ID]],Product[#All],6,0)</f>
        <v>644</v>
      </c>
      <c r="L402" s="143">
        <f>Purchase[[#This Row],[Purchase Rate]]*Purchase[[#This Row],[Qty]]</f>
        <v>12236</v>
      </c>
      <c r="M402" s="140">
        <v>0</v>
      </c>
      <c r="N402" s="143">
        <v>0</v>
      </c>
      <c r="O402" s="140">
        <v>0.18</v>
      </c>
      <c r="P402" s="145">
        <f>(Purchase[[#This Row],[Gross Amount]]-Purchase[[#This Row],[Disct %]])*Purchase[[#This Row],[GST %]]</f>
        <v>2202.48</v>
      </c>
      <c r="Q402" s="145">
        <f>Purchase[[#This Row],[Gross Amount]]-Purchase[[#This Row],[Disct Amnt]]+Purchase[[#This Row],[GST Amount]]</f>
        <v>14438.48</v>
      </c>
      <c r="R402" s="138" t="s">
        <v>1019</v>
      </c>
      <c r="S402" s="41">
        <f>IF(Purchase[[#This Row],[Status]]="Cancelled",0,Purchase[[#This Row],[Qty]])</f>
        <v>19</v>
      </c>
      <c r="T402" s="146">
        <f>IF(Purchase[[#This Row],[Status]]="Cancelled",0,Purchase[[#This Row],[Total Amount]])</f>
        <v>14438.48</v>
      </c>
      <c r="U402" s="146">
        <f>SUM(Purchase[Net Amount])</f>
        <v>814985438.68000126</v>
      </c>
    </row>
    <row r="403" spans="1:21" ht="19.5" thickBot="1" x14ac:dyDescent="0.3">
      <c r="A403" s="136" t="s">
        <v>1435</v>
      </c>
      <c r="B403" s="137">
        <v>45678</v>
      </c>
      <c r="C403" s="138" t="s">
        <v>581</v>
      </c>
      <c r="D403" s="138" t="str">
        <f>VLOOKUP(Purchase[[#This Row],[Supplier ID]],Supplier[#All],2,0)</f>
        <v>Prime Electronics</v>
      </c>
      <c r="E403" s="138">
        <f>VLOOKUP(Purchase[[#This Row],[Supplier ID]],Supplier[#All],3,0)</f>
        <v>9689542465</v>
      </c>
      <c r="F403" s="138" t="str">
        <f>VLOOKUP(Purchase[[#This Row],[Supplier ID]],Supplier[#All],4,0)</f>
        <v>Korba</v>
      </c>
      <c r="G403" s="138" t="str">
        <f>VLOOKUP(Purchase[[#This Row],[Supplier ID]],Supplier[#All],5,0)</f>
        <v>CG</v>
      </c>
      <c r="H403" s="138" t="str">
        <f>VLOOKUP(Purchase[[#This Row],[Supplier ID]],Supplier[#All],6,0)</f>
        <v>GST2154521T027</v>
      </c>
      <c r="I403" s="138" t="s">
        <v>433</v>
      </c>
      <c r="J403" s="139">
        <v>34</v>
      </c>
      <c r="K403" s="143">
        <f>VLOOKUP(Purchase[[#This Row],[Product ID]],Product[#All],6,0)</f>
        <v>10926</v>
      </c>
      <c r="L403" s="143">
        <f>Purchase[[#This Row],[Purchase Rate]]*Purchase[[#This Row],[Qty]]</f>
        <v>371484</v>
      </c>
      <c r="M403" s="140">
        <v>0</v>
      </c>
      <c r="N403" s="143">
        <v>0</v>
      </c>
      <c r="O403" s="140">
        <v>0.18</v>
      </c>
      <c r="P403" s="145">
        <f>(Purchase[[#This Row],[Gross Amount]]-Purchase[[#This Row],[Disct %]])*Purchase[[#This Row],[GST %]]</f>
        <v>66867.12</v>
      </c>
      <c r="Q403" s="145">
        <f>Purchase[[#This Row],[Gross Amount]]-Purchase[[#This Row],[Disct Amnt]]+Purchase[[#This Row],[GST Amount]]</f>
        <v>438351.12</v>
      </c>
      <c r="R403" s="138" t="s">
        <v>1019</v>
      </c>
      <c r="S403" s="41">
        <f>IF(Purchase[[#This Row],[Status]]="Cancelled",0,Purchase[[#This Row],[Qty]])</f>
        <v>34</v>
      </c>
      <c r="T403" s="146">
        <f>IF(Purchase[[#This Row],[Status]]="Cancelled",0,Purchase[[#This Row],[Total Amount]])</f>
        <v>438351.12</v>
      </c>
      <c r="U403" s="146">
        <f>SUM(Purchase[Net Amount])</f>
        <v>814985438.68000126</v>
      </c>
    </row>
    <row r="404" spans="1:21" ht="19.5" thickBot="1" x14ac:dyDescent="0.3">
      <c r="A404" s="136" t="s">
        <v>1436</v>
      </c>
      <c r="B404" s="137">
        <v>45678</v>
      </c>
      <c r="C404" s="138" t="s">
        <v>597</v>
      </c>
      <c r="D404" s="138" t="str">
        <f>VLOOKUP(Purchase[[#This Row],[Supplier ID]],Supplier[#All],2,0)</f>
        <v>Tech Traders</v>
      </c>
      <c r="E404" s="138">
        <f>VLOOKUP(Purchase[[#This Row],[Supplier ID]],Supplier[#All],3,0)</f>
        <v>9689542480</v>
      </c>
      <c r="F404" s="138" t="str">
        <f>VLOOKUP(Purchase[[#This Row],[Supplier ID]],Supplier[#All],4,0)</f>
        <v>Kanpur</v>
      </c>
      <c r="G404" s="138" t="str">
        <f>VLOOKUP(Purchase[[#This Row],[Supplier ID]],Supplier[#All],5,0)</f>
        <v>UP</v>
      </c>
      <c r="H404" s="138" t="str">
        <f>VLOOKUP(Purchase[[#This Row],[Supplier ID]],Supplier[#All],6,0)</f>
        <v>GST2154521T042</v>
      </c>
      <c r="I404" s="138" t="s">
        <v>362</v>
      </c>
      <c r="J404" s="139">
        <v>20</v>
      </c>
      <c r="K404" s="143">
        <f>VLOOKUP(Purchase[[#This Row],[Product ID]],Product[#All],6,0)</f>
        <v>3403</v>
      </c>
      <c r="L404" s="143">
        <f>Purchase[[#This Row],[Purchase Rate]]*Purchase[[#This Row],[Qty]]</f>
        <v>68060</v>
      </c>
      <c r="M404" s="140">
        <v>0</v>
      </c>
      <c r="N404" s="143">
        <v>0</v>
      </c>
      <c r="O404" s="140">
        <v>0.18</v>
      </c>
      <c r="P404" s="145">
        <f>(Purchase[[#This Row],[Gross Amount]]-Purchase[[#This Row],[Disct %]])*Purchase[[#This Row],[GST %]]</f>
        <v>12250.8</v>
      </c>
      <c r="Q404" s="145">
        <f>Purchase[[#This Row],[Gross Amount]]-Purchase[[#This Row],[Disct Amnt]]+Purchase[[#This Row],[GST Amount]]</f>
        <v>80310.8</v>
      </c>
      <c r="R404" s="138" t="s">
        <v>1019</v>
      </c>
      <c r="S404" s="41">
        <f>IF(Purchase[[#This Row],[Status]]="Cancelled",0,Purchase[[#This Row],[Qty]])</f>
        <v>20</v>
      </c>
      <c r="T404" s="146">
        <f>IF(Purchase[[#This Row],[Status]]="Cancelled",0,Purchase[[#This Row],[Total Amount]])</f>
        <v>80310.8</v>
      </c>
      <c r="U404" s="146">
        <f>SUM(Purchase[Net Amount])</f>
        <v>814985438.68000126</v>
      </c>
    </row>
    <row r="405" spans="1:21" ht="19.5" thickBot="1" x14ac:dyDescent="0.3">
      <c r="A405" s="136" t="s">
        <v>1437</v>
      </c>
      <c r="B405" s="137">
        <v>45678</v>
      </c>
      <c r="C405" s="138" t="s">
        <v>585</v>
      </c>
      <c r="D405" s="138" t="str">
        <f>VLOOKUP(Purchase[[#This Row],[Supplier ID]],Supplier[#All],2,0)</f>
        <v>Tech Computers</v>
      </c>
      <c r="E405" s="138">
        <f>VLOOKUP(Purchase[[#This Row],[Supplier ID]],Supplier[#All],3,0)</f>
        <v>9689542469</v>
      </c>
      <c r="F405" s="138" t="str">
        <f>VLOOKUP(Purchase[[#This Row],[Supplier ID]],Supplier[#All],4,0)</f>
        <v>Korba</v>
      </c>
      <c r="G405" s="138" t="str">
        <f>VLOOKUP(Purchase[[#This Row],[Supplier ID]],Supplier[#All],5,0)</f>
        <v>CG</v>
      </c>
      <c r="H405" s="138" t="str">
        <f>VLOOKUP(Purchase[[#This Row],[Supplier ID]],Supplier[#All],6,0)</f>
        <v>GST2154521T031</v>
      </c>
      <c r="I405" s="138" t="s">
        <v>406</v>
      </c>
      <c r="J405" s="139">
        <v>31</v>
      </c>
      <c r="K405" s="143">
        <f>VLOOKUP(Purchase[[#This Row],[Product ID]],Product[#All],6,0)</f>
        <v>1517</v>
      </c>
      <c r="L405" s="143">
        <f>Purchase[[#This Row],[Purchase Rate]]*Purchase[[#This Row],[Qty]]</f>
        <v>47027</v>
      </c>
      <c r="M405" s="140">
        <v>0</v>
      </c>
      <c r="N405" s="143">
        <v>0</v>
      </c>
      <c r="O405" s="140">
        <v>0.18</v>
      </c>
      <c r="P405" s="145">
        <f>(Purchase[[#This Row],[Gross Amount]]-Purchase[[#This Row],[Disct %]])*Purchase[[#This Row],[GST %]]</f>
        <v>8464.86</v>
      </c>
      <c r="Q405" s="145">
        <f>Purchase[[#This Row],[Gross Amount]]-Purchase[[#This Row],[Disct Amnt]]+Purchase[[#This Row],[GST Amount]]</f>
        <v>55491.86</v>
      </c>
      <c r="R405" s="138" t="s">
        <v>1019</v>
      </c>
      <c r="S405" s="41">
        <f>IF(Purchase[[#This Row],[Status]]="Cancelled",0,Purchase[[#This Row],[Qty]])</f>
        <v>31</v>
      </c>
      <c r="T405" s="146">
        <f>IF(Purchase[[#This Row],[Status]]="Cancelled",0,Purchase[[#This Row],[Total Amount]])</f>
        <v>55491.86</v>
      </c>
      <c r="U405" s="146">
        <f>SUM(Purchase[Net Amount])</f>
        <v>814985438.68000126</v>
      </c>
    </row>
    <row r="406" spans="1:21" ht="19.5" thickBot="1" x14ac:dyDescent="0.3">
      <c r="A406" s="136" t="s">
        <v>1438</v>
      </c>
      <c r="B406" s="137">
        <v>45678</v>
      </c>
      <c r="C406" s="138" t="s">
        <v>613</v>
      </c>
      <c r="D406" s="138" t="str">
        <f>VLOOKUP(Purchase[[#This Row],[Supplier ID]],Supplier[#All],2,0)</f>
        <v>National Traders</v>
      </c>
      <c r="E406" s="138">
        <f>VLOOKUP(Purchase[[#This Row],[Supplier ID]],Supplier[#All],3,0)</f>
        <v>9689542496</v>
      </c>
      <c r="F406" s="138" t="str">
        <f>VLOOKUP(Purchase[[#This Row],[Supplier ID]],Supplier[#All],4,0)</f>
        <v>Indore</v>
      </c>
      <c r="G406" s="138" t="str">
        <f>VLOOKUP(Purchase[[#This Row],[Supplier ID]],Supplier[#All],5,0)</f>
        <v>MP</v>
      </c>
      <c r="H406" s="138" t="str">
        <f>VLOOKUP(Purchase[[#This Row],[Supplier ID]],Supplier[#All],6,0)</f>
        <v>GST2154521T058</v>
      </c>
      <c r="I406" s="138" t="s">
        <v>213</v>
      </c>
      <c r="J406" s="139">
        <v>18</v>
      </c>
      <c r="K406" s="143">
        <f>VLOOKUP(Purchase[[#This Row],[Product ID]],Product[#All],6,0)</f>
        <v>3086</v>
      </c>
      <c r="L406" s="143">
        <f>Purchase[[#This Row],[Purchase Rate]]*Purchase[[#This Row],[Qty]]</f>
        <v>55548</v>
      </c>
      <c r="M406" s="140">
        <v>0</v>
      </c>
      <c r="N406" s="143">
        <v>0</v>
      </c>
      <c r="O406" s="140">
        <v>0.18</v>
      </c>
      <c r="P406" s="145">
        <f>(Purchase[[#This Row],[Gross Amount]]-Purchase[[#This Row],[Disct %]])*Purchase[[#This Row],[GST %]]</f>
        <v>9998.64</v>
      </c>
      <c r="Q406" s="145">
        <f>Purchase[[#This Row],[Gross Amount]]-Purchase[[#This Row],[Disct Amnt]]+Purchase[[#This Row],[GST Amount]]</f>
        <v>65546.64</v>
      </c>
      <c r="R406" s="138" t="s">
        <v>1019</v>
      </c>
      <c r="S406" s="41">
        <f>IF(Purchase[[#This Row],[Status]]="Cancelled",0,Purchase[[#This Row],[Qty]])</f>
        <v>18</v>
      </c>
      <c r="T406" s="146">
        <f>IF(Purchase[[#This Row],[Status]]="Cancelled",0,Purchase[[#This Row],[Total Amount]])</f>
        <v>65546.64</v>
      </c>
      <c r="U406" s="146">
        <f>SUM(Purchase[Net Amount])</f>
        <v>814985438.68000126</v>
      </c>
    </row>
    <row r="407" spans="1:21" ht="19.5" thickBot="1" x14ac:dyDescent="0.3">
      <c r="A407" s="136" t="s">
        <v>1439</v>
      </c>
      <c r="B407" s="137">
        <v>45678</v>
      </c>
      <c r="C407" s="138" t="s">
        <v>570</v>
      </c>
      <c r="D407" s="138" t="str">
        <f>VLOOKUP(Purchase[[#This Row],[Supplier ID]],Supplier[#All],2,0)</f>
        <v>Prime Traders</v>
      </c>
      <c r="E407" s="138">
        <f>VLOOKUP(Purchase[[#This Row],[Supplier ID]],Supplier[#All],3,0)</f>
        <v>9689542456</v>
      </c>
      <c r="F407" s="138" t="str">
        <f>VLOOKUP(Purchase[[#This Row],[Supplier ID]],Supplier[#All],4,0)</f>
        <v>Indore</v>
      </c>
      <c r="G407" s="138" t="str">
        <f>VLOOKUP(Purchase[[#This Row],[Supplier ID]],Supplier[#All],5,0)</f>
        <v>MP</v>
      </c>
      <c r="H407" s="138" t="str">
        <f>VLOOKUP(Purchase[[#This Row],[Supplier ID]],Supplier[#All],6,0)</f>
        <v>GST2154521T018</v>
      </c>
      <c r="I407" s="138" t="s">
        <v>368</v>
      </c>
      <c r="J407" s="139">
        <v>11</v>
      </c>
      <c r="K407" s="143">
        <f>VLOOKUP(Purchase[[#This Row],[Product ID]],Product[#All],6,0)</f>
        <v>1031</v>
      </c>
      <c r="L407" s="143">
        <f>Purchase[[#This Row],[Purchase Rate]]*Purchase[[#This Row],[Qty]]</f>
        <v>11341</v>
      </c>
      <c r="M407" s="140">
        <v>0</v>
      </c>
      <c r="N407" s="143">
        <v>0</v>
      </c>
      <c r="O407" s="140">
        <v>0.18</v>
      </c>
      <c r="P407" s="145">
        <f>(Purchase[[#This Row],[Gross Amount]]-Purchase[[#This Row],[Disct %]])*Purchase[[#This Row],[GST %]]</f>
        <v>2041.3799999999999</v>
      </c>
      <c r="Q407" s="145">
        <f>Purchase[[#This Row],[Gross Amount]]-Purchase[[#This Row],[Disct Amnt]]+Purchase[[#This Row],[GST Amount]]</f>
        <v>13382.38</v>
      </c>
      <c r="R407" s="138" t="s">
        <v>1040</v>
      </c>
      <c r="S407" s="41">
        <f>IF(Purchase[[#This Row],[Status]]="Cancelled",0,Purchase[[#This Row],[Qty]])</f>
        <v>0</v>
      </c>
      <c r="T407" s="146">
        <f>IF(Purchase[[#This Row],[Status]]="Cancelled",0,Purchase[[#This Row],[Total Amount]])</f>
        <v>0</v>
      </c>
      <c r="U407" s="146">
        <f>SUM(Purchase[Net Amount])</f>
        <v>814985438.68000126</v>
      </c>
    </row>
    <row r="408" spans="1:21" ht="19.5" thickBot="1" x14ac:dyDescent="0.3">
      <c r="A408" s="136" t="s">
        <v>1440</v>
      </c>
      <c r="B408" s="137">
        <v>45678</v>
      </c>
      <c r="C408" s="138" t="s">
        <v>567</v>
      </c>
      <c r="D408" s="138" t="str">
        <f>VLOOKUP(Purchase[[#This Row],[Supplier ID]],Supplier[#All],2,0)</f>
        <v>National Distributors</v>
      </c>
      <c r="E408" s="138">
        <f>VLOOKUP(Purchase[[#This Row],[Supplier ID]],Supplier[#All],3,0)</f>
        <v>9689542453</v>
      </c>
      <c r="F408" s="138" t="str">
        <f>VLOOKUP(Purchase[[#This Row],[Supplier ID]],Supplier[#All],4,0)</f>
        <v>Korba</v>
      </c>
      <c r="G408" s="138" t="str">
        <f>VLOOKUP(Purchase[[#This Row],[Supplier ID]],Supplier[#All],5,0)</f>
        <v>CG</v>
      </c>
      <c r="H408" s="138" t="str">
        <f>VLOOKUP(Purchase[[#This Row],[Supplier ID]],Supplier[#All],6,0)</f>
        <v>GST2154521T015</v>
      </c>
      <c r="I408" s="138" t="s">
        <v>227</v>
      </c>
      <c r="J408" s="139">
        <v>24</v>
      </c>
      <c r="K408" s="143">
        <f>VLOOKUP(Purchase[[#This Row],[Product ID]],Product[#All],6,0)</f>
        <v>11911</v>
      </c>
      <c r="L408" s="143">
        <f>Purchase[[#This Row],[Purchase Rate]]*Purchase[[#This Row],[Qty]]</f>
        <v>285864</v>
      </c>
      <c r="M408" s="140">
        <v>0</v>
      </c>
      <c r="N408" s="143">
        <v>0</v>
      </c>
      <c r="O408" s="140">
        <v>0.18</v>
      </c>
      <c r="P408" s="145">
        <f>(Purchase[[#This Row],[Gross Amount]]-Purchase[[#This Row],[Disct %]])*Purchase[[#This Row],[GST %]]</f>
        <v>51455.519999999997</v>
      </c>
      <c r="Q408" s="145">
        <f>Purchase[[#This Row],[Gross Amount]]-Purchase[[#This Row],[Disct Amnt]]+Purchase[[#This Row],[GST Amount]]</f>
        <v>337319.52</v>
      </c>
      <c r="R408" s="138" t="s">
        <v>1019</v>
      </c>
      <c r="S408" s="41">
        <f>IF(Purchase[[#This Row],[Status]]="Cancelled",0,Purchase[[#This Row],[Qty]])</f>
        <v>24</v>
      </c>
      <c r="T408" s="146">
        <f>IF(Purchase[[#This Row],[Status]]="Cancelled",0,Purchase[[#This Row],[Total Amount]])</f>
        <v>337319.52</v>
      </c>
      <c r="U408" s="146">
        <f>SUM(Purchase[Net Amount])</f>
        <v>814985438.68000126</v>
      </c>
    </row>
    <row r="409" spans="1:21" ht="19.5" thickBot="1" x14ac:dyDescent="0.3">
      <c r="A409" s="136" t="s">
        <v>1441</v>
      </c>
      <c r="B409" s="137">
        <v>45678</v>
      </c>
      <c r="C409" s="138" t="s">
        <v>573</v>
      </c>
      <c r="D409" s="138" t="str">
        <f>VLOOKUP(Purchase[[#This Row],[Supplier ID]],Supplier[#All],2,0)</f>
        <v>Shree Traders</v>
      </c>
      <c r="E409" s="138">
        <f>VLOOKUP(Purchase[[#This Row],[Supplier ID]],Supplier[#All],3,0)</f>
        <v>9689542458</v>
      </c>
      <c r="F409" s="138" t="str">
        <f>VLOOKUP(Purchase[[#This Row],[Supplier ID]],Supplier[#All],4,0)</f>
        <v>Korba</v>
      </c>
      <c r="G409" s="138" t="str">
        <f>VLOOKUP(Purchase[[#This Row],[Supplier ID]],Supplier[#All],5,0)</f>
        <v>CG</v>
      </c>
      <c r="H409" s="138" t="str">
        <f>VLOOKUP(Purchase[[#This Row],[Supplier ID]],Supplier[#All],6,0)</f>
        <v>GST2154521T020</v>
      </c>
      <c r="I409" s="138" t="s">
        <v>367</v>
      </c>
      <c r="J409" s="139">
        <v>39</v>
      </c>
      <c r="K409" s="143">
        <f>VLOOKUP(Purchase[[#This Row],[Product ID]],Product[#All],6,0)</f>
        <v>4278</v>
      </c>
      <c r="L409" s="143">
        <f>Purchase[[#This Row],[Purchase Rate]]*Purchase[[#This Row],[Qty]]</f>
        <v>166842</v>
      </c>
      <c r="M409" s="140">
        <v>0</v>
      </c>
      <c r="N409" s="143">
        <v>0</v>
      </c>
      <c r="O409" s="140">
        <v>0.18</v>
      </c>
      <c r="P409" s="145">
        <f>(Purchase[[#This Row],[Gross Amount]]-Purchase[[#This Row],[Disct %]])*Purchase[[#This Row],[GST %]]</f>
        <v>30031.559999999998</v>
      </c>
      <c r="Q409" s="145">
        <f>Purchase[[#This Row],[Gross Amount]]-Purchase[[#This Row],[Disct Amnt]]+Purchase[[#This Row],[GST Amount]]</f>
        <v>196873.56</v>
      </c>
      <c r="R409" s="138" t="s">
        <v>1019</v>
      </c>
      <c r="S409" s="41">
        <f>IF(Purchase[[#This Row],[Status]]="Cancelled",0,Purchase[[#This Row],[Qty]])</f>
        <v>39</v>
      </c>
      <c r="T409" s="146">
        <f>IF(Purchase[[#This Row],[Status]]="Cancelled",0,Purchase[[#This Row],[Total Amount]])</f>
        <v>196873.56</v>
      </c>
      <c r="U409" s="146">
        <f>SUM(Purchase[Net Amount])</f>
        <v>814985438.68000126</v>
      </c>
    </row>
    <row r="410" spans="1:21" ht="19.5" thickBot="1" x14ac:dyDescent="0.3">
      <c r="A410" s="136" t="s">
        <v>1442</v>
      </c>
      <c r="B410" s="137">
        <v>45678</v>
      </c>
      <c r="C410" s="138" t="s">
        <v>610</v>
      </c>
      <c r="D410" s="138" t="str">
        <f>VLOOKUP(Purchase[[#This Row],[Supplier ID]],Supplier[#All],2,0)</f>
        <v>Shree Electronics</v>
      </c>
      <c r="E410" s="138">
        <f>VLOOKUP(Purchase[[#This Row],[Supplier ID]],Supplier[#All],3,0)</f>
        <v>9689542493</v>
      </c>
      <c r="F410" s="138" t="str">
        <f>VLOOKUP(Purchase[[#This Row],[Supplier ID]],Supplier[#All],4,0)</f>
        <v>Kanpur</v>
      </c>
      <c r="G410" s="138" t="str">
        <f>VLOOKUP(Purchase[[#This Row],[Supplier ID]],Supplier[#All],5,0)</f>
        <v>UP</v>
      </c>
      <c r="H410" s="138" t="str">
        <f>VLOOKUP(Purchase[[#This Row],[Supplier ID]],Supplier[#All],6,0)</f>
        <v>GST2154521T055</v>
      </c>
      <c r="I410" s="138" t="s">
        <v>190</v>
      </c>
      <c r="J410" s="139">
        <v>26</v>
      </c>
      <c r="K410" s="143">
        <f>VLOOKUP(Purchase[[#This Row],[Product ID]],Product[#All],6,0)</f>
        <v>15766</v>
      </c>
      <c r="L410" s="143">
        <f>Purchase[[#This Row],[Purchase Rate]]*Purchase[[#This Row],[Qty]]</f>
        <v>409916</v>
      </c>
      <c r="M410" s="140">
        <v>0</v>
      </c>
      <c r="N410" s="143">
        <v>0</v>
      </c>
      <c r="O410" s="140">
        <v>0.18</v>
      </c>
      <c r="P410" s="145">
        <f>(Purchase[[#This Row],[Gross Amount]]-Purchase[[#This Row],[Disct %]])*Purchase[[#This Row],[GST %]]</f>
        <v>73784.87999999999</v>
      </c>
      <c r="Q410" s="145">
        <f>Purchase[[#This Row],[Gross Amount]]-Purchase[[#This Row],[Disct Amnt]]+Purchase[[#This Row],[GST Amount]]</f>
        <v>483700.88</v>
      </c>
      <c r="R410" s="138" t="s">
        <v>1019</v>
      </c>
      <c r="S410" s="41">
        <f>IF(Purchase[[#This Row],[Status]]="Cancelled",0,Purchase[[#This Row],[Qty]])</f>
        <v>26</v>
      </c>
      <c r="T410" s="146">
        <f>IF(Purchase[[#This Row],[Status]]="Cancelled",0,Purchase[[#This Row],[Total Amount]])</f>
        <v>483700.88</v>
      </c>
      <c r="U410" s="146">
        <f>SUM(Purchase[Net Amount])</f>
        <v>814985438.68000126</v>
      </c>
    </row>
    <row r="411" spans="1:21" ht="19.5" thickBot="1" x14ac:dyDescent="0.3">
      <c r="A411" s="136" t="s">
        <v>1443</v>
      </c>
      <c r="B411" s="137">
        <v>45678</v>
      </c>
      <c r="C411" s="138" t="s">
        <v>599</v>
      </c>
      <c r="D411" s="138" t="str">
        <f>VLOOKUP(Purchase[[#This Row],[Supplier ID]],Supplier[#All],2,0)</f>
        <v>National Distributors</v>
      </c>
      <c r="E411" s="138">
        <f>VLOOKUP(Purchase[[#This Row],[Supplier ID]],Supplier[#All],3,0)</f>
        <v>9689542482</v>
      </c>
      <c r="F411" s="138" t="str">
        <f>VLOOKUP(Purchase[[#This Row],[Supplier ID]],Supplier[#All],4,0)</f>
        <v>Kanpur</v>
      </c>
      <c r="G411" s="138" t="str">
        <f>VLOOKUP(Purchase[[#This Row],[Supplier ID]],Supplier[#All],5,0)</f>
        <v>UP</v>
      </c>
      <c r="H411" s="138" t="str">
        <f>VLOOKUP(Purchase[[#This Row],[Supplier ID]],Supplier[#All],6,0)</f>
        <v>GST2154521T044</v>
      </c>
      <c r="I411" s="138" t="s">
        <v>220</v>
      </c>
      <c r="J411" s="139">
        <v>11</v>
      </c>
      <c r="K411" s="143">
        <f>VLOOKUP(Purchase[[#This Row],[Product ID]],Product[#All],6,0)</f>
        <v>34163</v>
      </c>
      <c r="L411" s="143">
        <f>Purchase[[#This Row],[Purchase Rate]]*Purchase[[#This Row],[Qty]]</f>
        <v>375793</v>
      </c>
      <c r="M411" s="140">
        <v>0</v>
      </c>
      <c r="N411" s="143">
        <v>0</v>
      </c>
      <c r="O411" s="140">
        <v>0.18</v>
      </c>
      <c r="P411" s="145">
        <f>(Purchase[[#This Row],[Gross Amount]]-Purchase[[#This Row],[Disct %]])*Purchase[[#This Row],[GST %]]</f>
        <v>67642.739999999991</v>
      </c>
      <c r="Q411" s="145">
        <f>Purchase[[#This Row],[Gross Amount]]-Purchase[[#This Row],[Disct Amnt]]+Purchase[[#This Row],[GST Amount]]</f>
        <v>443435.74</v>
      </c>
      <c r="R411" s="138" t="s">
        <v>1019</v>
      </c>
      <c r="S411" s="41">
        <f>IF(Purchase[[#This Row],[Status]]="Cancelled",0,Purchase[[#This Row],[Qty]])</f>
        <v>11</v>
      </c>
      <c r="T411" s="146">
        <f>IF(Purchase[[#This Row],[Status]]="Cancelled",0,Purchase[[#This Row],[Total Amount]])</f>
        <v>443435.74</v>
      </c>
      <c r="U411" s="146">
        <f>SUM(Purchase[Net Amount])</f>
        <v>814985438.68000126</v>
      </c>
    </row>
    <row r="412" spans="1:21" ht="19.5" thickBot="1" x14ac:dyDescent="0.3">
      <c r="A412" s="136" t="s">
        <v>1444</v>
      </c>
      <c r="B412" s="137">
        <v>45678</v>
      </c>
      <c r="C412" s="138" t="s">
        <v>580</v>
      </c>
      <c r="D412" s="138" t="str">
        <f>VLOOKUP(Purchase[[#This Row],[Supplier ID]],Supplier[#All],2,0)</f>
        <v>Star Distributors</v>
      </c>
      <c r="E412" s="138">
        <f>VLOOKUP(Purchase[[#This Row],[Supplier ID]],Supplier[#All],3,0)</f>
        <v>9689542464</v>
      </c>
      <c r="F412" s="138" t="str">
        <f>VLOOKUP(Purchase[[#This Row],[Supplier ID]],Supplier[#All],4,0)</f>
        <v>Indore</v>
      </c>
      <c r="G412" s="138" t="str">
        <f>VLOOKUP(Purchase[[#This Row],[Supplier ID]],Supplier[#All],5,0)</f>
        <v>MP</v>
      </c>
      <c r="H412" s="138" t="str">
        <f>VLOOKUP(Purchase[[#This Row],[Supplier ID]],Supplier[#All],6,0)</f>
        <v>GST2154521T026</v>
      </c>
      <c r="I412" s="138" t="s">
        <v>397</v>
      </c>
      <c r="J412" s="139">
        <v>23</v>
      </c>
      <c r="K412" s="143">
        <f>VLOOKUP(Purchase[[#This Row],[Product ID]],Product[#All],6,0)</f>
        <v>60817</v>
      </c>
      <c r="L412" s="143">
        <f>Purchase[[#This Row],[Purchase Rate]]*Purchase[[#This Row],[Qty]]</f>
        <v>1398791</v>
      </c>
      <c r="M412" s="140">
        <v>0</v>
      </c>
      <c r="N412" s="143">
        <v>0</v>
      </c>
      <c r="O412" s="140">
        <v>0.18</v>
      </c>
      <c r="P412" s="145">
        <f>(Purchase[[#This Row],[Gross Amount]]-Purchase[[#This Row],[Disct %]])*Purchase[[#This Row],[GST %]]</f>
        <v>251782.38</v>
      </c>
      <c r="Q412" s="145">
        <f>Purchase[[#This Row],[Gross Amount]]-Purchase[[#This Row],[Disct Amnt]]+Purchase[[#This Row],[GST Amount]]</f>
        <v>1650573.38</v>
      </c>
      <c r="R412" s="138" t="s">
        <v>1019</v>
      </c>
      <c r="S412" s="41">
        <f>IF(Purchase[[#This Row],[Status]]="Cancelled",0,Purchase[[#This Row],[Qty]])</f>
        <v>23</v>
      </c>
      <c r="T412" s="146">
        <f>IF(Purchase[[#This Row],[Status]]="Cancelled",0,Purchase[[#This Row],[Total Amount]])</f>
        <v>1650573.38</v>
      </c>
      <c r="U412" s="146">
        <f>SUM(Purchase[Net Amount])</f>
        <v>814985438.68000126</v>
      </c>
    </row>
    <row r="413" spans="1:21" ht="19.5" thickBot="1" x14ac:dyDescent="0.3">
      <c r="A413" s="136" t="s">
        <v>1445</v>
      </c>
      <c r="B413" s="137">
        <v>45678</v>
      </c>
      <c r="C413" s="138" t="s">
        <v>611</v>
      </c>
      <c r="D413" s="138" t="str">
        <f>VLOOKUP(Purchase[[#This Row],[Supplier ID]],Supplier[#All],2,0)</f>
        <v>National Distributors</v>
      </c>
      <c r="E413" s="138">
        <f>VLOOKUP(Purchase[[#This Row],[Supplier ID]],Supplier[#All],3,0)</f>
        <v>9689542494</v>
      </c>
      <c r="F413" s="138" t="str">
        <f>VLOOKUP(Purchase[[#This Row],[Supplier ID]],Supplier[#All],4,0)</f>
        <v>Korba</v>
      </c>
      <c r="G413" s="138" t="str">
        <f>VLOOKUP(Purchase[[#This Row],[Supplier ID]],Supplier[#All],5,0)</f>
        <v>CG</v>
      </c>
      <c r="H413" s="138" t="str">
        <f>VLOOKUP(Purchase[[#This Row],[Supplier ID]],Supplier[#All],6,0)</f>
        <v>GST2154521T056</v>
      </c>
      <c r="I413" s="138" t="s">
        <v>252</v>
      </c>
      <c r="J413" s="139">
        <v>2</v>
      </c>
      <c r="K413" s="143">
        <f>VLOOKUP(Purchase[[#This Row],[Product ID]],Product[#All],6,0)</f>
        <v>47932</v>
      </c>
      <c r="L413" s="143">
        <f>Purchase[[#This Row],[Purchase Rate]]*Purchase[[#This Row],[Qty]]</f>
        <v>95864</v>
      </c>
      <c r="M413" s="140">
        <v>0</v>
      </c>
      <c r="N413" s="143">
        <v>0</v>
      </c>
      <c r="O413" s="140">
        <v>0.18</v>
      </c>
      <c r="P413" s="145">
        <f>(Purchase[[#This Row],[Gross Amount]]-Purchase[[#This Row],[Disct %]])*Purchase[[#This Row],[GST %]]</f>
        <v>17255.52</v>
      </c>
      <c r="Q413" s="145">
        <f>Purchase[[#This Row],[Gross Amount]]-Purchase[[#This Row],[Disct Amnt]]+Purchase[[#This Row],[GST Amount]]</f>
        <v>113119.52</v>
      </c>
      <c r="R413" s="138" t="s">
        <v>1019</v>
      </c>
      <c r="S413" s="41">
        <f>IF(Purchase[[#This Row],[Status]]="Cancelled",0,Purchase[[#This Row],[Qty]])</f>
        <v>2</v>
      </c>
      <c r="T413" s="146">
        <f>IF(Purchase[[#This Row],[Status]]="Cancelled",0,Purchase[[#This Row],[Total Amount]])</f>
        <v>113119.52</v>
      </c>
      <c r="U413" s="146">
        <f>SUM(Purchase[Net Amount])</f>
        <v>814985438.68000126</v>
      </c>
    </row>
    <row r="414" spans="1:21" ht="19.5" thickBot="1" x14ac:dyDescent="0.3">
      <c r="A414" s="136" t="s">
        <v>1446</v>
      </c>
      <c r="B414" s="137">
        <v>45678</v>
      </c>
      <c r="C414" s="138" t="s">
        <v>1447</v>
      </c>
      <c r="D414" s="138" t="str">
        <f>VLOOKUP(Purchase[[#This Row],[Supplier ID]],Supplier[#All],2,0)</f>
        <v>Prime Traders</v>
      </c>
      <c r="E414" s="138">
        <f>VLOOKUP(Purchase[[#This Row],[Supplier ID]],Supplier[#All],3,0)</f>
        <v>9689542456</v>
      </c>
      <c r="F414" s="138" t="str">
        <f>VLOOKUP(Purchase[[#This Row],[Supplier ID]],Supplier[#All],4,0)</f>
        <v>Indore</v>
      </c>
      <c r="G414" s="138" t="str">
        <f>VLOOKUP(Purchase[[#This Row],[Supplier ID]],Supplier[#All],5,0)</f>
        <v>MP</v>
      </c>
      <c r="H414" s="138" t="str">
        <f>VLOOKUP(Purchase[[#This Row],[Supplier ID]],Supplier[#All],6,0)</f>
        <v>GST2154521T018</v>
      </c>
      <c r="I414" s="138" t="s">
        <v>166</v>
      </c>
      <c r="J414" s="139">
        <v>5</v>
      </c>
      <c r="K414" s="143">
        <f>VLOOKUP(Purchase[[#This Row],[Product ID]],Product[#All],6,0)</f>
        <v>30191</v>
      </c>
      <c r="L414" s="143">
        <f>Purchase[[#This Row],[Purchase Rate]]*Purchase[[#This Row],[Qty]]</f>
        <v>150955</v>
      </c>
      <c r="M414" s="140">
        <v>0</v>
      </c>
      <c r="N414" s="143">
        <v>0</v>
      </c>
      <c r="O414" s="140">
        <v>0.18</v>
      </c>
      <c r="P414" s="145">
        <f>(Purchase[[#This Row],[Gross Amount]]-Purchase[[#This Row],[Disct %]])*Purchase[[#This Row],[GST %]]</f>
        <v>27171.899999999998</v>
      </c>
      <c r="Q414" s="145">
        <f>Purchase[[#This Row],[Gross Amount]]-Purchase[[#This Row],[Disct Amnt]]+Purchase[[#This Row],[GST Amount]]</f>
        <v>178126.9</v>
      </c>
      <c r="R414" s="138" t="s">
        <v>1019</v>
      </c>
      <c r="S414" s="41">
        <f>IF(Purchase[[#This Row],[Status]]="Cancelled",0,Purchase[[#This Row],[Qty]])</f>
        <v>5</v>
      </c>
      <c r="T414" s="146">
        <f>IF(Purchase[[#This Row],[Status]]="Cancelled",0,Purchase[[#This Row],[Total Amount]])</f>
        <v>178126.9</v>
      </c>
      <c r="U414" s="146">
        <f>SUM(Purchase[Net Amount])</f>
        <v>814985438.68000126</v>
      </c>
    </row>
    <row r="415" spans="1:21" ht="19.5" thickBot="1" x14ac:dyDescent="0.3">
      <c r="A415" s="136" t="s">
        <v>1448</v>
      </c>
      <c r="B415" s="137">
        <v>45678</v>
      </c>
      <c r="C415" s="138" t="s">
        <v>575</v>
      </c>
      <c r="D415" s="138" t="str">
        <f>VLOOKUP(Purchase[[#This Row],[Supplier ID]],Supplier[#All],2,0)</f>
        <v>Global Computers</v>
      </c>
      <c r="E415" s="138">
        <f>VLOOKUP(Purchase[[#This Row],[Supplier ID]],Supplier[#All],3,0)</f>
        <v>9689542459</v>
      </c>
      <c r="F415" s="138" t="str">
        <f>VLOOKUP(Purchase[[#This Row],[Supplier ID]],Supplier[#All],4,0)</f>
        <v>Indore</v>
      </c>
      <c r="G415" s="138" t="str">
        <f>VLOOKUP(Purchase[[#This Row],[Supplier ID]],Supplier[#All],5,0)</f>
        <v>MP</v>
      </c>
      <c r="H415" s="138" t="str">
        <f>VLOOKUP(Purchase[[#This Row],[Supplier ID]],Supplier[#All],6,0)</f>
        <v>GST2154521T021</v>
      </c>
      <c r="I415" s="138" t="s">
        <v>139</v>
      </c>
      <c r="J415" s="139">
        <v>36</v>
      </c>
      <c r="K415" s="143">
        <f>VLOOKUP(Purchase[[#This Row],[Product ID]],Product[#All],6,0)</f>
        <v>21311</v>
      </c>
      <c r="L415" s="143">
        <f>Purchase[[#This Row],[Purchase Rate]]*Purchase[[#This Row],[Qty]]</f>
        <v>767196</v>
      </c>
      <c r="M415" s="140">
        <v>0</v>
      </c>
      <c r="N415" s="143">
        <v>0</v>
      </c>
      <c r="O415" s="140">
        <v>0.18</v>
      </c>
      <c r="P415" s="145">
        <f>(Purchase[[#This Row],[Gross Amount]]-Purchase[[#This Row],[Disct %]])*Purchase[[#This Row],[GST %]]</f>
        <v>138095.28</v>
      </c>
      <c r="Q415" s="145">
        <f>Purchase[[#This Row],[Gross Amount]]-Purchase[[#This Row],[Disct Amnt]]+Purchase[[#This Row],[GST Amount]]</f>
        <v>905291.28</v>
      </c>
      <c r="R415" s="138" t="s">
        <v>1019</v>
      </c>
      <c r="S415" s="41">
        <f>IF(Purchase[[#This Row],[Status]]="Cancelled",0,Purchase[[#This Row],[Qty]])</f>
        <v>36</v>
      </c>
      <c r="T415" s="146">
        <f>IF(Purchase[[#This Row],[Status]]="Cancelled",0,Purchase[[#This Row],[Total Amount]])</f>
        <v>905291.28</v>
      </c>
      <c r="U415" s="146">
        <f>SUM(Purchase[Net Amount])</f>
        <v>814985438.68000126</v>
      </c>
    </row>
    <row r="416" spans="1:21" ht="19.5" thickBot="1" x14ac:dyDescent="0.3">
      <c r="A416" s="136" t="s">
        <v>1449</v>
      </c>
      <c r="B416" s="137">
        <v>45678</v>
      </c>
      <c r="C416" s="138" t="s">
        <v>591</v>
      </c>
      <c r="D416" s="138" t="str">
        <f>VLOOKUP(Purchase[[#This Row],[Supplier ID]],Supplier[#All],2,0)</f>
        <v>Shree Computers</v>
      </c>
      <c r="E416" s="138">
        <f>VLOOKUP(Purchase[[#This Row],[Supplier ID]],Supplier[#All],3,0)</f>
        <v>9689542475</v>
      </c>
      <c r="F416" s="138" t="str">
        <f>VLOOKUP(Purchase[[#This Row],[Supplier ID]],Supplier[#All],4,0)</f>
        <v>Indore</v>
      </c>
      <c r="G416" s="138" t="str">
        <f>VLOOKUP(Purchase[[#This Row],[Supplier ID]],Supplier[#All],5,0)</f>
        <v>MP</v>
      </c>
      <c r="H416" s="138" t="str">
        <f>VLOOKUP(Purchase[[#This Row],[Supplier ID]],Supplier[#All],6,0)</f>
        <v>GST2154521T037</v>
      </c>
      <c r="I416" s="138" t="s">
        <v>111</v>
      </c>
      <c r="J416" s="139">
        <v>7</v>
      </c>
      <c r="K416" s="143">
        <f>VLOOKUP(Purchase[[#This Row],[Product ID]],Product[#All],6,0)</f>
        <v>13173</v>
      </c>
      <c r="L416" s="143">
        <f>Purchase[[#This Row],[Purchase Rate]]*Purchase[[#This Row],[Qty]]</f>
        <v>92211</v>
      </c>
      <c r="M416" s="140">
        <v>0</v>
      </c>
      <c r="N416" s="143">
        <v>0</v>
      </c>
      <c r="O416" s="140">
        <v>0.18</v>
      </c>
      <c r="P416" s="145">
        <f>(Purchase[[#This Row],[Gross Amount]]-Purchase[[#This Row],[Disct %]])*Purchase[[#This Row],[GST %]]</f>
        <v>16597.98</v>
      </c>
      <c r="Q416" s="145">
        <f>Purchase[[#This Row],[Gross Amount]]-Purchase[[#This Row],[Disct Amnt]]+Purchase[[#This Row],[GST Amount]]</f>
        <v>108808.98</v>
      </c>
      <c r="R416" s="138" t="s">
        <v>1040</v>
      </c>
      <c r="S416" s="41">
        <f>IF(Purchase[[#This Row],[Status]]="Cancelled",0,Purchase[[#This Row],[Qty]])</f>
        <v>0</v>
      </c>
      <c r="T416" s="146">
        <f>IF(Purchase[[#This Row],[Status]]="Cancelled",0,Purchase[[#This Row],[Total Amount]])</f>
        <v>0</v>
      </c>
      <c r="U416" s="146">
        <f>SUM(Purchase[Net Amount])</f>
        <v>814985438.68000126</v>
      </c>
    </row>
    <row r="417" spans="1:21" ht="19.5" thickBot="1" x14ac:dyDescent="0.3">
      <c r="A417" s="136" t="s">
        <v>1450</v>
      </c>
      <c r="B417" s="137">
        <v>45678</v>
      </c>
      <c r="C417" s="138" t="s">
        <v>1451</v>
      </c>
      <c r="D417" s="138" t="str">
        <f>VLOOKUP(Purchase[[#This Row],[Supplier ID]],Supplier[#All],2,0)</f>
        <v>Global Suppliers</v>
      </c>
      <c r="E417" s="138">
        <f>VLOOKUP(Purchase[[#This Row],[Supplier ID]],Supplier[#All],3,0)</f>
        <v>9689542499</v>
      </c>
      <c r="F417" s="138" t="str">
        <f>VLOOKUP(Purchase[[#This Row],[Supplier ID]],Supplier[#All],4,0)</f>
        <v>Korba</v>
      </c>
      <c r="G417" s="138" t="str">
        <f>VLOOKUP(Purchase[[#This Row],[Supplier ID]],Supplier[#All],5,0)</f>
        <v>CG</v>
      </c>
      <c r="H417" s="138" t="str">
        <f>VLOOKUP(Purchase[[#This Row],[Supplier ID]],Supplier[#All],6,0)</f>
        <v>GST2154521T053</v>
      </c>
      <c r="I417" s="138" t="s">
        <v>157</v>
      </c>
      <c r="J417" s="139">
        <v>17</v>
      </c>
      <c r="K417" s="143">
        <f>VLOOKUP(Purchase[[#This Row],[Product ID]],Product[#All],6,0)</f>
        <v>10034</v>
      </c>
      <c r="L417" s="143">
        <f>Purchase[[#This Row],[Purchase Rate]]*Purchase[[#This Row],[Qty]]</f>
        <v>170578</v>
      </c>
      <c r="M417" s="140">
        <v>0</v>
      </c>
      <c r="N417" s="143">
        <v>0</v>
      </c>
      <c r="O417" s="140">
        <v>0.18</v>
      </c>
      <c r="P417" s="145">
        <f>(Purchase[[#This Row],[Gross Amount]]-Purchase[[#This Row],[Disct %]])*Purchase[[#This Row],[GST %]]</f>
        <v>30704.039999999997</v>
      </c>
      <c r="Q417" s="145">
        <f>Purchase[[#This Row],[Gross Amount]]-Purchase[[#This Row],[Disct Amnt]]+Purchase[[#This Row],[GST Amount]]</f>
        <v>201282.04</v>
      </c>
      <c r="R417" s="138" t="s">
        <v>1019</v>
      </c>
      <c r="S417" s="41">
        <f>IF(Purchase[[#This Row],[Status]]="Cancelled",0,Purchase[[#This Row],[Qty]])</f>
        <v>17</v>
      </c>
      <c r="T417" s="146">
        <f>IF(Purchase[[#This Row],[Status]]="Cancelled",0,Purchase[[#This Row],[Total Amount]])</f>
        <v>201282.04</v>
      </c>
      <c r="U417" s="146">
        <f>SUM(Purchase[Net Amount])</f>
        <v>814985438.68000126</v>
      </c>
    </row>
    <row r="418" spans="1:21" ht="19.5" thickBot="1" x14ac:dyDescent="0.3">
      <c r="A418" s="136" t="s">
        <v>1452</v>
      </c>
      <c r="B418" s="137">
        <v>45678</v>
      </c>
      <c r="C418" s="138" t="s">
        <v>602</v>
      </c>
      <c r="D418" s="138" t="str">
        <f>VLOOKUP(Purchase[[#This Row],[Supplier ID]],Supplier[#All],2,0)</f>
        <v>Maa Computers</v>
      </c>
      <c r="E418" s="138">
        <f>VLOOKUP(Purchase[[#This Row],[Supplier ID]],Supplier[#All],3,0)</f>
        <v>9689542485</v>
      </c>
      <c r="F418" s="138" t="str">
        <f>VLOOKUP(Purchase[[#This Row],[Supplier ID]],Supplier[#All],4,0)</f>
        <v>Korba</v>
      </c>
      <c r="G418" s="138" t="str">
        <f>VLOOKUP(Purchase[[#This Row],[Supplier ID]],Supplier[#All],5,0)</f>
        <v>CG</v>
      </c>
      <c r="H418" s="138" t="str">
        <f>VLOOKUP(Purchase[[#This Row],[Supplier ID]],Supplier[#All],6,0)</f>
        <v>GST2154521T047</v>
      </c>
      <c r="I418" s="138" t="s">
        <v>507</v>
      </c>
      <c r="J418" s="139">
        <v>37</v>
      </c>
      <c r="K418" s="143">
        <f>VLOOKUP(Purchase[[#This Row],[Product ID]],Product[#All],6,0)</f>
        <v>1636</v>
      </c>
      <c r="L418" s="143">
        <f>Purchase[[#This Row],[Purchase Rate]]*Purchase[[#This Row],[Qty]]</f>
        <v>60532</v>
      </c>
      <c r="M418" s="140">
        <v>0</v>
      </c>
      <c r="N418" s="143">
        <v>0</v>
      </c>
      <c r="O418" s="140">
        <v>0.18</v>
      </c>
      <c r="P418" s="145">
        <f>(Purchase[[#This Row],[Gross Amount]]-Purchase[[#This Row],[Disct %]])*Purchase[[#This Row],[GST %]]</f>
        <v>10895.76</v>
      </c>
      <c r="Q418" s="145">
        <f>Purchase[[#This Row],[Gross Amount]]-Purchase[[#This Row],[Disct Amnt]]+Purchase[[#This Row],[GST Amount]]</f>
        <v>71427.759999999995</v>
      </c>
      <c r="R418" s="138" t="s">
        <v>1019</v>
      </c>
      <c r="S418" s="41">
        <f>IF(Purchase[[#This Row],[Status]]="Cancelled",0,Purchase[[#This Row],[Qty]])</f>
        <v>37</v>
      </c>
      <c r="T418" s="146">
        <f>IF(Purchase[[#This Row],[Status]]="Cancelled",0,Purchase[[#This Row],[Total Amount]])</f>
        <v>71427.759999999995</v>
      </c>
      <c r="U418" s="146">
        <f>SUM(Purchase[Net Amount])</f>
        <v>814985438.68000126</v>
      </c>
    </row>
    <row r="419" spans="1:21" ht="19.5" thickBot="1" x14ac:dyDescent="0.3">
      <c r="A419" s="136" t="s">
        <v>1453</v>
      </c>
      <c r="B419" s="137">
        <v>45678</v>
      </c>
      <c r="C419" s="138" t="s">
        <v>564</v>
      </c>
      <c r="D419" s="138" t="str">
        <f>VLOOKUP(Purchase[[#This Row],[Supplier ID]],Supplier[#All],2,0)</f>
        <v xml:space="preserve">Star Electronics </v>
      </c>
      <c r="E419" s="138">
        <f>VLOOKUP(Purchase[[#This Row],[Supplier ID]],Supplier[#All],3,0)</f>
        <v>9689542450</v>
      </c>
      <c r="F419" s="138" t="str">
        <f>VLOOKUP(Purchase[[#This Row],[Supplier ID]],Supplier[#All],4,0)</f>
        <v>Korba</v>
      </c>
      <c r="G419" s="138" t="str">
        <f>VLOOKUP(Purchase[[#This Row],[Supplier ID]],Supplier[#All],5,0)</f>
        <v>CG</v>
      </c>
      <c r="H419" s="138" t="str">
        <f>VLOOKUP(Purchase[[#This Row],[Supplier ID]],Supplier[#All],6,0)</f>
        <v>GST2154521T012</v>
      </c>
      <c r="I419" s="138" t="s">
        <v>274</v>
      </c>
      <c r="J419" s="139">
        <v>7</v>
      </c>
      <c r="K419" s="143">
        <f>VLOOKUP(Purchase[[#This Row],[Product ID]],Product[#All],6,0)</f>
        <v>48641</v>
      </c>
      <c r="L419" s="143">
        <f>Purchase[[#This Row],[Purchase Rate]]*Purchase[[#This Row],[Qty]]</f>
        <v>340487</v>
      </c>
      <c r="M419" s="140">
        <v>0</v>
      </c>
      <c r="N419" s="143">
        <v>0</v>
      </c>
      <c r="O419" s="140">
        <v>0.18</v>
      </c>
      <c r="P419" s="145">
        <f>(Purchase[[#This Row],[Gross Amount]]-Purchase[[#This Row],[Disct %]])*Purchase[[#This Row],[GST %]]</f>
        <v>61287.659999999996</v>
      </c>
      <c r="Q419" s="145">
        <f>Purchase[[#This Row],[Gross Amount]]-Purchase[[#This Row],[Disct Amnt]]+Purchase[[#This Row],[GST Amount]]</f>
        <v>401774.66</v>
      </c>
      <c r="R419" s="138" t="s">
        <v>1019</v>
      </c>
      <c r="S419" s="41">
        <f>IF(Purchase[[#This Row],[Status]]="Cancelled",0,Purchase[[#This Row],[Qty]])</f>
        <v>7</v>
      </c>
      <c r="T419" s="146">
        <f>IF(Purchase[[#This Row],[Status]]="Cancelled",0,Purchase[[#This Row],[Total Amount]])</f>
        <v>401774.66</v>
      </c>
      <c r="U419" s="146">
        <f>SUM(Purchase[Net Amount])</f>
        <v>814985438.68000126</v>
      </c>
    </row>
    <row r="420" spans="1:21" ht="19.5" thickBot="1" x14ac:dyDescent="0.3">
      <c r="A420" s="136" t="s">
        <v>1454</v>
      </c>
      <c r="B420" s="137">
        <v>45678</v>
      </c>
      <c r="C420" s="138" t="s">
        <v>605</v>
      </c>
      <c r="D420" s="138" t="str">
        <f>VLOOKUP(Purchase[[#This Row],[Supplier ID]],Supplier[#All],2,0)</f>
        <v>Star Traders</v>
      </c>
      <c r="E420" s="138">
        <f>VLOOKUP(Purchase[[#This Row],[Supplier ID]],Supplier[#All],3,0)</f>
        <v>9689542488</v>
      </c>
      <c r="F420" s="138" t="str">
        <f>VLOOKUP(Purchase[[#This Row],[Supplier ID]],Supplier[#All],4,0)</f>
        <v>Indore</v>
      </c>
      <c r="G420" s="138" t="str">
        <f>VLOOKUP(Purchase[[#This Row],[Supplier ID]],Supplier[#All],5,0)</f>
        <v>MP</v>
      </c>
      <c r="H420" s="138" t="str">
        <f>VLOOKUP(Purchase[[#This Row],[Supplier ID]],Supplier[#All],6,0)</f>
        <v>GST2154521T050</v>
      </c>
      <c r="I420" s="138" t="s">
        <v>165</v>
      </c>
      <c r="J420" s="139">
        <v>6</v>
      </c>
      <c r="K420" s="143">
        <f>VLOOKUP(Purchase[[#This Row],[Product ID]],Product[#All],6,0)</f>
        <v>6875</v>
      </c>
      <c r="L420" s="143">
        <f>Purchase[[#This Row],[Purchase Rate]]*Purchase[[#This Row],[Qty]]</f>
        <v>41250</v>
      </c>
      <c r="M420" s="140">
        <v>0</v>
      </c>
      <c r="N420" s="143">
        <v>0</v>
      </c>
      <c r="O420" s="140">
        <v>0.18</v>
      </c>
      <c r="P420" s="145">
        <f>(Purchase[[#This Row],[Gross Amount]]-Purchase[[#This Row],[Disct %]])*Purchase[[#This Row],[GST %]]</f>
        <v>7425</v>
      </c>
      <c r="Q420" s="145">
        <f>Purchase[[#This Row],[Gross Amount]]-Purchase[[#This Row],[Disct Amnt]]+Purchase[[#This Row],[GST Amount]]</f>
        <v>48675</v>
      </c>
      <c r="R420" s="138" t="s">
        <v>1019</v>
      </c>
      <c r="S420" s="41">
        <f>IF(Purchase[[#This Row],[Status]]="Cancelled",0,Purchase[[#This Row],[Qty]])</f>
        <v>6</v>
      </c>
      <c r="T420" s="146">
        <f>IF(Purchase[[#This Row],[Status]]="Cancelled",0,Purchase[[#This Row],[Total Amount]])</f>
        <v>48675</v>
      </c>
      <c r="U420" s="146">
        <f>SUM(Purchase[Net Amount])</f>
        <v>814985438.68000126</v>
      </c>
    </row>
    <row r="421" spans="1:21" ht="19.5" thickBot="1" x14ac:dyDescent="0.3">
      <c r="A421" s="136" t="s">
        <v>1455</v>
      </c>
      <c r="B421" s="137">
        <v>45678</v>
      </c>
      <c r="C421" s="138" t="s">
        <v>1456</v>
      </c>
      <c r="D421" s="138" t="str">
        <f>VLOOKUP(Purchase[[#This Row],[Supplier ID]],Supplier[#All],2,0)</f>
        <v>Global Suppliers</v>
      </c>
      <c r="E421" s="138">
        <f>VLOOKUP(Purchase[[#This Row],[Supplier ID]],Supplier[#All],3,0)</f>
        <v>9689542459</v>
      </c>
      <c r="F421" s="138" t="str">
        <f>VLOOKUP(Purchase[[#This Row],[Supplier ID]],Supplier[#All],4,0)</f>
        <v>Indore</v>
      </c>
      <c r="G421" s="138" t="str">
        <f>VLOOKUP(Purchase[[#This Row],[Supplier ID]],Supplier[#All],5,0)</f>
        <v>MP</v>
      </c>
      <c r="H421" s="138" t="str">
        <f>VLOOKUP(Purchase[[#This Row],[Supplier ID]],Supplier[#All],6,0)</f>
        <v>GST2154521T013</v>
      </c>
      <c r="I421" s="138" t="s">
        <v>391</v>
      </c>
      <c r="J421" s="139">
        <v>15</v>
      </c>
      <c r="K421" s="143">
        <f>VLOOKUP(Purchase[[#This Row],[Product ID]],Product[#All],6,0)</f>
        <v>8047</v>
      </c>
      <c r="L421" s="143">
        <f>Purchase[[#This Row],[Purchase Rate]]*Purchase[[#This Row],[Qty]]</f>
        <v>120705</v>
      </c>
      <c r="M421" s="140">
        <v>0</v>
      </c>
      <c r="N421" s="143">
        <v>0</v>
      </c>
      <c r="O421" s="140">
        <v>0.18</v>
      </c>
      <c r="P421" s="145">
        <f>(Purchase[[#This Row],[Gross Amount]]-Purchase[[#This Row],[Disct %]])*Purchase[[#This Row],[GST %]]</f>
        <v>21726.899999999998</v>
      </c>
      <c r="Q421" s="145">
        <f>Purchase[[#This Row],[Gross Amount]]-Purchase[[#This Row],[Disct Amnt]]+Purchase[[#This Row],[GST Amount]]</f>
        <v>142431.9</v>
      </c>
      <c r="R421" s="138" t="s">
        <v>1019</v>
      </c>
      <c r="S421" s="41">
        <f>IF(Purchase[[#This Row],[Status]]="Cancelled",0,Purchase[[#This Row],[Qty]])</f>
        <v>15</v>
      </c>
      <c r="T421" s="146">
        <f>IF(Purchase[[#This Row],[Status]]="Cancelled",0,Purchase[[#This Row],[Total Amount]])</f>
        <v>142431.9</v>
      </c>
      <c r="U421" s="146">
        <f>SUM(Purchase[Net Amount])</f>
        <v>814985438.68000126</v>
      </c>
    </row>
    <row r="422" spans="1:21" ht="19.5" thickBot="1" x14ac:dyDescent="0.3">
      <c r="A422" s="136" t="s">
        <v>1457</v>
      </c>
      <c r="B422" s="137">
        <v>45678</v>
      </c>
      <c r="C422" s="138" t="s">
        <v>564</v>
      </c>
      <c r="D422" s="138" t="str">
        <f>VLOOKUP(Purchase[[#This Row],[Supplier ID]],Supplier[#All],2,0)</f>
        <v xml:space="preserve">Star Electronics </v>
      </c>
      <c r="E422" s="138">
        <f>VLOOKUP(Purchase[[#This Row],[Supplier ID]],Supplier[#All],3,0)</f>
        <v>9689542450</v>
      </c>
      <c r="F422" s="138" t="str">
        <f>VLOOKUP(Purchase[[#This Row],[Supplier ID]],Supplier[#All],4,0)</f>
        <v>Korba</v>
      </c>
      <c r="G422" s="138" t="str">
        <f>VLOOKUP(Purchase[[#This Row],[Supplier ID]],Supplier[#All],5,0)</f>
        <v>CG</v>
      </c>
      <c r="H422" s="138" t="str">
        <f>VLOOKUP(Purchase[[#This Row],[Supplier ID]],Supplier[#All],6,0)</f>
        <v>GST2154521T012</v>
      </c>
      <c r="I422" s="138" t="s">
        <v>78</v>
      </c>
      <c r="J422" s="139">
        <v>16</v>
      </c>
      <c r="K422" s="143">
        <f>VLOOKUP(Purchase[[#This Row],[Product ID]],Product[#All],6,0)</f>
        <v>13714</v>
      </c>
      <c r="L422" s="143">
        <f>Purchase[[#This Row],[Purchase Rate]]*Purchase[[#This Row],[Qty]]</f>
        <v>219424</v>
      </c>
      <c r="M422" s="140">
        <v>0</v>
      </c>
      <c r="N422" s="143">
        <v>0</v>
      </c>
      <c r="O422" s="140">
        <v>0.18</v>
      </c>
      <c r="P422" s="145">
        <f>(Purchase[[#This Row],[Gross Amount]]-Purchase[[#This Row],[Disct %]])*Purchase[[#This Row],[GST %]]</f>
        <v>39496.32</v>
      </c>
      <c r="Q422" s="145">
        <f>Purchase[[#This Row],[Gross Amount]]-Purchase[[#This Row],[Disct Amnt]]+Purchase[[#This Row],[GST Amount]]</f>
        <v>258920.32000000001</v>
      </c>
      <c r="R422" s="138" t="s">
        <v>1019</v>
      </c>
      <c r="S422" s="41">
        <f>IF(Purchase[[#This Row],[Status]]="Cancelled",0,Purchase[[#This Row],[Qty]])</f>
        <v>16</v>
      </c>
      <c r="T422" s="146">
        <f>IF(Purchase[[#This Row],[Status]]="Cancelled",0,Purchase[[#This Row],[Total Amount]])</f>
        <v>258920.32000000001</v>
      </c>
      <c r="U422" s="146">
        <f>SUM(Purchase[Net Amount])</f>
        <v>814985438.68000126</v>
      </c>
    </row>
    <row r="423" spans="1:21" ht="19.5" thickBot="1" x14ac:dyDescent="0.3">
      <c r="A423" s="136" t="s">
        <v>1458</v>
      </c>
      <c r="B423" s="137">
        <v>45678</v>
      </c>
      <c r="C423" s="138" t="s">
        <v>597</v>
      </c>
      <c r="D423" s="138" t="str">
        <f>VLOOKUP(Purchase[[#This Row],[Supplier ID]],Supplier[#All],2,0)</f>
        <v>Tech Traders</v>
      </c>
      <c r="E423" s="138">
        <f>VLOOKUP(Purchase[[#This Row],[Supplier ID]],Supplier[#All],3,0)</f>
        <v>9689542480</v>
      </c>
      <c r="F423" s="138" t="str">
        <f>VLOOKUP(Purchase[[#This Row],[Supplier ID]],Supplier[#All],4,0)</f>
        <v>Kanpur</v>
      </c>
      <c r="G423" s="138" t="str">
        <f>VLOOKUP(Purchase[[#This Row],[Supplier ID]],Supplier[#All],5,0)</f>
        <v>UP</v>
      </c>
      <c r="H423" s="138" t="str">
        <f>VLOOKUP(Purchase[[#This Row],[Supplier ID]],Supplier[#All],6,0)</f>
        <v>GST2154521T042</v>
      </c>
      <c r="I423" s="138" t="s">
        <v>283</v>
      </c>
      <c r="J423" s="139">
        <v>2</v>
      </c>
      <c r="K423" s="143">
        <f>VLOOKUP(Purchase[[#This Row],[Product ID]],Product[#All],6,0)</f>
        <v>28087</v>
      </c>
      <c r="L423" s="143">
        <f>Purchase[[#This Row],[Purchase Rate]]*Purchase[[#This Row],[Qty]]</f>
        <v>56174</v>
      </c>
      <c r="M423" s="140">
        <v>0</v>
      </c>
      <c r="N423" s="143">
        <v>0</v>
      </c>
      <c r="O423" s="140">
        <v>0.18</v>
      </c>
      <c r="P423" s="145">
        <f>(Purchase[[#This Row],[Gross Amount]]-Purchase[[#This Row],[Disct %]])*Purchase[[#This Row],[GST %]]</f>
        <v>10111.32</v>
      </c>
      <c r="Q423" s="145">
        <f>Purchase[[#This Row],[Gross Amount]]-Purchase[[#This Row],[Disct Amnt]]+Purchase[[#This Row],[GST Amount]]</f>
        <v>66285.320000000007</v>
      </c>
      <c r="R423" s="138" t="s">
        <v>1019</v>
      </c>
      <c r="S423" s="41">
        <f>IF(Purchase[[#This Row],[Status]]="Cancelled",0,Purchase[[#This Row],[Qty]])</f>
        <v>2</v>
      </c>
      <c r="T423" s="146">
        <f>IF(Purchase[[#This Row],[Status]]="Cancelled",0,Purchase[[#This Row],[Total Amount]])</f>
        <v>66285.320000000007</v>
      </c>
      <c r="U423" s="146">
        <f>SUM(Purchase[Net Amount])</f>
        <v>814985438.68000126</v>
      </c>
    </row>
    <row r="424" spans="1:21" ht="19.5" thickBot="1" x14ac:dyDescent="0.3">
      <c r="A424" s="136" t="s">
        <v>1459</v>
      </c>
      <c r="B424" s="137">
        <v>45679</v>
      </c>
      <c r="C424" s="138" t="s">
        <v>600</v>
      </c>
      <c r="D424" s="138" t="str">
        <f>VLOOKUP(Purchase[[#This Row],[Supplier ID]],Supplier[#All],2,0)</f>
        <v>Prime Suppliers</v>
      </c>
      <c r="E424" s="138">
        <f>VLOOKUP(Purchase[[#This Row],[Supplier ID]],Supplier[#All],3,0)</f>
        <v>9689542483</v>
      </c>
      <c r="F424" s="138" t="str">
        <f>VLOOKUP(Purchase[[#This Row],[Supplier ID]],Supplier[#All],4,0)</f>
        <v>Korba</v>
      </c>
      <c r="G424" s="138" t="str">
        <f>VLOOKUP(Purchase[[#This Row],[Supplier ID]],Supplier[#All],5,0)</f>
        <v>CG</v>
      </c>
      <c r="H424" s="138" t="str">
        <f>VLOOKUP(Purchase[[#This Row],[Supplier ID]],Supplier[#All],6,0)</f>
        <v>GST2154521T045</v>
      </c>
      <c r="I424" s="138" t="s">
        <v>379</v>
      </c>
      <c r="J424" s="139">
        <v>26</v>
      </c>
      <c r="K424" s="143">
        <f>VLOOKUP(Purchase[[#This Row],[Product ID]],Product[#All],6,0)</f>
        <v>66232</v>
      </c>
      <c r="L424" s="143">
        <f>Purchase[[#This Row],[Purchase Rate]]*Purchase[[#This Row],[Qty]]</f>
        <v>1722032</v>
      </c>
      <c r="M424" s="140">
        <v>0</v>
      </c>
      <c r="N424" s="143">
        <v>0</v>
      </c>
      <c r="O424" s="140">
        <v>0.18</v>
      </c>
      <c r="P424" s="145">
        <f>(Purchase[[#This Row],[Gross Amount]]-Purchase[[#This Row],[Disct %]])*Purchase[[#This Row],[GST %]]</f>
        <v>309965.76</v>
      </c>
      <c r="Q424" s="145">
        <f>Purchase[[#This Row],[Gross Amount]]-Purchase[[#This Row],[Disct Amnt]]+Purchase[[#This Row],[GST Amount]]</f>
        <v>2031997.76</v>
      </c>
      <c r="R424" s="138" t="s">
        <v>1019</v>
      </c>
      <c r="S424" s="41">
        <f>IF(Purchase[[#This Row],[Status]]="Cancelled",0,Purchase[[#This Row],[Qty]])</f>
        <v>26</v>
      </c>
      <c r="T424" s="146">
        <f>IF(Purchase[[#This Row],[Status]]="Cancelled",0,Purchase[[#This Row],[Total Amount]])</f>
        <v>2031997.76</v>
      </c>
      <c r="U424" s="146">
        <f>SUM(Purchase[Net Amount])</f>
        <v>814985438.68000126</v>
      </c>
    </row>
    <row r="425" spans="1:21" ht="19.5" thickBot="1" x14ac:dyDescent="0.3">
      <c r="A425" s="136" t="s">
        <v>1460</v>
      </c>
      <c r="B425" s="137">
        <v>45679</v>
      </c>
      <c r="C425" s="138" t="s">
        <v>571</v>
      </c>
      <c r="D425" s="138" t="str">
        <f>VLOOKUP(Purchase[[#This Row],[Supplier ID]],Supplier[#All],2,0)</f>
        <v>Tech Suppliers</v>
      </c>
      <c r="E425" s="138">
        <f>VLOOKUP(Purchase[[#This Row],[Supplier ID]],Supplier[#All],3,0)</f>
        <v>9689542457</v>
      </c>
      <c r="F425" s="138" t="str">
        <f>VLOOKUP(Purchase[[#This Row],[Supplier ID]],Supplier[#All],4,0)</f>
        <v>Korba</v>
      </c>
      <c r="G425" s="138" t="str">
        <f>VLOOKUP(Purchase[[#This Row],[Supplier ID]],Supplier[#All],5,0)</f>
        <v>CG</v>
      </c>
      <c r="H425" s="138" t="str">
        <f>VLOOKUP(Purchase[[#This Row],[Supplier ID]],Supplier[#All],6,0)</f>
        <v>GST2154521T019</v>
      </c>
      <c r="I425" s="138" t="s">
        <v>127</v>
      </c>
      <c r="J425" s="139">
        <v>32</v>
      </c>
      <c r="K425" s="143">
        <f>VLOOKUP(Purchase[[#This Row],[Product ID]],Product[#All],6,0)</f>
        <v>3474</v>
      </c>
      <c r="L425" s="143">
        <f>Purchase[[#This Row],[Purchase Rate]]*Purchase[[#This Row],[Qty]]</f>
        <v>111168</v>
      </c>
      <c r="M425" s="140">
        <v>0</v>
      </c>
      <c r="N425" s="143">
        <v>0</v>
      </c>
      <c r="O425" s="140">
        <v>0.18</v>
      </c>
      <c r="P425" s="145">
        <f>(Purchase[[#This Row],[Gross Amount]]-Purchase[[#This Row],[Disct %]])*Purchase[[#This Row],[GST %]]</f>
        <v>20010.239999999998</v>
      </c>
      <c r="Q425" s="145">
        <f>Purchase[[#This Row],[Gross Amount]]-Purchase[[#This Row],[Disct Amnt]]+Purchase[[#This Row],[GST Amount]]</f>
        <v>131178.23999999999</v>
      </c>
      <c r="R425" s="138" t="s">
        <v>1019</v>
      </c>
      <c r="S425" s="41">
        <f>IF(Purchase[[#This Row],[Status]]="Cancelled",0,Purchase[[#This Row],[Qty]])</f>
        <v>32</v>
      </c>
      <c r="T425" s="146">
        <f>IF(Purchase[[#This Row],[Status]]="Cancelled",0,Purchase[[#This Row],[Total Amount]])</f>
        <v>131178.23999999999</v>
      </c>
      <c r="U425" s="146">
        <f>SUM(Purchase[Net Amount])</f>
        <v>814985438.68000126</v>
      </c>
    </row>
    <row r="426" spans="1:21" ht="19.5" thickBot="1" x14ac:dyDescent="0.3">
      <c r="A426" s="136" t="s">
        <v>1461</v>
      </c>
      <c r="B426" s="137">
        <v>45679</v>
      </c>
      <c r="C426" s="138" t="s">
        <v>611</v>
      </c>
      <c r="D426" s="138" t="str">
        <f>VLOOKUP(Purchase[[#This Row],[Supplier ID]],Supplier[#All],2,0)</f>
        <v>National Distributors</v>
      </c>
      <c r="E426" s="138">
        <f>VLOOKUP(Purchase[[#This Row],[Supplier ID]],Supplier[#All],3,0)</f>
        <v>9689542494</v>
      </c>
      <c r="F426" s="138" t="str">
        <f>VLOOKUP(Purchase[[#This Row],[Supplier ID]],Supplier[#All],4,0)</f>
        <v>Korba</v>
      </c>
      <c r="G426" s="138" t="str">
        <f>VLOOKUP(Purchase[[#This Row],[Supplier ID]],Supplier[#All],5,0)</f>
        <v>CG</v>
      </c>
      <c r="H426" s="138" t="str">
        <f>VLOOKUP(Purchase[[#This Row],[Supplier ID]],Supplier[#All],6,0)</f>
        <v>GST2154521T056</v>
      </c>
      <c r="I426" s="138" t="s">
        <v>524</v>
      </c>
      <c r="J426" s="139">
        <v>7</v>
      </c>
      <c r="K426" s="143">
        <f>VLOOKUP(Purchase[[#This Row],[Product ID]],Product[#All],6,0)</f>
        <v>581</v>
      </c>
      <c r="L426" s="143">
        <f>Purchase[[#This Row],[Purchase Rate]]*Purchase[[#This Row],[Qty]]</f>
        <v>4067</v>
      </c>
      <c r="M426" s="140">
        <v>0</v>
      </c>
      <c r="N426" s="143">
        <v>0</v>
      </c>
      <c r="O426" s="140">
        <v>0.18</v>
      </c>
      <c r="P426" s="145">
        <f>(Purchase[[#This Row],[Gross Amount]]-Purchase[[#This Row],[Disct %]])*Purchase[[#This Row],[GST %]]</f>
        <v>732.06</v>
      </c>
      <c r="Q426" s="145">
        <f>Purchase[[#This Row],[Gross Amount]]-Purchase[[#This Row],[Disct Amnt]]+Purchase[[#This Row],[GST Amount]]</f>
        <v>4799.0599999999995</v>
      </c>
      <c r="R426" s="138" t="s">
        <v>1019</v>
      </c>
      <c r="S426" s="41">
        <f>IF(Purchase[[#This Row],[Status]]="Cancelled",0,Purchase[[#This Row],[Qty]])</f>
        <v>7</v>
      </c>
      <c r="T426" s="146">
        <f>IF(Purchase[[#This Row],[Status]]="Cancelled",0,Purchase[[#This Row],[Total Amount]])</f>
        <v>4799.0599999999995</v>
      </c>
      <c r="U426" s="146">
        <f>SUM(Purchase[Net Amount])</f>
        <v>814985438.68000126</v>
      </c>
    </row>
    <row r="427" spans="1:21" ht="19.5" thickBot="1" x14ac:dyDescent="0.3">
      <c r="A427" s="136" t="s">
        <v>1462</v>
      </c>
      <c r="B427" s="137">
        <v>45679</v>
      </c>
      <c r="C427" s="138" t="s">
        <v>602</v>
      </c>
      <c r="D427" s="138" t="str">
        <f>VLOOKUP(Purchase[[#This Row],[Supplier ID]],Supplier[#All],2,0)</f>
        <v>Maa Computers</v>
      </c>
      <c r="E427" s="138">
        <f>VLOOKUP(Purchase[[#This Row],[Supplier ID]],Supplier[#All],3,0)</f>
        <v>9689542485</v>
      </c>
      <c r="F427" s="138" t="str">
        <f>VLOOKUP(Purchase[[#This Row],[Supplier ID]],Supplier[#All],4,0)</f>
        <v>Korba</v>
      </c>
      <c r="G427" s="138" t="str">
        <f>VLOOKUP(Purchase[[#This Row],[Supplier ID]],Supplier[#All],5,0)</f>
        <v>CG</v>
      </c>
      <c r="H427" s="138" t="str">
        <f>VLOOKUP(Purchase[[#This Row],[Supplier ID]],Supplier[#All],6,0)</f>
        <v>GST2154521T047</v>
      </c>
      <c r="I427" s="138" t="s">
        <v>448</v>
      </c>
      <c r="J427" s="139">
        <v>11</v>
      </c>
      <c r="K427" s="143">
        <f>VLOOKUP(Purchase[[#This Row],[Product ID]],Product[#All],6,0)</f>
        <v>7068</v>
      </c>
      <c r="L427" s="143">
        <f>Purchase[[#This Row],[Purchase Rate]]*Purchase[[#This Row],[Qty]]</f>
        <v>77748</v>
      </c>
      <c r="M427" s="140">
        <v>0</v>
      </c>
      <c r="N427" s="143">
        <v>0</v>
      </c>
      <c r="O427" s="140">
        <v>0.18</v>
      </c>
      <c r="P427" s="145">
        <f>(Purchase[[#This Row],[Gross Amount]]-Purchase[[#This Row],[Disct %]])*Purchase[[#This Row],[GST %]]</f>
        <v>13994.64</v>
      </c>
      <c r="Q427" s="145">
        <f>Purchase[[#This Row],[Gross Amount]]-Purchase[[#This Row],[Disct Amnt]]+Purchase[[#This Row],[GST Amount]]</f>
        <v>91742.64</v>
      </c>
      <c r="R427" s="138" t="s">
        <v>1019</v>
      </c>
      <c r="S427" s="41">
        <f>IF(Purchase[[#This Row],[Status]]="Cancelled",0,Purchase[[#This Row],[Qty]])</f>
        <v>11</v>
      </c>
      <c r="T427" s="146">
        <f>IF(Purchase[[#This Row],[Status]]="Cancelled",0,Purchase[[#This Row],[Total Amount]])</f>
        <v>91742.64</v>
      </c>
      <c r="U427" s="146">
        <f>SUM(Purchase[Net Amount])</f>
        <v>814985438.68000126</v>
      </c>
    </row>
    <row r="428" spans="1:21" ht="19.5" thickBot="1" x14ac:dyDescent="0.3">
      <c r="A428" s="136" t="s">
        <v>1463</v>
      </c>
      <c r="B428" s="137">
        <v>45679</v>
      </c>
      <c r="C428" s="138" t="s">
        <v>1447</v>
      </c>
      <c r="D428" s="138" t="str">
        <f>VLOOKUP(Purchase[[#This Row],[Supplier ID]],Supplier[#All],2,0)</f>
        <v>Prime Traders</v>
      </c>
      <c r="E428" s="138">
        <f>VLOOKUP(Purchase[[#This Row],[Supplier ID]],Supplier[#All],3,0)</f>
        <v>9689542456</v>
      </c>
      <c r="F428" s="138" t="str">
        <f>VLOOKUP(Purchase[[#This Row],[Supplier ID]],Supplier[#All],4,0)</f>
        <v>Indore</v>
      </c>
      <c r="G428" s="138" t="str">
        <f>VLOOKUP(Purchase[[#This Row],[Supplier ID]],Supplier[#All],5,0)</f>
        <v>MP</v>
      </c>
      <c r="H428" s="138" t="str">
        <f>VLOOKUP(Purchase[[#This Row],[Supplier ID]],Supplier[#All],6,0)</f>
        <v>GST2154521T018</v>
      </c>
      <c r="I428" s="138" t="s">
        <v>474</v>
      </c>
      <c r="J428" s="139">
        <v>39</v>
      </c>
      <c r="K428" s="143">
        <f>VLOOKUP(Purchase[[#This Row],[Product ID]],Product[#All],6,0)</f>
        <v>1027</v>
      </c>
      <c r="L428" s="143">
        <f>Purchase[[#This Row],[Purchase Rate]]*Purchase[[#This Row],[Qty]]</f>
        <v>40053</v>
      </c>
      <c r="M428" s="140">
        <v>0</v>
      </c>
      <c r="N428" s="143">
        <v>0</v>
      </c>
      <c r="O428" s="140">
        <v>0.18</v>
      </c>
      <c r="P428" s="145">
        <f>(Purchase[[#This Row],[Gross Amount]]-Purchase[[#This Row],[Disct %]])*Purchase[[#This Row],[GST %]]</f>
        <v>7209.54</v>
      </c>
      <c r="Q428" s="145">
        <f>Purchase[[#This Row],[Gross Amount]]-Purchase[[#This Row],[Disct Amnt]]+Purchase[[#This Row],[GST Amount]]</f>
        <v>47262.54</v>
      </c>
      <c r="R428" s="138" t="s">
        <v>1040</v>
      </c>
      <c r="S428" s="41">
        <f>IF(Purchase[[#This Row],[Status]]="Cancelled",0,Purchase[[#This Row],[Qty]])</f>
        <v>0</v>
      </c>
      <c r="T428" s="146">
        <f>IF(Purchase[[#This Row],[Status]]="Cancelled",0,Purchase[[#This Row],[Total Amount]])</f>
        <v>0</v>
      </c>
      <c r="U428" s="146">
        <f>SUM(Purchase[Net Amount])</f>
        <v>814985438.68000126</v>
      </c>
    </row>
    <row r="429" spans="1:21" ht="19.5" thickBot="1" x14ac:dyDescent="0.3">
      <c r="A429" s="136" t="s">
        <v>1464</v>
      </c>
      <c r="B429" s="137">
        <v>45679</v>
      </c>
      <c r="C429" s="138" t="s">
        <v>585</v>
      </c>
      <c r="D429" s="138" t="str">
        <f>VLOOKUP(Purchase[[#This Row],[Supplier ID]],Supplier[#All],2,0)</f>
        <v>Tech Computers</v>
      </c>
      <c r="E429" s="138">
        <f>VLOOKUP(Purchase[[#This Row],[Supplier ID]],Supplier[#All],3,0)</f>
        <v>9689542469</v>
      </c>
      <c r="F429" s="138" t="str">
        <f>VLOOKUP(Purchase[[#This Row],[Supplier ID]],Supplier[#All],4,0)</f>
        <v>Korba</v>
      </c>
      <c r="G429" s="138" t="str">
        <f>VLOOKUP(Purchase[[#This Row],[Supplier ID]],Supplier[#All],5,0)</f>
        <v>CG</v>
      </c>
      <c r="H429" s="138" t="str">
        <f>VLOOKUP(Purchase[[#This Row],[Supplier ID]],Supplier[#All],6,0)</f>
        <v>GST2154521T031</v>
      </c>
      <c r="I429" s="138" t="s">
        <v>148</v>
      </c>
      <c r="J429" s="139">
        <v>12</v>
      </c>
      <c r="K429" s="143">
        <f>VLOOKUP(Purchase[[#This Row],[Product ID]],Product[#All],6,0)</f>
        <v>17657</v>
      </c>
      <c r="L429" s="143">
        <f>Purchase[[#This Row],[Purchase Rate]]*Purchase[[#This Row],[Qty]]</f>
        <v>211884</v>
      </c>
      <c r="M429" s="140">
        <v>0</v>
      </c>
      <c r="N429" s="143">
        <v>0</v>
      </c>
      <c r="O429" s="140">
        <v>0.18</v>
      </c>
      <c r="P429" s="145">
        <f>(Purchase[[#This Row],[Gross Amount]]-Purchase[[#This Row],[Disct %]])*Purchase[[#This Row],[GST %]]</f>
        <v>38139.119999999995</v>
      </c>
      <c r="Q429" s="145">
        <f>Purchase[[#This Row],[Gross Amount]]-Purchase[[#This Row],[Disct Amnt]]+Purchase[[#This Row],[GST Amount]]</f>
        <v>250023.12</v>
      </c>
      <c r="R429" s="138" t="s">
        <v>1019</v>
      </c>
      <c r="S429" s="41">
        <f>IF(Purchase[[#This Row],[Status]]="Cancelled",0,Purchase[[#This Row],[Qty]])</f>
        <v>12</v>
      </c>
      <c r="T429" s="146">
        <f>IF(Purchase[[#This Row],[Status]]="Cancelled",0,Purchase[[#This Row],[Total Amount]])</f>
        <v>250023.12</v>
      </c>
      <c r="U429" s="146">
        <f>SUM(Purchase[Net Amount])</f>
        <v>814985438.68000126</v>
      </c>
    </row>
    <row r="430" spans="1:21" ht="19.5" thickBot="1" x14ac:dyDescent="0.3">
      <c r="A430" s="136" t="s">
        <v>1465</v>
      </c>
      <c r="B430" s="137">
        <v>45679</v>
      </c>
      <c r="C430" s="138" t="s">
        <v>1265</v>
      </c>
      <c r="D430" s="138" t="str">
        <f>VLOOKUP(Purchase[[#This Row],[Supplier ID]],Supplier[#All],2,0)</f>
        <v>Prime Computers</v>
      </c>
      <c r="E430" s="138">
        <f>VLOOKUP(Purchase[[#This Row],[Supplier ID]],Supplier[#All],3,0)</f>
        <v>9689542468</v>
      </c>
      <c r="F430" s="138" t="str">
        <f>VLOOKUP(Purchase[[#This Row],[Supplier ID]],Supplier[#All],4,0)</f>
        <v>Kanpur</v>
      </c>
      <c r="G430" s="138" t="str">
        <f>VLOOKUP(Purchase[[#This Row],[Supplier ID]],Supplier[#All],5,0)</f>
        <v>UP</v>
      </c>
      <c r="H430" s="138" t="str">
        <f>VLOOKUP(Purchase[[#This Row],[Supplier ID]],Supplier[#All],6,0)</f>
        <v>GST2154521T030</v>
      </c>
      <c r="I430" s="138" t="s">
        <v>75</v>
      </c>
      <c r="J430" s="139">
        <v>7</v>
      </c>
      <c r="K430" s="143">
        <f>VLOOKUP(Purchase[[#This Row],[Product ID]],Product[#All],6,0)</f>
        <v>27287</v>
      </c>
      <c r="L430" s="143">
        <f>Purchase[[#This Row],[Purchase Rate]]*Purchase[[#This Row],[Qty]]</f>
        <v>191009</v>
      </c>
      <c r="M430" s="140">
        <v>0</v>
      </c>
      <c r="N430" s="143">
        <v>0</v>
      </c>
      <c r="O430" s="140">
        <v>0.18</v>
      </c>
      <c r="P430" s="145">
        <f>(Purchase[[#This Row],[Gross Amount]]-Purchase[[#This Row],[Disct %]])*Purchase[[#This Row],[GST %]]</f>
        <v>34381.619999999995</v>
      </c>
      <c r="Q430" s="145">
        <f>Purchase[[#This Row],[Gross Amount]]-Purchase[[#This Row],[Disct Amnt]]+Purchase[[#This Row],[GST Amount]]</f>
        <v>225390.62</v>
      </c>
      <c r="R430" s="138" t="s">
        <v>1019</v>
      </c>
      <c r="S430" s="41">
        <f>IF(Purchase[[#This Row],[Status]]="Cancelled",0,Purchase[[#This Row],[Qty]])</f>
        <v>7</v>
      </c>
      <c r="T430" s="146">
        <f>IF(Purchase[[#This Row],[Status]]="Cancelled",0,Purchase[[#This Row],[Total Amount]])</f>
        <v>225390.62</v>
      </c>
      <c r="U430" s="146">
        <f>SUM(Purchase[Net Amount])</f>
        <v>814985438.68000126</v>
      </c>
    </row>
    <row r="431" spans="1:21" ht="19.5" thickBot="1" x14ac:dyDescent="0.3">
      <c r="A431" s="136" t="s">
        <v>1466</v>
      </c>
      <c r="B431" s="137">
        <v>45679</v>
      </c>
      <c r="C431" s="138" t="s">
        <v>600</v>
      </c>
      <c r="D431" s="138" t="str">
        <f>VLOOKUP(Purchase[[#This Row],[Supplier ID]],Supplier[#All],2,0)</f>
        <v>Prime Suppliers</v>
      </c>
      <c r="E431" s="138">
        <f>VLOOKUP(Purchase[[#This Row],[Supplier ID]],Supplier[#All],3,0)</f>
        <v>9689542483</v>
      </c>
      <c r="F431" s="138" t="str">
        <f>VLOOKUP(Purchase[[#This Row],[Supplier ID]],Supplier[#All],4,0)</f>
        <v>Korba</v>
      </c>
      <c r="G431" s="138" t="str">
        <f>VLOOKUP(Purchase[[#This Row],[Supplier ID]],Supplier[#All],5,0)</f>
        <v>CG</v>
      </c>
      <c r="H431" s="138" t="str">
        <f>VLOOKUP(Purchase[[#This Row],[Supplier ID]],Supplier[#All],6,0)</f>
        <v>GST2154521T045</v>
      </c>
      <c r="I431" s="138" t="s">
        <v>77</v>
      </c>
      <c r="J431" s="139">
        <v>5</v>
      </c>
      <c r="K431" s="143">
        <f>VLOOKUP(Purchase[[#This Row],[Product ID]],Product[#All],6,0)</f>
        <v>2282</v>
      </c>
      <c r="L431" s="143">
        <f>Purchase[[#This Row],[Purchase Rate]]*Purchase[[#This Row],[Qty]]</f>
        <v>11410</v>
      </c>
      <c r="M431" s="140">
        <v>0</v>
      </c>
      <c r="N431" s="143">
        <v>0</v>
      </c>
      <c r="O431" s="140">
        <v>0.18</v>
      </c>
      <c r="P431" s="145">
        <f>(Purchase[[#This Row],[Gross Amount]]-Purchase[[#This Row],[Disct %]])*Purchase[[#This Row],[GST %]]</f>
        <v>2053.7999999999997</v>
      </c>
      <c r="Q431" s="145">
        <f>Purchase[[#This Row],[Gross Amount]]-Purchase[[#This Row],[Disct Amnt]]+Purchase[[#This Row],[GST Amount]]</f>
        <v>13463.8</v>
      </c>
      <c r="R431" s="138" t="s">
        <v>1019</v>
      </c>
      <c r="S431" s="41">
        <f>IF(Purchase[[#This Row],[Status]]="Cancelled",0,Purchase[[#This Row],[Qty]])</f>
        <v>5</v>
      </c>
      <c r="T431" s="146">
        <f>IF(Purchase[[#This Row],[Status]]="Cancelled",0,Purchase[[#This Row],[Total Amount]])</f>
        <v>13463.8</v>
      </c>
      <c r="U431" s="146">
        <f>SUM(Purchase[Net Amount])</f>
        <v>814985438.68000126</v>
      </c>
    </row>
    <row r="432" spans="1:21" ht="19.5" thickBot="1" x14ac:dyDescent="0.3">
      <c r="A432" s="136" t="s">
        <v>1467</v>
      </c>
      <c r="B432" s="137">
        <v>45679</v>
      </c>
      <c r="C432" s="138" t="s">
        <v>568</v>
      </c>
      <c r="D432" s="138" t="str">
        <f>VLOOKUP(Purchase[[#This Row],[Supplier ID]],Supplier[#All],2,0)</f>
        <v>Maa Computers</v>
      </c>
      <c r="E432" s="138">
        <f>VLOOKUP(Purchase[[#This Row],[Supplier ID]],Supplier[#All],3,0)</f>
        <v>9689542454</v>
      </c>
      <c r="F432" s="138" t="str">
        <f>VLOOKUP(Purchase[[#This Row],[Supplier ID]],Supplier[#All],4,0)</f>
        <v>Korba</v>
      </c>
      <c r="G432" s="138" t="str">
        <f>VLOOKUP(Purchase[[#This Row],[Supplier ID]],Supplier[#All],5,0)</f>
        <v>CG</v>
      </c>
      <c r="H432" s="138" t="str">
        <f>VLOOKUP(Purchase[[#This Row],[Supplier ID]],Supplier[#All],6,0)</f>
        <v>GST2154521T016</v>
      </c>
      <c r="I432" s="138" t="s">
        <v>223</v>
      </c>
      <c r="J432" s="139">
        <v>19</v>
      </c>
      <c r="K432" s="143">
        <f>VLOOKUP(Purchase[[#This Row],[Product ID]],Product[#All],6,0)</f>
        <v>8461</v>
      </c>
      <c r="L432" s="143">
        <f>Purchase[[#This Row],[Purchase Rate]]*Purchase[[#This Row],[Qty]]</f>
        <v>160759</v>
      </c>
      <c r="M432" s="140">
        <v>0</v>
      </c>
      <c r="N432" s="143">
        <v>0</v>
      </c>
      <c r="O432" s="140">
        <v>0.18</v>
      </c>
      <c r="P432" s="145">
        <f>(Purchase[[#This Row],[Gross Amount]]-Purchase[[#This Row],[Disct %]])*Purchase[[#This Row],[GST %]]</f>
        <v>28936.62</v>
      </c>
      <c r="Q432" s="145">
        <f>Purchase[[#This Row],[Gross Amount]]-Purchase[[#This Row],[Disct Amnt]]+Purchase[[#This Row],[GST Amount]]</f>
        <v>189695.62</v>
      </c>
      <c r="R432" s="138" t="s">
        <v>1019</v>
      </c>
      <c r="S432" s="41">
        <f>IF(Purchase[[#This Row],[Status]]="Cancelled",0,Purchase[[#This Row],[Qty]])</f>
        <v>19</v>
      </c>
      <c r="T432" s="146">
        <f>IF(Purchase[[#This Row],[Status]]="Cancelled",0,Purchase[[#This Row],[Total Amount]])</f>
        <v>189695.62</v>
      </c>
      <c r="U432" s="146">
        <f>SUM(Purchase[Net Amount])</f>
        <v>814985438.68000126</v>
      </c>
    </row>
    <row r="433" spans="1:21" ht="19.5" thickBot="1" x14ac:dyDescent="0.3">
      <c r="A433" s="136" t="s">
        <v>1468</v>
      </c>
      <c r="B433" s="137">
        <v>45679</v>
      </c>
      <c r="C433" s="138" t="s">
        <v>589</v>
      </c>
      <c r="D433" s="138" t="str">
        <f>VLOOKUP(Purchase[[#This Row],[Supplier ID]],Supplier[#All],2,0)</f>
        <v>Maa Computers</v>
      </c>
      <c r="E433" s="138">
        <f>VLOOKUP(Purchase[[#This Row],[Supplier ID]],Supplier[#All],3,0)</f>
        <v>9689542473</v>
      </c>
      <c r="F433" s="138" t="str">
        <f>VLOOKUP(Purchase[[#This Row],[Supplier ID]],Supplier[#All],4,0)</f>
        <v>Kanpur</v>
      </c>
      <c r="G433" s="138" t="str">
        <f>VLOOKUP(Purchase[[#This Row],[Supplier ID]],Supplier[#All],5,0)</f>
        <v>UP</v>
      </c>
      <c r="H433" s="138" t="str">
        <f>VLOOKUP(Purchase[[#This Row],[Supplier ID]],Supplier[#All],6,0)</f>
        <v>GST2154521T035</v>
      </c>
      <c r="I433" s="138" t="s">
        <v>12</v>
      </c>
      <c r="J433" s="139">
        <v>3</v>
      </c>
      <c r="K433" s="143">
        <f>VLOOKUP(Purchase[[#This Row],[Product ID]],Product[#All],6,0)</f>
        <v>1698</v>
      </c>
      <c r="L433" s="143">
        <f>Purchase[[#This Row],[Purchase Rate]]*Purchase[[#This Row],[Qty]]</f>
        <v>5094</v>
      </c>
      <c r="M433" s="140">
        <v>0</v>
      </c>
      <c r="N433" s="143">
        <v>0</v>
      </c>
      <c r="O433" s="140">
        <v>0.18</v>
      </c>
      <c r="P433" s="145">
        <f>(Purchase[[#This Row],[Gross Amount]]-Purchase[[#This Row],[Disct %]])*Purchase[[#This Row],[GST %]]</f>
        <v>916.92</v>
      </c>
      <c r="Q433" s="145">
        <f>Purchase[[#This Row],[Gross Amount]]-Purchase[[#This Row],[Disct Amnt]]+Purchase[[#This Row],[GST Amount]]</f>
        <v>6010.92</v>
      </c>
      <c r="R433" s="138" t="s">
        <v>1019</v>
      </c>
      <c r="S433" s="41">
        <f>IF(Purchase[[#This Row],[Status]]="Cancelled",0,Purchase[[#This Row],[Qty]])</f>
        <v>3</v>
      </c>
      <c r="T433" s="146">
        <f>IF(Purchase[[#This Row],[Status]]="Cancelled",0,Purchase[[#This Row],[Total Amount]])</f>
        <v>6010.92</v>
      </c>
      <c r="U433" s="146">
        <f>SUM(Purchase[Net Amount])</f>
        <v>814985438.68000126</v>
      </c>
    </row>
    <row r="434" spans="1:21" ht="19.5" thickBot="1" x14ac:dyDescent="0.3">
      <c r="A434" s="136" t="s">
        <v>1469</v>
      </c>
      <c r="B434" s="137">
        <v>45679</v>
      </c>
      <c r="C434" s="138" t="s">
        <v>566</v>
      </c>
      <c r="D434" s="138" t="str">
        <f>VLOOKUP(Purchase[[#This Row],[Supplier ID]],Supplier[#All],2,0)</f>
        <v>Maa Computers</v>
      </c>
      <c r="E434" s="138">
        <f>VLOOKUP(Purchase[[#This Row],[Supplier ID]],Supplier[#All],3,0)</f>
        <v>9689542452</v>
      </c>
      <c r="F434" s="138" t="str">
        <f>VLOOKUP(Purchase[[#This Row],[Supplier ID]],Supplier[#All],4,0)</f>
        <v>Kanpur</v>
      </c>
      <c r="G434" s="138" t="str">
        <f>VLOOKUP(Purchase[[#This Row],[Supplier ID]],Supplier[#All],5,0)</f>
        <v>UP</v>
      </c>
      <c r="H434" s="138" t="str">
        <f>VLOOKUP(Purchase[[#This Row],[Supplier ID]],Supplier[#All],6,0)</f>
        <v>GST2154521T014</v>
      </c>
      <c r="I434" s="138" t="s">
        <v>251</v>
      </c>
      <c r="J434" s="139">
        <v>26</v>
      </c>
      <c r="K434" s="143">
        <f>VLOOKUP(Purchase[[#This Row],[Product ID]],Product[#All],6,0)</f>
        <v>2536</v>
      </c>
      <c r="L434" s="143">
        <f>Purchase[[#This Row],[Purchase Rate]]*Purchase[[#This Row],[Qty]]</f>
        <v>65936</v>
      </c>
      <c r="M434" s="140">
        <v>0</v>
      </c>
      <c r="N434" s="143">
        <v>0</v>
      </c>
      <c r="O434" s="140">
        <v>0.18</v>
      </c>
      <c r="P434" s="145">
        <f>(Purchase[[#This Row],[Gross Amount]]-Purchase[[#This Row],[Disct %]])*Purchase[[#This Row],[GST %]]</f>
        <v>11868.48</v>
      </c>
      <c r="Q434" s="145">
        <f>Purchase[[#This Row],[Gross Amount]]-Purchase[[#This Row],[Disct Amnt]]+Purchase[[#This Row],[GST Amount]]</f>
        <v>77804.479999999996</v>
      </c>
      <c r="R434" s="138" t="s">
        <v>1019</v>
      </c>
      <c r="S434" s="41">
        <f>IF(Purchase[[#This Row],[Status]]="Cancelled",0,Purchase[[#This Row],[Qty]])</f>
        <v>26</v>
      </c>
      <c r="T434" s="146">
        <f>IF(Purchase[[#This Row],[Status]]="Cancelled",0,Purchase[[#This Row],[Total Amount]])</f>
        <v>77804.479999999996</v>
      </c>
      <c r="U434" s="146">
        <f>SUM(Purchase[Net Amount])</f>
        <v>814985438.68000126</v>
      </c>
    </row>
    <row r="435" spans="1:21" ht="19.5" thickBot="1" x14ac:dyDescent="0.3">
      <c r="A435" s="136" t="s">
        <v>1470</v>
      </c>
      <c r="B435" s="137">
        <v>45679</v>
      </c>
      <c r="C435" s="138" t="s">
        <v>571</v>
      </c>
      <c r="D435" s="138" t="str">
        <f>VLOOKUP(Purchase[[#This Row],[Supplier ID]],Supplier[#All],2,0)</f>
        <v>Tech Suppliers</v>
      </c>
      <c r="E435" s="138">
        <f>VLOOKUP(Purchase[[#This Row],[Supplier ID]],Supplier[#All],3,0)</f>
        <v>9689542457</v>
      </c>
      <c r="F435" s="138" t="str">
        <f>VLOOKUP(Purchase[[#This Row],[Supplier ID]],Supplier[#All],4,0)</f>
        <v>Korba</v>
      </c>
      <c r="G435" s="138" t="str">
        <f>VLOOKUP(Purchase[[#This Row],[Supplier ID]],Supplier[#All],5,0)</f>
        <v>CG</v>
      </c>
      <c r="H435" s="138" t="str">
        <f>VLOOKUP(Purchase[[#This Row],[Supplier ID]],Supplier[#All],6,0)</f>
        <v>GST2154521T019</v>
      </c>
      <c r="I435" s="138" t="s">
        <v>372</v>
      </c>
      <c r="J435" s="139">
        <v>23</v>
      </c>
      <c r="K435" s="143">
        <f>VLOOKUP(Purchase[[#This Row],[Product ID]],Product[#All],6,0)</f>
        <v>441</v>
      </c>
      <c r="L435" s="143">
        <f>Purchase[[#This Row],[Purchase Rate]]*Purchase[[#This Row],[Qty]]</f>
        <v>10143</v>
      </c>
      <c r="M435" s="140">
        <v>0</v>
      </c>
      <c r="N435" s="143">
        <v>0</v>
      </c>
      <c r="O435" s="140">
        <v>0.18</v>
      </c>
      <c r="P435" s="145">
        <f>(Purchase[[#This Row],[Gross Amount]]-Purchase[[#This Row],[Disct %]])*Purchase[[#This Row],[GST %]]</f>
        <v>1825.74</v>
      </c>
      <c r="Q435" s="145">
        <f>Purchase[[#This Row],[Gross Amount]]-Purchase[[#This Row],[Disct Amnt]]+Purchase[[#This Row],[GST Amount]]</f>
        <v>11968.74</v>
      </c>
      <c r="R435" s="138" t="s">
        <v>1019</v>
      </c>
      <c r="S435" s="41">
        <f>IF(Purchase[[#This Row],[Status]]="Cancelled",0,Purchase[[#This Row],[Qty]])</f>
        <v>23</v>
      </c>
      <c r="T435" s="146">
        <f>IF(Purchase[[#This Row],[Status]]="Cancelled",0,Purchase[[#This Row],[Total Amount]])</f>
        <v>11968.74</v>
      </c>
      <c r="U435" s="146">
        <f>SUM(Purchase[Net Amount])</f>
        <v>814985438.68000126</v>
      </c>
    </row>
    <row r="436" spans="1:21" ht="19.5" thickBot="1" x14ac:dyDescent="0.3">
      <c r="A436" s="136" t="s">
        <v>1471</v>
      </c>
      <c r="B436" s="137">
        <v>45679</v>
      </c>
      <c r="C436" s="138" t="s">
        <v>587</v>
      </c>
      <c r="D436" s="138" t="str">
        <f>VLOOKUP(Purchase[[#This Row],[Supplier ID]],Supplier[#All],2,0)</f>
        <v>maa distributors</v>
      </c>
      <c r="E436" s="138">
        <f>VLOOKUP(Purchase[[#This Row],[Supplier ID]],Supplier[#All],3,0)</f>
        <v>9689542479</v>
      </c>
      <c r="F436" s="138" t="str">
        <f>VLOOKUP(Purchase[[#This Row],[Supplier ID]],Supplier[#All],4,0)</f>
        <v>Indore</v>
      </c>
      <c r="G436" s="138" t="str">
        <f>VLOOKUP(Purchase[[#This Row],[Supplier ID]],Supplier[#All],5,0)</f>
        <v>MP</v>
      </c>
      <c r="H436" s="138" t="str">
        <f>VLOOKUP(Purchase[[#This Row],[Supplier ID]],Supplier[#All],6,0)</f>
        <v>GST2154521T033</v>
      </c>
      <c r="I436" s="138" t="s">
        <v>303</v>
      </c>
      <c r="J436" s="139">
        <v>3</v>
      </c>
      <c r="K436" s="143">
        <f>VLOOKUP(Purchase[[#This Row],[Product ID]],Product[#All],6,0)</f>
        <v>6214</v>
      </c>
      <c r="L436" s="143">
        <f>Purchase[[#This Row],[Purchase Rate]]*Purchase[[#This Row],[Qty]]</f>
        <v>18642</v>
      </c>
      <c r="M436" s="140">
        <v>0</v>
      </c>
      <c r="N436" s="143">
        <v>0</v>
      </c>
      <c r="O436" s="140">
        <v>0.18</v>
      </c>
      <c r="P436" s="145">
        <f>(Purchase[[#This Row],[Gross Amount]]-Purchase[[#This Row],[Disct %]])*Purchase[[#This Row],[GST %]]</f>
        <v>3355.56</v>
      </c>
      <c r="Q436" s="145">
        <f>Purchase[[#This Row],[Gross Amount]]-Purchase[[#This Row],[Disct Amnt]]+Purchase[[#This Row],[GST Amount]]</f>
        <v>21997.56</v>
      </c>
      <c r="R436" s="138" t="s">
        <v>1019</v>
      </c>
      <c r="S436" s="41">
        <f>IF(Purchase[[#This Row],[Status]]="Cancelled",0,Purchase[[#This Row],[Qty]])</f>
        <v>3</v>
      </c>
      <c r="T436" s="146">
        <f>IF(Purchase[[#This Row],[Status]]="Cancelled",0,Purchase[[#This Row],[Total Amount]])</f>
        <v>21997.56</v>
      </c>
      <c r="U436" s="146">
        <f>SUM(Purchase[Net Amount])</f>
        <v>814985438.68000126</v>
      </c>
    </row>
    <row r="437" spans="1:21" ht="19.5" thickBot="1" x14ac:dyDescent="0.3">
      <c r="A437" s="136" t="s">
        <v>1472</v>
      </c>
      <c r="B437" s="137">
        <v>45679</v>
      </c>
      <c r="C437" s="138" t="s">
        <v>603</v>
      </c>
      <c r="D437" s="138" t="str">
        <f>VLOOKUP(Purchase[[#This Row],[Supplier ID]],Supplier[#All],2,0)</f>
        <v>Tech Computers</v>
      </c>
      <c r="E437" s="138">
        <f>VLOOKUP(Purchase[[#This Row],[Supplier ID]],Supplier[#All],3,0)</f>
        <v>9689542486</v>
      </c>
      <c r="F437" s="138" t="str">
        <f>VLOOKUP(Purchase[[#This Row],[Supplier ID]],Supplier[#All],4,0)</f>
        <v>Indore</v>
      </c>
      <c r="G437" s="138" t="str">
        <f>VLOOKUP(Purchase[[#This Row],[Supplier ID]],Supplier[#All],5,0)</f>
        <v>MP</v>
      </c>
      <c r="H437" s="138" t="str">
        <f>VLOOKUP(Purchase[[#This Row],[Supplier ID]],Supplier[#All],6,0)</f>
        <v>GST2154521T048</v>
      </c>
      <c r="I437" s="138" t="s">
        <v>153</v>
      </c>
      <c r="J437" s="139">
        <v>40</v>
      </c>
      <c r="K437" s="143">
        <f>VLOOKUP(Purchase[[#This Row],[Product ID]],Product[#All],6,0)</f>
        <v>835</v>
      </c>
      <c r="L437" s="143">
        <f>Purchase[[#This Row],[Purchase Rate]]*Purchase[[#This Row],[Qty]]</f>
        <v>33400</v>
      </c>
      <c r="M437" s="140">
        <v>0</v>
      </c>
      <c r="N437" s="143">
        <v>0</v>
      </c>
      <c r="O437" s="140">
        <v>0.18</v>
      </c>
      <c r="P437" s="145">
        <f>(Purchase[[#This Row],[Gross Amount]]-Purchase[[#This Row],[Disct %]])*Purchase[[#This Row],[GST %]]</f>
        <v>6012</v>
      </c>
      <c r="Q437" s="145">
        <f>Purchase[[#This Row],[Gross Amount]]-Purchase[[#This Row],[Disct Amnt]]+Purchase[[#This Row],[GST Amount]]</f>
        <v>39412</v>
      </c>
      <c r="R437" s="138" t="s">
        <v>1019</v>
      </c>
      <c r="S437" s="41">
        <f>IF(Purchase[[#This Row],[Status]]="Cancelled",0,Purchase[[#This Row],[Qty]])</f>
        <v>40</v>
      </c>
      <c r="T437" s="146">
        <f>IF(Purchase[[#This Row],[Status]]="Cancelled",0,Purchase[[#This Row],[Total Amount]])</f>
        <v>39412</v>
      </c>
      <c r="U437" s="146">
        <f>SUM(Purchase[Net Amount])</f>
        <v>814985438.68000126</v>
      </c>
    </row>
    <row r="438" spans="1:21" ht="19.5" thickBot="1" x14ac:dyDescent="0.3">
      <c r="A438" s="136" t="s">
        <v>1473</v>
      </c>
      <c r="B438" s="137">
        <v>45679</v>
      </c>
      <c r="C438" s="138" t="s">
        <v>611</v>
      </c>
      <c r="D438" s="138" t="str">
        <f>VLOOKUP(Purchase[[#This Row],[Supplier ID]],Supplier[#All],2,0)</f>
        <v>National Distributors</v>
      </c>
      <c r="E438" s="138">
        <f>VLOOKUP(Purchase[[#This Row],[Supplier ID]],Supplier[#All],3,0)</f>
        <v>9689542494</v>
      </c>
      <c r="F438" s="138" t="str">
        <f>VLOOKUP(Purchase[[#This Row],[Supplier ID]],Supplier[#All],4,0)</f>
        <v>Korba</v>
      </c>
      <c r="G438" s="138" t="str">
        <f>VLOOKUP(Purchase[[#This Row],[Supplier ID]],Supplier[#All],5,0)</f>
        <v>CG</v>
      </c>
      <c r="H438" s="138" t="str">
        <f>VLOOKUP(Purchase[[#This Row],[Supplier ID]],Supplier[#All],6,0)</f>
        <v>GST2154521T056</v>
      </c>
      <c r="I438" s="138" t="s">
        <v>61</v>
      </c>
      <c r="J438" s="139">
        <v>37</v>
      </c>
      <c r="K438" s="143">
        <f>VLOOKUP(Purchase[[#This Row],[Product ID]],Product[#All],6,0)</f>
        <v>2704</v>
      </c>
      <c r="L438" s="143">
        <f>Purchase[[#This Row],[Purchase Rate]]*Purchase[[#This Row],[Qty]]</f>
        <v>100048</v>
      </c>
      <c r="M438" s="140">
        <v>0</v>
      </c>
      <c r="N438" s="143">
        <v>0</v>
      </c>
      <c r="O438" s="140">
        <v>0.18</v>
      </c>
      <c r="P438" s="145">
        <f>(Purchase[[#This Row],[Gross Amount]]-Purchase[[#This Row],[Disct %]])*Purchase[[#This Row],[GST %]]</f>
        <v>18008.64</v>
      </c>
      <c r="Q438" s="145">
        <f>Purchase[[#This Row],[Gross Amount]]-Purchase[[#This Row],[Disct Amnt]]+Purchase[[#This Row],[GST Amount]]</f>
        <v>118056.64</v>
      </c>
      <c r="R438" s="138" t="s">
        <v>1019</v>
      </c>
      <c r="S438" s="41">
        <f>IF(Purchase[[#This Row],[Status]]="Cancelled",0,Purchase[[#This Row],[Qty]])</f>
        <v>37</v>
      </c>
      <c r="T438" s="146">
        <f>IF(Purchase[[#This Row],[Status]]="Cancelled",0,Purchase[[#This Row],[Total Amount]])</f>
        <v>118056.64</v>
      </c>
      <c r="U438" s="146">
        <f>SUM(Purchase[Net Amount])</f>
        <v>814985438.68000126</v>
      </c>
    </row>
    <row r="439" spans="1:21" ht="19.5" thickBot="1" x14ac:dyDescent="0.3">
      <c r="A439" s="136" t="s">
        <v>1474</v>
      </c>
      <c r="B439" s="137">
        <v>45679</v>
      </c>
      <c r="C439" s="138" t="s">
        <v>584</v>
      </c>
      <c r="D439" s="138" t="str">
        <f>VLOOKUP(Purchase[[#This Row],[Supplier ID]],Supplier[#All],2,0)</f>
        <v>Prime Computers</v>
      </c>
      <c r="E439" s="138">
        <f>VLOOKUP(Purchase[[#This Row],[Supplier ID]],Supplier[#All],3,0)</f>
        <v>9689542468</v>
      </c>
      <c r="F439" s="138" t="str">
        <f>VLOOKUP(Purchase[[#This Row],[Supplier ID]],Supplier[#All],4,0)</f>
        <v>Kanpur</v>
      </c>
      <c r="G439" s="138" t="str">
        <f>VLOOKUP(Purchase[[#This Row],[Supplier ID]],Supplier[#All],5,0)</f>
        <v>UP</v>
      </c>
      <c r="H439" s="138" t="str">
        <f>VLOOKUP(Purchase[[#This Row],[Supplier ID]],Supplier[#All],6,0)</f>
        <v>GST2154521T030</v>
      </c>
      <c r="I439" s="138" t="s">
        <v>114</v>
      </c>
      <c r="J439" s="139">
        <v>10</v>
      </c>
      <c r="K439" s="143">
        <f>VLOOKUP(Purchase[[#This Row],[Product ID]],Product[#All],6,0)</f>
        <v>13292</v>
      </c>
      <c r="L439" s="143">
        <f>Purchase[[#This Row],[Purchase Rate]]*Purchase[[#This Row],[Qty]]</f>
        <v>132920</v>
      </c>
      <c r="M439" s="140">
        <v>0</v>
      </c>
      <c r="N439" s="143">
        <v>0</v>
      </c>
      <c r="O439" s="140">
        <v>0.18</v>
      </c>
      <c r="P439" s="145">
        <f>(Purchase[[#This Row],[Gross Amount]]-Purchase[[#This Row],[Disct %]])*Purchase[[#This Row],[GST %]]</f>
        <v>23925.599999999999</v>
      </c>
      <c r="Q439" s="145">
        <f>Purchase[[#This Row],[Gross Amount]]-Purchase[[#This Row],[Disct Amnt]]+Purchase[[#This Row],[GST Amount]]</f>
        <v>156845.6</v>
      </c>
      <c r="R439" s="138" t="s">
        <v>1019</v>
      </c>
      <c r="S439" s="41">
        <f>IF(Purchase[[#This Row],[Status]]="Cancelled",0,Purchase[[#This Row],[Qty]])</f>
        <v>10</v>
      </c>
      <c r="T439" s="146">
        <f>IF(Purchase[[#This Row],[Status]]="Cancelled",0,Purchase[[#This Row],[Total Amount]])</f>
        <v>156845.6</v>
      </c>
      <c r="U439" s="146">
        <f>SUM(Purchase[Net Amount])</f>
        <v>814985438.68000126</v>
      </c>
    </row>
    <row r="440" spans="1:21" ht="19.5" thickBot="1" x14ac:dyDescent="0.3">
      <c r="A440" s="136" t="s">
        <v>1475</v>
      </c>
      <c r="B440" s="137">
        <v>45679</v>
      </c>
      <c r="C440" s="138" t="s">
        <v>573</v>
      </c>
      <c r="D440" s="138" t="str">
        <f>VLOOKUP(Purchase[[#This Row],[Supplier ID]],Supplier[#All],2,0)</f>
        <v>Shree Traders</v>
      </c>
      <c r="E440" s="138">
        <f>VLOOKUP(Purchase[[#This Row],[Supplier ID]],Supplier[#All],3,0)</f>
        <v>9689542458</v>
      </c>
      <c r="F440" s="138" t="str">
        <f>VLOOKUP(Purchase[[#This Row],[Supplier ID]],Supplier[#All],4,0)</f>
        <v>Korba</v>
      </c>
      <c r="G440" s="138" t="str">
        <f>VLOOKUP(Purchase[[#This Row],[Supplier ID]],Supplier[#All],5,0)</f>
        <v>CG</v>
      </c>
      <c r="H440" s="138" t="str">
        <f>VLOOKUP(Purchase[[#This Row],[Supplier ID]],Supplier[#All],6,0)</f>
        <v>GST2154521T020</v>
      </c>
      <c r="I440" s="138" t="s">
        <v>547</v>
      </c>
      <c r="J440" s="139">
        <v>23</v>
      </c>
      <c r="K440" s="143">
        <f>VLOOKUP(Purchase[[#This Row],[Product ID]],Product[#All],6,0)</f>
        <v>28107</v>
      </c>
      <c r="L440" s="143">
        <f>Purchase[[#This Row],[Purchase Rate]]*Purchase[[#This Row],[Qty]]</f>
        <v>646461</v>
      </c>
      <c r="M440" s="140">
        <v>0</v>
      </c>
      <c r="N440" s="143">
        <v>0</v>
      </c>
      <c r="O440" s="140">
        <v>0.18</v>
      </c>
      <c r="P440" s="145">
        <f>(Purchase[[#This Row],[Gross Amount]]-Purchase[[#This Row],[Disct %]])*Purchase[[#This Row],[GST %]]</f>
        <v>116362.98</v>
      </c>
      <c r="Q440" s="145">
        <f>Purchase[[#This Row],[Gross Amount]]-Purchase[[#This Row],[Disct Amnt]]+Purchase[[#This Row],[GST Amount]]</f>
        <v>762823.98</v>
      </c>
      <c r="R440" s="138" t="s">
        <v>1019</v>
      </c>
      <c r="S440" s="41">
        <f>IF(Purchase[[#This Row],[Status]]="Cancelled",0,Purchase[[#This Row],[Qty]])</f>
        <v>23</v>
      </c>
      <c r="T440" s="146">
        <f>IF(Purchase[[#This Row],[Status]]="Cancelled",0,Purchase[[#This Row],[Total Amount]])</f>
        <v>762823.98</v>
      </c>
      <c r="U440" s="146">
        <f>SUM(Purchase[Net Amount])</f>
        <v>814985438.68000126</v>
      </c>
    </row>
    <row r="441" spans="1:21" ht="19.5" thickBot="1" x14ac:dyDescent="0.3">
      <c r="A441" s="136" t="s">
        <v>1476</v>
      </c>
      <c r="B441" s="137">
        <v>45679</v>
      </c>
      <c r="C441" s="138" t="s">
        <v>564</v>
      </c>
      <c r="D441" s="138" t="str">
        <f>VLOOKUP(Purchase[[#This Row],[Supplier ID]],Supplier[#All],2,0)</f>
        <v xml:space="preserve">Star Electronics </v>
      </c>
      <c r="E441" s="138">
        <f>VLOOKUP(Purchase[[#This Row],[Supplier ID]],Supplier[#All],3,0)</f>
        <v>9689542450</v>
      </c>
      <c r="F441" s="138" t="str">
        <f>VLOOKUP(Purchase[[#This Row],[Supplier ID]],Supplier[#All],4,0)</f>
        <v>Korba</v>
      </c>
      <c r="G441" s="138" t="str">
        <f>VLOOKUP(Purchase[[#This Row],[Supplier ID]],Supplier[#All],5,0)</f>
        <v>CG</v>
      </c>
      <c r="H441" s="138" t="str">
        <f>VLOOKUP(Purchase[[#This Row],[Supplier ID]],Supplier[#All],6,0)</f>
        <v>GST2154521T012</v>
      </c>
      <c r="I441" s="138" t="s">
        <v>307</v>
      </c>
      <c r="J441" s="139">
        <v>29</v>
      </c>
      <c r="K441" s="143">
        <f>VLOOKUP(Purchase[[#This Row],[Product ID]],Product[#All],6,0)</f>
        <v>39890</v>
      </c>
      <c r="L441" s="143">
        <f>Purchase[[#This Row],[Purchase Rate]]*Purchase[[#This Row],[Qty]]</f>
        <v>1156810</v>
      </c>
      <c r="M441" s="140">
        <v>0</v>
      </c>
      <c r="N441" s="143">
        <v>0</v>
      </c>
      <c r="O441" s="140">
        <v>0.18</v>
      </c>
      <c r="P441" s="145">
        <f>(Purchase[[#This Row],[Gross Amount]]-Purchase[[#This Row],[Disct %]])*Purchase[[#This Row],[GST %]]</f>
        <v>208225.8</v>
      </c>
      <c r="Q441" s="145">
        <f>Purchase[[#This Row],[Gross Amount]]-Purchase[[#This Row],[Disct Amnt]]+Purchase[[#This Row],[GST Amount]]</f>
        <v>1365035.8</v>
      </c>
      <c r="R441" s="138" t="s">
        <v>1019</v>
      </c>
      <c r="S441" s="41">
        <f>IF(Purchase[[#This Row],[Status]]="Cancelled",0,Purchase[[#This Row],[Qty]])</f>
        <v>29</v>
      </c>
      <c r="T441" s="146">
        <f>IF(Purchase[[#This Row],[Status]]="Cancelled",0,Purchase[[#This Row],[Total Amount]])</f>
        <v>1365035.8</v>
      </c>
      <c r="U441" s="146">
        <f>SUM(Purchase[Net Amount])</f>
        <v>814985438.68000126</v>
      </c>
    </row>
    <row r="442" spans="1:21" ht="19.5" thickBot="1" x14ac:dyDescent="0.3">
      <c r="A442" s="136" t="s">
        <v>1477</v>
      </c>
      <c r="B442" s="137">
        <v>45679</v>
      </c>
      <c r="C442" s="138" t="s">
        <v>605</v>
      </c>
      <c r="D442" s="138" t="str">
        <f>VLOOKUP(Purchase[[#This Row],[Supplier ID]],Supplier[#All],2,0)</f>
        <v>Star Traders</v>
      </c>
      <c r="E442" s="138">
        <f>VLOOKUP(Purchase[[#This Row],[Supplier ID]],Supplier[#All],3,0)</f>
        <v>9689542488</v>
      </c>
      <c r="F442" s="138" t="str">
        <f>VLOOKUP(Purchase[[#This Row],[Supplier ID]],Supplier[#All],4,0)</f>
        <v>Indore</v>
      </c>
      <c r="G442" s="138" t="str">
        <f>VLOOKUP(Purchase[[#This Row],[Supplier ID]],Supplier[#All],5,0)</f>
        <v>MP</v>
      </c>
      <c r="H442" s="138" t="str">
        <f>VLOOKUP(Purchase[[#This Row],[Supplier ID]],Supplier[#All],6,0)</f>
        <v>GST2154521T050</v>
      </c>
      <c r="I442" s="138" t="s">
        <v>401</v>
      </c>
      <c r="J442" s="139">
        <v>21</v>
      </c>
      <c r="K442" s="143">
        <f>VLOOKUP(Purchase[[#This Row],[Product ID]],Product[#All],6,0)</f>
        <v>517</v>
      </c>
      <c r="L442" s="143">
        <f>Purchase[[#This Row],[Purchase Rate]]*Purchase[[#This Row],[Qty]]</f>
        <v>10857</v>
      </c>
      <c r="M442" s="140">
        <v>0</v>
      </c>
      <c r="N442" s="143">
        <v>0</v>
      </c>
      <c r="O442" s="140">
        <v>0.18</v>
      </c>
      <c r="P442" s="145">
        <f>(Purchase[[#This Row],[Gross Amount]]-Purchase[[#This Row],[Disct %]])*Purchase[[#This Row],[GST %]]</f>
        <v>1954.26</v>
      </c>
      <c r="Q442" s="145">
        <f>Purchase[[#This Row],[Gross Amount]]-Purchase[[#This Row],[Disct Amnt]]+Purchase[[#This Row],[GST Amount]]</f>
        <v>12811.26</v>
      </c>
      <c r="R442" s="138" t="s">
        <v>1019</v>
      </c>
      <c r="S442" s="41">
        <f>IF(Purchase[[#This Row],[Status]]="Cancelled",0,Purchase[[#This Row],[Qty]])</f>
        <v>21</v>
      </c>
      <c r="T442" s="146">
        <f>IF(Purchase[[#This Row],[Status]]="Cancelled",0,Purchase[[#This Row],[Total Amount]])</f>
        <v>12811.26</v>
      </c>
      <c r="U442" s="146">
        <f>SUM(Purchase[Net Amount])</f>
        <v>814985438.68000126</v>
      </c>
    </row>
    <row r="443" spans="1:21" ht="19.5" thickBot="1" x14ac:dyDescent="0.3">
      <c r="A443" s="136" t="s">
        <v>1478</v>
      </c>
      <c r="B443" s="137">
        <v>45679</v>
      </c>
      <c r="C443" s="138" t="s">
        <v>581</v>
      </c>
      <c r="D443" s="138" t="str">
        <f>VLOOKUP(Purchase[[#This Row],[Supplier ID]],Supplier[#All],2,0)</f>
        <v>Prime Electronics</v>
      </c>
      <c r="E443" s="138">
        <f>VLOOKUP(Purchase[[#This Row],[Supplier ID]],Supplier[#All],3,0)</f>
        <v>9689542465</v>
      </c>
      <c r="F443" s="138" t="str">
        <f>VLOOKUP(Purchase[[#This Row],[Supplier ID]],Supplier[#All],4,0)</f>
        <v>Korba</v>
      </c>
      <c r="G443" s="138" t="str">
        <f>VLOOKUP(Purchase[[#This Row],[Supplier ID]],Supplier[#All],5,0)</f>
        <v>CG</v>
      </c>
      <c r="H443" s="138" t="str">
        <f>VLOOKUP(Purchase[[#This Row],[Supplier ID]],Supplier[#All],6,0)</f>
        <v>GST2154521T027</v>
      </c>
      <c r="I443" s="138" t="s">
        <v>150</v>
      </c>
      <c r="J443" s="139">
        <v>5</v>
      </c>
      <c r="K443" s="143">
        <f>VLOOKUP(Purchase[[#This Row],[Product ID]],Product[#All],6,0)</f>
        <v>7322</v>
      </c>
      <c r="L443" s="143">
        <f>Purchase[[#This Row],[Purchase Rate]]*Purchase[[#This Row],[Qty]]</f>
        <v>36610</v>
      </c>
      <c r="M443" s="140">
        <v>0</v>
      </c>
      <c r="N443" s="143">
        <v>0</v>
      </c>
      <c r="O443" s="140">
        <v>0.18</v>
      </c>
      <c r="P443" s="145">
        <f>(Purchase[[#This Row],[Gross Amount]]-Purchase[[#This Row],[Disct %]])*Purchase[[#This Row],[GST %]]</f>
        <v>6589.8</v>
      </c>
      <c r="Q443" s="145">
        <f>Purchase[[#This Row],[Gross Amount]]-Purchase[[#This Row],[Disct Amnt]]+Purchase[[#This Row],[GST Amount]]</f>
        <v>43199.8</v>
      </c>
      <c r="R443" s="138" t="s">
        <v>1019</v>
      </c>
      <c r="S443" s="41">
        <f>IF(Purchase[[#This Row],[Status]]="Cancelled",0,Purchase[[#This Row],[Qty]])</f>
        <v>5</v>
      </c>
      <c r="T443" s="146">
        <f>IF(Purchase[[#This Row],[Status]]="Cancelled",0,Purchase[[#This Row],[Total Amount]])</f>
        <v>43199.8</v>
      </c>
      <c r="U443" s="146">
        <f>SUM(Purchase[Net Amount])</f>
        <v>814985438.68000126</v>
      </c>
    </row>
    <row r="444" spans="1:21" ht="19.5" thickBot="1" x14ac:dyDescent="0.3">
      <c r="A444" s="136" t="s">
        <v>1479</v>
      </c>
      <c r="B444" s="137">
        <v>45679</v>
      </c>
      <c r="C444" s="138" t="s">
        <v>612</v>
      </c>
      <c r="D444" s="138" t="str">
        <f>VLOOKUP(Purchase[[#This Row],[Supplier ID]],Supplier[#All],2,0)</f>
        <v>National Computers</v>
      </c>
      <c r="E444" s="138">
        <f>VLOOKUP(Purchase[[#This Row],[Supplier ID]],Supplier[#All],3,0)</f>
        <v>9689542495</v>
      </c>
      <c r="F444" s="138" t="str">
        <f>VLOOKUP(Purchase[[#This Row],[Supplier ID]],Supplier[#All],4,0)</f>
        <v>Indore</v>
      </c>
      <c r="G444" s="138" t="str">
        <f>VLOOKUP(Purchase[[#This Row],[Supplier ID]],Supplier[#All],5,0)</f>
        <v>MP</v>
      </c>
      <c r="H444" s="138" t="str">
        <f>VLOOKUP(Purchase[[#This Row],[Supplier ID]],Supplier[#All],6,0)</f>
        <v>GST2154521T057</v>
      </c>
      <c r="I444" s="138" t="s">
        <v>343</v>
      </c>
      <c r="J444" s="139">
        <v>39</v>
      </c>
      <c r="K444" s="143">
        <f>VLOOKUP(Purchase[[#This Row],[Product ID]],Product[#All],6,0)</f>
        <v>692</v>
      </c>
      <c r="L444" s="143">
        <f>Purchase[[#This Row],[Purchase Rate]]*Purchase[[#This Row],[Qty]]</f>
        <v>26988</v>
      </c>
      <c r="M444" s="140">
        <v>0</v>
      </c>
      <c r="N444" s="143">
        <v>0</v>
      </c>
      <c r="O444" s="140">
        <v>0.18</v>
      </c>
      <c r="P444" s="145">
        <f>(Purchase[[#This Row],[Gross Amount]]-Purchase[[#This Row],[Disct %]])*Purchase[[#This Row],[GST %]]</f>
        <v>4857.84</v>
      </c>
      <c r="Q444" s="145">
        <f>Purchase[[#This Row],[Gross Amount]]-Purchase[[#This Row],[Disct Amnt]]+Purchase[[#This Row],[GST Amount]]</f>
        <v>31845.84</v>
      </c>
      <c r="R444" s="138" t="s">
        <v>1019</v>
      </c>
      <c r="S444" s="41">
        <f>IF(Purchase[[#This Row],[Status]]="Cancelled",0,Purchase[[#This Row],[Qty]])</f>
        <v>39</v>
      </c>
      <c r="T444" s="146">
        <f>IF(Purchase[[#This Row],[Status]]="Cancelled",0,Purchase[[#This Row],[Total Amount]])</f>
        <v>31845.84</v>
      </c>
      <c r="U444" s="146">
        <f>SUM(Purchase[Net Amount])</f>
        <v>814985438.68000126</v>
      </c>
    </row>
    <row r="445" spans="1:21" ht="19.5" thickBot="1" x14ac:dyDescent="0.3">
      <c r="A445" s="136" t="s">
        <v>1480</v>
      </c>
      <c r="B445" s="137">
        <v>45679</v>
      </c>
      <c r="C445" s="138" t="s">
        <v>616</v>
      </c>
      <c r="D445" s="138" t="str">
        <f>VLOOKUP(Purchase[[#This Row],[Supplier ID]],Supplier[#All],2,0)</f>
        <v>Global Suppliers</v>
      </c>
      <c r="E445" s="138">
        <f>VLOOKUP(Purchase[[#This Row],[Supplier ID]],Supplier[#All],3,0)</f>
        <v>9689542499</v>
      </c>
      <c r="F445" s="138" t="str">
        <f>VLOOKUP(Purchase[[#This Row],[Supplier ID]],Supplier[#All],4,0)</f>
        <v>Kanpur</v>
      </c>
      <c r="G445" s="138" t="str">
        <f>VLOOKUP(Purchase[[#This Row],[Supplier ID]],Supplier[#All],5,0)</f>
        <v>UP</v>
      </c>
      <c r="H445" s="138" t="str">
        <f>VLOOKUP(Purchase[[#This Row],[Supplier ID]],Supplier[#All],6,0)</f>
        <v>GST2154521T061</v>
      </c>
      <c r="I445" s="138" t="s">
        <v>190</v>
      </c>
      <c r="J445" s="139">
        <v>17</v>
      </c>
      <c r="K445" s="143">
        <f>VLOOKUP(Purchase[[#This Row],[Product ID]],Product[#All],6,0)</f>
        <v>15766</v>
      </c>
      <c r="L445" s="143">
        <f>Purchase[[#This Row],[Purchase Rate]]*Purchase[[#This Row],[Qty]]</f>
        <v>268022</v>
      </c>
      <c r="M445" s="140">
        <v>0</v>
      </c>
      <c r="N445" s="143">
        <v>0</v>
      </c>
      <c r="O445" s="140">
        <v>0.18</v>
      </c>
      <c r="P445" s="145">
        <f>(Purchase[[#This Row],[Gross Amount]]-Purchase[[#This Row],[Disct %]])*Purchase[[#This Row],[GST %]]</f>
        <v>48243.96</v>
      </c>
      <c r="Q445" s="145">
        <f>Purchase[[#This Row],[Gross Amount]]-Purchase[[#This Row],[Disct Amnt]]+Purchase[[#This Row],[GST Amount]]</f>
        <v>316265.96000000002</v>
      </c>
      <c r="R445" s="138" t="s">
        <v>1019</v>
      </c>
      <c r="S445" s="41">
        <f>IF(Purchase[[#This Row],[Status]]="Cancelled",0,Purchase[[#This Row],[Qty]])</f>
        <v>17</v>
      </c>
      <c r="T445" s="146">
        <f>IF(Purchase[[#This Row],[Status]]="Cancelled",0,Purchase[[#This Row],[Total Amount]])</f>
        <v>316265.96000000002</v>
      </c>
      <c r="U445" s="146">
        <f>SUM(Purchase[Net Amount])</f>
        <v>814985438.68000126</v>
      </c>
    </row>
    <row r="446" spans="1:21" ht="19.5" thickBot="1" x14ac:dyDescent="0.3">
      <c r="A446" s="136" t="s">
        <v>1481</v>
      </c>
      <c r="B446" s="137">
        <v>45679</v>
      </c>
      <c r="C446" s="138" t="s">
        <v>593</v>
      </c>
      <c r="D446" s="138" t="str">
        <f>VLOOKUP(Purchase[[#This Row],[Supplier ID]],Supplier[#All],2,0)</f>
        <v>Global Suppliers</v>
      </c>
      <c r="E446" s="138">
        <f>VLOOKUP(Purchase[[#This Row],[Supplier ID]],Supplier[#All],3,0)</f>
        <v>9689542476</v>
      </c>
      <c r="F446" s="138" t="str">
        <f>VLOOKUP(Purchase[[#This Row],[Supplier ID]],Supplier[#All],4,0)</f>
        <v>Korba</v>
      </c>
      <c r="G446" s="138" t="str">
        <f>VLOOKUP(Purchase[[#This Row],[Supplier ID]],Supplier[#All],5,0)</f>
        <v>CG</v>
      </c>
      <c r="H446" s="138" t="str">
        <f>VLOOKUP(Purchase[[#This Row],[Supplier ID]],Supplier[#All],6,0)</f>
        <v>GST2154521T038</v>
      </c>
      <c r="I446" s="138" t="s">
        <v>419</v>
      </c>
      <c r="J446" s="139">
        <v>22</v>
      </c>
      <c r="K446" s="143">
        <f>VLOOKUP(Purchase[[#This Row],[Product ID]],Product[#All],6,0)</f>
        <v>7279</v>
      </c>
      <c r="L446" s="143">
        <f>Purchase[[#This Row],[Purchase Rate]]*Purchase[[#This Row],[Qty]]</f>
        <v>160138</v>
      </c>
      <c r="M446" s="140">
        <v>0</v>
      </c>
      <c r="N446" s="143">
        <v>0</v>
      </c>
      <c r="O446" s="140">
        <v>0.18</v>
      </c>
      <c r="P446" s="145">
        <f>(Purchase[[#This Row],[Gross Amount]]-Purchase[[#This Row],[Disct %]])*Purchase[[#This Row],[GST %]]</f>
        <v>28824.84</v>
      </c>
      <c r="Q446" s="145">
        <f>Purchase[[#This Row],[Gross Amount]]-Purchase[[#This Row],[Disct Amnt]]+Purchase[[#This Row],[GST Amount]]</f>
        <v>188962.84</v>
      </c>
      <c r="R446" s="138" t="s">
        <v>1019</v>
      </c>
      <c r="S446" s="41">
        <f>IF(Purchase[[#This Row],[Status]]="Cancelled",0,Purchase[[#This Row],[Qty]])</f>
        <v>22</v>
      </c>
      <c r="T446" s="146">
        <f>IF(Purchase[[#This Row],[Status]]="Cancelled",0,Purchase[[#This Row],[Total Amount]])</f>
        <v>188962.84</v>
      </c>
      <c r="U446" s="146">
        <f>SUM(Purchase[Net Amount])</f>
        <v>814985438.68000126</v>
      </c>
    </row>
    <row r="447" spans="1:21" ht="19.5" thickBot="1" x14ac:dyDescent="0.3">
      <c r="A447" s="136" t="s">
        <v>1482</v>
      </c>
      <c r="B447" s="137">
        <v>45679</v>
      </c>
      <c r="C447" s="138" t="s">
        <v>580</v>
      </c>
      <c r="D447" s="138" t="str">
        <f>VLOOKUP(Purchase[[#This Row],[Supplier ID]],Supplier[#All],2,0)</f>
        <v>Star Distributors</v>
      </c>
      <c r="E447" s="138">
        <f>VLOOKUP(Purchase[[#This Row],[Supplier ID]],Supplier[#All],3,0)</f>
        <v>9689542464</v>
      </c>
      <c r="F447" s="138" t="str">
        <f>VLOOKUP(Purchase[[#This Row],[Supplier ID]],Supplier[#All],4,0)</f>
        <v>Indore</v>
      </c>
      <c r="G447" s="138" t="str">
        <f>VLOOKUP(Purchase[[#This Row],[Supplier ID]],Supplier[#All],5,0)</f>
        <v>MP</v>
      </c>
      <c r="H447" s="138" t="str">
        <f>VLOOKUP(Purchase[[#This Row],[Supplier ID]],Supplier[#All],6,0)</f>
        <v>GST2154521T026</v>
      </c>
      <c r="I447" s="138" t="s">
        <v>396</v>
      </c>
      <c r="J447" s="139">
        <v>24</v>
      </c>
      <c r="K447" s="143">
        <f>VLOOKUP(Purchase[[#This Row],[Product ID]],Product[#All],6,0)</f>
        <v>63314</v>
      </c>
      <c r="L447" s="143">
        <f>Purchase[[#This Row],[Purchase Rate]]*Purchase[[#This Row],[Qty]]</f>
        <v>1519536</v>
      </c>
      <c r="M447" s="140">
        <v>0</v>
      </c>
      <c r="N447" s="143">
        <v>0</v>
      </c>
      <c r="O447" s="140">
        <v>0.18</v>
      </c>
      <c r="P447" s="145">
        <f>(Purchase[[#This Row],[Gross Amount]]-Purchase[[#This Row],[Disct %]])*Purchase[[#This Row],[GST %]]</f>
        <v>273516.48</v>
      </c>
      <c r="Q447" s="145">
        <f>Purchase[[#This Row],[Gross Amount]]-Purchase[[#This Row],[Disct Amnt]]+Purchase[[#This Row],[GST Amount]]</f>
        <v>1793052.48</v>
      </c>
      <c r="R447" s="138" t="s">
        <v>1019</v>
      </c>
      <c r="S447" s="41">
        <f>IF(Purchase[[#This Row],[Status]]="Cancelled",0,Purchase[[#This Row],[Qty]])</f>
        <v>24</v>
      </c>
      <c r="T447" s="146">
        <f>IF(Purchase[[#This Row],[Status]]="Cancelled",0,Purchase[[#This Row],[Total Amount]])</f>
        <v>1793052.48</v>
      </c>
      <c r="U447" s="146">
        <f>SUM(Purchase[Net Amount])</f>
        <v>814985438.68000126</v>
      </c>
    </row>
    <row r="448" spans="1:21" ht="19.5" thickBot="1" x14ac:dyDescent="0.3">
      <c r="A448" s="136" t="s">
        <v>1483</v>
      </c>
      <c r="B448" s="137">
        <v>45679</v>
      </c>
      <c r="C448" s="138" t="s">
        <v>603</v>
      </c>
      <c r="D448" s="138" t="str">
        <f>VLOOKUP(Purchase[[#This Row],[Supplier ID]],Supplier[#All],2,0)</f>
        <v>Tech Computers</v>
      </c>
      <c r="E448" s="138">
        <f>VLOOKUP(Purchase[[#This Row],[Supplier ID]],Supplier[#All],3,0)</f>
        <v>9689542486</v>
      </c>
      <c r="F448" s="138" t="str">
        <f>VLOOKUP(Purchase[[#This Row],[Supplier ID]],Supplier[#All],4,0)</f>
        <v>Indore</v>
      </c>
      <c r="G448" s="138" t="str">
        <f>VLOOKUP(Purchase[[#This Row],[Supplier ID]],Supplier[#All],5,0)</f>
        <v>MP</v>
      </c>
      <c r="H448" s="138" t="str">
        <f>VLOOKUP(Purchase[[#This Row],[Supplier ID]],Supplier[#All],6,0)</f>
        <v>GST2154521T048</v>
      </c>
      <c r="I448" s="138" t="s">
        <v>312</v>
      </c>
      <c r="J448" s="139">
        <v>10</v>
      </c>
      <c r="K448" s="143">
        <f>VLOOKUP(Purchase[[#This Row],[Product ID]],Product[#All],6,0)</f>
        <v>51220</v>
      </c>
      <c r="L448" s="143">
        <f>Purchase[[#This Row],[Purchase Rate]]*Purchase[[#This Row],[Qty]]</f>
        <v>512200</v>
      </c>
      <c r="M448" s="140">
        <v>0</v>
      </c>
      <c r="N448" s="143">
        <v>0</v>
      </c>
      <c r="O448" s="140">
        <v>0.18</v>
      </c>
      <c r="P448" s="145">
        <f>(Purchase[[#This Row],[Gross Amount]]-Purchase[[#This Row],[Disct %]])*Purchase[[#This Row],[GST %]]</f>
        <v>92196</v>
      </c>
      <c r="Q448" s="145">
        <f>Purchase[[#This Row],[Gross Amount]]-Purchase[[#This Row],[Disct Amnt]]+Purchase[[#This Row],[GST Amount]]</f>
        <v>604396</v>
      </c>
      <c r="R448" s="138" t="s">
        <v>1019</v>
      </c>
      <c r="S448" s="41">
        <f>IF(Purchase[[#This Row],[Status]]="Cancelled",0,Purchase[[#This Row],[Qty]])</f>
        <v>10</v>
      </c>
      <c r="T448" s="146">
        <f>IF(Purchase[[#This Row],[Status]]="Cancelled",0,Purchase[[#This Row],[Total Amount]])</f>
        <v>604396</v>
      </c>
      <c r="U448" s="146">
        <f>SUM(Purchase[Net Amount])</f>
        <v>814985438.68000126</v>
      </c>
    </row>
    <row r="449" spans="1:21" ht="19.5" thickBot="1" x14ac:dyDescent="0.3">
      <c r="A449" s="136" t="s">
        <v>1484</v>
      </c>
      <c r="B449" s="137">
        <v>45679</v>
      </c>
      <c r="C449" s="138" t="s">
        <v>594</v>
      </c>
      <c r="D449" s="138" t="str">
        <f>VLOOKUP(Purchase[[#This Row],[Supplier ID]],Supplier[#All],2,0)</f>
        <v>Shree Suppliers</v>
      </c>
      <c r="E449" s="138">
        <f>VLOOKUP(Purchase[[#This Row],[Supplier ID]],Supplier[#All],3,0)</f>
        <v>9689542477</v>
      </c>
      <c r="F449" s="138" t="str">
        <f>VLOOKUP(Purchase[[#This Row],[Supplier ID]],Supplier[#All],4,0)</f>
        <v>Indore</v>
      </c>
      <c r="G449" s="138" t="str">
        <f>VLOOKUP(Purchase[[#This Row],[Supplier ID]],Supplier[#All],5,0)</f>
        <v>MP</v>
      </c>
      <c r="H449" s="138" t="str">
        <f>VLOOKUP(Purchase[[#This Row],[Supplier ID]],Supplier[#All],6,0)</f>
        <v>GST2154521T039</v>
      </c>
      <c r="I449" s="138" t="s">
        <v>230</v>
      </c>
      <c r="J449" s="139">
        <v>12</v>
      </c>
      <c r="K449" s="143">
        <f>VLOOKUP(Purchase[[#This Row],[Product ID]],Product[#All],6,0)</f>
        <v>59681</v>
      </c>
      <c r="L449" s="143">
        <f>Purchase[[#This Row],[Purchase Rate]]*Purchase[[#This Row],[Qty]]</f>
        <v>716172</v>
      </c>
      <c r="M449" s="140">
        <v>0</v>
      </c>
      <c r="N449" s="143">
        <v>0</v>
      </c>
      <c r="O449" s="140">
        <v>0.18</v>
      </c>
      <c r="P449" s="145">
        <f>(Purchase[[#This Row],[Gross Amount]]-Purchase[[#This Row],[Disct %]])*Purchase[[#This Row],[GST %]]</f>
        <v>128910.95999999999</v>
      </c>
      <c r="Q449" s="145">
        <f>Purchase[[#This Row],[Gross Amount]]-Purchase[[#This Row],[Disct Amnt]]+Purchase[[#This Row],[GST Amount]]</f>
        <v>845082.96</v>
      </c>
      <c r="R449" s="138" t="s">
        <v>1019</v>
      </c>
      <c r="S449" s="41">
        <f>IF(Purchase[[#This Row],[Status]]="Cancelled",0,Purchase[[#This Row],[Qty]])</f>
        <v>12</v>
      </c>
      <c r="T449" s="146">
        <f>IF(Purchase[[#This Row],[Status]]="Cancelled",0,Purchase[[#This Row],[Total Amount]])</f>
        <v>845082.96</v>
      </c>
      <c r="U449" s="146">
        <f>SUM(Purchase[Net Amount])</f>
        <v>814985438.68000126</v>
      </c>
    </row>
    <row r="450" spans="1:21" ht="19.5" thickBot="1" x14ac:dyDescent="0.3">
      <c r="A450" s="136" t="s">
        <v>1485</v>
      </c>
      <c r="B450" s="137">
        <v>45679</v>
      </c>
      <c r="C450" s="138" t="s">
        <v>588</v>
      </c>
      <c r="D450" s="138" t="str">
        <f>VLOOKUP(Purchase[[#This Row],[Supplier ID]],Supplier[#All],2,0)</f>
        <v>Star Electronics</v>
      </c>
      <c r="E450" s="138">
        <f>VLOOKUP(Purchase[[#This Row],[Supplier ID]],Supplier[#All],3,0)</f>
        <v>9689542472</v>
      </c>
      <c r="F450" s="138" t="str">
        <f>VLOOKUP(Purchase[[#This Row],[Supplier ID]],Supplier[#All],4,0)</f>
        <v>Korba</v>
      </c>
      <c r="G450" s="138" t="str">
        <f>VLOOKUP(Purchase[[#This Row],[Supplier ID]],Supplier[#All],5,0)</f>
        <v>CG</v>
      </c>
      <c r="H450" s="138" t="str">
        <f>VLOOKUP(Purchase[[#This Row],[Supplier ID]],Supplier[#All],6,0)</f>
        <v>GST2154521T034</v>
      </c>
      <c r="I450" s="138" t="s">
        <v>513</v>
      </c>
      <c r="J450" s="139">
        <v>29</v>
      </c>
      <c r="K450" s="143">
        <f>VLOOKUP(Purchase[[#This Row],[Product ID]],Product[#All],6,0)</f>
        <v>1887</v>
      </c>
      <c r="L450" s="143">
        <f>Purchase[[#This Row],[Purchase Rate]]*Purchase[[#This Row],[Qty]]</f>
        <v>54723</v>
      </c>
      <c r="M450" s="140">
        <v>0</v>
      </c>
      <c r="N450" s="143">
        <v>0</v>
      </c>
      <c r="O450" s="140">
        <v>0.18</v>
      </c>
      <c r="P450" s="145">
        <f>(Purchase[[#This Row],[Gross Amount]]-Purchase[[#This Row],[Disct %]])*Purchase[[#This Row],[GST %]]</f>
        <v>9850.14</v>
      </c>
      <c r="Q450" s="145">
        <f>Purchase[[#This Row],[Gross Amount]]-Purchase[[#This Row],[Disct Amnt]]+Purchase[[#This Row],[GST Amount]]</f>
        <v>64573.14</v>
      </c>
      <c r="R450" s="138" t="s">
        <v>1019</v>
      </c>
      <c r="S450" s="41">
        <f>IF(Purchase[[#This Row],[Status]]="Cancelled",0,Purchase[[#This Row],[Qty]])</f>
        <v>29</v>
      </c>
      <c r="T450" s="146">
        <f>IF(Purchase[[#This Row],[Status]]="Cancelled",0,Purchase[[#This Row],[Total Amount]])</f>
        <v>64573.14</v>
      </c>
      <c r="U450" s="146">
        <f>SUM(Purchase[Net Amount])</f>
        <v>814985438.68000126</v>
      </c>
    </row>
    <row r="451" spans="1:21" ht="19.5" thickBot="1" x14ac:dyDescent="0.3">
      <c r="A451" s="136" t="s">
        <v>1486</v>
      </c>
      <c r="B451" s="137">
        <v>45679</v>
      </c>
      <c r="C451" s="138" t="s">
        <v>614</v>
      </c>
      <c r="D451" s="138" t="str">
        <f>VLOOKUP(Purchase[[#This Row],[Supplier ID]],Supplier[#All],2,0)</f>
        <v>National Electronics</v>
      </c>
      <c r="E451" s="138">
        <f>VLOOKUP(Purchase[[#This Row],[Supplier ID]],Supplier[#All],3,0)</f>
        <v>9689542497</v>
      </c>
      <c r="F451" s="138" t="str">
        <f>VLOOKUP(Purchase[[#This Row],[Supplier ID]],Supplier[#All],4,0)</f>
        <v>Kanpur</v>
      </c>
      <c r="G451" s="138" t="str">
        <f>VLOOKUP(Purchase[[#This Row],[Supplier ID]],Supplier[#All],5,0)</f>
        <v>UP</v>
      </c>
      <c r="H451" s="138" t="str">
        <f>VLOOKUP(Purchase[[#This Row],[Supplier ID]],Supplier[#All],6,0)</f>
        <v>GST2154521T059</v>
      </c>
      <c r="I451" s="138" t="s">
        <v>534</v>
      </c>
      <c r="J451" s="139">
        <v>39</v>
      </c>
      <c r="K451" s="143">
        <f>VLOOKUP(Purchase[[#This Row],[Product ID]],Product[#All],6,0)</f>
        <v>31624</v>
      </c>
      <c r="L451" s="143">
        <f>Purchase[[#This Row],[Purchase Rate]]*Purchase[[#This Row],[Qty]]</f>
        <v>1233336</v>
      </c>
      <c r="M451" s="140">
        <v>0</v>
      </c>
      <c r="N451" s="143">
        <v>0</v>
      </c>
      <c r="O451" s="140">
        <v>0.18</v>
      </c>
      <c r="P451" s="145">
        <f>(Purchase[[#This Row],[Gross Amount]]-Purchase[[#This Row],[Disct %]])*Purchase[[#This Row],[GST %]]</f>
        <v>222000.47999999998</v>
      </c>
      <c r="Q451" s="145">
        <f>Purchase[[#This Row],[Gross Amount]]-Purchase[[#This Row],[Disct Amnt]]+Purchase[[#This Row],[GST Amount]]</f>
        <v>1455336.48</v>
      </c>
      <c r="R451" s="138" t="s">
        <v>1019</v>
      </c>
      <c r="S451" s="41">
        <f>IF(Purchase[[#This Row],[Status]]="Cancelled",0,Purchase[[#This Row],[Qty]])</f>
        <v>39</v>
      </c>
      <c r="T451" s="146">
        <f>IF(Purchase[[#This Row],[Status]]="Cancelled",0,Purchase[[#This Row],[Total Amount]])</f>
        <v>1455336.48</v>
      </c>
      <c r="U451" s="146">
        <f>SUM(Purchase[Net Amount])</f>
        <v>814985438.68000126</v>
      </c>
    </row>
    <row r="452" spans="1:21" ht="19.5" thickBot="1" x14ac:dyDescent="0.3">
      <c r="A452" s="136" t="s">
        <v>1487</v>
      </c>
      <c r="B452" s="137">
        <v>45679</v>
      </c>
      <c r="C452" s="138" t="s">
        <v>566</v>
      </c>
      <c r="D452" s="138" t="str">
        <f>VLOOKUP(Purchase[[#This Row],[Supplier ID]],Supplier[#All],2,0)</f>
        <v>Maa Computers</v>
      </c>
      <c r="E452" s="138">
        <f>VLOOKUP(Purchase[[#This Row],[Supplier ID]],Supplier[#All],3,0)</f>
        <v>9689542452</v>
      </c>
      <c r="F452" s="138" t="str">
        <f>VLOOKUP(Purchase[[#This Row],[Supplier ID]],Supplier[#All],4,0)</f>
        <v>Kanpur</v>
      </c>
      <c r="G452" s="138" t="str">
        <f>VLOOKUP(Purchase[[#This Row],[Supplier ID]],Supplier[#All],5,0)</f>
        <v>UP</v>
      </c>
      <c r="H452" s="138" t="str">
        <f>VLOOKUP(Purchase[[#This Row],[Supplier ID]],Supplier[#All],6,0)</f>
        <v>GST2154521T014</v>
      </c>
      <c r="I452" s="138" t="s">
        <v>439</v>
      </c>
      <c r="J452" s="139">
        <v>18</v>
      </c>
      <c r="K452" s="143">
        <f>VLOOKUP(Purchase[[#This Row],[Product ID]],Product[#All],6,0)</f>
        <v>73027</v>
      </c>
      <c r="L452" s="143">
        <f>Purchase[[#This Row],[Purchase Rate]]*Purchase[[#This Row],[Qty]]</f>
        <v>1314486</v>
      </c>
      <c r="M452" s="140">
        <v>0</v>
      </c>
      <c r="N452" s="143">
        <v>0</v>
      </c>
      <c r="O452" s="140">
        <v>0.18</v>
      </c>
      <c r="P452" s="145">
        <f>(Purchase[[#This Row],[Gross Amount]]-Purchase[[#This Row],[Disct %]])*Purchase[[#This Row],[GST %]]</f>
        <v>236607.47999999998</v>
      </c>
      <c r="Q452" s="145">
        <f>Purchase[[#This Row],[Gross Amount]]-Purchase[[#This Row],[Disct Amnt]]+Purchase[[#This Row],[GST Amount]]</f>
        <v>1551093.48</v>
      </c>
      <c r="R452" s="138" t="s">
        <v>1019</v>
      </c>
      <c r="S452" s="41">
        <f>IF(Purchase[[#This Row],[Status]]="Cancelled",0,Purchase[[#This Row],[Qty]])</f>
        <v>18</v>
      </c>
      <c r="T452" s="146">
        <f>IF(Purchase[[#This Row],[Status]]="Cancelled",0,Purchase[[#This Row],[Total Amount]])</f>
        <v>1551093.48</v>
      </c>
      <c r="U452" s="146">
        <f>SUM(Purchase[Net Amount])</f>
        <v>814985438.68000126</v>
      </c>
    </row>
    <row r="453" spans="1:21" ht="19.5" thickBot="1" x14ac:dyDescent="0.3">
      <c r="A453" s="136" t="s">
        <v>1488</v>
      </c>
      <c r="B453" s="137">
        <v>45680</v>
      </c>
      <c r="C453" s="138" t="s">
        <v>603</v>
      </c>
      <c r="D453" s="138" t="str">
        <f>VLOOKUP(Purchase[[#This Row],[Supplier ID]],Supplier[#All],2,0)</f>
        <v>Tech Computers</v>
      </c>
      <c r="E453" s="138">
        <f>VLOOKUP(Purchase[[#This Row],[Supplier ID]],Supplier[#All],3,0)</f>
        <v>9689542486</v>
      </c>
      <c r="F453" s="138" t="str">
        <f>VLOOKUP(Purchase[[#This Row],[Supplier ID]],Supplier[#All],4,0)</f>
        <v>Indore</v>
      </c>
      <c r="G453" s="138" t="str">
        <f>VLOOKUP(Purchase[[#This Row],[Supplier ID]],Supplier[#All],5,0)</f>
        <v>MP</v>
      </c>
      <c r="H453" s="138" t="str">
        <f>VLOOKUP(Purchase[[#This Row],[Supplier ID]],Supplier[#All],6,0)</f>
        <v>GST2154521T048</v>
      </c>
      <c r="I453" s="138" t="s">
        <v>265</v>
      </c>
      <c r="J453" s="139">
        <v>14</v>
      </c>
      <c r="K453" s="143">
        <f>VLOOKUP(Purchase[[#This Row],[Product ID]],Product[#All],6,0)</f>
        <v>28871</v>
      </c>
      <c r="L453" s="143">
        <f>Purchase[[#This Row],[Purchase Rate]]*Purchase[[#This Row],[Qty]]</f>
        <v>404194</v>
      </c>
      <c r="M453" s="140">
        <v>0</v>
      </c>
      <c r="N453" s="143">
        <v>0</v>
      </c>
      <c r="O453" s="140">
        <v>0.18</v>
      </c>
      <c r="P453" s="145">
        <f>(Purchase[[#This Row],[Gross Amount]]-Purchase[[#This Row],[Disct %]])*Purchase[[#This Row],[GST %]]</f>
        <v>72754.92</v>
      </c>
      <c r="Q453" s="145">
        <f>Purchase[[#This Row],[Gross Amount]]-Purchase[[#This Row],[Disct Amnt]]+Purchase[[#This Row],[GST Amount]]</f>
        <v>476948.92</v>
      </c>
      <c r="R453" s="138" t="s">
        <v>1019</v>
      </c>
      <c r="S453" s="41">
        <f>IF(Purchase[[#This Row],[Status]]="Cancelled",0,Purchase[[#This Row],[Qty]])</f>
        <v>14</v>
      </c>
      <c r="T453" s="146">
        <f>IF(Purchase[[#This Row],[Status]]="Cancelled",0,Purchase[[#This Row],[Total Amount]])</f>
        <v>476948.92</v>
      </c>
      <c r="U453" s="146">
        <f>SUM(Purchase[Net Amount])</f>
        <v>814985438.68000126</v>
      </c>
    </row>
    <row r="454" spans="1:21" ht="19.5" thickBot="1" x14ac:dyDescent="0.3">
      <c r="A454" s="136" t="s">
        <v>1489</v>
      </c>
      <c r="B454" s="137">
        <v>45680</v>
      </c>
      <c r="C454" s="138" t="s">
        <v>1490</v>
      </c>
      <c r="D454" s="138" t="str">
        <f>VLOOKUP(Purchase[[#This Row],[Supplier ID]],Supplier[#All],2,0)</f>
        <v>Maa Traders</v>
      </c>
      <c r="E454" s="138">
        <f>VLOOKUP(Purchase[[#This Row],[Supplier ID]],Supplier[#All],3,0)</f>
        <v>9689542470</v>
      </c>
      <c r="F454" s="138" t="str">
        <f>VLOOKUP(Purchase[[#This Row],[Supplier ID]],Supplier[#All],4,0)</f>
        <v>Kanpur</v>
      </c>
      <c r="G454" s="138" t="str">
        <f>VLOOKUP(Purchase[[#This Row],[Supplier ID]],Supplier[#All],5,0)</f>
        <v>UP</v>
      </c>
      <c r="H454" s="138" t="str">
        <f>VLOOKUP(Purchase[[#This Row],[Supplier ID]],Supplier[#All],6,0)</f>
        <v>GST2154521T032</v>
      </c>
      <c r="I454" s="138" t="s">
        <v>28</v>
      </c>
      <c r="J454" s="139">
        <v>21</v>
      </c>
      <c r="K454" s="143">
        <f>VLOOKUP(Purchase[[#This Row],[Product ID]],Product[#All],6,0)</f>
        <v>68618</v>
      </c>
      <c r="L454" s="143">
        <f>Purchase[[#This Row],[Purchase Rate]]*Purchase[[#This Row],[Qty]]</f>
        <v>1440978</v>
      </c>
      <c r="M454" s="140">
        <v>0</v>
      </c>
      <c r="N454" s="143">
        <v>0</v>
      </c>
      <c r="O454" s="140">
        <v>0.18</v>
      </c>
      <c r="P454" s="145">
        <f>(Purchase[[#This Row],[Gross Amount]]-Purchase[[#This Row],[Disct %]])*Purchase[[#This Row],[GST %]]</f>
        <v>259376.03999999998</v>
      </c>
      <c r="Q454" s="145">
        <f>Purchase[[#This Row],[Gross Amount]]-Purchase[[#This Row],[Disct Amnt]]+Purchase[[#This Row],[GST Amount]]</f>
        <v>1700354.04</v>
      </c>
      <c r="R454" s="138" t="s">
        <v>1019</v>
      </c>
      <c r="S454" s="41">
        <f>IF(Purchase[[#This Row],[Status]]="Cancelled",0,Purchase[[#This Row],[Qty]])</f>
        <v>21</v>
      </c>
      <c r="T454" s="146">
        <f>IF(Purchase[[#This Row],[Status]]="Cancelled",0,Purchase[[#This Row],[Total Amount]])</f>
        <v>1700354.04</v>
      </c>
      <c r="U454" s="146">
        <f>SUM(Purchase[Net Amount])</f>
        <v>814985438.68000126</v>
      </c>
    </row>
    <row r="455" spans="1:21" ht="19.5" thickBot="1" x14ac:dyDescent="0.3">
      <c r="A455" s="136" t="s">
        <v>1491</v>
      </c>
      <c r="B455" s="137">
        <v>45680</v>
      </c>
      <c r="C455" s="138" t="s">
        <v>565</v>
      </c>
      <c r="D455" s="138" t="str">
        <f>VLOOKUP(Purchase[[#This Row],[Supplier ID]],Supplier[#All],2,0)</f>
        <v>Global Suppliers</v>
      </c>
      <c r="E455" s="138">
        <f>VLOOKUP(Purchase[[#This Row],[Supplier ID]],Supplier[#All],3,0)</f>
        <v>9689542459</v>
      </c>
      <c r="F455" s="138" t="str">
        <f>VLOOKUP(Purchase[[#This Row],[Supplier ID]],Supplier[#All],4,0)</f>
        <v>Indore</v>
      </c>
      <c r="G455" s="138" t="str">
        <f>VLOOKUP(Purchase[[#This Row],[Supplier ID]],Supplier[#All],5,0)</f>
        <v>MP</v>
      </c>
      <c r="H455" s="138" t="str">
        <f>VLOOKUP(Purchase[[#This Row],[Supplier ID]],Supplier[#All],6,0)</f>
        <v>GST2154521T013</v>
      </c>
      <c r="I455" s="138" t="s">
        <v>466</v>
      </c>
      <c r="J455" s="139">
        <v>26</v>
      </c>
      <c r="K455" s="143">
        <f>VLOOKUP(Purchase[[#This Row],[Product ID]],Product[#All],6,0)</f>
        <v>68885</v>
      </c>
      <c r="L455" s="143">
        <f>Purchase[[#This Row],[Purchase Rate]]*Purchase[[#This Row],[Qty]]</f>
        <v>1791010</v>
      </c>
      <c r="M455" s="140">
        <v>0</v>
      </c>
      <c r="N455" s="143">
        <v>0</v>
      </c>
      <c r="O455" s="140">
        <v>0.18</v>
      </c>
      <c r="P455" s="145">
        <f>(Purchase[[#This Row],[Gross Amount]]-Purchase[[#This Row],[Disct %]])*Purchase[[#This Row],[GST %]]</f>
        <v>322381.8</v>
      </c>
      <c r="Q455" s="145">
        <f>Purchase[[#This Row],[Gross Amount]]-Purchase[[#This Row],[Disct Amnt]]+Purchase[[#This Row],[GST Amount]]</f>
        <v>2113391.7999999998</v>
      </c>
      <c r="R455" s="138" t="s">
        <v>1019</v>
      </c>
      <c r="S455" s="41">
        <f>IF(Purchase[[#This Row],[Status]]="Cancelled",0,Purchase[[#This Row],[Qty]])</f>
        <v>26</v>
      </c>
      <c r="T455" s="146">
        <f>IF(Purchase[[#This Row],[Status]]="Cancelled",0,Purchase[[#This Row],[Total Amount]])</f>
        <v>2113391.7999999998</v>
      </c>
      <c r="U455" s="146">
        <f>SUM(Purchase[Net Amount])</f>
        <v>814985438.68000126</v>
      </c>
    </row>
    <row r="456" spans="1:21" ht="19.5" thickBot="1" x14ac:dyDescent="0.3">
      <c r="A456" s="136" t="s">
        <v>1492</v>
      </c>
      <c r="B456" s="137">
        <v>45680</v>
      </c>
      <c r="C456" s="138" t="s">
        <v>576</v>
      </c>
      <c r="D456" s="138" t="str">
        <f>VLOOKUP(Purchase[[#This Row],[Supplier ID]],Supplier[#All],2,0)</f>
        <v>Maa Distributors</v>
      </c>
      <c r="E456" s="138">
        <f>VLOOKUP(Purchase[[#This Row],[Supplier ID]],Supplier[#All],3,0)</f>
        <v>9689542460</v>
      </c>
      <c r="F456" s="138" t="str">
        <f>VLOOKUP(Purchase[[#This Row],[Supplier ID]],Supplier[#All],4,0)</f>
        <v>Korba</v>
      </c>
      <c r="G456" s="138" t="str">
        <f>VLOOKUP(Purchase[[#This Row],[Supplier ID]],Supplier[#All],5,0)</f>
        <v>CG</v>
      </c>
      <c r="H456" s="138" t="str">
        <f>VLOOKUP(Purchase[[#This Row],[Supplier ID]],Supplier[#All],6,0)</f>
        <v>GST2154521T022</v>
      </c>
      <c r="I456" s="138" t="s">
        <v>436</v>
      </c>
      <c r="J456" s="139">
        <v>13</v>
      </c>
      <c r="K456" s="143">
        <f>VLOOKUP(Purchase[[#This Row],[Product ID]],Product[#All],6,0)</f>
        <v>732</v>
      </c>
      <c r="L456" s="143">
        <f>Purchase[[#This Row],[Purchase Rate]]*Purchase[[#This Row],[Qty]]</f>
        <v>9516</v>
      </c>
      <c r="M456" s="140">
        <v>0</v>
      </c>
      <c r="N456" s="143">
        <v>0</v>
      </c>
      <c r="O456" s="140">
        <v>0.18</v>
      </c>
      <c r="P456" s="145">
        <f>(Purchase[[#This Row],[Gross Amount]]-Purchase[[#This Row],[Disct %]])*Purchase[[#This Row],[GST %]]</f>
        <v>1712.8799999999999</v>
      </c>
      <c r="Q456" s="145">
        <f>Purchase[[#This Row],[Gross Amount]]-Purchase[[#This Row],[Disct Amnt]]+Purchase[[#This Row],[GST Amount]]</f>
        <v>11228.88</v>
      </c>
      <c r="R456" s="138" t="s">
        <v>1019</v>
      </c>
      <c r="S456" s="41">
        <f>IF(Purchase[[#This Row],[Status]]="Cancelled",0,Purchase[[#This Row],[Qty]])</f>
        <v>13</v>
      </c>
      <c r="T456" s="146">
        <f>IF(Purchase[[#This Row],[Status]]="Cancelled",0,Purchase[[#This Row],[Total Amount]])</f>
        <v>11228.88</v>
      </c>
      <c r="U456" s="146">
        <f>SUM(Purchase[Net Amount])</f>
        <v>814985438.68000126</v>
      </c>
    </row>
    <row r="457" spans="1:21" ht="19.5" thickBot="1" x14ac:dyDescent="0.3">
      <c r="A457" s="136" t="s">
        <v>1493</v>
      </c>
      <c r="B457" s="137">
        <v>45680</v>
      </c>
      <c r="C457" s="138" t="s">
        <v>600</v>
      </c>
      <c r="D457" s="138" t="str">
        <f>VLOOKUP(Purchase[[#This Row],[Supplier ID]],Supplier[#All],2,0)</f>
        <v>Prime Suppliers</v>
      </c>
      <c r="E457" s="138">
        <f>VLOOKUP(Purchase[[#This Row],[Supplier ID]],Supplier[#All],3,0)</f>
        <v>9689542483</v>
      </c>
      <c r="F457" s="138" t="str">
        <f>VLOOKUP(Purchase[[#This Row],[Supplier ID]],Supplier[#All],4,0)</f>
        <v>Korba</v>
      </c>
      <c r="G457" s="138" t="str">
        <f>VLOOKUP(Purchase[[#This Row],[Supplier ID]],Supplier[#All],5,0)</f>
        <v>CG</v>
      </c>
      <c r="H457" s="138" t="str">
        <f>VLOOKUP(Purchase[[#This Row],[Supplier ID]],Supplier[#All],6,0)</f>
        <v>GST2154521T045</v>
      </c>
      <c r="I457" s="138" t="s">
        <v>325</v>
      </c>
      <c r="J457" s="139">
        <v>21</v>
      </c>
      <c r="K457" s="143">
        <f>VLOOKUP(Purchase[[#This Row],[Product ID]],Product[#All],6,0)</f>
        <v>1396</v>
      </c>
      <c r="L457" s="143">
        <f>Purchase[[#This Row],[Purchase Rate]]*Purchase[[#This Row],[Qty]]</f>
        <v>29316</v>
      </c>
      <c r="M457" s="140">
        <v>0</v>
      </c>
      <c r="N457" s="143">
        <v>0</v>
      </c>
      <c r="O457" s="140">
        <v>0.18</v>
      </c>
      <c r="P457" s="145">
        <f>(Purchase[[#This Row],[Gross Amount]]-Purchase[[#This Row],[Disct %]])*Purchase[[#This Row],[GST %]]</f>
        <v>5276.88</v>
      </c>
      <c r="Q457" s="145">
        <f>Purchase[[#This Row],[Gross Amount]]-Purchase[[#This Row],[Disct Amnt]]+Purchase[[#This Row],[GST Amount]]</f>
        <v>34592.879999999997</v>
      </c>
      <c r="R457" s="138" t="s">
        <v>1019</v>
      </c>
      <c r="S457" s="41">
        <f>IF(Purchase[[#This Row],[Status]]="Cancelled",0,Purchase[[#This Row],[Qty]])</f>
        <v>21</v>
      </c>
      <c r="T457" s="146">
        <f>IF(Purchase[[#This Row],[Status]]="Cancelled",0,Purchase[[#This Row],[Total Amount]])</f>
        <v>34592.879999999997</v>
      </c>
      <c r="U457" s="146">
        <f>SUM(Purchase[Net Amount])</f>
        <v>814985438.68000126</v>
      </c>
    </row>
    <row r="458" spans="1:21" ht="19.5" thickBot="1" x14ac:dyDescent="0.3">
      <c r="A458" s="136" t="s">
        <v>1494</v>
      </c>
      <c r="B458" s="137">
        <v>45680</v>
      </c>
      <c r="C458" s="138" t="s">
        <v>610</v>
      </c>
      <c r="D458" s="138" t="str">
        <f>VLOOKUP(Purchase[[#This Row],[Supplier ID]],Supplier[#All],2,0)</f>
        <v>Shree Electronics</v>
      </c>
      <c r="E458" s="138">
        <f>VLOOKUP(Purchase[[#This Row],[Supplier ID]],Supplier[#All],3,0)</f>
        <v>9689542493</v>
      </c>
      <c r="F458" s="138" t="str">
        <f>VLOOKUP(Purchase[[#This Row],[Supplier ID]],Supplier[#All],4,0)</f>
        <v>Kanpur</v>
      </c>
      <c r="G458" s="138" t="str">
        <f>VLOOKUP(Purchase[[#This Row],[Supplier ID]],Supplier[#All],5,0)</f>
        <v>UP</v>
      </c>
      <c r="H458" s="138" t="str">
        <f>VLOOKUP(Purchase[[#This Row],[Supplier ID]],Supplier[#All],6,0)</f>
        <v>GST2154521T055</v>
      </c>
      <c r="I458" s="138" t="s">
        <v>135</v>
      </c>
      <c r="J458" s="139">
        <v>16</v>
      </c>
      <c r="K458" s="143">
        <f>VLOOKUP(Purchase[[#This Row],[Product ID]],Product[#All],6,0)</f>
        <v>2681</v>
      </c>
      <c r="L458" s="143">
        <f>Purchase[[#This Row],[Purchase Rate]]*Purchase[[#This Row],[Qty]]</f>
        <v>42896</v>
      </c>
      <c r="M458" s="140">
        <v>0</v>
      </c>
      <c r="N458" s="143">
        <v>0</v>
      </c>
      <c r="O458" s="140">
        <v>0.18</v>
      </c>
      <c r="P458" s="145">
        <f>(Purchase[[#This Row],[Gross Amount]]-Purchase[[#This Row],[Disct %]])*Purchase[[#This Row],[GST %]]</f>
        <v>7721.28</v>
      </c>
      <c r="Q458" s="145">
        <f>Purchase[[#This Row],[Gross Amount]]-Purchase[[#This Row],[Disct Amnt]]+Purchase[[#This Row],[GST Amount]]</f>
        <v>50617.279999999999</v>
      </c>
      <c r="R458" s="138" t="s">
        <v>1019</v>
      </c>
      <c r="S458" s="41">
        <f>IF(Purchase[[#This Row],[Status]]="Cancelled",0,Purchase[[#This Row],[Qty]])</f>
        <v>16</v>
      </c>
      <c r="T458" s="146">
        <f>IF(Purchase[[#This Row],[Status]]="Cancelled",0,Purchase[[#This Row],[Total Amount]])</f>
        <v>50617.279999999999</v>
      </c>
      <c r="U458" s="146">
        <f>SUM(Purchase[Net Amount])</f>
        <v>814985438.68000126</v>
      </c>
    </row>
    <row r="459" spans="1:21" ht="19.5" thickBot="1" x14ac:dyDescent="0.3">
      <c r="A459" s="136" t="s">
        <v>1495</v>
      </c>
      <c r="B459" s="137">
        <v>45680</v>
      </c>
      <c r="C459" s="138" t="s">
        <v>601</v>
      </c>
      <c r="D459" s="138" t="str">
        <f>VLOOKUP(Purchase[[#This Row],[Supplier ID]],Supplier[#All],2,0)</f>
        <v>Maa Distributors</v>
      </c>
      <c r="E459" s="138">
        <f>VLOOKUP(Purchase[[#This Row],[Supplier ID]],Supplier[#All],3,0)</f>
        <v>9689542484</v>
      </c>
      <c r="F459" s="138" t="str">
        <f>VLOOKUP(Purchase[[#This Row],[Supplier ID]],Supplier[#All],4,0)</f>
        <v>Indore</v>
      </c>
      <c r="G459" s="138" t="str">
        <f>VLOOKUP(Purchase[[#This Row],[Supplier ID]],Supplier[#All],5,0)</f>
        <v>MP</v>
      </c>
      <c r="H459" s="138" t="str">
        <f>VLOOKUP(Purchase[[#This Row],[Supplier ID]],Supplier[#All],6,0)</f>
        <v>GST2154521T046</v>
      </c>
      <c r="I459" s="138" t="s">
        <v>219</v>
      </c>
      <c r="J459" s="139">
        <v>23</v>
      </c>
      <c r="K459" s="143">
        <f>VLOOKUP(Purchase[[#This Row],[Product ID]],Product[#All],6,0)</f>
        <v>18401</v>
      </c>
      <c r="L459" s="143">
        <f>Purchase[[#This Row],[Purchase Rate]]*Purchase[[#This Row],[Qty]]</f>
        <v>423223</v>
      </c>
      <c r="M459" s="140">
        <v>0</v>
      </c>
      <c r="N459" s="143">
        <v>0</v>
      </c>
      <c r="O459" s="140">
        <v>0.18</v>
      </c>
      <c r="P459" s="145">
        <f>(Purchase[[#This Row],[Gross Amount]]-Purchase[[#This Row],[Disct %]])*Purchase[[#This Row],[GST %]]</f>
        <v>76180.14</v>
      </c>
      <c r="Q459" s="145">
        <f>Purchase[[#This Row],[Gross Amount]]-Purchase[[#This Row],[Disct Amnt]]+Purchase[[#This Row],[GST Amount]]</f>
        <v>499403.14</v>
      </c>
      <c r="R459" s="138" t="s">
        <v>1019</v>
      </c>
      <c r="S459" s="41">
        <f>IF(Purchase[[#This Row],[Status]]="Cancelled",0,Purchase[[#This Row],[Qty]])</f>
        <v>23</v>
      </c>
      <c r="T459" s="146">
        <f>IF(Purchase[[#This Row],[Status]]="Cancelled",0,Purchase[[#This Row],[Total Amount]])</f>
        <v>499403.14</v>
      </c>
      <c r="U459" s="146">
        <f>SUM(Purchase[Net Amount])</f>
        <v>814985438.68000126</v>
      </c>
    </row>
    <row r="460" spans="1:21" ht="19.5" thickBot="1" x14ac:dyDescent="0.3">
      <c r="A460" s="136" t="s">
        <v>1496</v>
      </c>
      <c r="B460" s="137">
        <v>45680</v>
      </c>
      <c r="C460" s="138" t="s">
        <v>601</v>
      </c>
      <c r="D460" s="138" t="str">
        <f>VLOOKUP(Purchase[[#This Row],[Supplier ID]],Supplier[#All],2,0)</f>
        <v>Maa Distributors</v>
      </c>
      <c r="E460" s="138">
        <f>VLOOKUP(Purchase[[#This Row],[Supplier ID]],Supplier[#All],3,0)</f>
        <v>9689542484</v>
      </c>
      <c r="F460" s="138" t="str">
        <f>VLOOKUP(Purchase[[#This Row],[Supplier ID]],Supplier[#All],4,0)</f>
        <v>Indore</v>
      </c>
      <c r="G460" s="138" t="str">
        <f>VLOOKUP(Purchase[[#This Row],[Supplier ID]],Supplier[#All],5,0)</f>
        <v>MP</v>
      </c>
      <c r="H460" s="138" t="str">
        <f>VLOOKUP(Purchase[[#This Row],[Supplier ID]],Supplier[#All],6,0)</f>
        <v>GST2154521T046</v>
      </c>
      <c r="I460" s="138" t="s">
        <v>456</v>
      </c>
      <c r="J460" s="139">
        <v>35</v>
      </c>
      <c r="K460" s="143">
        <f>VLOOKUP(Purchase[[#This Row],[Product ID]],Product[#All],6,0)</f>
        <v>57453</v>
      </c>
      <c r="L460" s="143">
        <f>Purchase[[#This Row],[Purchase Rate]]*Purchase[[#This Row],[Qty]]</f>
        <v>2010855</v>
      </c>
      <c r="M460" s="140">
        <v>0</v>
      </c>
      <c r="N460" s="143">
        <v>0</v>
      </c>
      <c r="O460" s="140">
        <v>0.18</v>
      </c>
      <c r="P460" s="145">
        <f>(Purchase[[#This Row],[Gross Amount]]-Purchase[[#This Row],[Disct %]])*Purchase[[#This Row],[GST %]]</f>
        <v>361953.89999999997</v>
      </c>
      <c r="Q460" s="145">
        <f>Purchase[[#This Row],[Gross Amount]]-Purchase[[#This Row],[Disct Amnt]]+Purchase[[#This Row],[GST Amount]]</f>
        <v>2372808.9</v>
      </c>
      <c r="R460" s="138" t="s">
        <v>1019</v>
      </c>
      <c r="S460" s="41">
        <f>IF(Purchase[[#This Row],[Status]]="Cancelled",0,Purchase[[#This Row],[Qty]])</f>
        <v>35</v>
      </c>
      <c r="T460" s="146">
        <f>IF(Purchase[[#This Row],[Status]]="Cancelled",0,Purchase[[#This Row],[Total Amount]])</f>
        <v>2372808.9</v>
      </c>
      <c r="U460" s="146">
        <f>SUM(Purchase[Net Amount])</f>
        <v>814985438.68000126</v>
      </c>
    </row>
    <row r="461" spans="1:21" ht="19.5" thickBot="1" x14ac:dyDescent="0.3">
      <c r="A461" s="136" t="s">
        <v>1497</v>
      </c>
      <c r="B461" s="137">
        <v>45680</v>
      </c>
      <c r="C461" s="138" t="s">
        <v>588</v>
      </c>
      <c r="D461" s="138" t="str">
        <f>VLOOKUP(Purchase[[#This Row],[Supplier ID]],Supplier[#All],2,0)</f>
        <v>Star Electronics</v>
      </c>
      <c r="E461" s="138">
        <f>VLOOKUP(Purchase[[#This Row],[Supplier ID]],Supplier[#All],3,0)</f>
        <v>9689542472</v>
      </c>
      <c r="F461" s="138" t="str">
        <f>VLOOKUP(Purchase[[#This Row],[Supplier ID]],Supplier[#All],4,0)</f>
        <v>Korba</v>
      </c>
      <c r="G461" s="138" t="str">
        <f>VLOOKUP(Purchase[[#This Row],[Supplier ID]],Supplier[#All],5,0)</f>
        <v>CG</v>
      </c>
      <c r="H461" s="138" t="str">
        <f>VLOOKUP(Purchase[[#This Row],[Supplier ID]],Supplier[#All],6,0)</f>
        <v>GST2154521T034</v>
      </c>
      <c r="I461" s="138" t="s">
        <v>202</v>
      </c>
      <c r="J461" s="139">
        <v>29</v>
      </c>
      <c r="K461" s="143">
        <f>VLOOKUP(Purchase[[#This Row],[Product ID]],Product[#All],6,0)</f>
        <v>1062</v>
      </c>
      <c r="L461" s="143">
        <f>Purchase[[#This Row],[Purchase Rate]]*Purchase[[#This Row],[Qty]]</f>
        <v>30798</v>
      </c>
      <c r="M461" s="140">
        <v>0</v>
      </c>
      <c r="N461" s="143">
        <v>0</v>
      </c>
      <c r="O461" s="140">
        <v>0.18</v>
      </c>
      <c r="P461" s="145">
        <f>(Purchase[[#This Row],[Gross Amount]]-Purchase[[#This Row],[Disct %]])*Purchase[[#This Row],[GST %]]</f>
        <v>5543.6399999999994</v>
      </c>
      <c r="Q461" s="145">
        <f>Purchase[[#This Row],[Gross Amount]]-Purchase[[#This Row],[Disct Amnt]]+Purchase[[#This Row],[GST Amount]]</f>
        <v>36341.64</v>
      </c>
      <c r="R461" s="138" t="s">
        <v>1019</v>
      </c>
      <c r="S461" s="41">
        <f>IF(Purchase[[#This Row],[Status]]="Cancelled",0,Purchase[[#This Row],[Qty]])</f>
        <v>29</v>
      </c>
      <c r="T461" s="146">
        <f>IF(Purchase[[#This Row],[Status]]="Cancelled",0,Purchase[[#This Row],[Total Amount]])</f>
        <v>36341.64</v>
      </c>
      <c r="U461" s="146">
        <f>SUM(Purchase[Net Amount])</f>
        <v>814985438.68000126</v>
      </c>
    </row>
    <row r="462" spans="1:21" ht="19.5" thickBot="1" x14ac:dyDescent="0.3">
      <c r="A462" s="136" t="s">
        <v>1498</v>
      </c>
      <c r="B462" s="137">
        <v>45680</v>
      </c>
      <c r="C462" s="138" t="s">
        <v>585</v>
      </c>
      <c r="D462" s="138" t="str">
        <f>VLOOKUP(Purchase[[#This Row],[Supplier ID]],Supplier[#All],2,0)</f>
        <v>Tech Computers</v>
      </c>
      <c r="E462" s="138">
        <f>VLOOKUP(Purchase[[#This Row],[Supplier ID]],Supplier[#All],3,0)</f>
        <v>9689542469</v>
      </c>
      <c r="F462" s="138" t="str">
        <f>VLOOKUP(Purchase[[#This Row],[Supplier ID]],Supplier[#All],4,0)</f>
        <v>Korba</v>
      </c>
      <c r="G462" s="138" t="str">
        <f>VLOOKUP(Purchase[[#This Row],[Supplier ID]],Supplier[#All],5,0)</f>
        <v>CG</v>
      </c>
      <c r="H462" s="138" t="str">
        <f>VLOOKUP(Purchase[[#This Row],[Supplier ID]],Supplier[#All],6,0)</f>
        <v>GST2154521T031</v>
      </c>
      <c r="I462" s="138" t="s">
        <v>330</v>
      </c>
      <c r="J462" s="139">
        <v>24</v>
      </c>
      <c r="K462" s="143">
        <f>VLOOKUP(Purchase[[#This Row],[Product ID]],Product[#All],6,0)</f>
        <v>4133</v>
      </c>
      <c r="L462" s="143">
        <f>Purchase[[#This Row],[Purchase Rate]]*Purchase[[#This Row],[Qty]]</f>
        <v>99192</v>
      </c>
      <c r="M462" s="140">
        <v>0</v>
      </c>
      <c r="N462" s="143">
        <v>0</v>
      </c>
      <c r="O462" s="140">
        <v>0.18</v>
      </c>
      <c r="P462" s="145">
        <f>(Purchase[[#This Row],[Gross Amount]]-Purchase[[#This Row],[Disct %]])*Purchase[[#This Row],[GST %]]</f>
        <v>17854.559999999998</v>
      </c>
      <c r="Q462" s="145">
        <f>Purchase[[#This Row],[Gross Amount]]-Purchase[[#This Row],[Disct Amnt]]+Purchase[[#This Row],[GST Amount]]</f>
        <v>117046.56</v>
      </c>
      <c r="R462" s="138" t="s">
        <v>1019</v>
      </c>
      <c r="S462" s="41">
        <f>IF(Purchase[[#This Row],[Status]]="Cancelled",0,Purchase[[#This Row],[Qty]])</f>
        <v>24</v>
      </c>
      <c r="T462" s="146">
        <f>IF(Purchase[[#This Row],[Status]]="Cancelled",0,Purchase[[#This Row],[Total Amount]])</f>
        <v>117046.56</v>
      </c>
      <c r="U462" s="146">
        <f>SUM(Purchase[Net Amount])</f>
        <v>814985438.68000126</v>
      </c>
    </row>
    <row r="463" spans="1:21" ht="19.5" thickBot="1" x14ac:dyDescent="0.3">
      <c r="A463" s="136" t="s">
        <v>1499</v>
      </c>
      <c r="B463" s="137">
        <v>45680</v>
      </c>
      <c r="C463" s="138" t="s">
        <v>616</v>
      </c>
      <c r="D463" s="138" t="str">
        <f>VLOOKUP(Purchase[[#This Row],[Supplier ID]],Supplier[#All],2,0)</f>
        <v>Global Suppliers</v>
      </c>
      <c r="E463" s="138">
        <f>VLOOKUP(Purchase[[#This Row],[Supplier ID]],Supplier[#All],3,0)</f>
        <v>9689542499</v>
      </c>
      <c r="F463" s="138" t="str">
        <f>VLOOKUP(Purchase[[#This Row],[Supplier ID]],Supplier[#All],4,0)</f>
        <v>Kanpur</v>
      </c>
      <c r="G463" s="138" t="str">
        <f>VLOOKUP(Purchase[[#This Row],[Supplier ID]],Supplier[#All],5,0)</f>
        <v>UP</v>
      </c>
      <c r="H463" s="138" t="str">
        <f>VLOOKUP(Purchase[[#This Row],[Supplier ID]],Supplier[#All],6,0)</f>
        <v>GST2154521T061</v>
      </c>
      <c r="I463" s="138" t="s">
        <v>180</v>
      </c>
      <c r="J463" s="139">
        <v>25</v>
      </c>
      <c r="K463" s="143">
        <f>VLOOKUP(Purchase[[#This Row],[Product ID]],Product[#All],6,0)</f>
        <v>9104</v>
      </c>
      <c r="L463" s="143">
        <f>Purchase[[#This Row],[Purchase Rate]]*Purchase[[#This Row],[Qty]]</f>
        <v>227600</v>
      </c>
      <c r="M463" s="140">
        <v>0</v>
      </c>
      <c r="N463" s="143">
        <v>0</v>
      </c>
      <c r="O463" s="140">
        <v>0.18</v>
      </c>
      <c r="P463" s="145">
        <f>(Purchase[[#This Row],[Gross Amount]]-Purchase[[#This Row],[Disct %]])*Purchase[[#This Row],[GST %]]</f>
        <v>40968</v>
      </c>
      <c r="Q463" s="145">
        <f>Purchase[[#This Row],[Gross Amount]]-Purchase[[#This Row],[Disct Amnt]]+Purchase[[#This Row],[GST Amount]]</f>
        <v>268568</v>
      </c>
      <c r="R463" s="138" t="s">
        <v>1040</v>
      </c>
      <c r="S463" s="41">
        <f>IF(Purchase[[#This Row],[Status]]="Cancelled",0,Purchase[[#This Row],[Qty]])</f>
        <v>0</v>
      </c>
      <c r="T463" s="146">
        <f>IF(Purchase[[#This Row],[Status]]="Cancelled",0,Purchase[[#This Row],[Total Amount]])</f>
        <v>0</v>
      </c>
      <c r="U463" s="146">
        <f>SUM(Purchase[Net Amount])</f>
        <v>814985438.68000126</v>
      </c>
    </row>
    <row r="464" spans="1:21" ht="19.5" thickBot="1" x14ac:dyDescent="0.3">
      <c r="A464" s="136" t="s">
        <v>1500</v>
      </c>
      <c r="B464" s="137">
        <v>45680</v>
      </c>
      <c r="C464" s="138" t="s">
        <v>567</v>
      </c>
      <c r="D464" s="138" t="str">
        <f>VLOOKUP(Purchase[[#This Row],[Supplier ID]],Supplier[#All],2,0)</f>
        <v>National Distributors</v>
      </c>
      <c r="E464" s="138">
        <f>VLOOKUP(Purchase[[#This Row],[Supplier ID]],Supplier[#All],3,0)</f>
        <v>9689542453</v>
      </c>
      <c r="F464" s="138" t="str">
        <f>VLOOKUP(Purchase[[#This Row],[Supplier ID]],Supplier[#All],4,0)</f>
        <v>Korba</v>
      </c>
      <c r="G464" s="138" t="str">
        <f>VLOOKUP(Purchase[[#This Row],[Supplier ID]],Supplier[#All],5,0)</f>
        <v>CG</v>
      </c>
      <c r="H464" s="138" t="str">
        <f>VLOOKUP(Purchase[[#This Row],[Supplier ID]],Supplier[#All],6,0)</f>
        <v>GST2154521T015</v>
      </c>
      <c r="I464" s="138" t="s">
        <v>479</v>
      </c>
      <c r="J464" s="139">
        <v>20</v>
      </c>
      <c r="K464" s="143">
        <f>VLOOKUP(Purchase[[#This Row],[Product ID]],Product[#All],6,0)</f>
        <v>4548</v>
      </c>
      <c r="L464" s="143">
        <f>Purchase[[#This Row],[Purchase Rate]]*Purchase[[#This Row],[Qty]]</f>
        <v>90960</v>
      </c>
      <c r="M464" s="140">
        <v>0</v>
      </c>
      <c r="N464" s="143">
        <v>0</v>
      </c>
      <c r="O464" s="140">
        <v>0.18</v>
      </c>
      <c r="P464" s="145">
        <f>(Purchase[[#This Row],[Gross Amount]]-Purchase[[#This Row],[Disct %]])*Purchase[[#This Row],[GST %]]</f>
        <v>16372.8</v>
      </c>
      <c r="Q464" s="145">
        <f>Purchase[[#This Row],[Gross Amount]]-Purchase[[#This Row],[Disct Amnt]]+Purchase[[#This Row],[GST Amount]]</f>
        <v>107332.8</v>
      </c>
      <c r="R464" s="138" t="s">
        <v>1019</v>
      </c>
      <c r="S464" s="41">
        <f>IF(Purchase[[#This Row],[Status]]="Cancelled",0,Purchase[[#This Row],[Qty]])</f>
        <v>20</v>
      </c>
      <c r="T464" s="146">
        <f>IF(Purchase[[#This Row],[Status]]="Cancelled",0,Purchase[[#This Row],[Total Amount]])</f>
        <v>107332.8</v>
      </c>
      <c r="U464" s="146">
        <f>SUM(Purchase[Net Amount])</f>
        <v>814985438.68000126</v>
      </c>
    </row>
    <row r="465" spans="1:21" ht="19.5" thickBot="1" x14ac:dyDescent="0.3">
      <c r="A465" s="136" t="s">
        <v>1501</v>
      </c>
      <c r="B465" s="137">
        <v>45680</v>
      </c>
      <c r="C465" s="138" t="s">
        <v>573</v>
      </c>
      <c r="D465" s="138" t="str">
        <f>VLOOKUP(Purchase[[#This Row],[Supplier ID]],Supplier[#All],2,0)</f>
        <v>Shree Traders</v>
      </c>
      <c r="E465" s="138">
        <f>VLOOKUP(Purchase[[#This Row],[Supplier ID]],Supplier[#All],3,0)</f>
        <v>9689542458</v>
      </c>
      <c r="F465" s="138" t="str">
        <f>VLOOKUP(Purchase[[#This Row],[Supplier ID]],Supplier[#All],4,0)</f>
        <v>Korba</v>
      </c>
      <c r="G465" s="138" t="str">
        <f>VLOOKUP(Purchase[[#This Row],[Supplier ID]],Supplier[#All],5,0)</f>
        <v>CG</v>
      </c>
      <c r="H465" s="138" t="str">
        <f>VLOOKUP(Purchase[[#This Row],[Supplier ID]],Supplier[#All],6,0)</f>
        <v>GST2154521T020</v>
      </c>
      <c r="I465" s="138" t="s">
        <v>208</v>
      </c>
      <c r="J465" s="139">
        <v>13</v>
      </c>
      <c r="K465" s="143">
        <f>VLOOKUP(Purchase[[#This Row],[Product ID]],Product[#All],6,0)</f>
        <v>58903</v>
      </c>
      <c r="L465" s="143">
        <f>Purchase[[#This Row],[Purchase Rate]]*Purchase[[#This Row],[Qty]]</f>
        <v>765739</v>
      </c>
      <c r="M465" s="140">
        <v>0</v>
      </c>
      <c r="N465" s="143">
        <v>0</v>
      </c>
      <c r="O465" s="140">
        <v>0.18</v>
      </c>
      <c r="P465" s="145">
        <f>(Purchase[[#This Row],[Gross Amount]]-Purchase[[#This Row],[Disct %]])*Purchase[[#This Row],[GST %]]</f>
        <v>137833.01999999999</v>
      </c>
      <c r="Q465" s="145">
        <f>Purchase[[#This Row],[Gross Amount]]-Purchase[[#This Row],[Disct Amnt]]+Purchase[[#This Row],[GST Amount]]</f>
        <v>903572.02</v>
      </c>
      <c r="R465" s="138" t="s">
        <v>1019</v>
      </c>
      <c r="S465" s="41">
        <f>IF(Purchase[[#This Row],[Status]]="Cancelled",0,Purchase[[#This Row],[Qty]])</f>
        <v>13</v>
      </c>
      <c r="T465" s="146">
        <f>IF(Purchase[[#This Row],[Status]]="Cancelled",0,Purchase[[#This Row],[Total Amount]])</f>
        <v>903572.02</v>
      </c>
      <c r="U465" s="146">
        <f>SUM(Purchase[Net Amount])</f>
        <v>814985438.68000126</v>
      </c>
    </row>
    <row r="466" spans="1:21" ht="19.5" thickBot="1" x14ac:dyDescent="0.3">
      <c r="A466" s="136" t="s">
        <v>1502</v>
      </c>
      <c r="B466" s="137">
        <v>45680</v>
      </c>
      <c r="C466" s="138" t="s">
        <v>581</v>
      </c>
      <c r="D466" s="138" t="str">
        <f>VLOOKUP(Purchase[[#This Row],[Supplier ID]],Supplier[#All],2,0)</f>
        <v>Prime Electronics</v>
      </c>
      <c r="E466" s="138">
        <f>VLOOKUP(Purchase[[#This Row],[Supplier ID]],Supplier[#All],3,0)</f>
        <v>9689542465</v>
      </c>
      <c r="F466" s="138" t="str">
        <f>VLOOKUP(Purchase[[#This Row],[Supplier ID]],Supplier[#All],4,0)</f>
        <v>Korba</v>
      </c>
      <c r="G466" s="138" t="str">
        <f>VLOOKUP(Purchase[[#This Row],[Supplier ID]],Supplier[#All],5,0)</f>
        <v>CG</v>
      </c>
      <c r="H466" s="138" t="str">
        <f>VLOOKUP(Purchase[[#This Row],[Supplier ID]],Supplier[#All],6,0)</f>
        <v>GST2154521T027</v>
      </c>
      <c r="I466" s="138" t="s">
        <v>531</v>
      </c>
      <c r="J466" s="139">
        <v>30</v>
      </c>
      <c r="K466" s="143">
        <f>VLOOKUP(Purchase[[#This Row],[Product ID]],Product[#All],6,0)</f>
        <v>5489</v>
      </c>
      <c r="L466" s="143">
        <f>Purchase[[#This Row],[Purchase Rate]]*Purchase[[#This Row],[Qty]]</f>
        <v>164670</v>
      </c>
      <c r="M466" s="140">
        <v>0</v>
      </c>
      <c r="N466" s="143">
        <v>0</v>
      </c>
      <c r="O466" s="140">
        <v>0.18</v>
      </c>
      <c r="P466" s="145">
        <f>(Purchase[[#This Row],[Gross Amount]]-Purchase[[#This Row],[Disct %]])*Purchase[[#This Row],[GST %]]</f>
        <v>29640.6</v>
      </c>
      <c r="Q466" s="145">
        <f>Purchase[[#This Row],[Gross Amount]]-Purchase[[#This Row],[Disct Amnt]]+Purchase[[#This Row],[GST Amount]]</f>
        <v>194310.6</v>
      </c>
      <c r="R466" s="138" t="s">
        <v>1019</v>
      </c>
      <c r="S466" s="41">
        <f>IF(Purchase[[#This Row],[Status]]="Cancelled",0,Purchase[[#This Row],[Qty]])</f>
        <v>30</v>
      </c>
      <c r="T466" s="146">
        <f>IF(Purchase[[#This Row],[Status]]="Cancelled",0,Purchase[[#This Row],[Total Amount]])</f>
        <v>194310.6</v>
      </c>
      <c r="U466" s="146">
        <f>SUM(Purchase[Net Amount])</f>
        <v>814985438.68000126</v>
      </c>
    </row>
    <row r="467" spans="1:21" ht="19.5" thickBot="1" x14ac:dyDescent="0.3">
      <c r="A467" s="136" t="s">
        <v>1503</v>
      </c>
      <c r="B467" s="137">
        <v>45680</v>
      </c>
      <c r="C467" s="138" t="s">
        <v>590</v>
      </c>
      <c r="D467" s="138" t="str">
        <f>VLOOKUP(Purchase[[#This Row],[Supplier ID]],Supplier[#All],2,0)</f>
        <v>Star Distributors</v>
      </c>
      <c r="E467" s="138">
        <f>VLOOKUP(Purchase[[#This Row],[Supplier ID]],Supplier[#All],3,0)</f>
        <v>9689542474</v>
      </c>
      <c r="F467" s="138" t="str">
        <f>VLOOKUP(Purchase[[#This Row],[Supplier ID]],Supplier[#All],4,0)</f>
        <v>Kanpur</v>
      </c>
      <c r="G467" s="138" t="str">
        <f>VLOOKUP(Purchase[[#This Row],[Supplier ID]],Supplier[#All],5,0)</f>
        <v>UP</v>
      </c>
      <c r="H467" s="138" t="str">
        <f>VLOOKUP(Purchase[[#This Row],[Supplier ID]],Supplier[#All],6,0)</f>
        <v>GST2154521T036</v>
      </c>
      <c r="I467" s="138" t="s">
        <v>503</v>
      </c>
      <c r="J467" s="139">
        <v>8</v>
      </c>
      <c r="K467" s="143">
        <f>VLOOKUP(Purchase[[#This Row],[Product ID]],Product[#All],6,0)</f>
        <v>7350</v>
      </c>
      <c r="L467" s="143">
        <f>Purchase[[#This Row],[Purchase Rate]]*Purchase[[#This Row],[Qty]]</f>
        <v>58800</v>
      </c>
      <c r="M467" s="140">
        <v>0</v>
      </c>
      <c r="N467" s="143">
        <v>0</v>
      </c>
      <c r="O467" s="140">
        <v>0.18</v>
      </c>
      <c r="P467" s="145">
        <f>(Purchase[[#This Row],[Gross Amount]]-Purchase[[#This Row],[Disct %]])*Purchase[[#This Row],[GST %]]</f>
        <v>10584</v>
      </c>
      <c r="Q467" s="145">
        <f>Purchase[[#This Row],[Gross Amount]]-Purchase[[#This Row],[Disct Amnt]]+Purchase[[#This Row],[GST Amount]]</f>
        <v>69384</v>
      </c>
      <c r="R467" s="138" t="s">
        <v>1019</v>
      </c>
      <c r="S467" s="41">
        <f>IF(Purchase[[#This Row],[Status]]="Cancelled",0,Purchase[[#This Row],[Qty]])</f>
        <v>8</v>
      </c>
      <c r="T467" s="146">
        <f>IF(Purchase[[#This Row],[Status]]="Cancelled",0,Purchase[[#This Row],[Total Amount]])</f>
        <v>69384</v>
      </c>
      <c r="U467" s="146">
        <f>SUM(Purchase[Net Amount])</f>
        <v>814985438.68000126</v>
      </c>
    </row>
    <row r="468" spans="1:21" ht="19.5" thickBot="1" x14ac:dyDescent="0.3">
      <c r="A468" s="136" t="s">
        <v>1504</v>
      </c>
      <c r="B468" s="137">
        <v>45680</v>
      </c>
      <c r="C468" s="138" t="s">
        <v>603</v>
      </c>
      <c r="D468" s="138" t="str">
        <f>VLOOKUP(Purchase[[#This Row],[Supplier ID]],Supplier[#All],2,0)</f>
        <v>Tech Computers</v>
      </c>
      <c r="E468" s="138">
        <f>VLOOKUP(Purchase[[#This Row],[Supplier ID]],Supplier[#All],3,0)</f>
        <v>9689542486</v>
      </c>
      <c r="F468" s="138" t="str">
        <f>VLOOKUP(Purchase[[#This Row],[Supplier ID]],Supplier[#All],4,0)</f>
        <v>Indore</v>
      </c>
      <c r="G468" s="138" t="str">
        <f>VLOOKUP(Purchase[[#This Row],[Supplier ID]],Supplier[#All],5,0)</f>
        <v>MP</v>
      </c>
      <c r="H468" s="138" t="str">
        <f>VLOOKUP(Purchase[[#This Row],[Supplier ID]],Supplier[#All],6,0)</f>
        <v>GST2154521T048</v>
      </c>
      <c r="I468" s="138" t="s">
        <v>168</v>
      </c>
      <c r="J468" s="139">
        <v>27</v>
      </c>
      <c r="K468" s="143">
        <f>VLOOKUP(Purchase[[#This Row],[Product ID]],Product[#All],6,0)</f>
        <v>1166</v>
      </c>
      <c r="L468" s="143">
        <f>Purchase[[#This Row],[Purchase Rate]]*Purchase[[#This Row],[Qty]]</f>
        <v>31482</v>
      </c>
      <c r="M468" s="140">
        <v>0</v>
      </c>
      <c r="N468" s="143">
        <v>0</v>
      </c>
      <c r="O468" s="140">
        <v>0.18</v>
      </c>
      <c r="P468" s="145">
        <f>(Purchase[[#This Row],[Gross Amount]]-Purchase[[#This Row],[Disct %]])*Purchase[[#This Row],[GST %]]</f>
        <v>5666.76</v>
      </c>
      <c r="Q468" s="145">
        <f>Purchase[[#This Row],[Gross Amount]]-Purchase[[#This Row],[Disct Amnt]]+Purchase[[#This Row],[GST Amount]]</f>
        <v>37148.76</v>
      </c>
      <c r="R468" s="138" t="s">
        <v>1040</v>
      </c>
      <c r="S468" s="41">
        <f>IF(Purchase[[#This Row],[Status]]="Cancelled",0,Purchase[[#This Row],[Qty]])</f>
        <v>0</v>
      </c>
      <c r="T468" s="146">
        <f>IF(Purchase[[#This Row],[Status]]="Cancelled",0,Purchase[[#This Row],[Total Amount]])</f>
        <v>0</v>
      </c>
      <c r="U468" s="146">
        <f>SUM(Purchase[Net Amount])</f>
        <v>814985438.68000126</v>
      </c>
    </row>
    <row r="469" spans="1:21" ht="19.5" thickBot="1" x14ac:dyDescent="0.3">
      <c r="A469" s="136" t="s">
        <v>1505</v>
      </c>
      <c r="B469" s="137">
        <v>45680</v>
      </c>
      <c r="C469" s="138" t="s">
        <v>593</v>
      </c>
      <c r="D469" s="138" t="str">
        <f>VLOOKUP(Purchase[[#This Row],[Supplier ID]],Supplier[#All],2,0)</f>
        <v>Global Suppliers</v>
      </c>
      <c r="E469" s="138">
        <f>VLOOKUP(Purchase[[#This Row],[Supplier ID]],Supplier[#All],3,0)</f>
        <v>9689542476</v>
      </c>
      <c r="F469" s="138" t="str">
        <f>VLOOKUP(Purchase[[#This Row],[Supplier ID]],Supplier[#All],4,0)</f>
        <v>Korba</v>
      </c>
      <c r="G469" s="138" t="str">
        <f>VLOOKUP(Purchase[[#This Row],[Supplier ID]],Supplier[#All],5,0)</f>
        <v>CG</v>
      </c>
      <c r="H469" s="138" t="str">
        <f>VLOOKUP(Purchase[[#This Row],[Supplier ID]],Supplier[#All],6,0)</f>
        <v>GST2154521T038</v>
      </c>
      <c r="I469" s="138" t="s">
        <v>340</v>
      </c>
      <c r="J469" s="139">
        <v>22</v>
      </c>
      <c r="K469" s="143">
        <f>VLOOKUP(Purchase[[#This Row],[Product ID]],Product[#All],6,0)</f>
        <v>1003</v>
      </c>
      <c r="L469" s="143">
        <f>Purchase[[#This Row],[Purchase Rate]]*Purchase[[#This Row],[Qty]]</f>
        <v>22066</v>
      </c>
      <c r="M469" s="140">
        <v>0</v>
      </c>
      <c r="N469" s="143">
        <v>0</v>
      </c>
      <c r="O469" s="140">
        <v>0.18</v>
      </c>
      <c r="P469" s="145">
        <f>(Purchase[[#This Row],[Gross Amount]]-Purchase[[#This Row],[Disct %]])*Purchase[[#This Row],[GST %]]</f>
        <v>3971.8799999999997</v>
      </c>
      <c r="Q469" s="145">
        <f>Purchase[[#This Row],[Gross Amount]]-Purchase[[#This Row],[Disct Amnt]]+Purchase[[#This Row],[GST Amount]]</f>
        <v>26037.88</v>
      </c>
      <c r="R469" s="138" t="s">
        <v>1019</v>
      </c>
      <c r="S469" s="41">
        <f>IF(Purchase[[#This Row],[Status]]="Cancelled",0,Purchase[[#This Row],[Qty]])</f>
        <v>22</v>
      </c>
      <c r="T469" s="146">
        <f>IF(Purchase[[#This Row],[Status]]="Cancelled",0,Purchase[[#This Row],[Total Amount]])</f>
        <v>26037.88</v>
      </c>
      <c r="U469" s="146">
        <f>SUM(Purchase[Net Amount])</f>
        <v>814985438.68000126</v>
      </c>
    </row>
    <row r="470" spans="1:21" ht="19.5" thickBot="1" x14ac:dyDescent="0.3">
      <c r="A470" s="136" t="s">
        <v>1506</v>
      </c>
      <c r="B470" s="137">
        <v>45681</v>
      </c>
      <c r="C470" s="138" t="s">
        <v>606</v>
      </c>
      <c r="D470" s="138" t="str">
        <f>VLOOKUP(Purchase[[#This Row],[Supplier ID]],Supplier[#All],2,0)</f>
        <v>Prime Traders</v>
      </c>
      <c r="E470" s="138">
        <f>VLOOKUP(Purchase[[#This Row],[Supplier ID]],Supplier[#All],3,0)</f>
        <v>9689542489</v>
      </c>
      <c r="F470" s="138" t="str">
        <f>VLOOKUP(Purchase[[#This Row],[Supplier ID]],Supplier[#All],4,0)</f>
        <v>Indore</v>
      </c>
      <c r="G470" s="138" t="str">
        <f>VLOOKUP(Purchase[[#This Row],[Supplier ID]],Supplier[#All],5,0)</f>
        <v>MP</v>
      </c>
      <c r="H470" s="138" t="str">
        <f>VLOOKUP(Purchase[[#This Row],[Supplier ID]],Supplier[#All],6,0)</f>
        <v>GST2154521T051</v>
      </c>
      <c r="I470" s="138" t="s">
        <v>551</v>
      </c>
      <c r="J470" s="139">
        <v>28</v>
      </c>
      <c r="K470" s="143">
        <f>VLOOKUP(Purchase[[#This Row],[Product ID]],Product[#All],6,0)</f>
        <v>33311</v>
      </c>
      <c r="L470" s="143">
        <f>Purchase[[#This Row],[Purchase Rate]]*Purchase[[#This Row],[Qty]]</f>
        <v>932708</v>
      </c>
      <c r="M470" s="140">
        <v>0</v>
      </c>
      <c r="N470" s="143">
        <v>0</v>
      </c>
      <c r="O470" s="140">
        <v>0.18</v>
      </c>
      <c r="P470" s="145">
        <f>(Purchase[[#This Row],[Gross Amount]]-Purchase[[#This Row],[Disct %]])*Purchase[[#This Row],[GST %]]</f>
        <v>167887.44</v>
      </c>
      <c r="Q470" s="145">
        <f>Purchase[[#This Row],[Gross Amount]]-Purchase[[#This Row],[Disct Amnt]]+Purchase[[#This Row],[GST Amount]]</f>
        <v>1100595.44</v>
      </c>
      <c r="R470" s="138" t="s">
        <v>1019</v>
      </c>
      <c r="S470" s="41">
        <f>IF(Purchase[[#This Row],[Status]]="Cancelled",0,Purchase[[#This Row],[Qty]])</f>
        <v>28</v>
      </c>
      <c r="T470" s="146">
        <f>IF(Purchase[[#This Row],[Status]]="Cancelled",0,Purchase[[#This Row],[Total Amount]])</f>
        <v>1100595.44</v>
      </c>
      <c r="U470" s="146">
        <f>SUM(Purchase[Net Amount])</f>
        <v>814985438.68000126</v>
      </c>
    </row>
    <row r="471" spans="1:21" ht="19.5" thickBot="1" x14ac:dyDescent="0.3">
      <c r="A471" s="136" t="s">
        <v>1507</v>
      </c>
      <c r="B471" s="137">
        <v>45681</v>
      </c>
      <c r="C471" s="138" t="s">
        <v>597</v>
      </c>
      <c r="D471" s="138" t="str">
        <f>VLOOKUP(Purchase[[#This Row],[Supplier ID]],Supplier[#All],2,0)</f>
        <v>Tech Traders</v>
      </c>
      <c r="E471" s="138">
        <f>VLOOKUP(Purchase[[#This Row],[Supplier ID]],Supplier[#All],3,0)</f>
        <v>9689542480</v>
      </c>
      <c r="F471" s="138" t="str">
        <f>VLOOKUP(Purchase[[#This Row],[Supplier ID]],Supplier[#All],4,0)</f>
        <v>Kanpur</v>
      </c>
      <c r="G471" s="138" t="str">
        <f>VLOOKUP(Purchase[[#This Row],[Supplier ID]],Supplier[#All],5,0)</f>
        <v>UP</v>
      </c>
      <c r="H471" s="138" t="str">
        <f>VLOOKUP(Purchase[[#This Row],[Supplier ID]],Supplier[#All],6,0)</f>
        <v>GST2154521T042</v>
      </c>
      <c r="I471" s="138" t="s">
        <v>188</v>
      </c>
      <c r="J471" s="139">
        <v>7</v>
      </c>
      <c r="K471" s="143">
        <f>VLOOKUP(Purchase[[#This Row],[Product ID]],Product[#All],6,0)</f>
        <v>11278</v>
      </c>
      <c r="L471" s="143">
        <f>Purchase[[#This Row],[Purchase Rate]]*Purchase[[#This Row],[Qty]]</f>
        <v>78946</v>
      </c>
      <c r="M471" s="140">
        <v>0</v>
      </c>
      <c r="N471" s="143">
        <v>0</v>
      </c>
      <c r="O471" s="140">
        <v>0.18</v>
      </c>
      <c r="P471" s="145">
        <f>(Purchase[[#This Row],[Gross Amount]]-Purchase[[#This Row],[Disct %]])*Purchase[[#This Row],[GST %]]</f>
        <v>14210.279999999999</v>
      </c>
      <c r="Q471" s="145">
        <f>Purchase[[#This Row],[Gross Amount]]-Purchase[[#This Row],[Disct Amnt]]+Purchase[[#This Row],[GST Amount]]</f>
        <v>93156.28</v>
      </c>
      <c r="R471" s="138" t="s">
        <v>1019</v>
      </c>
      <c r="S471" s="41">
        <f>IF(Purchase[[#This Row],[Status]]="Cancelled",0,Purchase[[#This Row],[Qty]])</f>
        <v>7</v>
      </c>
      <c r="T471" s="146">
        <f>IF(Purchase[[#This Row],[Status]]="Cancelled",0,Purchase[[#This Row],[Total Amount]])</f>
        <v>93156.28</v>
      </c>
      <c r="U471" s="146">
        <f>SUM(Purchase[Net Amount])</f>
        <v>814985438.68000126</v>
      </c>
    </row>
    <row r="472" spans="1:21" ht="19.5" thickBot="1" x14ac:dyDescent="0.3">
      <c r="A472" s="136" t="s">
        <v>1508</v>
      </c>
      <c r="B472" s="137">
        <v>45681</v>
      </c>
      <c r="C472" s="138" t="s">
        <v>579</v>
      </c>
      <c r="D472" s="138" t="str">
        <f>VLOOKUP(Purchase[[#This Row],[Supplier ID]],Supplier[#All],2,0)</f>
        <v>Tech Traders</v>
      </c>
      <c r="E472" s="138">
        <f>VLOOKUP(Purchase[[#This Row],[Supplier ID]],Supplier[#All],3,0)</f>
        <v>9689542463</v>
      </c>
      <c r="F472" s="138" t="str">
        <f>VLOOKUP(Purchase[[#This Row],[Supplier ID]],Supplier[#All],4,0)</f>
        <v>Kanpur</v>
      </c>
      <c r="G472" s="138" t="str">
        <f>VLOOKUP(Purchase[[#This Row],[Supplier ID]],Supplier[#All],5,0)</f>
        <v>UP</v>
      </c>
      <c r="H472" s="138" t="str">
        <f>VLOOKUP(Purchase[[#This Row],[Supplier ID]],Supplier[#All],6,0)</f>
        <v>GST2154521T025</v>
      </c>
      <c r="I472" s="138" t="s">
        <v>439</v>
      </c>
      <c r="J472" s="139">
        <v>12</v>
      </c>
      <c r="K472" s="143">
        <f>VLOOKUP(Purchase[[#This Row],[Product ID]],Product[#All],6,0)</f>
        <v>73027</v>
      </c>
      <c r="L472" s="143">
        <f>Purchase[[#This Row],[Purchase Rate]]*Purchase[[#This Row],[Qty]]</f>
        <v>876324</v>
      </c>
      <c r="M472" s="140">
        <v>0</v>
      </c>
      <c r="N472" s="143">
        <v>0</v>
      </c>
      <c r="O472" s="140">
        <v>0.18</v>
      </c>
      <c r="P472" s="145">
        <f>(Purchase[[#This Row],[Gross Amount]]-Purchase[[#This Row],[Disct %]])*Purchase[[#This Row],[GST %]]</f>
        <v>157738.32</v>
      </c>
      <c r="Q472" s="145">
        <f>Purchase[[#This Row],[Gross Amount]]-Purchase[[#This Row],[Disct Amnt]]+Purchase[[#This Row],[GST Amount]]</f>
        <v>1034062.3200000001</v>
      </c>
      <c r="R472" s="138" t="s">
        <v>1019</v>
      </c>
      <c r="S472" s="41">
        <f>IF(Purchase[[#This Row],[Status]]="Cancelled",0,Purchase[[#This Row],[Qty]])</f>
        <v>12</v>
      </c>
      <c r="T472" s="146">
        <f>IF(Purchase[[#This Row],[Status]]="Cancelled",0,Purchase[[#This Row],[Total Amount]])</f>
        <v>1034062.3200000001</v>
      </c>
      <c r="U472" s="146">
        <f>SUM(Purchase[Net Amount])</f>
        <v>814985438.68000126</v>
      </c>
    </row>
    <row r="473" spans="1:21" ht="19.5" thickBot="1" x14ac:dyDescent="0.3">
      <c r="A473" s="136" t="s">
        <v>1509</v>
      </c>
      <c r="B473" s="137">
        <v>45681</v>
      </c>
      <c r="C473" s="138" t="s">
        <v>611</v>
      </c>
      <c r="D473" s="138" t="str">
        <f>VLOOKUP(Purchase[[#This Row],[Supplier ID]],Supplier[#All],2,0)</f>
        <v>National Distributors</v>
      </c>
      <c r="E473" s="138">
        <f>VLOOKUP(Purchase[[#This Row],[Supplier ID]],Supplier[#All],3,0)</f>
        <v>9689542494</v>
      </c>
      <c r="F473" s="138" t="str">
        <f>VLOOKUP(Purchase[[#This Row],[Supplier ID]],Supplier[#All],4,0)</f>
        <v>Korba</v>
      </c>
      <c r="G473" s="138" t="str">
        <f>VLOOKUP(Purchase[[#This Row],[Supplier ID]],Supplier[#All],5,0)</f>
        <v>CG</v>
      </c>
      <c r="H473" s="138" t="str">
        <f>VLOOKUP(Purchase[[#This Row],[Supplier ID]],Supplier[#All],6,0)</f>
        <v>GST2154521T056</v>
      </c>
      <c r="I473" s="138" t="s">
        <v>62</v>
      </c>
      <c r="J473" s="139">
        <v>39</v>
      </c>
      <c r="K473" s="143">
        <f>VLOOKUP(Purchase[[#This Row],[Product ID]],Product[#All],6,0)</f>
        <v>5977</v>
      </c>
      <c r="L473" s="143">
        <f>Purchase[[#This Row],[Purchase Rate]]*Purchase[[#This Row],[Qty]]</f>
        <v>233103</v>
      </c>
      <c r="M473" s="140">
        <v>0</v>
      </c>
      <c r="N473" s="143">
        <v>0</v>
      </c>
      <c r="O473" s="140">
        <v>0.18</v>
      </c>
      <c r="P473" s="145">
        <f>(Purchase[[#This Row],[Gross Amount]]-Purchase[[#This Row],[Disct %]])*Purchase[[#This Row],[GST %]]</f>
        <v>41958.54</v>
      </c>
      <c r="Q473" s="145">
        <f>Purchase[[#This Row],[Gross Amount]]-Purchase[[#This Row],[Disct Amnt]]+Purchase[[#This Row],[GST Amount]]</f>
        <v>275061.53999999998</v>
      </c>
      <c r="R473" s="138" t="s">
        <v>1019</v>
      </c>
      <c r="S473" s="41">
        <f>IF(Purchase[[#This Row],[Status]]="Cancelled",0,Purchase[[#This Row],[Qty]])</f>
        <v>39</v>
      </c>
      <c r="T473" s="146">
        <f>IF(Purchase[[#This Row],[Status]]="Cancelled",0,Purchase[[#This Row],[Total Amount]])</f>
        <v>275061.53999999998</v>
      </c>
      <c r="U473" s="146">
        <f>SUM(Purchase[Net Amount])</f>
        <v>814985438.68000126</v>
      </c>
    </row>
    <row r="474" spans="1:21" ht="19.5" thickBot="1" x14ac:dyDescent="0.3">
      <c r="A474" s="136" t="s">
        <v>1510</v>
      </c>
      <c r="B474" s="137">
        <v>45681</v>
      </c>
      <c r="C474" s="138" t="s">
        <v>585</v>
      </c>
      <c r="D474" s="138" t="str">
        <f>VLOOKUP(Purchase[[#This Row],[Supplier ID]],Supplier[#All],2,0)</f>
        <v>Tech Computers</v>
      </c>
      <c r="E474" s="138">
        <f>VLOOKUP(Purchase[[#This Row],[Supplier ID]],Supplier[#All],3,0)</f>
        <v>9689542469</v>
      </c>
      <c r="F474" s="138" t="str">
        <f>VLOOKUP(Purchase[[#This Row],[Supplier ID]],Supplier[#All],4,0)</f>
        <v>Korba</v>
      </c>
      <c r="G474" s="138" t="str">
        <f>VLOOKUP(Purchase[[#This Row],[Supplier ID]],Supplier[#All],5,0)</f>
        <v>CG</v>
      </c>
      <c r="H474" s="138" t="str">
        <f>VLOOKUP(Purchase[[#This Row],[Supplier ID]],Supplier[#All],6,0)</f>
        <v>GST2154521T031</v>
      </c>
      <c r="I474" s="138" t="s">
        <v>377</v>
      </c>
      <c r="J474" s="139">
        <v>34</v>
      </c>
      <c r="K474" s="143">
        <f>VLOOKUP(Purchase[[#This Row],[Product ID]],Product[#All],6,0)</f>
        <v>54386</v>
      </c>
      <c r="L474" s="143">
        <f>Purchase[[#This Row],[Purchase Rate]]*Purchase[[#This Row],[Qty]]</f>
        <v>1849124</v>
      </c>
      <c r="M474" s="140">
        <v>0</v>
      </c>
      <c r="N474" s="143">
        <v>0</v>
      </c>
      <c r="O474" s="140">
        <v>0.18</v>
      </c>
      <c r="P474" s="145">
        <f>(Purchase[[#This Row],[Gross Amount]]-Purchase[[#This Row],[Disct %]])*Purchase[[#This Row],[GST %]]</f>
        <v>332842.32</v>
      </c>
      <c r="Q474" s="145">
        <f>Purchase[[#This Row],[Gross Amount]]-Purchase[[#This Row],[Disct Amnt]]+Purchase[[#This Row],[GST Amount]]</f>
        <v>2181966.3199999998</v>
      </c>
      <c r="R474" s="138" t="s">
        <v>1019</v>
      </c>
      <c r="S474" s="41">
        <f>IF(Purchase[[#This Row],[Status]]="Cancelled",0,Purchase[[#This Row],[Qty]])</f>
        <v>34</v>
      </c>
      <c r="T474" s="146">
        <f>IF(Purchase[[#This Row],[Status]]="Cancelled",0,Purchase[[#This Row],[Total Amount]])</f>
        <v>2181966.3199999998</v>
      </c>
      <c r="U474" s="146">
        <f>SUM(Purchase[Net Amount])</f>
        <v>814985438.68000126</v>
      </c>
    </row>
    <row r="475" spans="1:21" ht="19.5" thickBot="1" x14ac:dyDescent="0.3">
      <c r="A475" s="136" t="s">
        <v>1511</v>
      </c>
      <c r="B475" s="137">
        <v>45681</v>
      </c>
      <c r="C475" s="138" t="s">
        <v>1451</v>
      </c>
      <c r="D475" s="138" t="str">
        <f>VLOOKUP(Purchase[[#This Row],[Supplier ID]],Supplier[#All],2,0)</f>
        <v>Global Suppliers</v>
      </c>
      <c r="E475" s="138">
        <f>VLOOKUP(Purchase[[#This Row],[Supplier ID]],Supplier[#All],3,0)</f>
        <v>9689542499</v>
      </c>
      <c r="F475" s="138" t="str">
        <f>VLOOKUP(Purchase[[#This Row],[Supplier ID]],Supplier[#All],4,0)</f>
        <v>Korba</v>
      </c>
      <c r="G475" s="138" t="str">
        <f>VLOOKUP(Purchase[[#This Row],[Supplier ID]],Supplier[#All],5,0)</f>
        <v>CG</v>
      </c>
      <c r="H475" s="138" t="str">
        <f>VLOOKUP(Purchase[[#This Row],[Supplier ID]],Supplier[#All],6,0)</f>
        <v>GST2154521T053</v>
      </c>
      <c r="I475" s="138" t="s">
        <v>335</v>
      </c>
      <c r="J475" s="139">
        <v>37</v>
      </c>
      <c r="K475" s="143">
        <f>VLOOKUP(Purchase[[#This Row],[Product ID]],Product[#All],6,0)</f>
        <v>3570</v>
      </c>
      <c r="L475" s="143">
        <f>Purchase[[#This Row],[Purchase Rate]]*Purchase[[#This Row],[Qty]]</f>
        <v>132090</v>
      </c>
      <c r="M475" s="140">
        <v>0</v>
      </c>
      <c r="N475" s="143">
        <v>0</v>
      </c>
      <c r="O475" s="140">
        <v>0.18</v>
      </c>
      <c r="P475" s="145">
        <f>(Purchase[[#This Row],[Gross Amount]]-Purchase[[#This Row],[Disct %]])*Purchase[[#This Row],[GST %]]</f>
        <v>23776.2</v>
      </c>
      <c r="Q475" s="145">
        <f>Purchase[[#This Row],[Gross Amount]]-Purchase[[#This Row],[Disct Amnt]]+Purchase[[#This Row],[GST Amount]]</f>
        <v>155866.20000000001</v>
      </c>
      <c r="R475" s="138" t="s">
        <v>1019</v>
      </c>
      <c r="S475" s="41">
        <f>IF(Purchase[[#This Row],[Status]]="Cancelled",0,Purchase[[#This Row],[Qty]])</f>
        <v>37</v>
      </c>
      <c r="T475" s="146">
        <f>IF(Purchase[[#This Row],[Status]]="Cancelled",0,Purchase[[#This Row],[Total Amount]])</f>
        <v>155866.20000000001</v>
      </c>
      <c r="U475" s="146">
        <f>SUM(Purchase[Net Amount])</f>
        <v>814985438.68000126</v>
      </c>
    </row>
    <row r="476" spans="1:21" ht="19.5" thickBot="1" x14ac:dyDescent="0.3">
      <c r="A476" s="136" t="s">
        <v>1512</v>
      </c>
      <c r="B476" s="137">
        <v>45681</v>
      </c>
      <c r="C476" s="138" t="s">
        <v>598</v>
      </c>
      <c r="D476" s="138" t="str">
        <f>VLOOKUP(Purchase[[#This Row],[Supplier ID]],Supplier[#All],2,0)</f>
        <v>National Distributors</v>
      </c>
      <c r="E476" s="138">
        <f>VLOOKUP(Purchase[[#This Row],[Supplier ID]],Supplier[#All],3,0)</f>
        <v>9689542489</v>
      </c>
      <c r="F476" s="138" t="str">
        <f>VLOOKUP(Purchase[[#This Row],[Supplier ID]],Supplier[#All],4,0)</f>
        <v>Indore</v>
      </c>
      <c r="G476" s="138" t="str">
        <f>VLOOKUP(Purchase[[#This Row],[Supplier ID]],Supplier[#All],5,0)</f>
        <v>MP</v>
      </c>
      <c r="H476" s="138" t="str">
        <f>VLOOKUP(Purchase[[#This Row],[Supplier ID]],Supplier[#All],6,0)</f>
        <v>GST2154521T043</v>
      </c>
      <c r="I476" s="138" t="s">
        <v>269</v>
      </c>
      <c r="J476" s="139">
        <v>35</v>
      </c>
      <c r="K476" s="143">
        <f>VLOOKUP(Purchase[[#This Row],[Product ID]],Product[#All],6,0)</f>
        <v>8657</v>
      </c>
      <c r="L476" s="143">
        <f>Purchase[[#This Row],[Purchase Rate]]*Purchase[[#This Row],[Qty]]</f>
        <v>302995</v>
      </c>
      <c r="M476" s="140">
        <v>0</v>
      </c>
      <c r="N476" s="143">
        <v>0</v>
      </c>
      <c r="O476" s="140">
        <v>0.18</v>
      </c>
      <c r="P476" s="145">
        <f>(Purchase[[#This Row],[Gross Amount]]-Purchase[[#This Row],[Disct %]])*Purchase[[#This Row],[GST %]]</f>
        <v>54539.1</v>
      </c>
      <c r="Q476" s="145">
        <f>Purchase[[#This Row],[Gross Amount]]-Purchase[[#This Row],[Disct Amnt]]+Purchase[[#This Row],[GST Amount]]</f>
        <v>357534.1</v>
      </c>
      <c r="R476" s="138" t="s">
        <v>1019</v>
      </c>
      <c r="S476" s="41">
        <f>IF(Purchase[[#This Row],[Status]]="Cancelled",0,Purchase[[#This Row],[Qty]])</f>
        <v>35</v>
      </c>
      <c r="T476" s="146">
        <f>IF(Purchase[[#This Row],[Status]]="Cancelled",0,Purchase[[#This Row],[Total Amount]])</f>
        <v>357534.1</v>
      </c>
      <c r="U476" s="146">
        <f>SUM(Purchase[Net Amount])</f>
        <v>814985438.68000126</v>
      </c>
    </row>
    <row r="477" spans="1:21" ht="19.5" thickBot="1" x14ac:dyDescent="0.3">
      <c r="A477" s="136" t="s">
        <v>1513</v>
      </c>
      <c r="B477" s="137">
        <v>45681</v>
      </c>
      <c r="C477" s="138" t="s">
        <v>607</v>
      </c>
      <c r="D477" s="138" t="str">
        <f>VLOOKUP(Purchase[[#This Row],[Supplier ID]],Supplier[#All],2,0)</f>
        <v>Global Distributors</v>
      </c>
      <c r="E477" s="138">
        <f>VLOOKUP(Purchase[[#This Row],[Supplier ID]],Supplier[#All],3,0)</f>
        <v>9689542490</v>
      </c>
      <c r="F477" s="138" t="str">
        <f>VLOOKUP(Purchase[[#This Row],[Supplier ID]],Supplier[#All],4,0)</f>
        <v>Kanpur</v>
      </c>
      <c r="G477" s="138" t="str">
        <f>VLOOKUP(Purchase[[#This Row],[Supplier ID]],Supplier[#All],5,0)</f>
        <v>UP</v>
      </c>
      <c r="H477" s="138" t="str">
        <f>VLOOKUP(Purchase[[#This Row],[Supplier ID]],Supplier[#All],6,0)</f>
        <v>GST2154521T052</v>
      </c>
      <c r="I477" s="138" t="s">
        <v>382</v>
      </c>
      <c r="J477" s="139">
        <v>32</v>
      </c>
      <c r="K477" s="143">
        <f>VLOOKUP(Purchase[[#This Row],[Product ID]],Product[#All],6,0)</f>
        <v>27552</v>
      </c>
      <c r="L477" s="143">
        <f>Purchase[[#This Row],[Purchase Rate]]*Purchase[[#This Row],[Qty]]</f>
        <v>881664</v>
      </c>
      <c r="M477" s="140">
        <v>0</v>
      </c>
      <c r="N477" s="143">
        <v>0</v>
      </c>
      <c r="O477" s="140">
        <v>0.18</v>
      </c>
      <c r="P477" s="145">
        <f>(Purchase[[#This Row],[Gross Amount]]-Purchase[[#This Row],[Disct %]])*Purchase[[#This Row],[GST %]]</f>
        <v>158699.51999999999</v>
      </c>
      <c r="Q477" s="145">
        <f>Purchase[[#This Row],[Gross Amount]]-Purchase[[#This Row],[Disct Amnt]]+Purchase[[#This Row],[GST Amount]]</f>
        <v>1040363.52</v>
      </c>
      <c r="R477" s="138" t="s">
        <v>1019</v>
      </c>
      <c r="S477" s="41">
        <f>IF(Purchase[[#This Row],[Status]]="Cancelled",0,Purchase[[#This Row],[Qty]])</f>
        <v>32</v>
      </c>
      <c r="T477" s="146">
        <f>IF(Purchase[[#This Row],[Status]]="Cancelled",0,Purchase[[#This Row],[Total Amount]])</f>
        <v>1040363.52</v>
      </c>
      <c r="U477" s="146">
        <f>SUM(Purchase[Net Amount])</f>
        <v>814985438.68000126</v>
      </c>
    </row>
    <row r="478" spans="1:21" ht="19.5" thickBot="1" x14ac:dyDescent="0.3">
      <c r="A478" s="136" t="s">
        <v>1514</v>
      </c>
      <c r="B478" s="137">
        <v>45681</v>
      </c>
      <c r="C478" s="138" t="s">
        <v>581</v>
      </c>
      <c r="D478" s="138" t="str">
        <f>VLOOKUP(Purchase[[#This Row],[Supplier ID]],Supplier[#All],2,0)</f>
        <v>Prime Electronics</v>
      </c>
      <c r="E478" s="138">
        <f>VLOOKUP(Purchase[[#This Row],[Supplier ID]],Supplier[#All],3,0)</f>
        <v>9689542465</v>
      </c>
      <c r="F478" s="138" t="str">
        <f>VLOOKUP(Purchase[[#This Row],[Supplier ID]],Supplier[#All],4,0)</f>
        <v>Korba</v>
      </c>
      <c r="G478" s="138" t="str">
        <f>VLOOKUP(Purchase[[#This Row],[Supplier ID]],Supplier[#All],5,0)</f>
        <v>CG</v>
      </c>
      <c r="H478" s="138" t="str">
        <f>VLOOKUP(Purchase[[#This Row],[Supplier ID]],Supplier[#All],6,0)</f>
        <v>GST2154521T027</v>
      </c>
      <c r="I478" s="138" t="s">
        <v>508</v>
      </c>
      <c r="J478" s="139">
        <v>7</v>
      </c>
      <c r="K478" s="143">
        <f>VLOOKUP(Purchase[[#This Row],[Product ID]],Product[#All],6,0)</f>
        <v>2005</v>
      </c>
      <c r="L478" s="143">
        <f>Purchase[[#This Row],[Purchase Rate]]*Purchase[[#This Row],[Qty]]</f>
        <v>14035</v>
      </c>
      <c r="M478" s="140">
        <v>0</v>
      </c>
      <c r="N478" s="143">
        <v>0</v>
      </c>
      <c r="O478" s="140">
        <v>0.18</v>
      </c>
      <c r="P478" s="145">
        <f>(Purchase[[#This Row],[Gross Amount]]-Purchase[[#This Row],[Disct %]])*Purchase[[#This Row],[GST %]]</f>
        <v>2526.2999999999997</v>
      </c>
      <c r="Q478" s="145">
        <f>Purchase[[#This Row],[Gross Amount]]-Purchase[[#This Row],[Disct Amnt]]+Purchase[[#This Row],[GST Amount]]</f>
        <v>16561.3</v>
      </c>
      <c r="R478" s="138" t="s">
        <v>1019</v>
      </c>
      <c r="S478" s="41">
        <f>IF(Purchase[[#This Row],[Status]]="Cancelled",0,Purchase[[#This Row],[Qty]])</f>
        <v>7</v>
      </c>
      <c r="T478" s="146">
        <f>IF(Purchase[[#This Row],[Status]]="Cancelled",0,Purchase[[#This Row],[Total Amount]])</f>
        <v>16561.3</v>
      </c>
      <c r="U478" s="146">
        <f>SUM(Purchase[Net Amount])</f>
        <v>814985438.68000126</v>
      </c>
    </row>
    <row r="479" spans="1:21" ht="19.5" thickBot="1" x14ac:dyDescent="0.3">
      <c r="A479" s="136" t="s">
        <v>1515</v>
      </c>
      <c r="B479" s="137">
        <v>45681</v>
      </c>
      <c r="C479" s="138" t="s">
        <v>573</v>
      </c>
      <c r="D479" s="138" t="str">
        <f>VLOOKUP(Purchase[[#This Row],[Supplier ID]],Supplier[#All],2,0)</f>
        <v>Shree Traders</v>
      </c>
      <c r="E479" s="138">
        <f>VLOOKUP(Purchase[[#This Row],[Supplier ID]],Supplier[#All],3,0)</f>
        <v>9689542458</v>
      </c>
      <c r="F479" s="138" t="str">
        <f>VLOOKUP(Purchase[[#This Row],[Supplier ID]],Supplier[#All],4,0)</f>
        <v>Korba</v>
      </c>
      <c r="G479" s="138" t="str">
        <f>VLOOKUP(Purchase[[#This Row],[Supplier ID]],Supplier[#All],5,0)</f>
        <v>CG</v>
      </c>
      <c r="H479" s="138" t="str">
        <f>VLOOKUP(Purchase[[#This Row],[Supplier ID]],Supplier[#All],6,0)</f>
        <v>GST2154521T020</v>
      </c>
      <c r="I479" s="138" t="s">
        <v>535</v>
      </c>
      <c r="J479" s="139">
        <v>29</v>
      </c>
      <c r="K479" s="143">
        <f>VLOOKUP(Purchase[[#This Row],[Product ID]],Product[#All],6,0)</f>
        <v>679</v>
      </c>
      <c r="L479" s="143">
        <f>Purchase[[#This Row],[Purchase Rate]]*Purchase[[#This Row],[Qty]]</f>
        <v>19691</v>
      </c>
      <c r="M479" s="140">
        <v>0</v>
      </c>
      <c r="N479" s="143">
        <v>0</v>
      </c>
      <c r="O479" s="140">
        <v>0.18</v>
      </c>
      <c r="P479" s="145">
        <f>(Purchase[[#This Row],[Gross Amount]]-Purchase[[#This Row],[Disct %]])*Purchase[[#This Row],[GST %]]</f>
        <v>3544.3799999999997</v>
      </c>
      <c r="Q479" s="145">
        <f>Purchase[[#This Row],[Gross Amount]]-Purchase[[#This Row],[Disct Amnt]]+Purchase[[#This Row],[GST Amount]]</f>
        <v>23235.38</v>
      </c>
      <c r="R479" s="138" t="s">
        <v>1019</v>
      </c>
      <c r="S479" s="41">
        <f>IF(Purchase[[#This Row],[Status]]="Cancelled",0,Purchase[[#This Row],[Qty]])</f>
        <v>29</v>
      </c>
      <c r="T479" s="146">
        <f>IF(Purchase[[#This Row],[Status]]="Cancelled",0,Purchase[[#This Row],[Total Amount]])</f>
        <v>23235.38</v>
      </c>
      <c r="U479" s="146">
        <f>SUM(Purchase[Net Amount])</f>
        <v>814985438.68000126</v>
      </c>
    </row>
    <row r="480" spans="1:21" ht="19.5" thickBot="1" x14ac:dyDescent="0.3">
      <c r="A480" s="136" t="s">
        <v>1516</v>
      </c>
      <c r="B480" s="137">
        <v>45681</v>
      </c>
      <c r="C480" s="138" t="s">
        <v>607</v>
      </c>
      <c r="D480" s="138" t="str">
        <f>VLOOKUP(Purchase[[#This Row],[Supplier ID]],Supplier[#All],2,0)</f>
        <v>Global Distributors</v>
      </c>
      <c r="E480" s="138">
        <f>VLOOKUP(Purchase[[#This Row],[Supplier ID]],Supplier[#All],3,0)</f>
        <v>9689542490</v>
      </c>
      <c r="F480" s="138" t="str">
        <f>VLOOKUP(Purchase[[#This Row],[Supplier ID]],Supplier[#All],4,0)</f>
        <v>Kanpur</v>
      </c>
      <c r="G480" s="138" t="str">
        <f>VLOOKUP(Purchase[[#This Row],[Supplier ID]],Supplier[#All],5,0)</f>
        <v>UP</v>
      </c>
      <c r="H480" s="138" t="str">
        <f>VLOOKUP(Purchase[[#This Row],[Supplier ID]],Supplier[#All],6,0)</f>
        <v>GST2154521T052</v>
      </c>
      <c r="I480" s="138" t="s">
        <v>415</v>
      </c>
      <c r="J480" s="139">
        <v>19</v>
      </c>
      <c r="K480" s="143">
        <f>VLOOKUP(Purchase[[#This Row],[Product ID]],Product[#All],6,0)</f>
        <v>4146</v>
      </c>
      <c r="L480" s="143">
        <f>Purchase[[#This Row],[Purchase Rate]]*Purchase[[#This Row],[Qty]]</f>
        <v>78774</v>
      </c>
      <c r="M480" s="140">
        <v>0</v>
      </c>
      <c r="N480" s="143">
        <v>0</v>
      </c>
      <c r="O480" s="140">
        <v>0.18</v>
      </c>
      <c r="P480" s="145">
        <f>(Purchase[[#This Row],[Gross Amount]]-Purchase[[#This Row],[Disct %]])*Purchase[[#This Row],[GST %]]</f>
        <v>14179.32</v>
      </c>
      <c r="Q480" s="145">
        <f>Purchase[[#This Row],[Gross Amount]]-Purchase[[#This Row],[Disct Amnt]]+Purchase[[#This Row],[GST Amount]]</f>
        <v>92953.32</v>
      </c>
      <c r="R480" s="138" t="s">
        <v>1019</v>
      </c>
      <c r="S480" s="41">
        <f>IF(Purchase[[#This Row],[Status]]="Cancelled",0,Purchase[[#This Row],[Qty]])</f>
        <v>19</v>
      </c>
      <c r="T480" s="146">
        <f>IF(Purchase[[#This Row],[Status]]="Cancelled",0,Purchase[[#This Row],[Total Amount]])</f>
        <v>92953.32</v>
      </c>
      <c r="U480" s="146">
        <f>SUM(Purchase[Net Amount])</f>
        <v>814985438.68000126</v>
      </c>
    </row>
    <row r="481" spans="1:21" ht="19.5" thickBot="1" x14ac:dyDescent="0.3">
      <c r="A481" s="136" t="s">
        <v>1517</v>
      </c>
      <c r="B481" s="137">
        <v>45681</v>
      </c>
      <c r="C481" s="138" t="s">
        <v>1332</v>
      </c>
      <c r="D481" s="138" t="str">
        <f>VLOOKUP(Purchase[[#This Row],[Supplier ID]],Supplier[#All],2,0)</f>
        <v>National Computers</v>
      </c>
      <c r="E481" s="138">
        <f>VLOOKUP(Purchase[[#This Row],[Supplier ID]],Supplier[#All],3,0)</f>
        <v>9689542495</v>
      </c>
      <c r="F481" s="138" t="str">
        <f>VLOOKUP(Purchase[[#This Row],[Supplier ID]],Supplier[#All],4,0)</f>
        <v>Indore</v>
      </c>
      <c r="G481" s="138" t="str">
        <f>VLOOKUP(Purchase[[#This Row],[Supplier ID]],Supplier[#All],5,0)</f>
        <v>MP</v>
      </c>
      <c r="H481" s="138" t="str">
        <f>VLOOKUP(Purchase[[#This Row],[Supplier ID]],Supplier[#All],6,0)</f>
        <v>GST2154521T057</v>
      </c>
      <c r="I481" s="138" t="s">
        <v>458</v>
      </c>
      <c r="J481" s="139">
        <v>16</v>
      </c>
      <c r="K481" s="143">
        <f>VLOOKUP(Purchase[[#This Row],[Product ID]],Product[#All],6,0)</f>
        <v>5242</v>
      </c>
      <c r="L481" s="143">
        <f>Purchase[[#This Row],[Purchase Rate]]*Purchase[[#This Row],[Qty]]</f>
        <v>83872</v>
      </c>
      <c r="M481" s="140">
        <v>0</v>
      </c>
      <c r="N481" s="143">
        <v>0</v>
      </c>
      <c r="O481" s="140">
        <v>0.18</v>
      </c>
      <c r="P481" s="145">
        <f>(Purchase[[#This Row],[Gross Amount]]-Purchase[[#This Row],[Disct %]])*Purchase[[#This Row],[GST %]]</f>
        <v>15096.96</v>
      </c>
      <c r="Q481" s="145">
        <f>Purchase[[#This Row],[Gross Amount]]-Purchase[[#This Row],[Disct Amnt]]+Purchase[[#This Row],[GST Amount]]</f>
        <v>98968.959999999992</v>
      </c>
      <c r="R481" s="138" t="s">
        <v>1019</v>
      </c>
      <c r="S481" s="41">
        <f>IF(Purchase[[#This Row],[Status]]="Cancelled",0,Purchase[[#This Row],[Qty]])</f>
        <v>16</v>
      </c>
      <c r="T481" s="146">
        <f>IF(Purchase[[#This Row],[Status]]="Cancelled",0,Purchase[[#This Row],[Total Amount]])</f>
        <v>98968.959999999992</v>
      </c>
      <c r="U481" s="146">
        <f>SUM(Purchase[Net Amount])</f>
        <v>814985438.68000126</v>
      </c>
    </row>
    <row r="482" spans="1:21" ht="19.5" thickBot="1" x14ac:dyDescent="0.3">
      <c r="A482" s="136" t="s">
        <v>1518</v>
      </c>
      <c r="B482" s="137">
        <v>45681</v>
      </c>
      <c r="C482" s="138" t="s">
        <v>604</v>
      </c>
      <c r="D482" s="138" t="str">
        <f>VLOOKUP(Purchase[[#This Row],[Supplier ID]],Supplier[#All],2,0)</f>
        <v>Prime Traders</v>
      </c>
      <c r="E482" s="138">
        <f>VLOOKUP(Purchase[[#This Row],[Supplier ID]],Supplier[#All],3,0)</f>
        <v>9689542487</v>
      </c>
      <c r="F482" s="138" t="str">
        <f>VLOOKUP(Purchase[[#This Row],[Supplier ID]],Supplier[#All],4,0)</f>
        <v>Indore</v>
      </c>
      <c r="G482" s="138" t="str">
        <f>VLOOKUP(Purchase[[#This Row],[Supplier ID]],Supplier[#All],5,0)</f>
        <v>MP</v>
      </c>
      <c r="H482" s="138" t="str">
        <f>VLOOKUP(Purchase[[#This Row],[Supplier ID]],Supplier[#All],6,0)</f>
        <v>GST2154521T049</v>
      </c>
      <c r="I482" s="138" t="s">
        <v>207</v>
      </c>
      <c r="J482" s="139">
        <v>24</v>
      </c>
      <c r="K482" s="143">
        <f>VLOOKUP(Purchase[[#This Row],[Product ID]],Product[#All],6,0)</f>
        <v>1218</v>
      </c>
      <c r="L482" s="143">
        <f>Purchase[[#This Row],[Purchase Rate]]*Purchase[[#This Row],[Qty]]</f>
        <v>29232</v>
      </c>
      <c r="M482" s="140">
        <v>0</v>
      </c>
      <c r="N482" s="143">
        <v>0</v>
      </c>
      <c r="O482" s="140">
        <v>0.18</v>
      </c>
      <c r="P482" s="145">
        <f>(Purchase[[#This Row],[Gross Amount]]-Purchase[[#This Row],[Disct %]])*Purchase[[#This Row],[GST %]]</f>
        <v>5261.76</v>
      </c>
      <c r="Q482" s="145">
        <f>Purchase[[#This Row],[Gross Amount]]-Purchase[[#This Row],[Disct Amnt]]+Purchase[[#This Row],[GST Amount]]</f>
        <v>34493.760000000002</v>
      </c>
      <c r="R482" s="138" t="s">
        <v>1019</v>
      </c>
      <c r="S482" s="41">
        <f>IF(Purchase[[#This Row],[Status]]="Cancelled",0,Purchase[[#This Row],[Qty]])</f>
        <v>24</v>
      </c>
      <c r="T482" s="146">
        <f>IF(Purchase[[#This Row],[Status]]="Cancelled",0,Purchase[[#This Row],[Total Amount]])</f>
        <v>34493.760000000002</v>
      </c>
      <c r="U482" s="146">
        <f>SUM(Purchase[Net Amount])</f>
        <v>814985438.68000126</v>
      </c>
    </row>
    <row r="483" spans="1:21" ht="19.5" thickBot="1" x14ac:dyDescent="0.3">
      <c r="A483" s="136" t="s">
        <v>1519</v>
      </c>
      <c r="B483" s="137">
        <v>45681</v>
      </c>
      <c r="C483" s="138" t="s">
        <v>602</v>
      </c>
      <c r="D483" s="138" t="str">
        <f>VLOOKUP(Purchase[[#This Row],[Supplier ID]],Supplier[#All],2,0)</f>
        <v>Maa Computers</v>
      </c>
      <c r="E483" s="138">
        <f>VLOOKUP(Purchase[[#This Row],[Supplier ID]],Supplier[#All],3,0)</f>
        <v>9689542485</v>
      </c>
      <c r="F483" s="138" t="str">
        <f>VLOOKUP(Purchase[[#This Row],[Supplier ID]],Supplier[#All],4,0)</f>
        <v>Korba</v>
      </c>
      <c r="G483" s="138" t="str">
        <f>VLOOKUP(Purchase[[#This Row],[Supplier ID]],Supplier[#All],5,0)</f>
        <v>CG</v>
      </c>
      <c r="H483" s="138" t="str">
        <f>VLOOKUP(Purchase[[#This Row],[Supplier ID]],Supplier[#All],6,0)</f>
        <v>GST2154521T047</v>
      </c>
      <c r="I483" s="138" t="s">
        <v>400</v>
      </c>
      <c r="J483" s="139">
        <v>16</v>
      </c>
      <c r="K483" s="143">
        <f>VLOOKUP(Purchase[[#This Row],[Product ID]],Product[#All],6,0)</f>
        <v>1065</v>
      </c>
      <c r="L483" s="143">
        <f>Purchase[[#This Row],[Purchase Rate]]*Purchase[[#This Row],[Qty]]</f>
        <v>17040</v>
      </c>
      <c r="M483" s="140">
        <v>0</v>
      </c>
      <c r="N483" s="143">
        <v>0</v>
      </c>
      <c r="O483" s="140">
        <v>0.18</v>
      </c>
      <c r="P483" s="145">
        <f>(Purchase[[#This Row],[Gross Amount]]-Purchase[[#This Row],[Disct %]])*Purchase[[#This Row],[GST %]]</f>
        <v>3067.2</v>
      </c>
      <c r="Q483" s="145">
        <f>Purchase[[#This Row],[Gross Amount]]-Purchase[[#This Row],[Disct Amnt]]+Purchase[[#This Row],[GST Amount]]</f>
        <v>20107.2</v>
      </c>
      <c r="R483" s="138" t="s">
        <v>1019</v>
      </c>
      <c r="S483" s="41">
        <f>IF(Purchase[[#This Row],[Status]]="Cancelled",0,Purchase[[#This Row],[Qty]])</f>
        <v>16</v>
      </c>
      <c r="T483" s="146">
        <f>IF(Purchase[[#This Row],[Status]]="Cancelled",0,Purchase[[#This Row],[Total Amount]])</f>
        <v>20107.2</v>
      </c>
      <c r="U483" s="146">
        <f>SUM(Purchase[Net Amount])</f>
        <v>814985438.68000126</v>
      </c>
    </row>
    <row r="484" spans="1:21" ht="19.5" thickBot="1" x14ac:dyDescent="0.3">
      <c r="A484" s="136" t="s">
        <v>1520</v>
      </c>
      <c r="B484" s="137">
        <v>45681</v>
      </c>
      <c r="C484" s="138" t="s">
        <v>584</v>
      </c>
      <c r="D484" s="138" t="str">
        <f>VLOOKUP(Purchase[[#This Row],[Supplier ID]],Supplier[#All],2,0)</f>
        <v>Prime Computers</v>
      </c>
      <c r="E484" s="138">
        <f>VLOOKUP(Purchase[[#This Row],[Supplier ID]],Supplier[#All],3,0)</f>
        <v>9689542468</v>
      </c>
      <c r="F484" s="138" t="str">
        <f>VLOOKUP(Purchase[[#This Row],[Supplier ID]],Supplier[#All],4,0)</f>
        <v>Kanpur</v>
      </c>
      <c r="G484" s="138" t="str">
        <f>VLOOKUP(Purchase[[#This Row],[Supplier ID]],Supplier[#All],5,0)</f>
        <v>UP</v>
      </c>
      <c r="H484" s="138" t="str">
        <f>VLOOKUP(Purchase[[#This Row],[Supplier ID]],Supplier[#All],6,0)</f>
        <v>GST2154521T030</v>
      </c>
      <c r="I484" s="138" t="s">
        <v>120</v>
      </c>
      <c r="J484" s="139">
        <v>16</v>
      </c>
      <c r="K484" s="143">
        <f>VLOOKUP(Purchase[[#This Row],[Product ID]],Product[#All],6,0)</f>
        <v>5465</v>
      </c>
      <c r="L484" s="143">
        <f>Purchase[[#This Row],[Purchase Rate]]*Purchase[[#This Row],[Qty]]</f>
        <v>87440</v>
      </c>
      <c r="M484" s="140">
        <v>0</v>
      </c>
      <c r="N484" s="143">
        <v>0</v>
      </c>
      <c r="O484" s="140">
        <v>0.18</v>
      </c>
      <c r="P484" s="145">
        <f>(Purchase[[#This Row],[Gross Amount]]-Purchase[[#This Row],[Disct %]])*Purchase[[#This Row],[GST %]]</f>
        <v>15739.199999999999</v>
      </c>
      <c r="Q484" s="145">
        <f>Purchase[[#This Row],[Gross Amount]]-Purchase[[#This Row],[Disct Amnt]]+Purchase[[#This Row],[GST Amount]]</f>
        <v>103179.2</v>
      </c>
      <c r="R484" s="138" t="s">
        <v>1019</v>
      </c>
      <c r="S484" s="41">
        <f>IF(Purchase[[#This Row],[Status]]="Cancelled",0,Purchase[[#This Row],[Qty]])</f>
        <v>16</v>
      </c>
      <c r="T484" s="146">
        <f>IF(Purchase[[#This Row],[Status]]="Cancelled",0,Purchase[[#This Row],[Total Amount]])</f>
        <v>103179.2</v>
      </c>
      <c r="U484" s="146">
        <f>SUM(Purchase[Net Amount])</f>
        <v>814985438.68000126</v>
      </c>
    </row>
    <row r="485" spans="1:21" ht="19.5" thickBot="1" x14ac:dyDescent="0.3">
      <c r="A485" s="136" t="s">
        <v>1521</v>
      </c>
      <c r="B485" s="137">
        <v>45681</v>
      </c>
      <c r="C485" s="138" t="s">
        <v>582</v>
      </c>
      <c r="D485" s="138" t="str">
        <f>VLOOKUP(Purchase[[#This Row],[Supplier ID]],Supplier[#All],2,0)</f>
        <v>Tech Distributors</v>
      </c>
      <c r="E485" s="138">
        <f>VLOOKUP(Purchase[[#This Row],[Supplier ID]],Supplier[#All],3,0)</f>
        <v>9689542466</v>
      </c>
      <c r="F485" s="138" t="str">
        <f>VLOOKUP(Purchase[[#This Row],[Supplier ID]],Supplier[#All],4,0)</f>
        <v>Indore</v>
      </c>
      <c r="G485" s="138" t="str">
        <f>VLOOKUP(Purchase[[#This Row],[Supplier ID]],Supplier[#All],5,0)</f>
        <v>MP</v>
      </c>
      <c r="H485" s="138" t="str">
        <f>VLOOKUP(Purchase[[#This Row],[Supplier ID]],Supplier[#All],6,0)</f>
        <v>GST2154521T028</v>
      </c>
      <c r="I485" s="138" t="s">
        <v>262</v>
      </c>
      <c r="J485" s="139">
        <v>11</v>
      </c>
      <c r="K485" s="143">
        <f>VLOOKUP(Purchase[[#This Row],[Product ID]],Product[#All],6,0)</f>
        <v>2712</v>
      </c>
      <c r="L485" s="143">
        <f>Purchase[[#This Row],[Purchase Rate]]*Purchase[[#This Row],[Qty]]</f>
        <v>29832</v>
      </c>
      <c r="M485" s="140">
        <v>0</v>
      </c>
      <c r="N485" s="143">
        <v>0</v>
      </c>
      <c r="O485" s="140">
        <v>0.18</v>
      </c>
      <c r="P485" s="145">
        <f>(Purchase[[#This Row],[Gross Amount]]-Purchase[[#This Row],[Disct %]])*Purchase[[#This Row],[GST %]]</f>
        <v>5369.76</v>
      </c>
      <c r="Q485" s="145">
        <f>Purchase[[#This Row],[Gross Amount]]-Purchase[[#This Row],[Disct Amnt]]+Purchase[[#This Row],[GST Amount]]</f>
        <v>35201.760000000002</v>
      </c>
      <c r="R485" s="138" t="s">
        <v>1040</v>
      </c>
      <c r="S485" s="41">
        <f>IF(Purchase[[#This Row],[Status]]="Cancelled",0,Purchase[[#This Row],[Qty]])</f>
        <v>0</v>
      </c>
      <c r="T485" s="146">
        <f>IF(Purchase[[#This Row],[Status]]="Cancelled",0,Purchase[[#This Row],[Total Amount]])</f>
        <v>0</v>
      </c>
      <c r="U485" s="146">
        <f>SUM(Purchase[Net Amount])</f>
        <v>814985438.68000126</v>
      </c>
    </row>
    <row r="486" spans="1:21" ht="19.5" thickBot="1" x14ac:dyDescent="0.3">
      <c r="A486" s="136" t="s">
        <v>1522</v>
      </c>
      <c r="B486" s="137">
        <v>45681</v>
      </c>
      <c r="C486" s="138" t="s">
        <v>585</v>
      </c>
      <c r="D486" s="138" t="str">
        <f>VLOOKUP(Purchase[[#This Row],[Supplier ID]],Supplier[#All],2,0)</f>
        <v>Tech Computers</v>
      </c>
      <c r="E486" s="138">
        <f>VLOOKUP(Purchase[[#This Row],[Supplier ID]],Supplier[#All],3,0)</f>
        <v>9689542469</v>
      </c>
      <c r="F486" s="138" t="str">
        <f>VLOOKUP(Purchase[[#This Row],[Supplier ID]],Supplier[#All],4,0)</f>
        <v>Korba</v>
      </c>
      <c r="G486" s="138" t="str">
        <f>VLOOKUP(Purchase[[#This Row],[Supplier ID]],Supplier[#All],5,0)</f>
        <v>CG</v>
      </c>
      <c r="H486" s="138" t="str">
        <f>VLOOKUP(Purchase[[#This Row],[Supplier ID]],Supplier[#All],6,0)</f>
        <v>GST2154521T031</v>
      </c>
      <c r="I486" s="138" t="s">
        <v>18</v>
      </c>
      <c r="J486" s="139">
        <v>16</v>
      </c>
      <c r="K486" s="143">
        <f>VLOOKUP(Purchase[[#This Row],[Product ID]],Product[#All],6,0)</f>
        <v>701</v>
      </c>
      <c r="L486" s="143">
        <f>Purchase[[#This Row],[Purchase Rate]]*Purchase[[#This Row],[Qty]]</f>
        <v>11216</v>
      </c>
      <c r="M486" s="140">
        <v>0</v>
      </c>
      <c r="N486" s="143">
        <v>0</v>
      </c>
      <c r="O486" s="140">
        <v>0.18</v>
      </c>
      <c r="P486" s="145">
        <f>(Purchase[[#This Row],[Gross Amount]]-Purchase[[#This Row],[Disct %]])*Purchase[[#This Row],[GST %]]</f>
        <v>2018.8799999999999</v>
      </c>
      <c r="Q486" s="145">
        <f>Purchase[[#This Row],[Gross Amount]]-Purchase[[#This Row],[Disct Amnt]]+Purchase[[#This Row],[GST Amount]]</f>
        <v>13234.88</v>
      </c>
      <c r="R486" s="138" t="s">
        <v>1019</v>
      </c>
      <c r="S486" s="41">
        <f>IF(Purchase[[#This Row],[Status]]="Cancelled",0,Purchase[[#This Row],[Qty]])</f>
        <v>16</v>
      </c>
      <c r="T486" s="146">
        <f>IF(Purchase[[#This Row],[Status]]="Cancelled",0,Purchase[[#This Row],[Total Amount]])</f>
        <v>13234.88</v>
      </c>
      <c r="U486" s="146">
        <f>SUM(Purchase[Net Amount])</f>
        <v>814985438.68000126</v>
      </c>
    </row>
    <row r="487" spans="1:21" ht="19.5" thickBot="1" x14ac:dyDescent="0.3">
      <c r="A487" s="136" t="s">
        <v>1523</v>
      </c>
      <c r="B487" s="137">
        <v>45681</v>
      </c>
      <c r="C487" s="138" t="s">
        <v>605</v>
      </c>
      <c r="D487" s="138" t="str">
        <f>VLOOKUP(Purchase[[#This Row],[Supplier ID]],Supplier[#All],2,0)</f>
        <v>Star Traders</v>
      </c>
      <c r="E487" s="138">
        <f>VLOOKUP(Purchase[[#This Row],[Supplier ID]],Supplier[#All],3,0)</f>
        <v>9689542488</v>
      </c>
      <c r="F487" s="138" t="str">
        <f>VLOOKUP(Purchase[[#This Row],[Supplier ID]],Supplier[#All],4,0)</f>
        <v>Indore</v>
      </c>
      <c r="G487" s="138" t="str">
        <f>VLOOKUP(Purchase[[#This Row],[Supplier ID]],Supplier[#All],5,0)</f>
        <v>MP</v>
      </c>
      <c r="H487" s="138" t="str">
        <f>VLOOKUP(Purchase[[#This Row],[Supplier ID]],Supplier[#All],6,0)</f>
        <v>GST2154521T050</v>
      </c>
      <c r="I487" s="138" t="s">
        <v>222</v>
      </c>
      <c r="J487" s="139">
        <v>15</v>
      </c>
      <c r="K487" s="143">
        <f>VLOOKUP(Purchase[[#This Row],[Product ID]],Product[#All],6,0)</f>
        <v>6513</v>
      </c>
      <c r="L487" s="143">
        <f>Purchase[[#This Row],[Purchase Rate]]*Purchase[[#This Row],[Qty]]</f>
        <v>97695</v>
      </c>
      <c r="M487" s="140">
        <v>0</v>
      </c>
      <c r="N487" s="143">
        <v>0</v>
      </c>
      <c r="O487" s="140">
        <v>0.18</v>
      </c>
      <c r="P487" s="145">
        <f>(Purchase[[#This Row],[Gross Amount]]-Purchase[[#This Row],[Disct %]])*Purchase[[#This Row],[GST %]]</f>
        <v>17585.099999999999</v>
      </c>
      <c r="Q487" s="145">
        <f>Purchase[[#This Row],[Gross Amount]]-Purchase[[#This Row],[Disct Amnt]]+Purchase[[#This Row],[GST Amount]]</f>
        <v>115280.1</v>
      </c>
      <c r="R487" s="138" t="s">
        <v>1019</v>
      </c>
      <c r="S487" s="41">
        <f>IF(Purchase[[#This Row],[Status]]="Cancelled",0,Purchase[[#This Row],[Qty]])</f>
        <v>15</v>
      </c>
      <c r="T487" s="146">
        <f>IF(Purchase[[#This Row],[Status]]="Cancelled",0,Purchase[[#This Row],[Total Amount]])</f>
        <v>115280.1</v>
      </c>
      <c r="U487" s="146">
        <f>SUM(Purchase[Net Amount])</f>
        <v>814985438.68000126</v>
      </c>
    </row>
    <row r="488" spans="1:21" ht="19.5" thickBot="1" x14ac:dyDescent="0.3">
      <c r="A488" s="136" t="s">
        <v>1524</v>
      </c>
      <c r="B488" s="137">
        <v>45681</v>
      </c>
      <c r="C488" s="138" t="s">
        <v>576</v>
      </c>
      <c r="D488" s="138" t="str">
        <f>VLOOKUP(Purchase[[#This Row],[Supplier ID]],Supplier[#All],2,0)</f>
        <v>Maa Distributors</v>
      </c>
      <c r="E488" s="138">
        <f>VLOOKUP(Purchase[[#This Row],[Supplier ID]],Supplier[#All],3,0)</f>
        <v>9689542460</v>
      </c>
      <c r="F488" s="138" t="str">
        <f>VLOOKUP(Purchase[[#This Row],[Supplier ID]],Supplier[#All],4,0)</f>
        <v>Korba</v>
      </c>
      <c r="G488" s="138" t="str">
        <f>VLOOKUP(Purchase[[#This Row],[Supplier ID]],Supplier[#All],5,0)</f>
        <v>CG</v>
      </c>
      <c r="H488" s="138" t="str">
        <f>VLOOKUP(Purchase[[#This Row],[Supplier ID]],Supplier[#All],6,0)</f>
        <v>GST2154521T022</v>
      </c>
      <c r="I488" s="138" t="s">
        <v>64</v>
      </c>
      <c r="J488" s="139">
        <v>2</v>
      </c>
      <c r="K488" s="143">
        <f>VLOOKUP(Purchase[[#This Row],[Product ID]],Product[#All],6,0)</f>
        <v>771</v>
      </c>
      <c r="L488" s="143">
        <f>Purchase[[#This Row],[Purchase Rate]]*Purchase[[#This Row],[Qty]]</f>
        <v>1542</v>
      </c>
      <c r="M488" s="140">
        <v>0</v>
      </c>
      <c r="N488" s="143">
        <v>0</v>
      </c>
      <c r="O488" s="140">
        <v>0.18</v>
      </c>
      <c r="P488" s="145">
        <f>(Purchase[[#This Row],[Gross Amount]]-Purchase[[#This Row],[Disct %]])*Purchase[[#This Row],[GST %]]</f>
        <v>277.56</v>
      </c>
      <c r="Q488" s="145">
        <f>Purchase[[#This Row],[Gross Amount]]-Purchase[[#This Row],[Disct Amnt]]+Purchase[[#This Row],[GST Amount]]</f>
        <v>1819.56</v>
      </c>
      <c r="R488" s="138" t="s">
        <v>1019</v>
      </c>
      <c r="S488" s="41">
        <f>IF(Purchase[[#This Row],[Status]]="Cancelled",0,Purchase[[#This Row],[Qty]])</f>
        <v>2</v>
      </c>
      <c r="T488" s="146">
        <f>IF(Purchase[[#This Row],[Status]]="Cancelled",0,Purchase[[#This Row],[Total Amount]])</f>
        <v>1819.56</v>
      </c>
      <c r="U488" s="146">
        <f>SUM(Purchase[Net Amount])</f>
        <v>814985438.68000126</v>
      </c>
    </row>
    <row r="489" spans="1:21" ht="19.5" thickBot="1" x14ac:dyDescent="0.3">
      <c r="A489" s="136" t="s">
        <v>1525</v>
      </c>
      <c r="B489" s="137">
        <v>45681</v>
      </c>
      <c r="C489" s="138" t="s">
        <v>613</v>
      </c>
      <c r="D489" s="138" t="str">
        <f>VLOOKUP(Purchase[[#This Row],[Supplier ID]],Supplier[#All],2,0)</f>
        <v>National Traders</v>
      </c>
      <c r="E489" s="138">
        <f>VLOOKUP(Purchase[[#This Row],[Supplier ID]],Supplier[#All],3,0)</f>
        <v>9689542496</v>
      </c>
      <c r="F489" s="138" t="str">
        <f>VLOOKUP(Purchase[[#This Row],[Supplier ID]],Supplier[#All],4,0)</f>
        <v>Indore</v>
      </c>
      <c r="G489" s="138" t="str">
        <f>VLOOKUP(Purchase[[#This Row],[Supplier ID]],Supplier[#All],5,0)</f>
        <v>MP</v>
      </c>
      <c r="H489" s="138" t="str">
        <f>VLOOKUP(Purchase[[#This Row],[Supplier ID]],Supplier[#All],6,0)</f>
        <v>GST2154521T058</v>
      </c>
      <c r="I489" s="138" t="s">
        <v>549</v>
      </c>
      <c r="J489" s="139">
        <v>34</v>
      </c>
      <c r="K489" s="143">
        <f>VLOOKUP(Purchase[[#This Row],[Product ID]],Product[#All],6,0)</f>
        <v>2884</v>
      </c>
      <c r="L489" s="143">
        <f>Purchase[[#This Row],[Purchase Rate]]*Purchase[[#This Row],[Qty]]</f>
        <v>98056</v>
      </c>
      <c r="M489" s="140">
        <v>0</v>
      </c>
      <c r="N489" s="143">
        <v>0</v>
      </c>
      <c r="O489" s="140">
        <v>0.18</v>
      </c>
      <c r="P489" s="145">
        <f>(Purchase[[#This Row],[Gross Amount]]-Purchase[[#This Row],[Disct %]])*Purchase[[#This Row],[GST %]]</f>
        <v>17650.079999999998</v>
      </c>
      <c r="Q489" s="145">
        <f>Purchase[[#This Row],[Gross Amount]]-Purchase[[#This Row],[Disct Amnt]]+Purchase[[#This Row],[GST Amount]]</f>
        <v>115706.08</v>
      </c>
      <c r="R489" s="138" t="s">
        <v>1019</v>
      </c>
      <c r="S489" s="41">
        <f>IF(Purchase[[#This Row],[Status]]="Cancelled",0,Purchase[[#This Row],[Qty]])</f>
        <v>34</v>
      </c>
      <c r="T489" s="146">
        <f>IF(Purchase[[#This Row],[Status]]="Cancelled",0,Purchase[[#This Row],[Total Amount]])</f>
        <v>115706.08</v>
      </c>
      <c r="U489" s="146">
        <f>SUM(Purchase[Net Amount])</f>
        <v>814985438.68000126</v>
      </c>
    </row>
    <row r="490" spans="1:21" ht="19.5" thickBot="1" x14ac:dyDescent="0.3">
      <c r="A490" s="136" t="s">
        <v>1526</v>
      </c>
      <c r="B490" s="137">
        <v>45681</v>
      </c>
      <c r="C490" s="138" t="s">
        <v>1527</v>
      </c>
      <c r="D490" s="138" t="str">
        <f>VLOOKUP(Purchase[[#This Row],[Supplier ID]],Supplier[#All],2,0)</f>
        <v>National Traders</v>
      </c>
      <c r="E490" s="138">
        <f>VLOOKUP(Purchase[[#This Row],[Supplier ID]],Supplier[#All],3,0)</f>
        <v>9689542496</v>
      </c>
      <c r="F490" s="138" t="str">
        <f>VLOOKUP(Purchase[[#This Row],[Supplier ID]],Supplier[#All],4,0)</f>
        <v>Indore</v>
      </c>
      <c r="G490" s="138" t="str">
        <f>VLOOKUP(Purchase[[#This Row],[Supplier ID]],Supplier[#All],5,0)</f>
        <v>MP</v>
      </c>
      <c r="H490" s="138" t="str">
        <f>VLOOKUP(Purchase[[#This Row],[Supplier ID]],Supplier[#All],6,0)</f>
        <v>GST2154521T058</v>
      </c>
      <c r="I490" s="138" t="s">
        <v>364</v>
      </c>
      <c r="J490" s="139">
        <v>16</v>
      </c>
      <c r="K490" s="143">
        <f>VLOOKUP(Purchase[[#This Row],[Product ID]],Product[#All],6,0)</f>
        <v>36391</v>
      </c>
      <c r="L490" s="143">
        <f>Purchase[[#This Row],[Purchase Rate]]*Purchase[[#This Row],[Qty]]</f>
        <v>582256</v>
      </c>
      <c r="M490" s="140">
        <v>0</v>
      </c>
      <c r="N490" s="143">
        <v>0</v>
      </c>
      <c r="O490" s="140">
        <v>0.18</v>
      </c>
      <c r="P490" s="145">
        <f>(Purchase[[#This Row],[Gross Amount]]-Purchase[[#This Row],[Disct %]])*Purchase[[#This Row],[GST %]]</f>
        <v>104806.08</v>
      </c>
      <c r="Q490" s="145">
        <f>Purchase[[#This Row],[Gross Amount]]-Purchase[[#This Row],[Disct Amnt]]+Purchase[[#This Row],[GST Amount]]</f>
        <v>687062.08</v>
      </c>
      <c r="R490" s="138" t="s">
        <v>1019</v>
      </c>
      <c r="S490" s="41">
        <f>IF(Purchase[[#This Row],[Status]]="Cancelled",0,Purchase[[#This Row],[Qty]])</f>
        <v>16</v>
      </c>
      <c r="T490" s="146">
        <f>IF(Purchase[[#This Row],[Status]]="Cancelled",0,Purchase[[#This Row],[Total Amount]])</f>
        <v>687062.08</v>
      </c>
      <c r="U490" s="146">
        <f>SUM(Purchase[Net Amount])</f>
        <v>814985438.68000126</v>
      </c>
    </row>
    <row r="491" spans="1:21" ht="19.5" thickBot="1" x14ac:dyDescent="0.3">
      <c r="A491" s="136" t="s">
        <v>1528</v>
      </c>
      <c r="B491" s="137">
        <v>45681</v>
      </c>
      <c r="C491" s="138" t="s">
        <v>577</v>
      </c>
      <c r="D491" s="138" t="str">
        <f>VLOOKUP(Purchase[[#This Row],[Supplier ID]],Supplier[#All],2,0)</f>
        <v>National Electronics</v>
      </c>
      <c r="E491" s="138">
        <f>VLOOKUP(Purchase[[#This Row],[Supplier ID]],Supplier[#All],3,0)</f>
        <v>9689542469</v>
      </c>
      <c r="F491" s="138" t="str">
        <f>VLOOKUP(Purchase[[#This Row],[Supplier ID]],Supplier[#All],4,0)</f>
        <v>Korba</v>
      </c>
      <c r="G491" s="138" t="str">
        <f>VLOOKUP(Purchase[[#This Row],[Supplier ID]],Supplier[#All],5,0)</f>
        <v>CG</v>
      </c>
      <c r="H491" s="138" t="str">
        <f>VLOOKUP(Purchase[[#This Row],[Supplier ID]],Supplier[#All],6,0)</f>
        <v>GST2154521T023</v>
      </c>
      <c r="I491" s="138" t="s">
        <v>285</v>
      </c>
      <c r="J491" s="139">
        <v>32</v>
      </c>
      <c r="K491" s="143">
        <f>VLOOKUP(Purchase[[#This Row],[Product ID]],Product[#All],6,0)</f>
        <v>1732</v>
      </c>
      <c r="L491" s="143">
        <f>Purchase[[#This Row],[Purchase Rate]]*Purchase[[#This Row],[Qty]]</f>
        <v>55424</v>
      </c>
      <c r="M491" s="140">
        <v>0</v>
      </c>
      <c r="N491" s="143">
        <v>0</v>
      </c>
      <c r="O491" s="140">
        <v>0.18</v>
      </c>
      <c r="P491" s="145">
        <f>(Purchase[[#This Row],[Gross Amount]]-Purchase[[#This Row],[Disct %]])*Purchase[[#This Row],[GST %]]</f>
        <v>9976.32</v>
      </c>
      <c r="Q491" s="145">
        <f>Purchase[[#This Row],[Gross Amount]]-Purchase[[#This Row],[Disct Amnt]]+Purchase[[#This Row],[GST Amount]]</f>
        <v>65400.32</v>
      </c>
      <c r="R491" s="138" t="s">
        <v>1019</v>
      </c>
      <c r="S491" s="41">
        <f>IF(Purchase[[#This Row],[Status]]="Cancelled",0,Purchase[[#This Row],[Qty]])</f>
        <v>32</v>
      </c>
      <c r="T491" s="146">
        <f>IF(Purchase[[#This Row],[Status]]="Cancelled",0,Purchase[[#This Row],[Total Amount]])</f>
        <v>65400.32</v>
      </c>
      <c r="U491" s="146">
        <f>SUM(Purchase[Net Amount])</f>
        <v>814985438.68000126</v>
      </c>
    </row>
    <row r="492" spans="1:21" ht="19.5" thickBot="1" x14ac:dyDescent="0.3">
      <c r="A492" s="136" t="s">
        <v>1529</v>
      </c>
      <c r="B492" s="137">
        <v>45681</v>
      </c>
      <c r="C492" s="138" t="s">
        <v>567</v>
      </c>
      <c r="D492" s="138" t="str">
        <f>VLOOKUP(Purchase[[#This Row],[Supplier ID]],Supplier[#All],2,0)</f>
        <v>National Distributors</v>
      </c>
      <c r="E492" s="138">
        <f>VLOOKUP(Purchase[[#This Row],[Supplier ID]],Supplier[#All],3,0)</f>
        <v>9689542453</v>
      </c>
      <c r="F492" s="138" t="str">
        <f>VLOOKUP(Purchase[[#This Row],[Supplier ID]],Supplier[#All],4,0)</f>
        <v>Korba</v>
      </c>
      <c r="G492" s="138" t="str">
        <f>VLOOKUP(Purchase[[#This Row],[Supplier ID]],Supplier[#All],5,0)</f>
        <v>CG</v>
      </c>
      <c r="H492" s="138" t="str">
        <f>VLOOKUP(Purchase[[#This Row],[Supplier ID]],Supplier[#All],6,0)</f>
        <v>GST2154521T015</v>
      </c>
      <c r="I492" s="138" t="s">
        <v>479</v>
      </c>
      <c r="J492" s="139">
        <v>16</v>
      </c>
      <c r="K492" s="143">
        <f>VLOOKUP(Purchase[[#This Row],[Product ID]],Product[#All],6,0)</f>
        <v>4548</v>
      </c>
      <c r="L492" s="143">
        <f>Purchase[[#This Row],[Purchase Rate]]*Purchase[[#This Row],[Qty]]</f>
        <v>72768</v>
      </c>
      <c r="M492" s="140">
        <v>0</v>
      </c>
      <c r="N492" s="143">
        <v>0</v>
      </c>
      <c r="O492" s="140">
        <v>0.18</v>
      </c>
      <c r="P492" s="145">
        <f>(Purchase[[#This Row],[Gross Amount]]-Purchase[[#This Row],[Disct %]])*Purchase[[#This Row],[GST %]]</f>
        <v>13098.24</v>
      </c>
      <c r="Q492" s="145">
        <f>Purchase[[#This Row],[Gross Amount]]-Purchase[[#This Row],[Disct Amnt]]+Purchase[[#This Row],[GST Amount]]</f>
        <v>85866.240000000005</v>
      </c>
      <c r="R492" s="138" t="s">
        <v>1019</v>
      </c>
      <c r="S492" s="41">
        <f>IF(Purchase[[#This Row],[Status]]="Cancelled",0,Purchase[[#This Row],[Qty]])</f>
        <v>16</v>
      </c>
      <c r="T492" s="146">
        <f>IF(Purchase[[#This Row],[Status]]="Cancelled",0,Purchase[[#This Row],[Total Amount]])</f>
        <v>85866.240000000005</v>
      </c>
      <c r="U492" s="146">
        <f>SUM(Purchase[Net Amount])</f>
        <v>814985438.68000126</v>
      </c>
    </row>
    <row r="493" spans="1:21" ht="19.5" thickBot="1" x14ac:dyDescent="0.3">
      <c r="A493" s="136" t="s">
        <v>1530</v>
      </c>
      <c r="B493" s="137">
        <v>45681</v>
      </c>
      <c r="C493" s="138" t="s">
        <v>564</v>
      </c>
      <c r="D493" s="138" t="str">
        <f>VLOOKUP(Purchase[[#This Row],[Supplier ID]],Supplier[#All],2,0)</f>
        <v xml:space="preserve">Star Electronics </v>
      </c>
      <c r="E493" s="138">
        <f>VLOOKUP(Purchase[[#This Row],[Supplier ID]],Supplier[#All],3,0)</f>
        <v>9689542450</v>
      </c>
      <c r="F493" s="138" t="str">
        <f>VLOOKUP(Purchase[[#This Row],[Supplier ID]],Supplier[#All],4,0)</f>
        <v>Korba</v>
      </c>
      <c r="G493" s="138" t="str">
        <f>VLOOKUP(Purchase[[#This Row],[Supplier ID]],Supplier[#All],5,0)</f>
        <v>CG</v>
      </c>
      <c r="H493" s="138" t="str">
        <f>VLOOKUP(Purchase[[#This Row],[Supplier ID]],Supplier[#All],6,0)</f>
        <v>GST2154521T012</v>
      </c>
      <c r="I493" s="138" t="s">
        <v>350</v>
      </c>
      <c r="J493" s="139">
        <v>21</v>
      </c>
      <c r="K493" s="143">
        <f>VLOOKUP(Purchase[[#This Row],[Product ID]],Product[#All],6,0)</f>
        <v>14913</v>
      </c>
      <c r="L493" s="143">
        <f>Purchase[[#This Row],[Purchase Rate]]*Purchase[[#This Row],[Qty]]</f>
        <v>313173</v>
      </c>
      <c r="M493" s="140">
        <v>0</v>
      </c>
      <c r="N493" s="143">
        <v>0</v>
      </c>
      <c r="O493" s="140">
        <v>0.18</v>
      </c>
      <c r="P493" s="145">
        <f>(Purchase[[#This Row],[Gross Amount]]-Purchase[[#This Row],[Disct %]])*Purchase[[#This Row],[GST %]]</f>
        <v>56371.14</v>
      </c>
      <c r="Q493" s="145">
        <f>Purchase[[#This Row],[Gross Amount]]-Purchase[[#This Row],[Disct Amnt]]+Purchase[[#This Row],[GST Amount]]</f>
        <v>369544.14</v>
      </c>
      <c r="R493" s="138" t="s">
        <v>1019</v>
      </c>
      <c r="S493" s="41">
        <f>IF(Purchase[[#This Row],[Status]]="Cancelled",0,Purchase[[#This Row],[Qty]])</f>
        <v>21</v>
      </c>
      <c r="T493" s="146">
        <f>IF(Purchase[[#This Row],[Status]]="Cancelled",0,Purchase[[#This Row],[Total Amount]])</f>
        <v>369544.14</v>
      </c>
      <c r="U493" s="146">
        <f>SUM(Purchase[Net Amount])</f>
        <v>814985438.68000126</v>
      </c>
    </row>
    <row r="494" spans="1:21" ht="19.5" thickBot="1" x14ac:dyDescent="0.3">
      <c r="A494" s="136" t="s">
        <v>1531</v>
      </c>
      <c r="B494" s="137">
        <v>45681</v>
      </c>
      <c r="C494" s="138" t="s">
        <v>576</v>
      </c>
      <c r="D494" s="138" t="str">
        <f>VLOOKUP(Purchase[[#This Row],[Supplier ID]],Supplier[#All],2,0)</f>
        <v>Maa Distributors</v>
      </c>
      <c r="E494" s="138">
        <f>VLOOKUP(Purchase[[#This Row],[Supplier ID]],Supplier[#All],3,0)</f>
        <v>9689542460</v>
      </c>
      <c r="F494" s="138" t="str">
        <f>VLOOKUP(Purchase[[#This Row],[Supplier ID]],Supplier[#All],4,0)</f>
        <v>Korba</v>
      </c>
      <c r="G494" s="138" t="str">
        <f>VLOOKUP(Purchase[[#This Row],[Supplier ID]],Supplier[#All],5,0)</f>
        <v>CG</v>
      </c>
      <c r="H494" s="138" t="str">
        <f>VLOOKUP(Purchase[[#This Row],[Supplier ID]],Supplier[#All],6,0)</f>
        <v>GST2154521T022</v>
      </c>
      <c r="I494" s="138" t="s">
        <v>300</v>
      </c>
      <c r="J494" s="139">
        <v>30</v>
      </c>
      <c r="K494" s="143">
        <f>VLOOKUP(Purchase[[#This Row],[Product ID]],Product[#All],6,0)</f>
        <v>8629</v>
      </c>
      <c r="L494" s="143">
        <f>Purchase[[#This Row],[Purchase Rate]]*Purchase[[#This Row],[Qty]]</f>
        <v>258870</v>
      </c>
      <c r="M494" s="140">
        <v>0</v>
      </c>
      <c r="N494" s="143">
        <v>0</v>
      </c>
      <c r="O494" s="140">
        <v>0.18</v>
      </c>
      <c r="P494" s="145">
        <f>(Purchase[[#This Row],[Gross Amount]]-Purchase[[#This Row],[Disct %]])*Purchase[[#This Row],[GST %]]</f>
        <v>46596.6</v>
      </c>
      <c r="Q494" s="145">
        <f>Purchase[[#This Row],[Gross Amount]]-Purchase[[#This Row],[Disct Amnt]]+Purchase[[#This Row],[GST Amount]]</f>
        <v>305466.59999999998</v>
      </c>
      <c r="R494" s="138" t="s">
        <v>1019</v>
      </c>
      <c r="S494" s="41">
        <f>IF(Purchase[[#This Row],[Status]]="Cancelled",0,Purchase[[#This Row],[Qty]])</f>
        <v>30</v>
      </c>
      <c r="T494" s="146">
        <f>IF(Purchase[[#This Row],[Status]]="Cancelled",0,Purchase[[#This Row],[Total Amount]])</f>
        <v>305466.59999999998</v>
      </c>
      <c r="U494" s="146">
        <f>SUM(Purchase[Net Amount])</f>
        <v>814985438.68000126</v>
      </c>
    </row>
    <row r="495" spans="1:21" ht="19.5" thickBot="1" x14ac:dyDescent="0.3">
      <c r="A495" s="136" t="s">
        <v>1532</v>
      </c>
      <c r="B495" s="137">
        <v>45681</v>
      </c>
      <c r="C495" s="138" t="s">
        <v>584</v>
      </c>
      <c r="D495" s="138" t="str">
        <f>VLOOKUP(Purchase[[#This Row],[Supplier ID]],Supplier[#All],2,0)</f>
        <v>Prime Computers</v>
      </c>
      <c r="E495" s="138">
        <f>VLOOKUP(Purchase[[#This Row],[Supplier ID]],Supplier[#All],3,0)</f>
        <v>9689542468</v>
      </c>
      <c r="F495" s="138" t="str">
        <f>VLOOKUP(Purchase[[#This Row],[Supplier ID]],Supplier[#All],4,0)</f>
        <v>Kanpur</v>
      </c>
      <c r="G495" s="138" t="str">
        <f>VLOOKUP(Purchase[[#This Row],[Supplier ID]],Supplier[#All],5,0)</f>
        <v>UP</v>
      </c>
      <c r="H495" s="138" t="str">
        <f>VLOOKUP(Purchase[[#This Row],[Supplier ID]],Supplier[#All],6,0)</f>
        <v>GST2154521T030</v>
      </c>
      <c r="I495" s="138" t="s">
        <v>359</v>
      </c>
      <c r="J495" s="139">
        <v>7</v>
      </c>
      <c r="K495" s="143">
        <f>VLOOKUP(Purchase[[#This Row],[Product ID]],Product[#All],6,0)</f>
        <v>922</v>
      </c>
      <c r="L495" s="143">
        <f>Purchase[[#This Row],[Purchase Rate]]*Purchase[[#This Row],[Qty]]</f>
        <v>6454</v>
      </c>
      <c r="M495" s="140">
        <v>0</v>
      </c>
      <c r="N495" s="143">
        <v>0</v>
      </c>
      <c r="O495" s="140">
        <v>0.18</v>
      </c>
      <c r="P495" s="145">
        <f>(Purchase[[#This Row],[Gross Amount]]-Purchase[[#This Row],[Disct %]])*Purchase[[#This Row],[GST %]]</f>
        <v>1161.72</v>
      </c>
      <c r="Q495" s="145">
        <f>Purchase[[#This Row],[Gross Amount]]-Purchase[[#This Row],[Disct Amnt]]+Purchase[[#This Row],[GST Amount]]</f>
        <v>7615.72</v>
      </c>
      <c r="R495" s="138" t="s">
        <v>1019</v>
      </c>
      <c r="S495" s="41">
        <f>IF(Purchase[[#This Row],[Status]]="Cancelled",0,Purchase[[#This Row],[Qty]])</f>
        <v>7</v>
      </c>
      <c r="T495" s="146">
        <f>IF(Purchase[[#This Row],[Status]]="Cancelled",0,Purchase[[#This Row],[Total Amount]])</f>
        <v>7615.72</v>
      </c>
      <c r="U495" s="146">
        <f>SUM(Purchase[Net Amount])</f>
        <v>814985438.68000126</v>
      </c>
    </row>
    <row r="496" spans="1:21" ht="19.5" thickBot="1" x14ac:dyDescent="0.3">
      <c r="A496" s="136" t="s">
        <v>1533</v>
      </c>
      <c r="B496" s="137">
        <v>45681</v>
      </c>
      <c r="C496" s="138" t="s">
        <v>598</v>
      </c>
      <c r="D496" s="138" t="str">
        <f>VLOOKUP(Purchase[[#This Row],[Supplier ID]],Supplier[#All],2,0)</f>
        <v>National Distributors</v>
      </c>
      <c r="E496" s="138">
        <f>VLOOKUP(Purchase[[#This Row],[Supplier ID]],Supplier[#All],3,0)</f>
        <v>9689542489</v>
      </c>
      <c r="F496" s="138" t="str">
        <f>VLOOKUP(Purchase[[#This Row],[Supplier ID]],Supplier[#All],4,0)</f>
        <v>Indore</v>
      </c>
      <c r="G496" s="138" t="str">
        <f>VLOOKUP(Purchase[[#This Row],[Supplier ID]],Supplier[#All],5,0)</f>
        <v>MP</v>
      </c>
      <c r="H496" s="138" t="str">
        <f>VLOOKUP(Purchase[[#This Row],[Supplier ID]],Supplier[#All],6,0)</f>
        <v>GST2154521T043</v>
      </c>
      <c r="I496" s="138" t="s">
        <v>369</v>
      </c>
      <c r="J496" s="139">
        <v>27</v>
      </c>
      <c r="K496" s="143">
        <f>VLOOKUP(Purchase[[#This Row],[Product ID]],Product[#All],6,0)</f>
        <v>1684</v>
      </c>
      <c r="L496" s="143">
        <f>Purchase[[#This Row],[Purchase Rate]]*Purchase[[#This Row],[Qty]]</f>
        <v>45468</v>
      </c>
      <c r="M496" s="140">
        <v>0</v>
      </c>
      <c r="N496" s="143">
        <v>0</v>
      </c>
      <c r="O496" s="140">
        <v>0.18</v>
      </c>
      <c r="P496" s="145">
        <f>(Purchase[[#This Row],[Gross Amount]]-Purchase[[#This Row],[Disct %]])*Purchase[[#This Row],[GST %]]</f>
        <v>8184.24</v>
      </c>
      <c r="Q496" s="145">
        <f>Purchase[[#This Row],[Gross Amount]]-Purchase[[#This Row],[Disct Amnt]]+Purchase[[#This Row],[GST Amount]]</f>
        <v>53652.24</v>
      </c>
      <c r="R496" s="138" t="s">
        <v>1019</v>
      </c>
      <c r="S496" s="41">
        <f>IF(Purchase[[#This Row],[Status]]="Cancelled",0,Purchase[[#This Row],[Qty]])</f>
        <v>27</v>
      </c>
      <c r="T496" s="146">
        <f>IF(Purchase[[#This Row],[Status]]="Cancelled",0,Purchase[[#This Row],[Total Amount]])</f>
        <v>53652.24</v>
      </c>
      <c r="U496" s="146">
        <f>SUM(Purchase[Net Amount])</f>
        <v>814985438.68000126</v>
      </c>
    </row>
    <row r="497" spans="1:21" ht="19.5" thickBot="1" x14ac:dyDescent="0.3">
      <c r="A497" s="136" t="s">
        <v>1534</v>
      </c>
      <c r="B497" s="137">
        <v>45681</v>
      </c>
      <c r="C497" s="138" t="s">
        <v>575</v>
      </c>
      <c r="D497" s="138" t="str">
        <f>VLOOKUP(Purchase[[#This Row],[Supplier ID]],Supplier[#All],2,0)</f>
        <v>Global Computers</v>
      </c>
      <c r="E497" s="138">
        <f>VLOOKUP(Purchase[[#This Row],[Supplier ID]],Supplier[#All],3,0)</f>
        <v>9689542459</v>
      </c>
      <c r="F497" s="138" t="str">
        <f>VLOOKUP(Purchase[[#This Row],[Supplier ID]],Supplier[#All],4,0)</f>
        <v>Indore</v>
      </c>
      <c r="G497" s="138" t="str">
        <f>VLOOKUP(Purchase[[#This Row],[Supplier ID]],Supplier[#All],5,0)</f>
        <v>MP</v>
      </c>
      <c r="H497" s="138" t="str">
        <f>VLOOKUP(Purchase[[#This Row],[Supplier ID]],Supplier[#All],6,0)</f>
        <v>GST2154521T021</v>
      </c>
      <c r="I497" s="138" t="s">
        <v>48</v>
      </c>
      <c r="J497" s="139">
        <v>19</v>
      </c>
      <c r="K497" s="143">
        <f>VLOOKUP(Purchase[[#This Row],[Product ID]],Product[#All],6,0)</f>
        <v>3890</v>
      </c>
      <c r="L497" s="143">
        <f>Purchase[[#This Row],[Purchase Rate]]*Purchase[[#This Row],[Qty]]</f>
        <v>73910</v>
      </c>
      <c r="M497" s="140">
        <v>0</v>
      </c>
      <c r="N497" s="143">
        <v>0</v>
      </c>
      <c r="O497" s="140">
        <v>0.18</v>
      </c>
      <c r="P497" s="145">
        <f>(Purchase[[#This Row],[Gross Amount]]-Purchase[[#This Row],[Disct %]])*Purchase[[#This Row],[GST %]]</f>
        <v>13303.8</v>
      </c>
      <c r="Q497" s="145">
        <f>Purchase[[#This Row],[Gross Amount]]-Purchase[[#This Row],[Disct Amnt]]+Purchase[[#This Row],[GST Amount]]</f>
        <v>87213.8</v>
      </c>
      <c r="R497" s="138" t="s">
        <v>1019</v>
      </c>
      <c r="S497" s="41">
        <f>IF(Purchase[[#This Row],[Status]]="Cancelled",0,Purchase[[#This Row],[Qty]])</f>
        <v>19</v>
      </c>
      <c r="T497" s="146">
        <f>IF(Purchase[[#This Row],[Status]]="Cancelled",0,Purchase[[#This Row],[Total Amount]])</f>
        <v>87213.8</v>
      </c>
      <c r="U497" s="146">
        <f>SUM(Purchase[Net Amount])</f>
        <v>814985438.68000126</v>
      </c>
    </row>
    <row r="498" spans="1:21" ht="19.5" thickBot="1" x14ac:dyDescent="0.3">
      <c r="A498" s="136" t="s">
        <v>1535</v>
      </c>
      <c r="B498" s="137">
        <v>45681</v>
      </c>
      <c r="C498" s="138" t="s">
        <v>584</v>
      </c>
      <c r="D498" s="138" t="str">
        <f>VLOOKUP(Purchase[[#This Row],[Supplier ID]],Supplier[#All],2,0)</f>
        <v>Prime Computers</v>
      </c>
      <c r="E498" s="138">
        <f>VLOOKUP(Purchase[[#This Row],[Supplier ID]],Supplier[#All],3,0)</f>
        <v>9689542468</v>
      </c>
      <c r="F498" s="138" t="str">
        <f>VLOOKUP(Purchase[[#This Row],[Supplier ID]],Supplier[#All],4,0)</f>
        <v>Kanpur</v>
      </c>
      <c r="G498" s="138" t="str">
        <f>VLOOKUP(Purchase[[#This Row],[Supplier ID]],Supplier[#All],5,0)</f>
        <v>UP</v>
      </c>
      <c r="H498" s="138" t="str">
        <f>VLOOKUP(Purchase[[#This Row],[Supplier ID]],Supplier[#All],6,0)</f>
        <v>GST2154521T030</v>
      </c>
      <c r="I498" s="138" t="s">
        <v>35</v>
      </c>
      <c r="J498" s="139">
        <v>22</v>
      </c>
      <c r="K498" s="143">
        <f>VLOOKUP(Purchase[[#This Row],[Product ID]],Product[#All],6,0)</f>
        <v>2905</v>
      </c>
      <c r="L498" s="143">
        <f>Purchase[[#This Row],[Purchase Rate]]*Purchase[[#This Row],[Qty]]</f>
        <v>63910</v>
      </c>
      <c r="M498" s="140">
        <v>0</v>
      </c>
      <c r="N498" s="143">
        <v>0</v>
      </c>
      <c r="O498" s="140">
        <v>0.18</v>
      </c>
      <c r="P498" s="145">
        <f>(Purchase[[#This Row],[Gross Amount]]-Purchase[[#This Row],[Disct %]])*Purchase[[#This Row],[GST %]]</f>
        <v>11503.8</v>
      </c>
      <c r="Q498" s="145">
        <f>Purchase[[#This Row],[Gross Amount]]-Purchase[[#This Row],[Disct Amnt]]+Purchase[[#This Row],[GST Amount]]</f>
        <v>75413.8</v>
      </c>
      <c r="R498" s="138" t="s">
        <v>1019</v>
      </c>
      <c r="S498" s="41">
        <f>IF(Purchase[[#This Row],[Status]]="Cancelled",0,Purchase[[#This Row],[Qty]])</f>
        <v>22</v>
      </c>
      <c r="T498" s="146">
        <f>IF(Purchase[[#This Row],[Status]]="Cancelled",0,Purchase[[#This Row],[Total Amount]])</f>
        <v>75413.8</v>
      </c>
      <c r="U498" s="146">
        <f>SUM(Purchase[Net Amount])</f>
        <v>814985438.68000126</v>
      </c>
    </row>
    <row r="499" spans="1:21" ht="19.5" thickBot="1" x14ac:dyDescent="0.3">
      <c r="A499" s="136" t="s">
        <v>1536</v>
      </c>
      <c r="B499" s="137">
        <v>45681</v>
      </c>
      <c r="C499" s="138" t="s">
        <v>598</v>
      </c>
      <c r="D499" s="138" t="str">
        <f>VLOOKUP(Purchase[[#This Row],[Supplier ID]],Supplier[#All],2,0)</f>
        <v>National Distributors</v>
      </c>
      <c r="E499" s="138">
        <f>VLOOKUP(Purchase[[#This Row],[Supplier ID]],Supplier[#All],3,0)</f>
        <v>9689542489</v>
      </c>
      <c r="F499" s="138" t="str">
        <f>VLOOKUP(Purchase[[#This Row],[Supplier ID]],Supplier[#All],4,0)</f>
        <v>Indore</v>
      </c>
      <c r="G499" s="138" t="str">
        <f>VLOOKUP(Purchase[[#This Row],[Supplier ID]],Supplier[#All],5,0)</f>
        <v>MP</v>
      </c>
      <c r="H499" s="138" t="str">
        <f>VLOOKUP(Purchase[[#This Row],[Supplier ID]],Supplier[#All],6,0)</f>
        <v>GST2154521T043</v>
      </c>
      <c r="I499" s="138" t="s">
        <v>378</v>
      </c>
      <c r="J499" s="139">
        <v>36</v>
      </c>
      <c r="K499" s="143">
        <f>VLOOKUP(Purchase[[#This Row],[Product ID]],Product[#All],6,0)</f>
        <v>3476</v>
      </c>
      <c r="L499" s="143">
        <f>Purchase[[#This Row],[Purchase Rate]]*Purchase[[#This Row],[Qty]]</f>
        <v>125136</v>
      </c>
      <c r="M499" s="140">
        <v>0</v>
      </c>
      <c r="N499" s="143">
        <v>0</v>
      </c>
      <c r="O499" s="140">
        <v>0.18</v>
      </c>
      <c r="P499" s="145">
        <f>(Purchase[[#This Row],[Gross Amount]]-Purchase[[#This Row],[Disct %]])*Purchase[[#This Row],[GST %]]</f>
        <v>22524.48</v>
      </c>
      <c r="Q499" s="145">
        <f>Purchase[[#This Row],[Gross Amount]]-Purchase[[#This Row],[Disct Amnt]]+Purchase[[#This Row],[GST Amount]]</f>
        <v>147660.48000000001</v>
      </c>
      <c r="R499" s="138" t="s">
        <v>1019</v>
      </c>
      <c r="S499" s="41">
        <f>IF(Purchase[[#This Row],[Status]]="Cancelled",0,Purchase[[#This Row],[Qty]])</f>
        <v>36</v>
      </c>
      <c r="T499" s="146">
        <f>IF(Purchase[[#This Row],[Status]]="Cancelled",0,Purchase[[#This Row],[Total Amount]])</f>
        <v>147660.48000000001</v>
      </c>
      <c r="U499" s="146">
        <f>SUM(Purchase[Net Amount])</f>
        <v>814985438.68000126</v>
      </c>
    </row>
    <row r="500" spans="1:21" ht="19.5" thickBot="1" x14ac:dyDescent="0.3">
      <c r="A500" s="136" t="s">
        <v>1537</v>
      </c>
      <c r="B500" s="137">
        <v>45681</v>
      </c>
      <c r="C500" s="138" t="s">
        <v>608</v>
      </c>
      <c r="D500" s="138" t="str">
        <f>VLOOKUP(Purchase[[#This Row],[Supplier ID]],Supplier[#All],2,0)</f>
        <v>Global Suppliers</v>
      </c>
      <c r="E500" s="138">
        <f>VLOOKUP(Purchase[[#This Row],[Supplier ID]],Supplier[#All],3,0)</f>
        <v>9689542499</v>
      </c>
      <c r="F500" s="138" t="str">
        <f>VLOOKUP(Purchase[[#This Row],[Supplier ID]],Supplier[#All],4,0)</f>
        <v>Korba</v>
      </c>
      <c r="G500" s="138" t="str">
        <f>VLOOKUP(Purchase[[#This Row],[Supplier ID]],Supplier[#All],5,0)</f>
        <v>CG</v>
      </c>
      <c r="H500" s="138" t="str">
        <f>VLOOKUP(Purchase[[#This Row],[Supplier ID]],Supplier[#All],6,0)</f>
        <v>GST2154521T053</v>
      </c>
      <c r="I500" s="138" t="s">
        <v>209</v>
      </c>
      <c r="J500" s="139">
        <v>12</v>
      </c>
      <c r="K500" s="143">
        <f>VLOOKUP(Purchase[[#This Row],[Product ID]],Product[#All],6,0)</f>
        <v>46511</v>
      </c>
      <c r="L500" s="143">
        <f>Purchase[[#This Row],[Purchase Rate]]*Purchase[[#This Row],[Qty]]</f>
        <v>558132</v>
      </c>
      <c r="M500" s="140">
        <v>0</v>
      </c>
      <c r="N500" s="143">
        <v>0</v>
      </c>
      <c r="O500" s="140">
        <v>0.18</v>
      </c>
      <c r="P500" s="145">
        <f>(Purchase[[#This Row],[Gross Amount]]-Purchase[[#This Row],[Disct %]])*Purchase[[#This Row],[GST %]]</f>
        <v>100463.76</v>
      </c>
      <c r="Q500" s="145">
        <f>Purchase[[#This Row],[Gross Amount]]-Purchase[[#This Row],[Disct Amnt]]+Purchase[[#This Row],[GST Amount]]</f>
        <v>658595.76</v>
      </c>
      <c r="R500" s="138" t="s">
        <v>1019</v>
      </c>
      <c r="S500" s="41">
        <f>IF(Purchase[[#This Row],[Status]]="Cancelled",0,Purchase[[#This Row],[Qty]])</f>
        <v>12</v>
      </c>
      <c r="T500" s="146">
        <f>IF(Purchase[[#This Row],[Status]]="Cancelled",0,Purchase[[#This Row],[Total Amount]])</f>
        <v>658595.76</v>
      </c>
      <c r="U500" s="146">
        <f>SUM(Purchase[Net Amount])</f>
        <v>814985438.68000126</v>
      </c>
    </row>
    <row r="501" spans="1:21" ht="19.5" thickBot="1" x14ac:dyDescent="0.3">
      <c r="A501" s="136" t="s">
        <v>1538</v>
      </c>
      <c r="B501" s="137">
        <v>45681</v>
      </c>
      <c r="C501" s="138" t="s">
        <v>589</v>
      </c>
      <c r="D501" s="138" t="str">
        <f>VLOOKUP(Purchase[[#This Row],[Supplier ID]],Supplier[#All],2,0)</f>
        <v>Maa Computers</v>
      </c>
      <c r="E501" s="138">
        <f>VLOOKUP(Purchase[[#This Row],[Supplier ID]],Supplier[#All],3,0)</f>
        <v>9689542473</v>
      </c>
      <c r="F501" s="138" t="str">
        <f>VLOOKUP(Purchase[[#This Row],[Supplier ID]],Supplier[#All],4,0)</f>
        <v>Kanpur</v>
      </c>
      <c r="G501" s="138" t="str">
        <f>VLOOKUP(Purchase[[#This Row],[Supplier ID]],Supplier[#All],5,0)</f>
        <v>UP</v>
      </c>
      <c r="H501" s="138" t="str">
        <f>VLOOKUP(Purchase[[#This Row],[Supplier ID]],Supplier[#All],6,0)</f>
        <v>GST2154521T035</v>
      </c>
      <c r="I501" s="138" t="s">
        <v>245</v>
      </c>
      <c r="J501" s="139">
        <v>27</v>
      </c>
      <c r="K501" s="143">
        <f>VLOOKUP(Purchase[[#This Row],[Product ID]],Product[#All],6,0)</f>
        <v>9305</v>
      </c>
      <c r="L501" s="143">
        <f>Purchase[[#This Row],[Purchase Rate]]*Purchase[[#This Row],[Qty]]</f>
        <v>251235</v>
      </c>
      <c r="M501" s="140">
        <v>0</v>
      </c>
      <c r="N501" s="143">
        <v>0</v>
      </c>
      <c r="O501" s="140">
        <v>0.18</v>
      </c>
      <c r="P501" s="145">
        <f>(Purchase[[#This Row],[Gross Amount]]-Purchase[[#This Row],[Disct %]])*Purchase[[#This Row],[GST %]]</f>
        <v>45222.299999999996</v>
      </c>
      <c r="Q501" s="145">
        <f>Purchase[[#This Row],[Gross Amount]]-Purchase[[#This Row],[Disct Amnt]]+Purchase[[#This Row],[GST Amount]]</f>
        <v>296457.3</v>
      </c>
      <c r="R501" s="138" t="s">
        <v>1019</v>
      </c>
      <c r="S501" s="41">
        <f>IF(Purchase[[#This Row],[Status]]="Cancelled",0,Purchase[[#This Row],[Qty]])</f>
        <v>27</v>
      </c>
      <c r="T501" s="146">
        <f>IF(Purchase[[#This Row],[Status]]="Cancelled",0,Purchase[[#This Row],[Total Amount]])</f>
        <v>296457.3</v>
      </c>
      <c r="U501" s="146">
        <f>SUM(Purchase[Net Amount])</f>
        <v>814985438.68000126</v>
      </c>
    </row>
    <row r="502" spans="1:21" ht="19.5" thickBot="1" x14ac:dyDescent="0.3">
      <c r="A502" s="136" t="s">
        <v>1539</v>
      </c>
      <c r="B502" s="137">
        <v>45682</v>
      </c>
      <c r="C502" s="138" t="s">
        <v>589</v>
      </c>
      <c r="D502" s="138" t="str">
        <f>VLOOKUP(Purchase[[#This Row],[Supplier ID]],Supplier[#All],2,0)</f>
        <v>Maa Computers</v>
      </c>
      <c r="E502" s="138">
        <f>VLOOKUP(Purchase[[#This Row],[Supplier ID]],Supplier[#All],3,0)</f>
        <v>9689542473</v>
      </c>
      <c r="F502" s="138" t="str">
        <f>VLOOKUP(Purchase[[#This Row],[Supplier ID]],Supplier[#All],4,0)</f>
        <v>Kanpur</v>
      </c>
      <c r="G502" s="138" t="str">
        <f>VLOOKUP(Purchase[[#This Row],[Supplier ID]],Supplier[#All],5,0)</f>
        <v>UP</v>
      </c>
      <c r="H502" s="138" t="str">
        <f>VLOOKUP(Purchase[[#This Row],[Supplier ID]],Supplier[#All],6,0)</f>
        <v>GST2154521T035</v>
      </c>
      <c r="I502" s="138" t="s">
        <v>521</v>
      </c>
      <c r="J502" s="139">
        <v>12</v>
      </c>
      <c r="K502" s="143">
        <f>VLOOKUP(Purchase[[#This Row],[Product ID]],Product[#All],6,0)</f>
        <v>2442</v>
      </c>
      <c r="L502" s="143">
        <f>Purchase[[#This Row],[Purchase Rate]]*Purchase[[#This Row],[Qty]]</f>
        <v>29304</v>
      </c>
      <c r="M502" s="140">
        <v>0</v>
      </c>
      <c r="N502" s="143">
        <v>0</v>
      </c>
      <c r="O502" s="140">
        <v>0.18</v>
      </c>
      <c r="P502" s="145">
        <f>(Purchase[[#This Row],[Gross Amount]]-Purchase[[#This Row],[Disct %]])*Purchase[[#This Row],[GST %]]</f>
        <v>5274.72</v>
      </c>
      <c r="Q502" s="145">
        <f>Purchase[[#This Row],[Gross Amount]]-Purchase[[#This Row],[Disct Amnt]]+Purchase[[#This Row],[GST Amount]]</f>
        <v>34578.720000000001</v>
      </c>
      <c r="R502" s="138" t="s">
        <v>1019</v>
      </c>
      <c r="S502" s="41">
        <f>IF(Purchase[[#This Row],[Status]]="Cancelled",0,Purchase[[#This Row],[Qty]])</f>
        <v>12</v>
      </c>
      <c r="T502" s="146">
        <f>IF(Purchase[[#This Row],[Status]]="Cancelled",0,Purchase[[#This Row],[Total Amount]])</f>
        <v>34578.720000000001</v>
      </c>
      <c r="U502" s="146">
        <f>SUM(Purchase[Net Amount])</f>
        <v>814985438.68000126</v>
      </c>
    </row>
    <row r="503" spans="1:21" ht="19.5" thickBot="1" x14ac:dyDescent="0.3">
      <c r="A503" s="136" t="s">
        <v>1540</v>
      </c>
      <c r="B503" s="137">
        <v>45682</v>
      </c>
      <c r="C503" s="138" t="s">
        <v>611</v>
      </c>
      <c r="D503" s="138" t="str">
        <f>VLOOKUP(Purchase[[#This Row],[Supplier ID]],Supplier[#All],2,0)</f>
        <v>National Distributors</v>
      </c>
      <c r="E503" s="138">
        <f>VLOOKUP(Purchase[[#This Row],[Supplier ID]],Supplier[#All],3,0)</f>
        <v>9689542494</v>
      </c>
      <c r="F503" s="138" t="str">
        <f>VLOOKUP(Purchase[[#This Row],[Supplier ID]],Supplier[#All],4,0)</f>
        <v>Korba</v>
      </c>
      <c r="G503" s="138" t="str">
        <f>VLOOKUP(Purchase[[#This Row],[Supplier ID]],Supplier[#All],5,0)</f>
        <v>CG</v>
      </c>
      <c r="H503" s="138" t="str">
        <f>VLOOKUP(Purchase[[#This Row],[Supplier ID]],Supplier[#All],6,0)</f>
        <v>GST2154521T056</v>
      </c>
      <c r="I503" s="138" t="s">
        <v>272</v>
      </c>
      <c r="J503" s="139">
        <v>4</v>
      </c>
      <c r="K503" s="143">
        <f>VLOOKUP(Purchase[[#This Row],[Product ID]],Product[#All],6,0)</f>
        <v>8385</v>
      </c>
      <c r="L503" s="143">
        <f>Purchase[[#This Row],[Purchase Rate]]*Purchase[[#This Row],[Qty]]</f>
        <v>33540</v>
      </c>
      <c r="M503" s="140">
        <v>0</v>
      </c>
      <c r="N503" s="143">
        <v>0</v>
      </c>
      <c r="O503" s="140">
        <v>0.18</v>
      </c>
      <c r="P503" s="145">
        <f>(Purchase[[#This Row],[Gross Amount]]-Purchase[[#This Row],[Disct %]])*Purchase[[#This Row],[GST %]]</f>
        <v>6037.2</v>
      </c>
      <c r="Q503" s="145">
        <f>Purchase[[#This Row],[Gross Amount]]-Purchase[[#This Row],[Disct Amnt]]+Purchase[[#This Row],[GST Amount]]</f>
        <v>39577.199999999997</v>
      </c>
      <c r="R503" s="138" t="s">
        <v>1019</v>
      </c>
      <c r="S503" s="41">
        <f>IF(Purchase[[#This Row],[Status]]="Cancelled",0,Purchase[[#This Row],[Qty]])</f>
        <v>4</v>
      </c>
      <c r="T503" s="146">
        <f>IF(Purchase[[#This Row],[Status]]="Cancelled",0,Purchase[[#This Row],[Total Amount]])</f>
        <v>39577.199999999997</v>
      </c>
      <c r="U503" s="146">
        <f>SUM(Purchase[Net Amount])</f>
        <v>814985438.68000126</v>
      </c>
    </row>
    <row r="504" spans="1:21" ht="19.5" thickBot="1" x14ac:dyDescent="0.3">
      <c r="A504" s="136" t="s">
        <v>1541</v>
      </c>
      <c r="B504" s="137">
        <v>45682</v>
      </c>
      <c r="C504" s="138" t="s">
        <v>591</v>
      </c>
      <c r="D504" s="138" t="str">
        <f>VLOOKUP(Purchase[[#This Row],[Supplier ID]],Supplier[#All],2,0)</f>
        <v>Shree Computers</v>
      </c>
      <c r="E504" s="138">
        <f>VLOOKUP(Purchase[[#This Row],[Supplier ID]],Supplier[#All],3,0)</f>
        <v>9689542475</v>
      </c>
      <c r="F504" s="138" t="str">
        <f>VLOOKUP(Purchase[[#This Row],[Supplier ID]],Supplier[#All],4,0)</f>
        <v>Indore</v>
      </c>
      <c r="G504" s="138" t="str">
        <f>VLOOKUP(Purchase[[#This Row],[Supplier ID]],Supplier[#All],5,0)</f>
        <v>MP</v>
      </c>
      <c r="H504" s="138" t="str">
        <f>VLOOKUP(Purchase[[#This Row],[Supplier ID]],Supplier[#All],6,0)</f>
        <v>GST2154521T037</v>
      </c>
      <c r="I504" s="138" t="s">
        <v>396</v>
      </c>
      <c r="J504" s="139">
        <v>28</v>
      </c>
      <c r="K504" s="143">
        <f>VLOOKUP(Purchase[[#This Row],[Product ID]],Product[#All],6,0)</f>
        <v>63314</v>
      </c>
      <c r="L504" s="143">
        <f>Purchase[[#This Row],[Purchase Rate]]*Purchase[[#This Row],[Qty]]</f>
        <v>1772792</v>
      </c>
      <c r="M504" s="140">
        <v>0</v>
      </c>
      <c r="N504" s="143">
        <v>0</v>
      </c>
      <c r="O504" s="140">
        <v>0.18</v>
      </c>
      <c r="P504" s="145">
        <f>(Purchase[[#This Row],[Gross Amount]]-Purchase[[#This Row],[Disct %]])*Purchase[[#This Row],[GST %]]</f>
        <v>319102.56</v>
      </c>
      <c r="Q504" s="145">
        <f>Purchase[[#This Row],[Gross Amount]]-Purchase[[#This Row],[Disct Amnt]]+Purchase[[#This Row],[GST Amount]]</f>
        <v>2091894.56</v>
      </c>
      <c r="R504" s="138" t="s">
        <v>1019</v>
      </c>
      <c r="S504" s="41">
        <f>IF(Purchase[[#This Row],[Status]]="Cancelled",0,Purchase[[#This Row],[Qty]])</f>
        <v>28</v>
      </c>
      <c r="T504" s="146">
        <f>IF(Purchase[[#This Row],[Status]]="Cancelled",0,Purchase[[#This Row],[Total Amount]])</f>
        <v>2091894.56</v>
      </c>
      <c r="U504" s="146">
        <f>SUM(Purchase[Net Amount])</f>
        <v>814985438.68000126</v>
      </c>
    </row>
    <row r="505" spans="1:21" ht="19.5" thickBot="1" x14ac:dyDescent="0.3">
      <c r="A505" s="136" t="s">
        <v>1542</v>
      </c>
      <c r="B505" s="137">
        <v>45682</v>
      </c>
      <c r="C505" s="138" t="s">
        <v>588</v>
      </c>
      <c r="D505" s="138" t="str">
        <f>VLOOKUP(Purchase[[#This Row],[Supplier ID]],Supplier[#All],2,0)</f>
        <v>Star Electronics</v>
      </c>
      <c r="E505" s="138">
        <f>VLOOKUP(Purchase[[#This Row],[Supplier ID]],Supplier[#All],3,0)</f>
        <v>9689542472</v>
      </c>
      <c r="F505" s="138" t="str">
        <f>VLOOKUP(Purchase[[#This Row],[Supplier ID]],Supplier[#All],4,0)</f>
        <v>Korba</v>
      </c>
      <c r="G505" s="138" t="str">
        <f>VLOOKUP(Purchase[[#This Row],[Supplier ID]],Supplier[#All],5,0)</f>
        <v>CG</v>
      </c>
      <c r="H505" s="138" t="str">
        <f>VLOOKUP(Purchase[[#This Row],[Supplier ID]],Supplier[#All],6,0)</f>
        <v>GST2154521T034</v>
      </c>
      <c r="I505" s="138" t="s">
        <v>279</v>
      </c>
      <c r="J505" s="139">
        <v>31</v>
      </c>
      <c r="K505" s="143">
        <f>VLOOKUP(Purchase[[#This Row],[Product ID]],Product[#All],6,0)</f>
        <v>22633</v>
      </c>
      <c r="L505" s="143">
        <f>Purchase[[#This Row],[Purchase Rate]]*Purchase[[#This Row],[Qty]]</f>
        <v>701623</v>
      </c>
      <c r="M505" s="140">
        <v>0</v>
      </c>
      <c r="N505" s="143">
        <v>0</v>
      </c>
      <c r="O505" s="140">
        <v>0.18</v>
      </c>
      <c r="P505" s="145">
        <f>(Purchase[[#This Row],[Gross Amount]]-Purchase[[#This Row],[Disct %]])*Purchase[[#This Row],[GST %]]</f>
        <v>126292.14</v>
      </c>
      <c r="Q505" s="145">
        <f>Purchase[[#This Row],[Gross Amount]]-Purchase[[#This Row],[Disct Amnt]]+Purchase[[#This Row],[GST Amount]]</f>
        <v>827915.14</v>
      </c>
      <c r="R505" s="138" t="s">
        <v>1019</v>
      </c>
      <c r="S505" s="41">
        <f>IF(Purchase[[#This Row],[Status]]="Cancelled",0,Purchase[[#This Row],[Qty]])</f>
        <v>31</v>
      </c>
      <c r="T505" s="146">
        <f>IF(Purchase[[#This Row],[Status]]="Cancelled",0,Purchase[[#This Row],[Total Amount]])</f>
        <v>827915.14</v>
      </c>
      <c r="U505" s="146">
        <f>SUM(Purchase[Net Amount])</f>
        <v>814985438.68000126</v>
      </c>
    </row>
    <row r="506" spans="1:21" ht="19.5" thickBot="1" x14ac:dyDescent="0.3">
      <c r="A506" s="136" t="s">
        <v>1543</v>
      </c>
      <c r="B506" s="137">
        <v>45682</v>
      </c>
      <c r="C506" s="138" t="s">
        <v>584</v>
      </c>
      <c r="D506" s="138" t="str">
        <f>VLOOKUP(Purchase[[#This Row],[Supplier ID]],Supplier[#All],2,0)</f>
        <v>Prime Computers</v>
      </c>
      <c r="E506" s="138">
        <f>VLOOKUP(Purchase[[#This Row],[Supplier ID]],Supplier[#All],3,0)</f>
        <v>9689542468</v>
      </c>
      <c r="F506" s="138" t="str">
        <f>VLOOKUP(Purchase[[#This Row],[Supplier ID]],Supplier[#All],4,0)</f>
        <v>Kanpur</v>
      </c>
      <c r="G506" s="138" t="str">
        <f>VLOOKUP(Purchase[[#This Row],[Supplier ID]],Supplier[#All],5,0)</f>
        <v>UP</v>
      </c>
      <c r="H506" s="138" t="str">
        <f>VLOOKUP(Purchase[[#This Row],[Supplier ID]],Supplier[#All],6,0)</f>
        <v>GST2154521T030</v>
      </c>
      <c r="I506" s="138" t="s">
        <v>10</v>
      </c>
      <c r="J506" s="139">
        <v>10</v>
      </c>
      <c r="K506" s="143">
        <f>VLOOKUP(Purchase[[#This Row],[Product ID]],Product[#All],6,0)</f>
        <v>15190</v>
      </c>
      <c r="L506" s="143">
        <f>Purchase[[#This Row],[Purchase Rate]]*Purchase[[#This Row],[Qty]]</f>
        <v>151900</v>
      </c>
      <c r="M506" s="140">
        <v>0</v>
      </c>
      <c r="N506" s="143">
        <v>0</v>
      </c>
      <c r="O506" s="140">
        <v>0.18</v>
      </c>
      <c r="P506" s="145">
        <f>(Purchase[[#This Row],[Gross Amount]]-Purchase[[#This Row],[Disct %]])*Purchase[[#This Row],[GST %]]</f>
        <v>27342</v>
      </c>
      <c r="Q506" s="145">
        <f>Purchase[[#This Row],[Gross Amount]]-Purchase[[#This Row],[Disct Amnt]]+Purchase[[#This Row],[GST Amount]]</f>
        <v>179242</v>
      </c>
      <c r="R506" s="138" t="s">
        <v>1019</v>
      </c>
      <c r="S506" s="41">
        <f>IF(Purchase[[#This Row],[Status]]="Cancelled",0,Purchase[[#This Row],[Qty]])</f>
        <v>10</v>
      </c>
      <c r="T506" s="146">
        <f>IF(Purchase[[#This Row],[Status]]="Cancelled",0,Purchase[[#This Row],[Total Amount]])</f>
        <v>179242</v>
      </c>
      <c r="U506" s="146">
        <f>SUM(Purchase[Net Amount])</f>
        <v>814985438.68000126</v>
      </c>
    </row>
    <row r="507" spans="1:21" ht="19.5" thickBot="1" x14ac:dyDescent="0.3">
      <c r="A507" s="136" t="s">
        <v>1544</v>
      </c>
      <c r="B507" s="137">
        <v>45682</v>
      </c>
      <c r="C507" s="138" t="s">
        <v>604</v>
      </c>
      <c r="D507" s="138" t="str">
        <f>VLOOKUP(Purchase[[#This Row],[Supplier ID]],Supplier[#All],2,0)</f>
        <v>Prime Traders</v>
      </c>
      <c r="E507" s="138">
        <f>VLOOKUP(Purchase[[#This Row],[Supplier ID]],Supplier[#All],3,0)</f>
        <v>9689542487</v>
      </c>
      <c r="F507" s="138" t="str">
        <f>VLOOKUP(Purchase[[#This Row],[Supplier ID]],Supplier[#All],4,0)</f>
        <v>Indore</v>
      </c>
      <c r="G507" s="138" t="str">
        <f>VLOOKUP(Purchase[[#This Row],[Supplier ID]],Supplier[#All],5,0)</f>
        <v>MP</v>
      </c>
      <c r="H507" s="138" t="str">
        <f>VLOOKUP(Purchase[[#This Row],[Supplier ID]],Supplier[#All],6,0)</f>
        <v>GST2154521T049</v>
      </c>
      <c r="I507" s="138" t="s">
        <v>112</v>
      </c>
      <c r="J507" s="139">
        <v>28</v>
      </c>
      <c r="K507" s="143">
        <f>VLOOKUP(Purchase[[#This Row],[Product ID]],Product[#All],6,0)</f>
        <v>2575</v>
      </c>
      <c r="L507" s="143">
        <f>Purchase[[#This Row],[Purchase Rate]]*Purchase[[#This Row],[Qty]]</f>
        <v>72100</v>
      </c>
      <c r="M507" s="140">
        <v>0</v>
      </c>
      <c r="N507" s="143">
        <v>0</v>
      </c>
      <c r="O507" s="140">
        <v>0.18</v>
      </c>
      <c r="P507" s="145">
        <f>(Purchase[[#This Row],[Gross Amount]]-Purchase[[#This Row],[Disct %]])*Purchase[[#This Row],[GST %]]</f>
        <v>12978</v>
      </c>
      <c r="Q507" s="145">
        <f>Purchase[[#This Row],[Gross Amount]]-Purchase[[#This Row],[Disct Amnt]]+Purchase[[#This Row],[GST Amount]]</f>
        <v>85078</v>
      </c>
      <c r="R507" s="138" t="s">
        <v>1019</v>
      </c>
      <c r="S507" s="41">
        <f>IF(Purchase[[#This Row],[Status]]="Cancelled",0,Purchase[[#This Row],[Qty]])</f>
        <v>28</v>
      </c>
      <c r="T507" s="146">
        <f>IF(Purchase[[#This Row],[Status]]="Cancelled",0,Purchase[[#This Row],[Total Amount]])</f>
        <v>85078</v>
      </c>
      <c r="U507" s="146">
        <f>SUM(Purchase[Net Amount])</f>
        <v>814985438.68000126</v>
      </c>
    </row>
    <row r="508" spans="1:21" ht="19.5" thickBot="1" x14ac:dyDescent="0.3">
      <c r="A508" s="136" t="s">
        <v>1545</v>
      </c>
      <c r="B508" s="137">
        <v>45682</v>
      </c>
      <c r="C508" s="138" t="s">
        <v>579</v>
      </c>
      <c r="D508" s="138" t="str">
        <f>VLOOKUP(Purchase[[#This Row],[Supplier ID]],Supplier[#All],2,0)</f>
        <v>Tech Traders</v>
      </c>
      <c r="E508" s="138">
        <f>VLOOKUP(Purchase[[#This Row],[Supplier ID]],Supplier[#All],3,0)</f>
        <v>9689542463</v>
      </c>
      <c r="F508" s="138" t="str">
        <f>VLOOKUP(Purchase[[#This Row],[Supplier ID]],Supplier[#All],4,0)</f>
        <v>Kanpur</v>
      </c>
      <c r="G508" s="138" t="str">
        <f>VLOOKUP(Purchase[[#This Row],[Supplier ID]],Supplier[#All],5,0)</f>
        <v>UP</v>
      </c>
      <c r="H508" s="138" t="str">
        <f>VLOOKUP(Purchase[[#This Row],[Supplier ID]],Supplier[#All],6,0)</f>
        <v>GST2154521T025</v>
      </c>
      <c r="I508" s="138" t="s">
        <v>145</v>
      </c>
      <c r="J508" s="139">
        <v>6</v>
      </c>
      <c r="K508" s="143">
        <f>VLOOKUP(Purchase[[#This Row],[Product ID]],Product[#All],6,0)</f>
        <v>7623</v>
      </c>
      <c r="L508" s="143">
        <f>Purchase[[#This Row],[Purchase Rate]]*Purchase[[#This Row],[Qty]]</f>
        <v>45738</v>
      </c>
      <c r="M508" s="140">
        <v>0</v>
      </c>
      <c r="N508" s="143">
        <v>0</v>
      </c>
      <c r="O508" s="140">
        <v>0.18</v>
      </c>
      <c r="P508" s="145">
        <f>(Purchase[[#This Row],[Gross Amount]]-Purchase[[#This Row],[Disct %]])*Purchase[[#This Row],[GST %]]</f>
        <v>8232.84</v>
      </c>
      <c r="Q508" s="145">
        <f>Purchase[[#This Row],[Gross Amount]]-Purchase[[#This Row],[Disct Amnt]]+Purchase[[#This Row],[GST Amount]]</f>
        <v>53970.84</v>
      </c>
      <c r="R508" s="138" t="s">
        <v>1019</v>
      </c>
      <c r="S508" s="41">
        <f>IF(Purchase[[#This Row],[Status]]="Cancelled",0,Purchase[[#This Row],[Qty]])</f>
        <v>6</v>
      </c>
      <c r="T508" s="146">
        <f>IF(Purchase[[#This Row],[Status]]="Cancelled",0,Purchase[[#This Row],[Total Amount]])</f>
        <v>53970.84</v>
      </c>
      <c r="U508" s="146">
        <f>SUM(Purchase[Net Amount])</f>
        <v>814985438.68000126</v>
      </c>
    </row>
    <row r="509" spans="1:21" ht="19.5" thickBot="1" x14ac:dyDescent="0.3">
      <c r="A509" s="136" t="s">
        <v>1546</v>
      </c>
      <c r="B509" s="137">
        <v>45682</v>
      </c>
      <c r="C509" s="138" t="s">
        <v>609</v>
      </c>
      <c r="D509" s="138" t="str">
        <f>VLOOKUP(Purchase[[#This Row],[Supplier ID]],Supplier[#All],2,0)</f>
        <v>Star Suppliers</v>
      </c>
      <c r="E509" s="138">
        <f>VLOOKUP(Purchase[[#This Row],[Supplier ID]],Supplier[#All],3,0)</f>
        <v>9689542492</v>
      </c>
      <c r="F509" s="138" t="str">
        <f>VLOOKUP(Purchase[[#This Row],[Supplier ID]],Supplier[#All],4,0)</f>
        <v>Kanpur</v>
      </c>
      <c r="G509" s="138" t="str">
        <f>VLOOKUP(Purchase[[#This Row],[Supplier ID]],Supplier[#All],5,0)</f>
        <v>UP</v>
      </c>
      <c r="H509" s="138" t="str">
        <f>VLOOKUP(Purchase[[#This Row],[Supplier ID]],Supplier[#All],6,0)</f>
        <v>GST2154521T054</v>
      </c>
      <c r="I509" s="138" t="s">
        <v>109</v>
      </c>
      <c r="J509" s="139">
        <v>4</v>
      </c>
      <c r="K509" s="143">
        <f>VLOOKUP(Purchase[[#This Row],[Product ID]],Product[#All],6,0)</f>
        <v>1796</v>
      </c>
      <c r="L509" s="143">
        <f>Purchase[[#This Row],[Purchase Rate]]*Purchase[[#This Row],[Qty]]</f>
        <v>7184</v>
      </c>
      <c r="M509" s="140">
        <v>0</v>
      </c>
      <c r="N509" s="143">
        <v>0</v>
      </c>
      <c r="O509" s="140">
        <v>0.18</v>
      </c>
      <c r="P509" s="145">
        <f>(Purchase[[#This Row],[Gross Amount]]-Purchase[[#This Row],[Disct %]])*Purchase[[#This Row],[GST %]]</f>
        <v>1293.1199999999999</v>
      </c>
      <c r="Q509" s="145">
        <f>Purchase[[#This Row],[Gross Amount]]-Purchase[[#This Row],[Disct Amnt]]+Purchase[[#This Row],[GST Amount]]</f>
        <v>8477.119999999999</v>
      </c>
      <c r="R509" s="138" t="s">
        <v>1019</v>
      </c>
      <c r="S509" s="41">
        <f>IF(Purchase[[#This Row],[Status]]="Cancelled",0,Purchase[[#This Row],[Qty]])</f>
        <v>4</v>
      </c>
      <c r="T509" s="146">
        <f>IF(Purchase[[#This Row],[Status]]="Cancelled",0,Purchase[[#This Row],[Total Amount]])</f>
        <v>8477.119999999999</v>
      </c>
      <c r="U509" s="146">
        <f>SUM(Purchase[Net Amount])</f>
        <v>814985438.68000126</v>
      </c>
    </row>
    <row r="510" spans="1:21" ht="19.5" thickBot="1" x14ac:dyDescent="0.3">
      <c r="A510" s="136" t="s">
        <v>1547</v>
      </c>
      <c r="B510" s="137">
        <v>45682</v>
      </c>
      <c r="C510" s="138" t="s">
        <v>565</v>
      </c>
      <c r="D510" s="138" t="str">
        <f>VLOOKUP(Purchase[[#This Row],[Supplier ID]],Supplier[#All],2,0)</f>
        <v>Global Suppliers</v>
      </c>
      <c r="E510" s="138">
        <f>VLOOKUP(Purchase[[#This Row],[Supplier ID]],Supplier[#All],3,0)</f>
        <v>9689542459</v>
      </c>
      <c r="F510" s="138" t="str">
        <f>VLOOKUP(Purchase[[#This Row],[Supplier ID]],Supplier[#All],4,0)</f>
        <v>Indore</v>
      </c>
      <c r="G510" s="138" t="str">
        <f>VLOOKUP(Purchase[[#This Row],[Supplier ID]],Supplier[#All],5,0)</f>
        <v>MP</v>
      </c>
      <c r="H510" s="138" t="str">
        <f>VLOOKUP(Purchase[[#This Row],[Supplier ID]],Supplier[#All],6,0)</f>
        <v>GST2154521T013</v>
      </c>
      <c r="I510" s="138" t="s">
        <v>36</v>
      </c>
      <c r="J510" s="139">
        <v>7</v>
      </c>
      <c r="K510" s="143">
        <f>VLOOKUP(Purchase[[#This Row],[Product ID]],Product[#All],6,0)</f>
        <v>2303</v>
      </c>
      <c r="L510" s="143">
        <f>Purchase[[#This Row],[Purchase Rate]]*Purchase[[#This Row],[Qty]]</f>
        <v>16121</v>
      </c>
      <c r="M510" s="140">
        <v>0</v>
      </c>
      <c r="N510" s="143">
        <v>0</v>
      </c>
      <c r="O510" s="140">
        <v>0.18</v>
      </c>
      <c r="P510" s="145">
        <f>(Purchase[[#This Row],[Gross Amount]]-Purchase[[#This Row],[Disct %]])*Purchase[[#This Row],[GST %]]</f>
        <v>2901.7799999999997</v>
      </c>
      <c r="Q510" s="145">
        <f>Purchase[[#This Row],[Gross Amount]]-Purchase[[#This Row],[Disct Amnt]]+Purchase[[#This Row],[GST Amount]]</f>
        <v>19022.78</v>
      </c>
      <c r="R510" s="138" t="s">
        <v>1019</v>
      </c>
      <c r="S510" s="41">
        <f>IF(Purchase[[#This Row],[Status]]="Cancelled",0,Purchase[[#This Row],[Qty]])</f>
        <v>7</v>
      </c>
      <c r="T510" s="146">
        <f>IF(Purchase[[#This Row],[Status]]="Cancelled",0,Purchase[[#This Row],[Total Amount]])</f>
        <v>19022.78</v>
      </c>
      <c r="U510" s="146">
        <f>SUM(Purchase[Net Amount])</f>
        <v>814985438.68000126</v>
      </c>
    </row>
    <row r="511" spans="1:21" ht="19.5" thickBot="1" x14ac:dyDescent="0.3">
      <c r="A511" s="136" t="s">
        <v>1548</v>
      </c>
      <c r="B511" s="137">
        <v>45682</v>
      </c>
      <c r="C511" s="138" t="s">
        <v>580</v>
      </c>
      <c r="D511" s="138" t="str">
        <f>VLOOKUP(Purchase[[#This Row],[Supplier ID]],Supplier[#All],2,0)</f>
        <v>Star Distributors</v>
      </c>
      <c r="E511" s="138">
        <f>VLOOKUP(Purchase[[#This Row],[Supplier ID]],Supplier[#All],3,0)</f>
        <v>9689542464</v>
      </c>
      <c r="F511" s="138" t="str">
        <f>VLOOKUP(Purchase[[#This Row],[Supplier ID]],Supplier[#All],4,0)</f>
        <v>Indore</v>
      </c>
      <c r="G511" s="138" t="str">
        <f>VLOOKUP(Purchase[[#This Row],[Supplier ID]],Supplier[#All],5,0)</f>
        <v>MP</v>
      </c>
      <c r="H511" s="138" t="str">
        <f>VLOOKUP(Purchase[[#This Row],[Supplier ID]],Supplier[#All],6,0)</f>
        <v>GST2154521T026</v>
      </c>
      <c r="I511" s="138" t="s">
        <v>469</v>
      </c>
      <c r="J511" s="139">
        <v>27</v>
      </c>
      <c r="K511" s="143">
        <f>VLOOKUP(Purchase[[#This Row],[Product ID]],Product[#All],6,0)</f>
        <v>5378</v>
      </c>
      <c r="L511" s="143">
        <f>Purchase[[#This Row],[Purchase Rate]]*Purchase[[#This Row],[Qty]]</f>
        <v>145206</v>
      </c>
      <c r="M511" s="140">
        <v>0</v>
      </c>
      <c r="N511" s="143">
        <v>0</v>
      </c>
      <c r="O511" s="140">
        <v>0.18</v>
      </c>
      <c r="P511" s="145">
        <f>(Purchase[[#This Row],[Gross Amount]]-Purchase[[#This Row],[Disct %]])*Purchase[[#This Row],[GST %]]</f>
        <v>26137.079999999998</v>
      </c>
      <c r="Q511" s="145">
        <f>Purchase[[#This Row],[Gross Amount]]-Purchase[[#This Row],[Disct Amnt]]+Purchase[[#This Row],[GST Amount]]</f>
        <v>171343.08</v>
      </c>
      <c r="R511" s="138" t="s">
        <v>1019</v>
      </c>
      <c r="S511" s="41">
        <f>IF(Purchase[[#This Row],[Status]]="Cancelled",0,Purchase[[#This Row],[Qty]])</f>
        <v>27</v>
      </c>
      <c r="T511" s="146">
        <f>IF(Purchase[[#This Row],[Status]]="Cancelled",0,Purchase[[#This Row],[Total Amount]])</f>
        <v>171343.08</v>
      </c>
      <c r="U511" s="146">
        <f>SUM(Purchase[Net Amount])</f>
        <v>814985438.68000126</v>
      </c>
    </row>
    <row r="512" spans="1:21" ht="19.5" thickBot="1" x14ac:dyDescent="0.3">
      <c r="A512" s="136" t="s">
        <v>1549</v>
      </c>
      <c r="B512" s="137">
        <v>45682</v>
      </c>
      <c r="C512" s="138" t="s">
        <v>564</v>
      </c>
      <c r="D512" s="138" t="str">
        <f>VLOOKUP(Purchase[[#This Row],[Supplier ID]],Supplier[#All],2,0)</f>
        <v xml:space="preserve">Star Electronics </v>
      </c>
      <c r="E512" s="138">
        <f>VLOOKUP(Purchase[[#This Row],[Supplier ID]],Supplier[#All],3,0)</f>
        <v>9689542450</v>
      </c>
      <c r="F512" s="138" t="str">
        <f>VLOOKUP(Purchase[[#This Row],[Supplier ID]],Supplier[#All],4,0)</f>
        <v>Korba</v>
      </c>
      <c r="G512" s="138" t="str">
        <f>VLOOKUP(Purchase[[#This Row],[Supplier ID]],Supplier[#All],5,0)</f>
        <v>CG</v>
      </c>
      <c r="H512" s="138" t="str">
        <f>VLOOKUP(Purchase[[#This Row],[Supplier ID]],Supplier[#All],6,0)</f>
        <v>GST2154521T012</v>
      </c>
      <c r="I512" s="138" t="s">
        <v>372</v>
      </c>
      <c r="J512" s="139">
        <v>20</v>
      </c>
      <c r="K512" s="143">
        <f>VLOOKUP(Purchase[[#This Row],[Product ID]],Product[#All],6,0)</f>
        <v>441</v>
      </c>
      <c r="L512" s="143">
        <f>Purchase[[#This Row],[Purchase Rate]]*Purchase[[#This Row],[Qty]]</f>
        <v>8820</v>
      </c>
      <c r="M512" s="140">
        <v>0</v>
      </c>
      <c r="N512" s="143">
        <v>0</v>
      </c>
      <c r="O512" s="140">
        <v>0.18</v>
      </c>
      <c r="P512" s="145">
        <f>(Purchase[[#This Row],[Gross Amount]]-Purchase[[#This Row],[Disct %]])*Purchase[[#This Row],[GST %]]</f>
        <v>1587.6</v>
      </c>
      <c r="Q512" s="145">
        <f>Purchase[[#This Row],[Gross Amount]]-Purchase[[#This Row],[Disct Amnt]]+Purchase[[#This Row],[GST Amount]]</f>
        <v>10407.6</v>
      </c>
      <c r="R512" s="138" t="s">
        <v>1019</v>
      </c>
      <c r="S512" s="41">
        <f>IF(Purchase[[#This Row],[Status]]="Cancelled",0,Purchase[[#This Row],[Qty]])</f>
        <v>20</v>
      </c>
      <c r="T512" s="146">
        <f>IF(Purchase[[#This Row],[Status]]="Cancelled",0,Purchase[[#This Row],[Total Amount]])</f>
        <v>10407.6</v>
      </c>
      <c r="U512" s="146">
        <f>SUM(Purchase[Net Amount])</f>
        <v>814985438.68000126</v>
      </c>
    </row>
    <row r="513" spans="1:21" ht="19.5" thickBot="1" x14ac:dyDescent="0.3">
      <c r="A513" s="136" t="s">
        <v>1550</v>
      </c>
      <c r="B513" s="137">
        <v>45682</v>
      </c>
      <c r="C513" s="138" t="s">
        <v>616</v>
      </c>
      <c r="D513" s="138" t="str">
        <f>VLOOKUP(Purchase[[#This Row],[Supplier ID]],Supplier[#All],2,0)</f>
        <v>Global Suppliers</v>
      </c>
      <c r="E513" s="138">
        <f>VLOOKUP(Purchase[[#This Row],[Supplier ID]],Supplier[#All],3,0)</f>
        <v>9689542499</v>
      </c>
      <c r="F513" s="138" t="str">
        <f>VLOOKUP(Purchase[[#This Row],[Supplier ID]],Supplier[#All],4,0)</f>
        <v>Kanpur</v>
      </c>
      <c r="G513" s="138" t="str">
        <f>VLOOKUP(Purchase[[#This Row],[Supplier ID]],Supplier[#All],5,0)</f>
        <v>UP</v>
      </c>
      <c r="H513" s="138" t="str">
        <f>VLOOKUP(Purchase[[#This Row],[Supplier ID]],Supplier[#All],6,0)</f>
        <v>GST2154521T061</v>
      </c>
      <c r="I513" s="138" t="s">
        <v>470</v>
      </c>
      <c r="J513" s="139">
        <v>28</v>
      </c>
      <c r="K513" s="143">
        <f>VLOOKUP(Purchase[[#This Row],[Product ID]],Product[#All],6,0)</f>
        <v>30694</v>
      </c>
      <c r="L513" s="143">
        <f>Purchase[[#This Row],[Purchase Rate]]*Purchase[[#This Row],[Qty]]</f>
        <v>859432</v>
      </c>
      <c r="M513" s="140">
        <v>0</v>
      </c>
      <c r="N513" s="143">
        <v>0</v>
      </c>
      <c r="O513" s="140">
        <v>0.18</v>
      </c>
      <c r="P513" s="145">
        <f>(Purchase[[#This Row],[Gross Amount]]-Purchase[[#This Row],[Disct %]])*Purchase[[#This Row],[GST %]]</f>
        <v>154697.75999999998</v>
      </c>
      <c r="Q513" s="145">
        <f>Purchase[[#This Row],[Gross Amount]]-Purchase[[#This Row],[Disct Amnt]]+Purchase[[#This Row],[GST Amount]]</f>
        <v>1014129.76</v>
      </c>
      <c r="R513" s="138" t="s">
        <v>1019</v>
      </c>
      <c r="S513" s="41">
        <f>IF(Purchase[[#This Row],[Status]]="Cancelled",0,Purchase[[#This Row],[Qty]])</f>
        <v>28</v>
      </c>
      <c r="T513" s="146">
        <f>IF(Purchase[[#This Row],[Status]]="Cancelled",0,Purchase[[#This Row],[Total Amount]])</f>
        <v>1014129.76</v>
      </c>
      <c r="U513" s="146">
        <f>SUM(Purchase[Net Amount])</f>
        <v>814985438.68000126</v>
      </c>
    </row>
    <row r="514" spans="1:21" ht="19.5" thickBot="1" x14ac:dyDescent="0.3">
      <c r="A514" s="136" t="s">
        <v>1551</v>
      </c>
      <c r="B514" s="137">
        <v>45682</v>
      </c>
      <c r="C514" s="138" t="s">
        <v>605</v>
      </c>
      <c r="D514" s="138" t="str">
        <f>VLOOKUP(Purchase[[#This Row],[Supplier ID]],Supplier[#All],2,0)</f>
        <v>Star Traders</v>
      </c>
      <c r="E514" s="138">
        <f>VLOOKUP(Purchase[[#This Row],[Supplier ID]],Supplier[#All],3,0)</f>
        <v>9689542488</v>
      </c>
      <c r="F514" s="138" t="str">
        <f>VLOOKUP(Purchase[[#This Row],[Supplier ID]],Supplier[#All],4,0)</f>
        <v>Indore</v>
      </c>
      <c r="G514" s="138" t="str">
        <f>VLOOKUP(Purchase[[#This Row],[Supplier ID]],Supplier[#All],5,0)</f>
        <v>MP</v>
      </c>
      <c r="H514" s="138" t="str">
        <f>VLOOKUP(Purchase[[#This Row],[Supplier ID]],Supplier[#All],6,0)</f>
        <v>GST2154521T050</v>
      </c>
      <c r="I514" s="138" t="s">
        <v>211</v>
      </c>
      <c r="J514" s="139">
        <v>17</v>
      </c>
      <c r="K514" s="143">
        <f>VLOOKUP(Purchase[[#This Row],[Product ID]],Product[#All],6,0)</f>
        <v>13782</v>
      </c>
      <c r="L514" s="143">
        <f>Purchase[[#This Row],[Purchase Rate]]*Purchase[[#This Row],[Qty]]</f>
        <v>234294</v>
      </c>
      <c r="M514" s="140">
        <v>0</v>
      </c>
      <c r="N514" s="143">
        <v>0</v>
      </c>
      <c r="O514" s="140">
        <v>0.18</v>
      </c>
      <c r="P514" s="145">
        <f>(Purchase[[#This Row],[Gross Amount]]-Purchase[[#This Row],[Disct %]])*Purchase[[#This Row],[GST %]]</f>
        <v>42172.92</v>
      </c>
      <c r="Q514" s="145">
        <f>Purchase[[#This Row],[Gross Amount]]-Purchase[[#This Row],[Disct Amnt]]+Purchase[[#This Row],[GST Amount]]</f>
        <v>276466.92</v>
      </c>
      <c r="R514" s="138" t="s">
        <v>1019</v>
      </c>
      <c r="S514" s="41">
        <f>IF(Purchase[[#This Row],[Status]]="Cancelled",0,Purchase[[#This Row],[Qty]])</f>
        <v>17</v>
      </c>
      <c r="T514" s="146">
        <f>IF(Purchase[[#This Row],[Status]]="Cancelled",0,Purchase[[#This Row],[Total Amount]])</f>
        <v>276466.92</v>
      </c>
      <c r="U514" s="146">
        <f>SUM(Purchase[Net Amount])</f>
        <v>814985438.68000126</v>
      </c>
    </row>
    <row r="515" spans="1:21" ht="19.5" thickBot="1" x14ac:dyDescent="0.3">
      <c r="A515" s="136" t="s">
        <v>1552</v>
      </c>
      <c r="B515" s="137">
        <v>45682</v>
      </c>
      <c r="C515" s="138" t="s">
        <v>1369</v>
      </c>
      <c r="D515" s="138" t="str">
        <f>VLOOKUP(Purchase[[#This Row],[Supplier ID]],Supplier[#All],2,0)</f>
        <v xml:space="preserve">Star Electronics </v>
      </c>
      <c r="E515" s="138">
        <f>VLOOKUP(Purchase[[#This Row],[Supplier ID]],Supplier[#All],3,0)</f>
        <v>9689542450</v>
      </c>
      <c r="F515" s="138" t="str">
        <f>VLOOKUP(Purchase[[#This Row],[Supplier ID]],Supplier[#All],4,0)</f>
        <v>Korba</v>
      </c>
      <c r="G515" s="138" t="str">
        <f>VLOOKUP(Purchase[[#This Row],[Supplier ID]],Supplier[#All],5,0)</f>
        <v>CG</v>
      </c>
      <c r="H515" s="138" t="str">
        <f>VLOOKUP(Purchase[[#This Row],[Supplier ID]],Supplier[#All],6,0)</f>
        <v>GST2154521T012</v>
      </c>
      <c r="I515" s="138" t="s">
        <v>360</v>
      </c>
      <c r="J515" s="139">
        <v>25</v>
      </c>
      <c r="K515" s="143">
        <f>VLOOKUP(Purchase[[#This Row],[Product ID]],Product[#All],6,0)</f>
        <v>23122</v>
      </c>
      <c r="L515" s="143">
        <f>Purchase[[#This Row],[Purchase Rate]]*Purchase[[#This Row],[Qty]]</f>
        <v>578050</v>
      </c>
      <c r="M515" s="140">
        <v>0</v>
      </c>
      <c r="N515" s="143">
        <v>0</v>
      </c>
      <c r="O515" s="140">
        <v>0.18</v>
      </c>
      <c r="P515" s="145">
        <f>(Purchase[[#This Row],[Gross Amount]]-Purchase[[#This Row],[Disct %]])*Purchase[[#This Row],[GST %]]</f>
        <v>104049</v>
      </c>
      <c r="Q515" s="145">
        <f>Purchase[[#This Row],[Gross Amount]]-Purchase[[#This Row],[Disct Amnt]]+Purchase[[#This Row],[GST Amount]]</f>
        <v>682099</v>
      </c>
      <c r="R515" s="138" t="s">
        <v>1019</v>
      </c>
      <c r="S515" s="41">
        <f>IF(Purchase[[#This Row],[Status]]="Cancelled",0,Purchase[[#This Row],[Qty]])</f>
        <v>25</v>
      </c>
      <c r="T515" s="146">
        <f>IF(Purchase[[#This Row],[Status]]="Cancelled",0,Purchase[[#This Row],[Total Amount]])</f>
        <v>682099</v>
      </c>
      <c r="U515" s="146">
        <f>SUM(Purchase[Net Amount])</f>
        <v>814985438.68000126</v>
      </c>
    </row>
    <row r="516" spans="1:21" ht="19.5" thickBot="1" x14ac:dyDescent="0.3">
      <c r="A516" s="136" t="s">
        <v>1553</v>
      </c>
      <c r="B516" s="137">
        <v>45682</v>
      </c>
      <c r="C516" s="138" t="s">
        <v>611</v>
      </c>
      <c r="D516" s="138" t="str">
        <f>VLOOKUP(Purchase[[#This Row],[Supplier ID]],Supplier[#All],2,0)</f>
        <v>National Distributors</v>
      </c>
      <c r="E516" s="138">
        <f>VLOOKUP(Purchase[[#This Row],[Supplier ID]],Supplier[#All],3,0)</f>
        <v>9689542494</v>
      </c>
      <c r="F516" s="138" t="str">
        <f>VLOOKUP(Purchase[[#This Row],[Supplier ID]],Supplier[#All],4,0)</f>
        <v>Korba</v>
      </c>
      <c r="G516" s="138" t="str">
        <f>VLOOKUP(Purchase[[#This Row],[Supplier ID]],Supplier[#All],5,0)</f>
        <v>CG</v>
      </c>
      <c r="H516" s="138" t="str">
        <f>VLOOKUP(Purchase[[#This Row],[Supplier ID]],Supplier[#All],6,0)</f>
        <v>GST2154521T056</v>
      </c>
      <c r="I516" s="138" t="s">
        <v>542</v>
      </c>
      <c r="J516" s="139">
        <v>38</v>
      </c>
      <c r="K516" s="143">
        <f>VLOOKUP(Purchase[[#This Row],[Product ID]],Product[#All],6,0)</f>
        <v>3740</v>
      </c>
      <c r="L516" s="143">
        <f>Purchase[[#This Row],[Purchase Rate]]*Purchase[[#This Row],[Qty]]</f>
        <v>142120</v>
      </c>
      <c r="M516" s="140">
        <v>0</v>
      </c>
      <c r="N516" s="143">
        <v>0</v>
      </c>
      <c r="O516" s="140">
        <v>0.18</v>
      </c>
      <c r="P516" s="145">
        <f>(Purchase[[#This Row],[Gross Amount]]-Purchase[[#This Row],[Disct %]])*Purchase[[#This Row],[GST %]]</f>
        <v>25581.599999999999</v>
      </c>
      <c r="Q516" s="145">
        <f>Purchase[[#This Row],[Gross Amount]]-Purchase[[#This Row],[Disct Amnt]]+Purchase[[#This Row],[GST Amount]]</f>
        <v>167701.6</v>
      </c>
      <c r="R516" s="138" t="s">
        <v>1019</v>
      </c>
      <c r="S516" s="41">
        <f>IF(Purchase[[#This Row],[Status]]="Cancelled",0,Purchase[[#This Row],[Qty]])</f>
        <v>38</v>
      </c>
      <c r="T516" s="146">
        <f>IF(Purchase[[#This Row],[Status]]="Cancelled",0,Purchase[[#This Row],[Total Amount]])</f>
        <v>167701.6</v>
      </c>
      <c r="U516" s="146">
        <f>SUM(Purchase[Net Amount])</f>
        <v>814985438.68000126</v>
      </c>
    </row>
    <row r="517" spans="1:21" ht="19.5" thickBot="1" x14ac:dyDescent="0.3">
      <c r="A517" s="136" t="s">
        <v>1554</v>
      </c>
      <c r="B517" s="137">
        <v>45682</v>
      </c>
      <c r="C517" s="138" t="s">
        <v>611</v>
      </c>
      <c r="D517" s="138" t="str">
        <f>VLOOKUP(Purchase[[#This Row],[Supplier ID]],Supplier[#All],2,0)</f>
        <v>National Distributors</v>
      </c>
      <c r="E517" s="138">
        <f>VLOOKUP(Purchase[[#This Row],[Supplier ID]],Supplier[#All],3,0)</f>
        <v>9689542494</v>
      </c>
      <c r="F517" s="138" t="str">
        <f>VLOOKUP(Purchase[[#This Row],[Supplier ID]],Supplier[#All],4,0)</f>
        <v>Korba</v>
      </c>
      <c r="G517" s="138" t="str">
        <f>VLOOKUP(Purchase[[#This Row],[Supplier ID]],Supplier[#All],5,0)</f>
        <v>CG</v>
      </c>
      <c r="H517" s="138" t="str">
        <f>VLOOKUP(Purchase[[#This Row],[Supplier ID]],Supplier[#All],6,0)</f>
        <v>GST2154521T056</v>
      </c>
      <c r="I517" s="138" t="s">
        <v>31</v>
      </c>
      <c r="J517" s="139">
        <v>11</v>
      </c>
      <c r="K517" s="143">
        <f>VLOOKUP(Purchase[[#This Row],[Product ID]],Product[#All],6,0)</f>
        <v>2320</v>
      </c>
      <c r="L517" s="143">
        <f>Purchase[[#This Row],[Purchase Rate]]*Purchase[[#This Row],[Qty]]</f>
        <v>25520</v>
      </c>
      <c r="M517" s="140">
        <v>0</v>
      </c>
      <c r="N517" s="143">
        <v>0</v>
      </c>
      <c r="O517" s="140">
        <v>0.18</v>
      </c>
      <c r="P517" s="145">
        <f>(Purchase[[#This Row],[Gross Amount]]-Purchase[[#This Row],[Disct %]])*Purchase[[#This Row],[GST %]]</f>
        <v>4593.5999999999995</v>
      </c>
      <c r="Q517" s="145">
        <f>Purchase[[#This Row],[Gross Amount]]-Purchase[[#This Row],[Disct Amnt]]+Purchase[[#This Row],[GST Amount]]</f>
        <v>30113.599999999999</v>
      </c>
      <c r="R517" s="138" t="s">
        <v>1019</v>
      </c>
      <c r="S517" s="41">
        <f>IF(Purchase[[#This Row],[Status]]="Cancelled",0,Purchase[[#This Row],[Qty]])</f>
        <v>11</v>
      </c>
      <c r="T517" s="146">
        <f>IF(Purchase[[#This Row],[Status]]="Cancelled",0,Purchase[[#This Row],[Total Amount]])</f>
        <v>30113.599999999999</v>
      </c>
      <c r="U517" s="146">
        <f>SUM(Purchase[Net Amount])</f>
        <v>814985438.68000126</v>
      </c>
    </row>
    <row r="518" spans="1:21" ht="19.5" thickBot="1" x14ac:dyDescent="0.3">
      <c r="A518" s="136" t="s">
        <v>1555</v>
      </c>
      <c r="B518" s="137">
        <v>45682</v>
      </c>
      <c r="C518" s="138" t="s">
        <v>590</v>
      </c>
      <c r="D518" s="138" t="str">
        <f>VLOOKUP(Purchase[[#This Row],[Supplier ID]],Supplier[#All],2,0)</f>
        <v>Star Distributors</v>
      </c>
      <c r="E518" s="138">
        <f>VLOOKUP(Purchase[[#This Row],[Supplier ID]],Supplier[#All],3,0)</f>
        <v>9689542474</v>
      </c>
      <c r="F518" s="138" t="str">
        <f>VLOOKUP(Purchase[[#This Row],[Supplier ID]],Supplier[#All],4,0)</f>
        <v>Kanpur</v>
      </c>
      <c r="G518" s="138" t="str">
        <f>VLOOKUP(Purchase[[#This Row],[Supplier ID]],Supplier[#All],5,0)</f>
        <v>UP</v>
      </c>
      <c r="H518" s="138" t="str">
        <f>VLOOKUP(Purchase[[#This Row],[Supplier ID]],Supplier[#All],6,0)</f>
        <v>GST2154521T036</v>
      </c>
      <c r="I518" s="138" t="s">
        <v>148</v>
      </c>
      <c r="J518" s="139">
        <v>5</v>
      </c>
      <c r="K518" s="143">
        <f>VLOOKUP(Purchase[[#This Row],[Product ID]],Product[#All],6,0)</f>
        <v>17657</v>
      </c>
      <c r="L518" s="143">
        <f>Purchase[[#This Row],[Purchase Rate]]*Purchase[[#This Row],[Qty]]</f>
        <v>88285</v>
      </c>
      <c r="M518" s="140">
        <v>0</v>
      </c>
      <c r="N518" s="143">
        <v>0</v>
      </c>
      <c r="O518" s="140">
        <v>0.18</v>
      </c>
      <c r="P518" s="145">
        <f>(Purchase[[#This Row],[Gross Amount]]-Purchase[[#This Row],[Disct %]])*Purchase[[#This Row],[GST %]]</f>
        <v>15891.3</v>
      </c>
      <c r="Q518" s="145">
        <f>Purchase[[#This Row],[Gross Amount]]-Purchase[[#This Row],[Disct Amnt]]+Purchase[[#This Row],[GST Amount]]</f>
        <v>104176.3</v>
      </c>
      <c r="R518" s="138" t="s">
        <v>1019</v>
      </c>
      <c r="S518" s="41">
        <f>IF(Purchase[[#This Row],[Status]]="Cancelled",0,Purchase[[#This Row],[Qty]])</f>
        <v>5</v>
      </c>
      <c r="T518" s="146">
        <f>IF(Purchase[[#This Row],[Status]]="Cancelled",0,Purchase[[#This Row],[Total Amount]])</f>
        <v>104176.3</v>
      </c>
      <c r="U518" s="146">
        <f>SUM(Purchase[Net Amount])</f>
        <v>814985438.68000126</v>
      </c>
    </row>
    <row r="519" spans="1:21" ht="19.5" thickBot="1" x14ac:dyDescent="0.3">
      <c r="A519" s="136" t="s">
        <v>1556</v>
      </c>
      <c r="B519" s="137">
        <v>45682</v>
      </c>
      <c r="C519" s="138" t="s">
        <v>596</v>
      </c>
      <c r="D519" s="138" t="str">
        <f>VLOOKUP(Purchase[[#This Row],[Supplier ID]],Supplier[#All],2,0)</f>
        <v>star traders</v>
      </c>
      <c r="E519" s="138">
        <f>VLOOKUP(Purchase[[#This Row],[Supplier ID]],Supplier[#All],3,0)</f>
        <v>9689542479</v>
      </c>
      <c r="F519" s="138" t="str">
        <f>VLOOKUP(Purchase[[#This Row],[Supplier ID]],Supplier[#All],4,0)</f>
        <v>Korba</v>
      </c>
      <c r="G519" s="138" t="str">
        <f>VLOOKUP(Purchase[[#This Row],[Supplier ID]],Supplier[#All],5,0)</f>
        <v>CG</v>
      </c>
      <c r="H519" s="138" t="str">
        <f>VLOOKUP(Purchase[[#This Row],[Supplier ID]],Supplier[#All],6,0)</f>
        <v>GST2154521T041</v>
      </c>
      <c r="I519" s="138" t="s">
        <v>344</v>
      </c>
      <c r="J519" s="139">
        <v>5</v>
      </c>
      <c r="K519" s="143">
        <f>VLOOKUP(Purchase[[#This Row],[Product ID]],Product[#All],6,0)</f>
        <v>8630</v>
      </c>
      <c r="L519" s="143">
        <f>Purchase[[#This Row],[Purchase Rate]]*Purchase[[#This Row],[Qty]]</f>
        <v>43150</v>
      </c>
      <c r="M519" s="140">
        <v>0</v>
      </c>
      <c r="N519" s="143">
        <v>0</v>
      </c>
      <c r="O519" s="140">
        <v>0.18</v>
      </c>
      <c r="P519" s="145">
        <f>(Purchase[[#This Row],[Gross Amount]]-Purchase[[#This Row],[Disct %]])*Purchase[[#This Row],[GST %]]</f>
        <v>7767</v>
      </c>
      <c r="Q519" s="145">
        <f>Purchase[[#This Row],[Gross Amount]]-Purchase[[#This Row],[Disct Amnt]]+Purchase[[#This Row],[GST Amount]]</f>
        <v>50917</v>
      </c>
      <c r="R519" s="138" t="s">
        <v>1019</v>
      </c>
      <c r="S519" s="41">
        <f>IF(Purchase[[#This Row],[Status]]="Cancelled",0,Purchase[[#This Row],[Qty]])</f>
        <v>5</v>
      </c>
      <c r="T519" s="146">
        <f>IF(Purchase[[#This Row],[Status]]="Cancelled",0,Purchase[[#This Row],[Total Amount]])</f>
        <v>50917</v>
      </c>
      <c r="U519" s="146">
        <f>SUM(Purchase[Net Amount])</f>
        <v>814985438.68000126</v>
      </c>
    </row>
    <row r="520" spans="1:21" ht="19.5" thickBot="1" x14ac:dyDescent="0.3">
      <c r="A520" s="136" t="s">
        <v>1557</v>
      </c>
      <c r="B520" s="137">
        <v>45683</v>
      </c>
      <c r="C520" s="138" t="s">
        <v>613</v>
      </c>
      <c r="D520" s="138" t="str">
        <f>VLOOKUP(Purchase[[#This Row],[Supplier ID]],Supplier[#All],2,0)</f>
        <v>National Traders</v>
      </c>
      <c r="E520" s="138">
        <f>VLOOKUP(Purchase[[#This Row],[Supplier ID]],Supplier[#All],3,0)</f>
        <v>9689542496</v>
      </c>
      <c r="F520" s="138" t="str">
        <f>VLOOKUP(Purchase[[#This Row],[Supplier ID]],Supplier[#All],4,0)</f>
        <v>Indore</v>
      </c>
      <c r="G520" s="138" t="str">
        <f>VLOOKUP(Purchase[[#This Row],[Supplier ID]],Supplier[#All],5,0)</f>
        <v>MP</v>
      </c>
      <c r="H520" s="138" t="str">
        <f>VLOOKUP(Purchase[[#This Row],[Supplier ID]],Supplier[#All],6,0)</f>
        <v>GST2154521T058</v>
      </c>
      <c r="I520" s="138" t="s">
        <v>56</v>
      </c>
      <c r="J520" s="139">
        <v>4</v>
      </c>
      <c r="K520" s="143">
        <f>VLOOKUP(Purchase[[#This Row],[Product ID]],Product[#All],6,0)</f>
        <v>3467</v>
      </c>
      <c r="L520" s="143">
        <f>Purchase[[#This Row],[Purchase Rate]]*Purchase[[#This Row],[Qty]]</f>
        <v>13868</v>
      </c>
      <c r="M520" s="140">
        <v>0</v>
      </c>
      <c r="N520" s="143">
        <v>0</v>
      </c>
      <c r="O520" s="140">
        <v>0.18</v>
      </c>
      <c r="P520" s="145">
        <f>(Purchase[[#This Row],[Gross Amount]]-Purchase[[#This Row],[Disct %]])*Purchase[[#This Row],[GST %]]</f>
        <v>2496.2399999999998</v>
      </c>
      <c r="Q520" s="145">
        <f>Purchase[[#This Row],[Gross Amount]]-Purchase[[#This Row],[Disct Amnt]]+Purchase[[#This Row],[GST Amount]]</f>
        <v>16364.24</v>
      </c>
      <c r="R520" s="138" t="s">
        <v>1019</v>
      </c>
      <c r="S520" s="41">
        <f>IF(Purchase[[#This Row],[Status]]="Cancelled",0,Purchase[[#This Row],[Qty]])</f>
        <v>4</v>
      </c>
      <c r="T520" s="146">
        <f>IF(Purchase[[#This Row],[Status]]="Cancelled",0,Purchase[[#This Row],[Total Amount]])</f>
        <v>16364.24</v>
      </c>
      <c r="U520" s="146">
        <f>SUM(Purchase[Net Amount])</f>
        <v>814985438.68000126</v>
      </c>
    </row>
    <row r="521" spans="1:21" ht="19.5" thickBot="1" x14ac:dyDescent="0.3">
      <c r="A521" s="136" t="s">
        <v>1558</v>
      </c>
      <c r="B521" s="137">
        <v>45683</v>
      </c>
      <c r="C521" s="138" t="s">
        <v>591</v>
      </c>
      <c r="D521" s="138" t="str">
        <f>VLOOKUP(Purchase[[#This Row],[Supplier ID]],Supplier[#All],2,0)</f>
        <v>Shree Computers</v>
      </c>
      <c r="E521" s="138">
        <f>VLOOKUP(Purchase[[#This Row],[Supplier ID]],Supplier[#All],3,0)</f>
        <v>9689542475</v>
      </c>
      <c r="F521" s="138" t="str">
        <f>VLOOKUP(Purchase[[#This Row],[Supplier ID]],Supplier[#All],4,0)</f>
        <v>Indore</v>
      </c>
      <c r="G521" s="138" t="str">
        <f>VLOOKUP(Purchase[[#This Row],[Supplier ID]],Supplier[#All],5,0)</f>
        <v>MP</v>
      </c>
      <c r="H521" s="138" t="str">
        <f>VLOOKUP(Purchase[[#This Row],[Supplier ID]],Supplier[#All],6,0)</f>
        <v>GST2154521T037</v>
      </c>
      <c r="I521" s="138" t="s">
        <v>280</v>
      </c>
      <c r="J521" s="139">
        <v>30</v>
      </c>
      <c r="K521" s="143">
        <f>VLOOKUP(Purchase[[#This Row],[Product ID]],Product[#All],6,0)</f>
        <v>28461</v>
      </c>
      <c r="L521" s="143">
        <f>Purchase[[#This Row],[Purchase Rate]]*Purchase[[#This Row],[Qty]]</f>
        <v>853830</v>
      </c>
      <c r="M521" s="140">
        <v>0</v>
      </c>
      <c r="N521" s="143">
        <v>0</v>
      </c>
      <c r="O521" s="140">
        <v>0.18</v>
      </c>
      <c r="P521" s="145">
        <f>(Purchase[[#This Row],[Gross Amount]]-Purchase[[#This Row],[Disct %]])*Purchase[[#This Row],[GST %]]</f>
        <v>153689.4</v>
      </c>
      <c r="Q521" s="145">
        <f>Purchase[[#This Row],[Gross Amount]]-Purchase[[#This Row],[Disct Amnt]]+Purchase[[#This Row],[GST Amount]]</f>
        <v>1007519.4</v>
      </c>
      <c r="R521" s="138" t="s">
        <v>1040</v>
      </c>
      <c r="S521" s="41">
        <f>IF(Purchase[[#This Row],[Status]]="Cancelled",0,Purchase[[#This Row],[Qty]])</f>
        <v>0</v>
      </c>
      <c r="T521" s="146">
        <f>IF(Purchase[[#This Row],[Status]]="Cancelled",0,Purchase[[#This Row],[Total Amount]])</f>
        <v>0</v>
      </c>
      <c r="U521" s="146">
        <f>SUM(Purchase[Net Amount])</f>
        <v>814985438.68000126</v>
      </c>
    </row>
    <row r="522" spans="1:21" ht="19.5" thickBot="1" x14ac:dyDescent="0.3">
      <c r="A522" s="136" t="s">
        <v>1559</v>
      </c>
      <c r="B522" s="137">
        <v>45683</v>
      </c>
      <c r="C522" s="138" t="s">
        <v>571</v>
      </c>
      <c r="D522" s="138" t="str">
        <f>VLOOKUP(Purchase[[#This Row],[Supplier ID]],Supplier[#All],2,0)</f>
        <v>Tech Suppliers</v>
      </c>
      <c r="E522" s="138">
        <f>VLOOKUP(Purchase[[#This Row],[Supplier ID]],Supplier[#All],3,0)</f>
        <v>9689542457</v>
      </c>
      <c r="F522" s="138" t="str">
        <f>VLOOKUP(Purchase[[#This Row],[Supplier ID]],Supplier[#All],4,0)</f>
        <v>Korba</v>
      </c>
      <c r="G522" s="138" t="str">
        <f>VLOOKUP(Purchase[[#This Row],[Supplier ID]],Supplier[#All],5,0)</f>
        <v>CG</v>
      </c>
      <c r="H522" s="138" t="str">
        <f>VLOOKUP(Purchase[[#This Row],[Supplier ID]],Supplier[#All],6,0)</f>
        <v>GST2154521T019</v>
      </c>
      <c r="I522" s="138" t="s">
        <v>450</v>
      </c>
      <c r="J522" s="139">
        <v>23</v>
      </c>
      <c r="K522" s="143">
        <f>VLOOKUP(Purchase[[#This Row],[Product ID]],Product[#All],6,0)</f>
        <v>1034</v>
      </c>
      <c r="L522" s="143">
        <f>Purchase[[#This Row],[Purchase Rate]]*Purchase[[#This Row],[Qty]]</f>
        <v>23782</v>
      </c>
      <c r="M522" s="140">
        <v>0</v>
      </c>
      <c r="N522" s="143">
        <v>0</v>
      </c>
      <c r="O522" s="140">
        <v>0.18</v>
      </c>
      <c r="P522" s="145">
        <f>(Purchase[[#This Row],[Gross Amount]]-Purchase[[#This Row],[Disct %]])*Purchase[[#This Row],[GST %]]</f>
        <v>4280.76</v>
      </c>
      <c r="Q522" s="145">
        <f>Purchase[[#This Row],[Gross Amount]]-Purchase[[#This Row],[Disct Amnt]]+Purchase[[#This Row],[GST Amount]]</f>
        <v>28062.760000000002</v>
      </c>
      <c r="R522" s="138" t="s">
        <v>1019</v>
      </c>
      <c r="S522" s="41">
        <f>IF(Purchase[[#This Row],[Status]]="Cancelled",0,Purchase[[#This Row],[Qty]])</f>
        <v>23</v>
      </c>
      <c r="T522" s="146">
        <f>IF(Purchase[[#This Row],[Status]]="Cancelled",0,Purchase[[#This Row],[Total Amount]])</f>
        <v>28062.760000000002</v>
      </c>
      <c r="U522" s="146">
        <f>SUM(Purchase[Net Amount])</f>
        <v>814985438.68000126</v>
      </c>
    </row>
    <row r="523" spans="1:21" ht="19.5" thickBot="1" x14ac:dyDescent="0.3">
      <c r="A523" s="136" t="s">
        <v>1560</v>
      </c>
      <c r="B523" s="137">
        <v>45683</v>
      </c>
      <c r="C523" s="138" t="s">
        <v>597</v>
      </c>
      <c r="D523" s="138" t="str">
        <f>VLOOKUP(Purchase[[#This Row],[Supplier ID]],Supplier[#All],2,0)</f>
        <v>Tech Traders</v>
      </c>
      <c r="E523" s="138">
        <f>VLOOKUP(Purchase[[#This Row],[Supplier ID]],Supplier[#All],3,0)</f>
        <v>9689542480</v>
      </c>
      <c r="F523" s="138" t="str">
        <f>VLOOKUP(Purchase[[#This Row],[Supplier ID]],Supplier[#All],4,0)</f>
        <v>Kanpur</v>
      </c>
      <c r="G523" s="138" t="str">
        <f>VLOOKUP(Purchase[[#This Row],[Supplier ID]],Supplier[#All],5,0)</f>
        <v>UP</v>
      </c>
      <c r="H523" s="138" t="str">
        <f>VLOOKUP(Purchase[[#This Row],[Supplier ID]],Supplier[#All],6,0)</f>
        <v>GST2154521T042</v>
      </c>
      <c r="I523" s="138" t="s">
        <v>78</v>
      </c>
      <c r="J523" s="139">
        <v>30</v>
      </c>
      <c r="K523" s="143">
        <f>VLOOKUP(Purchase[[#This Row],[Product ID]],Product[#All],6,0)</f>
        <v>13714</v>
      </c>
      <c r="L523" s="143">
        <f>Purchase[[#This Row],[Purchase Rate]]*Purchase[[#This Row],[Qty]]</f>
        <v>411420</v>
      </c>
      <c r="M523" s="140">
        <v>0</v>
      </c>
      <c r="N523" s="143">
        <v>0</v>
      </c>
      <c r="O523" s="140">
        <v>0.18</v>
      </c>
      <c r="P523" s="145">
        <f>(Purchase[[#This Row],[Gross Amount]]-Purchase[[#This Row],[Disct %]])*Purchase[[#This Row],[GST %]]</f>
        <v>74055.599999999991</v>
      </c>
      <c r="Q523" s="145">
        <f>Purchase[[#This Row],[Gross Amount]]-Purchase[[#This Row],[Disct Amnt]]+Purchase[[#This Row],[GST Amount]]</f>
        <v>485475.6</v>
      </c>
      <c r="R523" s="138" t="s">
        <v>1019</v>
      </c>
      <c r="S523" s="41">
        <f>IF(Purchase[[#This Row],[Status]]="Cancelled",0,Purchase[[#This Row],[Qty]])</f>
        <v>30</v>
      </c>
      <c r="T523" s="146">
        <f>IF(Purchase[[#This Row],[Status]]="Cancelled",0,Purchase[[#This Row],[Total Amount]])</f>
        <v>485475.6</v>
      </c>
      <c r="U523" s="146">
        <f>SUM(Purchase[Net Amount])</f>
        <v>814985438.68000126</v>
      </c>
    </row>
    <row r="524" spans="1:21" ht="19.5" thickBot="1" x14ac:dyDescent="0.3">
      <c r="A524" s="136" t="s">
        <v>1561</v>
      </c>
      <c r="B524" s="137">
        <v>45683</v>
      </c>
      <c r="C524" s="138" t="s">
        <v>589</v>
      </c>
      <c r="D524" s="138" t="str">
        <f>VLOOKUP(Purchase[[#This Row],[Supplier ID]],Supplier[#All],2,0)</f>
        <v>Maa Computers</v>
      </c>
      <c r="E524" s="138">
        <f>VLOOKUP(Purchase[[#This Row],[Supplier ID]],Supplier[#All],3,0)</f>
        <v>9689542473</v>
      </c>
      <c r="F524" s="138" t="str">
        <f>VLOOKUP(Purchase[[#This Row],[Supplier ID]],Supplier[#All],4,0)</f>
        <v>Kanpur</v>
      </c>
      <c r="G524" s="138" t="str">
        <f>VLOOKUP(Purchase[[#This Row],[Supplier ID]],Supplier[#All],5,0)</f>
        <v>UP</v>
      </c>
      <c r="H524" s="138" t="str">
        <f>VLOOKUP(Purchase[[#This Row],[Supplier ID]],Supplier[#All],6,0)</f>
        <v>GST2154521T035</v>
      </c>
      <c r="I524" s="138" t="s">
        <v>287</v>
      </c>
      <c r="J524" s="139">
        <v>16</v>
      </c>
      <c r="K524" s="143">
        <f>VLOOKUP(Purchase[[#This Row],[Product ID]],Product[#All],6,0)</f>
        <v>1803</v>
      </c>
      <c r="L524" s="143">
        <f>Purchase[[#This Row],[Purchase Rate]]*Purchase[[#This Row],[Qty]]</f>
        <v>28848</v>
      </c>
      <c r="M524" s="140">
        <v>0</v>
      </c>
      <c r="N524" s="143">
        <v>0</v>
      </c>
      <c r="O524" s="140">
        <v>0.18</v>
      </c>
      <c r="P524" s="145">
        <f>(Purchase[[#This Row],[Gross Amount]]-Purchase[[#This Row],[Disct %]])*Purchase[[#This Row],[GST %]]</f>
        <v>5192.6399999999994</v>
      </c>
      <c r="Q524" s="145">
        <f>Purchase[[#This Row],[Gross Amount]]-Purchase[[#This Row],[Disct Amnt]]+Purchase[[#This Row],[GST Amount]]</f>
        <v>34040.639999999999</v>
      </c>
      <c r="R524" s="138" t="s">
        <v>1019</v>
      </c>
      <c r="S524" s="41">
        <f>IF(Purchase[[#This Row],[Status]]="Cancelled",0,Purchase[[#This Row],[Qty]])</f>
        <v>16</v>
      </c>
      <c r="T524" s="146">
        <f>IF(Purchase[[#This Row],[Status]]="Cancelled",0,Purchase[[#This Row],[Total Amount]])</f>
        <v>34040.639999999999</v>
      </c>
      <c r="U524" s="146">
        <f>SUM(Purchase[Net Amount])</f>
        <v>814985438.68000126</v>
      </c>
    </row>
    <row r="525" spans="1:21" ht="19.5" thickBot="1" x14ac:dyDescent="0.3">
      <c r="A525" s="136" t="s">
        <v>1562</v>
      </c>
      <c r="B525" s="137">
        <v>45683</v>
      </c>
      <c r="C525" s="138" t="s">
        <v>577</v>
      </c>
      <c r="D525" s="138" t="str">
        <f>VLOOKUP(Purchase[[#This Row],[Supplier ID]],Supplier[#All],2,0)</f>
        <v>National Electronics</v>
      </c>
      <c r="E525" s="138">
        <f>VLOOKUP(Purchase[[#This Row],[Supplier ID]],Supplier[#All],3,0)</f>
        <v>9689542469</v>
      </c>
      <c r="F525" s="138" t="str">
        <f>VLOOKUP(Purchase[[#This Row],[Supplier ID]],Supplier[#All],4,0)</f>
        <v>Korba</v>
      </c>
      <c r="G525" s="138" t="str">
        <f>VLOOKUP(Purchase[[#This Row],[Supplier ID]],Supplier[#All],5,0)</f>
        <v>CG</v>
      </c>
      <c r="H525" s="138" t="str">
        <f>VLOOKUP(Purchase[[#This Row],[Supplier ID]],Supplier[#All],6,0)</f>
        <v>GST2154521T023</v>
      </c>
      <c r="I525" s="138" t="s">
        <v>531</v>
      </c>
      <c r="J525" s="139">
        <v>32</v>
      </c>
      <c r="K525" s="143">
        <f>VLOOKUP(Purchase[[#This Row],[Product ID]],Product[#All],6,0)</f>
        <v>5489</v>
      </c>
      <c r="L525" s="143">
        <f>Purchase[[#This Row],[Purchase Rate]]*Purchase[[#This Row],[Qty]]</f>
        <v>175648</v>
      </c>
      <c r="M525" s="140">
        <v>0</v>
      </c>
      <c r="N525" s="143">
        <v>0</v>
      </c>
      <c r="O525" s="140">
        <v>0.18</v>
      </c>
      <c r="P525" s="145">
        <f>(Purchase[[#This Row],[Gross Amount]]-Purchase[[#This Row],[Disct %]])*Purchase[[#This Row],[GST %]]</f>
        <v>31616.639999999999</v>
      </c>
      <c r="Q525" s="145">
        <f>Purchase[[#This Row],[Gross Amount]]-Purchase[[#This Row],[Disct Amnt]]+Purchase[[#This Row],[GST Amount]]</f>
        <v>207264.64000000001</v>
      </c>
      <c r="R525" s="138" t="s">
        <v>1040</v>
      </c>
      <c r="S525" s="41">
        <f>IF(Purchase[[#This Row],[Status]]="Cancelled",0,Purchase[[#This Row],[Qty]])</f>
        <v>0</v>
      </c>
      <c r="T525" s="146">
        <f>IF(Purchase[[#This Row],[Status]]="Cancelled",0,Purchase[[#This Row],[Total Amount]])</f>
        <v>0</v>
      </c>
      <c r="U525" s="146">
        <f>SUM(Purchase[Net Amount])</f>
        <v>814985438.68000126</v>
      </c>
    </row>
    <row r="526" spans="1:21" ht="19.5" thickBot="1" x14ac:dyDescent="0.3">
      <c r="A526" s="136" t="s">
        <v>1563</v>
      </c>
      <c r="B526" s="137">
        <v>45683</v>
      </c>
      <c r="C526" s="138" t="s">
        <v>567</v>
      </c>
      <c r="D526" s="138" t="str">
        <f>VLOOKUP(Purchase[[#This Row],[Supplier ID]],Supplier[#All],2,0)</f>
        <v>National Distributors</v>
      </c>
      <c r="E526" s="138">
        <f>VLOOKUP(Purchase[[#This Row],[Supplier ID]],Supplier[#All],3,0)</f>
        <v>9689542453</v>
      </c>
      <c r="F526" s="138" t="str">
        <f>VLOOKUP(Purchase[[#This Row],[Supplier ID]],Supplier[#All],4,0)</f>
        <v>Korba</v>
      </c>
      <c r="G526" s="138" t="str">
        <f>VLOOKUP(Purchase[[#This Row],[Supplier ID]],Supplier[#All],5,0)</f>
        <v>CG</v>
      </c>
      <c r="H526" s="138" t="str">
        <f>VLOOKUP(Purchase[[#This Row],[Supplier ID]],Supplier[#All],6,0)</f>
        <v>GST2154521T015</v>
      </c>
      <c r="I526" s="138" t="s">
        <v>106</v>
      </c>
      <c r="J526" s="139">
        <v>38</v>
      </c>
      <c r="K526" s="143">
        <f>VLOOKUP(Purchase[[#This Row],[Product ID]],Product[#All],6,0)</f>
        <v>6729</v>
      </c>
      <c r="L526" s="143">
        <f>Purchase[[#This Row],[Purchase Rate]]*Purchase[[#This Row],[Qty]]</f>
        <v>255702</v>
      </c>
      <c r="M526" s="140">
        <v>0</v>
      </c>
      <c r="N526" s="143">
        <v>0</v>
      </c>
      <c r="O526" s="140">
        <v>0.18</v>
      </c>
      <c r="P526" s="145">
        <f>(Purchase[[#This Row],[Gross Amount]]-Purchase[[#This Row],[Disct %]])*Purchase[[#This Row],[GST %]]</f>
        <v>46026.36</v>
      </c>
      <c r="Q526" s="145">
        <f>Purchase[[#This Row],[Gross Amount]]-Purchase[[#This Row],[Disct Amnt]]+Purchase[[#This Row],[GST Amount]]</f>
        <v>301728.36</v>
      </c>
      <c r="R526" s="138" t="s">
        <v>1019</v>
      </c>
      <c r="S526" s="41">
        <f>IF(Purchase[[#This Row],[Status]]="Cancelled",0,Purchase[[#This Row],[Qty]])</f>
        <v>38</v>
      </c>
      <c r="T526" s="146">
        <f>IF(Purchase[[#This Row],[Status]]="Cancelled",0,Purchase[[#This Row],[Total Amount]])</f>
        <v>301728.36</v>
      </c>
      <c r="U526" s="146">
        <f>SUM(Purchase[Net Amount])</f>
        <v>814985438.68000126</v>
      </c>
    </row>
    <row r="527" spans="1:21" ht="19.5" thickBot="1" x14ac:dyDescent="0.3">
      <c r="A527" s="136" t="s">
        <v>1564</v>
      </c>
      <c r="B527" s="137">
        <v>45683</v>
      </c>
      <c r="C527" s="138" t="s">
        <v>605</v>
      </c>
      <c r="D527" s="138" t="str">
        <f>VLOOKUP(Purchase[[#This Row],[Supplier ID]],Supplier[#All],2,0)</f>
        <v>Star Traders</v>
      </c>
      <c r="E527" s="138">
        <f>VLOOKUP(Purchase[[#This Row],[Supplier ID]],Supplier[#All],3,0)</f>
        <v>9689542488</v>
      </c>
      <c r="F527" s="138" t="str">
        <f>VLOOKUP(Purchase[[#This Row],[Supplier ID]],Supplier[#All],4,0)</f>
        <v>Indore</v>
      </c>
      <c r="G527" s="138" t="str">
        <f>VLOOKUP(Purchase[[#This Row],[Supplier ID]],Supplier[#All],5,0)</f>
        <v>MP</v>
      </c>
      <c r="H527" s="138" t="str">
        <f>VLOOKUP(Purchase[[#This Row],[Supplier ID]],Supplier[#All],6,0)</f>
        <v>GST2154521T050</v>
      </c>
      <c r="I527" s="138" t="s">
        <v>459</v>
      </c>
      <c r="J527" s="139">
        <v>26</v>
      </c>
      <c r="K527" s="143">
        <f>VLOOKUP(Purchase[[#This Row],[Product ID]],Product[#All],6,0)</f>
        <v>1347</v>
      </c>
      <c r="L527" s="143">
        <f>Purchase[[#This Row],[Purchase Rate]]*Purchase[[#This Row],[Qty]]</f>
        <v>35022</v>
      </c>
      <c r="M527" s="140">
        <v>0</v>
      </c>
      <c r="N527" s="143">
        <v>0</v>
      </c>
      <c r="O527" s="140">
        <v>0.18</v>
      </c>
      <c r="P527" s="145">
        <f>(Purchase[[#This Row],[Gross Amount]]-Purchase[[#This Row],[Disct %]])*Purchase[[#This Row],[GST %]]</f>
        <v>6303.96</v>
      </c>
      <c r="Q527" s="145">
        <f>Purchase[[#This Row],[Gross Amount]]-Purchase[[#This Row],[Disct Amnt]]+Purchase[[#This Row],[GST Amount]]</f>
        <v>41325.96</v>
      </c>
      <c r="R527" s="138" t="s">
        <v>1019</v>
      </c>
      <c r="S527" s="41">
        <f>IF(Purchase[[#This Row],[Status]]="Cancelled",0,Purchase[[#This Row],[Qty]])</f>
        <v>26</v>
      </c>
      <c r="T527" s="146">
        <f>IF(Purchase[[#This Row],[Status]]="Cancelled",0,Purchase[[#This Row],[Total Amount]])</f>
        <v>41325.96</v>
      </c>
      <c r="U527" s="146">
        <f>SUM(Purchase[Net Amount])</f>
        <v>814985438.68000126</v>
      </c>
    </row>
    <row r="528" spans="1:21" ht="19.5" thickBot="1" x14ac:dyDescent="0.3">
      <c r="A528" s="136" t="s">
        <v>1565</v>
      </c>
      <c r="B528" s="137">
        <v>45683</v>
      </c>
      <c r="C528" s="138" t="s">
        <v>576</v>
      </c>
      <c r="D528" s="138" t="str">
        <f>VLOOKUP(Purchase[[#This Row],[Supplier ID]],Supplier[#All],2,0)</f>
        <v>Maa Distributors</v>
      </c>
      <c r="E528" s="138">
        <f>VLOOKUP(Purchase[[#This Row],[Supplier ID]],Supplier[#All],3,0)</f>
        <v>9689542460</v>
      </c>
      <c r="F528" s="138" t="str">
        <f>VLOOKUP(Purchase[[#This Row],[Supplier ID]],Supplier[#All],4,0)</f>
        <v>Korba</v>
      </c>
      <c r="G528" s="138" t="str">
        <f>VLOOKUP(Purchase[[#This Row],[Supplier ID]],Supplier[#All],5,0)</f>
        <v>CG</v>
      </c>
      <c r="H528" s="138" t="str">
        <f>VLOOKUP(Purchase[[#This Row],[Supplier ID]],Supplier[#All],6,0)</f>
        <v>GST2154521T022</v>
      </c>
      <c r="I528" s="138" t="s">
        <v>307</v>
      </c>
      <c r="J528" s="139">
        <v>31</v>
      </c>
      <c r="K528" s="143">
        <f>VLOOKUP(Purchase[[#This Row],[Product ID]],Product[#All],6,0)</f>
        <v>39890</v>
      </c>
      <c r="L528" s="143">
        <f>Purchase[[#This Row],[Purchase Rate]]*Purchase[[#This Row],[Qty]]</f>
        <v>1236590</v>
      </c>
      <c r="M528" s="140">
        <v>0</v>
      </c>
      <c r="N528" s="143">
        <v>0</v>
      </c>
      <c r="O528" s="140">
        <v>0.18</v>
      </c>
      <c r="P528" s="145">
        <f>(Purchase[[#This Row],[Gross Amount]]-Purchase[[#This Row],[Disct %]])*Purchase[[#This Row],[GST %]]</f>
        <v>222586.19999999998</v>
      </c>
      <c r="Q528" s="145">
        <f>Purchase[[#This Row],[Gross Amount]]-Purchase[[#This Row],[Disct Amnt]]+Purchase[[#This Row],[GST Amount]]</f>
        <v>1459176.2</v>
      </c>
      <c r="R528" s="138" t="s">
        <v>1019</v>
      </c>
      <c r="S528" s="41">
        <f>IF(Purchase[[#This Row],[Status]]="Cancelled",0,Purchase[[#This Row],[Qty]])</f>
        <v>31</v>
      </c>
      <c r="T528" s="146">
        <f>IF(Purchase[[#This Row],[Status]]="Cancelled",0,Purchase[[#This Row],[Total Amount]])</f>
        <v>1459176.2</v>
      </c>
      <c r="U528" s="146">
        <f>SUM(Purchase[Net Amount])</f>
        <v>814985438.68000126</v>
      </c>
    </row>
    <row r="529" spans="1:21" ht="19.5" thickBot="1" x14ac:dyDescent="0.3">
      <c r="A529" s="136" t="s">
        <v>1566</v>
      </c>
      <c r="B529" s="137">
        <v>45683</v>
      </c>
      <c r="C529" s="138" t="s">
        <v>599</v>
      </c>
      <c r="D529" s="138" t="str">
        <f>VLOOKUP(Purchase[[#This Row],[Supplier ID]],Supplier[#All],2,0)</f>
        <v>National Distributors</v>
      </c>
      <c r="E529" s="138">
        <f>VLOOKUP(Purchase[[#This Row],[Supplier ID]],Supplier[#All],3,0)</f>
        <v>9689542482</v>
      </c>
      <c r="F529" s="138" t="str">
        <f>VLOOKUP(Purchase[[#This Row],[Supplier ID]],Supplier[#All],4,0)</f>
        <v>Kanpur</v>
      </c>
      <c r="G529" s="138" t="str">
        <f>VLOOKUP(Purchase[[#This Row],[Supplier ID]],Supplier[#All],5,0)</f>
        <v>UP</v>
      </c>
      <c r="H529" s="138" t="str">
        <f>VLOOKUP(Purchase[[#This Row],[Supplier ID]],Supplier[#All],6,0)</f>
        <v>GST2154521T044</v>
      </c>
      <c r="I529" s="138" t="s">
        <v>378</v>
      </c>
      <c r="J529" s="139">
        <v>4</v>
      </c>
      <c r="K529" s="143">
        <f>VLOOKUP(Purchase[[#This Row],[Product ID]],Product[#All],6,0)</f>
        <v>3476</v>
      </c>
      <c r="L529" s="143">
        <f>Purchase[[#This Row],[Purchase Rate]]*Purchase[[#This Row],[Qty]]</f>
        <v>13904</v>
      </c>
      <c r="M529" s="140">
        <v>0</v>
      </c>
      <c r="N529" s="143">
        <v>0</v>
      </c>
      <c r="O529" s="140">
        <v>0.18</v>
      </c>
      <c r="P529" s="145">
        <f>(Purchase[[#This Row],[Gross Amount]]-Purchase[[#This Row],[Disct %]])*Purchase[[#This Row],[GST %]]</f>
        <v>2502.7199999999998</v>
      </c>
      <c r="Q529" s="145">
        <f>Purchase[[#This Row],[Gross Amount]]-Purchase[[#This Row],[Disct Amnt]]+Purchase[[#This Row],[GST Amount]]</f>
        <v>16406.72</v>
      </c>
      <c r="R529" s="138" t="s">
        <v>1019</v>
      </c>
      <c r="S529" s="41">
        <f>IF(Purchase[[#This Row],[Status]]="Cancelled",0,Purchase[[#This Row],[Qty]])</f>
        <v>4</v>
      </c>
      <c r="T529" s="146">
        <f>IF(Purchase[[#This Row],[Status]]="Cancelled",0,Purchase[[#This Row],[Total Amount]])</f>
        <v>16406.72</v>
      </c>
      <c r="U529" s="146">
        <f>SUM(Purchase[Net Amount])</f>
        <v>814985438.68000126</v>
      </c>
    </row>
    <row r="530" spans="1:21" ht="19.5" thickBot="1" x14ac:dyDescent="0.3">
      <c r="A530" s="136" t="s">
        <v>1567</v>
      </c>
      <c r="B530" s="137">
        <v>45683</v>
      </c>
      <c r="C530" s="138" t="s">
        <v>565</v>
      </c>
      <c r="D530" s="138" t="str">
        <f>VLOOKUP(Purchase[[#This Row],[Supplier ID]],Supplier[#All],2,0)</f>
        <v>Global Suppliers</v>
      </c>
      <c r="E530" s="138">
        <f>VLOOKUP(Purchase[[#This Row],[Supplier ID]],Supplier[#All],3,0)</f>
        <v>9689542459</v>
      </c>
      <c r="F530" s="138" t="str">
        <f>VLOOKUP(Purchase[[#This Row],[Supplier ID]],Supplier[#All],4,0)</f>
        <v>Indore</v>
      </c>
      <c r="G530" s="138" t="str">
        <f>VLOOKUP(Purchase[[#This Row],[Supplier ID]],Supplier[#All],5,0)</f>
        <v>MP</v>
      </c>
      <c r="H530" s="138" t="str">
        <f>VLOOKUP(Purchase[[#This Row],[Supplier ID]],Supplier[#All],6,0)</f>
        <v>GST2154521T013</v>
      </c>
      <c r="I530" s="138" t="s">
        <v>232</v>
      </c>
      <c r="J530" s="139">
        <v>19</v>
      </c>
      <c r="K530" s="143">
        <f>VLOOKUP(Purchase[[#This Row],[Product ID]],Product[#All],6,0)</f>
        <v>30899</v>
      </c>
      <c r="L530" s="143">
        <f>Purchase[[#This Row],[Purchase Rate]]*Purchase[[#This Row],[Qty]]</f>
        <v>587081</v>
      </c>
      <c r="M530" s="140">
        <v>0</v>
      </c>
      <c r="N530" s="143">
        <v>0</v>
      </c>
      <c r="O530" s="140">
        <v>0.18</v>
      </c>
      <c r="P530" s="145">
        <f>(Purchase[[#This Row],[Gross Amount]]-Purchase[[#This Row],[Disct %]])*Purchase[[#This Row],[GST %]]</f>
        <v>105674.58</v>
      </c>
      <c r="Q530" s="145">
        <f>Purchase[[#This Row],[Gross Amount]]-Purchase[[#This Row],[Disct Amnt]]+Purchase[[#This Row],[GST Amount]]</f>
        <v>692755.58</v>
      </c>
      <c r="R530" s="138" t="s">
        <v>1019</v>
      </c>
      <c r="S530" s="41">
        <f>IF(Purchase[[#This Row],[Status]]="Cancelled",0,Purchase[[#This Row],[Qty]])</f>
        <v>19</v>
      </c>
      <c r="T530" s="146">
        <f>IF(Purchase[[#This Row],[Status]]="Cancelled",0,Purchase[[#This Row],[Total Amount]])</f>
        <v>692755.58</v>
      </c>
      <c r="U530" s="146">
        <f>SUM(Purchase[Net Amount])</f>
        <v>814985438.68000126</v>
      </c>
    </row>
    <row r="531" spans="1:21" ht="19.5" thickBot="1" x14ac:dyDescent="0.3">
      <c r="A531" s="136" t="s">
        <v>1568</v>
      </c>
      <c r="B531" s="137">
        <v>45683</v>
      </c>
      <c r="C531" s="138" t="s">
        <v>596</v>
      </c>
      <c r="D531" s="138" t="str">
        <f>VLOOKUP(Purchase[[#This Row],[Supplier ID]],Supplier[#All],2,0)</f>
        <v>star traders</v>
      </c>
      <c r="E531" s="138">
        <f>VLOOKUP(Purchase[[#This Row],[Supplier ID]],Supplier[#All],3,0)</f>
        <v>9689542479</v>
      </c>
      <c r="F531" s="138" t="str">
        <f>VLOOKUP(Purchase[[#This Row],[Supplier ID]],Supplier[#All],4,0)</f>
        <v>Korba</v>
      </c>
      <c r="G531" s="138" t="str">
        <f>VLOOKUP(Purchase[[#This Row],[Supplier ID]],Supplier[#All],5,0)</f>
        <v>CG</v>
      </c>
      <c r="H531" s="138" t="str">
        <f>VLOOKUP(Purchase[[#This Row],[Supplier ID]],Supplier[#All],6,0)</f>
        <v>GST2154521T041</v>
      </c>
      <c r="I531" s="138" t="s">
        <v>92</v>
      </c>
      <c r="J531" s="139">
        <v>28</v>
      </c>
      <c r="K531" s="143">
        <f>VLOOKUP(Purchase[[#This Row],[Product ID]],Product[#All],6,0)</f>
        <v>5110</v>
      </c>
      <c r="L531" s="143">
        <f>Purchase[[#This Row],[Purchase Rate]]*Purchase[[#This Row],[Qty]]</f>
        <v>143080</v>
      </c>
      <c r="M531" s="140">
        <v>0</v>
      </c>
      <c r="N531" s="143">
        <v>0</v>
      </c>
      <c r="O531" s="140">
        <v>0.18</v>
      </c>
      <c r="P531" s="145">
        <f>(Purchase[[#This Row],[Gross Amount]]-Purchase[[#This Row],[Disct %]])*Purchase[[#This Row],[GST %]]</f>
        <v>25754.399999999998</v>
      </c>
      <c r="Q531" s="145">
        <f>Purchase[[#This Row],[Gross Amount]]-Purchase[[#This Row],[Disct Amnt]]+Purchase[[#This Row],[GST Amount]]</f>
        <v>168834.4</v>
      </c>
      <c r="R531" s="138" t="s">
        <v>1019</v>
      </c>
      <c r="S531" s="41">
        <f>IF(Purchase[[#This Row],[Status]]="Cancelled",0,Purchase[[#This Row],[Qty]])</f>
        <v>28</v>
      </c>
      <c r="T531" s="146">
        <f>IF(Purchase[[#This Row],[Status]]="Cancelled",0,Purchase[[#This Row],[Total Amount]])</f>
        <v>168834.4</v>
      </c>
      <c r="U531" s="146">
        <f>SUM(Purchase[Net Amount])</f>
        <v>814985438.68000126</v>
      </c>
    </row>
    <row r="532" spans="1:21" ht="19.5" thickBot="1" x14ac:dyDescent="0.3">
      <c r="A532" s="136" t="s">
        <v>1569</v>
      </c>
      <c r="B532" s="137">
        <v>45683</v>
      </c>
      <c r="C532" s="138" t="s">
        <v>569</v>
      </c>
      <c r="D532" s="138" t="str">
        <f>VLOOKUP(Purchase[[#This Row],[Supplier ID]],Supplier[#All],2,0)</f>
        <v>Tech Electronics</v>
      </c>
      <c r="E532" s="138">
        <f>VLOOKUP(Purchase[[#This Row],[Supplier ID]],Supplier[#All],3,0)</f>
        <v>9689542455</v>
      </c>
      <c r="F532" s="138" t="str">
        <f>VLOOKUP(Purchase[[#This Row],[Supplier ID]],Supplier[#All],4,0)</f>
        <v>Korba</v>
      </c>
      <c r="G532" s="138" t="str">
        <f>VLOOKUP(Purchase[[#This Row],[Supplier ID]],Supplier[#All],5,0)</f>
        <v>CG</v>
      </c>
      <c r="H532" s="138" t="str">
        <f>VLOOKUP(Purchase[[#This Row],[Supplier ID]],Supplier[#All],6,0)</f>
        <v>GST2154521T017</v>
      </c>
      <c r="I532" s="138" t="s">
        <v>197</v>
      </c>
      <c r="J532" s="139">
        <v>12</v>
      </c>
      <c r="K532" s="143">
        <f>VLOOKUP(Purchase[[#This Row],[Product ID]],Product[#All],6,0)</f>
        <v>12461</v>
      </c>
      <c r="L532" s="143">
        <f>Purchase[[#This Row],[Purchase Rate]]*Purchase[[#This Row],[Qty]]</f>
        <v>149532</v>
      </c>
      <c r="M532" s="140">
        <v>0</v>
      </c>
      <c r="N532" s="143">
        <v>0</v>
      </c>
      <c r="O532" s="140">
        <v>0.18</v>
      </c>
      <c r="P532" s="145">
        <f>(Purchase[[#This Row],[Gross Amount]]-Purchase[[#This Row],[Disct %]])*Purchase[[#This Row],[GST %]]</f>
        <v>26915.759999999998</v>
      </c>
      <c r="Q532" s="145">
        <f>Purchase[[#This Row],[Gross Amount]]-Purchase[[#This Row],[Disct Amnt]]+Purchase[[#This Row],[GST Amount]]</f>
        <v>176447.76</v>
      </c>
      <c r="R532" s="138" t="s">
        <v>1019</v>
      </c>
      <c r="S532" s="41">
        <f>IF(Purchase[[#This Row],[Status]]="Cancelled",0,Purchase[[#This Row],[Qty]])</f>
        <v>12</v>
      </c>
      <c r="T532" s="146">
        <f>IF(Purchase[[#This Row],[Status]]="Cancelled",0,Purchase[[#This Row],[Total Amount]])</f>
        <v>176447.76</v>
      </c>
      <c r="U532" s="146">
        <f>SUM(Purchase[Net Amount])</f>
        <v>814985438.68000126</v>
      </c>
    </row>
    <row r="533" spans="1:21" ht="19.5" thickBot="1" x14ac:dyDescent="0.3">
      <c r="A533" s="136" t="s">
        <v>1570</v>
      </c>
      <c r="B533" s="137">
        <v>45683</v>
      </c>
      <c r="C533" s="138" t="s">
        <v>602</v>
      </c>
      <c r="D533" s="138" t="str">
        <f>VLOOKUP(Purchase[[#This Row],[Supplier ID]],Supplier[#All],2,0)</f>
        <v>Maa Computers</v>
      </c>
      <c r="E533" s="138">
        <f>VLOOKUP(Purchase[[#This Row],[Supplier ID]],Supplier[#All],3,0)</f>
        <v>9689542485</v>
      </c>
      <c r="F533" s="138" t="str">
        <f>VLOOKUP(Purchase[[#This Row],[Supplier ID]],Supplier[#All],4,0)</f>
        <v>Korba</v>
      </c>
      <c r="G533" s="138" t="str">
        <f>VLOOKUP(Purchase[[#This Row],[Supplier ID]],Supplier[#All],5,0)</f>
        <v>CG</v>
      </c>
      <c r="H533" s="138" t="str">
        <f>VLOOKUP(Purchase[[#This Row],[Supplier ID]],Supplier[#All],6,0)</f>
        <v>GST2154521T047</v>
      </c>
      <c r="I533" s="138" t="s">
        <v>236</v>
      </c>
      <c r="J533" s="139">
        <v>20</v>
      </c>
      <c r="K533" s="143">
        <f>VLOOKUP(Purchase[[#This Row],[Product ID]],Product[#All],6,0)</f>
        <v>42438</v>
      </c>
      <c r="L533" s="143">
        <f>Purchase[[#This Row],[Purchase Rate]]*Purchase[[#This Row],[Qty]]</f>
        <v>848760</v>
      </c>
      <c r="M533" s="140">
        <v>0</v>
      </c>
      <c r="N533" s="143">
        <v>0</v>
      </c>
      <c r="O533" s="140">
        <v>0.18</v>
      </c>
      <c r="P533" s="145">
        <f>(Purchase[[#This Row],[Gross Amount]]-Purchase[[#This Row],[Disct %]])*Purchase[[#This Row],[GST %]]</f>
        <v>152776.79999999999</v>
      </c>
      <c r="Q533" s="145">
        <f>Purchase[[#This Row],[Gross Amount]]-Purchase[[#This Row],[Disct Amnt]]+Purchase[[#This Row],[GST Amount]]</f>
        <v>1001536.8</v>
      </c>
      <c r="R533" s="138" t="s">
        <v>1019</v>
      </c>
      <c r="S533" s="41">
        <f>IF(Purchase[[#This Row],[Status]]="Cancelled",0,Purchase[[#This Row],[Qty]])</f>
        <v>20</v>
      </c>
      <c r="T533" s="146">
        <f>IF(Purchase[[#This Row],[Status]]="Cancelled",0,Purchase[[#This Row],[Total Amount]])</f>
        <v>1001536.8</v>
      </c>
      <c r="U533" s="146">
        <f>SUM(Purchase[Net Amount])</f>
        <v>814985438.68000126</v>
      </c>
    </row>
    <row r="534" spans="1:21" ht="19.5" thickBot="1" x14ac:dyDescent="0.3">
      <c r="A534" s="136" t="s">
        <v>1571</v>
      </c>
      <c r="B534" s="137">
        <v>45683</v>
      </c>
      <c r="C534" s="138" t="s">
        <v>582</v>
      </c>
      <c r="D534" s="138" t="str">
        <f>VLOOKUP(Purchase[[#This Row],[Supplier ID]],Supplier[#All],2,0)</f>
        <v>Tech Distributors</v>
      </c>
      <c r="E534" s="138">
        <f>VLOOKUP(Purchase[[#This Row],[Supplier ID]],Supplier[#All],3,0)</f>
        <v>9689542466</v>
      </c>
      <c r="F534" s="138" t="str">
        <f>VLOOKUP(Purchase[[#This Row],[Supplier ID]],Supplier[#All],4,0)</f>
        <v>Indore</v>
      </c>
      <c r="G534" s="138" t="str">
        <f>VLOOKUP(Purchase[[#This Row],[Supplier ID]],Supplier[#All],5,0)</f>
        <v>MP</v>
      </c>
      <c r="H534" s="138" t="str">
        <f>VLOOKUP(Purchase[[#This Row],[Supplier ID]],Supplier[#All],6,0)</f>
        <v>GST2154521T028</v>
      </c>
      <c r="I534" s="138" t="s">
        <v>412</v>
      </c>
      <c r="J534" s="139">
        <v>27</v>
      </c>
      <c r="K534" s="143">
        <f>VLOOKUP(Purchase[[#This Row],[Product ID]],Product[#All],6,0)</f>
        <v>23332</v>
      </c>
      <c r="L534" s="143">
        <f>Purchase[[#This Row],[Purchase Rate]]*Purchase[[#This Row],[Qty]]</f>
        <v>629964</v>
      </c>
      <c r="M534" s="140">
        <v>0</v>
      </c>
      <c r="N534" s="143">
        <v>0</v>
      </c>
      <c r="O534" s="140">
        <v>0.18</v>
      </c>
      <c r="P534" s="145">
        <f>(Purchase[[#This Row],[Gross Amount]]-Purchase[[#This Row],[Disct %]])*Purchase[[#This Row],[GST %]]</f>
        <v>113393.51999999999</v>
      </c>
      <c r="Q534" s="145">
        <f>Purchase[[#This Row],[Gross Amount]]-Purchase[[#This Row],[Disct Amnt]]+Purchase[[#This Row],[GST Amount]]</f>
        <v>743357.52</v>
      </c>
      <c r="R534" s="138" t="s">
        <v>1019</v>
      </c>
      <c r="S534" s="41">
        <f>IF(Purchase[[#This Row],[Status]]="Cancelled",0,Purchase[[#This Row],[Qty]])</f>
        <v>27</v>
      </c>
      <c r="T534" s="146">
        <f>IF(Purchase[[#This Row],[Status]]="Cancelled",0,Purchase[[#This Row],[Total Amount]])</f>
        <v>743357.52</v>
      </c>
      <c r="U534" s="146">
        <f>SUM(Purchase[Net Amount])</f>
        <v>814985438.68000126</v>
      </c>
    </row>
    <row r="535" spans="1:21" ht="19.5" thickBot="1" x14ac:dyDescent="0.3">
      <c r="A535" s="136" t="s">
        <v>1572</v>
      </c>
      <c r="B535" s="137">
        <v>45684</v>
      </c>
      <c r="C535" s="138" t="s">
        <v>589</v>
      </c>
      <c r="D535" s="138" t="str">
        <f>VLOOKUP(Purchase[[#This Row],[Supplier ID]],Supplier[#All],2,0)</f>
        <v>Maa Computers</v>
      </c>
      <c r="E535" s="138">
        <f>VLOOKUP(Purchase[[#This Row],[Supplier ID]],Supplier[#All],3,0)</f>
        <v>9689542473</v>
      </c>
      <c r="F535" s="138" t="str">
        <f>VLOOKUP(Purchase[[#This Row],[Supplier ID]],Supplier[#All],4,0)</f>
        <v>Kanpur</v>
      </c>
      <c r="G535" s="138" t="str">
        <f>VLOOKUP(Purchase[[#This Row],[Supplier ID]],Supplier[#All],5,0)</f>
        <v>UP</v>
      </c>
      <c r="H535" s="138" t="str">
        <f>VLOOKUP(Purchase[[#This Row],[Supplier ID]],Supplier[#All],6,0)</f>
        <v>GST2154521T035</v>
      </c>
      <c r="I535" s="138" t="s">
        <v>473</v>
      </c>
      <c r="J535" s="139">
        <v>31</v>
      </c>
      <c r="K535" s="143">
        <f>VLOOKUP(Purchase[[#This Row],[Product ID]],Product[#All],6,0)</f>
        <v>2274</v>
      </c>
      <c r="L535" s="143">
        <f>Purchase[[#This Row],[Purchase Rate]]*Purchase[[#This Row],[Qty]]</f>
        <v>70494</v>
      </c>
      <c r="M535" s="140">
        <v>0</v>
      </c>
      <c r="N535" s="143">
        <v>0</v>
      </c>
      <c r="O535" s="140">
        <v>0.18</v>
      </c>
      <c r="P535" s="145">
        <f>(Purchase[[#This Row],[Gross Amount]]-Purchase[[#This Row],[Disct %]])*Purchase[[#This Row],[GST %]]</f>
        <v>12688.92</v>
      </c>
      <c r="Q535" s="145">
        <f>Purchase[[#This Row],[Gross Amount]]-Purchase[[#This Row],[Disct Amnt]]+Purchase[[#This Row],[GST Amount]]</f>
        <v>83182.92</v>
      </c>
      <c r="R535" s="138" t="s">
        <v>1019</v>
      </c>
      <c r="S535" s="41">
        <f>IF(Purchase[[#This Row],[Status]]="Cancelled",0,Purchase[[#This Row],[Qty]])</f>
        <v>31</v>
      </c>
      <c r="T535" s="146">
        <f>IF(Purchase[[#This Row],[Status]]="Cancelled",0,Purchase[[#This Row],[Total Amount]])</f>
        <v>83182.92</v>
      </c>
      <c r="U535" s="146">
        <f>SUM(Purchase[Net Amount])</f>
        <v>814985438.68000126</v>
      </c>
    </row>
    <row r="536" spans="1:21" ht="19.5" thickBot="1" x14ac:dyDescent="0.3">
      <c r="A536" s="136" t="s">
        <v>1573</v>
      </c>
      <c r="B536" s="137">
        <v>45684</v>
      </c>
      <c r="C536" s="138" t="s">
        <v>609</v>
      </c>
      <c r="D536" s="138" t="str">
        <f>VLOOKUP(Purchase[[#This Row],[Supplier ID]],Supplier[#All],2,0)</f>
        <v>Star Suppliers</v>
      </c>
      <c r="E536" s="138">
        <f>VLOOKUP(Purchase[[#This Row],[Supplier ID]],Supplier[#All],3,0)</f>
        <v>9689542492</v>
      </c>
      <c r="F536" s="138" t="str">
        <f>VLOOKUP(Purchase[[#This Row],[Supplier ID]],Supplier[#All],4,0)</f>
        <v>Kanpur</v>
      </c>
      <c r="G536" s="138" t="str">
        <f>VLOOKUP(Purchase[[#This Row],[Supplier ID]],Supplier[#All],5,0)</f>
        <v>UP</v>
      </c>
      <c r="H536" s="138" t="str">
        <f>VLOOKUP(Purchase[[#This Row],[Supplier ID]],Supplier[#All],6,0)</f>
        <v>GST2154521T054</v>
      </c>
      <c r="I536" s="138" t="s">
        <v>504</v>
      </c>
      <c r="J536" s="139">
        <v>22</v>
      </c>
      <c r="K536" s="143">
        <f>VLOOKUP(Purchase[[#This Row],[Product ID]],Product[#All],6,0)</f>
        <v>3172</v>
      </c>
      <c r="L536" s="143">
        <f>Purchase[[#This Row],[Purchase Rate]]*Purchase[[#This Row],[Qty]]</f>
        <v>69784</v>
      </c>
      <c r="M536" s="140">
        <v>0</v>
      </c>
      <c r="N536" s="143">
        <v>0</v>
      </c>
      <c r="O536" s="140">
        <v>0.18</v>
      </c>
      <c r="P536" s="145">
        <f>(Purchase[[#This Row],[Gross Amount]]-Purchase[[#This Row],[Disct %]])*Purchase[[#This Row],[GST %]]</f>
        <v>12561.119999999999</v>
      </c>
      <c r="Q536" s="145">
        <f>Purchase[[#This Row],[Gross Amount]]-Purchase[[#This Row],[Disct Amnt]]+Purchase[[#This Row],[GST Amount]]</f>
        <v>82345.119999999995</v>
      </c>
      <c r="R536" s="138" t="s">
        <v>1019</v>
      </c>
      <c r="S536" s="41">
        <f>IF(Purchase[[#This Row],[Status]]="Cancelled",0,Purchase[[#This Row],[Qty]])</f>
        <v>22</v>
      </c>
      <c r="T536" s="146">
        <f>IF(Purchase[[#This Row],[Status]]="Cancelled",0,Purchase[[#This Row],[Total Amount]])</f>
        <v>82345.119999999995</v>
      </c>
      <c r="U536" s="146">
        <f>SUM(Purchase[Net Amount])</f>
        <v>814985438.68000126</v>
      </c>
    </row>
    <row r="537" spans="1:21" ht="19.5" thickBot="1" x14ac:dyDescent="0.3">
      <c r="A537" s="136" t="s">
        <v>1574</v>
      </c>
      <c r="B537" s="137">
        <v>45684</v>
      </c>
      <c r="C537" s="138" t="s">
        <v>587</v>
      </c>
      <c r="D537" s="138" t="str">
        <f>VLOOKUP(Purchase[[#This Row],[Supplier ID]],Supplier[#All],2,0)</f>
        <v>maa distributors</v>
      </c>
      <c r="E537" s="138">
        <f>VLOOKUP(Purchase[[#This Row],[Supplier ID]],Supplier[#All],3,0)</f>
        <v>9689542479</v>
      </c>
      <c r="F537" s="138" t="str">
        <f>VLOOKUP(Purchase[[#This Row],[Supplier ID]],Supplier[#All],4,0)</f>
        <v>Indore</v>
      </c>
      <c r="G537" s="138" t="str">
        <f>VLOOKUP(Purchase[[#This Row],[Supplier ID]],Supplier[#All],5,0)</f>
        <v>MP</v>
      </c>
      <c r="H537" s="138" t="str">
        <f>VLOOKUP(Purchase[[#This Row],[Supplier ID]],Supplier[#All],6,0)</f>
        <v>GST2154521T033</v>
      </c>
      <c r="I537" s="138" t="s">
        <v>376</v>
      </c>
      <c r="J537" s="139">
        <v>28</v>
      </c>
      <c r="K537" s="143">
        <f>VLOOKUP(Purchase[[#This Row],[Product ID]],Product[#All],6,0)</f>
        <v>29934</v>
      </c>
      <c r="L537" s="143">
        <f>Purchase[[#This Row],[Purchase Rate]]*Purchase[[#This Row],[Qty]]</f>
        <v>838152</v>
      </c>
      <c r="M537" s="140">
        <v>0</v>
      </c>
      <c r="N537" s="143">
        <v>0</v>
      </c>
      <c r="O537" s="140">
        <v>0.18</v>
      </c>
      <c r="P537" s="145">
        <f>(Purchase[[#This Row],[Gross Amount]]-Purchase[[#This Row],[Disct %]])*Purchase[[#This Row],[GST %]]</f>
        <v>150867.35999999999</v>
      </c>
      <c r="Q537" s="145">
        <f>Purchase[[#This Row],[Gross Amount]]-Purchase[[#This Row],[Disct Amnt]]+Purchase[[#This Row],[GST Amount]]</f>
        <v>989019.36</v>
      </c>
      <c r="R537" s="138" t="s">
        <v>1019</v>
      </c>
      <c r="S537" s="41">
        <f>IF(Purchase[[#This Row],[Status]]="Cancelled",0,Purchase[[#This Row],[Qty]])</f>
        <v>28</v>
      </c>
      <c r="T537" s="146">
        <f>IF(Purchase[[#This Row],[Status]]="Cancelled",0,Purchase[[#This Row],[Total Amount]])</f>
        <v>989019.36</v>
      </c>
      <c r="U537" s="146">
        <f>SUM(Purchase[Net Amount])</f>
        <v>814985438.68000126</v>
      </c>
    </row>
    <row r="538" spans="1:21" ht="19.5" thickBot="1" x14ac:dyDescent="0.3">
      <c r="A538" s="136" t="s">
        <v>1575</v>
      </c>
      <c r="B538" s="137">
        <v>45684</v>
      </c>
      <c r="C538" s="138" t="s">
        <v>570</v>
      </c>
      <c r="D538" s="138" t="str">
        <f>VLOOKUP(Purchase[[#This Row],[Supplier ID]],Supplier[#All],2,0)</f>
        <v>Prime Traders</v>
      </c>
      <c r="E538" s="138">
        <f>VLOOKUP(Purchase[[#This Row],[Supplier ID]],Supplier[#All],3,0)</f>
        <v>9689542456</v>
      </c>
      <c r="F538" s="138" t="str">
        <f>VLOOKUP(Purchase[[#This Row],[Supplier ID]],Supplier[#All],4,0)</f>
        <v>Indore</v>
      </c>
      <c r="G538" s="138" t="str">
        <f>VLOOKUP(Purchase[[#This Row],[Supplier ID]],Supplier[#All],5,0)</f>
        <v>MP</v>
      </c>
      <c r="H538" s="138" t="str">
        <f>VLOOKUP(Purchase[[#This Row],[Supplier ID]],Supplier[#All],6,0)</f>
        <v>GST2154521T018</v>
      </c>
      <c r="I538" s="138" t="s">
        <v>126</v>
      </c>
      <c r="J538" s="139">
        <v>23</v>
      </c>
      <c r="K538" s="143">
        <f>VLOOKUP(Purchase[[#This Row],[Product ID]],Product[#All],6,0)</f>
        <v>19380</v>
      </c>
      <c r="L538" s="143">
        <f>Purchase[[#This Row],[Purchase Rate]]*Purchase[[#This Row],[Qty]]</f>
        <v>445740</v>
      </c>
      <c r="M538" s="140">
        <v>0</v>
      </c>
      <c r="N538" s="143">
        <v>0</v>
      </c>
      <c r="O538" s="140">
        <v>0.18</v>
      </c>
      <c r="P538" s="145">
        <f>(Purchase[[#This Row],[Gross Amount]]-Purchase[[#This Row],[Disct %]])*Purchase[[#This Row],[GST %]]</f>
        <v>80233.2</v>
      </c>
      <c r="Q538" s="145">
        <f>Purchase[[#This Row],[Gross Amount]]-Purchase[[#This Row],[Disct Amnt]]+Purchase[[#This Row],[GST Amount]]</f>
        <v>525973.19999999995</v>
      </c>
      <c r="R538" s="138" t="s">
        <v>1019</v>
      </c>
      <c r="S538" s="41">
        <f>IF(Purchase[[#This Row],[Status]]="Cancelled",0,Purchase[[#This Row],[Qty]])</f>
        <v>23</v>
      </c>
      <c r="T538" s="146">
        <f>IF(Purchase[[#This Row],[Status]]="Cancelled",0,Purchase[[#This Row],[Total Amount]])</f>
        <v>525973.19999999995</v>
      </c>
      <c r="U538" s="146">
        <f>SUM(Purchase[Net Amount])</f>
        <v>814985438.68000126</v>
      </c>
    </row>
    <row r="539" spans="1:21" ht="19.5" thickBot="1" x14ac:dyDescent="0.3">
      <c r="A539" s="136" t="s">
        <v>1576</v>
      </c>
      <c r="B539" s="137">
        <v>45684</v>
      </c>
      <c r="C539" s="138" t="s">
        <v>602</v>
      </c>
      <c r="D539" s="138" t="str">
        <f>VLOOKUP(Purchase[[#This Row],[Supplier ID]],Supplier[#All],2,0)</f>
        <v>Maa Computers</v>
      </c>
      <c r="E539" s="138">
        <f>VLOOKUP(Purchase[[#This Row],[Supplier ID]],Supplier[#All],3,0)</f>
        <v>9689542485</v>
      </c>
      <c r="F539" s="138" t="str">
        <f>VLOOKUP(Purchase[[#This Row],[Supplier ID]],Supplier[#All],4,0)</f>
        <v>Korba</v>
      </c>
      <c r="G539" s="138" t="str">
        <f>VLOOKUP(Purchase[[#This Row],[Supplier ID]],Supplier[#All],5,0)</f>
        <v>CG</v>
      </c>
      <c r="H539" s="138" t="str">
        <f>VLOOKUP(Purchase[[#This Row],[Supplier ID]],Supplier[#All],6,0)</f>
        <v>GST2154521T047</v>
      </c>
      <c r="I539" s="138" t="s">
        <v>436</v>
      </c>
      <c r="J539" s="139">
        <v>28</v>
      </c>
      <c r="K539" s="143">
        <f>VLOOKUP(Purchase[[#This Row],[Product ID]],Product[#All],6,0)</f>
        <v>732</v>
      </c>
      <c r="L539" s="143">
        <f>Purchase[[#This Row],[Purchase Rate]]*Purchase[[#This Row],[Qty]]</f>
        <v>20496</v>
      </c>
      <c r="M539" s="140">
        <v>0</v>
      </c>
      <c r="N539" s="143">
        <v>0</v>
      </c>
      <c r="O539" s="140">
        <v>0.18</v>
      </c>
      <c r="P539" s="145">
        <f>(Purchase[[#This Row],[Gross Amount]]-Purchase[[#This Row],[Disct %]])*Purchase[[#This Row],[GST %]]</f>
        <v>3689.2799999999997</v>
      </c>
      <c r="Q539" s="145">
        <f>Purchase[[#This Row],[Gross Amount]]-Purchase[[#This Row],[Disct Amnt]]+Purchase[[#This Row],[GST Amount]]</f>
        <v>24185.279999999999</v>
      </c>
      <c r="R539" s="138" t="s">
        <v>1019</v>
      </c>
      <c r="S539" s="41">
        <f>IF(Purchase[[#This Row],[Status]]="Cancelled",0,Purchase[[#This Row],[Qty]])</f>
        <v>28</v>
      </c>
      <c r="T539" s="146">
        <f>IF(Purchase[[#This Row],[Status]]="Cancelled",0,Purchase[[#This Row],[Total Amount]])</f>
        <v>24185.279999999999</v>
      </c>
      <c r="U539" s="146">
        <f>SUM(Purchase[Net Amount])</f>
        <v>814985438.68000126</v>
      </c>
    </row>
    <row r="540" spans="1:21" ht="19.5" thickBot="1" x14ac:dyDescent="0.3">
      <c r="A540" s="136" t="s">
        <v>1577</v>
      </c>
      <c r="B540" s="137">
        <v>45684</v>
      </c>
      <c r="C540" s="138" t="s">
        <v>566</v>
      </c>
      <c r="D540" s="138" t="str">
        <f>VLOOKUP(Purchase[[#This Row],[Supplier ID]],Supplier[#All],2,0)</f>
        <v>Maa Computers</v>
      </c>
      <c r="E540" s="138">
        <f>VLOOKUP(Purchase[[#This Row],[Supplier ID]],Supplier[#All],3,0)</f>
        <v>9689542452</v>
      </c>
      <c r="F540" s="138" t="str">
        <f>VLOOKUP(Purchase[[#This Row],[Supplier ID]],Supplier[#All],4,0)</f>
        <v>Kanpur</v>
      </c>
      <c r="G540" s="138" t="str">
        <f>VLOOKUP(Purchase[[#This Row],[Supplier ID]],Supplier[#All],5,0)</f>
        <v>UP</v>
      </c>
      <c r="H540" s="138" t="str">
        <f>VLOOKUP(Purchase[[#This Row],[Supplier ID]],Supplier[#All],6,0)</f>
        <v>GST2154521T014</v>
      </c>
      <c r="I540" s="138" t="s">
        <v>211</v>
      </c>
      <c r="J540" s="139">
        <v>9</v>
      </c>
      <c r="K540" s="143">
        <f>VLOOKUP(Purchase[[#This Row],[Product ID]],Product[#All],6,0)</f>
        <v>13782</v>
      </c>
      <c r="L540" s="143">
        <f>Purchase[[#This Row],[Purchase Rate]]*Purchase[[#This Row],[Qty]]</f>
        <v>124038</v>
      </c>
      <c r="M540" s="140">
        <v>0</v>
      </c>
      <c r="N540" s="143">
        <v>0</v>
      </c>
      <c r="O540" s="140">
        <v>0.18</v>
      </c>
      <c r="P540" s="145">
        <f>(Purchase[[#This Row],[Gross Amount]]-Purchase[[#This Row],[Disct %]])*Purchase[[#This Row],[GST %]]</f>
        <v>22326.84</v>
      </c>
      <c r="Q540" s="145">
        <f>Purchase[[#This Row],[Gross Amount]]-Purchase[[#This Row],[Disct Amnt]]+Purchase[[#This Row],[GST Amount]]</f>
        <v>146364.84</v>
      </c>
      <c r="R540" s="138" t="s">
        <v>1019</v>
      </c>
      <c r="S540" s="41">
        <f>IF(Purchase[[#This Row],[Status]]="Cancelled",0,Purchase[[#This Row],[Qty]])</f>
        <v>9</v>
      </c>
      <c r="T540" s="146">
        <f>IF(Purchase[[#This Row],[Status]]="Cancelled",0,Purchase[[#This Row],[Total Amount]])</f>
        <v>146364.84</v>
      </c>
      <c r="U540" s="146">
        <f>SUM(Purchase[Net Amount])</f>
        <v>814985438.68000126</v>
      </c>
    </row>
    <row r="541" spans="1:21" ht="19.5" thickBot="1" x14ac:dyDescent="0.3">
      <c r="A541" s="136" t="s">
        <v>1578</v>
      </c>
      <c r="B541" s="137">
        <v>45684</v>
      </c>
      <c r="C541" s="138" t="s">
        <v>596</v>
      </c>
      <c r="D541" s="138" t="str">
        <f>VLOOKUP(Purchase[[#This Row],[Supplier ID]],Supplier[#All],2,0)</f>
        <v>star traders</v>
      </c>
      <c r="E541" s="138">
        <f>VLOOKUP(Purchase[[#This Row],[Supplier ID]],Supplier[#All],3,0)</f>
        <v>9689542479</v>
      </c>
      <c r="F541" s="138" t="str">
        <f>VLOOKUP(Purchase[[#This Row],[Supplier ID]],Supplier[#All],4,0)</f>
        <v>Korba</v>
      </c>
      <c r="G541" s="138" t="str">
        <f>VLOOKUP(Purchase[[#This Row],[Supplier ID]],Supplier[#All],5,0)</f>
        <v>CG</v>
      </c>
      <c r="H541" s="138" t="str">
        <f>VLOOKUP(Purchase[[#This Row],[Supplier ID]],Supplier[#All],6,0)</f>
        <v>GST2154521T041</v>
      </c>
      <c r="I541" s="138" t="s">
        <v>269</v>
      </c>
      <c r="J541" s="139">
        <v>37</v>
      </c>
      <c r="K541" s="143">
        <f>VLOOKUP(Purchase[[#This Row],[Product ID]],Product[#All],6,0)</f>
        <v>8657</v>
      </c>
      <c r="L541" s="143">
        <f>Purchase[[#This Row],[Purchase Rate]]*Purchase[[#This Row],[Qty]]</f>
        <v>320309</v>
      </c>
      <c r="M541" s="140">
        <v>0</v>
      </c>
      <c r="N541" s="143">
        <v>0</v>
      </c>
      <c r="O541" s="140">
        <v>0.18</v>
      </c>
      <c r="P541" s="145">
        <f>(Purchase[[#This Row],[Gross Amount]]-Purchase[[#This Row],[Disct %]])*Purchase[[#This Row],[GST %]]</f>
        <v>57655.619999999995</v>
      </c>
      <c r="Q541" s="145">
        <f>Purchase[[#This Row],[Gross Amount]]-Purchase[[#This Row],[Disct Amnt]]+Purchase[[#This Row],[GST Amount]]</f>
        <v>377964.62</v>
      </c>
      <c r="R541" s="138" t="s">
        <v>1019</v>
      </c>
      <c r="S541" s="41">
        <f>IF(Purchase[[#This Row],[Status]]="Cancelled",0,Purchase[[#This Row],[Qty]])</f>
        <v>37</v>
      </c>
      <c r="T541" s="146">
        <f>IF(Purchase[[#This Row],[Status]]="Cancelled",0,Purchase[[#This Row],[Total Amount]])</f>
        <v>377964.62</v>
      </c>
      <c r="U541" s="146">
        <f>SUM(Purchase[Net Amount])</f>
        <v>814985438.68000126</v>
      </c>
    </row>
    <row r="542" spans="1:21" ht="19.5" thickBot="1" x14ac:dyDescent="0.3">
      <c r="A542" s="136" t="s">
        <v>1579</v>
      </c>
      <c r="B542" s="137">
        <v>45684</v>
      </c>
      <c r="C542" s="138" t="s">
        <v>588</v>
      </c>
      <c r="D542" s="138" t="str">
        <f>VLOOKUP(Purchase[[#This Row],[Supplier ID]],Supplier[#All],2,0)</f>
        <v>Star Electronics</v>
      </c>
      <c r="E542" s="138">
        <f>VLOOKUP(Purchase[[#This Row],[Supplier ID]],Supplier[#All],3,0)</f>
        <v>9689542472</v>
      </c>
      <c r="F542" s="138" t="str">
        <f>VLOOKUP(Purchase[[#This Row],[Supplier ID]],Supplier[#All],4,0)</f>
        <v>Korba</v>
      </c>
      <c r="G542" s="138" t="str">
        <f>VLOOKUP(Purchase[[#This Row],[Supplier ID]],Supplier[#All],5,0)</f>
        <v>CG</v>
      </c>
      <c r="H542" s="138" t="str">
        <f>VLOOKUP(Purchase[[#This Row],[Supplier ID]],Supplier[#All],6,0)</f>
        <v>GST2154521T034</v>
      </c>
      <c r="I542" s="138" t="s">
        <v>186</v>
      </c>
      <c r="J542" s="139">
        <v>2</v>
      </c>
      <c r="K542" s="143">
        <f>VLOOKUP(Purchase[[#This Row],[Product ID]],Product[#All],6,0)</f>
        <v>9529</v>
      </c>
      <c r="L542" s="143">
        <f>Purchase[[#This Row],[Purchase Rate]]*Purchase[[#This Row],[Qty]]</f>
        <v>19058</v>
      </c>
      <c r="M542" s="140">
        <v>0</v>
      </c>
      <c r="N542" s="143">
        <v>0</v>
      </c>
      <c r="O542" s="140">
        <v>0.18</v>
      </c>
      <c r="P542" s="145">
        <f>(Purchase[[#This Row],[Gross Amount]]-Purchase[[#This Row],[Disct %]])*Purchase[[#This Row],[GST %]]</f>
        <v>3430.44</v>
      </c>
      <c r="Q542" s="145">
        <f>Purchase[[#This Row],[Gross Amount]]-Purchase[[#This Row],[Disct Amnt]]+Purchase[[#This Row],[GST Amount]]</f>
        <v>22488.44</v>
      </c>
      <c r="R542" s="138" t="s">
        <v>1019</v>
      </c>
      <c r="S542" s="41">
        <f>IF(Purchase[[#This Row],[Status]]="Cancelled",0,Purchase[[#This Row],[Qty]])</f>
        <v>2</v>
      </c>
      <c r="T542" s="146">
        <f>IF(Purchase[[#This Row],[Status]]="Cancelled",0,Purchase[[#This Row],[Total Amount]])</f>
        <v>22488.44</v>
      </c>
      <c r="U542" s="146">
        <f>SUM(Purchase[Net Amount])</f>
        <v>814985438.68000126</v>
      </c>
    </row>
    <row r="543" spans="1:21" ht="19.5" thickBot="1" x14ac:dyDescent="0.3">
      <c r="A543" s="136" t="s">
        <v>1580</v>
      </c>
      <c r="B543" s="137">
        <v>45684</v>
      </c>
      <c r="C543" s="138" t="s">
        <v>582</v>
      </c>
      <c r="D543" s="138" t="str">
        <f>VLOOKUP(Purchase[[#This Row],[Supplier ID]],Supplier[#All],2,0)</f>
        <v>Tech Distributors</v>
      </c>
      <c r="E543" s="138">
        <f>VLOOKUP(Purchase[[#This Row],[Supplier ID]],Supplier[#All],3,0)</f>
        <v>9689542466</v>
      </c>
      <c r="F543" s="138" t="str">
        <f>VLOOKUP(Purchase[[#This Row],[Supplier ID]],Supplier[#All],4,0)</f>
        <v>Indore</v>
      </c>
      <c r="G543" s="138" t="str">
        <f>VLOOKUP(Purchase[[#This Row],[Supplier ID]],Supplier[#All],5,0)</f>
        <v>MP</v>
      </c>
      <c r="H543" s="138" t="str">
        <f>VLOOKUP(Purchase[[#This Row],[Supplier ID]],Supplier[#All],6,0)</f>
        <v>GST2154521T028</v>
      </c>
      <c r="I543" s="138" t="s">
        <v>474</v>
      </c>
      <c r="J543" s="139">
        <v>12</v>
      </c>
      <c r="K543" s="143">
        <f>VLOOKUP(Purchase[[#This Row],[Product ID]],Product[#All],6,0)</f>
        <v>1027</v>
      </c>
      <c r="L543" s="143">
        <f>Purchase[[#This Row],[Purchase Rate]]*Purchase[[#This Row],[Qty]]</f>
        <v>12324</v>
      </c>
      <c r="M543" s="140">
        <v>0</v>
      </c>
      <c r="N543" s="143">
        <v>0</v>
      </c>
      <c r="O543" s="140">
        <v>0.18</v>
      </c>
      <c r="P543" s="145">
        <f>(Purchase[[#This Row],[Gross Amount]]-Purchase[[#This Row],[Disct %]])*Purchase[[#This Row],[GST %]]</f>
        <v>2218.3199999999997</v>
      </c>
      <c r="Q543" s="145">
        <f>Purchase[[#This Row],[Gross Amount]]-Purchase[[#This Row],[Disct Amnt]]+Purchase[[#This Row],[GST Amount]]</f>
        <v>14542.32</v>
      </c>
      <c r="R543" s="138" t="s">
        <v>1019</v>
      </c>
      <c r="S543" s="41">
        <f>IF(Purchase[[#This Row],[Status]]="Cancelled",0,Purchase[[#This Row],[Qty]])</f>
        <v>12</v>
      </c>
      <c r="T543" s="146">
        <f>IF(Purchase[[#This Row],[Status]]="Cancelled",0,Purchase[[#This Row],[Total Amount]])</f>
        <v>14542.32</v>
      </c>
      <c r="U543" s="146">
        <f>SUM(Purchase[Net Amount])</f>
        <v>814985438.68000126</v>
      </c>
    </row>
    <row r="544" spans="1:21" ht="19.5" thickBot="1" x14ac:dyDescent="0.3">
      <c r="A544" s="136" t="s">
        <v>1581</v>
      </c>
      <c r="B544" s="137">
        <v>45684</v>
      </c>
      <c r="C544" s="138" t="s">
        <v>586</v>
      </c>
      <c r="D544" s="138" t="str">
        <f>VLOOKUP(Purchase[[#This Row],[Supplier ID]],Supplier[#All],2,0)</f>
        <v>Maa Traders</v>
      </c>
      <c r="E544" s="138">
        <f>VLOOKUP(Purchase[[#This Row],[Supplier ID]],Supplier[#All],3,0)</f>
        <v>9689542470</v>
      </c>
      <c r="F544" s="138" t="str">
        <f>VLOOKUP(Purchase[[#This Row],[Supplier ID]],Supplier[#All],4,0)</f>
        <v>Kanpur</v>
      </c>
      <c r="G544" s="138" t="str">
        <f>VLOOKUP(Purchase[[#This Row],[Supplier ID]],Supplier[#All],5,0)</f>
        <v>UP</v>
      </c>
      <c r="H544" s="138" t="str">
        <f>VLOOKUP(Purchase[[#This Row],[Supplier ID]],Supplier[#All],6,0)</f>
        <v>GST2154521T032</v>
      </c>
      <c r="I544" s="138" t="s">
        <v>426</v>
      </c>
      <c r="J544" s="139">
        <v>12</v>
      </c>
      <c r="K544" s="143">
        <f>VLOOKUP(Purchase[[#This Row],[Product ID]],Product[#All],6,0)</f>
        <v>4401</v>
      </c>
      <c r="L544" s="143">
        <f>Purchase[[#This Row],[Purchase Rate]]*Purchase[[#This Row],[Qty]]</f>
        <v>52812</v>
      </c>
      <c r="M544" s="140">
        <v>0</v>
      </c>
      <c r="N544" s="143">
        <v>0</v>
      </c>
      <c r="O544" s="140">
        <v>0.18</v>
      </c>
      <c r="P544" s="145">
        <f>(Purchase[[#This Row],[Gross Amount]]-Purchase[[#This Row],[Disct %]])*Purchase[[#This Row],[GST %]]</f>
        <v>9506.16</v>
      </c>
      <c r="Q544" s="145">
        <f>Purchase[[#This Row],[Gross Amount]]-Purchase[[#This Row],[Disct Amnt]]+Purchase[[#This Row],[GST Amount]]</f>
        <v>62318.16</v>
      </c>
      <c r="R544" s="138" t="s">
        <v>1019</v>
      </c>
      <c r="S544" s="41">
        <f>IF(Purchase[[#This Row],[Status]]="Cancelled",0,Purchase[[#This Row],[Qty]])</f>
        <v>12</v>
      </c>
      <c r="T544" s="146">
        <f>IF(Purchase[[#This Row],[Status]]="Cancelled",0,Purchase[[#This Row],[Total Amount]])</f>
        <v>62318.16</v>
      </c>
      <c r="U544" s="146">
        <f>SUM(Purchase[Net Amount])</f>
        <v>814985438.68000126</v>
      </c>
    </row>
    <row r="545" spans="1:21" ht="19.5" thickBot="1" x14ac:dyDescent="0.3">
      <c r="A545" s="136" t="s">
        <v>1582</v>
      </c>
      <c r="B545" s="137">
        <v>45684</v>
      </c>
      <c r="C545" s="138" t="s">
        <v>598</v>
      </c>
      <c r="D545" s="138" t="str">
        <f>VLOOKUP(Purchase[[#This Row],[Supplier ID]],Supplier[#All],2,0)</f>
        <v>National Distributors</v>
      </c>
      <c r="E545" s="138">
        <f>VLOOKUP(Purchase[[#This Row],[Supplier ID]],Supplier[#All],3,0)</f>
        <v>9689542489</v>
      </c>
      <c r="F545" s="138" t="str">
        <f>VLOOKUP(Purchase[[#This Row],[Supplier ID]],Supplier[#All],4,0)</f>
        <v>Indore</v>
      </c>
      <c r="G545" s="138" t="str">
        <f>VLOOKUP(Purchase[[#This Row],[Supplier ID]],Supplier[#All],5,0)</f>
        <v>MP</v>
      </c>
      <c r="H545" s="138" t="str">
        <f>VLOOKUP(Purchase[[#This Row],[Supplier ID]],Supplier[#All],6,0)</f>
        <v>GST2154521T043</v>
      </c>
      <c r="I545" s="138" t="s">
        <v>246</v>
      </c>
      <c r="J545" s="139">
        <v>36</v>
      </c>
      <c r="K545" s="143">
        <f>VLOOKUP(Purchase[[#This Row],[Product ID]],Product[#All],6,0)</f>
        <v>1375</v>
      </c>
      <c r="L545" s="143">
        <f>Purchase[[#This Row],[Purchase Rate]]*Purchase[[#This Row],[Qty]]</f>
        <v>49500</v>
      </c>
      <c r="M545" s="140">
        <v>0</v>
      </c>
      <c r="N545" s="143">
        <v>0</v>
      </c>
      <c r="O545" s="140">
        <v>0.18</v>
      </c>
      <c r="P545" s="145">
        <f>(Purchase[[#This Row],[Gross Amount]]-Purchase[[#This Row],[Disct %]])*Purchase[[#This Row],[GST %]]</f>
        <v>8910</v>
      </c>
      <c r="Q545" s="145">
        <f>Purchase[[#This Row],[Gross Amount]]-Purchase[[#This Row],[Disct Amnt]]+Purchase[[#This Row],[GST Amount]]</f>
        <v>58410</v>
      </c>
      <c r="R545" s="138" t="s">
        <v>1019</v>
      </c>
      <c r="S545" s="41">
        <f>IF(Purchase[[#This Row],[Status]]="Cancelled",0,Purchase[[#This Row],[Qty]])</f>
        <v>36</v>
      </c>
      <c r="T545" s="146">
        <f>IF(Purchase[[#This Row],[Status]]="Cancelled",0,Purchase[[#This Row],[Total Amount]])</f>
        <v>58410</v>
      </c>
      <c r="U545" s="146">
        <f>SUM(Purchase[Net Amount])</f>
        <v>814985438.68000126</v>
      </c>
    </row>
    <row r="546" spans="1:21" ht="19.5" thickBot="1" x14ac:dyDescent="0.3">
      <c r="A546" s="136" t="s">
        <v>1583</v>
      </c>
      <c r="B546" s="137">
        <v>45684</v>
      </c>
      <c r="C546" s="138" t="s">
        <v>606</v>
      </c>
      <c r="D546" s="138" t="str">
        <f>VLOOKUP(Purchase[[#This Row],[Supplier ID]],Supplier[#All],2,0)</f>
        <v>Prime Traders</v>
      </c>
      <c r="E546" s="138">
        <f>VLOOKUP(Purchase[[#This Row],[Supplier ID]],Supplier[#All],3,0)</f>
        <v>9689542489</v>
      </c>
      <c r="F546" s="138" t="str">
        <f>VLOOKUP(Purchase[[#This Row],[Supplier ID]],Supplier[#All],4,0)</f>
        <v>Indore</v>
      </c>
      <c r="G546" s="138" t="str">
        <f>VLOOKUP(Purchase[[#This Row],[Supplier ID]],Supplier[#All],5,0)</f>
        <v>MP</v>
      </c>
      <c r="H546" s="138" t="str">
        <f>VLOOKUP(Purchase[[#This Row],[Supplier ID]],Supplier[#All],6,0)</f>
        <v>GST2154521T051</v>
      </c>
      <c r="I546" s="138" t="s">
        <v>151</v>
      </c>
      <c r="J546" s="139">
        <v>17</v>
      </c>
      <c r="K546" s="143">
        <f>VLOOKUP(Purchase[[#This Row],[Product ID]],Product[#All],6,0)</f>
        <v>5716</v>
      </c>
      <c r="L546" s="143">
        <f>Purchase[[#This Row],[Purchase Rate]]*Purchase[[#This Row],[Qty]]</f>
        <v>97172</v>
      </c>
      <c r="M546" s="140">
        <v>0</v>
      </c>
      <c r="N546" s="143">
        <v>0</v>
      </c>
      <c r="O546" s="140">
        <v>0.18</v>
      </c>
      <c r="P546" s="145">
        <f>(Purchase[[#This Row],[Gross Amount]]-Purchase[[#This Row],[Disct %]])*Purchase[[#This Row],[GST %]]</f>
        <v>17490.96</v>
      </c>
      <c r="Q546" s="145">
        <f>Purchase[[#This Row],[Gross Amount]]-Purchase[[#This Row],[Disct Amnt]]+Purchase[[#This Row],[GST Amount]]</f>
        <v>114662.95999999999</v>
      </c>
      <c r="R546" s="138" t="s">
        <v>1019</v>
      </c>
      <c r="S546" s="41">
        <f>IF(Purchase[[#This Row],[Status]]="Cancelled",0,Purchase[[#This Row],[Qty]])</f>
        <v>17</v>
      </c>
      <c r="T546" s="146">
        <f>IF(Purchase[[#This Row],[Status]]="Cancelled",0,Purchase[[#This Row],[Total Amount]])</f>
        <v>114662.95999999999</v>
      </c>
      <c r="U546" s="146">
        <f>SUM(Purchase[Net Amount])</f>
        <v>814985438.68000126</v>
      </c>
    </row>
    <row r="547" spans="1:21" ht="19.5" thickBot="1" x14ac:dyDescent="0.3">
      <c r="A547" s="136" t="s">
        <v>1584</v>
      </c>
      <c r="B547" s="137">
        <v>45684</v>
      </c>
      <c r="C547" s="138" t="s">
        <v>569</v>
      </c>
      <c r="D547" s="138" t="str">
        <f>VLOOKUP(Purchase[[#This Row],[Supplier ID]],Supplier[#All],2,0)</f>
        <v>Tech Electronics</v>
      </c>
      <c r="E547" s="138">
        <f>VLOOKUP(Purchase[[#This Row],[Supplier ID]],Supplier[#All],3,0)</f>
        <v>9689542455</v>
      </c>
      <c r="F547" s="138" t="str">
        <f>VLOOKUP(Purchase[[#This Row],[Supplier ID]],Supplier[#All],4,0)</f>
        <v>Korba</v>
      </c>
      <c r="G547" s="138" t="str">
        <f>VLOOKUP(Purchase[[#This Row],[Supplier ID]],Supplier[#All],5,0)</f>
        <v>CG</v>
      </c>
      <c r="H547" s="138" t="str">
        <f>VLOOKUP(Purchase[[#This Row],[Supplier ID]],Supplier[#All],6,0)</f>
        <v>GST2154521T017</v>
      </c>
      <c r="I547" s="138" t="s">
        <v>521</v>
      </c>
      <c r="J547" s="139">
        <v>30</v>
      </c>
      <c r="K547" s="143">
        <f>VLOOKUP(Purchase[[#This Row],[Product ID]],Product[#All],6,0)</f>
        <v>2442</v>
      </c>
      <c r="L547" s="143">
        <f>Purchase[[#This Row],[Purchase Rate]]*Purchase[[#This Row],[Qty]]</f>
        <v>73260</v>
      </c>
      <c r="M547" s="140">
        <v>0</v>
      </c>
      <c r="N547" s="143">
        <v>0</v>
      </c>
      <c r="O547" s="140">
        <v>0.18</v>
      </c>
      <c r="P547" s="145">
        <f>(Purchase[[#This Row],[Gross Amount]]-Purchase[[#This Row],[Disct %]])*Purchase[[#This Row],[GST %]]</f>
        <v>13186.8</v>
      </c>
      <c r="Q547" s="145">
        <f>Purchase[[#This Row],[Gross Amount]]-Purchase[[#This Row],[Disct Amnt]]+Purchase[[#This Row],[GST Amount]]</f>
        <v>86446.8</v>
      </c>
      <c r="R547" s="138" t="s">
        <v>1019</v>
      </c>
      <c r="S547" s="41">
        <f>IF(Purchase[[#This Row],[Status]]="Cancelled",0,Purchase[[#This Row],[Qty]])</f>
        <v>30</v>
      </c>
      <c r="T547" s="146">
        <f>IF(Purchase[[#This Row],[Status]]="Cancelled",0,Purchase[[#This Row],[Total Amount]])</f>
        <v>86446.8</v>
      </c>
      <c r="U547" s="146">
        <f>SUM(Purchase[Net Amount])</f>
        <v>814985438.68000126</v>
      </c>
    </row>
    <row r="548" spans="1:21" ht="19.5" thickBot="1" x14ac:dyDescent="0.3">
      <c r="A548" s="136" t="s">
        <v>1585</v>
      </c>
      <c r="B548" s="137">
        <v>45684</v>
      </c>
      <c r="C548" s="138" t="s">
        <v>568</v>
      </c>
      <c r="D548" s="138" t="str">
        <f>VLOOKUP(Purchase[[#This Row],[Supplier ID]],Supplier[#All],2,0)</f>
        <v>Maa Computers</v>
      </c>
      <c r="E548" s="138">
        <f>VLOOKUP(Purchase[[#This Row],[Supplier ID]],Supplier[#All],3,0)</f>
        <v>9689542454</v>
      </c>
      <c r="F548" s="138" t="str">
        <f>VLOOKUP(Purchase[[#This Row],[Supplier ID]],Supplier[#All],4,0)</f>
        <v>Korba</v>
      </c>
      <c r="G548" s="138" t="str">
        <f>VLOOKUP(Purchase[[#This Row],[Supplier ID]],Supplier[#All],5,0)</f>
        <v>CG</v>
      </c>
      <c r="H548" s="138" t="str">
        <f>VLOOKUP(Purchase[[#This Row],[Supplier ID]],Supplier[#All],6,0)</f>
        <v>GST2154521T016</v>
      </c>
      <c r="I548" s="138" t="s">
        <v>209</v>
      </c>
      <c r="J548" s="139">
        <v>37</v>
      </c>
      <c r="K548" s="143">
        <f>VLOOKUP(Purchase[[#This Row],[Product ID]],Product[#All],6,0)</f>
        <v>46511</v>
      </c>
      <c r="L548" s="143">
        <f>Purchase[[#This Row],[Purchase Rate]]*Purchase[[#This Row],[Qty]]</f>
        <v>1720907</v>
      </c>
      <c r="M548" s="140">
        <v>0</v>
      </c>
      <c r="N548" s="143">
        <v>0</v>
      </c>
      <c r="O548" s="140">
        <v>0.18</v>
      </c>
      <c r="P548" s="145">
        <f>(Purchase[[#This Row],[Gross Amount]]-Purchase[[#This Row],[Disct %]])*Purchase[[#This Row],[GST %]]</f>
        <v>309763.26</v>
      </c>
      <c r="Q548" s="145">
        <f>Purchase[[#This Row],[Gross Amount]]-Purchase[[#This Row],[Disct Amnt]]+Purchase[[#This Row],[GST Amount]]</f>
        <v>2030670.26</v>
      </c>
      <c r="R548" s="138" t="s">
        <v>1019</v>
      </c>
      <c r="S548" s="41">
        <f>IF(Purchase[[#This Row],[Status]]="Cancelled",0,Purchase[[#This Row],[Qty]])</f>
        <v>37</v>
      </c>
      <c r="T548" s="146">
        <f>IF(Purchase[[#This Row],[Status]]="Cancelled",0,Purchase[[#This Row],[Total Amount]])</f>
        <v>2030670.26</v>
      </c>
      <c r="U548" s="146">
        <f>SUM(Purchase[Net Amount])</f>
        <v>814985438.68000126</v>
      </c>
    </row>
    <row r="549" spans="1:21" ht="19.5" thickBot="1" x14ac:dyDescent="0.3">
      <c r="A549" s="136" t="s">
        <v>1586</v>
      </c>
      <c r="B549" s="137">
        <v>45685</v>
      </c>
      <c r="C549" s="138" t="s">
        <v>1332</v>
      </c>
      <c r="D549" s="138" t="str">
        <f>VLOOKUP(Purchase[[#This Row],[Supplier ID]],Supplier[#All],2,0)</f>
        <v>National Computers</v>
      </c>
      <c r="E549" s="138">
        <f>VLOOKUP(Purchase[[#This Row],[Supplier ID]],Supplier[#All],3,0)</f>
        <v>9689542495</v>
      </c>
      <c r="F549" s="138" t="str">
        <f>VLOOKUP(Purchase[[#This Row],[Supplier ID]],Supplier[#All],4,0)</f>
        <v>Indore</v>
      </c>
      <c r="G549" s="138" t="str">
        <f>VLOOKUP(Purchase[[#This Row],[Supplier ID]],Supplier[#All],5,0)</f>
        <v>MP</v>
      </c>
      <c r="H549" s="138" t="str">
        <f>VLOOKUP(Purchase[[#This Row],[Supplier ID]],Supplier[#All],6,0)</f>
        <v>GST2154521T057</v>
      </c>
      <c r="I549" s="138" t="s">
        <v>136</v>
      </c>
      <c r="J549" s="139">
        <v>30</v>
      </c>
      <c r="K549" s="143">
        <f>VLOOKUP(Purchase[[#This Row],[Product ID]],Product[#All],6,0)</f>
        <v>29405</v>
      </c>
      <c r="L549" s="143">
        <f>Purchase[[#This Row],[Purchase Rate]]*Purchase[[#This Row],[Qty]]</f>
        <v>882150</v>
      </c>
      <c r="M549" s="140">
        <v>0</v>
      </c>
      <c r="N549" s="143">
        <v>0</v>
      </c>
      <c r="O549" s="140">
        <v>0.18</v>
      </c>
      <c r="P549" s="145">
        <f>(Purchase[[#This Row],[Gross Amount]]-Purchase[[#This Row],[Disct %]])*Purchase[[#This Row],[GST %]]</f>
        <v>158787</v>
      </c>
      <c r="Q549" s="145">
        <f>Purchase[[#This Row],[Gross Amount]]-Purchase[[#This Row],[Disct Amnt]]+Purchase[[#This Row],[GST Amount]]</f>
        <v>1040937</v>
      </c>
      <c r="R549" s="138" t="s">
        <v>1019</v>
      </c>
      <c r="S549" s="41">
        <f>IF(Purchase[[#This Row],[Status]]="Cancelled",0,Purchase[[#This Row],[Qty]])</f>
        <v>30</v>
      </c>
      <c r="T549" s="146">
        <f>IF(Purchase[[#This Row],[Status]]="Cancelled",0,Purchase[[#This Row],[Total Amount]])</f>
        <v>1040937</v>
      </c>
      <c r="U549" s="146">
        <f>SUM(Purchase[Net Amount])</f>
        <v>814985438.68000126</v>
      </c>
    </row>
    <row r="550" spans="1:21" ht="19.5" thickBot="1" x14ac:dyDescent="0.3">
      <c r="A550" s="136" t="s">
        <v>1587</v>
      </c>
      <c r="B550" s="137">
        <v>45685</v>
      </c>
      <c r="C550" s="138" t="s">
        <v>607</v>
      </c>
      <c r="D550" s="138" t="str">
        <f>VLOOKUP(Purchase[[#This Row],[Supplier ID]],Supplier[#All],2,0)</f>
        <v>Global Distributors</v>
      </c>
      <c r="E550" s="138">
        <f>VLOOKUP(Purchase[[#This Row],[Supplier ID]],Supplier[#All],3,0)</f>
        <v>9689542490</v>
      </c>
      <c r="F550" s="138" t="str">
        <f>VLOOKUP(Purchase[[#This Row],[Supplier ID]],Supplier[#All],4,0)</f>
        <v>Kanpur</v>
      </c>
      <c r="G550" s="138" t="str">
        <f>VLOOKUP(Purchase[[#This Row],[Supplier ID]],Supplier[#All],5,0)</f>
        <v>UP</v>
      </c>
      <c r="H550" s="138" t="str">
        <f>VLOOKUP(Purchase[[#This Row],[Supplier ID]],Supplier[#All],6,0)</f>
        <v>GST2154521T052</v>
      </c>
      <c r="I550" s="138" t="s">
        <v>176</v>
      </c>
      <c r="J550" s="139">
        <v>26</v>
      </c>
      <c r="K550" s="143">
        <f>VLOOKUP(Purchase[[#This Row],[Product ID]],Product[#All],6,0)</f>
        <v>14825</v>
      </c>
      <c r="L550" s="143">
        <f>Purchase[[#This Row],[Purchase Rate]]*Purchase[[#This Row],[Qty]]</f>
        <v>385450</v>
      </c>
      <c r="M550" s="140">
        <v>0</v>
      </c>
      <c r="N550" s="143">
        <v>0</v>
      </c>
      <c r="O550" s="140">
        <v>0.18</v>
      </c>
      <c r="P550" s="145">
        <f>(Purchase[[#This Row],[Gross Amount]]-Purchase[[#This Row],[Disct %]])*Purchase[[#This Row],[GST %]]</f>
        <v>69381</v>
      </c>
      <c r="Q550" s="145">
        <f>Purchase[[#This Row],[Gross Amount]]-Purchase[[#This Row],[Disct Amnt]]+Purchase[[#This Row],[GST Amount]]</f>
        <v>454831</v>
      </c>
      <c r="R550" s="138" t="s">
        <v>1019</v>
      </c>
      <c r="S550" s="41">
        <f>IF(Purchase[[#This Row],[Status]]="Cancelled",0,Purchase[[#This Row],[Qty]])</f>
        <v>26</v>
      </c>
      <c r="T550" s="146">
        <f>IF(Purchase[[#This Row],[Status]]="Cancelled",0,Purchase[[#This Row],[Total Amount]])</f>
        <v>454831</v>
      </c>
      <c r="U550" s="146">
        <f>SUM(Purchase[Net Amount])</f>
        <v>814985438.68000126</v>
      </c>
    </row>
    <row r="551" spans="1:21" ht="19.5" thickBot="1" x14ac:dyDescent="0.3">
      <c r="A551" s="136" t="s">
        <v>1588</v>
      </c>
      <c r="B551" s="137">
        <v>45685</v>
      </c>
      <c r="C551" s="138" t="s">
        <v>604</v>
      </c>
      <c r="D551" s="138" t="str">
        <f>VLOOKUP(Purchase[[#This Row],[Supplier ID]],Supplier[#All],2,0)</f>
        <v>Prime Traders</v>
      </c>
      <c r="E551" s="138">
        <f>VLOOKUP(Purchase[[#This Row],[Supplier ID]],Supplier[#All],3,0)</f>
        <v>9689542487</v>
      </c>
      <c r="F551" s="138" t="str">
        <f>VLOOKUP(Purchase[[#This Row],[Supplier ID]],Supplier[#All],4,0)</f>
        <v>Indore</v>
      </c>
      <c r="G551" s="138" t="str">
        <f>VLOOKUP(Purchase[[#This Row],[Supplier ID]],Supplier[#All],5,0)</f>
        <v>MP</v>
      </c>
      <c r="H551" s="138" t="str">
        <f>VLOOKUP(Purchase[[#This Row],[Supplier ID]],Supplier[#All],6,0)</f>
        <v>GST2154521T049</v>
      </c>
      <c r="I551" s="138" t="s">
        <v>534</v>
      </c>
      <c r="J551" s="139">
        <v>10</v>
      </c>
      <c r="K551" s="143">
        <f>VLOOKUP(Purchase[[#This Row],[Product ID]],Product[#All],6,0)</f>
        <v>31624</v>
      </c>
      <c r="L551" s="143">
        <f>Purchase[[#This Row],[Purchase Rate]]*Purchase[[#This Row],[Qty]]</f>
        <v>316240</v>
      </c>
      <c r="M551" s="140">
        <v>0</v>
      </c>
      <c r="N551" s="143">
        <v>0</v>
      </c>
      <c r="O551" s="140">
        <v>0.18</v>
      </c>
      <c r="P551" s="145">
        <f>(Purchase[[#This Row],[Gross Amount]]-Purchase[[#This Row],[Disct %]])*Purchase[[#This Row],[GST %]]</f>
        <v>56923.199999999997</v>
      </c>
      <c r="Q551" s="145">
        <f>Purchase[[#This Row],[Gross Amount]]-Purchase[[#This Row],[Disct Amnt]]+Purchase[[#This Row],[GST Amount]]</f>
        <v>373163.2</v>
      </c>
      <c r="R551" s="138" t="s">
        <v>1019</v>
      </c>
      <c r="S551" s="41">
        <f>IF(Purchase[[#This Row],[Status]]="Cancelled",0,Purchase[[#This Row],[Qty]])</f>
        <v>10</v>
      </c>
      <c r="T551" s="146">
        <f>IF(Purchase[[#This Row],[Status]]="Cancelled",0,Purchase[[#This Row],[Total Amount]])</f>
        <v>373163.2</v>
      </c>
      <c r="U551" s="146">
        <f>SUM(Purchase[Net Amount])</f>
        <v>814985438.68000126</v>
      </c>
    </row>
    <row r="552" spans="1:21" ht="19.5" thickBot="1" x14ac:dyDescent="0.3">
      <c r="A552" s="136" t="s">
        <v>1589</v>
      </c>
      <c r="B552" s="137">
        <v>45685</v>
      </c>
      <c r="C552" s="138" t="s">
        <v>8746</v>
      </c>
      <c r="D552" s="138" t="str">
        <f>VLOOKUP(Purchase[[#This Row],[Supplier ID]],Supplier[#All],2,0)</f>
        <v>Tech Computers</v>
      </c>
      <c r="E552" s="138">
        <f>VLOOKUP(Purchase[[#This Row],[Supplier ID]],Supplier[#All],3,0)</f>
        <v>9689542486</v>
      </c>
      <c r="F552" s="138" t="str">
        <f>VLOOKUP(Purchase[[#This Row],[Supplier ID]],Supplier[#All],4,0)</f>
        <v>Indore</v>
      </c>
      <c r="G552" s="138" t="str">
        <f>VLOOKUP(Purchase[[#This Row],[Supplier ID]],Supplier[#All],5,0)</f>
        <v>MP</v>
      </c>
      <c r="H552" s="138" t="str">
        <f>VLOOKUP(Purchase[[#This Row],[Supplier ID]],Supplier[#All],6,0)</f>
        <v>GST2154521T048</v>
      </c>
      <c r="I552" s="138" t="s">
        <v>372</v>
      </c>
      <c r="J552" s="139">
        <v>8</v>
      </c>
      <c r="K552" s="143">
        <f>VLOOKUP(Purchase[[#This Row],[Product ID]],Product[#All],6,0)</f>
        <v>441</v>
      </c>
      <c r="L552" s="143">
        <f>Purchase[[#This Row],[Purchase Rate]]*Purchase[[#This Row],[Qty]]</f>
        <v>3528</v>
      </c>
      <c r="M552" s="140">
        <v>0</v>
      </c>
      <c r="N552" s="143">
        <v>0</v>
      </c>
      <c r="O552" s="140">
        <v>0.18</v>
      </c>
      <c r="P552" s="145">
        <f>(Purchase[[#This Row],[Gross Amount]]-Purchase[[#This Row],[Disct %]])*Purchase[[#This Row],[GST %]]</f>
        <v>635.04</v>
      </c>
      <c r="Q552" s="145">
        <f>Purchase[[#This Row],[Gross Amount]]-Purchase[[#This Row],[Disct Amnt]]+Purchase[[#This Row],[GST Amount]]</f>
        <v>4163.04</v>
      </c>
      <c r="R552" s="138" t="s">
        <v>1019</v>
      </c>
      <c r="S552" s="41">
        <f>IF(Purchase[[#This Row],[Status]]="Cancelled",0,Purchase[[#This Row],[Qty]])</f>
        <v>8</v>
      </c>
      <c r="T552" s="146">
        <f>IF(Purchase[[#This Row],[Status]]="Cancelled",0,Purchase[[#This Row],[Total Amount]])</f>
        <v>4163.04</v>
      </c>
      <c r="U552" s="146">
        <f>SUM(Purchase[Net Amount])</f>
        <v>814985438.68000126</v>
      </c>
    </row>
    <row r="553" spans="1:21" ht="19.5" thickBot="1" x14ac:dyDescent="0.3">
      <c r="A553" s="136" t="s">
        <v>1590</v>
      </c>
      <c r="B553" s="137">
        <v>45685</v>
      </c>
      <c r="C553" s="138" t="s">
        <v>606</v>
      </c>
      <c r="D553" s="138" t="str">
        <f>VLOOKUP(Purchase[[#This Row],[Supplier ID]],Supplier[#All],2,0)</f>
        <v>Prime Traders</v>
      </c>
      <c r="E553" s="138">
        <f>VLOOKUP(Purchase[[#This Row],[Supplier ID]],Supplier[#All],3,0)</f>
        <v>9689542489</v>
      </c>
      <c r="F553" s="138" t="str">
        <f>VLOOKUP(Purchase[[#This Row],[Supplier ID]],Supplier[#All],4,0)</f>
        <v>Indore</v>
      </c>
      <c r="G553" s="138" t="str">
        <f>VLOOKUP(Purchase[[#This Row],[Supplier ID]],Supplier[#All],5,0)</f>
        <v>MP</v>
      </c>
      <c r="H553" s="138" t="str">
        <f>VLOOKUP(Purchase[[#This Row],[Supplier ID]],Supplier[#All],6,0)</f>
        <v>GST2154521T051</v>
      </c>
      <c r="I553" s="138" t="s">
        <v>450</v>
      </c>
      <c r="J553" s="139">
        <v>14</v>
      </c>
      <c r="K553" s="143">
        <f>VLOOKUP(Purchase[[#This Row],[Product ID]],Product[#All],6,0)</f>
        <v>1034</v>
      </c>
      <c r="L553" s="143">
        <f>Purchase[[#This Row],[Purchase Rate]]*Purchase[[#This Row],[Qty]]</f>
        <v>14476</v>
      </c>
      <c r="M553" s="140">
        <v>0</v>
      </c>
      <c r="N553" s="143">
        <v>0</v>
      </c>
      <c r="O553" s="140">
        <v>0.18</v>
      </c>
      <c r="P553" s="145">
        <f>(Purchase[[#This Row],[Gross Amount]]-Purchase[[#This Row],[Disct %]])*Purchase[[#This Row],[GST %]]</f>
        <v>2605.6799999999998</v>
      </c>
      <c r="Q553" s="145">
        <f>Purchase[[#This Row],[Gross Amount]]-Purchase[[#This Row],[Disct Amnt]]+Purchase[[#This Row],[GST Amount]]</f>
        <v>17081.68</v>
      </c>
      <c r="R553" s="138" t="s">
        <v>1019</v>
      </c>
      <c r="S553" s="41">
        <f>IF(Purchase[[#This Row],[Status]]="Cancelled",0,Purchase[[#This Row],[Qty]])</f>
        <v>14</v>
      </c>
      <c r="T553" s="146">
        <f>IF(Purchase[[#This Row],[Status]]="Cancelled",0,Purchase[[#This Row],[Total Amount]])</f>
        <v>17081.68</v>
      </c>
      <c r="U553" s="146">
        <f>SUM(Purchase[Net Amount])</f>
        <v>814985438.68000126</v>
      </c>
    </row>
    <row r="554" spans="1:21" ht="19.5" thickBot="1" x14ac:dyDescent="0.3">
      <c r="A554" s="136" t="s">
        <v>1591</v>
      </c>
      <c r="B554" s="137">
        <v>45685</v>
      </c>
      <c r="C554" s="138" t="s">
        <v>593</v>
      </c>
      <c r="D554" s="138" t="str">
        <f>VLOOKUP(Purchase[[#This Row],[Supplier ID]],Supplier[#All],2,0)</f>
        <v>Global Suppliers</v>
      </c>
      <c r="E554" s="138">
        <f>VLOOKUP(Purchase[[#This Row],[Supplier ID]],Supplier[#All],3,0)</f>
        <v>9689542476</v>
      </c>
      <c r="F554" s="138" t="str">
        <f>VLOOKUP(Purchase[[#This Row],[Supplier ID]],Supplier[#All],4,0)</f>
        <v>Korba</v>
      </c>
      <c r="G554" s="138" t="str">
        <f>VLOOKUP(Purchase[[#This Row],[Supplier ID]],Supplier[#All],5,0)</f>
        <v>CG</v>
      </c>
      <c r="H554" s="138" t="str">
        <f>VLOOKUP(Purchase[[#This Row],[Supplier ID]],Supplier[#All],6,0)</f>
        <v>GST2154521T038</v>
      </c>
      <c r="I554" s="138" t="s">
        <v>298</v>
      </c>
      <c r="J554" s="139">
        <v>10</v>
      </c>
      <c r="K554" s="143">
        <f>VLOOKUP(Purchase[[#This Row],[Product ID]],Product[#All],6,0)</f>
        <v>19959</v>
      </c>
      <c r="L554" s="143">
        <f>Purchase[[#This Row],[Purchase Rate]]*Purchase[[#This Row],[Qty]]</f>
        <v>199590</v>
      </c>
      <c r="M554" s="140">
        <v>0</v>
      </c>
      <c r="N554" s="143">
        <v>0</v>
      </c>
      <c r="O554" s="140">
        <v>0.18</v>
      </c>
      <c r="P554" s="145">
        <f>(Purchase[[#This Row],[Gross Amount]]-Purchase[[#This Row],[Disct %]])*Purchase[[#This Row],[GST %]]</f>
        <v>35926.199999999997</v>
      </c>
      <c r="Q554" s="145">
        <f>Purchase[[#This Row],[Gross Amount]]-Purchase[[#This Row],[Disct Amnt]]+Purchase[[#This Row],[GST Amount]]</f>
        <v>235516.2</v>
      </c>
      <c r="R554" s="138" t="s">
        <v>1019</v>
      </c>
      <c r="S554" s="41">
        <f>IF(Purchase[[#This Row],[Status]]="Cancelled",0,Purchase[[#This Row],[Qty]])</f>
        <v>10</v>
      </c>
      <c r="T554" s="146">
        <f>IF(Purchase[[#This Row],[Status]]="Cancelled",0,Purchase[[#This Row],[Total Amount]])</f>
        <v>235516.2</v>
      </c>
      <c r="U554" s="146">
        <f>SUM(Purchase[Net Amount])</f>
        <v>814985438.68000126</v>
      </c>
    </row>
    <row r="555" spans="1:21" ht="19.5" thickBot="1" x14ac:dyDescent="0.3">
      <c r="A555" s="136" t="s">
        <v>1592</v>
      </c>
      <c r="B555" s="137">
        <v>45685</v>
      </c>
      <c r="C555" s="138" t="s">
        <v>595</v>
      </c>
      <c r="D555" s="138" t="str">
        <f>VLOOKUP(Purchase[[#This Row],[Supplier ID]],Supplier[#All],2,0)</f>
        <v>Star Computers</v>
      </c>
      <c r="E555" s="138">
        <f>VLOOKUP(Purchase[[#This Row],[Supplier ID]],Supplier[#All],3,0)</f>
        <v>9689542478</v>
      </c>
      <c r="F555" s="138" t="str">
        <f>VLOOKUP(Purchase[[#This Row],[Supplier ID]],Supplier[#All],4,0)</f>
        <v>Kanpur</v>
      </c>
      <c r="G555" s="138" t="str">
        <f>VLOOKUP(Purchase[[#This Row],[Supplier ID]],Supplier[#All],5,0)</f>
        <v>UP</v>
      </c>
      <c r="H555" s="138" t="str">
        <f>VLOOKUP(Purchase[[#This Row],[Supplier ID]],Supplier[#All],6,0)</f>
        <v>GST2154521T040</v>
      </c>
      <c r="I555" s="138" t="s">
        <v>49</v>
      </c>
      <c r="J555" s="139">
        <v>25</v>
      </c>
      <c r="K555" s="143">
        <f>VLOOKUP(Purchase[[#This Row],[Product ID]],Product[#All],6,0)</f>
        <v>798</v>
      </c>
      <c r="L555" s="143">
        <f>Purchase[[#This Row],[Purchase Rate]]*Purchase[[#This Row],[Qty]]</f>
        <v>19950</v>
      </c>
      <c r="M555" s="140">
        <v>0</v>
      </c>
      <c r="N555" s="143">
        <v>0</v>
      </c>
      <c r="O555" s="140">
        <v>0.18</v>
      </c>
      <c r="P555" s="145">
        <f>(Purchase[[#This Row],[Gross Amount]]-Purchase[[#This Row],[Disct %]])*Purchase[[#This Row],[GST %]]</f>
        <v>3591</v>
      </c>
      <c r="Q555" s="145">
        <f>Purchase[[#This Row],[Gross Amount]]-Purchase[[#This Row],[Disct Amnt]]+Purchase[[#This Row],[GST Amount]]</f>
        <v>23541</v>
      </c>
      <c r="R555" s="138" t="s">
        <v>1019</v>
      </c>
      <c r="S555" s="41">
        <f>IF(Purchase[[#This Row],[Status]]="Cancelled",0,Purchase[[#This Row],[Qty]])</f>
        <v>25</v>
      </c>
      <c r="T555" s="146">
        <f>IF(Purchase[[#This Row],[Status]]="Cancelled",0,Purchase[[#This Row],[Total Amount]])</f>
        <v>23541</v>
      </c>
      <c r="U555" s="146">
        <f>SUM(Purchase[Net Amount])</f>
        <v>814985438.68000126</v>
      </c>
    </row>
    <row r="556" spans="1:21" ht="19.5" thickBot="1" x14ac:dyDescent="0.3">
      <c r="A556" s="136" t="s">
        <v>1593</v>
      </c>
      <c r="B556" s="137">
        <v>45685</v>
      </c>
      <c r="C556" s="138" t="s">
        <v>602</v>
      </c>
      <c r="D556" s="138" t="str">
        <f>VLOOKUP(Purchase[[#This Row],[Supplier ID]],Supplier[#All],2,0)</f>
        <v>Maa Computers</v>
      </c>
      <c r="E556" s="138">
        <f>VLOOKUP(Purchase[[#This Row],[Supplier ID]],Supplier[#All],3,0)</f>
        <v>9689542485</v>
      </c>
      <c r="F556" s="138" t="str">
        <f>VLOOKUP(Purchase[[#This Row],[Supplier ID]],Supplier[#All],4,0)</f>
        <v>Korba</v>
      </c>
      <c r="G556" s="138" t="str">
        <f>VLOOKUP(Purchase[[#This Row],[Supplier ID]],Supplier[#All],5,0)</f>
        <v>CG</v>
      </c>
      <c r="H556" s="138" t="str">
        <f>VLOOKUP(Purchase[[#This Row],[Supplier ID]],Supplier[#All],6,0)</f>
        <v>GST2154521T047</v>
      </c>
      <c r="I556" s="138" t="s">
        <v>178</v>
      </c>
      <c r="J556" s="139">
        <v>37</v>
      </c>
      <c r="K556" s="143">
        <f>VLOOKUP(Purchase[[#This Row],[Product ID]],Product[#All],6,0)</f>
        <v>8325</v>
      </c>
      <c r="L556" s="143">
        <f>Purchase[[#This Row],[Purchase Rate]]*Purchase[[#This Row],[Qty]]</f>
        <v>308025</v>
      </c>
      <c r="M556" s="140">
        <v>0</v>
      </c>
      <c r="N556" s="143">
        <v>0</v>
      </c>
      <c r="O556" s="140">
        <v>0.18</v>
      </c>
      <c r="P556" s="145">
        <f>(Purchase[[#This Row],[Gross Amount]]-Purchase[[#This Row],[Disct %]])*Purchase[[#This Row],[GST %]]</f>
        <v>55444.5</v>
      </c>
      <c r="Q556" s="145">
        <f>Purchase[[#This Row],[Gross Amount]]-Purchase[[#This Row],[Disct Amnt]]+Purchase[[#This Row],[GST Amount]]</f>
        <v>363469.5</v>
      </c>
      <c r="R556" s="138" t="s">
        <v>1019</v>
      </c>
      <c r="S556" s="41">
        <f>IF(Purchase[[#This Row],[Status]]="Cancelled",0,Purchase[[#This Row],[Qty]])</f>
        <v>37</v>
      </c>
      <c r="T556" s="146">
        <f>IF(Purchase[[#This Row],[Status]]="Cancelled",0,Purchase[[#This Row],[Total Amount]])</f>
        <v>363469.5</v>
      </c>
      <c r="U556" s="146">
        <f>SUM(Purchase[Net Amount])</f>
        <v>814985438.68000126</v>
      </c>
    </row>
    <row r="557" spans="1:21" ht="19.5" thickBot="1" x14ac:dyDescent="0.3">
      <c r="A557" s="136" t="s">
        <v>1594</v>
      </c>
      <c r="B557" s="137">
        <v>45685</v>
      </c>
      <c r="C557" s="138" t="s">
        <v>567</v>
      </c>
      <c r="D557" s="138" t="str">
        <f>VLOOKUP(Purchase[[#This Row],[Supplier ID]],Supplier[#All],2,0)</f>
        <v>National Distributors</v>
      </c>
      <c r="E557" s="138">
        <f>VLOOKUP(Purchase[[#This Row],[Supplier ID]],Supplier[#All],3,0)</f>
        <v>9689542453</v>
      </c>
      <c r="F557" s="138" t="str">
        <f>VLOOKUP(Purchase[[#This Row],[Supplier ID]],Supplier[#All],4,0)</f>
        <v>Korba</v>
      </c>
      <c r="G557" s="138" t="str">
        <f>VLOOKUP(Purchase[[#This Row],[Supplier ID]],Supplier[#All],5,0)</f>
        <v>CG</v>
      </c>
      <c r="H557" s="138" t="str">
        <f>VLOOKUP(Purchase[[#This Row],[Supplier ID]],Supplier[#All],6,0)</f>
        <v>GST2154521T015</v>
      </c>
      <c r="I557" s="138" t="s">
        <v>296</v>
      </c>
      <c r="J557" s="139">
        <v>30</v>
      </c>
      <c r="K557" s="143">
        <f>VLOOKUP(Purchase[[#This Row],[Product ID]],Product[#All],6,0)</f>
        <v>4747</v>
      </c>
      <c r="L557" s="143">
        <f>Purchase[[#This Row],[Purchase Rate]]*Purchase[[#This Row],[Qty]]</f>
        <v>142410</v>
      </c>
      <c r="M557" s="140">
        <v>0</v>
      </c>
      <c r="N557" s="143">
        <v>0</v>
      </c>
      <c r="O557" s="140">
        <v>0.18</v>
      </c>
      <c r="P557" s="145">
        <f>(Purchase[[#This Row],[Gross Amount]]-Purchase[[#This Row],[Disct %]])*Purchase[[#This Row],[GST %]]</f>
        <v>25633.8</v>
      </c>
      <c r="Q557" s="145">
        <f>Purchase[[#This Row],[Gross Amount]]-Purchase[[#This Row],[Disct Amnt]]+Purchase[[#This Row],[GST Amount]]</f>
        <v>168043.8</v>
      </c>
      <c r="R557" s="138" t="s">
        <v>1019</v>
      </c>
      <c r="S557" s="41">
        <f>IF(Purchase[[#This Row],[Status]]="Cancelled",0,Purchase[[#This Row],[Qty]])</f>
        <v>30</v>
      </c>
      <c r="T557" s="146">
        <f>IF(Purchase[[#This Row],[Status]]="Cancelled",0,Purchase[[#This Row],[Total Amount]])</f>
        <v>168043.8</v>
      </c>
      <c r="U557" s="146">
        <f>SUM(Purchase[Net Amount])</f>
        <v>814985438.68000126</v>
      </c>
    </row>
    <row r="558" spans="1:21" ht="19.5" thickBot="1" x14ac:dyDescent="0.3">
      <c r="A558" s="136" t="s">
        <v>1595</v>
      </c>
      <c r="B558" s="137">
        <v>45685</v>
      </c>
      <c r="C558" s="138" t="s">
        <v>600</v>
      </c>
      <c r="D558" s="138" t="str">
        <f>VLOOKUP(Purchase[[#This Row],[Supplier ID]],Supplier[#All],2,0)</f>
        <v>Prime Suppliers</v>
      </c>
      <c r="E558" s="138">
        <f>VLOOKUP(Purchase[[#This Row],[Supplier ID]],Supplier[#All],3,0)</f>
        <v>9689542483</v>
      </c>
      <c r="F558" s="138" t="str">
        <f>VLOOKUP(Purchase[[#This Row],[Supplier ID]],Supplier[#All],4,0)</f>
        <v>Korba</v>
      </c>
      <c r="G558" s="138" t="str">
        <f>VLOOKUP(Purchase[[#This Row],[Supplier ID]],Supplier[#All],5,0)</f>
        <v>CG</v>
      </c>
      <c r="H558" s="138" t="str">
        <f>VLOOKUP(Purchase[[#This Row],[Supplier ID]],Supplier[#All],6,0)</f>
        <v>GST2154521T045</v>
      </c>
      <c r="I558" s="138" t="s">
        <v>36</v>
      </c>
      <c r="J558" s="139">
        <v>12</v>
      </c>
      <c r="K558" s="143">
        <f>VLOOKUP(Purchase[[#This Row],[Product ID]],Product[#All],6,0)</f>
        <v>2303</v>
      </c>
      <c r="L558" s="143">
        <f>Purchase[[#This Row],[Purchase Rate]]*Purchase[[#This Row],[Qty]]</f>
        <v>27636</v>
      </c>
      <c r="M558" s="140">
        <v>0</v>
      </c>
      <c r="N558" s="143">
        <v>0</v>
      </c>
      <c r="O558" s="140">
        <v>0.18</v>
      </c>
      <c r="P558" s="145">
        <f>(Purchase[[#This Row],[Gross Amount]]-Purchase[[#This Row],[Disct %]])*Purchase[[#This Row],[GST %]]</f>
        <v>4974.4799999999996</v>
      </c>
      <c r="Q558" s="145">
        <f>Purchase[[#This Row],[Gross Amount]]-Purchase[[#This Row],[Disct Amnt]]+Purchase[[#This Row],[GST Amount]]</f>
        <v>32610.48</v>
      </c>
      <c r="R558" s="138" t="s">
        <v>1019</v>
      </c>
      <c r="S558" s="41">
        <f>IF(Purchase[[#This Row],[Status]]="Cancelled",0,Purchase[[#This Row],[Qty]])</f>
        <v>12</v>
      </c>
      <c r="T558" s="146">
        <f>IF(Purchase[[#This Row],[Status]]="Cancelled",0,Purchase[[#This Row],[Total Amount]])</f>
        <v>32610.48</v>
      </c>
      <c r="U558" s="146">
        <f>SUM(Purchase[Net Amount])</f>
        <v>814985438.68000126</v>
      </c>
    </row>
    <row r="559" spans="1:21" ht="19.5" thickBot="1" x14ac:dyDescent="0.3">
      <c r="A559" s="136" t="s">
        <v>1596</v>
      </c>
      <c r="B559" s="137">
        <v>45685</v>
      </c>
      <c r="C559" s="138" t="s">
        <v>613</v>
      </c>
      <c r="D559" s="138" t="str">
        <f>VLOOKUP(Purchase[[#This Row],[Supplier ID]],Supplier[#All],2,0)</f>
        <v>National Traders</v>
      </c>
      <c r="E559" s="138">
        <f>VLOOKUP(Purchase[[#This Row],[Supplier ID]],Supplier[#All],3,0)</f>
        <v>9689542496</v>
      </c>
      <c r="F559" s="138" t="str">
        <f>VLOOKUP(Purchase[[#This Row],[Supplier ID]],Supplier[#All],4,0)</f>
        <v>Indore</v>
      </c>
      <c r="G559" s="138" t="str">
        <f>VLOOKUP(Purchase[[#This Row],[Supplier ID]],Supplier[#All],5,0)</f>
        <v>MP</v>
      </c>
      <c r="H559" s="138" t="str">
        <f>VLOOKUP(Purchase[[#This Row],[Supplier ID]],Supplier[#All],6,0)</f>
        <v>GST2154521T058</v>
      </c>
      <c r="I559" s="138" t="s">
        <v>104</v>
      </c>
      <c r="J559" s="139">
        <v>7</v>
      </c>
      <c r="K559" s="143">
        <f>VLOOKUP(Purchase[[#This Row],[Product ID]],Product[#All],6,0)</f>
        <v>39369</v>
      </c>
      <c r="L559" s="143">
        <f>Purchase[[#This Row],[Purchase Rate]]*Purchase[[#This Row],[Qty]]</f>
        <v>275583</v>
      </c>
      <c r="M559" s="140">
        <v>0</v>
      </c>
      <c r="N559" s="143">
        <v>0</v>
      </c>
      <c r="O559" s="140">
        <v>0.18</v>
      </c>
      <c r="P559" s="145">
        <f>(Purchase[[#This Row],[Gross Amount]]-Purchase[[#This Row],[Disct %]])*Purchase[[#This Row],[GST %]]</f>
        <v>49604.939999999995</v>
      </c>
      <c r="Q559" s="145">
        <f>Purchase[[#This Row],[Gross Amount]]-Purchase[[#This Row],[Disct Amnt]]+Purchase[[#This Row],[GST Amount]]</f>
        <v>325187.94</v>
      </c>
      <c r="R559" s="138" t="s">
        <v>1019</v>
      </c>
      <c r="S559" s="41">
        <f>IF(Purchase[[#This Row],[Status]]="Cancelled",0,Purchase[[#This Row],[Qty]])</f>
        <v>7</v>
      </c>
      <c r="T559" s="146">
        <f>IF(Purchase[[#This Row],[Status]]="Cancelled",0,Purchase[[#This Row],[Total Amount]])</f>
        <v>325187.94</v>
      </c>
      <c r="U559" s="146">
        <f>SUM(Purchase[Net Amount])</f>
        <v>814985438.68000126</v>
      </c>
    </row>
    <row r="560" spans="1:21" ht="19.5" thickBot="1" x14ac:dyDescent="0.3">
      <c r="A560" s="136" t="s">
        <v>1597</v>
      </c>
      <c r="B560" s="137">
        <v>45685</v>
      </c>
      <c r="C560" s="138" t="s">
        <v>596</v>
      </c>
      <c r="D560" s="138" t="str">
        <f>VLOOKUP(Purchase[[#This Row],[Supplier ID]],Supplier[#All],2,0)</f>
        <v>star traders</v>
      </c>
      <c r="E560" s="138">
        <f>VLOOKUP(Purchase[[#This Row],[Supplier ID]],Supplier[#All],3,0)</f>
        <v>9689542479</v>
      </c>
      <c r="F560" s="138" t="str">
        <f>VLOOKUP(Purchase[[#This Row],[Supplier ID]],Supplier[#All],4,0)</f>
        <v>Korba</v>
      </c>
      <c r="G560" s="138" t="str">
        <f>VLOOKUP(Purchase[[#This Row],[Supplier ID]],Supplier[#All],5,0)</f>
        <v>CG</v>
      </c>
      <c r="H560" s="138" t="str">
        <f>VLOOKUP(Purchase[[#This Row],[Supplier ID]],Supplier[#All],6,0)</f>
        <v>GST2154521T041</v>
      </c>
      <c r="I560" s="138" t="s">
        <v>412</v>
      </c>
      <c r="J560" s="139">
        <v>37</v>
      </c>
      <c r="K560" s="143">
        <f>VLOOKUP(Purchase[[#This Row],[Product ID]],Product[#All],6,0)</f>
        <v>23332</v>
      </c>
      <c r="L560" s="143">
        <f>Purchase[[#This Row],[Purchase Rate]]*Purchase[[#This Row],[Qty]]</f>
        <v>863284</v>
      </c>
      <c r="M560" s="140">
        <v>0</v>
      </c>
      <c r="N560" s="143">
        <v>0</v>
      </c>
      <c r="O560" s="140">
        <v>0.18</v>
      </c>
      <c r="P560" s="145">
        <f>(Purchase[[#This Row],[Gross Amount]]-Purchase[[#This Row],[Disct %]])*Purchase[[#This Row],[GST %]]</f>
        <v>155391.12</v>
      </c>
      <c r="Q560" s="145">
        <f>Purchase[[#This Row],[Gross Amount]]-Purchase[[#This Row],[Disct Amnt]]+Purchase[[#This Row],[GST Amount]]</f>
        <v>1018675.12</v>
      </c>
      <c r="R560" s="138" t="s">
        <v>1019</v>
      </c>
      <c r="S560" s="41">
        <f>IF(Purchase[[#This Row],[Status]]="Cancelled",0,Purchase[[#This Row],[Qty]])</f>
        <v>37</v>
      </c>
      <c r="T560" s="146">
        <f>IF(Purchase[[#This Row],[Status]]="Cancelled",0,Purchase[[#This Row],[Total Amount]])</f>
        <v>1018675.12</v>
      </c>
      <c r="U560" s="146">
        <f>SUM(Purchase[Net Amount])</f>
        <v>814985438.68000126</v>
      </c>
    </row>
    <row r="561" spans="1:21" ht="19.5" thickBot="1" x14ac:dyDescent="0.3">
      <c r="A561" s="136" t="s">
        <v>1598</v>
      </c>
      <c r="B561" s="137">
        <v>45685</v>
      </c>
      <c r="C561" s="138" t="s">
        <v>565</v>
      </c>
      <c r="D561" s="138" t="str">
        <f>VLOOKUP(Purchase[[#This Row],[Supplier ID]],Supplier[#All],2,0)</f>
        <v>Global Suppliers</v>
      </c>
      <c r="E561" s="138">
        <f>VLOOKUP(Purchase[[#This Row],[Supplier ID]],Supplier[#All],3,0)</f>
        <v>9689542459</v>
      </c>
      <c r="F561" s="138" t="str">
        <f>VLOOKUP(Purchase[[#This Row],[Supplier ID]],Supplier[#All],4,0)</f>
        <v>Indore</v>
      </c>
      <c r="G561" s="138" t="str">
        <f>VLOOKUP(Purchase[[#This Row],[Supplier ID]],Supplier[#All],5,0)</f>
        <v>MP</v>
      </c>
      <c r="H561" s="138" t="str">
        <f>VLOOKUP(Purchase[[#This Row],[Supplier ID]],Supplier[#All],6,0)</f>
        <v>GST2154521T013</v>
      </c>
      <c r="I561" s="138" t="s">
        <v>473</v>
      </c>
      <c r="J561" s="139">
        <v>12</v>
      </c>
      <c r="K561" s="143">
        <f>VLOOKUP(Purchase[[#This Row],[Product ID]],Product[#All],6,0)</f>
        <v>2274</v>
      </c>
      <c r="L561" s="143">
        <f>Purchase[[#This Row],[Purchase Rate]]*Purchase[[#This Row],[Qty]]</f>
        <v>27288</v>
      </c>
      <c r="M561" s="140">
        <v>0</v>
      </c>
      <c r="N561" s="143">
        <v>0</v>
      </c>
      <c r="O561" s="140">
        <v>0.18</v>
      </c>
      <c r="P561" s="145">
        <f>(Purchase[[#This Row],[Gross Amount]]-Purchase[[#This Row],[Disct %]])*Purchase[[#This Row],[GST %]]</f>
        <v>4911.84</v>
      </c>
      <c r="Q561" s="145">
        <f>Purchase[[#This Row],[Gross Amount]]-Purchase[[#This Row],[Disct Amnt]]+Purchase[[#This Row],[GST Amount]]</f>
        <v>32199.84</v>
      </c>
      <c r="R561" s="138" t="s">
        <v>1019</v>
      </c>
      <c r="S561" s="41">
        <f>IF(Purchase[[#This Row],[Status]]="Cancelled",0,Purchase[[#This Row],[Qty]])</f>
        <v>12</v>
      </c>
      <c r="T561" s="146">
        <f>IF(Purchase[[#This Row],[Status]]="Cancelled",0,Purchase[[#This Row],[Total Amount]])</f>
        <v>32199.84</v>
      </c>
      <c r="U561" s="146">
        <f>SUM(Purchase[Net Amount])</f>
        <v>814985438.68000126</v>
      </c>
    </row>
    <row r="562" spans="1:21" ht="19.5" thickBot="1" x14ac:dyDescent="0.3">
      <c r="A562" s="136" t="s">
        <v>1599</v>
      </c>
      <c r="B562" s="137">
        <v>45685</v>
      </c>
      <c r="C562" s="138" t="s">
        <v>577</v>
      </c>
      <c r="D562" s="138" t="str">
        <f>VLOOKUP(Purchase[[#This Row],[Supplier ID]],Supplier[#All],2,0)</f>
        <v>National Electronics</v>
      </c>
      <c r="E562" s="138">
        <f>VLOOKUP(Purchase[[#This Row],[Supplier ID]],Supplier[#All],3,0)</f>
        <v>9689542469</v>
      </c>
      <c r="F562" s="138" t="str">
        <f>VLOOKUP(Purchase[[#This Row],[Supplier ID]],Supplier[#All],4,0)</f>
        <v>Korba</v>
      </c>
      <c r="G562" s="138" t="str">
        <f>VLOOKUP(Purchase[[#This Row],[Supplier ID]],Supplier[#All],5,0)</f>
        <v>CG</v>
      </c>
      <c r="H562" s="138" t="str">
        <f>VLOOKUP(Purchase[[#This Row],[Supplier ID]],Supplier[#All],6,0)</f>
        <v>GST2154521T023</v>
      </c>
      <c r="I562" s="138" t="s">
        <v>344</v>
      </c>
      <c r="J562" s="139">
        <v>35</v>
      </c>
      <c r="K562" s="143">
        <f>VLOOKUP(Purchase[[#This Row],[Product ID]],Product[#All],6,0)</f>
        <v>8630</v>
      </c>
      <c r="L562" s="143">
        <f>Purchase[[#This Row],[Purchase Rate]]*Purchase[[#This Row],[Qty]]</f>
        <v>302050</v>
      </c>
      <c r="M562" s="140">
        <v>0</v>
      </c>
      <c r="N562" s="143">
        <v>0</v>
      </c>
      <c r="O562" s="140">
        <v>0.18</v>
      </c>
      <c r="P562" s="145">
        <f>(Purchase[[#This Row],[Gross Amount]]-Purchase[[#This Row],[Disct %]])*Purchase[[#This Row],[GST %]]</f>
        <v>54369</v>
      </c>
      <c r="Q562" s="145">
        <f>Purchase[[#This Row],[Gross Amount]]-Purchase[[#This Row],[Disct Amnt]]+Purchase[[#This Row],[GST Amount]]</f>
        <v>356419</v>
      </c>
      <c r="R562" s="138" t="s">
        <v>1019</v>
      </c>
      <c r="S562" s="41">
        <f>IF(Purchase[[#This Row],[Status]]="Cancelled",0,Purchase[[#This Row],[Qty]])</f>
        <v>35</v>
      </c>
      <c r="T562" s="146">
        <f>IF(Purchase[[#This Row],[Status]]="Cancelled",0,Purchase[[#This Row],[Total Amount]])</f>
        <v>356419</v>
      </c>
      <c r="U562" s="146">
        <f>SUM(Purchase[Net Amount])</f>
        <v>814985438.68000126</v>
      </c>
    </row>
    <row r="563" spans="1:21" ht="19.5" thickBot="1" x14ac:dyDescent="0.3">
      <c r="A563" s="136" t="s">
        <v>1600</v>
      </c>
      <c r="B563" s="137">
        <v>45685</v>
      </c>
      <c r="C563" s="138" t="s">
        <v>589</v>
      </c>
      <c r="D563" s="138" t="str">
        <f>VLOOKUP(Purchase[[#This Row],[Supplier ID]],Supplier[#All],2,0)</f>
        <v>Maa Computers</v>
      </c>
      <c r="E563" s="138">
        <f>VLOOKUP(Purchase[[#This Row],[Supplier ID]],Supplier[#All],3,0)</f>
        <v>9689542473</v>
      </c>
      <c r="F563" s="138" t="str">
        <f>VLOOKUP(Purchase[[#This Row],[Supplier ID]],Supplier[#All],4,0)</f>
        <v>Kanpur</v>
      </c>
      <c r="G563" s="138" t="str">
        <f>VLOOKUP(Purchase[[#This Row],[Supplier ID]],Supplier[#All],5,0)</f>
        <v>UP</v>
      </c>
      <c r="H563" s="138" t="str">
        <f>VLOOKUP(Purchase[[#This Row],[Supplier ID]],Supplier[#All],6,0)</f>
        <v>GST2154521T035</v>
      </c>
      <c r="I563" s="138" t="s">
        <v>380</v>
      </c>
      <c r="J563" s="139">
        <v>33</v>
      </c>
      <c r="K563" s="143">
        <f>VLOOKUP(Purchase[[#This Row],[Product ID]],Product[#All],6,0)</f>
        <v>72229</v>
      </c>
      <c r="L563" s="143">
        <f>Purchase[[#This Row],[Purchase Rate]]*Purchase[[#This Row],[Qty]]</f>
        <v>2383557</v>
      </c>
      <c r="M563" s="140">
        <v>0</v>
      </c>
      <c r="N563" s="143">
        <v>0</v>
      </c>
      <c r="O563" s="140">
        <v>0.18</v>
      </c>
      <c r="P563" s="145">
        <f>(Purchase[[#This Row],[Gross Amount]]-Purchase[[#This Row],[Disct %]])*Purchase[[#This Row],[GST %]]</f>
        <v>429040.26</v>
      </c>
      <c r="Q563" s="145">
        <f>Purchase[[#This Row],[Gross Amount]]-Purchase[[#This Row],[Disct Amnt]]+Purchase[[#This Row],[GST Amount]]</f>
        <v>2812597.26</v>
      </c>
      <c r="R563" s="138" t="s">
        <v>1019</v>
      </c>
      <c r="S563" s="41">
        <f>IF(Purchase[[#This Row],[Status]]="Cancelled",0,Purchase[[#This Row],[Qty]])</f>
        <v>33</v>
      </c>
      <c r="T563" s="146">
        <f>IF(Purchase[[#This Row],[Status]]="Cancelled",0,Purchase[[#This Row],[Total Amount]])</f>
        <v>2812597.26</v>
      </c>
      <c r="U563" s="146">
        <f>SUM(Purchase[Net Amount])</f>
        <v>814985438.68000126</v>
      </c>
    </row>
    <row r="564" spans="1:21" ht="19.5" thickBot="1" x14ac:dyDescent="0.3">
      <c r="A564" s="136" t="s">
        <v>1601</v>
      </c>
      <c r="B564" s="137">
        <v>45685</v>
      </c>
      <c r="C564" s="138" t="s">
        <v>586</v>
      </c>
      <c r="D564" s="138" t="str">
        <f>VLOOKUP(Purchase[[#This Row],[Supplier ID]],Supplier[#All],2,0)</f>
        <v>Maa Traders</v>
      </c>
      <c r="E564" s="138">
        <f>VLOOKUP(Purchase[[#This Row],[Supplier ID]],Supplier[#All],3,0)</f>
        <v>9689542470</v>
      </c>
      <c r="F564" s="138" t="str">
        <f>VLOOKUP(Purchase[[#This Row],[Supplier ID]],Supplier[#All],4,0)</f>
        <v>Kanpur</v>
      </c>
      <c r="G564" s="138" t="str">
        <f>VLOOKUP(Purchase[[#This Row],[Supplier ID]],Supplier[#All],5,0)</f>
        <v>UP</v>
      </c>
      <c r="H564" s="138" t="str">
        <f>VLOOKUP(Purchase[[#This Row],[Supplier ID]],Supplier[#All],6,0)</f>
        <v>GST2154521T032</v>
      </c>
      <c r="I564" s="138" t="s">
        <v>451</v>
      </c>
      <c r="J564" s="139">
        <v>17</v>
      </c>
      <c r="K564" s="143">
        <f>VLOOKUP(Purchase[[#This Row],[Product ID]],Product[#All],6,0)</f>
        <v>28254</v>
      </c>
      <c r="L564" s="143">
        <f>Purchase[[#This Row],[Purchase Rate]]*Purchase[[#This Row],[Qty]]</f>
        <v>480318</v>
      </c>
      <c r="M564" s="140">
        <v>0</v>
      </c>
      <c r="N564" s="143">
        <v>0</v>
      </c>
      <c r="O564" s="140">
        <v>0.18</v>
      </c>
      <c r="P564" s="145">
        <f>(Purchase[[#This Row],[Gross Amount]]-Purchase[[#This Row],[Disct %]])*Purchase[[#This Row],[GST %]]</f>
        <v>86457.239999999991</v>
      </c>
      <c r="Q564" s="145">
        <f>Purchase[[#This Row],[Gross Amount]]-Purchase[[#This Row],[Disct Amnt]]+Purchase[[#This Row],[GST Amount]]</f>
        <v>566775.24</v>
      </c>
      <c r="R564" s="138" t="s">
        <v>1019</v>
      </c>
      <c r="S564" s="41">
        <f>IF(Purchase[[#This Row],[Status]]="Cancelled",0,Purchase[[#This Row],[Qty]])</f>
        <v>17</v>
      </c>
      <c r="T564" s="146">
        <f>IF(Purchase[[#This Row],[Status]]="Cancelled",0,Purchase[[#This Row],[Total Amount]])</f>
        <v>566775.24</v>
      </c>
      <c r="U564" s="146">
        <f>SUM(Purchase[Net Amount])</f>
        <v>814985438.68000126</v>
      </c>
    </row>
    <row r="565" spans="1:21" ht="19.5" thickBot="1" x14ac:dyDescent="0.3">
      <c r="A565" s="136" t="s">
        <v>1602</v>
      </c>
      <c r="B565" s="137">
        <v>45685</v>
      </c>
      <c r="C565" s="138" t="s">
        <v>615</v>
      </c>
      <c r="D565" s="138" t="str">
        <f>VLOOKUP(Purchase[[#This Row],[Supplier ID]],Supplier[#All],2,0)</f>
        <v>NATIONAL ELECTRONICS</v>
      </c>
      <c r="E565" s="138">
        <f>VLOOKUP(Purchase[[#This Row],[Supplier ID]],Supplier[#All],3,0)</f>
        <v>9689542498</v>
      </c>
      <c r="F565" s="138" t="str">
        <f>VLOOKUP(Purchase[[#This Row],[Supplier ID]],Supplier[#All],4,0)</f>
        <v>Kanpur</v>
      </c>
      <c r="G565" s="138" t="str">
        <f>VLOOKUP(Purchase[[#This Row],[Supplier ID]],Supplier[#All],5,0)</f>
        <v>UP</v>
      </c>
      <c r="H565" s="138" t="str">
        <f>VLOOKUP(Purchase[[#This Row],[Supplier ID]],Supplier[#All],6,0)</f>
        <v>GST2154521T060</v>
      </c>
      <c r="I565" s="138" t="s">
        <v>484</v>
      </c>
      <c r="J565" s="139">
        <v>18</v>
      </c>
      <c r="K565" s="143">
        <f>VLOOKUP(Purchase[[#This Row],[Product ID]],Product[#All],6,0)</f>
        <v>53726</v>
      </c>
      <c r="L565" s="143">
        <f>Purchase[[#This Row],[Purchase Rate]]*Purchase[[#This Row],[Qty]]</f>
        <v>967068</v>
      </c>
      <c r="M565" s="140">
        <v>0</v>
      </c>
      <c r="N565" s="143">
        <v>0</v>
      </c>
      <c r="O565" s="140">
        <v>0.18</v>
      </c>
      <c r="P565" s="145">
        <f>(Purchase[[#This Row],[Gross Amount]]-Purchase[[#This Row],[Disct %]])*Purchase[[#This Row],[GST %]]</f>
        <v>174072.24</v>
      </c>
      <c r="Q565" s="145">
        <f>Purchase[[#This Row],[Gross Amount]]-Purchase[[#This Row],[Disct Amnt]]+Purchase[[#This Row],[GST Amount]]</f>
        <v>1141140.24</v>
      </c>
      <c r="R565" s="138" t="s">
        <v>1019</v>
      </c>
      <c r="S565" s="41">
        <f>IF(Purchase[[#This Row],[Status]]="Cancelled",0,Purchase[[#This Row],[Qty]])</f>
        <v>18</v>
      </c>
      <c r="T565" s="146">
        <f>IF(Purchase[[#This Row],[Status]]="Cancelled",0,Purchase[[#This Row],[Total Amount]])</f>
        <v>1141140.24</v>
      </c>
      <c r="U565" s="146">
        <f>SUM(Purchase[Net Amount])</f>
        <v>814985438.68000126</v>
      </c>
    </row>
    <row r="566" spans="1:21" ht="19.5" thickBot="1" x14ac:dyDescent="0.3">
      <c r="A566" s="136" t="s">
        <v>1603</v>
      </c>
      <c r="B566" s="137">
        <v>45685</v>
      </c>
      <c r="C566" s="138" t="s">
        <v>596</v>
      </c>
      <c r="D566" s="138" t="str">
        <f>VLOOKUP(Purchase[[#This Row],[Supplier ID]],Supplier[#All],2,0)</f>
        <v>star traders</v>
      </c>
      <c r="E566" s="138">
        <f>VLOOKUP(Purchase[[#This Row],[Supplier ID]],Supplier[#All],3,0)</f>
        <v>9689542479</v>
      </c>
      <c r="F566" s="138" t="str">
        <f>VLOOKUP(Purchase[[#This Row],[Supplier ID]],Supplier[#All],4,0)</f>
        <v>Korba</v>
      </c>
      <c r="G566" s="138" t="str">
        <f>VLOOKUP(Purchase[[#This Row],[Supplier ID]],Supplier[#All],5,0)</f>
        <v>CG</v>
      </c>
      <c r="H566" s="138" t="str">
        <f>VLOOKUP(Purchase[[#This Row],[Supplier ID]],Supplier[#All],6,0)</f>
        <v>GST2154521T041</v>
      </c>
      <c r="I566" s="138" t="s">
        <v>303</v>
      </c>
      <c r="J566" s="139">
        <v>16</v>
      </c>
      <c r="K566" s="143">
        <f>VLOOKUP(Purchase[[#This Row],[Product ID]],Product[#All],6,0)</f>
        <v>6214</v>
      </c>
      <c r="L566" s="143">
        <f>Purchase[[#This Row],[Purchase Rate]]*Purchase[[#This Row],[Qty]]</f>
        <v>99424</v>
      </c>
      <c r="M566" s="140">
        <v>0</v>
      </c>
      <c r="N566" s="143">
        <v>0</v>
      </c>
      <c r="O566" s="140">
        <v>0.18</v>
      </c>
      <c r="P566" s="145">
        <f>(Purchase[[#This Row],[Gross Amount]]-Purchase[[#This Row],[Disct %]])*Purchase[[#This Row],[GST %]]</f>
        <v>17896.32</v>
      </c>
      <c r="Q566" s="145">
        <f>Purchase[[#This Row],[Gross Amount]]-Purchase[[#This Row],[Disct Amnt]]+Purchase[[#This Row],[GST Amount]]</f>
        <v>117320.32000000001</v>
      </c>
      <c r="R566" s="138" t="s">
        <v>1019</v>
      </c>
      <c r="S566" s="41">
        <f>IF(Purchase[[#This Row],[Status]]="Cancelled",0,Purchase[[#This Row],[Qty]])</f>
        <v>16</v>
      </c>
      <c r="T566" s="146">
        <f>IF(Purchase[[#This Row],[Status]]="Cancelled",0,Purchase[[#This Row],[Total Amount]])</f>
        <v>117320.32000000001</v>
      </c>
      <c r="U566" s="146">
        <f>SUM(Purchase[Net Amount])</f>
        <v>814985438.68000126</v>
      </c>
    </row>
    <row r="567" spans="1:21" ht="19.5" thickBot="1" x14ac:dyDescent="0.3">
      <c r="A567" s="136" t="s">
        <v>1604</v>
      </c>
      <c r="B567" s="137">
        <v>45685</v>
      </c>
      <c r="C567" s="138" t="s">
        <v>573</v>
      </c>
      <c r="D567" s="138" t="str">
        <f>VLOOKUP(Purchase[[#This Row],[Supplier ID]],Supplier[#All],2,0)</f>
        <v>Shree Traders</v>
      </c>
      <c r="E567" s="138">
        <f>VLOOKUP(Purchase[[#This Row],[Supplier ID]],Supplier[#All],3,0)</f>
        <v>9689542458</v>
      </c>
      <c r="F567" s="138" t="str">
        <f>VLOOKUP(Purchase[[#This Row],[Supplier ID]],Supplier[#All],4,0)</f>
        <v>Korba</v>
      </c>
      <c r="G567" s="138" t="str">
        <f>VLOOKUP(Purchase[[#This Row],[Supplier ID]],Supplier[#All],5,0)</f>
        <v>CG</v>
      </c>
      <c r="H567" s="138" t="str">
        <f>VLOOKUP(Purchase[[#This Row],[Supplier ID]],Supplier[#All],6,0)</f>
        <v>GST2154521T020</v>
      </c>
      <c r="I567" s="138" t="s">
        <v>372</v>
      </c>
      <c r="J567" s="139">
        <v>15</v>
      </c>
      <c r="K567" s="143">
        <f>VLOOKUP(Purchase[[#This Row],[Product ID]],Product[#All],6,0)</f>
        <v>441</v>
      </c>
      <c r="L567" s="143">
        <f>Purchase[[#This Row],[Purchase Rate]]*Purchase[[#This Row],[Qty]]</f>
        <v>6615</v>
      </c>
      <c r="M567" s="140">
        <v>0</v>
      </c>
      <c r="N567" s="143">
        <v>0</v>
      </c>
      <c r="O567" s="140">
        <v>0.18</v>
      </c>
      <c r="P567" s="145">
        <f>(Purchase[[#This Row],[Gross Amount]]-Purchase[[#This Row],[Disct %]])*Purchase[[#This Row],[GST %]]</f>
        <v>1190.7</v>
      </c>
      <c r="Q567" s="145">
        <f>Purchase[[#This Row],[Gross Amount]]-Purchase[[#This Row],[Disct Amnt]]+Purchase[[#This Row],[GST Amount]]</f>
        <v>7805.7</v>
      </c>
      <c r="R567" s="138" t="s">
        <v>1019</v>
      </c>
      <c r="S567" s="41">
        <f>IF(Purchase[[#This Row],[Status]]="Cancelled",0,Purchase[[#This Row],[Qty]])</f>
        <v>15</v>
      </c>
      <c r="T567" s="146">
        <f>IF(Purchase[[#This Row],[Status]]="Cancelled",0,Purchase[[#This Row],[Total Amount]])</f>
        <v>7805.7</v>
      </c>
      <c r="U567" s="146">
        <f>SUM(Purchase[Net Amount])</f>
        <v>814985438.68000126</v>
      </c>
    </row>
    <row r="568" spans="1:21" ht="19.5" thickBot="1" x14ac:dyDescent="0.3">
      <c r="A568" s="136" t="s">
        <v>1605</v>
      </c>
      <c r="B568" s="137">
        <v>45685</v>
      </c>
      <c r="C568" s="138" t="s">
        <v>603</v>
      </c>
      <c r="D568" s="138" t="str">
        <f>VLOOKUP(Purchase[[#This Row],[Supplier ID]],Supplier[#All],2,0)</f>
        <v>Tech Computers</v>
      </c>
      <c r="E568" s="138">
        <f>VLOOKUP(Purchase[[#This Row],[Supplier ID]],Supplier[#All],3,0)</f>
        <v>9689542486</v>
      </c>
      <c r="F568" s="138" t="str">
        <f>VLOOKUP(Purchase[[#This Row],[Supplier ID]],Supplier[#All],4,0)</f>
        <v>Indore</v>
      </c>
      <c r="G568" s="138" t="str">
        <f>VLOOKUP(Purchase[[#This Row],[Supplier ID]],Supplier[#All],5,0)</f>
        <v>MP</v>
      </c>
      <c r="H568" s="138" t="str">
        <f>VLOOKUP(Purchase[[#This Row],[Supplier ID]],Supplier[#All],6,0)</f>
        <v>GST2154521T048</v>
      </c>
      <c r="I568" s="138" t="s">
        <v>507</v>
      </c>
      <c r="J568" s="139">
        <v>32</v>
      </c>
      <c r="K568" s="143">
        <f>VLOOKUP(Purchase[[#This Row],[Product ID]],Product[#All],6,0)</f>
        <v>1636</v>
      </c>
      <c r="L568" s="143">
        <f>Purchase[[#This Row],[Purchase Rate]]*Purchase[[#This Row],[Qty]]</f>
        <v>52352</v>
      </c>
      <c r="M568" s="140">
        <v>0</v>
      </c>
      <c r="N568" s="143">
        <v>0</v>
      </c>
      <c r="O568" s="140">
        <v>0.18</v>
      </c>
      <c r="P568" s="145">
        <f>(Purchase[[#This Row],[Gross Amount]]-Purchase[[#This Row],[Disct %]])*Purchase[[#This Row],[GST %]]</f>
        <v>9423.3599999999988</v>
      </c>
      <c r="Q568" s="145">
        <f>Purchase[[#This Row],[Gross Amount]]-Purchase[[#This Row],[Disct Amnt]]+Purchase[[#This Row],[GST Amount]]</f>
        <v>61775.360000000001</v>
      </c>
      <c r="R568" s="138" t="s">
        <v>1019</v>
      </c>
      <c r="S568" s="41">
        <f>IF(Purchase[[#This Row],[Status]]="Cancelled",0,Purchase[[#This Row],[Qty]])</f>
        <v>32</v>
      </c>
      <c r="T568" s="146">
        <f>IF(Purchase[[#This Row],[Status]]="Cancelled",0,Purchase[[#This Row],[Total Amount]])</f>
        <v>61775.360000000001</v>
      </c>
      <c r="U568" s="146">
        <f>SUM(Purchase[Net Amount])</f>
        <v>814985438.68000126</v>
      </c>
    </row>
    <row r="569" spans="1:21" ht="19.5" thickBot="1" x14ac:dyDescent="0.3">
      <c r="A569" s="136" t="s">
        <v>1606</v>
      </c>
      <c r="B569" s="137">
        <v>45685</v>
      </c>
      <c r="C569" s="138" t="s">
        <v>583</v>
      </c>
      <c r="D569" s="138" t="str">
        <f>VLOOKUP(Purchase[[#This Row],[Supplier ID]],Supplier[#All],2,0)</f>
        <v>Shree Distributors</v>
      </c>
      <c r="E569" s="138">
        <f>VLOOKUP(Purchase[[#This Row],[Supplier ID]],Supplier[#All],3,0)</f>
        <v>9689542467</v>
      </c>
      <c r="F569" s="138" t="str">
        <f>VLOOKUP(Purchase[[#This Row],[Supplier ID]],Supplier[#All],4,0)</f>
        <v>Indore</v>
      </c>
      <c r="G569" s="138" t="str">
        <f>VLOOKUP(Purchase[[#This Row],[Supplier ID]],Supplier[#All],5,0)</f>
        <v>MP</v>
      </c>
      <c r="H569" s="138" t="str">
        <f>VLOOKUP(Purchase[[#This Row],[Supplier ID]],Supplier[#All],6,0)</f>
        <v>GST2154521T029</v>
      </c>
      <c r="I569" s="138" t="s">
        <v>169</v>
      </c>
      <c r="J569" s="139">
        <v>30</v>
      </c>
      <c r="K569" s="143">
        <f>VLOOKUP(Purchase[[#This Row],[Product ID]],Product[#All],6,0)</f>
        <v>20157</v>
      </c>
      <c r="L569" s="143">
        <f>Purchase[[#This Row],[Purchase Rate]]*Purchase[[#This Row],[Qty]]</f>
        <v>604710</v>
      </c>
      <c r="M569" s="140">
        <v>0</v>
      </c>
      <c r="N569" s="143">
        <v>0</v>
      </c>
      <c r="O569" s="140">
        <v>0.18</v>
      </c>
      <c r="P569" s="145">
        <f>(Purchase[[#This Row],[Gross Amount]]-Purchase[[#This Row],[Disct %]])*Purchase[[#This Row],[GST %]]</f>
        <v>108847.8</v>
      </c>
      <c r="Q569" s="145">
        <f>Purchase[[#This Row],[Gross Amount]]-Purchase[[#This Row],[Disct Amnt]]+Purchase[[#This Row],[GST Amount]]</f>
        <v>713557.8</v>
      </c>
      <c r="R569" s="138" t="s">
        <v>1019</v>
      </c>
      <c r="S569" s="41">
        <f>IF(Purchase[[#This Row],[Status]]="Cancelled",0,Purchase[[#This Row],[Qty]])</f>
        <v>30</v>
      </c>
      <c r="T569" s="146">
        <f>IF(Purchase[[#This Row],[Status]]="Cancelled",0,Purchase[[#This Row],[Total Amount]])</f>
        <v>713557.8</v>
      </c>
      <c r="U569" s="146">
        <f>SUM(Purchase[Net Amount])</f>
        <v>814985438.68000126</v>
      </c>
    </row>
    <row r="570" spans="1:21" ht="19.5" thickBot="1" x14ac:dyDescent="0.3">
      <c r="A570" s="136" t="s">
        <v>1607</v>
      </c>
      <c r="B570" s="137">
        <v>45685</v>
      </c>
      <c r="C570" s="138" t="s">
        <v>581</v>
      </c>
      <c r="D570" s="138" t="str">
        <f>VLOOKUP(Purchase[[#This Row],[Supplier ID]],Supplier[#All],2,0)</f>
        <v>Prime Electronics</v>
      </c>
      <c r="E570" s="138">
        <f>VLOOKUP(Purchase[[#This Row],[Supplier ID]],Supplier[#All],3,0)</f>
        <v>9689542465</v>
      </c>
      <c r="F570" s="138" t="str">
        <f>VLOOKUP(Purchase[[#This Row],[Supplier ID]],Supplier[#All],4,0)</f>
        <v>Korba</v>
      </c>
      <c r="G570" s="138" t="str">
        <f>VLOOKUP(Purchase[[#This Row],[Supplier ID]],Supplier[#All],5,0)</f>
        <v>CG</v>
      </c>
      <c r="H570" s="138" t="str">
        <f>VLOOKUP(Purchase[[#This Row],[Supplier ID]],Supplier[#All],6,0)</f>
        <v>GST2154521T027</v>
      </c>
      <c r="I570" s="138" t="s">
        <v>408</v>
      </c>
      <c r="J570" s="139">
        <v>9</v>
      </c>
      <c r="K570" s="143">
        <f>VLOOKUP(Purchase[[#This Row],[Product ID]],Product[#All],6,0)</f>
        <v>79437</v>
      </c>
      <c r="L570" s="143">
        <f>Purchase[[#This Row],[Purchase Rate]]*Purchase[[#This Row],[Qty]]</f>
        <v>714933</v>
      </c>
      <c r="M570" s="140">
        <v>0</v>
      </c>
      <c r="N570" s="143">
        <v>0</v>
      </c>
      <c r="O570" s="140">
        <v>0.18</v>
      </c>
      <c r="P570" s="145">
        <f>(Purchase[[#This Row],[Gross Amount]]-Purchase[[#This Row],[Disct %]])*Purchase[[#This Row],[GST %]]</f>
        <v>128687.94</v>
      </c>
      <c r="Q570" s="145">
        <f>Purchase[[#This Row],[Gross Amount]]-Purchase[[#This Row],[Disct Amnt]]+Purchase[[#This Row],[GST Amount]]</f>
        <v>843620.94</v>
      </c>
      <c r="R570" s="138" t="s">
        <v>1019</v>
      </c>
      <c r="S570" s="41">
        <f>IF(Purchase[[#This Row],[Status]]="Cancelled",0,Purchase[[#This Row],[Qty]])</f>
        <v>9</v>
      </c>
      <c r="T570" s="146">
        <f>IF(Purchase[[#This Row],[Status]]="Cancelled",0,Purchase[[#This Row],[Total Amount]])</f>
        <v>843620.94</v>
      </c>
      <c r="U570" s="146">
        <f>SUM(Purchase[Net Amount])</f>
        <v>814985438.68000126</v>
      </c>
    </row>
    <row r="571" spans="1:21" ht="19.5" thickBot="1" x14ac:dyDescent="0.3">
      <c r="A571" s="136" t="s">
        <v>1608</v>
      </c>
      <c r="B571" s="137">
        <v>45685</v>
      </c>
      <c r="C571" s="138" t="s">
        <v>597</v>
      </c>
      <c r="D571" s="138" t="str">
        <f>VLOOKUP(Purchase[[#This Row],[Supplier ID]],Supplier[#All],2,0)</f>
        <v>Tech Traders</v>
      </c>
      <c r="E571" s="138">
        <f>VLOOKUP(Purchase[[#This Row],[Supplier ID]],Supplier[#All],3,0)</f>
        <v>9689542480</v>
      </c>
      <c r="F571" s="138" t="str">
        <f>VLOOKUP(Purchase[[#This Row],[Supplier ID]],Supplier[#All],4,0)</f>
        <v>Kanpur</v>
      </c>
      <c r="G571" s="138" t="str">
        <f>VLOOKUP(Purchase[[#This Row],[Supplier ID]],Supplier[#All],5,0)</f>
        <v>UP</v>
      </c>
      <c r="H571" s="138" t="str">
        <f>VLOOKUP(Purchase[[#This Row],[Supplier ID]],Supplier[#All],6,0)</f>
        <v>GST2154521T042</v>
      </c>
      <c r="I571" s="138" t="s">
        <v>137</v>
      </c>
      <c r="J571" s="139">
        <v>2</v>
      </c>
      <c r="K571" s="143">
        <f>VLOOKUP(Purchase[[#This Row],[Product ID]],Product[#All],6,0)</f>
        <v>6071</v>
      </c>
      <c r="L571" s="143">
        <f>Purchase[[#This Row],[Purchase Rate]]*Purchase[[#This Row],[Qty]]</f>
        <v>12142</v>
      </c>
      <c r="M571" s="140">
        <v>0</v>
      </c>
      <c r="N571" s="143">
        <v>0</v>
      </c>
      <c r="O571" s="140">
        <v>0.18</v>
      </c>
      <c r="P571" s="145">
        <f>(Purchase[[#This Row],[Gross Amount]]-Purchase[[#This Row],[Disct %]])*Purchase[[#This Row],[GST %]]</f>
        <v>2185.56</v>
      </c>
      <c r="Q571" s="145">
        <f>Purchase[[#This Row],[Gross Amount]]-Purchase[[#This Row],[Disct Amnt]]+Purchase[[#This Row],[GST Amount]]</f>
        <v>14327.56</v>
      </c>
      <c r="R571" s="138" t="s">
        <v>1019</v>
      </c>
      <c r="S571" s="41">
        <f>IF(Purchase[[#This Row],[Status]]="Cancelled",0,Purchase[[#This Row],[Qty]])</f>
        <v>2</v>
      </c>
      <c r="T571" s="146">
        <f>IF(Purchase[[#This Row],[Status]]="Cancelled",0,Purchase[[#This Row],[Total Amount]])</f>
        <v>14327.56</v>
      </c>
      <c r="U571" s="146">
        <f>SUM(Purchase[Net Amount])</f>
        <v>814985438.68000126</v>
      </c>
    </row>
    <row r="572" spans="1:21" ht="19.5" thickBot="1" x14ac:dyDescent="0.3">
      <c r="A572" s="136" t="s">
        <v>1609</v>
      </c>
      <c r="B572" s="137">
        <v>45685</v>
      </c>
      <c r="C572" s="138" t="s">
        <v>577</v>
      </c>
      <c r="D572" s="138" t="str">
        <f>VLOOKUP(Purchase[[#This Row],[Supplier ID]],Supplier[#All],2,0)</f>
        <v>National Electronics</v>
      </c>
      <c r="E572" s="138">
        <f>VLOOKUP(Purchase[[#This Row],[Supplier ID]],Supplier[#All],3,0)</f>
        <v>9689542469</v>
      </c>
      <c r="F572" s="138" t="str">
        <f>VLOOKUP(Purchase[[#This Row],[Supplier ID]],Supplier[#All],4,0)</f>
        <v>Korba</v>
      </c>
      <c r="G572" s="138" t="str">
        <f>VLOOKUP(Purchase[[#This Row],[Supplier ID]],Supplier[#All],5,0)</f>
        <v>CG</v>
      </c>
      <c r="H572" s="138" t="str">
        <f>VLOOKUP(Purchase[[#This Row],[Supplier ID]],Supplier[#All],6,0)</f>
        <v>GST2154521T023</v>
      </c>
      <c r="I572" s="138" t="s">
        <v>459</v>
      </c>
      <c r="J572" s="139">
        <v>32</v>
      </c>
      <c r="K572" s="143">
        <f>VLOOKUP(Purchase[[#This Row],[Product ID]],Product[#All],6,0)</f>
        <v>1347</v>
      </c>
      <c r="L572" s="143">
        <f>Purchase[[#This Row],[Purchase Rate]]*Purchase[[#This Row],[Qty]]</f>
        <v>43104</v>
      </c>
      <c r="M572" s="140">
        <v>0</v>
      </c>
      <c r="N572" s="143">
        <v>0</v>
      </c>
      <c r="O572" s="140">
        <v>0.18</v>
      </c>
      <c r="P572" s="145">
        <f>(Purchase[[#This Row],[Gross Amount]]-Purchase[[#This Row],[Disct %]])*Purchase[[#This Row],[GST %]]</f>
        <v>7758.7199999999993</v>
      </c>
      <c r="Q572" s="145">
        <f>Purchase[[#This Row],[Gross Amount]]-Purchase[[#This Row],[Disct Amnt]]+Purchase[[#This Row],[GST Amount]]</f>
        <v>50862.720000000001</v>
      </c>
      <c r="R572" s="138" t="s">
        <v>1019</v>
      </c>
      <c r="S572" s="41">
        <f>IF(Purchase[[#This Row],[Status]]="Cancelled",0,Purchase[[#This Row],[Qty]])</f>
        <v>32</v>
      </c>
      <c r="T572" s="146">
        <f>IF(Purchase[[#This Row],[Status]]="Cancelled",0,Purchase[[#This Row],[Total Amount]])</f>
        <v>50862.720000000001</v>
      </c>
      <c r="U572" s="146">
        <f>SUM(Purchase[Net Amount])</f>
        <v>814985438.68000126</v>
      </c>
    </row>
    <row r="573" spans="1:21" ht="19.5" thickBot="1" x14ac:dyDescent="0.3">
      <c r="A573" s="136" t="s">
        <v>1610</v>
      </c>
      <c r="B573" s="137">
        <v>45686</v>
      </c>
      <c r="C573" s="138" t="s">
        <v>1611</v>
      </c>
      <c r="D573" s="138" t="str">
        <f>VLOOKUP(Purchase[[#This Row],[Supplier ID]],Supplier[#All],2,0)</f>
        <v>Maa Computers</v>
      </c>
      <c r="E573" s="138">
        <f>VLOOKUP(Purchase[[#This Row],[Supplier ID]],Supplier[#All],3,0)</f>
        <v>9689542452</v>
      </c>
      <c r="F573" s="138" t="str">
        <f>VLOOKUP(Purchase[[#This Row],[Supplier ID]],Supplier[#All],4,0)</f>
        <v>Kanpur</v>
      </c>
      <c r="G573" s="138" t="str">
        <f>VLOOKUP(Purchase[[#This Row],[Supplier ID]],Supplier[#All],5,0)</f>
        <v>UP</v>
      </c>
      <c r="H573" s="138" t="str">
        <f>VLOOKUP(Purchase[[#This Row],[Supplier ID]],Supplier[#All],6,0)</f>
        <v>GST2154521T014</v>
      </c>
      <c r="I573" s="138" t="s">
        <v>73</v>
      </c>
      <c r="J573" s="139">
        <v>29</v>
      </c>
      <c r="K573" s="143">
        <f>VLOOKUP(Purchase[[#This Row],[Product ID]],Product[#All],6,0)</f>
        <v>1360</v>
      </c>
      <c r="L573" s="143">
        <f>Purchase[[#This Row],[Purchase Rate]]*Purchase[[#This Row],[Qty]]</f>
        <v>39440</v>
      </c>
      <c r="M573" s="140">
        <v>0</v>
      </c>
      <c r="N573" s="143">
        <v>0</v>
      </c>
      <c r="O573" s="140">
        <v>0.18</v>
      </c>
      <c r="P573" s="145">
        <f>(Purchase[[#This Row],[Gross Amount]]-Purchase[[#This Row],[Disct %]])*Purchase[[#This Row],[GST %]]</f>
        <v>7099.2</v>
      </c>
      <c r="Q573" s="145">
        <f>Purchase[[#This Row],[Gross Amount]]-Purchase[[#This Row],[Disct Amnt]]+Purchase[[#This Row],[GST Amount]]</f>
        <v>46539.199999999997</v>
      </c>
      <c r="R573" s="138" t="s">
        <v>1019</v>
      </c>
      <c r="S573" s="41">
        <f>IF(Purchase[[#This Row],[Status]]="Cancelled",0,Purchase[[#This Row],[Qty]])</f>
        <v>29</v>
      </c>
      <c r="T573" s="146">
        <f>IF(Purchase[[#This Row],[Status]]="Cancelled",0,Purchase[[#This Row],[Total Amount]])</f>
        <v>46539.199999999997</v>
      </c>
      <c r="U573" s="146">
        <f>SUM(Purchase[Net Amount])</f>
        <v>814985438.68000126</v>
      </c>
    </row>
    <row r="574" spans="1:21" ht="19.5" thickBot="1" x14ac:dyDescent="0.3">
      <c r="A574" s="136" t="s">
        <v>1612</v>
      </c>
      <c r="B574" s="137">
        <v>45686</v>
      </c>
      <c r="C574" s="138" t="s">
        <v>588</v>
      </c>
      <c r="D574" s="138" t="str">
        <f>VLOOKUP(Purchase[[#This Row],[Supplier ID]],Supplier[#All],2,0)</f>
        <v>Star Electronics</v>
      </c>
      <c r="E574" s="138">
        <f>VLOOKUP(Purchase[[#This Row],[Supplier ID]],Supplier[#All],3,0)</f>
        <v>9689542472</v>
      </c>
      <c r="F574" s="138" t="str">
        <f>VLOOKUP(Purchase[[#This Row],[Supplier ID]],Supplier[#All],4,0)</f>
        <v>Korba</v>
      </c>
      <c r="G574" s="138" t="str">
        <f>VLOOKUP(Purchase[[#This Row],[Supplier ID]],Supplier[#All],5,0)</f>
        <v>CG</v>
      </c>
      <c r="H574" s="138" t="str">
        <f>VLOOKUP(Purchase[[#This Row],[Supplier ID]],Supplier[#All],6,0)</f>
        <v>GST2154521T034</v>
      </c>
      <c r="I574" s="138" t="s">
        <v>145</v>
      </c>
      <c r="J574" s="139">
        <v>10</v>
      </c>
      <c r="K574" s="143">
        <f>VLOOKUP(Purchase[[#This Row],[Product ID]],Product[#All],6,0)</f>
        <v>7623</v>
      </c>
      <c r="L574" s="143">
        <f>Purchase[[#This Row],[Purchase Rate]]*Purchase[[#This Row],[Qty]]</f>
        <v>76230</v>
      </c>
      <c r="M574" s="140">
        <v>0</v>
      </c>
      <c r="N574" s="143">
        <v>0</v>
      </c>
      <c r="O574" s="140">
        <v>0.18</v>
      </c>
      <c r="P574" s="145">
        <f>(Purchase[[#This Row],[Gross Amount]]-Purchase[[#This Row],[Disct %]])*Purchase[[#This Row],[GST %]]</f>
        <v>13721.4</v>
      </c>
      <c r="Q574" s="145">
        <f>Purchase[[#This Row],[Gross Amount]]-Purchase[[#This Row],[Disct Amnt]]+Purchase[[#This Row],[GST Amount]]</f>
        <v>89951.4</v>
      </c>
      <c r="R574" s="138" t="s">
        <v>1019</v>
      </c>
      <c r="S574" s="41">
        <f>IF(Purchase[[#This Row],[Status]]="Cancelled",0,Purchase[[#This Row],[Qty]])</f>
        <v>10</v>
      </c>
      <c r="T574" s="146">
        <f>IF(Purchase[[#This Row],[Status]]="Cancelled",0,Purchase[[#This Row],[Total Amount]])</f>
        <v>89951.4</v>
      </c>
      <c r="U574" s="146">
        <f>SUM(Purchase[Net Amount])</f>
        <v>814985438.68000126</v>
      </c>
    </row>
    <row r="575" spans="1:21" ht="19.5" thickBot="1" x14ac:dyDescent="0.3">
      <c r="A575" s="136" t="s">
        <v>1613</v>
      </c>
      <c r="B575" s="137">
        <v>45686</v>
      </c>
      <c r="C575" s="138" t="s">
        <v>565</v>
      </c>
      <c r="D575" s="138" t="str">
        <f>VLOOKUP(Purchase[[#This Row],[Supplier ID]],Supplier[#All],2,0)</f>
        <v>Global Suppliers</v>
      </c>
      <c r="E575" s="138">
        <f>VLOOKUP(Purchase[[#This Row],[Supplier ID]],Supplier[#All],3,0)</f>
        <v>9689542459</v>
      </c>
      <c r="F575" s="138" t="str">
        <f>VLOOKUP(Purchase[[#This Row],[Supplier ID]],Supplier[#All],4,0)</f>
        <v>Indore</v>
      </c>
      <c r="G575" s="138" t="str">
        <f>VLOOKUP(Purchase[[#This Row],[Supplier ID]],Supplier[#All],5,0)</f>
        <v>MP</v>
      </c>
      <c r="H575" s="138" t="str">
        <f>VLOOKUP(Purchase[[#This Row],[Supplier ID]],Supplier[#All],6,0)</f>
        <v>GST2154521T013</v>
      </c>
      <c r="I575" s="138" t="s">
        <v>172</v>
      </c>
      <c r="J575" s="139">
        <v>22</v>
      </c>
      <c r="K575" s="143">
        <f>VLOOKUP(Purchase[[#This Row],[Product ID]],Product[#All],6,0)</f>
        <v>6047</v>
      </c>
      <c r="L575" s="143">
        <f>Purchase[[#This Row],[Purchase Rate]]*Purchase[[#This Row],[Qty]]</f>
        <v>133034</v>
      </c>
      <c r="M575" s="140">
        <v>0</v>
      </c>
      <c r="N575" s="143">
        <v>0</v>
      </c>
      <c r="O575" s="140">
        <v>0.18</v>
      </c>
      <c r="P575" s="145">
        <f>(Purchase[[#This Row],[Gross Amount]]-Purchase[[#This Row],[Disct %]])*Purchase[[#This Row],[GST %]]</f>
        <v>23946.12</v>
      </c>
      <c r="Q575" s="145">
        <f>Purchase[[#This Row],[Gross Amount]]-Purchase[[#This Row],[Disct Amnt]]+Purchase[[#This Row],[GST Amount]]</f>
        <v>156980.12</v>
      </c>
      <c r="R575" s="138" t="s">
        <v>1019</v>
      </c>
      <c r="S575" s="41">
        <f>IF(Purchase[[#This Row],[Status]]="Cancelled",0,Purchase[[#This Row],[Qty]])</f>
        <v>22</v>
      </c>
      <c r="T575" s="146">
        <f>IF(Purchase[[#This Row],[Status]]="Cancelled",0,Purchase[[#This Row],[Total Amount]])</f>
        <v>156980.12</v>
      </c>
      <c r="U575" s="146">
        <f>SUM(Purchase[Net Amount])</f>
        <v>814985438.68000126</v>
      </c>
    </row>
    <row r="576" spans="1:21" ht="19.5" thickBot="1" x14ac:dyDescent="0.3">
      <c r="A576" s="136" t="s">
        <v>1614</v>
      </c>
      <c r="B576" s="137">
        <v>45686</v>
      </c>
      <c r="C576" s="138" t="s">
        <v>610</v>
      </c>
      <c r="D576" s="138" t="str">
        <f>VLOOKUP(Purchase[[#This Row],[Supplier ID]],Supplier[#All],2,0)</f>
        <v>Shree Electronics</v>
      </c>
      <c r="E576" s="138">
        <f>VLOOKUP(Purchase[[#This Row],[Supplier ID]],Supplier[#All],3,0)</f>
        <v>9689542493</v>
      </c>
      <c r="F576" s="138" t="str">
        <f>VLOOKUP(Purchase[[#This Row],[Supplier ID]],Supplier[#All],4,0)</f>
        <v>Kanpur</v>
      </c>
      <c r="G576" s="138" t="str">
        <f>VLOOKUP(Purchase[[#This Row],[Supplier ID]],Supplier[#All],5,0)</f>
        <v>UP</v>
      </c>
      <c r="H576" s="138" t="str">
        <f>VLOOKUP(Purchase[[#This Row],[Supplier ID]],Supplier[#All],6,0)</f>
        <v>GST2154521T055</v>
      </c>
      <c r="I576" s="138" t="s">
        <v>310</v>
      </c>
      <c r="J576" s="139">
        <v>40</v>
      </c>
      <c r="K576" s="143">
        <f>VLOOKUP(Purchase[[#This Row],[Product ID]],Product[#All],6,0)</f>
        <v>558</v>
      </c>
      <c r="L576" s="143">
        <f>Purchase[[#This Row],[Purchase Rate]]*Purchase[[#This Row],[Qty]]</f>
        <v>22320</v>
      </c>
      <c r="M576" s="140">
        <v>0</v>
      </c>
      <c r="N576" s="143">
        <v>0</v>
      </c>
      <c r="O576" s="140">
        <v>0.18</v>
      </c>
      <c r="P576" s="145">
        <f>(Purchase[[#This Row],[Gross Amount]]-Purchase[[#This Row],[Disct %]])*Purchase[[#This Row],[GST %]]</f>
        <v>4017.6</v>
      </c>
      <c r="Q576" s="145">
        <f>Purchase[[#This Row],[Gross Amount]]-Purchase[[#This Row],[Disct Amnt]]+Purchase[[#This Row],[GST Amount]]</f>
        <v>26337.599999999999</v>
      </c>
      <c r="R576" s="138" t="s">
        <v>1019</v>
      </c>
      <c r="S576" s="41">
        <f>IF(Purchase[[#This Row],[Status]]="Cancelled",0,Purchase[[#This Row],[Qty]])</f>
        <v>40</v>
      </c>
      <c r="T576" s="146">
        <f>IF(Purchase[[#This Row],[Status]]="Cancelled",0,Purchase[[#This Row],[Total Amount]])</f>
        <v>26337.599999999999</v>
      </c>
      <c r="U576" s="146">
        <f>SUM(Purchase[Net Amount])</f>
        <v>814985438.68000126</v>
      </c>
    </row>
    <row r="577" spans="1:21" ht="19.5" thickBot="1" x14ac:dyDescent="0.3">
      <c r="A577" s="136" t="s">
        <v>1615</v>
      </c>
      <c r="B577" s="137">
        <v>45686</v>
      </c>
      <c r="C577" s="138" t="s">
        <v>567</v>
      </c>
      <c r="D577" s="138" t="str">
        <f>VLOOKUP(Purchase[[#This Row],[Supplier ID]],Supplier[#All],2,0)</f>
        <v>National Distributors</v>
      </c>
      <c r="E577" s="138">
        <f>VLOOKUP(Purchase[[#This Row],[Supplier ID]],Supplier[#All],3,0)</f>
        <v>9689542453</v>
      </c>
      <c r="F577" s="138" t="str">
        <f>VLOOKUP(Purchase[[#This Row],[Supplier ID]],Supplier[#All],4,0)</f>
        <v>Korba</v>
      </c>
      <c r="G577" s="138" t="str">
        <f>VLOOKUP(Purchase[[#This Row],[Supplier ID]],Supplier[#All],5,0)</f>
        <v>CG</v>
      </c>
      <c r="H577" s="138" t="str">
        <f>VLOOKUP(Purchase[[#This Row],[Supplier ID]],Supplier[#All],6,0)</f>
        <v>GST2154521T015</v>
      </c>
      <c r="I577" s="138" t="s">
        <v>431</v>
      </c>
      <c r="J577" s="139">
        <v>17</v>
      </c>
      <c r="K577" s="143">
        <f>VLOOKUP(Purchase[[#This Row],[Product ID]],Product[#All],6,0)</f>
        <v>14391</v>
      </c>
      <c r="L577" s="143">
        <f>Purchase[[#This Row],[Purchase Rate]]*Purchase[[#This Row],[Qty]]</f>
        <v>244647</v>
      </c>
      <c r="M577" s="140">
        <v>0</v>
      </c>
      <c r="N577" s="143">
        <v>0</v>
      </c>
      <c r="O577" s="140">
        <v>0.18</v>
      </c>
      <c r="P577" s="145">
        <f>(Purchase[[#This Row],[Gross Amount]]-Purchase[[#This Row],[Disct %]])*Purchase[[#This Row],[GST %]]</f>
        <v>44036.46</v>
      </c>
      <c r="Q577" s="145">
        <f>Purchase[[#This Row],[Gross Amount]]-Purchase[[#This Row],[Disct Amnt]]+Purchase[[#This Row],[GST Amount]]</f>
        <v>288683.46000000002</v>
      </c>
      <c r="R577" s="138" t="s">
        <v>1019</v>
      </c>
      <c r="S577" s="41">
        <f>IF(Purchase[[#This Row],[Status]]="Cancelled",0,Purchase[[#This Row],[Qty]])</f>
        <v>17</v>
      </c>
      <c r="T577" s="146">
        <f>IF(Purchase[[#This Row],[Status]]="Cancelled",0,Purchase[[#This Row],[Total Amount]])</f>
        <v>288683.46000000002</v>
      </c>
      <c r="U577" s="146">
        <f>SUM(Purchase[Net Amount])</f>
        <v>814985438.68000126</v>
      </c>
    </row>
    <row r="578" spans="1:21" ht="19.5" thickBot="1" x14ac:dyDescent="0.3">
      <c r="A578" s="136" t="s">
        <v>1616</v>
      </c>
      <c r="B578" s="137">
        <v>45686</v>
      </c>
      <c r="C578" s="138" t="s">
        <v>613</v>
      </c>
      <c r="D578" s="138" t="str">
        <f>VLOOKUP(Purchase[[#This Row],[Supplier ID]],Supplier[#All],2,0)</f>
        <v>National Traders</v>
      </c>
      <c r="E578" s="138">
        <f>VLOOKUP(Purchase[[#This Row],[Supplier ID]],Supplier[#All],3,0)</f>
        <v>9689542496</v>
      </c>
      <c r="F578" s="138" t="str">
        <f>VLOOKUP(Purchase[[#This Row],[Supplier ID]],Supplier[#All],4,0)</f>
        <v>Indore</v>
      </c>
      <c r="G578" s="138" t="str">
        <f>VLOOKUP(Purchase[[#This Row],[Supplier ID]],Supplier[#All],5,0)</f>
        <v>MP</v>
      </c>
      <c r="H578" s="138" t="str">
        <f>VLOOKUP(Purchase[[#This Row],[Supplier ID]],Supplier[#All],6,0)</f>
        <v>GST2154521T058</v>
      </c>
      <c r="I578" s="138" t="s">
        <v>156</v>
      </c>
      <c r="J578" s="139">
        <v>12</v>
      </c>
      <c r="K578" s="143">
        <f>VLOOKUP(Purchase[[#This Row],[Product ID]],Product[#All],6,0)</f>
        <v>2558</v>
      </c>
      <c r="L578" s="143">
        <f>Purchase[[#This Row],[Purchase Rate]]*Purchase[[#This Row],[Qty]]</f>
        <v>30696</v>
      </c>
      <c r="M578" s="140">
        <v>0</v>
      </c>
      <c r="N578" s="143">
        <v>0</v>
      </c>
      <c r="O578" s="140">
        <v>0.18</v>
      </c>
      <c r="P578" s="145">
        <f>(Purchase[[#This Row],[Gross Amount]]-Purchase[[#This Row],[Disct %]])*Purchase[[#This Row],[GST %]]</f>
        <v>5525.28</v>
      </c>
      <c r="Q578" s="145">
        <f>Purchase[[#This Row],[Gross Amount]]-Purchase[[#This Row],[Disct Amnt]]+Purchase[[#This Row],[GST Amount]]</f>
        <v>36221.279999999999</v>
      </c>
      <c r="R578" s="138" t="s">
        <v>1019</v>
      </c>
      <c r="S578" s="41">
        <f>IF(Purchase[[#This Row],[Status]]="Cancelled",0,Purchase[[#This Row],[Qty]])</f>
        <v>12</v>
      </c>
      <c r="T578" s="146">
        <f>IF(Purchase[[#This Row],[Status]]="Cancelled",0,Purchase[[#This Row],[Total Amount]])</f>
        <v>36221.279999999999</v>
      </c>
      <c r="U578" s="146">
        <f>SUM(Purchase[Net Amount])</f>
        <v>814985438.68000126</v>
      </c>
    </row>
    <row r="579" spans="1:21" ht="19.5" thickBot="1" x14ac:dyDescent="0.3">
      <c r="A579" s="136" t="s">
        <v>1617</v>
      </c>
      <c r="B579" s="137">
        <v>45686</v>
      </c>
      <c r="C579" s="138" t="s">
        <v>567</v>
      </c>
      <c r="D579" s="138" t="str">
        <f>VLOOKUP(Purchase[[#This Row],[Supplier ID]],Supplier[#All],2,0)</f>
        <v>National Distributors</v>
      </c>
      <c r="E579" s="138">
        <f>VLOOKUP(Purchase[[#This Row],[Supplier ID]],Supplier[#All],3,0)</f>
        <v>9689542453</v>
      </c>
      <c r="F579" s="138" t="str">
        <f>VLOOKUP(Purchase[[#This Row],[Supplier ID]],Supplier[#All],4,0)</f>
        <v>Korba</v>
      </c>
      <c r="G579" s="138" t="str">
        <f>VLOOKUP(Purchase[[#This Row],[Supplier ID]],Supplier[#All],5,0)</f>
        <v>CG</v>
      </c>
      <c r="H579" s="138" t="str">
        <f>VLOOKUP(Purchase[[#This Row],[Supplier ID]],Supplier[#All],6,0)</f>
        <v>GST2154521T015</v>
      </c>
      <c r="I579" s="138" t="s">
        <v>265</v>
      </c>
      <c r="J579" s="139">
        <v>10</v>
      </c>
      <c r="K579" s="143">
        <f>VLOOKUP(Purchase[[#This Row],[Product ID]],Product[#All],6,0)</f>
        <v>28871</v>
      </c>
      <c r="L579" s="143">
        <f>Purchase[[#This Row],[Purchase Rate]]*Purchase[[#This Row],[Qty]]</f>
        <v>288710</v>
      </c>
      <c r="M579" s="140">
        <v>0</v>
      </c>
      <c r="N579" s="143">
        <v>0</v>
      </c>
      <c r="O579" s="140">
        <v>0.18</v>
      </c>
      <c r="P579" s="145">
        <f>(Purchase[[#This Row],[Gross Amount]]-Purchase[[#This Row],[Disct %]])*Purchase[[#This Row],[GST %]]</f>
        <v>51967.799999999996</v>
      </c>
      <c r="Q579" s="145">
        <f>Purchase[[#This Row],[Gross Amount]]-Purchase[[#This Row],[Disct Amnt]]+Purchase[[#This Row],[GST Amount]]</f>
        <v>340677.8</v>
      </c>
      <c r="R579" s="138" t="s">
        <v>1019</v>
      </c>
      <c r="S579" s="41">
        <f>IF(Purchase[[#This Row],[Status]]="Cancelled",0,Purchase[[#This Row],[Qty]])</f>
        <v>10</v>
      </c>
      <c r="T579" s="146">
        <f>IF(Purchase[[#This Row],[Status]]="Cancelled",0,Purchase[[#This Row],[Total Amount]])</f>
        <v>340677.8</v>
      </c>
      <c r="U579" s="146">
        <f>SUM(Purchase[Net Amount])</f>
        <v>814985438.68000126</v>
      </c>
    </row>
    <row r="580" spans="1:21" ht="19.5" thickBot="1" x14ac:dyDescent="0.3">
      <c r="A580" s="136" t="s">
        <v>1618</v>
      </c>
      <c r="B580" s="137">
        <v>45686</v>
      </c>
      <c r="C580" s="138" t="s">
        <v>614</v>
      </c>
      <c r="D580" s="138" t="str">
        <f>VLOOKUP(Purchase[[#This Row],[Supplier ID]],Supplier[#All],2,0)</f>
        <v>National Electronics</v>
      </c>
      <c r="E580" s="138">
        <f>VLOOKUP(Purchase[[#This Row],[Supplier ID]],Supplier[#All],3,0)</f>
        <v>9689542497</v>
      </c>
      <c r="F580" s="138" t="str">
        <f>VLOOKUP(Purchase[[#This Row],[Supplier ID]],Supplier[#All],4,0)</f>
        <v>Kanpur</v>
      </c>
      <c r="G580" s="138" t="str">
        <f>VLOOKUP(Purchase[[#This Row],[Supplier ID]],Supplier[#All],5,0)</f>
        <v>UP</v>
      </c>
      <c r="H580" s="138" t="str">
        <f>VLOOKUP(Purchase[[#This Row],[Supplier ID]],Supplier[#All],6,0)</f>
        <v>GST2154521T059</v>
      </c>
      <c r="I580" s="138" t="s">
        <v>316</v>
      </c>
      <c r="J580" s="139">
        <v>15</v>
      </c>
      <c r="K580" s="143">
        <f>VLOOKUP(Purchase[[#This Row],[Product ID]],Product[#All],6,0)</f>
        <v>3078</v>
      </c>
      <c r="L580" s="143">
        <f>Purchase[[#This Row],[Purchase Rate]]*Purchase[[#This Row],[Qty]]</f>
        <v>46170</v>
      </c>
      <c r="M580" s="140">
        <v>0</v>
      </c>
      <c r="N580" s="143">
        <v>0</v>
      </c>
      <c r="O580" s="140">
        <v>0.18</v>
      </c>
      <c r="P580" s="145">
        <f>(Purchase[[#This Row],[Gross Amount]]-Purchase[[#This Row],[Disct %]])*Purchase[[#This Row],[GST %]]</f>
        <v>8310.6</v>
      </c>
      <c r="Q580" s="145">
        <f>Purchase[[#This Row],[Gross Amount]]-Purchase[[#This Row],[Disct Amnt]]+Purchase[[#This Row],[GST Amount]]</f>
        <v>54480.6</v>
      </c>
      <c r="R580" s="138" t="s">
        <v>1019</v>
      </c>
      <c r="S580" s="41">
        <f>IF(Purchase[[#This Row],[Status]]="Cancelled",0,Purchase[[#This Row],[Qty]])</f>
        <v>15</v>
      </c>
      <c r="T580" s="146">
        <f>IF(Purchase[[#This Row],[Status]]="Cancelled",0,Purchase[[#This Row],[Total Amount]])</f>
        <v>54480.6</v>
      </c>
      <c r="U580" s="146">
        <f>SUM(Purchase[Net Amount])</f>
        <v>814985438.68000126</v>
      </c>
    </row>
    <row r="581" spans="1:21" ht="19.5" thickBot="1" x14ac:dyDescent="0.3">
      <c r="A581" s="136" t="s">
        <v>1619</v>
      </c>
      <c r="B581" s="137">
        <v>45686</v>
      </c>
      <c r="C581" s="138" t="s">
        <v>588</v>
      </c>
      <c r="D581" s="138" t="str">
        <f>VLOOKUP(Purchase[[#This Row],[Supplier ID]],Supplier[#All],2,0)</f>
        <v>Star Electronics</v>
      </c>
      <c r="E581" s="138">
        <f>VLOOKUP(Purchase[[#This Row],[Supplier ID]],Supplier[#All],3,0)</f>
        <v>9689542472</v>
      </c>
      <c r="F581" s="138" t="str">
        <f>VLOOKUP(Purchase[[#This Row],[Supplier ID]],Supplier[#All],4,0)</f>
        <v>Korba</v>
      </c>
      <c r="G581" s="138" t="str">
        <f>VLOOKUP(Purchase[[#This Row],[Supplier ID]],Supplier[#All],5,0)</f>
        <v>CG</v>
      </c>
      <c r="H581" s="138" t="str">
        <f>VLOOKUP(Purchase[[#This Row],[Supplier ID]],Supplier[#All],6,0)</f>
        <v>GST2154521T034</v>
      </c>
      <c r="I581" s="138" t="s">
        <v>301</v>
      </c>
      <c r="J581" s="139">
        <v>27</v>
      </c>
      <c r="K581" s="143">
        <f>VLOOKUP(Purchase[[#This Row],[Product ID]],Product[#All],6,0)</f>
        <v>869</v>
      </c>
      <c r="L581" s="143">
        <f>Purchase[[#This Row],[Purchase Rate]]*Purchase[[#This Row],[Qty]]</f>
        <v>23463</v>
      </c>
      <c r="M581" s="140">
        <v>0</v>
      </c>
      <c r="N581" s="143">
        <v>0</v>
      </c>
      <c r="O581" s="140">
        <v>0.18</v>
      </c>
      <c r="P581" s="145">
        <f>(Purchase[[#This Row],[Gross Amount]]-Purchase[[#This Row],[Disct %]])*Purchase[[#This Row],[GST %]]</f>
        <v>4223.34</v>
      </c>
      <c r="Q581" s="145">
        <f>Purchase[[#This Row],[Gross Amount]]-Purchase[[#This Row],[Disct Amnt]]+Purchase[[#This Row],[GST Amount]]</f>
        <v>27686.34</v>
      </c>
      <c r="R581" s="138" t="s">
        <v>1019</v>
      </c>
      <c r="S581" s="41">
        <f>IF(Purchase[[#This Row],[Status]]="Cancelled",0,Purchase[[#This Row],[Qty]])</f>
        <v>27</v>
      </c>
      <c r="T581" s="146">
        <f>IF(Purchase[[#This Row],[Status]]="Cancelled",0,Purchase[[#This Row],[Total Amount]])</f>
        <v>27686.34</v>
      </c>
      <c r="U581" s="146">
        <f>SUM(Purchase[Net Amount])</f>
        <v>814985438.68000126</v>
      </c>
    </row>
    <row r="582" spans="1:21" ht="19.5" thickBot="1" x14ac:dyDescent="0.3">
      <c r="A582" s="136" t="s">
        <v>1620</v>
      </c>
      <c r="B582" s="137">
        <v>45686</v>
      </c>
      <c r="C582" s="138" t="s">
        <v>611</v>
      </c>
      <c r="D582" s="138" t="str">
        <f>VLOOKUP(Purchase[[#This Row],[Supplier ID]],Supplier[#All],2,0)</f>
        <v>National Distributors</v>
      </c>
      <c r="E582" s="138">
        <f>VLOOKUP(Purchase[[#This Row],[Supplier ID]],Supplier[#All],3,0)</f>
        <v>9689542494</v>
      </c>
      <c r="F582" s="138" t="str">
        <f>VLOOKUP(Purchase[[#This Row],[Supplier ID]],Supplier[#All],4,0)</f>
        <v>Korba</v>
      </c>
      <c r="G582" s="138" t="str">
        <f>VLOOKUP(Purchase[[#This Row],[Supplier ID]],Supplier[#All],5,0)</f>
        <v>CG</v>
      </c>
      <c r="H582" s="138" t="str">
        <f>VLOOKUP(Purchase[[#This Row],[Supplier ID]],Supplier[#All],6,0)</f>
        <v>GST2154521T056</v>
      </c>
      <c r="I582" s="138" t="s">
        <v>547</v>
      </c>
      <c r="J582" s="139">
        <v>34</v>
      </c>
      <c r="K582" s="143">
        <f>VLOOKUP(Purchase[[#This Row],[Product ID]],Product[#All],6,0)</f>
        <v>28107</v>
      </c>
      <c r="L582" s="143">
        <f>Purchase[[#This Row],[Purchase Rate]]*Purchase[[#This Row],[Qty]]</f>
        <v>955638</v>
      </c>
      <c r="M582" s="140">
        <v>0</v>
      </c>
      <c r="N582" s="143">
        <v>0</v>
      </c>
      <c r="O582" s="140">
        <v>0.18</v>
      </c>
      <c r="P582" s="145">
        <f>(Purchase[[#This Row],[Gross Amount]]-Purchase[[#This Row],[Disct %]])*Purchase[[#This Row],[GST %]]</f>
        <v>172014.84</v>
      </c>
      <c r="Q582" s="145">
        <f>Purchase[[#This Row],[Gross Amount]]-Purchase[[#This Row],[Disct Amnt]]+Purchase[[#This Row],[GST Amount]]</f>
        <v>1127652.8400000001</v>
      </c>
      <c r="R582" s="138" t="s">
        <v>1019</v>
      </c>
      <c r="S582" s="41">
        <f>IF(Purchase[[#This Row],[Status]]="Cancelled",0,Purchase[[#This Row],[Qty]])</f>
        <v>34</v>
      </c>
      <c r="T582" s="146">
        <f>IF(Purchase[[#This Row],[Status]]="Cancelled",0,Purchase[[#This Row],[Total Amount]])</f>
        <v>1127652.8400000001</v>
      </c>
      <c r="U582" s="146">
        <f>SUM(Purchase[Net Amount])</f>
        <v>814985438.68000126</v>
      </c>
    </row>
    <row r="583" spans="1:21" ht="19.5" thickBot="1" x14ac:dyDescent="0.3">
      <c r="A583" s="136" t="s">
        <v>1621</v>
      </c>
      <c r="B583" s="137">
        <v>45686</v>
      </c>
      <c r="C583" s="138" t="s">
        <v>575</v>
      </c>
      <c r="D583" s="138" t="str">
        <f>VLOOKUP(Purchase[[#This Row],[Supplier ID]],Supplier[#All],2,0)</f>
        <v>Global Computers</v>
      </c>
      <c r="E583" s="138">
        <f>VLOOKUP(Purchase[[#This Row],[Supplier ID]],Supplier[#All],3,0)</f>
        <v>9689542459</v>
      </c>
      <c r="F583" s="138" t="str">
        <f>VLOOKUP(Purchase[[#This Row],[Supplier ID]],Supplier[#All],4,0)</f>
        <v>Indore</v>
      </c>
      <c r="G583" s="138" t="str">
        <f>VLOOKUP(Purchase[[#This Row],[Supplier ID]],Supplier[#All],5,0)</f>
        <v>MP</v>
      </c>
      <c r="H583" s="138" t="str">
        <f>VLOOKUP(Purchase[[#This Row],[Supplier ID]],Supplier[#All],6,0)</f>
        <v>GST2154521T021</v>
      </c>
      <c r="I583" s="138" t="s">
        <v>368</v>
      </c>
      <c r="J583" s="139">
        <v>2</v>
      </c>
      <c r="K583" s="143">
        <f>VLOOKUP(Purchase[[#This Row],[Product ID]],Product[#All],6,0)</f>
        <v>1031</v>
      </c>
      <c r="L583" s="143">
        <f>Purchase[[#This Row],[Purchase Rate]]*Purchase[[#This Row],[Qty]]</f>
        <v>2062</v>
      </c>
      <c r="M583" s="140">
        <v>0</v>
      </c>
      <c r="N583" s="143">
        <v>0</v>
      </c>
      <c r="O583" s="140">
        <v>0.18</v>
      </c>
      <c r="P583" s="145">
        <f>(Purchase[[#This Row],[Gross Amount]]-Purchase[[#This Row],[Disct %]])*Purchase[[#This Row],[GST %]]</f>
        <v>371.15999999999997</v>
      </c>
      <c r="Q583" s="145">
        <f>Purchase[[#This Row],[Gross Amount]]-Purchase[[#This Row],[Disct Amnt]]+Purchase[[#This Row],[GST Amount]]</f>
        <v>2433.16</v>
      </c>
      <c r="R583" s="138" t="s">
        <v>1019</v>
      </c>
      <c r="S583" s="41">
        <f>IF(Purchase[[#This Row],[Status]]="Cancelled",0,Purchase[[#This Row],[Qty]])</f>
        <v>2</v>
      </c>
      <c r="T583" s="146">
        <f>IF(Purchase[[#This Row],[Status]]="Cancelled",0,Purchase[[#This Row],[Total Amount]])</f>
        <v>2433.16</v>
      </c>
      <c r="U583" s="146">
        <f>SUM(Purchase[Net Amount])</f>
        <v>814985438.68000126</v>
      </c>
    </row>
    <row r="584" spans="1:21" ht="19.5" thickBot="1" x14ac:dyDescent="0.3">
      <c r="A584" s="136" t="s">
        <v>1622</v>
      </c>
      <c r="B584" s="137">
        <v>45686</v>
      </c>
      <c r="C584" s="138" t="s">
        <v>611</v>
      </c>
      <c r="D584" s="138" t="str">
        <f>VLOOKUP(Purchase[[#This Row],[Supplier ID]],Supplier[#All],2,0)</f>
        <v>National Distributors</v>
      </c>
      <c r="E584" s="138">
        <f>VLOOKUP(Purchase[[#This Row],[Supplier ID]],Supplier[#All],3,0)</f>
        <v>9689542494</v>
      </c>
      <c r="F584" s="138" t="str">
        <f>VLOOKUP(Purchase[[#This Row],[Supplier ID]],Supplier[#All],4,0)</f>
        <v>Korba</v>
      </c>
      <c r="G584" s="138" t="str">
        <f>VLOOKUP(Purchase[[#This Row],[Supplier ID]],Supplier[#All],5,0)</f>
        <v>CG</v>
      </c>
      <c r="H584" s="138" t="str">
        <f>VLOOKUP(Purchase[[#This Row],[Supplier ID]],Supplier[#All],6,0)</f>
        <v>GST2154521T056</v>
      </c>
      <c r="I584" s="138" t="s">
        <v>428</v>
      </c>
      <c r="J584" s="139">
        <v>7</v>
      </c>
      <c r="K584" s="143">
        <f>VLOOKUP(Purchase[[#This Row],[Product ID]],Product[#All],6,0)</f>
        <v>6736</v>
      </c>
      <c r="L584" s="143">
        <f>Purchase[[#This Row],[Purchase Rate]]*Purchase[[#This Row],[Qty]]</f>
        <v>47152</v>
      </c>
      <c r="M584" s="140">
        <v>0</v>
      </c>
      <c r="N584" s="143">
        <v>0</v>
      </c>
      <c r="O584" s="140">
        <v>0.18</v>
      </c>
      <c r="P584" s="145">
        <f>(Purchase[[#This Row],[Gross Amount]]-Purchase[[#This Row],[Disct %]])*Purchase[[#This Row],[GST %]]</f>
        <v>8487.36</v>
      </c>
      <c r="Q584" s="145">
        <f>Purchase[[#This Row],[Gross Amount]]-Purchase[[#This Row],[Disct Amnt]]+Purchase[[#This Row],[GST Amount]]</f>
        <v>55639.360000000001</v>
      </c>
      <c r="R584" s="138" t="s">
        <v>1019</v>
      </c>
      <c r="S584" s="41">
        <f>IF(Purchase[[#This Row],[Status]]="Cancelled",0,Purchase[[#This Row],[Qty]])</f>
        <v>7</v>
      </c>
      <c r="T584" s="146">
        <f>IF(Purchase[[#This Row],[Status]]="Cancelled",0,Purchase[[#This Row],[Total Amount]])</f>
        <v>55639.360000000001</v>
      </c>
      <c r="U584" s="146">
        <f>SUM(Purchase[Net Amount])</f>
        <v>814985438.68000126</v>
      </c>
    </row>
    <row r="585" spans="1:21" ht="19.5" thickBot="1" x14ac:dyDescent="0.3">
      <c r="A585" s="136" t="s">
        <v>1623</v>
      </c>
      <c r="B585" s="137">
        <v>45686</v>
      </c>
      <c r="C585" s="138" t="s">
        <v>579</v>
      </c>
      <c r="D585" s="138" t="str">
        <f>VLOOKUP(Purchase[[#This Row],[Supplier ID]],Supplier[#All],2,0)</f>
        <v>Tech Traders</v>
      </c>
      <c r="E585" s="138">
        <f>VLOOKUP(Purchase[[#This Row],[Supplier ID]],Supplier[#All],3,0)</f>
        <v>9689542463</v>
      </c>
      <c r="F585" s="138" t="str">
        <f>VLOOKUP(Purchase[[#This Row],[Supplier ID]],Supplier[#All],4,0)</f>
        <v>Kanpur</v>
      </c>
      <c r="G585" s="138" t="str">
        <f>VLOOKUP(Purchase[[#This Row],[Supplier ID]],Supplier[#All],5,0)</f>
        <v>UP</v>
      </c>
      <c r="H585" s="138" t="str">
        <f>VLOOKUP(Purchase[[#This Row],[Supplier ID]],Supplier[#All],6,0)</f>
        <v>GST2154521T025</v>
      </c>
      <c r="I585" s="138" t="s">
        <v>236</v>
      </c>
      <c r="J585" s="139">
        <v>34</v>
      </c>
      <c r="K585" s="143">
        <f>VLOOKUP(Purchase[[#This Row],[Product ID]],Product[#All],6,0)</f>
        <v>42438</v>
      </c>
      <c r="L585" s="143">
        <f>Purchase[[#This Row],[Purchase Rate]]*Purchase[[#This Row],[Qty]]</f>
        <v>1442892</v>
      </c>
      <c r="M585" s="140">
        <v>0</v>
      </c>
      <c r="N585" s="143">
        <v>0</v>
      </c>
      <c r="O585" s="140">
        <v>0.18</v>
      </c>
      <c r="P585" s="145">
        <f>(Purchase[[#This Row],[Gross Amount]]-Purchase[[#This Row],[Disct %]])*Purchase[[#This Row],[GST %]]</f>
        <v>259720.56</v>
      </c>
      <c r="Q585" s="145">
        <f>Purchase[[#This Row],[Gross Amount]]-Purchase[[#This Row],[Disct Amnt]]+Purchase[[#This Row],[GST Amount]]</f>
        <v>1702612.56</v>
      </c>
      <c r="R585" s="138" t="s">
        <v>1019</v>
      </c>
      <c r="S585" s="41">
        <f>IF(Purchase[[#This Row],[Status]]="Cancelled",0,Purchase[[#This Row],[Qty]])</f>
        <v>34</v>
      </c>
      <c r="T585" s="146">
        <f>IF(Purchase[[#This Row],[Status]]="Cancelled",0,Purchase[[#This Row],[Total Amount]])</f>
        <v>1702612.56</v>
      </c>
      <c r="U585" s="146">
        <f>SUM(Purchase[Net Amount])</f>
        <v>814985438.68000126</v>
      </c>
    </row>
    <row r="586" spans="1:21" ht="19.5" thickBot="1" x14ac:dyDescent="0.3">
      <c r="A586" s="136" t="s">
        <v>1624</v>
      </c>
      <c r="B586" s="137">
        <v>45686</v>
      </c>
      <c r="C586" s="138" t="s">
        <v>614</v>
      </c>
      <c r="D586" s="138" t="str">
        <f>VLOOKUP(Purchase[[#This Row],[Supplier ID]],Supplier[#All],2,0)</f>
        <v>National Electronics</v>
      </c>
      <c r="E586" s="138">
        <f>VLOOKUP(Purchase[[#This Row],[Supplier ID]],Supplier[#All],3,0)</f>
        <v>9689542497</v>
      </c>
      <c r="F586" s="138" t="str">
        <f>VLOOKUP(Purchase[[#This Row],[Supplier ID]],Supplier[#All],4,0)</f>
        <v>Kanpur</v>
      </c>
      <c r="G586" s="138" t="str">
        <f>VLOOKUP(Purchase[[#This Row],[Supplier ID]],Supplier[#All],5,0)</f>
        <v>UP</v>
      </c>
      <c r="H586" s="138" t="str">
        <f>VLOOKUP(Purchase[[#This Row],[Supplier ID]],Supplier[#All],6,0)</f>
        <v>GST2154521T059</v>
      </c>
      <c r="I586" s="138" t="s">
        <v>204</v>
      </c>
      <c r="J586" s="139">
        <v>12</v>
      </c>
      <c r="K586" s="143">
        <f>VLOOKUP(Purchase[[#This Row],[Product ID]],Product[#All],6,0)</f>
        <v>33533</v>
      </c>
      <c r="L586" s="143">
        <f>Purchase[[#This Row],[Purchase Rate]]*Purchase[[#This Row],[Qty]]</f>
        <v>402396</v>
      </c>
      <c r="M586" s="140">
        <v>0</v>
      </c>
      <c r="N586" s="143">
        <v>0</v>
      </c>
      <c r="O586" s="140">
        <v>0.18</v>
      </c>
      <c r="P586" s="145">
        <f>(Purchase[[#This Row],[Gross Amount]]-Purchase[[#This Row],[Disct %]])*Purchase[[#This Row],[GST %]]</f>
        <v>72431.28</v>
      </c>
      <c r="Q586" s="145">
        <f>Purchase[[#This Row],[Gross Amount]]-Purchase[[#This Row],[Disct Amnt]]+Purchase[[#This Row],[GST Amount]]</f>
        <v>474827.28</v>
      </c>
      <c r="R586" s="138" t="s">
        <v>1019</v>
      </c>
      <c r="S586" s="41">
        <f>IF(Purchase[[#This Row],[Status]]="Cancelled",0,Purchase[[#This Row],[Qty]])</f>
        <v>12</v>
      </c>
      <c r="T586" s="146">
        <f>IF(Purchase[[#This Row],[Status]]="Cancelled",0,Purchase[[#This Row],[Total Amount]])</f>
        <v>474827.28</v>
      </c>
      <c r="U586" s="146">
        <f>SUM(Purchase[Net Amount])</f>
        <v>814985438.68000126</v>
      </c>
    </row>
    <row r="587" spans="1:21" ht="19.5" thickBot="1" x14ac:dyDescent="0.3">
      <c r="A587" s="136" t="s">
        <v>1625</v>
      </c>
      <c r="B587" s="137">
        <v>45686</v>
      </c>
      <c r="C587" s="138" t="s">
        <v>606</v>
      </c>
      <c r="D587" s="138" t="str">
        <f>VLOOKUP(Purchase[[#This Row],[Supplier ID]],Supplier[#All],2,0)</f>
        <v>Prime Traders</v>
      </c>
      <c r="E587" s="138">
        <f>VLOOKUP(Purchase[[#This Row],[Supplier ID]],Supplier[#All],3,0)</f>
        <v>9689542489</v>
      </c>
      <c r="F587" s="138" t="str">
        <f>VLOOKUP(Purchase[[#This Row],[Supplier ID]],Supplier[#All],4,0)</f>
        <v>Indore</v>
      </c>
      <c r="G587" s="138" t="str">
        <f>VLOOKUP(Purchase[[#This Row],[Supplier ID]],Supplier[#All],5,0)</f>
        <v>MP</v>
      </c>
      <c r="H587" s="138" t="str">
        <f>VLOOKUP(Purchase[[#This Row],[Supplier ID]],Supplier[#All],6,0)</f>
        <v>GST2154521T051</v>
      </c>
      <c r="I587" s="138" t="s">
        <v>162</v>
      </c>
      <c r="J587" s="139">
        <v>15</v>
      </c>
      <c r="K587" s="143">
        <f>VLOOKUP(Purchase[[#This Row],[Product ID]],Product[#All],6,0)</f>
        <v>724</v>
      </c>
      <c r="L587" s="143">
        <f>Purchase[[#This Row],[Purchase Rate]]*Purchase[[#This Row],[Qty]]</f>
        <v>10860</v>
      </c>
      <c r="M587" s="140">
        <v>0</v>
      </c>
      <c r="N587" s="143">
        <v>0</v>
      </c>
      <c r="O587" s="140">
        <v>0.18</v>
      </c>
      <c r="P587" s="145">
        <f>(Purchase[[#This Row],[Gross Amount]]-Purchase[[#This Row],[Disct %]])*Purchase[[#This Row],[GST %]]</f>
        <v>1954.8</v>
      </c>
      <c r="Q587" s="145">
        <f>Purchase[[#This Row],[Gross Amount]]-Purchase[[#This Row],[Disct Amnt]]+Purchase[[#This Row],[GST Amount]]</f>
        <v>12814.8</v>
      </c>
      <c r="R587" s="138" t="s">
        <v>1019</v>
      </c>
      <c r="S587" s="41">
        <f>IF(Purchase[[#This Row],[Status]]="Cancelled",0,Purchase[[#This Row],[Qty]])</f>
        <v>15</v>
      </c>
      <c r="T587" s="146">
        <f>IF(Purchase[[#This Row],[Status]]="Cancelled",0,Purchase[[#This Row],[Total Amount]])</f>
        <v>12814.8</v>
      </c>
      <c r="U587" s="146">
        <f>SUM(Purchase[Net Amount])</f>
        <v>814985438.68000126</v>
      </c>
    </row>
    <row r="588" spans="1:21" ht="19.5" thickBot="1" x14ac:dyDescent="0.3">
      <c r="A588" s="136" t="s">
        <v>1626</v>
      </c>
      <c r="B588" s="137">
        <v>45686</v>
      </c>
      <c r="C588" s="138" t="s">
        <v>585</v>
      </c>
      <c r="D588" s="138" t="str">
        <f>VLOOKUP(Purchase[[#This Row],[Supplier ID]],Supplier[#All],2,0)</f>
        <v>Tech Computers</v>
      </c>
      <c r="E588" s="138">
        <f>VLOOKUP(Purchase[[#This Row],[Supplier ID]],Supplier[#All],3,0)</f>
        <v>9689542469</v>
      </c>
      <c r="F588" s="138" t="str">
        <f>VLOOKUP(Purchase[[#This Row],[Supplier ID]],Supplier[#All],4,0)</f>
        <v>Korba</v>
      </c>
      <c r="G588" s="138" t="str">
        <f>VLOOKUP(Purchase[[#This Row],[Supplier ID]],Supplier[#All],5,0)</f>
        <v>CG</v>
      </c>
      <c r="H588" s="138" t="str">
        <f>VLOOKUP(Purchase[[#This Row],[Supplier ID]],Supplier[#All],6,0)</f>
        <v>GST2154521T031</v>
      </c>
      <c r="I588" s="138" t="s">
        <v>544</v>
      </c>
      <c r="J588" s="139">
        <v>3</v>
      </c>
      <c r="K588" s="143">
        <f>VLOOKUP(Purchase[[#This Row],[Product ID]],Product[#All],6,0)</f>
        <v>14145</v>
      </c>
      <c r="L588" s="143">
        <f>Purchase[[#This Row],[Purchase Rate]]*Purchase[[#This Row],[Qty]]</f>
        <v>42435</v>
      </c>
      <c r="M588" s="140">
        <v>0</v>
      </c>
      <c r="N588" s="143">
        <v>0</v>
      </c>
      <c r="O588" s="140">
        <v>0.18</v>
      </c>
      <c r="P588" s="145">
        <f>(Purchase[[#This Row],[Gross Amount]]-Purchase[[#This Row],[Disct %]])*Purchase[[#This Row],[GST %]]</f>
        <v>7638.2999999999993</v>
      </c>
      <c r="Q588" s="145">
        <f>Purchase[[#This Row],[Gross Amount]]-Purchase[[#This Row],[Disct Amnt]]+Purchase[[#This Row],[GST Amount]]</f>
        <v>50073.3</v>
      </c>
      <c r="R588" s="138" t="s">
        <v>1019</v>
      </c>
      <c r="S588" s="41">
        <f>IF(Purchase[[#This Row],[Status]]="Cancelled",0,Purchase[[#This Row],[Qty]])</f>
        <v>3</v>
      </c>
      <c r="T588" s="146">
        <f>IF(Purchase[[#This Row],[Status]]="Cancelled",0,Purchase[[#This Row],[Total Amount]])</f>
        <v>50073.3</v>
      </c>
      <c r="U588" s="146">
        <f>SUM(Purchase[Net Amount])</f>
        <v>814985438.68000126</v>
      </c>
    </row>
    <row r="589" spans="1:21" ht="19.5" thickBot="1" x14ac:dyDescent="0.3">
      <c r="A589" s="136" t="s">
        <v>1627</v>
      </c>
      <c r="B589" s="137">
        <v>45686</v>
      </c>
      <c r="C589" s="138" t="s">
        <v>570</v>
      </c>
      <c r="D589" s="138" t="str">
        <f>VLOOKUP(Purchase[[#This Row],[Supplier ID]],Supplier[#All],2,0)</f>
        <v>Prime Traders</v>
      </c>
      <c r="E589" s="138">
        <f>VLOOKUP(Purchase[[#This Row],[Supplier ID]],Supplier[#All],3,0)</f>
        <v>9689542456</v>
      </c>
      <c r="F589" s="138" t="str">
        <f>VLOOKUP(Purchase[[#This Row],[Supplier ID]],Supplier[#All],4,0)</f>
        <v>Indore</v>
      </c>
      <c r="G589" s="138" t="str">
        <f>VLOOKUP(Purchase[[#This Row],[Supplier ID]],Supplier[#All],5,0)</f>
        <v>MP</v>
      </c>
      <c r="H589" s="138" t="str">
        <f>VLOOKUP(Purchase[[#This Row],[Supplier ID]],Supplier[#All],6,0)</f>
        <v>GST2154521T018</v>
      </c>
      <c r="I589" s="138" t="s">
        <v>392</v>
      </c>
      <c r="J589" s="139">
        <v>19</v>
      </c>
      <c r="K589" s="143">
        <f>VLOOKUP(Purchase[[#This Row],[Product ID]],Product[#All],6,0)</f>
        <v>2573</v>
      </c>
      <c r="L589" s="143">
        <f>Purchase[[#This Row],[Purchase Rate]]*Purchase[[#This Row],[Qty]]</f>
        <v>48887</v>
      </c>
      <c r="M589" s="140">
        <v>0</v>
      </c>
      <c r="N589" s="143">
        <v>0</v>
      </c>
      <c r="O589" s="140">
        <v>0.18</v>
      </c>
      <c r="P589" s="145">
        <f>(Purchase[[#This Row],[Gross Amount]]-Purchase[[#This Row],[Disct %]])*Purchase[[#This Row],[GST %]]</f>
        <v>8799.66</v>
      </c>
      <c r="Q589" s="145">
        <f>Purchase[[#This Row],[Gross Amount]]-Purchase[[#This Row],[Disct Amnt]]+Purchase[[#This Row],[GST Amount]]</f>
        <v>57686.66</v>
      </c>
      <c r="R589" s="138" t="s">
        <v>1019</v>
      </c>
      <c r="S589" s="41">
        <f>IF(Purchase[[#This Row],[Status]]="Cancelled",0,Purchase[[#This Row],[Qty]])</f>
        <v>19</v>
      </c>
      <c r="T589" s="146">
        <f>IF(Purchase[[#This Row],[Status]]="Cancelled",0,Purchase[[#This Row],[Total Amount]])</f>
        <v>57686.66</v>
      </c>
      <c r="U589" s="146">
        <f>SUM(Purchase[Net Amount])</f>
        <v>814985438.68000126</v>
      </c>
    </row>
    <row r="590" spans="1:21" ht="19.5" thickBot="1" x14ac:dyDescent="0.3">
      <c r="A590" s="136" t="s">
        <v>1628</v>
      </c>
      <c r="B590" s="137">
        <v>45686</v>
      </c>
      <c r="C590" s="138" t="s">
        <v>614</v>
      </c>
      <c r="D590" s="138" t="str">
        <f>VLOOKUP(Purchase[[#This Row],[Supplier ID]],Supplier[#All],2,0)</f>
        <v>National Electronics</v>
      </c>
      <c r="E590" s="138">
        <f>VLOOKUP(Purchase[[#This Row],[Supplier ID]],Supplier[#All],3,0)</f>
        <v>9689542497</v>
      </c>
      <c r="F590" s="138" t="str">
        <f>VLOOKUP(Purchase[[#This Row],[Supplier ID]],Supplier[#All],4,0)</f>
        <v>Kanpur</v>
      </c>
      <c r="G590" s="138" t="str">
        <f>VLOOKUP(Purchase[[#This Row],[Supplier ID]],Supplier[#All],5,0)</f>
        <v>UP</v>
      </c>
      <c r="H590" s="138" t="str">
        <f>VLOOKUP(Purchase[[#This Row],[Supplier ID]],Supplier[#All],6,0)</f>
        <v>GST2154521T059</v>
      </c>
      <c r="I590" s="138" t="s">
        <v>375</v>
      </c>
      <c r="J590" s="139">
        <v>13</v>
      </c>
      <c r="K590" s="143">
        <f>VLOOKUP(Purchase[[#This Row],[Product ID]],Product[#All],6,0)</f>
        <v>4429</v>
      </c>
      <c r="L590" s="143">
        <f>Purchase[[#This Row],[Purchase Rate]]*Purchase[[#This Row],[Qty]]</f>
        <v>57577</v>
      </c>
      <c r="M590" s="140">
        <v>0</v>
      </c>
      <c r="N590" s="143">
        <v>0</v>
      </c>
      <c r="O590" s="140">
        <v>0.18</v>
      </c>
      <c r="P590" s="145">
        <f>(Purchase[[#This Row],[Gross Amount]]-Purchase[[#This Row],[Disct %]])*Purchase[[#This Row],[GST %]]</f>
        <v>10363.859999999999</v>
      </c>
      <c r="Q590" s="145">
        <f>Purchase[[#This Row],[Gross Amount]]-Purchase[[#This Row],[Disct Amnt]]+Purchase[[#This Row],[GST Amount]]</f>
        <v>67940.86</v>
      </c>
      <c r="R590" s="138" t="s">
        <v>1019</v>
      </c>
      <c r="S590" s="41">
        <f>IF(Purchase[[#This Row],[Status]]="Cancelled",0,Purchase[[#This Row],[Qty]])</f>
        <v>13</v>
      </c>
      <c r="T590" s="146">
        <f>IF(Purchase[[#This Row],[Status]]="Cancelled",0,Purchase[[#This Row],[Total Amount]])</f>
        <v>67940.86</v>
      </c>
      <c r="U590" s="146">
        <f>SUM(Purchase[Net Amount])</f>
        <v>814985438.68000126</v>
      </c>
    </row>
    <row r="591" spans="1:21" ht="19.5" thickBot="1" x14ac:dyDescent="0.3">
      <c r="A591" s="136" t="s">
        <v>1629</v>
      </c>
      <c r="B591" s="137">
        <v>45686</v>
      </c>
      <c r="C591" s="138" t="s">
        <v>601</v>
      </c>
      <c r="D591" s="138" t="str">
        <f>VLOOKUP(Purchase[[#This Row],[Supplier ID]],Supplier[#All],2,0)</f>
        <v>Maa Distributors</v>
      </c>
      <c r="E591" s="138">
        <f>VLOOKUP(Purchase[[#This Row],[Supplier ID]],Supplier[#All],3,0)</f>
        <v>9689542484</v>
      </c>
      <c r="F591" s="138" t="str">
        <f>VLOOKUP(Purchase[[#This Row],[Supplier ID]],Supplier[#All],4,0)</f>
        <v>Indore</v>
      </c>
      <c r="G591" s="138" t="str">
        <f>VLOOKUP(Purchase[[#This Row],[Supplier ID]],Supplier[#All],5,0)</f>
        <v>MP</v>
      </c>
      <c r="H591" s="138" t="str">
        <f>VLOOKUP(Purchase[[#This Row],[Supplier ID]],Supplier[#All],6,0)</f>
        <v>GST2154521T046</v>
      </c>
      <c r="I591" s="138" t="s">
        <v>462</v>
      </c>
      <c r="J591" s="139">
        <v>11</v>
      </c>
      <c r="K591" s="143">
        <f>VLOOKUP(Purchase[[#This Row],[Product ID]],Product[#All],6,0)</f>
        <v>2201</v>
      </c>
      <c r="L591" s="143">
        <f>Purchase[[#This Row],[Purchase Rate]]*Purchase[[#This Row],[Qty]]</f>
        <v>24211</v>
      </c>
      <c r="M591" s="140">
        <v>0</v>
      </c>
      <c r="N591" s="143">
        <v>0</v>
      </c>
      <c r="O591" s="140">
        <v>0.18</v>
      </c>
      <c r="P591" s="145">
        <f>(Purchase[[#This Row],[Gross Amount]]-Purchase[[#This Row],[Disct %]])*Purchase[[#This Row],[GST %]]</f>
        <v>4357.9799999999996</v>
      </c>
      <c r="Q591" s="145">
        <f>Purchase[[#This Row],[Gross Amount]]-Purchase[[#This Row],[Disct Amnt]]+Purchase[[#This Row],[GST Amount]]</f>
        <v>28568.98</v>
      </c>
      <c r="R591" s="138" t="s">
        <v>1019</v>
      </c>
      <c r="S591" s="41">
        <f>IF(Purchase[[#This Row],[Status]]="Cancelled",0,Purchase[[#This Row],[Qty]])</f>
        <v>11</v>
      </c>
      <c r="T591" s="146">
        <f>IF(Purchase[[#This Row],[Status]]="Cancelled",0,Purchase[[#This Row],[Total Amount]])</f>
        <v>28568.98</v>
      </c>
      <c r="U591" s="146">
        <f>SUM(Purchase[Net Amount])</f>
        <v>814985438.68000126</v>
      </c>
    </row>
    <row r="592" spans="1:21" ht="19.5" thickBot="1" x14ac:dyDescent="0.3">
      <c r="A592" s="136" t="s">
        <v>1630</v>
      </c>
      <c r="B592" s="137">
        <v>45686</v>
      </c>
      <c r="C592" s="138" t="s">
        <v>573</v>
      </c>
      <c r="D592" s="138" t="str">
        <f>VLOOKUP(Purchase[[#This Row],[Supplier ID]],Supplier[#All],2,0)</f>
        <v>Shree Traders</v>
      </c>
      <c r="E592" s="138">
        <f>VLOOKUP(Purchase[[#This Row],[Supplier ID]],Supplier[#All],3,0)</f>
        <v>9689542458</v>
      </c>
      <c r="F592" s="138" t="str">
        <f>VLOOKUP(Purchase[[#This Row],[Supplier ID]],Supplier[#All],4,0)</f>
        <v>Korba</v>
      </c>
      <c r="G592" s="138" t="str">
        <f>VLOOKUP(Purchase[[#This Row],[Supplier ID]],Supplier[#All],5,0)</f>
        <v>CG</v>
      </c>
      <c r="H592" s="138" t="str">
        <f>VLOOKUP(Purchase[[#This Row],[Supplier ID]],Supplier[#All],6,0)</f>
        <v>GST2154521T020</v>
      </c>
      <c r="I592" s="138" t="s">
        <v>267</v>
      </c>
      <c r="J592" s="139">
        <v>30</v>
      </c>
      <c r="K592" s="143">
        <f>VLOOKUP(Purchase[[#This Row],[Product ID]],Product[#All],6,0)</f>
        <v>1912</v>
      </c>
      <c r="L592" s="143">
        <f>Purchase[[#This Row],[Purchase Rate]]*Purchase[[#This Row],[Qty]]</f>
        <v>57360</v>
      </c>
      <c r="M592" s="140">
        <v>0</v>
      </c>
      <c r="N592" s="143">
        <v>0</v>
      </c>
      <c r="O592" s="140">
        <v>0.18</v>
      </c>
      <c r="P592" s="145">
        <f>(Purchase[[#This Row],[Gross Amount]]-Purchase[[#This Row],[Disct %]])*Purchase[[#This Row],[GST %]]</f>
        <v>10324.799999999999</v>
      </c>
      <c r="Q592" s="145">
        <f>Purchase[[#This Row],[Gross Amount]]-Purchase[[#This Row],[Disct Amnt]]+Purchase[[#This Row],[GST Amount]]</f>
        <v>67684.800000000003</v>
      </c>
      <c r="R592" s="138" t="s">
        <v>1019</v>
      </c>
      <c r="S592" s="41">
        <f>IF(Purchase[[#This Row],[Status]]="Cancelled",0,Purchase[[#This Row],[Qty]])</f>
        <v>30</v>
      </c>
      <c r="T592" s="146">
        <f>IF(Purchase[[#This Row],[Status]]="Cancelled",0,Purchase[[#This Row],[Total Amount]])</f>
        <v>67684.800000000003</v>
      </c>
      <c r="U592" s="146">
        <f>SUM(Purchase[Net Amount])</f>
        <v>814985438.68000126</v>
      </c>
    </row>
    <row r="593" spans="1:21" ht="19.5" thickBot="1" x14ac:dyDescent="0.3">
      <c r="A593" s="136" t="s">
        <v>1631</v>
      </c>
      <c r="B593" s="137">
        <v>45686</v>
      </c>
      <c r="C593" s="138" t="s">
        <v>598</v>
      </c>
      <c r="D593" s="138" t="str">
        <f>VLOOKUP(Purchase[[#This Row],[Supplier ID]],Supplier[#All],2,0)</f>
        <v>National Distributors</v>
      </c>
      <c r="E593" s="138">
        <f>VLOOKUP(Purchase[[#This Row],[Supplier ID]],Supplier[#All],3,0)</f>
        <v>9689542489</v>
      </c>
      <c r="F593" s="138" t="str">
        <f>VLOOKUP(Purchase[[#This Row],[Supplier ID]],Supplier[#All],4,0)</f>
        <v>Indore</v>
      </c>
      <c r="G593" s="138" t="str">
        <f>VLOOKUP(Purchase[[#This Row],[Supplier ID]],Supplier[#All],5,0)</f>
        <v>MP</v>
      </c>
      <c r="H593" s="138" t="str">
        <f>VLOOKUP(Purchase[[#This Row],[Supplier ID]],Supplier[#All],6,0)</f>
        <v>GST2154521T043</v>
      </c>
      <c r="I593" s="138" t="s">
        <v>299</v>
      </c>
      <c r="J593" s="139">
        <v>17</v>
      </c>
      <c r="K593" s="143">
        <f>VLOOKUP(Purchase[[#This Row],[Product ID]],Product[#All],6,0)</f>
        <v>12050</v>
      </c>
      <c r="L593" s="143">
        <f>Purchase[[#This Row],[Purchase Rate]]*Purchase[[#This Row],[Qty]]</f>
        <v>204850</v>
      </c>
      <c r="M593" s="140">
        <v>0</v>
      </c>
      <c r="N593" s="143">
        <v>0</v>
      </c>
      <c r="O593" s="140">
        <v>0.18</v>
      </c>
      <c r="P593" s="145">
        <f>(Purchase[[#This Row],[Gross Amount]]-Purchase[[#This Row],[Disct %]])*Purchase[[#This Row],[GST %]]</f>
        <v>36873</v>
      </c>
      <c r="Q593" s="145">
        <f>Purchase[[#This Row],[Gross Amount]]-Purchase[[#This Row],[Disct Amnt]]+Purchase[[#This Row],[GST Amount]]</f>
        <v>241723</v>
      </c>
      <c r="R593" s="138" t="s">
        <v>1019</v>
      </c>
      <c r="S593" s="41">
        <f>IF(Purchase[[#This Row],[Status]]="Cancelled",0,Purchase[[#This Row],[Qty]])</f>
        <v>17</v>
      </c>
      <c r="T593" s="146">
        <f>IF(Purchase[[#This Row],[Status]]="Cancelled",0,Purchase[[#This Row],[Total Amount]])</f>
        <v>241723</v>
      </c>
      <c r="U593" s="146">
        <f>SUM(Purchase[Net Amount])</f>
        <v>814985438.68000126</v>
      </c>
    </row>
    <row r="594" spans="1:21" ht="19.5" thickBot="1" x14ac:dyDescent="0.3">
      <c r="A594" s="136" t="s">
        <v>1632</v>
      </c>
      <c r="B594" s="137">
        <v>45686</v>
      </c>
      <c r="C594" s="138" t="s">
        <v>573</v>
      </c>
      <c r="D594" s="138" t="str">
        <f>VLOOKUP(Purchase[[#This Row],[Supplier ID]],Supplier[#All],2,0)</f>
        <v>Shree Traders</v>
      </c>
      <c r="E594" s="138">
        <f>VLOOKUP(Purchase[[#This Row],[Supplier ID]],Supplier[#All],3,0)</f>
        <v>9689542458</v>
      </c>
      <c r="F594" s="138" t="str">
        <f>VLOOKUP(Purchase[[#This Row],[Supplier ID]],Supplier[#All],4,0)</f>
        <v>Korba</v>
      </c>
      <c r="G594" s="138" t="str">
        <f>VLOOKUP(Purchase[[#This Row],[Supplier ID]],Supplier[#All],5,0)</f>
        <v>CG</v>
      </c>
      <c r="H594" s="138" t="str">
        <f>VLOOKUP(Purchase[[#This Row],[Supplier ID]],Supplier[#All],6,0)</f>
        <v>GST2154521T020</v>
      </c>
      <c r="I594" s="138" t="s">
        <v>390</v>
      </c>
      <c r="J594" s="139">
        <v>6</v>
      </c>
      <c r="K594" s="143">
        <f>VLOOKUP(Purchase[[#This Row],[Product ID]],Product[#All],6,0)</f>
        <v>3799</v>
      </c>
      <c r="L594" s="143">
        <f>Purchase[[#This Row],[Purchase Rate]]*Purchase[[#This Row],[Qty]]</f>
        <v>22794</v>
      </c>
      <c r="M594" s="140">
        <v>0</v>
      </c>
      <c r="N594" s="143">
        <v>0</v>
      </c>
      <c r="O594" s="140">
        <v>0.18</v>
      </c>
      <c r="P594" s="145">
        <f>(Purchase[[#This Row],[Gross Amount]]-Purchase[[#This Row],[Disct %]])*Purchase[[#This Row],[GST %]]</f>
        <v>4102.92</v>
      </c>
      <c r="Q594" s="145">
        <f>Purchase[[#This Row],[Gross Amount]]-Purchase[[#This Row],[Disct Amnt]]+Purchase[[#This Row],[GST Amount]]</f>
        <v>26896.92</v>
      </c>
      <c r="R594" s="138" t="s">
        <v>1019</v>
      </c>
      <c r="S594" s="41">
        <f>IF(Purchase[[#This Row],[Status]]="Cancelled",0,Purchase[[#This Row],[Qty]])</f>
        <v>6</v>
      </c>
      <c r="T594" s="146">
        <f>IF(Purchase[[#This Row],[Status]]="Cancelled",0,Purchase[[#This Row],[Total Amount]])</f>
        <v>26896.92</v>
      </c>
      <c r="U594" s="146">
        <f>SUM(Purchase[Net Amount])</f>
        <v>814985438.68000126</v>
      </c>
    </row>
    <row r="595" spans="1:21" ht="19.5" thickBot="1" x14ac:dyDescent="0.3">
      <c r="A595" s="136" t="s">
        <v>1633</v>
      </c>
      <c r="B595" s="137">
        <v>45686</v>
      </c>
      <c r="C595" s="138" t="s">
        <v>597</v>
      </c>
      <c r="D595" s="138" t="str">
        <f>VLOOKUP(Purchase[[#This Row],[Supplier ID]],Supplier[#All],2,0)</f>
        <v>Tech Traders</v>
      </c>
      <c r="E595" s="138">
        <f>VLOOKUP(Purchase[[#This Row],[Supplier ID]],Supplier[#All],3,0)</f>
        <v>9689542480</v>
      </c>
      <c r="F595" s="138" t="str">
        <f>VLOOKUP(Purchase[[#This Row],[Supplier ID]],Supplier[#All],4,0)</f>
        <v>Kanpur</v>
      </c>
      <c r="G595" s="138" t="str">
        <f>VLOOKUP(Purchase[[#This Row],[Supplier ID]],Supplier[#All],5,0)</f>
        <v>UP</v>
      </c>
      <c r="H595" s="138" t="str">
        <f>VLOOKUP(Purchase[[#This Row],[Supplier ID]],Supplier[#All],6,0)</f>
        <v>GST2154521T042</v>
      </c>
      <c r="I595" s="138" t="s">
        <v>546</v>
      </c>
      <c r="J595" s="139">
        <v>40</v>
      </c>
      <c r="K595" s="143">
        <f>VLOOKUP(Purchase[[#This Row],[Product ID]],Product[#All],6,0)</f>
        <v>12628</v>
      </c>
      <c r="L595" s="143">
        <f>Purchase[[#This Row],[Purchase Rate]]*Purchase[[#This Row],[Qty]]</f>
        <v>505120</v>
      </c>
      <c r="M595" s="140">
        <v>0</v>
      </c>
      <c r="N595" s="143">
        <v>0</v>
      </c>
      <c r="O595" s="140">
        <v>0.18</v>
      </c>
      <c r="P595" s="145">
        <f>(Purchase[[#This Row],[Gross Amount]]-Purchase[[#This Row],[Disct %]])*Purchase[[#This Row],[GST %]]</f>
        <v>90921.599999999991</v>
      </c>
      <c r="Q595" s="145">
        <f>Purchase[[#This Row],[Gross Amount]]-Purchase[[#This Row],[Disct Amnt]]+Purchase[[#This Row],[GST Amount]]</f>
        <v>596041.6</v>
      </c>
      <c r="R595" s="138" t="s">
        <v>1019</v>
      </c>
      <c r="S595" s="41">
        <f>IF(Purchase[[#This Row],[Status]]="Cancelled",0,Purchase[[#This Row],[Qty]])</f>
        <v>40</v>
      </c>
      <c r="T595" s="146">
        <f>IF(Purchase[[#This Row],[Status]]="Cancelled",0,Purchase[[#This Row],[Total Amount]])</f>
        <v>596041.6</v>
      </c>
      <c r="U595" s="146">
        <f>SUM(Purchase[Net Amount])</f>
        <v>814985438.68000126</v>
      </c>
    </row>
    <row r="596" spans="1:21" ht="19.5" thickBot="1" x14ac:dyDescent="0.3">
      <c r="A596" s="136" t="s">
        <v>1634</v>
      </c>
      <c r="B596" s="137">
        <v>45687</v>
      </c>
      <c r="C596" s="138" t="s">
        <v>600</v>
      </c>
      <c r="D596" s="138" t="str">
        <f>VLOOKUP(Purchase[[#This Row],[Supplier ID]],Supplier[#All],2,0)</f>
        <v>Prime Suppliers</v>
      </c>
      <c r="E596" s="138">
        <f>VLOOKUP(Purchase[[#This Row],[Supplier ID]],Supplier[#All],3,0)</f>
        <v>9689542483</v>
      </c>
      <c r="F596" s="138" t="str">
        <f>VLOOKUP(Purchase[[#This Row],[Supplier ID]],Supplier[#All],4,0)</f>
        <v>Korba</v>
      </c>
      <c r="G596" s="138" t="str">
        <f>VLOOKUP(Purchase[[#This Row],[Supplier ID]],Supplier[#All],5,0)</f>
        <v>CG</v>
      </c>
      <c r="H596" s="138" t="str">
        <f>VLOOKUP(Purchase[[#This Row],[Supplier ID]],Supplier[#All],6,0)</f>
        <v>GST2154521T045</v>
      </c>
      <c r="I596" s="138" t="s">
        <v>316</v>
      </c>
      <c r="J596" s="139">
        <v>37</v>
      </c>
      <c r="K596" s="143">
        <f>VLOOKUP(Purchase[[#This Row],[Product ID]],Product[#All],6,0)</f>
        <v>3078</v>
      </c>
      <c r="L596" s="143">
        <f>Purchase[[#This Row],[Purchase Rate]]*Purchase[[#This Row],[Qty]]</f>
        <v>113886</v>
      </c>
      <c r="M596" s="140">
        <v>0</v>
      </c>
      <c r="N596" s="143">
        <v>0</v>
      </c>
      <c r="O596" s="140">
        <v>0.18</v>
      </c>
      <c r="P596" s="145">
        <f>(Purchase[[#This Row],[Gross Amount]]-Purchase[[#This Row],[Disct %]])*Purchase[[#This Row],[GST %]]</f>
        <v>20499.48</v>
      </c>
      <c r="Q596" s="145">
        <f>Purchase[[#This Row],[Gross Amount]]-Purchase[[#This Row],[Disct Amnt]]+Purchase[[#This Row],[GST Amount]]</f>
        <v>134385.48000000001</v>
      </c>
      <c r="R596" s="138" t="s">
        <v>1019</v>
      </c>
      <c r="S596" s="41">
        <f>IF(Purchase[[#This Row],[Status]]="Cancelled",0,Purchase[[#This Row],[Qty]])</f>
        <v>37</v>
      </c>
      <c r="T596" s="146">
        <f>IF(Purchase[[#This Row],[Status]]="Cancelled",0,Purchase[[#This Row],[Total Amount]])</f>
        <v>134385.48000000001</v>
      </c>
      <c r="U596" s="146">
        <f>SUM(Purchase[Net Amount])</f>
        <v>814985438.68000126</v>
      </c>
    </row>
    <row r="597" spans="1:21" ht="19.5" thickBot="1" x14ac:dyDescent="0.3">
      <c r="A597" s="136" t="s">
        <v>1635</v>
      </c>
      <c r="B597" s="137">
        <v>45687</v>
      </c>
      <c r="C597" s="138" t="s">
        <v>590</v>
      </c>
      <c r="D597" s="138" t="str">
        <f>VLOOKUP(Purchase[[#This Row],[Supplier ID]],Supplier[#All],2,0)</f>
        <v>Star Distributors</v>
      </c>
      <c r="E597" s="138">
        <f>VLOOKUP(Purchase[[#This Row],[Supplier ID]],Supplier[#All],3,0)</f>
        <v>9689542474</v>
      </c>
      <c r="F597" s="138" t="str">
        <f>VLOOKUP(Purchase[[#This Row],[Supplier ID]],Supplier[#All],4,0)</f>
        <v>Kanpur</v>
      </c>
      <c r="G597" s="138" t="str">
        <f>VLOOKUP(Purchase[[#This Row],[Supplier ID]],Supplier[#All],5,0)</f>
        <v>UP</v>
      </c>
      <c r="H597" s="138" t="str">
        <f>VLOOKUP(Purchase[[#This Row],[Supplier ID]],Supplier[#All],6,0)</f>
        <v>GST2154521T036</v>
      </c>
      <c r="I597" s="138" t="s">
        <v>43</v>
      </c>
      <c r="J597" s="139">
        <v>18</v>
      </c>
      <c r="K597" s="143">
        <f>VLOOKUP(Purchase[[#This Row],[Product ID]],Product[#All],6,0)</f>
        <v>8664</v>
      </c>
      <c r="L597" s="143">
        <f>Purchase[[#This Row],[Purchase Rate]]*Purchase[[#This Row],[Qty]]</f>
        <v>155952</v>
      </c>
      <c r="M597" s="140">
        <v>0</v>
      </c>
      <c r="N597" s="143">
        <v>0</v>
      </c>
      <c r="O597" s="140">
        <v>0.18</v>
      </c>
      <c r="P597" s="145">
        <f>(Purchase[[#This Row],[Gross Amount]]-Purchase[[#This Row],[Disct %]])*Purchase[[#This Row],[GST %]]</f>
        <v>28071.360000000001</v>
      </c>
      <c r="Q597" s="145">
        <f>Purchase[[#This Row],[Gross Amount]]-Purchase[[#This Row],[Disct Amnt]]+Purchase[[#This Row],[GST Amount]]</f>
        <v>184023.36</v>
      </c>
      <c r="R597" s="138" t="s">
        <v>1019</v>
      </c>
      <c r="S597" s="41">
        <f>IF(Purchase[[#This Row],[Status]]="Cancelled",0,Purchase[[#This Row],[Qty]])</f>
        <v>18</v>
      </c>
      <c r="T597" s="146">
        <f>IF(Purchase[[#This Row],[Status]]="Cancelled",0,Purchase[[#This Row],[Total Amount]])</f>
        <v>184023.36</v>
      </c>
      <c r="U597" s="146">
        <f>SUM(Purchase[Net Amount])</f>
        <v>814985438.68000126</v>
      </c>
    </row>
    <row r="598" spans="1:21" ht="19.5" thickBot="1" x14ac:dyDescent="0.3">
      <c r="A598" s="136" t="s">
        <v>1636</v>
      </c>
      <c r="B598" s="137">
        <v>45687</v>
      </c>
      <c r="C598" s="138" t="s">
        <v>607</v>
      </c>
      <c r="D598" s="138" t="str">
        <f>VLOOKUP(Purchase[[#This Row],[Supplier ID]],Supplier[#All],2,0)</f>
        <v>Global Distributors</v>
      </c>
      <c r="E598" s="138">
        <f>VLOOKUP(Purchase[[#This Row],[Supplier ID]],Supplier[#All],3,0)</f>
        <v>9689542490</v>
      </c>
      <c r="F598" s="138" t="str">
        <f>VLOOKUP(Purchase[[#This Row],[Supplier ID]],Supplier[#All],4,0)</f>
        <v>Kanpur</v>
      </c>
      <c r="G598" s="138" t="str">
        <f>VLOOKUP(Purchase[[#This Row],[Supplier ID]],Supplier[#All],5,0)</f>
        <v>UP</v>
      </c>
      <c r="H598" s="138" t="str">
        <f>VLOOKUP(Purchase[[#This Row],[Supplier ID]],Supplier[#All],6,0)</f>
        <v>GST2154521T052</v>
      </c>
      <c r="I598" s="138" t="s">
        <v>486</v>
      </c>
      <c r="J598" s="139">
        <v>20</v>
      </c>
      <c r="K598" s="143">
        <f>VLOOKUP(Purchase[[#This Row],[Product ID]],Product[#All],6,0)</f>
        <v>1345</v>
      </c>
      <c r="L598" s="143">
        <f>Purchase[[#This Row],[Purchase Rate]]*Purchase[[#This Row],[Qty]]</f>
        <v>26900</v>
      </c>
      <c r="M598" s="140">
        <v>0</v>
      </c>
      <c r="N598" s="143">
        <v>0</v>
      </c>
      <c r="O598" s="140">
        <v>0.18</v>
      </c>
      <c r="P598" s="145">
        <f>(Purchase[[#This Row],[Gross Amount]]-Purchase[[#This Row],[Disct %]])*Purchase[[#This Row],[GST %]]</f>
        <v>4842</v>
      </c>
      <c r="Q598" s="145">
        <f>Purchase[[#This Row],[Gross Amount]]-Purchase[[#This Row],[Disct Amnt]]+Purchase[[#This Row],[GST Amount]]</f>
        <v>31742</v>
      </c>
      <c r="R598" s="138" t="s">
        <v>1019</v>
      </c>
      <c r="S598" s="41">
        <f>IF(Purchase[[#This Row],[Status]]="Cancelled",0,Purchase[[#This Row],[Qty]])</f>
        <v>20</v>
      </c>
      <c r="T598" s="146">
        <f>IF(Purchase[[#This Row],[Status]]="Cancelled",0,Purchase[[#This Row],[Total Amount]])</f>
        <v>31742</v>
      </c>
      <c r="U598" s="146">
        <f>SUM(Purchase[Net Amount])</f>
        <v>814985438.68000126</v>
      </c>
    </row>
    <row r="599" spans="1:21" ht="19.5" thickBot="1" x14ac:dyDescent="0.3">
      <c r="A599" s="136" t="s">
        <v>1637</v>
      </c>
      <c r="B599" s="137">
        <v>45687</v>
      </c>
      <c r="C599" s="138" t="s">
        <v>610</v>
      </c>
      <c r="D599" s="138" t="str">
        <f>VLOOKUP(Purchase[[#This Row],[Supplier ID]],Supplier[#All],2,0)</f>
        <v>Shree Electronics</v>
      </c>
      <c r="E599" s="138">
        <f>VLOOKUP(Purchase[[#This Row],[Supplier ID]],Supplier[#All],3,0)</f>
        <v>9689542493</v>
      </c>
      <c r="F599" s="138" t="str">
        <f>VLOOKUP(Purchase[[#This Row],[Supplier ID]],Supplier[#All],4,0)</f>
        <v>Kanpur</v>
      </c>
      <c r="G599" s="138" t="str">
        <f>VLOOKUP(Purchase[[#This Row],[Supplier ID]],Supplier[#All],5,0)</f>
        <v>UP</v>
      </c>
      <c r="H599" s="138" t="str">
        <f>VLOOKUP(Purchase[[#This Row],[Supplier ID]],Supplier[#All],6,0)</f>
        <v>GST2154521T055</v>
      </c>
      <c r="I599" s="138" t="s">
        <v>185</v>
      </c>
      <c r="J599" s="139">
        <v>34</v>
      </c>
      <c r="K599" s="143">
        <f>VLOOKUP(Purchase[[#This Row],[Product ID]],Product[#All],6,0)</f>
        <v>3862</v>
      </c>
      <c r="L599" s="143">
        <f>Purchase[[#This Row],[Purchase Rate]]*Purchase[[#This Row],[Qty]]</f>
        <v>131308</v>
      </c>
      <c r="M599" s="140">
        <v>0</v>
      </c>
      <c r="N599" s="143">
        <v>0</v>
      </c>
      <c r="O599" s="140">
        <v>0.18</v>
      </c>
      <c r="P599" s="145">
        <f>(Purchase[[#This Row],[Gross Amount]]-Purchase[[#This Row],[Disct %]])*Purchase[[#This Row],[GST %]]</f>
        <v>23635.439999999999</v>
      </c>
      <c r="Q599" s="145">
        <f>Purchase[[#This Row],[Gross Amount]]-Purchase[[#This Row],[Disct Amnt]]+Purchase[[#This Row],[GST Amount]]</f>
        <v>154943.44</v>
      </c>
      <c r="R599" s="138" t="s">
        <v>1019</v>
      </c>
      <c r="S599" s="41">
        <f>IF(Purchase[[#This Row],[Status]]="Cancelled",0,Purchase[[#This Row],[Qty]])</f>
        <v>34</v>
      </c>
      <c r="T599" s="146">
        <f>IF(Purchase[[#This Row],[Status]]="Cancelled",0,Purchase[[#This Row],[Total Amount]])</f>
        <v>154943.44</v>
      </c>
      <c r="U599" s="146">
        <f>SUM(Purchase[Net Amount])</f>
        <v>814985438.68000126</v>
      </c>
    </row>
    <row r="600" spans="1:21" ht="19.5" thickBot="1" x14ac:dyDescent="0.3">
      <c r="A600" s="136" t="s">
        <v>1638</v>
      </c>
      <c r="B600" s="137">
        <v>45687</v>
      </c>
      <c r="C600" s="138" t="s">
        <v>582</v>
      </c>
      <c r="D600" s="138" t="str">
        <f>VLOOKUP(Purchase[[#This Row],[Supplier ID]],Supplier[#All],2,0)</f>
        <v>Tech Distributors</v>
      </c>
      <c r="E600" s="138">
        <f>VLOOKUP(Purchase[[#This Row],[Supplier ID]],Supplier[#All],3,0)</f>
        <v>9689542466</v>
      </c>
      <c r="F600" s="138" t="str">
        <f>VLOOKUP(Purchase[[#This Row],[Supplier ID]],Supplier[#All],4,0)</f>
        <v>Indore</v>
      </c>
      <c r="G600" s="138" t="str">
        <f>VLOOKUP(Purchase[[#This Row],[Supplier ID]],Supplier[#All],5,0)</f>
        <v>MP</v>
      </c>
      <c r="H600" s="138" t="str">
        <f>VLOOKUP(Purchase[[#This Row],[Supplier ID]],Supplier[#All],6,0)</f>
        <v>GST2154521T028</v>
      </c>
      <c r="I600" s="138" t="s">
        <v>154</v>
      </c>
      <c r="J600" s="139">
        <v>16</v>
      </c>
      <c r="K600" s="143">
        <f>VLOOKUP(Purchase[[#This Row],[Product ID]],Product[#All],6,0)</f>
        <v>39768</v>
      </c>
      <c r="L600" s="143">
        <f>Purchase[[#This Row],[Purchase Rate]]*Purchase[[#This Row],[Qty]]</f>
        <v>636288</v>
      </c>
      <c r="M600" s="140">
        <v>0</v>
      </c>
      <c r="N600" s="143">
        <v>0</v>
      </c>
      <c r="O600" s="140">
        <v>0.18</v>
      </c>
      <c r="P600" s="145">
        <f>(Purchase[[#This Row],[Gross Amount]]-Purchase[[#This Row],[Disct %]])*Purchase[[#This Row],[GST %]]</f>
        <v>114531.84</v>
      </c>
      <c r="Q600" s="145">
        <f>Purchase[[#This Row],[Gross Amount]]-Purchase[[#This Row],[Disct Amnt]]+Purchase[[#This Row],[GST Amount]]</f>
        <v>750819.83999999997</v>
      </c>
      <c r="R600" s="138" t="s">
        <v>1019</v>
      </c>
      <c r="S600" s="41">
        <f>IF(Purchase[[#This Row],[Status]]="Cancelled",0,Purchase[[#This Row],[Qty]])</f>
        <v>16</v>
      </c>
      <c r="T600" s="146">
        <f>IF(Purchase[[#This Row],[Status]]="Cancelled",0,Purchase[[#This Row],[Total Amount]])</f>
        <v>750819.83999999997</v>
      </c>
      <c r="U600" s="146">
        <f>SUM(Purchase[Net Amount])</f>
        <v>814985438.68000126</v>
      </c>
    </row>
    <row r="601" spans="1:21" ht="19.5" thickBot="1" x14ac:dyDescent="0.3">
      <c r="A601" s="136" t="s">
        <v>1639</v>
      </c>
      <c r="B601" s="137">
        <v>45687</v>
      </c>
      <c r="C601" s="138" t="s">
        <v>586</v>
      </c>
      <c r="D601" s="138" t="str">
        <f>VLOOKUP(Purchase[[#This Row],[Supplier ID]],Supplier[#All],2,0)</f>
        <v>Maa Traders</v>
      </c>
      <c r="E601" s="138">
        <f>VLOOKUP(Purchase[[#This Row],[Supplier ID]],Supplier[#All],3,0)</f>
        <v>9689542470</v>
      </c>
      <c r="F601" s="138" t="str">
        <f>VLOOKUP(Purchase[[#This Row],[Supplier ID]],Supplier[#All],4,0)</f>
        <v>Kanpur</v>
      </c>
      <c r="G601" s="138" t="str">
        <f>VLOOKUP(Purchase[[#This Row],[Supplier ID]],Supplier[#All],5,0)</f>
        <v>UP</v>
      </c>
      <c r="H601" s="138" t="str">
        <f>VLOOKUP(Purchase[[#This Row],[Supplier ID]],Supplier[#All],6,0)</f>
        <v>GST2154521T032</v>
      </c>
      <c r="I601" s="138" t="s">
        <v>372</v>
      </c>
      <c r="J601" s="139">
        <v>25</v>
      </c>
      <c r="K601" s="143">
        <f>VLOOKUP(Purchase[[#This Row],[Product ID]],Product[#All],6,0)</f>
        <v>441</v>
      </c>
      <c r="L601" s="143">
        <f>Purchase[[#This Row],[Purchase Rate]]*Purchase[[#This Row],[Qty]]</f>
        <v>11025</v>
      </c>
      <c r="M601" s="140">
        <v>0</v>
      </c>
      <c r="N601" s="143">
        <v>0</v>
      </c>
      <c r="O601" s="140">
        <v>0.18</v>
      </c>
      <c r="P601" s="145">
        <f>(Purchase[[#This Row],[Gross Amount]]-Purchase[[#This Row],[Disct %]])*Purchase[[#This Row],[GST %]]</f>
        <v>1984.5</v>
      </c>
      <c r="Q601" s="145">
        <f>Purchase[[#This Row],[Gross Amount]]-Purchase[[#This Row],[Disct Amnt]]+Purchase[[#This Row],[GST Amount]]</f>
        <v>13009.5</v>
      </c>
      <c r="R601" s="138" t="s">
        <v>1019</v>
      </c>
      <c r="S601" s="41">
        <f>IF(Purchase[[#This Row],[Status]]="Cancelled",0,Purchase[[#This Row],[Qty]])</f>
        <v>25</v>
      </c>
      <c r="T601" s="146">
        <f>IF(Purchase[[#This Row],[Status]]="Cancelled",0,Purchase[[#This Row],[Total Amount]])</f>
        <v>13009.5</v>
      </c>
      <c r="U601" s="146">
        <f>SUM(Purchase[Net Amount])</f>
        <v>814985438.68000126</v>
      </c>
    </row>
    <row r="602" spans="1:21" ht="19.5" thickBot="1" x14ac:dyDescent="0.3">
      <c r="A602" s="136" t="s">
        <v>1640</v>
      </c>
      <c r="B602" s="137">
        <v>45687</v>
      </c>
      <c r="C602" s="138" t="s">
        <v>1490</v>
      </c>
      <c r="D602" s="138" t="str">
        <f>VLOOKUP(Purchase[[#This Row],[Supplier ID]],Supplier[#All],2,0)</f>
        <v>Maa Traders</v>
      </c>
      <c r="E602" s="138">
        <f>VLOOKUP(Purchase[[#This Row],[Supplier ID]],Supplier[#All],3,0)</f>
        <v>9689542470</v>
      </c>
      <c r="F602" s="138" t="str">
        <f>VLOOKUP(Purchase[[#This Row],[Supplier ID]],Supplier[#All],4,0)</f>
        <v>Kanpur</v>
      </c>
      <c r="G602" s="138" t="str">
        <f>VLOOKUP(Purchase[[#This Row],[Supplier ID]],Supplier[#All],5,0)</f>
        <v>UP</v>
      </c>
      <c r="H602" s="138" t="str">
        <f>VLOOKUP(Purchase[[#This Row],[Supplier ID]],Supplier[#All],6,0)</f>
        <v>GST2154521T032</v>
      </c>
      <c r="I602" s="138" t="s">
        <v>463</v>
      </c>
      <c r="J602" s="139">
        <v>18</v>
      </c>
      <c r="K602" s="143">
        <f>VLOOKUP(Purchase[[#This Row],[Product ID]],Product[#All],6,0)</f>
        <v>8739</v>
      </c>
      <c r="L602" s="143">
        <f>Purchase[[#This Row],[Purchase Rate]]*Purchase[[#This Row],[Qty]]</f>
        <v>157302</v>
      </c>
      <c r="M602" s="140">
        <v>0</v>
      </c>
      <c r="N602" s="143">
        <v>0</v>
      </c>
      <c r="O602" s="140">
        <v>0.18</v>
      </c>
      <c r="P602" s="145">
        <f>(Purchase[[#This Row],[Gross Amount]]-Purchase[[#This Row],[Disct %]])*Purchase[[#This Row],[GST %]]</f>
        <v>28314.36</v>
      </c>
      <c r="Q602" s="145">
        <f>Purchase[[#This Row],[Gross Amount]]-Purchase[[#This Row],[Disct Amnt]]+Purchase[[#This Row],[GST Amount]]</f>
        <v>185616.36</v>
      </c>
      <c r="R602" s="138" t="s">
        <v>1019</v>
      </c>
      <c r="S602" s="41">
        <f>IF(Purchase[[#This Row],[Status]]="Cancelled",0,Purchase[[#This Row],[Qty]])</f>
        <v>18</v>
      </c>
      <c r="T602" s="146">
        <f>IF(Purchase[[#This Row],[Status]]="Cancelled",0,Purchase[[#This Row],[Total Amount]])</f>
        <v>185616.36</v>
      </c>
      <c r="U602" s="146">
        <f>SUM(Purchase[Net Amount])</f>
        <v>814985438.68000126</v>
      </c>
    </row>
    <row r="603" spans="1:21" ht="19.5" thickBot="1" x14ac:dyDescent="0.3">
      <c r="A603" s="136" t="s">
        <v>1641</v>
      </c>
      <c r="B603" s="137">
        <v>45687</v>
      </c>
      <c r="C603" s="138" t="s">
        <v>613</v>
      </c>
      <c r="D603" s="138" t="str">
        <f>VLOOKUP(Purchase[[#This Row],[Supplier ID]],Supplier[#All],2,0)</f>
        <v>National Traders</v>
      </c>
      <c r="E603" s="138">
        <f>VLOOKUP(Purchase[[#This Row],[Supplier ID]],Supplier[#All],3,0)</f>
        <v>9689542496</v>
      </c>
      <c r="F603" s="138" t="str">
        <f>VLOOKUP(Purchase[[#This Row],[Supplier ID]],Supplier[#All],4,0)</f>
        <v>Indore</v>
      </c>
      <c r="G603" s="138" t="str">
        <f>VLOOKUP(Purchase[[#This Row],[Supplier ID]],Supplier[#All],5,0)</f>
        <v>MP</v>
      </c>
      <c r="H603" s="138" t="str">
        <f>VLOOKUP(Purchase[[#This Row],[Supplier ID]],Supplier[#All],6,0)</f>
        <v>GST2154521T058</v>
      </c>
      <c r="I603" s="138" t="s">
        <v>552</v>
      </c>
      <c r="J603" s="139">
        <v>6</v>
      </c>
      <c r="K603" s="143">
        <f>VLOOKUP(Purchase[[#This Row],[Product ID]],Product[#All],6,0)</f>
        <v>4331</v>
      </c>
      <c r="L603" s="143">
        <f>Purchase[[#This Row],[Purchase Rate]]*Purchase[[#This Row],[Qty]]</f>
        <v>25986</v>
      </c>
      <c r="M603" s="140">
        <v>0</v>
      </c>
      <c r="N603" s="143">
        <v>0</v>
      </c>
      <c r="O603" s="140">
        <v>0.18</v>
      </c>
      <c r="P603" s="145">
        <f>(Purchase[[#This Row],[Gross Amount]]-Purchase[[#This Row],[Disct %]])*Purchase[[#This Row],[GST %]]</f>
        <v>4677.4799999999996</v>
      </c>
      <c r="Q603" s="145">
        <f>Purchase[[#This Row],[Gross Amount]]-Purchase[[#This Row],[Disct Amnt]]+Purchase[[#This Row],[GST Amount]]</f>
        <v>30663.48</v>
      </c>
      <c r="R603" s="138" t="s">
        <v>1040</v>
      </c>
      <c r="S603" s="41">
        <f>IF(Purchase[[#This Row],[Status]]="Cancelled",0,Purchase[[#This Row],[Qty]])</f>
        <v>0</v>
      </c>
      <c r="T603" s="146">
        <f>IF(Purchase[[#This Row],[Status]]="Cancelled",0,Purchase[[#This Row],[Total Amount]])</f>
        <v>0</v>
      </c>
      <c r="U603" s="146">
        <f>SUM(Purchase[Net Amount])</f>
        <v>814985438.68000126</v>
      </c>
    </row>
    <row r="604" spans="1:21" ht="19.5" thickBot="1" x14ac:dyDescent="0.3">
      <c r="A604" s="136" t="s">
        <v>1642</v>
      </c>
      <c r="B604" s="137">
        <v>45687</v>
      </c>
      <c r="C604" s="138" t="s">
        <v>609</v>
      </c>
      <c r="D604" s="138" t="str">
        <f>VLOOKUP(Purchase[[#This Row],[Supplier ID]],Supplier[#All],2,0)</f>
        <v>Star Suppliers</v>
      </c>
      <c r="E604" s="138">
        <f>VLOOKUP(Purchase[[#This Row],[Supplier ID]],Supplier[#All],3,0)</f>
        <v>9689542492</v>
      </c>
      <c r="F604" s="138" t="str">
        <f>VLOOKUP(Purchase[[#This Row],[Supplier ID]],Supplier[#All],4,0)</f>
        <v>Kanpur</v>
      </c>
      <c r="G604" s="138" t="str">
        <f>VLOOKUP(Purchase[[#This Row],[Supplier ID]],Supplier[#All],5,0)</f>
        <v>UP</v>
      </c>
      <c r="H604" s="138" t="str">
        <f>VLOOKUP(Purchase[[#This Row],[Supplier ID]],Supplier[#All],6,0)</f>
        <v>GST2154521T054</v>
      </c>
      <c r="I604" s="138" t="s">
        <v>277</v>
      </c>
      <c r="J604" s="139">
        <v>2</v>
      </c>
      <c r="K604" s="143">
        <f>VLOOKUP(Purchase[[#This Row],[Product ID]],Product[#All],6,0)</f>
        <v>3844</v>
      </c>
      <c r="L604" s="143">
        <f>Purchase[[#This Row],[Purchase Rate]]*Purchase[[#This Row],[Qty]]</f>
        <v>7688</v>
      </c>
      <c r="M604" s="140">
        <v>0</v>
      </c>
      <c r="N604" s="143">
        <v>0</v>
      </c>
      <c r="O604" s="140">
        <v>0.18</v>
      </c>
      <c r="P604" s="145">
        <f>(Purchase[[#This Row],[Gross Amount]]-Purchase[[#This Row],[Disct %]])*Purchase[[#This Row],[GST %]]</f>
        <v>1383.84</v>
      </c>
      <c r="Q604" s="145">
        <f>Purchase[[#This Row],[Gross Amount]]-Purchase[[#This Row],[Disct Amnt]]+Purchase[[#This Row],[GST Amount]]</f>
        <v>9071.84</v>
      </c>
      <c r="R604" s="138" t="s">
        <v>1019</v>
      </c>
      <c r="S604" s="41">
        <f>IF(Purchase[[#This Row],[Status]]="Cancelled",0,Purchase[[#This Row],[Qty]])</f>
        <v>2</v>
      </c>
      <c r="T604" s="146">
        <f>IF(Purchase[[#This Row],[Status]]="Cancelled",0,Purchase[[#This Row],[Total Amount]])</f>
        <v>9071.84</v>
      </c>
      <c r="U604" s="146">
        <f>SUM(Purchase[Net Amount])</f>
        <v>814985438.68000126</v>
      </c>
    </row>
    <row r="605" spans="1:21" ht="19.5" thickBot="1" x14ac:dyDescent="0.3">
      <c r="A605" s="136" t="s">
        <v>1643</v>
      </c>
      <c r="B605" s="137">
        <v>45687</v>
      </c>
      <c r="C605" s="138" t="s">
        <v>573</v>
      </c>
      <c r="D605" s="138" t="str">
        <f>VLOOKUP(Purchase[[#This Row],[Supplier ID]],Supplier[#All],2,0)</f>
        <v>Shree Traders</v>
      </c>
      <c r="E605" s="138">
        <f>VLOOKUP(Purchase[[#This Row],[Supplier ID]],Supplier[#All],3,0)</f>
        <v>9689542458</v>
      </c>
      <c r="F605" s="138" t="str">
        <f>VLOOKUP(Purchase[[#This Row],[Supplier ID]],Supplier[#All],4,0)</f>
        <v>Korba</v>
      </c>
      <c r="G605" s="138" t="str">
        <f>VLOOKUP(Purchase[[#This Row],[Supplier ID]],Supplier[#All],5,0)</f>
        <v>CG</v>
      </c>
      <c r="H605" s="138" t="str">
        <f>VLOOKUP(Purchase[[#This Row],[Supplier ID]],Supplier[#All],6,0)</f>
        <v>GST2154521T020</v>
      </c>
      <c r="I605" s="138" t="s">
        <v>389</v>
      </c>
      <c r="J605" s="139">
        <v>4</v>
      </c>
      <c r="K605" s="143">
        <f>VLOOKUP(Purchase[[#This Row],[Product ID]],Product[#All],6,0)</f>
        <v>9003</v>
      </c>
      <c r="L605" s="143">
        <f>Purchase[[#This Row],[Purchase Rate]]*Purchase[[#This Row],[Qty]]</f>
        <v>36012</v>
      </c>
      <c r="M605" s="140">
        <v>0</v>
      </c>
      <c r="N605" s="143">
        <v>0</v>
      </c>
      <c r="O605" s="140">
        <v>0.18</v>
      </c>
      <c r="P605" s="145">
        <f>(Purchase[[#This Row],[Gross Amount]]-Purchase[[#This Row],[Disct %]])*Purchase[[#This Row],[GST %]]</f>
        <v>6482.16</v>
      </c>
      <c r="Q605" s="145">
        <f>Purchase[[#This Row],[Gross Amount]]-Purchase[[#This Row],[Disct Amnt]]+Purchase[[#This Row],[GST Amount]]</f>
        <v>42494.16</v>
      </c>
      <c r="R605" s="138" t="s">
        <v>1019</v>
      </c>
      <c r="S605" s="41">
        <f>IF(Purchase[[#This Row],[Status]]="Cancelled",0,Purchase[[#This Row],[Qty]])</f>
        <v>4</v>
      </c>
      <c r="T605" s="146">
        <f>IF(Purchase[[#This Row],[Status]]="Cancelled",0,Purchase[[#This Row],[Total Amount]])</f>
        <v>42494.16</v>
      </c>
      <c r="U605" s="146">
        <f>SUM(Purchase[Net Amount])</f>
        <v>814985438.68000126</v>
      </c>
    </row>
    <row r="606" spans="1:21" ht="19.5" thickBot="1" x14ac:dyDescent="0.3">
      <c r="A606" s="136" t="s">
        <v>1644</v>
      </c>
      <c r="B606" s="137">
        <v>45687</v>
      </c>
      <c r="C606" s="138" t="s">
        <v>1645</v>
      </c>
      <c r="D606" s="138" t="str">
        <f>VLOOKUP(Purchase[[#This Row],[Supplier ID]],Supplier[#All],2,0)</f>
        <v>Global Suppliers</v>
      </c>
      <c r="E606" s="138">
        <f>VLOOKUP(Purchase[[#This Row],[Supplier ID]],Supplier[#All],3,0)</f>
        <v>9689542499</v>
      </c>
      <c r="F606" s="138" t="str">
        <f>VLOOKUP(Purchase[[#This Row],[Supplier ID]],Supplier[#All],4,0)</f>
        <v>Kanpur</v>
      </c>
      <c r="G606" s="138" t="str">
        <f>VLOOKUP(Purchase[[#This Row],[Supplier ID]],Supplier[#All],5,0)</f>
        <v>UP</v>
      </c>
      <c r="H606" s="138" t="str">
        <f>VLOOKUP(Purchase[[#This Row],[Supplier ID]],Supplier[#All],6,0)</f>
        <v>GST2154521T061</v>
      </c>
      <c r="I606" s="138" t="s">
        <v>552</v>
      </c>
      <c r="J606" s="139">
        <v>12</v>
      </c>
      <c r="K606" s="143">
        <f>VLOOKUP(Purchase[[#This Row],[Product ID]],Product[#All],6,0)</f>
        <v>4331</v>
      </c>
      <c r="L606" s="143">
        <f>Purchase[[#This Row],[Purchase Rate]]*Purchase[[#This Row],[Qty]]</f>
        <v>51972</v>
      </c>
      <c r="M606" s="140">
        <v>0</v>
      </c>
      <c r="N606" s="143">
        <v>0</v>
      </c>
      <c r="O606" s="140">
        <v>0.18</v>
      </c>
      <c r="P606" s="145">
        <f>(Purchase[[#This Row],[Gross Amount]]-Purchase[[#This Row],[Disct %]])*Purchase[[#This Row],[GST %]]</f>
        <v>9354.9599999999991</v>
      </c>
      <c r="Q606" s="145">
        <f>Purchase[[#This Row],[Gross Amount]]-Purchase[[#This Row],[Disct Amnt]]+Purchase[[#This Row],[GST Amount]]</f>
        <v>61326.96</v>
      </c>
      <c r="R606" s="138" t="s">
        <v>1019</v>
      </c>
      <c r="S606" s="41">
        <f>IF(Purchase[[#This Row],[Status]]="Cancelled",0,Purchase[[#This Row],[Qty]])</f>
        <v>12</v>
      </c>
      <c r="T606" s="146">
        <f>IF(Purchase[[#This Row],[Status]]="Cancelled",0,Purchase[[#This Row],[Total Amount]])</f>
        <v>61326.96</v>
      </c>
      <c r="U606" s="146">
        <f>SUM(Purchase[Net Amount])</f>
        <v>814985438.68000126</v>
      </c>
    </row>
    <row r="607" spans="1:21" ht="19.5" thickBot="1" x14ac:dyDescent="0.3">
      <c r="A607" s="136" t="s">
        <v>1646</v>
      </c>
      <c r="B607" s="137">
        <v>45687</v>
      </c>
      <c r="C607" s="138" t="s">
        <v>581</v>
      </c>
      <c r="D607" s="138" t="str">
        <f>VLOOKUP(Purchase[[#This Row],[Supplier ID]],Supplier[#All],2,0)</f>
        <v>Prime Electronics</v>
      </c>
      <c r="E607" s="138">
        <f>VLOOKUP(Purchase[[#This Row],[Supplier ID]],Supplier[#All],3,0)</f>
        <v>9689542465</v>
      </c>
      <c r="F607" s="138" t="str">
        <f>VLOOKUP(Purchase[[#This Row],[Supplier ID]],Supplier[#All],4,0)</f>
        <v>Korba</v>
      </c>
      <c r="G607" s="138" t="str">
        <f>VLOOKUP(Purchase[[#This Row],[Supplier ID]],Supplier[#All],5,0)</f>
        <v>CG</v>
      </c>
      <c r="H607" s="138" t="str">
        <f>VLOOKUP(Purchase[[#This Row],[Supplier ID]],Supplier[#All],6,0)</f>
        <v>GST2154521T027</v>
      </c>
      <c r="I607" s="138" t="s">
        <v>214</v>
      </c>
      <c r="J607" s="139">
        <v>37</v>
      </c>
      <c r="K607" s="143">
        <f>VLOOKUP(Purchase[[#This Row],[Product ID]],Product[#All],6,0)</f>
        <v>8627</v>
      </c>
      <c r="L607" s="143">
        <f>Purchase[[#This Row],[Purchase Rate]]*Purchase[[#This Row],[Qty]]</f>
        <v>319199</v>
      </c>
      <c r="M607" s="140">
        <v>0</v>
      </c>
      <c r="N607" s="143">
        <v>0</v>
      </c>
      <c r="O607" s="140">
        <v>0.18</v>
      </c>
      <c r="P607" s="145">
        <f>(Purchase[[#This Row],[Gross Amount]]-Purchase[[#This Row],[Disct %]])*Purchase[[#This Row],[GST %]]</f>
        <v>57455.82</v>
      </c>
      <c r="Q607" s="145">
        <f>Purchase[[#This Row],[Gross Amount]]-Purchase[[#This Row],[Disct Amnt]]+Purchase[[#This Row],[GST Amount]]</f>
        <v>376654.82</v>
      </c>
      <c r="R607" s="138" t="s">
        <v>1019</v>
      </c>
      <c r="S607" s="41">
        <f>IF(Purchase[[#This Row],[Status]]="Cancelled",0,Purchase[[#This Row],[Qty]])</f>
        <v>37</v>
      </c>
      <c r="T607" s="146">
        <f>IF(Purchase[[#This Row],[Status]]="Cancelled",0,Purchase[[#This Row],[Total Amount]])</f>
        <v>376654.82</v>
      </c>
      <c r="U607" s="146">
        <f>SUM(Purchase[Net Amount])</f>
        <v>814985438.68000126</v>
      </c>
    </row>
    <row r="608" spans="1:21" ht="19.5" thickBot="1" x14ac:dyDescent="0.3">
      <c r="A608" s="136" t="s">
        <v>1647</v>
      </c>
      <c r="B608" s="137">
        <v>45687</v>
      </c>
      <c r="C608" s="138" t="s">
        <v>580</v>
      </c>
      <c r="D608" s="138" t="str">
        <f>VLOOKUP(Purchase[[#This Row],[Supplier ID]],Supplier[#All],2,0)</f>
        <v>Star Distributors</v>
      </c>
      <c r="E608" s="138">
        <f>VLOOKUP(Purchase[[#This Row],[Supplier ID]],Supplier[#All],3,0)</f>
        <v>9689542464</v>
      </c>
      <c r="F608" s="138" t="str">
        <f>VLOOKUP(Purchase[[#This Row],[Supplier ID]],Supplier[#All],4,0)</f>
        <v>Indore</v>
      </c>
      <c r="G608" s="138" t="str">
        <f>VLOOKUP(Purchase[[#This Row],[Supplier ID]],Supplier[#All],5,0)</f>
        <v>MP</v>
      </c>
      <c r="H608" s="138" t="str">
        <f>VLOOKUP(Purchase[[#This Row],[Supplier ID]],Supplier[#All],6,0)</f>
        <v>GST2154521T026</v>
      </c>
      <c r="I608" s="138" t="s">
        <v>352</v>
      </c>
      <c r="J608" s="139">
        <v>23</v>
      </c>
      <c r="K608" s="143">
        <f>VLOOKUP(Purchase[[#This Row],[Product ID]],Product[#All],6,0)</f>
        <v>10783</v>
      </c>
      <c r="L608" s="143">
        <f>Purchase[[#This Row],[Purchase Rate]]*Purchase[[#This Row],[Qty]]</f>
        <v>248009</v>
      </c>
      <c r="M608" s="140">
        <v>0</v>
      </c>
      <c r="N608" s="143">
        <v>0</v>
      </c>
      <c r="O608" s="140">
        <v>0.18</v>
      </c>
      <c r="P608" s="145">
        <f>(Purchase[[#This Row],[Gross Amount]]-Purchase[[#This Row],[Disct %]])*Purchase[[#This Row],[GST %]]</f>
        <v>44641.619999999995</v>
      </c>
      <c r="Q608" s="145">
        <f>Purchase[[#This Row],[Gross Amount]]-Purchase[[#This Row],[Disct Amnt]]+Purchase[[#This Row],[GST Amount]]</f>
        <v>292650.62</v>
      </c>
      <c r="R608" s="138" t="s">
        <v>1019</v>
      </c>
      <c r="S608" s="41">
        <f>IF(Purchase[[#This Row],[Status]]="Cancelled",0,Purchase[[#This Row],[Qty]])</f>
        <v>23</v>
      </c>
      <c r="T608" s="146">
        <f>IF(Purchase[[#This Row],[Status]]="Cancelled",0,Purchase[[#This Row],[Total Amount]])</f>
        <v>292650.62</v>
      </c>
      <c r="U608" s="146">
        <f>SUM(Purchase[Net Amount])</f>
        <v>814985438.68000126</v>
      </c>
    </row>
    <row r="609" spans="1:21" ht="19.5" thickBot="1" x14ac:dyDescent="0.3">
      <c r="A609" s="136" t="s">
        <v>1648</v>
      </c>
      <c r="B609" s="137">
        <v>45687</v>
      </c>
      <c r="C609" s="138" t="s">
        <v>603</v>
      </c>
      <c r="D609" s="138" t="str">
        <f>VLOOKUP(Purchase[[#This Row],[Supplier ID]],Supplier[#All],2,0)</f>
        <v>Tech Computers</v>
      </c>
      <c r="E609" s="138">
        <f>VLOOKUP(Purchase[[#This Row],[Supplier ID]],Supplier[#All],3,0)</f>
        <v>9689542486</v>
      </c>
      <c r="F609" s="138" t="str">
        <f>VLOOKUP(Purchase[[#This Row],[Supplier ID]],Supplier[#All],4,0)</f>
        <v>Indore</v>
      </c>
      <c r="G609" s="138" t="str">
        <f>VLOOKUP(Purchase[[#This Row],[Supplier ID]],Supplier[#All],5,0)</f>
        <v>MP</v>
      </c>
      <c r="H609" s="138" t="str">
        <f>VLOOKUP(Purchase[[#This Row],[Supplier ID]],Supplier[#All],6,0)</f>
        <v>GST2154521T048</v>
      </c>
      <c r="I609" s="138" t="s">
        <v>139</v>
      </c>
      <c r="J609" s="139">
        <v>17</v>
      </c>
      <c r="K609" s="143">
        <f>VLOOKUP(Purchase[[#This Row],[Product ID]],Product[#All],6,0)</f>
        <v>21311</v>
      </c>
      <c r="L609" s="143">
        <f>Purchase[[#This Row],[Purchase Rate]]*Purchase[[#This Row],[Qty]]</f>
        <v>362287</v>
      </c>
      <c r="M609" s="140">
        <v>0</v>
      </c>
      <c r="N609" s="143">
        <v>0</v>
      </c>
      <c r="O609" s="140">
        <v>0.18</v>
      </c>
      <c r="P609" s="145">
        <f>(Purchase[[#This Row],[Gross Amount]]-Purchase[[#This Row],[Disct %]])*Purchase[[#This Row],[GST %]]</f>
        <v>65211.659999999996</v>
      </c>
      <c r="Q609" s="145">
        <f>Purchase[[#This Row],[Gross Amount]]-Purchase[[#This Row],[Disct Amnt]]+Purchase[[#This Row],[GST Amount]]</f>
        <v>427498.66</v>
      </c>
      <c r="R609" s="138" t="s">
        <v>1019</v>
      </c>
      <c r="S609" s="41">
        <f>IF(Purchase[[#This Row],[Status]]="Cancelled",0,Purchase[[#This Row],[Qty]])</f>
        <v>17</v>
      </c>
      <c r="T609" s="146">
        <f>IF(Purchase[[#This Row],[Status]]="Cancelled",0,Purchase[[#This Row],[Total Amount]])</f>
        <v>427498.66</v>
      </c>
      <c r="U609" s="146">
        <f>SUM(Purchase[Net Amount])</f>
        <v>814985438.68000126</v>
      </c>
    </row>
    <row r="610" spans="1:21" ht="19.5" thickBot="1" x14ac:dyDescent="0.3">
      <c r="A610" s="136" t="s">
        <v>1649</v>
      </c>
      <c r="B610" s="137">
        <v>45687</v>
      </c>
      <c r="C610" s="138" t="s">
        <v>593</v>
      </c>
      <c r="D610" s="138" t="str">
        <f>VLOOKUP(Purchase[[#This Row],[Supplier ID]],Supplier[#All],2,0)</f>
        <v>Global Suppliers</v>
      </c>
      <c r="E610" s="138">
        <f>VLOOKUP(Purchase[[#This Row],[Supplier ID]],Supplier[#All],3,0)</f>
        <v>9689542476</v>
      </c>
      <c r="F610" s="138" t="str">
        <f>VLOOKUP(Purchase[[#This Row],[Supplier ID]],Supplier[#All],4,0)</f>
        <v>Korba</v>
      </c>
      <c r="G610" s="138" t="str">
        <f>VLOOKUP(Purchase[[#This Row],[Supplier ID]],Supplier[#All],5,0)</f>
        <v>CG</v>
      </c>
      <c r="H610" s="138" t="str">
        <f>VLOOKUP(Purchase[[#This Row],[Supplier ID]],Supplier[#All],6,0)</f>
        <v>GST2154521T038</v>
      </c>
      <c r="I610" s="138" t="s">
        <v>166</v>
      </c>
      <c r="J610" s="139">
        <v>2</v>
      </c>
      <c r="K610" s="143">
        <f>VLOOKUP(Purchase[[#This Row],[Product ID]],Product[#All],6,0)</f>
        <v>30191</v>
      </c>
      <c r="L610" s="143">
        <f>Purchase[[#This Row],[Purchase Rate]]*Purchase[[#This Row],[Qty]]</f>
        <v>60382</v>
      </c>
      <c r="M610" s="140">
        <v>0</v>
      </c>
      <c r="N610" s="143">
        <v>0</v>
      </c>
      <c r="O610" s="140">
        <v>0.18</v>
      </c>
      <c r="P610" s="145">
        <f>(Purchase[[#This Row],[Gross Amount]]-Purchase[[#This Row],[Disct %]])*Purchase[[#This Row],[GST %]]</f>
        <v>10868.76</v>
      </c>
      <c r="Q610" s="145">
        <f>Purchase[[#This Row],[Gross Amount]]-Purchase[[#This Row],[Disct Amnt]]+Purchase[[#This Row],[GST Amount]]</f>
        <v>71250.759999999995</v>
      </c>
      <c r="R610" s="138" t="s">
        <v>1019</v>
      </c>
      <c r="S610" s="41">
        <f>IF(Purchase[[#This Row],[Status]]="Cancelled",0,Purchase[[#This Row],[Qty]])</f>
        <v>2</v>
      </c>
      <c r="T610" s="146">
        <f>IF(Purchase[[#This Row],[Status]]="Cancelled",0,Purchase[[#This Row],[Total Amount]])</f>
        <v>71250.759999999995</v>
      </c>
      <c r="U610" s="146">
        <f>SUM(Purchase[Net Amount])</f>
        <v>814985438.68000126</v>
      </c>
    </row>
    <row r="611" spans="1:21" ht="19.5" thickBot="1" x14ac:dyDescent="0.3">
      <c r="A611" s="136" t="s">
        <v>1650</v>
      </c>
      <c r="B611" s="137">
        <v>45687</v>
      </c>
      <c r="C611" s="138" t="s">
        <v>609</v>
      </c>
      <c r="D611" s="138" t="str">
        <f>VLOOKUP(Purchase[[#This Row],[Supplier ID]],Supplier[#All],2,0)</f>
        <v>Star Suppliers</v>
      </c>
      <c r="E611" s="138">
        <f>VLOOKUP(Purchase[[#This Row],[Supplier ID]],Supplier[#All],3,0)</f>
        <v>9689542492</v>
      </c>
      <c r="F611" s="138" t="str">
        <f>VLOOKUP(Purchase[[#This Row],[Supplier ID]],Supplier[#All],4,0)</f>
        <v>Kanpur</v>
      </c>
      <c r="G611" s="138" t="str">
        <f>VLOOKUP(Purchase[[#This Row],[Supplier ID]],Supplier[#All],5,0)</f>
        <v>UP</v>
      </c>
      <c r="H611" s="138" t="str">
        <f>VLOOKUP(Purchase[[#This Row],[Supplier ID]],Supplier[#All],6,0)</f>
        <v>GST2154521T054</v>
      </c>
      <c r="I611" s="138" t="s">
        <v>202</v>
      </c>
      <c r="J611" s="139">
        <v>12</v>
      </c>
      <c r="K611" s="143">
        <f>VLOOKUP(Purchase[[#This Row],[Product ID]],Product[#All],6,0)</f>
        <v>1062</v>
      </c>
      <c r="L611" s="143">
        <f>Purchase[[#This Row],[Purchase Rate]]*Purchase[[#This Row],[Qty]]</f>
        <v>12744</v>
      </c>
      <c r="M611" s="140">
        <v>0</v>
      </c>
      <c r="N611" s="143">
        <v>0</v>
      </c>
      <c r="O611" s="140">
        <v>0.18</v>
      </c>
      <c r="P611" s="145">
        <f>(Purchase[[#This Row],[Gross Amount]]-Purchase[[#This Row],[Disct %]])*Purchase[[#This Row],[GST %]]</f>
        <v>2293.92</v>
      </c>
      <c r="Q611" s="145">
        <f>Purchase[[#This Row],[Gross Amount]]-Purchase[[#This Row],[Disct Amnt]]+Purchase[[#This Row],[GST Amount]]</f>
        <v>15037.92</v>
      </c>
      <c r="R611" s="138" t="s">
        <v>1019</v>
      </c>
      <c r="S611" s="41">
        <f>IF(Purchase[[#This Row],[Status]]="Cancelled",0,Purchase[[#This Row],[Qty]])</f>
        <v>12</v>
      </c>
      <c r="T611" s="146">
        <f>IF(Purchase[[#This Row],[Status]]="Cancelled",0,Purchase[[#This Row],[Total Amount]])</f>
        <v>15037.92</v>
      </c>
      <c r="U611" s="146">
        <f>SUM(Purchase[Net Amount])</f>
        <v>814985438.68000126</v>
      </c>
    </row>
    <row r="612" spans="1:21" ht="19.5" thickBot="1" x14ac:dyDescent="0.3">
      <c r="A612" s="136" t="s">
        <v>1651</v>
      </c>
      <c r="B612" s="137">
        <v>45688</v>
      </c>
      <c r="C612" s="138" t="s">
        <v>602</v>
      </c>
      <c r="D612" s="138" t="str">
        <f>VLOOKUP(Purchase[[#This Row],[Supplier ID]],Supplier[#All],2,0)</f>
        <v>Maa Computers</v>
      </c>
      <c r="E612" s="138">
        <f>VLOOKUP(Purchase[[#This Row],[Supplier ID]],Supplier[#All],3,0)</f>
        <v>9689542485</v>
      </c>
      <c r="F612" s="138" t="str">
        <f>VLOOKUP(Purchase[[#This Row],[Supplier ID]],Supplier[#All],4,0)</f>
        <v>Korba</v>
      </c>
      <c r="G612" s="138" t="str">
        <f>VLOOKUP(Purchase[[#This Row],[Supplier ID]],Supplier[#All],5,0)</f>
        <v>CG</v>
      </c>
      <c r="H612" s="138" t="str">
        <f>VLOOKUP(Purchase[[#This Row],[Supplier ID]],Supplier[#All],6,0)</f>
        <v>GST2154521T047</v>
      </c>
      <c r="I612" s="138" t="s">
        <v>239</v>
      </c>
      <c r="J612" s="139">
        <v>4</v>
      </c>
      <c r="K612" s="143">
        <f>VLOOKUP(Purchase[[#This Row],[Product ID]],Product[#All],6,0)</f>
        <v>6638</v>
      </c>
      <c r="L612" s="143">
        <f>Purchase[[#This Row],[Purchase Rate]]*Purchase[[#This Row],[Qty]]</f>
        <v>26552</v>
      </c>
      <c r="M612" s="140">
        <v>0</v>
      </c>
      <c r="N612" s="143">
        <v>0</v>
      </c>
      <c r="O612" s="140">
        <v>0.18</v>
      </c>
      <c r="P612" s="145">
        <f>(Purchase[[#This Row],[Gross Amount]]-Purchase[[#This Row],[Disct %]])*Purchase[[#This Row],[GST %]]</f>
        <v>4779.3599999999997</v>
      </c>
      <c r="Q612" s="145">
        <f>Purchase[[#This Row],[Gross Amount]]-Purchase[[#This Row],[Disct Amnt]]+Purchase[[#This Row],[GST Amount]]</f>
        <v>31331.360000000001</v>
      </c>
      <c r="R612" s="138" t="s">
        <v>1019</v>
      </c>
      <c r="S612" s="41">
        <f>IF(Purchase[[#This Row],[Status]]="Cancelled",0,Purchase[[#This Row],[Qty]])</f>
        <v>4</v>
      </c>
      <c r="T612" s="146">
        <f>IF(Purchase[[#This Row],[Status]]="Cancelled",0,Purchase[[#This Row],[Total Amount]])</f>
        <v>31331.360000000001</v>
      </c>
      <c r="U612" s="146">
        <f>SUM(Purchase[Net Amount])</f>
        <v>814985438.68000126</v>
      </c>
    </row>
    <row r="613" spans="1:21" ht="19.5" thickBot="1" x14ac:dyDescent="0.3">
      <c r="A613" s="136" t="s">
        <v>1652</v>
      </c>
      <c r="B613" s="137">
        <v>45688</v>
      </c>
      <c r="C613" s="138" t="s">
        <v>606</v>
      </c>
      <c r="D613" s="138" t="str">
        <f>VLOOKUP(Purchase[[#This Row],[Supplier ID]],Supplier[#All],2,0)</f>
        <v>Prime Traders</v>
      </c>
      <c r="E613" s="138">
        <f>VLOOKUP(Purchase[[#This Row],[Supplier ID]],Supplier[#All],3,0)</f>
        <v>9689542489</v>
      </c>
      <c r="F613" s="138" t="str">
        <f>VLOOKUP(Purchase[[#This Row],[Supplier ID]],Supplier[#All],4,0)</f>
        <v>Indore</v>
      </c>
      <c r="G613" s="138" t="str">
        <f>VLOOKUP(Purchase[[#This Row],[Supplier ID]],Supplier[#All],5,0)</f>
        <v>MP</v>
      </c>
      <c r="H613" s="138" t="str">
        <f>VLOOKUP(Purchase[[#This Row],[Supplier ID]],Supplier[#All],6,0)</f>
        <v>GST2154521T051</v>
      </c>
      <c r="I613" s="138" t="s">
        <v>400</v>
      </c>
      <c r="J613" s="139">
        <v>39</v>
      </c>
      <c r="K613" s="143">
        <f>VLOOKUP(Purchase[[#This Row],[Product ID]],Product[#All],6,0)</f>
        <v>1065</v>
      </c>
      <c r="L613" s="143">
        <f>Purchase[[#This Row],[Purchase Rate]]*Purchase[[#This Row],[Qty]]</f>
        <v>41535</v>
      </c>
      <c r="M613" s="140">
        <v>0</v>
      </c>
      <c r="N613" s="143">
        <v>0</v>
      </c>
      <c r="O613" s="140">
        <v>0.18</v>
      </c>
      <c r="P613" s="145">
        <f>(Purchase[[#This Row],[Gross Amount]]-Purchase[[#This Row],[Disct %]])*Purchase[[#This Row],[GST %]]</f>
        <v>7476.2999999999993</v>
      </c>
      <c r="Q613" s="145">
        <f>Purchase[[#This Row],[Gross Amount]]-Purchase[[#This Row],[Disct Amnt]]+Purchase[[#This Row],[GST Amount]]</f>
        <v>49011.3</v>
      </c>
      <c r="R613" s="138" t="s">
        <v>1040</v>
      </c>
      <c r="S613" s="41">
        <f>IF(Purchase[[#This Row],[Status]]="Cancelled",0,Purchase[[#This Row],[Qty]])</f>
        <v>0</v>
      </c>
      <c r="T613" s="146">
        <f>IF(Purchase[[#This Row],[Status]]="Cancelled",0,Purchase[[#This Row],[Total Amount]])</f>
        <v>0</v>
      </c>
      <c r="U613" s="146">
        <f>SUM(Purchase[Net Amount])</f>
        <v>814985438.68000126</v>
      </c>
    </row>
    <row r="614" spans="1:21" ht="19.5" thickBot="1" x14ac:dyDescent="0.3">
      <c r="A614" s="136" t="s">
        <v>1653</v>
      </c>
      <c r="B614" s="137">
        <v>45688</v>
      </c>
      <c r="C614" s="138" t="s">
        <v>606</v>
      </c>
      <c r="D614" s="138" t="str">
        <f>VLOOKUP(Purchase[[#This Row],[Supplier ID]],Supplier[#All],2,0)</f>
        <v>Prime Traders</v>
      </c>
      <c r="E614" s="138">
        <f>VLOOKUP(Purchase[[#This Row],[Supplier ID]],Supplier[#All],3,0)</f>
        <v>9689542489</v>
      </c>
      <c r="F614" s="138" t="str">
        <f>VLOOKUP(Purchase[[#This Row],[Supplier ID]],Supplier[#All],4,0)</f>
        <v>Indore</v>
      </c>
      <c r="G614" s="138" t="str">
        <f>VLOOKUP(Purchase[[#This Row],[Supplier ID]],Supplier[#All],5,0)</f>
        <v>MP</v>
      </c>
      <c r="H614" s="138" t="str">
        <f>VLOOKUP(Purchase[[#This Row],[Supplier ID]],Supplier[#All],6,0)</f>
        <v>GST2154521T051</v>
      </c>
      <c r="I614" s="138" t="s">
        <v>152</v>
      </c>
      <c r="J614" s="139">
        <v>14</v>
      </c>
      <c r="K614" s="143">
        <f>VLOOKUP(Purchase[[#This Row],[Product ID]],Product[#All],6,0)</f>
        <v>29602</v>
      </c>
      <c r="L614" s="143">
        <f>Purchase[[#This Row],[Purchase Rate]]*Purchase[[#This Row],[Qty]]</f>
        <v>414428</v>
      </c>
      <c r="M614" s="140">
        <v>0</v>
      </c>
      <c r="N614" s="143">
        <v>0</v>
      </c>
      <c r="O614" s="140">
        <v>0.18</v>
      </c>
      <c r="P614" s="145">
        <f>(Purchase[[#This Row],[Gross Amount]]-Purchase[[#This Row],[Disct %]])*Purchase[[#This Row],[GST %]]</f>
        <v>74597.039999999994</v>
      </c>
      <c r="Q614" s="145">
        <f>Purchase[[#This Row],[Gross Amount]]-Purchase[[#This Row],[Disct Amnt]]+Purchase[[#This Row],[GST Amount]]</f>
        <v>489025.04</v>
      </c>
      <c r="R614" s="138" t="s">
        <v>1019</v>
      </c>
      <c r="S614" s="41">
        <f>IF(Purchase[[#This Row],[Status]]="Cancelled",0,Purchase[[#This Row],[Qty]])</f>
        <v>14</v>
      </c>
      <c r="T614" s="146">
        <f>IF(Purchase[[#This Row],[Status]]="Cancelled",0,Purchase[[#This Row],[Total Amount]])</f>
        <v>489025.04</v>
      </c>
      <c r="U614" s="146">
        <f>SUM(Purchase[Net Amount])</f>
        <v>814985438.68000126</v>
      </c>
    </row>
    <row r="615" spans="1:21" ht="19.5" thickBot="1" x14ac:dyDescent="0.3">
      <c r="A615" s="136" t="s">
        <v>1654</v>
      </c>
      <c r="B615" s="137">
        <v>45688</v>
      </c>
      <c r="C615" s="138" t="s">
        <v>598</v>
      </c>
      <c r="D615" s="138" t="str">
        <f>VLOOKUP(Purchase[[#This Row],[Supplier ID]],Supplier[#All],2,0)</f>
        <v>National Distributors</v>
      </c>
      <c r="E615" s="138">
        <f>VLOOKUP(Purchase[[#This Row],[Supplier ID]],Supplier[#All],3,0)</f>
        <v>9689542489</v>
      </c>
      <c r="F615" s="138" t="str">
        <f>VLOOKUP(Purchase[[#This Row],[Supplier ID]],Supplier[#All],4,0)</f>
        <v>Indore</v>
      </c>
      <c r="G615" s="138" t="str">
        <f>VLOOKUP(Purchase[[#This Row],[Supplier ID]],Supplier[#All],5,0)</f>
        <v>MP</v>
      </c>
      <c r="H615" s="138" t="str">
        <f>VLOOKUP(Purchase[[#This Row],[Supplier ID]],Supplier[#All],6,0)</f>
        <v>GST2154521T043</v>
      </c>
      <c r="I615" s="138" t="s">
        <v>415</v>
      </c>
      <c r="J615" s="139">
        <v>20</v>
      </c>
      <c r="K615" s="143">
        <f>VLOOKUP(Purchase[[#This Row],[Product ID]],Product[#All],6,0)</f>
        <v>4146</v>
      </c>
      <c r="L615" s="143">
        <f>Purchase[[#This Row],[Purchase Rate]]*Purchase[[#This Row],[Qty]]</f>
        <v>82920</v>
      </c>
      <c r="M615" s="140">
        <v>0</v>
      </c>
      <c r="N615" s="143">
        <v>0</v>
      </c>
      <c r="O615" s="140">
        <v>0.18</v>
      </c>
      <c r="P615" s="145">
        <f>(Purchase[[#This Row],[Gross Amount]]-Purchase[[#This Row],[Disct %]])*Purchase[[#This Row],[GST %]]</f>
        <v>14925.599999999999</v>
      </c>
      <c r="Q615" s="145">
        <f>Purchase[[#This Row],[Gross Amount]]-Purchase[[#This Row],[Disct Amnt]]+Purchase[[#This Row],[GST Amount]]</f>
        <v>97845.6</v>
      </c>
      <c r="R615" s="138" t="s">
        <v>1019</v>
      </c>
      <c r="S615" s="41">
        <f>IF(Purchase[[#This Row],[Status]]="Cancelled",0,Purchase[[#This Row],[Qty]])</f>
        <v>20</v>
      </c>
      <c r="T615" s="146">
        <f>IF(Purchase[[#This Row],[Status]]="Cancelled",0,Purchase[[#This Row],[Total Amount]])</f>
        <v>97845.6</v>
      </c>
      <c r="U615" s="146">
        <f>SUM(Purchase[Net Amount])</f>
        <v>814985438.68000126</v>
      </c>
    </row>
    <row r="616" spans="1:21" ht="19.5" thickBot="1" x14ac:dyDescent="0.3">
      <c r="A616" s="136" t="s">
        <v>1655</v>
      </c>
      <c r="B616" s="137">
        <v>45688</v>
      </c>
      <c r="C616" s="138" t="s">
        <v>604</v>
      </c>
      <c r="D616" s="138" t="str">
        <f>VLOOKUP(Purchase[[#This Row],[Supplier ID]],Supplier[#All],2,0)</f>
        <v>Prime Traders</v>
      </c>
      <c r="E616" s="138">
        <f>VLOOKUP(Purchase[[#This Row],[Supplier ID]],Supplier[#All],3,0)</f>
        <v>9689542487</v>
      </c>
      <c r="F616" s="138" t="str">
        <f>VLOOKUP(Purchase[[#This Row],[Supplier ID]],Supplier[#All],4,0)</f>
        <v>Indore</v>
      </c>
      <c r="G616" s="138" t="str">
        <f>VLOOKUP(Purchase[[#This Row],[Supplier ID]],Supplier[#All],5,0)</f>
        <v>MP</v>
      </c>
      <c r="H616" s="138" t="str">
        <f>VLOOKUP(Purchase[[#This Row],[Supplier ID]],Supplier[#All],6,0)</f>
        <v>GST2154521T049</v>
      </c>
      <c r="I616" s="138" t="s">
        <v>197</v>
      </c>
      <c r="J616" s="139">
        <v>36</v>
      </c>
      <c r="K616" s="143">
        <f>VLOOKUP(Purchase[[#This Row],[Product ID]],Product[#All],6,0)</f>
        <v>12461</v>
      </c>
      <c r="L616" s="143">
        <f>Purchase[[#This Row],[Purchase Rate]]*Purchase[[#This Row],[Qty]]</f>
        <v>448596</v>
      </c>
      <c r="M616" s="140">
        <v>0</v>
      </c>
      <c r="N616" s="143">
        <v>0</v>
      </c>
      <c r="O616" s="140">
        <v>0.18</v>
      </c>
      <c r="P616" s="145">
        <f>(Purchase[[#This Row],[Gross Amount]]-Purchase[[#This Row],[Disct %]])*Purchase[[#This Row],[GST %]]</f>
        <v>80747.28</v>
      </c>
      <c r="Q616" s="145">
        <f>Purchase[[#This Row],[Gross Amount]]-Purchase[[#This Row],[Disct Amnt]]+Purchase[[#This Row],[GST Amount]]</f>
        <v>529343.28</v>
      </c>
      <c r="R616" s="138" t="s">
        <v>1019</v>
      </c>
      <c r="S616" s="41">
        <f>IF(Purchase[[#This Row],[Status]]="Cancelled",0,Purchase[[#This Row],[Qty]])</f>
        <v>36</v>
      </c>
      <c r="T616" s="146">
        <f>IF(Purchase[[#This Row],[Status]]="Cancelled",0,Purchase[[#This Row],[Total Amount]])</f>
        <v>529343.28</v>
      </c>
      <c r="U616" s="146">
        <f>SUM(Purchase[Net Amount])</f>
        <v>814985438.68000126</v>
      </c>
    </row>
    <row r="617" spans="1:21" ht="19.5" thickBot="1" x14ac:dyDescent="0.3">
      <c r="A617" s="136" t="s">
        <v>1656</v>
      </c>
      <c r="B617" s="137">
        <v>45688</v>
      </c>
      <c r="C617" s="138" t="s">
        <v>605</v>
      </c>
      <c r="D617" s="138" t="str">
        <f>VLOOKUP(Purchase[[#This Row],[Supplier ID]],Supplier[#All],2,0)</f>
        <v>Star Traders</v>
      </c>
      <c r="E617" s="138">
        <f>VLOOKUP(Purchase[[#This Row],[Supplier ID]],Supplier[#All],3,0)</f>
        <v>9689542488</v>
      </c>
      <c r="F617" s="138" t="str">
        <f>VLOOKUP(Purchase[[#This Row],[Supplier ID]],Supplier[#All],4,0)</f>
        <v>Indore</v>
      </c>
      <c r="G617" s="138" t="str">
        <f>VLOOKUP(Purchase[[#This Row],[Supplier ID]],Supplier[#All],5,0)</f>
        <v>MP</v>
      </c>
      <c r="H617" s="138" t="str">
        <f>VLOOKUP(Purchase[[#This Row],[Supplier ID]],Supplier[#All],6,0)</f>
        <v>GST2154521T050</v>
      </c>
      <c r="I617" s="138" t="s">
        <v>214</v>
      </c>
      <c r="J617" s="139">
        <v>7</v>
      </c>
      <c r="K617" s="143">
        <f>VLOOKUP(Purchase[[#This Row],[Product ID]],Product[#All],6,0)</f>
        <v>8627</v>
      </c>
      <c r="L617" s="143">
        <f>Purchase[[#This Row],[Purchase Rate]]*Purchase[[#This Row],[Qty]]</f>
        <v>60389</v>
      </c>
      <c r="M617" s="140">
        <v>0</v>
      </c>
      <c r="N617" s="143">
        <v>0</v>
      </c>
      <c r="O617" s="140">
        <v>0.18</v>
      </c>
      <c r="P617" s="145">
        <f>(Purchase[[#This Row],[Gross Amount]]-Purchase[[#This Row],[Disct %]])*Purchase[[#This Row],[GST %]]</f>
        <v>10870.02</v>
      </c>
      <c r="Q617" s="145">
        <f>Purchase[[#This Row],[Gross Amount]]-Purchase[[#This Row],[Disct Amnt]]+Purchase[[#This Row],[GST Amount]]</f>
        <v>71259.02</v>
      </c>
      <c r="R617" s="138" t="s">
        <v>1019</v>
      </c>
      <c r="S617" s="41">
        <f>IF(Purchase[[#This Row],[Status]]="Cancelled",0,Purchase[[#This Row],[Qty]])</f>
        <v>7</v>
      </c>
      <c r="T617" s="146">
        <f>IF(Purchase[[#This Row],[Status]]="Cancelled",0,Purchase[[#This Row],[Total Amount]])</f>
        <v>71259.02</v>
      </c>
      <c r="U617" s="146">
        <f>SUM(Purchase[Net Amount])</f>
        <v>814985438.68000126</v>
      </c>
    </row>
    <row r="618" spans="1:21" ht="19.5" thickBot="1" x14ac:dyDescent="0.3">
      <c r="A618" s="136" t="s">
        <v>1657</v>
      </c>
      <c r="B618" s="137">
        <v>45688</v>
      </c>
      <c r="C618" s="138" t="s">
        <v>564</v>
      </c>
      <c r="D618" s="138" t="str">
        <f>VLOOKUP(Purchase[[#This Row],[Supplier ID]],Supplier[#All],2,0)</f>
        <v xml:space="preserve">Star Electronics </v>
      </c>
      <c r="E618" s="138">
        <f>VLOOKUP(Purchase[[#This Row],[Supplier ID]],Supplier[#All],3,0)</f>
        <v>9689542450</v>
      </c>
      <c r="F618" s="138" t="str">
        <f>VLOOKUP(Purchase[[#This Row],[Supplier ID]],Supplier[#All],4,0)</f>
        <v>Korba</v>
      </c>
      <c r="G618" s="138" t="str">
        <f>VLOOKUP(Purchase[[#This Row],[Supplier ID]],Supplier[#All],5,0)</f>
        <v>CG</v>
      </c>
      <c r="H618" s="138" t="str">
        <f>VLOOKUP(Purchase[[#This Row],[Supplier ID]],Supplier[#All],6,0)</f>
        <v>GST2154521T012</v>
      </c>
      <c r="I618" s="138" t="s">
        <v>405</v>
      </c>
      <c r="J618" s="139">
        <v>37</v>
      </c>
      <c r="K618" s="143">
        <f>VLOOKUP(Purchase[[#This Row],[Product ID]],Product[#All],6,0)</f>
        <v>1259</v>
      </c>
      <c r="L618" s="143">
        <f>Purchase[[#This Row],[Purchase Rate]]*Purchase[[#This Row],[Qty]]</f>
        <v>46583</v>
      </c>
      <c r="M618" s="140">
        <v>0</v>
      </c>
      <c r="N618" s="143">
        <v>0</v>
      </c>
      <c r="O618" s="140">
        <v>0.18</v>
      </c>
      <c r="P618" s="145">
        <f>(Purchase[[#This Row],[Gross Amount]]-Purchase[[#This Row],[Disct %]])*Purchase[[#This Row],[GST %]]</f>
        <v>8384.94</v>
      </c>
      <c r="Q618" s="145">
        <f>Purchase[[#This Row],[Gross Amount]]-Purchase[[#This Row],[Disct Amnt]]+Purchase[[#This Row],[GST Amount]]</f>
        <v>54967.94</v>
      </c>
      <c r="R618" s="138" t="s">
        <v>1019</v>
      </c>
      <c r="S618" s="41">
        <f>IF(Purchase[[#This Row],[Status]]="Cancelled",0,Purchase[[#This Row],[Qty]])</f>
        <v>37</v>
      </c>
      <c r="T618" s="146">
        <f>IF(Purchase[[#This Row],[Status]]="Cancelled",0,Purchase[[#This Row],[Total Amount]])</f>
        <v>54967.94</v>
      </c>
      <c r="U618" s="146">
        <f>SUM(Purchase[Net Amount])</f>
        <v>814985438.68000126</v>
      </c>
    </row>
    <row r="619" spans="1:21" ht="19.5" thickBot="1" x14ac:dyDescent="0.3">
      <c r="A619" s="136" t="s">
        <v>1658</v>
      </c>
      <c r="B619" s="137">
        <v>45688</v>
      </c>
      <c r="C619" s="138" t="s">
        <v>601</v>
      </c>
      <c r="D619" s="138" t="str">
        <f>VLOOKUP(Purchase[[#This Row],[Supplier ID]],Supplier[#All],2,0)</f>
        <v>Maa Distributors</v>
      </c>
      <c r="E619" s="138">
        <f>VLOOKUP(Purchase[[#This Row],[Supplier ID]],Supplier[#All],3,0)</f>
        <v>9689542484</v>
      </c>
      <c r="F619" s="138" t="str">
        <f>VLOOKUP(Purchase[[#This Row],[Supplier ID]],Supplier[#All],4,0)</f>
        <v>Indore</v>
      </c>
      <c r="G619" s="138" t="str">
        <f>VLOOKUP(Purchase[[#This Row],[Supplier ID]],Supplier[#All],5,0)</f>
        <v>MP</v>
      </c>
      <c r="H619" s="138" t="str">
        <f>VLOOKUP(Purchase[[#This Row],[Supplier ID]],Supplier[#All],6,0)</f>
        <v>GST2154521T046</v>
      </c>
      <c r="I619" s="138" t="s">
        <v>195</v>
      </c>
      <c r="J619" s="139">
        <v>17</v>
      </c>
      <c r="K619" s="143">
        <f>VLOOKUP(Purchase[[#This Row],[Product ID]],Product[#All],6,0)</f>
        <v>38353</v>
      </c>
      <c r="L619" s="143">
        <f>Purchase[[#This Row],[Purchase Rate]]*Purchase[[#This Row],[Qty]]</f>
        <v>652001</v>
      </c>
      <c r="M619" s="140">
        <v>0</v>
      </c>
      <c r="N619" s="143">
        <v>0</v>
      </c>
      <c r="O619" s="140">
        <v>0.18</v>
      </c>
      <c r="P619" s="145">
        <f>(Purchase[[#This Row],[Gross Amount]]-Purchase[[#This Row],[Disct %]])*Purchase[[#This Row],[GST %]]</f>
        <v>117360.18</v>
      </c>
      <c r="Q619" s="145">
        <f>Purchase[[#This Row],[Gross Amount]]-Purchase[[#This Row],[Disct Amnt]]+Purchase[[#This Row],[GST Amount]]</f>
        <v>769361.17999999993</v>
      </c>
      <c r="R619" s="138" t="s">
        <v>1019</v>
      </c>
      <c r="S619" s="41">
        <f>IF(Purchase[[#This Row],[Status]]="Cancelled",0,Purchase[[#This Row],[Qty]])</f>
        <v>17</v>
      </c>
      <c r="T619" s="146">
        <f>IF(Purchase[[#This Row],[Status]]="Cancelled",0,Purchase[[#This Row],[Total Amount]])</f>
        <v>769361.17999999993</v>
      </c>
      <c r="U619" s="146">
        <f>SUM(Purchase[Net Amount])</f>
        <v>814985438.68000126</v>
      </c>
    </row>
    <row r="620" spans="1:21" ht="19.5" thickBot="1" x14ac:dyDescent="0.3">
      <c r="A620" s="136" t="s">
        <v>1659</v>
      </c>
      <c r="B620" s="137">
        <v>45688</v>
      </c>
      <c r="C620" s="138" t="s">
        <v>588</v>
      </c>
      <c r="D620" s="138" t="str">
        <f>VLOOKUP(Purchase[[#This Row],[Supplier ID]],Supplier[#All],2,0)</f>
        <v>Star Electronics</v>
      </c>
      <c r="E620" s="138">
        <f>VLOOKUP(Purchase[[#This Row],[Supplier ID]],Supplier[#All],3,0)</f>
        <v>9689542472</v>
      </c>
      <c r="F620" s="138" t="str">
        <f>VLOOKUP(Purchase[[#This Row],[Supplier ID]],Supplier[#All],4,0)</f>
        <v>Korba</v>
      </c>
      <c r="G620" s="138" t="str">
        <f>VLOOKUP(Purchase[[#This Row],[Supplier ID]],Supplier[#All],5,0)</f>
        <v>CG</v>
      </c>
      <c r="H620" s="138" t="str">
        <f>VLOOKUP(Purchase[[#This Row],[Supplier ID]],Supplier[#All],6,0)</f>
        <v>GST2154521T034</v>
      </c>
      <c r="I620" s="138" t="s">
        <v>132</v>
      </c>
      <c r="J620" s="139">
        <v>6</v>
      </c>
      <c r="K620" s="143">
        <f>VLOOKUP(Purchase[[#This Row],[Product ID]],Product[#All],6,0)</f>
        <v>6397</v>
      </c>
      <c r="L620" s="143">
        <f>Purchase[[#This Row],[Purchase Rate]]*Purchase[[#This Row],[Qty]]</f>
        <v>38382</v>
      </c>
      <c r="M620" s="140">
        <v>0</v>
      </c>
      <c r="N620" s="143">
        <v>0</v>
      </c>
      <c r="O620" s="140">
        <v>0.18</v>
      </c>
      <c r="P620" s="145">
        <f>(Purchase[[#This Row],[Gross Amount]]-Purchase[[#This Row],[Disct %]])*Purchase[[#This Row],[GST %]]</f>
        <v>6908.7599999999993</v>
      </c>
      <c r="Q620" s="145">
        <f>Purchase[[#This Row],[Gross Amount]]-Purchase[[#This Row],[Disct Amnt]]+Purchase[[#This Row],[GST Amount]]</f>
        <v>45290.76</v>
      </c>
      <c r="R620" s="138" t="s">
        <v>1019</v>
      </c>
      <c r="S620" s="41">
        <f>IF(Purchase[[#This Row],[Status]]="Cancelled",0,Purchase[[#This Row],[Qty]])</f>
        <v>6</v>
      </c>
      <c r="T620" s="146">
        <f>IF(Purchase[[#This Row],[Status]]="Cancelled",0,Purchase[[#This Row],[Total Amount]])</f>
        <v>45290.76</v>
      </c>
      <c r="U620" s="146">
        <f>SUM(Purchase[Net Amount])</f>
        <v>814985438.68000126</v>
      </c>
    </row>
    <row r="621" spans="1:21" ht="19.5" thickBot="1" x14ac:dyDescent="0.3">
      <c r="A621" s="136" t="s">
        <v>1660</v>
      </c>
      <c r="B621" s="137">
        <v>45688</v>
      </c>
      <c r="C621" s="138" t="s">
        <v>594</v>
      </c>
      <c r="D621" s="138" t="str">
        <f>VLOOKUP(Purchase[[#This Row],[Supplier ID]],Supplier[#All],2,0)</f>
        <v>Shree Suppliers</v>
      </c>
      <c r="E621" s="138">
        <f>VLOOKUP(Purchase[[#This Row],[Supplier ID]],Supplier[#All],3,0)</f>
        <v>9689542477</v>
      </c>
      <c r="F621" s="138" t="str">
        <f>VLOOKUP(Purchase[[#This Row],[Supplier ID]],Supplier[#All],4,0)</f>
        <v>Indore</v>
      </c>
      <c r="G621" s="138" t="str">
        <f>VLOOKUP(Purchase[[#This Row],[Supplier ID]],Supplier[#All],5,0)</f>
        <v>MP</v>
      </c>
      <c r="H621" s="138" t="str">
        <f>VLOOKUP(Purchase[[#This Row],[Supplier ID]],Supplier[#All],6,0)</f>
        <v>GST2154521T039</v>
      </c>
      <c r="I621" s="138" t="s">
        <v>243</v>
      </c>
      <c r="J621" s="139">
        <v>37</v>
      </c>
      <c r="K621" s="143">
        <f>VLOOKUP(Purchase[[#This Row],[Product ID]],Product[#All],6,0)</f>
        <v>2543</v>
      </c>
      <c r="L621" s="143">
        <f>Purchase[[#This Row],[Purchase Rate]]*Purchase[[#This Row],[Qty]]</f>
        <v>94091</v>
      </c>
      <c r="M621" s="140">
        <v>0</v>
      </c>
      <c r="N621" s="143">
        <v>0</v>
      </c>
      <c r="O621" s="140">
        <v>0.18</v>
      </c>
      <c r="P621" s="145">
        <f>(Purchase[[#This Row],[Gross Amount]]-Purchase[[#This Row],[Disct %]])*Purchase[[#This Row],[GST %]]</f>
        <v>16936.38</v>
      </c>
      <c r="Q621" s="145">
        <f>Purchase[[#This Row],[Gross Amount]]-Purchase[[#This Row],[Disct Amnt]]+Purchase[[#This Row],[GST Amount]]</f>
        <v>111027.38</v>
      </c>
      <c r="R621" s="138" t="s">
        <v>1019</v>
      </c>
      <c r="S621" s="41">
        <f>IF(Purchase[[#This Row],[Status]]="Cancelled",0,Purchase[[#This Row],[Qty]])</f>
        <v>37</v>
      </c>
      <c r="T621" s="146">
        <f>IF(Purchase[[#This Row],[Status]]="Cancelled",0,Purchase[[#This Row],[Total Amount]])</f>
        <v>111027.38</v>
      </c>
      <c r="U621" s="146">
        <f>SUM(Purchase[Net Amount])</f>
        <v>814985438.68000126</v>
      </c>
    </row>
    <row r="622" spans="1:21" ht="19.5" thickBot="1" x14ac:dyDescent="0.3">
      <c r="A622" s="136" t="s">
        <v>1661</v>
      </c>
      <c r="B622" s="137">
        <v>45689</v>
      </c>
      <c r="C622" s="138" t="s">
        <v>589</v>
      </c>
      <c r="D622" s="138" t="str">
        <f>VLOOKUP(Purchase[[#This Row],[Supplier ID]],Supplier[#All],2,0)</f>
        <v>Maa Computers</v>
      </c>
      <c r="E622" s="138">
        <f>VLOOKUP(Purchase[[#This Row],[Supplier ID]],Supplier[#All],3,0)</f>
        <v>9689542473</v>
      </c>
      <c r="F622" s="138" t="str">
        <f>VLOOKUP(Purchase[[#This Row],[Supplier ID]],Supplier[#All],4,0)</f>
        <v>Kanpur</v>
      </c>
      <c r="G622" s="138" t="str">
        <f>VLOOKUP(Purchase[[#This Row],[Supplier ID]],Supplier[#All],5,0)</f>
        <v>UP</v>
      </c>
      <c r="H622" s="138" t="str">
        <f>VLOOKUP(Purchase[[#This Row],[Supplier ID]],Supplier[#All],6,0)</f>
        <v>GST2154521T035</v>
      </c>
      <c r="I622" s="138" t="s">
        <v>105</v>
      </c>
      <c r="J622" s="139">
        <v>21</v>
      </c>
      <c r="K622" s="143">
        <f>VLOOKUP(Purchase[[#This Row],[Product ID]],Product[#All],6,0)</f>
        <v>2728</v>
      </c>
      <c r="L622" s="143">
        <f>Purchase[[#This Row],[Purchase Rate]]*Purchase[[#This Row],[Qty]]</f>
        <v>57288</v>
      </c>
      <c r="M622" s="140">
        <v>0</v>
      </c>
      <c r="N622" s="143">
        <v>0</v>
      </c>
      <c r="O622" s="140">
        <v>0.18</v>
      </c>
      <c r="P622" s="145">
        <f>(Purchase[[#This Row],[Gross Amount]]-Purchase[[#This Row],[Disct %]])*Purchase[[#This Row],[GST %]]</f>
        <v>10311.84</v>
      </c>
      <c r="Q622" s="145">
        <f>Purchase[[#This Row],[Gross Amount]]-Purchase[[#This Row],[Disct Amnt]]+Purchase[[#This Row],[GST Amount]]</f>
        <v>67599.839999999997</v>
      </c>
      <c r="R622" s="138" t="s">
        <v>1019</v>
      </c>
      <c r="S622" s="41">
        <f>IF(Purchase[[#This Row],[Status]]="Cancelled",0,Purchase[[#This Row],[Qty]])</f>
        <v>21</v>
      </c>
      <c r="T622" s="146">
        <f>IF(Purchase[[#This Row],[Status]]="Cancelled",0,Purchase[[#This Row],[Total Amount]])</f>
        <v>67599.839999999997</v>
      </c>
      <c r="U622" s="146">
        <f>SUM(Purchase[Net Amount])</f>
        <v>814985438.68000126</v>
      </c>
    </row>
    <row r="623" spans="1:21" ht="19.5" thickBot="1" x14ac:dyDescent="0.3">
      <c r="A623" s="136" t="s">
        <v>1662</v>
      </c>
      <c r="B623" s="137">
        <v>45689</v>
      </c>
      <c r="C623" s="138" t="s">
        <v>582</v>
      </c>
      <c r="D623" s="138" t="str">
        <f>VLOOKUP(Purchase[[#This Row],[Supplier ID]],Supplier[#All],2,0)</f>
        <v>Tech Distributors</v>
      </c>
      <c r="E623" s="138">
        <f>VLOOKUP(Purchase[[#This Row],[Supplier ID]],Supplier[#All],3,0)</f>
        <v>9689542466</v>
      </c>
      <c r="F623" s="138" t="str">
        <f>VLOOKUP(Purchase[[#This Row],[Supplier ID]],Supplier[#All],4,0)</f>
        <v>Indore</v>
      </c>
      <c r="G623" s="138" t="str">
        <f>VLOOKUP(Purchase[[#This Row],[Supplier ID]],Supplier[#All],5,0)</f>
        <v>MP</v>
      </c>
      <c r="H623" s="138" t="str">
        <f>VLOOKUP(Purchase[[#This Row],[Supplier ID]],Supplier[#All],6,0)</f>
        <v>GST2154521T028</v>
      </c>
      <c r="I623" s="138" t="s">
        <v>548</v>
      </c>
      <c r="J623" s="139">
        <v>10</v>
      </c>
      <c r="K623" s="143">
        <f>VLOOKUP(Purchase[[#This Row],[Product ID]],Product[#All],6,0)</f>
        <v>2026</v>
      </c>
      <c r="L623" s="143">
        <f>Purchase[[#This Row],[Purchase Rate]]*Purchase[[#This Row],[Qty]]</f>
        <v>20260</v>
      </c>
      <c r="M623" s="140">
        <v>0</v>
      </c>
      <c r="N623" s="143">
        <v>0</v>
      </c>
      <c r="O623" s="140">
        <v>0.18</v>
      </c>
      <c r="P623" s="145">
        <f>(Purchase[[#This Row],[Gross Amount]]-Purchase[[#This Row],[Disct %]])*Purchase[[#This Row],[GST %]]</f>
        <v>3646.7999999999997</v>
      </c>
      <c r="Q623" s="145">
        <f>Purchase[[#This Row],[Gross Amount]]-Purchase[[#This Row],[Disct Amnt]]+Purchase[[#This Row],[GST Amount]]</f>
        <v>23906.799999999999</v>
      </c>
      <c r="R623" s="138" t="s">
        <v>1019</v>
      </c>
      <c r="S623" s="41">
        <f>IF(Purchase[[#This Row],[Status]]="Cancelled",0,Purchase[[#This Row],[Qty]])</f>
        <v>10</v>
      </c>
      <c r="T623" s="146">
        <f>IF(Purchase[[#This Row],[Status]]="Cancelled",0,Purchase[[#This Row],[Total Amount]])</f>
        <v>23906.799999999999</v>
      </c>
      <c r="U623" s="146">
        <f>SUM(Purchase[Net Amount])</f>
        <v>814985438.68000126</v>
      </c>
    </row>
    <row r="624" spans="1:21" ht="19.5" thickBot="1" x14ac:dyDescent="0.3">
      <c r="A624" s="136" t="s">
        <v>1663</v>
      </c>
      <c r="B624" s="137">
        <v>45689</v>
      </c>
      <c r="C624" s="138" t="s">
        <v>585</v>
      </c>
      <c r="D624" s="138" t="str">
        <f>VLOOKUP(Purchase[[#This Row],[Supplier ID]],Supplier[#All],2,0)</f>
        <v>Tech Computers</v>
      </c>
      <c r="E624" s="138">
        <f>VLOOKUP(Purchase[[#This Row],[Supplier ID]],Supplier[#All],3,0)</f>
        <v>9689542469</v>
      </c>
      <c r="F624" s="138" t="str">
        <f>VLOOKUP(Purchase[[#This Row],[Supplier ID]],Supplier[#All],4,0)</f>
        <v>Korba</v>
      </c>
      <c r="G624" s="138" t="str">
        <f>VLOOKUP(Purchase[[#This Row],[Supplier ID]],Supplier[#All],5,0)</f>
        <v>CG</v>
      </c>
      <c r="H624" s="138" t="str">
        <f>VLOOKUP(Purchase[[#This Row],[Supplier ID]],Supplier[#All],6,0)</f>
        <v>GST2154521T031</v>
      </c>
      <c r="I624" s="138" t="s">
        <v>297</v>
      </c>
      <c r="J624" s="139">
        <v>11</v>
      </c>
      <c r="K624" s="143">
        <f>VLOOKUP(Purchase[[#This Row],[Product ID]],Product[#All],6,0)</f>
        <v>34985</v>
      </c>
      <c r="L624" s="143">
        <f>Purchase[[#This Row],[Purchase Rate]]*Purchase[[#This Row],[Qty]]</f>
        <v>384835</v>
      </c>
      <c r="M624" s="140">
        <v>0</v>
      </c>
      <c r="N624" s="143">
        <v>0</v>
      </c>
      <c r="O624" s="140">
        <v>0.18</v>
      </c>
      <c r="P624" s="145">
        <f>(Purchase[[#This Row],[Gross Amount]]-Purchase[[#This Row],[Disct %]])*Purchase[[#This Row],[GST %]]</f>
        <v>69270.3</v>
      </c>
      <c r="Q624" s="145">
        <f>Purchase[[#This Row],[Gross Amount]]-Purchase[[#This Row],[Disct Amnt]]+Purchase[[#This Row],[GST Amount]]</f>
        <v>454105.3</v>
      </c>
      <c r="R624" s="138" t="s">
        <v>1019</v>
      </c>
      <c r="S624" s="41">
        <f>IF(Purchase[[#This Row],[Status]]="Cancelled",0,Purchase[[#This Row],[Qty]])</f>
        <v>11</v>
      </c>
      <c r="T624" s="146">
        <f>IF(Purchase[[#This Row],[Status]]="Cancelled",0,Purchase[[#This Row],[Total Amount]])</f>
        <v>454105.3</v>
      </c>
      <c r="U624" s="146">
        <f>SUM(Purchase[Net Amount])</f>
        <v>814985438.68000126</v>
      </c>
    </row>
    <row r="625" spans="1:21" ht="19.5" thickBot="1" x14ac:dyDescent="0.3">
      <c r="A625" s="136" t="s">
        <v>1664</v>
      </c>
      <c r="B625" s="137">
        <v>45689</v>
      </c>
      <c r="C625" s="138" t="s">
        <v>595</v>
      </c>
      <c r="D625" s="138" t="str">
        <f>VLOOKUP(Purchase[[#This Row],[Supplier ID]],Supplier[#All],2,0)</f>
        <v>Star Computers</v>
      </c>
      <c r="E625" s="138">
        <f>VLOOKUP(Purchase[[#This Row],[Supplier ID]],Supplier[#All],3,0)</f>
        <v>9689542478</v>
      </c>
      <c r="F625" s="138" t="str">
        <f>VLOOKUP(Purchase[[#This Row],[Supplier ID]],Supplier[#All],4,0)</f>
        <v>Kanpur</v>
      </c>
      <c r="G625" s="138" t="str">
        <f>VLOOKUP(Purchase[[#This Row],[Supplier ID]],Supplier[#All],5,0)</f>
        <v>UP</v>
      </c>
      <c r="H625" s="138" t="str">
        <f>VLOOKUP(Purchase[[#This Row],[Supplier ID]],Supplier[#All],6,0)</f>
        <v>GST2154521T040</v>
      </c>
      <c r="I625" s="138" t="s">
        <v>251</v>
      </c>
      <c r="J625" s="139">
        <v>21</v>
      </c>
      <c r="K625" s="143">
        <f>VLOOKUP(Purchase[[#This Row],[Product ID]],Product[#All],6,0)</f>
        <v>2536</v>
      </c>
      <c r="L625" s="143">
        <f>Purchase[[#This Row],[Purchase Rate]]*Purchase[[#This Row],[Qty]]</f>
        <v>53256</v>
      </c>
      <c r="M625" s="140">
        <v>0</v>
      </c>
      <c r="N625" s="143">
        <v>0</v>
      </c>
      <c r="O625" s="140">
        <v>0.18</v>
      </c>
      <c r="P625" s="145">
        <f>(Purchase[[#This Row],[Gross Amount]]-Purchase[[#This Row],[Disct %]])*Purchase[[#This Row],[GST %]]</f>
        <v>9586.08</v>
      </c>
      <c r="Q625" s="145">
        <f>Purchase[[#This Row],[Gross Amount]]-Purchase[[#This Row],[Disct Amnt]]+Purchase[[#This Row],[GST Amount]]</f>
        <v>62842.080000000002</v>
      </c>
      <c r="R625" s="138" t="s">
        <v>1019</v>
      </c>
      <c r="S625" s="41">
        <f>IF(Purchase[[#This Row],[Status]]="Cancelled",0,Purchase[[#This Row],[Qty]])</f>
        <v>21</v>
      </c>
      <c r="T625" s="146">
        <f>IF(Purchase[[#This Row],[Status]]="Cancelled",0,Purchase[[#This Row],[Total Amount]])</f>
        <v>62842.080000000002</v>
      </c>
      <c r="U625" s="146">
        <f>SUM(Purchase[Net Amount])</f>
        <v>814985438.68000126</v>
      </c>
    </row>
    <row r="626" spans="1:21" ht="19.5" thickBot="1" x14ac:dyDescent="0.3">
      <c r="A626" s="136" t="s">
        <v>1665</v>
      </c>
      <c r="B626" s="137">
        <v>45689</v>
      </c>
      <c r="C626" s="138" t="s">
        <v>570</v>
      </c>
      <c r="D626" s="138" t="str">
        <f>VLOOKUP(Purchase[[#This Row],[Supplier ID]],Supplier[#All],2,0)</f>
        <v>Prime Traders</v>
      </c>
      <c r="E626" s="138">
        <f>VLOOKUP(Purchase[[#This Row],[Supplier ID]],Supplier[#All],3,0)</f>
        <v>9689542456</v>
      </c>
      <c r="F626" s="138" t="str">
        <f>VLOOKUP(Purchase[[#This Row],[Supplier ID]],Supplier[#All],4,0)</f>
        <v>Indore</v>
      </c>
      <c r="G626" s="138" t="str">
        <f>VLOOKUP(Purchase[[#This Row],[Supplier ID]],Supplier[#All],5,0)</f>
        <v>MP</v>
      </c>
      <c r="H626" s="138" t="str">
        <f>VLOOKUP(Purchase[[#This Row],[Supplier ID]],Supplier[#All],6,0)</f>
        <v>GST2154521T018</v>
      </c>
      <c r="I626" s="138" t="s">
        <v>73</v>
      </c>
      <c r="J626" s="139">
        <v>34</v>
      </c>
      <c r="K626" s="143">
        <f>VLOOKUP(Purchase[[#This Row],[Product ID]],Product[#All],6,0)</f>
        <v>1360</v>
      </c>
      <c r="L626" s="143">
        <f>Purchase[[#This Row],[Purchase Rate]]*Purchase[[#This Row],[Qty]]</f>
        <v>46240</v>
      </c>
      <c r="M626" s="140">
        <v>0</v>
      </c>
      <c r="N626" s="143">
        <v>0</v>
      </c>
      <c r="O626" s="140">
        <v>0.18</v>
      </c>
      <c r="P626" s="145">
        <f>(Purchase[[#This Row],[Gross Amount]]-Purchase[[#This Row],[Disct %]])*Purchase[[#This Row],[GST %]]</f>
        <v>8323.1999999999989</v>
      </c>
      <c r="Q626" s="145">
        <f>Purchase[[#This Row],[Gross Amount]]-Purchase[[#This Row],[Disct Amnt]]+Purchase[[#This Row],[GST Amount]]</f>
        <v>54563.199999999997</v>
      </c>
      <c r="R626" s="138" t="s">
        <v>1019</v>
      </c>
      <c r="S626" s="41">
        <f>IF(Purchase[[#This Row],[Status]]="Cancelled",0,Purchase[[#This Row],[Qty]])</f>
        <v>34</v>
      </c>
      <c r="T626" s="146">
        <f>IF(Purchase[[#This Row],[Status]]="Cancelled",0,Purchase[[#This Row],[Total Amount]])</f>
        <v>54563.199999999997</v>
      </c>
      <c r="U626" s="146">
        <f>SUM(Purchase[Net Amount])</f>
        <v>814985438.68000126</v>
      </c>
    </row>
    <row r="627" spans="1:21" ht="19.5" thickBot="1" x14ac:dyDescent="0.3">
      <c r="A627" s="136" t="s">
        <v>1666</v>
      </c>
      <c r="B627" s="137">
        <v>45689</v>
      </c>
      <c r="C627" s="138" t="s">
        <v>611</v>
      </c>
      <c r="D627" s="138" t="str">
        <f>VLOOKUP(Purchase[[#This Row],[Supplier ID]],Supplier[#All],2,0)</f>
        <v>National Distributors</v>
      </c>
      <c r="E627" s="138">
        <f>VLOOKUP(Purchase[[#This Row],[Supplier ID]],Supplier[#All],3,0)</f>
        <v>9689542494</v>
      </c>
      <c r="F627" s="138" t="str">
        <f>VLOOKUP(Purchase[[#This Row],[Supplier ID]],Supplier[#All],4,0)</f>
        <v>Korba</v>
      </c>
      <c r="G627" s="138" t="str">
        <f>VLOOKUP(Purchase[[#This Row],[Supplier ID]],Supplier[#All],5,0)</f>
        <v>CG</v>
      </c>
      <c r="H627" s="138" t="str">
        <f>VLOOKUP(Purchase[[#This Row],[Supplier ID]],Supplier[#All],6,0)</f>
        <v>GST2154521T056</v>
      </c>
      <c r="I627" s="138" t="s">
        <v>327</v>
      </c>
      <c r="J627" s="139">
        <v>6</v>
      </c>
      <c r="K627" s="143">
        <f>VLOOKUP(Purchase[[#This Row],[Product ID]],Product[#All],6,0)</f>
        <v>14383</v>
      </c>
      <c r="L627" s="143">
        <f>Purchase[[#This Row],[Purchase Rate]]*Purchase[[#This Row],[Qty]]</f>
        <v>86298</v>
      </c>
      <c r="M627" s="140">
        <v>0</v>
      </c>
      <c r="N627" s="143">
        <v>0</v>
      </c>
      <c r="O627" s="140">
        <v>0.18</v>
      </c>
      <c r="P627" s="145">
        <f>(Purchase[[#This Row],[Gross Amount]]-Purchase[[#This Row],[Disct %]])*Purchase[[#This Row],[GST %]]</f>
        <v>15533.64</v>
      </c>
      <c r="Q627" s="145">
        <f>Purchase[[#This Row],[Gross Amount]]-Purchase[[#This Row],[Disct Amnt]]+Purchase[[#This Row],[GST Amount]]</f>
        <v>101831.64</v>
      </c>
      <c r="R627" s="138" t="s">
        <v>1019</v>
      </c>
      <c r="S627" s="41">
        <f>IF(Purchase[[#This Row],[Status]]="Cancelled",0,Purchase[[#This Row],[Qty]])</f>
        <v>6</v>
      </c>
      <c r="T627" s="146">
        <f>IF(Purchase[[#This Row],[Status]]="Cancelled",0,Purchase[[#This Row],[Total Amount]])</f>
        <v>101831.64</v>
      </c>
      <c r="U627" s="146">
        <f>SUM(Purchase[Net Amount])</f>
        <v>814985438.68000126</v>
      </c>
    </row>
    <row r="628" spans="1:21" ht="19.5" thickBot="1" x14ac:dyDescent="0.3">
      <c r="A628" s="136" t="s">
        <v>1667</v>
      </c>
      <c r="B628" s="137">
        <v>45689</v>
      </c>
      <c r="C628" s="138" t="s">
        <v>567</v>
      </c>
      <c r="D628" s="138" t="str">
        <f>VLOOKUP(Purchase[[#This Row],[Supplier ID]],Supplier[#All],2,0)</f>
        <v>National Distributors</v>
      </c>
      <c r="E628" s="138">
        <f>VLOOKUP(Purchase[[#This Row],[Supplier ID]],Supplier[#All],3,0)</f>
        <v>9689542453</v>
      </c>
      <c r="F628" s="138" t="str">
        <f>VLOOKUP(Purchase[[#This Row],[Supplier ID]],Supplier[#All],4,0)</f>
        <v>Korba</v>
      </c>
      <c r="G628" s="138" t="str">
        <f>VLOOKUP(Purchase[[#This Row],[Supplier ID]],Supplier[#All],5,0)</f>
        <v>CG</v>
      </c>
      <c r="H628" s="138" t="str">
        <f>VLOOKUP(Purchase[[#This Row],[Supplier ID]],Supplier[#All],6,0)</f>
        <v>GST2154521T015</v>
      </c>
      <c r="I628" s="138" t="s">
        <v>125</v>
      </c>
      <c r="J628" s="139">
        <v>11</v>
      </c>
      <c r="K628" s="143">
        <f>VLOOKUP(Purchase[[#This Row],[Product ID]],Product[#All],6,0)</f>
        <v>33391</v>
      </c>
      <c r="L628" s="143">
        <f>Purchase[[#This Row],[Purchase Rate]]*Purchase[[#This Row],[Qty]]</f>
        <v>367301</v>
      </c>
      <c r="M628" s="140">
        <v>0</v>
      </c>
      <c r="N628" s="143">
        <v>0</v>
      </c>
      <c r="O628" s="140">
        <v>0.18</v>
      </c>
      <c r="P628" s="145">
        <f>(Purchase[[#This Row],[Gross Amount]]-Purchase[[#This Row],[Disct %]])*Purchase[[#This Row],[GST %]]</f>
        <v>66114.179999999993</v>
      </c>
      <c r="Q628" s="145">
        <f>Purchase[[#This Row],[Gross Amount]]-Purchase[[#This Row],[Disct Amnt]]+Purchase[[#This Row],[GST Amount]]</f>
        <v>433415.18</v>
      </c>
      <c r="R628" s="138" t="s">
        <v>1019</v>
      </c>
      <c r="S628" s="41">
        <f>IF(Purchase[[#This Row],[Status]]="Cancelled",0,Purchase[[#This Row],[Qty]])</f>
        <v>11</v>
      </c>
      <c r="T628" s="146">
        <f>IF(Purchase[[#This Row],[Status]]="Cancelled",0,Purchase[[#This Row],[Total Amount]])</f>
        <v>433415.18</v>
      </c>
      <c r="U628" s="146">
        <f>SUM(Purchase[Net Amount])</f>
        <v>814985438.68000126</v>
      </c>
    </row>
    <row r="629" spans="1:21" ht="19.5" thickBot="1" x14ac:dyDescent="0.3">
      <c r="A629" s="136" t="s">
        <v>1668</v>
      </c>
      <c r="B629" s="137">
        <v>45689</v>
      </c>
      <c r="C629" s="138" t="s">
        <v>584</v>
      </c>
      <c r="D629" s="138" t="str">
        <f>VLOOKUP(Purchase[[#This Row],[Supplier ID]],Supplier[#All],2,0)</f>
        <v>Prime Computers</v>
      </c>
      <c r="E629" s="138">
        <f>VLOOKUP(Purchase[[#This Row],[Supplier ID]],Supplier[#All],3,0)</f>
        <v>9689542468</v>
      </c>
      <c r="F629" s="138" t="str">
        <f>VLOOKUP(Purchase[[#This Row],[Supplier ID]],Supplier[#All],4,0)</f>
        <v>Kanpur</v>
      </c>
      <c r="G629" s="138" t="str">
        <f>VLOOKUP(Purchase[[#This Row],[Supplier ID]],Supplier[#All],5,0)</f>
        <v>UP</v>
      </c>
      <c r="H629" s="138" t="str">
        <f>VLOOKUP(Purchase[[#This Row],[Supplier ID]],Supplier[#All],6,0)</f>
        <v>GST2154521T030</v>
      </c>
      <c r="I629" s="138" t="s">
        <v>523</v>
      </c>
      <c r="J629" s="139">
        <v>30</v>
      </c>
      <c r="K629" s="143">
        <f>VLOOKUP(Purchase[[#This Row],[Product ID]],Product[#All],6,0)</f>
        <v>1062</v>
      </c>
      <c r="L629" s="143">
        <f>Purchase[[#This Row],[Purchase Rate]]*Purchase[[#This Row],[Qty]]</f>
        <v>31860</v>
      </c>
      <c r="M629" s="140">
        <v>0</v>
      </c>
      <c r="N629" s="143">
        <v>0</v>
      </c>
      <c r="O629" s="140">
        <v>0.18</v>
      </c>
      <c r="P629" s="145">
        <f>(Purchase[[#This Row],[Gross Amount]]-Purchase[[#This Row],[Disct %]])*Purchase[[#This Row],[GST %]]</f>
        <v>5734.8</v>
      </c>
      <c r="Q629" s="145">
        <f>Purchase[[#This Row],[Gross Amount]]-Purchase[[#This Row],[Disct Amnt]]+Purchase[[#This Row],[GST Amount]]</f>
        <v>37594.800000000003</v>
      </c>
      <c r="R629" s="138" t="s">
        <v>1019</v>
      </c>
      <c r="S629" s="41">
        <f>IF(Purchase[[#This Row],[Status]]="Cancelled",0,Purchase[[#This Row],[Qty]])</f>
        <v>30</v>
      </c>
      <c r="T629" s="146">
        <f>IF(Purchase[[#This Row],[Status]]="Cancelled",0,Purchase[[#This Row],[Total Amount]])</f>
        <v>37594.800000000003</v>
      </c>
      <c r="U629" s="146">
        <f>SUM(Purchase[Net Amount])</f>
        <v>814985438.68000126</v>
      </c>
    </row>
    <row r="630" spans="1:21" ht="19.5" thickBot="1" x14ac:dyDescent="0.3">
      <c r="A630" s="136" t="s">
        <v>1669</v>
      </c>
      <c r="B630" s="137">
        <v>45689</v>
      </c>
      <c r="C630" s="138" t="s">
        <v>612</v>
      </c>
      <c r="D630" s="138" t="str">
        <f>VLOOKUP(Purchase[[#This Row],[Supplier ID]],Supplier[#All],2,0)</f>
        <v>National Computers</v>
      </c>
      <c r="E630" s="138">
        <f>VLOOKUP(Purchase[[#This Row],[Supplier ID]],Supplier[#All],3,0)</f>
        <v>9689542495</v>
      </c>
      <c r="F630" s="138" t="str">
        <f>VLOOKUP(Purchase[[#This Row],[Supplier ID]],Supplier[#All],4,0)</f>
        <v>Indore</v>
      </c>
      <c r="G630" s="138" t="str">
        <f>VLOOKUP(Purchase[[#This Row],[Supplier ID]],Supplier[#All],5,0)</f>
        <v>MP</v>
      </c>
      <c r="H630" s="138" t="str">
        <f>VLOOKUP(Purchase[[#This Row],[Supplier ID]],Supplier[#All],6,0)</f>
        <v>GST2154521T057</v>
      </c>
      <c r="I630" s="138" t="s">
        <v>362</v>
      </c>
      <c r="J630" s="139">
        <v>25</v>
      </c>
      <c r="K630" s="143">
        <f>VLOOKUP(Purchase[[#This Row],[Product ID]],Product[#All],6,0)</f>
        <v>3403</v>
      </c>
      <c r="L630" s="143">
        <f>Purchase[[#This Row],[Purchase Rate]]*Purchase[[#This Row],[Qty]]</f>
        <v>85075</v>
      </c>
      <c r="M630" s="140">
        <v>0</v>
      </c>
      <c r="N630" s="143">
        <v>0</v>
      </c>
      <c r="O630" s="140">
        <v>0.18</v>
      </c>
      <c r="P630" s="145">
        <f>(Purchase[[#This Row],[Gross Amount]]-Purchase[[#This Row],[Disct %]])*Purchase[[#This Row],[GST %]]</f>
        <v>15313.5</v>
      </c>
      <c r="Q630" s="145">
        <f>Purchase[[#This Row],[Gross Amount]]-Purchase[[#This Row],[Disct Amnt]]+Purchase[[#This Row],[GST Amount]]</f>
        <v>100388.5</v>
      </c>
      <c r="R630" s="138" t="s">
        <v>1019</v>
      </c>
      <c r="S630" s="41">
        <f>IF(Purchase[[#This Row],[Status]]="Cancelled",0,Purchase[[#This Row],[Qty]])</f>
        <v>25</v>
      </c>
      <c r="T630" s="146">
        <f>IF(Purchase[[#This Row],[Status]]="Cancelled",0,Purchase[[#This Row],[Total Amount]])</f>
        <v>100388.5</v>
      </c>
      <c r="U630" s="146">
        <f>SUM(Purchase[Net Amount])</f>
        <v>814985438.68000126</v>
      </c>
    </row>
    <row r="631" spans="1:21" ht="19.5" thickBot="1" x14ac:dyDescent="0.3">
      <c r="A631" s="136" t="s">
        <v>1670</v>
      </c>
      <c r="B631" s="137">
        <v>45689</v>
      </c>
      <c r="C631" s="138" t="s">
        <v>595</v>
      </c>
      <c r="D631" s="138" t="str">
        <f>VLOOKUP(Purchase[[#This Row],[Supplier ID]],Supplier[#All],2,0)</f>
        <v>Star Computers</v>
      </c>
      <c r="E631" s="138">
        <f>VLOOKUP(Purchase[[#This Row],[Supplier ID]],Supplier[#All],3,0)</f>
        <v>9689542478</v>
      </c>
      <c r="F631" s="138" t="str">
        <f>VLOOKUP(Purchase[[#This Row],[Supplier ID]],Supplier[#All],4,0)</f>
        <v>Kanpur</v>
      </c>
      <c r="G631" s="138" t="str">
        <f>VLOOKUP(Purchase[[#This Row],[Supplier ID]],Supplier[#All],5,0)</f>
        <v>UP</v>
      </c>
      <c r="H631" s="138" t="str">
        <f>VLOOKUP(Purchase[[#This Row],[Supplier ID]],Supplier[#All],6,0)</f>
        <v>GST2154521T040</v>
      </c>
      <c r="I631" s="138" t="s">
        <v>260</v>
      </c>
      <c r="J631" s="139">
        <v>15</v>
      </c>
      <c r="K631" s="143">
        <f>VLOOKUP(Purchase[[#This Row],[Product ID]],Product[#All],6,0)</f>
        <v>4751</v>
      </c>
      <c r="L631" s="143">
        <f>Purchase[[#This Row],[Purchase Rate]]*Purchase[[#This Row],[Qty]]</f>
        <v>71265</v>
      </c>
      <c r="M631" s="140">
        <v>0</v>
      </c>
      <c r="N631" s="143">
        <v>0</v>
      </c>
      <c r="O631" s="140">
        <v>0.18</v>
      </c>
      <c r="P631" s="145">
        <f>(Purchase[[#This Row],[Gross Amount]]-Purchase[[#This Row],[Disct %]])*Purchase[[#This Row],[GST %]]</f>
        <v>12827.699999999999</v>
      </c>
      <c r="Q631" s="145">
        <f>Purchase[[#This Row],[Gross Amount]]-Purchase[[#This Row],[Disct Amnt]]+Purchase[[#This Row],[GST Amount]]</f>
        <v>84092.7</v>
      </c>
      <c r="R631" s="138" t="s">
        <v>1019</v>
      </c>
      <c r="S631" s="41">
        <f>IF(Purchase[[#This Row],[Status]]="Cancelled",0,Purchase[[#This Row],[Qty]])</f>
        <v>15</v>
      </c>
      <c r="T631" s="146">
        <f>IF(Purchase[[#This Row],[Status]]="Cancelled",0,Purchase[[#This Row],[Total Amount]])</f>
        <v>84092.7</v>
      </c>
      <c r="U631" s="146">
        <f>SUM(Purchase[Net Amount])</f>
        <v>814985438.68000126</v>
      </c>
    </row>
    <row r="632" spans="1:21" ht="19.5" thickBot="1" x14ac:dyDescent="0.3">
      <c r="A632" s="136" t="s">
        <v>1671</v>
      </c>
      <c r="B632" s="137">
        <v>45689</v>
      </c>
      <c r="C632" s="138" t="s">
        <v>607</v>
      </c>
      <c r="D632" s="138" t="str">
        <f>VLOOKUP(Purchase[[#This Row],[Supplier ID]],Supplier[#All],2,0)</f>
        <v>Global Distributors</v>
      </c>
      <c r="E632" s="138">
        <f>VLOOKUP(Purchase[[#This Row],[Supplier ID]],Supplier[#All],3,0)</f>
        <v>9689542490</v>
      </c>
      <c r="F632" s="138" t="str">
        <f>VLOOKUP(Purchase[[#This Row],[Supplier ID]],Supplier[#All],4,0)</f>
        <v>Kanpur</v>
      </c>
      <c r="G632" s="138" t="str">
        <f>VLOOKUP(Purchase[[#This Row],[Supplier ID]],Supplier[#All],5,0)</f>
        <v>UP</v>
      </c>
      <c r="H632" s="138" t="str">
        <f>VLOOKUP(Purchase[[#This Row],[Supplier ID]],Supplier[#All],6,0)</f>
        <v>GST2154521T052</v>
      </c>
      <c r="I632" s="138" t="s">
        <v>200</v>
      </c>
      <c r="J632" s="139">
        <v>40</v>
      </c>
      <c r="K632" s="143">
        <f>VLOOKUP(Purchase[[#This Row],[Product ID]],Product[#All],6,0)</f>
        <v>4331</v>
      </c>
      <c r="L632" s="143">
        <f>Purchase[[#This Row],[Purchase Rate]]*Purchase[[#This Row],[Qty]]</f>
        <v>173240</v>
      </c>
      <c r="M632" s="140">
        <v>0</v>
      </c>
      <c r="N632" s="143">
        <v>0</v>
      </c>
      <c r="O632" s="140">
        <v>0.18</v>
      </c>
      <c r="P632" s="145">
        <f>(Purchase[[#This Row],[Gross Amount]]-Purchase[[#This Row],[Disct %]])*Purchase[[#This Row],[GST %]]</f>
        <v>31183.199999999997</v>
      </c>
      <c r="Q632" s="145">
        <f>Purchase[[#This Row],[Gross Amount]]-Purchase[[#This Row],[Disct Amnt]]+Purchase[[#This Row],[GST Amount]]</f>
        <v>204423.2</v>
      </c>
      <c r="R632" s="138" t="s">
        <v>1019</v>
      </c>
      <c r="S632" s="41">
        <f>IF(Purchase[[#This Row],[Status]]="Cancelled",0,Purchase[[#This Row],[Qty]])</f>
        <v>40</v>
      </c>
      <c r="T632" s="146">
        <f>IF(Purchase[[#This Row],[Status]]="Cancelled",0,Purchase[[#This Row],[Total Amount]])</f>
        <v>204423.2</v>
      </c>
      <c r="U632" s="146">
        <f>SUM(Purchase[Net Amount])</f>
        <v>814985438.68000126</v>
      </c>
    </row>
    <row r="633" spans="1:21" ht="19.5" thickBot="1" x14ac:dyDescent="0.3">
      <c r="A633" s="136" t="s">
        <v>1672</v>
      </c>
      <c r="B633" s="137">
        <v>45689</v>
      </c>
      <c r="C633" s="138" t="s">
        <v>579</v>
      </c>
      <c r="D633" s="138" t="str">
        <f>VLOOKUP(Purchase[[#This Row],[Supplier ID]],Supplier[#All],2,0)</f>
        <v>Tech Traders</v>
      </c>
      <c r="E633" s="138">
        <f>VLOOKUP(Purchase[[#This Row],[Supplier ID]],Supplier[#All],3,0)</f>
        <v>9689542463</v>
      </c>
      <c r="F633" s="138" t="str">
        <f>VLOOKUP(Purchase[[#This Row],[Supplier ID]],Supplier[#All],4,0)</f>
        <v>Kanpur</v>
      </c>
      <c r="G633" s="138" t="str">
        <f>VLOOKUP(Purchase[[#This Row],[Supplier ID]],Supplier[#All],5,0)</f>
        <v>UP</v>
      </c>
      <c r="H633" s="138" t="str">
        <f>VLOOKUP(Purchase[[#This Row],[Supplier ID]],Supplier[#All],6,0)</f>
        <v>GST2154521T025</v>
      </c>
      <c r="I633" s="138" t="s">
        <v>308</v>
      </c>
      <c r="J633" s="139">
        <v>29</v>
      </c>
      <c r="K633" s="143">
        <f>VLOOKUP(Purchase[[#This Row],[Product ID]],Product[#All],6,0)</f>
        <v>3398</v>
      </c>
      <c r="L633" s="143">
        <f>Purchase[[#This Row],[Purchase Rate]]*Purchase[[#This Row],[Qty]]</f>
        <v>98542</v>
      </c>
      <c r="M633" s="140">
        <v>0</v>
      </c>
      <c r="N633" s="143">
        <v>0</v>
      </c>
      <c r="O633" s="140">
        <v>0.18</v>
      </c>
      <c r="P633" s="145">
        <f>(Purchase[[#This Row],[Gross Amount]]-Purchase[[#This Row],[Disct %]])*Purchase[[#This Row],[GST %]]</f>
        <v>17737.559999999998</v>
      </c>
      <c r="Q633" s="145">
        <f>Purchase[[#This Row],[Gross Amount]]-Purchase[[#This Row],[Disct Amnt]]+Purchase[[#This Row],[GST Amount]]</f>
        <v>116279.56</v>
      </c>
      <c r="R633" s="138" t="s">
        <v>1019</v>
      </c>
      <c r="S633" s="41">
        <f>IF(Purchase[[#This Row],[Status]]="Cancelled",0,Purchase[[#This Row],[Qty]])</f>
        <v>29</v>
      </c>
      <c r="T633" s="146">
        <f>IF(Purchase[[#This Row],[Status]]="Cancelled",0,Purchase[[#This Row],[Total Amount]])</f>
        <v>116279.56</v>
      </c>
      <c r="U633" s="146">
        <f>SUM(Purchase[Net Amount])</f>
        <v>814985438.68000126</v>
      </c>
    </row>
    <row r="634" spans="1:21" ht="19.5" thickBot="1" x14ac:dyDescent="0.3">
      <c r="A634" s="136" t="s">
        <v>1673</v>
      </c>
      <c r="B634" s="137">
        <v>45690</v>
      </c>
      <c r="C634" s="138" t="s">
        <v>587</v>
      </c>
      <c r="D634" s="138" t="str">
        <f>VLOOKUP(Purchase[[#This Row],[Supplier ID]],Supplier[#All],2,0)</f>
        <v>maa distributors</v>
      </c>
      <c r="E634" s="138">
        <f>VLOOKUP(Purchase[[#This Row],[Supplier ID]],Supplier[#All],3,0)</f>
        <v>9689542479</v>
      </c>
      <c r="F634" s="138" t="str">
        <f>VLOOKUP(Purchase[[#This Row],[Supplier ID]],Supplier[#All],4,0)</f>
        <v>Indore</v>
      </c>
      <c r="G634" s="138" t="str">
        <f>VLOOKUP(Purchase[[#This Row],[Supplier ID]],Supplier[#All],5,0)</f>
        <v>MP</v>
      </c>
      <c r="H634" s="138" t="str">
        <f>VLOOKUP(Purchase[[#This Row],[Supplier ID]],Supplier[#All],6,0)</f>
        <v>GST2154521T033</v>
      </c>
      <c r="I634" s="138" t="s">
        <v>104</v>
      </c>
      <c r="J634" s="139">
        <v>12</v>
      </c>
      <c r="K634" s="143">
        <f>VLOOKUP(Purchase[[#This Row],[Product ID]],Product[#All],6,0)</f>
        <v>39369</v>
      </c>
      <c r="L634" s="143">
        <f>Purchase[[#This Row],[Purchase Rate]]*Purchase[[#This Row],[Qty]]</f>
        <v>472428</v>
      </c>
      <c r="M634" s="140">
        <v>0</v>
      </c>
      <c r="N634" s="143">
        <v>0</v>
      </c>
      <c r="O634" s="140">
        <v>0.18</v>
      </c>
      <c r="P634" s="145">
        <f>(Purchase[[#This Row],[Gross Amount]]-Purchase[[#This Row],[Disct %]])*Purchase[[#This Row],[GST %]]</f>
        <v>85037.04</v>
      </c>
      <c r="Q634" s="145">
        <f>Purchase[[#This Row],[Gross Amount]]-Purchase[[#This Row],[Disct Amnt]]+Purchase[[#This Row],[GST Amount]]</f>
        <v>557465.04</v>
      </c>
      <c r="R634" s="138" t="s">
        <v>1019</v>
      </c>
      <c r="S634" s="41">
        <f>IF(Purchase[[#This Row],[Status]]="Cancelled",0,Purchase[[#This Row],[Qty]])</f>
        <v>12</v>
      </c>
      <c r="T634" s="146">
        <f>IF(Purchase[[#This Row],[Status]]="Cancelled",0,Purchase[[#This Row],[Total Amount]])</f>
        <v>557465.04</v>
      </c>
      <c r="U634" s="146">
        <f>SUM(Purchase[Net Amount])</f>
        <v>814985438.68000126</v>
      </c>
    </row>
    <row r="635" spans="1:21" ht="19.5" thickBot="1" x14ac:dyDescent="0.3">
      <c r="A635" s="136" t="s">
        <v>1674</v>
      </c>
      <c r="B635" s="137">
        <v>45690</v>
      </c>
      <c r="C635" s="138" t="s">
        <v>591</v>
      </c>
      <c r="D635" s="138" t="str">
        <f>VLOOKUP(Purchase[[#This Row],[Supplier ID]],Supplier[#All],2,0)</f>
        <v>Shree Computers</v>
      </c>
      <c r="E635" s="138">
        <f>VLOOKUP(Purchase[[#This Row],[Supplier ID]],Supplier[#All],3,0)</f>
        <v>9689542475</v>
      </c>
      <c r="F635" s="138" t="str">
        <f>VLOOKUP(Purchase[[#This Row],[Supplier ID]],Supplier[#All],4,0)</f>
        <v>Indore</v>
      </c>
      <c r="G635" s="138" t="str">
        <f>VLOOKUP(Purchase[[#This Row],[Supplier ID]],Supplier[#All],5,0)</f>
        <v>MP</v>
      </c>
      <c r="H635" s="138" t="str">
        <f>VLOOKUP(Purchase[[#This Row],[Supplier ID]],Supplier[#All],6,0)</f>
        <v>GST2154521T037</v>
      </c>
      <c r="I635" s="138" t="s">
        <v>523</v>
      </c>
      <c r="J635" s="139">
        <v>13</v>
      </c>
      <c r="K635" s="143">
        <f>VLOOKUP(Purchase[[#This Row],[Product ID]],Product[#All],6,0)</f>
        <v>1062</v>
      </c>
      <c r="L635" s="143">
        <f>Purchase[[#This Row],[Purchase Rate]]*Purchase[[#This Row],[Qty]]</f>
        <v>13806</v>
      </c>
      <c r="M635" s="140">
        <v>0</v>
      </c>
      <c r="N635" s="143">
        <v>0</v>
      </c>
      <c r="O635" s="140">
        <v>0.18</v>
      </c>
      <c r="P635" s="145">
        <f>(Purchase[[#This Row],[Gross Amount]]-Purchase[[#This Row],[Disct %]])*Purchase[[#This Row],[GST %]]</f>
        <v>2485.08</v>
      </c>
      <c r="Q635" s="145">
        <f>Purchase[[#This Row],[Gross Amount]]-Purchase[[#This Row],[Disct Amnt]]+Purchase[[#This Row],[GST Amount]]</f>
        <v>16291.08</v>
      </c>
      <c r="R635" s="138" t="s">
        <v>1019</v>
      </c>
      <c r="S635" s="41">
        <f>IF(Purchase[[#This Row],[Status]]="Cancelled",0,Purchase[[#This Row],[Qty]])</f>
        <v>13</v>
      </c>
      <c r="T635" s="146">
        <f>IF(Purchase[[#This Row],[Status]]="Cancelled",0,Purchase[[#This Row],[Total Amount]])</f>
        <v>16291.08</v>
      </c>
      <c r="U635" s="146">
        <f>SUM(Purchase[Net Amount])</f>
        <v>814985438.68000126</v>
      </c>
    </row>
    <row r="636" spans="1:21" ht="19.5" thickBot="1" x14ac:dyDescent="0.3">
      <c r="A636" s="136" t="s">
        <v>1675</v>
      </c>
      <c r="B636" s="137">
        <v>45690</v>
      </c>
      <c r="C636" s="138" t="s">
        <v>594</v>
      </c>
      <c r="D636" s="138" t="str">
        <f>VLOOKUP(Purchase[[#This Row],[Supplier ID]],Supplier[#All],2,0)</f>
        <v>Shree Suppliers</v>
      </c>
      <c r="E636" s="138">
        <f>VLOOKUP(Purchase[[#This Row],[Supplier ID]],Supplier[#All],3,0)</f>
        <v>9689542477</v>
      </c>
      <c r="F636" s="138" t="str">
        <f>VLOOKUP(Purchase[[#This Row],[Supplier ID]],Supplier[#All],4,0)</f>
        <v>Indore</v>
      </c>
      <c r="G636" s="138" t="str">
        <f>VLOOKUP(Purchase[[#This Row],[Supplier ID]],Supplier[#All],5,0)</f>
        <v>MP</v>
      </c>
      <c r="H636" s="138" t="str">
        <f>VLOOKUP(Purchase[[#This Row],[Supplier ID]],Supplier[#All],6,0)</f>
        <v>GST2154521T039</v>
      </c>
      <c r="I636" s="138" t="s">
        <v>231</v>
      </c>
      <c r="J636" s="139">
        <v>18</v>
      </c>
      <c r="K636" s="143">
        <f>VLOOKUP(Purchase[[#This Row],[Product ID]],Product[#All],6,0)</f>
        <v>1862</v>
      </c>
      <c r="L636" s="143">
        <f>Purchase[[#This Row],[Purchase Rate]]*Purchase[[#This Row],[Qty]]</f>
        <v>33516</v>
      </c>
      <c r="M636" s="140">
        <v>0</v>
      </c>
      <c r="N636" s="143">
        <v>0</v>
      </c>
      <c r="O636" s="140">
        <v>0.18</v>
      </c>
      <c r="P636" s="145">
        <f>(Purchase[[#This Row],[Gross Amount]]-Purchase[[#This Row],[Disct %]])*Purchase[[#This Row],[GST %]]</f>
        <v>6032.88</v>
      </c>
      <c r="Q636" s="145">
        <f>Purchase[[#This Row],[Gross Amount]]-Purchase[[#This Row],[Disct Amnt]]+Purchase[[#This Row],[GST Amount]]</f>
        <v>39548.879999999997</v>
      </c>
      <c r="R636" s="138" t="s">
        <v>1019</v>
      </c>
      <c r="S636" s="41">
        <f>IF(Purchase[[#This Row],[Status]]="Cancelled",0,Purchase[[#This Row],[Qty]])</f>
        <v>18</v>
      </c>
      <c r="T636" s="146">
        <f>IF(Purchase[[#This Row],[Status]]="Cancelled",0,Purchase[[#This Row],[Total Amount]])</f>
        <v>39548.879999999997</v>
      </c>
      <c r="U636" s="146">
        <f>SUM(Purchase[Net Amount])</f>
        <v>814985438.68000126</v>
      </c>
    </row>
    <row r="637" spans="1:21" ht="19.5" thickBot="1" x14ac:dyDescent="0.3">
      <c r="A637" s="136" t="s">
        <v>1676</v>
      </c>
      <c r="B637" s="137">
        <v>45690</v>
      </c>
      <c r="C637" s="138" t="s">
        <v>614</v>
      </c>
      <c r="D637" s="138" t="str">
        <f>VLOOKUP(Purchase[[#This Row],[Supplier ID]],Supplier[#All],2,0)</f>
        <v>National Electronics</v>
      </c>
      <c r="E637" s="138">
        <f>VLOOKUP(Purchase[[#This Row],[Supplier ID]],Supplier[#All],3,0)</f>
        <v>9689542497</v>
      </c>
      <c r="F637" s="138" t="str">
        <f>VLOOKUP(Purchase[[#This Row],[Supplier ID]],Supplier[#All],4,0)</f>
        <v>Kanpur</v>
      </c>
      <c r="G637" s="138" t="str">
        <f>VLOOKUP(Purchase[[#This Row],[Supplier ID]],Supplier[#All],5,0)</f>
        <v>UP</v>
      </c>
      <c r="H637" s="138" t="str">
        <f>VLOOKUP(Purchase[[#This Row],[Supplier ID]],Supplier[#All],6,0)</f>
        <v>GST2154521T059</v>
      </c>
      <c r="I637" s="138" t="s">
        <v>456</v>
      </c>
      <c r="J637" s="139">
        <v>22</v>
      </c>
      <c r="K637" s="143">
        <f>VLOOKUP(Purchase[[#This Row],[Product ID]],Product[#All],6,0)</f>
        <v>57453</v>
      </c>
      <c r="L637" s="143">
        <f>Purchase[[#This Row],[Purchase Rate]]*Purchase[[#This Row],[Qty]]</f>
        <v>1263966</v>
      </c>
      <c r="M637" s="140">
        <v>0</v>
      </c>
      <c r="N637" s="143">
        <v>0</v>
      </c>
      <c r="O637" s="140">
        <v>0.18</v>
      </c>
      <c r="P637" s="145">
        <f>(Purchase[[#This Row],[Gross Amount]]-Purchase[[#This Row],[Disct %]])*Purchase[[#This Row],[GST %]]</f>
        <v>227513.88</v>
      </c>
      <c r="Q637" s="145">
        <f>Purchase[[#This Row],[Gross Amount]]-Purchase[[#This Row],[Disct Amnt]]+Purchase[[#This Row],[GST Amount]]</f>
        <v>1491479.88</v>
      </c>
      <c r="R637" s="138" t="s">
        <v>1019</v>
      </c>
      <c r="S637" s="41">
        <f>IF(Purchase[[#This Row],[Status]]="Cancelled",0,Purchase[[#This Row],[Qty]])</f>
        <v>22</v>
      </c>
      <c r="T637" s="146">
        <f>IF(Purchase[[#This Row],[Status]]="Cancelled",0,Purchase[[#This Row],[Total Amount]])</f>
        <v>1491479.88</v>
      </c>
      <c r="U637" s="146">
        <f>SUM(Purchase[Net Amount])</f>
        <v>814985438.68000126</v>
      </c>
    </row>
    <row r="638" spans="1:21" ht="19.5" thickBot="1" x14ac:dyDescent="0.3">
      <c r="A638" s="136" t="s">
        <v>1677</v>
      </c>
      <c r="B638" s="137">
        <v>45690</v>
      </c>
      <c r="C638" s="138" t="s">
        <v>564</v>
      </c>
      <c r="D638" s="138" t="str">
        <f>VLOOKUP(Purchase[[#This Row],[Supplier ID]],Supplier[#All],2,0)</f>
        <v xml:space="preserve">Star Electronics </v>
      </c>
      <c r="E638" s="138">
        <f>VLOOKUP(Purchase[[#This Row],[Supplier ID]],Supplier[#All],3,0)</f>
        <v>9689542450</v>
      </c>
      <c r="F638" s="138" t="str">
        <f>VLOOKUP(Purchase[[#This Row],[Supplier ID]],Supplier[#All],4,0)</f>
        <v>Korba</v>
      </c>
      <c r="G638" s="138" t="str">
        <f>VLOOKUP(Purchase[[#This Row],[Supplier ID]],Supplier[#All],5,0)</f>
        <v>CG</v>
      </c>
      <c r="H638" s="138" t="str">
        <f>VLOOKUP(Purchase[[#This Row],[Supplier ID]],Supplier[#All],6,0)</f>
        <v>GST2154521T012</v>
      </c>
      <c r="I638" s="138" t="s">
        <v>307</v>
      </c>
      <c r="J638" s="139">
        <v>16</v>
      </c>
      <c r="K638" s="143">
        <f>VLOOKUP(Purchase[[#This Row],[Product ID]],Product[#All],6,0)</f>
        <v>39890</v>
      </c>
      <c r="L638" s="143">
        <f>Purchase[[#This Row],[Purchase Rate]]*Purchase[[#This Row],[Qty]]</f>
        <v>638240</v>
      </c>
      <c r="M638" s="140">
        <v>0</v>
      </c>
      <c r="N638" s="143">
        <v>0</v>
      </c>
      <c r="O638" s="140">
        <v>0.18</v>
      </c>
      <c r="P638" s="145">
        <f>(Purchase[[#This Row],[Gross Amount]]-Purchase[[#This Row],[Disct %]])*Purchase[[#This Row],[GST %]]</f>
        <v>114883.2</v>
      </c>
      <c r="Q638" s="145">
        <f>Purchase[[#This Row],[Gross Amount]]-Purchase[[#This Row],[Disct Amnt]]+Purchase[[#This Row],[GST Amount]]</f>
        <v>753123.2</v>
      </c>
      <c r="R638" s="138" t="s">
        <v>1019</v>
      </c>
      <c r="S638" s="41">
        <f>IF(Purchase[[#This Row],[Status]]="Cancelled",0,Purchase[[#This Row],[Qty]])</f>
        <v>16</v>
      </c>
      <c r="T638" s="146">
        <f>IF(Purchase[[#This Row],[Status]]="Cancelled",0,Purchase[[#This Row],[Total Amount]])</f>
        <v>753123.2</v>
      </c>
      <c r="U638" s="146">
        <f>SUM(Purchase[Net Amount])</f>
        <v>814985438.68000126</v>
      </c>
    </row>
    <row r="639" spans="1:21" ht="19.5" thickBot="1" x14ac:dyDescent="0.3">
      <c r="A639" s="136" t="s">
        <v>1678</v>
      </c>
      <c r="B639" s="137">
        <v>45690</v>
      </c>
      <c r="C639" s="138" t="s">
        <v>579</v>
      </c>
      <c r="D639" s="138" t="str">
        <f>VLOOKUP(Purchase[[#This Row],[Supplier ID]],Supplier[#All],2,0)</f>
        <v>Tech Traders</v>
      </c>
      <c r="E639" s="138">
        <f>VLOOKUP(Purchase[[#This Row],[Supplier ID]],Supplier[#All],3,0)</f>
        <v>9689542463</v>
      </c>
      <c r="F639" s="138" t="str">
        <f>VLOOKUP(Purchase[[#This Row],[Supplier ID]],Supplier[#All],4,0)</f>
        <v>Kanpur</v>
      </c>
      <c r="G639" s="138" t="str">
        <f>VLOOKUP(Purchase[[#This Row],[Supplier ID]],Supplier[#All],5,0)</f>
        <v>UP</v>
      </c>
      <c r="H639" s="138" t="str">
        <f>VLOOKUP(Purchase[[#This Row],[Supplier ID]],Supplier[#All],6,0)</f>
        <v>GST2154521T025</v>
      </c>
      <c r="I639" s="138" t="s">
        <v>399</v>
      </c>
      <c r="J639" s="139">
        <v>28</v>
      </c>
      <c r="K639" s="143">
        <f>VLOOKUP(Purchase[[#This Row],[Product ID]],Product[#All],6,0)</f>
        <v>35080</v>
      </c>
      <c r="L639" s="143">
        <f>Purchase[[#This Row],[Purchase Rate]]*Purchase[[#This Row],[Qty]]</f>
        <v>982240</v>
      </c>
      <c r="M639" s="140">
        <v>0</v>
      </c>
      <c r="N639" s="143">
        <v>0</v>
      </c>
      <c r="O639" s="140">
        <v>0.18</v>
      </c>
      <c r="P639" s="145">
        <f>(Purchase[[#This Row],[Gross Amount]]-Purchase[[#This Row],[Disct %]])*Purchase[[#This Row],[GST %]]</f>
        <v>176803.19999999998</v>
      </c>
      <c r="Q639" s="145">
        <f>Purchase[[#This Row],[Gross Amount]]-Purchase[[#This Row],[Disct Amnt]]+Purchase[[#This Row],[GST Amount]]</f>
        <v>1159043.2</v>
      </c>
      <c r="R639" s="138" t="s">
        <v>1019</v>
      </c>
      <c r="S639" s="41">
        <f>IF(Purchase[[#This Row],[Status]]="Cancelled",0,Purchase[[#This Row],[Qty]])</f>
        <v>28</v>
      </c>
      <c r="T639" s="146">
        <f>IF(Purchase[[#This Row],[Status]]="Cancelled",0,Purchase[[#This Row],[Total Amount]])</f>
        <v>1159043.2</v>
      </c>
      <c r="U639" s="146">
        <f>SUM(Purchase[Net Amount])</f>
        <v>814985438.68000126</v>
      </c>
    </row>
    <row r="640" spans="1:21" ht="19.5" thickBot="1" x14ac:dyDescent="0.3">
      <c r="A640" s="136" t="s">
        <v>1679</v>
      </c>
      <c r="B640" s="137">
        <v>45690</v>
      </c>
      <c r="C640" s="138" t="s">
        <v>613</v>
      </c>
      <c r="D640" s="138" t="str">
        <f>VLOOKUP(Purchase[[#This Row],[Supplier ID]],Supplier[#All],2,0)</f>
        <v>National Traders</v>
      </c>
      <c r="E640" s="138">
        <f>VLOOKUP(Purchase[[#This Row],[Supplier ID]],Supplier[#All],3,0)</f>
        <v>9689542496</v>
      </c>
      <c r="F640" s="138" t="str">
        <f>VLOOKUP(Purchase[[#This Row],[Supplier ID]],Supplier[#All],4,0)</f>
        <v>Indore</v>
      </c>
      <c r="G640" s="138" t="str">
        <f>VLOOKUP(Purchase[[#This Row],[Supplier ID]],Supplier[#All],5,0)</f>
        <v>MP</v>
      </c>
      <c r="H640" s="138" t="str">
        <f>VLOOKUP(Purchase[[#This Row],[Supplier ID]],Supplier[#All],6,0)</f>
        <v>GST2154521T058</v>
      </c>
      <c r="I640" s="138" t="s">
        <v>107</v>
      </c>
      <c r="J640" s="139">
        <v>12</v>
      </c>
      <c r="K640" s="143">
        <f>VLOOKUP(Purchase[[#This Row],[Product ID]],Product[#All],6,0)</f>
        <v>11599</v>
      </c>
      <c r="L640" s="143">
        <f>Purchase[[#This Row],[Purchase Rate]]*Purchase[[#This Row],[Qty]]</f>
        <v>139188</v>
      </c>
      <c r="M640" s="140">
        <v>0</v>
      </c>
      <c r="N640" s="143">
        <v>0</v>
      </c>
      <c r="O640" s="140">
        <v>0.18</v>
      </c>
      <c r="P640" s="145">
        <f>(Purchase[[#This Row],[Gross Amount]]-Purchase[[#This Row],[Disct %]])*Purchase[[#This Row],[GST %]]</f>
        <v>25053.84</v>
      </c>
      <c r="Q640" s="145">
        <f>Purchase[[#This Row],[Gross Amount]]-Purchase[[#This Row],[Disct Amnt]]+Purchase[[#This Row],[GST Amount]]</f>
        <v>164241.84</v>
      </c>
      <c r="R640" s="138" t="s">
        <v>1019</v>
      </c>
      <c r="S640" s="41">
        <f>IF(Purchase[[#This Row],[Status]]="Cancelled",0,Purchase[[#This Row],[Qty]])</f>
        <v>12</v>
      </c>
      <c r="T640" s="146">
        <f>IF(Purchase[[#This Row],[Status]]="Cancelled",0,Purchase[[#This Row],[Total Amount]])</f>
        <v>164241.84</v>
      </c>
      <c r="U640" s="146">
        <f>SUM(Purchase[Net Amount])</f>
        <v>814985438.68000126</v>
      </c>
    </row>
    <row r="641" spans="1:21" ht="19.5" thickBot="1" x14ac:dyDescent="0.3">
      <c r="A641" s="136" t="s">
        <v>1680</v>
      </c>
      <c r="B641" s="137">
        <v>45690</v>
      </c>
      <c r="C641" s="138" t="s">
        <v>614</v>
      </c>
      <c r="D641" s="138" t="str">
        <f>VLOOKUP(Purchase[[#This Row],[Supplier ID]],Supplier[#All],2,0)</f>
        <v>National Electronics</v>
      </c>
      <c r="E641" s="138">
        <f>VLOOKUP(Purchase[[#This Row],[Supplier ID]],Supplier[#All],3,0)</f>
        <v>9689542497</v>
      </c>
      <c r="F641" s="138" t="str">
        <f>VLOOKUP(Purchase[[#This Row],[Supplier ID]],Supplier[#All],4,0)</f>
        <v>Kanpur</v>
      </c>
      <c r="G641" s="138" t="str">
        <f>VLOOKUP(Purchase[[#This Row],[Supplier ID]],Supplier[#All],5,0)</f>
        <v>UP</v>
      </c>
      <c r="H641" s="138" t="str">
        <f>VLOOKUP(Purchase[[#This Row],[Supplier ID]],Supplier[#All],6,0)</f>
        <v>GST2154521T059</v>
      </c>
      <c r="I641" s="138" t="s">
        <v>258</v>
      </c>
      <c r="J641" s="139">
        <v>40</v>
      </c>
      <c r="K641" s="143">
        <f>VLOOKUP(Purchase[[#This Row],[Product ID]],Product[#All],6,0)</f>
        <v>1957</v>
      </c>
      <c r="L641" s="143">
        <f>Purchase[[#This Row],[Purchase Rate]]*Purchase[[#This Row],[Qty]]</f>
        <v>78280</v>
      </c>
      <c r="M641" s="140">
        <v>0</v>
      </c>
      <c r="N641" s="143">
        <v>0</v>
      </c>
      <c r="O641" s="140">
        <v>0.18</v>
      </c>
      <c r="P641" s="145">
        <f>(Purchase[[#This Row],[Gross Amount]]-Purchase[[#This Row],[Disct %]])*Purchase[[#This Row],[GST %]]</f>
        <v>14090.4</v>
      </c>
      <c r="Q641" s="145">
        <f>Purchase[[#This Row],[Gross Amount]]-Purchase[[#This Row],[Disct Amnt]]+Purchase[[#This Row],[GST Amount]]</f>
        <v>92370.4</v>
      </c>
      <c r="R641" s="138" t="s">
        <v>1019</v>
      </c>
      <c r="S641" s="41">
        <f>IF(Purchase[[#This Row],[Status]]="Cancelled",0,Purchase[[#This Row],[Qty]])</f>
        <v>40</v>
      </c>
      <c r="T641" s="146">
        <f>IF(Purchase[[#This Row],[Status]]="Cancelled",0,Purchase[[#This Row],[Total Amount]])</f>
        <v>92370.4</v>
      </c>
      <c r="U641" s="146">
        <f>SUM(Purchase[Net Amount])</f>
        <v>814985438.68000126</v>
      </c>
    </row>
    <row r="642" spans="1:21" ht="19.5" thickBot="1" x14ac:dyDescent="0.3">
      <c r="A642" s="136" t="s">
        <v>1681</v>
      </c>
      <c r="B642" s="137">
        <v>45690</v>
      </c>
      <c r="C642" s="138" t="s">
        <v>594</v>
      </c>
      <c r="D642" s="138" t="str">
        <f>VLOOKUP(Purchase[[#This Row],[Supplier ID]],Supplier[#All],2,0)</f>
        <v>Shree Suppliers</v>
      </c>
      <c r="E642" s="138">
        <f>VLOOKUP(Purchase[[#This Row],[Supplier ID]],Supplier[#All],3,0)</f>
        <v>9689542477</v>
      </c>
      <c r="F642" s="138" t="str">
        <f>VLOOKUP(Purchase[[#This Row],[Supplier ID]],Supplier[#All],4,0)</f>
        <v>Indore</v>
      </c>
      <c r="G642" s="138" t="str">
        <f>VLOOKUP(Purchase[[#This Row],[Supplier ID]],Supplier[#All],5,0)</f>
        <v>MP</v>
      </c>
      <c r="H642" s="138" t="str">
        <f>VLOOKUP(Purchase[[#This Row],[Supplier ID]],Supplier[#All],6,0)</f>
        <v>GST2154521T039</v>
      </c>
      <c r="I642" s="138" t="s">
        <v>229</v>
      </c>
      <c r="J642" s="139">
        <v>18</v>
      </c>
      <c r="K642" s="143">
        <f>VLOOKUP(Purchase[[#This Row],[Product ID]],Product[#All],6,0)</f>
        <v>2697</v>
      </c>
      <c r="L642" s="143">
        <f>Purchase[[#This Row],[Purchase Rate]]*Purchase[[#This Row],[Qty]]</f>
        <v>48546</v>
      </c>
      <c r="M642" s="140">
        <v>0</v>
      </c>
      <c r="N642" s="143">
        <v>0</v>
      </c>
      <c r="O642" s="140">
        <v>0.18</v>
      </c>
      <c r="P642" s="145">
        <f>(Purchase[[#This Row],[Gross Amount]]-Purchase[[#This Row],[Disct %]])*Purchase[[#This Row],[GST %]]</f>
        <v>8738.2799999999988</v>
      </c>
      <c r="Q642" s="145">
        <f>Purchase[[#This Row],[Gross Amount]]-Purchase[[#This Row],[Disct Amnt]]+Purchase[[#This Row],[GST Amount]]</f>
        <v>57284.28</v>
      </c>
      <c r="R642" s="138" t="s">
        <v>1019</v>
      </c>
      <c r="S642" s="41">
        <f>IF(Purchase[[#This Row],[Status]]="Cancelled",0,Purchase[[#This Row],[Qty]])</f>
        <v>18</v>
      </c>
      <c r="T642" s="146">
        <f>IF(Purchase[[#This Row],[Status]]="Cancelled",0,Purchase[[#This Row],[Total Amount]])</f>
        <v>57284.28</v>
      </c>
      <c r="U642" s="146">
        <f>SUM(Purchase[Net Amount])</f>
        <v>814985438.68000126</v>
      </c>
    </row>
    <row r="643" spans="1:21" ht="19.5" thickBot="1" x14ac:dyDescent="0.3">
      <c r="A643" s="136" t="s">
        <v>1682</v>
      </c>
      <c r="B643" s="137">
        <v>45690</v>
      </c>
      <c r="C643" s="138" t="s">
        <v>599</v>
      </c>
      <c r="D643" s="138" t="str">
        <f>VLOOKUP(Purchase[[#This Row],[Supplier ID]],Supplier[#All],2,0)</f>
        <v>National Distributors</v>
      </c>
      <c r="E643" s="138">
        <f>VLOOKUP(Purchase[[#This Row],[Supplier ID]],Supplier[#All],3,0)</f>
        <v>9689542482</v>
      </c>
      <c r="F643" s="138" t="str">
        <f>VLOOKUP(Purchase[[#This Row],[Supplier ID]],Supplier[#All],4,0)</f>
        <v>Kanpur</v>
      </c>
      <c r="G643" s="138" t="str">
        <f>VLOOKUP(Purchase[[#This Row],[Supplier ID]],Supplier[#All],5,0)</f>
        <v>UP</v>
      </c>
      <c r="H643" s="138" t="str">
        <f>VLOOKUP(Purchase[[#This Row],[Supplier ID]],Supplier[#All],6,0)</f>
        <v>GST2154521T044</v>
      </c>
      <c r="I643" s="138" t="s">
        <v>510</v>
      </c>
      <c r="J643" s="139">
        <v>29</v>
      </c>
      <c r="K643" s="143">
        <f>VLOOKUP(Purchase[[#This Row],[Product ID]],Product[#All],6,0)</f>
        <v>4271</v>
      </c>
      <c r="L643" s="143">
        <f>Purchase[[#This Row],[Purchase Rate]]*Purchase[[#This Row],[Qty]]</f>
        <v>123859</v>
      </c>
      <c r="M643" s="140">
        <v>0</v>
      </c>
      <c r="N643" s="143">
        <v>0</v>
      </c>
      <c r="O643" s="140">
        <v>0.18</v>
      </c>
      <c r="P643" s="145">
        <f>(Purchase[[#This Row],[Gross Amount]]-Purchase[[#This Row],[Disct %]])*Purchase[[#This Row],[GST %]]</f>
        <v>22294.62</v>
      </c>
      <c r="Q643" s="145">
        <f>Purchase[[#This Row],[Gross Amount]]-Purchase[[#This Row],[Disct Amnt]]+Purchase[[#This Row],[GST Amount]]</f>
        <v>146153.62</v>
      </c>
      <c r="R643" s="138" t="s">
        <v>1019</v>
      </c>
      <c r="S643" s="41">
        <f>IF(Purchase[[#This Row],[Status]]="Cancelled",0,Purchase[[#This Row],[Qty]])</f>
        <v>29</v>
      </c>
      <c r="T643" s="146">
        <f>IF(Purchase[[#This Row],[Status]]="Cancelled",0,Purchase[[#This Row],[Total Amount]])</f>
        <v>146153.62</v>
      </c>
      <c r="U643" s="146">
        <f>SUM(Purchase[Net Amount])</f>
        <v>814985438.68000126</v>
      </c>
    </row>
    <row r="644" spans="1:21" ht="19.5" thickBot="1" x14ac:dyDescent="0.3">
      <c r="A644" s="136" t="s">
        <v>1683</v>
      </c>
      <c r="B644" s="137">
        <v>45690</v>
      </c>
      <c r="C644" s="138" t="s">
        <v>611</v>
      </c>
      <c r="D644" s="138" t="str">
        <f>VLOOKUP(Purchase[[#This Row],[Supplier ID]],Supplier[#All],2,0)</f>
        <v>National Distributors</v>
      </c>
      <c r="E644" s="138">
        <f>VLOOKUP(Purchase[[#This Row],[Supplier ID]],Supplier[#All],3,0)</f>
        <v>9689542494</v>
      </c>
      <c r="F644" s="138" t="str">
        <f>VLOOKUP(Purchase[[#This Row],[Supplier ID]],Supplier[#All],4,0)</f>
        <v>Korba</v>
      </c>
      <c r="G644" s="138" t="str">
        <f>VLOOKUP(Purchase[[#This Row],[Supplier ID]],Supplier[#All],5,0)</f>
        <v>CG</v>
      </c>
      <c r="H644" s="138" t="str">
        <f>VLOOKUP(Purchase[[#This Row],[Supplier ID]],Supplier[#All],6,0)</f>
        <v>GST2154521T056</v>
      </c>
      <c r="I644" s="138" t="s">
        <v>57</v>
      </c>
      <c r="J644" s="139">
        <v>22</v>
      </c>
      <c r="K644" s="143">
        <f>VLOOKUP(Purchase[[#This Row],[Product ID]],Product[#All],6,0)</f>
        <v>45619</v>
      </c>
      <c r="L644" s="143">
        <f>Purchase[[#This Row],[Purchase Rate]]*Purchase[[#This Row],[Qty]]</f>
        <v>1003618</v>
      </c>
      <c r="M644" s="140">
        <v>0</v>
      </c>
      <c r="N644" s="143">
        <v>0</v>
      </c>
      <c r="O644" s="140">
        <v>0.18</v>
      </c>
      <c r="P644" s="145">
        <f>(Purchase[[#This Row],[Gross Amount]]-Purchase[[#This Row],[Disct %]])*Purchase[[#This Row],[GST %]]</f>
        <v>180651.24</v>
      </c>
      <c r="Q644" s="145">
        <f>Purchase[[#This Row],[Gross Amount]]-Purchase[[#This Row],[Disct Amnt]]+Purchase[[#This Row],[GST Amount]]</f>
        <v>1184269.24</v>
      </c>
      <c r="R644" s="138" t="s">
        <v>1019</v>
      </c>
      <c r="S644" s="41">
        <f>IF(Purchase[[#This Row],[Status]]="Cancelled",0,Purchase[[#This Row],[Qty]])</f>
        <v>22</v>
      </c>
      <c r="T644" s="146">
        <f>IF(Purchase[[#This Row],[Status]]="Cancelled",0,Purchase[[#This Row],[Total Amount]])</f>
        <v>1184269.24</v>
      </c>
      <c r="U644" s="146">
        <f>SUM(Purchase[Net Amount])</f>
        <v>814985438.68000126</v>
      </c>
    </row>
    <row r="645" spans="1:21" ht="19.5" thickBot="1" x14ac:dyDescent="0.3">
      <c r="A645" s="136" t="s">
        <v>1684</v>
      </c>
      <c r="B645" s="137">
        <v>45690</v>
      </c>
      <c r="C645" s="138" t="s">
        <v>613</v>
      </c>
      <c r="D645" s="138" t="str">
        <f>VLOOKUP(Purchase[[#This Row],[Supplier ID]],Supplier[#All],2,0)</f>
        <v>National Traders</v>
      </c>
      <c r="E645" s="138">
        <f>VLOOKUP(Purchase[[#This Row],[Supplier ID]],Supplier[#All],3,0)</f>
        <v>9689542496</v>
      </c>
      <c r="F645" s="138" t="str">
        <f>VLOOKUP(Purchase[[#This Row],[Supplier ID]],Supplier[#All],4,0)</f>
        <v>Indore</v>
      </c>
      <c r="G645" s="138" t="str">
        <f>VLOOKUP(Purchase[[#This Row],[Supplier ID]],Supplier[#All],5,0)</f>
        <v>MP</v>
      </c>
      <c r="H645" s="138" t="str">
        <f>VLOOKUP(Purchase[[#This Row],[Supplier ID]],Supplier[#All],6,0)</f>
        <v>GST2154521T058</v>
      </c>
      <c r="I645" s="138" t="s">
        <v>117</v>
      </c>
      <c r="J645" s="139">
        <v>7</v>
      </c>
      <c r="K645" s="143">
        <f>VLOOKUP(Purchase[[#This Row],[Product ID]],Product[#All],6,0)</f>
        <v>2303</v>
      </c>
      <c r="L645" s="143">
        <f>Purchase[[#This Row],[Purchase Rate]]*Purchase[[#This Row],[Qty]]</f>
        <v>16121</v>
      </c>
      <c r="M645" s="140">
        <v>0</v>
      </c>
      <c r="N645" s="143">
        <v>0</v>
      </c>
      <c r="O645" s="140">
        <v>0.18</v>
      </c>
      <c r="P645" s="145">
        <f>(Purchase[[#This Row],[Gross Amount]]-Purchase[[#This Row],[Disct %]])*Purchase[[#This Row],[GST %]]</f>
        <v>2901.7799999999997</v>
      </c>
      <c r="Q645" s="145">
        <f>Purchase[[#This Row],[Gross Amount]]-Purchase[[#This Row],[Disct Amnt]]+Purchase[[#This Row],[GST Amount]]</f>
        <v>19022.78</v>
      </c>
      <c r="R645" s="138" t="s">
        <v>1019</v>
      </c>
      <c r="S645" s="41">
        <f>IF(Purchase[[#This Row],[Status]]="Cancelled",0,Purchase[[#This Row],[Qty]])</f>
        <v>7</v>
      </c>
      <c r="T645" s="146">
        <f>IF(Purchase[[#This Row],[Status]]="Cancelled",0,Purchase[[#This Row],[Total Amount]])</f>
        <v>19022.78</v>
      </c>
      <c r="U645" s="146">
        <f>SUM(Purchase[Net Amount])</f>
        <v>814985438.68000126</v>
      </c>
    </row>
    <row r="646" spans="1:21" ht="19.5" thickBot="1" x14ac:dyDescent="0.3">
      <c r="A646" s="136" t="s">
        <v>1685</v>
      </c>
      <c r="B646" s="137">
        <v>45690</v>
      </c>
      <c r="C646" s="138" t="s">
        <v>575</v>
      </c>
      <c r="D646" s="138" t="str">
        <f>VLOOKUP(Purchase[[#This Row],[Supplier ID]],Supplier[#All],2,0)</f>
        <v>Global Computers</v>
      </c>
      <c r="E646" s="138">
        <f>VLOOKUP(Purchase[[#This Row],[Supplier ID]],Supplier[#All],3,0)</f>
        <v>9689542459</v>
      </c>
      <c r="F646" s="138" t="str">
        <f>VLOOKUP(Purchase[[#This Row],[Supplier ID]],Supplier[#All],4,0)</f>
        <v>Indore</v>
      </c>
      <c r="G646" s="138" t="str">
        <f>VLOOKUP(Purchase[[#This Row],[Supplier ID]],Supplier[#All],5,0)</f>
        <v>MP</v>
      </c>
      <c r="H646" s="138" t="str">
        <f>VLOOKUP(Purchase[[#This Row],[Supplier ID]],Supplier[#All],6,0)</f>
        <v>GST2154521T021</v>
      </c>
      <c r="I646" s="138" t="s">
        <v>332</v>
      </c>
      <c r="J646" s="139">
        <v>34</v>
      </c>
      <c r="K646" s="143">
        <f>VLOOKUP(Purchase[[#This Row],[Product ID]],Product[#All],6,0)</f>
        <v>21908</v>
      </c>
      <c r="L646" s="143">
        <f>Purchase[[#This Row],[Purchase Rate]]*Purchase[[#This Row],[Qty]]</f>
        <v>744872</v>
      </c>
      <c r="M646" s="140">
        <v>0</v>
      </c>
      <c r="N646" s="143">
        <v>0</v>
      </c>
      <c r="O646" s="140">
        <v>0.18</v>
      </c>
      <c r="P646" s="145">
        <f>(Purchase[[#This Row],[Gross Amount]]-Purchase[[#This Row],[Disct %]])*Purchase[[#This Row],[GST %]]</f>
        <v>134076.96</v>
      </c>
      <c r="Q646" s="145">
        <f>Purchase[[#This Row],[Gross Amount]]-Purchase[[#This Row],[Disct Amnt]]+Purchase[[#This Row],[GST Amount]]</f>
        <v>878948.96</v>
      </c>
      <c r="R646" s="138" t="s">
        <v>1019</v>
      </c>
      <c r="S646" s="41">
        <f>IF(Purchase[[#This Row],[Status]]="Cancelled",0,Purchase[[#This Row],[Qty]])</f>
        <v>34</v>
      </c>
      <c r="T646" s="146">
        <f>IF(Purchase[[#This Row],[Status]]="Cancelled",0,Purchase[[#This Row],[Total Amount]])</f>
        <v>878948.96</v>
      </c>
      <c r="U646" s="146">
        <f>SUM(Purchase[Net Amount])</f>
        <v>814985438.68000126</v>
      </c>
    </row>
    <row r="647" spans="1:21" ht="19.5" thickBot="1" x14ac:dyDescent="0.3">
      <c r="A647" s="136" t="s">
        <v>1686</v>
      </c>
      <c r="B647" s="137">
        <v>45690</v>
      </c>
      <c r="C647" s="138" t="s">
        <v>600</v>
      </c>
      <c r="D647" s="138" t="str">
        <f>VLOOKUP(Purchase[[#This Row],[Supplier ID]],Supplier[#All],2,0)</f>
        <v>Prime Suppliers</v>
      </c>
      <c r="E647" s="138">
        <f>VLOOKUP(Purchase[[#This Row],[Supplier ID]],Supplier[#All],3,0)</f>
        <v>9689542483</v>
      </c>
      <c r="F647" s="138" t="str">
        <f>VLOOKUP(Purchase[[#This Row],[Supplier ID]],Supplier[#All],4,0)</f>
        <v>Korba</v>
      </c>
      <c r="G647" s="138" t="str">
        <f>VLOOKUP(Purchase[[#This Row],[Supplier ID]],Supplier[#All],5,0)</f>
        <v>CG</v>
      </c>
      <c r="H647" s="138" t="str">
        <f>VLOOKUP(Purchase[[#This Row],[Supplier ID]],Supplier[#All],6,0)</f>
        <v>GST2154521T045</v>
      </c>
      <c r="I647" s="138" t="s">
        <v>273</v>
      </c>
      <c r="J647" s="139">
        <v>32</v>
      </c>
      <c r="K647" s="143">
        <f>VLOOKUP(Purchase[[#This Row],[Product ID]],Product[#All],6,0)</f>
        <v>3783</v>
      </c>
      <c r="L647" s="143">
        <f>Purchase[[#This Row],[Purchase Rate]]*Purchase[[#This Row],[Qty]]</f>
        <v>121056</v>
      </c>
      <c r="M647" s="140">
        <v>0</v>
      </c>
      <c r="N647" s="143">
        <v>0</v>
      </c>
      <c r="O647" s="140">
        <v>0.18</v>
      </c>
      <c r="P647" s="145">
        <f>(Purchase[[#This Row],[Gross Amount]]-Purchase[[#This Row],[Disct %]])*Purchase[[#This Row],[GST %]]</f>
        <v>21790.079999999998</v>
      </c>
      <c r="Q647" s="145">
        <f>Purchase[[#This Row],[Gross Amount]]-Purchase[[#This Row],[Disct Amnt]]+Purchase[[#This Row],[GST Amount]]</f>
        <v>142846.07999999999</v>
      </c>
      <c r="R647" s="138" t="s">
        <v>1019</v>
      </c>
      <c r="S647" s="41">
        <f>IF(Purchase[[#This Row],[Status]]="Cancelled",0,Purchase[[#This Row],[Qty]])</f>
        <v>32</v>
      </c>
      <c r="T647" s="146">
        <f>IF(Purchase[[#This Row],[Status]]="Cancelled",0,Purchase[[#This Row],[Total Amount]])</f>
        <v>142846.07999999999</v>
      </c>
      <c r="U647" s="146">
        <f>SUM(Purchase[Net Amount])</f>
        <v>814985438.68000126</v>
      </c>
    </row>
    <row r="648" spans="1:21" ht="19.5" thickBot="1" x14ac:dyDescent="0.3">
      <c r="A648" s="136" t="s">
        <v>1687</v>
      </c>
      <c r="B648" s="137">
        <v>45690</v>
      </c>
      <c r="C648" s="138" t="s">
        <v>567</v>
      </c>
      <c r="D648" s="138" t="str">
        <f>VLOOKUP(Purchase[[#This Row],[Supplier ID]],Supplier[#All],2,0)</f>
        <v>National Distributors</v>
      </c>
      <c r="E648" s="138">
        <f>VLOOKUP(Purchase[[#This Row],[Supplier ID]],Supplier[#All],3,0)</f>
        <v>9689542453</v>
      </c>
      <c r="F648" s="138" t="str">
        <f>VLOOKUP(Purchase[[#This Row],[Supplier ID]],Supplier[#All],4,0)</f>
        <v>Korba</v>
      </c>
      <c r="G648" s="138" t="str">
        <f>VLOOKUP(Purchase[[#This Row],[Supplier ID]],Supplier[#All],5,0)</f>
        <v>CG</v>
      </c>
      <c r="H648" s="138" t="str">
        <f>VLOOKUP(Purchase[[#This Row],[Supplier ID]],Supplier[#All],6,0)</f>
        <v>GST2154521T015</v>
      </c>
      <c r="I648" s="138" t="s">
        <v>250</v>
      </c>
      <c r="J648" s="139">
        <v>11</v>
      </c>
      <c r="K648" s="143">
        <f>VLOOKUP(Purchase[[#This Row],[Product ID]],Product[#All],6,0)</f>
        <v>10586</v>
      </c>
      <c r="L648" s="143">
        <f>Purchase[[#This Row],[Purchase Rate]]*Purchase[[#This Row],[Qty]]</f>
        <v>116446</v>
      </c>
      <c r="M648" s="140">
        <v>0</v>
      </c>
      <c r="N648" s="143">
        <v>0</v>
      </c>
      <c r="O648" s="140">
        <v>0.18</v>
      </c>
      <c r="P648" s="145">
        <f>(Purchase[[#This Row],[Gross Amount]]-Purchase[[#This Row],[Disct %]])*Purchase[[#This Row],[GST %]]</f>
        <v>20960.28</v>
      </c>
      <c r="Q648" s="145">
        <f>Purchase[[#This Row],[Gross Amount]]-Purchase[[#This Row],[Disct Amnt]]+Purchase[[#This Row],[GST Amount]]</f>
        <v>137406.28</v>
      </c>
      <c r="R648" s="138" t="s">
        <v>1019</v>
      </c>
      <c r="S648" s="41">
        <f>IF(Purchase[[#This Row],[Status]]="Cancelled",0,Purchase[[#This Row],[Qty]])</f>
        <v>11</v>
      </c>
      <c r="T648" s="146">
        <f>IF(Purchase[[#This Row],[Status]]="Cancelled",0,Purchase[[#This Row],[Total Amount]])</f>
        <v>137406.28</v>
      </c>
      <c r="U648" s="146">
        <f>SUM(Purchase[Net Amount])</f>
        <v>814985438.68000126</v>
      </c>
    </row>
    <row r="649" spans="1:21" ht="19.5" thickBot="1" x14ac:dyDescent="0.3">
      <c r="A649" s="136" t="s">
        <v>1688</v>
      </c>
      <c r="B649" s="137">
        <v>45690</v>
      </c>
      <c r="C649" s="138" t="s">
        <v>615</v>
      </c>
      <c r="D649" s="138" t="str">
        <f>VLOOKUP(Purchase[[#This Row],[Supplier ID]],Supplier[#All],2,0)</f>
        <v>NATIONAL ELECTRONICS</v>
      </c>
      <c r="E649" s="138">
        <f>VLOOKUP(Purchase[[#This Row],[Supplier ID]],Supplier[#All],3,0)</f>
        <v>9689542498</v>
      </c>
      <c r="F649" s="138" t="str">
        <f>VLOOKUP(Purchase[[#This Row],[Supplier ID]],Supplier[#All],4,0)</f>
        <v>Kanpur</v>
      </c>
      <c r="G649" s="138" t="str">
        <f>VLOOKUP(Purchase[[#This Row],[Supplier ID]],Supplier[#All],5,0)</f>
        <v>UP</v>
      </c>
      <c r="H649" s="138" t="str">
        <f>VLOOKUP(Purchase[[#This Row],[Supplier ID]],Supplier[#All],6,0)</f>
        <v>GST2154521T060</v>
      </c>
      <c r="I649" s="138" t="s">
        <v>298</v>
      </c>
      <c r="J649" s="139">
        <v>23</v>
      </c>
      <c r="K649" s="143">
        <f>VLOOKUP(Purchase[[#This Row],[Product ID]],Product[#All],6,0)</f>
        <v>19959</v>
      </c>
      <c r="L649" s="143">
        <f>Purchase[[#This Row],[Purchase Rate]]*Purchase[[#This Row],[Qty]]</f>
        <v>459057</v>
      </c>
      <c r="M649" s="140">
        <v>0</v>
      </c>
      <c r="N649" s="143">
        <v>0</v>
      </c>
      <c r="O649" s="140">
        <v>0.18</v>
      </c>
      <c r="P649" s="145">
        <f>(Purchase[[#This Row],[Gross Amount]]-Purchase[[#This Row],[Disct %]])*Purchase[[#This Row],[GST %]]</f>
        <v>82630.259999999995</v>
      </c>
      <c r="Q649" s="145">
        <f>Purchase[[#This Row],[Gross Amount]]-Purchase[[#This Row],[Disct Amnt]]+Purchase[[#This Row],[GST Amount]]</f>
        <v>541687.26</v>
      </c>
      <c r="R649" s="138" t="s">
        <v>1019</v>
      </c>
      <c r="S649" s="41">
        <f>IF(Purchase[[#This Row],[Status]]="Cancelled",0,Purchase[[#This Row],[Qty]])</f>
        <v>23</v>
      </c>
      <c r="T649" s="146">
        <f>IF(Purchase[[#This Row],[Status]]="Cancelled",0,Purchase[[#This Row],[Total Amount]])</f>
        <v>541687.26</v>
      </c>
      <c r="U649" s="146">
        <f>SUM(Purchase[Net Amount])</f>
        <v>814985438.68000126</v>
      </c>
    </row>
    <row r="650" spans="1:21" ht="19.5" thickBot="1" x14ac:dyDescent="0.3">
      <c r="A650" s="136" t="s">
        <v>1689</v>
      </c>
      <c r="B650" s="137">
        <v>45690</v>
      </c>
      <c r="C650" s="138" t="s">
        <v>587</v>
      </c>
      <c r="D650" s="138" t="str">
        <f>VLOOKUP(Purchase[[#This Row],[Supplier ID]],Supplier[#All],2,0)</f>
        <v>maa distributors</v>
      </c>
      <c r="E650" s="138">
        <f>VLOOKUP(Purchase[[#This Row],[Supplier ID]],Supplier[#All],3,0)</f>
        <v>9689542479</v>
      </c>
      <c r="F650" s="138" t="str">
        <f>VLOOKUP(Purchase[[#This Row],[Supplier ID]],Supplier[#All],4,0)</f>
        <v>Indore</v>
      </c>
      <c r="G650" s="138" t="str">
        <f>VLOOKUP(Purchase[[#This Row],[Supplier ID]],Supplier[#All],5,0)</f>
        <v>MP</v>
      </c>
      <c r="H650" s="138" t="str">
        <f>VLOOKUP(Purchase[[#This Row],[Supplier ID]],Supplier[#All],6,0)</f>
        <v>GST2154521T033</v>
      </c>
      <c r="I650" s="138" t="s">
        <v>273</v>
      </c>
      <c r="J650" s="139">
        <v>17</v>
      </c>
      <c r="K650" s="143">
        <f>VLOOKUP(Purchase[[#This Row],[Product ID]],Product[#All],6,0)</f>
        <v>3783</v>
      </c>
      <c r="L650" s="143">
        <f>Purchase[[#This Row],[Purchase Rate]]*Purchase[[#This Row],[Qty]]</f>
        <v>64311</v>
      </c>
      <c r="M650" s="140">
        <v>0</v>
      </c>
      <c r="N650" s="143">
        <v>0</v>
      </c>
      <c r="O650" s="140">
        <v>0.18</v>
      </c>
      <c r="P650" s="145">
        <f>(Purchase[[#This Row],[Gross Amount]]-Purchase[[#This Row],[Disct %]])*Purchase[[#This Row],[GST %]]</f>
        <v>11575.98</v>
      </c>
      <c r="Q650" s="145">
        <f>Purchase[[#This Row],[Gross Amount]]-Purchase[[#This Row],[Disct Amnt]]+Purchase[[#This Row],[GST Amount]]</f>
        <v>75886.98</v>
      </c>
      <c r="R650" s="138" t="s">
        <v>1019</v>
      </c>
      <c r="S650" s="41">
        <f>IF(Purchase[[#This Row],[Status]]="Cancelled",0,Purchase[[#This Row],[Qty]])</f>
        <v>17</v>
      </c>
      <c r="T650" s="146">
        <f>IF(Purchase[[#This Row],[Status]]="Cancelled",0,Purchase[[#This Row],[Total Amount]])</f>
        <v>75886.98</v>
      </c>
      <c r="U650" s="146">
        <f>SUM(Purchase[Net Amount])</f>
        <v>814985438.68000126</v>
      </c>
    </row>
    <row r="651" spans="1:21" ht="19.5" thickBot="1" x14ac:dyDescent="0.3">
      <c r="A651" s="136" t="s">
        <v>1690</v>
      </c>
      <c r="B651" s="137">
        <v>45690</v>
      </c>
      <c r="C651" s="138" t="s">
        <v>614</v>
      </c>
      <c r="D651" s="138" t="str">
        <f>VLOOKUP(Purchase[[#This Row],[Supplier ID]],Supplier[#All],2,0)</f>
        <v>National Electronics</v>
      </c>
      <c r="E651" s="138">
        <f>VLOOKUP(Purchase[[#This Row],[Supplier ID]],Supplier[#All],3,0)</f>
        <v>9689542497</v>
      </c>
      <c r="F651" s="138" t="str">
        <f>VLOOKUP(Purchase[[#This Row],[Supplier ID]],Supplier[#All],4,0)</f>
        <v>Kanpur</v>
      </c>
      <c r="G651" s="138" t="str">
        <f>VLOOKUP(Purchase[[#This Row],[Supplier ID]],Supplier[#All],5,0)</f>
        <v>UP</v>
      </c>
      <c r="H651" s="138" t="str">
        <f>VLOOKUP(Purchase[[#This Row],[Supplier ID]],Supplier[#All],6,0)</f>
        <v>GST2154521T059</v>
      </c>
      <c r="I651" s="138" t="s">
        <v>522</v>
      </c>
      <c r="J651" s="139">
        <v>40</v>
      </c>
      <c r="K651" s="143">
        <f>VLOOKUP(Purchase[[#This Row],[Product ID]],Product[#All],6,0)</f>
        <v>2356</v>
      </c>
      <c r="L651" s="143">
        <f>Purchase[[#This Row],[Purchase Rate]]*Purchase[[#This Row],[Qty]]</f>
        <v>94240</v>
      </c>
      <c r="M651" s="140">
        <v>0</v>
      </c>
      <c r="N651" s="143">
        <v>0</v>
      </c>
      <c r="O651" s="140">
        <v>0.18</v>
      </c>
      <c r="P651" s="145">
        <f>(Purchase[[#This Row],[Gross Amount]]-Purchase[[#This Row],[Disct %]])*Purchase[[#This Row],[GST %]]</f>
        <v>16963.2</v>
      </c>
      <c r="Q651" s="145">
        <f>Purchase[[#This Row],[Gross Amount]]-Purchase[[#This Row],[Disct Amnt]]+Purchase[[#This Row],[GST Amount]]</f>
        <v>111203.2</v>
      </c>
      <c r="R651" s="138" t="s">
        <v>1019</v>
      </c>
      <c r="S651" s="41">
        <f>IF(Purchase[[#This Row],[Status]]="Cancelled",0,Purchase[[#This Row],[Qty]])</f>
        <v>40</v>
      </c>
      <c r="T651" s="146">
        <f>IF(Purchase[[#This Row],[Status]]="Cancelled",0,Purchase[[#This Row],[Total Amount]])</f>
        <v>111203.2</v>
      </c>
      <c r="U651" s="146">
        <f>SUM(Purchase[Net Amount])</f>
        <v>814985438.68000126</v>
      </c>
    </row>
    <row r="652" spans="1:21" ht="19.5" thickBot="1" x14ac:dyDescent="0.3">
      <c r="A652" s="136" t="s">
        <v>1691</v>
      </c>
      <c r="B652" s="137">
        <v>45690</v>
      </c>
      <c r="C652" s="138" t="s">
        <v>586</v>
      </c>
      <c r="D652" s="138" t="str">
        <f>VLOOKUP(Purchase[[#This Row],[Supplier ID]],Supplier[#All],2,0)</f>
        <v>Maa Traders</v>
      </c>
      <c r="E652" s="138">
        <f>VLOOKUP(Purchase[[#This Row],[Supplier ID]],Supplier[#All],3,0)</f>
        <v>9689542470</v>
      </c>
      <c r="F652" s="138" t="str">
        <f>VLOOKUP(Purchase[[#This Row],[Supplier ID]],Supplier[#All],4,0)</f>
        <v>Kanpur</v>
      </c>
      <c r="G652" s="138" t="str">
        <f>VLOOKUP(Purchase[[#This Row],[Supplier ID]],Supplier[#All],5,0)</f>
        <v>UP</v>
      </c>
      <c r="H652" s="138" t="str">
        <f>VLOOKUP(Purchase[[#This Row],[Supplier ID]],Supplier[#All],6,0)</f>
        <v>GST2154521T032</v>
      </c>
      <c r="I652" s="138" t="s">
        <v>132</v>
      </c>
      <c r="J652" s="139">
        <v>20</v>
      </c>
      <c r="K652" s="143">
        <f>VLOOKUP(Purchase[[#This Row],[Product ID]],Product[#All],6,0)</f>
        <v>6397</v>
      </c>
      <c r="L652" s="143">
        <f>Purchase[[#This Row],[Purchase Rate]]*Purchase[[#This Row],[Qty]]</f>
        <v>127940</v>
      </c>
      <c r="M652" s="140">
        <v>0</v>
      </c>
      <c r="N652" s="143">
        <v>0</v>
      </c>
      <c r="O652" s="140">
        <v>0.18</v>
      </c>
      <c r="P652" s="145">
        <f>(Purchase[[#This Row],[Gross Amount]]-Purchase[[#This Row],[Disct %]])*Purchase[[#This Row],[GST %]]</f>
        <v>23029.200000000001</v>
      </c>
      <c r="Q652" s="145">
        <f>Purchase[[#This Row],[Gross Amount]]-Purchase[[#This Row],[Disct Amnt]]+Purchase[[#This Row],[GST Amount]]</f>
        <v>150969.20000000001</v>
      </c>
      <c r="R652" s="138" t="s">
        <v>1019</v>
      </c>
      <c r="S652" s="41">
        <f>IF(Purchase[[#This Row],[Status]]="Cancelled",0,Purchase[[#This Row],[Qty]])</f>
        <v>20</v>
      </c>
      <c r="T652" s="146">
        <f>IF(Purchase[[#This Row],[Status]]="Cancelled",0,Purchase[[#This Row],[Total Amount]])</f>
        <v>150969.20000000001</v>
      </c>
      <c r="U652" s="146">
        <f>SUM(Purchase[Net Amount])</f>
        <v>814985438.68000126</v>
      </c>
    </row>
    <row r="653" spans="1:21" ht="19.5" thickBot="1" x14ac:dyDescent="0.3">
      <c r="A653" s="136" t="s">
        <v>1692</v>
      </c>
      <c r="B653" s="137">
        <v>45690</v>
      </c>
      <c r="C653" s="138" t="s">
        <v>576</v>
      </c>
      <c r="D653" s="138" t="str">
        <f>VLOOKUP(Purchase[[#This Row],[Supplier ID]],Supplier[#All],2,0)</f>
        <v>Maa Distributors</v>
      </c>
      <c r="E653" s="138">
        <f>VLOOKUP(Purchase[[#This Row],[Supplier ID]],Supplier[#All],3,0)</f>
        <v>9689542460</v>
      </c>
      <c r="F653" s="138" t="str">
        <f>VLOOKUP(Purchase[[#This Row],[Supplier ID]],Supplier[#All],4,0)</f>
        <v>Korba</v>
      </c>
      <c r="G653" s="138" t="str">
        <f>VLOOKUP(Purchase[[#This Row],[Supplier ID]],Supplier[#All],5,0)</f>
        <v>CG</v>
      </c>
      <c r="H653" s="138" t="str">
        <f>VLOOKUP(Purchase[[#This Row],[Supplier ID]],Supplier[#All],6,0)</f>
        <v>GST2154521T022</v>
      </c>
      <c r="I653" s="138" t="s">
        <v>359</v>
      </c>
      <c r="J653" s="139">
        <v>9</v>
      </c>
      <c r="K653" s="143">
        <f>VLOOKUP(Purchase[[#This Row],[Product ID]],Product[#All],6,0)</f>
        <v>922</v>
      </c>
      <c r="L653" s="143">
        <f>Purchase[[#This Row],[Purchase Rate]]*Purchase[[#This Row],[Qty]]</f>
        <v>8298</v>
      </c>
      <c r="M653" s="140">
        <v>0</v>
      </c>
      <c r="N653" s="143">
        <v>0</v>
      </c>
      <c r="O653" s="140">
        <v>0.18</v>
      </c>
      <c r="P653" s="145">
        <f>(Purchase[[#This Row],[Gross Amount]]-Purchase[[#This Row],[Disct %]])*Purchase[[#This Row],[GST %]]</f>
        <v>1493.6399999999999</v>
      </c>
      <c r="Q653" s="145">
        <f>Purchase[[#This Row],[Gross Amount]]-Purchase[[#This Row],[Disct Amnt]]+Purchase[[#This Row],[GST Amount]]</f>
        <v>9791.64</v>
      </c>
      <c r="R653" s="138" t="s">
        <v>1019</v>
      </c>
      <c r="S653" s="41">
        <f>IF(Purchase[[#This Row],[Status]]="Cancelled",0,Purchase[[#This Row],[Qty]])</f>
        <v>9</v>
      </c>
      <c r="T653" s="146">
        <f>IF(Purchase[[#This Row],[Status]]="Cancelled",0,Purchase[[#This Row],[Total Amount]])</f>
        <v>9791.64</v>
      </c>
      <c r="U653" s="146">
        <f>SUM(Purchase[Net Amount])</f>
        <v>814985438.68000126</v>
      </c>
    </row>
    <row r="654" spans="1:21" ht="19.5" thickBot="1" x14ac:dyDescent="0.3">
      <c r="A654" s="136" t="s">
        <v>1693</v>
      </c>
      <c r="B654" s="137">
        <v>45691</v>
      </c>
      <c r="C654" s="138" t="s">
        <v>596</v>
      </c>
      <c r="D654" s="138" t="str">
        <f>VLOOKUP(Purchase[[#This Row],[Supplier ID]],Supplier[#All],2,0)</f>
        <v>star traders</v>
      </c>
      <c r="E654" s="138">
        <f>VLOOKUP(Purchase[[#This Row],[Supplier ID]],Supplier[#All],3,0)</f>
        <v>9689542479</v>
      </c>
      <c r="F654" s="138" t="str">
        <f>VLOOKUP(Purchase[[#This Row],[Supplier ID]],Supplier[#All],4,0)</f>
        <v>Korba</v>
      </c>
      <c r="G654" s="138" t="str">
        <f>VLOOKUP(Purchase[[#This Row],[Supplier ID]],Supplier[#All],5,0)</f>
        <v>CG</v>
      </c>
      <c r="H654" s="138" t="str">
        <f>VLOOKUP(Purchase[[#This Row],[Supplier ID]],Supplier[#All],6,0)</f>
        <v>GST2154521T041</v>
      </c>
      <c r="I654" s="138" t="s">
        <v>405</v>
      </c>
      <c r="J654" s="139">
        <v>23</v>
      </c>
      <c r="K654" s="143">
        <f>VLOOKUP(Purchase[[#This Row],[Product ID]],Product[#All],6,0)</f>
        <v>1259</v>
      </c>
      <c r="L654" s="143">
        <f>Purchase[[#This Row],[Purchase Rate]]*Purchase[[#This Row],[Qty]]</f>
        <v>28957</v>
      </c>
      <c r="M654" s="140">
        <v>0</v>
      </c>
      <c r="N654" s="143">
        <v>0</v>
      </c>
      <c r="O654" s="140">
        <v>0.18</v>
      </c>
      <c r="P654" s="145">
        <f>(Purchase[[#This Row],[Gross Amount]]-Purchase[[#This Row],[Disct %]])*Purchase[[#This Row],[GST %]]</f>
        <v>5212.26</v>
      </c>
      <c r="Q654" s="145">
        <f>Purchase[[#This Row],[Gross Amount]]-Purchase[[#This Row],[Disct Amnt]]+Purchase[[#This Row],[GST Amount]]</f>
        <v>34169.26</v>
      </c>
      <c r="R654" s="138" t="s">
        <v>1019</v>
      </c>
      <c r="S654" s="41">
        <f>IF(Purchase[[#This Row],[Status]]="Cancelled",0,Purchase[[#This Row],[Qty]])</f>
        <v>23</v>
      </c>
      <c r="T654" s="146">
        <f>IF(Purchase[[#This Row],[Status]]="Cancelled",0,Purchase[[#This Row],[Total Amount]])</f>
        <v>34169.26</v>
      </c>
      <c r="U654" s="146">
        <f>SUM(Purchase[Net Amount])</f>
        <v>814985438.68000126</v>
      </c>
    </row>
    <row r="655" spans="1:21" ht="19.5" thickBot="1" x14ac:dyDescent="0.3">
      <c r="A655" s="136" t="s">
        <v>1694</v>
      </c>
      <c r="B655" s="137">
        <v>45691</v>
      </c>
      <c r="C655" s="138" t="s">
        <v>570</v>
      </c>
      <c r="D655" s="138" t="str">
        <f>VLOOKUP(Purchase[[#This Row],[Supplier ID]],Supplier[#All],2,0)</f>
        <v>Prime Traders</v>
      </c>
      <c r="E655" s="138">
        <f>VLOOKUP(Purchase[[#This Row],[Supplier ID]],Supplier[#All],3,0)</f>
        <v>9689542456</v>
      </c>
      <c r="F655" s="138" t="str">
        <f>VLOOKUP(Purchase[[#This Row],[Supplier ID]],Supplier[#All],4,0)</f>
        <v>Indore</v>
      </c>
      <c r="G655" s="138" t="str">
        <f>VLOOKUP(Purchase[[#This Row],[Supplier ID]],Supplier[#All],5,0)</f>
        <v>MP</v>
      </c>
      <c r="H655" s="138" t="str">
        <f>VLOOKUP(Purchase[[#This Row],[Supplier ID]],Supplier[#All],6,0)</f>
        <v>GST2154521T018</v>
      </c>
      <c r="I655" s="138" t="s">
        <v>40</v>
      </c>
      <c r="J655" s="139">
        <v>22</v>
      </c>
      <c r="K655" s="143">
        <f>VLOOKUP(Purchase[[#This Row],[Product ID]],Product[#All],6,0)</f>
        <v>2831</v>
      </c>
      <c r="L655" s="143">
        <f>Purchase[[#This Row],[Purchase Rate]]*Purchase[[#This Row],[Qty]]</f>
        <v>62282</v>
      </c>
      <c r="M655" s="140">
        <v>0</v>
      </c>
      <c r="N655" s="143">
        <v>0</v>
      </c>
      <c r="O655" s="140">
        <v>0.18</v>
      </c>
      <c r="P655" s="145">
        <f>(Purchase[[#This Row],[Gross Amount]]-Purchase[[#This Row],[Disct %]])*Purchase[[#This Row],[GST %]]</f>
        <v>11210.76</v>
      </c>
      <c r="Q655" s="145">
        <f>Purchase[[#This Row],[Gross Amount]]-Purchase[[#This Row],[Disct Amnt]]+Purchase[[#This Row],[GST Amount]]</f>
        <v>73492.759999999995</v>
      </c>
      <c r="R655" s="138" t="s">
        <v>1019</v>
      </c>
      <c r="S655" s="41">
        <f>IF(Purchase[[#This Row],[Status]]="Cancelled",0,Purchase[[#This Row],[Qty]])</f>
        <v>22</v>
      </c>
      <c r="T655" s="146">
        <f>IF(Purchase[[#This Row],[Status]]="Cancelled",0,Purchase[[#This Row],[Total Amount]])</f>
        <v>73492.759999999995</v>
      </c>
      <c r="U655" s="146">
        <f>SUM(Purchase[Net Amount])</f>
        <v>814985438.68000126</v>
      </c>
    </row>
    <row r="656" spans="1:21" ht="19.5" thickBot="1" x14ac:dyDescent="0.3">
      <c r="A656" s="136" t="s">
        <v>1695</v>
      </c>
      <c r="B656" s="137">
        <v>45691</v>
      </c>
      <c r="C656" s="138" t="s">
        <v>570</v>
      </c>
      <c r="D656" s="138" t="str">
        <f>VLOOKUP(Purchase[[#This Row],[Supplier ID]],Supplier[#All],2,0)</f>
        <v>Prime Traders</v>
      </c>
      <c r="E656" s="138">
        <f>VLOOKUP(Purchase[[#This Row],[Supplier ID]],Supplier[#All],3,0)</f>
        <v>9689542456</v>
      </c>
      <c r="F656" s="138" t="str">
        <f>VLOOKUP(Purchase[[#This Row],[Supplier ID]],Supplier[#All],4,0)</f>
        <v>Indore</v>
      </c>
      <c r="G656" s="138" t="str">
        <f>VLOOKUP(Purchase[[#This Row],[Supplier ID]],Supplier[#All],5,0)</f>
        <v>MP</v>
      </c>
      <c r="H656" s="138" t="str">
        <f>VLOOKUP(Purchase[[#This Row],[Supplier ID]],Supplier[#All],6,0)</f>
        <v>GST2154521T018</v>
      </c>
      <c r="I656" s="138" t="s">
        <v>518</v>
      </c>
      <c r="J656" s="139">
        <v>34</v>
      </c>
      <c r="K656" s="143">
        <f>VLOOKUP(Purchase[[#This Row],[Product ID]],Product[#All],6,0)</f>
        <v>18538</v>
      </c>
      <c r="L656" s="143">
        <f>Purchase[[#This Row],[Purchase Rate]]*Purchase[[#This Row],[Qty]]</f>
        <v>630292</v>
      </c>
      <c r="M656" s="140">
        <v>0</v>
      </c>
      <c r="N656" s="143">
        <v>0</v>
      </c>
      <c r="O656" s="140">
        <v>0.18</v>
      </c>
      <c r="P656" s="145">
        <f>(Purchase[[#This Row],[Gross Amount]]-Purchase[[#This Row],[Disct %]])*Purchase[[#This Row],[GST %]]</f>
        <v>113452.56</v>
      </c>
      <c r="Q656" s="145">
        <f>Purchase[[#This Row],[Gross Amount]]-Purchase[[#This Row],[Disct Amnt]]+Purchase[[#This Row],[GST Amount]]</f>
        <v>743744.56</v>
      </c>
      <c r="R656" s="138" t="s">
        <v>1019</v>
      </c>
      <c r="S656" s="41">
        <f>IF(Purchase[[#This Row],[Status]]="Cancelled",0,Purchase[[#This Row],[Qty]])</f>
        <v>34</v>
      </c>
      <c r="T656" s="146">
        <f>IF(Purchase[[#This Row],[Status]]="Cancelled",0,Purchase[[#This Row],[Total Amount]])</f>
        <v>743744.56</v>
      </c>
      <c r="U656" s="146">
        <f>SUM(Purchase[Net Amount])</f>
        <v>814985438.68000126</v>
      </c>
    </row>
    <row r="657" spans="1:21" ht="19.5" thickBot="1" x14ac:dyDescent="0.3">
      <c r="A657" s="136" t="s">
        <v>1696</v>
      </c>
      <c r="B657" s="137">
        <v>45691</v>
      </c>
      <c r="C657" s="138" t="s">
        <v>573</v>
      </c>
      <c r="D657" s="138" t="str">
        <f>VLOOKUP(Purchase[[#This Row],[Supplier ID]],Supplier[#All],2,0)</f>
        <v>Shree Traders</v>
      </c>
      <c r="E657" s="138">
        <f>VLOOKUP(Purchase[[#This Row],[Supplier ID]],Supplier[#All],3,0)</f>
        <v>9689542458</v>
      </c>
      <c r="F657" s="138" t="str">
        <f>VLOOKUP(Purchase[[#This Row],[Supplier ID]],Supplier[#All],4,0)</f>
        <v>Korba</v>
      </c>
      <c r="G657" s="138" t="str">
        <f>VLOOKUP(Purchase[[#This Row],[Supplier ID]],Supplier[#All],5,0)</f>
        <v>CG</v>
      </c>
      <c r="H657" s="138" t="str">
        <f>VLOOKUP(Purchase[[#This Row],[Supplier ID]],Supplier[#All],6,0)</f>
        <v>GST2154521T020</v>
      </c>
      <c r="I657" s="138" t="s">
        <v>551</v>
      </c>
      <c r="J657" s="139">
        <v>20</v>
      </c>
      <c r="K657" s="143">
        <f>VLOOKUP(Purchase[[#This Row],[Product ID]],Product[#All],6,0)</f>
        <v>33311</v>
      </c>
      <c r="L657" s="143">
        <f>Purchase[[#This Row],[Purchase Rate]]*Purchase[[#This Row],[Qty]]</f>
        <v>666220</v>
      </c>
      <c r="M657" s="140">
        <v>0</v>
      </c>
      <c r="N657" s="143">
        <v>0</v>
      </c>
      <c r="O657" s="140">
        <v>0.18</v>
      </c>
      <c r="P657" s="145">
        <f>(Purchase[[#This Row],[Gross Amount]]-Purchase[[#This Row],[Disct %]])*Purchase[[#This Row],[GST %]]</f>
        <v>119919.59999999999</v>
      </c>
      <c r="Q657" s="145">
        <f>Purchase[[#This Row],[Gross Amount]]-Purchase[[#This Row],[Disct Amnt]]+Purchase[[#This Row],[GST Amount]]</f>
        <v>786139.6</v>
      </c>
      <c r="R657" s="138" t="s">
        <v>1019</v>
      </c>
      <c r="S657" s="41">
        <f>IF(Purchase[[#This Row],[Status]]="Cancelled",0,Purchase[[#This Row],[Qty]])</f>
        <v>20</v>
      </c>
      <c r="T657" s="146">
        <f>IF(Purchase[[#This Row],[Status]]="Cancelled",0,Purchase[[#This Row],[Total Amount]])</f>
        <v>786139.6</v>
      </c>
      <c r="U657" s="146">
        <f>SUM(Purchase[Net Amount])</f>
        <v>814985438.68000126</v>
      </c>
    </row>
    <row r="658" spans="1:21" ht="19.5" thickBot="1" x14ac:dyDescent="0.3">
      <c r="A658" s="136" t="s">
        <v>1697</v>
      </c>
      <c r="B658" s="137">
        <v>45691</v>
      </c>
      <c r="C658" s="138" t="s">
        <v>598</v>
      </c>
      <c r="D658" s="138" t="str">
        <f>VLOOKUP(Purchase[[#This Row],[Supplier ID]],Supplier[#All],2,0)</f>
        <v>National Distributors</v>
      </c>
      <c r="E658" s="138">
        <f>VLOOKUP(Purchase[[#This Row],[Supplier ID]],Supplier[#All],3,0)</f>
        <v>9689542489</v>
      </c>
      <c r="F658" s="138" t="str">
        <f>VLOOKUP(Purchase[[#This Row],[Supplier ID]],Supplier[#All],4,0)</f>
        <v>Indore</v>
      </c>
      <c r="G658" s="138" t="str">
        <f>VLOOKUP(Purchase[[#This Row],[Supplier ID]],Supplier[#All],5,0)</f>
        <v>MP</v>
      </c>
      <c r="H658" s="138" t="str">
        <f>VLOOKUP(Purchase[[#This Row],[Supplier ID]],Supplier[#All],6,0)</f>
        <v>GST2154521T043</v>
      </c>
      <c r="I658" s="138" t="s">
        <v>184</v>
      </c>
      <c r="J658" s="139">
        <v>35</v>
      </c>
      <c r="K658" s="143">
        <f>VLOOKUP(Purchase[[#This Row],[Product ID]],Product[#All],6,0)</f>
        <v>9420</v>
      </c>
      <c r="L658" s="143">
        <f>Purchase[[#This Row],[Purchase Rate]]*Purchase[[#This Row],[Qty]]</f>
        <v>329700</v>
      </c>
      <c r="M658" s="140">
        <v>0</v>
      </c>
      <c r="N658" s="143">
        <v>0</v>
      </c>
      <c r="O658" s="140">
        <v>0.18</v>
      </c>
      <c r="P658" s="145">
        <f>(Purchase[[#This Row],[Gross Amount]]-Purchase[[#This Row],[Disct %]])*Purchase[[#This Row],[GST %]]</f>
        <v>59346</v>
      </c>
      <c r="Q658" s="145">
        <f>Purchase[[#This Row],[Gross Amount]]-Purchase[[#This Row],[Disct Amnt]]+Purchase[[#This Row],[GST Amount]]</f>
        <v>389046</v>
      </c>
      <c r="R658" s="138" t="s">
        <v>1019</v>
      </c>
      <c r="S658" s="41">
        <f>IF(Purchase[[#This Row],[Status]]="Cancelled",0,Purchase[[#This Row],[Qty]])</f>
        <v>35</v>
      </c>
      <c r="T658" s="146">
        <f>IF(Purchase[[#This Row],[Status]]="Cancelled",0,Purchase[[#This Row],[Total Amount]])</f>
        <v>389046</v>
      </c>
      <c r="U658" s="146">
        <f>SUM(Purchase[Net Amount])</f>
        <v>814985438.68000126</v>
      </c>
    </row>
    <row r="659" spans="1:21" ht="19.5" thickBot="1" x14ac:dyDescent="0.3">
      <c r="A659" s="136" t="s">
        <v>1698</v>
      </c>
      <c r="B659" s="137">
        <v>45691</v>
      </c>
      <c r="C659" s="138" t="s">
        <v>573</v>
      </c>
      <c r="D659" s="138" t="str">
        <f>VLOOKUP(Purchase[[#This Row],[Supplier ID]],Supplier[#All],2,0)</f>
        <v>Shree Traders</v>
      </c>
      <c r="E659" s="138">
        <f>VLOOKUP(Purchase[[#This Row],[Supplier ID]],Supplier[#All],3,0)</f>
        <v>9689542458</v>
      </c>
      <c r="F659" s="138" t="str">
        <f>VLOOKUP(Purchase[[#This Row],[Supplier ID]],Supplier[#All],4,0)</f>
        <v>Korba</v>
      </c>
      <c r="G659" s="138" t="str">
        <f>VLOOKUP(Purchase[[#This Row],[Supplier ID]],Supplier[#All],5,0)</f>
        <v>CG</v>
      </c>
      <c r="H659" s="138" t="str">
        <f>VLOOKUP(Purchase[[#This Row],[Supplier ID]],Supplier[#All],6,0)</f>
        <v>GST2154521T020</v>
      </c>
      <c r="I659" s="138" t="s">
        <v>348</v>
      </c>
      <c r="J659" s="139">
        <v>12</v>
      </c>
      <c r="K659" s="143">
        <f>VLOOKUP(Purchase[[#This Row],[Product ID]],Product[#All],6,0)</f>
        <v>5315</v>
      </c>
      <c r="L659" s="143">
        <f>Purchase[[#This Row],[Purchase Rate]]*Purchase[[#This Row],[Qty]]</f>
        <v>63780</v>
      </c>
      <c r="M659" s="140">
        <v>0</v>
      </c>
      <c r="N659" s="143">
        <v>0</v>
      </c>
      <c r="O659" s="140">
        <v>0.18</v>
      </c>
      <c r="P659" s="145">
        <f>(Purchase[[#This Row],[Gross Amount]]-Purchase[[#This Row],[Disct %]])*Purchase[[#This Row],[GST %]]</f>
        <v>11480.4</v>
      </c>
      <c r="Q659" s="145">
        <f>Purchase[[#This Row],[Gross Amount]]-Purchase[[#This Row],[Disct Amnt]]+Purchase[[#This Row],[GST Amount]]</f>
        <v>75260.399999999994</v>
      </c>
      <c r="R659" s="138" t="s">
        <v>1019</v>
      </c>
      <c r="S659" s="41">
        <f>IF(Purchase[[#This Row],[Status]]="Cancelled",0,Purchase[[#This Row],[Qty]])</f>
        <v>12</v>
      </c>
      <c r="T659" s="146">
        <f>IF(Purchase[[#This Row],[Status]]="Cancelled",0,Purchase[[#This Row],[Total Amount]])</f>
        <v>75260.399999999994</v>
      </c>
      <c r="U659" s="146">
        <f>SUM(Purchase[Net Amount])</f>
        <v>814985438.68000126</v>
      </c>
    </row>
    <row r="660" spans="1:21" ht="19.5" thickBot="1" x14ac:dyDescent="0.3">
      <c r="A660" s="136" t="s">
        <v>1699</v>
      </c>
      <c r="B660" s="137">
        <v>45691</v>
      </c>
      <c r="C660" s="138" t="s">
        <v>567</v>
      </c>
      <c r="D660" s="138" t="str">
        <f>VLOOKUP(Purchase[[#This Row],[Supplier ID]],Supplier[#All],2,0)</f>
        <v>National Distributors</v>
      </c>
      <c r="E660" s="138">
        <f>VLOOKUP(Purchase[[#This Row],[Supplier ID]],Supplier[#All],3,0)</f>
        <v>9689542453</v>
      </c>
      <c r="F660" s="138" t="str">
        <f>VLOOKUP(Purchase[[#This Row],[Supplier ID]],Supplier[#All],4,0)</f>
        <v>Korba</v>
      </c>
      <c r="G660" s="138" t="str">
        <f>VLOOKUP(Purchase[[#This Row],[Supplier ID]],Supplier[#All],5,0)</f>
        <v>CG</v>
      </c>
      <c r="H660" s="138" t="str">
        <f>VLOOKUP(Purchase[[#This Row],[Supplier ID]],Supplier[#All],6,0)</f>
        <v>GST2154521T015</v>
      </c>
      <c r="I660" s="138" t="s">
        <v>318</v>
      </c>
      <c r="J660" s="139">
        <v>22</v>
      </c>
      <c r="K660" s="143">
        <f>VLOOKUP(Purchase[[#This Row],[Product ID]],Product[#All],6,0)</f>
        <v>24445</v>
      </c>
      <c r="L660" s="143">
        <f>Purchase[[#This Row],[Purchase Rate]]*Purchase[[#This Row],[Qty]]</f>
        <v>537790</v>
      </c>
      <c r="M660" s="140">
        <v>0</v>
      </c>
      <c r="N660" s="143">
        <v>0</v>
      </c>
      <c r="O660" s="140">
        <v>0.18</v>
      </c>
      <c r="P660" s="145">
        <f>(Purchase[[#This Row],[Gross Amount]]-Purchase[[#This Row],[Disct %]])*Purchase[[#This Row],[GST %]]</f>
        <v>96802.2</v>
      </c>
      <c r="Q660" s="145">
        <f>Purchase[[#This Row],[Gross Amount]]-Purchase[[#This Row],[Disct Amnt]]+Purchase[[#This Row],[GST Amount]]</f>
        <v>634592.19999999995</v>
      </c>
      <c r="R660" s="138" t="s">
        <v>1019</v>
      </c>
      <c r="S660" s="41">
        <f>IF(Purchase[[#This Row],[Status]]="Cancelled",0,Purchase[[#This Row],[Qty]])</f>
        <v>22</v>
      </c>
      <c r="T660" s="146">
        <f>IF(Purchase[[#This Row],[Status]]="Cancelled",0,Purchase[[#This Row],[Total Amount]])</f>
        <v>634592.19999999995</v>
      </c>
      <c r="U660" s="146">
        <f>SUM(Purchase[Net Amount])</f>
        <v>814985438.68000126</v>
      </c>
    </row>
    <row r="661" spans="1:21" ht="19.5" thickBot="1" x14ac:dyDescent="0.3">
      <c r="A661" s="136" t="s">
        <v>1700</v>
      </c>
      <c r="B661" s="137">
        <v>45691</v>
      </c>
      <c r="C661" s="138" t="s">
        <v>573</v>
      </c>
      <c r="D661" s="138" t="str">
        <f>VLOOKUP(Purchase[[#This Row],[Supplier ID]],Supplier[#All],2,0)</f>
        <v>Shree Traders</v>
      </c>
      <c r="E661" s="138">
        <f>VLOOKUP(Purchase[[#This Row],[Supplier ID]],Supplier[#All],3,0)</f>
        <v>9689542458</v>
      </c>
      <c r="F661" s="138" t="str">
        <f>VLOOKUP(Purchase[[#This Row],[Supplier ID]],Supplier[#All],4,0)</f>
        <v>Korba</v>
      </c>
      <c r="G661" s="138" t="str">
        <f>VLOOKUP(Purchase[[#This Row],[Supplier ID]],Supplier[#All],5,0)</f>
        <v>CG</v>
      </c>
      <c r="H661" s="138" t="str">
        <f>VLOOKUP(Purchase[[#This Row],[Supplier ID]],Supplier[#All],6,0)</f>
        <v>GST2154521T020</v>
      </c>
      <c r="I661" s="138" t="s">
        <v>118</v>
      </c>
      <c r="J661" s="139">
        <v>23</v>
      </c>
      <c r="K661" s="143">
        <f>VLOOKUP(Purchase[[#This Row],[Product ID]],Product[#All],6,0)</f>
        <v>3406</v>
      </c>
      <c r="L661" s="143">
        <f>Purchase[[#This Row],[Purchase Rate]]*Purchase[[#This Row],[Qty]]</f>
        <v>78338</v>
      </c>
      <c r="M661" s="140">
        <v>0</v>
      </c>
      <c r="N661" s="143">
        <v>0</v>
      </c>
      <c r="O661" s="140">
        <v>0.18</v>
      </c>
      <c r="P661" s="145">
        <f>(Purchase[[#This Row],[Gross Amount]]-Purchase[[#This Row],[Disct %]])*Purchase[[#This Row],[GST %]]</f>
        <v>14100.84</v>
      </c>
      <c r="Q661" s="145">
        <f>Purchase[[#This Row],[Gross Amount]]-Purchase[[#This Row],[Disct Amnt]]+Purchase[[#This Row],[GST Amount]]</f>
        <v>92438.84</v>
      </c>
      <c r="R661" s="138" t="s">
        <v>1019</v>
      </c>
      <c r="S661" s="41">
        <f>IF(Purchase[[#This Row],[Status]]="Cancelled",0,Purchase[[#This Row],[Qty]])</f>
        <v>23</v>
      </c>
      <c r="T661" s="146">
        <f>IF(Purchase[[#This Row],[Status]]="Cancelled",0,Purchase[[#This Row],[Total Amount]])</f>
        <v>92438.84</v>
      </c>
      <c r="U661" s="146">
        <f>SUM(Purchase[Net Amount])</f>
        <v>814985438.68000126</v>
      </c>
    </row>
    <row r="662" spans="1:21" ht="19.5" thickBot="1" x14ac:dyDescent="0.3">
      <c r="A662" s="136" t="s">
        <v>1701</v>
      </c>
      <c r="B662" s="137">
        <v>45691</v>
      </c>
      <c r="C662" s="138" t="s">
        <v>578</v>
      </c>
      <c r="D662" s="138" t="str">
        <f>VLOOKUP(Purchase[[#This Row],[Supplier ID]],Supplier[#All],2,0)</f>
        <v>Shree Computers</v>
      </c>
      <c r="E662" s="138">
        <f>VLOOKUP(Purchase[[#This Row],[Supplier ID]],Supplier[#All],3,0)</f>
        <v>9689542462</v>
      </c>
      <c r="F662" s="138" t="str">
        <f>VLOOKUP(Purchase[[#This Row],[Supplier ID]],Supplier[#All],4,0)</f>
        <v>Korba</v>
      </c>
      <c r="G662" s="138" t="str">
        <f>VLOOKUP(Purchase[[#This Row],[Supplier ID]],Supplier[#All],5,0)</f>
        <v>CG</v>
      </c>
      <c r="H662" s="138" t="str">
        <f>VLOOKUP(Purchase[[#This Row],[Supplier ID]],Supplier[#All],6,0)</f>
        <v>GST2154521T024</v>
      </c>
      <c r="I662" s="138" t="s">
        <v>150</v>
      </c>
      <c r="J662" s="139">
        <v>7</v>
      </c>
      <c r="K662" s="143">
        <f>VLOOKUP(Purchase[[#This Row],[Product ID]],Product[#All],6,0)</f>
        <v>7322</v>
      </c>
      <c r="L662" s="143">
        <f>Purchase[[#This Row],[Purchase Rate]]*Purchase[[#This Row],[Qty]]</f>
        <v>51254</v>
      </c>
      <c r="M662" s="140">
        <v>0</v>
      </c>
      <c r="N662" s="143">
        <v>0</v>
      </c>
      <c r="O662" s="140">
        <v>0.18</v>
      </c>
      <c r="P662" s="145">
        <f>(Purchase[[#This Row],[Gross Amount]]-Purchase[[#This Row],[Disct %]])*Purchase[[#This Row],[GST %]]</f>
        <v>9225.7199999999993</v>
      </c>
      <c r="Q662" s="145">
        <f>Purchase[[#This Row],[Gross Amount]]-Purchase[[#This Row],[Disct Amnt]]+Purchase[[#This Row],[GST Amount]]</f>
        <v>60479.72</v>
      </c>
      <c r="R662" s="138" t="s">
        <v>1019</v>
      </c>
      <c r="S662" s="41">
        <f>IF(Purchase[[#This Row],[Status]]="Cancelled",0,Purchase[[#This Row],[Qty]])</f>
        <v>7</v>
      </c>
      <c r="T662" s="146">
        <f>IF(Purchase[[#This Row],[Status]]="Cancelled",0,Purchase[[#This Row],[Total Amount]])</f>
        <v>60479.72</v>
      </c>
      <c r="U662" s="146">
        <f>SUM(Purchase[Net Amount])</f>
        <v>814985438.68000126</v>
      </c>
    </row>
    <row r="663" spans="1:21" ht="19.5" thickBot="1" x14ac:dyDescent="0.3">
      <c r="A663" s="136" t="s">
        <v>1702</v>
      </c>
      <c r="B663" s="137">
        <v>45691</v>
      </c>
      <c r="C663" s="138" t="s">
        <v>607</v>
      </c>
      <c r="D663" s="138" t="str">
        <f>VLOOKUP(Purchase[[#This Row],[Supplier ID]],Supplier[#All],2,0)</f>
        <v>Global Distributors</v>
      </c>
      <c r="E663" s="138">
        <f>VLOOKUP(Purchase[[#This Row],[Supplier ID]],Supplier[#All],3,0)</f>
        <v>9689542490</v>
      </c>
      <c r="F663" s="138" t="str">
        <f>VLOOKUP(Purchase[[#This Row],[Supplier ID]],Supplier[#All],4,0)</f>
        <v>Kanpur</v>
      </c>
      <c r="G663" s="138" t="str">
        <f>VLOOKUP(Purchase[[#This Row],[Supplier ID]],Supplier[#All],5,0)</f>
        <v>UP</v>
      </c>
      <c r="H663" s="138" t="str">
        <f>VLOOKUP(Purchase[[#This Row],[Supplier ID]],Supplier[#All],6,0)</f>
        <v>GST2154521T052</v>
      </c>
      <c r="I663" s="138" t="s">
        <v>305</v>
      </c>
      <c r="J663" s="139">
        <v>6</v>
      </c>
      <c r="K663" s="143">
        <f>VLOOKUP(Purchase[[#This Row],[Product ID]],Product[#All],6,0)</f>
        <v>2156</v>
      </c>
      <c r="L663" s="143">
        <f>Purchase[[#This Row],[Purchase Rate]]*Purchase[[#This Row],[Qty]]</f>
        <v>12936</v>
      </c>
      <c r="M663" s="140">
        <v>0</v>
      </c>
      <c r="N663" s="143">
        <v>0</v>
      </c>
      <c r="O663" s="140">
        <v>0.18</v>
      </c>
      <c r="P663" s="145">
        <f>(Purchase[[#This Row],[Gross Amount]]-Purchase[[#This Row],[Disct %]])*Purchase[[#This Row],[GST %]]</f>
        <v>2328.48</v>
      </c>
      <c r="Q663" s="145">
        <f>Purchase[[#This Row],[Gross Amount]]-Purchase[[#This Row],[Disct Amnt]]+Purchase[[#This Row],[GST Amount]]</f>
        <v>15264.48</v>
      </c>
      <c r="R663" s="138" t="s">
        <v>1019</v>
      </c>
      <c r="S663" s="41">
        <f>IF(Purchase[[#This Row],[Status]]="Cancelled",0,Purchase[[#This Row],[Qty]])</f>
        <v>6</v>
      </c>
      <c r="T663" s="146">
        <f>IF(Purchase[[#This Row],[Status]]="Cancelled",0,Purchase[[#This Row],[Total Amount]])</f>
        <v>15264.48</v>
      </c>
      <c r="U663" s="146">
        <f>SUM(Purchase[Net Amount])</f>
        <v>814985438.68000126</v>
      </c>
    </row>
    <row r="664" spans="1:21" ht="19.5" thickBot="1" x14ac:dyDescent="0.3">
      <c r="A664" s="136" t="s">
        <v>1703</v>
      </c>
      <c r="B664" s="137">
        <v>45691</v>
      </c>
      <c r="C664" s="138" t="s">
        <v>587</v>
      </c>
      <c r="D664" s="138" t="str">
        <f>VLOOKUP(Purchase[[#This Row],[Supplier ID]],Supplier[#All],2,0)</f>
        <v>maa distributors</v>
      </c>
      <c r="E664" s="138">
        <f>VLOOKUP(Purchase[[#This Row],[Supplier ID]],Supplier[#All],3,0)</f>
        <v>9689542479</v>
      </c>
      <c r="F664" s="138" t="str">
        <f>VLOOKUP(Purchase[[#This Row],[Supplier ID]],Supplier[#All],4,0)</f>
        <v>Indore</v>
      </c>
      <c r="G664" s="138" t="str">
        <f>VLOOKUP(Purchase[[#This Row],[Supplier ID]],Supplier[#All],5,0)</f>
        <v>MP</v>
      </c>
      <c r="H664" s="138" t="str">
        <f>VLOOKUP(Purchase[[#This Row],[Supplier ID]],Supplier[#All],6,0)</f>
        <v>GST2154521T033</v>
      </c>
      <c r="I664" s="138" t="s">
        <v>433</v>
      </c>
      <c r="J664" s="139">
        <v>4</v>
      </c>
      <c r="K664" s="143">
        <f>VLOOKUP(Purchase[[#This Row],[Product ID]],Product[#All],6,0)</f>
        <v>10926</v>
      </c>
      <c r="L664" s="143">
        <f>Purchase[[#This Row],[Purchase Rate]]*Purchase[[#This Row],[Qty]]</f>
        <v>43704</v>
      </c>
      <c r="M664" s="140">
        <v>0</v>
      </c>
      <c r="N664" s="143">
        <v>0</v>
      </c>
      <c r="O664" s="140">
        <v>0.18</v>
      </c>
      <c r="P664" s="145">
        <f>(Purchase[[#This Row],[Gross Amount]]-Purchase[[#This Row],[Disct %]])*Purchase[[#This Row],[GST %]]</f>
        <v>7866.7199999999993</v>
      </c>
      <c r="Q664" s="145">
        <f>Purchase[[#This Row],[Gross Amount]]-Purchase[[#This Row],[Disct Amnt]]+Purchase[[#This Row],[GST Amount]]</f>
        <v>51570.720000000001</v>
      </c>
      <c r="R664" s="138" t="s">
        <v>1019</v>
      </c>
      <c r="S664" s="41">
        <f>IF(Purchase[[#This Row],[Status]]="Cancelled",0,Purchase[[#This Row],[Qty]])</f>
        <v>4</v>
      </c>
      <c r="T664" s="146">
        <f>IF(Purchase[[#This Row],[Status]]="Cancelled",0,Purchase[[#This Row],[Total Amount]])</f>
        <v>51570.720000000001</v>
      </c>
      <c r="U664" s="146">
        <f>SUM(Purchase[Net Amount])</f>
        <v>814985438.68000126</v>
      </c>
    </row>
    <row r="665" spans="1:21" ht="19.5" thickBot="1" x14ac:dyDescent="0.3">
      <c r="A665" s="136" t="s">
        <v>1704</v>
      </c>
      <c r="B665" s="137">
        <v>45691</v>
      </c>
      <c r="C665" s="138" t="s">
        <v>612</v>
      </c>
      <c r="D665" s="138" t="str">
        <f>VLOOKUP(Purchase[[#This Row],[Supplier ID]],Supplier[#All],2,0)</f>
        <v>National Computers</v>
      </c>
      <c r="E665" s="138">
        <f>VLOOKUP(Purchase[[#This Row],[Supplier ID]],Supplier[#All],3,0)</f>
        <v>9689542495</v>
      </c>
      <c r="F665" s="138" t="str">
        <f>VLOOKUP(Purchase[[#This Row],[Supplier ID]],Supplier[#All],4,0)</f>
        <v>Indore</v>
      </c>
      <c r="G665" s="138" t="str">
        <f>VLOOKUP(Purchase[[#This Row],[Supplier ID]],Supplier[#All],5,0)</f>
        <v>MP</v>
      </c>
      <c r="H665" s="138" t="str">
        <f>VLOOKUP(Purchase[[#This Row],[Supplier ID]],Supplier[#All],6,0)</f>
        <v>GST2154521T057</v>
      </c>
      <c r="I665" s="138" t="s">
        <v>522</v>
      </c>
      <c r="J665" s="139">
        <v>31</v>
      </c>
      <c r="K665" s="143">
        <f>VLOOKUP(Purchase[[#This Row],[Product ID]],Product[#All],6,0)</f>
        <v>2356</v>
      </c>
      <c r="L665" s="143">
        <f>Purchase[[#This Row],[Purchase Rate]]*Purchase[[#This Row],[Qty]]</f>
        <v>73036</v>
      </c>
      <c r="M665" s="140">
        <v>0</v>
      </c>
      <c r="N665" s="143">
        <v>0</v>
      </c>
      <c r="O665" s="140">
        <v>0.18</v>
      </c>
      <c r="P665" s="145">
        <f>(Purchase[[#This Row],[Gross Amount]]-Purchase[[#This Row],[Disct %]])*Purchase[[#This Row],[GST %]]</f>
        <v>13146.48</v>
      </c>
      <c r="Q665" s="145">
        <f>Purchase[[#This Row],[Gross Amount]]-Purchase[[#This Row],[Disct Amnt]]+Purchase[[#This Row],[GST Amount]]</f>
        <v>86182.48</v>
      </c>
      <c r="R665" s="138" t="s">
        <v>1019</v>
      </c>
      <c r="S665" s="41">
        <f>IF(Purchase[[#This Row],[Status]]="Cancelled",0,Purchase[[#This Row],[Qty]])</f>
        <v>31</v>
      </c>
      <c r="T665" s="146">
        <f>IF(Purchase[[#This Row],[Status]]="Cancelled",0,Purchase[[#This Row],[Total Amount]])</f>
        <v>86182.48</v>
      </c>
      <c r="U665" s="146">
        <f>SUM(Purchase[Net Amount])</f>
        <v>814985438.68000126</v>
      </c>
    </row>
    <row r="666" spans="1:21" ht="19.5" thickBot="1" x14ac:dyDescent="0.3">
      <c r="A666" s="136" t="s">
        <v>1705</v>
      </c>
      <c r="B666" s="137">
        <v>45691</v>
      </c>
      <c r="C666" s="138" t="s">
        <v>587</v>
      </c>
      <c r="D666" s="138" t="str">
        <f>VLOOKUP(Purchase[[#This Row],[Supplier ID]],Supplier[#All],2,0)</f>
        <v>maa distributors</v>
      </c>
      <c r="E666" s="138">
        <f>VLOOKUP(Purchase[[#This Row],[Supplier ID]],Supplier[#All],3,0)</f>
        <v>9689542479</v>
      </c>
      <c r="F666" s="138" t="str">
        <f>VLOOKUP(Purchase[[#This Row],[Supplier ID]],Supplier[#All],4,0)</f>
        <v>Indore</v>
      </c>
      <c r="G666" s="138" t="str">
        <f>VLOOKUP(Purchase[[#This Row],[Supplier ID]],Supplier[#All],5,0)</f>
        <v>MP</v>
      </c>
      <c r="H666" s="138" t="str">
        <f>VLOOKUP(Purchase[[#This Row],[Supplier ID]],Supplier[#All],6,0)</f>
        <v>GST2154521T033</v>
      </c>
      <c r="I666" s="138" t="s">
        <v>149</v>
      </c>
      <c r="J666" s="139">
        <v>27</v>
      </c>
      <c r="K666" s="143">
        <f>VLOOKUP(Purchase[[#This Row],[Product ID]],Product[#All],6,0)</f>
        <v>5562</v>
      </c>
      <c r="L666" s="143">
        <f>Purchase[[#This Row],[Purchase Rate]]*Purchase[[#This Row],[Qty]]</f>
        <v>150174</v>
      </c>
      <c r="M666" s="140">
        <v>0</v>
      </c>
      <c r="N666" s="143">
        <v>0</v>
      </c>
      <c r="O666" s="140">
        <v>0.18</v>
      </c>
      <c r="P666" s="145">
        <f>(Purchase[[#This Row],[Gross Amount]]-Purchase[[#This Row],[Disct %]])*Purchase[[#This Row],[GST %]]</f>
        <v>27031.32</v>
      </c>
      <c r="Q666" s="145">
        <f>Purchase[[#This Row],[Gross Amount]]-Purchase[[#This Row],[Disct Amnt]]+Purchase[[#This Row],[GST Amount]]</f>
        <v>177205.32</v>
      </c>
      <c r="R666" s="138" t="s">
        <v>1019</v>
      </c>
      <c r="S666" s="41">
        <f>IF(Purchase[[#This Row],[Status]]="Cancelled",0,Purchase[[#This Row],[Qty]])</f>
        <v>27</v>
      </c>
      <c r="T666" s="146">
        <f>IF(Purchase[[#This Row],[Status]]="Cancelled",0,Purchase[[#This Row],[Total Amount]])</f>
        <v>177205.32</v>
      </c>
      <c r="U666" s="146">
        <f>SUM(Purchase[Net Amount])</f>
        <v>814985438.68000126</v>
      </c>
    </row>
    <row r="667" spans="1:21" ht="19.5" thickBot="1" x14ac:dyDescent="0.3">
      <c r="A667" s="136" t="s">
        <v>1706</v>
      </c>
      <c r="B667" s="137">
        <v>45691</v>
      </c>
      <c r="C667" s="138" t="s">
        <v>582</v>
      </c>
      <c r="D667" s="138" t="str">
        <f>VLOOKUP(Purchase[[#This Row],[Supplier ID]],Supplier[#All],2,0)</f>
        <v>Tech Distributors</v>
      </c>
      <c r="E667" s="138">
        <f>VLOOKUP(Purchase[[#This Row],[Supplier ID]],Supplier[#All],3,0)</f>
        <v>9689542466</v>
      </c>
      <c r="F667" s="138" t="str">
        <f>VLOOKUP(Purchase[[#This Row],[Supplier ID]],Supplier[#All],4,0)</f>
        <v>Indore</v>
      </c>
      <c r="G667" s="138" t="str">
        <f>VLOOKUP(Purchase[[#This Row],[Supplier ID]],Supplier[#All],5,0)</f>
        <v>MP</v>
      </c>
      <c r="H667" s="138" t="str">
        <f>VLOOKUP(Purchase[[#This Row],[Supplier ID]],Supplier[#All],6,0)</f>
        <v>GST2154521T028</v>
      </c>
      <c r="I667" s="138" t="s">
        <v>356</v>
      </c>
      <c r="J667" s="139">
        <v>24</v>
      </c>
      <c r="K667" s="143">
        <f>VLOOKUP(Purchase[[#This Row],[Product ID]],Product[#All],6,0)</f>
        <v>6914</v>
      </c>
      <c r="L667" s="143">
        <f>Purchase[[#This Row],[Purchase Rate]]*Purchase[[#This Row],[Qty]]</f>
        <v>165936</v>
      </c>
      <c r="M667" s="140">
        <v>0</v>
      </c>
      <c r="N667" s="143">
        <v>0</v>
      </c>
      <c r="O667" s="140">
        <v>0.18</v>
      </c>
      <c r="P667" s="145">
        <f>(Purchase[[#This Row],[Gross Amount]]-Purchase[[#This Row],[Disct %]])*Purchase[[#This Row],[GST %]]</f>
        <v>29868.48</v>
      </c>
      <c r="Q667" s="145">
        <f>Purchase[[#This Row],[Gross Amount]]-Purchase[[#This Row],[Disct Amnt]]+Purchase[[#This Row],[GST Amount]]</f>
        <v>195804.48</v>
      </c>
      <c r="R667" s="138" t="s">
        <v>1019</v>
      </c>
      <c r="S667" s="41">
        <f>IF(Purchase[[#This Row],[Status]]="Cancelled",0,Purchase[[#This Row],[Qty]])</f>
        <v>24</v>
      </c>
      <c r="T667" s="146">
        <f>IF(Purchase[[#This Row],[Status]]="Cancelled",0,Purchase[[#This Row],[Total Amount]])</f>
        <v>195804.48</v>
      </c>
      <c r="U667" s="146">
        <f>SUM(Purchase[Net Amount])</f>
        <v>814985438.68000126</v>
      </c>
    </row>
    <row r="668" spans="1:21" ht="19.5" thickBot="1" x14ac:dyDescent="0.3">
      <c r="A668" s="136" t="s">
        <v>1707</v>
      </c>
      <c r="B668" s="137">
        <v>45691</v>
      </c>
      <c r="C668" s="138" t="s">
        <v>600</v>
      </c>
      <c r="D668" s="138" t="str">
        <f>VLOOKUP(Purchase[[#This Row],[Supplier ID]],Supplier[#All],2,0)</f>
        <v>Prime Suppliers</v>
      </c>
      <c r="E668" s="138">
        <f>VLOOKUP(Purchase[[#This Row],[Supplier ID]],Supplier[#All],3,0)</f>
        <v>9689542483</v>
      </c>
      <c r="F668" s="138" t="str">
        <f>VLOOKUP(Purchase[[#This Row],[Supplier ID]],Supplier[#All],4,0)</f>
        <v>Korba</v>
      </c>
      <c r="G668" s="138" t="str">
        <f>VLOOKUP(Purchase[[#This Row],[Supplier ID]],Supplier[#All],5,0)</f>
        <v>CG</v>
      </c>
      <c r="H668" s="138" t="str">
        <f>VLOOKUP(Purchase[[#This Row],[Supplier ID]],Supplier[#All],6,0)</f>
        <v>GST2154521T045</v>
      </c>
      <c r="I668" s="138" t="s">
        <v>82</v>
      </c>
      <c r="J668" s="139">
        <v>2</v>
      </c>
      <c r="K668" s="143">
        <f>VLOOKUP(Purchase[[#This Row],[Product ID]],Product[#All],6,0)</f>
        <v>4177</v>
      </c>
      <c r="L668" s="143">
        <f>Purchase[[#This Row],[Purchase Rate]]*Purchase[[#This Row],[Qty]]</f>
        <v>8354</v>
      </c>
      <c r="M668" s="140">
        <v>0</v>
      </c>
      <c r="N668" s="143">
        <v>0</v>
      </c>
      <c r="O668" s="140">
        <v>0.18</v>
      </c>
      <c r="P668" s="145">
        <f>(Purchase[[#This Row],[Gross Amount]]-Purchase[[#This Row],[Disct %]])*Purchase[[#This Row],[GST %]]</f>
        <v>1503.72</v>
      </c>
      <c r="Q668" s="145">
        <f>Purchase[[#This Row],[Gross Amount]]-Purchase[[#This Row],[Disct Amnt]]+Purchase[[#This Row],[GST Amount]]</f>
        <v>9857.7199999999993</v>
      </c>
      <c r="R668" s="138" t="s">
        <v>1019</v>
      </c>
      <c r="S668" s="41">
        <f>IF(Purchase[[#This Row],[Status]]="Cancelled",0,Purchase[[#This Row],[Qty]])</f>
        <v>2</v>
      </c>
      <c r="T668" s="146">
        <f>IF(Purchase[[#This Row],[Status]]="Cancelled",0,Purchase[[#This Row],[Total Amount]])</f>
        <v>9857.7199999999993</v>
      </c>
      <c r="U668" s="146">
        <f>SUM(Purchase[Net Amount])</f>
        <v>814985438.68000126</v>
      </c>
    </row>
    <row r="669" spans="1:21" ht="19.5" thickBot="1" x14ac:dyDescent="0.3">
      <c r="A669" s="136" t="s">
        <v>1708</v>
      </c>
      <c r="B669" s="137">
        <v>45691</v>
      </c>
      <c r="C669" s="138" t="s">
        <v>582</v>
      </c>
      <c r="D669" s="138" t="str">
        <f>VLOOKUP(Purchase[[#This Row],[Supplier ID]],Supplier[#All],2,0)</f>
        <v>Tech Distributors</v>
      </c>
      <c r="E669" s="138">
        <f>VLOOKUP(Purchase[[#This Row],[Supplier ID]],Supplier[#All],3,0)</f>
        <v>9689542466</v>
      </c>
      <c r="F669" s="138" t="str">
        <f>VLOOKUP(Purchase[[#This Row],[Supplier ID]],Supplier[#All],4,0)</f>
        <v>Indore</v>
      </c>
      <c r="G669" s="138" t="str">
        <f>VLOOKUP(Purchase[[#This Row],[Supplier ID]],Supplier[#All],5,0)</f>
        <v>MP</v>
      </c>
      <c r="H669" s="138" t="str">
        <f>VLOOKUP(Purchase[[#This Row],[Supplier ID]],Supplier[#All],6,0)</f>
        <v>GST2154521T028</v>
      </c>
      <c r="I669" s="138" t="s">
        <v>198</v>
      </c>
      <c r="J669" s="139">
        <v>20</v>
      </c>
      <c r="K669" s="143">
        <f>VLOOKUP(Purchase[[#This Row],[Product ID]],Product[#All],6,0)</f>
        <v>1905</v>
      </c>
      <c r="L669" s="143">
        <f>Purchase[[#This Row],[Purchase Rate]]*Purchase[[#This Row],[Qty]]</f>
        <v>38100</v>
      </c>
      <c r="M669" s="140">
        <v>0</v>
      </c>
      <c r="N669" s="143">
        <v>0</v>
      </c>
      <c r="O669" s="140">
        <v>0.18</v>
      </c>
      <c r="P669" s="145">
        <f>(Purchase[[#This Row],[Gross Amount]]-Purchase[[#This Row],[Disct %]])*Purchase[[#This Row],[GST %]]</f>
        <v>6858</v>
      </c>
      <c r="Q669" s="145">
        <f>Purchase[[#This Row],[Gross Amount]]-Purchase[[#This Row],[Disct Amnt]]+Purchase[[#This Row],[GST Amount]]</f>
        <v>44958</v>
      </c>
      <c r="R669" s="138" t="s">
        <v>1019</v>
      </c>
      <c r="S669" s="41">
        <f>IF(Purchase[[#This Row],[Status]]="Cancelled",0,Purchase[[#This Row],[Qty]])</f>
        <v>20</v>
      </c>
      <c r="T669" s="146">
        <f>IF(Purchase[[#This Row],[Status]]="Cancelled",0,Purchase[[#This Row],[Total Amount]])</f>
        <v>44958</v>
      </c>
      <c r="U669" s="146">
        <f>SUM(Purchase[Net Amount])</f>
        <v>814985438.68000126</v>
      </c>
    </row>
    <row r="670" spans="1:21" ht="19.5" thickBot="1" x14ac:dyDescent="0.3">
      <c r="A670" s="136" t="s">
        <v>1709</v>
      </c>
      <c r="B670" s="137">
        <v>45692</v>
      </c>
      <c r="C670" s="138" t="s">
        <v>605</v>
      </c>
      <c r="D670" s="138" t="str">
        <f>VLOOKUP(Purchase[[#This Row],[Supplier ID]],Supplier[#All],2,0)</f>
        <v>Star Traders</v>
      </c>
      <c r="E670" s="138">
        <f>VLOOKUP(Purchase[[#This Row],[Supplier ID]],Supplier[#All],3,0)</f>
        <v>9689542488</v>
      </c>
      <c r="F670" s="138" t="str">
        <f>VLOOKUP(Purchase[[#This Row],[Supplier ID]],Supplier[#All],4,0)</f>
        <v>Indore</v>
      </c>
      <c r="G670" s="138" t="str">
        <f>VLOOKUP(Purchase[[#This Row],[Supplier ID]],Supplier[#All],5,0)</f>
        <v>MP</v>
      </c>
      <c r="H670" s="138" t="str">
        <f>VLOOKUP(Purchase[[#This Row],[Supplier ID]],Supplier[#All],6,0)</f>
        <v>GST2154521T050</v>
      </c>
      <c r="I670" s="138" t="s">
        <v>463</v>
      </c>
      <c r="J670" s="139">
        <v>36</v>
      </c>
      <c r="K670" s="143">
        <f>VLOOKUP(Purchase[[#This Row],[Product ID]],Product[#All],6,0)</f>
        <v>8739</v>
      </c>
      <c r="L670" s="143">
        <f>Purchase[[#This Row],[Purchase Rate]]*Purchase[[#This Row],[Qty]]</f>
        <v>314604</v>
      </c>
      <c r="M670" s="140">
        <v>0</v>
      </c>
      <c r="N670" s="143">
        <v>0</v>
      </c>
      <c r="O670" s="140">
        <v>0.18</v>
      </c>
      <c r="P670" s="145">
        <f>(Purchase[[#This Row],[Gross Amount]]-Purchase[[#This Row],[Disct %]])*Purchase[[#This Row],[GST %]]</f>
        <v>56628.72</v>
      </c>
      <c r="Q670" s="145">
        <f>Purchase[[#This Row],[Gross Amount]]-Purchase[[#This Row],[Disct Amnt]]+Purchase[[#This Row],[GST Amount]]</f>
        <v>371232.72</v>
      </c>
      <c r="R670" s="138" t="s">
        <v>1019</v>
      </c>
      <c r="S670" s="41">
        <f>IF(Purchase[[#This Row],[Status]]="Cancelled",0,Purchase[[#This Row],[Qty]])</f>
        <v>36</v>
      </c>
      <c r="T670" s="146">
        <f>IF(Purchase[[#This Row],[Status]]="Cancelled",0,Purchase[[#This Row],[Total Amount]])</f>
        <v>371232.72</v>
      </c>
      <c r="U670" s="146">
        <f>SUM(Purchase[Net Amount])</f>
        <v>814985438.68000126</v>
      </c>
    </row>
    <row r="671" spans="1:21" ht="19.5" thickBot="1" x14ac:dyDescent="0.3">
      <c r="A671" s="136" t="s">
        <v>1710</v>
      </c>
      <c r="B671" s="137">
        <v>45692</v>
      </c>
      <c r="C671" s="138" t="s">
        <v>581</v>
      </c>
      <c r="D671" s="138" t="str">
        <f>VLOOKUP(Purchase[[#This Row],[Supplier ID]],Supplier[#All],2,0)</f>
        <v>Prime Electronics</v>
      </c>
      <c r="E671" s="138">
        <f>VLOOKUP(Purchase[[#This Row],[Supplier ID]],Supplier[#All],3,0)</f>
        <v>9689542465</v>
      </c>
      <c r="F671" s="138" t="str">
        <f>VLOOKUP(Purchase[[#This Row],[Supplier ID]],Supplier[#All],4,0)</f>
        <v>Korba</v>
      </c>
      <c r="G671" s="138" t="str">
        <f>VLOOKUP(Purchase[[#This Row],[Supplier ID]],Supplier[#All],5,0)</f>
        <v>CG</v>
      </c>
      <c r="H671" s="138" t="str">
        <f>VLOOKUP(Purchase[[#This Row],[Supplier ID]],Supplier[#All],6,0)</f>
        <v>GST2154521T027</v>
      </c>
      <c r="I671" s="138" t="s">
        <v>237</v>
      </c>
      <c r="J671" s="139">
        <v>25</v>
      </c>
      <c r="K671" s="143">
        <f>VLOOKUP(Purchase[[#This Row],[Product ID]],Product[#All],6,0)</f>
        <v>4240</v>
      </c>
      <c r="L671" s="143">
        <f>Purchase[[#This Row],[Purchase Rate]]*Purchase[[#This Row],[Qty]]</f>
        <v>106000</v>
      </c>
      <c r="M671" s="140">
        <v>0</v>
      </c>
      <c r="N671" s="143">
        <v>0</v>
      </c>
      <c r="O671" s="140">
        <v>0.18</v>
      </c>
      <c r="P671" s="145">
        <f>(Purchase[[#This Row],[Gross Amount]]-Purchase[[#This Row],[Disct %]])*Purchase[[#This Row],[GST %]]</f>
        <v>19080</v>
      </c>
      <c r="Q671" s="145">
        <f>Purchase[[#This Row],[Gross Amount]]-Purchase[[#This Row],[Disct Amnt]]+Purchase[[#This Row],[GST Amount]]</f>
        <v>125080</v>
      </c>
      <c r="R671" s="138" t="s">
        <v>1019</v>
      </c>
      <c r="S671" s="41">
        <f>IF(Purchase[[#This Row],[Status]]="Cancelled",0,Purchase[[#This Row],[Qty]])</f>
        <v>25</v>
      </c>
      <c r="T671" s="146">
        <f>IF(Purchase[[#This Row],[Status]]="Cancelled",0,Purchase[[#This Row],[Total Amount]])</f>
        <v>125080</v>
      </c>
      <c r="U671" s="146">
        <f>SUM(Purchase[Net Amount])</f>
        <v>814985438.68000126</v>
      </c>
    </row>
    <row r="672" spans="1:21" ht="19.5" thickBot="1" x14ac:dyDescent="0.3">
      <c r="A672" s="136" t="s">
        <v>1711</v>
      </c>
      <c r="B672" s="137">
        <v>45692</v>
      </c>
      <c r="C672" s="138" t="s">
        <v>1225</v>
      </c>
      <c r="D672" s="138" t="str">
        <f>VLOOKUP(Purchase[[#This Row],[Supplier ID]],Supplier[#All],2,0)</f>
        <v>Star Distributors</v>
      </c>
      <c r="E672" s="138">
        <f>VLOOKUP(Purchase[[#This Row],[Supplier ID]],Supplier[#All],3,0)</f>
        <v>9689542474</v>
      </c>
      <c r="F672" s="138" t="str">
        <f>VLOOKUP(Purchase[[#This Row],[Supplier ID]],Supplier[#All],4,0)</f>
        <v>Kanpur</v>
      </c>
      <c r="G672" s="138" t="str">
        <f>VLOOKUP(Purchase[[#This Row],[Supplier ID]],Supplier[#All],5,0)</f>
        <v>UP</v>
      </c>
      <c r="H672" s="138" t="str">
        <f>VLOOKUP(Purchase[[#This Row],[Supplier ID]],Supplier[#All],6,0)</f>
        <v>GST2154521T036</v>
      </c>
      <c r="I672" s="138" t="s">
        <v>459</v>
      </c>
      <c r="J672" s="139">
        <v>33</v>
      </c>
      <c r="K672" s="143">
        <f>VLOOKUP(Purchase[[#This Row],[Product ID]],Product[#All],6,0)</f>
        <v>1347</v>
      </c>
      <c r="L672" s="143">
        <f>Purchase[[#This Row],[Purchase Rate]]*Purchase[[#This Row],[Qty]]</f>
        <v>44451</v>
      </c>
      <c r="M672" s="140">
        <v>0</v>
      </c>
      <c r="N672" s="143">
        <v>0</v>
      </c>
      <c r="O672" s="140">
        <v>0.18</v>
      </c>
      <c r="P672" s="145">
        <f>(Purchase[[#This Row],[Gross Amount]]-Purchase[[#This Row],[Disct %]])*Purchase[[#This Row],[GST %]]</f>
        <v>8001.1799999999994</v>
      </c>
      <c r="Q672" s="145">
        <f>Purchase[[#This Row],[Gross Amount]]-Purchase[[#This Row],[Disct Amnt]]+Purchase[[#This Row],[GST Amount]]</f>
        <v>52452.18</v>
      </c>
      <c r="R672" s="138" t="s">
        <v>1019</v>
      </c>
      <c r="S672" s="41">
        <f>IF(Purchase[[#This Row],[Status]]="Cancelled",0,Purchase[[#This Row],[Qty]])</f>
        <v>33</v>
      </c>
      <c r="T672" s="146">
        <f>IF(Purchase[[#This Row],[Status]]="Cancelled",0,Purchase[[#This Row],[Total Amount]])</f>
        <v>52452.18</v>
      </c>
      <c r="U672" s="146">
        <f>SUM(Purchase[Net Amount])</f>
        <v>814985438.68000126</v>
      </c>
    </row>
    <row r="673" spans="1:21" ht="19.5" thickBot="1" x14ac:dyDescent="0.3">
      <c r="A673" s="136" t="s">
        <v>1712</v>
      </c>
      <c r="B673" s="137">
        <v>45692</v>
      </c>
      <c r="C673" s="138" t="s">
        <v>586</v>
      </c>
      <c r="D673" s="138" t="str">
        <f>VLOOKUP(Purchase[[#This Row],[Supplier ID]],Supplier[#All],2,0)</f>
        <v>Maa Traders</v>
      </c>
      <c r="E673" s="138">
        <f>VLOOKUP(Purchase[[#This Row],[Supplier ID]],Supplier[#All],3,0)</f>
        <v>9689542470</v>
      </c>
      <c r="F673" s="138" t="str">
        <f>VLOOKUP(Purchase[[#This Row],[Supplier ID]],Supplier[#All],4,0)</f>
        <v>Kanpur</v>
      </c>
      <c r="G673" s="138" t="str">
        <f>VLOOKUP(Purchase[[#This Row],[Supplier ID]],Supplier[#All],5,0)</f>
        <v>UP</v>
      </c>
      <c r="H673" s="138" t="str">
        <f>VLOOKUP(Purchase[[#This Row],[Supplier ID]],Supplier[#All],6,0)</f>
        <v>GST2154521T032</v>
      </c>
      <c r="I673" s="138" t="s">
        <v>384</v>
      </c>
      <c r="J673" s="139">
        <v>30</v>
      </c>
      <c r="K673" s="143">
        <f>VLOOKUP(Purchase[[#This Row],[Product ID]],Product[#All],6,0)</f>
        <v>12176</v>
      </c>
      <c r="L673" s="143">
        <f>Purchase[[#This Row],[Purchase Rate]]*Purchase[[#This Row],[Qty]]</f>
        <v>365280</v>
      </c>
      <c r="M673" s="140">
        <v>0</v>
      </c>
      <c r="N673" s="143">
        <v>0</v>
      </c>
      <c r="O673" s="140">
        <v>0.18</v>
      </c>
      <c r="P673" s="145">
        <f>(Purchase[[#This Row],[Gross Amount]]-Purchase[[#This Row],[Disct %]])*Purchase[[#This Row],[GST %]]</f>
        <v>65750.399999999994</v>
      </c>
      <c r="Q673" s="145">
        <f>Purchase[[#This Row],[Gross Amount]]-Purchase[[#This Row],[Disct Amnt]]+Purchase[[#This Row],[GST Amount]]</f>
        <v>431030.4</v>
      </c>
      <c r="R673" s="138" t="s">
        <v>1019</v>
      </c>
      <c r="S673" s="41">
        <f>IF(Purchase[[#This Row],[Status]]="Cancelled",0,Purchase[[#This Row],[Qty]])</f>
        <v>30</v>
      </c>
      <c r="T673" s="146">
        <f>IF(Purchase[[#This Row],[Status]]="Cancelled",0,Purchase[[#This Row],[Total Amount]])</f>
        <v>431030.4</v>
      </c>
      <c r="U673" s="146">
        <f>SUM(Purchase[Net Amount])</f>
        <v>814985438.68000126</v>
      </c>
    </row>
    <row r="674" spans="1:21" ht="19.5" thickBot="1" x14ac:dyDescent="0.3">
      <c r="A674" s="136" t="s">
        <v>1713</v>
      </c>
      <c r="B674" s="137">
        <v>45692</v>
      </c>
      <c r="C674" s="138" t="s">
        <v>567</v>
      </c>
      <c r="D674" s="138" t="str">
        <f>VLOOKUP(Purchase[[#This Row],[Supplier ID]],Supplier[#All],2,0)</f>
        <v>National Distributors</v>
      </c>
      <c r="E674" s="138">
        <f>VLOOKUP(Purchase[[#This Row],[Supplier ID]],Supplier[#All],3,0)</f>
        <v>9689542453</v>
      </c>
      <c r="F674" s="138" t="str">
        <f>VLOOKUP(Purchase[[#This Row],[Supplier ID]],Supplier[#All],4,0)</f>
        <v>Korba</v>
      </c>
      <c r="G674" s="138" t="str">
        <f>VLOOKUP(Purchase[[#This Row],[Supplier ID]],Supplier[#All],5,0)</f>
        <v>CG</v>
      </c>
      <c r="H674" s="138" t="str">
        <f>VLOOKUP(Purchase[[#This Row],[Supplier ID]],Supplier[#All],6,0)</f>
        <v>GST2154521T015</v>
      </c>
      <c r="I674" s="138" t="s">
        <v>213</v>
      </c>
      <c r="J674" s="139">
        <v>35</v>
      </c>
      <c r="K674" s="143">
        <f>VLOOKUP(Purchase[[#This Row],[Product ID]],Product[#All],6,0)</f>
        <v>3086</v>
      </c>
      <c r="L674" s="143">
        <f>Purchase[[#This Row],[Purchase Rate]]*Purchase[[#This Row],[Qty]]</f>
        <v>108010</v>
      </c>
      <c r="M674" s="140">
        <v>0</v>
      </c>
      <c r="N674" s="143">
        <v>0</v>
      </c>
      <c r="O674" s="140">
        <v>0.18</v>
      </c>
      <c r="P674" s="145">
        <f>(Purchase[[#This Row],[Gross Amount]]-Purchase[[#This Row],[Disct %]])*Purchase[[#This Row],[GST %]]</f>
        <v>19441.8</v>
      </c>
      <c r="Q674" s="145">
        <f>Purchase[[#This Row],[Gross Amount]]-Purchase[[#This Row],[Disct Amnt]]+Purchase[[#This Row],[GST Amount]]</f>
        <v>127451.8</v>
      </c>
      <c r="R674" s="138" t="s">
        <v>1019</v>
      </c>
      <c r="S674" s="41">
        <f>IF(Purchase[[#This Row],[Status]]="Cancelled",0,Purchase[[#This Row],[Qty]])</f>
        <v>35</v>
      </c>
      <c r="T674" s="146">
        <f>IF(Purchase[[#This Row],[Status]]="Cancelled",0,Purchase[[#This Row],[Total Amount]])</f>
        <v>127451.8</v>
      </c>
      <c r="U674" s="146">
        <f>SUM(Purchase[Net Amount])</f>
        <v>814985438.68000126</v>
      </c>
    </row>
    <row r="675" spans="1:21" ht="19.5" thickBot="1" x14ac:dyDescent="0.3">
      <c r="A675" s="136" t="s">
        <v>1714</v>
      </c>
      <c r="B675" s="137">
        <v>45692</v>
      </c>
      <c r="C675" s="138" t="s">
        <v>573</v>
      </c>
      <c r="D675" s="138" t="str">
        <f>VLOOKUP(Purchase[[#This Row],[Supplier ID]],Supplier[#All],2,0)</f>
        <v>Shree Traders</v>
      </c>
      <c r="E675" s="138">
        <f>VLOOKUP(Purchase[[#This Row],[Supplier ID]],Supplier[#All],3,0)</f>
        <v>9689542458</v>
      </c>
      <c r="F675" s="138" t="str">
        <f>VLOOKUP(Purchase[[#This Row],[Supplier ID]],Supplier[#All],4,0)</f>
        <v>Korba</v>
      </c>
      <c r="G675" s="138" t="str">
        <f>VLOOKUP(Purchase[[#This Row],[Supplier ID]],Supplier[#All],5,0)</f>
        <v>CG</v>
      </c>
      <c r="H675" s="138" t="str">
        <f>VLOOKUP(Purchase[[#This Row],[Supplier ID]],Supplier[#All],6,0)</f>
        <v>GST2154521T020</v>
      </c>
      <c r="I675" s="138" t="s">
        <v>209</v>
      </c>
      <c r="J675" s="139">
        <v>27</v>
      </c>
      <c r="K675" s="143">
        <f>VLOOKUP(Purchase[[#This Row],[Product ID]],Product[#All],6,0)</f>
        <v>46511</v>
      </c>
      <c r="L675" s="143">
        <f>Purchase[[#This Row],[Purchase Rate]]*Purchase[[#This Row],[Qty]]</f>
        <v>1255797</v>
      </c>
      <c r="M675" s="140">
        <v>0</v>
      </c>
      <c r="N675" s="143">
        <v>0</v>
      </c>
      <c r="O675" s="140">
        <v>0.18</v>
      </c>
      <c r="P675" s="145">
        <f>(Purchase[[#This Row],[Gross Amount]]-Purchase[[#This Row],[Disct %]])*Purchase[[#This Row],[GST %]]</f>
        <v>226043.46</v>
      </c>
      <c r="Q675" s="145">
        <f>Purchase[[#This Row],[Gross Amount]]-Purchase[[#This Row],[Disct Amnt]]+Purchase[[#This Row],[GST Amount]]</f>
        <v>1481840.46</v>
      </c>
      <c r="R675" s="138" t="s">
        <v>1019</v>
      </c>
      <c r="S675" s="41">
        <f>IF(Purchase[[#This Row],[Status]]="Cancelled",0,Purchase[[#This Row],[Qty]])</f>
        <v>27</v>
      </c>
      <c r="T675" s="146">
        <f>IF(Purchase[[#This Row],[Status]]="Cancelled",0,Purchase[[#This Row],[Total Amount]])</f>
        <v>1481840.46</v>
      </c>
      <c r="U675" s="146">
        <f>SUM(Purchase[Net Amount])</f>
        <v>814985438.68000126</v>
      </c>
    </row>
    <row r="676" spans="1:21" ht="19.5" thickBot="1" x14ac:dyDescent="0.3">
      <c r="A676" s="136" t="s">
        <v>1715</v>
      </c>
      <c r="B676" s="137">
        <v>45692</v>
      </c>
      <c r="C676" s="138" t="s">
        <v>590</v>
      </c>
      <c r="D676" s="138" t="str">
        <f>VLOOKUP(Purchase[[#This Row],[Supplier ID]],Supplier[#All],2,0)</f>
        <v>Star Distributors</v>
      </c>
      <c r="E676" s="138">
        <f>VLOOKUP(Purchase[[#This Row],[Supplier ID]],Supplier[#All],3,0)</f>
        <v>9689542474</v>
      </c>
      <c r="F676" s="138" t="str">
        <f>VLOOKUP(Purchase[[#This Row],[Supplier ID]],Supplier[#All],4,0)</f>
        <v>Kanpur</v>
      </c>
      <c r="G676" s="138" t="str">
        <f>VLOOKUP(Purchase[[#This Row],[Supplier ID]],Supplier[#All],5,0)</f>
        <v>UP</v>
      </c>
      <c r="H676" s="138" t="str">
        <f>VLOOKUP(Purchase[[#This Row],[Supplier ID]],Supplier[#All],6,0)</f>
        <v>GST2154521T036</v>
      </c>
      <c r="I676" s="138" t="s">
        <v>304</v>
      </c>
      <c r="J676" s="139">
        <v>10</v>
      </c>
      <c r="K676" s="143">
        <f>VLOOKUP(Purchase[[#This Row],[Product ID]],Product[#All],6,0)</f>
        <v>2572</v>
      </c>
      <c r="L676" s="143">
        <f>Purchase[[#This Row],[Purchase Rate]]*Purchase[[#This Row],[Qty]]</f>
        <v>25720</v>
      </c>
      <c r="M676" s="140">
        <v>0</v>
      </c>
      <c r="N676" s="143">
        <v>0</v>
      </c>
      <c r="O676" s="140">
        <v>0.18</v>
      </c>
      <c r="P676" s="145">
        <f>(Purchase[[#This Row],[Gross Amount]]-Purchase[[#This Row],[Disct %]])*Purchase[[#This Row],[GST %]]</f>
        <v>4629.5999999999995</v>
      </c>
      <c r="Q676" s="145">
        <f>Purchase[[#This Row],[Gross Amount]]-Purchase[[#This Row],[Disct Amnt]]+Purchase[[#This Row],[GST Amount]]</f>
        <v>30349.599999999999</v>
      </c>
      <c r="R676" s="138" t="s">
        <v>1019</v>
      </c>
      <c r="S676" s="41">
        <f>IF(Purchase[[#This Row],[Status]]="Cancelled",0,Purchase[[#This Row],[Qty]])</f>
        <v>10</v>
      </c>
      <c r="T676" s="146">
        <f>IF(Purchase[[#This Row],[Status]]="Cancelled",0,Purchase[[#This Row],[Total Amount]])</f>
        <v>30349.599999999999</v>
      </c>
      <c r="U676" s="146">
        <f>SUM(Purchase[Net Amount])</f>
        <v>814985438.68000126</v>
      </c>
    </row>
    <row r="677" spans="1:21" ht="19.5" thickBot="1" x14ac:dyDescent="0.3">
      <c r="A677" s="136" t="s">
        <v>1716</v>
      </c>
      <c r="B677" s="137">
        <v>45692</v>
      </c>
      <c r="C677" s="138" t="s">
        <v>607</v>
      </c>
      <c r="D677" s="138" t="str">
        <f>VLOOKUP(Purchase[[#This Row],[Supplier ID]],Supplier[#All],2,0)</f>
        <v>Global Distributors</v>
      </c>
      <c r="E677" s="138">
        <f>VLOOKUP(Purchase[[#This Row],[Supplier ID]],Supplier[#All],3,0)</f>
        <v>9689542490</v>
      </c>
      <c r="F677" s="138" t="str">
        <f>VLOOKUP(Purchase[[#This Row],[Supplier ID]],Supplier[#All],4,0)</f>
        <v>Kanpur</v>
      </c>
      <c r="G677" s="138" t="str">
        <f>VLOOKUP(Purchase[[#This Row],[Supplier ID]],Supplier[#All],5,0)</f>
        <v>UP</v>
      </c>
      <c r="H677" s="138" t="str">
        <f>VLOOKUP(Purchase[[#This Row],[Supplier ID]],Supplier[#All],6,0)</f>
        <v>GST2154521T052</v>
      </c>
      <c r="I677" s="138" t="s">
        <v>113</v>
      </c>
      <c r="J677" s="139">
        <v>32</v>
      </c>
      <c r="K677" s="143">
        <f>VLOOKUP(Purchase[[#This Row],[Product ID]],Product[#All],6,0)</f>
        <v>72093</v>
      </c>
      <c r="L677" s="143">
        <f>Purchase[[#This Row],[Purchase Rate]]*Purchase[[#This Row],[Qty]]</f>
        <v>2306976</v>
      </c>
      <c r="M677" s="140">
        <v>0</v>
      </c>
      <c r="N677" s="143">
        <v>0</v>
      </c>
      <c r="O677" s="140">
        <v>0.18</v>
      </c>
      <c r="P677" s="145">
        <f>(Purchase[[#This Row],[Gross Amount]]-Purchase[[#This Row],[Disct %]])*Purchase[[#This Row],[GST %]]</f>
        <v>415255.68</v>
      </c>
      <c r="Q677" s="145">
        <f>Purchase[[#This Row],[Gross Amount]]-Purchase[[#This Row],[Disct Amnt]]+Purchase[[#This Row],[GST Amount]]</f>
        <v>2722231.68</v>
      </c>
      <c r="R677" s="138" t="s">
        <v>1019</v>
      </c>
      <c r="S677" s="41">
        <f>IF(Purchase[[#This Row],[Status]]="Cancelled",0,Purchase[[#This Row],[Qty]])</f>
        <v>32</v>
      </c>
      <c r="T677" s="146">
        <f>IF(Purchase[[#This Row],[Status]]="Cancelled",0,Purchase[[#This Row],[Total Amount]])</f>
        <v>2722231.68</v>
      </c>
      <c r="U677" s="146">
        <f>SUM(Purchase[Net Amount])</f>
        <v>814985438.68000126</v>
      </c>
    </row>
    <row r="678" spans="1:21" ht="19.5" thickBot="1" x14ac:dyDescent="0.3">
      <c r="A678" s="136" t="s">
        <v>1717</v>
      </c>
      <c r="B678" s="137">
        <v>45692</v>
      </c>
      <c r="C678" s="138" t="s">
        <v>612</v>
      </c>
      <c r="D678" s="138" t="str">
        <f>VLOOKUP(Purchase[[#This Row],[Supplier ID]],Supplier[#All],2,0)</f>
        <v>National Computers</v>
      </c>
      <c r="E678" s="138">
        <f>VLOOKUP(Purchase[[#This Row],[Supplier ID]],Supplier[#All],3,0)</f>
        <v>9689542495</v>
      </c>
      <c r="F678" s="138" t="str">
        <f>VLOOKUP(Purchase[[#This Row],[Supplier ID]],Supplier[#All],4,0)</f>
        <v>Indore</v>
      </c>
      <c r="G678" s="138" t="str">
        <f>VLOOKUP(Purchase[[#This Row],[Supplier ID]],Supplier[#All],5,0)</f>
        <v>MP</v>
      </c>
      <c r="H678" s="138" t="str">
        <f>VLOOKUP(Purchase[[#This Row],[Supplier ID]],Supplier[#All],6,0)</f>
        <v>GST2154521T057</v>
      </c>
      <c r="I678" s="138" t="s">
        <v>427</v>
      </c>
      <c r="J678" s="139">
        <v>27</v>
      </c>
      <c r="K678" s="143">
        <f>VLOOKUP(Purchase[[#This Row],[Product ID]],Product[#All],6,0)</f>
        <v>970</v>
      </c>
      <c r="L678" s="143">
        <f>Purchase[[#This Row],[Purchase Rate]]*Purchase[[#This Row],[Qty]]</f>
        <v>26190</v>
      </c>
      <c r="M678" s="140">
        <v>0</v>
      </c>
      <c r="N678" s="143">
        <v>0</v>
      </c>
      <c r="O678" s="140">
        <v>0.18</v>
      </c>
      <c r="P678" s="145">
        <f>(Purchase[[#This Row],[Gross Amount]]-Purchase[[#This Row],[Disct %]])*Purchase[[#This Row],[GST %]]</f>
        <v>4714.2</v>
      </c>
      <c r="Q678" s="145">
        <f>Purchase[[#This Row],[Gross Amount]]-Purchase[[#This Row],[Disct Amnt]]+Purchase[[#This Row],[GST Amount]]</f>
        <v>30904.2</v>
      </c>
      <c r="R678" s="138" t="s">
        <v>1019</v>
      </c>
      <c r="S678" s="41">
        <f>IF(Purchase[[#This Row],[Status]]="Cancelled",0,Purchase[[#This Row],[Qty]])</f>
        <v>27</v>
      </c>
      <c r="T678" s="146">
        <f>IF(Purchase[[#This Row],[Status]]="Cancelled",0,Purchase[[#This Row],[Total Amount]])</f>
        <v>30904.2</v>
      </c>
      <c r="U678" s="146">
        <f>SUM(Purchase[Net Amount])</f>
        <v>814985438.68000126</v>
      </c>
    </row>
    <row r="679" spans="1:21" ht="19.5" thickBot="1" x14ac:dyDescent="0.3">
      <c r="A679" s="136" t="s">
        <v>1718</v>
      </c>
      <c r="B679" s="137">
        <v>45692</v>
      </c>
      <c r="C679" s="138" t="s">
        <v>608</v>
      </c>
      <c r="D679" s="138" t="str">
        <f>VLOOKUP(Purchase[[#This Row],[Supplier ID]],Supplier[#All],2,0)</f>
        <v>Global Suppliers</v>
      </c>
      <c r="E679" s="138">
        <f>VLOOKUP(Purchase[[#This Row],[Supplier ID]],Supplier[#All],3,0)</f>
        <v>9689542499</v>
      </c>
      <c r="F679" s="138" t="str">
        <f>VLOOKUP(Purchase[[#This Row],[Supplier ID]],Supplier[#All],4,0)</f>
        <v>Korba</v>
      </c>
      <c r="G679" s="138" t="str">
        <f>VLOOKUP(Purchase[[#This Row],[Supplier ID]],Supplier[#All],5,0)</f>
        <v>CG</v>
      </c>
      <c r="H679" s="138" t="str">
        <f>VLOOKUP(Purchase[[#This Row],[Supplier ID]],Supplier[#All],6,0)</f>
        <v>GST2154521T053</v>
      </c>
      <c r="I679" s="138" t="s">
        <v>444</v>
      </c>
      <c r="J679" s="139">
        <v>10</v>
      </c>
      <c r="K679" s="143">
        <f>VLOOKUP(Purchase[[#This Row],[Product ID]],Product[#All],6,0)</f>
        <v>47242</v>
      </c>
      <c r="L679" s="143">
        <f>Purchase[[#This Row],[Purchase Rate]]*Purchase[[#This Row],[Qty]]</f>
        <v>472420</v>
      </c>
      <c r="M679" s="140">
        <v>0</v>
      </c>
      <c r="N679" s="143">
        <v>0</v>
      </c>
      <c r="O679" s="140">
        <v>0.18</v>
      </c>
      <c r="P679" s="145">
        <f>(Purchase[[#This Row],[Gross Amount]]-Purchase[[#This Row],[Disct %]])*Purchase[[#This Row],[GST %]]</f>
        <v>85035.599999999991</v>
      </c>
      <c r="Q679" s="145">
        <f>Purchase[[#This Row],[Gross Amount]]-Purchase[[#This Row],[Disct Amnt]]+Purchase[[#This Row],[GST Amount]]</f>
        <v>557455.6</v>
      </c>
      <c r="R679" s="138" t="s">
        <v>1019</v>
      </c>
      <c r="S679" s="41">
        <f>IF(Purchase[[#This Row],[Status]]="Cancelled",0,Purchase[[#This Row],[Qty]])</f>
        <v>10</v>
      </c>
      <c r="T679" s="146">
        <f>IF(Purchase[[#This Row],[Status]]="Cancelled",0,Purchase[[#This Row],[Total Amount]])</f>
        <v>557455.6</v>
      </c>
      <c r="U679" s="146">
        <f>SUM(Purchase[Net Amount])</f>
        <v>814985438.68000126</v>
      </c>
    </row>
    <row r="680" spans="1:21" ht="19.5" thickBot="1" x14ac:dyDescent="0.3">
      <c r="A680" s="136" t="s">
        <v>1719</v>
      </c>
      <c r="B680" s="137">
        <v>45692</v>
      </c>
      <c r="C680" s="138" t="s">
        <v>603</v>
      </c>
      <c r="D680" s="138" t="str">
        <f>VLOOKUP(Purchase[[#This Row],[Supplier ID]],Supplier[#All],2,0)</f>
        <v>Tech Computers</v>
      </c>
      <c r="E680" s="138">
        <f>VLOOKUP(Purchase[[#This Row],[Supplier ID]],Supplier[#All],3,0)</f>
        <v>9689542486</v>
      </c>
      <c r="F680" s="138" t="str">
        <f>VLOOKUP(Purchase[[#This Row],[Supplier ID]],Supplier[#All],4,0)</f>
        <v>Indore</v>
      </c>
      <c r="G680" s="138" t="str">
        <f>VLOOKUP(Purchase[[#This Row],[Supplier ID]],Supplier[#All],5,0)</f>
        <v>MP</v>
      </c>
      <c r="H680" s="138" t="str">
        <f>VLOOKUP(Purchase[[#This Row],[Supplier ID]],Supplier[#All],6,0)</f>
        <v>GST2154521T048</v>
      </c>
      <c r="I680" s="138" t="s">
        <v>271</v>
      </c>
      <c r="J680" s="139">
        <v>29</v>
      </c>
      <c r="K680" s="143">
        <f>VLOOKUP(Purchase[[#This Row],[Product ID]],Product[#All],6,0)</f>
        <v>353</v>
      </c>
      <c r="L680" s="143">
        <f>Purchase[[#This Row],[Purchase Rate]]*Purchase[[#This Row],[Qty]]</f>
        <v>10237</v>
      </c>
      <c r="M680" s="140">
        <v>0</v>
      </c>
      <c r="N680" s="143">
        <v>0</v>
      </c>
      <c r="O680" s="140">
        <v>0.18</v>
      </c>
      <c r="P680" s="145">
        <f>(Purchase[[#This Row],[Gross Amount]]-Purchase[[#This Row],[Disct %]])*Purchase[[#This Row],[GST %]]</f>
        <v>1842.6599999999999</v>
      </c>
      <c r="Q680" s="145">
        <f>Purchase[[#This Row],[Gross Amount]]-Purchase[[#This Row],[Disct Amnt]]+Purchase[[#This Row],[GST Amount]]</f>
        <v>12079.66</v>
      </c>
      <c r="R680" s="138" t="s">
        <v>1019</v>
      </c>
      <c r="S680" s="41">
        <f>IF(Purchase[[#This Row],[Status]]="Cancelled",0,Purchase[[#This Row],[Qty]])</f>
        <v>29</v>
      </c>
      <c r="T680" s="146">
        <f>IF(Purchase[[#This Row],[Status]]="Cancelled",0,Purchase[[#This Row],[Total Amount]])</f>
        <v>12079.66</v>
      </c>
      <c r="U680" s="146">
        <f>SUM(Purchase[Net Amount])</f>
        <v>814985438.68000126</v>
      </c>
    </row>
    <row r="681" spans="1:21" ht="19.5" thickBot="1" x14ac:dyDescent="0.3">
      <c r="A681" s="136" t="s">
        <v>1720</v>
      </c>
      <c r="B681" s="137">
        <v>45692</v>
      </c>
      <c r="C681" s="138" t="s">
        <v>584</v>
      </c>
      <c r="D681" s="138" t="str">
        <f>VLOOKUP(Purchase[[#This Row],[Supplier ID]],Supplier[#All],2,0)</f>
        <v>Prime Computers</v>
      </c>
      <c r="E681" s="138">
        <f>VLOOKUP(Purchase[[#This Row],[Supplier ID]],Supplier[#All],3,0)</f>
        <v>9689542468</v>
      </c>
      <c r="F681" s="138" t="str">
        <f>VLOOKUP(Purchase[[#This Row],[Supplier ID]],Supplier[#All],4,0)</f>
        <v>Kanpur</v>
      </c>
      <c r="G681" s="138" t="str">
        <f>VLOOKUP(Purchase[[#This Row],[Supplier ID]],Supplier[#All],5,0)</f>
        <v>UP</v>
      </c>
      <c r="H681" s="138" t="str">
        <f>VLOOKUP(Purchase[[#This Row],[Supplier ID]],Supplier[#All],6,0)</f>
        <v>GST2154521T030</v>
      </c>
      <c r="I681" s="138" t="s">
        <v>546</v>
      </c>
      <c r="J681" s="139">
        <v>14</v>
      </c>
      <c r="K681" s="143">
        <f>VLOOKUP(Purchase[[#This Row],[Product ID]],Product[#All],6,0)</f>
        <v>12628</v>
      </c>
      <c r="L681" s="143">
        <f>Purchase[[#This Row],[Purchase Rate]]*Purchase[[#This Row],[Qty]]</f>
        <v>176792</v>
      </c>
      <c r="M681" s="140">
        <v>0</v>
      </c>
      <c r="N681" s="143">
        <v>0</v>
      </c>
      <c r="O681" s="140">
        <v>0.18</v>
      </c>
      <c r="P681" s="145">
        <f>(Purchase[[#This Row],[Gross Amount]]-Purchase[[#This Row],[Disct %]])*Purchase[[#This Row],[GST %]]</f>
        <v>31822.559999999998</v>
      </c>
      <c r="Q681" s="145">
        <f>Purchase[[#This Row],[Gross Amount]]-Purchase[[#This Row],[Disct Amnt]]+Purchase[[#This Row],[GST Amount]]</f>
        <v>208614.56</v>
      </c>
      <c r="R681" s="138" t="s">
        <v>1019</v>
      </c>
      <c r="S681" s="41">
        <f>IF(Purchase[[#This Row],[Status]]="Cancelled",0,Purchase[[#This Row],[Qty]])</f>
        <v>14</v>
      </c>
      <c r="T681" s="146">
        <f>IF(Purchase[[#This Row],[Status]]="Cancelled",0,Purchase[[#This Row],[Total Amount]])</f>
        <v>208614.56</v>
      </c>
      <c r="U681" s="146">
        <f>SUM(Purchase[Net Amount])</f>
        <v>814985438.68000126</v>
      </c>
    </row>
    <row r="682" spans="1:21" ht="19.5" thickBot="1" x14ac:dyDescent="0.3">
      <c r="A682" s="136" t="s">
        <v>1721</v>
      </c>
      <c r="B682" s="137">
        <v>45692</v>
      </c>
      <c r="C682" s="138" t="s">
        <v>601</v>
      </c>
      <c r="D682" s="138" t="str">
        <f>VLOOKUP(Purchase[[#This Row],[Supplier ID]],Supplier[#All],2,0)</f>
        <v>Maa Distributors</v>
      </c>
      <c r="E682" s="138">
        <f>VLOOKUP(Purchase[[#This Row],[Supplier ID]],Supplier[#All],3,0)</f>
        <v>9689542484</v>
      </c>
      <c r="F682" s="138" t="str">
        <f>VLOOKUP(Purchase[[#This Row],[Supplier ID]],Supplier[#All],4,0)</f>
        <v>Indore</v>
      </c>
      <c r="G682" s="138" t="str">
        <f>VLOOKUP(Purchase[[#This Row],[Supplier ID]],Supplier[#All],5,0)</f>
        <v>MP</v>
      </c>
      <c r="H682" s="138" t="str">
        <f>VLOOKUP(Purchase[[#This Row],[Supplier ID]],Supplier[#All],6,0)</f>
        <v>GST2154521T046</v>
      </c>
      <c r="I682" s="138" t="s">
        <v>109</v>
      </c>
      <c r="J682" s="139">
        <v>38</v>
      </c>
      <c r="K682" s="143">
        <f>VLOOKUP(Purchase[[#This Row],[Product ID]],Product[#All],6,0)</f>
        <v>1796</v>
      </c>
      <c r="L682" s="143">
        <f>Purchase[[#This Row],[Purchase Rate]]*Purchase[[#This Row],[Qty]]</f>
        <v>68248</v>
      </c>
      <c r="M682" s="140">
        <v>0</v>
      </c>
      <c r="N682" s="143">
        <v>0</v>
      </c>
      <c r="O682" s="140">
        <v>0.18</v>
      </c>
      <c r="P682" s="145">
        <f>(Purchase[[#This Row],[Gross Amount]]-Purchase[[#This Row],[Disct %]])*Purchase[[#This Row],[GST %]]</f>
        <v>12284.64</v>
      </c>
      <c r="Q682" s="145">
        <f>Purchase[[#This Row],[Gross Amount]]-Purchase[[#This Row],[Disct Amnt]]+Purchase[[#This Row],[GST Amount]]</f>
        <v>80532.639999999999</v>
      </c>
      <c r="R682" s="138" t="s">
        <v>1019</v>
      </c>
      <c r="S682" s="41">
        <f>IF(Purchase[[#This Row],[Status]]="Cancelled",0,Purchase[[#This Row],[Qty]])</f>
        <v>38</v>
      </c>
      <c r="T682" s="146">
        <f>IF(Purchase[[#This Row],[Status]]="Cancelled",0,Purchase[[#This Row],[Total Amount]])</f>
        <v>80532.639999999999</v>
      </c>
      <c r="U682" s="146">
        <f>SUM(Purchase[Net Amount])</f>
        <v>814985438.68000126</v>
      </c>
    </row>
    <row r="683" spans="1:21" ht="19.5" thickBot="1" x14ac:dyDescent="0.3">
      <c r="A683" s="136" t="s">
        <v>1722</v>
      </c>
      <c r="B683" s="137">
        <v>45692</v>
      </c>
      <c r="C683" s="138" t="s">
        <v>598</v>
      </c>
      <c r="D683" s="138" t="str">
        <f>VLOOKUP(Purchase[[#This Row],[Supplier ID]],Supplier[#All],2,0)</f>
        <v>National Distributors</v>
      </c>
      <c r="E683" s="138">
        <f>VLOOKUP(Purchase[[#This Row],[Supplier ID]],Supplier[#All],3,0)</f>
        <v>9689542489</v>
      </c>
      <c r="F683" s="138" t="str">
        <f>VLOOKUP(Purchase[[#This Row],[Supplier ID]],Supplier[#All],4,0)</f>
        <v>Indore</v>
      </c>
      <c r="G683" s="138" t="str">
        <f>VLOOKUP(Purchase[[#This Row],[Supplier ID]],Supplier[#All],5,0)</f>
        <v>MP</v>
      </c>
      <c r="H683" s="138" t="str">
        <f>VLOOKUP(Purchase[[#This Row],[Supplier ID]],Supplier[#All],6,0)</f>
        <v>GST2154521T043</v>
      </c>
      <c r="I683" s="138" t="s">
        <v>444</v>
      </c>
      <c r="J683" s="139">
        <v>7</v>
      </c>
      <c r="K683" s="143">
        <f>VLOOKUP(Purchase[[#This Row],[Product ID]],Product[#All],6,0)</f>
        <v>47242</v>
      </c>
      <c r="L683" s="143">
        <f>Purchase[[#This Row],[Purchase Rate]]*Purchase[[#This Row],[Qty]]</f>
        <v>330694</v>
      </c>
      <c r="M683" s="140">
        <v>0</v>
      </c>
      <c r="N683" s="143">
        <v>0</v>
      </c>
      <c r="O683" s="140">
        <v>0.18</v>
      </c>
      <c r="P683" s="145">
        <f>(Purchase[[#This Row],[Gross Amount]]-Purchase[[#This Row],[Disct %]])*Purchase[[#This Row],[GST %]]</f>
        <v>59524.92</v>
      </c>
      <c r="Q683" s="145">
        <f>Purchase[[#This Row],[Gross Amount]]-Purchase[[#This Row],[Disct Amnt]]+Purchase[[#This Row],[GST Amount]]</f>
        <v>390218.92</v>
      </c>
      <c r="R683" s="138" t="s">
        <v>1019</v>
      </c>
      <c r="S683" s="41">
        <f>IF(Purchase[[#This Row],[Status]]="Cancelled",0,Purchase[[#This Row],[Qty]])</f>
        <v>7</v>
      </c>
      <c r="T683" s="146">
        <f>IF(Purchase[[#This Row],[Status]]="Cancelled",0,Purchase[[#This Row],[Total Amount]])</f>
        <v>390218.92</v>
      </c>
      <c r="U683" s="146">
        <f>SUM(Purchase[Net Amount])</f>
        <v>814985438.68000126</v>
      </c>
    </row>
    <row r="684" spans="1:21" ht="19.5" thickBot="1" x14ac:dyDescent="0.3">
      <c r="A684" s="136" t="s">
        <v>1723</v>
      </c>
      <c r="B684" s="137">
        <v>45692</v>
      </c>
      <c r="C684" s="138" t="s">
        <v>585</v>
      </c>
      <c r="D684" s="138" t="str">
        <f>VLOOKUP(Purchase[[#This Row],[Supplier ID]],Supplier[#All],2,0)</f>
        <v>Tech Computers</v>
      </c>
      <c r="E684" s="138">
        <f>VLOOKUP(Purchase[[#This Row],[Supplier ID]],Supplier[#All],3,0)</f>
        <v>9689542469</v>
      </c>
      <c r="F684" s="138" t="str">
        <f>VLOOKUP(Purchase[[#This Row],[Supplier ID]],Supplier[#All],4,0)</f>
        <v>Korba</v>
      </c>
      <c r="G684" s="138" t="str">
        <f>VLOOKUP(Purchase[[#This Row],[Supplier ID]],Supplier[#All],5,0)</f>
        <v>CG</v>
      </c>
      <c r="H684" s="138" t="str">
        <f>VLOOKUP(Purchase[[#This Row],[Supplier ID]],Supplier[#All],6,0)</f>
        <v>GST2154521T031</v>
      </c>
      <c r="I684" s="138" t="s">
        <v>410</v>
      </c>
      <c r="J684" s="139">
        <v>5</v>
      </c>
      <c r="K684" s="143">
        <f>VLOOKUP(Purchase[[#This Row],[Product ID]],Product[#All],6,0)</f>
        <v>9953</v>
      </c>
      <c r="L684" s="143">
        <f>Purchase[[#This Row],[Purchase Rate]]*Purchase[[#This Row],[Qty]]</f>
        <v>49765</v>
      </c>
      <c r="M684" s="140">
        <v>0</v>
      </c>
      <c r="N684" s="143">
        <v>0</v>
      </c>
      <c r="O684" s="140">
        <v>0.18</v>
      </c>
      <c r="P684" s="145">
        <f>(Purchase[[#This Row],[Gross Amount]]-Purchase[[#This Row],[Disct %]])*Purchase[[#This Row],[GST %]]</f>
        <v>8957.6999999999989</v>
      </c>
      <c r="Q684" s="145">
        <f>Purchase[[#This Row],[Gross Amount]]-Purchase[[#This Row],[Disct Amnt]]+Purchase[[#This Row],[GST Amount]]</f>
        <v>58722.7</v>
      </c>
      <c r="R684" s="138" t="s">
        <v>1019</v>
      </c>
      <c r="S684" s="41">
        <f>IF(Purchase[[#This Row],[Status]]="Cancelled",0,Purchase[[#This Row],[Qty]])</f>
        <v>5</v>
      </c>
      <c r="T684" s="146">
        <f>IF(Purchase[[#This Row],[Status]]="Cancelled",0,Purchase[[#This Row],[Total Amount]])</f>
        <v>58722.7</v>
      </c>
      <c r="U684" s="146">
        <f>SUM(Purchase[Net Amount])</f>
        <v>814985438.68000126</v>
      </c>
    </row>
    <row r="685" spans="1:21" ht="19.5" thickBot="1" x14ac:dyDescent="0.3">
      <c r="A685" s="136" t="s">
        <v>1724</v>
      </c>
      <c r="B685" s="137">
        <v>45693</v>
      </c>
      <c r="C685" s="138" t="s">
        <v>595</v>
      </c>
      <c r="D685" s="138" t="str">
        <f>VLOOKUP(Purchase[[#This Row],[Supplier ID]],Supplier[#All],2,0)</f>
        <v>Star Computers</v>
      </c>
      <c r="E685" s="138">
        <f>VLOOKUP(Purchase[[#This Row],[Supplier ID]],Supplier[#All],3,0)</f>
        <v>9689542478</v>
      </c>
      <c r="F685" s="138" t="str">
        <f>VLOOKUP(Purchase[[#This Row],[Supplier ID]],Supplier[#All],4,0)</f>
        <v>Kanpur</v>
      </c>
      <c r="G685" s="138" t="str">
        <f>VLOOKUP(Purchase[[#This Row],[Supplier ID]],Supplier[#All],5,0)</f>
        <v>UP</v>
      </c>
      <c r="H685" s="138" t="str">
        <f>VLOOKUP(Purchase[[#This Row],[Supplier ID]],Supplier[#All],6,0)</f>
        <v>GST2154521T040</v>
      </c>
      <c r="I685" s="138" t="s">
        <v>423</v>
      </c>
      <c r="J685" s="139">
        <v>35</v>
      </c>
      <c r="K685" s="143">
        <f>VLOOKUP(Purchase[[#This Row],[Product ID]],Product[#All],6,0)</f>
        <v>33151</v>
      </c>
      <c r="L685" s="143">
        <f>Purchase[[#This Row],[Purchase Rate]]*Purchase[[#This Row],[Qty]]</f>
        <v>1160285</v>
      </c>
      <c r="M685" s="140">
        <v>0</v>
      </c>
      <c r="N685" s="143">
        <v>0</v>
      </c>
      <c r="O685" s="140">
        <v>0.18</v>
      </c>
      <c r="P685" s="145">
        <f>(Purchase[[#This Row],[Gross Amount]]-Purchase[[#This Row],[Disct %]])*Purchase[[#This Row],[GST %]]</f>
        <v>208851.3</v>
      </c>
      <c r="Q685" s="145">
        <f>Purchase[[#This Row],[Gross Amount]]-Purchase[[#This Row],[Disct Amnt]]+Purchase[[#This Row],[GST Amount]]</f>
        <v>1369136.3</v>
      </c>
      <c r="R685" s="138" t="s">
        <v>1019</v>
      </c>
      <c r="S685" s="41">
        <f>IF(Purchase[[#This Row],[Status]]="Cancelled",0,Purchase[[#This Row],[Qty]])</f>
        <v>35</v>
      </c>
      <c r="T685" s="146">
        <f>IF(Purchase[[#This Row],[Status]]="Cancelled",0,Purchase[[#This Row],[Total Amount]])</f>
        <v>1369136.3</v>
      </c>
      <c r="U685" s="146">
        <f>SUM(Purchase[Net Amount])</f>
        <v>814985438.68000126</v>
      </c>
    </row>
    <row r="686" spans="1:21" ht="19.5" thickBot="1" x14ac:dyDescent="0.3">
      <c r="A686" s="136" t="s">
        <v>1725</v>
      </c>
      <c r="B686" s="137">
        <v>45693</v>
      </c>
      <c r="C686" s="138" t="s">
        <v>570</v>
      </c>
      <c r="D686" s="138" t="str">
        <f>VLOOKUP(Purchase[[#This Row],[Supplier ID]],Supplier[#All],2,0)</f>
        <v>Prime Traders</v>
      </c>
      <c r="E686" s="138">
        <f>VLOOKUP(Purchase[[#This Row],[Supplier ID]],Supplier[#All],3,0)</f>
        <v>9689542456</v>
      </c>
      <c r="F686" s="138" t="str">
        <f>VLOOKUP(Purchase[[#This Row],[Supplier ID]],Supplier[#All],4,0)</f>
        <v>Indore</v>
      </c>
      <c r="G686" s="138" t="str">
        <f>VLOOKUP(Purchase[[#This Row],[Supplier ID]],Supplier[#All],5,0)</f>
        <v>MP</v>
      </c>
      <c r="H686" s="138" t="str">
        <f>VLOOKUP(Purchase[[#This Row],[Supplier ID]],Supplier[#All],6,0)</f>
        <v>GST2154521T018</v>
      </c>
      <c r="I686" s="138" t="s">
        <v>85</v>
      </c>
      <c r="J686" s="139">
        <v>34</v>
      </c>
      <c r="K686" s="143">
        <f>VLOOKUP(Purchase[[#This Row],[Product ID]],Product[#All],6,0)</f>
        <v>7130</v>
      </c>
      <c r="L686" s="143">
        <f>Purchase[[#This Row],[Purchase Rate]]*Purchase[[#This Row],[Qty]]</f>
        <v>242420</v>
      </c>
      <c r="M686" s="140">
        <v>0</v>
      </c>
      <c r="N686" s="143">
        <v>0</v>
      </c>
      <c r="O686" s="140">
        <v>0.18</v>
      </c>
      <c r="P686" s="145">
        <f>(Purchase[[#This Row],[Gross Amount]]-Purchase[[#This Row],[Disct %]])*Purchase[[#This Row],[GST %]]</f>
        <v>43635.6</v>
      </c>
      <c r="Q686" s="145">
        <f>Purchase[[#This Row],[Gross Amount]]-Purchase[[#This Row],[Disct Amnt]]+Purchase[[#This Row],[GST Amount]]</f>
        <v>286055.59999999998</v>
      </c>
      <c r="R686" s="138" t="s">
        <v>1019</v>
      </c>
      <c r="S686" s="41">
        <f>IF(Purchase[[#This Row],[Status]]="Cancelled",0,Purchase[[#This Row],[Qty]])</f>
        <v>34</v>
      </c>
      <c r="T686" s="146">
        <f>IF(Purchase[[#This Row],[Status]]="Cancelled",0,Purchase[[#This Row],[Total Amount]])</f>
        <v>286055.59999999998</v>
      </c>
      <c r="U686" s="146">
        <f>SUM(Purchase[Net Amount])</f>
        <v>814985438.68000126</v>
      </c>
    </row>
    <row r="687" spans="1:21" ht="19.5" thickBot="1" x14ac:dyDescent="0.3">
      <c r="A687" s="136" t="s">
        <v>1726</v>
      </c>
      <c r="B687" s="137">
        <v>45693</v>
      </c>
      <c r="C687" s="138" t="s">
        <v>602</v>
      </c>
      <c r="D687" s="138" t="str">
        <f>VLOOKUP(Purchase[[#This Row],[Supplier ID]],Supplier[#All],2,0)</f>
        <v>Maa Computers</v>
      </c>
      <c r="E687" s="138">
        <f>VLOOKUP(Purchase[[#This Row],[Supplier ID]],Supplier[#All],3,0)</f>
        <v>9689542485</v>
      </c>
      <c r="F687" s="138" t="str">
        <f>VLOOKUP(Purchase[[#This Row],[Supplier ID]],Supplier[#All],4,0)</f>
        <v>Korba</v>
      </c>
      <c r="G687" s="138" t="str">
        <f>VLOOKUP(Purchase[[#This Row],[Supplier ID]],Supplier[#All],5,0)</f>
        <v>CG</v>
      </c>
      <c r="H687" s="138" t="str">
        <f>VLOOKUP(Purchase[[#This Row],[Supplier ID]],Supplier[#All],6,0)</f>
        <v>GST2154521T047</v>
      </c>
      <c r="I687" s="138" t="s">
        <v>365</v>
      </c>
      <c r="J687" s="139">
        <v>5</v>
      </c>
      <c r="K687" s="143">
        <f>VLOOKUP(Purchase[[#This Row],[Product ID]],Product[#All],6,0)</f>
        <v>1653</v>
      </c>
      <c r="L687" s="143">
        <f>Purchase[[#This Row],[Purchase Rate]]*Purchase[[#This Row],[Qty]]</f>
        <v>8265</v>
      </c>
      <c r="M687" s="140">
        <v>0</v>
      </c>
      <c r="N687" s="143">
        <v>0</v>
      </c>
      <c r="O687" s="140">
        <v>0.18</v>
      </c>
      <c r="P687" s="145">
        <f>(Purchase[[#This Row],[Gross Amount]]-Purchase[[#This Row],[Disct %]])*Purchase[[#This Row],[GST %]]</f>
        <v>1487.7</v>
      </c>
      <c r="Q687" s="145">
        <f>Purchase[[#This Row],[Gross Amount]]-Purchase[[#This Row],[Disct Amnt]]+Purchase[[#This Row],[GST Amount]]</f>
        <v>9752.7000000000007</v>
      </c>
      <c r="R687" s="138" t="s">
        <v>1019</v>
      </c>
      <c r="S687" s="41">
        <f>IF(Purchase[[#This Row],[Status]]="Cancelled",0,Purchase[[#This Row],[Qty]])</f>
        <v>5</v>
      </c>
      <c r="T687" s="146">
        <f>IF(Purchase[[#This Row],[Status]]="Cancelled",0,Purchase[[#This Row],[Total Amount]])</f>
        <v>9752.7000000000007</v>
      </c>
      <c r="U687" s="146">
        <f>SUM(Purchase[Net Amount])</f>
        <v>814985438.68000126</v>
      </c>
    </row>
    <row r="688" spans="1:21" ht="19.5" thickBot="1" x14ac:dyDescent="0.3">
      <c r="A688" s="136" t="s">
        <v>1727</v>
      </c>
      <c r="B688" s="137">
        <v>45693</v>
      </c>
      <c r="C688" s="138" t="s">
        <v>605</v>
      </c>
      <c r="D688" s="138" t="str">
        <f>VLOOKUP(Purchase[[#This Row],[Supplier ID]],Supplier[#All],2,0)</f>
        <v>Star Traders</v>
      </c>
      <c r="E688" s="138">
        <f>VLOOKUP(Purchase[[#This Row],[Supplier ID]],Supplier[#All],3,0)</f>
        <v>9689542488</v>
      </c>
      <c r="F688" s="138" t="str">
        <f>VLOOKUP(Purchase[[#This Row],[Supplier ID]],Supplier[#All],4,0)</f>
        <v>Indore</v>
      </c>
      <c r="G688" s="138" t="str">
        <f>VLOOKUP(Purchase[[#This Row],[Supplier ID]],Supplier[#All],5,0)</f>
        <v>MP</v>
      </c>
      <c r="H688" s="138" t="str">
        <f>VLOOKUP(Purchase[[#This Row],[Supplier ID]],Supplier[#All],6,0)</f>
        <v>GST2154521T050</v>
      </c>
      <c r="I688" s="138" t="s">
        <v>313</v>
      </c>
      <c r="J688" s="139">
        <v>5</v>
      </c>
      <c r="K688" s="143">
        <f>VLOOKUP(Purchase[[#This Row],[Product ID]],Product[#All],6,0)</f>
        <v>190</v>
      </c>
      <c r="L688" s="143">
        <f>Purchase[[#This Row],[Purchase Rate]]*Purchase[[#This Row],[Qty]]</f>
        <v>950</v>
      </c>
      <c r="M688" s="140">
        <v>0</v>
      </c>
      <c r="N688" s="143">
        <v>0</v>
      </c>
      <c r="O688" s="140">
        <v>0.18</v>
      </c>
      <c r="P688" s="145">
        <f>(Purchase[[#This Row],[Gross Amount]]-Purchase[[#This Row],[Disct %]])*Purchase[[#This Row],[GST %]]</f>
        <v>171</v>
      </c>
      <c r="Q688" s="145">
        <f>Purchase[[#This Row],[Gross Amount]]-Purchase[[#This Row],[Disct Amnt]]+Purchase[[#This Row],[GST Amount]]</f>
        <v>1121</v>
      </c>
      <c r="R688" s="138" t="s">
        <v>1019</v>
      </c>
      <c r="S688" s="41">
        <f>IF(Purchase[[#This Row],[Status]]="Cancelled",0,Purchase[[#This Row],[Qty]])</f>
        <v>5</v>
      </c>
      <c r="T688" s="146">
        <f>IF(Purchase[[#This Row],[Status]]="Cancelled",0,Purchase[[#This Row],[Total Amount]])</f>
        <v>1121</v>
      </c>
      <c r="U688" s="146">
        <f>SUM(Purchase[Net Amount])</f>
        <v>814985438.68000126</v>
      </c>
    </row>
    <row r="689" spans="1:21" ht="19.5" thickBot="1" x14ac:dyDescent="0.3">
      <c r="A689" s="136" t="s">
        <v>1728</v>
      </c>
      <c r="B689" s="137">
        <v>45693</v>
      </c>
      <c r="C689" s="138" t="s">
        <v>597</v>
      </c>
      <c r="D689" s="138" t="str">
        <f>VLOOKUP(Purchase[[#This Row],[Supplier ID]],Supplier[#All],2,0)</f>
        <v>Tech Traders</v>
      </c>
      <c r="E689" s="138">
        <f>VLOOKUP(Purchase[[#This Row],[Supplier ID]],Supplier[#All],3,0)</f>
        <v>9689542480</v>
      </c>
      <c r="F689" s="138" t="str">
        <f>VLOOKUP(Purchase[[#This Row],[Supplier ID]],Supplier[#All],4,0)</f>
        <v>Kanpur</v>
      </c>
      <c r="G689" s="138" t="str">
        <f>VLOOKUP(Purchase[[#This Row],[Supplier ID]],Supplier[#All],5,0)</f>
        <v>UP</v>
      </c>
      <c r="H689" s="138" t="str">
        <f>VLOOKUP(Purchase[[#This Row],[Supplier ID]],Supplier[#All],6,0)</f>
        <v>GST2154521T042</v>
      </c>
      <c r="I689" s="138" t="s">
        <v>183</v>
      </c>
      <c r="J689" s="139">
        <v>31</v>
      </c>
      <c r="K689" s="143">
        <f>VLOOKUP(Purchase[[#This Row],[Product ID]],Product[#All],6,0)</f>
        <v>1270</v>
      </c>
      <c r="L689" s="143">
        <f>Purchase[[#This Row],[Purchase Rate]]*Purchase[[#This Row],[Qty]]</f>
        <v>39370</v>
      </c>
      <c r="M689" s="140">
        <v>0</v>
      </c>
      <c r="N689" s="143">
        <v>0</v>
      </c>
      <c r="O689" s="140">
        <v>0.18</v>
      </c>
      <c r="P689" s="145">
        <f>(Purchase[[#This Row],[Gross Amount]]-Purchase[[#This Row],[Disct %]])*Purchase[[#This Row],[GST %]]</f>
        <v>7086.5999999999995</v>
      </c>
      <c r="Q689" s="145">
        <f>Purchase[[#This Row],[Gross Amount]]-Purchase[[#This Row],[Disct Amnt]]+Purchase[[#This Row],[GST Amount]]</f>
        <v>46456.6</v>
      </c>
      <c r="R689" s="138" t="s">
        <v>1019</v>
      </c>
      <c r="S689" s="41">
        <f>IF(Purchase[[#This Row],[Status]]="Cancelled",0,Purchase[[#This Row],[Qty]])</f>
        <v>31</v>
      </c>
      <c r="T689" s="146">
        <f>IF(Purchase[[#This Row],[Status]]="Cancelled",0,Purchase[[#This Row],[Total Amount]])</f>
        <v>46456.6</v>
      </c>
      <c r="U689" s="146">
        <f>SUM(Purchase[Net Amount])</f>
        <v>814985438.68000126</v>
      </c>
    </row>
    <row r="690" spans="1:21" ht="19.5" thickBot="1" x14ac:dyDescent="0.3">
      <c r="A690" s="136" t="s">
        <v>1729</v>
      </c>
      <c r="B690" s="137">
        <v>45693</v>
      </c>
      <c r="C690" s="138" t="s">
        <v>582</v>
      </c>
      <c r="D690" s="138" t="str">
        <f>VLOOKUP(Purchase[[#This Row],[Supplier ID]],Supplier[#All],2,0)</f>
        <v>Tech Distributors</v>
      </c>
      <c r="E690" s="138">
        <f>VLOOKUP(Purchase[[#This Row],[Supplier ID]],Supplier[#All],3,0)</f>
        <v>9689542466</v>
      </c>
      <c r="F690" s="138" t="str">
        <f>VLOOKUP(Purchase[[#This Row],[Supplier ID]],Supplier[#All],4,0)</f>
        <v>Indore</v>
      </c>
      <c r="G690" s="138" t="str">
        <f>VLOOKUP(Purchase[[#This Row],[Supplier ID]],Supplier[#All],5,0)</f>
        <v>MP</v>
      </c>
      <c r="H690" s="138" t="str">
        <f>VLOOKUP(Purchase[[#This Row],[Supplier ID]],Supplier[#All],6,0)</f>
        <v>GST2154521T028</v>
      </c>
      <c r="I690" s="138" t="s">
        <v>511</v>
      </c>
      <c r="J690" s="139">
        <v>23</v>
      </c>
      <c r="K690" s="143">
        <f>VLOOKUP(Purchase[[#This Row],[Product ID]],Product[#All],6,0)</f>
        <v>1027</v>
      </c>
      <c r="L690" s="143">
        <f>Purchase[[#This Row],[Purchase Rate]]*Purchase[[#This Row],[Qty]]</f>
        <v>23621</v>
      </c>
      <c r="M690" s="140">
        <v>0</v>
      </c>
      <c r="N690" s="143">
        <v>0</v>
      </c>
      <c r="O690" s="140">
        <v>0.18</v>
      </c>
      <c r="P690" s="145">
        <f>(Purchase[[#This Row],[Gross Amount]]-Purchase[[#This Row],[Disct %]])*Purchase[[#This Row],[GST %]]</f>
        <v>4251.78</v>
      </c>
      <c r="Q690" s="145">
        <f>Purchase[[#This Row],[Gross Amount]]-Purchase[[#This Row],[Disct Amnt]]+Purchase[[#This Row],[GST Amount]]</f>
        <v>27872.78</v>
      </c>
      <c r="R690" s="138" t="s">
        <v>1019</v>
      </c>
      <c r="S690" s="41">
        <f>IF(Purchase[[#This Row],[Status]]="Cancelled",0,Purchase[[#This Row],[Qty]])</f>
        <v>23</v>
      </c>
      <c r="T690" s="146">
        <f>IF(Purchase[[#This Row],[Status]]="Cancelled",0,Purchase[[#This Row],[Total Amount]])</f>
        <v>27872.78</v>
      </c>
      <c r="U690" s="146">
        <f>SUM(Purchase[Net Amount])</f>
        <v>814985438.68000126</v>
      </c>
    </row>
    <row r="691" spans="1:21" ht="19.5" thickBot="1" x14ac:dyDescent="0.3">
      <c r="A691" s="136" t="s">
        <v>1730</v>
      </c>
      <c r="B691" s="137">
        <v>45693</v>
      </c>
      <c r="C691" s="138" t="s">
        <v>605</v>
      </c>
      <c r="D691" s="138" t="str">
        <f>VLOOKUP(Purchase[[#This Row],[Supplier ID]],Supplier[#All],2,0)</f>
        <v>Star Traders</v>
      </c>
      <c r="E691" s="138">
        <f>VLOOKUP(Purchase[[#This Row],[Supplier ID]],Supplier[#All],3,0)</f>
        <v>9689542488</v>
      </c>
      <c r="F691" s="138" t="str">
        <f>VLOOKUP(Purchase[[#This Row],[Supplier ID]],Supplier[#All],4,0)</f>
        <v>Indore</v>
      </c>
      <c r="G691" s="138" t="str">
        <f>VLOOKUP(Purchase[[#This Row],[Supplier ID]],Supplier[#All],5,0)</f>
        <v>MP</v>
      </c>
      <c r="H691" s="138" t="str">
        <f>VLOOKUP(Purchase[[#This Row],[Supplier ID]],Supplier[#All],6,0)</f>
        <v>GST2154521T050</v>
      </c>
      <c r="I691" s="138" t="s">
        <v>470</v>
      </c>
      <c r="J691" s="139">
        <v>3</v>
      </c>
      <c r="K691" s="143">
        <f>VLOOKUP(Purchase[[#This Row],[Product ID]],Product[#All],6,0)</f>
        <v>30694</v>
      </c>
      <c r="L691" s="143">
        <f>Purchase[[#This Row],[Purchase Rate]]*Purchase[[#This Row],[Qty]]</f>
        <v>92082</v>
      </c>
      <c r="M691" s="140">
        <v>0</v>
      </c>
      <c r="N691" s="143">
        <v>0</v>
      </c>
      <c r="O691" s="140">
        <v>0.18</v>
      </c>
      <c r="P691" s="145">
        <f>(Purchase[[#This Row],[Gross Amount]]-Purchase[[#This Row],[Disct %]])*Purchase[[#This Row],[GST %]]</f>
        <v>16574.759999999998</v>
      </c>
      <c r="Q691" s="145">
        <f>Purchase[[#This Row],[Gross Amount]]-Purchase[[#This Row],[Disct Amnt]]+Purchase[[#This Row],[GST Amount]]</f>
        <v>108656.76</v>
      </c>
      <c r="R691" s="138" t="s">
        <v>1019</v>
      </c>
      <c r="S691" s="41">
        <f>IF(Purchase[[#This Row],[Status]]="Cancelled",0,Purchase[[#This Row],[Qty]])</f>
        <v>3</v>
      </c>
      <c r="T691" s="146">
        <f>IF(Purchase[[#This Row],[Status]]="Cancelled",0,Purchase[[#This Row],[Total Amount]])</f>
        <v>108656.76</v>
      </c>
      <c r="U691" s="146">
        <f>SUM(Purchase[Net Amount])</f>
        <v>814985438.68000126</v>
      </c>
    </row>
    <row r="692" spans="1:21" ht="19.5" thickBot="1" x14ac:dyDescent="0.3">
      <c r="A692" s="136" t="s">
        <v>1731</v>
      </c>
      <c r="B692" s="137">
        <v>45693</v>
      </c>
      <c r="C692" s="138" t="s">
        <v>578</v>
      </c>
      <c r="D692" s="138" t="str">
        <f>VLOOKUP(Purchase[[#This Row],[Supplier ID]],Supplier[#All],2,0)</f>
        <v>Shree Computers</v>
      </c>
      <c r="E692" s="138">
        <f>VLOOKUP(Purchase[[#This Row],[Supplier ID]],Supplier[#All],3,0)</f>
        <v>9689542462</v>
      </c>
      <c r="F692" s="138" t="str">
        <f>VLOOKUP(Purchase[[#This Row],[Supplier ID]],Supplier[#All],4,0)</f>
        <v>Korba</v>
      </c>
      <c r="G692" s="138" t="str">
        <f>VLOOKUP(Purchase[[#This Row],[Supplier ID]],Supplier[#All],5,0)</f>
        <v>CG</v>
      </c>
      <c r="H692" s="138" t="str">
        <f>VLOOKUP(Purchase[[#This Row],[Supplier ID]],Supplier[#All],6,0)</f>
        <v>GST2154521T024</v>
      </c>
      <c r="I692" s="138" t="s">
        <v>205</v>
      </c>
      <c r="J692" s="139">
        <v>7</v>
      </c>
      <c r="K692" s="143">
        <f>VLOOKUP(Purchase[[#This Row],[Product ID]],Product[#All],6,0)</f>
        <v>3906</v>
      </c>
      <c r="L692" s="143">
        <f>Purchase[[#This Row],[Purchase Rate]]*Purchase[[#This Row],[Qty]]</f>
        <v>27342</v>
      </c>
      <c r="M692" s="140">
        <v>0</v>
      </c>
      <c r="N692" s="143">
        <v>0</v>
      </c>
      <c r="O692" s="140">
        <v>0.18</v>
      </c>
      <c r="P692" s="145">
        <f>(Purchase[[#This Row],[Gross Amount]]-Purchase[[#This Row],[Disct %]])*Purchase[[#This Row],[GST %]]</f>
        <v>4921.5599999999995</v>
      </c>
      <c r="Q692" s="145">
        <f>Purchase[[#This Row],[Gross Amount]]-Purchase[[#This Row],[Disct Amnt]]+Purchase[[#This Row],[GST Amount]]</f>
        <v>32263.559999999998</v>
      </c>
      <c r="R692" s="138" t="s">
        <v>1019</v>
      </c>
      <c r="S692" s="41">
        <f>IF(Purchase[[#This Row],[Status]]="Cancelled",0,Purchase[[#This Row],[Qty]])</f>
        <v>7</v>
      </c>
      <c r="T692" s="146">
        <f>IF(Purchase[[#This Row],[Status]]="Cancelled",0,Purchase[[#This Row],[Total Amount]])</f>
        <v>32263.559999999998</v>
      </c>
      <c r="U692" s="146">
        <f>SUM(Purchase[Net Amount])</f>
        <v>814985438.68000126</v>
      </c>
    </row>
    <row r="693" spans="1:21" ht="19.5" thickBot="1" x14ac:dyDescent="0.3">
      <c r="A693" s="136" t="s">
        <v>1732</v>
      </c>
      <c r="B693" s="137">
        <v>45693</v>
      </c>
      <c r="C693" s="138" t="s">
        <v>583</v>
      </c>
      <c r="D693" s="138" t="str">
        <f>VLOOKUP(Purchase[[#This Row],[Supplier ID]],Supplier[#All],2,0)</f>
        <v>Shree Distributors</v>
      </c>
      <c r="E693" s="138">
        <f>VLOOKUP(Purchase[[#This Row],[Supplier ID]],Supplier[#All],3,0)</f>
        <v>9689542467</v>
      </c>
      <c r="F693" s="138" t="str">
        <f>VLOOKUP(Purchase[[#This Row],[Supplier ID]],Supplier[#All],4,0)</f>
        <v>Indore</v>
      </c>
      <c r="G693" s="138" t="str">
        <f>VLOOKUP(Purchase[[#This Row],[Supplier ID]],Supplier[#All],5,0)</f>
        <v>MP</v>
      </c>
      <c r="H693" s="138" t="str">
        <f>VLOOKUP(Purchase[[#This Row],[Supplier ID]],Supplier[#All],6,0)</f>
        <v>GST2154521T029</v>
      </c>
      <c r="I693" s="138" t="s">
        <v>241</v>
      </c>
      <c r="J693" s="139">
        <v>2</v>
      </c>
      <c r="K693" s="143">
        <f>VLOOKUP(Purchase[[#This Row],[Product ID]],Product[#All],6,0)</f>
        <v>537</v>
      </c>
      <c r="L693" s="143">
        <f>Purchase[[#This Row],[Purchase Rate]]*Purchase[[#This Row],[Qty]]</f>
        <v>1074</v>
      </c>
      <c r="M693" s="140">
        <v>0</v>
      </c>
      <c r="N693" s="143">
        <v>0</v>
      </c>
      <c r="O693" s="140">
        <v>0.18</v>
      </c>
      <c r="P693" s="145">
        <f>(Purchase[[#This Row],[Gross Amount]]-Purchase[[#This Row],[Disct %]])*Purchase[[#This Row],[GST %]]</f>
        <v>193.32</v>
      </c>
      <c r="Q693" s="145">
        <f>Purchase[[#This Row],[Gross Amount]]-Purchase[[#This Row],[Disct Amnt]]+Purchase[[#This Row],[GST Amount]]</f>
        <v>1267.32</v>
      </c>
      <c r="R693" s="138" t="s">
        <v>1019</v>
      </c>
      <c r="S693" s="41">
        <f>IF(Purchase[[#This Row],[Status]]="Cancelled",0,Purchase[[#This Row],[Qty]])</f>
        <v>2</v>
      </c>
      <c r="T693" s="146">
        <f>IF(Purchase[[#This Row],[Status]]="Cancelled",0,Purchase[[#This Row],[Total Amount]])</f>
        <v>1267.32</v>
      </c>
      <c r="U693" s="146">
        <f>SUM(Purchase[Net Amount])</f>
        <v>814985438.68000126</v>
      </c>
    </row>
    <row r="694" spans="1:21" ht="19.5" thickBot="1" x14ac:dyDescent="0.3">
      <c r="A694" s="136" t="s">
        <v>1733</v>
      </c>
      <c r="B694" s="137">
        <v>45693</v>
      </c>
      <c r="C694" s="138" t="s">
        <v>580</v>
      </c>
      <c r="D694" s="138" t="str">
        <f>VLOOKUP(Purchase[[#This Row],[Supplier ID]],Supplier[#All],2,0)</f>
        <v>Star Distributors</v>
      </c>
      <c r="E694" s="138">
        <f>VLOOKUP(Purchase[[#This Row],[Supplier ID]],Supplier[#All],3,0)</f>
        <v>9689542464</v>
      </c>
      <c r="F694" s="138" t="str">
        <f>VLOOKUP(Purchase[[#This Row],[Supplier ID]],Supplier[#All],4,0)</f>
        <v>Indore</v>
      </c>
      <c r="G694" s="138" t="str">
        <f>VLOOKUP(Purchase[[#This Row],[Supplier ID]],Supplier[#All],5,0)</f>
        <v>MP</v>
      </c>
      <c r="H694" s="138" t="str">
        <f>VLOOKUP(Purchase[[#This Row],[Supplier ID]],Supplier[#All],6,0)</f>
        <v>GST2154521T026</v>
      </c>
      <c r="I694" s="138" t="s">
        <v>371</v>
      </c>
      <c r="J694" s="139">
        <v>33</v>
      </c>
      <c r="K694" s="143">
        <f>VLOOKUP(Purchase[[#This Row],[Product ID]],Product[#All],6,0)</f>
        <v>372</v>
      </c>
      <c r="L694" s="143">
        <f>Purchase[[#This Row],[Purchase Rate]]*Purchase[[#This Row],[Qty]]</f>
        <v>12276</v>
      </c>
      <c r="M694" s="140">
        <v>0</v>
      </c>
      <c r="N694" s="143">
        <v>0</v>
      </c>
      <c r="O694" s="140">
        <v>0.18</v>
      </c>
      <c r="P694" s="145">
        <f>(Purchase[[#This Row],[Gross Amount]]-Purchase[[#This Row],[Disct %]])*Purchase[[#This Row],[GST %]]</f>
        <v>2209.6799999999998</v>
      </c>
      <c r="Q694" s="145">
        <f>Purchase[[#This Row],[Gross Amount]]-Purchase[[#This Row],[Disct Amnt]]+Purchase[[#This Row],[GST Amount]]</f>
        <v>14485.68</v>
      </c>
      <c r="R694" s="138" t="s">
        <v>1019</v>
      </c>
      <c r="S694" s="41">
        <f>IF(Purchase[[#This Row],[Status]]="Cancelled",0,Purchase[[#This Row],[Qty]])</f>
        <v>33</v>
      </c>
      <c r="T694" s="146">
        <f>IF(Purchase[[#This Row],[Status]]="Cancelled",0,Purchase[[#This Row],[Total Amount]])</f>
        <v>14485.68</v>
      </c>
      <c r="U694" s="146">
        <f>SUM(Purchase[Net Amount])</f>
        <v>814985438.68000126</v>
      </c>
    </row>
    <row r="695" spans="1:21" ht="19.5" thickBot="1" x14ac:dyDescent="0.3">
      <c r="A695" s="136" t="s">
        <v>1734</v>
      </c>
      <c r="B695" s="137">
        <v>45693</v>
      </c>
      <c r="C695" s="138" t="s">
        <v>1735</v>
      </c>
      <c r="D695" s="138" t="str">
        <f>VLOOKUP(Purchase[[#This Row],[Supplier ID]],Supplier[#All],2,0)</f>
        <v>Maa Distributors</v>
      </c>
      <c r="E695" s="138">
        <f>VLOOKUP(Purchase[[#This Row],[Supplier ID]],Supplier[#All],3,0)</f>
        <v>9689542460</v>
      </c>
      <c r="F695" s="138" t="str">
        <f>VLOOKUP(Purchase[[#This Row],[Supplier ID]],Supplier[#All],4,0)</f>
        <v>Korba</v>
      </c>
      <c r="G695" s="138" t="str">
        <f>VLOOKUP(Purchase[[#This Row],[Supplier ID]],Supplier[#All],5,0)</f>
        <v>CG</v>
      </c>
      <c r="H695" s="138" t="str">
        <f>VLOOKUP(Purchase[[#This Row],[Supplier ID]],Supplier[#All],6,0)</f>
        <v>GST2154521T022</v>
      </c>
      <c r="I695" s="138" t="s">
        <v>215</v>
      </c>
      <c r="J695" s="139">
        <v>30</v>
      </c>
      <c r="K695" s="143">
        <f>VLOOKUP(Purchase[[#This Row],[Product ID]],Product[#All],6,0)</f>
        <v>8074</v>
      </c>
      <c r="L695" s="143">
        <f>Purchase[[#This Row],[Purchase Rate]]*Purchase[[#This Row],[Qty]]</f>
        <v>242220</v>
      </c>
      <c r="M695" s="140">
        <v>0</v>
      </c>
      <c r="N695" s="143">
        <v>0</v>
      </c>
      <c r="O695" s="140">
        <v>0.18</v>
      </c>
      <c r="P695" s="145">
        <f>(Purchase[[#This Row],[Gross Amount]]-Purchase[[#This Row],[Disct %]])*Purchase[[#This Row],[GST %]]</f>
        <v>43599.6</v>
      </c>
      <c r="Q695" s="145">
        <f>Purchase[[#This Row],[Gross Amount]]-Purchase[[#This Row],[Disct Amnt]]+Purchase[[#This Row],[GST Amount]]</f>
        <v>285819.59999999998</v>
      </c>
      <c r="R695" s="138" t="s">
        <v>1019</v>
      </c>
      <c r="S695" s="41">
        <f>IF(Purchase[[#This Row],[Status]]="Cancelled",0,Purchase[[#This Row],[Qty]])</f>
        <v>30</v>
      </c>
      <c r="T695" s="146">
        <f>IF(Purchase[[#This Row],[Status]]="Cancelled",0,Purchase[[#This Row],[Total Amount]])</f>
        <v>285819.59999999998</v>
      </c>
      <c r="U695" s="146">
        <f>SUM(Purchase[Net Amount])</f>
        <v>814985438.68000126</v>
      </c>
    </row>
    <row r="696" spans="1:21" ht="19.5" thickBot="1" x14ac:dyDescent="0.3">
      <c r="A696" s="136" t="s">
        <v>1736</v>
      </c>
      <c r="B696" s="137">
        <v>45693</v>
      </c>
      <c r="C696" s="138" t="s">
        <v>604</v>
      </c>
      <c r="D696" s="138" t="str">
        <f>VLOOKUP(Purchase[[#This Row],[Supplier ID]],Supplier[#All],2,0)</f>
        <v>Prime Traders</v>
      </c>
      <c r="E696" s="138">
        <f>VLOOKUP(Purchase[[#This Row],[Supplier ID]],Supplier[#All],3,0)</f>
        <v>9689542487</v>
      </c>
      <c r="F696" s="138" t="str">
        <f>VLOOKUP(Purchase[[#This Row],[Supplier ID]],Supplier[#All],4,0)</f>
        <v>Indore</v>
      </c>
      <c r="G696" s="138" t="str">
        <f>VLOOKUP(Purchase[[#This Row],[Supplier ID]],Supplier[#All],5,0)</f>
        <v>MP</v>
      </c>
      <c r="H696" s="138" t="str">
        <f>VLOOKUP(Purchase[[#This Row],[Supplier ID]],Supplier[#All],6,0)</f>
        <v>GST2154521T049</v>
      </c>
      <c r="I696" s="138" t="s">
        <v>169</v>
      </c>
      <c r="J696" s="139">
        <v>22</v>
      </c>
      <c r="K696" s="143">
        <f>VLOOKUP(Purchase[[#This Row],[Product ID]],Product[#All],6,0)</f>
        <v>20157</v>
      </c>
      <c r="L696" s="143">
        <f>Purchase[[#This Row],[Purchase Rate]]*Purchase[[#This Row],[Qty]]</f>
        <v>443454</v>
      </c>
      <c r="M696" s="140">
        <v>0</v>
      </c>
      <c r="N696" s="143">
        <v>0</v>
      </c>
      <c r="O696" s="140">
        <v>0.18</v>
      </c>
      <c r="P696" s="145">
        <f>(Purchase[[#This Row],[Gross Amount]]-Purchase[[#This Row],[Disct %]])*Purchase[[#This Row],[GST %]]</f>
        <v>79821.72</v>
      </c>
      <c r="Q696" s="145">
        <f>Purchase[[#This Row],[Gross Amount]]-Purchase[[#This Row],[Disct Amnt]]+Purchase[[#This Row],[GST Amount]]</f>
        <v>523275.72</v>
      </c>
      <c r="R696" s="138" t="s">
        <v>1019</v>
      </c>
      <c r="S696" s="41">
        <f>IF(Purchase[[#This Row],[Status]]="Cancelled",0,Purchase[[#This Row],[Qty]])</f>
        <v>22</v>
      </c>
      <c r="T696" s="146">
        <f>IF(Purchase[[#This Row],[Status]]="Cancelled",0,Purchase[[#This Row],[Total Amount]])</f>
        <v>523275.72</v>
      </c>
      <c r="U696" s="146">
        <f>SUM(Purchase[Net Amount])</f>
        <v>814985438.68000126</v>
      </c>
    </row>
    <row r="697" spans="1:21" ht="19.5" thickBot="1" x14ac:dyDescent="0.3">
      <c r="A697" s="136" t="s">
        <v>1737</v>
      </c>
      <c r="B697" s="137">
        <v>45693</v>
      </c>
      <c r="C697" s="138" t="s">
        <v>590</v>
      </c>
      <c r="D697" s="138" t="str">
        <f>VLOOKUP(Purchase[[#This Row],[Supplier ID]],Supplier[#All],2,0)</f>
        <v>Star Distributors</v>
      </c>
      <c r="E697" s="138">
        <f>VLOOKUP(Purchase[[#This Row],[Supplier ID]],Supplier[#All],3,0)</f>
        <v>9689542474</v>
      </c>
      <c r="F697" s="138" t="str">
        <f>VLOOKUP(Purchase[[#This Row],[Supplier ID]],Supplier[#All],4,0)</f>
        <v>Kanpur</v>
      </c>
      <c r="G697" s="138" t="str">
        <f>VLOOKUP(Purchase[[#This Row],[Supplier ID]],Supplier[#All],5,0)</f>
        <v>UP</v>
      </c>
      <c r="H697" s="138" t="str">
        <f>VLOOKUP(Purchase[[#This Row],[Supplier ID]],Supplier[#All],6,0)</f>
        <v>GST2154521T036</v>
      </c>
      <c r="I697" s="138" t="s">
        <v>137</v>
      </c>
      <c r="J697" s="139">
        <v>29</v>
      </c>
      <c r="K697" s="143">
        <f>VLOOKUP(Purchase[[#This Row],[Product ID]],Product[#All],6,0)</f>
        <v>6071</v>
      </c>
      <c r="L697" s="143">
        <f>Purchase[[#This Row],[Purchase Rate]]*Purchase[[#This Row],[Qty]]</f>
        <v>176059</v>
      </c>
      <c r="M697" s="140">
        <v>0</v>
      </c>
      <c r="N697" s="143">
        <v>0</v>
      </c>
      <c r="O697" s="140">
        <v>0.18</v>
      </c>
      <c r="P697" s="145">
        <f>(Purchase[[#This Row],[Gross Amount]]-Purchase[[#This Row],[Disct %]])*Purchase[[#This Row],[GST %]]</f>
        <v>31690.62</v>
      </c>
      <c r="Q697" s="145">
        <f>Purchase[[#This Row],[Gross Amount]]-Purchase[[#This Row],[Disct Amnt]]+Purchase[[#This Row],[GST Amount]]</f>
        <v>207749.62</v>
      </c>
      <c r="R697" s="138" t="s">
        <v>1019</v>
      </c>
      <c r="S697" s="41">
        <f>IF(Purchase[[#This Row],[Status]]="Cancelled",0,Purchase[[#This Row],[Qty]])</f>
        <v>29</v>
      </c>
      <c r="T697" s="146">
        <f>IF(Purchase[[#This Row],[Status]]="Cancelled",0,Purchase[[#This Row],[Total Amount]])</f>
        <v>207749.62</v>
      </c>
      <c r="U697" s="146">
        <f>SUM(Purchase[Net Amount])</f>
        <v>814985438.68000126</v>
      </c>
    </row>
    <row r="698" spans="1:21" ht="19.5" thickBot="1" x14ac:dyDescent="0.3">
      <c r="A698" s="136" t="s">
        <v>1738</v>
      </c>
      <c r="B698" s="137">
        <v>45693</v>
      </c>
      <c r="C698" s="138" t="s">
        <v>565</v>
      </c>
      <c r="D698" s="138" t="str">
        <f>VLOOKUP(Purchase[[#This Row],[Supplier ID]],Supplier[#All],2,0)</f>
        <v>Global Suppliers</v>
      </c>
      <c r="E698" s="138">
        <f>VLOOKUP(Purchase[[#This Row],[Supplier ID]],Supplier[#All],3,0)</f>
        <v>9689542459</v>
      </c>
      <c r="F698" s="138" t="str">
        <f>VLOOKUP(Purchase[[#This Row],[Supplier ID]],Supplier[#All],4,0)</f>
        <v>Indore</v>
      </c>
      <c r="G698" s="138" t="str">
        <f>VLOOKUP(Purchase[[#This Row],[Supplier ID]],Supplier[#All],5,0)</f>
        <v>MP</v>
      </c>
      <c r="H698" s="138" t="str">
        <f>VLOOKUP(Purchase[[#This Row],[Supplier ID]],Supplier[#All],6,0)</f>
        <v>GST2154521T013</v>
      </c>
      <c r="I698" s="138" t="s">
        <v>96</v>
      </c>
      <c r="J698" s="139">
        <v>39</v>
      </c>
      <c r="K698" s="143">
        <f>VLOOKUP(Purchase[[#This Row],[Product ID]],Product[#All],6,0)</f>
        <v>3785</v>
      </c>
      <c r="L698" s="143">
        <f>Purchase[[#This Row],[Purchase Rate]]*Purchase[[#This Row],[Qty]]</f>
        <v>147615</v>
      </c>
      <c r="M698" s="140">
        <v>0</v>
      </c>
      <c r="N698" s="143">
        <v>0</v>
      </c>
      <c r="O698" s="140">
        <v>0.18</v>
      </c>
      <c r="P698" s="145">
        <f>(Purchase[[#This Row],[Gross Amount]]-Purchase[[#This Row],[Disct %]])*Purchase[[#This Row],[GST %]]</f>
        <v>26570.7</v>
      </c>
      <c r="Q698" s="145">
        <f>Purchase[[#This Row],[Gross Amount]]-Purchase[[#This Row],[Disct Amnt]]+Purchase[[#This Row],[GST Amount]]</f>
        <v>174185.7</v>
      </c>
      <c r="R698" s="138" t="s">
        <v>1040</v>
      </c>
      <c r="S698" s="41">
        <f>IF(Purchase[[#This Row],[Status]]="Cancelled",0,Purchase[[#This Row],[Qty]])</f>
        <v>0</v>
      </c>
      <c r="T698" s="146">
        <f>IF(Purchase[[#This Row],[Status]]="Cancelled",0,Purchase[[#This Row],[Total Amount]])</f>
        <v>0</v>
      </c>
      <c r="U698" s="146">
        <f>SUM(Purchase[Net Amount])</f>
        <v>814985438.68000126</v>
      </c>
    </row>
    <row r="699" spans="1:21" ht="19.5" thickBot="1" x14ac:dyDescent="0.3">
      <c r="A699" s="136" t="s">
        <v>1739</v>
      </c>
      <c r="B699" s="137">
        <v>45693</v>
      </c>
      <c r="C699" s="138" t="s">
        <v>568</v>
      </c>
      <c r="D699" s="138" t="str">
        <f>VLOOKUP(Purchase[[#This Row],[Supplier ID]],Supplier[#All],2,0)</f>
        <v>Maa Computers</v>
      </c>
      <c r="E699" s="138">
        <f>VLOOKUP(Purchase[[#This Row],[Supplier ID]],Supplier[#All],3,0)</f>
        <v>9689542454</v>
      </c>
      <c r="F699" s="138" t="str">
        <f>VLOOKUP(Purchase[[#This Row],[Supplier ID]],Supplier[#All],4,0)</f>
        <v>Korba</v>
      </c>
      <c r="G699" s="138" t="str">
        <f>VLOOKUP(Purchase[[#This Row],[Supplier ID]],Supplier[#All],5,0)</f>
        <v>CG</v>
      </c>
      <c r="H699" s="138" t="str">
        <f>VLOOKUP(Purchase[[#This Row],[Supplier ID]],Supplier[#All],6,0)</f>
        <v>GST2154521T016</v>
      </c>
      <c r="I699" s="138" t="s">
        <v>92</v>
      </c>
      <c r="J699" s="139">
        <v>17</v>
      </c>
      <c r="K699" s="143">
        <f>VLOOKUP(Purchase[[#This Row],[Product ID]],Product[#All],6,0)</f>
        <v>5110</v>
      </c>
      <c r="L699" s="143">
        <f>Purchase[[#This Row],[Purchase Rate]]*Purchase[[#This Row],[Qty]]</f>
        <v>86870</v>
      </c>
      <c r="M699" s="140">
        <v>0</v>
      </c>
      <c r="N699" s="143">
        <v>0</v>
      </c>
      <c r="O699" s="140">
        <v>0.18</v>
      </c>
      <c r="P699" s="145">
        <f>(Purchase[[#This Row],[Gross Amount]]-Purchase[[#This Row],[Disct %]])*Purchase[[#This Row],[GST %]]</f>
        <v>15636.599999999999</v>
      </c>
      <c r="Q699" s="145">
        <f>Purchase[[#This Row],[Gross Amount]]-Purchase[[#This Row],[Disct Amnt]]+Purchase[[#This Row],[GST Amount]]</f>
        <v>102506.6</v>
      </c>
      <c r="R699" s="138" t="s">
        <v>1019</v>
      </c>
      <c r="S699" s="41">
        <f>IF(Purchase[[#This Row],[Status]]="Cancelled",0,Purchase[[#This Row],[Qty]])</f>
        <v>17</v>
      </c>
      <c r="T699" s="146">
        <f>IF(Purchase[[#This Row],[Status]]="Cancelled",0,Purchase[[#This Row],[Total Amount]])</f>
        <v>102506.6</v>
      </c>
      <c r="U699" s="146">
        <f>SUM(Purchase[Net Amount])</f>
        <v>814985438.68000126</v>
      </c>
    </row>
    <row r="700" spans="1:21" ht="19.5" thickBot="1" x14ac:dyDescent="0.3">
      <c r="A700" s="136" t="s">
        <v>1740</v>
      </c>
      <c r="B700" s="137">
        <v>45693</v>
      </c>
      <c r="C700" s="138" t="s">
        <v>606</v>
      </c>
      <c r="D700" s="138" t="str">
        <f>VLOOKUP(Purchase[[#This Row],[Supplier ID]],Supplier[#All],2,0)</f>
        <v>Prime Traders</v>
      </c>
      <c r="E700" s="138">
        <f>VLOOKUP(Purchase[[#This Row],[Supplier ID]],Supplier[#All],3,0)</f>
        <v>9689542489</v>
      </c>
      <c r="F700" s="138" t="str">
        <f>VLOOKUP(Purchase[[#This Row],[Supplier ID]],Supplier[#All],4,0)</f>
        <v>Indore</v>
      </c>
      <c r="G700" s="138" t="str">
        <f>VLOOKUP(Purchase[[#This Row],[Supplier ID]],Supplier[#All],5,0)</f>
        <v>MP</v>
      </c>
      <c r="H700" s="138" t="str">
        <f>VLOOKUP(Purchase[[#This Row],[Supplier ID]],Supplier[#All],6,0)</f>
        <v>GST2154521T051</v>
      </c>
      <c r="I700" s="138" t="s">
        <v>293</v>
      </c>
      <c r="J700" s="139">
        <v>7</v>
      </c>
      <c r="K700" s="143">
        <f>VLOOKUP(Purchase[[#This Row],[Product ID]],Product[#All],6,0)</f>
        <v>7511</v>
      </c>
      <c r="L700" s="143">
        <f>Purchase[[#This Row],[Purchase Rate]]*Purchase[[#This Row],[Qty]]</f>
        <v>52577</v>
      </c>
      <c r="M700" s="140">
        <v>0</v>
      </c>
      <c r="N700" s="143">
        <v>0</v>
      </c>
      <c r="O700" s="140">
        <v>0.18</v>
      </c>
      <c r="P700" s="145">
        <f>(Purchase[[#This Row],[Gross Amount]]-Purchase[[#This Row],[Disct %]])*Purchase[[#This Row],[GST %]]</f>
        <v>9463.8599999999988</v>
      </c>
      <c r="Q700" s="145">
        <f>Purchase[[#This Row],[Gross Amount]]-Purchase[[#This Row],[Disct Amnt]]+Purchase[[#This Row],[GST Amount]]</f>
        <v>62040.86</v>
      </c>
      <c r="R700" s="138" t="s">
        <v>1019</v>
      </c>
      <c r="S700" s="41">
        <f>IF(Purchase[[#This Row],[Status]]="Cancelled",0,Purchase[[#This Row],[Qty]])</f>
        <v>7</v>
      </c>
      <c r="T700" s="146">
        <f>IF(Purchase[[#This Row],[Status]]="Cancelled",0,Purchase[[#This Row],[Total Amount]])</f>
        <v>62040.86</v>
      </c>
      <c r="U700" s="146">
        <f>SUM(Purchase[Net Amount])</f>
        <v>814985438.68000126</v>
      </c>
    </row>
    <row r="701" spans="1:21" ht="19.5" thickBot="1" x14ac:dyDescent="0.3">
      <c r="A701" s="136" t="s">
        <v>1741</v>
      </c>
      <c r="B701" s="137">
        <v>45693</v>
      </c>
      <c r="C701" s="138" t="s">
        <v>611</v>
      </c>
      <c r="D701" s="138" t="str">
        <f>VLOOKUP(Purchase[[#This Row],[Supplier ID]],Supplier[#All],2,0)</f>
        <v>National Distributors</v>
      </c>
      <c r="E701" s="138">
        <f>VLOOKUP(Purchase[[#This Row],[Supplier ID]],Supplier[#All],3,0)</f>
        <v>9689542494</v>
      </c>
      <c r="F701" s="138" t="str">
        <f>VLOOKUP(Purchase[[#This Row],[Supplier ID]],Supplier[#All],4,0)</f>
        <v>Korba</v>
      </c>
      <c r="G701" s="138" t="str">
        <f>VLOOKUP(Purchase[[#This Row],[Supplier ID]],Supplier[#All],5,0)</f>
        <v>CG</v>
      </c>
      <c r="H701" s="138" t="str">
        <f>VLOOKUP(Purchase[[#This Row],[Supplier ID]],Supplier[#All],6,0)</f>
        <v>GST2154521T056</v>
      </c>
      <c r="I701" s="138" t="s">
        <v>502</v>
      </c>
      <c r="J701" s="139">
        <v>31</v>
      </c>
      <c r="K701" s="143">
        <f>VLOOKUP(Purchase[[#This Row],[Product ID]],Product[#All],6,0)</f>
        <v>24343</v>
      </c>
      <c r="L701" s="143">
        <f>Purchase[[#This Row],[Purchase Rate]]*Purchase[[#This Row],[Qty]]</f>
        <v>754633</v>
      </c>
      <c r="M701" s="140">
        <v>0</v>
      </c>
      <c r="N701" s="143">
        <v>0</v>
      </c>
      <c r="O701" s="140">
        <v>0.18</v>
      </c>
      <c r="P701" s="145">
        <f>(Purchase[[#This Row],[Gross Amount]]-Purchase[[#This Row],[Disct %]])*Purchase[[#This Row],[GST %]]</f>
        <v>135833.94</v>
      </c>
      <c r="Q701" s="145">
        <f>Purchase[[#This Row],[Gross Amount]]-Purchase[[#This Row],[Disct Amnt]]+Purchase[[#This Row],[GST Amount]]</f>
        <v>890466.94</v>
      </c>
      <c r="R701" s="138" t="s">
        <v>1019</v>
      </c>
      <c r="S701" s="41">
        <f>IF(Purchase[[#This Row],[Status]]="Cancelled",0,Purchase[[#This Row],[Qty]])</f>
        <v>31</v>
      </c>
      <c r="T701" s="146">
        <f>IF(Purchase[[#This Row],[Status]]="Cancelled",0,Purchase[[#This Row],[Total Amount]])</f>
        <v>890466.94</v>
      </c>
      <c r="U701" s="146">
        <f>SUM(Purchase[Net Amount])</f>
        <v>814985438.68000126</v>
      </c>
    </row>
    <row r="702" spans="1:21" ht="19.5" thickBot="1" x14ac:dyDescent="0.3">
      <c r="A702" s="136" t="s">
        <v>1742</v>
      </c>
      <c r="B702" s="137">
        <v>45693</v>
      </c>
      <c r="C702" s="138" t="s">
        <v>602</v>
      </c>
      <c r="D702" s="138" t="str">
        <f>VLOOKUP(Purchase[[#This Row],[Supplier ID]],Supplier[#All],2,0)</f>
        <v>Maa Computers</v>
      </c>
      <c r="E702" s="138">
        <f>VLOOKUP(Purchase[[#This Row],[Supplier ID]],Supplier[#All],3,0)</f>
        <v>9689542485</v>
      </c>
      <c r="F702" s="138" t="str">
        <f>VLOOKUP(Purchase[[#This Row],[Supplier ID]],Supplier[#All],4,0)</f>
        <v>Korba</v>
      </c>
      <c r="G702" s="138" t="str">
        <f>VLOOKUP(Purchase[[#This Row],[Supplier ID]],Supplier[#All],5,0)</f>
        <v>CG</v>
      </c>
      <c r="H702" s="138" t="str">
        <f>VLOOKUP(Purchase[[#This Row],[Supplier ID]],Supplier[#All],6,0)</f>
        <v>GST2154521T047</v>
      </c>
      <c r="I702" s="138" t="s">
        <v>247</v>
      </c>
      <c r="J702" s="139">
        <v>11</v>
      </c>
      <c r="K702" s="143">
        <f>VLOOKUP(Purchase[[#This Row],[Product ID]],Product[#All],6,0)</f>
        <v>57779</v>
      </c>
      <c r="L702" s="143">
        <f>Purchase[[#This Row],[Purchase Rate]]*Purchase[[#This Row],[Qty]]</f>
        <v>635569</v>
      </c>
      <c r="M702" s="140">
        <v>0</v>
      </c>
      <c r="N702" s="143">
        <v>0</v>
      </c>
      <c r="O702" s="140">
        <v>0.18</v>
      </c>
      <c r="P702" s="145">
        <f>(Purchase[[#This Row],[Gross Amount]]-Purchase[[#This Row],[Disct %]])*Purchase[[#This Row],[GST %]]</f>
        <v>114402.42</v>
      </c>
      <c r="Q702" s="145">
        <f>Purchase[[#This Row],[Gross Amount]]-Purchase[[#This Row],[Disct Amnt]]+Purchase[[#This Row],[GST Amount]]</f>
        <v>749971.42</v>
      </c>
      <c r="R702" s="138" t="s">
        <v>1019</v>
      </c>
      <c r="S702" s="41">
        <f>IF(Purchase[[#This Row],[Status]]="Cancelled",0,Purchase[[#This Row],[Qty]])</f>
        <v>11</v>
      </c>
      <c r="T702" s="146">
        <f>IF(Purchase[[#This Row],[Status]]="Cancelled",0,Purchase[[#This Row],[Total Amount]])</f>
        <v>749971.42</v>
      </c>
      <c r="U702" s="146">
        <f>SUM(Purchase[Net Amount])</f>
        <v>814985438.68000126</v>
      </c>
    </row>
    <row r="703" spans="1:21" ht="19.5" thickBot="1" x14ac:dyDescent="0.3">
      <c r="A703" s="136" t="s">
        <v>1743</v>
      </c>
      <c r="B703" s="137">
        <v>45694</v>
      </c>
      <c r="C703" s="138" t="s">
        <v>577</v>
      </c>
      <c r="D703" s="138" t="str">
        <f>VLOOKUP(Purchase[[#This Row],[Supplier ID]],Supplier[#All],2,0)</f>
        <v>National Electronics</v>
      </c>
      <c r="E703" s="138">
        <f>VLOOKUP(Purchase[[#This Row],[Supplier ID]],Supplier[#All],3,0)</f>
        <v>9689542469</v>
      </c>
      <c r="F703" s="138" t="str">
        <f>VLOOKUP(Purchase[[#This Row],[Supplier ID]],Supplier[#All],4,0)</f>
        <v>Korba</v>
      </c>
      <c r="G703" s="138" t="str">
        <f>VLOOKUP(Purchase[[#This Row],[Supplier ID]],Supplier[#All],5,0)</f>
        <v>CG</v>
      </c>
      <c r="H703" s="138" t="str">
        <f>VLOOKUP(Purchase[[#This Row],[Supplier ID]],Supplier[#All],6,0)</f>
        <v>GST2154521T023</v>
      </c>
      <c r="I703" s="138" t="s">
        <v>434</v>
      </c>
      <c r="J703" s="139">
        <v>23</v>
      </c>
      <c r="K703" s="143">
        <f>VLOOKUP(Purchase[[#This Row],[Product ID]],Product[#All],6,0)</f>
        <v>6372</v>
      </c>
      <c r="L703" s="143">
        <f>Purchase[[#This Row],[Purchase Rate]]*Purchase[[#This Row],[Qty]]</f>
        <v>146556</v>
      </c>
      <c r="M703" s="140">
        <v>0</v>
      </c>
      <c r="N703" s="143">
        <v>0</v>
      </c>
      <c r="O703" s="140">
        <v>0.18</v>
      </c>
      <c r="P703" s="145">
        <f>(Purchase[[#This Row],[Gross Amount]]-Purchase[[#This Row],[Disct %]])*Purchase[[#This Row],[GST %]]</f>
        <v>26380.079999999998</v>
      </c>
      <c r="Q703" s="145">
        <f>Purchase[[#This Row],[Gross Amount]]-Purchase[[#This Row],[Disct Amnt]]+Purchase[[#This Row],[GST Amount]]</f>
        <v>172936.08</v>
      </c>
      <c r="R703" s="138" t="s">
        <v>1019</v>
      </c>
      <c r="S703" s="41">
        <f>IF(Purchase[[#This Row],[Status]]="Cancelled",0,Purchase[[#This Row],[Qty]])</f>
        <v>23</v>
      </c>
      <c r="T703" s="146">
        <f>IF(Purchase[[#This Row],[Status]]="Cancelled",0,Purchase[[#This Row],[Total Amount]])</f>
        <v>172936.08</v>
      </c>
      <c r="U703" s="146">
        <f>SUM(Purchase[Net Amount])</f>
        <v>814985438.68000126</v>
      </c>
    </row>
    <row r="704" spans="1:21" ht="19.5" thickBot="1" x14ac:dyDescent="0.3">
      <c r="A704" s="136" t="s">
        <v>1744</v>
      </c>
      <c r="B704" s="137">
        <v>45694</v>
      </c>
      <c r="C704" s="138" t="s">
        <v>610</v>
      </c>
      <c r="D704" s="138" t="str">
        <f>VLOOKUP(Purchase[[#This Row],[Supplier ID]],Supplier[#All],2,0)</f>
        <v>Shree Electronics</v>
      </c>
      <c r="E704" s="138">
        <f>VLOOKUP(Purchase[[#This Row],[Supplier ID]],Supplier[#All],3,0)</f>
        <v>9689542493</v>
      </c>
      <c r="F704" s="138" t="str">
        <f>VLOOKUP(Purchase[[#This Row],[Supplier ID]],Supplier[#All],4,0)</f>
        <v>Kanpur</v>
      </c>
      <c r="G704" s="138" t="str">
        <f>VLOOKUP(Purchase[[#This Row],[Supplier ID]],Supplier[#All],5,0)</f>
        <v>UP</v>
      </c>
      <c r="H704" s="138" t="str">
        <f>VLOOKUP(Purchase[[#This Row],[Supplier ID]],Supplier[#All],6,0)</f>
        <v>GST2154521T055</v>
      </c>
      <c r="I704" s="138" t="s">
        <v>408</v>
      </c>
      <c r="J704" s="139">
        <v>37</v>
      </c>
      <c r="K704" s="143">
        <f>VLOOKUP(Purchase[[#This Row],[Product ID]],Product[#All],6,0)</f>
        <v>79437</v>
      </c>
      <c r="L704" s="143">
        <f>Purchase[[#This Row],[Purchase Rate]]*Purchase[[#This Row],[Qty]]</f>
        <v>2939169</v>
      </c>
      <c r="M704" s="140">
        <v>0</v>
      </c>
      <c r="N704" s="143">
        <v>0</v>
      </c>
      <c r="O704" s="140">
        <v>0.18</v>
      </c>
      <c r="P704" s="145">
        <f>(Purchase[[#This Row],[Gross Amount]]-Purchase[[#This Row],[Disct %]])*Purchase[[#This Row],[GST %]]</f>
        <v>529050.41999999993</v>
      </c>
      <c r="Q704" s="145">
        <f>Purchase[[#This Row],[Gross Amount]]-Purchase[[#This Row],[Disct Amnt]]+Purchase[[#This Row],[GST Amount]]</f>
        <v>3468219.42</v>
      </c>
      <c r="R704" s="138" t="s">
        <v>1019</v>
      </c>
      <c r="S704" s="41">
        <f>IF(Purchase[[#This Row],[Status]]="Cancelled",0,Purchase[[#This Row],[Qty]])</f>
        <v>37</v>
      </c>
      <c r="T704" s="146">
        <f>IF(Purchase[[#This Row],[Status]]="Cancelled",0,Purchase[[#This Row],[Total Amount]])</f>
        <v>3468219.42</v>
      </c>
      <c r="U704" s="146">
        <f>SUM(Purchase[Net Amount])</f>
        <v>814985438.68000126</v>
      </c>
    </row>
    <row r="705" spans="1:21" ht="19.5" thickBot="1" x14ac:dyDescent="0.3">
      <c r="A705" s="136" t="s">
        <v>1745</v>
      </c>
      <c r="B705" s="137">
        <v>45694</v>
      </c>
      <c r="C705" s="138" t="s">
        <v>601</v>
      </c>
      <c r="D705" s="138" t="str">
        <f>VLOOKUP(Purchase[[#This Row],[Supplier ID]],Supplier[#All],2,0)</f>
        <v>Maa Distributors</v>
      </c>
      <c r="E705" s="138">
        <f>VLOOKUP(Purchase[[#This Row],[Supplier ID]],Supplier[#All],3,0)</f>
        <v>9689542484</v>
      </c>
      <c r="F705" s="138" t="str">
        <f>VLOOKUP(Purchase[[#This Row],[Supplier ID]],Supplier[#All],4,0)</f>
        <v>Indore</v>
      </c>
      <c r="G705" s="138" t="str">
        <f>VLOOKUP(Purchase[[#This Row],[Supplier ID]],Supplier[#All],5,0)</f>
        <v>MP</v>
      </c>
      <c r="H705" s="138" t="str">
        <f>VLOOKUP(Purchase[[#This Row],[Supplier ID]],Supplier[#All],6,0)</f>
        <v>GST2154521T046</v>
      </c>
      <c r="I705" s="138" t="s">
        <v>225</v>
      </c>
      <c r="J705" s="139">
        <v>17</v>
      </c>
      <c r="K705" s="143">
        <f>VLOOKUP(Purchase[[#This Row],[Product ID]],Product[#All],6,0)</f>
        <v>2607</v>
      </c>
      <c r="L705" s="143">
        <f>Purchase[[#This Row],[Purchase Rate]]*Purchase[[#This Row],[Qty]]</f>
        <v>44319</v>
      </c>
      <c r="M705" s="140">
        <v>0</v>
      </c>
      <c r="N705" s="143">
        <v>0</v>
      </c>
      <c r="O705" s="140">
        <v>0.18</v>
      </c>
      <c r="P705" s="145">
        <f>(Purchase[[#This Row],[Gross Amount]]-Purchase[[#This Row],[Disct %]])*Purchase[[#This Row],[GST %]]</f>
        <v>7977.42</v>
      </c>
      <c r="Q705" s="145">
        <f>Purchase[[#This Row],[Gross Amount]]-Purchase[[#This Row],[Disct Amnt]]+Purchase[[#This Row],[GST Amount]]</f>
        <v>52296.42</v>
      </c>
      <c r="R705" s="138" t="s">
        <v>1040</v>
      </c>
      <c r="S705" s="41">
        <f>IF(Purchase[[#This Row],[Status]]="Cancelled",0,Purchase[[#This Row],[Qty]])</f>
        <v>0</v>
      </c>
      <c r="T705" s="146">
        <f>IF(Purchase[[#This Row],[Status]]="Cancelled",0,Purchase[[#This Row],[Total Amount]])</f>
        <v>0</v>
      </c>
      <c r="U705" s="146">
        <f>SUM(Purchase[Net Amount])</f>
        <v>814985438.68000126</v>
      </c>
    </row>
    <row r="706" spans="1:21" ht="19.5" thickBot="1" x14ac:dyDescent="0.3">
      <c r="A706" s="136" t="s">
        <v>1746</v>
      </c>
      <c r="B706" s="137">
        <v>45694</v>
      </c>
      <c r="C706" s="138" t="s">
        <v>610</v>
      </c>
      <c r="D706" s="138" t="str">
        <f>VLOOKUP(Purchase[[#This Row],[Supplier ID]],Supplier[#All],2,0)</f>
        <v>Shree Electronics</v>
      </c>
      <c r="E706" s="138">
        <f>VLOOKUP(Purchase[[#This Row],[Supplier ID]],Supplier[#All],3,0)</f>
        <v>9689542493</v>
      </c>
      <c r="F706" s="138" t="str">
        <f>VLOOKUP(Purchase[[#This Row],[Supplier ID]],Supplier[#All],4,0)</f>
        <v>Kanpur</v>
      </c>
      <c r="G706" s="138" t="str">
        <f>VLOOKUP(Purchase[[#This Row],[Supplier ID]],Supplier[#All],5,0)</f>
        <v>UP</v>
      </c>
      <c r="H706" s="138" t="str">
        <f>VLOOKUP(Purchase[[#This Row],[Supplier ID]],Supplier[#All],6,0)</f>
        <v>GST2154521T055</v>
      </c>
      <c r="I706" s="138" t="s">
        <v>289</v>
      </c>
      <c r="J706" s="139">
        <v>5</v>
      </c>
      <c r="K706" s="143">
        <f>VLOOKUP(Purchase[[#This Row],[Product ID]],Product[#All],6,0)</f>
        <v>927</v>
      </c>
      <c r="L706" s="143">
        <f>Purchase[[#This Row],[Purchase Rate]]*Purchase[[#This Row],[Qty]]</f>
        <v>4635</v>
      </c>
      <c r="M706" s="140">
        <v>0</v>
      </c>
      <c r="N706" s="143">
        <v>0</v>
      </c>
      <c r="O706" s="140">
        <v>0.18</v>
      </c>
      <c r="P706" s="145">
        <f>(Purchase[[#This Row],[Gross Amount]]-Purchase[[#This Row],[Disct %]])*Purchase[[#This Row],[GST %]]</f>
        <v>834.3</v>
      </c>
      <c r="Q706" s="145">
        <f>Purchase[[#This Row],[Gross Amount]]-Purchase[[#This Row],[Disct Amnt]]+Purchase[[#This Row],[GST Amount]]</f>
        <v>5469.3</v>
      </c>
      <c r="R706" s="138" t="s">
        <v>1019</v>
      </c>
      <c r="S706" s="41">
        <f>IF(Purchase[[#This Row],[Status]]="Cancelled",0,Purchase[[#This Row],[Qty]])</f>
        <v>5</v>
      </c>
      <c r="T706" s="146">
        <f>IF(Purchase[[#This Row],[Status]]="Cancelled",0,Purchase[[#This Row],[Total Amount]])</f>
        <v>5469.3</v>
      </c>
      <c r="U706" s="146">
        <f>SUM(Purchase[Net Amount])</f>
        <v>814985438.68000126</v>
      </c>
    </row>
    <row r="707" spans="1:21" ht="19.5" thickBot="1" x14ac:dyDescent="0.3">
      <c r="A707" s="136" t="s">
        <v>1747</v>
      </c>
      <c r="B707" s="137">
        <v>45694</v>
      </c>
      <c r="C707" s="138" t="s">
        <v>566</v>
      </c>
      <c r="D707" s="138" t="str">
        <f>VLOOKUP(Purchase[[#This Row],[Supplier ID]],Supplier[#All],2,0)</f>
        <v>Maa Computers</v>
      </c>
      <c r="E707" s="138">
        <f>VLOOKUP(Purchase[[#This Row],[Supplier ID]],Supplier[#All],3,0)</f>
        <v>9689542452</v>
      </c>
      <c r="F707" s="138" t="str">
        <f>VLOOKUP(Purchase[[#This Row],[Supplier ID]],Supplier[#All],4,0)</f>
        <v>Kanpur</v>
      </c>
      <c r="G707" s="138" t="str">
        <f>VLOOKUP(Purchase[[#This Row],[Supplier ID]],Supplier[#All],5,0)</f>
        <v>UP</v>
      </c>
      <c r="H707" s="138" t="str">
        <f>VLOOKUP(Purchase[[#This Row],[Supplier ID]],Supplier[#All],6,0)</f>
        <v>GST2154521T014</v>
      </c>
      <c r="I707" s="138" t="s">
        <v>170</v>
      </c>
      <c r="J707" s="139">
        <v>21</v>
      </c>
      <c r="K707" s="143">
        <f>VLOOKUP(Purchase[[#This Row],[Product ID]],Product[#All],6,0)</f>
        <v>26168</v>
      </c>
      <c r="L707" s="143">
        <f>Purchase[[#This Row],[Purchase Rate]]*Purchase[[#This Row],[Qty]]</f>
        <v>549528</v>
      </c>
      <c r="M707" s="140">
        <v>0</v>
      </c>
      <c r="N707" s="143">
        <v>0</v>
      </c>
      <c r="O707" s="140">
        <v>0.18</v>
      </c>
      <c r="P707" s="145">
        <f>(Purchase[[#This Row],[Gross Amount]]-Purchase[[#This Row],[Disct %]])*Purchase[[#This Row],[GST %]]</f>
        <v>98915.04</v>
      </c>
      <c r="Q707" s="145">
        <f>Purchase[[#This Row],[Gross Amount]]-Purchase[[#This Row],[Disct Amnt]]+Purchase[[#This Row],[GST Amount]]</f>
        <v>648443.04</v>
      </c>
      <c r="R707" s="138" t="s">
        <v>1019</v>
      </c>
      <c r="S707" s="41">
        <f>IF(Purchase[[#This Row],[Status]]="Cancelled",0,Purchase[[#This Row],[Qty]])</f>
        <v>21</v>
      </c>
      <c r="T707" s="146">
        <f>IF(Purchase[[#This Row],[Status]]="Cancelled",0,Purchase[[#This Row],[Total Amount]])</f>
        <v>648443.04</v>
      </c>
      <c r="U707" s="146">
        <f>SUM(Purchase[Net Amount])</f>
        <v>814985438.68000126</v>
      </c>
    </row>
    <row r="708" spans="1:21" ht="19.5" thickBot="1" x14ac:dyDescent="0.3">
      <c r="A708" s="136" t="s">
        <v>1748</v>
      </c>
      <c r="B708" s="137">
        <v>45694</v>
      </c>
      <c r="C708" s="138" t="s">
        <v>596</v>
      </c>
      <c r="D708" s="138" t="str">
        <f>VLOOKUP(Purchase[[#This Row],[Supplier ID]],Supplier[#All],2,0)</f>
        <v>star traders</v>
      </c>
      <c r="E708" s="138">
        <f>VLOOKUP(Purchase[[#This Row],[Supplier ID]],Supplier[#All],3,0)</f>
        <v>9689542479</v>
      </c>
      <c r="F708" s="138" t="str">
        <f>VLOOKUP(Purchase[[#This Row],[Supplier ID]],Supplier[#All],4,0)</f>
        <v>Korba</v>
      </c>
      <c r="G708" s="138" t="str">
        <f>VLOOKUP(Purchase[[#This Row],[Supplier ID]],Supplier[#All],5,0)</f>
        <v>CG</v>
      </c>
      <c r="H708" s="138" t="str">
        <f>VLOOKUP(Purchase[[#This Row],[Supplier ID]],Supplier[#All],6,0)</f>
        <v>GST2154521T041</v>
      </c>
      <c r="I708" s="138" t="s">
        <v>379</v>
      </c>
      <c r="J708" s="139">
        <v>5</v>
      </c>
      <c r="K708" s="143">
        <f>VLOOKUP(Purchase[[#This Row],[Product ID]],Product[#All],6,0)</f>
        <v>66232</v>
      </c>
      <c r="L708" s="143">
        <f>Purchase[[#This Row],[Purchase Rate]]*Purchase[[#This Row],[Qty]]</f>
        <v>331160</v>
      </c>
      <c r="M708" s="140">
        <v>0</v>
      </c>
      <c r="N708" s="143">
        <v>0</v>
      </c>
      <c r="O708" s="140">
        <v>0.18</v>
      </c>
      <c r="P708" s="145">
        <f>(Purchase[[#This Row],[Gross Amount]]-Purchase[[#This Row],[Disct %]])*Purchase[[#This Row],[GST %]]</f>
        <v>59608.799999999996</v>
      </c>
      <c r="Q708" s="145">
        <f>Purchase[[#This Row],[Gross Amount]]-Purchase[[#This Row],[Disct Amnt]]+Purchase[[#This Row],[GST Amount]]</f>
        <v>390768.8</v>
      </c>
      <c r="R708" s="138" t="s">
        <v>1019</v>
      </c>
      <c r="S708" s="41">
        <f>IF(Purchase[[#This Row],[Status]]="Cancelled",0,Purchase[[#This Row],[Qty]])</f>
        <v>5</v>
      </c>
      <c r="T708" s="146">
        <f>IF(Purchase[[#This Row],[Status]]="Cancelled",0,Purchase[[#This Row],[Total Amount]])</f>
        <v>390768.8</v>
      </c>
      <c r="U708" s="146">
        <f>SUM(Purchase[Net Amount])</f>
        <v>814985438.68000126</v>
      </c>
    </row>
    <row r="709" spans="1:21" ht="19.5" thickBot="1" x14ac:dyDescent="0.3">
      <c r="A709" s="136" t="s">
        <v>1749</v>
      </c>
      <c r="B709" s="137">
        <v>45694</v>
      </c>
      <c r="C709" s="138" t="s">
        <v>2152</v>
      </c>
      <c r="D709" s="138" t="str">
        <f>VLOOKUP(Purchase[[#This Row],[Supplier ID]],Supplier[#All],2,0)</f>
        <v>Prime Electronics</v>
      </c>
      <c r="E709" s="138">
        <f>VLOOKUP(Purchase[[#This Row],[Supplier ID]],Supplier[#All],3,0)</f>
        <v>9689542465</v>
      </c>
      <c r="F709" s="138" t="str">
        <f>VLOOKUP(Purchase[[#This Row],[Supplier ID]],Supplier[#All],4,0)</f>
        <v>Korba</v>
      </c>
      <c r="G709" s="138" t="str">
        <f>VLOOKUP(Purchase[[#This Row],[Supplier ID]],Supplier[#All],5,0)</f>
        <v>CG</v>
      </c>
      <c r="H709" s="138" t="str">
        <f>VLOOKUP(Purchase[[#This Row],[Supplier ID]],Supplier[#All],6,0)</f>
        <v>GST2154521T027</v>
      </c>
      <c r="I709" s="138" t="s">
        <v>18</v>
      </c>
      <c r="J709" s="139">
        <v>29</v>
      </c>
      <c r="K709" s="143">
        <f>VLOOKUP(Purchase[[#This Row],[Product ID]],Product[#All],6,0)</f>
        <v>701</v>
      </c>
      <c r="L709" s="143">
        <f>Purchase[[#This Row],[Purchase Rate]]*Purchase[[#This Row],[Qty]]</f>
        <v>20329</v>
      </c>
      <c r="M709" s="140">
        <v>0</v>
      </c>
      <c r="N709" s="143">
        <v>0</v>
      </c>
      <c r="O709" s="140">
        <v>0.18</v>
      </c>
      <c r="P709" s="145">
        <f>(Purchase[[#This Row],[Gross Amount]]-Purchase[[#This Row],[Disct %]])*Purchase[[#This Row],[GST %]]</f>
        <v>3659.22</v>
      </c>
      <c r="Q709" s="145">
        <f>Purchase[[#This Row],[Gross Amount]]-Purchase[[#This Row],[Disct Amnt]]+Purchase[[#This Row],[GST Amount]]</f>
        <v>23988.22</v>
      </c>
      <c r="R709" s="138" t="s">
        <v>1019</v>
      </c>
      <c r="S709" s="41">
        <f>IF(Purchase[[#This Row],[Status]]="Cancelled",0,Purchase[[#This Row],[Qty]])</f>
        <v>29</v>
      </c>
      <c r="T709" s="146">
        <f>IF(Purchase[[#This Row],[Status]]="Cancelled",0,Purchase[[#This Row],[Total Amount]])</f>
        <v>23988.22</v>
      </c>
      <c r="U709" s="146">
        <f>SUM(Purchase[Net Amount])</f>
        <v>814985438.68000126</v>
      </c>
    </row>
    <row r="710" spans="1:21" ht="19.5" thickBot="1" x14ac:dyDescent="0.3">
      <c r="A710" s="136" t="s">
        <v>1750</v>
      </c>
      <c r="B710" s="137">
        <v>45694</v>
      </c>
      <c r="C710" s="138" t="s">
        <v>581</v>
      </c>
      <c r="D710" s="138" t="str">
        <f>VLOOKUP(Purchase[[#This Row],[Supplier ID]],Supplier[#All],2,0)</f>
        <v>Prime Electronics</v>
      </c>
      <c r="E710" s="138">
        <f>VLOOKUP(Purchase[[#This Row],[Supplier ID]],Supplier[#All],3,0)</f>
        <v>9689542465</v>
      </c>
      <c r="F710" s="138" t="str">
        <f>VLOOKUP(Purchase[[#This Row],[Supplier ID]],Supplier[#All],4,0)</f>
        <v>Korba</v>
      </c>
      <c r="G710" s="138" t="str">
        <f>VLOOKUP(Purchase[[#This Row],[Supplier ID]],Supplier[#All],5,0)</f>
        <v>CG</v>
      </c>
      <c r="H710" s="138" t="str">
        <f>VLOOKUP(Purchase[[#This Row],[Supplier ID]],Supplier[#All],6,0)</f>
        <v>GST2154521T027</v>
      </c>
      <c r="I710" s="138" t="s">
        <v>380</v>
      </c>
      <c r="J710" s="139">
        <v>17</v>
      </c>
      <c r="K710" s="143">
        <f>VLOOKUP(Purchase[[#This Row],[Product ID]],Product[#All],6,0)</f>
        <v>72229</v>
      </c>
      <c r="L710" s="143">
        <f>Purchase[[#This Row],[Purchase Rate]]*Purchase[[#This Row],[Qty]]</f>
        <v>1227893</v>
      </c>
      <c r="M710" s="140">
        <v>0</v>
      </c>
      <c r="N710" s="143">
        <v>0</v>
      </c>
      <c r="O710" s="140">
        <v>0.18</v>
      </c>
      <c r="P710" s="145">
        <f>(Purchase[[#This Row],[Gross Amount]]-Purchase[[#This Row],[Disct %]])*Purchase[[#This Row],[GST %]]</f>
        <v>221020.74</v>
      </c>
      <c r="Q710" s="145">
        <f>Purchase[[#This Row],[Gross Amount]]-Purchase[[#This Row],[Disct Amnt]]+Purchase[[#This Row],[GST Amount]]</f>
        <v>1448913.74</v>
      </c>
      <c r="R710" s="138" t="s">
        <v>1019</v>
      </c>
      <c r="S710" s="41">
        <f>IF(Purchase[[#This Row],[Status]]="Cancelled",0,Purchase[[#This Row],[Qty]])</f>
        <v>17</v>
      </c>
      <c r="T710" s="146">
        <f>IF(Purchase[[#This Row],[Status]]="Cancelled",0,Purchase[[#This Row],[Total Amount]])</f>
        <v>1448913.74</v>
      </c>
      <c r="U710" s="146">
        <f>SUM(Purchase[Net Amount])</f>
        <v>814985438.68000126</v>
      </c>
    </row>
    <row r="711" spans="1:21" ht="19.5" thickBot="1" x14ac:dyDescent="0.3">
      <c r="A711" s="136" t="s">
        <v>1751</v>
      </c>
      <c r="B711" s="137">
        <v>45694</v>
      </c>
      <c r="C711" s="138" t="s">
        <v>602</v>
      </c>
      <c r="D711" s="138" t="str">
        <f>VLOOKUP(Purchase[[#This Row],[Supplier ID]],Supplier[#All],2,0)</f>
        <v>Maa Computers</v>
      </c>
      <c r="E711" s="138">
        <f>VLOOKUP(Purchase[[#This Row],[Supplier ID]],Supplier[#All],3,0)</f>
        <v>9689542485</v>
      </c>
      <c r="F711" s="138" t="str">
        <f>VLOOKUP(Purchase[[#This Row],[Supplier ID]],Supplier[#All],4,0)</f>
        <v>Korba</v>
      </c>
      <c r="G711" s="138" t="str">
        <f>VLOOKUP(Purchase[[#This Row],[Supplier ID]],Supplier[#All],5,0)</f>
        <v>CG</v>
      </c>
      <c r="H711" s="138" t="str">
        <f>VLOOKUP(Purchase[[#This Row],[Supplier ID]],Supplier[#All],6,0)</f>
        <v>GST2154521T047</v>
      </c>
      <c r="I711" s="138" t="s">
        <v>150</v>
      </c>
      <c r="J711" s="139">
        <v>28</v>
      </c>
      <c r="K711" s="143">
        <f>VLOOKUP(Purchase[[#This Row],[Product ID]],Product[#All],6,0)</f>
        <v>7322</v>
      </c>
      <c r="L711" s="143">
        <f>Purchase[[#This Row],[Purchase Rate]]*Purchase[[#This Row],[Qty]]</f>
        <v>205016</v>
      </c>
      <c r="M711" s="140">
        <v>0</v>
      </c>
      <c r="N711" s="143">
        <v>0</v>
      </c>
      <c r="O711" s="140">
        <v>0.18</v>
      </c>
      <c r="P711" s="145">
        <f>(Purchase[[#This Row],[Gross Amount]]-Purchase[[#This Row],[Disct %]])*Purchase[[#This Row],[GST %]]</f>
        <v>36902.879999999997</v>
      </c>
      <c r="Q711" s="145">
        <f>Purchase[[#This Row],[Gross Amount]]-Purchase[[#This Row],[Disct Amnt]]+Purchase[[#This Row],[GST Amount]]</f>
        <v>241918.88</v>
      </c>
      <c r="R711" s="138" t="s">
        <v>1019</v>
      </c>
      <c r="S711" s="41">
        <f>IF(Purchase[[#This Row],[Status]]="Cancelled",0,Purchase[[#This Row],[Qty]])</f>
        <v>28</v>
      </c>
      <c r="T711" s="146">
        <f>IF(Purchase[[#This Row],[Status]]="Cancelled",0,Purchase[[#This Row],[Total Amount]])</f>
        <v>241918.88</v>
      </c>
      <c r="U711" s="146">
        <f>SUM(Purchase[Net Amount])</f>
        <v>814985438.68000126</v>
      </c>
    </row>
    <row r="712" spans="1:21" ht="19.5" thickBot="1" x14ac:dyDescent="0.3">
      <c r="A712" s="136" t="s">
        <v>1752</v>
      </c>
      <c r="B712" s="137">
        <v>45694</v>
      </c>
      <c r="C712" s="138" t="s">
        <v>606</v>
      </c>
      <c r="D712" s="138" t="str">
        <f>VLOOKUP(Purchase[[#This Row],[Supplier ID]],Supplier[#All],2,0)</f>
        <v>Prime Traders</v>
      </c>
      <c r="E712" s="138">
        <f>VLOOKUP(Purchase[[#This Row],[Supplier ID]],Supplier[#All],3,0)</f>
        <v>9689542489</v>
      </c>
      <c r="F712" s="138" t="str">
        <f>VLOOKUP(Purchase[[#This Row],[Supplier ID]],Supplier[#All],4,0)</f>
        <v>Indore</v>
      </c>
      <c r="G712" s="138" t="str">
        <f>VLOOKUP(Purchase[[#This Row],[Supplier ID]],Supplier[#All],5,0)</f>
        <v>MP</v>
      </c>
      <c r="H712" s="138" t="str">
        <f>VLOOKUP(Purchase[[#This Row],[Supplier ID]],Supplier[#All],6,0)</f>
        <v>GST2154521T051</v>
      </c>
      <c r="I712" s="138" t="s">
        <v>234</v>
      </c>
      <c r="J712" s="139">
        <v>13</v>
      </c>
      <c r="K712" s="143">
        <f>VLOOKUP(Purchase[[#This Row],[Product ID]],Product[#All],6,0)</f>
        <v>63093</v>
      </c>
      <c r="L712" s="143">
        <f>Purchase[[#This Row],[Purchase Rate]]*Purchase[[#This Row],[Qty]]</f>
        <v>820209</v>
      </c>
      <c r="M712" s="140">
        <v>0</v>
      </c>
      <c r="N712" s="143">
        <v>0</v>
      </c>
      <c r="O712" s="140">
        <v>0.18</v>
      </c>
      <c r="P712" s="145">
        <f>(Purchase[[#This Row],[Gross Amount]]-Purchase[[#This Row],[Disct %]])*Purchase[[#This Row],[GST %]]</f>
        <v>147637.62</v>
      </c>
      <c r="Q712" s="145">
        <f>Purchase[[#This Row],[Gross Amount]]-Purchase[[#This Row],[Disct Amnt]]+Purchase[[#This Row],[GST Amount]]</f>
        <v>967846.62</v>
      </c>
      <c r="R712" s="138" t="s">
        <v>1019</v>
      </c>
      <c r="S712" s="41">
        <f>IF(Purchase[[#This Row],[Status]]="Cancelled",0,Purchase[[#This Row],[Qty]])</f>
        <v>13</v>
      </c>
      <c r="T712" s="146">
        <f>IF(Purchase[[#This Row],[Status]]="Cancelled",0,Purchase[[#This Row],[Total Amount]])</f>
        <v>967846.62</v>
      </c>
      <c r="U712" s="146">
        <f>SUM(Purchase[Net Amount])</f>
        <v>814985438.68000126</v>
      </c>
    </row>
    <row r="713" spans="1:21" ht="19.5" thickBot="1" x14ac:dyDescent="0.3">
      <c r="A713" s="136" t="s">
        <v>1753</v>
      </c>
      <c r="B713" s="137">
        <v>45694</v>
      </c>
      <c r="C713" s="138" t="s">
        <v>581</v>
      </c>
      <c r="D713" s="138" t="str">
        <f>VLOOKUP(Purchase[[#This Row],[Supplier ID]],Supplier[#All],2,0)</f>
        <v>Prime Electronics</v>
      </c>
      <c r="E713" s="138">
        <f>VLOOKUP(Purchase[[#This Row],[Supplier ID]],Supplier[#All],3,0)</f>
        <v>9689542465</v>
      </c>
      <c r="F713" s="138" t="str">
        <f>VLOOKUP(Purchase[[#This Row],[Supplier ID]],Supplier[#All],4,0)</f>
        <v>Korba</v>
      </c>
      <c r="G713" s="138" t="str">
        <f>VLOOKUP(Purchase[[#This Row],[Supplier ID]],Supplier[#All],5,0)</f>
        <v>CG</v>
      </c>
      <c r="H713" s="138" t="str">
        <f>VLOOKUP(Purchase[[#This Row],[Supplier ID]],Supplier[#All],6,0)</f>
        <v>GST2154521T027</v>
      </c>
      <c r="I713" s="138" t="s">
        <v>268</v>
      </c>
      <c r="J713" s="139">
        <v>9</v>
      </c>
      <c r="K713" s="143">
        <f>VLOOKUP(Purchase[[#This Row],[Product ID]],Product[#All],6,0)</f>
        <v>1726</v>
      </c>
      <c r="L713" s="143">
        <f>Purchase[[#This Row],[Purchase Rate]]*Purchase[[#This Row],[Qty]]</f>
        <v>15534</v>
      </c>
      <c r="M713" s="140">
        <v>0</v>
      </c>
      <c r="N713" s="143">
        <v>0</v>
      </c>
      <c r="O713" s="140">
        <v>0.18</v>
      </c>
      <c r="P713" s="145">
        <f>(Purchase[[#This Row],[Gross Amount]]-Purchase[[#This Row],[Disct %]])*Purchase[[#This Row],[GST %]]</f>
        <v>2796.12</v>
      </c>
      <c r="Q713" s="145">
        <f>Purchase[[#This Row],[Gross Amount]]-Purchase[[#This Row],[Disct Amnt]]+Purchase[[#This Row],[GST Amount]]</f>
        <v>18330.12</v>
      </c>
      <c r="R713" s="138" t="s">
        <v>1019</v>
      </c>
      <c r="S713" s="41">
        <f>IF(Purchase[[#This Row],[Status]]="Cancelled",0,Purchase[[#This Row],[Qty]])</f>
        <v>9</v>
      </c>
      <c r="T713" s="146">
        <f>IF(Purchase[[#This Row],[Status]]="Cancelled",0,Purchase[[#This Row],[Total Amount]])</f>
        <v>18330.12</v>
      </c>
      <c r="U713" s="146">
        <f>SUM(Purchase[Net Amount])</f>
        <v>814985438.68000126</v>
      </c>
    </row>
    <row r="714" spans="1:21" ht="19.5" thickBot="1" x14ac:dyDescent="0.3">
      <c r="A714" s="136" t="s">
        <v>1754</v>
      </c>
      <c r="B714" s="137">
        <v>45694</v>
      </c>
      <c r="C714" s="138" t="s">
        <v>577</v>
      </c>
      <c r="D714" s="138" t="str">
        <f>VLOOKUP(Purchase[[#This Row],[Supplier ID]],Supplier[#All],2,0)</f>
        <v>National Electronics</v>
      </c>
      <c r="E714" s="138">
        <f>VLOOKUP(Purchase[[#This Row],[Supplier ID]],Supplier[#All],3,0)</f>
        <v>9689542469</v>
      </c>
      <c r="F714" s="138" t="str">
        <f>VLOOKUP(Purchase[[#This Row],[Supplier ID]],Supplier[#All],4,0)</f>
        <v>Korba</v>
      </c>
      <c r="G714" s="138" t="str">
        <f>VLOOKUP(Purchase[[#This Row],[Supplier ID]],Supplier[#All],5,0)</f>
        <v>CG</v>
      </c>
      <c r="H714" s="138" t="str">
        <f>VLOOKUP(Purchase[[#This Row],[Supplier ID]],Supplier[#All],6,0)</f>
        <v>GST2154521T023</v>
      </c>
      <c r="I714" s="138" t="s">
        <v>80</v>
      </c>
      <c r="J714" s="139">
        <v>34</v>
      </c>
      <c r="K714" s="143">
        <f>VLOOKUP(Purchase[[#This Row],[Product ID]],Product[#All],6,0)</f>
        <v>34693</v>
      </c>
      <c r="L714" s="143">
        <f>Purchase[[#This Row],[Purchase Rate]]*Purchase[[#This Row],[Qty]]</f>
        <v>1179562</v>
      </c>
      <c r="M714" s="140">
        <v>0</v>
      </c>
      <c r="N714" s="143">
        <v>0</v>
      </c>
      <c r="O714" s="140">
        <v>0.18</v>
      </c>
      <c r="P714" s="145">
        <f>(Purchase[[#This Row],[Gross Amount]]-Purchase[[#This Row],[Disct %]])*Purchase[[#This Row],[GST %]]</f>
        <v>212321.16</v>
      </c>
      <c r="Q714" s="145">
        <f>Purchase[[#This Row],[Gross Amount]]-Purchase[[#This Row],[Disct Amnt]]+Purchase[[#This Row],[GST Amount]]</f>
        <v>1391883.16</v>
      </c>
      <c r="R714" s="138" t="s">
        <v>1019</v>
      </c>
      <c r="S714" s="41">
        <f>IF(Purchase[[#This Row],[Status]]="Cancelled",0,Purchase[[#This Row],[Qty]])</f>
        <v>34</v>
      </c>
      <c r="T714" s="146">
        <f>IF(Purchase[[#This Row],[Status]]="Cancelled",0,Purchase[[#This Row],[Total Amount]])</f>
        <v>1391883.16</v>
      </c>
      <c r="U714" s="146">
        <f>SUM(Purchase[Net Amount])</f>
        <v>814985438.68000126</v>
      </c>
    </row>
    <row r="715" spans="1:21" ht="19.5" thickBot="1" x14ac:dyDescent="0.3">
      <c r="A715" s="136" t="s">
        <v>1755</v>
      </c>
      <c r="B715" s="137">
        <v>45694</v>
      </c>
      <c r="C715" s="138" t="s">
        <v>601</v>
      </c>
      <c r="D715" s="138" t="str">
        <f>VLOOKUP(Purchase[[#This Row],[Supplier ID]],Supplier[#All],2,0)</f>
        <v>Maa Distributors</v>
      </c>
      <c r="E715" s="138">
        <f>VLOOKUP(Purchase[[#This Row],[Supplier ID]],Supplier[#All],3,0)</f>
        <v>9689542484</v>
      </c>
      <c r="F715" s="138" t="str">
        <f>VLOOKUP(Purchase[[#This Row],[Supplier ID]],Supplier[#All],4,0)</f>
        <v>Indore</v>
      </c>
      <c r="G715" s="138" t="str">
        <f>VLOOKUP(Purchase[[#This Row],[Supplier ID]],Supplier[#All],5,0)</f>
        <v>MP</v>
      </c>
      <c r="H715" s="138" t="str">
        <f>VLOOKUP(Purchase[[#This Row],[Supplier ID]],Supplier[#All],6,0)</f>
        <v>GST2154521T046</v>
      </c>
      <c r="I715" s="138" t="s">
        <v>394</v>
      </c>
      <c r="J715" s="139">
        <v>5</v>
      </c>
      <c r="K715" s="143">
        <f>VLOOKUP(Purchase[[#This Row],[Product ID]],Product[#All],6,0)</f>
        <v>1446</v>
      </c>
      <c r="L715" s="143">
        <f>Purchase[[#This Row],[Purchase Rate]]*Purchase[[#This Row],[Qty]]</f>
        <v>7230</v>
      </c>
      <c r="M715" s="140">
        <v>0</v>
      </c>
      <c r="N715" s="143">
        <v>0</v>
      </c>
      <c r="O715" s="140">
        <v>0.18</v>
      </c>
      <c r="P715" s="145">
        <f>(Purchase[[#This Row],[Gross Amount]]-Purchase[[#This Row],[Disct %]])*Purchase[[#This Row],[GST %]]</f>
        <v>1301.3999999999999</v>
      </c>
      <c r="Q715" s="145">
        <f>Purchase[[#This Row],[Gross Amount]]-Purchase[[#This Row],[Disct Amnt]]+Purchase[[#This Row],[GST Amount]]</f>
        <v>8531.4</v>
      </c>
      <c r="R715" s="138" t="s">
        <v>1019</v>
      </c>
      <c r="S715" s="41">
        <f>IF(Purchase[[#This Row],[Status]]="Cancelled",0,Purchase[[#This Row],[Qty]])</f>
        <v>5</v>
      </c>
      <c r="T715" s="146">
        <f>IF(Purchase[[#This Row],[Status]]="Cancelled",0,Purchase[[#This Row],[Total Amount]])</f>
        <v>8531.4</v>
      </c>
      <c r="U715" s="146">
        <f>SUM(Purchase[Net Amount])</f>
        <v>814985438.68000126</v>
      </c>
    </row>
    <row r="716" spans="1:21" ht="19.5" thickBot="1" x14ac:dyDescent="0.3">
      <c r="A716" s="136" t="s">
        <v>1756</v>
      </c>
      <c r="B716" s="137">
        <v>45694</v>
      </c>
      <c r="C716" s="138" t="s">
        <v>612</v>
      </c>
      <c r="D716" s="138" t="str">
        <f>VLOOKUP(Purchase[[#This Row],[Supplier ID]],Supplier[#All],2,0)</f>
        <v>National Computers</v>
      </c>
      <c r="E716" s="138">
        <f>VLOOKUP(Purchase[[#This Row],[Supplier ID]],Supplier[#All],3,0)</f>
        <v>9689542495</v>
      </c>
      <c r="F716" s="138" t="str">
        <f>VLOOKUP(Purchase[[#This Row],[Supplier ID]],Supplier[#All],4,0)</f>
        <v>Indore</v>
      </c>
      <c r="G716" s="138" t="str">
        <f>VLOOKUP(Purchase[[#This Row],[Supplier ID]],Supplier[#All],5,0)</f>
        <v>MP</v>
      </c>
      <c r="H716" s="138" t="str">
        <f>VLOOKUP(Purchase[[#This Row],[Supplier ID]],Supplier[#All],6,0)</f>
        <v>GST2154521T057</v>
      </c>
      <c r="I716" s="138" t="s">
        <v>154</v>
      </c>
      <c r="J716" s="139">
        <v>24</v>
      </c>
      <c r="K716" s="143">
        <f>VLOOKUP(Purchase[[#This Row],[Product ID]],Product[#All],6,0)</f>
        <v>39768</v>
      </c>
      <c r="L716" s="143">
        <f>Purchase[[#This Row],[Purchase Rate]]*Purchase[[#This Row],[Qty]]</f>
        <v>954432</v>
      </c>
      <c r="M716" s="140">
        <v>0</v>
      </c>
      <c r="N716" s="143">
        <v>0</v>
      </c>
      <c r="O716" s="140">
        <v>0.18</v>
      </c>
      <c r="P716" s="145">
        <f>(Purchase[[#This Row],[Gross Amount]]-Purchase[[#This Row],[Disct %]])*Purchase[[#This Row],[GST %]]</f>
        <v>171797.75999999998</v>
      </c>
      <c r="Q716" s="145">
        <f>Purchase[[#This Row],[Gross Amount]]-Purchase[[#This Row],[Disct Amnt]]+Purchase[[#This Row],[GST Amount]]</f>
        <v>1126229.76</v>
      </c>
      <c r="R716" s="138" t="s">
        <v>1019</v>
      </c>
      <c r="S716" s="41">
        <f>IF(Purchase[[#This Row],[Status]]="Cancelled",0,Purchase[[#This Row],[Qty]])</f>
        <v>24</v>
      </c>
      <c r="T716" s="146">
        <f>IF(Purchase[[#This Row],[Status]]="Cancelled",0,Purchase[[#This Row],[Total Amount]])</f>
        <v>1126229.76</v>
      </c>
      <c r="U716" s="146">
        <f>SUM(Purchase[Net Amount])</f>
        <v>814985438.68000126</v>
      </c>
    </row>
    <row r="717" spans="1:21" ht="19.5" thickBot="1" x14ac:dyDescent="0.3">
      <c r="A717" s="136" t="s">
        <v>1757</v>
      </c>
      <c r="B717" s="137">
        <v>45694</v>
      </c>
      <c r="C717" s="138" t="s">
        <v>614</v>
      </c>
      <c r="D717" s="138" t="str">
        <f>VLOOKUP(Purchase[[#This Row],[Supplier ID]],Supplier[#All],2,0)</f>
        <v>National Electronics</v>
      </c>
      <c r="E717" s="138">
        <f>VLOOKUP(Purchase[[#This Row],[Supplier ID]],Supplier[#All],3,0)</f>
        <v>9689542497</v>
      </c>
      <c r="F717" s="138" t="str">
        <f>VLOOKUP(Purchase[[#This Row],[Supplier ID]],Supplier[#All],4,0)</f>
        <v>Kanpur</v>
      </c>
      <c r="G717" s="138" t="str">
        <f>VLOOKUP(Purchase[[#This Row],[Supplier ID]],Supplier[#All],5,0)</f>
        <v>UP</v>
      </c>
      <c r="H717" s="138" t="str">
        <f>VLOOKUP(Purchase[[#This Row],[Supplier ID]],Supplier[#All],6,0)</f>
        <v>GST2154521T059</v>
      </c>
      <c r="I717" s="138" t="s">
        <v>152</v>
      </c>
      <c r="J717" s="139">
        <v>35</v>
      </c>
      <c r="K717" s="143">
        <f>VLOOKUP(Purchase[[#This Row],[Product ID]],Product[#All],6,0)</f>
        <v>29602</v>
      </c>
      <c r="L717" s="143">
        <f>Purchase[[#This Row],[Purchase Rate]]*Purchase[[#This Row],[Qty]]</f>
        <v>1036070</v>
      </c>
      <c r="M717" s="140">
        <v>0</v>
      </c>
      <c r="N717" s="143">
        <v>0</v>
      </c>
      <c r="O717" s="140">
        <v>0.18</v>
      </c>
      <c r="P717" s="145">
        <f>(Purchase[[#This Row],[Gross Amount]]-Purchase[[#This Row],[Disct %]])*Purchase[[#This Row],[GST %]]</f>
        <v>186492.6</v>
      </c>
      <c r="Q717" s="145">
        <f>Purchase[[#This Row],[Gross Amount]]-Purchase[[#This Row],[Disct Amnt]]+Purchase[[#This Row],[GST Amount]]</f>
        <v>1222562.6000000001</v>
      </c>
      <c r="R717" s="138" t="s">
        <v>1019</v>
      </c>
      <c r="S717" s="41">
        <f>IF(Purchase[[#This Row],[Status]]="Cancelled",0,Purchase[[#This Row],[Qty]])</f>
        <v>35</v>
      </c>
      <c r="T717" s="146">
        <f>IF(Purchase[[#This Row],[Status]]="Cancelled",0,Purchase[[#This Row],[Total Amount]])</f>
        <v>1222562.6000000001</v>
      </c>
      <c r="U717" s="146">
        <f>SUM(Purchase[Net Amount])</f>
        <v>814985438.68000126</v>
      </c>
    </row>
    <row r="718" spans="1:21" ht="19.5" thickBot="1" x14ac:dyDescent="0.3">
      <c r="A718" s="136" t="s">
        <v>1758</v>
      </c>
      <c r="B718" s="137">
        <v>45694</v>
      </c>
      <c r="C718" s="138" t="s">
        <v>579</v>
      </c>
      <c r="D718" s="138" t="str">
        <f>VLOOKUP(Purchase[[#This Row],[Supplier ID]],Supplier[#All],2,0)</f>
        <v>Tech Traders</v>
      </c>
      <c r="E718" s="138">
        <f>VLOOKUP(Purchase[[#This Row],[Supplier ID]],Supplier[#All],3,0)</f>
        <v>9689542463</v>
      </c>
      <c r="F718" s="138" t="str">
        <f>VLOOKUP(Purchase[[#This Row],[Supplier ID]],Supplier[#All],4,0)</f>
        <v>Kanpur</v>
      </c>
      <c r="G718" s="138" t="str">
        <f>VLOOKUP(Purchase[[#This Row],[Supplier ID]],Supplier[#All],5,0)</f>
        <v>UP</v>
      </c>
      <c r="H718" s="138" t="str">
        <f>VLOOKUP(Purchase[[#This Row],[Supplier ID]],Supplier[#All],6,0)</f>
        <v>GST2154521T025</v>
      </c>
      <c r="I718" s="138" t="s">
        <v>359</v>
      </c>
      <c r="J718" s="139">
        <v>3</v>
      </c>
      <c r="K718" s="143">
        <f>VLOOKUP(Purchase[[#This Row],[Product ID]],Product[#All],6,0)</f>
        <v>922</v>
      </c>
      <c r="L718" s="143">
        <f>Purchase[[#This Row],[Purchase Rate]]*Purchase[[#This Row],[Qty]]</f>
        <v>2766</v>
      </c>
      <c r="M718" s="140">
        <v>0</v>
      </c>
      <c r="N718" s="143">
        <v>0</v>
      </c>
      <c r="O718" s="140">
        <v>0.18</v>
      </c>
      <c r="P718" s="145">
        <f>(Purchase[[#This Row],[Gross Amount]]-Purchase[[#This Row],[Disct %]])*Purchase[[#This Row],[GST %]]</f>
        <v>497.88</v>
      </c>
      <c r="Q718" s="145">
        <f>Purchase[[#This Row],[Gross Amount]]-Purchase[[#This Row],[Disct Amnt]]+Purchase[[#This Row],[GST Amount]]</f>
        <v>3263.88</v>
      </c>
      <c r="R718" s="138" t="s">
        <v>1019</v>
      </c>
      <c r="S718" s="41">
        <f>IF(Purchase[[#This Row],[Status]]="Cancelled",0,Purchase[[#This Row],[Qty]])</f>
        <v>3</v>
      </c>
      <c r="T718" s="146">
        <f>IF(Purchase[[#This Row],[Status]]="Cancelled",0,Purchase[[#This Row],[Total Amount]])</f>
        <v>3263.88</v>
      </c>
      <c r="U718" s="146">
        <f>SUM(Purchase[Net Amount])</f>
        <v>814985438.68000126</v>
      </c>
    </row>
    <row r="719" spans="1:21" ht="19.5" thickBot="1" x14ac:dyDescent="0.3">
      <c r="A719" s="136" t="s">
        <v>1759</v>
      </c>
      <c r="B719" s="137">
        <v>45694</v>
      </c>
      <c r="C719" s="138" t="s">
        <v>591</v>
      </c>
      <c r="D719" s="138" t="str">
        <f>VLOOKUP(Purchase[[#This Row],[Supplier ID]],Supplier[#All],2,0)</f>
        <v>Shree Computers</v>
      </c>
      <c r="E719" s="138">
        <f>VLOOKUP(Purchase[[#This Row],[Supplier ID]],Supplier[#All],3,0)</f>
        <v>9689542475</v>
      </c>
      <c r="F719" s="138" t="str">
        <f>VLOOKUP(Purchase[[#This Row],[Supplier ID]],Supplier[#All],4,0)</f>
        <v>Indore</v>
      </c>
      <c r="G719" s="138" t="str">
        <f>VLOOKUP(Purchase[[#This Row],[Supplier ID]],Supplier[#All],5,0)</f>
        <v>MP</v>
      </c>
      <c r="H719" s="138" t="str">
        <f>VLOOKUP(Purchase[[#This Row],[Supplier ID]],Supplier[#All],6,0)</f>
        <v>GST2154521T037</v>
      </c>
      <c r="I719" s="138" t="s">
        <v>346</v>
      </c>
      <c r="J719" s="139">
        <v>39</v>
      </c>
      <c r="K719" s="143">
        <f>VLOOKUP(Purchase[[#This Row],[Product ID]],Product[#All],6,0)</f>
        <v>77190</v>
      </c>
      <c r="L719" s="143">
        <f>Purchase[[#This Row],[Purchase Rate]]*Purchase[[#This Row],[Qty]]</f>
        <v>3010410</v>
      </c>
      <c r="M719" s="140">
        <v>0</v>
      </c>
      <c r="N719" s="143">
        <v>0</v>
      </c>
      <c r="O719" s="140">
        <v>0.18</v>
      </c>
      <c r="P719" s="145">
        <f>(Purchase[[#This Row],[Gross Amount]]-Purchase[[#This Row],[Disct %]])*Purchase[[#This Row],[GST %]]</f>
        <v>541873.79999999993</v>
      </c>
      <c r="Q719" s="145">
        <f>Purchase[[#This Row],[Gross Amount]]-Purchase[[#This Row],[Disct Amnt]]+Purchase[[#This Row],[GST Amount]]</f>
        <v>3552283.8</v>
      </c>
      <c r="R719" s="138" t="s">
        <v>1019</v>
      </c>
      <c r="S719" s="41">
        <f>IF(Purchase[[#This Row],[Status]]="Cancelled",0,Purchase[[#This Row],[Qty]])</f>
        <v>39</v>
      </c>
      <c r="T719" s="146">
        <f>IF(Purchase[[#This Row],[Status]]="Cancelled",0,Purchase[[#This Row],[Total Amount]])</f>
        <v>3552283.8</v>
      </c>
      <c r="U719" s="146">
        <f>SUM(Purchase[Net Amount])</f>
        <v>814985438.68000126</v>
      </c>
    </row>
    <row r="720" spans="1:21" ht="19.5" thickBot="1" x14ac:dyDescent="0.3">
      <c r="A720" s="136" t="s">
        <v>1760</v>
      </c>
      <c r="B720" s="137">
        <v>45694</v>
      </c>
      <c r="C720" s="138" t="s">
        <v>609</v>
      </c>
      <c r="D720" s="138" t="str">
        <f>VLOOKUP(Purchase[[#This Row],[Supplier ID]],Supplier[#All],2,0)</f>
        <v>Star Suppliers</v>
      </c>
      <c r="E720" s="138">
        <f>VLOOKUP(Purchase[[#This Row],[Supplier ID]],Supplier[#All],3,0)</f>
        <v>9689542492</v>
      </c>
      <c r="F720" s="138" t="str">
        <f>VLOOKUP(Purchase[[#This Row],[Supplier ID]],Supplier[#All],4,0)</f>
        <v>Kanpur</v>
      </c>
      <c r="G720" s="138" t="str">
        <f>VLOOKUP(Purchase[[#This Row],[Supplier ID]],Supplier[#All],5,0)</f>
        <v>UP</v>
      </c>
      <c r="H720" s="138" t="str">
        <f>VLOOKUP(Purchase[[#This Row],[Supplier ID]],Supplier[#All],6,0)</f>
        <v>GST2154521T054</v>
      </c>
      <c r="I720" s="138" t="s">
        <v>311</v>
      </c>
      <c r="J720" s="139">
        <v>40</v>
      </c>
      <c r="K720" s="143">
        <f>VLOOKUP(Purchase[[#This Row],[Product ID]],Product[#All],6,0)</f>
        <v>471</v>
      </c>
      <c r="L720" s="143">
        <f>Purchase[[#This Row],[Purchase Rate]]*Purchase[[#This Row],[Qty]]</f>
        <v>18840</v>
      </c>
      <c r="M720" s="140">
        <v>0</v>
      </c>
      <c r="N720" s="143">
        <v>0</v>
      </c>
      <c r="O720" s="140">
        <v>0.18</v>
      </c>
      <c r="P720" s="145">
        <f>(Purchase[[#This Row],[Gross Amount]]-Purchase[[#This Row],[Disct %]])*Purchase[[#This Row],[GST %]]</f>
        <v>3391.2</v>
      </c>
      <c r="Q720" s="145">
        <f>Purchase[[#This Row],[Gross Amount]]-Purchase[[#This Row],[Disct Amnt]]+Purchase[[#This Row],[GST Amount]]</f>
        <v>22231.200000000001</v>
      </c>
      <c r="R720" s="138" t="s">
        <v>1019</v>
      </c>
      <c r="S720" s="41">
        <f>IF(Purchase[[#This Row],[Status]]="Cancelled",0,Purchase[[#This Row],[Qty]])</f>
        <v>40</v>
      </c>
      <c r="T720" s="146">
        <f>IF(Purchase[[#This Row],[Status]]="Cancelled",0,Purchase[[#This Row],[Total Amount]])</f>
        <v>22231.200000000001</v>
      </c>
      <c r="U720" s="146">
        <f>SUM(Purchase[Net Amount])</f>
        <v>814985438.68000126</v>
      </c>
    </row>
    <row r="721" spans="1:21" ht="19.5" thickBot="1" x14ac:dyDescent="0.3">
      <c r="A721" s="136" t="s">
        <v>1761</v>
      </c>
      <c r="B721" s="137">
        <v>45694</v>
      </c>
      <c r="C721" s="138" t="s">
        <v>575</v>
      </c>
      <c r="D721" s="138" t="str">
        <f>VLOOKUP(Purchase[[#This Row],[Supplier ID]],Supplier[#All],2,0)</f>
        <v>Global Computers</v>
      </c>
      <c r="E721" s="138">
        <f>VLOOKUP(Purchase[[#This Row],[Supplier ID]],Supplier[#All],3,0)</f>
        <v>9689542459</v>
      </c>
      <c r="F721" s="138" t="str">
        <f>VLOOKUP(Purchase[[#This Row],[Supplier ID]],Supplier[#All],4,0)</f>
        <v>Indore</v>
      </c>
      <c r="G721" s="138" t="str">
        <f>VLOOKUP(Purchase[[#This Row],[Supplier ID]],Supplier[#All],5,0)</f>
        <v>MP</v>
      </c>
      <c r="H721" s="138" t="str">
        <f>VLOOKUP(Purchase[[#This Row],[Supplier ID]],Supplier[#All],6,0)</f>
        <v>GST2154521T021</v>
      </c>
      <c r="I721" s="138" t="s">
        <v>474</v>
      </c>
      <c r="J721" s="139">
        <v>35</v>
      </c>
      <c r="K721" s="143">
        <f>VLOOKUP(Purchase[[#This Row],[Product ID]],Product[#All],6,0)</f>
        <v>1027</v>
      </c>
      <c r="L721" s="143">
        <f>Purchase[[#This Row],[Purchase Rate]]*Purchase[[#This Row],[Qty]]</f>
        <v>35945</v>
      </c>
      <c r="M721" s="140">
        <v>0</v>
      </c>
      <c r="N721" s="143">
        <v>0</v>
      </c>
      <c r="O721" s="140">
        <v>0.18</v>
      </c>
      <c r="P721" s="145">
        <f>(Purchase[[#This Row],[Gross Amount]]-Purchase[[#This Row],[Disct %]])*Purchase[[#This Row],[GST %]]</f>
        <v>6470.0999999999995</v>
      </c>
      <c r="Q721" s="145">
        <f>Purchase[[#This Row],[Gross Amount]]-Purchase[[#This Row],[Disct Amnt]]+Purchase[[#This Row],[GST Amount]]</f>
        <v>42415.1</v>
      </c>
      <c r="R721" s="138" t="s">
        <v>1019</v>
      </c>
      <c r="S721" s="41">
        <f>IF(Purchase[[#This Row],[Status]]="Cancelled",0,Purchase[[#This Row],[Qty]])</f>
        <v>35</v>
      </c>
      <c r="T721" s="146">
        <f>IF(Purchase[[#This Row],[Status]]="Cancelled",0,Purchase[[#This Row],[Total Amount]])</f>
        <v>42415.1</v>
      </c>
      <c r="U721" s="146">
        <f>SUM(Purchase[Net Amount])</f>
        <v>814985438.68000126</v>
      </c>
    </row>
    <row r="722" spans="1:21" ht="19.5" thickBot="1" x14ac:dyDescent="0.3">
      <c r="A722" s="136" t="s">
        <v>1762</v>
      </c>
      <c r="B722" s="137">
        <v>45694</v>
      </c>
      <c r="C722" s="138" t="s">
        <v>610</v>
      </c>
      <c r="D722" s="138" t="str">
        <f>VLOOKUP(Purchase[[#This Row],[Supplier ID]],Supplier[#All],2,0)</f>
        <v>Shree Electronics</v>
      </c>
      <c r="E722" s="138">
        <f>VLOOKUP(Purchase[[#This Row],[Supplier ID]],Supplier[#All],3,0)</f>
        <v>9689542493</v>
      </c>
      <c r="F722" s="138" t="str">
        <f>VLOOKUP(Purchase[[#This Row],[Supplier ID]],Supplier[#All],4,0)</f>
        <v>Kanpur</v>
      </c>
      <c r="G722" s="138" t="str">
        <f>VLOOKUP(Purchase[[#This Row],[Supplier ID]],Supplier[#All],5,0)</f>
        <v>UP</v>
      </c>
      <c r="H722" s="138" t="str">
        <f>VLOOKUP(Purchase[[#This Row],[Supplier ID]],Supplier[#All],6,0)</f>
        <v>GST2154521T055</v>
      </c>
      <c r="I722" s="138" t="s">
        <v>127</v>
      </c>
      <c r="J722" s="139">
        <v>40</v>
      </c>
      <c r="K722" s="143">
        <f>VLOOKUP(Purchase[[#This Row],[Product ID]],Product[#All],6,0)</f>
        <v>3474</v>
      </c>
      <c r="L722" s="143">
        <f>Purchase[[#This Row],[Purchase Rate]]*Purchase[[#This Row],[Qty]]</f>
        <v>138960</v>
      </c>
      <c r="M722" s="140">
        <v>0</v>
      </c>
      <c r="N722" s="143">
        <v>0</v>
      </c>
      <c r="O722" s="140">
        <v>0.18</v>
      </c>
      <c r="P722" s="145">
        <f>(Purchase[[#This Row],[Gross Amount]]-Purchase[[#This Row],[Disct %]])*Purchase[[#This Row],[GST %]]</f>
        <v>25012.799999999999</v>
      </c>
      <c r="Q722" s="145">
        <f>Purchase[[#This Row],[Gross Amount]]-Purchase[[#This Row],[Disct Amnt]]+Purchase[[#This Row],[GST Amount]]</f>
        <v>163972.79999999999</v>
      </c>
      <c r="R722" s="138" t="s">
        <v>1019</v>
      </c>
      <c r="S722" s="41">
        <f>IF(Purchase[[#This Row],[Status]]="Cancelled",0,Purchase[[#This Row],[Qty]])</f>
        <v>40</v>
      </c>
      <c r="T722" s="146">
        <f>IF(Purchase[[#This Row],[Status]]="Cancelled",0,Purchase[[#This Row],[Total Amount]])</f>
        <v>163972.79999999999</v>
      </c>
      <c r="U722" s="146">
        <f>SUM(Purchase[Net Amount])</f>
        <v>814985438.68000126</v>
      </c>
    </row>
    <row r="723" spans="1:21" ht="19.5" thickBot="1" x14ac:dyDescent="0.3">
      <c r="A723" s="136" t="s">
        <v>1763</v>
      </c>
      <c r="B723" s="137">
        <v>45694</v>
      </c>
      <c r="C723" s="138" t="s">
        <v>588</v>
      </c>
      <c r="D723" s="138" t="str">
        <f>VLOOKUP(Purchase[[#This Row],[Supplier ID]],Supplier[#All],2,0)</f>
        <v>Star Electronics</v>
      </c>
      <c r="E723" s="138">
        <f>VLOOKUP(Purchase[[#This Row],[Supplier ID]],Supplier[#All],3,0)</f>
        <v>9689542472</v>
      </c>
      <c r="F723" s="138" t="str">
        <f>VLOOKUP(Purchase[[#This Row],[Supplier ID]],Supplier[#All],4,0)</f>
        <v>Korba</v>
      </c>
      <c r="G723" s="138" t="str">
        <f>VLOOKUP(Purchase[[#This Row],[Supplier ID]],Supplier[#All],5,0)</f>
        <v>CG</v>
      </c>
      <c r="H723" s="138" t="str">
        <f>VLOOKUP(Purchase[[#This Row],[Supplier ID]],Supplier[#All],6,0)</f>
        <v>GST2154521T034</v>
      </c>
      <c r="I723" s="138" t="s">
        <v>102</v>
      </c>
      <c r="J723" s="139">
        <v>9</v>
      </c>
      <c r="K723" s="143">
        <f>VLOOKUP(Purchase[[#This Row],[Product ID]],Product[#All],6,0)</f>
        <v>10483</v>
      </c>
      <c r="L723" s="143">
        <f>Purchase[[#This Row],[Purchase Rate]]*Purchase[[#This Row],[Qty]]</f>
        <v>94347</v>
      </c>
      <c r="M723" s="140">
        <v>0</v>
      </c>
      <c r="N723" s="143">
        <v>0</v>
      </c>
      <c r="O723" s="140">
        <v>0.18</v>
      </c>
      <c r="P723" s="145">
        <f>(Purchase[[#This Row],[Gross Amount]]-Purchase[[#This Row],[Disct %]])*Purchase[[#This Row],[GST %]]</f>
        <v>16982.46</v>
      </c>
      <c r="Q723" s="145">
        <f>Purchase[[#This Row],[Gross Amount]]-Purchase[[#This Row],[Disct Amnt]]+Purchase[[#This Row],[GST Amount]]</f>
        <v>111329.45999999999</v>
      </c>
      <c r="R723" s="138" t="s">
        <v>1019</v>
      </c>
      <c r="S723" s="41">
        <f>IF(Purchase[[#This Row],[Status]]="Cancelled",0,Purchase[[#This Row],[Qty]])</f>
        <v>9</v>
      </c>
      <c r="T723" s="146">
        <f>IF(Purchase[[#This Row],[Status]]="Cancelled",0,Purchase[[#This Row],[Total Amount]])</f>
        <v>111329.45999999999</v>
      </c>
      <c r="U723" s="146">
        <f>SUM(Purchase[Net Amount])</f>
        <v>814985438.68000126</v>
      </c>
    </row>
    <row r="724" spans="1:21" ht="19.5" thickBot="1" x14ac:dyDescent="0.3">
      <c r="A724" s="136" t="s">
        <v>1764</v>
      </c>
      <c r="B724" s="137">
        <v>45694</v>
      </c>
      <c r="C724" s="138" t="s">
        <v>609</v>
      </c>
      <c r="D724" s="138" t="str">
        <f>VLOOKUP(Purchase[[#This Row],[Supplier ID]],Supplier[#All],2,0)</f>
        <v>Star Suppliers</v>
      </c>
      <c r="E724" s="138">
        <f>VLOOKUP(Purchase[[#This Row],[Supplier ID]],Supplier[#All],3,0)</f>
        <v>9689542492</v>
      </c>
      <c r="F724" s="138" t="str">
        <f>VLOOKUP(Purchase[[#This Row],[Supplier ID]],Supplier[#All],4,0)</f>
        <v>Kanpur</v>
      </c>
      <c r="G724" s="138" t="str">
        <f>VLOOKUP(Purchase[[#This Row],[Supplier ID]],Supplier[#All],5,0)</f>
        <v>UP</v>
      </c>
      <c r="H724" s="138" t="str">
        <f>VLOOKUP(Purchase[[#This Row],[Supplier ID]],Supplier[#All],6,0)</f>
        <v>GST2154521T054</v>
      </c>
      <c r="I724" s="138" t="s">
        <v>438</v>
      </c>
      <c r="J724" s="139">
        <v>8</v>
      </c>
      <c r="K724" s="143">
        <f>VLOOKUP(Purchase[[#This Row],[Product ID]],Product[#All],6,0)</f>
        <v>1324</v>
      </c>
      <c r="L724" s="143">
        <f>Purchase[[#This Row],[Purchase Rate]]*Purchase[[#This Row],[Qty]]</f>
        <v>10592</v>
      </c>
      <c r="M724" s="140">
        <v>0</v>
      </c>
      <c r="N724" s="143">
        <v>0</v>
      </c>
      <c r="O724" s="140">
        <v>0.18</v>
      </c>
      <c r="P724" s="145">
        <f>(Purchase[[#This Row],[Gross Amount]]-Purchase[[#This Row],[Disct %]])*Purchase[[#This Row],[GST %]]</f>
        <v>1906.56</v>
      </c>
      <c r="Q724" s="145">
        <f>Purchase[[#This Row],[Gross Amount]]-Purchase[[#This Row],[Disct Amnt]]+Purchase[[#This Row],[GST Amount]]</f>
        <v>12498.56</v>
      </c>
      <c r="R724" s="138" t="s">
        <v>1019</v>
      </c>
      <c r="S724" s="41">
        <f>IF(Purchase[[#This Row],[Status]]="Cancelled",0,Purchase[[#This Row],[Qty]])</f>
        <v>8</v>
      </c>
      <c r="T724" s="146">
        <f>IF(Purchase[[#This Row],[Status]]="Cancelled",0,Purchase[[#This Row],[Total Amount]])</f>
        <v>12498.56</v>
      </c>
      <c r="U724" s="146">
        <f>SUM(Purchase[Net Amount])</f>
        <v>814985438.68000126</v>
      </c>
    </row>
    <row r="725" spans="1:21" ht="19.5" thickBot="1" x14ac:dyDescent="0.3">
      <c r="A725" s="136" t="s">
        <v>1765</v>
      </c>
      <c r="B725" s="137">
        <v>45694</v>
      </c>
      <c r="C725" s="138" t="s">
        <v>564</v>
      </c>
      <c r="D725" s="138" t="str">
        <f>VLOOKUP(Purchase[[#This Row],[Supplier ID]],Supplier[#All],2,0)</f>
        <v xml:space="preserve">Star Electronics </v>
      </c>
      <c r="E725" s="138">
        <f>VLOOKUP(Purchase[[#This Row],[Supplier ID]],Supplier[#All],3,0)</f>
        <v>9689542450</v>
      </c>
      <c r="F725" s="138" t="str">
        <f>VLOOKUP(Purchase[[#This Row],[Supplier ID]],Supplier[#All],4,0)</f>
        <v>Korba</v>
      </c>
      <c r="G725" s="138" t="str">
        <f>VLOOKUP(Purchase[[#This Row],[Supplier ID]],Supplier[#All],5,0)</f>
        <v>CG</v>
      </c>
      <c r="H725" s="138" t="str">
        <f>VLOOKUP(Purchase[[#This Row],[Supplier ID]],Supplier[#All],6,0)</f>
        <v>GST2154521T012</v>
      </c>
      <c r="I725" s="138" t="s">
        <v>70</v>
      </c>
      <c r="J725" s="139">
        <v>20</v>
      </c>
      <c r="K725" s="143">
        <f>VLOOKUP(Purchase[[#This Row],[Product ID]],Product[#All],6,0)</f>
        <v>3980</v>
      </c>
      <c r="L725" s="143">
        <f>Purchase[[#This Row],[Purchase Rate]]*Purchase[[#This Row],[Qty]]</f>
        <v>79600</v>
      </c>
      <c r="M725" s="140">
        <v>0</v>
      </c>
      <c r="N725" s="143">
        <v>0</v>
      </c>
      <c r="O725" s="140">
        <v>0.18</v>
      </c>
      <c r="P725" s="145">
        <f>(Purchase[[#This Row],[Gross Amount]]-Purchase[[#This Row],[Disct %]])*Purchase[[#This Row],[GST %]]</f>
        <v>14328</v>
      </c>
      <c r="Q725" s="145">
        <f>Purchase[[#This Row],[Gross Amount]]-Purchase[[#This Row],[Disct Amnt]]+Purchase[[#This Row],[GST Amount]]</f>
        <v>93928</v>
      </c>
      <c r="R725" s="138" t="s">
        <v>1019</v>
      </c>
      <c r="S725" s="41">
        <f>IF(Purchase[[#This Row],[Status]]="Cancelled",0,Purchase[[#This Row],[Qty]])</f>
        <v>20</v>
      </c>
      <c r="T725" s="146">
        <f>IF(Purchase[[#This Row],[Status]]="Cancelled",0,Purchase[[#This Row],[Total Amount]])</f>
        <v>93928</v>
      </c>
      <c r="U725" s="146">
        <f>SUM(Purchase[Net Amount])</f>
        <v>814985438.68000126</v>
      </c>
    </row>
    <row r="726" spans="1:21" ht="19.5" thickBot="1" x14ac:dyDescent="0.3">
      <c r="A726" s="136" t="s">
        <v>1766</v>
      </c>
      <c r="B726" s="137">
        <v>45694</v>
      </c>
      <c r="C726" s="138" t="s">
        <v>565</v>
      </c>
      <c r="D726" s="138" t="str">
        <f>VLOOKUP(Purchase[[#This Row],[Supplier ID]],Supplier[#All],2,0)</f>
        <v>Global Suppliers</v>
      </c>
      <c r="E726" s="138">
        <f>VLOOKUP(Purchase[[#This Row],[Supplier ID]],Supplier[#All],3,0)</f>
        <v>9689542459</v>
      </c>
      <c r="F726" s="138" t="str">
        <f>VLOOKUP(Purchase[[#This Row],[Supplier ID]],Supplier[#All],4,0)</f>
        <v>Indore</v>
      </c>
      <c r="G726" s="138" t="str">
        <f>VLOOKUP(Purchase[[#This Row],[Supplier ID]],Supplier[#All],5,0)</f>
        <v>MP</v>
      </c>
      <c r="H726" s="138" t="str">
        <f>VLOOKUP(Purchase[[#This Row],[Supplier ID]],Supplier[#All],6,0)</f>
        <v>GST2154521T013</v>
      </c>
      <c r="I726" s="138" t="s">
        <v>332</v>
      </c>
      <c r="J726" s="139">
        <v>9</v>
      </c>
      <c r="K726" s="143">
        <f>VLOOKUP(Purchase[[#This Row],[Product ID]],Product[#All],6,0)</f>
        <v>21908</v>
      </c>
      <c r="L726" s="143">
        <f>Purchase[[#This Row],[Purchase Rate]]*Purchase[[#This Row],[Qty]]</f>
        <v>197172</v>
      </c>
      <c r="M726" s="140">
        <v>0</v>
      </c>
      <c r="N726" s="143">
        <v>0</v>
      </c>
      <c r="O726" s="140">
        <v>0.18</v>
      </c>
      <c r="P726" s="145">
        <f>(Purchase[[#This Row],[Gross Amount]]-Purchase[[#This Row],[Disct %]])*Purchase[[#This Row],[GST %]]</f>
        <v>35490.959999999999</v>
      </c>
      <c r="Q726" s="145">
        <f>Purchase[[#This Row],[Gross Amount]]-Purchase[[#This Row],[Disct Amnt]]+Purchase[[#This Row],[GST Amount]]</f>
        <v>232662.96</v>
      </c>
      <c r="R726" s="138" t="s">
        <v>1019</v>
      </c>
      <c r="S726" s="41">
        <f>IF(Purchase[[#This Row],[Status]]="Cancelled",0,Purchase[[#This Row],[Qty]])</f>
        <v>9</v>
      </c>
      <c r="T726" s="146">
        <f>IF(Purchase[[#This Row],[Status]]="Cancelled",0,Purchase[[#This Row],[Total Amount]])</f>
        <v>232662.96</v>
      </c>
      <c r="U726" s="146">
        <f>SUM(Purchase[Net Amount])</f>
        <v>814985438.68000126</v>
      </c>
    </row>
    <row r="727" spans="1:21" ht="19.5" thickBot="1" x14ac:dyDescent="0.3">
      <c r="A727" s="136" t="s">
        <v>1767</v>
      </c>
      <c r="B727" s="137">
        <v>45694</v>
      </c>
      <c r="C727" s="138" t="s">
        <v>604</v>
      </c>
      <c r="D727" s="138" t="str">
        <f>VLOOKUP(Purchase[[#This Row],[Supplier ID]],Supplier[#All],2,0)</f>
        <v>Prime Traders</v>
      </c>
      <c r="E727" s="138">
        <f>VLOOKUP(Purchase[[#This Row],[Supplier ID]],Supplier[#All],3,0)</f>
        <v>9689542487</v>
      </c>
      <c r="F727" s="138" t="str">
        <f>VLOOKUP(Purchase[[#This Row],[Supplier ID]],Supplier[#All],4,0)</f>
        <v>Indore</v>
      </c>
      <c r="G727" s="138" t="str">
        <f>VLOOKUP(Purchase[[#This Row],[Supplier ID]],Supplier[#All],5,0)</f>
        <v>MP</v>
      </c>
      <c r="H727" s="138" t="str">
        <f>VLOOKUP(Purchase[[#This Row],[Supplier ID]],Supplier[#All],6,0)</f>
        <v>GST2154521T049</v>
      </c>
      <c r="I727" s="138" t="s">
        <v>117</v>
      </c>
      <c r="J727" s="139">
        <v>28</v>
      </c>
      <c r="K727" s="143">
        <f>VLOOKUP(Purchase[[#This Row],[Product ID]],Product[#All],6,0)</f>
        <v>2303</v>
      </c>
      <c r="L727" s="143">
        <f>Purchase[[#This Row],[Purchase Rate]]*Purchase[[#This Row],[Qty]]</f>
        <v>64484</v>
      </c>
      <c r="M727" s="140">
        <v>0</v>
      </c>
      <c r="N727" s="143">
        <v>0</v>
      </c>
      <c r="O727" s="140">
        <v>0.18</v>
      </c>
      <c r="P727" s="145">
        <f>(Purchase[[#This Row],[Gross Amount]]-Purchase[[#This Row],[Disct %]])*Purchase[[#This Row],[GST %]]</f>
        <v>11607.119999999999</v>
      </c>
      <c r="Q727" s="145">
        <f>Purchase[[#This Row],[Gross Amount]]-Purchase[[#This Row],[Disct Amnt]]+Purchase[[#This Row],[GST Amount]]</f>
        <v>76091.12</v>
      </c>
      <c r="R727" s="138" t="s">
        <v>1019</v>
      </c>
      <c r="S727" s="41">
        <f>IF(Purchase[[#This Row],[Status]]="Cancelled",0,Purchase[[#This Row],[Qty]])</f>
        <v>28</v>
      </c>
      <c r="T727" s="146">
        <f>IF(Purchase[[#This Row],[Status]]="Cancelled",0,Purchase[[#This Row],[Total Amount]])</f>
        <v>76091.12</v>
      </c>
      <c r="U727" s="146">
        <f>SUM(Purchase[Net Amount])</f>
        <v>814985438.68000126</v>
      </c>
    </row>
    <row r="728" spans="1:21" ht="19.5" thickBot="1" x14ac:dyDescent="0.3">
      <c r="A728" s="136" t="s">
        <v>1768</v>
      </c>
      <c r="B728" s="137">
        <v>45694</v>
      </c>
      <c r="C728" s="138" t="s">
        <v>569</v>
      </c>
      <c r="D728" s="138" t="str">
        <f>VLOOKUP(Purchase[[#This Row],[Supplier ID]],Supplier[#All],2,0)</f>
        <v>Tech Electronics</v>
      </c>
      <c r="E728" s="138">
        <f>VLOOKUP(Purchase[[#This Row],[Supplier ID]],Supplier[#All],3,0)</f>
        <v>9689542455</v>
      </c>
      <c r="F728" s="138" t="str">
        <f>VLOOKUP(Purchase[[#This Row],[Supplier ID]],Supplier[#All],4,0)</f>
        <v>Korba</v>
      </c>
      <c r="G728" s="138" t="str">
        <f>VLOOKUP(Purchase[[#This Row],[Supplier ID]],Supplier[#All],5,0)</f>
        <v>CG</v>
      </c>
      <c r="H728" s="138" t="str">
        <f>VLOOKUP(Purchase[[#This Row],[Supplier ID]],Supplier[#All],6,0)</f>
        <v>GST2154521T017</v>
      </c>
      <c r="I728" s="138" t="s">
        <v>359</v>
      </c>
      <c r="J728" s="139">
        <v>17</v>
      </c>
      <c r="K728" s="143">
        <f>VLOOKUP(Purchase[[#This Row],[Product ID]],Product[#All],6,0)</f>
        <v>922</v>
      </c>
      <c r="L728" s="143">
        <f>Purchase[[#This Row],[Purchase Rate]]*Purchase[[#This Row],[Qty]]</f>
        <v>15674</v>
      </c>
      <c r="M728" s="140">
        <v>0</v>
      </c>
      <c r="N728" s="143">
        <v>0</v>
      </c>
      <c r="O728" s="140">
        <v>0.18</v>
      </c>
      <c r="P728" s="145">
        <f>(Purchase[[#This Row],[Gross Amount]]-Purchase[[#This Row],[Disct %]])*Purchase[[#This Row],[GST %]]</f>
        <v>2821.3199999999997</v>
      </c>
      <c r="Q728" s="145">
        <f>Purchase[[#This Row],[Gross Amount]]-Purchase[[#This Row],[Disct Amnt]]+Purchase[[#This Row],[GST Amount]]</f>
        <v>18495.32</v>
      </c>
      <c r="R728" s="138" t="s">
        <v>1019</v>
      </c>
      <c r="S728" s="41">
        <f>IF(Purchase[[#This Row],[Status]]="Cancelled",0,Purchase[[#This Row],[Qty]])</f>
        <v>17</v>
      </c>
      <c r="T728" s="146">
        <f>IF(Purchase[[#This Row],[Status]]="Cancelled",0,Purchase[[#This Row],[Total Amount]])</f>
        <v>18495.32</v>
      </c>
      <c r="U728" s="146">
        <f>SUM(Purchase[Net Amount])</f>
        <v>814985438.68000126</v>
      </c>
    </row>
    <row r="729" spans="1:21" ht="19.5" thickBot="1" x14ac:dyDescent="0.3">
      <c r="A729" s="136" t="s">
        <v>1769</v>
      </c>
      <c r="B729" s="137">
        <v>45694</v>
      </c>
      <c r="C729" s="138" t="s">
        <v>598</v>
      </c>
      <c r="D729" s="138" t="str">
        <f>VLOOKUP(Purchase[[#This Row],[Supplier ID]],Supplier[#All],2,0)</f>
        <v>National Distributors</v>
      </c>
      <c r="E729" s="138">
        <f>VLOOKUP(Purchase[[#This Row],[Supplier ID]],Supplier[#All],3,0)</f>
        <v>9689542489</v>
      </c>
      <c r="F729" s="138" t="str">
        <f>VLOOKUP(Purchase[[#This Row],[Supplier ID]],Supplier[#All],4,0)</f>
        <v>Indore</v>
      </c>
      <c r="G729" s="138" t="str">
        <f>VLOOKUP(Purchase[[#This Row],[Supplier ID]],Supplier[#All],5,0)</f>
        <v>MP</v>
      </c>
      <c r="H729" s="138" t="str">
        <f>VLOOKUP(Purchase[[#This Row],[Supplier ID]],Supplier[#All],6,0)</f>
        <v>GST2154521T043</v>
      </c>
      <c r="I729" s="138" t="s">
        <v>309</v>
      </c>
      <c r="J729" s="139">
        <v>26</v>
      </c>
      <c r="K729" s="143">
        <f>VLOOKUP(Purchase[[#This Row],[Product ID]],Product[#All],6,0)</f>
        <v>1051</v>
      </c>
      <c r="L729" s="143">
        <f>Purchase[[#This Row],[Purchase Rate]]*Purchase[[#This Row],[Qty]]</f>
        <v>27326</v>
      </c>
      <c r="M729" s="140">
        <v>0</v>
      </c>
      <c r="N729" s="143">
        <v>0</v>
      </c>
      <c r="O729" s="140">
        <v>0.18</v>
      </c>
      <c r="P729" s="145">
        <f>(Purchase[[#This Row],[Gross Amount]]-Purchase[[#This Row],[Disct %]])*Purchase[[#This Row],[GST %]]</f>
        <v>4918.6799999999994</v>
      </c>
      <c r="Q729" s="145">
        <f>Purchase[[#This Row],[Gross Amount]]-Purchase[[#This Row],[Disct Amnt]]+Purchase[[#This Row],[GST Amount]]</f>
        <v>32244.68</v>
      </c>
      <c r="R729" s="138" t="s">
        <v>1019</v>
      </c>
      <c r="S729" s="41">
        <f>IF(Purchase[[#This Row],[Status]]="Cancelled",0,Purchase[[#This Row],[Qty]])</f>
        <v>26</v>
      </c>
      <c r="T729" s="146">
        <f>IF(Purchase[[#This Row],[Status]]="Cancelled",0,Purchase[[#This Row],[Total Amount]])</f>
        <v>32244.68</v>
      </c>
      <c r="U729" s="146">
        <f>SUM(Purchase[Net Amount])</f>
        <v>814985438.68000126</v>
      </c>
    </row>
    <row r="730" spans="1:21" ht="19.5" thickBot="1" x14ac:dyDescent="0.3">
      <c r="A730" s="136" t="s">
        <v>1770</v>
      </c>
      <c r="B730" s="137">
        <v>45694</v>
      </c>
      <c r="C730" s="138" t="s">
        <v>616</v>
      </c>
      <c r="D730" s="138" t="str">
        <f>VLOOKUP(Purchase[[#This Row],[Supplier ID]],Supplier[#All],2,0)</f>
        <v>Global Suppliers</v>
      </c>
      <c r="E730" s="138">
        <f>VLOOKUP(Purchase[[#This Row],[Supplier ID]],Supplier[#All],3,0)</f>
        <v>9689542499</v>
      </c>
      <c r="F730" s="138" t="str">
        <f>VLOOKUP(Purchase[[#This Row],[Supplier ID]],Supplier[#All],4,0)</f>
        <v>Kanpur</v>
      </c>
      <c r="G730" s="138" t="str">
        <f>VLOOKUP(Purchase[[#This Row],[Supplier ID]],Supplier[#All],5,0)</f>
        <v>UP</v>
      </c>
      <c r="H730" s="138" t="str">
        <f>VLOOKUP(Purchase[[#This Row],[Supplier ID]],Supplier[#All],6,0)</f>
        <v>GST2154521T061</v>
      </c>
      <c r="I730" s="138" t="s">
        <v>452</v>
      </c>
      <c r="J730" s="139">
        <v>25</v>
      </c>
      <c r="K730" s="143">
        <f>VLOOKUP(Purchase[[#This Row],[Product ID]],Product[#All],6,0)</f>
        <v>723</v>
      </c>
      <c r="L730" s="143">
        <f>Purchase[[#This Row],[Purchase Rate]]*Purchase[[#This Row],[Qty]]</f>
        <v>18075</v>
      </c>
      <c r="M730" s="140">
        <v>0</v>
      </c>
      <c r="N730" s="143">
        <v>0</v>
      </c>
      <c r="O730" s="140">
        <v>0.18</v>
      </c>
      <c r="P730" s="145">
        <f>(Purchase[[#This Row],[Gross Amount]]-Purchase[[#This Row],[Disct %]])*Purchase[[#This Row],[GST %]]</f>
        <v>3253.5</v>
      </c>
      <c r="Q730" s="145">
        <f>Purchase[[#This Row],[Gross Amount]]-Purchase[[#This Row],[Disct Amnt]]+Purchase[[#This Row],[GST Amount]]</f>
        <v>21328.5</v>
      </c>
      <c r="R730" s="138" t="s">
        <v>1019</v>
      </c>
      <c r="S730" s="41">
        <f>IF(Purchase[[#This Row],[Status]]="Cancelled",0,Purchase[[#This Row],[Qty]])</f>
        <v>25</v>
      </c>
      <c r="T730" s="146">
        <f>IF(Purchase[[#This Row],[Status]]="Cancelled",0,Purchase[[#This Row],[Total Amount]])</f>
        <v>21328.5</v>
      </c>
      <c r="U730" s="146">
        <f>SUM(Purchase[Net Amount])</f>
        <v>814985438.68000126</v>
      </c>
    </row>
    <row r="731" spans="1:21" ht="19.5" thickBot="1" x14ac:dyDescent="0.3">
      <c r="A731" s="136" t="s">
        <v>1771</v>
      </c>
      <c r="B731" s="137">
        <v>45695</v>
      </c>
      <c r="C731" s="138" t="s">
        <v>604</v>
      </c>
      <c r="D731" s="138" t="str">
        <f>VLOOKUP(Purchase[[#This Row],[Supplier ID]],Supplier[#All],2,0)</f>
        <v>Prime Traders</v>
      </c>
      <c r="E731" s="138">
        <f>VLOOKUP(Purchase[[#This Row],[Supplier ID]],Supplier[#All],3,0)</f>
        <v>9689542487</v>
      </c>
      <c r="F731" s="138" t="str">
        <f>VLOOKUP(Purchase[[#This Row],[Supplier ID]],Supplier[#All],4,0)</f>
        <v>Indore</v>
      </c>
      <c r="G731" s="138" t="str">
        <f>VLOOKUP(Purchase[[#This Row],[Supplier ID]],Supplier[#All],5,0)</f>
        <v>MP</v>
      </c>
      <c r="H731" s="138" t="str">
        <f>VLOOKUP(Purchase[[#This Row],[Supplier ID]],Supplier[#All],6,0)</f>
        <v>GST2154521T049</v>
      </c>
      <c r="I731" s="138" t="s">
        <v>284</v>
      </c>
      <c r="J731" s="139">
        <v>3</v>
      </c>
      <c r="K731" s="143">
        <f>VLOOKUP(Purchase[[#This Row],[Product ID]],Product[#All],6,0)</f>
        <v>1542</v>
      </c>
      <c r="L731" s="143">
        <f>Purchase[[#This Row],[Purchase Rate]]*Purchase[[#This Row],[Qty]]</f>
        <v>4626</v>
      </c>
      <c r="M731" s="140">
        <v>0</v>
      </c>
      <c r="N731" s="143">
        <v>0</v>
      </c>
      <c r="O731" s="140">
        <v>0.18</v>
      </c>
      <c r="P731" s="145">
        <f>(Purchase[[#This Row],[Gross Amount]]-Purchase[[#This Row],[Disct %]])*Purchase[[#This Row],[GST %]]</f>
        <v>832.68</v>
      </c>
      <c r="Q731" s="145">
        <f>Purchase[[#This Row],[Gross Amount]]-Purchase[[#This Row],[Disct Amnt]]+Purchase[[#This Row],[GST Amount]]</f>
        <v>5458.68</v>
      </c>
      <c r="R731" s="138" t="s">
        <v>1019</v>
      </c>
      <c r="S731" s="41">
        <f>IF(Purchase[[#This Row],[Status]]="Cancelled",0,Purchase[[#This Row],[Qty]])</f>
        <v>3</v>
      </c>
      <c r="T731" s="146">
        <f>IF(Purchase[[#This Row],[Status]]="Cancelled",0,Purchase[[#This Row],[Total Amount]])</f>
        <v>5458.68</v>
      </c>
      <c r="U731" s="146">
        <f>SUM(Purchase[Net Amount])</f>
        <v>814985438.68000126</v>
      </c>
    </row>
    <row r="732" spans="1:21" ht="19.5" thickBot="1" x14ac:dyDescent="0.3">
      <c r="A732" s="136" t="s">
        <v>1772</v>
      </c>
      <c r="B732" s="137">
        <v>45695</v>
      </c>
      <c r="C732" s="138" t="s">
        <v>569</v>
      </c>
      <c r="D732" s="138" t="str">
        <f>VLOOKUP(Purchase[[#This Row],[Supplier ID]],Supplier[#All],2,0)</f>
        <v>Tech Electronics</v>
      </c>
      <c r="E732" s="138">
        <f>VLOOKUP(Purchase[[#This Row],[Supplier ID]],Supplier[#All],3,0)</f>
        <v>9689542455</v>
      </c>
      <c r="F732" s="138" t="str">
        <f>VLOOKUP(Purchase[[#This Row],[Supplier ID]],Supplier[#All],4,0)</f>
        <v>Korba</v>
      </c>
      <c r="G732" s="138" t="str">
        <f>VLOOKUP(Purchase[[#This Row],[Supplier ID]],Supplier[#All],5,0)</f>
        <v>CG</v>
      </c>
      <c r="H732" s="138" t="str">
        <f>VLOOKUP(Purchase[[#This Row],[Supplier ID]],Supplier[#All],6,0)</f>
        <v>GST2154521T017</v>
      </c>
      <c r="I732" s="138" t="s">
        <v>445</v>
      </c>
      <c r="J732" s="139">
        <v>3</v>
      </c>
      <c r="K732" s="143">
        <f>VLOOKUP(Purchase[[#This Row],[Product ID]],Product[#All],6,0)</f>
        <v>33297</v>
      </c>
      <c r="L732" s="143">
        <f>Purchase[[#This Row],[Purchase Rate]]*Purchase[[#This Row],[Qty]]</f>
        <v>99891</v>
      </c>
      <c r="M732" s="140">
        <v>0</v>
      </c>
      <c r="N732" s="143">
        <v>0</v>
      </c>
      <c r="O732" s="140">
        <v>0.18</v>
      </c>
      <c r="P732" s="145">
        <f>(Purchase[[#This Row],[Gross Amount]]-Purchase[[#This Row],[Disct %]])*Purchase[[#This Row],[GST %]]</f>
        <v>17980.38</v>
      </c>
      <c r="Q732" s="145">
        <f>Purchase[[#This Row],[Gross Amount]]-Purchase[[#This Row],[Disct Amnt]]+Purchase[[#This Row],[GST Amount]]</f>
        <v>117871.38</v>
      </c>
      <c r="R732" s="138" t="s">
        <v>1019</v>
      </c>
      <c r="S732" s="41">
        <f>IF(Purchase[[#This Row],[Status]]="Cancelled",0,Purchase[[#This Row],[Qty]])</f>
        <v>3</v>
      </c>
      <c r="T732" s="146">
        <f>IF(Purchase[[#This Row],[Status]]="Cancelled",0,Purchase[[#This Row],[Total Amount]])</f>
        <v>117871.38</v>
      </c>
      <c r="U732" s="146">
        <f>SUM(Purchase[Net Amount])</f>
        <v>814985438.68000126</v>
      </c>
    </row>
    <row r="733" spans="1:21" ht="19.5" thickBot="1" x14ac:dyDescent="0.3">
      <c r="A733" s="136" t="s">
        <v>1773</v>
      </c>
      <c r="B733" s="137">
        <v>45695</v>
      </c>
      <c r="C733" s="138" t="s">
        <v>584</v>
      </c>
      <c r="D733" s="138" t="str">
        <f>VLOOKUP(Purchase[[#This Row],[Supplier ID]],Supplier[#All],2,0)</f>
        <v>Prime Computers</v>
      </c>
      <c r="E733" s="138">
        <f>VLOOKUP(Purchase[[#This Row],[Supplier ID]],Supplier[#All],3,0)</f>
        <v>9689542468</v>
      </c>
      <c r="F733" s="138" t="str">
        <f>VLOOKUP(Purchase[[#This Row],[Supplier ID]],Supplier[#All],4,0)</f>
        <v>Kanpur</v>
      </c>
      <c r="G733" s="138" t="str">
        <f>VLOOKUP(Purchase[[#This Row],[Supplier ID]],Supplier[#All],5,0)</f>
        <v>UP</v>
      </c>
      <c r="H733" s="138" t="str">
        <f>VLOOKUP(Purchase[[#This Row],[Supplier ID]],Supplier[#All],6,0)</f>
        <v>GST2154521T030</v>
      </c>
      <c r="I733" s="138" t="s">
        <v>494</v>
      </c>
      <c r="J733" s="139">
        <v>12</v>
      </c>
      <c r="K733" s="143">
        <f>VLOOKUP(Purchase[[#This Row],[Product ID]],Product[#All],6,0)</f>
        <v>549</v>
      </c>
      <c r="L733" s="143">
        <f>Purchase[[#This Row],[Purchase Rate]]*Purchase[[#This Row],[Qty]]</f>
        <v>6588</v>
      </c>
      <c r="M733" s="140">
        <v>0</v>
      </c>
      <c r="N733" s="143">
        <v>0</v>
      </c>
      <c r="O733" s="140">
        <v>0.18</v>
      </c>
      <c r="P733" s="145">
        <f>(Purchase[[#This Row],[Gross Amount]]-Purchase[[#This Row],[Disct %]])*Purchase[[#This Row],[GST %]]</f>
        <v>1185.8399999999999</v>
      </c>
      <c r="Q733" s="145">
        <f>Purchase[[#This Row],[Gross Amount]]-Purchase[[#This Row],[Disct Amnt]]+Purchase[[#This Row],[GST Amount]]</f>
        <v>7773.84</v>
      </c>
      <c r="R733" s="138" t="s">
        <v>1019</v>
      </c>
      <c r="S733" s="41">
        <f>IF(Purchase[[#This Row],[Status]]="Cancelled",0,Purchase[[#This Row],[Qty]])</f>
        <v>12</v>
      </c>
      <c r="T733" s="146">
        <f>IF(Purchase[[#This Row],[Status]]="Cancelled",0,Purchase[[#This Row],[Total Amount]])</f>
        <v>7773.84</v>
      </c>
      <c r="U733" s="146">
        <f>SUM(Purchase[Net Amount])</f>
        <v>814985438.68000126</v>
      </c>
    </row>
    <row r="734" spans="1:21" ht="19.5" thickBot="1" x14ac:dyDescent="0.3">
      <c r="A734" s="136" t="s">
        <v>1774</v>
      </c>
      <c r="B734" s="137">
        <v>45695</v>
      </c>
      <c r="C734" s="138" t="s">
        <v>584</v>
      </c>
      <c r="D734" s="138" t="str">
        <f>VLOOKUP(Purchase[[#This Row],[Supplier ID]],Supplier[#All],2,0)</f>
        <v>Prime Computers</v>
      </c>
      <c r="E734" s="138">
        <f>VLOOKUP(Purchase[[#This Row],[Supplier ID]],Supplier[#All],3,0)</f>
        <v>9689542468</v>
      </c>
      <c r="F734" s="138" t="str">
        <f>VLOOKUP(Purchase[[#This Row],[Supplier ID]],Supplier[#All],4,0)</f>
        <v>Kanpur</v>
      </c>
      <c r="G734" s="138" t="str">
        <f>VLOOKUP(Purchase[[#This Row],[Supplier ID]],Supplier[#All],5,0)</f>
        <v>UP</v>
      </c>
      <c r="H734" s="138" t="str">
        <f>VLOOKUP(Purchase[[#This Row],[Supplier ID]],Supplier[#All],6,0)</f>
        <v>GST2154521T030</v>
      </c>
      <c r="I734" s="138" t="s">
        <v>396</v>
      </c>
      <c r="J734" s="139">
        <v>3</v>
      </c>
      <c r="K734" s="143">
        <f>VLOOKUP(Purchase[[#This Row],[Product ID]],Product[#All],6,0)</f>
        <v>63314</v>
      </c>
      <c r="L734" s="143">
        <f>Purchase[[#This Row],[Purchase Rate]]*Purchase[[#This Row],[Qty]]</f>
        <v>189942</v>
      </c>
      <c r="M734" s="140">
        <v>0</v>
      </c>
      <c r="N734" s="143">
        <v>0</v>
      </c>
      <c r="O734" s="140">
        <v>0.18</v>
      </c>
      <c r="P734" s="145">
        <f>(Purchase[[#This Row],[Gross Amount]]-Purchase[[#This Row],[Disct %]])*Purchase[[#This Row],[GST %]]</f>
        <v>34189.56</v>
      </c>
      <c r="Q734" s="145">
        <f>Purchase[[#This Row],[Gross Amount]]-Purchase[[#This Row],[Disct Amnt]]+Purchase[[#This Row],[GST Amount]]</f>
        <v>224131.56</v>
      </c>
      <c r="R734" s="138" t="s">
        <v>1019</v>
      </c>
      <c r="S734" s="41">
        <f>IF(Purchase[[#This Row],[Status]]="Cancelled",0,Purchase[[#This Row],[Qty]])</f>
        <v>3</v>
      </c>
      <c r="T734" s="146">
        <f>IF(Purchase[[#This Row],[Status]]="Cancelled",0,Purchase[[#This Row],[Total Amount]])</f>
        <v>224131.56</v>
      </c>
      <c r="U734" s="146">
        <f>SUM(Purchase[Net Amount])</f>
        <v>814985438.68000126</v>
      </c>
    </row>
    <row r="735" spans="1:21" ht="19.5" thickBot="1" x14ac:dyDescent="0.3">
      <c r="A735" s="136" t="s">
        <v>1775</v>
      </c>
      <c r="B735" s="137">
        <v>45695</v>
      </c>
      <c r="C735" s="138" t="s">
        <v>614</v>
      </c>
      <c r="D735" s="138" t="str">
        <f>VLOOKUP(Purchase[[#This Row],[Supplier ID]],Supplier[#All],2,0)</f>
        <v>National Electronics</v>
      </c>
      <c r="E735" s="138">
        <f>VLOOKUP(Purchase[[#This Row],[Supplier ID]],Supplier[#All],3,0)</f>
        <v>9689542497</v>
      </c>
      <c r="F735" s="138" t="str">
        <f>VLOOKUP(Purchase[[#This Row],[Supplier ID]],Supplier[#All],4,0)</f>
        <v>Kanpur</v>
      </c>
      <c r="G735" s="138" t="str">
        <f>VLOOKUP(Purchase[[#This Row],[Supplier ID]],Supplier[#All],5,0)</f>
        <v>UP</v>
      </c>
      <c r="H735" s="138" t="str">
        <f>VLOOKUP(Purchase[[#This Row],[Supplier ID]],Supplier[#All],6,0)</f>
        <v>GST2154521T059</v>
      </c>
      <c r="I735" s="138" t="s">
        <v>271</v>
      </c>
      <c r="J735" s="139">
        <v>7</v>
      </c>
      <c r="K735" s="143">
        <f>VLOOKUP(Purchase[[#This Row],[Product ID]],Product[#All],6,0)</f>
        <v>353</v>
      </c>
      <c r="L735" s="143">
        <f>Purchase[[#This Row],[Purchase Rate]]*Purchase[[#This Row],[Qty]]</f>
        <v>2471</v>
      </c>
      <c r="M735" s="140">
        <v>0</v>
      </c>
      <c r="N735" s="143">
        <v>0</v>
      </c>
      <c r="O735" s="140">
        <v>0.18</v>
      </c>
      <c r="P735" s="145">
        <f>(Purchase[[#This Row],[Gross Amount]]-Purchase[[#This Row],[Disct %]])*Purchase[[#This Row],[GST %]]</f>
        <v>444.78</v>
      </c>
      <c r="Q735" s="145">
        <f>Purchase[[#This Row],[Gross Amount]]-Purchase[[#This Row],[Disct Amnt]]+Purchase[[#This Row],[GST Amount]]</f>
        <v>2915.7799999999997</v>
      </c>
      <c r="R735" s="138" t="s">
        <v>1019</v>
      </c>
      <c r="S735" s="41">
        <f>IF(Purchase[[#This Row],[Status]]="Cancelled",0,Purchase[[#This Row],[Qty]])</f>
        <v>7</v>
      </c>
      <c r="T735" s="146">
        <f>IF(Purchase[[#This Row],[Status]]="Cancelled",0,Purchase[[#This Row],[Total Amount]])</f>
        <v>2915.7799999999997</v>
      </c>
      <c r="U735" s="146">
        <f>SUM(Purchase[Net Amount])</f>
        <v>814985438.68000126</v>
      </c>
    </row>
    <row r="736" spans="1:21" ht="19.5" thickBot="1" x14ac:dyDescent="0.3">
      <c r="A736" s="136" t="s">
        <v>1776</v>
      </c>
      <c r="B736" s="137">
        <v>45695</v>
      </c>
      <c r="C736" s="138" t="s">
        <v>571</v>
      </c>
      <c r="D736" s="138" t="str">
        <f>VLOOKUP(Purchase[[#This Row],[Supplier ID]],Supplier[#All],2,0)</f>
        <v>Tech Suppliers</v>
      </c>
      <c r="E736" s="138">
        <f>VLOOKUP(Purchase[[#This Row],[Supplier ID]],Supplier[#All],3,0)</f>
        <v>9689542457</v>
      </c>
      <c r="F736" s="138" t="str">
        <f>VLOOKUP(Purchase[[#This Row],[Supplier ID]],Supplier[#All],4,0)</f>
        <v>Korba</v>
      </c>
      <c r="G736" s="138" t="str">
        <f>VLOOKUP(Purchase[[#This Row],[Supplier ID]],Supplier[#All],5,0)</f>
        <v>CG</v>
      </c>
      <c r="H736" s="138" t="str">
        <f>VLOOKUP(Purchase[[#This Row],[Supplier ID]],Supplier[#All],6,0)</f>
        <v>GST2154521T019</v>
      </c>
      <c r="I736" s="138" t="s">
        <v>310</v>
      </c>
      <c r="J736" s="139">
        <v>32</v>
      </c>
      <c r="K736" s="143">
        <f>VLOOKUP(Purchase[[#This Row],[Product ID]],Product[#All],6,0)</f>
        <v>558</v>
      </c>
      <c r="L736" s="143">
        <f>Purchase[[#This Row],[Purchase Rate]]*Purchase[[#This Row],[Qty]]</f>
        <v>17856</v>
      </c>
      <c r="M736" s="140">
        <v>0</v>
      </c>
      <c r="N736" s="143">
        <v>0</v>
      </c>
      <c r="O736" s="140">
        <v>0.18</v>
      </c>
      <c r="P736" s="145">
        <f>(Purchase[[#This Row],[Gross Amount]]-Purchase[[#This Row],[Disct %]])*Purchase[[#This Row],[GST %]]</f>
        <v>3214.08</v>
      </c>
      <c r="Q736" s="145">
        <f>Purchase[[#This Row],[Gross Amount]]-Purchase[[#This Row],[Disct Amnt]]+Purchase[[#This Row],[GST Amount]]</f>
        <v>21070.080000000002</v>
      </c>
      <c r="R736" s="138" t="s">
        <v>1019</v>
      </c>
      <c r="S736" s="41">
        <f>IF(Purchase[[#This Row],[Status]]="Cancelled",0,Purchase[[#This Row],[Qty]])</f>
        <v>32</v>
      </c>
      <c r="T736" s="146">
        <f>IF(Purchase[[#This Row],[Status]]="Cancelled",0,Purchase[[#This Row],[Total Amount]])</f>
        <v>21070.080000000002</v>
      </c>
      <c r="U736" s="146">
        <f>SUM(Purchase[Net Amount])</f>
        <v>814985438.68000126</v>
      </c>
    </row>
    <row r="737" spans="1:21" ht="19.5" thickBot="1" x14ac:dyDescent="0.3">
      <c r="A737" s="136" t="s">
        <v>1777</v>
      </c>
      <c r="B737" s="137">
        <v>45695</v>
      </c>
      <c r="C737" s="138" t="s">
        <v>583</v>
      </c>
      <c r="D737" s="138" t="str">
        <f>VLOOKUP(Purchase[[#This Row],[Supplier ID]],Supplier[#All],2,0)</f>
        <v>Shree Distributors</v>
      </c>
      <c r="E737" s="138">
        <f>VLOOKUP(Purchase[[#This Row],[Supplier ID]],Supplier[#All],3,0)</f>
        <v>9689542467</v>
      </c>
      <c r="F737" s="138" t="str">
        <f>VLOOKUP(Purchase[[#This Row],[Supplier ID]],Supplier[#All],4,0)</f>
        <v>Indore</v>
      </c>
      <c r="G737" s="138" t="str">
        <f>VLOOKUP(Purchase[[#This Row],[Supplier ID]],Supplier[#All],5,0)</f>
        <v>MP</v>
      </c>
      <c r="H737" s="138" t="str">
        <f>VLOOKUP(Purchase[[#This Row],[Supplier ID]],Supplier[#All],6,0)</f>
        <v>GST2154521T029</v>
      </c>
      <c r="I737" s="138" t="s">
        <v>460</v>
      </c>
      <c r="J737" s="139">
        <v>20</v>
      </c>
      <c r="K737" s="143">
        <f>VLOOKUP(Purchase[[#This Row],[Product ID]],Product[#All],6,0)</f>
        <v>2470</v>
      </c>
      <c r="L737" s="143">
        <f>Purchase[[#This Row],[Purchase Rate]]*Purchase[[#This Row],[Qty]]</f>
        <v>49400</v>
      </c>
      <c r="M737" s="140">
        <v>0</v>
      </c>
      <c r="N737" s="143">
        <v>0</v>
      </c>
      <c r="O737" s="140">
        <v>0.18</v>
      </c>
      <c r="P737" s="145">
        <f>(Purchase[[#This Row],[Gross Amount]]-Purchase[[#This Row],[Disct %]])*Purchase[[#This Row],[GST %]]</f>
        <v>8892</v>
      </c>
      <c r="Q737" s="145">
        <f>Purchase[[#This Row],[Gross Amount]]-Purchase[[#This Row],[Disct Amnt]]+Purchase[[#This Row],[GST Amount]]</f>
        <v>58292</v>
      </c>
      <c r="R737" s="138" t="s">
        <v>1040</v>
      </c>
      <c r="S737" s="41">
        <f>IF(Purchase[[#This Row],[Status]]="Cancelled",0,Purchase[[#This Row],[Qty]])</f>
        <v>0</v>
      </c>
      <c r="T737" s="146">
        <f>IF(Purchase[[#This Row],[Status]]="Cancelled",0,Purchase[[#This Row],[Total Amount]])</f>
        <v>0</v>
      </c>
      <c r="U737" s="146">
        <f>SUM(Purchase[Net Amount])</f>
        <v>814985438.68000126</v>
      </c>
    </row>
    <row r="738" spans="1:21" ht="19.5" thickBot="1" x14ac:dyDescent="0.3">
      <c r="A738" s="136" t="s">
        <v>1778</v>
      </c>
      <c r="B738" s="137">
        <v>45695</v>
      </c>
      <c r="C738" s="138" t="s">
        <v>595</v>
      </c>
      <c r="D738" s="138" t="str">
        <f>VLOOKUP(Purchase[[#This Row],[Supplier ID]],Supplier[#All],2,0)</f>
        <v>Star Computers</v>
      </c>
      <c r="E738" s="138">
        <f>VLOOKUP(Purchase[[#This Row],[Supplier ID]],Supplier[#All],3,0)</f>
        <v>9689542478</v>
      </c>
      <c r="F738" s="138" t="str">
        <f>VLOOKUP(Purchase[[#This Row],[Supplier ID]],Supplier[#All],4,0)</f>
        <v>Kanpur</v>
      </c>
      <c r="G738" s="138" t="str">
        <f>VLOOKUP(Purchase[[#This Row],[Supplier ID]],Supplier[#All],5,0)</f>
        <v>UP</v>
      </c>
      <c r="H738" s="138" t="str">
        <f>VLOOKUP(Purchase[[#This Row],[Supplier ID]],Supplier[#All],6,0)</f>
        <v>GST2154521T040</v>
      </c>
      <c r="I738" s="138" t="s">
        <v>298</v>
      </c>
      <c r="J738" s="139">
        <v>30</v>
      </c>
      <c r="K738" s="143">
        <f>VLOOKUP(Purchase[[#This Row],[Product ID]],Product[#All],6,0)</f>
        <v>19959</v>
      </c>
      <c r="L738" s="143">
        <f>Purchase[[#This Row],[Purchase Rate]]*Purchase[[#This Row],[Qty]]</f>
        <v>598770</v>
      </c>
      <c r="M738" s="140">
        <v>0</v>
      </c>
      <c r="N738" s="143">
        <v>0</v>
      </c>
      <c r="O738" s="140">
        <v>0.18</v>
      </c>
      <c r="P738" s="145">
        <f>(Purchase[[#This Row],[Gross Amount]]-Purchase[[#This Row],[Disct %]])*Purchase[[#This Row],[GST %]]</f>
        <v>107778.59999999999</v>
      </c>
      <c r="Q738" s="145">
        <f>Purchase[[#This Row],[Gross Amount]]-Purchase[[#This Row],[Disct Amnt]]+Purchase[[#This Row],[GST Amount]]</f>
        <v>706548.6</v>
      </c>
      <c r="R738" s="138" t="s">
        <v>1019</v>
      </c>
      <c r="S738" s="41">
        <f>IF(Purchase[[#This Row],[Status]]="Cancelled",0,Purchase[[#This Row],[Qty]])</f>
        <v>30</v>
      </c>
      <c r="T738" s="146">
        <f>IF(Purchase[[#This Row],[Status]]="Cancelled",0,Purchase[[#This Row],[Total Amount]])</f>
        <v>706548.6</v>
      </c>
      <c r="U738" s="146">
        <f>SUM(Purchase[Net Amount])</f>
        <v>814985438.68000126</v>
      </c>
    </row>
    <row r="739" spans="1:21" ht="19.5" thickBot="1" x14ac:dyDescent="0.3">
      <c r="A739" s="136" t="s">
        <v>1779</v>
      </c>
      <c r="B739" s="137">
        <v>45695</v>
      </c>
      <c r="C739" s="138" t="s">
        <v>579</v>
      </c>
      <c r="D739" s="138" t="str">
        <f>VLOOKUP(Purchase[[#This Row],[Supplier ID]],Supplier[#All],2,0)</f>
        <v>Tech Traders</v>
      </c>
      <c r="E739" s="138">
        <f>VLOOKUP(Purchase[[#This Row],[Supplier ID]],Supplier[#All],3,0)</f>
        <v>9689542463</v>
      </c>
      <c r="F739" s="138" t="str">
        <f>VLOOKUP(Purchase[[#This Row],[Supplier ID]],Supplier[#All],4,0)</f>
        <v>Kanpur</v>
      </c>
      <c r="G739" s="138" t="str">
        <f>VLOOKUP(Purchase[[#This Row],[Supplier ID]],Supplier[#All],5,0)</f>
        <v>UP</v>
      </c>
      <c r="H739" s="138" t="str">
        <f>VLOOKUP(Purchase[[#This Row],[Supplier ID]],Supplier[#All],6,0)</f>
        <v>GST2154521T025</v>
      </c>
      <c r="I739" s="138" t="s">
        <v>408</v>
      </c>
      <c r="J739" s="139">
        <v>2</v>
      </c>
      <c r="K739" s="143">
        <f>VLOOKUP(Purchase[[#This Row],[Product ID]],Product[#All],6,0)</f>
        <v>79437</v>
      </c>
      <c r="L739" s="143">
        <f>Purchase[[#This Row],[Purchase Rate]]*Purchase[[#This Row],[Qty]]</f>
        <v>158874</v>
      </c>
      <c r="M739" s="140">
        <v>0</v>
      </c>
      <c r="N739" s="143">
        <v>0</v>
      </c>
      <c r="O739" s="140">
        <v>0.18</v>
      </c>
      <c r="P739" s="145">
        <f>(Purchase[[#This Row],[Gross Amount]]-Purchase[[#This Row],[Disct %]])*Purchase[[#This Row],[GST %]]</f>
        <v>28597.32</v>
      </c>
      <c r="Q739" s="145">
        <f>Purchase[[#This Row],[Gross Amount]]-Purchase[[#This Row],[Disct Amnt]]+Purchase[[#This Row],[GST Amount]]</f>
        <v>187471.32</v>
      </c>
      <c r="R739" s="138" t="s">
        <v>1019</v>
      </c>
      <c r="S739" s="41">
        <f>IF(Purchase[[#This Row],[Status]]="Cancelled",0,Purchase[[#This Row],[Qty]])</f>
        <v>2</v>
      </c>
      <c r="T739" s="146">
        <f>IF(Purchase[[#This Row],[Status]]="Cancelled",0,Purchase[[#This Row],[Total Amount]])</f>
        <v>187471.32</v>
      </c>
      <c r="U739" s="146">
        <f>SUM(Purchase[Net Amount])</f>
        <v>814985438.68000126</v>
      </c>
    </row>
    <row r="740" spans="1:21" ht="19.5" thickBot="1" x14ac:dyDescent="0.3">
      <c r="A740" s="136" t="s">
        <v>1780</v>
      </c>
      <c r="B740" s="137">
        <v>45695</v>
      </c>
      <c r="C740" s="138" t="s">
        <v>579</v>
      </c>
      <c r="D740" s="138" t="str">
        <f>VLOOKUP(Purchase[[#This Row],[Supplier ID]],Supplier[#All],2,0)</f>
        <v>Tech Traders</v>
      </c>
      <c r="E740" s="138">
        <f>VLOOKUP(Purchase[[#This Row],[Supplier ID]],Supplier[#All],3,0)</f>
        <v>9689542463</v>
      </c>
      <c r="F740" s="138" t="str">
        <f>VLOOKUP(Purchase[[#This Row],[Supplier ID]],Supplier[#All],4,0)</f>
        <v>Kanpur</v>
      </c>
      <c r="G740" s="138" t="str">
        <f>VLOOKUP(Purchase[[#This Row],[Supplier ID]],Supplier[#All],5,0)</f>
        <v>UP</v>
      </c>
      <c r="H740" s="138" t="str">
        <f>VLOOKUP(Purchase[[#This Row],[Supplier ID]],Supplier[#All],6,0)</f>
        <v>GST2154521T025</v>
      </c>
      <c r="I740" s="138" t="s">
        <v>177</v>
      </c>
      <c r="J740" s="139">
        <v>20</v>
      </c>
      <c r="K740" s="143">
        <f>VLOOKUP(Purchase[[#This Row],[Product ID]],Product[#All],6,0)</f>
        <v>45329</v>
      </c>
      <c r="L740" s="143">
        <f>Purchase[[#This Row],[Purchase Rate]]*Purchase[[#This Row],[Qty]]</f>
        <v>906580</v>
      </c>
      <c r="M740" s="140">
        <v>0</v>
      </c>
      <c r="N740" s="143">
        <v>0</v>
      </c>
      <c r="O740" s="140">
        <v>0.18</v>
      </c>
      <c r="P740" s="145">
        <f>(Purchase[[#This Row],[Gross Amount]]-Purchase[[#This Row],[Disct %]])*Purchase[[#This Row],[GST %]]</f>
        <v>163184.4</v>
      </c>
      <c r="Q740" s="145">
        <f>Purchase[[#This Row],[Gross Amount]]-Purchase[[#This Row],[Disct Amnt]]+Purchase[[#This Row],[GST Amount]]</f>
        <v>1069764.3999999999</v>
      </c>
      <c r="R740" s="138" t="s">
        <v>1019</v>
      </c>
      <c r="S740" s="41">
        <f>IF(Purchase[[#This Row],[Status]]="Cancelled",0,Purchase[[#This Row],[Qty]])</f>
        <v>20</v>
      </c>
      <c r="T740" s="146">
        <f>IF(Purchase[[#This Row],[Status]]="Cancelled",0,Purchase[[#This Row],[Total Amount]])</f>
        <v>1069764.3999999999</v>
      </c>
      <c r="U740" s="146">
        <f>SUM(Purchase[Net Amount])</f>
        <v>814985438.68000126</v>
      </c>
    </row>
    <row r="741" spans="1:21" ht="19.5" thickBot="1" x14ac:dyDescent="0.3">
      <c r="A741" s="136" t="s">
        <v>1781</v>
      </c>
      <c r="B741" s="137">
        <v>45695</v>
      </c>
      <c r="C741" s="138" t="s">
        <v>577</v>
      </c>
      <c r="D741" s="138" t="str">
        <f>VLOOKUP(Purchase[[#This Row],[Supplier ID]],Supplier[#All],2,0)</f>
        <v>National Electronics</v>
      </c>
      <c r="E741" s="138">
        <f>VLOOKUP(Purchase[[#This Row],[Supplier ID]],Supplier[#All],3,0)</f>
        <v>9689542469</v>
      </c>
      <c r="F741" s="138" t="str">
        <f>VLOOKUP(Purchase[[#This Row],[Supplier ID]],Supplier[#All],4,0)</f>
        <v>Korba</v>
      </c>
      <c r="G741" s="138" t="str">
        <f>VLOOKUP(Purchase[[#This Row],[Supplier ID]],Supplier[#All],5,0)</f>
        <v>CG</v>
      </c>
      <c r="H741" s="138" t="str">
        <f>VLOOKUP(Purchase[[#This Row],[Supplier ID]],Supplier[#All],6,0)</f>
        <v>GST2154521T023</v>
      </c>
      <c r="I741" s="138" t="s">
        <v>227</v>
      </c>
      <c r="J741" s="139">
        <v>26</v>
      </c>
      <c r="K741" s="143">
        <f>VLOOKUP(Purchase[[#This Row],[Product ID]],Product[#All],6,0)</f>
        <v>11911</v>
      </c>
      <c r="L741" s="143">
        <f>Purchase[[#This Row],[Purchase Rate]]*Purchase[[#This Row],[Qty]]</f>
        <v>309686</v>
      </c>
      <c r="M741" s="140">
        <v>0</v>
      </c>
      <c r="N741" s="143">
        <v>0</v>
      </c>
      <c r="O741" s="140">
        <v>0.18</v>
      </c>
      <c r="P741" s="145">
        <f>(Purchase[[#This Row],[Gross Amount]]-Purchase[[#This Row],[Disct %]])*Purchase[[#This Row],[GST %]]</f>
        <v>55743.479999999996</v>
      </c>
      <c r="Q741" s="145">
        <f>Purchase[[#This Row],[Gross Amount]]-Purchase[[#This Row],[Disct Amnt]]+Purchase[[#This Row],[GST Amount]]</f>
        <v>365429.48</v>
      </c>
      <c r="R741" s="138" t="s">
        <v>1019</v>
      </c>
      <c r="S741" s="41">
        <f>IF(Purchase[[#This Row],[Status]]="Cancelled",0,Purchase[[#This Row],[Qty]])</f>
        <v>26</v>
      </c>
      <c r="T741" s="146">
        <f>IF(Purchase[[#This Row],[Status]]="Cancelled",0,Purchase[[#This Row],[Total Amount]])</f>
        <v>365429.48</v>
      </c>
      <c r="U741" s="146">
        <f>SUM(Purchase[Net Amount])</f>
        <v>814985438.68000126</v>
      </c>
    </row>
    <row r="742" spans="1:21" ht="19.5" thickBot="1" x14ac:dyDescent="0.3">
      <c r="A742" s="136" t="s">
        <v>1782</v>
      </c>
      <c r="B742" s="137">
        <v>45695</v>
      </c>
      <c r="C742" s="138" t="s">
        <v>600</v>
      </c>
      <c r="D742" s="138" t="str">
        <f>VLOOKUP(Purchase[[#This Row],[Supplier ID]],Supplier[#All],2,0)</f>
        <v>Prime Suppliers</v>
      </c>
      <c r="E742" s="138">
        <f>VLOOKUP(Purchase[[#This Row],[Supplier ID]],Supplier[#All],3,0)</f>
        <v>9689542483</v>
      </c>
      <c r="F742" s="138" t="str">
        <f>VLOOKUP(Purchase[[#This Row],[Supplier ID]],Supplier[#All],4,0)</f>
        <v>Korba</v>
      </c>
      <c r="G742" s="138" t="str">
        <f>VLOOKUP(Purchase[[#This Row],[Supplier ID]],Supplier[#All],5,0)</f>
        <v>CG</v>
      </c>
      <c r="H742" s="138" t="str">
        <f>VLOOKUP(Purchase[[#This Row],[Supplier ID]],Supplier[#All],6,0)</f>
        <v>GST2154521T045</v>
      </c>
      <c r="I742" s="138" t="s">
        <v>152</v>
      </c>
      <c r="J742" s="139">
        <v>6</v>
      </c>
      <c r="K742" s="143">
        <f>VLOOKUP(Purchase[[#This Row],[Product ID]],Product[#All],6,0)</f>
        <v>29602</v>
      </c>
      <c r="L742" s="143">
        <f>Purchase[[#This Row],[Purchase Rate]]*Purchase[[#This Row],[Qty]]</f>
        <v>177612</v>
      </c>
      <c r="M742" s="140">
        <v>0</v>
      </c>
      <c r="N742" s="143">
        <v>0</v>
      </c>
      <c r="O742" s="140">
        <v>0.18</v>
      </c>
      <c r="P742" s="145">
        <f>(Purchase[[#This Row],[Gross Amount]]-Purchase[[#This Row],[Disct %]])*Purchase[[#This Row],[GST %]]</f>
        <v>31970.16</v>
      </c>
      <c r="Q742" s="145">
        <f>Purchase[[#This Row],[Gross Amount]]-Purchase[[#This Row],[Disct Amnt]]+Purchase[[#This Row],[GST Amount]]</f>
        <v>209582.16</v>
      </c>
      <c r="R742" s="138" t="s">
        <v>1019</v>
      </c>
      <c r="S742" s="41">
        <f>IF(Purchase[[#This Row],[Status]]="Cancelled",0,Purchase[[#This Row],[Qty]])</f>
        <v>6</v>
      </c>
      <c r="T742" s="146">
        <f>IF(Purchase[[#This Row],[Status]]="Cancelled",0,Purchase[[#This Row],[Total Amount]])</f>
        <v>209582.16</v>
      </c>
      <c r="U742" s="146">
        <f>SUM(Purchase[Net Amount])</f>
        <v>814985438.68000126</v>
      </c>
    </row>
    <row r="743" spans="1:21" ht="19.5" thickBot="1" x14ac:dyDescent="0.3">
      <c r="A743" s="136" t="s">
        <v>1783</v>
      </c>
      <c r="B743" s="137">
        <v>45695</v>
      </c>
      <c r="C743" s="138" t="s">
        <v>612</v>
      </c>
      <c r="D743" s="138" t="str">
        <f>VLOOKUP(Purchase[[#This Row],[Supplier ID]],Supplier[#All],2,0)</f>
        <v>National Computers</v>
      </c>
      <c r="E743" s="138">
        <f>VLOOKUP(Purchase[[#This Row],[Supplier ID]],Supplier[#All],3,0)</f>
        <v>9689542495</v>
      </c>
      <c r="F743" s="138" t="str">
        <f>VLOOKUP(Purchase[[#This Row],[Supplier ID]],Supplier[#All],4,0)</f>
        <v>Indore</v>
      </c>
      <c r="G743" s="138" t="str">
        <f>VLOOKUP(Purchase[[#This Row],[Supplier ID]],Supplier[#All],5,0)</f>
        <v>MP</v>
      </c>
      <c r="H743" s="138" t="str">
        <f>VLOOKUP(Purchase[[#This Row],[Supplier ID]],Supplier[#All],6,0)</f>
        <v>GST2154521T057</v>
      </c>
      <c r="I743" s="138" t="s">
        <v>237</v>
      </c>
      <c r="J743" s="139">
        <v>21</v>
      </c>
      <c r="K743" s="143">
        <f>VLOOKUP(Purchase[[#This Row],[Product ID]],Product[#All],6,0)</f>
        <v>4240</v>
      </c>
      <c r="L743" s="143">
        <f>Purchase[[#This Row],[Purchase Rate]]*Purchase[[#This Row],[Qty]]</f>
        <v>89040</v>
      </c>
      <c r="M743" s="140">
        <v>0</v>
      </c>
      <c r="N743" s="143">
        <v>0</v>
      </c>
      <c r="O743" s="140">
        <v>0.18</v>
      </c>
      <c r="P743" s="145">
        <f>(Purchase[[#This Row],[Gross Amount]]-Purchase[[#This Row],[Disct %]])*Purchase[[#This Row],[GST %]]</f>
        <v>16027.199999999999</v>
      </c>
      <c r="Q743" s="145">
        <f>Purchase[[#This Row],[Gross Amount]]-Purchase[[#This Row],[Disct Amnt]]+Purchase[[#This Row],[GST Amount]]</f>
        <v>105067.2</v>
      </c>
      <c r="R743" s="138" t="s">
        <v>1019</v>
      </c>
      <c r="S743" s="41">
        <f>IF(Purchase[[#This Row],[Status]]="Cancelled",0,Purchase[[#This Row],[Qty]])</f>
        <v>21</v>
      </c>
      <c r="T743" s="146">
        <f>IF(Purchase[[#This Row],[Status]]="Cancelled",0,Purchase[[#This Row],[Total Amount]])</f>
        <v>105067.2</v>
      </c>
      <c r="U743" s="146">
        <f>SUM(Purchase[Net Amount])</f>
        <v>814985438.68000126</v>
      </c>
    </row>
    <row r="744" spans="1:21" ht="19.5" thickBot="1" x14ac:dyDescent="0.3">
      <c r="A744" s="136" t="s">
        <v>1784</v>
      </c>
      <c r="B744" s="137">
        <v>45695</v>
      </c>
      <c r="C744" s="138" t="s">
        <v>565</v>
      </c>
      <c r="D744" s="138" t="str">
        <f>VLOOKUP(Purchase[[#This Row],[Supplier ID]],Supplier[#All],2,0)</f>
        <v>Global Suppliers</v>
      </c>
      <c r="E744" s="138">
        <f>VLOOKUP(Purchase[[#This Row],[Supplier ID]],Supplier[#All],3,0)</f>
        <v>9689542459</v>
      </c>
      <c r="F744" s="138" t="str">
        <f>VLOOKUP(Purchase[[#This Row],[Supplier ID]],Supplier[#All],4,0)</f>
        <v>Indore</v>
      </c>
      <c r="G744" s="138" t="str">
        <f>VLOOKUP(Purchase[[#This Row],[Supplier ID]],Supplier[#All],5,0)</f>
        <v>MP</v>
      </c>
      <c r="H744" s="138" t="str">
        <f>VLOOKUP(Purchase[[#This Row],[Supplier ID]],Supplier[#All],6,0)</f>
        <v>GST2154521T013</v>
      </c>
      <c r="I744" s="138" t="s">
        <v>402</v>
      </c>
      <c r="J744" s="139">
        <v>7</v>
      </c>
      <c r="K744" s="143">
        <f>VLOOKUP(Purchase[[#This Row],[Product ID]],Product[#All],6,0)</f>
        <v>2925</v>
      </c>
      <c r="L744" s="143">
        <f>Purchase[[#This Row],[Purchase Rate]]*Purchase[[#This Row],[Qty]]</f>
        <v>20475</v>
      </c>
      <c r="M744" s="140">
        <v>0</v>
      </c>
      <c r="N744" s="143">
        <v>0</v>
      </c>
      <c r="O744" s="140">
        <v>0.18</v>
      </c>
      <c r="P744" s="145">
        <f>(Purchase[[#This Row],[Gross Amount]]-Purchase[[#This Row],[Disct %]])*Purchase[[#This Row],[GST %]]</f>
        <v>3685.5</v>
      </c>
      <c r="Q744" s="145">
        <f>Purchase[[#This Row],[Gross Amount]]-Purchase[[#This Row],[Disct Amnt]]+Purchase[[#This Row],[GST Amount]]</f>
        <v>24160.5</v>
      </c>
      <c r="R744" s="138" t="s">
        <v>1019</v>
      </c>
      <c r="S744" s="41">
        <f>IF(Purchase[[#This Row],[Status]]="Cancelled",0,Purchase[[#This Row],[Qty]])</f>
        <v>7</v>
      </c>
      <c r="T744" s="146">
        <f>IF(Purchase[[#This Row],[Status]]="Cancelled",0,Purchase[[#This Row],[Total Amount]])</f>
        <v>24160.5</v>
      </c>
      <c r="U744" s="146">
        <f>SUM(Purchase[Net Amount])</f>
        <v>814985438.68000126</v>
      </c>
    </row>
    <row r="745" spans="1:21" ht="19.5" thickBot="1" x14ac:dyDescent="0.3">
      <c r="A745" s="136" t="s">
        <v>1785</v>
      </c>
      <c r="B745" s="137">
        <v>45695</v>
      </c>
      <c r="C745" s="138" t="s">
        <v>583</v>
      </c>
      <c r="D745" s="138" t="str">
        <f>VLOOKUP(Purchase[[#This Row],[Supplier ID]],Supplier[#All],2,0)</f>
        <v>Shree Distributors</v>
      </c>
      <c r="E745" s="138">
        <f>VLOOKUP(Purchase[[#This Row],[Supplier ID]],Supplier[#All],3,0)</f>
        <v>9689542467</v>
      </c>
      <c r="F745" s="138" t="str">
        <f>VLOOKUP(Purchase[[#This Row],[Supplier ID]],Supplier[#All],4,0)</f>
        <v>Indore</v>
      </c>
      <c r="G745" s="138" t="str">
        <f>VLOOKUP(Purchase[[#This Row],[Supplier ID]],Supplier[#All],5,0)</f>
        <v>MP</v>
      </c>
      <c r="H745" s="138" t="str">
        <f>VLOOKUP(Purchase[[#This Row],[Supplier ID]],Supplier[#All],6,0)</f>
        <v>GST2154521T029</v>
      </c>
      <c r="I745" s="138" t="s">
        <v>258</v>
      </c>
      <c r="J745" s="139">
        <v>20</v>
      </c>
      <c r="K745" s="143">
        <f>VLOOKUP(Purchase[[#This Row],[Product ID]],Product[#All],6,0)</f>
        <v>1957</v>
      </c>
      <c r="L745" s="143">
        <f>Purchase[[#This Row],[Purchase Rate]]*Purchase[[#This Row],[Qty]]</f>
        <v>39140</v>
      </c>
      <c r="M745" s="140">
        <v>0</v>
      </c>
      <c r="N745" s="143">
        <v>0</v>
      </c>
      <c r="O745" s="140">
        <v>0.18</v>
      </c>
      <c r="P745" s="145">
        <f>(Purchase[[#This Row],[Gross Amount]]-Purchase[[#This Row],[Disct %]])*Purchase[[#This Row],[GST %]]</f>
        <v>7045.2</v>
      </c>
      <c r="Q745" s="145">
        <f>Purchase[[#This Row],[Gross Amount]]-Purchase[[#This Row],[Disct Amnt]]+Purchase[[#This Row],[GST Amount]]</f>
        <v>46185.2</v>
      </c>
      <c r="R745" s="138" t="s">
        <v>1019</v>
      </c>
      <c r="S745" s="41">
        <f>IF(Purchase[[#This Row],[Status]]="Cancelled",0,Purchase[[#This Row],[Qty]])</f>
        <v>20</v>
      </c>
      <c r="T745" s="146">
        <f>IF(Purchase[[#This Row],[Status]]="Cancelled",0,Purchase[[#This Row],[Total Amount]])</f>
        <v>46185.2</v>
      </c>
      <c r="U745" s="146">
        <f>SUM(Purchase[Net Amount])</f>
        <v>814985438.68000126</v>
      </c>
    </row>
    <row r="746" spans="1:21" ht="19.5" thickBot="1" x14ac:dyDescent="0.3">
      <c r="A746" s="136" t="s">
        <v>1786</v>
      </c>
      <c r="B746" s="137">
        <v>45695</v>
      </c>
      <c r="C746" s="138" t="s">
        <v>593</v>
      </c>
      <c r="D746" s="138" t="str">
        <f>VLOOKUP(Purchase[[#This Row],[Supplier ID]],Supplier[#All],2,0)</f>
        <v>Global Suppliers</v>
      </c>
      <c r="E746" s="138">
        <f>VLOOKUP(Purchase[[#This Row],[Supplier ID]],Supplier[#All],3,0)</f>
        <v>9689542476</v>
      </c>
      <c r="F746" s="138" t="str">
        <f>VLOOKUP(Purchase[[#This Row],[Supplier ID]],Supplier[#All],4,0)</f>
        <v>Korba</v>
      </c>
      <c r="G746" s="138" t="str">
        <f>VLOOKUP(Purchase[[#This Row],[Supplier ID]],Supplier[#All],5,0)</f>
        <v>CG</v>
      </c>
      <c r="H746" s="138" t="str">
        <f>VLOOKUP(Purchase[[#This Row],[Supplier ID]],Supplier[#All],6,0)</f>
        <v>GST2154521T038</v>
      </c>
      <c r="I746" s="138" t="s">
        <v>512</v>
      </c>
      <c r="J746" s="139">
        <v>26</v>
      </c>
      <c r="K746" s="143">
        <f>VLOOKUP(Purchase[[#This Row],[Product ID]],Product[#All],6,0)</f>
        <v>4495</v>
      </c>
      <c r="L746" s="143">
        <f>Purchase[[#This Row],[Purchase Rate]]*Purchase[[#This Row],[Qty]]</f>
        <v>116870</v>
      </c>
      <c r="M746" s="140">
        <v>0</v>
      </c>
      <c r="N746" s="143">
        <v>0</v>
      </c>
      <c r="O746" s="140">
        <v>0.18</v>
      </c>
      <c r="P746" s="145">
        <f>(Purchase[[#This Row],[Gross Amount]]-Purchase[[#This Row],[Disct %]])*Purchase[[#This Row],[GST %]]</f>
        <v>21036.6</v>
      </c>
      <c r="Q746" s="145">
        <f>Purchase[[#This Row],[Gross Amount]]-Purchase[[#This Row],[Disct Amnt]]+Purchase[[#This Row],[GST Amount]]</f>
        <v>137906.6</v>
      </c>
      <c r="R746" s="138" t="s">
        <v>1019</v>
      </c>
      <c r="S746" s="41">
        <f>IF(Purchase[[#This Row],[Status]]="Cancelled",0,Purchase[[#This Row],[Qty]])</f>
        <v>26</v>
      </c>
      <c r="T746" s="146">
        <f>IF(Purchase[[#This Row],[Status]]="Cancelled",0,Purchase[[#This Row],[Total Amount]])</f>
        <v>137906.6</v>
      </c>
      <c r="U746" s="146">
        <f>SUM(Purchase[Net Amount])</f>
        <v>814985438.68000126</v>
      </c>
    </row>
    <row r="747" spans="1:21" ht="19.5" thickBot="1" x14ac:dyDescent="0.3">
      <c r="A747" s="136" t="s">
        <v>1787</v>
      </c>
      <c r="B747" s="137">
        <v>45695</v>
      </c>
      <c r="C747" s="138" t="s">
        <v>576</v>
      </c>
      <c r="D747" s="138" t="str">
        <f>VLOOKUP(Purchase[[#This Row],[Supplier ID]],Supplier[#All],2,0)</f>
        <v>Maa Distributors</v>
      </c>
      <c r="E747" s="138">
        <f>VLOOKUP(Purchase[[#This Row],[Supplier ID]],Supplier[#All],3,0)</f>
        <v>9689542460</v>
      </c>
      <c r="F747" s="138" t="str">
        <f>VLOOKUP(Purchase[[#This Row],[Supplier ID]],Supplier[#All],4,0)</f>
        <v>Korba</v>
      </c>
      <c r="G747" s="138" t="str">
        <f>VLOOKUP(Purchase[[#This Row],[Supplier ID]],Supplier[#All],5,0)</f>
        <v>CG</v>
      </c>
      <c r="H747" s="138" t="str">
        <f>VLOOKUP(Purchase[[#This Row],[Supplier ID]],Supplier[#All],6,0)</f>
        <v>GST2154521T022</v>
      </c>
      <c r="I747" s="138" t="s">
        <v>260</v>
      </c>
      <c r="J747" s="139">
        <v>34</v>
      </c>
      <c r="K747" s="143">
        <f>VLOOKUP(Purchase[[#This Row],[Product ID]],Product[#All],6,0)</f>
        <v>4751</v>
      </c>
      <c r="L747" s="143">
        <f>Purchase[[#This Row],[Purchase Rate]]*Purchase[[#This Row],[Qty]]</f>
        <v>161534</v>
      </c>
      <c r="M747" s="140">
        <v>0</v>
      </c>
      <c r="N747" s="143">
        <v>0</v>
      </c>
      <c r="O747" s="140">
        <v>0.18</v>
      </c>
      <c r="P747" s="145">
        <f>(Purchase[[#This Row],[Gross Amount]]-Purchase[[#This Row],[Disct %]])*Purchase[[#This Row],[GST %]]</f>
        <v>29076.12</v>
      </c>
      <c r="Q747" s="145">
        <f>Purchase[[#This Row],[Gross Amount]]-Purchase[[#This Row],[Disct Amnt]]+Purchase[[#This Row],[GST Amount]]</f>
        <v>190610.12</v>
      </c>
      <c r="R747" s="138" t="s">
        <v>1019</v>
      </c>
      <c r="S747" s="41">
        <f>IF(Purchase[[#This Row],[Status]]="Cancelled",0,Purchase[[#This Row],[Qty]])</f>
        <v>34</v>
      </c>
      <c r="T747" s="146">
        <f>IF(Purchase[[#This Row],[Status]]="Cancelled",0,Purchase[[#This Row],[Total Amount]])</f>
        <v>190610.12</v>
      </c>
      <c r="U747" s="146">
        <f>SUM(Purchase[Net Amount])</f>
        <v>814985438.68000126</v>
      </c>
    </row>
    <row r="748" spans="1:21" ht="19.5" thickBot="1" x14ac:dyDescent="0.3">
      <c r="A748" s="136" t="s">
        <v>1788</v>
      </c>
      <c r="B748" s="137">
        <v>45695</v>
      </c>
      <c r="C748" s="138" t="s">
        <v>594</v>
      </c>
      <c r="D748" s="138" t="str">
        <f>VLOOKUP(Purchase[[#This Row],[Supplier ID]],Supplier[#All],2,0)</f>
        <v>Shree Suppliers</v>
      </c>
      <c r="E748" s="138">
        <f>VLOOKUP(Purchase[[#This Row],[Supplier ID]],Supplier[#All],3,0)</f>
        <v>9689542477</v>
      </c>
      <c r="F748" s="138" t="str">
        <f>VLOOKUP(Purchase[[#This Row],[Supplier ID]],Supplier[#All],4,0)</f>
        <v>Indore</v>
      </c>
      <c r="G748" s="138" t="str">
        <f>VLOOKUP(Purchase[[#This Row],[Supplier ID]],Supplier[#All],5,0)</f>
        <v>MP</v>
      </c>
      <c r="H748" s="138" t="str">
        <f>VLOOKUP(Purchase[[#This Row],[Supplier ID]],Supplier[#All],6,0)</f>
        <v>GST2154521T039</v>
      </c>
      <c r="I748" s="138" t="s">
        <v>235</v>
      </c>
      <c r="J748" s="139">
        <v>3</v>
      </c>
      <c r="K748" s="143">
        <f>VLOOKUP(Purchase[[#This Row],[Product ID]],Product[#All],6,0)</f>
        <v>1096</v>
      </c>
      <c r="L748" s="143">
        <f>Purchase[[#This Row],[Purchase Rate]]*Purchase[[#This Row],[Qty]]</f>
        <v>3288</v>
      </c>
      <c r="M748" s="140">
        <v>0</v>
      </c>
      <c r="N748" s="143">
        <v>0</v>
      </c>
      <c r="O748" s="140">
        <v>0.18</v>
      </c>
      <c r="P748" s="145">
        <f>(Purchase[[#This Row],[Gross Amount]]-Purchase[[#This Row],[Disct %]])*Purchase[[#This Row],[GST %]]</f>
        <v>591.84</v>
      </c>
      <c r="Q748" s="145">
        <f>Purchase[[#This Row],[Gross Amount]]-Purchase[[#This Row],[Disct Amnt]]+Purchase[[#This Row],[GST Amount]]</f>
        <v>3879.84</v>
      </c>
      <c r="R748" s="138" t="s">
        <v>1019</v>
      </c>
      <c r="S748" s="41">
        <f>IF(Purchase[[#This Row],[Status]]="Cancelled",0,Purchase[[#This Row],[Qty]])</f>
        <v>3</v>
      </c>
      <c r="T748" s="146">
        <f>IF(Purchase[[#This Row],[Status]]="Cancelled",0,Purchase[[#This Row],[Total Amount]])</f>
        <v>3879.84</v>
      </c>
      <c r="U748" s="146">
        <f>SUM(Purchase[Net Amount])</f>
        <v>814985438.68000126</v>
      </c>
    </row>
    <row r="749" spans="1:21" ht="19.5" thickBot="1" x14ac:dyDescent="0.3">
      <c r="A749" s="136" t="s">
        <v>1789</v>
      </c>
      <c r="B749" s="137">
        <v>45695</v>
      </c>
      <c r="C749" s="138" t="s">
        <v>611</v>
      </c>
      <c r="D749" s="138" t="str">
        <f>VLOOKUP(Purchase[[#This Row],[Supplier ID]],Supplier[#All],2,0)</f>
        <v>National Distributors</v>
      </c>
      <c r="E749" s="138">
        <f>VLOOKUP(Purchase[[#This Row],[Supplier ID]],Supplier[#All],3,0)</f>
        <v>9689542494</v>
      </c>
      <c r="F749" s="138" t="str">
        <f>VLOOKUP(Purchase[[#This Row],[Supplier ID]],Supplier[#All],4,0)</f>
        <v>Korba</v>
      </c>
      <c r="G749" s="138" t="str">
        <f>VLOOKUP(Purchase[[#This Row],[Supplier ID]],Supplier[#All],5,0)</f>
        <v>CG</v>
      </c>
      <c r="H749" s="138" t="str">
        <f>VLOOKUP(Purchase[[#This Row],[Supplier ID]],Supplier[#All],6,0)</f>
        <v>GST2154521T056</v>
      </c>
      <c r="I749" s="138" t="s">
        <v>538</v>
      </c>
      <c r="J749" s="139">
        <v>36</v>
      </c>
      <c r="K749" s="143">
        <f>VLOOKUP(Purchase[[#This Row],[Product ID]],Product[#All],6,0)</f>
        <v>36513</v>
      </c>
      <c r="L749" s="143">
        <f>Purchase[[#This Row],[Purchase Rate]]*Purchase[[#This Row],[Qty]]</f>
        <v>1314468</v>
      </c>
      <c r="M749" s="140">
        <v>0</v>
      </c>
      <c r="N749" s="143">
        <v>0</v>
      </c>
      <c r="O749" s="140">
        <v>0.18</v>
      </c>
      <c r="P749" s="145">
        <f>(Purchase[[#This Row],[Gross Amount]]-Purchase[[#This Row],[Disct %]])*Purchase[[#This Row],[GST %]]</f>
        <v>236604.24</v>
      </c>
      <c r="Q749" s="145">
        <f>Purchase[[#This Row],[Gross Amount]]-Purchase[[#This Row],[Disct Amnt]]+Purchase[[#This Row],[GST Amount]]</f>
        <v>1551072.24</v>
      </c>
      <c r="R749" s="138" t="s">
        <v>1019</v>
      </c>
      <c r="S749" s="41">
        <f>IF(Purchase[[#This Row],[Status]]="Cancelled",0,Purchase[[#This Row],[Qty]])</f>
        <v>36</v>
      </c>
      <c r="T749" s="146">
        <f>IF(Purchase[[#This Row],[Status]]="Cancelled",0,Purchase[[#This Row],[Total Amount]])</f>
        <v>1551072.24</v>
      </c>
      <c r="U749" s="146">
        <f>SUM(Purchase[Net Amount])</f>
        <v>814985438.68000126</v>
      </c>
    </row>
    <row r="750" spans="1:21" ht="19.5" thickBot="1" x14ac:dyDescent="0.3">
      <c r="A750" s="136" t="s">
        <v>1790</v>
      </c>
      <c r="B750" s="137">
        <v>45695</v>
      </c>
      <c r="C750" s="138" t="s">
        <v>598</v>
      </c>
      <c r="D750" s="138" t="str">
        <f>VLOOKUP(Purchase[[#This Row],[Supplier ID]],Supplier[#All],2,0)</f>
        <v>National Distributors</v>
      </c>
      <c r="E750" s="138">
        <f>VLOOKUP(Purchase[[#This Row],[Supplier ID]],Supplier[#All],3,0)</f>
        <v>9689542489</v>
      </c>
      <c r="F750" s="138" t="str">
        <f>VLOOKUP(Purchase[[#This Row],[Supplier ID]],Supplier[#All],4,0)</f>
        <v>Indore</v>
      </c>
      <c r="G750" s="138" t="str">
        <f>VLOOKUP(Purchase[[#This Row],[Supplier ID]],Supplier[#All],5,0)</f>
        <v>MP</v>
      </c>
      <c r="H750" s="138" t="str">
        <f>VLOOKUP(Purchase[[#This Row],[Supplier ID]],Supplier[#All],6,0)</f>
        <v>GST2154521T043</v>
      </c>
      <c r="I750" s="138" t="s">
        <v>425</v>
      </c>
      <c r="J750" s="139">
        <v>19</v>
      </c>
      <c r="K750" s="143">
        <f>VLOOKUP(Purchase[[#This Row],[Product ID]],Product[#All],6,0)</f>
        <v>6244</v>
      </c>
      <c r="L750" s="143">
        <f>Purchase[[#This Row],[Purchase Rate]]*Purchase[[#This Row],[Qty]]</f>
        <v>118636</v>
      </c>
      <c r="M750" s="140">
        <v>0</v>
      </c>
      <c r="N750" s="143">
        <v>0</v>
      </c>
      <c r="O750" s="140">
        <v>0.18</v>
      </c>
      <c r="P750" s="145">
        <f>(Purchase[[#This Row],[Gross Amount]]-Purchase[[#This Row],[Disct %]])*Purchase[[#This Row],[GST %]]</f>
        <v>21354.48</v>
      </c>
      <c r="Q750" s="145">
        <f>Purchase[[#This Row],[Gross Amount]]-Purchase[[#This Row],[Disct Amnt]]+Purchase[[#This Row],[GST Amount]]</f>
        <v>139990.48000000001</v>
      </c>
      <c r="R750" s="138" t="s">
        <v>1019</v>
      </c>
      <c r="S750" s="41">
        <f>IF(Purchase[[#This Row],[Status]]="Cancelled",0,Purchase[[#This Row],[Qty]])</f>
        <v>19</v>
      </c>
      <c r="T750" s="146">
        <f>IF(Purchase[[#This Row],[Status]]="Cancelled",0,Purchase[[#This Row],[Total Amount]])</f>
        <v>139990.48000000001</v>
      </c>
      <c r="U750" s="146">
        <f>SUM(Purchase[Net Amount])</f>
        <v>814985438.68000126</v>
      </c>
    </row>
    <row r="751" spans="1:21" ht="19.5" thickBot="1" x14ac:dyDescent="0.3">
      <c r="A751" s="136" t="s">
        <v>1791</v>
      </c>
      <c r="B751" s="137">
        <v>45696</v>
      </c>
      <c r="C751" s="138" t="s">
        <v>596</v>
      </c>
      <c r="D751" s="138" t="str">
        <f>VLOOKUP(Purchase[[#This Row],[Supplier ID]],Supplier[#All],2,0)</f>
        <v>star traders</v>
      </c>
      <c r="E751" s="138">
        <f>VLOOKUP(Purchase[[#This Row],[Supplier ID]],Supplier[#All],3,0)</f>
        <v>9689542479</v>
      </c>
      <c r="F751" s="138" t="str">
        <f>VLOOKUP(Purchase[[#This Row],[Supplier ID]],Supplier[#All],4,0)</f>
        <v>Korba</v>
      </c>
      <c r="G751" s="138" t="str">
        <f>VLOOKUP(Purchase[[#This Row],[Supplier ID]],Supplier[#All],5,0)</f>
        <v>CG</v>
      </c>
      <c r="H751" s="138" t="str">
        <f>VLOOKUP(Purchase[[#This Row],[Supplier ID]],Supplier[#All],6,0)</f>
        <v>GST2154521T041</v>
      </c>
      <c r="I751" s="138" t="s">
        <v>359</v>
      </c>
      <c r="J751" s="139">
        <v>30</v>
      </c>
      <c r="K751" s="143">
        <f>VLOOKUP(Purchase[[#This Row],[Product ID]],Product[#All],6,0)</f>
        <v>922</v>
      </c>
      <c r="L751" s="143">
        <f>Purchase[[#This Row],[Purchase Rate]]*Purchase[[#This Row],[Qty]]</f>
        <v>27660</v>
      </c>
      <c r="M751" s="140">
        <v>0</v>
      </c>
      <c r="N751" s="143">
        <v>0</v>
      </c>
      <c r="O751" s="140">
        <v>0.18</v>
      </c>
      <c r="P751" s="145">
        <f>(Purchase[[#This Row],[Gross Amount]]-Purchase[[#This Row],[Disct %]])*Purchase[[#This Row],[GST %]]</f>
        <v>4978.8</v>
      </c>
      <c r="Q751" s="145">
        <f>Purchase[[#This Row],[Gross Amount]]-Purchase[[#This Row],[Disct Amnt]]+Purchase[[#This Row],[GST Amount]]</f>
        <v>32638.799999999999</v>
      </c>
      <c r="R751" s="138" t="s">
        <v>1019</v>
      </c>
      <c r="S751" s="41">
        <f>IF(Purchase[[#This Row],[Status]]="Cancelled",0,Purchase[[#This Row],[Qty]])</f>
        <v>30</v>
      </c>
      <c r="T751" s="146">
        <f>IF(Purchase[[#This Row],[Status]]="Cancelled",0,Purchase[[#This Row],[Total Amount]])</f>
        <v>32638.799999999999</v>
      </c>
      <c r="U751" s="146">
        <f>SUM(Purchase[Net Amount])</f>
        <v>814985438.68000126</v>
      </c>
    </row>
    <row r="752" spans="1:21" ht="19.5" thickBot="1" x14ac:dyDescent="0.3">
      <c r="A752" s="136" t="s">
        <v>1792</v>
      </c>
      <c r="B752" s="137">
        <v>45696</v>
      </c>
      <c r="C752" s="138" t="s">
        <v>564</v>
      </c>
      <c r="D752" s="138" t="str">
        <f>VLOOKUP(Purchase[[#This Row],[Supplier ID]],Supplier[#All],2,0)</f>
        <v xml:space="preserve">Star Electronics </v>
      </c>
      <c r="E752" s="138">
        <f>VLOOKUP(Purchase[[#This Row],[Supplier ID]],Supplier[#All],3,0)</f>
        <v>9689542450</v>
      </c>
      <c r="F752" s="138" t="str">
        <f>VLOOKUP(Purchase[[#This Row],[Supplier ID]],Supplier[#All],4,0)</f>
        <v>Korba</v>
      </c>
      <c r="G752" s="138" t="str">
        <f>VLOOKUP(Purchase[[#This Row],[Supplier ID]],Supplier[#All],5,0)</f>
        <v>CG</v>
      </c>
      <c r="H752" s="138" t="str">
        <f>VLOOKUP(Purchase[[#This Row],[Supplier ID]],Supplier[#All],6,0)</f>
        <v>GST2154521T012</v>
      </c>
      <c r="I752" s="138" t="s">
        <v>89</v>
      </c>
      <c r="J752" s="139">
        <v>39</v>
      </c>
      <c r="K752" s="143">
        <f>VLOOKUP(Purchase[[#This Row],[Product ID]],Product[#All],6,0)</f>
        <v>341</v>
      </c>
      <c r="L752" s="143">
        <f>Purchase[[#This Row],[Purchase Rate]]*Purchase[[#This Row],[Qty]]</f>
        <v>13299</v>
      </c>
      <c r="M752" s="140">
        <v>0</v>
      </c>
      <c r="N752" s="143">
        <v>0</v>
      </c>
      <c r="O752" s="140">
        <v>0.18</v>
      </c>
      <c r="P752" s="145">
        <f>(Purchase[[#This Row],[Gross Amount]]-Purchase[[#This Row],[Disct %]])*Purchase[[#This Row],[GST %]]</f>
        <v>2393.8199999999997</v>
      </c>
      <c r="Q752" s="145">
        <f>Purchase[[#This Row],[Gross Amount]]-Purchase[[#This Row],[Disct Amnt]]+Purchase[[#This Row],[GST Amount]]</f>
        <v>15692.82</v>
      </c>
      <c r="R752" s="138" t="s">
        <v>1019</v>
      </c>
      <c r="S752" s="41">
        <f>IF(Purchase[[#This Row],[Status]]="Cancelled",0,Purchase[[#This Row],[Qty]])</f>
        <v>39</v>
      </c>
      <c r="T752" s="146">
        <f>IF(Purchase[[#This Row],[Status]]="Cancelled",0,Purchase[[#This Row],[Total Amount]])</f>
        <v>15692.82</v>
      </c>
      <c r="U752" s="146">
        <f>SUM(Purchase[Net Amount])</f>
        <v>814985438.68000126</v>
      </c>
    </row>
    <row r="753" spans="1:21" ht="19.5" thickBot="1" x14ac:dyDescent="0.3">
      <c r="A753" s="136" t="s">
        <v>1793</v>
      </c>
      <c r="B753" s="137">
        <v>45696</v>
      </c>
      <c r="C753" s="138" t="s">
        <v>577</v>
      </c>
      <c r="D753" s="138" t="str">
        <f>VLOOKUP(Purchase[[#This Row],[Supplier ID]],Supplier[#All],2,0)</f>
        <v>National Electronics</v>
      </c>
      <c r="E753" s="138">
        <f>VLOOKUP(Purchase[[#This Row],[Supplier ID]],Supplier[#All],3,0)</f>
        <v>9689542469</v>
      </c>
      <c r="F753" s="138" t="str">
        <f>VLOOKUP(Purchase[[#This Row],[Supplier ID]],Supplier[#All],4,0)</f>
        <v>Korba</v>
      </c>
      <c r="G753" s="138" t="str">
        <f>VLOOKUP(Purchase[[#This Row],[Supplier ID]],Supplier[#All],5,0)</f>
        <v>CG</v>
      </c>
      <c r="H753" s="138" t="str">
        <f>VLOOKUP(Purchase[[#This Row],[Supplier ID]],Supplier[#All],6,0)</f>
        <v>GST2154521T023</v>
      </c>
      <c r="I753" s="138" t="s">
        <v>480</v>
      </c>
      <c r="J753" s="139">
        <v>3</v>
      </c>
      <c r="K753" s="143">
        <f>VLOOKUP(Purchase[[#This Row],[Product ID]],Product[#All],6,0)</f>
        <v>1370</v>
      </c>
      <c r="L753" s="143">
        <f>Purchase[[#This Row],[Purchase Rate]]*Purchase[[#This Row],[Qty]]</f>
        <v>4110</v>
      </c>
      <c r="M753" s="140">
        <v>0</v>
      </c>
      <c r="N753" s="143">
        <v>0</v>
      </c>
      <c r="O753" s="140">
        <v>0.18</v>
      </c>
      <c r="P753" s="145">
        <f>(Purchase[[#This Row],[Gross Amount]]-Purchase[[#This Row],[Disct %]])*Purchase[[#This Row],[GST %]]</f>
        <v>739.8</v>
      </c>
      <c r="Q753" s="145">
        <f>Purchase[[#This Row],[Gross Amount]]-Purchase[[#This Row],[Disct Amnt]]+Purchase[[#This Row],[GST Amount]]</f>
        <v>4849.8</v>
      </c>
      <c r="R753" s="138" t="s">
        <v>1019</v>
      </c>
      <c r="S753" s="41">
        <f>IF(Purchase[[#This Row],[Status]]="Cancelled",0,Purchase[[#This Row],[Qty]])</f>
        <v>3</v>
      </c>
      <c r="T753" s="146">
        <f>IF(Purchase[[#This Row],[Status]]="Cancelled",0,Purchase[[#This Row],[Total Amount]])</f>
        <v>4849.8</v>
      </c>
      <c r="U753" s="146">
        <f>SUM(Purchase[Net Amount])</f>
        <v>814985438.68000126</v>
      </c>
    </row>
    <row r="754" spans="1:21" ht="19.5" thickBot="1" x14ac:dyDescent="0.3">
      <c r="A754" s="136" t="s">
        <v>1794</v>
      </c>
      <c r="B754" s="137">
        <v>45696</v>
      </c>
      <c r="C754" s="138" t="s">
        <v>612</v>
      </c>
      <c r="D754" s="138" t="str">
        <f>VLOOKUP(Purchase[[#This Row],[Supplier ID]],Supplier[#All],2,0)</f>
        <v>National Computers</v>
      </c>
      <c r="E754" s="138">
        <f>VLOOKUP(Purchase[[#This Row],[Supplier ID]],Supplier[#All],3,0)</f>
        <v>9689542495</v>
      </c>
      <c r="F754" s="138" t="str">
        <f>VLOOKUP(Purchase[[#This Row],[Supplier ID]],Supplier[#All],4,0)</f>
        <v>Indore</v>
      </c>
      <c r="G754" s="138" t="str">
        <f>VLOOKUP(Purchase[[#This Row],[Supplier ID]],Supplier[#All],5,0)</f>
        <v>MP</v>
      </c>
      <c r="H754" s="138" t="str">
        <f>VLOOKUP(Purchase[[#This Row],[Supplier ID]],Supplier[#All],6,0)</f>
        <v>GST2154521T057</v>
      </c>
      <c r="I754" s="138" t="s">
        <v>33</v>
      </c>
      <c r="J754" s="139">
        <v>25</v>
      </c>
      <c r="K754" s="143">
        <f>VLOOKUP(Purchase[[#This Row],[Product ID]],Product[#All],6,0)</f>
        <v>8458</v>
      </c>
      <c r="L754" s="143">
        <f>Purchase[[#This Row],[Purchase Rate]]*Purchase[[#This Row],[Qty]]</f>
        <v>211450</v>
      </c>
      <c r="M754" s="140">
        <v>0</v>
      </c>
      <c r="N754" s="143">
        <v>0</v>
      </c>
      <c r="O754" s="140">
        <v>0.18</v>
      </c>
      <c r="P754" s="145">
        <f>(Purchase[[#This Row],[Gross Amount]]-Purchase[[#This Row],[Disct %]])*Purchase[[#This Row],[GST %]]</f>
        <v>38061</v>
      </c>
      <c r="Q754" s="145">
        <f>Purchase[[#This Row],[Gross Amount]]-Purchase[[#This Row],[Disct Amnt]]+Purchase[[#This Row],[GST Amount]]</f>
        <v>249511</v>
      </c>
      <c r="R754" s="138" t="s">
        <v>1019</v>
      </c>
      <c r="S754" s="41">
        <f>IF(Purchase[[#This Row],[Status]]="Cancelled",0,Purchase[[#This Row],[Qty]])</f>
        <v>25</v>
      </c>
      <c r="T754" s="146">
        <f>IF(Purchase[[#This Row],[Status]]="Cancelled",0,Purchase[[#This Row],[Total Amount]])</f>
        <v>249511</v>
      </c>
      <c r="U754" s="146">
        <f>SUM(Purchase[Net Amount])</f>
        <v>814985438.68000126</v>
      </c>
    </row>
    <row r="755" spans="1:21" ht="19.5" thickBot="1" x14ac:dyDescent="0.3">
      <c r="A755" s="136" t="s">
        <v>1795</v>
      </c>
      <c r="B755" s="137">
        <v>45696</v>
      </c>
      <c r="C755" s="138" t="s">
        <v>583</v>
      </c>
      <c r="D755" s="138" t="str">
        <f>VLOOKUP(Purchase[[#This Row],[Supplier ID]],Supplier[#All],2,0)</f>
        <v>Shree Distributors</v>
      </c>
      <c r="E755" s="138">
        <f>VLOOKUP(Purchase[[#This Row],[Supplier ID]],Supplier[#All],3,0)</f>
        <v>9689542467</v>
      </c>
      <c r="F755" s="138" t="str">
        <f>VLOOKUP(Purchase[[#This Row],[Supplier ID]],Supplier[#All],4,0)</f>
        <v>Indore</v>
      </c>
      <c r="G755" s="138" t="str">
        <f>VLOOKUP(Purchase[[#This Row],[Supplier ID]],Supplier[#All],5,0)</f>
        <v>MP</v>
      </c>
      <c r="H755" s="138" t="str">
        <f>VLOOKUP(Purchase[[#This Row],[Supplier ID]],Supplier[#All],6,0)</f>
        <v>GST2154521T029</v>
      </c>
      <c r="I755" s="138" t="s">
        <v>41</v>
      </c>
      <c r="J755" s="139">
        <v>37</v>
      </c>
      <c r="K755" s="143">
        <f>VLOOKUP(Purchase[[#This Row],[Product ID]],Product[#All],6,0)</f>
        <v>58660</v>
      </c>
      <c r="L755" s="143">
        <f>Purchase[[#This Row],[Purchase Rate]]*Purchase[[#This Row],[Qty]]</f>
        <v>2170420</v>
      </c>
      <c r="M755" s="140">
        <v>0</v>
      </c>
      <c r="N755" s="143">
        <v>0</v>
      </c>
      <c r="O755" s="140">
        <v>0.18</v>
      </c>
      <c r="P755" s="145">
        <f>(Purchase[[#This Row],[Gross Amount]]-Purchase[[#This Row],[Disct %]])*Purchase[[#This Row],[GST %]]</f>
        <v>390675.6</v>
      </c>
      <c r="Q755" s="145">
        <f>Purchase[[#This Row],[Gross Amount]]-Purchase[[#This Row],[Disct Amnt]]+Purchase[[#This Row],[GST Amount]]</f>
        <v>2561095.6</v>
      </c>
      <c r="R755" s="138" t="s">
        <v>1019</v>
      </c>
      <c r="S755" s="41">
        <f>IF(Purchase[[#This Row],[Status]]="Cancelled",0,Purchase[[#This Row],[Qty]])</f>
        <v>37</v>
      </c>
      <c r="T755" s="146">
        <f>IF(Purchase[[#This Row],[Status]]="Cancelled",0,Purchase[[#This Row],[Total Amount]])</f>
        <v>2561095.6</v>
      </c>
      <c r="U755" s="146">
        <f>SUM(Purchase[Net Amount])</f>
        <v>814985438.68000126</v>
      </c>
    </row>
    <row r="756" spans="1:21" ht="19.5" thickBot="1" x14ac:dyDescent="0.3">
      <c r="A756" s="136" t="s">
        <v>1796</v>
      </c>
      <c r="B756" s="137">
        <v>45696</v>
      </c>
      <c r="C756" s="138" t="s">
        <v>567</v>
      </c>
      <c r="D756" s="138" t="str">
        <f>VLOOKUP(Purchase[[#This Row],[Supplier ID]],Supplier[#All],2,0)</f>
        <v>National Distributors</v>
      </c>
      <c r="E756" s="138">
        <f>VLOOKUP(Purchase[[#This Row],[Supplier ID]],Supplier[#All],3,0)</f>
        <v>9689542453</v>
      </c>
      <c r="F756" s="138" t="str">
        <f>VLOOKUP(Purchase[[#This Row],[Supplier ID]],Supplier[#All],4,0)</f>
        <v>Korba</v>
      </c>
      <c r="G756" s="138" t="str">
        <f>VLOOKUP(Purchase[[#This Row],[Supplier ID]],Supplier[#All],5,0)</f>
        <v>CG</v>
      </c>
      <c r="H756" s="138" t="str">
        <f>VLOOKUP(Purchase[[#This Row],[Supplier ID]],Supplier[#All],6,0)</f>
        <v>GST2154521T015</v>
      </c>
      <c r="I756" s="138" t="s">
        <v>442</v>
      </c>
      <c r="J756" s="139">
        <v>23</v>
      </c>
      <c r="K756" s="143">
        <f>VLOOKUP(Purchase[[#This Row],[Product ID]],Product[#All],6,0)</f>
        <v>3149</v>
      </c>
      <c r="L756" s="143">
        <f>Purchase[[#This Row],[Purchase Rate]]*Purchase[[#This Row],[Qty]]</f>
        <v>72427</v>
      </c>
      <c r="M756" s="140">
        <v>0</v>
      </c>
      <c r="N756" s="143">
        <v>0</v>
      </c>
      <c r="O756" s="140">
        <v>0.18</v>
      </c>
      <c r="P756" s="145">
        <f>(Purchase[[#This Row],[Gross Amount]]-Purchase[[#This Row],[Disct %]])*Purchase[[#This Row],[GST %]]</f>
        <v>13036.859999999999</v>
      </c>
      <c r="Q756" s="145">
        <f>Purchase[[#This Row],[Gross Amount]]-Purchase[[#This Row],[Disct Amnt]]+Purchase[[#This Row],[GST Amount]]</f>
        <v>85463.86</v>
      </c>
      <c r="R756" s="138" t="s">
        <v>1019</v>
      </c>
      <c r="S756" s="41">
        <f>IF(Purchase[[#This Row],[Status]]="Cancelled",0,Purchase[[#This Row],[Qty]])</f>
        <v>23</v>
      </c>
      <c r="T756" s="146">
        <f>IF(Purchase[[#This Row],[Status]]="Cancelled",0,Purchase[[#This Row],[Total Amount]])</f>
        <v>85463.86</v>
      </c>
      <c r="U756" s="146">
        <f>SUM(Purchase[Net Amount])</f>
        <v>814985438.68000126</v>
      </c>
    </row>
    <row r="757" spans="1:21" ht="19.5" thickBot="1" x14ac:dyDescent="0.3">
      <c r="A757" s="136" t="s">
        <v>1797</v>
      </c>
      <c r="B757" s="137">
        <v>45696</v>
      </c>
      <c r="C757" s="138" t="s">
        <v>597</v>
      </c>
      <c r="D757" s="138" t="str">
        <f>VLOOKUP(Purchase[[#This Row],[Supplier ID]],Supplier[#All],2,0)</f>
        <v>Tech Traders</v>
      </c>
      <c r="E757" s="138">
        <f>VLOOKUP(Purchase[[#This Row],[Supplier ID]],Supplier[#All],3,0)</f>
        <v>9689542480</v>
      </c>
      <c r="F757" s="138" t="str">
        <f>VLOOKUP(Purchase[[#This Row],[Supplier ID]],Supplier[#All],4,0)</f>
        <v>Kanpur</v>
      </c>
      <c r="G757" s="138" t="str">
        <f>VLOOKUP(Purchase[[#This Row],[Supplier ID]],Supplier[#All],5,0)</f>
        <v>UP</v>
      </c>
      <c r="H757" s="138" t="str">
        <f>VLOOKUP(Purchase[[#This Row],[Supplier ID]],Supplier[#All],6,0)</f>
        <v>GST2154521T042</v>
      </c>
      <c r="I757" s="138" t="s">
        <v>401</v>
      </c>
      <c r="J757" s="139">
        <v>29</v>
      </c>
      <c r="K757" s="143">
        <f>VLOOKUP(Purchase[[#This Row],[Product ID]],Product[#All],6,0)</f>
        <v>517</v>
      </c>
      <c r="L757" s="143">
        <f>Purchase[[#This Row],[Purchase Rate]]*Purchase[[#This Row],[Qty]]</f>
        <v>14993</v>
      </c>
      <c r="M757" s="140">
        <v>0</v>
      </c>
      <c r="N757" s="143">
        <v>0</v>
      </c>
      <c r="O757" s="140">
        <v>0.18</v>
      </c>
      <c r="P757" s="145">
        <f>(Purchase[[#This Row],[Gross Amount]]-Purchase[[#This Row],[Disct %]])*Purchase[[#This Row],[GST %]]</f>
        <v>2698.74</v>
      </c>
      <c r="Q757" s="145">
        <f>Purchase[[#This Row],[Gross Amount]]-Purchase[[#This Row],[Disct Amnt]]+Purchase[[#This Row],[GST Amount]]</f>
        <v>17691.739999999998</v>
      </c>
      <c r="R757" s="138" t="s">
        <v>1019</v>
      </c>
      <c r="S757" s="41">
        <f>IF(Purchase[[#This Row],[Status]]="Cancelled",0,Purchase[[#This Row],[Qty]])</f>
        <v>29</v>
      </c>
      <c r="T757" s="146">
        <f>IF(Purchase[[#This Row],[Status]]="Cancelled",0,Purchase[[#This Row],[Total Amount]])</f>
        <v>17691.739999999998</v>
      </c>
      <c r="U757" s="146">
        <f>SUM(Purchase[Net Amount])</f>
        <v>814985438.68000126</v>
      </c>
    </row>
    <row r="758" spans="1:21" ht="19.5" thickBot="1" x14ac:dyDescent="0.3">
      <c r="A758" s="136" t="s">
        <v>1798</v>
      </c>
      <c r="B758" s="137">
        <v>45696</v>
      </c>
      <c r="C758" s="138" t="s">
        <v>594</v>
      </c>
      <c r="D758" s="138" t="str">
        <f>VLOOKUP(Purchase[[#This Row],[Supplier ID]],Supplier[#All],2,0)</f>
        <v>Shree Suppliers</v>
      </c>
      <c r="E758" s="138">
        <f>VLOOKUP(Purchase[[#This Row],[Supplier ID]],Supplier[#All],3,0)</f>
        <v>9689542477</v>
      </c>
      <c r="F758" s="138" t="str">
        <f>VLOOKUP(Purchase[[#This Row],[Supplier ID]],Supplier[#All],4,0)</f>
        <v>Indore</v>
      </c>
      <c r="G758" s="138" t="str">
        <f>VLOOKUP(Purchase[[#This Row],[Supplier ID]],Supplier[#All],5,0)</f>
        <v>MP</v>
      </c>
      <c r="H758" s="138" t="str">
        <f>VLOOKUP(Purchase[[#This Row],[Supplier ID]],Supplier[#All],6,0)</f>
        <v>GST2154521T039</v>
      </c>
      <c r="I758" s="138" t="s">
        <v>243</v>
      </c>
      <c r="J758" s="139">
        <v>36</v>
      </c>
      <c r="K758" s="143">
        <f>VLOOKUP(Purchase[[#This Row],[Product ID]],Product[#All],6,0)</f>
        <v>2543</v>
      </c>
      <c r="L758" s="143">
        <f>Purchase[[#This Row],[Purchase Rate]]*Purchase[[#This Row],[Qty]]</f>
        <v>91548</v>
      </c>
      <c r="M758" s="140">
        <v>0</v>
      </c>
      <c r="N758" s="143">
        <v>0</v>
      </c>
      <c r="O758" s="140">
        <v>0.18</v>
      </c>
      <c r="P758" s="145">
        <f>(Purchase[[#This Row],[Gross Amount]]-Purchase[[#This Row],[Disct %]])*Purchase[[#This Row],[GST %]]</f>
        <v>16478.64</v>
      </c>
      <c r="Q758" s="145">
        <f>Purchase[[#This Row],[Gross Amount]]-Purchase[[#This Row],[Disct Amnt]]+Purchase[[#This Row],[GST Amount]]</f>
        <v>108026.64</v>
      </c>
      <c r="R758" s="138" t="s">
        <v>1019</v>
      </c>
      <c r="S758" s="41">
        <f>IF(Purchase[[#This Row],[Status]]="Cancelled",0,Purchase[[#This Row],[Qty]])</f>
        <v>36</v>
      </c>
      <c r="T758" s="146">
        <f>IF(Purchase[[#This Row],[Status]]="Cancelled",0,Purchase[[#This Row],[Total Amount]])</f>
        <v>108026.64</v>
      </c>
      <c r="U758" s="146">
        <f>SUM(Purchase[Net Amount])</f>
        <v>814985438.68000126</v>
      </c>
    </row>
    <row r="759" spans="1:21" ht="19.5" thickBot="1" x14ac:dyDescent="0.3">
      <c r="A759" s="136" t="s">
        <v>1799</v>
      </c>
      <c r="B759" s="137">
        <v>45696</v>
      </c>
      <c r="C759" s="138" t="s">
        <v>570</v>
      </c>
      <c r="D759" s="138" t="str">
        <f>VLOOKUP(Purchase[[#This Row],[Supplier ID]],Supplier[#All],2,0)</f>
        <v>Prime Traders</v>
      </c>
      <c r="E759" s="138">
        <f>VLOOKUP(Purchase[[#This Row],[Supplier ID]],Supplier[#All],3,0)</f>
        <v>9689542456</v>
      </c>
      <c r="F759" s="138" t="str">
        <f>VLOOKUP(Purchase[[#This Row],[Supplier ID]],Supplier[#All],4,0)</f>
        <v>Indore</v>
      </c>
      <c r="G759" s="138" t="str">
        <f>VLOOKUP(Purchase[[#This Row],[Supplier ID]],Supplier[#All],5,0)</f>
        <v>MP</v>
      </c>
      <c r="H759" s="138" t="str">
        <f>VLOOKUP(Purchase[[#This Row],[Supplier ID]],Supplier[#All],6,0)</f>
        <v>GST2154521T018</v>
      </c>
      <c r="I759" s="138" t="s">
        <v>268</v>
      </c>
      <c r="J759" s="139">
        <v>36</v>
      </c>
      <c r="K759" s="143">
        <f>VLOOKUP(Purchase[[#This Row],[Product ID]],Product[#All],6,0)</f>
        <v>1726</v>
      </c>
      <c r="L759" s="143">
        <f>Purchase[[#This Row],[Purchase Rate]]*Purchase[[#This Row],[Qty]]</f>
        <v>62136</v>
      </c>
      <c r="M759" s="140">
        <v>0</v>
      </c>
      <c r="N759" s="143">
        <v>0</v>
      </c>
      <c r="O759" s="140">
        <v>0.18</v>
      </c>
      <c r="P759" s="145">
        <f>(Purchase[[#This Row],[Gross Amount]]-Purchase[[#This Row],[Disct %]])*Purchase[[#This Row],[GST %]]</f>
        <v>11184.48</v>
      </c>
      <c r="Q759" s="145">
        <f>Purchase[[#This Row],[Gross Amount]]-Purchase[[#This Row],[Disct Amnt]]+Purchase[[#This Row],[GST Amount]]</f>
        <v>73320.479999999996</v>
      </c>
      <c r="R759" s="138" t="s">
        <v>1019</v>
      </c>
      <c r="S759" s="41">
        <f>IF(Purchase[[#This Row],[Status]]="Cancelled",0,Purchase[[#This Row],[Qty]])</f>
        <v>36</v>
      </c>
      <c r="T759" s="146">
        <f>IF(Purchase[[#This Row],[Status]]="Cancelled",0,Purchase[[#This Row],[Total Amount]])</f>
        <v>73320.479999999996</v>
      </c>
      <c r="U759" s="146">
        <f>SUM(Purchase[Net Amount])</f>
        <v>814985438.68000126</v>
      </c>
    </row>
    <row r="760" spans="1:21" ht="19.5" thickBot="1" x14ac:dyDescent="0.3">
      <c r="A760" s="136" t="s">
        <v>1800</v>
      </c>
      <c r="B760" s="137">
        <v>45696</v>
      </c>
      <c r="C760" s="138" t="s">
        <v>609</v>
      </c>
      <c r="D760" s="138" t="str">
        <f>VLOOKUP(Purchase[[#This Row],[Supplier ID]],Supplier[#All],2,0)</f>
        <v>Star Suppliers</v>
      </c>
      <c r="E760" s="138">
        <f>VLOOKUP(Purchase[[#This Row],[Supplier ID]],Supplier[#All],3,0)</f>
        <v>9689542492</v>
      </c>
      <c r="F760" s="138" t="str">
        <f>VLOOKUP(Purchase[[#This Row],[Supplier ID]],Supplier[#All],4,0)</f>
        <v>Kanpur</v>
      </c>
      <c r="G760" s="138" t="str">
        <f>VLOOKUP(Purchase[[#This Row],[Supplier ID]],Supplier[#All],5,0)</f>
        <v>UP</v>
      </c>
      <c r="H760" s="138" t="str">
        <f>VLOOKUP(Purchase[[#This Row],[Supplier ID]],Supplier[#All],6,0)</f>
        <v>GST2154521T054</v>
      </c>
      <c r="I760" s="138" t="s">
        <v>378</v>
      </c>
      <c r="J760" s="139">
        <v>34</v>
      </c>
      <c r="K760" s="143">
        <f>VLOOKUP(Purchase[[#This Row],[Product ID]],Product[#All],6,0)</f>
        <v>3476</v>
      </c>
      <c r="L760" s="143">
        <f>Purchase[[#This Row],[Purchase Rate]]*Purchase[[#This Row],[Qty]]</f>
        <v>118184</v>
      </c>
      <c r="M760" s="140">
        <v>0</v>
      </c>
      <c r="N760" s="143">
        <v>0</v>
      </c>
      <c r="O760" s="140">
        <v>0.18</v>
      </c>
      <c r="P760" s="145">
        <f>(Purchase[[#This Row],[Gross Amount]]-Purchase[[#This Row],[Disct %]])*Purchase[[#This Row],[GST %]]</f>
        <v>21273.119999999999</v>
      </c>
      <c r="Q760" s="145">
        <f>Purchase[[#This Row],[Gross Amount]]-Purchase[[#This Row],[Disct Amnt]]+Purchase[[#This Row],[GST Amount]]</f>
        <v>139457.12</v>
      </c>
      <c r="R760" s="138" t="s">
        <v>1019</v>
      </c>
      <c r="S760" s="41">
        <f>IF(Purchase[[#This Row],[Status]]="Cancelled",0,Purchase[[#This Row],[Qty]])</f>
        <v>34</v>
      </c>
      <c r="T760" s="146">
        <f>IF(Purchase[[#This Row],[Status]]="Cancelled",0,Purchase[[#This Row],[Total Amount]])</f>
        <v>139457.12</v>
      </c>
      <c r="U760" s="146">
        <f>SUM(Purchase[Net Amount])</f>
        <v>814985438.68000126</v>
      </c>
    </row>
    <row r="761" spans="1:21" ht="19.5" thickBot="1" x14ac:dyDescent="0.3">
      <c r="A761" s="136" t="s">
        <v>1801</v>
      </c>
      <c r="B761" s="137">
        <v>45696</v>
      </c>
      <c r="C761" s="138" t="s">
        <v>579</v>
      </c>
      <c r="D761" s="138" t="str">
        <f>VLOOKUP(Purchase[[#This Row],[Supplier ID]],Supplier[#All],2,0)</f>
        <v>Tech Traders</v>
      </c>
      <c r="E761" s="138">
        <f>VLOOKUP(Purchase[[#This Row],[Supplier ID]],Supplier[#All],3,0)</f>
        <v>9689542463</v>
      </c>
      <c r="F761" s="138" t="str">
        <f>VLOOKUP(Purchase[[#This Row],[Supplier ID]],Supplier[#All],4,0)</f>
        <v>Kanpur</v>
      </c>
      <c r="G761" s="138" t="str">
        <f>VLOOKUP(Purchase[[#This Row],[Supplier ID]],Supplier[#All],5,0)</f>
        <v>UP</v>
      </c>
      <c r="H761" s="138" t="str">
        <f>VLOOKUP(Purchase[[#This Row],[Supplier ID]],Supplier[#All],6,0)</f>
        <v>GST2154521T025</v>
      </c>
      <c r="I761" s="138" t="s">
        <v>156</v>
      </c>
      <c r="J761" s="139">
        <v>33</v>
      </c>
      <c r="K761" s="143">
        <f>VLOOKUP(Purchase[[#This Row],[Product ID]],Product[#All],6,0)</f>
        <v>2558</v>
      </c>
      <c r="L761" s="143">
        <f>Purchase[[#This Row],[Purchase Rate]]*Purchase[[#This Row],[Qty]]</f>
        <v>84414</v>
      </c>
      <c r="M761" s="140">
        <v>0</v>
      </c>
      <c r="N761" s="143">
        <v>0</v>
      </c>
      <c r="O761" s="140">
        <v>0.18</v>
      </c>
      <c r="P761" s="145">
        <f>(Purchase[[#This Row],[Gross Amount]]-Purchase[[#This Row],[Disct %]])*Purchase[[#This Row],[GST %]]</f>
        <v>15194.519999999999</v>
      </c>
      <c r="Q761" s="145">
        <f>Purchase[[#This Row],[Gross Amount]]-Purchase[[#This Row],[Disct Amnt]]+Purchase[[#This Row],[GST Amount]]</f>
        <v>99608.52</v>
      </c>
      <c r="R761" s="138" t="s">
        <v>1019</v>
      </c>
      <c r="S761" s="41">
        <f>IF(Purchase[[#This Row],[Status]]="Cancelled",0,Purchase[[#This Row],[Qty]])</f>
        <v>33</v>
      </c>
      <c r="T761" s="146">
        <f>IF(Purchase[[#This Row],[Status]]="Cancelled",0,Purchase[[#This Row],[Total Amount]])</f>
        <v>99608.52</v>
      </c>
      <c r="U761" s="146">
        <f>SUM(Purchase[Net Amount])</f>
        <v>814985438.68000126</v>
      </c>
    </row>
    <row r="762" spans="1:21" ht="19.5" thickBot="1" x14ac:dyDescent="0.3">
      <c r="A762" s="136" t="s">
        <v>1802</v>
      </c>
      <c r="B762" s="137">
        <v>45696</v>
      </c>
      <c r="C762" s="138" t="s">
        <v>615</v>
      </c>
      <c r="D762" s="138" t="str">
        <f>VLOOKUP(Purchase[[#This Row],[Supplier ID]],Supplier[#All],2,0)</f>
        <v>NATIONAL ELECTRONICS</v>
      </c>
      <c r="E762" s="138">
        <f>VLOOKUP(Purchase[[#This Row],[Supplier ID]],Supplier[#All],3,0)</f>
        <v>9689542498</v>
      </c>
      <c r="F762" s="138" t="str">
        <f>VLOOKUP(Purchase[[#This Row],[Supplier ID]],Supplier[#All],4,0)</f>
        <v>Kanpur</v>
      </c>
      <c r="G762" s="138" t="str">
        <f>VLOOKUP(Purchase[[#This Row],[Supplier ID]],Supplier[#All],5,0)</f>
        <v>UP</v>
      </c>
      <c r="H762" s="138" t="str">
        <f>VLOOKUP(Purchase[[#This Row],[Supplier ID]],Supplier[#All],6,0)</f>
        <v>GST2154521T060</v>
      </c>
      <c r="I762" s="138" t="s">
        <v>82</v>
      </c>
      <c r="J762" s="139">
        <v>15</v>
      </c>
      <c r="K762" s="143">
        <f>VLOOKUP(Purchase[[#This Row],[Product ID]],Product[#All],6,0)</f>
        <v>4177</v>
      </c>
      <c r="L762" s="143">
        <f>Purchase[[#This Row],[Purchase Rate]]*Purchase[[#This Row],[Qty]]</f>
        <v>62655</v>
      </c>
      <c r="M762" s="140">
        <v>0</v>
      </c>
      <c r="N762" s="143">
        <v>0</v>
      </c>
      <c r="O762" s="140">
        <v>0.18</v>
      </c>
      <c r="P762" s="145">
        <f>(Purchase[[#This Row],[Gross Amount]]-Purchase[[#This Row],[Disct %]])*Purchase[[#This Row],[GST %]]</f>
        <v>11277.9</v>
      </c>
      <c r="Q762" s="145">
        <f>Purchase[[#This Row],[Gross Amount]]-Purchase[[#This Row],[Disct Amnt]]+Purchase[[#This Row],[GST Amount]]</f>
        <v>73932.899999999994</v>
      </c>
      <c r="R762" s="138" t="s">
        <v>1019</v>
      </c>
      <c r="S762" s="41">
        <f>IF(Purchase[[#This Row],[Status]]="Cancelled",0,Purchase[[#This Row],[Qty]])</f>
        <v>15</v>
      </c>
      <c r="T762" s="146">
        <f>IF(Purchase[[#This Row],[Status]]="Cancelled",0,Purchase[[#This Row],[Total Amount]])</f>
        <v>73932.899999999994</v>
      </c>
      <c r="U762" s="146">
        <f>SUM(Purchase[Net Amount])</f>
        <v>814985438.68000126</v>
      </c>
    </row>
    <row r="763" spans="1:21" ht="19.5" thickBot="1" x14ac:dyDescent="0.3">
      <c r="A763" s="136" t="s">
        <v>1803</v>
      </c>
      <c r="B763" s="137">
        <v>45696</v>
      </c>
      <c r="C763" s="138" t="s">
        <v>613</v>
      </c>
      <c r="D763" s="138" t="str">
        <f>VLOOKUP(Purchase[[#This Row],[Supplier ID]],Supplier[#All],2,0)</f>
        <v>National Traders</v>
      </c>
      <c r="E763" s="138">
        <f>VLOOKUP(Purchase[[#This Row],[Supplier ID]],Supplier[#All],3,0)</f>
        <v>9689542496</v>
      </c>
      <c r="F763" s="138" t="str">
        <f>VLOOKUP(Purchase[[#This Row],[Supplier ID]],Supplier[#All],4,0)</f>
        <v>Indore</v>
      </c>
      <c r="G763" s="138" t="str">
        <f>VLOOKUP(Purchase[[#This Row],[Supplier ID]],Supplier[#All],5,0)</f>
        <v>MP</v>
      </c>
      <c r="H763" s="138" t="str">
        <f>VLOOKUP(Purchase[[#This Row],[Supplier ID]],Supplier[#All],6,0)</f>
        <v>GST2154521T058</v>
      </c>
      <c r="I763" s="138" t="s">
        <v>289</v>
      </c>
      <c r="J763" s="139">
        <v>24</v>
      </c>
      <c r="K763" s="143">
        <f>VLOOKUP(Purchase[[#This Row],[Product ID]],Product[#All],6,0)</f>
        <v>927</v>
      </c>
      <c r="L763" s="143">
        <f>Purchase[[#This Row],[Purchase Rate]]*Purchase[[#This Row],[Qty]]</f>
        <v>22248</v>
      </c>
      <c r="M763" s="140">
        <v>0</v>
      </c>
      <c r="N763" s="143">
        <v>0</v>
      </c>
      <c r="O763" s="140">
        <v>0.18</v>
      </c>
      <c r="P763" s="145">
        <f>(Purchase[[#This Row],[Gross Amount]]-Purchase[[#This Row],[Disct %]])*Purchase[[#This Row],[GST %]]</f>
        <v>4004.64</v>
      </c>
      <c r="Q763" s="145">
        <f>Purchase[[#This Row],[Gross Amount]]-Purchase[[#This Row],[Disct Amnt]]+Purchase[[#This Row],[GST Amount]]</f>
        <v>26252.639999999999</v>
      </c>
      <c r="R763" s="138" t="s">
        <v>1019</v>
      </c>
      <c r="S763" s="41">
        <f>IF(Purchase[[#This Row],[Status]]="Cancelled",0,Purchase[[#This Row],[Qty]])</f>
        <v>24</v>
      </c>
      <c r="T763" s="146">
        <f>IF(Purchase[[#This Row],[Status]]="Cancelled",0,Purchase[[#This Row],[Total Amount]])</f>
        <v>26252.639999999999</v>
      </c>
      <c r="U763" s="146">
        <f>SUM(Purchase[Net Amount])</f>
        <v>814985438.68000126</v>
      </c>
    </row>
    <row r="764" spans="1:21" ht="19.5" thickBot="1" x14ac:dyDescent="0.3">
      <c r="A764" s="136" t="s">
        <v>1804</v>
      </c>
      <c r="B764" s="137">
        <v>45696</v>
      </c>
      <c r="C764" s="138" t="s">
        <v>616</v>
      </c>
      <c r="D764" s="138" t="str">
        <f>VLOOKUP(Purchase[[#This Row],[Supplier ID]],Supplier[#All],2,0)</f>
        <v>Global Suppliers</v>
      </c>
      <c r="E764" s="138">
        <f>VLOOKUP(Purchase[[#This Row],[Supplier ID]],Supplier[#All],3,0)</f>
        <v>9689542499</v>
      </c>
      <c r="F764" s="138" t="str">
        <f>VLOOKUP(Purchase[[#This Row],[Supplier ID]],Supplier[#All],4,0)</f>
        <v>Kanpur</v>
      </c>
      <c r="G764" s="138" t="str">
        <f>VLOOKUP(Purchase[[#This Row],[Supplier ID]],Supplier[#All],5,0)</f>
        <v>UP</v>
      </c>
      <c r="H764" s="138" t="str">
        <f>VLOOKUP(Purchase[[#This Row],[Supplier ID]],Supplier[#All],6,0)</f>
        <v>GST2154521T061</v>
      </c>
      <c r="I764" s="138" t="s">
        <v>394</v>
      </c>
      <c r="J764" s="139">
        <v>12</v>
      </c>
      <c r="K764" s="143">
        <f>VLOOKUP(Purchase[[#This Row],[Product ID]],Product[#All],6,0)</f>
        <v>1446</v>
      </c>
      <c r="L764" s="143">
        <f>Purchase[[#This Row],[Purchase Rate]]*Purchase[[#This Row],[Qty]]</f>
        <v>17352</v>
      </c>
      <c r="M764" s="140">
        <v>0</v>
      </c>
      <c r="N764" s="143">
        <v>0</v>
      </c>
      <c r="O764" s="140">
        <v>0.18</v>
      </c>
      <c r="P764" s="145">
        <f>(Purchase[[#This Row],[Gross Amount]]-Purchase[[#This Row],[Disct %]])*Purchase[[#This Row],[GST %]]</f>
        <v>3123.3599999999997</v>
      </c>
      <c r="Q764" s="145">
        <f>Purchase[[#This Row],[Gross Amount]]-Purchase[[#This Row],[Disct Amnt]]+Purchase[[#This Row],[GST Amount]]</f>
        <v>20475.36</v>
      </c>
      <c r="R764" s="138" t="s">
        <v>1019</v>
      </c>
      <c r="S764" s="41">
        <f>IF(Purchase[[#This Row],[Status]]="Cancelled",0,Purchase[[#This Row],[Qty]])</f>
        <v>12</v>
      </c>
      <c r="T764" s="146">
        <f>IF(Purchase[[#This Row],[Status]]="Cancelled",0,Purchase[[#This Row],[Total Amount]])</f>
        <v>20475.36</v>
      </c>
      <c r="U764" s="146">
        <f>SUM(Purchase[Net Amount])</f>
        <v>814985438.68000126</v>
      </c>
    </row>
    <row r="765" spans="1:21" ht="19.5" thickBot="1" x14ac:dyDescent="0.3">
      <c r="A765" s="136" t="s">
        <v>1805</v>
      </c>
      <c r="B765" s="137">
        <v>45697</v>
      </c>
      <c r="C765" s="138" t="s">
        <v>605</v>
      </c>
      <c r="D765" s="138" t="str">
        <f>VLOOKUP(Purchase[[#This Row],[Supplier ID]],Supplier[#All],2,0)</f>
        <v>Star Traders</v>
      </c>
      <c r="E765" s="138">
        <f>VLOOKUP(Purchase[[#This Row],[Supplier ID]],Supplier[#All],3,0)</f>
        <v>9689542488</v>
      </c>
      <c r="F765" s="138" t="str">
        <f>VLOOKUP(Purchase[[#This Row],[Supplier ID]],Supplier[#All],4,0)</f>
        <v>Indore</v>
      </c>
      <c r="G765" s="138" t="str">
        <f>VLOOKUP(Purchase[[#This Row],[Supplier ID]],Supplier[#All],5,0)</f>
        <v>MP</v>
      </c>
      <c r="H765" s="138" t="str">
        <f>VLOOKUP(Purchase[[#This Row],[Supplier ID]],Supplier[#All],6,0)</f>
        <v>GST2154521T050</v>
      </c>
      <c r="I765" s="138" t="s">
        <v>505</v>
      </c>
      <c r="J765" s="139">
        <v>34</v>
      </c>
      <c r="K765" s="143">
        <f>VLOOKUP(Purchase[[#This Row],[Product ID]],Product[#All],6,0)</f>
        <v>10762</v>
      </c>
      <c r="L765" s="143">
        <f>Purchase[[#This Row],[Purchase Rate]]*Purchase[[#This Row],[Qty]]</f>
        <v>365908</v>
      </c>
      <c r="M765" s="140">
        <v>0</v>
      </c>
      <c r="N765" s="143">
        <v>0</v>
      </c>
      <c r="O765" s="140">
        <v>0.18</v>
      </c>
      <c r="P765" s="145">
        <f>(Purchase[[#This Row],[Gross Amount]]-Purchase[[#This Row],[Disct %]])*Purchase[[#This Row],[GST %]]</f>
        <v>65863.44</v>
      </c>
      <c r="Q765" s="145">
        <f>Purchase[[#This Row],[Gross Amount]]-Purchase[[#This Row],[Disct Amnt]]+Purchase[[#This Row],[GST Amount]]</f>
        <v>431771.44</v>
      </c>
      <c r="R765" s="138" t="s">
        <v>1019</v>
      </c>
      <c r="S765" s="41">
        <f>IF(Purchase[[#This Row],[Status]]="Cancelled",0,Purchase[[#This Row],[Qty]])</f>
        <v>34</v>
      </c>
      <c r="T765" s="146">
        <f>IF(Purchase[[#This Row],[Status]]="Cancelled",0,Purchase[[#This Row],[Total Amount]])</f>
        <v>431771.44</v>
      </c>
      <c r="U765" s="146">
        <f>SUM(Purchase[Net Amount])</f>
        <v>814985438.68000126</v>
      </c>
    </row>
    <row r="766" spans="1:21" ht="19.5" thickBot="1" x14ac:dyDescent="0.3">
      <c r="A766" s="136" t="s">
        <v>1806</v>
      </c>
      <c r="B766" s="137">
        <v>45697</v>
      </c>
      <c r="C766" s="138" t="s">
        <v>569</v>
      </c>
      <c r="D766" s="138" t="str">
        <f>VLOOKUP(Purchase[[#This Row],[Supplier ID]],Supplier[#All],2,0)</f>
        <v>Tech Electronics</v>
      </c>
      <c r="E766" s="138">
        <f>VLOOKUP(Purchase[[#This Row],[Supplier ID]],Supplier[#All],3,0)</f>
        <v>9689542455</v>
      </c>
      <c r="F766" s="138" t="str">
        <f>VLOOKUP(Purchase[[#This Row],[Supplier ID]],Supplier[#All],4,0)</f>
        <v>Korba</v>
      </c>
      <c r="G766" s="138" t="str">
        <f>VLOOKUP(Purchase[[#This Row],[Supplier ID]],Supplier[#All],5,0)</f>
        <v>CG</v>
      </c>
      <c r="H766" s="138" t="str">
        <f>VLOOKUP(Purchase[[#This Row],[Supplier ID]],Supplier[#All],6,0)</f>
        <v>GST2154521T017</v>
      </c>
      <c r="I766" s="138" t="s">
        <v>453</v>
      </c>
      <c r="J766" s="139">
        <v>35</v>
      </c>
      <c r="K766" s="143">
        <f>VLOOKUP(Purchase[[#This Row],[Product ID]],Product[#All],6,0)</f>
        <v>2343</v>
      </c>
      <c r="L766" s="143">
        <f>Purchase[[#This Row],[Purchase Rate]]*Purchase[[#This Row],[Qty]]</f>
        <v>82005</v>
      </c>
      <c r="M766" s="140">
        <v>0</v>
      </c>
      <c r="N766" s="143">
        <v>0</v>
      </c>
      <c r="O766" s="140">
        <v>0.18</v>
      </c>
      <c r="P766" s="145">
        <f>(Purchase[[#This Row],[Gross Amount]]-Purchase[[#This Row],[Disct %]])*Purchase[[#This Row],[GST %]]</f>
        <v>14760.9</v>
      </c>
      <c r="Q766" s="145">
        <f>Purchase[[#This Row],[Gross Amount]]-Purchase[[#This Row],[Disct Amnt]]+Purchase[[#This Row],[GST Amount]]</f>
        <v>96765.9</v>
      </c>
      <c r="R766" s="138" t="s">
        <v>1019</v>
      </c>
      <c r="S766" s="41">
        <f>IF(Purchase[[#This Row],[Status]]="Cancelled",0,Purchase[[#This Row],[Qty]])</f>
        <v>35</v>
      </c>
      <c r="T766" s="146">
        <f>IF(Purchase[[#This Row],[Status]]="Cancelled",0,Purchase[[#This Row],[Total Amount]])</f>
        <v>96765.9</v>
      </c>
      <c r="U766" s="146">
        <f>SUM(Purchase[Net Amount])</f>
        <v>814985438.68000126</v>
      </c>
    </row>
    <row r="767" spans="1:21" ht="19.5" thickBot="1" x14ac:dyDescent="0.3">
      <c r="A767" s="136" t="s">
        <v>1807</v>
      </c>
      <c r="B767" s="137">
        <v>45697</v>
      </c>
      <c r="C767" s="138" t="s">
        <v>602</v>
      </c>
      <c r="D767" s="138" t="str">
        <f>VLOOKUP(Purchase[[#This Row],[Supplier ID]],Supplier[#All],2,0)</f>
        <v>Maa Computers</v>
      </c>
      <c r="E767" s="138">
        <f>VLOOKUP(Purchase[[#This Row],[Supplier ID]],Supplier[#All],3,0)</f>
        <v>9689542485</v>
      </c>
      <c r="F767" s="138" t="str">
        <f>VLOOKUP(Purchase[[#This Row],[Supplier ID]],Supplier[#All],4,0)</f>
        <v>Korba</v>
      </c>
      <c r="G767" s="138" t="str">
        <f>VLOOKUP(Purchase[[#This Row],[Supplier ID]],Supplier[#All],5,0)</f>
        <v>CG</v>
      </c>
      <c r="H767" s="138" t="str">
        <f>VLOOKUP(Purchase[[#This Row],[Supplier ID]],Supplier[#All],6,0)</f>
        <v>GST2154521T047</v>
      </c>
      <c r="I767" s="138" t="s">
        <v>274</v>
      </c>
      <c r="J767" s="139">
        <v>38</v>
      </c>
      <c r="K767" s="143">
        <f>VLOOKUP(Purchase[[#This Row],[Product ID]],Product[#All],6,0)</f>
        <v>48641</v>
      </c>
      <c r="L767" s="143">
        <f>Purchase[[#This Row],[Purchase Rate]]*Purchase[[#This Row],[Qty]]</f>
        <v>1848358</v>
      </c>
      <c r="M767" s="140">
        <v>0</v>
      </c>
      <c r="N767" s="143">
        <v>0</v>
      </c>
      <c r="O767" s="140">
        <v>0.18</v>
      </c>
      <c r="P767" s="145">
        <f>(Purchase[[#This Row],[Gross Amount]]-Purchase[[#This Row],[Disct %]])*Purchase[[#This Row],[GST %]]</f>
        <v>332704.44</v>
      </c>
      <c r="Q767" s="145">
        <f>Purchase[[#This Row],[Gross Amount]]-Purchase[[#This Row],[Disct Amnt]]+Purchase[[#This Row],[GST Amount]]</f>
        <v>2181062.44</v>
      </c>
      <c r="R767" s="138" t="s">
        <v>1019</v>
      </c>
      <c r="S767" s="41">
        <f>IF(Purchase[[#This Row],[Status]]="Cancelled",0,Purchase[[#This Row],[Qty]])</f>
        <v>38</v>
      </c>
      <c r="T767" s="146">
        <f>IF(Purchase[[#This Row],[Status]]="Cancelled",0,Purchase[[#This Row],[Total Amount]])</f>
        <v>2181062.44</v>
      </c>
      <c r="U767" s="146">
        <f>SUM(Purchase[Net Amount])</f>
        <v>814985438.68000126</v>
      </c>
    </row>
    <row r="768" spans="1:21" ht="19.5" thickBot="1" x14ac:dyDescent="0.3">
      <c r="A768" s="136" t="s">
        <v>1808</v>
      </c>
      <c r="B768" s="137">
        <v>45697</v>
      </c>
      <c r="C768" s="138" t="s">
        <v>586</v>
      </c>
      <c r="D768" s="138" t="str">
        <f>VLOOKUP(Purchase[[#This Row],[Supplier ID]],Supplier[#All],2,0)</f>
        <v>Maa Traders</v>
      </c>
      <c r="E768" s="138">
        <f>VLOOKUP(Purchase[[#This Row],[Supplier ID]],Supplier[#All],3,0)</f>
        <v>9689542470</v>
      </c>
      <c r="F768" s="138" t="str">
        <f>VLOOKUP(Purchase[[#This Row],[Supplier ID]],Supplier[#All],4,0)</f>
        <v>Kanpur</v>
      </c>
      <c r="G768" s="138" t="str">
        <f>VLOOKUP(Purchase[[#This Row],[Supplier ID]],Supplier[#All],5,0)</f>
        <v>UP</v>
      </c>
      <c r="H768" s="138" t="str">
        <f>VLOOKUP(Purchase[[#This Row],[Supplier ID]],Supplier[#All],6,0)</f>
        <v>GST2154521T032</v>
      </c>
      <c r="I768" s="138" t="s">
        <v>473</v>
      </c>
      <c r="J768" s="139">
        <v>11</v>
      </c>
      <c r="K768" s="143">
        <f>VLOOKUP(Purchase[[#This Row],[Product ID]],Product[#All],6,0)</f>
        <v>2274</v>
      </c>
      <c r="L768" s="143">
        <f>Purchase[[#This Row],[Purchase Rate]]*Purchase[[#This Row],[Qty]]</f>
        <v>25014</v>
      </c>
      <c r="M768" s="140">
        <v>0</v>
      </c>
      <c r="N768" s="143">
        <v>0</v>
      </c>
      <c r="O768" s="140">
        <v>0.18</v>
      </c>
      <c r="P768" s="145">
        <f>(Purchase[[#This Row],[Gross Amount]]-Purchase[[#This Row],[Disct %]])*Purchase[[#This Row],[GST %]]</f>
        <v>4502.5199999999995</v>
      </c>
      <c r="Q768" s="145">
        <f>Purchase[[#This Row],[Gross Amount]]-Purchase[[#This Row],[Disct Amnt]]+Purchase[[#This Row],[GST Amount]]</f>
        <v>29516.52</v>
      </c>
      <c r="R768" s="138" t="s">
        <v>1019</v>
      </c>
      <c r="S768" s="41">
        <f>IF(Purchase[[#This Row],[Status]]="Cancelled",0,Purchase[[#This Row],[Qty]])</f>
        <v>11</v>
      </c>
      <c r="T768" s="146">
        <f>IF(Purchase[[#This Row],[Status]]="Cancelled",0,Purchase[[#This Row],[Total Amount]])</f>
        <v>29516.52</v>
      </c>
      <c r="U768" s="146">
        <f>SUM(Purchase[Net Amount])</f>
        <v>814985438.68000126</v>
      </c>
    </row>
    <row r="769" spans="1:21" ht="19.5" thickBot="1" x14ac:dyDescent="0.3">
      <c r="A769" s="136" t="s">
        <v>1809</v>
      </c>
      <c r="B769" s="137">
        <v>45697</v>
      </c>
      <c r="C769" s="138" t="s">
        <v>583</v>
      </c>
      <c r="D769" s="138" t="str">
        <f>VLOOKUP(Purchase[[#This Row],[Supplier ID]],Supplier[#All],2,0)</f>
        <v>Shree Distributors</v>
      </c>
      <c r="E769" s="138">
        <f>VLOOKUP(Purchase[[#This Row],[Supplier ID]],Supplier[#All],3,0)</f>
        <v>9689542467</v>
      </c>
      <c r="F769" s="138" t="str">
        <f>VLOOKUP(Purchase[[#This Row],[Supplier ID]],Supplier[#All],4,0)</f>
        <v>Indore</v>
      </c>
      <c r="G769" s="138" t="str">
        <f>VLOOKUP(Purchase[[#This Row],[Supplier ID]],Supplier[#All],5,0)</f>
        <v>MP</v>
      </c>
      <c r="H769" s="138" t="str">
        <f>VLOOKUP(Purchase[[#This Row],[Supplier ID]],Supplier[#All],6,0)</f>
        <v>GST2154521T029</v>
      </c>
      <c r="I769" s="138" t="s">
        <v>256</v>
      </c>
      <c r="J769" s="139">
        <v>25</v>
      </c>
      <c r="K769" s="143">
        <f>VLOOKUP(Purchase[[#This Row],[Product ID]],Product[#All],6,0)</f>
        <v>82676</v>
      </c>
      <c r="L769" s="143">
        <f>Purchase[[#This Row],[Purchase Rate]]*Purchase[[#This Row],[Qty]]</f>
        <v>2066900</v>
      </c>
      <c r="M769" s="140">
        <v>0</v>
      </c>
      <c r="N769" s="143">
        <v>0</v>
      </c>
      <c r="O769" s="140">
        <v>0.18</v>
      </c>
      <c r="P769" s="145">
        <f>(Purchase[[#This Row],[Gross Amount]]-Purchase[[#This Row],[Disct %]])*Purchase[[#This Row],[GST %]]</f>
        <v>372042</v>
      </c>
      <c r="Q769" s="145">
        <f>Purchase[[#This Row],[Gross Amount]]-Purchase[[#This Row],[Disct Amnt]]+Purchase[[#This Row],[GST Amount]]</f>
        <v>2438942</v>
      </c>
      <c r="R769" s="138" t="s">
        <v>1019</v>
      </c>
      <c r="S769" s="41">
        <f>IF(Purchase[[#This Row],[Status]]="Cancelled",0,Purchase[[#This Row],[Qty]])</f>
        <v>25</v>
      </c>
      <c r="T769" s="146">
        <f>IF(Purchase[[#This Row],[Status]]="Cancelled",0,Purchase[[#This Row],[Total Amount]])</f>
        <v>2438942</v>
      </c>
      <c r="U769" s="146">
        <f>SUM(Purchase[Net Amount])</f>
        <v>814985438.68000126</v>
      </c>
    </row>
    <row r="770" spans="1:21" ht="19.5" thickBot="1" x14ac:dyDescent="0.3">
      <c r="A770" s="136" t="s">
        <v>1810</v>
      </c>
      <c r="B770" s="137">
        <v>45697</v>
      </c>
      <c r="C770" s="138" t="s">
        <v>609</v>
      </c>
      <c r="D770" s="138" t="str">
        <f>VLOOKUP(Purchase[[#This Row],[Supplier ID]],Supplier[#All],2,0)</f>
        <v>Star Suppliers</v>
      </c>
      <c r="E770" s="138">
        <f>VLOOKUP(Purchase[[#This Row],[Supplier ID]],Supplier[#All],3,0)</f>
        <v>9689542492</v>
      </c>
      <c r="F770" s="138" t="str">
        <f>VLOOKUP(Purchase[[#This Row],[Supplier ID]],Supplier[#All],4,0)</f>
        <v>Kanpur</v>
      </c>
      <c r="G770" s="138" t="str">
        <f>VLOOKUP(Purchase[[#This Row],[Supplier ID]],Supplier[#All],5,0)</f>
        <v>UP</v>
      </c>
      <c r="H770" s="138" t="str">
        <f>VLOOKUP(Purchase[[#This Row],[Supplier ID]],Supplier[#All],6,0)</f>
        <v>GST2154521T054</v>
      </c>
      <c r="I770" s="138" t="s">
        <v>189</v>
      </c>
      <c r="J770" s="139">
        <v>11</v>
      </c>
      <c r="K770" s="143">
        <f>VLOOKUP(Purchase[[#This Row],[Product ID]],Product[#All],6,0)</f>
        <v>1280</v>
      </c>
      <c r="L770" s="143">
        <f>Purchase[[#This Row],[Purchase Rate]]*Purchase[[#This Row],[Qty]]</f>
        <v>14080</v>
      </c>
      <c r="M770" s="140">
        <v>0</v>
      </c>
      <c r="N770" s="143">
        <v>0</v>
      </c>
      <c r="O770" s="140">
        <v>0.18</v>
      </c>
      <c r="P770" s="145">
        <f>(Purchase[[#This Row],[Gross Amount]]-Purchase[[#This Row],[Disct %]])*Purchase[[#This Row],[GST %]]</f>
        <v>2534.4</v>
      </c>
      <c r="Q770" s="145">
        <f>Purchase[[#This Row],[Gross Amount]]-Purchase[[#This Row],[Disct Amnt]]+Purchase[[#This Row],[GST Amount]]</f>
        <v>16614.400000000001</v>
      </c>
      <c r="R770" s="138" t="s">
        <v>1019</v>
      </c>
      <c r="S770" s="41">
        <f>IF(Purchase[[#This Row],[Status]]="Cancelled",0,Purchase[[#This Row],[Qty]])</f>
        <v>11</v>
      </c>
      <c r="T770" s="146">
        <f>IF(Purchase[[#This Row],[Status]]="Cancelled",0,Purchase[[#This Row],[Total Amount]])</f>
        <v>16614.400000000001</v>
      </c>
      <c r="U770" s="146">
        <f>SUM(Purchase[Net Amount])</f>
        <v>814985438.68000126</v>
      </c>
    </row>
    <row r="771" spans="1:21" ht="19.5" thickBot="1" x14ac:dyDescent="0.3">
      <c r="A771" s="136" t="s">
        <v>1811</v>
      </c>
      <c r="B771" s="137">
        <v>45697</v>
      </c>
      <c r="C771" s="138" t="s">
        <v>616</v>
      </c>
      <c r="D771" s="138" t="str">
        <f>VLOOKUP(Purchase[[#This Row],[Supplier ID]],Supplier[#All],2,0)</f>
        <v>Global Suppliers</v>
      </c>
      <c r="E771" s="138">
        <f>VLOOKUP(Purchase[[#This Row],[Supplier ID]],Supplier[#All],3,0)</f>
        <v>9689542499</v>
      </c>
      <c r="F771" s="138" t="str">
        <f>VLOOKUP(Purchase[[#This Row],[Supplier ID]],Supplier[#All],4,0)</f>
        <v>Kanpur</v>
      </c>
      <c r="G771" s="138" t="str">
        <f>VLOOKUP(Purchase[[#This Row],[Supplier ID]],Supplier[#All],5,0)</f>
        <v>UP</v>
      </c>
      <c r="H771" s="138" t="str">
        <f>VLOOKUP(Purchase[[#This Row],[Supplier ID]],Supplier[#All],6,0)</f>
        <v>GST2154521T061</v>
      </c>
      <c r="I771" s="138" t="s">
        <v>491</v>
      </c>
      <c r="J771" s="139">
        <v>15</v>
      </c>
      <c r="K771" s="143">
        <f>VLOOKUP(Purchase[[#This Row],[Product ID]],Product[#All],6,0)</f>
        <v>1938</v>
      </c>
      <c r="L771" s="143">
        <f>Purchase[[#This Row],[Purchase Rate]]*Purchase[[#This Row],[Qty]]</f>
        <v>29070</v>
      </c>
      <c r="M771" s="140">
        <v>0</v>
      </c>
      <c r="N771" s="143">
        <v>0</v>
      </c>
      <c r="O771" s="140">
        <v>0.18</v>
      </c>
      <c r="P771" s="145">
        <f>(Purchase[[#This Row],[Gross Amount]]-Purchase[[#This Row],[Disct %]])*Purchase[[#This Row],[GST %]]</f>
        <v>5232.5999999999995</v>
      </c>
      <c r="Q771" s="145">
        <f>Purchase[[#This Row],[Gross Amount]]-Purchase[[#This Row],[Disct Amnt]]+Purchase[[#This Row],[GST Amount]]</f>
        <v>34302.6</v>
      </c>
      <c r="R771" s="138" t="s">
        <v>1019</v>
      </c>
      <c r="S771" s="41">
        <f>IF(Purchase[[#This Row],[Status]]="Cancelled",0,Purchase[[#This Row],[Qty]])</f>
        <v>15</v>
      </c>
      <c r="T771" s="146">
        <f>IF(Purchase[[#This Row],[Status]]="Cancelled",0,Purchase[[#This Row],[Total Amount]])</f>
        <v>34302.6</v>
      </c>
      <c r="U771" s="146">
        <f>SUM(Purchase[Net Amount])</f>
        <v>814985438.68000126</v>
      </c>
    </row>
    <row r="772" spans="1:21" ht="19.5" thickBot="1" x14ac:dyDescent="0.3">
      <c r="A772" s="136" t="s">
        <v>1812</v>
      </c>
      <c r="B772" s="137">
        <v>45697</v>
      </c>
      <c r="C772" s="138" t="s">
        <v>612</v>
      </c>
      <c r="D772" s="138" t="str">
        <f>VLOOKUP(Purchase[[#This Row],[Supplier ID]],Supplier[#All],2,0)</f>
        <v>National Computers</v>
      </c>
      <c r="E772" s="138">
        <f>VLOOKUP(Purchase[[#This Row],[Supplier ID]],Supplier[#All],3,0)</f>
        <v>9689542495</v>
      </c>
      <c r="F772" s="138" t="str">
        <f>VLOOKUP(Purchase[[#This Row],[Supplier ID]],Supplier[#All],4,0)</f>
        <v>Indore</v>
      </c>
      <c r="G772" s="138" t="str">
        <f>VLOOKUP(Purchase[[#This Row],[Supplier ID]],Supplier[#All],5,0)</f>
        <v>MP</v>
      </c>
      <c r="H772" s="138" t="str">
        <f>VLOOKUP(Purchase[[#This Row],[Supplier ID]],Supplier[#All],6,0)</f>
        <v>GST2154521T057</v>
      </c>
      <c r="I772" s="138" t="s">
        <v>92</v>
      </c>
      <c r="J772" s="139">
        <v>32</v>
      </c>
      <c r="K772" s="143">
        <f>VLOOKUP(Purchase[[#This Row],[Product ID]],Product[#All],6,0)</f>
        <v>5110</v>
      </c>
      <c r="L772" s="143">
        <f>Purchase[[#This Row],[Purchase Rate]]*Purchase[[#This Row],[Qty]]</f>
        <v>163520</v>
      </c>
      <c r="M772" s="140">
        <v>0</v>
      </c>
      <c r="N772" s="143">
        <v>0</v>
      </c>
      <c r="O772" s="140">
        <v>0.18</v>
      </c>
      <c r="P772" s="145">
        <f>(Purchase[[#This Row],[Gross Amount]]-Purchase[[#This Row],[Disct %]])*Purchase[[#This Row],[GST %]]</f>
        <v>29433.599999999999</v>
      </c>
      <c r="Q772" s="145">
        <f>Purchase[[#This Row],[Gross Amount]]-Purchase[[#This Row],[Disct Amnt]]+Purchase[[#This Row],[GST Amount]]</f>
        <v>192953.60000000001</v>
      </c>
      <c r="R772" s="138" t="s">
        <v>1019</v>
      </c>
      <c r="S772" s="41">
        <f>IF(Purchase[[#This Row],[Status]]="Cancelled",0,Purchase[[#This Row],[Qty]])</f>
        <v>32</v>
      </c>
      <c r="T772" s="146">
        <f>IF(Purchase[[#This Row],[Status]]="Cancelled",0,Purchase[[#This Row],[Total Amount]])</f>
        <v>192953.60000000001</v>
      </c>
      <c r="U772" s="146">
        <f>SUM(Purchase[Net Amount])</f>
        <v>814985438.68000126</v>
      </c>
    </row>
    <row r="773" spans="1:21" ht="19.5" thickBot="1" x14ac:dyDescent="0.3">
      <c r="A773" s="136" t="s">
        <v>1813</v>
      </c>
      <c r="B773" s="137">
        <v>45697</v>
      </c>
      <c r="C773" s="138" t="s">
        <v>575</v>
      </c>
      <c r="D773" s="138" t="str">
        <f>VLOOKUP(Purchase[[#This Row],[Supplier ID]],Supplier[#All],2,0)</f>
        <v>Global Computers</v>
      </c>
      <c r="E773" s="138">
        <f>VLOOKUP(Purchase[[#This Row],[Supplier ID]],Supplier[#All],3,0)</f>
        <v>9689542459</v>
      </c>
      <c r="F773" s="138" t="str">
        <f>VLOOKUP(Purchase[[#This Row],[Supplier ID]],Supplier[#All],4,0)</f>
        <v>Indore</v>
      </c>
      <c r="G773" s="138" t="str">
        <f>VLOOKUP(Purchase[[#This Row],[Supplier ID]],Supplier[#All],5,0)</f>
        <v>MP</v>
      </c>
      <c r="H773" s="138" t="str">
        <f>VLOOKUP(Purchase[[#This Row],[Supplier ID]],Supplier[#All],6,0)</f>
        <v>GST2154521T021</v>
      </c>
      <c r="I773" s="138" t="s">
        <v>469</v>
      </c>
      <c r="J773" s="139">
        <v>15</v>
      </c>
      <c r="K773" s="143">
        <f>VLOOKUP(Purchase[[#This Row],[Product ID]],Product[#All],6,0)</f>
        <v>5378</v>
      </c>
      <c r="L773" s="143">
        <f>Purchase[[#This Row],[Purchase Rate]]*Purchase[[#This Row],[Qty]]</f>
        <v>80670</v>
      </c>
      <c r="M773" s="140">
        <v>0</v>
      </c>
      <c r="N773" s="143">
        <v>0</v>
      </c>
      <c r="O773" s="140">
        <v>0.18</v>
      </c>
      <c r="P773" s="145">
        <f>(Purchase[[#This Row],[Gross Amount]]-Purchase[[#This Row],[Disct %]])*Purchase[[#This Row],[GST %]]</f>
        <v>14520.6</v>
      </c>
      <c r="Q773" s="145">
        <f>Purchase[[#This Row],[Gross Amount]]-Purchase[[#This Row],[Disct Amnt]]+Purchase[[#This Row],[GST Amount]]</f>
        <v>95190.6</v>
      </c>
      <c r="R773" s="138" t="s">
        <v>1019</v>
      </c>
      <c r="S773" s="41">
        <f>IF(Purchase[[#This Row],[Status]]="Cancelled",0,Purchase[[#This Row],[Qty]])</f>
        <v>15</v>
      </c>
      <c r="T773" s="146">
        <f>IF(Purchase[[#This Row],[Status]]="Cancelled",0,Purchase[[#This Row],[Total Amount]])</f>
        <v>95190.6</v>
      </c>
      <c r="U773" s="146">
        <f>SUM(Purchase[Net Amount])</f>
        <v>814985438.68000126</v>
      </c>
    </row>
    <row r="774" spans="1:21" ht="19.5" thickBot="1" x14ac:dyDescent="0.3">
      <c r="A774" s="136" t="s">
        <v>1814</v>
      </c>
      <c r="B774" s="137">
        <v>45697</v>
      </c>
      <c r="C774" s="138" t="s">
        <v>615</v>
      </c>
      <c r="D774" s="138" t="str">
        <f>VLOOKUP(Purchase[[#This Row],[Supplier ID]],Supplier[#All],2,0)</f>
        <v>NATIONAL ELECTRONICS</v>
      </c>
      <c r="E774" s="138">
        <f>VLOOKUP(Purchase[[#This Row],[Supplier ID]],Supplier[#All],3,0)</f>
        <v>9689542498</v>
      </c>
      <c r="F774" s="138" t="str">
        <f>VLOOKUP(Purchase[[#This Row],[Supplier ID]],Supplier[#All],4,0)</f>
        <v>Kanpur</v>
      </c>
      <c r="G774" s="138" t="str">
        <f>VLOOKUP(Purchase[[#This Row],[Supplier ID]],Supplier[#All],5,0)</f>
        <v>UP</v>
      </c>
      <c r="H774" s="138" t="str">
        <f>VLOOKUP(Purchase[[#This Row],[Supplier ID]],Supplier[#All],6,0)</f>
        <v>GST2154521T060</v>
      </c>
      <c r="I774" s="138" t="s">
        <v>281</v>
      </c>
      <c r="J774" s="139">
        <v>9</v>
      </c>
      <c r="K774" s="143">
        <f>VLOOKUP(Purchase[[#This Row],[Product ID]],Product[#All],6,0)</f>
        <v>9854</v>
      </c>
      <c r="L774" s="143">
        <f>Purchase[[#This Row],[Purchase Rate]]*Purchase[[#This Row],[Qty]]</f>
        <v>88686</v>
      </c>
      <c r="M774" s="140">
        <v>0</v>
      </c>
      <c r="N774" s="143">
        <v>0</v>
      </c>
      <c r="O774" s="140">
        <v>0.18</v>
      </c>
      <c r="P774" s="145">
        <f>(Purchase[[#This Row],[Gross Amount]]-Purchase[[#This Row],[Disct %]])*Purchase[[#This Row],[GST %]]</f>
        <v>15963.48</v>
      </c>
      <c r="Q774" s="145">
        <f>Purchase[[#This Row],[Gross Amount]]-Purchase[[#This Row],[Disct Amnt]]+Purchase[[#This Row],[GST Amount]]</f>
        <v>104649.48</v>
      </c>
      <c r="R774" s="138" t="s">
        <v>1019</v>
      </c>
      <c r="S774" s="41">
        <f>IF(Purchase[[#This Row],[Status]]="Cancelled",0,Purchase[[#This Row],[Qty]])</f>
        <v>9</v>
      </c>
      <c r="T774" s="146">
        <f>IF(Purchase[[#This Row],[Status]]="Cancelled",0,Purchase[[#This Row],[Total Amount]])</f>
        <v>104649.48</v>
      </c>
      <c r="U774" s="146">
        <f>SUM(Purchase[Net Amount])</f>
        <v>814985438.68000126</v>
      </c>
    </row>
    <row r="775" spans="1:21" ht="19.5" thickBot="1" x14ac:dyDescent="0.3">
      <c r="A775" s="136" t="s">
        <v>1815</v>
      </c>
      <c r="B775" s="137">
        <v>45697</v>
      </c>
      <c r="C775" s="138" t="s">
        <v>567</v>
      </c>
      <c r="D775" s="138" t="str">
        <f>VLOOKUP(Purchase[[#This Row],[Supplier ID]],Supplier[#All],2,0)</f>
        <v>National Distributors</v>
      </c>
      <c r="E775" s="138">
        <f>VLOOKUP(Purchase[[#This Row],[Supplier ID]],Supplier[#All],3,0)</f>
        <v>9689542453</v>
      </c>
      <c r="F775" s="138" t="str">
        <f>VLOOKUP(Purchase[[#This Row],[Supplier ID]],Supplier[#All],4,0)</f>
        <v>Korba</v>
      </c>
      <c r="G775" s="138" t="str">
        <f>VLOOKUP(Purchase[[#This Row],[Supplier ID]],Supplier[#All],5,0)</f>
        <v>CG</v>
      </c>
      <c r="H775" s="138" t="str">
        <f>VLOOKUP(Purchase[[#This Row],[Supplier ID]],Supplier[#All],6,0)</f>
        <v>GST2154521T015</v>
      </c>
      <c r="I775" s="138" t="s">
        <v>436</v>
      </c>
      <c r="J775" s="139">
        <v>34</v>
      </c>
      <c r="K775" s="143">
        <f>VLOOKUP(Purchase[[#This Row],[Product ID]],Product[#All],6,0)</f>
        <v>732</v>
      </c>
      <c r="L775" s="143">
        <f>Purchase[[#This Row],[Purchase Rate]]*Purchase[[#This Row],[Qty]]</f>
        <v>24888</v>
      </c>
      <c r="M775" s="140">
        <v>0</v>
      </c>
      <c r="N775" s="143">
        <v>0</v>
      </c>
      <c r="O775" s="140">
        <v>0.18</v>
      </c>
      <c r="P775" s="145">
        <f>(Purchase[[#This Row],[Gross Amount]]-Purchase[[#This Row],[Disct %]])*Purchase[[#This Row],[GST %]]</f>
        <v>4479.84</v>
      </c>
      <c r="Q775" s="145">
        <f>Purchase[[#This Row],[Gross Amount]]-Purchase[[#This Row],[Disct Amnt]]+Purchase[[#This Row],[GST Amount]]</f>
        <v>29367.84</v>
      </c>
      <c r="R775" s="138" t="s">
        <v>1019</v>
      </c>
      <c r="S775" s="41">
        <f>IF(Purchase[[#This Row],[Status]]="Cancelled",0,Purchase[[#This Row],[Qty]])</f>
        <v>34</v>
      </c>
      <c r="T775" s="146">
        <f>IF(Purchase[[#This Row],[Status]]="Cancelled",0,Purchase[[#This Row],[Total Amount]])</f>
        <v>29367.84</v>
      </c>
      <c r="U775" s="146">
        <f>SUM(Purchase[Net Amount])</f>
        <v>814985438.68000126</v>
      </c>
    </row>
    <row r="776" spans="1:21" ht="19.5" thickBot="1" x14ac:dyDescent="0.3">
      <c r="A776" s="136" t="s">
        <v>1816</v>
      </c>
      <c r="B776" s="137">
        <v>45697</v>
      </c>
      <c r="C776" s="138" t="s">
        <v>582</v>
      </c>
      <c r="D776" s="138" t="str">
        <f>VLOOKUP(Purchase[[#This Row],[Supplier ID]],Supplier[#All],2,0)</f>
        <v>Tech Distributors</v>
      </c>
      <c r="E776" s="138">
        <f>VLOOKUP(Purchase[[#This Row],[Supplier ID]],Supplier[#All],3,0)</f>
        <v>9689542466</v>
      </c>
      <c r="F776" s="138" t="str">
        <f>VLOOKUP(Purchase[[#This Row],[Supplier ID]],Supplier[#All],4,0)</f>
        <v>Indore</v>
      </c>
      <c r="G776" s="138" t="str">
        <f>VLOOKUP(Purchase[[#This Row],[Supplier ID]],Supplier[#All],5,0)</f>
        <v>MP</v>
      </c>
      <c r="H776" s="138" t="str">
        <f>VLOOKUP(Purchase[[#This Row],[Supplier ID]],Supplier[#All],6,0)</f>
        <v>GST2154521T028</v>
      </c>
      <c r="I776" s="138" t="s">
        <v>296</v>
      </c>
      <c r="J776" s="139">
        <v>14</v>
      </c>
      <c r="K776" s="143">
        <f>VLOOKUP(Purchase[[#This Row],[Product ID]],Product[#All],6,0)</f>
        <v>4747</v>
      </c>
      <c r="L776" s="143">
        <f>Purchase[[#This Row],[Purchase Rate]]*Purchase[[#This Row],[Qty]]</f>
        <v>66458</v>
      </c>
      <c r="M776" s="140">
        <v>0</v>
      </c>
      <c r="N776" s="143">
        <v>0</v>
      </c>
      <c r="O776" s="140">
        <v>0.18</v>
      </c>
      <c r="P776" s="145">
        <f>(Purchase[[#This Row],[Gross Amount]]-Purchase[[#This Row],[Disct %]])*Purchase[[#This Row],[GST %]]</f>
        <v>11962.439999999999</v>
      </c>
      <c r="Q776" s="145">
        <f>Purchase[[#This Row],[Gross Amount]]-Purchase[[#This Row],[Disct Amnt]]+Purchase[[#This Row],[GST Amount]]</f>
        <v>78420.44</v>
      </c>
      <c r="R776" s="138" t="s">
        <v>1019</v>
      </c>
      <c r="S776" s="41">
        <f>IF(Purchase[[#This Row],[Status]]="Cancelled",0,Purchase[[#This Row],[Qty]])</f>
        <v>14</v>
      </c>
      <c r="T776" s="146">
        <f>IF(Purchase[[#This Row],[Status]]="Cancelled",0,Purchase[[#This Row],[Total Amount]])</f>
        <v>78420.44</v>
      </c>
      <c r="U776" s="146">
        <f>SUM(Purchase[Net Amount])</f>
        <v>814985438.68000126</v>
      </c>
    </row>
    <row r="777" spans="1:21" ht="19.5" thickBot="1" x14ac:dyDescent="0.3">
      <c r="A777" s="136" t="s">
        <v>1817</v>
      </c>
      <c r="B777" s="137">
        <v>45697</v>
      </c>
      <c r="C777" s="138" t="s">
        <v>608</v>
      </c>
      <c r="D777" s="138" t="str">
        <f>VLOOKUP(Purchase[[#This Row],[Supplier ID]],Supplier[#All],2,0)</f>
        <v>Global Suppliers</v>
      </c>
      <c r="E777" s="138">
        <f>VLOOKUP(Purchase[[#This Row],[Supplier ID]],Supplier[#All],3,0)</f>
        <v>9689542499</v>
      </c>
      <c r="F777" s="138" t="str">
        <f>VLOOKUP(Purchase[[#This Row],[Supplier ID]],Supplier[#All],4,0)</f>
        <v>Korba</v>
      </c>
      <c r="G777" s="138" t="str">
        <f>VLOOKUP(Purchase[[#This Row],[Supplier ID]],Supplier[#All],5,0)</f>
        <v>CG</v>
      </c>
      <c r="H777" s="138" t="str">
        <f>VLOOKUP(Purchase[[#This Row],[Supplier ID]],Supplier[#All],6,0)</f>
        <v>GST2154521T053</v>
      </c>
      <c r="I777" s="138" t="s">
        <v>372</v>
      </c>
      <c r="J777" s="139">
        <v>28</v>
      </c>
      <c r="K777" s="143">
        <f>VLOOKUP(Purchase[[#This Row],[Product ID]],Product[#All],6,0)</f>
        <v>441</v>
      </c>
      <c r="L777" s="143">
        <f>Purchase[[#This Row],[Purchase Rate]]*Purchase[[#This Row],[Qty]]</f>
        <v>12348</v>
      </c>
      <c r="M777" s="140">
        <v>0</v>
      </c>
      <c r="N777" s="143">
        <v>0</v>
      </c>
      <c r="O777" s="140">
        <v>0.18</v>
      </c>
      <c r="P777" s="145">
        <f>(Purchase[[#This Row],[Gross Amount]]-Purchase[[#This Row],[Disct %]])*Purchase[[#This Row],[GST %]]</f>
        <v>2222.64</v>
      </c>
      <c r="Q777" s="145">
        <f>Purchase[[#This Row],[Gross Amount]]-Purchase[[#This Row],[Disct Amnt]]+Purchase[[#This Row],[GST Amount]]</f>
        <v>14570.64</v>
      </c>
      <c r="R777" s="138" t="s">
        <v>1019</v>
      </c>
      <c r="S777" s="41">
        <f>IF(Purchase[[#This Row],[Status]]="Cancelled",0,Purchase[[#This Row],[Qty]])</f>
        <v>28</v>
      </c>
      <c r="T777" s="146">
        <f>IF(Purchase[[#This Row],[Status]]="Cancelled",0,Purchase[[#This Row],[Total Amount]])</f>
        <v>14570.64</v>
      </c>
      <c r="U777" s="146">
        <f>SUM(Purchase[Net Amount])</f>
        <v>814985438.68000126</v>
      </c>
    </row>
    <row r="778" spans="1:21" ht="19.5" thickBot="1" x14ac:dyDescent="0.3">
      <c r="A778" s="136" t="s">
        <v>1818</v>
      </c>
      <c r="B778" s="137">
        <v>45697</v>
      </c>
      <c r="C778" s="138" t="s">
        <v>566</v>
      </c>
      <c r="D778" s="138" t="str">
        <f>VLOOKUP(Purchase[[#This Row],[Supplier ID]],Supplier[#All],2,0)</f>
        <v>Maa Computers</v>
      </c>
      <c r="E778" s="138">
        <f>VLOOKUP(Purchase[[#This Row],[Supplier ID]],Supplier[#All],3,0)</f>
        <v>9689542452</v>
      </c>
      <c r="F778" s="138" t="str">
        <f>VLOOKUP(Purchase[[#This Row],[Supplier ID]],Supplier[#All],4,0)</f>
        <v>Kanpur</v>
      </c>
      <c r="G778" s="138" t="str">
        <f>VLOOKUP(Purchase[[#This Row],[Supplier ID]],Supplier[#All],5,0)</f>
        <v>UP</v>
      </c>
      <c r="H778" s="138" t="str">
        <f>VLOOKUP(Purchase[[#This Row],[Supplier ID]],Supplier[#All],6,0)</f>
        <v>GST2154521T014</v>
      </c>
      <c r="I778" s="138" t="s">
        <v>381</v>
      </c>
      <c r="J778" s="139">
        <v>40</v>
      </c>
      <c r="K778" s="143">
        <f>VLOOKUP(Purchase[[#This Row],[Product ID]],Product[#All],6,0)</f>
        <v>829</v>
      </c>
      <c r="L778" s="143">
        <f>Purchase[[#This Row],[Purchase Rate]]*Purchase[[#This Row],[Qty]]</f>
        <v>33160</v>
      </c>
      <c r="M778" s="140">
        <v>0</v>
      </c>
      <c r="N778" s="143">
        <v>0</v>
      </c>
      <c r="O778" s="140">
        <v>0.18</v>
      </c>
      <c r="P778" s="145">
        <f>(Purchase[[#This Row],[Gross Amount]]-Purchase[[#This Row],[Disct %]])*Purchase[[#This Row],[GST %]]</f>
        <v>5968.8</v>
      </c>
      <c r="Q778" s="145">
        <f>Purchase[[#This Row],[Gross Amount]]-Purchase[[#This Row],[Disct Amnt]]+Purchase[[#This Row],[GST Amount]]</f>
        <v>39128.800000000003</v>
      </c>
      <c r="R778" s="138" t="s">
        <v>1019</v>
      </c>
      <c r="S778" s="41">
        <f>IF(Purchase[[#This Row],[Status]]="Cancelled",0,Purchase[[#This Row],[Qty]])</f>
        <v>40</v>
      </c>
      <c r="T778" s="146">
        <f>IF(Purchase[[#This Row],[Status]]="Cancelled",0,Purchase[[#This Row],[Total Amount]])</f>
        <v>39128.800000000003</v>
      </c>
      <c r="U778" s="146">
        <f>SUM(Purchase[Net Amount])</f>
        <v>814985438.68000126</v>
      </c>
    </row>
    <row r="779" spans="1:21" ht="19.5" thickBot="1" x14ac:dyDescent="0.3">
      <c r="A779" s="136" t="s">
        <v>1819</v>
      </c>
      <c r="B779" s="137">
        <v>45697</v>
      </c>
      <c r="C779" s="138" t="s">
        <v>1098</v>
      </c>
      <c r="D779" s="138" t="str">
        <f>VLOOKUP(Purchase[[#This Row],[Supplier ID]],Supplier[#All],2,0)</f>
        <v>maa distributors</v>
      </c>
      <c r="E779" s="138">
        <f>VLOOKUP(Purchase[[#This Row],[Supplier ID]],Supplier[#All],3,0)</f>
        <v>9689542479</v>
      </c>
      <c r="F779" s="138" t="str">
        <f>VLOOKUP(Purchase[[#This Row],[Supplier ID]],Supplier[#All],4,0)</f>
        <v>Indore</v>
      </c>
      <c r="G779" s="138" t="str">
        <f>VLOOKUP(Purchase[[#This Row],[Supplier ID]],Supplier[#All],5,0)</f>
        <v>MP</v>
      </c>
      <c r="H779" s="138" t="str">
        <f>VLOOKUP(Purchase[[#This Row],[Supplier ID]],Supplier[#All],6,0)</f>
        <v>GST2154521T033</v>
      </c>
      <c r="I779" s="138" t="s">
        <v>182</v>
      </c>
      <c r="J779" s="139">
        <v>21</v>
      </c>
      <c r="K779" s="143">
        <f>VLOOKUP(Purchase[[#This Row],[Product ID]],Product[#All],6,0)</f>
        <v>8348</v>
      </c>
      <c r="L779" s="143">
        <f>Purchase[[#This Row],[Purchase Rate]]*Purchase[[#This Row],[Qty]]</f>
        <v>175308</v>
      </c>
      <c r="M779" s="140">
        <v>0</v>
      </c>
      <c r="N779" s="143">
        <v>0</v>
      </c>
      <c r="O779" s="140">
        <v>0.18</v>
      </c>
      <c r="P779" s="145">
        <f>(Purchase[[#This Row],[Gross Amount]]-Purchase[[#This Row],[Disct %]])*Purchase[[#This Row],[GST %]]</f>
        <v>31555.439999999999</v>
      </c>
      <c r="Q779" s="145">
        <f>Purchase[[#This Row],[Gross Amount]]-Purchase[[#This Row],[Disct Amnt]]+Purchase[[#This Row],[GST Amount]]</f>
        <v>206863.44</v>
      </c>
      <c r="R779" s="138" t="s">
        <v>1019</v>
      </c>
      <c r="S779" s="41">
        <f>IF(Purchase[[#This Row],[Status]]="Cancelled",0,Purchase[[#This Row],[Qty]])</f>
        <v>21</v>
      </c>
      <c r="T779" s="146">
        <f>IF(Purchase[[#This Row],[Status]]="Cancelled",0,Purchase[[#This Row],[Total Amount]])</f>
        <v>206863.44</v>
      </c>
      <c r="U779" s="146">
        <f>SUM(Purchase[Net Amount])</f>
        <v>814985438.68000126</v>
      </c>
    </row>
    <row r="780" spans="1:21" ht="19.5" thickBot="1" x14ac:dyDescent="0.3">
      <c r="A780" s="136" t="s">
        <v>1820</v>
      </c>
      <c r="B780" s="137">
        <v>45698</v>
      </c>
      <c r="C780" s="138" t="s">
        <v>613</v>
      </c>
      <c r="D780" s="138" t="str">
        <f>VLOOKUP(Purchase[[#This Row],[Supplier ID]],Supplier[#All],2,0)</f>
        <v>National Traders</v>
      </c>
      <c r="E780" s="138">
        <f>VLOOKUP(Purchase[[#This Row],[Supplier ID]],Supplier[#All],3,0)</f>
        <v>9689542496</v>
      </c>
      <c r="F780" s="138" t="str">
        <f>VLOOKUP(Purchase[[#This Row],[Supplier ID]],Supplier[#All],4,0)</f>
        <v>Indore</v>
      </c>
      <c r="G780" s="138" t="str">
        <f>VLOOKUP(Purchase[[#This Row],[Supplier ID]],Supplier[#All],5,0)</f>
        <v>MP</v>
      </c>
      <c r="H780" s="138" t="str">
        <f>VLOOKUP(Purchase[[#This Row],[Supplier ID]],Supplier[#All],6,0)</f>
        <v>GST2154521T058</v>
      </c>
      <c r="I780" s="138" t="s">
        <v>424</v>
      </c>
      <c r="J780" s="139">
        <v>34</v>
      </c>
      <c r="K780" s="143">
        <f>VLOOKUP(Purchase[[#This Row],[Product ID]],Product[#All],6,0)</f>
        <v>598</v>
      </c>
      <c r="L780" s="143">
        <f>Purchase[[#This Row],[Purchase Rate]]*Purchase[[#This Row],[Qty]]</f>
        <v>20332</v>
      </c>
      <c r="M780" s="140">
        <v>0</v>
      </c>
      <c r="N780" s="143">
        <v>0</v>
      </c>
      <c r="O780" s="140">
        <v>0.18</v>
      </c>
      <c r="P780" s="145">
        <f>(Purchase[[#This Row],[Gross Amount]]-Purchase[[#This Row],[Disct %]])*Purchase[[#This Row],[GST %]]</f>
        <v>3659.7599999999998</v>
      </c>
      <c r="Q780" s="145">
        <f>Purchase[[#This Row],[Gross Amount]]-Purchase[[#This Row],[Disct Amnt]]+Purchase[[#This Row],[GST Amount]]</f>
        <v>23991.759999999998</v>
      </c>
      <c r="R780" s="138" t="s">
        <v>1019</v>
      </c>
      <c r="S780" s="41">
        <f>IF(Purchase[[#This Row],[Status]]="Cancelled",0,Purchase[[#This Row],[Qty]])</f>
        <v>34</v>
      </c>
      <c r="T780" s="146">
        <f>IF(Purchase[[#This Row],[Status]]="Cancelled",0,Purchase[[#This Row],[Total Amount]])</f>
        <v>23991.759999999998</v>
      </c>
      <c r="U780" s="146">
        <f>SUM(Purchase[Net Amount])</f>
        <v>814985438.68000126</v>
      </c>
    </row>
    <row r="781" spans="1:21" ht="19.5" thickBot="1" x14ac:dyDescent="0.3">
      <c r="A781" s="136" t="s">
        <v>1821</v>
      </c>
      <c r="B781" s="137">
        <v>45698</v>
      </c>
      <c r="C781" s="138" t="s">
        <v>575</v>
      </c>
      <c r="D781" s="138" t="str">
        <f>VLOOKUP(Purchase[[#This Row],[Supplier ID]],Supplier[#All],2,0)</f>
        <v>Global Computers</v>
      </c>
      <c r="E781" s="138">
        <f>VLOOKUP(Purchase[[#This Row],[Supplier ID]],Supplier[#All],3,0)</f>
        <v>9689542459</v>
      </c>
      <c r="F781" s="138" t="str">
        <f>VLOOKUP(Purchase[[#This Row],[Supplier ID]],Supplier[#All],4,0)</f>
        <v>Indore</v>
      </c>
      <c r="G781" s="138" t="str">
        <f>VLOOKUP(Purchase[[#This Row],[Supplier ID]],Supplier[#All],5,0)</f>
        <v>MP</v>
      </c>
      <c r="H781" s="138" t="str">
        <f>VLOOKUP(Purchase[[#This Row],[Supplier ID]],Supplier[#All],6,0)</f>
        <v>GST2154521T021</v>
      </c>
      <c r="I781" s="138" t="s">
        <v>318</v>
      </c>
      <c r="J781" s="139">
        <v>28</v>
      </c>
      <c r="K781" s="143">
        <f>VLOOKUP(Purchase[[#This Row],[Product ID]],Product[#All],6,0)</f>
        <v>24445</v>
      </c>
      <c r="L781" s="143">
        <f>Purchase[[#This Row],[Purchase Rate]]*Purchase[[#This Row],[Qty]]</f>
        <v>684460</v>
      </c>
      <c r="M781" s="140">
        <v>0</v>
      </c>
      <c r="N781" s="143">
        <v>0</v>
      </c>
      <c r="O781" s="140">
        <v>0.18</v>
      </c>
      <c r="P781" s="145">
        <f>(Purchase[[#This Row],[Gross Amount]]-Purchase[[#This Row],[Disct %]])*Purchase[[#This Row],[GST %]]</f>
        <v>123202.79999999999</v>
      </c>
      <c r="Q781" s="145">
        <f>Purchase[[#This Row],[Gross Amount]]-Purchase[[#This Row],[Disct Amnt]]+Purchase[[#This Row],[GST Amount]]</f>
        <v>807662.8</v>
      </c>
      <c r="R781" s="138" t="s">
        <v>1019</v>
      </c>
      <c r="S781" s="41">
        <f>IF(Purchase[[#This Row],[Status]]="Cancelled",0,Purchase[[#This Row],[Qty]])</f>
        <v>28</v>
      </c>
      <c r="T781" s="146">
        <f>IF(Purchase[[#This Row],[Status]]="Cancelled",0,Purchase[[#This Row],[Total Amount]])</f>
        <v>807662.8</v>
      </c>
      <c r="U781" s="146">
        <f>SUM(Purchase[Net Amount])</f>
        <v>814985438.68000126</v>
      </c>
    </row>
    <row r="782" spans="1:21" ht="19.5" thickBot="1" x14ac:dyDescent="0.3">
      <c r="A782" s="136" t="s">
        <v>1822</v>
      </c>
      <c r="B782" s="137">
        <v>45698</v>
      </c>
      <c r="C782" s="138" t="s">
        <v>588</v>
      </c>
      <c r="D782" s="138" t="str">
        <f>VLOOKUP(Purchase[[#This Row],[Supplier ID]],Supplier[#All],2,0)</f>
        <v>Star Electronics</v>
      </c>
      <c r="E782" s="138">
        <f>VLOOKUP(Purchase[[#This Row],[Supplier ID]],Supplier[#All],3,0)</f>
        <v>9689542472</v>
      </c>
      <c r="F782" s="138" t="str">
        <f>VLOOKUP(Purchase[[#This Row],[Supplier ID]],Supplier[#All],4,0)</f>
        <v>Korba</v>
      </c>
      <c r="G782" s="138" t="str">
        <f>VLOOKUP(Purchase[[#This Row],[Supplier ID]],Supplier[#All],5,0)</f>
        <v>CG</v>
      </c>
      <c r="H782" s="138" t="str">
        <f>VLOOKUP(Purchase[[#This Row],[Supplier ID]],Supplier[#All],6,0)</f>
        <v>GST2154521T034</v>
      </c>
      <c r="I782" s="138" t="s">
        <v>421</v>
      </c>
      <c r="J782" s="139">
        <v>5</v>
      </c>
      <c r="K782" s="143">
        <f>VLOOKUP(Purchase[[#This Row],[Product ID]],Product[#All],6,0)</f>
        <v>233</v>
      </c>
      <c r="L782" s="143">
        <f>Purchase[[#This Row],[Purchase Rate]]*Purchase[[#This Row],[Qty]]</f>
        <v>1165</v>
      </c>
      <c r="M782" s="140">
        <v>0</v>
      </c>
      <c r="N782" s="143">
        <v>0</v>
      </c>
      <c r="O782" s="140">
        <v>0.18</v>
      </c>
      <c r="P782" s="145">
        <f>(Purchase[[#This Row],[Gross Amount]]-Purchase[[#This Row],[Disct %]])*Purchase[[#This Row],[GST %]]</f>
        <v>209.7</v>
      </c>
      <c r="Q782" s="145">
        <f>Purchase[[#This Row],[Gross Amount]]-Purchase[[#This Row],[Disct Amnt]]+Purchase[[#This Row],[GST Amount]]</f>
        <v>1374.7</v>
      </c>
      <c r="R782" s="138" t="s">
        <v>1019</v>
      </c>
      <c r="S782" s="41">
        <f>IF(Purchase[[#This Row],[Status]]="Cancelled",0,Purchase[[#This Row],[Qty]])</f>
        <v>5</v>
      </c>
      <c r="T782" s="146">
        <f>IF(Purchase[[#This Row],[Status]]="Cancelled",0,Purchase[[#This Row],[Total Amount]])</f>
        <v>1374.7</v>
      </c>
      <c r="U782" s="146">
        <f>SUM(Purchase[Net Amount])</f>
        <v>814985438.68000126</v>
      </c>
    </row>
    <row r="783" spans="1:21" ht="19.5" thickBot="1" x14ac:dyDescent="0.3">
      <c r="A783" s="136" t="s">
        <v>1823</v>
      </c>
      <c r="B783" s="137">
        <v>45698</v>
      </c>
      <c r="C783" s="138" t="s">
        <v>583</v>
      </c>
      <c r="D783" s="138" t="str">
        <f>VLOOKUP(Purchase[[#This Row],[Supplier ID]],Supplier[#All],2,0)</f>
        <v>Shree Distributors</v>
      </c>
      <c r="E783" s="138">
        <f>VLOOKUP(Purchase[[#This Row],[Supplier ID]],Supplier[#All],3,0)</f>
        <v>9689542467</v>
      </c>
      <c r="F783" s="138" t="str">
        <f>VLOOKUP(Purchase[[#This Row],[Supplier ID]],Supplier[#All],4,0)</f>
        <v>Indore</v>
      </c>
      <c r="G783" s="138" t="str">
        <f>VLOOKUP(Purchase[[#This Row],[Supplier ID]],Supplier[#All],5,0)</f>
        <v>MP</v>
      </c>
      <c r="H783" s="138" t="str">
        <f>VLOOKUP(Purchase[[#This Row],[Supplier ID]],Supplier[#All],6,0)</f>
        <v>GST2154521T029</v>
      </c>
      <c r="I783" s="138" t="s">
        <v>95</v>
      </c>
      <c r="J783" s="139">
        <v>38</v>
      </c>
      <c r="K783" s="143">
        <f>VLOOKUP(Purchase[[#This Row],[Product ID]],Product[#All],6,0)</f>
        <v>5781</v>
      </c>
      <c r="L783" s="143">
        <f>Purchase[[#This Row],[Purchase Rate]]*Purchase[[#This Row],[Qty]]</f>
        <v>219678</v>
      </c>
      <c r="M783" s="140">
        <v>0</v>
      </c>
      <c r="N783" s="143">
        <v>0</v>
      </c>
      <c r="O783" s="140">
        <v>0.18</v>
      </c>
      <c r="P783" s="145">
        <f>(Purchase[[#This Row],[Gross Amount]]-Purchase[[#This Row],[Disct %]])*Purchase[[#This Row],[GST %]]</f>
        <v>39542.04</v>
      </c>
      <c r="Q783" s="145">
        <f>Purchase[[#This Row],[Gross Amount]]-Purchase[[#This Row],[Disct Amnt]]+Purchase[[#This Row],[GST Amount]]</f>
        <v>259220.04</v>
      </c>
      <c r="R783" s="138" t="s">
        <v>1019</v>
      </c>
      <c r="S783" s="41">
        <f>IF(Purchase[[#This Row],[Status]]="Cancelled",0,Purchase[[#This Row],[Qty]])</f>
        <v>38</v>
      </c>
      <c r="T783" s="146">
        <f>IF(Purchase[[#This Row],[Status]]="Cancelled",0,Purchase[[#This Row],[Total Amount]])</f>
        <v>259220.04</v>
      </c>
      <c r="U783" s="146">
        <f>SUM(Purchase[Net Amount])</f>
        <v>814985438.68000126</v>
      </c>
    </row>
    <row r="784" spans="1:21" ht="19.5" thickBot="1" x14ac:dyDescent="0.3">
      <c r="A784" s="136" t="s">
        <v>1824</v>
      </c>
      <c r="B784" s="137">
        <v>45698</v>
      </c>
      <c r="C784" s="138" t="s">
        <v>599</v>
      </c>
      <c r="D784" s="138" t="str">
        <f>VLOOKUP(Purchase[[#This Row],[Supplier ID]],Supplier[#All],2,0)</f>
        <v>National Distributors</v>
      </c>
      <c r="E784" s="138">
        <f>VLOOKUP(Purchase[[#This Row],[Supplier ID]],Supplier[#All],3,0)</f>
        <v>9689542482</v>
      </c>
      <c r="F784" s="138" t="str">
        <f>VLOOKUP(Purchase[[#This Row],[Supplier ID]],Supplier[#All],4,0)</f>
        <v>Kanpur</v>
      </c>
      <c r="G784" s="138" t="str">
        <f>VLOOKUP(Purchase[[#This Row],[Supplier ID]],Supplier[#All],5,0)</f>
        <v>UP</v>
      </c>
      <c r="H784" s="138" t="str">
        <f>VLOOKUP(Purchase[[#This Row],[Supplier ID]],Supplier[#All],6,0)</f>
        <v>GST2154521T044</v>
      </c>
      <c r="I784" s="138" t="s">
        <v>550</v>
      </c>
      <c r="J784" s="139">
        <v>2</v>
      </c>
      <c r="K784" s="143">
        <f>VLOOKUP(Purchase[[#This Row],[Product ID]],Product[#All],6,0)</f>
        <v>1122</v>
      </c>
      <c r="L784" s="143">
        <f>Purchase[[#This Row],[Purchase Rate]]*Purchase[[#This Row],[Qty]]</f>
        <v>2244</v>
      </c>
      <c r="M784" s="140">
        <v>0</v>
      </c>
      <c r="N784" s="143">
        <v>0</v>
      </c>
      <c r="O784" s="140">
        <v>0.18</v>
      </c>
      <c r="P784" s="145">
        <f>(Purchase[[#This Row],[Gross Amount]]-Purchase[[#This Row],[Disct %]])*Purchase[[#This Row],[GST %]]</f>
        <v>403.91999999999996</v>
      </c>
      <c r="Q784" s="145">
        <f>Purchase[[#This Row],[Gross Amount]]-Purchase[[#This Row],[Disct Amnt]]+Purchase[[#This Row],[GST Amount]]</f>
        <v>2647.92</v>
      </c>
      <c r="R784" s="138" t="s">
        <v>1019</v>
      </c>
      <c r="S784" s="41">
        <f>IF(Purchase[[#This Row],[Status]]="Cancelled",0,Purchase[[#This Row],[Qty]])</f>
        <v>2</v>
      </c>
      <c r="T784" s="146">
        <f>IF(Purchase[[#This Row],[Status]]="Cancelled",0,Purchase[[#This Row],[Total Amount]])</f>
        <v>2647.92</v>
      </c>
      <c r="U784" s="146">
        <f>SUM(Purchase[Net Amount])</f>
        <v>814985438.68000126</v>
      </c>
    </row>
    <row r="785" spans="1:21" ht="19.5" thickBot="1" x14ac:dyDescent="0.3">
      <c r="A785" s="136" t="s">
        <v>1825</v>
      </c>
      <c r="B785" s="137">
        <v>45698</v>
      </c>
      <c r="C785" s="138" t="s">
        <v>1451</v>
      </c>
      <c r="D785" s="138" t="str">
        <f>VLOOKUP(Purchase[[#This Row],[Supplier ID]],Supplier[#All],2,0)</f>
        <v>Global Suppliers</v>
      </c>
      <c r="E785" s="138">
        <f>VLOOKUP(Purchase[[#This Row],[Supplier ID]],Supplier[#All],3,0)</f>
        <v>9689542499</v>
      </c>
      <c r="F785" s="138" t="str">
        <f>VLOOKUP(Purchase[[#This Row],[Supplier ID]],Supplier[#All],4,0)</f>
        <v>Korba</v>
      </c>
      <c r="G785" s="138" t="str">
        <f>VLOOKUP(Purchase[[#This Row],[Supplier ID]],Supplier[#All],5,0)</f>
        <v>CG</v>
      </c>
      <c r="H785" s="138" t="str">
        <f>VLOOKUP(Purchase[[#This Row],[Supplier ID]],Supplier[#All],6,0)</f>
        <v>GST2154521T053</v>
      </c>
      <c r="I785" s="138" t="s">
        <v>171</v>
      </c>
      <c r="J785" s="139">
        <v>19</v>
      </c>
      <c r="K785" s="143">
        <f>VLOOKUP(Purchase[[#This Row],[Product ID]],Product[#All],6,0)</f>
        <v>3469</v>
      </c>
      <c r="L785" s="143">
        <f>Purchase[[#This Row],[Purchase Rate]]*Purchase[[#This Row],[Qty]]</f>
        <v>65911</v>
      </c>
      <c r="M785" s="140">
        <v>0</v>
      </c>
      <c r="N785" s="143">
        <v>0</v>
      </c>
      <c r="O785" s="140">
        <v>0.18</v>
      </c>
      <c r="P785" s="145">
        <f>(Purchase[[#This Row],[Gross Amount]]-Purchase[[#This Row],[Disct %]])*Purchase[[#This Row],[GST %]]</f>
        <v>11863.98</v>
      </c>
      <c r="Q785" s="145">
        <f>Purchase[[#This Row],[Gross Amount]]-Purchase[[#This Row],[Disct Amnt]]+Purchase[[#This Row],[GST Amount]]</f>
        <v>77774.98</v>
      </c>
      <c r="R785" s="138" t="s">
        <v>1019</v>
      </c>
      <c r="S785" s="41">
        <f>IF(Purchase[[#This Row],[Status]]="Cancelled",0,Purchase[[#This Row],[Qty]])</f>
        <v>19</v>
      </c>
      <c r="T785" s="146">
        <f>IF(Purchase[[#This Row],[Status]]="Cancelled",0,Purchase[[#This Row],[Total Amount]])</f>
        <v>77774.98</v>
      </c>
      <c r="U785" s="146">
        <f>SUM(Purchase[Net Amount])</f>
        <v>814985438.68000126</v>
      </c>
    </row>
    <row r="786" spans="1:21" ht="19.5" thickBot="1" x14ac:dyDescent="0.3">
      <c r="A786" s="136" t="s">
        <v>1826</v>
      </c>
      <c r="B786" s="137">
        <v>45698</v>
      </c>
      <c r="C786" s="138" t="s">
        <v>596</v>
      </c>
      <c r="D786" s="138" t="str">
        <f>VLOOKUP(Purchase[[#This Row],[Supplier ID]],Supplier[#All],2,0)</f>
        <v>star traders</v>
      </c>
      <c r="E786" s="138">
        <f>VLOOKUP(Purchase[[#This Row],[Supplier ID]],Supplier[#All],3,0)</f>
        <v>9689542479</v>
      </c>
      <c r="F786" s="138" t="str">
        <f>VLOOKUP(Purchase[[#This Row],[Supplier ID]],Supplier[#All],4,0)</f>
        <v>Korba</v>
      </c>
      <c r="G786" s="138" t="str">
        <f>VLOOKUP(Purchase[[#This Row],[Supplier ID]],Supplier[#All],5,0)</f>
        <v>CG</v>
      </c>
      <c r="H786" s="138" t="str">
        <f>VLOOKUP(Purchase[[#This Row],[Supplier ID]],Supplier[#All],6,0)</f>
        <v>GST2154521T041</v>
      </c>
      <c r="I786" s="138" t="s">
        <v>18</v>
      </c>
      <c r="J786" s="139">
        <v>25</v>
      </c>
      <c r="K786" s="143">
        <f>VLOOKUP(Purchase[[#This Row],[Product ID]],Product[#All],6,0)</f>
        <v>701</v>
      </c>
      <c r="L786" s="143">
        <f>Purchase[[#This Row],[Purchase Rate]]*Purchase[[#This Row],[Qty]]</f>
        <v>17525</v>
      </c>
      <c r="M786" s="140">
        <v>0</v>
      </c>
      <c r="N786" s="143">
        <v>0</v>
      </c>
      <c r="O786" s="140">
        <v>0.18</v>
      </c>
      <c r="P786" s="145">
        <f>(Purchase[[#This Row],[Gross Amount]]-Purchase[[#This Row],[Disct %]])*Purchase[[#This Row],[GST %]]</f>
        <v>3154.5</v>
      </c>
      <c r="Q786" s="145">
        <f>Purchase[[#This Row],[Gross Amount]]-Purchase[[#This Row],[Disct Amnt]]+Purchase[[#This Row],[GST Amount]]</f>
        <v>20679.5</v>
      </c>
      <c r="R786" s="138" t="s">
        <v>1019</v>
      </c>
      <c r="S786" s="41">
        <f>IF(Purchase[[#This Row],[Status]]="Cancelled",0,Purchase[[#This Row],[Qty]])</f>
        <v>25</v>
      </c>
      <c r="T786" s="146">
        <f>IF(Purchase[[#This Row],[Status]]="Cancelled",0,Purchase[[#This Row],[Total Amount]])</f>
        <v>20679.5</v>
      </c>
      <c r="U786" s="146">
        <f>SUM(Purchase[Net Amount])</f>
        <v>814985438.68000126</v>
      </c>
    </row>
    <row r="787" spans="1:21" ht="19.5" thickBot="1" x14ac:dyDescent="0.3">
      <c r="A787" s="136" t="s">
        <v>1827</v>
      </c>
      <c r="B787" s="137">
        <v>45698</v>
      </c>
      <c r="C787" s="138" t="s">
        <v>602</v>
      </c>
      <c r="D787" s="138" t="str">
        <f>VLOOKUP(Purchase[[#This Row],[Supplier ID]],Supplier[#All],2,0)</f>
        <v>Maa Computers</v>
      </c>
      <c r="E787" s="138">
        <f>VLOOKUP(Purchase[[#This Row],[Supplier ID]],Supplier[#All],3,0)</f>
        <v>9689542485</v>
      </c>
      <c r="F787" s="138" t="str">
        <f>VLOOKUP(Purchase[[#This Row],[Supplier ID]],Supplier[#All],4,0)</f>
        <v>Korba</v>
      </c>
      <c r="G787" s="138" t="str">
        <f>VLOOKUP(Purchase[[#This Row],[Supplier ID]],Supplier[#All],5,0)</f>
        <v>CG</v>
      </c>
      <c r="H787" s="138" t="str">
        <f>VLOOKUP(Purchase[[#This Row],[Supplier ID]],Supplier[#All],6,0)</f>
        <v>GST2154521T047</v>
      </c>
      <c r="I787" s="138" t="s">
        <v>195</v>
      </c>
      <c r="J787" s="139">
        <v>16</v>
      </c>
      <c r="K787" s="143">
        <f>VLOOKUP(Purchase[[#This Row],[Product ID]],Product[#All],6,0)</f>
        <v>38353</v>
      </c>
      <c r="L787" s="143">
        <f>Purchase[[#This Row],[Purchase Rate]]*Purchase[[#This Row],[Qty]]</f>
        <v>613648</v>
      </c>
      <c r="M787" s="140">
        <v>0</v>
      </c>
      <c r="N787" s="143">
        <v>0</v>
      </c>
      <c r="O787" s="140">
        <v>0.18</v>
      </c>
      <c r="P787" s="145">
        <f>(Purchase[[#This Row],[Gross Amount]]-Purchase[[#This Row],[Disct %]])*Purchase[[#This Row],[GST %]]</f>
        <v>110456.64</v>
      </c>
      <c r="Q787" s="145">
        <f>Purchase[[#This Row],[Gross Amount]]-Purchase[[#This Row],[Disct Amnt]]+Purchase[[#This Row],[GST Amount]]</f>
        <v>724104.64</v>
      </c>
      <c r="R787" s="138" t="s">
        <v>1019</v>
      </c>
      <c r="S787" s="41">
        <f>IF(Purchase[[#This Row],[Status]]="Cancelled",0,Purchase[[#This Row],[Qty]])</f>
        <v>16</v>
      </c>
      <c r="T787" s="146">
        <f>IF(Purchase[[#This Row],[Status]]="Cancelled",0,Purchase[[#This Row],[Total Amount]])</f>
        <v>724104.64</v>
      </c>
      <c r="U787" s="146">
        <f>SUM(Purchase[Net Amount])</f>
        <v>814985438.68000126</v>
      </c>
    </row>
    <row r="788" spans="1:21" ht="19.5" thickBot="1" x14ac:dyDescent="0.3">
      <c r="A788" s="136" t="s">
        <v>1828</v>
      </c>
      <c r="B788" s="137">
        <v>45698</v>
      </c>
      <c r="C788" s="138" t="s">
        <v>606</v>
      </c>
      <c r="D788" s="138" t="str">
        <f>VLOOKUP(Purchase[[#This Row],[Supplier ID]],Supplier[#All],2,0)</f>
        <v>Prime Traders</v>
      </c>
      <c r="E788" s="138">
        <f>VLOOKUP(Purchase[[#This Row],[Supplier ID]],Supplier[#All],3,0)</f>
        <v>9689542489</v>
      </c>
      <c r="F788" s="138" t="str">
        <f>VLOOKUP(Purchase[[#This Row],[Supplier ID]],Supplier[#All],4,0)</f>
        <v>Indore</v>
      </c>
      <c r="G788" s="138" t="str">
        <f>VLOOKUP(Purchase[[#This Row],[Supplier ID]],Supplier[#All],5,0)</f>
        <v>MP</v>
      </c>
      <c r="H788" s="138" t="str">
        <f>VLOOKUP(Purchase[[#This Row],[Supplier ID]],Supplier[#All],6,0)</f>
        <v>GST2154521T051</v>
      </c>
      <c r="I788" s="138" t="s">
        <v>349</v>
      </c>
      <c r="J788" s="139">
        <v>7</v>
      </c>
      <c r="K788" s="143">
        <f>VLOOKUP(Purchase[[#This Row],[Product ID]],Product[#All],6,0)</f>
        <v>8796</v>
      </c>
      <c r="L788" s="143">
        <f>Purchase[[#This Row],[Purchase Rate]]*Purchase[[#This Row],[Qty]]</f>
        <v>61572</v>
      </c>
      <c r="M788" s="140">
        <v>0</v>
      </c>
      <c r="N788" s="143">
        <v>0</v>
      </c>
      <c r="O788" s="140">
        <v>0.18</v>
      </c>
      <c r="P788" s="145">
        <f>(Purchase[[#This Row],[Gross Amount]]-Purchase[[#This Row],[Disct %]])*Purchase[[#This Row],[GST %]]</f>
        <v>11082.96</v>
      </c>
      <c r="Q788" s="145">
        <f>Purchase[[#This Row],[Gross Amount]]-Purchase[[#This Row],[Disct Amnt]]+Purchase[[#This Row],[GST Amount]]</f>
        <v>72654.959999999992</v>
      </c>
      <c r="R788" s="138" t="s">
        <v>1019</v>
      </c>
      <c r="S788" s="41">
        <f>IF(Purchase[[#This Row],[Status]]="Cancelled",0,Purchase[[#This Row],[Qty]])</f>
        <v>7</v>
      </c>
      <c r="T788" s="146">
        <f>IF(Purchase[[#This Row],[Status]]="Cancelled",0,Purchase[[#This Row],[Total Amount]])</f>
        <v>72654.959999999992</v>
      </c>
      <c r="U788" s="146">
        <f>SUM(Purchase[Net Amount])</f>
        <v>814985438.68000126</v>
      </c>
    </row>
    <row r="789" spans="1:21" ht="19.5" thickBot="1" x14ac:dyDescent="0.3">
      <c r="A789" s="136" t="s">
        <v>1829</v>
      </c>
      <c r="B789" s="137">
        <v>45698</v>
      </c>
      <c r="C789" s="138" t="s">
        <v>610</v>
      </c>
      <c r="D789" s="138" t="str">
        <f>VLOOKUP(Purchase[[#This Row],[Supplier ID]],Supplier[#All],2,0)</f>
        <v>Shree Electronics</v>
      </c>
      <c r="E789" s="138">
        <f>VLOOKUP(Purchase[[#This Row],[Supplier ID]],Supplier[#All],3,0)</f>
        <v>9689542493</v>
      </c>
      <c r="F789" s="138" t="str">
        <f>VLOOKUP(Purchase[[#This Row],[Supplier ID]],Supplier[#All],4,0)</f>
        <v>Kanpur</v>
      </c>
      <c r="G789" s="138" t="str">
        <f>VLOOKUP(Purchase[[#This Row],[Supplier ID]],Supplier[#All],5,0)</f>
        <v>UP</v>
      </c>
      <c r="H789" s="138" t="str">
        <f>VLOOKUP(Purchase[[#This Row],[Supplier ID]],Supplier[#All],6,0)</f>
        <v>GST2154521T055</v>
      </c>
      <c r="I789" s="138" t="s">
        <v>116</v>
      </c>
      <c r="J789" s="139">
        <v>13</v>
      </c>
      <c r="K789" s="143">
        <f>VLOOKUP(Purchase[[#This Row],[Product ID]],Product[#All],6,0)</f>
        <v>33377</v>
      </c>
      <c r="L789" s="143">
        <f>Purchase[[#This Row],[Purchase Rate]]*Purchase[[#This Row],[Qty]]</f>
        <v>433901</v>
      </c>
      <c r="M789" s="140">
        <v>0</v>
      </c>
      <c r="N789" s="143">
        <v>0</v>
      </c>
      <c r="O789" s="140">
        <v>0.18</v>
      </c>
      <c r="P789" s="145">
        <f>(Purchase[[#This Row],[Gross Amount]]-Purchase[[#This Row],[Disct %]])*Purchase[[#This Row],[GST %]]</f>
        <v>78102.179999999993</v>
      </c>
      <c r="Q789" s="145">
        <f>Purchase[[#This Row],[Gross Amount]]-Purchase[[#This Row],[Disct Amnt]]+Purchase[[#This Row],[GST Amount]]</f>
        <v>512003.18</v>
      </c>
      <c r="R789" s="138" t="s">
        <v>1019</v>
      </c>
      <c r="S789" s="41">
        <f>IF(Purchase[[#This Row],[Status]]="Cancelled",0,Purchase[[#This Row],[Qty]])</f>
        <v>13</v>
      </c>
      <c r="T789" s="146">
        <f>IF(Purchase[[#This Row],[Status]]="Cancelled",0,Purchase[[#This Row],[Total Amount]])</f>
        <v>512003.18</v>
      </c>
      <c r="U789" s="146">
        <f>SUM(Purchase[Net Amount])</f>
        <v>814985438.68000126</v>
      </c>
    </row>
    <row r="790" spans="1:21" ht="19.5" thickBot="1" x14ac:dyDescent="0.3">
      <c r="A790" s="136" t="s">
        <v>1830</v>
      </c>
      <c r="B790" s="137">
        <v>45698</v>
      </c>
      <c r="C790" s="138" t="s">
        <v>584</v>
      </c>
      <c r="D790" s="138" t="str">
        <f>VLOOKUP(Purchase[[#This Row],[Supplier ID]],Supplier[#All],2,0)</f>
        <v>Prime Computers</v>
      </c>
      <c r="E790" s="138">
        <f>VLOOKUP(Purchase[[#This Row],[Supplier ID]],Supplier[#All],3,0)</f>
        <v>9689542468</v>
      </c>
      <c r="F790" s="138" t="str">
        <f>VLOOKUP(Purchase[[#This Row],[Supplier ID]],Supplier[#All],4,0)</f>
        <v>Kanpur</v>
      </c>
      <c r="G790" s="138" t="str">
        <f>VLOOKUP(Purchase[[#This Row],[Supplier ID]],Supplier[#All],5,0)</f>
        <v>UP</v>
      </c>
      <c r="H790" s="138" t="str">
        <f>VLOOKUP(Purchase[[#This Row],[Supplier ID]],Supplier[#All],6,0)</f>
        <v>GST2154521T030</v>
      </c>
      <c r="I790" s="138" t="s">
        <v>165</v>
      </c>
      <c r="J790" s="139">
        <v>20</v>
      </c>
      <c r="K790" s="143">
        <f>VLOOKUP(Purchase[[#This Row],[Product ID]],Product[#All],6,0)</f>
        <v>6875</v>
      </c>
      <c r="L790" s="143">
        <f>Purchase[[#This Row],[Purchase Rate]]*Purchase[[#This Row],[Qty]]</f>
        <v>137500</v>
      </c>
      <c r="M790" s="140">
        <v>0</v>
      </c>
      <c r="N790" s="143">
        <v>0</v>
      </c>
      <c r="O790" s="140">
        <v>0.18</v>
      </c>
      <c r="P790" s="145">
        <f>(Purchase[[#This Row],[Gross Amount]]-Purchase[[#This Row],[Disct %]])*Purchase[[#This Row],[GST %]]</f>
        <v>24750</v>
      </c>
      <c r="Q790" s="145">
        <f>Purchase[[#This Row],[Gross Amount]]-Purchase[[#This Row],[Disct Amnt]]+Purchase[[#This Row],[GST Amount]]</f>
        <v>162250</v>
      </c>
      <c r="R790" s="138" t="s">
        <v>1019</v>
      </c>
      <c r="S790" s="41">
        <f>IF(Purchase[[#This Row],[Status]]="Cancelled",0,Purchase[[#This Row],[Qty]])</f>
        <v>20</v>
      </c>
      <c r="T790" s="146">
        <f>IF(Purchase[[#This Row],[Status]]="Cancelled",0,Purchase[[#This Row],[Total Amount]])</f>
        <v>162250</v>
      </c>
      <c r="U790" s="146">
        <f>SUM(Purchase[Net Amount])</f>
        <v>814985438.68000126</v>
      </c>
    </row>
    <row r="791" spans="1:21" ht="19.5" thickBot="1" x14ac:dyDescent="0.3">
      <c r="A791" s="136" t="s">
        <v>1831</v>
      </c>
      <c r="B791" s="137">
        <v>45698</v>
      </c>
      <c r="C791" s="138" t="s">
        <v>591</v>
      </c>
      <c r="D791" s="138" t="str">
        <f>VLOOKUP(Purchase[[#This Row],[Supplier ID]],Supplier[#All],2,0)</f>
        <v>Shree Computers</v>
      </c>
      <c r="E791" s="138">
        <f>VLOOKUP(Purchase[[#This Row],[Supplier ID]],Supplier[#All],3,0)</f>
        <v>9689542475</v>
      </c>
      <c r="F791" s="138" t="str">
        <f>VLOOKUP(Purchase[[#This Row],[Supplier ID]],Supplier[#All],4,0)</f>
        <v>Indore</v>
      </c>
      <c r="G791" s="138" t="str">
        <f>VLOOKUP(Purchase[[#This Row],[Supplier ID]],Supplier[#All],5,0)</f>
        <v>MP</v>
      </c>
      <c r="H791" s="138" t="str">
        <f>VLOOKUP(Purchase[[#This Row],[Supplier ID]],Supplier[#All],6,0)</f>
        <v>GST2154521T037</v>
      </c>
      <c r="I791" s="138" t="s">
        <v>263</v>
      </c>
      <c r="J791" s="139">
        <v>13</v>
      </c>
      <c r="K791" s="143">
        <f>VLOOKUP(Purchase[[#This Row],[Product ID]],Product[#All],6,0)</f>
        <v>619</v>
      </c>
      <c r="L791" s="143">
        <f>Purchase[[#This Row],[Purchase Rate]]*Purchase[[#This Row],[Qty]]</f>
        <v>8047</v>
      </c>
      <c r="M791" s="140">
        <v>0</v>
      </c>
      <c r="N791" s="143">
        <v>0</v>
      </c>
      <c r="O791" s="140">
        <v>0.18</v>
      </c>
      <c r="P791" s="145">
        <f>(Purchase[[#This Row],[Gross Amount]]-Purchase[[#This Row],[Disct %]])*Purchase[[#This Row],[GST %]]</f>
        <v>1448.46</v>
      </c>
      <c r="Q791" s="145">
        <f>Purchase[[#This Row],[Gross Amount]]-Purchase[[#This Row],[Disct Amnt]]+Purchase[[#This Row],[GST Amount]]</f>
        <v>9495.4599999999991</v>
      </c>
      <c r="R791" s="138" t="s">
        <v>1019</v>
      </c>
      <c r="S791" s="41">
        <f>IF(Purchase[[#This Row],[Status]]="Cancelled",0,Purchase[[#This Row],[Qty]])</f>
        <v>13</v>
      </c>
      <c r="T791" s="146">
        <f>IF(Purchase[[#This Row],[Status]]="Cancelled",0,Purchase[[#This Row],[Total Amount]])</f>
        <v>9495.4599999999991</v>
      </c>
      <c r="U791" s="146">
        <f>SUM(Purchase[Net Amount])</f>
        <v>814985438.68000126</v>
      </c>
    </row>
    <row r="792" spans="1:21" ht="19.5" thickBot="1" x14ac:dyDescent="0.3">
      <c r="A792" s="136" t="s">
        <v>1832</v>
      </c>
      <c r="B792" s="137">
        <v>45698</v>
      </c>
      <c r="C792" s="138" t="s">
        <v>580</v>
      </c>
      <c r="D792" s="138" t="str">
        <f>VLOOKUP(Purchase[[#This Row],[Supplier ID]],Supplier[#All],2,0)</f>
        <v>Star Distributors</v>
      </c>
      <c r="E792" s="138">
        <f>VLOOKUP(Purchase[[#This Row],[Supplier ID]],Supplier[#All],3,0)</f>
        <v>9689542464</v>
      </c>
      <c r="F792" s="138" t="str">
        <f>VLOOKUP(Purchase[[#This Row],[Supplier ID]],Supplier[#All],4,0)</f>
        <v>Indore</v>
      </c>
      <c r="G792" s="138" t="str">
        <f>VLOOKUP(Purchase[[#This Row],[Supplier ID]],Supplier[#All],5,0)</f>
        <v>MP</v>
      </c>
      <c r="H792" s="138" t="str">
        <f>VLOOKUP(Purchase[[#This Row],[Supplier ID]],Supplier[#All],6,0)</f>
        <v>GST2154521T026</v>
      </c>
      <c r="I792" s="138" t="s">
        <v>383</v>
      </c>
      <c r="J792" s="139">
        <v>16</v>
      </c>
      <c r="K792" s="143">
        <f>VLOOKUP(Purchase[[#This Row],[Product ID]],Product[#All],6,0)</f>
        <v>2478</v>
      </c>
      <c r="L792" s="143">
        <f>Purchase[[#This Row],[Purchase Rate]]*Purchase[[#This Row],[Qty]]</f>
        <v>39648</v>
      </c>
      <c r="M792" s="140">
        <v>0</v>
      </c>
      <c r="N792" s="143">
        <v>0</v>
      </c>
      <c r="O792" s="140">
        <v>0.18</v>
      </c>
      <c r="P792" s="145">
        <f>(Purchase[[#This Row],[Gross Amount]]-Purchase[[#This Row],[Disct %]])*Purchase[[#This Row],[GST %]]</f>
        <v>7136.6399999999994</v>
      </c>
      <c r="Q792" s="145">
        <f>Purchase[[#This Row],[Gross Amount]]-Purchase[[#This Row],[Disct Amnt]]+Purchase[[#This Row],[GST Amount]]</f>
        <v>46784.639999999999</v>
      </c>
      <c r="R792" s="138" t="s">
        <v>1019</v>
      </c>
      <c r="S792" s="41">
        <f>IF(Purchase[[#This Row],[Status]]="Cancelled",0,Purchase[[#This Row],[Qty]])</f>
        <v>16</v>
      </c>
      <c r="T792" s="146">
        <f>IF(Purchase[[#This Row],[Status]]="Cancelled",0,Purchase[[#This Row],[Total Amount]])</f>
        <v>46784.639999999999</v>
      </c>
      <c r="U792" s="146">
        <f>SUM(Purchase[Net Amount])</f>
        <v>814985438.68000126</v>
      </c>
    </row>
    <row r="793" spans="1:21" ht="19.5" thickBot="1" x14ac:dyDescent="0.3">
      <c r="A793" s="136" t="s">
        <v>1833</v>
      </c>
      <c r="B793" s="137">
        <v>45698</v>
      </c>
      <c r="C793" s="138" t="s">
        <v>584</v>
      </c>
      <c r="D793" s="138" t="str">
        <f>VLOOKUP(Purchase[[#This Row],[Supplier ID]],Supplier[#All],2,0)</f>
        <v>Prime Computers</v>
      </c>
      <c r="E793" s="138">
        <f>VLOOKUP(Purchase[[#This Row],[Supplier ID]],Supplier[#All],3,0)</f>
        <v>9689542468</v>
      </c>
      <c r="F793" s="138" t="str">
        <f>VLOOKUP(Purchase[[#This Row],[Supplier ID]],Supplier[#All],4,0)</f>
        <v>Kanpur</v>
      </c>
      <c r="G793" s="138" t="str">
        <f>VLOOKUP(Purchase[[#This Row],[Supplier ID]],Supplier[#All],5,0)</f>
        <v>UP</v>
      </c>
      <c r="H793" s="138" t="str">
        <f>VLOOKUP(Purchase[[#This Row],[Supplier ID]],Supplier[#All],6,0)</f>
        <v>GST2154521T030</v>
      </c>
      <c r="I793" s="138" t="s">
        <v>472</v>
      </c>
      <c r="J793" s="139">
        <v>40</v>
      </c>
      <c r="K793" s="143">
        <f>VLOOKUP(Purchase[[#This Row],[Product ID]],Product[#All],6,0)</f>
        <v>5430</v>
      </c>
      <c r="L793" s="143">
        <f>Purchase[[#This Row],[Purchase Rate]]*Purchase[[#This Row],[Qty]]</f>
        <v>217200</v>
      </c>
      <c r="M793" s="140">
        <v>0</v>
      </c>
      <c r="N793" s="143">
        <v>0</v>
      </c>
      <c r="O793" s="140">
        <v>0.18</v>
      </c>
      <c r="P793" s="145">
        <f>(Purchase[[#This Row],[Gross Amount]]-Purchase[[#This Row],[Disct %]])*Purchase[[#This Row],[GST %]]</f>
        <v>39096</v>
      </c>
      <c r="Q793" s="145">
        <f>Purchase[[#This Row],[Gross Amount]]-Purchase[[#This Row],[Disct Amnt]]+Purchase[[#This Row],[GST Amount]]</f>
        <v>256296</v>
      </c>
      <c r="R793" s="138" t="s">
        <v>1019</v>
      </c>
      <c r="S793" s="41">
        <f>IF(Purchase[[#This Row],[Status]]="Cancelled",0,Purchase[[#This Row],[Qty]])</f>
        <v>40</v>
      </c>
      <c r="T793" s="146">
        <f>IF(Purchase[[#This Row],[Status]]="Cancelled",0,Purchase[[#This Row],[Total Amount]])</f>
        <v>256296</v>
      </c>
      <c r="U793" s="146">
        <f>SUM(Purchase[Net Amount])</f>
        <v>814985438.68000126</v>
      </c>
    </row>
    <row r="794" spans="1:21" ht="19.5" thickBot="1" x14ac:dyDescent="0.3">
      <c r="A794" s="136" t="s">
        <v>1834</v>
      </c>
      <c r="B794" s="137">
        <v>45698</v>
      </c>
      <c r="C794" s="138" t="s">
        <v>566</v>
      </c>
      <c r="D794" s="138" t="str">
        <f>VLOOKUP(Purchase[[#This Row],[Supplier ID]],Supplier[#All],2,0)</f>
        <v>Maa Computers</v>
      </c>
      <c r="E794" s="138">
        <f>VLOOKUP(Purchase[[#This Row],[Supplier ID]],Supplier[#All],3,0)</f>
        <v>9689542452</v>
      </c>
      <c r="F794" s="138" t="str">
        <f>VLOOKUP(Purchase[[#This Row],[Supplier ID]],Supplier[#All],4,0)</f>
        <v>Kanpur</v>
      </c>
      <c r="G794" s="138" t="str">
        <f>VLOOKUP(Purchase[[#This Row],[Supplier ID]],Supplier[#All],5,0)</f>
        <v>UP</v>
      </c>
      <c r="H794" s="138" t="str">
        <f>VLOOKUP(Purchase[[#This Row],[Supplier ID]],Supplier[#All],6,0)</f>
        <v>GST2154521T014</v>
      </c>
      <c r="I794" s="138" t="s">
        <v>405</v>
      </c>
      <c r="J794" s="139">
        <v>27</v>
      </c>
      <c r="K794" s="143">
        <f>VLOOKUP(Purchase[[#This Row],[Product ID]],Product[#All],6,0)</f>
        <v>1259</v>
      </c>
      <c r="L794" s="143">
        <f>Purchase[[#This Row],[Purchase Rate]]*Purchase[[#This Row],[Qty]]</f>
        <v>33993</v>
      </c>
      <c r="M794" s="140">
        <v>0</v>
      </c>
      <c r="N794" s="143">
        <v>0</v>
      </c>
      <c r="O794" s="140">
        <v>0.18</v>
      </c>
      <c r="P794" s="145">
        <f>(Purchase[[#This Row],[Gross Amount]]-Purchase[[#This Row],[Disct %]])*Purchase[[#This Row],[GST %]]</f>
        <v>6118.74</v>
      </c>
      <c r="Q794" s="145">
        <f>Purchase[[#This Row],[Gross Amount]]-Purchase[[#This Row],[Disct Amnt]]+Purchase[[#This Row],[GST Amount]]</f>
        <v>40111.74</v>
      </c>
      <c r="R794" s="138" t="s">
        <v>1019</v>
      </c>
      <c r="S794" s="41">
        <f>IF(Purchase[[#This Row],[Status]]="Cancelled",0,Purchase[[#This Row],[Qty]])</f>
        <v>27</v>
      </c>
      <c r="T794" s="146">
        <f>IF(Purchase[[#This Row],[Status]]="Cancelled",0,Purchase[[#This Row],[Total Amount]])</f>
        <v>40111.74</v>
      </c>
      <c r="U794" s="146">
        <f>SUM(Purchase[Net Amount])</f>
        <v>814985438.68000126</v>
      </c>
    </row>
    <row r="795" spans="1:21" ht="19.5" thickBot="1" x14ac:dyDescent="0.3">
      <c r="A795" s="136" t="s">
        <v>1835</v>
      </c>
      <c r="B795" s="137">
        <v>45698</v>
      </c>
      <c r="C795" s="138" t="s">
        <v>568</v>
      </c>
      <c r="D795" s="138" t="str">
        <f>VLOOKUP(Purchase[[#This Row],[Supplier ID]],Supplier[#All],2,0)</f>
        <v>Maa Computers</v>
      </c>
      <c r="E795" s="138">
        <f>VLOOKUP(Purchase[[#This Row],[Supplier ID]],Supplier[#All],3,0)</f>
        <v>9689542454</v>
      </c>
      <c r="F795" s="138" t="str">
        <f>VLOOKUP(Purchase[[#This Row],[Supplier ID]],Supplier[#All],4,0)</f>
        <v>Korba</v>
      </c>
      <c r="G795" s="138" t="str">
        <f>VLOOKUP(Purchase[[#This Row],[Supplier ID]],Supplier[#All],5,0)</f>
        <v>CG</v>
      </c>
      <c r="H795" s="138" t="str">
        <f>VLOOKUP(Purchase[[#This Row],[Supplier ID]],Supplier[#All],6,0)</f>
        <v>GST2154521T016</v>
      </c>
      <c r="I795" s="138" t="s">
        <v>120</v>
      </c>
      <c r="J795" s="139">
        <v>33</v>
      </c>
      <c r="K795" s="143">
        <f>VLOOKUP(Purchase[[#This Row],[Product ID]],Product[#All],6,0)</f>
        <v>5465</v>
      </c>
      <c r="L795" s="143">
        <f>Purchase[[#This Row],[Purchase Rate]]*Purchase[[#This Row],[Qty]]</f>
        <v>180345</v>
      </c>
      <c r="M795" s="140">
        <v>0</v>
      </c>
      <c r="N795" s="143">
        <v>0</v>
      </c>
      <c r="O795" s="140">
        <v>0.18</v>
      </c>
      <c r="P795" s="145">
        <f>(Purchase[[#This Row],[Gross Amount]]-Purchase[[#This Row],[Disct %]])*Purchase[[#This Row],[GST %]]</f>
        <v>32462.1</v>
      </c>
      <c r="Q795" s="145">
        <f>Purchase[[#This Row],[Gross Amount]]-Purchase[[#This Row],[Disct Amnt]]+Purchase[[#This Row],[GST Amount]]</f>
        <v>212807.1</v>
      </c>
      <c r="R795" s="138" t="s">
        <v>1019</v>
      </c>
      <c r="S795" s="41">
        <f>IF(Purchase[[#This Row],[Status]]="Cancelled",0,Purchase[[#This Row],[Qty]])</f>
        <v>33</v>
      </c>
      <c r="T795" s="146">
        <f>IF(Purchase[[#This Row],[Status]]="Cancelled",0,Purchase[[#This Row],[Total Amount]])</f>
        <v>212807.1</v>
      </c>
      <c r="U795" s="146">
        <f>SUM(Purchase[Net Amount])</f>
        <v>814985438.68000126</v>
      </c>
    </row>
    <row r="796" spans="1:21" ht="19.5" thickBot="1" x14ac:dyDescent="0.3">
      <c r="A796" s="136" t="s">
        <v>1836</v>
      </c>
      <c r="B796" s="137">
        <v>45698</v>
      </c>
      <c r="C796" s="138" t="s">
        <v>594</v>
      </c>
      <c r="D796" s="138" t="str">
        <f>VLOOKUP(Purchase[[#This Row],[Supplier ID]],Supplier[#All],2,0)</f>
        <v>Shree Suppliers</v>
      </c>
      <c r="E796" s="138">
        <f>VLOOKUP(Purchase[[#This Row],[Supplier ID]],Supplier[#All],3,0)</f>
        <v>9689542477</v>
      </c>
      <c r="F796" s="138" t="str">
        <f>VLOOKUP(Purchase[[#This Row],[Supplier ID]],Supplier[#All],4,0)</f>
        <v>Indore</v>
      </c>
      <c r="G796" s="138" t="str">
        <f>VLOOKUP(Purchase[[#This Row],[Supplier ID]],Supplier[#All],5,0)</f>
        <v>MP</v>
      </c>
      <c r="H796" s="138" t="str">
        <f>VLOOKUP(Purchase[[#This Row],[Supplier ID]],Supplier[#All],6,0)</f>
        <v>GST2154521T039</v>
      </c>
      <c r="I796" s="138" t="s">
        <v>411</v>
      </c>
      <c r="J796" s="139">
        <v>33</v>
      </c>
      <c r="K796" s="143">
        <f>VLOOKUP(Purchase[[#This Row],[Product ID]],Product[#All],6,0)</f>
        <v>2088</v>
      </c>
      <c r="L796" s="143">
        <f>Purchase[[#This Row],[Purchase Rate]]*Purchase[[#This Row],[Qty]]</f>
        <v>68904</v>
      </c>
      <c r="M796" s="140">
        <v>0</v>
      </c>
      <c r="N796" s="143">
        <v>0</v>
      </c>
      <c r="O796" s="140">
        <v>0.18</v>
      </c>
      <c r="P796" s="145">
        <f>(Purchase[[#This Row],[Gross Amount]]-Purchase[[#This Row],[Disct %]])*Purchase[[#This Row],[GST %]]</f>
        <v>12402.72</v>
      </c>
      <c r="Q796" s="145">
        <f>Purchase[[#This Row],[Gross Amount]]-Purchase[[#This Row],[Disct Amnt]]+Purchase[[#This Row],[GST Amount]]</f>
        <v>81306.720000000001</v>
      </c>
      <c r="R796" s="138" t="s">
        <v>1019</v>
      </c>
      <c r="S796" s="41">
        <f>IF(Purchase[[#This Row],[Status]]="Cancelled",0,Purchase[[#This Row],[Qty]])</f>
        <v>33</v>
      </c>
      <c r="T796" s="146">
        <f>IF(Purchase[[#This Row],[Status]]="Cancelled",0,Purchase[[#This Row],[Total Amount]])</f>
        <v>81306.720000000001</v>
      </c>
      <c r="U796" s="146">
        <f>SUM(Purchase[Net Amount])</f>
        <v>814985438.68000126</v>
      </c>
    </row>
    <row r="797" spans="1:21" ht="19.5" thickBot="1" x14ac:dyDescent="0.3">
      <c r="A797" s="136" t="s">
        <v>1837</v>
      </c>
      <c r="B797" s="137">
        <v>45698</v>
      </c>
      <c r="C797" s="138" t="s">
        <v>590</v>
      </c>
      <c r="D797" s="138" t="str">
        <f>VLOOKUP(Purchase[[#This Row],[Supplier ID]],Supplier[#All],2,0)</f>
        <v>Star Distributors</v>
      </c>
      <c r="E797" s="138">
        <f>VLOOKUP(Purchase[[#This Row],[Supplier ID]],Supplier[#All],3,0)</f>
        <v>9689542474</v>
      </c>
      <c r="F797" s="138" t="str">
        <f>VLOOKUP(Purchase[[#This Row],[Supplier ID]],Supplier[#All],4,0)</f>
        <v>Kanpur</v>
      </c>
      <c r="G797" s="138" t="str">
        <f>VLOOKUP(Purchase[[#This Row],[Supplier ID]],Supplier[#All],5,0)</f>
        <v>UP</v>
      </c>
      <c r="H797" s="138" t="str">
        <f>VLOOKUP(Purchase[[#This Row],[Supplier ID]],Supplier[#All],6,0)</f>
        <v>GST2154521T036</v>
      </c>
      <c r="I797" s="138" t="s">
        <v>484</v>
      </c>
      <c r="J797" s="139">
        <v>28</v>
      </c>
      <c r="K797" s="143">
        <f>VLOOKUP(Purchase[[#This Row],[Product ID]],Product[#All],6,0)</f>
        <v>53726</v>
      </c>
      <c r="L797" s="143">
        <f>Purchase[[#This Row],[Purchase Rate]]*Purchase[[#This Row],[Qty]]</f>
        <v>1504328</v>
      </c>
      <c r="M797" s="140">
        <v>0</v>
      </c>
      <c r="N797" s="143">
        <v>0</v>
      </c>
      <c r="O797" s="140">
        <v>0.18</v>
      </c>
      <c r="P797" s="145">
        <f>(Purchase[[#This Row],[Gross Amount]]-Purchase[[#This Row],[Disct %]])*Purchase[[#This Row],[GST %]]</f>
        <v>270779.03999999998</v>
      </c>
      <c r="Q797" s="145">
        <f>Purchase[[#This Row],[Gross Amount]]-Purchase[[#This Row],[Disct Amnt]]+Purchase[[#This Row],[GST Amount]]</f>
        <v>1775107.04</v>
      </c>
      <c r="R797" s="138" t="s">
        <v>1019</v>
      </c>
      <c r="S797" s="41">
        <f>IF(Purchase[[#This Row],[Status]]="Cancelled",0,Purchase[[#This Row],[Qty]])</f>
        <v>28</v>
      </c>
      <c r="T797" s="146">
        <f>IF(Purchase[[#This Row],[Status]]="Cancelled",0,Purchase[[#This Row],[Total Amount]])</f>
        <v>1775107.04</v>
      </c>
      <c r="U797" s="146">
        <f>SUM(Purchase[Net Amount])</f>
        <v>814985438.68000126</v>
      </c>
    </row>
    <row r="798" spans="1:21" ht="19.5" thickBot="1" x14ac:dyDescent="0.3">
      <c r="A798" s="136" t="s">
        <v>1838</v>
      </c>
      <c r="B798" s="137">
        <v>45698</v>
      </c>
      <c r="C798" s="138" t="s">
        <v>581</v>
      </c>
      <c r="D798" s="138" t="str">
        <f>VLOOKUP(Purchase[[#This Row],[Supplier ID]],Supplier[#All],2,0)</f>
        <v>Prime Electronics</v>
      </c>
      <c r="E798" s="138">
        <f>VLOOKUP(Purchase[[#This Row],[Supplier ID]],Supplier[#All],3,0)</f>
        <v>9689542465</v>
      </c>
      <c r="F798" s="138" t="str">
        <f>VLOOKUP(Purchase[[#This Row],[Supplier ID]],Supplier[#All],4,0)</f>
        <v>Korba</v>
      </c>
      <c r="G798" s="138" t="str">
        <f>VLOOKUP(Purchase[[#This Row],[Supplier ID]],Supplier[#All],5,0)</f>
        <v>CG</v>
      </c>
      <c r="H798" s="138" t="str">
        <f>VLOOKUP(Purchase[[#This Row],[Supplier ID]],Supplier[#All],6,0)</f>
        <v>GST2154521T027</v>
      </c>
      <c r="I798" s="138" t="s">
        <v>265</v>
      </c>
      <c r="J798" s="139">
        <v>11</v>
      </c>
      <c r="K798" s="143">
        <f>VLOOKUP(Purchase[[#This Row],[Product ID]],Product[#All],6,0)</f>
        <v>28871</v>
      </c>
      <c r="L798" s="143">
        <f>Purchase[[#This Row],[Purchase Rate]]*Purchase[[#This Row],[Qty]]</f>
        <v>317581</v>
      </c>
      <c r="M798" s="140">
        <v>0</v>
      </c>
      <c r="N798" s="143">
        <v>0</v>
      </c>
      <c r="O798" s="140">
        <v>0.18</v>
      </c>
      <c r="P798" s="145">
        <f>(Purchase[[#This Row],[Gross Amount]]-Purchase[[#This Row],[Disct %]])*Purchase[[#This Row],[GST %]]</f>
        <v>57164.579999999994</v>
      </c>
      <c r="Q798" s="145">
        <f>Purchase[[#This Row],[Gross Amount]]-Purchase[[#This Row],[Disct Amnt]]+Purchase[[#This Row],[GST Amount]]</f>
        <v>374745.58</v>
      </c>
      <c r="R798" s="138" t="s">
        <v>1019</v>
      </c>
      <c r="S798" s="41">
        <f>IF(Purchase[[#This Row],[Status]]="Cancelled",0,Purchase[[#This Row],[Qty]])</f>
        <v>11</v>
      </c>
      <c r="T798" s="146">
        <f>IF(Purchase[[#This Row],[Status]]="Cancelled",0,Purchase[[#This Row],[Total Amount]])</f>
        <v>374745.58</v>
      </c>
      <c r="U798" s="146">
        <f>SUM(Purchase[Net Amount])</f>
        <v>814985438.68000126</v>
      </c>
    </row>
    <row r="799" spans="1:21" ht="19.5" thickBot="1" x14ac:dyDescent="0.3">
      <c r="A799" s="136" t="s">
        <v>1839</v>
      </c>
      <c r="B799" s="137">
        <v>45699</v>
      </c>
      <c r="C799" s="138" t="s">
        <v>1451</v>
      </c>
      <c r="D799" s="138" t="str">
        <f>VLOOKUP(Purchase[[#This Row],[Supplier ID]],Supplier[#All],2,0)</f>
        <v>Global Suppliers</v>
      </c>
      <c r="E799" s="138">
        <f>VLOOKUP(Purchase[[#This Row],[Supplier ID]],Supplier[#All],3,0)</f>
        <v>9689542499</v>
      </c>
      <c r="F799" s="138" t="str">
        <f>VLOOKUP(Purchase[[#This Row],[Supplier ID]],Supplier[#All],4,0)</f>
        <v>Korba</v>
      </c>
      <c r="G799" s="138" t="str">
        <f>VLOOKUP(Purchase[[#This Row],[Supplier ID]],Supplier[#All],5,0)</f>
        <v>CG</v>
      </c>
      <c r="H799" s="138" t="str">
        <f>VLOOKUP(Purchase[[#This Row],[Supplier ID]],Supplier[#All],6,0)</f>
        <v>GST2154521T053</v>
      </c>
      <c r="I799" s="138" t="s">
        <v>440</v>
      </c>
      <c r="J799" s="139">
        <v>30</v>
      </c>
      <c r="K799" s="143">
        <f>VLOOKUP(Purchase[[#This Row],[Product ID]],Product[#All],6,0)</f>
        <v>20248</v>
      </c>
      <c r="L799" s="143">
        <f>Purchase[[#This Row],[Purchase Rate]]*Purchase[[#This Row],[Qty]]</f>
        <v>607440</v>
      </c>
      <c r="M799" s="140">
        <v>0</v>
      </c>
      <c r="N799" s="143">
        <v>0</v>
      </c>
      <c r="O799" s="140">
        <v>0.18</v>
      </c>
      <c r="P799" s="145">
        <f>(Purchase[[#This Row],[Gross Amount]]-Purchase[[#This Row],[Disct %]])*Purchase[[#This Row],[GST %]]</f>
        <v>109339.2</v>
      </c>
      <c r="Q799" s="145">
        <f>Purchase[[#This Row],[Gross Amount]]-Purchase[[#This Row],[Disct Amnt]]+Purchase[[#This Row],[GST Amount]]</f>
        <v>716779.2</v>
      </c>
      <c r="R799" s="138" t="s">
        <v>1019</v>
      </c>
      <c r="S799" s="41">
        <f>IF(Purchase[[#This Row],[Status]]="Cancelled",0,Purchase[[#This Row],[Qty]])</f>
        <v>30</v>
      </c>
      <c r="T799" s="146">
        <f>IF(Purchase[[#This Row],[Status]]="Cancelled",0,Purchase[[#This Row],[Total Amount]])</f>
        <v>716779.2</v>
      </c>
      <c r="U799" s="146">
        <f>SUM(Purchase[Net Amount])</f>
        <v>814985438.68000126</v>
      </c>
    </row>
    <row r="800" spans="1:21" ht="19.5" thickBot="1" x14ac:dyDescent="0.3">
      <c r="A800" s="136" t="s">
        <v>1840</v>
      </c>
      <c r="B800" s="137">
        <v>45699</v>
      </c>
      <c r="C800" s="138" t="s">
        <v>581</v>
      </c>
      <c r="D800" s="138" t="str">
        <f>VLOOKUP(Purchase[[#This Row],[Supplier ID]],Supplier[#All],2,0)</f>
        <v>Prime Electronics</v>
      </c>
      <c r="E800" s="138">
        <f>VLOOKUP(Purchase[[#This Row],[Supplier ID]],Supplier[#All],3,0)</f>
        <v>9689542465</v>
      </c>
      <c r="F800" s="138" t="str">
        <f>VLOOKUP(Purchase[[#This Row],[Supplier ID]],Supplier[#All],4,0)</f>
        <v>Korba</v>
      </c>
      <c r="G800" s="138" t="str">
        <f>VLOOKUP(Purchase[[#This Row],[Supplier ID]],Supplier[#All],5,0)</f>
        <v>CG</v>
      </c>
      <c r="H800" s="138" t="str">
        <f>VLOOKUP(Purchase[[#This Row],[Supplier ID]],Supplier[#All],6,0)</f>
        <v>GST2154521T027</v>
      </c>
      <c r="I800" s="138" t="s">
        <v>480</v>
      </c>
      <c r="J800" s="139">
        <v>3</v>
      </c>
      <c r="K800" s="143">
        <f>VLOOKUP(Purchase[[#This Row],[Product ID]],Product[#All],6,0)</f>
        <v>1370</v>
      </c>
      <c r="L800" s="143">
        <f>Purchase[[#This Row],[Purchase Rate]]*Purchase[[#This Row],[Qty]]</f>
        <v>4110</v>
      </c>
      <c r="M800" s="140">
        <v>0</v>
      </c>
      <c r="N800" s="143">
        <v>0</v>
      </c>
      <c r="O800" s="140">
        <v>0.18</v>
      </c>
      <c r="P800" s="145">
        <f>(Purchase[[#This Row],[Gross Amount]]-Purchase[[#This Row],[Disct %]])*Purchase[[#This Row],[GST %]]</f>
        <v>739.8</v>
      </c>
      <c r="Q800" s="145">
        <f>Purchase[[#This Row],[Gross Amount]]-Purchase[[#This Row],[Disct Amnt]]+Purchase[[#This Row],[GST Amount]]</f>
        <v>4849.8</v>
      </c>
      <c r="R800" s="138" t="s">
        <v>1019</v>
      </c>
      <c r="S800" s="41">
        <f>IF(Purchase[[#This Row],[Status]]="Cancelled",0,Purchase[[#This Row],[Qty]])</f>
        <v>3</v>
      </c>
      <c r="T800" s="146">
        <f>IF(Purchase[[#This Row],[Status]]="Cancelled",0,Purchase[[#This Row],[Total Amount]])</f>
        <v>4849.8</v>
      </c>
      <c r="U800" s="146">
        <f>SUM(Purchase[Net Amount])</f>
        <v>814985438.68000126</v>
      </c>
    </row>
    <row r="801" spans="1:21" ht="19.5" thickBot="1" x14ac:dyDescent="0.3">
      <c r="A801" s="136" t="s">
        <v>1841</v>
      </c>
      <c r="B801" s="137">
        <v>45699</v>
      </c>
      <c r="C801" s="138" t="s">
        <v>568</v>
      </c>
      <c r="D801" s="138" t="str">
        <f>VLOOKUP(Purchase[[#This Row],[Supplier ID]],Supplier[#All],2,0)</f>
        <v>Maa Computers</v>
      </c>
      <c r="E801" s="138">
        <f>VLOOKUP(Purchase[[#This Row],[Supplier ID]],Supplier[#All],3,0)</f>
        <v>9689542454</v>
      </c>
      <c r="F801" s="138" t="str">
        <f>VLOOKUP(Purchase[[#This Row],[Supplier ID]],Supplier[#All],4,0)</f>
        <v>Korba</v>
      </c>
      <c r="G801" s="138" t="str">
        <f>VLOOKUP(Purchase[[#This Row],[Supplier ID]],Supplier[#All],5,0)</f>
        <v>CG</v>
      </c>
      <c r="H801" s="138" t="str">
        <f>VLOOKUP(Purchase[[#This Row],[Supplier ID]],Supplier[#All],6,0)</f>
        <v>GST2154521T016</v>
      </c>
      <c r="I801" s="138" t="s">
        <v>68</v>
      </c>
      <c r="J801" s="139">
        <v>25</v>
      </c>
      <c r="K801" s="143">
        <f>VLOOKUP(Purchase[[#This Row],[Product ID]],Product[#All],6,0)</f>
        <v>17186</v>
      </c>
      <c r="L801" s="143">
        <f>Purchase[[#This Row],[Purchase Rate]]*Purchase[[#This Row],[Qty]]</f>
        <v>429650</v>
      </c>
      <c r="M801" s="140">
        <v>0</v>
      </c>
      <c r="N801" s="143">
        <v>0</v>
      </c>
      <c r="O801" s="140">
        <v>0.18</v>
      </c>
      <c r="P801" s="145">
        <f>(Purchase[[#This Row],[Gross Amount]]-Purchase[[#This Row],[Disct %]])*Purchase[[#This Row],[GST %]]</f>
        <v>77337</v>
      </c>
      <c r="Q801" s="145">
        <f>Purchase[[#This Row],[Gross Amount]]-Purchase[[#This Row],[Disct Amnt]]+Purchase[[#This Row],[GST Amount]]</f>
        <v>506987</v>
      </c>
      <c r="R801" s="138" t="s">
        <v>1019</v>
      </c>
      <c r="S801" s="41">
        <f>IF(Purchase[[#This Row],[Status]]="Cancelled",0,Purchase[[#This Row],[Qty]])</f>
        <v>25</v>
      </c>
      <c r="T801" s="146">
        <f>IF(Purchase[[#This Row],[Status]]="Cancelled",0,Purchase[[#This Row],[Total Amount]])</f>
        <v>506987</v>
      </c>
      <c r="U801" s="146">
        <f>SUM(Purchase[Net Amount])</f>
        <v>814985438.68000126</v>
      </c>
    </row>
    <row r="802" spans="1:21" ht="19.5" thickBot="1" x14ac:dyDescent="0.3">
      <c r="A802" s="136" t="s">
        <v>1842</v>
      </c>
      <c r="B802" s="137">
        <v>45699</v>
      </c>
      <c r="C802" s="138" t="s">
        <v>615</v>
      </c>
      <c r="D802" s="138" t="str">
        <f>VLOOKUP(Purchase[[#This Row],[Supplier ID]],Supplier[#All],2,0)</f>
        <v>NATIONAL ELECTRONICS</v>
      </c>
      <c r="E802" s="138">
        <f>VLOOKUP(Purchase[[#This Row],[Supplier ID]],Supplier[#All],3,0)</f>
        <v>9689542498</v>
      </c>
      <c r="F802" s="138" t="str">
        <f>VLOOKUP(Purchase[[#This Row],[Supplier ID]],Supplier[#All],4,0)</f>
        <v>Kanpur</v>
      </c>
      <c r="G802" s="138" t="str">
        <f>VLOOKUP(Purchase[[#This Row],[Supplier ID]],Supplier[#All],5,0)</f>
        <v>UP</v>
      </c>
      <c r="H802" s="138" t="str">
        <f>VLOOKUP(Purchase[[#This Row],[Supplier ID]],Supplier[#All],6,0)</f>
        <v>GST2154521T060</v>
      </c>
      <c r="I802" s="138" t="s">
        <v>152</v>
      </c>
      <c r="J802" s="139">
        <v>10</v>
      </c>
      <c r="K802" s="143">
        <f>VLOOKUP(Purchase[[#This Row],[Product ID]],Product[#All],6,0)</f>
        <v>29602</v>
      </c>
      <c r="L802" s="143">
        <f>Purchase[[#This Row],[Purchase Rate]]*Purchase[[#This Row],[Qty]]</f>
        <v>296020</v>
      </c>
      <c r="M802" s="140">
        <v>0</v>
      </c>
      <c r="N802" s="143">
        <v>0</v>
      </c>
      <c r="O802" s="140">
        <v>0.18</v>
      </c>
      <c r="P802" s="145">
        <f>(Purchase[[#This Row],[Gross Amount]]-Purchase[[#This Row],[Disct %]])*Purchase[[#This Row],[GST %]]</f>
        <v>53283.6</v>
      </c>
      <c r="Q802" s="145">
        <f>Purchase[[#This Row],[Gross Amount]]-Purchase[[#This Row],[Disct Amnt]]+Purchase[[#This Row],[GST Amount]]</f>
        <v>349303.6</v>
      </c>
      <c r="R802" s="138" t="s">
        <v>1019</v>
      </c>
      <c r="S802" s="41">
        <f>IF(Purchase[[#This Row],[Status]]="Cancelled",0,Purchase[[#This Row],[Qty]])</f>
        <v>10</v>
      </c>
      <c r="T802" s="146">
        <f>IF(Purchase[[#This Row],[Status]]="Cancelled",0,Purchase[[#This Row],[Total Amount]])</f>
        <v>349303.6</v>
      </c>
      <c r="U802" s="146">
        <f>SUM(Purchase[Net Amount])</f>
        <v>814985438.68000126</v>
      </c>
    </row>
    <row r="803" spans="1:21" ht="19.5" thickBot="1" x14ac:dyDescent="0.3">
      <c r="A803" s="136" t="s">
        <v>1843</v>
      </c>
      <c r="B803" s="137">
        <v>45699</v>
      </c>
      <c r="C803" s="138" t="s">
        <v>576</v>
      </c>
      <c r="D803" s="138" t="str">
        <f>VLOOKUP(Purchase[[#This Row],[Supplier ID]],Supplier[#All],2,0)</f>
        <v>Maa Distributors</v>
      </c>
      <c r="E803" s="138">
        <f>VLOOKUP(Purchase[[#This Row],[Supplier ID]],Supplier[#All],3,0)</f>
        <v>9689542460</v>
      </c>
      <c r="F803" s="138" t="str">
        <f>VLOOKUP(Purchase[[#This Row],[Supplier ID]],Supplier[#All],4,0)</f>
        <v>Korba</v>
      </c>
      <c r="G803" s="138" t="str">
        <f>VLOOKUP(Purchase[[#This Row],[Supplier ID]],Supplier[#All],5,0)</f>
        <v>CG</v>
      </c>
      <c r="H803" s="138" t="str">
        <f>VLOOKUP(Purchase[[#This Row],[Supplier ID]],Supplier[#All],6,0)</f>
        <v>GST2154521T022</v>
      </c>
      <c r="I803" s="138" t="s">
        <v>192</v>
      </c>
      <c r="J803" s="139">
        <v>8</v>
      </c>
      <c r="K803" s="143">
        <f>VLOOKUP(Purchase[[#This Row],[Product ID]],Product[#All],6,0)</f>
        <v>50201</v>
      </c>
      <c r="L803" s="143">
        <f>Purchase[[#This Row],[Purchase Rate]]*Purchase[[#This Row],[Qty]]</f>
        <v>401608</v>
      </c>
      <c r="M803" s="140">
        <v>0</v>
      </c>
      <c r="N803" s="143">
        <v>0</v>
      </c>
      <c r="O803" s="140">
        <v>0.18</v>
      </c>
      <c r="P803" s="145">
        <f>(Purchase[[#This Row],[Gross Amount]]-Purchase[[#This Row],[Disct %]])*Purchase[[#This Row],[GST %]]</f>
        <v>72289.440000000002</v>
      </c>
      <c r="Q803" s="145">
        <f>Purchase[[#This Row],[Gross Amount]]-Purchase[[#This Row],[Disct Amnt]]+Purchase[[#This Row],[GST Amount]]</f>
        <v>473897.44</v>
      </c>
      <c r="R803" s="138" t="s">
        <v>1019</v>
      </c>
      <c r="S803" s="41">
        <f>IF(Purchase[[#This Row],[Status]]="Cancelled",0,Purchase[[#This Row],[Qty]])</f>
        <v>8</v>
      </c>
      <c r="T803" s="146">
        <f>IF(Purchase[[#This Row],[Status]]="Cancelled",0,Purchase[[#This Row],[Total Amount]])</f>
        <v>473897.44</v>
      </c>
      <c r="U803" s="146">
        <f>SUM(Purchase[Net Amount])</f>
        <v>814985438.68000126</v>
      </c>
    </row>
    <row r="804" spans="1:21" ht="19.5" thickBot="1" x14ac:dyDescent="0.3">
      <c r="A804" s="136" t="s">
        <v>1844</v>
      </c>
      <c r="B804" s="137">
        <v>45699</v>
      </c>
      <c r="C804" s="138" t="s">
        <v>603</v>
      </c>
      <c r="D804" s="138" t="str">
        <f>VLOOKUP(Purchase[[#This Row],[Supplier ID]],Supplier[#All],2,0)</f>
        <v>Tech Computers</v>
      </c>
      <c r="E804" s="138">
        <f>VLOOKUP(Purchase[[#This Row],[Supplier ID]],Supplier[#All],3,0)</f>
        <v>9689542486</v>
      </c>
      <c r="F804" s="138" t="str">
        <f>VLOOKUP(Purchase[[#This Row],[Supplier ID]],Supplier[#All],4,0)</f>
        <v>Indore</v>
      </c>
      <c r="G804" s="138" t="str">
        <f>VLOOKUP(Purchase[[#This Row],[Supplier ID]],Supplier[#All],5,0)</f>
        <v>MP</v>
      </c>
      <c r="H804" s="138" t="str">
        <f>VLOOKUP(Purchase[[#This Row],[Supplier ID]],Supplier[#All],6,0)</f>
        <v>GST2154521T048</v>
      </c>
      <c r="I804" s="138" t="s">
        <v>61</v>
      </c>
      <c r="J804" s="139">
        <v>37</v>
      </c>
      <c r="K804" s="143">
        <f>VLOOKUP(Purchase[[#This Row],[Product ID]],Product[#All],6,0)</f>
        <v>2704</v>
      </c>
      <c r="L804" s="143">
        <f>Purchase[[#This Row],[Purchase Rate]]*Purchase[[#This Row],[Qty]]</f>
        <v>100048</v>
      </c>
      <c r="M804" s="140">
        <v>0</v>
      </c>
      <c r="N804" s="143">
        <v>0</v>
      </c>
      <c r="O804" s="140">
        <v>0.18</v>
      </c>
      <c r="P804" s="145">
        <f>(Purchase[[#This Row],[Gross Amount]]-Purchase[[#This Row],[Disct %]])*Purchase[[#This Row],[GST %]]</f>
        <v>18008.64</v>
      </c>
      <c r="Q804" s="145">
        <f>Purchase[[#This Row],[Gross Amount]]-Purchase[[#This Row],[Disct Amnt]]+Purchase[[#This Row],[GST Amount]]</f>
        <v>118056.64</v>
      </c>
      <c r="R804" s="138" t="s">
        <v>1019</v>
      </c>
      <c r="S804" s="41">
        <f>IF(Purchase[[#This Row],[Status]]="Cancelled",0,Purchase[[#This Row],[Qty]])</f>
        <v>37</v>
      </c>
      <c r="T804" s="146">
        <f>IF(Purchase[[#This Row],[Status]]="Cancelled",0,Purchase[[#This Row],[Total Amount]])</f>
        <v>118056.64</v>
      </c>
      <c r="U804" s="146">
        <f>SUM(Purchase[Net Amount])</f>
        <v>814985438.68000126</v>
      </c>
    </row>
    <row r="805" spans="1:21" ht="19.5" thickBot="1" x14ac:dyDescent="0.3">
      <c r="A805" s="136" t="s">
        <v>1845</v>
      </c>
      <c r="B805" s="137">
        <v>45699</v>
      </c>
      <c r="C805" s="138" t="s">
        <v>601</v>
      </c>
      <c r="D805" s="138" t="str">
        <f>VLOOKUP(Purchase[[#This Row],[Supplier ID]],Supplier[#All],2,0)</f>
        <v>Maa Distributors</v>
      </c>
      <c r="E805" s="138">
        <f>VLOOKUP(Purchase[[#This Row],[Supplier ID]],Supplier[#All],3,0)</f>
        <v>9689542484</v>
      </c>
      <c r="F805" s="138" t="str">
        <f>VLOOKUP(Purchase[[#This Row],[Supplier ID]],Supplier[#All],4,0)</f>
        <v>Indore</v>
      </c>
      <c r="G805" s="138" t="str">
        <f>VLOOKUP(Purchase[[#This Row],[Supplier ID]],Supplier[#All],5,0)</f>
        <v>MP</v>
      </c>
      <c r="H805" s="138" t="str">
        <f>VLOOKUP(Purchase[[#This Row],[Supplier ID]],Supplier[#All],6,0)</f>
        <v>GST2154521T046</v>
      </c>
      <c r="I805" s="138" t="s">
        <v>536</v>
      </c>
      <c r="J805" s="139">
        <v>12</v>
      </c>
      <c r="K805" s="143">
        <f>VLOOKUP(Purchase[[#This Row],[Product ID]],Product[#All],6,0)</f>
        <v>961</v>
      </c>
      <c r="L805" s="143">
        <f>Purchase[[#This Row],[Purchase Rate]]*Purchase[[#This Row],[Qty]]</f>
        <v>11532</v>
      </c>
      <c r="M805" s="140">
        <v>0</v>
      </c>
      <c r="N805" s="143">
        <v>0</v>
      </c>
      <c r="O805" s="140">
        <v>0.18</v>
      </c>
      <c r="P805" s="145">
        <f>(Purchase[[#This Row],[Gross Amount]]-Purchase[[#This Row],[Disct %]])*Purchase[[#This Row],[GST %]]</f>
        <v>2075.7599999999998</v>
      </c>
      <c r="Q805" s="145">
        <f>Purchase[[#This Row],[Gross Amount]]-Purchase[[#This Row],[Disct Amnt]]+Purchase[[#This Row],[GST Amount]]</f>
        <v>13607.76</v>
      </c>
      <c r="R805" s="138" t="s">
        <v>1019</v>
      </c>
      <c r="S805" s="41">
        <f>IF(Purchase[[#This Row],[Status]]="Cancelled",0,Purchase[[#This Row],[Qty]])</f>
        <v>12</v>
      </c>
      <c r="T805" s="146">
        <f>IF(Purchase[[#This Row],[Status]]="Cancelled",0,Purchase[[#This Row],[Total Amount]])</f>
        <v>13607.76</v>
      </c>
      <c r="U805" s="146">
        <f>SUM(Purchase[Net Amount])</f>
        <v>814985438.68000126</v>
      </c>
    </row>
    <row r="806" spans="1:21" ht="19.5" thickBot="1" x14ac:dyDescent="0.3">
      <c r="A806" s="136" t="s">
        <v>1846</v>
      </c>
      <c r="B806" s="137">
        <v>45699</v>
      </c>
      <c r="C806" s="138" t="s">
        <v>591</v>
      </c>
      <c r="D806" s="138" t="str">
        <f>VLOOKUP(Purchase[[#This Row],[Supplier ID]],Supplier[#All],2,0)</f>
        <v>Shree Computers</v>
      </c>
      <c r="E806" s="138">
        <f>VLOOKUP(Purchase[[#This Row],[Supplier ID]],Supplier[#All],3,0)</f>
        <v>9689542475</v>
      </c>
      <c r="F806" s="138" t="str">
        <f>VLOOKUP(Purchase[[#This Row],[Supplier ID]],Supplier[#All],4,0)</f>
        <v>Indore</v>
      </c>
      <c r="G806" s="138" t="str">
        <f>VLOOKUP(Purchase[[#This Row],[Supplier ID]],Supplier[#All],5,0)</f>
        <v>MP</v>
      </c>
      <c r="H806" s="138" t="str">
        <f>VLOOKUP(Purchase[[#This Row],[Supplier ID]],Supplier[#All],6,0)</f>
        <v>GST2154521T037</v>
      </c>
      <c r="I806" s="138" t="s">
        <v>312</v>
      </c>
      <c r="J806" s="139">
        <v>19</v>
      </c>
      <c r="K806" s="143">
        <f>VLOOKUP(Purchase[[#This Row],[Product ID]],Product[#All],6,0)</f>
        <v>51220</v>
      </c>
      <c r="L806" s="143">
        <f>Purchase[[#This Row],[Purchase Rate]]*Purchase[[#This Row],[Qty]]</f>
        <v>973180</v>
      </c>
      <c r="M806" s="140">
        <v>0</v>
      </c>
      <c r="N806" s="143">
        <v>0</v>
      </c>
      <c r="O806" s="140">
        <v>0.18</v>
      </c>
      <c r="P806" s="145">
        <f>(Purchase[[#This Row],[Gross Amount]]-Purchase[[#This Row],[Disct %]])*Purchase[[#This Row],[GST %]]</f>
        <v>175172.4</v>
      </c>
      <c r="Q806" s="145">
        <f>Purchase[[#This Row],[Gross Amount]]-Purchase[[#This Row],[Disct Amnt]]+Purchase[[#This Row],[GST Amount]]</f>
        <v>1148352.3999999999</v>
      </c>
      <c r="R806" s="138" t="s">
        <v>1019</v>
      </c>
      <c r="S806" s="41">
        <f>IF(Purchase[[#This Row],[Status]]="Cancelled",0,Purchase[[#This Row],[Qty]])</f>
        <v>19</v>
      </c>
      <c r="T806" s="146">
        <f>IF(Purchase[[#This Row],[Status]]="Cancelled",0,Purchase[[#This Row],[Total Amount]])</f>
        <v>1148352.3999999999</v>
      </c>
      <c r="U806" s="146">
        <f>SUM(Purchase[Net Amount])</f>
        <v>814985438.68000126</v>
      </c>
    </row>
    <row r="807" spans="1:21" ht="19.5" thickBot="1" x14ac:dyDescent="0.3">
      <c r="A807" s="136" t="s">
        <v>1847</v>
      </c>
      <c r="B807" s="137">
        <v>45699</v>
      </c>
      <c r="C807" s="138" t="s">
        <v>590</v>
      </c>
      <c r="D807" s="138" t="str">
        <f>VLOOKUP(Purchase[[#This Row],[Supplier ID]],Supplier[#All],2,0)</f>
        <v>Star Distributors</v>
      </c>
      <c r="E807" s="138">
        <f>VLOOKUP(Purchase[[#This Row],[Supplier ID]],Supplier[#All],3,0)</f>
        <v>9689542474</v>
      </c>
      <c r="F807" s="138" t="str">
        <f>VLOOKUP(Purchase[[#This Row],[Supplier ID]],Supplier[#All],4,0)</f>
        <v>Kanpur</v>
      </c>
      <c r="G807" s="138" t="str">
        <f>VLOOKUP(Purchase[[#This Row],[Supplier ID]],Supplier[#All],5,0)</f>
        <v>UP</v>
      </c>
      <c r="H807" s="138" t="str">
        <f>VLOOKUP(Purchase[[#This Row],[Supplier ID]],Supplier[#All],6,0)</f>
        <v>GST2154521T036</v>
      </c>
      <c r="I807" s="138" t="s">
        <v>236</v>
      </c>
      <c r="J807" s="139">
        <v>40</v>
      </c>
      <c r="K807" s="143">
        <f>VLOOKUP(Purchase[[#This Row],[Product ID]],Product[#All],6,0)</f>
        <v>42438</v>
      </c>
      <c r="L807" s="143">
        <f>Purchase[[#This Row],[Purchase Rate]]*Purchase[[#This Row],[Qty]]</f>
        <v>1697520</v>
      </c>
      <c r="M807" s="140">
        <v>0</v>
      </c>
      <c r="N807" s="143">
        <v>0</v>
      </c>
      <c r="O807" s="140">
        <v>0.18</v>
      </c>
      <c r="P807" s="145">
        <f>(Purchase[[#This Row],[Gross Amount]]-Purchase[[#This Row],[Disct %]])*Purchase[[#This Row],[GST %]]</f>
        <v>305553.59999999998</v>
      </c>
      <c r="Q807" s="145">
        <f>Purchase[[#This Row],[Gross Amount]]-Purchase[[#This Row],[Disct Amnt]]+Purchase[[#This Row],[GST Amount]]</f>
        <v>2003073.6</v>
      </c>
      <c r="R807" s="138" t="s">
        <v>1019</v>
      </c>
      <c r="S807" s="41">
        <f>IF(Purchase[[#This Row],[Status]]="Cancelled",0,Purchase[[#This Row],[Qty]])</f>
        <v>40</v>
      </c>
      <c r="T807" s="146">
        <f>IF(Purchase[[#This Row],[Status]]="Cancelled",0,Purchase[[#This Row],[Total Amount]])</f>
        <v>2003073.6</v>
      </c>
      <c r="U807" s="146">
        <f>SUM(Purchase[Net Amount])</f>
        <v>814985438.68000126</v>
      </c>
    </row>
    <row r="808" spans="1:21" ht="19.5" thickBot="1" x14ac:dyDescent="0.3">
      <c r="A808" s="136" t="s">
        <v>1848</v>
      </c>
      <c r="B808" s="137">
        <v>45699</v>
      </c>
      <c r="C808" s="138" t="s">
        <v>611</v>
      </c>
      <c r="D808" s="138" t="str">
        <f>VLOOKUP(Purchase[[#This Row],[Supplier ID]],Supplier[#All],2,0)</f>
        <v>National Distributors</v>
      </c>
      <c r="E808" s="138">
        <f>VLOOKUP(Purchase[[#This Row],[Supplier ID]],Supplier[#All],3,0)</f>
        <v>9689542494</v>
      </c>
      <c r="F808" s="138" t="str">
        <f>VLOOKUP(Purchase[[#This Row],[Supplier ID]],Supplier[#All],4,0)</f>
        <v>Korba</v>
      </c>
      <c r="G808" s="138" t="str">
        <f>VLOOKUP(Purchase[[#This Row],[Supplier ID]],Supplier[#All],5,0)</f>
        <v>CG</v>
      </c>
      <c r="H808" s="138" t="str">
        <f>VLOOKUP(Purchase[[#This Row],[Supplier ID]],Supplier[#All],6,0)</f>
        <v>GST2154521T056</v>
      </c>
      <c r="I808" s="138" t="s">
        <v>106</v>
      </c>
      <c r="J808" s="139">
        <v>5</v>
      </c>
      <c r="K808" s="143">
        <f>VLOOKUP(Purchase[[#This Row],[Product ID]],Product[#All],6,0)</f>
        <v>6729</v>
      </c>
      <c r="L808" s="143">
        <f>Purchase[[#This Row],[Purchase Rate]]*Purchase[[#This Row],[Qty]]</f>
        <v>33645</v>
      </c>
      <c r="M808" s="140">
        <v>0</v>
      </c>
      <c r="N808" s="143">
        <v>0</v>
      </c>
      <c r="O808" s="140">
        <v>0.18</v>
      </c>
      <c r="P808" s="145">
        <f>(Purchase[[#This Row],[Gross Amount]]-Purchase[[#This Row],[Disct %]])*Purchase[[#This Row],[GST %]]</f>
        <v>6056.0999999999995</v>
      </c>
      <c r="Q808" s="145">
        <f>Purchase[[#This Row],[Gross Amount]]-Purchase[[#This Row],[Disct Amnt]]+Purchase[[#This Row],[GST Amount]]</f>
        <v>39701.1</v>
      </c>
      <c r="R808" s="138" t="s">
        <v>1019</v>
      </c>
      <c r="S808" s="41">
        <f>IF(Purchase[[#This Row],[Status]]="Cancelled",0,Purchase[[#This Row],[Qty]])</f>
        <v>5</v>
      </c>
      <c r="T808" s="146">
        <f>IF(Purchase[[#This Row],[Status]]="Cancelled",0,Purchase[[#This Row],[Total Amount]])</f>
        <v>39701.1</v>
      </c>
      <c r="U808" s="146">
        <f>SUM(Purchase[Net Amount])</f>
        <v>814985438.68000126</v>
      </c>
    </row>
    <row r="809" spans="1:21" ht="19.5" thickBot="1" x14ac:dyDescent="0.3">
      <c r="A809" s="136" t="s">
        <v>1849</v>
      </c>
      <c r="B809" s="137">
        <v>45699</v>
      </c>
      <c r="C809" s="138" t="s">
        <v>599</v>
      </c>
      <c r="D809" s="138" t="str">
        <f>VLOOKUP(Purchase[[#This Row],[Supplier ID]],Supplier[#All],2,0)</f>
        <v>National Distributors</v>
      </c>
      <c r="E809" s="138">
        <f>VLOOKUP(Purchase[[#This Row],[Supplier ID]],Supplier[#All],3,0)</f>
        <v>9689542482</v>
      </c>
      <c r="F809" s="138" t="str">
        <f>VLOOKUP(Purchase[[#This Row],[Supplier ID]],Supplier[#All],4,0)</f>
        <v>Kanpur</v>
      </c>
      <c r="G809" s="138" t="str">
        <f>VLOOKUP(Purchase[[#This Row],[Supplier ID]],Supplier[#All],5,0)</f>
        <v>UP</v>
      </c>
      <c r="H809" s="138" t="str">
        <f>VLOOKUP(Purchase[[#This Row],[Supplier ID]],Supplier[#All],6,0)</f>
        <v>GST2154521T044</v>
      </c>
      <c r="I809" s="138" t="s">
        <v>234</v>
      </c>
      <c r="J809" s="139">
        <v>20</v>
      </c>
      <c r="K809" s="143">
        <f>VLOOKUP(Purchase[[#This Row],[Product ID]],Product[#All],6,0)</f>
        <v>63093</v>
      </c>
      <c r="L809" s="143">
        <f>Purchase[[#This Row],[Purchase Rate]]*Purchase[[#This Row],[Qty]]</f>
        <v>1261860</v>
      </c>
      <c r="M809" s="140">
        <v>0</v>
      </c>
      <c r="N809" s="143">
        <v>0</v>
      </c>
      <c r="O809" s="140">
        <v>0.18</v>
      </c>
      <c r="P809" s="145">
        <f>(Purchase[[#This Row],[Gross Amount]]-Purchase[[#This Row],[Disct %]])*Purchase[[#This Row],[GST %]]</f>
        <v>227134.8</v>
      </c>
      <c r="Q809" s="145">
        <f>Purchase[[#This Row],[Gross Amount]]-Purchase[[#This Row],[Disct Amnt]]+Purchase[[#This Row],[GST Amount]]</f>
        <v>1488994.8</v>
      </c>
      <c r="R809" s="138" t="s">
        <v>1040</v>
      </c>
      <c r="S809" s="41">
        <f>IF(Purchase[[#This Row],[Status]]="Cancelled",0,Purchase[[#This Row],[Qty]])</f>
        <v>0</v>
      </c>
      <c r="T809" s="146">
        <f>IF(Purchase[[#This Row],[Status]]="Cancelled",0,Purchase[[#This Row],[Total Amount]])</f>
        <v>0</v>
      </c>
      <c r="U809" s="146">
        <f>SUM(Purchase[Net Amount])</f>
        <v>814985438.68000126</v>
      </c>
    </row>
    <row r="810" spans="1:21" ht="19.5" thickBot="1" x14ac:dyDescent="0.3">
      <c r="A810" s="136" t="s">
        <v>1850</v>
      </c>
      <c r="B810" s="137">
        <v>45699</v>
      </c>
      <c r="C810" s="138" t="s">
        <v>593</v>
      </c>
      <c r="D810" s="138" t="str">
        <f>VLOOKUP(Purchase[[#This Row],[Supplier ID]],Supplier[#All],2,0)</f>
        <v>Global Suppliers</v>
      </c>
      <c r="E810" s="138">
        <f>VLOOKUP(Purchase[[#This Row],[Supplier ID]],Supplier[#All],3,0)</f>
        <v>9689542476</v>
      </c>
      <c r="F810" s="138" t="str">
        <f>VLOOKUP(Purchase[[#This Row],[Supplier ID]],Supplier[#All],4,0)</f>
        <v>Korba</v>
      </c>
      <c r="G810" s="138" t="str">
        <f>VLOOKUP(Purchase[[#This Row],[Supplier ID]],Supplier[#All],5,0)</f>
        <v>CG</v>
      </c>
      <c r="H810" s="138" t="str">
        <f>VLOOKUP(Purchase[[#This Row],[Supplier ID]],Supplier[#All],6,0)</f>
        <v>GST2154521T038</v>
      </c>
      <c r="I810" s="138" t="s">
        <v>352</v>
      </c>
      <c r="J810" s="139">
        <v>12</v>
      </c>
      <c r="K810" s="143">
        <f>VLOOKUP(Purchase[[#This Row],[Product ID]],Product[#All],6,0)</f>
        <v>10783</v>
      </c>
      <c r="L810" s="143">
        <f>Purchase[[#This Row],[Purchase Rate]]*Purchase[[#This Row],[Qty]]</f>
        <v>129396</v>
      </c>
      <c r="M810" s="140">
        <v>0</v>
      </c>
      <c r="N810" s="143">
        <v>0</v>
      </c>
      <c r="O810" s="140">
        <v>0.18</v>
      </c>
      <c r="P810" s="145">
        <f>(Purchase[[#This Row],[Gross Amount]]-Purchase[[#This Row],[Disct %]])*Purchase[[#This Row],[GST %]]</f>
        <v>23291.279999999999</v>
      </c>
      <c r="Q810" s="145">
        <f>Purchase[[#This Row],[Gross Amount]]-Purchase[[#This Row],[Disct Amnt]]+Purchase[[#This Row],[GST Amount]]</f>
        <v>152687.28</v>
      </c>
      <c r="R810" s="138" t="s">
        <v>1019</v>
      </c>
      <c r="S810" s="41">
        <f>IF(Purchase[[#This Row],[Status]]="Cancelled",0,Purchase[[#This Row],[Qty]])</f>
        <v>12</v>
      </c>
      <c r="T810" s="146">
        <f>IF(Purchase[[#This Row],[Status]]="Cancelled",0,Purchase[[#This Row],[Total Amount]])</f>
        <v>152687.28</v>
      </c>
      <c r="U810" s="146">
        <f>SUM(Purchase[Net Amount])</f>
        <v>814985438.68000126</v>
      </c>
    </row>
    <row r="811" spans="1:21" ht="19.5" thickBot="1" x14ac:dyDescent="0.3">
      <c r="A811" s="136" t="s">
        <v>1851</v>
      </c>
      <c r="B811" s="137">
        <v>45699</v>
      </c>
      <c r="C811" s="138" t="s">
        <v>580</v>
      </c>
      <c r="D811" s="138" t="str">
        <f>VLOOKUP(Purchase[[#This Row],[Supplier ID]],Supplier[#All],2,0)</f>
        <v>Star Distributors</v>
      </c>
      <c r="E811" s="138">
        <f>VLOOKUP(Purchase[[#This Row],[Supplier ID]],Supplier[#All],3,0)</f>
        <v>9689542464</v>
      </c>
      <c r="F811" s="138" t="str">
        <f>VLOOKUP(Purchase[[#This Row],[Supplier ID]],Supplier[#All],4,0)</f>
        <v>Indore</v>
      </c>
      <c r="G811" s="138" t="str">
        <f>VLOOKUP(Purchase[[#This Row],[Supplier ID]],Supplier[#All],5,0)</f>
        <v>MP</v>
      </c>
      <c r="H811" s="138" t="str">
        <f>VLOOKUP(Purchase[[#This Row],[Supplier ID]],Supplier[#All],6,0)</f>
        <v>GST2154521T026</v>
      </c>
      <c r="I811" s="138" t="s">
        <v>459</v>
      </c>
      <c r="J811" s="139">
        <v>8</v>
      </c>
      <c r="K811" s="143">
        <f>VLOOKUP(Purchase[[#This Row],[Product ID]],Product[#All],6,0)</f>
        <v>1347</v>
      </c>
      <c r="L811" s="143">
        <f>Purchase[[#This Row],[Purchase Rate]]*Purchase[[#This Row],[Qty]]</f>
        <v>10776</v>
      </c>
      <c r="M811" s="140">
        <v>0</v>
      </c>
      <c r="N811" s="143">
        <v>0</v>
      </c>
      <c r="O811" s="140">
        <v>0.18</v>
      </c>
      <c r="P811" s="145">
        <f>(Purchase[[#This Row],[Gross Amount]]-Purchase[[#This Row],[Disct %]])*Purchase[[#This Row],[GST %]]</f>
        <v>1939.6799999999998</v>
      </c>
      <c r="Q811" s="145">
        <f>Purchase[[#This Row],[Gross Amount]]-Purchase[[#This Row],[Disct Amnt]]+Purchase[[#This Row],[GST Amount]]</f>
        <v>12715.68</v>
      </c>
      <c r="R811" s="138" t="s">
        <v>1019</v>
      </c>
      <c r="S811" s="41">
        <f>IF(Purchase[[#This Row],[Status]]="Cancelled",0,Purchase[[#This Row],[Qty]])</f>
        <v>8</v>
      </c>
      <c r="T811" s="146">
        <f>IF(Purchase[[#This Row],[Status]]="Cancelled",0,Purchase[[#This Row],[Total Amount]])</f>
        <v>12715.68</v>
      </c>
      <c r="U811" s="146">
        <f>SUM(Purchase[Net Amount])</f>
        <v>814985438.68000126</v>
      </c>
    </row>
    <row r="812" spans="1:21" ht="19.5" thickBot="1" x14ac:dyDescent="0.3">
      <c r="A812" s="136" t="s">
        <v>1852</v>
      </c>
      <c r="B812" s="137">
        <v>45699</v>
      </c>
      <c r="C812" s="138" t="s">
        <v>600</v>
      </c>
      <c r="D812" s="138" t="str">
        <f>VLOOKUP(Purchase[[#This Row],[Supplier ID]],Supplier[#All],2,0)</f>
        <v>Prime Suppliers</v>
      </c>
      <c r="E812" s="138">
        <f>VLOOKUP(Purchase[[#This Row],[Supplier ID]],Supplier[#All],3,0)</f>
        <v>9689542483</v>
      </c>
      <c r="F812" s="138" t="str">
        <f>VLOOKUP(Purchase[[#This Row],[Supplier ID]],Supplier[#All],4,0)</f>
        <v>Korba</v>
      </c>
      <c r="G812" s="138" t="str">
        <f>VLOOKUP(Purchase[[#This Row],[Supplier ID]],Supplier[#All],5,0)</f>
        <v>CG</v>
      </c>
      <c r="H812" s="138" t="str">
        <f>VLOOKUP(Purchase[[#This Row],[Supplier ID]],Supplier[#All],6,0)</f>
        <v>GST2154521T045</v>
      </c>
      <c r="I812" s="138" t="s">
        <v>385</v>
      </c>
      <c r="J812" s="139">
        <v>35</v>
      </c>
      <c r="K812" s="143">
        <f>VLOOKUP(Purchase[[#This Row],[Product ID]],Product[#All],6,0)</f>
        <v>1060</v>
      </c>
      <c r="L812" s="143">
        <f>Purchase[[#This Row],[Purchase Rate]]*Purchase[[#This Row],[Qty]]</f>
        <v>37100</v>
      </c>
      <c r="M812" s="140">
        <v>0</v>
      </c>
      <c r="N812" s="143">
        <v>0</v>
      </c>
      <c r="O812" s="140">
        <v>0.18</v>
      </c>
      <c r="P812" s="145">
        <f>(Purchase[[#This Row],[Gross Amount]]-Purchase[[#This Row],[Disct %]])*Purchase[[#This Row],[GST %]]</f>
        <v>6678</v>
      </c>
      <c r="Q812" s="145">
        <f>Purchase[[#This Row],[Gross Amount]]-Purchase[[#This Row],[Disct Amnt]]+Purchase[[#This Row],[GST Amount]]</f>
        <v>43778</v>
      </c>
      <c r="R812" s="138" t="s">
        <v>1019</v>
      </c>
      <c r="S812" s="41">
        <f>IF(Purchase[[#This Row],[Status]]="Cancelled",0,Purchase[[#This Row],[Qty]])</f>
        <v>35</v>
      </c>
      <c r="T812" s="146">
        <f>IF(Purchase[[#This Row],[Status]]="Cancelled",0,Purchase[[#This Row],[Total Amount]])</f>
        <v>43778</v>
      </c>
      <c r="U812" s="146">
        <f>SUM(Purchase[Net Amount])</f>
        <v>814985438.68000126</v>
      </c>
    </row>
    <row r="813" spans="1:21" ht="19.5" thickBot="1" x14ac:dyDescent="0.3">
      <c r="A813" s="136" t="s">
        <v>1853</v>
      </c>
      <c r="B813" s="137">
        <v>45699</v>
      </c>
      <c r="C813" s="138" t="s">
        <v>578</v>
      </c>
      <c r="D813" s="138" t="str">
        <f>VLOOKUP(Purchase[[#This Row],[Supplier ID]],Supplier[#All],2,0)</f>
        <v>Shree Computers</v>
      </c>
      <c r="E813" s="138">
        <f>VLOOKUP(Purchase[[#This Row],[Supplier ID]],Supplier[#All],3,0)</f>
        <v>9689542462</v>
      </c>
      <c r="F813" s="138" t="str">
        <f>VLOOKUP(Purchase[[#This Row],[Supplier ID]],Supplier[#All],4,0)</f>
        <v>Korba</v>
      </c>
      <c r="G813" s="138" t="str">
        <f>VLOOKUP(Purchase[[#This Row],[Supplier ID]],Supplier[#All],5,0)</f>
        <v>CG</v>
      </c>
      <c r="H813" s="138" t="str">
        <f>VLOOKUP(Purchase[[#This Row],[Supplier ID]],Supplier[#All],6,0)</f>
        <v>GST2154521T024</v>
      </c>
      <c r="I813" s="138" t="s">
        <v>93</v>
      </c>
      <c r="J813" s="139">
        <v>9</v>
      </c>
      <c r="K813" s="143">
        <f>VLOOKUP(Purchase[[#This Row],[Product ID]],Product[#All],6,0)</f>
        <v>1436</v>
      </c>
      <c r="L813" s="143">
        <f>Purchase[[#This Row],[Purchase Rate]]*Purchase[[#This Row],[Qty]]</f>
        <v>12924</v>
      </c>
      <c r="M813" s="140">
        <v>0</v>
      </c>
      <c r="N813" s="143">
        <v>0</v>
      </c>
      <c r="O813" s="140">
        <v>0.18</v>
      </c>
      <c r="P813" s="145">
        <f>(Purchase[[#This Row],[Gross Amount]]-Purchase[[#This Row],[Disct %]])*Purchase[[#This Row],[GST %]]</f>
        <v>2326.3199999999997</v>
      </c>
      <c r="Q813" s="145">
        <f>Purchase[[#This Row],[Gross Amount]]-Purchase[[#This Row],[Disct Amnt]]+Purchase[[#This Row],[GST Amount]]</f>
        <v>15250.32</v>
      </c>
      <c r="R813" s="138" t="s">
        <v>1019</v>
      </c>
      <c r="S813" s="41">
        <f>IF(Purchase[[#This Row],[Status]]="Cancelled",0,Purchase[[#This Row],[Qty]])</f>
        <v>9</v>
      </c>
      <c r="T813" s="146">
        <f>IF(Purchase[[#This Row],[Status]]="Cancelled",0,Purchase[[#This Row],[Total Amount]])</f>
        <v>15250.32</v>
      </c>
      <c r="U813" s="146">
        <f>SUM(Purchase[Net Amount])</f>
        <v>814985438.68000126</v>
      </c>
    </row>
    <row r="814" spans="1:21" ht="19.5" thickBot="1" x14ac:dyDescent="0.3">
      <c r="A814" s="136" t="s">
        <v>1854</v>
      </c>
      <c r="B814" s="137">
        <v>45699</v>
      </c>
      <c r="C814" s="138" t="s">
        <v>1855</v>
      </c>
      <c r="D814" s="138" t="str">
        <f>VLOOKUP(Purchase[[#This Row],[Supplier ID]],Supplier[#All],2,0)</f>
        <v>Shree Computers</v>
      </c>
      <c r="E814" s="138">
        <f>VLOOKUP(Purchase[[#This Row],[Supplier ID]],Supplier[#All],3,0)</f>
        <v>9689542475</v>
      </c>
      <c r="F814" s="138" t="str">
        <f>VLOOKUP(Purchase[[#This Row],[Supplier ID]],Supplier[#All],4,0)</f>
        <v>Indore</v>
      </c>
      <c r="G814" s="138" t="str">
        <f>VLOOKUP(Purchase[[#This Row],[Supplier ID]],Supplier[#All],5,0)</f>
        <v>MP</v>
      </c>
      <c r="H814" s="138" t="str">
        <f>VLOOKUP(Purchase[[#This Row],[Supplier ID]],Supplier[#All],6,0)</f>
        <v>GST2154521T037</v>
      </c>
      <c r="I814" s="138" t="s">
        <v>126</v>
      </c>
      <c r="J814" s="139">
        <v>15</v>
      </c>
      <c r="K814" s="143">
        <f>VLOOKUP(Purchase[[#This Row],[Product ID]],Product[#All],6,0)</f>
        <v>19380</v>
      </c>
      <c r="L814" s="143">
        <f>Purchase[[#This Row],[Purchase Rate]]*Purchase[[#This Row],[Qty]]</f>
        <v>290700</v>
      </c>
      <c r="M814" s="140">
        <v>0</v>
      </c>
      <c r="N814" s="143">
        <v>0</v>
      </c>
      <c r="O814" s="140">
        <v>0.18</v>
      </c>
      <c r="P814" s="145">
        <f>(Purchase[[#This Row],[Gross Amount]]-Purchase[[#This Row],[Disct %]])*Purchase[[#This Row],[GST %]]</f>
        <v>52326</v>
      </c>
      <c r="Q814" s="145">
        <f>Purchase[[#This Row],[Gross Amount]]-Purchase[[#This Row],[Disct Amnt]]+Purchase[[#This Row],[GST Amount]]</f>
        <v>343026</v>
      </c>
      <c r="R814" s="138" t="s">
        <v>1019</v>
      </c>
      <c r="S814" s="41">
        <f>IF(Purchase[[#This Row],[Status]]="Cancelled",0,Purchase[[#This Row],[Qty]])</f>
        <v>15</v>
      </c>
      <c r="T814" s="146">
        <f>IF(Purchase[[#This Row],[Status]]="Cancelled",0,Purchase[[#This Row],[Total Amount]])</f>
        <v>343026</v>
      </c>
      <c r="U814" s="146">
        <f>SUM(Purchase[Net Amount])</f>
        <v>814985438.68000126</v>
      </c>
    </row>
    <row r="815" spans="1:21" ht="19.5" thickBot="1" x14ac:dyDescent="0.3">
      <c r="A815" s="136" t="s">
        <v>1856</v>
      </c>
      <c r="B815" s="137">
        <v>45699</v>
      </c>
      <c r="C815" s="138" t="s">
        <v>576</v>
      </c>
      <c r="D815" s="138" t="str">
        <f>VLOOKUP(Purchase[[#This Row],[Supplier ID]],Supplier[#All],2,0)</f>
        <v>Maa Distributors</v>
      </c>
      <c r="E815" s="138">
        <f>VLOOKUP(Purchase[[#This Row],[Supplier ID]],Supplier[#All],3,0)</f>
        <v>9689542460</v>
      </c>
      <c r="F815" s="138" t="str">
        <f>VLOOKUP(Purchase[[#This Row],[Supplier ID]],Supplier[#All],4,0)</f>
        <v>Korba</v>
      </c>
      <c r="G815" s="138" t="str">
        <f>VLOOKUP(Purchase[[#This Row],[Supplier ID]],Supplier[#All],5,0)</f>
        <v>CG</v>
      </c>
      <c r="H815" s="138" t="str">
        <f>VLOOKUP(Purchase[[#This Row],[Supplier ID]],Supplier[#All],6,0)</f>
        <v>GST2154521T022</v>
      </c>
      <c r="I815" s="138" t="s">
        <v>317</v>
      </c>
      <c r="J815" s="139">
        <v>14</v>
      </c>
      <c r="K815" s="143">
        <f>VLOOKUP(Purchase[[#This Row],[Product ID]],Product[#All],6,0)</f>
        <v>850</v>
      </c>
      <c r="L815" s="143">
        <f>Purchase[[#This Row],[Purchase Rate]]*Purchase[[#This Row],[Qty]]</f>
        <v>11900</v>
      </c>
      <c r="M815" s="140">
        <v>0</v>
      </c>
      <c r="N815" s="143">
        <v>0</v>
      </c>
      <c r="O815" s="140">
        <v>0.18</v>
      </c>
      <c r="P815" s="145">
        <f>(Purchase[[#This Row],[Gross Amount]]-Purchase[[#This Row],[Disct %]])*Purchase[[#This Row],[GST %]]</f>
        <v>2142</v>
      </c>
      <c r="Q815" s="145">
        <f>Purchase[[#This Row],[Gross Amount]]-Purchase[[#This Row],[Disct Amnt]]+Purchase[[#This Row],[GST Amount]]</f>
        <v>14042</v>
      </c>
      <c r="R815" s="138" t="s">
        <v>1019</v>
      </c>
      <c r="S815" s="41">
        <f>IF(Purchase[[#This Row],[Status]]="Cancelled",0,Purchase[[#This Row],[Qty]])</f>
        <v>14</v>
      </c>
      <c r="T815" s="146">
        <f>IF(Purchase[[#This Row],[Status]]="Cancelled",0,Purchase[[#This Row],[Total Amount]])</f>
        <v>14042</v>
      </c>
      <c r="U815" s="146">
        <f>SUM(Purchase[Net Amount])</f>
        <v>814985438.68000126</v>
      </c>
    </row>
    <row r="816" spans="1:21" ht="19.5" thickBot="1" x14ac:dyDescent="0.3">
      <c r="A816" s="136" t="s">
        <v>1857</v>
      </c>
      <c r="B816" s="137">
        <v>45700</v>
      </c>
      <c r="C816" s="138" t="s">
        <v>613</v>
      </c>
      <c r="D816" s="138" t="str">
        <f>VLOOKUP(Purchase[[#This Row],[Supplier ID]],Supplier[#All],2,0)</f>
        <v>National Traders</v>
      </c>
      <c r="E816" s="138">
        <f>VLOOKUP(Purchase[[#This Row],[Supplier ID]],Supplier[#All],3,0)</f>
        <v>9689542496</v>
      </c>
      <c r="F816" s="138" t="str">
        <f>VLOOKUP(Purchase[[#This Row],[Supplier ID]],Supplier[#All],4,0)</f>
        <v>Indore</v>
      </c>
      <c r="G816" s="138" t="str">
        <f>VLOOKUP(Purchase[[#This Row],[Supplier ID]],Supplier[#All],5,0)</f>
        <v>MP</v>
      </c>
      <c r="H816" s="138" t="str">
        <f>VLOOKUP(Purchase[[#This Row],[Supplier ID]],Supplier[#All],6,0)</f>
        <v>GST2154521T058</v>
      </c>
      <c r="I816" s="138" t="s">
        <v>399</v>
      </c>
      <c r="J816" s="139">
        <v>39</v>
      </c>
      <c r="K816" s="143">
        <f>VLOOKUP(Purchase[[#This Row],[Product ID]],Product[#All],6,0)</f>
        <v>35080</v>
      </c>
      <c r="L816" s="143">
        <f>Purchase[[#This Row],[Purchase Rate]]*Purchase[[#This Row],[Qty]]</f>
        <v>1368120</v>
      </c>
      <c r="M816" s="140">
        <v>0</v>
      </c>
      <c r="N816" s="143">
        <v>0</v>
      </c>
      <c r="O816" s="140">
        <v>0.18</v>
      </c>
      <c r="P816" s="145">
        <f>(Purchase[[#This Row],[Gross Amount]]-Purchase[[#This Row],[Disct %]])*Purchase[[#This Row],[GST %]]</f>
        <v>246261.59999999998</v>
      </c>
      <c r="Q816" s="145">
        <f>Purchase[[#This Row],[Gross Amount]]-Purchase[[#This Row],[Disct Amnt]]+Purchase[[#This Row],[GST Amount]]</f>
        <v>1614381.6</v>
      </c>
      <c r="R816" s="138" t="s">
        <v>1040</v>
      </c>
      <c r="S816" s="41">
        <f>IF(Purchase[[#This Row],[Status]]="Cancelled",0,Purchase[[#This Row],[Qty]])</f>
        <v>0</v>
      </c>
      <c r="T816" s="146">
        <f>IF(Purchase[[#This Row],[Status]]="Cancelled",0,Purchase[[#This Row],[Total Amount]])</f>
        <v>0</v>
      </c>
      <c r="U816" s="146">
        <f>SUM(Purchase[Net Amount])</f>
        <v>814985438.68000126</v>
      </c>
    </row>
    <row r="817" spans="1:21" ht="19.5" thickBot="1" x14ac:dyDescent="0.3">
      <c r="A817" s="136" t="s">
        <v>1858</v>
      </c>
      <c r="B817" s="137">
        <v>45700</v>
      </c>
      <c r="C817" s="138" t="s">
        <v>588</v>
      </c>
      <c r="D817" s="138" t="str">
        <f>VLOOKUP(Purchase[[#This Row],[Supplier ID]],Supplier[#All],2,0)</f>
        <v>Star Electronics</v>
      </c>
      <c r="E817" s="138">
        <f>VLOOKUP(Purchase[[#This Row],[Supplier ID]],Supplier[#All],3,0)</f>
        <v>9689542472</v>
      </c>
      <c r="F817" s="138" t="str">
        <f>VLOOKUP(Purchase[[#This Row],[Supplier ID]],Supplier[#All],4,0)</f>
        <v>Korba</v>
      </c>
      <c r="G817" s="138" t="str">
        <f>VLOOKUP(Purchase[[#This Row],[Supplier ID]],Supplier[#All],5,0)</f>
        <v>CG</v>
      </c>
      <c r="H817" s="138" t="str">
        <f>VLOOKUP(Purchase[[#This Row],[Supplier ID]],Supplier[#All],6,0)</f>
        <v>GST2154521T034</v>
      </c>
      <c r="I817" s="138" t="s">
        <v>247</v>
      </c>
      <c r="J817" s="139">
        <v>13</v>
      </c>
      <c r="K817" s="143">
        <f>VLOOKUP(Purchase[[#This Row],[Product ID]],Product[#All],6,0)</f>
        <v>57779</v>
      </c>
      <c r="L817" s="143">
        <f>Purchase[[#This Row],[Purchase Rate]]*Purchase[[#This Row],[Qty]]</f>
        <v>751127</v>
      </c>
      <c r="M817" s="140">
        <v>0</v>
      </c>
      <c r="N817" s="143">
        <v>0</v>
      </c>
      <c r="O817" s="140">
        <v>0.18</v>
      </c>
      <c r="P817" s="145">
        <f>(Purchase[[#This Row],[Gross Amount]]-Purchase[[#This Row],[Disct %]])*Purchase[[#This Row],[GST %]]</f>
        <v>135202.85999999999</v>
      </c>
      <c r="Q817" s="145">
        <f>Purchase[[#This Row],[Gross Amount]]-Purchase[[#This Row],[Disct Amnt]]+Purchase[[#This Row],[GST Amount]]</f>
        <v>886329.86</v>
      </c>
      <c r="R817" s="138" t="s">
        <v>1019</v>
      </c>
      <c r="S817" s="41">
        <f>IF(Purchase[[#This Row],[Status]]="Cancelled",0,Purchase[[#This Row],[Qty]])</f>
        <v>13</v>
      </c>
      <c r="T817" s="146">
        <f>IF(Purchase[[#This Row],[Status]]="Cancelled",0,Purchase[[#This Row],[Total Amount]])</f>
        <v>886329.86</v>
      </c>
      <c r="U817" s="146">
        <f>SUM(Purchase[Net Amount])</f>
        <v>814985438.68000126</v>
      </c>
    </row>
    <row r="818" spans="1:21" ht="19.5" thickBot="1" x14ac:dyDescent="0.3">
      <c r="A818" s="136" t="s">
        <v>1859</v>
      </c>
      <c r="B818" s="137">
        <v>45700</v>
      </c>
      <c r="C818" s="138" t="s">
        <v>585</v>
      </c>
      <c r="D818" s="138" t="str">
        <f>VLOOKUP(Purchase[[#This Row],[Supplier ID]],Supplier[#All],2,0)</f>
        <v>Tech Computers</v>
      </c>
      <c r="E818" s="138">
        <f>VLOOKUP(Purchase[[#This Row],[Supplier ID]],Supplier[#All],3,0)</f>
        <v>9689542469</v>
      </c>
      <c r="F818" s="138" t="str">
        <f>VLOOKUP(Purchase[[#This Row],[Supplier ID]],Supplier[#All],4,0)</f>
        <v>Korba</v>
      </c>
      <c r="G818" s="138" t="str">
        <f>VLOOKUP(Purchase[[#This Row],[Supplier ID]],Supplier[#All],5,0)</f>
        <v>CG</v>
      </c>
      <c r="H818" s="138" t="str">
        <f>VLOOKUP(Purchase[[#This Row],[Supplier ID]],Supplier[#All],6,0)</f>
        <v>GST2154521T031</v>
      </c>
      <c r="I818" s="138" t="s">
        <v>70</v>
      </c>
      <c r="J818" s="139">
        <v>8</v>
      </c>
      <c r="K818" s="143">
        <f>VLOOKUP(Purchase[[#This Row],[Product ID]],Product[#All],6,0)</f>
        <v>3980</v>
      </c>
      <c r="L818" s="143">
        <f>Purchase[[#This Row],[Purchase Rate]]*Purchase[[#This Row],[Qty]]</f>
        <v>31840</v>
      </c>
      <c r="M818" s="140">
        <v>0</v>
      </c>
      <c r="N818" s="143">
        <v>0</v>
      </c>
      <c r="O818" s="140">
        <v>0.18</v>
      </c>
      <c r="P818" s="145">
        <f>(Purchase[[#This Row],[Gross Amount]]-Purchase[[#This Row],[Disct %]])*Purchase[[#This Row],[GST %]]</f>
        <v>5731.2</v>
      </c>
      <c r="Q818" s="145">
        <f>Purchase[[#This Row],[Gross Amount]]-Purchase[[#This Row],[Disct Amnt]]+Purchase[[#This Row],[GST Amount]]</f>
        <v>37571.199999999997</v>
      </c>
      <c r="R818" s="138" t="s">
        <v>1040</v>
      </c>
      <c r="S818" s="41">
        <f>IF(Purchase[[#This Row],[Status]]="Cancelled",0,Purchase[[#This Row],[Qty]])</f>
        <v>0</v>
      </c>
      <c r="T818" s="146">
        <f>IF(Purchase[[#This Row],[Status]]="Cancelled",0,Purchase[[#This Row],[Total Amount]])</f>
        <v>0</v>
      </c>
      <c r="U818" s="146">
        <f>SUM(Purchase[Net Amount])</f>
        <v>814985438.68000126</v>
      </c>
    </row>
    <row r="819" spans="1:21" ht="19.5" thickBot="1" x14ac:dyDescent="0.3">
      <c r="A819" s="136" t="s">
        <v>1860</v>
      </c>
      <c r="B819" s="137">
        <v>45700</v>
      </c>
      <c r="C819" s="138" t="s">
        <v>584</v>
      </c>
      <c r="D819" s="138" t="str">
        <f>VLOOKUP(Purchase[[#This Row],[Supplier ID]],Supplier[#All],2,0)</f>
        <v>Prime Computers</v>
      </c>
      <c r="E819" s="138">
        <f>VLOOKUP(Purchase[[#This Row],[Supplier ID]],Supplier[#All],3,0)</f>
        <v>9689542468</v>
      </c>
      <c r="F819" s="138" t="str">
        <f>VLOOKUP(Purchase[[#This Row],[Supplier ID]],Supplier[#All],4,0)</f>
        <v>Kanpur</v>
      </c>
      <c r="G819" s="138" t="str">
        <f>VLOOKUP(Purchase[[#This Row],[Supplier ID]],Supplier[#All],5,0)</f>
        <v>UP</v>
      </c>
      <c r="H819" s="138" t="str">
        <f>VLOOKUP(Purchase[[#This Row],[Supplier ID]],Supplier[#All],6,0)</f>
        <v>GST2154521T030</v>
      </c>
      <c r="I819" s="138" t="s">
        <v>412</v>
      </c>
      <c r="J819" s="139">
        <v>26</v>
      </c>
      <c r="K819" s="143">
        <f>VLOOKUP(Purchase[[#This Row],[Product ID]],Product[#All],6,0)</f>
        <v>23332</v>
      </c>
      <c r="L819" s="143">
        <f>Purchase[[#This Row],[Purchase Rate]]*Purchase[[#This Row],[Qty]]</f>
        <v>606632</v>
      </c>
      <c r="M819" s="140">
        <v>0</v>
      </c>
      <c r="N819" s="143">
        <v>0</v>
      </c>
      <c r="O819" s="140">
        <v>0.18</v>
      </c>
      <c r="P819" s="145">
        <f>(Purchase[[#This Row],[Gross Amount]]-Purchase[[#This Row],[Disct %]])*Purchase[[#This Row],[GST %]]</f>
        <v>109193.76</v>
      </c>
      <c r="Q819" s="145">
        <f>Purchase[[#This Row],[Gross Amount]]-Purchase[[#This Row],[Disct Amnt]]+Purchase[[#This Row],[GST Amount]]</f>
        <v>715825.76</v>
      </c>
      <c r="R819" s="138" t="s">
        <v>1019</v>
      </c>
      <c r="S819" s="41">
        <f>IF(Purchase[[#This Row],[Status]]="Cancelled",0,Purchase[[#This Row],[Qty]])</f>
        <v>26</v>
      </c>
      <c r="T819" s="146">
        <f>IF(Purchase[[#This Row],[Status]]="Cancelled",0,Purchase[[#This Row],[Total Amount]])</f>
        <v>715825.76</v>
      </c>
      <c r="U819" s="146">
        <f>SUM(Purchase[Net Amount])</f>
        <v>814985438.68000126</v>
      </c>
    </row>
    <row r="820" spans="1:21" ht="19.5" thickBot="1" x14ac:dyDescent="0.3">
      <c r="A820" s="136" t="s">
        <v>1861</v>
      </c>
      <c r="B820" s="137">
        <v>45700</v>
      </c>
      <c r="C820" s="138" t="s">
        <v>570</v>
      </c>
      <c r="D820" s="138" t="str">
        <f>VLOOKUP(Purchase[[#This Row],[Supplier ID]],Supplier[#All],2,0)</f>
        <v>Prime Traders</v>
      </c>
      <c r="E820" s="138">
        <f>VLOOKUP(Purchase[[#This Row],[Supplier ID]],Supplier[#All],3,0)</f>
        <v>9689542456</v>
      </c>
      <c r="F820" s="138" t="str">
        <f>VLOOKUP(Purchase[[#This Row],[Supplier ID]],Supplier[#All],4,0)</f>
        <v>Indore</v>
      </c>
      <c r="G820" s="138" t="str">
        <f>VLOOKUP(Purchase[[#This Row],[Supplier ID]],Supplier[#All],5,0)</f>
        <v>MP</v>
      </c>
      <c r="H820" s="138" t="str">
        <f>VLOOKUP(Purchase[[#This Row],[Supplier ID]],Supplier[#All],6,0)</f>
        <v>GST2154521T018</v>
      </c>
      <c r="I820" s="138" t="s">
        <v>536</v>
      </c>
      <c r="J820" s="139">
        <v>16</v>
      </c>
      <c r="K820" s="143">
        <f>VLOOKUP(Purchase[[#This Row],[Product ID]],Product[#All],6,0)</f>
        <v>961</v>
      </c>
      <c r="L820" s="143">
        <f>Purchase[[#This Row],[Purchase Rate]]*Purchase[[#This Row],[Qty]]</f>
        <v>15376</v>
      </c>
      <c r="M820" s="140">
        <v>0</v>
      </c>
      <c r="N820" s="143">
        <v>0</v>
      </c>
      <c r="O820" s="140">
        <v>0.18</v>
      </c>
      <c r="P820" s="145">
        <f>(Purchase[[#This Row],[Gross Amount]]-Purchase[[#This Row],[Disct %]])*Purchase[[#This Row],[GST %]]</f>
        <v>2767.68</v>
      </c>
      <c r="Q820" s="145">
        <f>Purchase[[#This Row],[Gross Amount]]-Purchase[[#This Row],[Disct Amnt]]+Purchase[[#This Row],[GST Amount]]</f>
        <v>18143.68</v>
      </c>
      <c r="R820" s="138" t="s">
        <v>1019</v>
      </c>
      <c r="S820" s="41">
        <f>IF(Purchase[[#This Row],[Status]]="Cancelled",0,Purchase[[#This Row],[Qty]])</f>
        <v>16</v>
      </c>
      <c r="T820" s="146">
        <f>IF(Purchase[[#This Row],[Status]]="Cancelled",0,Purchase[[#This Row],[Total Amount]])</f>
        <v>18143.68</v>
      </c>
      <c r="U820" s="146">
        <f>SUM(Purchase[Net Amount])</f>
        <v>814985438.68000126</v>
      </c>
    </row>
    <row r="821" spans="1:21" ht="19.5" thickBot="1" x14ac:dyDescent="0.3">
      <c r="A821" s="136" t="s">
        <v>1862</v>
      </c>
      <c r="B821" s="137">
        <v>45700</v>
      </c>
      <c r="C821" s="138" t="s">
        <v>582</v>
      </c>
      <c r="D821" s="138" t="str">
        <f>VLOOKUP(Purchase[[#This Row],[Supplier ID]],Supplier[#All],2,0)</f>
        <v>Tech Distributors</v>
      </c>
      <c r="E821" s="138">
        <f>VLOOKUP(Purchase[[#This Row],[Supplier ID]],Supplier[#All],3,0)</f>
        <v>9689542466</v>
      </c>
      <c r="F821" s="138" t="str">
        <f>VLOOKUP(Purchase[[#This Row],[Supplier ID]],Supplier[#All],4,0)</f>
        <v>Indore</v>
      </c>
      <c r="G821" s="138" t="str">
        <f>VLOOKUP(Purchase[[#This Row],[Supplier ID]],Supplier[#All],5,0)</f>
        <v>MP</v>
      </c>
      <c r="H821" s="138" t="str">
        <f>VLOOKUP(Purchase[[#This Row],[Supplier ID]],Supplier[#All],6,0)</f>
        <v>GST2154521T028</v>
      </c>
      <c r="I821" s="138" t="s">
        <v>479</v>
      </c>
      <c r="J821" s="139">
        <v>28</v>
      </c>
      <c r="K821" s="143">
        <f>VLOOKUP(Purchase[[#This Row],[Product ID]],Product[#All],6,0)</f>
        <v>4548</v>
      </c>
      <c r="L821" s="143">
        <f>Purchase[[#This Row],[Purchase Rate]]*Purchase[[#This Row],[Qty]]</f>
        <v>127344</v>
      </c>
      <c r="M821" s="140">
        <v>0</v>
      </c>
      <c r="N821" s="143">
        <v>0</v>
      </c>
      <c r="O821" s="140">
        <v>0.18</v>
      </c>
      <c r="P821" s="145">
        <f>(Purchase[[#This Row],[Gross Amount]]-Purchase[[#This Row],[Disct %]])*Purchase[[#This Row],[GST %]]</f>
        <v>22921.919999999998</v>
      </c>
      <c r="Q821" s="145">
        <f>Purchase[[#This Row],[Gross Amount]]-Purchase[[#This Row],[Disct Amnt]]+Purchase[[#This Row],[GST Amount]]</f>
        <v>150265.91999999998</v>
      </c>
      <c r="R821" s="138" t="s">
        <v>1019</v>
      </c>
      <c r="S821" s="41">
        <f>IF(Purchase[[#This Row],[Status]]="Cancelled",0,Purchase[[#This Row],[Qty]])</f>
        <v>28</v>
      </c>
      <c r="T821" s="146">
        <f>IF(Purchase[[#This Row],[Status]]="Cancelled",0,Purchase[[#This Row],[Total Amount]])</f>
        <v>150265.91999999998</v>
      </c>
      <c r="U821" s="146">
        <f>SUM(Purchase[Net Amount])</f>
        <v>814985438.68000126</v>
      </c>
    </row>
    <row r="822" spans="1:21" ht="19.5" thickBot="1" x14ac:dyDescent="0.3">
      <c r="A822" s="136" t="s">
        <v>1863</v>
      </c>
      <c r="B822" s="137">
        <v>45700</v>
      </c>
      <c r="C822" s="138" t="s">
        <v>593</v>
      </c>
      <c r="D822" s="138" t="str">
        <f>VLOOKUP(Purchase[[#This Row],[Supplier ID]],Supplier[#All],2,0)</f>
        <v>Global Suppliers</v>
      </c>
      <c r="E822" s="138">
        <f>VLOOKUP(Purchase[[#This Row],[Supplier ID]],Supplier[#All],3,0)</f>
        <v>9689542476</v>
      </c>
      <c r="F822" s="138" t="str">
        <f>VLOOKUP(Purchase[[#This Row],[Supplier ID]],Supplier[#All],4,0)</f>
        <v>Korba</v>
      </c>
      <c r="G822" s="138" t="str">
        <f>VLOOKUP(Purchase[[#This Row],[Supplier ID]],Supplier[#All],5,0)</f>
        <v>CG</v>
      </c>
      <c r="H822" s="138" t="str">
        <f>VLOOKUP(Purchase[[#This Row],[Supplier ID]],Supplier[#All],6,0)</f>
        <v>GST2154521T038</v>
      </c>
      <c r="I822" s="138" t="s">
        <v>192</v>
      </c>
      <c r="J822" s="139">
        <v>11</v>
      </c>
      <c r="K822" s="143">
        <f>VLOOKUP(Purchase[[#This Row],[Product ID]],Product[#All],6,0)</f>
        <v>50201</v>
      </c>
      <c r="L822" s="143">
        <f>Purchase[[#This Row],[Purchase Rate]]*Purchase[[#This Row],[Qty]]</f>
        <v>552211</v>
      </c>
      <c r="M822" s="140">
        <v>0</v>
      </c>
      <c r="N822" s="143">
        <v>0</v>
      </c>
      <c r="O822" s="140">
        <v>0.18</v>
      </c>
      <c r="P822" s="145">
        <f>(Purchase[[#This Row],[Gross Amount]]-Purchase[[#This Row],[Disct %]])*Purchase[[#This Row],[GST %]]</f>
        <v>99397.98</v>
      </c>
      <c r="Q822" s="145">
        <f>Purchase[[#This Row],[Gross Amount]]-Purchase[[#This Row],[Disct Amnt]]+Purchase[[#This Row],[GST Amount]]</f>
        <v>651608.98</v>
      </c>
      <c r="R822" s="138" t="s">
        <v>1019</v>
      </c>
      <c r="S822" s="41">
        <f>IF(Purchase[[#This Row],[Status]]="Cancelled",0,Purchase[[#This Row],[Qty]])</f>
        <v>11</v>
      </c>
      <c r="T822" s="146">
        <f>IF(Purchase[[#This Row],[Status]]="Cancelled",0,Purchase[[#This Row],[Total Amount]])</f>
        <v>651608.98</v>
      </c>
      <c r="U822" s="146">
        <f>SUM(Purchase[Net Amount])</f>
        <v>814985438.68000126</v>
      </c>
    </row>
    <row r="823" spans="1:21" ht="19.5" thickBot="1" x14ac:dyDescent="0.3">
      <c r="A823" s="136" t="s">
        <v>1864</v>
      </c>
      <c r="B823" s="137">
        <v>45700</v>
      </c>
      <c r="C823" s="138" t="s">
        <v>565</v>
      </c>
      <c r="D823" s="138" t="str">
        <f>VLOOKUP(Purchase[[#This Row],[Supplier ID]],Supplier[#All],2,0)</f>
        <v>Global Suppliers</v>
      </c>
      <c r="E823" s="138">
        <f>VLOOKUP(Purchase[[#This Row],[Supplier ID]],Supplier[#All],3,0)</f>
        <v>9689542459</v>
      </c>
      <c r="F823" s="138" t="str">
        <f>VLOOKUP(Purchase[[#This Row],[Supplier ID]],Supplier[#All],4,0)</f>
        <v>Indore</v>
      </c>
      <c r="G823" s="138" t="str">
        <f>VLOOKUP(Purchase[[#This Row],[Supplier ID]],Supplier[#All],5,0)</f>
        <v>MP</v>
      </c>
      <c r="H823" s="138" t="str">
        <f>VLOOKUP(Purchase[[#This Row],[Supplier ID]],Supplier[#All],6,0)</f>
        <v>GST2154521T013</v>
      </c>
      <c r="I823" s="138" t="s">
        <v>130</v>
      </c>
      <c r="J823" s="139">
        <v>23</v>
      </c>
      <c r="K823" s="143">
        <f>VLOOKUP(Purchase[[#This Row],[Product ID]],Product[#All],6,0)</f>
        <v>32914</v>
      </c>
      <c r="L823" s="143">
        <f>Purchase[[#This Row],[Purchase Rate]]*Purchase[[#This Row],[Qty]]</f>
        <v>757022</v>
      </c>
      <c r="M823" s="140">
        <v>0</v>
      </c>
      <c r="N823" s="143">
        <v>0</v>
      </c>
      <c r="O823" s="140">
        <v>0.18</v>
      </c>
      <c r="P823" s="145">
        <f>(Purchase[[#This Row],[Gross Amount]]-Purchase[[#This Row],[Disct %]])*Purchase[[#This Row],[GST %]]</f>
        <v>136263.96</v>
      </c>
      <c r="Q823" s="145">
        <f>Purchase[[#This Row],[Gross Amount]]-Purchase[[#This Row],[Disct Amnt]]+Purchase[[#This Row],[GST Amount]]</f>
        <v>893285.96</v>
      </c>
      <c r="R823" s="138" t="s">
        <v>1019</v>
      </c>
      <c r="S823" s="41">
        <f>IF(Purchase[[#This Row],[Status]]="Cancelled",0,Purchase[[#This Row],[Qty]])</f>
        <v>23</v>
      </c>
      <c r="T823" s="146">
        <f>IF(Purchase[[#This Row],[Status]]="Cancelled",0,Purchase[[#This Row],[Total Amount]])</f>
        <v>893285.96</v>
      </c>
      <c r="U823" s="146">
        <f>SUM(Purchase[Net Amount])</f>
        <v>814985438.68000126</v>
      </c>
    </row>
    <row r="824" spans="1:21" ht="19.5" thickBot="1" x14ac:dyDescent="0.3">
      <c r="A824" s="136" t="s">
        <v>1865</v>
      </c>
      <c r="B824" s="137">
        <v>45700</v>
      </c>
      <c r="C824" s="138" t="s">
        <v>597</v>
      </c>
      <c r="D824" s="138" t="str">
        <f>VLOOKUP(Purchase[[#This Row],[Supplier ID]],Supplier[#All],2,0)</f>
        <v>Tech Traders</v>
      </c>
      <c r="E824" s="138">
        <f>VLOOKUP(Purchase[[#This Row],[Supplier ID]],Supplier[#All],3,0)</f>
        <v>9689542480</v>
      </c>
      <c r="F824" s="138" t="str">
        <f>VLOOKUP(Purchase[[#This Row],[Supplier ID]],Supplier[#All],4,0)</f>
        <v>Kanpur</v>
      </c>
      <c r="G824" s="138" t="str">
        <f>VLOOKUP(Purchase[[#This Row],[Supplier ID]],Supplier[#All],5,0)</f>
        <v>UP</v>
      </c>
      <c r="H824" s="138" t="str">
        <f>VLOOKUP(Purchase[[#This Row],[Supplier ID]],Supplier[#All],6,0)</f>
        <v>GST2154521T042</v>
      </c>
      <c r="I824" s="138" t="s">
        <v>191</v>
      </c>
      <c r="J824" s="139">
        <v>18</v>
      </c>
      <c r="K824" s="143">
        <f>VLOOKUP(Purchase[[#This Row],[Product ID]],Product[#All],6,0)</f>
        <v>1533</v>
      </c>
      <c r="L824" s="143">
        <f>Purchase[[#This Row],[Purchase Rate]]*Purchase[[#This Row],[Qty]]</f>
        <v>27594</v>
      </c>
      <c r="M824" s="140">
        <v>0</v>
      </c>
      <c r="N824" s="143">
        <v>0</v>
      </c>
      <c r="O824" s="140">
        <v>0.18</v>
      </c>
      <c r="P824" s="145">
        <f>(Purchase[[#This Row],[Gross Amount]]-Purchase[[#This Row],[Disct %]])*Purchase[[#This Row],[GST %]]</f>
        <v>4966.92</v>
      </c>
      <c r="Q824" s="145">
        <f>Purchase[[#This Row],[Gross Amount]]-Purchase[[#This Row],[Disct Amnt]]+Purchase[[#This Row],[GST Amount]]</f>
        <v>32560.92</v>
      </c>
      <c r="R824" s="138" t="s">
        <v>1019</v>
      </c>
      <c r="S824" s="41">
        <f>IF(Purchase[[#This Row],[Status]]="Cancelled",0,Purchase[[#This Row],[Qty]])</f>
        <v>18</v>
      </c>
      <c r="T824" s="146">
        <f>IF(Purchase[[#This Row],[Status]]="Cancelled",0,Purchase[[#This Row],[Total Amount]])</f>
        <v>32560.92</v>
      </c>
      <c r="U824" s="146">
        <f>SUM(Purchase[Net Amount])</f>
        <v>814985438.68000126</v>
      </c>
    </row>
    <row r="825" spans="1:21" ht="19.5" thickBot="1" x14ac:dyDescent="0.3">
      <c r="A825" s="136" t="s">
        <v>1866</v>
      </c>
      <c r="B825" s="137">
        <v>45700</v>
      </c>
      <c r="C825" s="138" t="s">
        <v>588</v>
      </c>
      <c r="D825" s="138" t="str">
        <f>VLOOKUP(Purchase[[#This Row],[Supplier ID]],Supplier[#All],2,0)</f>
        <v>Star Electronics</v>
      </c>
      <c r="E825" s="138">
        <f>VLOOKUP(Purchase[[#This Row],[Supplier ID]],Supplier[#All],3,0)</f>
        <v>9689542472</v>
      </c>
      <c r="F825" s="138" t="str">
        <f>VLOOKUP(Purchase[[#This Row],[Supplier ID]],Supplier[#All],4,0)</f>
        <v>Korba</v>
      </c>
      <c r="G825" s="138" t="str">
        <f>VLOOKUP(Purchase[[#This Row],[Supplier ID]],Supplier[#All],5,0)</f>
        <v>CG</v>
      </c>
      <c r="H825" s="138" t="str">
        <f>VLOOKUP(Purchase[[#This Row],[Supplier ID]],Supplier[#All],6,0)</f>
        <v>GST2154521T034</v>
      </c>
      <c r="I825" s="138" t="s">
        <v>470</v>
      </c>
      <c r="J825" s="139">
        <v>22</v>
      </c>
      <c r="K825" s="143">
        <f>VLOOKUP(Purchase[[#This Row],[Product ID]],Product[#All],6,0)</f>
        <v>30694</v>
      </c>
      <c r="L825" s="143">
        <f>Purchase[[#This Row],[Purchase Rate]]*Purchase[[#This Row],[Qty]]</f>
        <v>675268</v>
      </c>
      <c r="M825" s="140">
        <v>0</v>
      </c>
      <c r="N825" s="143">
        <v>0</v>
      </c>
      <c r="O825" s="140">
        <v>0.18</v>
      </c>
      <c r="P825" s="145">
        <f>(Purchase[[#This Row],[Gross Amount]]-Purchase[[#This Row],[Disct %]])*Purchase[[#This Row],[GST %]]</f>
        <v>121548.23999999999</v>
      </c>
      <c r="Q825" s="145">
        <f>Purchase[[#This Row],[Gross Amount]]-Purchase[[#This Row],[Disct Amnt]]+Purchase[[#This Row],[GST Amount]]</f>
        <v>796816.24</v>
      </c>
      <c r="R825" s="138" t="s">
        <v>1019</v>
      </c>
      <c r="S825" s="41">
        <f>IF(Purchase[[#This Row],[Status]]="Cancelled",0,Purchase[[#This Row],[Qty]])</f>
        <v>22</v>
      </c>
      <c r="T825" s="146">
        <f>IF(Purchase[[#This Row],[Status]]="Cancelled",0,Purchase[[#This Row],[Total Amount]])</f>
        <v>796816.24</v>
      </c>
      <c r="U825" s="146">
        <f>SUM(Purchase[Net Amount])</f>
        <v>814985438.68000126</v>
      </c>
    </row>
    <row r="826" spans="1:21" ht="19.5" thickBot="1" x14ac:dyDescent="0.3">
      <c r="A826" s="136" t="s">
        <v>1867</v>
      </c>
      <c r="B826" s="137">
        <v>45700</v>
      </c>
      <c r="C826" s="138" t="s">
        <v>576</v>
      </c>
      <c r="D826" s="138" t="str">
        <f>VLOOKUP(Purchase[[#This Row],[Supplier ID]],Supplier[#All],2,0)</f>
        <v>Maa Distributors</v>
      </c>
      <c r="E826" s="138">
        <f>VLOOKUP(Purchase[[#This Row],[Supplier ID]],Supplier[#All],3,0)</f>
        <v>9689542460</v>
      </c>
      <c r="F826" s="138" t="str">
        <f>VLOOKUP(Purchase[[#This Row],[Supplier ID]],Supplier[#All],4,0)</f>
        <v>Korba</v>
      </c>
      <c r="G826" s="138" t="str">
        <f>VLOOKUP(Purchase[[#This Row],[Supplier ID]],Supplier[#All],5,0)</f>
        <v>CG</v>
      </c>
      <c r="H826" s="138" t="str">
        <f>VLOOKUP(Purchase[[#This Row],[Supplier ID]],Supplier[#All],6,0)</f>
        <v>GST2154521T022</v>
      </c>
      <c r="I826" s="138" t="s">
        <v>252</v>
      </c>
      <c r="J826" s="139">
        <v>34</v>
      </c>
      <c r="K826" s="143">
        <f>VLOOKUP(Purchase[[#This Row],[Product ID]],Product[#All],6,0)</f>
        <v>47932</v>
      </c>
      <c r="L826" s="143">
        <f>Purchase[[#This Row],[Purchase Rate]]*Purchase[[#This Row],[Qty]]</f>
        <v>1629688</v>
      </c>
      <c r="M826" s="140">
        <v>0</v>
      </c>
      <c r="N826" s="143">
        <v>0</v>
      </c>
      <c r="O826" s="140">
        <v>0.18</v>
      </c>
      <c r="P826" s="145">
        <f>(Purchase[[#This Row],[Gross Amount]]-Purchase[[#This Row],[Disct %]])*Purchase[[#This Row],[GST %]]</f>
        <v>293343.83999999997</v>
      </c>
      <c r="Q826" s="145">
        <f>Purchase[[#This Row],[Gross Amount]]-Purchase[[#This Row],[Disct Amnt]]+Purchase[[#This Row],[GST Amount]]</f>
        <v>1923031.8399999999</v>
      </c>
      <c r="R826" s="138" t="s">
        <v>1019</v>
      </c>
      <c r="S826" s="41">
        <f>IF(Purchase[[#This Row],[Status]]="Cancelled",0,Purchase[[#This Row],[Qty]])</f>
        <v>34</v>
      </c>
      <c r="T826" s="146">
        <f>IF(Purchase[[#This Row],[Status]]="Cancelled",0,Purchase[[#This Row],[Total Amount]])</f>
        <v>1923031.8399999999</v>
      </c>
      <c r="U826" s="146">
        <f>SUM(Purchase[Net Amount])</f>
        <v>814985438.68000126</v>
      </c>
    </row>
    <row r="827" spans="1:21" ht="19.5" thickBot="1" x14ac:dyDescent="0.3">
      <c r="A827" s="136" t="s">
        <v>1868</v>
      </c>
      <c r="B827" s="137">
        <v>45700</v>
      </c>
      <c r="C827" s="138" t="s">
        <v>603</v>
      </c>
      <c r="D827" s="138" t="str">
        <f>VLOOKUP(Purchase[[#This Row],[Supplier ID]],Supplier[#All],2,0)</f>
        <v>Tech Computers</v>
      </c>
      <c r="E827" s="138">
        <f>VLOOKUP(Purchase[[#This Row],[Supplier ID]],Supplier[#All],3,0)</f>
        <v>9689542486</v>
      </c>
      <c r="F827" s="138" t="str">
        <f>VLOOKUP(Purchase[[#This Row],[Supplier ID]],Supplier[#All],4,0)</f>
        <v>Indore</v>
      </c>
      <c r="G827" s="138" t="str">
        <f>VLOOKUP(Purchase[[#This Row],[Supplier ID]],Supplier[#All],5,0)</f>
        <v>MP</v>
      </c>
      <c r="H827" s="138" t="str">
        <f>VLOOKUP(Purchase[[#This Row],[Supplier ID]],Supplier[#All],6,0)</f>
        <v>GST2154521T048</v>
      </c>
      <c r="I827" s="138" t="s">
        <v>380</v>
      </c>
      <c r="J827" s="139">
        <v>31</v>
      </c>
      <c r="K827" s="143">
        <f>VLOOKUP(Purchase[[#This Row],[Product ID]],Product[#All],6,0)</f>
        <v>72229</v>
      </c>
      <c r="L827" s="143">
        <f>Purchase[[#This Row],[Purchase Rate]]*Purchase[[#This Row],[Qty]]</f>
        <v>2239099</v>
      </c>
      <c r="M827" s="140">
        <v>0</v>
      </c>
      <c r="N827" s="143">
        <v>0</v>
      </c>
      <c r="O827" s="140">
        <v>0.18</v>
      </c>
      <c r="P827" s="145">
        <f>(Purchase[[#This Row],[Gross Amount]]-Purchase[[#This Row],[Disct %]])*Purchase[[#This Row],[GST %]]</f>
        <v>403037.82</v>
      </c>
      <c r="Q827" s="145">
        <f>Purchase[[#This Row],[Gross Amount]]-Purchase[[#This Row],[Disct Amnt]]+Purchase[[#This Row],[GST Amount]]</f>
        <v>2642136.8199999998</v>
      </c>
      <c r="R827" s="138" t="s">
        <v>1019</v>
      </c>
      <c r="S827" s="41">
        <f>IF(Purchase[[#This Row],[Status]]="Cancelled",0,Purchase[[#This Row],[Qty]])</f>
        <v>31</v>
      </c>
      <c r="T827" s="146">
        <f>IF(Purchase[[#This Row],[Status]]="Cancelled",0,Purchase[[#This Row],[Total Amount]])</f>
        <v>2642136.8199999998</v>
      </c>
      <c r="U827" s="146">
        <f>SUM(Purchase[Net Amount])</f>
        <v>814985438.68000126</v>
      </c>
    </row>
    <row r="828" spans="1:21" ht="19.5" thickBot="1" x14ac:dyDescent="0.3">
      <c r="A828" s="136" t="s">
        <v>1869</v>
      </c>
      <c r="B828" s="137">
        <v>45700</v>
      </c>
      <c r="C828" s="138" t="s">
        <v>585</v>
      </c>
      <c r="D828" s="138" t="str">
        <f>VLOOKUP(Purchase[[#This Row],[Supplier ID]],Supplier[#All],2,0)</f>
        <v>Tech Computers</v>
      </c>
      <c r="E828" s="138">
        <f>VLOOKUP(Purchase[[#This Row],[Supplier ID]],Supplier[#All],3,0)</f>
        <v>9689542469</v>
      </c>
      <c r="F828" s="138" t="str">
        <f>VLOOKUP(Purchase[[#This Row],[Supplier ID]],Supplier[#All],4,0)</f>
        <v>Korba</v>
      </c>
      <c r="G828" s="138" t="str">
        <f>VLOOKUP(Purchase[[#This Row],[Supplier ID]],Supplier[#All],5,0)</f>
        <v>CG</v>
      </c>
      <c r="H828" s="138" t="str">
        <f>VLOOKUP(Purchase[[#This Row],[Supplier ID]],Supplier[#All],6,0)</f>
        <v>GST2154521T031</v>
      </c>
      <c r="I828" s="138" t="s">
        <v>234</v>
      </c>
      <c r="J828" s="139">
        <v>17</v>
      </c>
      <c r="K828" s="143">
        <f>VLOOKUP(Purchase[[#This Row],[Product ID]],Product[#All],6,0)</f>
        <v>63093</v>
      </c>
      <c r="L828" s="143">
        <f>Purchase[[#This Row],[Purchase Rate]]*Purchase[[#This Row],[Qty]]</f>
        <v>1072581</v>
      </c>
      <c r="M828" s="140">
        <v>0</v>
      </c>
      <c r="N828" s="143">
        <v>0</v>
      </c>
      <c r="O828" s="140">
        <v>0.18</v>
      </c>
      <c r="P828" s="145">
        <f>(Purchase[[#This Row],[Gross Amount]]-Purchase[[#This Row],[Disct %]])*Purchase[[#This Row],[GST %]]</f>
        <v>193064.58</v>
      </c>
      <c r="Q828" s="145">
        <f>Purchase[[#This Row],[Gross Amount]]-Purchase[[#This Row],[Disct Amnt]]+Purchase[[#This Row],[GST Amount]]</f>
        <v>1265645.58</v>
      </c>
      <c r="R828" s="138" t="s">
        <v>1019</v>
      </c>
      <c r="S828" s="41">
        <f>IF(Purchase[[#This Row],[Status]]="Cancelled",0,Purchase[[#This Row],[Qty]])</f>
        <v>17</v>
      </c>
      <c r="T828" s="146">
        <f>IF(Purchase[[#This Row],[Status]]="Cancelled",0,Purchase[[#This Row],[Total Amount]])</f>
        <v>1265645.58</v>
      </c>
      <c r="U828" s="146">
        <f>SUM(Purchase[Net Amount])</f>
        <v>814985438.68000126</v>
      </c>
    </row>
    <row r="829" spans="1:21" ht="19.5" thickBot="1" x14ac:dyDescent="0.3">
      <c r="A829" s="136" t="s">
        <v>1870</v>
      </c>
      <c r="B829" s="137">
        <v>45700</v>
      </c>
      <c r="C829" s="138" t="s">
        <v>576</v>
      </c>
      <c r="D829" s="138" t="str">
        <f>VLOOKUP(Purchase[[#This Row],[Supplier ID]],Supplier[#All],2,0)</f>
        <v>Maa Distributors</v>
      </c>
      <c r="E829" s="138">
        <f>VLOOKUP(Purchase[[#This Row],[Supplier ID]],Supplier[#All],3,0)</f>
        <v>9689542460</v>
      </c>
      <c r="F829" s="138" t="str">
        <f>VLOOKUP(Purchase[[#This Row],[Supplier ID]],Supplier[#All],4,0)</f>
        <v>Korba</v>
      </c>
      <c r="G829" s="138" t="str">
        <f>VLOOKUP(Purchase[[#This Row],[Supplier ID]],Supplier[#All],5,0)</f>
        <v>CG</v>
      </c>
      <c r="H829" s="138" t="str">
        <f>VLOOKUP(Purchase[[#This Row],[Supplier ID]],Supplier[#All],6,0)</f>
        <v>GST2154521T022</v>
      </c>
      <c r="I829" s="138" t="s">
        <v>290</v>
      </c>
      <c r="J829" s="139">
        <v>12</v>
      </c>
      <c r="K829" s="143">
        <f>VLOOKUP(Purchase[[#This Row],[Product ID]],Product[#All],6,0)</f>
        <v>6487</v>
      </c>
      <c r="L829" s="143">
        <f>Purchase[[#This Row],[Purchase Rate]]*Purchase[[#This Row],[Qty]]</f>
        <v>77844</v>
      </c>
      <c r="M829" s="140">
        <v>0</v>
      </c>
      <c r="N829" s="143">
        <v>0</v>
      </c>
      <c r="O829" s="140">
        <v>0.18</v>
      </c>
      <c r="P829" s="145">
        <f>(Purchase[[#This Row],[Gross Amount]]-Purchase[[#This Row],[Disct %]])*Purchase[[#This Row],[GST %]]</f>
        <v>14011.92</v>
      </c>
      <c r="Q829" s="145">
        <f>Purchase[[#This Row],[Gross Amount]]-Purchase[[#This Row],[Disct Amnt]]+Purchase[[#This Row],[GST Amount]]</f>
        <v>91855.92</v>
      </c>
      <c r="R829" s="138" t="s">
        <v>1019</v>
      </c>
      <c r="S829" s="41">
        <f>IF(Purchase[[#This Row],[Status]]="Cancelled",0,Purchase[[#This Row],[Qty]])</f>
        <v>12</v>
      </c>
      <c r="T829" s="146">
        <f>IF(Purchase[[#This Row],[Status]]="Cancelled",0,Purchase[[#This Row],[Total Amount]])</f>
        <v>91855.92</v>
      </c>
      <c r="U829" s="146">
        <f>SUM(Purchase[Net Amount])</f>
        <v>814985438.68000126</v>
      </c>
    </row>
    <row r="830" spans="1:21" ht="19.5" thickBot="1" x14ac:dyDescent="0.3">
      <c r="A830" s="136" t="s">
        <v>1871</v>
      </c>
      <c r="B830" s="137">
        <v>45700</v>
      </c>
      <c r="C830" s="138" t="s">
        <v>599</v>
      </c>
      <c r="D830" s="138" t="str">
        <f>VLOOKUP(Purchase[[#This Row],[Supplier ID]],Supplier[#All],2,0)</f>
        <v>National Distributors</v>
      </c>
      <c r="E830" s="138">
        <f>VLOOKUP(Purchase[[#This Row],[Supplier ID]],Supplier[#All],3,0)</f>
        <v>9689542482</v>
      </c>
      <c r="F830" s="138" t="str">
        <f>VLOOKUP(Purchase[[#This Row],[Supplier ID]],Supplier[#All],4,0)</f>
        <v>Kanpur</v>
      </c>
      <c r="G830" s="138" t="str">
        <f>VLOOKUP(Purchase[[#This Row],[Supplier ID]],Supplier[#All],5,0)</f>
        <v>UP</v>
      </c>
      <c r="H830" s="138" t="str">
        <f>VLOOKUP(Purchase[[#This Row],[Supplier ID]],Supplier[#All],6,0)</f>
        <v>GST2154521T044</v>
      </c>
      <c r="I830" s="138" t="s">
        <v>382</v>
      </c>
      <c r="J830" s="139">
        <v>32</v>
      </c>
      <c r="K830" s="143">
        <f>VLOOKUP(Purchase[[#This Row],[Product ID]],Product[#All],6,0)</f>
        <v>27552</v>
      </c>
      <c r="L830" s="143">
        <f>Purchase[[#This Row],[Purchase Rate]]*Purchase[[#This Row],[Qty]]</f>
        <v>881664</v>
      </c>
      <c r="M830" s="140">
        <v>0</v>
      </c>
      <c r="N830" s="143">
        <v>0</v>
      </c>
      <c r="O830" s="140">
        <v>0.18</v>
      </c>
      <c r="P830" s="145">
        <f>(Purchase[[#This Row],[Gross Amount]]-Purchase[[#This Row],[Disct %]])*Purchase[[#This Row],[GST %]]</f>
        <v>158699.51999999999</v>
      </c>
      <c r="Q830" s="145">
        <f>Purchase[[#This Row],[Gross Amount]]-Purchase[[#This Row],[Disct Amnt]]+Purchase[[#This Row],[GST Amount]]</f>
        <v>1040363.52</v>
      </c>
      <c r="R830" s="138" t="s">
        <v>1019</v>
      </c>
      <c r="S830" s="41">
        <f>IF(Purchase[[#This Row],[Status]]="Cancelled",0,Purchase[[#This Row],[Qty]])</f>
        <v>32</v>
      </c>
      <c r="T830" s="146">
        <f>IF(Purchase[[#This Row],[Status]]="Cancelled",0,Purchase[[#This Row],[Total Amount]])</f>
        <v>1040363.52</v>
      </c>
      <c r="U830" s="146">
        <f>SUM(Purchase[Net Amount])</f>
        <v>814985438.68000126</v>
      </c>
    </row>
    <row r="831" spans="1:21" ht="19.5" thickBot="1" x14ac:dyDescent="0.3">
      <c r="A831" s="136" t="s">
        <v>1872</v>
      </c>
      <c r="B831" s="137">
        <v>45700</v>
      </c>
      <c r="C831" s="138" t="s">
        <v>607</v>
      </c>
      <c r="D831" s="138" t="str">
        <f>VLOOKUP(Purchase[[#This Row],[Supplier ID]],Supplier[#All],2,0)</f>
        <v>Global Distributors</v>
      </c>
      <c r="E831" s="138">
        <f>VLOOKUP(Purchase[[#This Row],[Supplier ID]],Supplier[#All],3,0)</f>
        <v>9689542490</v>
      </c>
      <c r="F831" s="138" t="str">
        <f>VLOOKUP(Purchase[[#This Row],[Supplier ID]],Supplier[#All],4,0)</f>
        <v>Kanpur</v>
      </c>
      <c r="G831" s="138" t="str">
        <f>VLOOKUP(Purchase[[#This Row],[Supplier ID]],Supplier[#All],5,0)</f>
        <v>UP</v>
      </c>
      <c r="H831" s="138" t="str">
        <f>VLOOKUP(Purchase[[#This Row],[Supplier ID]],Supplier[#All],6,0)</f>
        <v>GST2154521T052</v>
      </c>
      <c r="I831" s="138" t="s">
        <v>232</v>
      </c>
      <c r="J831" s="139">
        <v>20</v>
      </c>
      <c r="K831" s="143">
        <f>VLOOKUP(Purchase[[#This Row],[Product ID]],Product[#All],6,0)</f>
        <v>30899</v>
      </c>
      <c r="L831" s="143">
        <f>Purchase[[#This Row],[Purchase Rate]]*Purchase[[#This Row],[Qty]]</f>
        <v>617980</v>
      </c>
      <c r="M831" s="140">
        <v>0</v>
      </c>
      <c r="N831" s="143">
        <v>0</v>
      </c>
      <c r="O831" s="140">
        <v>0.18</v>
      </c>
      <c r="P831" s="145">
        <f>(Purchase[[#This Row],[Gross Amount]]-Purchase[[#This Row],[Disct %]])*Purchase[[#This Row],[GST %]]</f>
        <v>111236.4</v>
      </c>
      <c r="Q831" s="145">
        <f>Purchase[[#This Row],[Gross Amount]]-Purchase[[#This Row],[Disct Amnt]]+Purchase[[#This Row],[GST Amount]]</f>
        <v>729216.4</v>
      </c>
      <c r="R831" s="138" t="s">
        <v>1019</v>
      </c>
      <c r="S831" s="41">
        <f>IF(Purchase[[#This Row],[Status]]="Cancelled",0,Purchase[[#This Row],[Qty]])</f>
        <v>20</v>
      </c>
      <c r="T831" s="146">
        <f>IF(Purchase[[#This Row],[Status]]="Cancelled",0,Purchase[[#This Row],[Total Amount]])</f>
        <v>729216.4</v>
      </c>
      <c r="U831" s="146">
        <f>SUM(Purchase[Net Amount])</f>
        <v>814985438.68000126</v>
      </c>
    </row>
    <row r="832" spans="1:21" ht="19.5" thickBot="1" x14ac:dyDescent="0.3">
      <c r="A832" s="136" t="s">
        <v>1873</v>
      </c>
      <c r="B832" s="137">
        <v>45700</v>
      </c>
      <c r="C832" s="138" t="s">
        <v>576</v>
      </c>
      <c r="D832" s="138" t="str">
        <f>VLOOKUP(Purchase[[#This Row],[Supplier ID]],Supplier[#All],2,0)</f>
        <v>Maa Distributors</v>
      </c>
      <c r="E832" s="138">
        <f>VLOOKUP(Purchase[[#This Row],[Supplier ID]],Supplier[#All],3,0)</f>
        <v>9689542460</v>
      </c>
      <c r="F832" s="138" t="str">
        <f>VLOOKUP(Purchase[[#This Row],[Supplier ID]],Supplier[#All],4,0)</f>
        <v>Korba</v>
      </c>
      <c r="G832" s="138" t="str">
        <f>VLOOKUP(Purchase[[#This Row],[Supplier ID]],Supplier[#All],5,0)</f>
        <v>CG</v>
      </c>
      <c r="H832" s="138" t="str">
        <f>VLOOKUP(Purchase[[#This Row],[Supplier ID]],Supplier[#All],6,0)</f>
        <v>GST2154521T022</v>
      </c>
      <c r="I832" s="138" t="s">
        <v>164</v>
      </c>
      <c r="J832" s="139">
        <v>40</v>
      </c>
      <c r="K832" s="143">
        <f>VLOOKUP(Purchase[[#This Row],[Product ID]],Product[#All],6,0)</f>
        <v>2596</v>
      </c>
      <c r="L832" s="143">
        <f>Purchase[[#This Row],[Purchase Rate]]*Purchase[[#This Row],[Qty]]</f>
        <v>103840</v>
      </c>
      <c r="M832" s="140">
        <v>0</v>
      </c>
      <c r="N832" s="143">
        <v>0</v>
      </c>
      <c r="O832" s="140">
        <v>0.18</v>
      </c>
      <c r="P832" s="145">
        <f>(Purchase[[#This Row],[Gross Amount]]-Purchase[[#This Row],[Disct %]])*Purchase[[#This Row],[GST %]]</f>
        <v>18691.2</v>
      </c>
      <c r="Q832" s="145">
        <f>Purchase[[#This Row],[Gross Amount]]-Purchase[[#This Row],[Disct Amnt]]+Purchase[[#This Row],[GST Amount]]</f>
        <v>122531.2</v>
      </c>
      <c r="R832" s="138" t="s">
        <v>1019</v>
      </c>
      <c r="S832" s="41">
        <f>IF(Purchase[[#This Row],[Status]]="Cancelled",0,Purchase[[#This Row],[Qty]])</f>
        <v>40</v>
      </c>
      <c r="T832" s="146">
        <f>IF(Purchase[[#This Row],[Status]]="Cancelled",0,Purchase[[#This Row],[Total Amount]])</f>
        <v>122531.2</v>
      </c>
      <c r="U832" s="146">
        <f>SUM(Purchase[Net Amount])</f>
        <v>814985438.68000126</v>
      </c>
    </row>
    <row r="833" spans="1:21" ht="19.5" thickBot="1" x14ac:dyDescent="0.3">
      <c r="A833" s="136" t="s">
        <v>1874</v>
      </c>
      <c r="B833" s="137">
        <v>45700</v>
      </c>
      <c r="C833" s="138" t="s">
        <v>611</v>
      </c>
      <c r="D833" s="138" t="str">
        <f>VLOOKUP(Purchase[[#This Row],[Supplier ID]],Supplier[#All],2,0)</f>
        <v>National Distributors</v>
      </c>
      <c r="E833" s="138">
        <f>VLOOKUP(Purchase[[#This Row],[Supplier ID]],Supplier[#All],3,0)</f>
        <v>9689542494</v>
      </c>
      <c r="F833" s="138" t="str">
        <f>VLOOKUP(Purchase[[#This Row],[Supplier ID]],Supplier[#All],4,0)</f>
        <v>Korba</v>
      </c>
      <c r="G833" s="138" t="str">
        <f>VLOOKUP(Purchase[[#This Row],[Supplier ID]],Supplier[#All],5,0)</f>
        <v>CG</v>
      </c>
      <c r="H833" s="138" t="str">
        <f>VLOOKUP(Purchase[[#This Row],[Supplier ID]],Supplier[#All],6,0)</f>
        <v>GST2154521T056</v>
      </c>
      <c r="I833" s="138" t="s">
        <v>46</v>
      </c>
      <c r="J833" s="139">
        <v>17</v>
      </c>
      <c r="K833" s="143">
        <f>VLOOKUP(Purchase[[#This Row],[Product ID]],Product[#All],6,0)</f>
        <v>30419</v>
      </c>
      <c r="L833" s="143">
        <f>Purchase[[#This Row],[Purchase Rate]]*Purchase[[#This Row],[Qty]]</f>
        <v>517123</v>
      </c>
      <c r="M833" s="140">
        <v>0</v>
      </c>
      <c r="N833" s="143">
        <v>0</v>
      </c>
      <c r="O833" s="140">
        <v>0.18</v>
      </c>
      <c r="P833" s="145">
        <f>(Purchase[[#This Row],[Gross Amount]]-Purchase[[#This Row],[Disct %]])*Purchase[[#This Row],[GST %]]</f>
        <v>93082.14</v>
      </c>
      <c r="Q833" s="145">
        <f>Purchase[[#This Row],[Gross Amount]]-Purchase[[#This Row],[Disct Amnt]]+Purchase[[#This Row],[GST Amount]]</f>
        <v>610205.14</v>
      </c>
      <c r="R833" s="138" t="s">
        <v>1019</v>
      </c>
      <c r="S833" s="41">
        <f>IF(Purchase[[#This Row],[Status]]="Cancelled",0,Purchase[[#This Row],[Qty]])</f>
        <v>17</v>
      </c>
      <c r="T833" s="146">
        <f>IF(Purchase[[#This Row],[Status]]="Cancelled",0,Purchase[[#This Row],[Total Amount]])</f>
        <v>610205.14</v>
      </c>
      <c r="U833" s="146">
        <f>SUM(Purchase[Net Amount])</f>
        <v>814985438.68000126</v>
      </c>
    </row>
    <row r="834" spans="1:21" ht="19.5" thickBot="1" x14ac:dyDescent="0.3">
      <c r="A834" s="136" t="s">
        <v>1875</v>
      </c>
      <c r="B834" s="137">
        <v>45700</v>
      </c>
      <c r="C834" s="138" t="s">
        <v>573</v>
      </c>
      <c r="D834" s="138" t="str">
        <f>VLOOKUP(Purchase[[#This Row],[Supplier ID]],Supplier[#All],2,0)</f>
        <v>Shree Traders</v>
      </c>
      <c r="E834" s="138">
        <f>VLOOKUP(Purchase[[#This Row],[Supplier ID]],Supplier[#All],3,0)</f>
        <v>9689542458</v>
      </c>
      <c r="F834" s="138" t="str">
        <f>VLOOKUP(Purchase[[#This Row],[Supplier ID]],Supplier[#All],4,0)</f>
        <v>Korba</v>
      </c>
      <c r="G834" s="138" t="str">
        <f>VLOOKUP(Purchase[[#This Row],[Supplier ID]],Supplier[#All],5,0)</f>
        <v>CG</v>
      </c>
      <c r="H834" s="138" t="str">
        <f>VLOOKUP(Purchase[[#This Row],[Supplier ID]],Supplier[#All],6,0)</f>
        <v>GST2154521T020</v>
      </c>
      <c r="I834" s="138" t="s">
        <v>378</v>
      </c>
      <c r="J834" s="139">
        <v>22</v>
      </c>
      <c r="K834" s="143">
        <f>VLOOKUP(Purchase[[#This Row],[Product ID]],Product[#All],6,0)</f>
        <v>3476</v>
      </c>
      <c r="L834" s="143">
        <f>Purchase[[#This Row],[Purchase Rate]]*Purchase[[#This Row],[Qty]]</f>
        <v>76472</v>
      </c>
      <c r="M834" s="140">
        <v>0</v>
      </c>
      <c r="N834" s="143">
        <v>0</v>
      </c>
      <c r="O834" s="140">
        <v>0.18</v>
      </c>
      <c r="P834" s="145">
        <f>(Purchase[[#This Row],[Gross Amount]]-Purchase[[#This Row],[Disct %]])*Purchase[[#This Row],[GST %]]</f>
        <v>13764.96</v>
      </c>
      <c r="Q834" s="145">
        <f>Purchase[[#This Row],[Gross Amount]]-Purchase[[#This Row],[Disct Amnt]]+Purchase[[#This Row],[GST Amount]]</f>
        <v>90236.959999999992</v>
      </c>
      <c r="R834" s="138" t="s">
        <v>1019</v>
      </c>
      <c r="S834" s="41">
        <f>IF(Purchase[[#This Row],[Status]]="Cancelled",0,Purchase[[#This Row],[Qty]])</f>
        <v>22</v>
      </c>
      <c r="T834" s="146">
        <f>IF(Purchase[[#This Row],[Status]]="Cancelled",0,Purchase[[#This Row],[Total Amount]])</f>
        <v>90236.959999999992</v>
      </c>
      <c r="U834" s="146">
        <f>SUM(Purchase[Net Amount])</f>
        <v>814985438.68000126</v>
      </c>
    </row>
    <row r="835" spans="1:21" ht="19.5" thickBot="1" x14ac:dyDescent="0.3">
      <c r="A835" s="136" t="s">
        <v>1876</v>
      </c>
      <c r="B835" s="137">
        <v>45700</v>
      </c>
      <c r="C835" s="138" t="s">
        <v>584</v>
      </c>
      <c r="D835" s="138" t="str">
        <f>VLOOKUP(Purchase[[#This Row],[Supplier ID]],Supplier[#All],2,0)</f>
        <v>Prime Computers</v>
      </c>
      <c r="E835" s="138">
        <f>VLOOKUP(Purchase[[#This Row],[Supplier ID]],Supplier[#All],3,0)</f>
        <v>9689542468</v>
      </c>
      <c r="F835" s="138" t="str">
        <f>VLOOKUP(Purchase[[#This Row],[Supplier ID]],Supplier[#All],4,0)</f>
        <v>Kanpur</v>
      </c>
      <c r="G835" s="138" t="str">
        <f>VLOOKUP(Purchase[[#This Row],[Supplier ID]],Supplier[#All],5,0)</f>
        <v>UP</v>
      </c>
      <c r="H835" s="138" t="str">
        <f>VLOOKUP(Purchase[[#This Row],[Supplier ID]],Supplier[#All],6,0)</f>
        <v>GST2154521T030</v>
      </c>
      <c r="I835" s="138" t="s">
        <v>447</v>
      </c>
      <c r="J835" s="139">
        <v>13</v>
      </c>
      <c r="K835" s="143">
        <f>VLOOKUP(Purchase[[#This Row],[Product ID]],Product[#All],6,0)</f>
        <v>2460</v>
      </c>
      <c r="L835" s="143">
        <f>Purchase[[#This Row],[Purchase Rate]]*Purchase[[#This Row],[Qty]]</f>
        <v>31980</v>
      </c>
      <c r="M835" s="140">
        <v>0</v>
      </c>
      <c r="N835" s="143">
        <v>0</v>
      </c>
      <c r="O835" s="140">
        <v>0.18</v>
      </c>
      <c r="P835" s="145">
        <f>(Purchase[[#This Row],[Gross Amount]]-Purchase[[#This Row],[Disct %]])*Purchase[[#This Row],[GST %]]</f>
        <v>5756.4</v>
      </c>
      <c r="Q835" s="145">
        <f>Purchase[[#This Row],[Gross Amount]]-Purchase[[#This Row],[Disct Amnt]]+Purchase[[#This Row],[GST Amount]]</f>
        <v>37736.400000000001</v>
      </c>
      <c r="R835" s="138" t="s">
        <v>1019</v>
      </c>
      <c r="S835" s="41">
        <f>IF(Purchase[[#This Row],[Status]]="Cancelled",0,Purchase[[#This Row],[Qty]])</f>
        <v>13</v>
      </c>
      <c r="T835" s="146">
        <f>IF(Purchase[[#This Row],[Status]]="Cancelled",0,Purchase[[#This Row],[Total Amount]])</f>
        <v>37736.400000000001</v>
      </c>
      <c r="U835" s="146">
        <f>SUM(Purchase[Net Amount])</f>
        <v>814985438.68000126</v>
      </c>
    </row>
    <row r="836" spans="1:21" ht="19.5" thickBot="1" x14ac:dyDescent="0.3">
      <c r="A836" s="136" t="s">
        <v>1877</v>
      </c>
      <c r="B836" s="137">
        <v>45700</v>
      </c>
      <c r="C836" s="138" t="s">
        <v>589</v>
      </c>
      <c r="D836" s="138" t="str">
        <f>VLOOKUP(Purchase[[#This Row],[Supplier ID]],Supplier[#All],2,0)</f>
        <v>Maa Computers</v>
      </c>
      <c r="E836" s="138">
        <f>VLOOKUP(Purchase[[#This Row],[Supplier ID]],Supplier[#All],3,0)</f>
        <v>9689542473</v>
      </c>
      <c r="F836" s="138" t="str">
        <f>VLOOKUP(Purchase[[#This Row],[Supplier ID]],Supplier[#All],4,0)</f>
        <v>Kanpur</v>
      </c>
      <c r="G836" s="138" t="str">
        <f>VLOOKUP(Purchase[[#This Row],[Supplier ID]],Supplier[#All],5,0)</f>
        <v>UP</v>
      </c>
      <c r="H836" s="138" t="str">
        <f>VLOOKUP(Purchase[[#This Row],[Supplier ID]],Supplier[#All],6,0)</f>
        <v>GST2154521T035</v>
      </c>
      <c r="I836" s="138" t="s">
        <v>35</v>
      </c>
      <c r="J836" s="139">
        <v>16</v>
      </c>
      <c r="K836" s="143">
        <f>VLOOKUP(Purchase[[#This Row],[Product ID]],Product[#All],6,0)</f>
        <v>2905</v>
      </c>
      <c r="L836" s="143">
        <f>Purchase[[#This Row],[Purchase Rate]]*Purchase[[#This Row],[Qty]]</f>
        <v>46480</v>
      </c>
      <c r="M836" s="140">
        <v>0</v>
      </c>
      <c r="N836" s="143">
        <v>0</v>
      </c>
      <c r="O836" s="140">
        <v>0.18</v>
      </c>
      <c r="P836" s="145">
        <f>(Purchase[[#This Row],[Gross Amount]]-Purchase[[#This Row],[Disct %]])*Purchase[[#This Row],[GST %]]</f>
        <v>8366.4</v>
      </c>
      <c r="Q836" s="145">
        <f>Purchase[[#This Row],[Gross Amount]]-Purchase[[#This Row],[Disct Amnt]]+Purchase[[#This Row],[GST Amount]]</f>
        <v>54846.400000000001</v>
      </c>
      <c r="R836" s="138" t="s">
        <v>1019</v>
      </c>
      <c r="S836" s="41">
        <f>IF(Purchase[[#This Row],[Status]]="Cancelled",0,Purchase[[#This Row],[Qty]])</f>
        <v>16</v>
      </c>
      <c r="T836" s="146">
        <f>IF(Purchase[[#This Row],[Status]]="Cancelled",0,Purchase[[#This Row],[Total Amount]])</f>
        <v>54846.400000000001</v>
      </c>
      <c r="U836" s="146">
        <f>SUM(Purchase[Net Amount])</f>
        <v>814985438.68000126</v>
      </c>
    </row>
    <row r="837" spans="1:21" ht="19.5" thickBot="1" x14ac:dyDescent="0.3">
      <c r="A837" s="136" t="s">
        <v>1878</v>
      </c>
      <c r="B837" s="137">
        <v>45700</v>
      </c>
      <c r="C837" s="138" t="s">
        <v>568</v>
      </c>
      <c r="D837" s="138" t="str">
        <f>VLOOKUP(Purchase[[#This Row],[Supplier ID]],Supplier[#All],2,0)</f>
        <v>Maa Computers</v>
      </c>
      <c r="E837" s="138">
        <f>VLOOKUP(Purchase[[#This Row],[Supplier ID]],Supplier[#All],3,0)</f>
        <v>9689542454</v>
      </c>
      <c r="F837" s="138" t="str">
        <f>VLOOKUP(Purchase[[#This Row],[Supplier ID]],Supplier[#All],4,0)</f>
        <v>Korba</v>
      </c>
      <c r="G837" s="138" t="str">
        <f>VLOOKUP(Purchase[[#This Row],[Supplier ID]],Supplier[#All],5,0)</f>
        <v>CG</v>
      </c>
      <c r="H837" s="138" t="str">
        <f>VLOOKUP(Purchase[[#This Row],[Supplier ID]],Supplier[#All],6,0)</f>
        <v>GST2154521T016</v>
      </c>
      <c r="I837" s="138" t="s">
        <v>516</v>
      </c>
      <c r="J837" s="139">
        <v>38</v>
      </c>
      <c r="K837" s="143">
        <f>VLOOKUP(Purchase[[#This Row],[Product ID]],Product[#All],6,0)</f>
        <v>2042</v>
      </c>
      <c r="L837" s="143">
        <f>Purchase[[#This Row],[Purchase Rate]]*Purchase[[#This Row],[Qty]]</f>
        <v>77596</v>
      </c>
      <c r="M837" s="140">
        <v>0</v>
      </c>
      <c r="N837" s="143">
        <v>0</v>
      </c>
      <c r="O837" s="140">
        <v>0.18</v>
      </c>
      <c r="P837" s="145">
        <f>(Purchase[[#This Row],[Gross Amount]]-Purchase[[#This Row],[Disct %]])*Purchase[[#This Row],[GST %]]</f>
        <v>13967.279999999999</v>
      </c>
      <c r="Q837" s="145">
        <f>Purchase[[#This Row],[Gross Amount]]-Purchase[[#This Row],[Disct Amnt]]+Purchase[[#This Row],[GST Amount]]</f>
        <v>91563.28</v>
      </c>
      <c r="R837" s="138" t="s">
        <v>1019</v>
      </c>
      <c r="S837" s="41">
        <f>IF(Purchase[[#This Row],[Status]]="Cancelled",0,Purchase[[#This Row],[Qty]])</f>
        <v>38</v>
      </c>
      <c r="T837" s="146">
        <f>IF(Purchase[[#This Row],[Status]]="Cancelled",0,Purchase[[#This Row],[Total Amount]])</f>
        <v>91563.28</v>
      </c>
      <c r="U837" s="146">
        <f>SUM(Purchase[Net Amount])</f>
        <v>814985438.68000126</v>
      </c>
    </row>
    <row r="838" spans="1:21" ht="19.5" thickBot="1" x14ac:dyDescent="0.3">
      <c r="A838" s="136" t="s">
        <v>1879</v>
      </c>
      <c r="B838" s="137">
        <v>45700</v>
      </c>
      <c r="C838" s="138" t="s">
        <v>573</v>
      </c>
      <c r="D838" s="138" t="str">
        <f>VLOOKUP(Purchase[[#This Row],[Supplier ID]],Supplier[#All],2,0)</f>
        <v>Shree Traders</v>
      </c>
      <c r="E838" s="138">
        <f>VLOOKUP(Purchase[[#This Row],[Supplier ID]],Supplier[#All],3,0)</f>
        <v>9689542458</v>
      </c>
      <c r="F838" s="138" t="str">
        <f>VLOOKUP(Purchase[[#This Row],[Supplier ID]],Supplier[#All],4,0)</f>
        <v>Korba</v>
      </c>
      <c r="G838" s="138" t="str">
        <f>VLOOKUP(Purchase[[#This Row],[Supplier ID]],Supplier[#All],5,0)</f>
        <v>CG</v>
      </c>
      <c r="H838" s="138" t="str">
        <f>VLOOKUP(Purchase[[#This Row],[Supplier ID]],Supplier[#All],6,0)</f>
        <v>GST2154521T020</v>
      </c>
      <c r="I838" s="138" t="s">
        <v>188</v>
      </c>
      <c r="J838" s="139">
        <v>28</v>
      </c>
      <c r="K838" s="143">
        <f>VLOOKUP(Purchase[[#This Row],[Product ID]],Product[#All],6,0)</f>
        <v>11278</v>
      </c>
      <c r="L838" s="143">
        <f>Purchase[[#This Row],[Purchase Rate]]*Purchase[[#This Row],[Qty]]</f>
        <v>315784</v>
      </c>
      <c r="M838" s="140">
        <v>0</v>
      </c>
      <c r="N838" s="143">
        <v>0</v>
      </c>
      <c r="O838" s="140">
        <v>0.18</v>
      </c>
      <c r="P838" s="145">
        <f>(Purchase[[#This Row],[Gross Amount]]-Purchase[[#This Row],[Disct %]])*Purchase[[#This Row],[GST %]]</f>
        <v>56841.119999999995</v>
      </c>
      <c r="Q838" s="145">
        <f>Purchase[[#This Row],[Gross Amount]]-Purchase[[#This Row],[Disct Amnt]]+Purchase[[#This Row],[GST Amount]]</f>
        <v>372625.12</v>
      </c>
      <c r="R838" s="138" t="s">
        <v>1019</v>
      </c>
      <c r="S838" s="41">
        <f>IF(Purchase[[#This Row],[Status]]="Cancelled",0,Purchase[[#This Row],[Qty]])</f>
        <v>28</v>
      </c>
      <c r="T838" s="146">
        <f>IF(Purchase[[#This Row],[Status]]="Cancelled",0,Purchase[[#This Row],[Total Amount]])</f>
        <v>372625.12</v>
      </c>
      <c r="U838" s="146">
        <f>SUM(Purchase[Net Amount])</f>
        <v>814985438.68000126</v>
      </c>
    </row>
    <row r="839" spans="1:21" ht="19.5" thickBot="1" x14ac:dyDescent="0.3">
      <c r="A839" s="136" t="s">
        <v>1880</v>
      </c>
      <c r="B839" s="137">
        <v>45701</v>
      </c>
      <c r="C839" s="138" t="s">
        <v>612</v>
      </c>
      <c r="D839" s="138" t="str">
        <f>VLOOKUP(Purchase[[#This Row],[Supplier ID]],Supplier[#All],2,0)</f>
        <v>National Computers</v>
      </c>
      <c r="E839" s="138">
        <f>VLOOKUP(Purchase[[#This Row],[Supplier ID]],Supplier[#All],3,0)</f>
        <v>9689542495</v>
      </c>
      <c r="F839" s="138" t="str">
        <f>VLOOKUP(Purchase[[#This Row],[Supplier ID]],Supplier[#All],4,0)</f>
        <v>Indore</v>
      </c>
      <c r="G839" s="138" t="str">
        <f>VLOOKUP(Purchase[[#This Row],[Supplier ID]],Supplier[#All],5,0)</f>
        <v>MP</v>
      </c>
      <c r="H839" s="138" t="str">
        <f>VLOOKUP(Purchase[[#This Row],[Supplier ID]],Supplier[#All],6,0)</f>
        <v>GST2154521T057</v>
      </c>
      <c r="I839" s="138" t="s">
        <v>553</v>
      </c>
      <c r="J839" s="139">
        <v>10</v>
      </c>
      <c r="K839" s="143">
        <f>VLOOKUP(Purchase[[#This Row],[Product ID]],Product[#All],6,0)</f>
        <v>3228</v>
      </c>
      <c r="L839" s="143">
        <f>Purchase[[#This Row],[Purchase Rate]]*Purchase[[#This Row],[Qty]]</f>
        <v>32280</v>
      </c>
      <c r="M839" s="140">
        <v>0</v>
      </c>
      <c r="N839" s="143">
        <v>0</v>
      </c>
      <c r="O839" s="140">
        <v>0.18</v>
      </c>
      <c r="P839" s="145">
        <f>(Purchase[[#This Row],[Gross Amount]]-Purchase[[#This Row],[Disct %]])*Purchase[[#This Row],[GST %]]</f>
        <v>5810.4</v>
      </c>
      <c r="Q839" s="145">
        <f>Purchase[[#This Row],[Gross Amount]]-Purchase[[#This Row],[Disct Amnt]]+Purchase[[#This Row],[GST Amount]]</f>
        <v>38090.400000000001</v>
      </c>
      <c r="R839" s="138" t="s">
        <v>1019</v>
      </c>
      <c r="S839" s="41">
        <f>IF(Purchase[[#This Row],[Status]]="Cancelled",0,Purchase[[#This Row],[Qty]])</f>
        <v>10</v>
      </c>
      <c r="T839" s="146">
        <f>IF(Purchase[[#This Row],[Status]]="Cancelled",0,Purchase[[#This Row],[Total Amount]])</f>
        <v>38090.400000000001</v>
      </c>
      <c r="U839" s="146">
        <f>SUM(Purchase[Net Amount])</f>
        <v>814985438.68000126</v>
      </c>
    </row>
    <row r="840" spans="1:21" ht="19.5" thickBot="1" x14ac:dyDescent="0.3">
      <c r="A840" s="136" t="s">
        <v>1881</v>
      </c>
      <c r="B840" s="137">
        <v>45701</v>
      </c>
      <c r="C840" s="138" t="s">
        <v>608</v>
      </c>
      <c r="D840" s="138" t="str">
        <f>VLOOKUP(Purchase[[#This Row],[Supplier ID]],Supplier[#All],2,0)</f>
        <v>Global Suppliers</v>
      </c>
      <c r="E840" s="138">
        <f>VLOOKUP(Purchase[[#This Row],[Supplier ID]],Supplier[#All],3,0)</f>
        <v>9689542499</v>
      </c>
      <c r="F840" s="138" t="str">
        <f>VLOOKUP(Purchase[[#This Row],[Supplier ID]],Supplier[#All],4,0)</f>
        <v>Korba</v>
      </c>
      <c r="G840" s="138" t="str">
        <f>VLOOKUP(Purchase[[#This Row],[Supplier ID]],Supplier[#All],5,0)</f>
        <v>CG</v>
      </c>
      <c r="H840" s="138" t="str">
        <f>VLOOKUP(Purchase[[#This Row],[Supplier ID]],Supplier[#All],6,0)</f>
        <v>GST2154521T053</v>
      </c>
      <c r="I840" s="138" t="s">
        <v>493</v>
      </c>
      <c r="J840" s="139">
        <v>23</v>
      </c>
      <c r="K840" s="143">
        <f>VLOOKUP(Purchase[[#This Row],[Product ID]],Product[#All],6,0)</f>
        <v>2415</v>
      </c>
      <c r="L840" s="143">
        <f>Purchase[[#This Row],[Purchase Rate]]*Purchase[[#This Row],[Qty]]</f>
        <v>55545</v>
      </c>
      <c r="M840" s="140">
        <v>0</v>
      </c>
      <c r="N840" s="143">
        <v>0</v>
      </c>
      <c r="O840" s="140">
        <v>0.18</v>
      </c>
      <c r="P840" s="145">
        <f>(Purchase[[#This Row],[Gross Amount]]-Purchase[[#This Row],[Disct %]])*Purchase[[#This Row],[GST %]]</f>
        <v>9998.1</v>
      </c>
      <c r="Q840" s="145">
        <f>Purchase[[#This Row],[Gross Amount]]-Purchase[[#This Row],[Disct Amnt]]+Purchase[[#This Row],[GST Amount]]</f>
        <v>65543.100000000006</v>
      </c>
      <c r="R840" s="138" t="s">
        <v>1019</v>
      </c>
      <c r="S840" s="41">
        <f>IF(Purchase[[#This Row],[Status]]="Cancelled",0,Purchase[[#This Row],[Qty]])</f>
        <v>23</v>
      </c>
      <c r="T840" s="146">
        <f>IF(Purchase[[#This Row],[Status]]="Cancelled",0,Purchase[[#This Row],[Total Amount]])</f>
        <v>65543.100000000006</v>
      </c>
      <c r="U840" s="146">
        <f>SUM(Purchase[Net Amount])</f>
        <v>814985438.68000126</v>
      </c>
    </row>
    <row r="841" spans="1:21" ht="19.5" thickBot="1" x14ac:dyDescent="0.3">
      <c r="A841" s="136" t="s">
        <v>1882</v>
      </c>
      <c r="B841" s="137">
        <v>45701</v>
      </c>
      <c r="C841" s="138" t="s">
        <v>612</v>
      </c>
      <c r="D841" s="138" t="str">
        <f>VLOOKUP(Purchase[[#This Row],[Supplier ID]],Supplier[#All],2,0)</f>
        <v>National Computers</v>
      </c>
      <c r="E841" s="138">
        <f>VLOOKUP(Purchase[[#This Row],[Supplier ID]],Supplier[#All],3,0)</f>
        <v>9689542495</v>
      </c>
      <c r="F841" s="138" t="str">
        <f>VLOOKUP(Purchase[[#This Row],[Supplier ID]],Supplier[#All],4,0)</f>
        <v>Indore</v>
      </c>
      <c r="G841" s="138" t="str">
        <f>VLOOKUP(Purchase[[#This Row],[Supplier ID]],Supplier[#All],5,0)</f>
        <v>MP</v>
      </c>
      <c r="H841" s="138" t="str">
        <f>VLOOKUP(Purchase[[#This Row],[Supplier ID]],Supplier[#All],6,0)</f>
        <v>GST2154521T057</v>
      </c>
      <c r="I841" s="138" t="s">
        <v>293</v>
      </c>
      <c r="J841" s="139">
        <v>7</v>
      </c>
      <c r="K841" s="143">
        <f>VLOOKUP(Purchase[[#This Row],[Product ID]],Product[#All],6,0)</f>
        <v>7511</v>
      </c>
      <c r="L841" s="143">
        <f>Purchase[[#This Row],[Purchase Rate]]*Purchase[[#This Row],[Qty]]</f>
        <v>52577</v>
      </c>
      <c r="M841" s="140">
        <v>0</v>
      </c>
      <c r="N841" s="143">
        <v>0</v>
      </c>
      <c r="O841" s="140">
        <v>0.18</v>
      </c>
      <c r="P841" s="145">
        <f>(Purchase[[#This Row],[Gross Amount]]-Purchase[[#This Row],[Disct %]])*Purchase[[#This Row],[GST %]]</f>
        <v>9463.8599999999988</v>
      </c>
      <c r="Q841" s="145">
        <f>Purchase[[#This Row],[Gross Amount]]-Purchase[[#This Row],[Disct Amnt]]+Purchase[[#This Row],[GST Amount]]</f>
        <v>62040.86</v>
      </c>
      <c r="R841" s="138" t="s">
        <v>1019</v>
      </c>
      <c r="S841" s="41">
        <f>IF(Purchase[[#This Row],[Status]]="Cancelled",0,Purchase[[#This Row],[Qty]])</f>
        <v>7</v>
      </c>
      <c r="T841" s="146">
        <f>IF(Purchase[[#This Row],[Status]]="Cancelled",0,Purchase[[#This Row],[Total Amount]])</f>
        <v>62040.86</v>
      </c>
      <c r="U841" s="146">
        <f>SUM(Purchase[Net Amount])</f>
        <v>814985438.68000126</v>
      </c>
    </row>
    <row r="842" spans="1:21" ht="19.5" thickBot="1" x14ac:dyDescent="0.3">
      <c r="A842" s="136" t="s">
        <v>1883</v>
      </c>
      <c r="B842" s="137">
        <v>45701</v>
      </c>
      <c r="C842" s="138" t="s">
        <v>587</v>
      </c>
      <c r="D842" s="138" t="str">
        <f>VLOOKUP(Purchase[[#This Row],[Supplier ID]],Supplier[#All],2,0)</f>
        <v>maa distributors</v>
      </c>
      <c r="E842" s="138">
        <f>VLOOKUP(Purchase[[#This Row],[Supplier ID]],Supplier[#All],3,0)</f>
        <v>9689542479</v>
      </c>
      <c r="F842" s="138" t="str">
        <f>VLOOKUP(Purchase[[#This Row],[Supplier ID]],Supplier[#All],4,0)</f>
        <v>Indore</v>
      </c>
      <c r="G842" s="138" t="str">
        <f>VLOOKUP(Purchase[[#This Row],[Supplier ID]],Supplier[#All],5,0)</f>
        <v>MP</v>
      </c>
      <c r="H842" s="138" t="str">
        <f>VLOOKUP(Purchase[[#This Row],[Supplier ID]],Supplier[#All],6,0)</f>
        <v>GST2154521T033</v>
      </c>
      <c r="I842" s="138" t="s">
        <v>420</v>
      </c>
      <c r="J842" s="139">
        <v>20</v>
      </c>
      <c r="K842" s="143">
        <f>VLOOKUP(Purchase[[#This Row],[Product ID]],Product[#All],6,0)</f>
        <v>3054</v>
      </c>
      <c r="L842" s="143">
        <f>Purchase[[#This Row],[Purchase Rate]]*Purchase[[#This Row],[Qty]]</f>
        <v>61080</v>
      </c>
      <c r="M842" s="140">
        <v>0</v>
      </c>
      <c r="N842" s="143">
        <v>0</v>
      </c>
      <c r="O842" s="140">
        <v>0.18</v>
      </c>
      <c r="P842" s="145">
        <f>(Purchase[[#This Row],[Gross Amount]]-Purchase[[#This Row],[Disct %]])*Purchase[[#This Row],[GST %]]</f>
        <v>10994.4</v>
      </c>
      <c r="Q842" s="145">
        <f>Purchase[[#This Row],[Gross Amount]]-Purchase[[#This Row],[Disct Amnt]]+Purchase[[#This Row],[GST Amount]]</f>
        <v>72074.399999999994</v>
      </c>
      <c r="R842" s="138" t="s">
        <v>1019</v>
      </c>
      <c r="S842" s="41">
        <f>IF(Purchase[[#This Row],[Status]]="Cancelled",0,Purchase[[#This Row],[Qty]])</f>
        <v>20</v>
      </c>
      <c r="T842" s="146">
        <f>IF(Purchase[[#This Row],[Status]]="Cancelled",0,Purchase[[#This Row],[Total Amount]])</f>
        <v>72074.399999999994</v>
      </c>
      <c r="U842" s="146">
        <f>SUM(Purchase[Net Amount])</f>
        <v>814985438.68000126</v>
      </c>
    </row>
    <row r="843" spans="1:21" ht="19.5" thickBot="1" x14ac:dyDescent="0.3">
      <c r="A843" s="136" t="s">
        <v>1884</v>
      </c>
      <c r="B843" s="137">
        <v>45701</v>
      </c>
      <c r="C843" s="138" t="s">
        <v>600</v>
      </c>
      <c r="D843" s="138" t="str">
        <f>VLOOKUP(Purchase[[#This Row],[Supplier ID]],Supplier[#All],2,0)</f>
        <v>Prime Suppliers</v>
      </c>
      <c r="E843" s="138">
        <f>VLOOKUP(Purchase[[#This Row],[Supplier ID]],Supplier[#All],3,0)</f>
        <v>9689542483</v>
      </c>
      <c r="F843" s="138" t="str">
        <f>VLOOKUP(Purchase[[#This Row],[Supplier ID]],Supplier[#All],4,0)</f>
        <v>Korba</v>
      </c>
      <c r="G843" s="138" t="str">
        <f>VLOOKUP(Purchase[[#This Row],[Supplier ID]],Supplier[#All],5,0)</f>
        <v>CG</v>
      </c>
      <c r="H843" s="138" t="str">
        <f>VLOOKUP(Purchase[[#This Row],[Supplier ID]],Supplier[#All],6,0)</f>
        <v>GST2154521T045</v>
      </c>
      <c r="I843" s="138" t="s">
        <v>510</v>
      </c>
      <c r="J843" s="139">
        <v>38</v>
      </c>
      <c r="K843" s="143">
        <f>VLOOKUP(Purchase[[#This Row],[Product ID]],Product[#All],6,0)</f>
        <v>4271</v>
      </c>
      <c r="L843" s="143">
        <f>Purchase[[#This Row],[Purchase Rate]]*Purchase[[#This Row],[Qty]]</f>
        <v>162298</v>
      </c>
      <c r="M843" s="140">
        <v>0</v>
      </c>
      <c r="N843" s="143">
        <v>0</v>
      </c>
      <c r="O843" s="140">
        <v>0.18</v>
      </c>
      <c r="P843" s="145">
        <f>(Purchase[[#This Row],[Gross Amount]]-Purchase[[#This Row],[Disct %]])*Purchase[[#This Row],[GST %]]</f>
        <v>29213.64</v>
      </c>
      <c r="Q843" s="145">
        <f>Purchase[[#This Row],[Gross Amount]]-Purchase[[#This Row],[Disct Amnt]]+Purchase[[#This Row],[GST Amount]]</f>
        <v>191511.64</v>
      </c>
      <c r="R843" s="138" t="s">
        <v>1019</v>
      </c>
      <c r="S843" s="41">
        <f>IF(Purchase[[#This Row],[Status]]="Cancelled",0,Purchase[[#This Row],[Qty]])</f>
        <v>38</v>
      </c>
      <c r="T843" s="146">
        <f>IF(Purchase[[#This Row],[Status]]="Cancelled",0,Purchase[[#This Row],[Total Amount]])</f>
        <v>191511.64</v>
      </c>
      <c r="U843" s="146">
        <f>SUM(Purchase[Net Amount])</f>
        <v>814985438.68000126</v>
      </c>
    </row>
    <row r="844" spans="1:21" ht="19.5" thickBot="1" x14ac:dyDescent="0.3">
      <c r="A844" s="136" t="s">
        <v>1885</v>
      </c>
      <c r="B844" s="137">
        <v>45701</v>
      </c>
      <c r="C844" s="138" t="s">
        <v>587</v>
      </c>
      <c r="D844" s="138" t="str">
        <f>VLOOKUP(Purchase[[#This Row],[Supplier ID]],Supplier[#All],2,0)</f>
        <v>maa distributors</v>
      </c>
      <c r="E844" s="138">
        <f>VLOOKUP(Purchase[[#This Row],[Supplier ID]],Supplier[#All],3,0)</f>
        <v>9689542479</v>
      </c>
      <c r="F844" s="138" t="str">
        <f>VLOOKUP(Purchase[[#This Row],[Supplier ID]],Supplier[#All],4,0)</f>
        <v>Indore</v>
      </c>
      <c r="G844" s="138" t="str">
        <f>VLOOKUP(Purchase[[#This Row],[Supplier ID]],Supplier[#All],5,0)</f>
        <v>MP</v>
      </c>
      <c r="H844" s="138" t="str">
        <f>VLOOKUP(Purchase[[#This Row],[Supplier ID]],Supplier[#All],6,0)</f>
        <v>GST2154521T033</v>
      </c>
      <c r="I844" s="138" t="s">
        <v>154</v>
      </c>
      <c r="J844" s="139">
        <v>7</v>
      </c>
      <c r="K844" s="143">
        <f>VLOOKUP(Purchase[[#This Row],[Product ID]],Product[#All],6,0)</f>
        <v>39768</v>
      </c>
      <c r="L844" s="143">
        <f>Purchase[[#This Row],[Purchase Rate]]*Purchase[[#This Row],[Qty]]</f>
        <v>278376</v>
      </c>
      <c r="M844" s="140">
        <v>0</v>
      </c>
      <c r="N844" s="143">
        <v>0</v>
      </c>
      <c r="O844" s="140">
        <v>0.18</v>
      </c>
      <c r="P844" s="145">
        <f>(Purchase[[#This Row],[Gross Amount]]-Purchase[[#This Row],[Disct %]])*Purchase[[#This Row],[GST %]]</f>
        <v>50107.68</v>
      </c>
      <c r="Q844" s="145">
        <f>Purchase[[#This Row],[Gross Amount]]-Purchase[[#This Row],[Disct Amnt]]+Purchase[[#This Row],[GST Amount]]</f>
        <v>328483.68</v>
      </c>
      <c r="R844" s="138" t="s">
        <v>1019</v>
      </c>
      <c r="S844" s="41">
        <f>IF(Purchase[[#This Row],[Status]]="Cancelled",0,Purchase[[#This Row],[Qty]])</f>
        <v>7</v>
      </c>
      <c r="T844" s="146">
        <f>IF(Purchase[[#This Row],[Status]]="Cancelled",0,Purchase[[#This Row],[Total Amount]])</f>
        <v>328483.68</v>
      </c>
      <c r="U844" s="146">
        <f>SUM(Purchase[Net Amount])</f>
        <v>814985438.68000126</v>
      </c>
    </row>
    <row r="845" spans="1:21" ht="19.5" thickBot="1" x14ac:dyDescent="0.3">
      <c r="A845" s="136" t="s">
        <v>1886</v>
      </c>
      <c r="B845" s="137">
        <v>45701</v>
      </c>
      <c r="C845" s="138" t="s">
        <v>591</v>
      </c>
      <c r="D845" s="138" t="str">
        <f>VLOOKUP(Purchase[[#This Row],[Supplier ID]],Supplier[#All],2,0)</f>
        <v>Shree Computers</v>
      </c>
      <c r="E845" s="138">
        <f>VLOOKUP(Purchase[[#This Row],[Supplier ID]],Supplier[#All],3,0)</f>
        <v>9689542475</v>
      </c>
      <c r="F845" s="138" t="str">
        <f>VLOOKUP(Purchase[[#This Row],[Supplier ID]],Supplier[#All],4,0)</f>
        <v>Indore</v>
      </c>
      <c r="G845" s="138" t="str">
        <f>VLOOKUP(Purchase[[#This Row],[Supplier ID]],Supplier[#All],5,0)</f>
        <v>MP</v>
      </c>
      <c r="H845" s="138" t="str">
        <f>VLOOKUP(Purchase[[#This Row],[Supplier ID]],Supplier[#All],6,0)</f>
        <v>GST2154521T037</v>
      </c>
      <c r="I845" s="138" t="s">
        <v>483</v>
      </c>
      <c r="J845" s="139">
        <v>33</v>
      </c>
      <c r="K845" s="143">
        <f>VLOOKUP(Purchase[[#This Row],[Product ID]],Product[#All],6,0)</f>
        <v>7184</v>
      </c>
      <c r="L845" s="143">
        <f>Purchase[[#This Row],[Purchase Rate]]*Purchase[[#This Row],[Qty]]</f>
        <v>237072</v>
      </c>
      <c r="M845" s="140">
        <v>0</v>
      </c>
      <c r="N845" s="143">
        <v>0</v>
      </c>
      <c r="O845" s="140">
        <v>0.18</v>
      </c>
      <c r="P845" s="145">
        <f>(Purchase[[#This Row],[Gross Amount]]-Purchase[[#This Row],[Disct %]])*Purchase[[#This Row],[GST %]]</f>
        <v>42672.959999999999</v>
      </c>
      <c r="Q845" s="145">
        <f>Purchase[[#This Row],[Gross Amount]]-Purchase[[#This Row],[Disct Amnt]]+Purchase[[#This Row],[GST Amount]]</f>
        <v>279744.96000000002</v>
      </c>
      <c r="R845" s="138" t="s">
        <v>1019</v>
      </c>
      <c r="S845" s="41">
        <f>IF(Purchase[[#This Row],[Status]]="Cancelled",0,Purchase[[#This Row],[Qty]])</f>
        <v>33</v>
      </c>
      <c r="T845" s="146">
        <f>IF(Purchase[[#This Row],[Status]]="Cancelled",0,Purchase[[#This Row],[Total Amount]])</f>
        <v>279744.96000000002</v>
      </c>
      <c r="U845" s="146">
        <f>SUM(Purchase[Net Amount])</f>
        <v>814985438.68000126</v>
      </c>
    </row>
    <row r="846" spans="1:21" ht="19.5" thickBot="1" x14ac:dyDescent="0.3">
      <c r="A846" s="136" t="s">
        <v>1887</v>
      </c>
      <c r="B846" s="137">
        <v>45701</v>
      </c>
      <c r="C846" s="138" t="s">
        <v>573</v>
      </c>
      <c r="D846" s="138" t="str">
        <f>VLOOKUP(Purchase[[#This Row],[Supplier ID]],Supplier[#All],2,0)</f>
        <v>Shree Traders</v>
      </c>
      <c r="E846" s="138">
        <f>VLOOKUP(Purchase[[#This Row],[Supplier ID]],Supplier[#All],3,0)</f>
        <v>9689542458</v>
      </c>
      <c r="F846" s="138" t="str">
        <f>VLOOKUP(Purchase[[#This Row],[Supplier ID]],Supplier[#All],4,0)</f>
        <v>Korba</v>
      </c>
      <c r="G846" s="138" t="str">
        <f>VLOOKUP(Purchase[[#This Row],[Supplier ID]],Supplier[#All],5,0)</f>
        <v>CG</v>
      </c>
      <c r="H846" s="138" t="str">
        <f>VLOOKUP(Purchase[[#This Row],[Supplier ID]],Supplier[#All],6,0)</f>
        <v>GST2154521T020</v>
      </c>
      <c r="I846" s="138" t="s">
        <v>230</v>
      </c>
      <c r="J846" s="139">
        <v>12</v>
      </c>
      <c r="K846" s="143">
        <f>VLOOKUP(Purchase[[#This Row],[Product ID]],Product[#All],6,0)</f>
        <v>59681</v>
      </c>
      <c r="L846" s="143">
        <f>Purchase[[#This Row],[Purchase Rate]]*Purchase[[#This Row],[Qty]]</f>
        <v>716172</v>
      </c>
      <c r="M846" s="140">
        <v>0</v>
      </c>
      <c r="N846" s="143">
        <v>0</v>
      </c>
      <c r="O846" s="140">
        <v>0.18</v>
      </c>
      <c r="P846" s="145">
        <f>(Purchase[[#This Row],[Gross Amount]]-Purchase[[#This Row],[Disct %]])*Purchase[[#This Row],[GST %]]</f>
        <v>128910.95999999999</v>
      </c>
      <c r="Q846" s="145">
        <f>Purchase[[#This Row],[Gross Amount]]-Purchase[[#This Row],[Disct Amnt]]+Purchase[[#This Row],[GST Amount]]</f>
        <v>845082.96</v>
      </c>
      <c r="R846" s="138" t="s">
        <v>1019</v>
      </c>
      <c r="S846" s="41">
        <f>IF(Purchase[[#This Row],[Status]]="Cancelled",0,Purchase[[#This Row],[Qty]])</f>
        <v>12</v>
      </c>
      <c r="T846" s="146">
        <f>IF(Purchase[[#This Row],[Status]]="Cancelled",0,Purchase[[#This Row],[Total Amount]])</f>
        <v>845082.96</v>
      </c>
      <c r="U846" s="146">
        <f>SUM(Purchase[Net Amount])</f>
        <v>814985438.68000126</v>
      </c>
    </row>
    <row r="847" spans="1:21" ht="19.5" thickBot="1" x14ac:dyDescent="0.3">
      <c r="A847" s="136" t="s">
        <v>1888</v>
      </c>
      <c r="B847" s="137">
        <v>45701</v>
      </c>
      <c r="C847" s="138" t="s">
        <v>564</v>
      </c>
      <c r="D847" s="138" t="str">
        <f>VLOOKUP(Purchase[[#This Row],[Supplier ID]],Supplier[#All],2,0)</f>
        <v xml:space="preserve">Star Electronics </v>
      </c>
      <c r="E847" s="138">
        <f>VLOOKUP(Purchase[[#This Row],[Supplier ID]],Supplier[#All],3,0)</f>
        <v>9689542450</v>
      </c>
      <c r="F847" s="138" t="str">
        <f>VLOOKUP(Purchase[[#This Row],[Supplier ID]],Supplier[#All],4,0)</f>
        <v>Korba</v>
      </c>
      <c r="G847" s="138" t="str">
        <f>VLOOKUP(Purchase[[#This Row],[Supplier ID]],Supplier[#All],5,0)</f>
        <v>CG</v>
      </c>
      <c r="H847" s="138" t="str">
        <f>VLOOKUP(Purchase[[#This Row],[Supplier ID]],Supplier[#All],6,0)</f>
        <v>GST2154521T012</v>
      </c>
      <c r="I847" s="138" t="s">
        <v>544</v>
      </c>
      <c r="J847" s="139">
        <v>7</v>
      </c>
      <c r="K847" s="143">
        <f>VLOOKUP(Purchase[[#This Row],[Product ID]],Product[#All],6,0)</f>
        <v>14145</v>
      </c>
      <c r="L847" s="143">
        <f>Purchase[[#This Row],[Purchase Rate]]*Purchase[[#This Row],[Qty]]</f>
        <v>99015</v>
      </c>
      <c r="M847" s="140">
        <v>0</v>
      </c>
      <c r="N847" s="143">
        <v>0</v>
      </c>
      <c r="O847" s="140">
        <v>0.18</v>
      </c>
      <c r="P847" s="145">
        <f>(Purchase[[#This Row],[Gross Amount]]-Purchase[[#This Row],[Disct %]])*Purchase[[#This Row],[GST %]]</f>
        <v>17822.7</v>
      </c>
      <c r="Q847" s="145">
        <f>Purchase[[#This Row],[Gross Amount]]-Purchase[[#This Row],[Disct Amnt]]+Purchase[[#This Row],[GST Amount]]</f>
        <v>116837.7</v>
      </c>
      <c r="R847" s="138" t="s">
        <v>1019</v>
      </c>
      <c r="S847" s="41">
        <f>IF(Purchase[[#This Row],[Status]]="Cancelled",0,Purchase[[#This Row],[Qty]])</f>
        <v>7</v>
      </c>
      <c r="T847" s="146">
        <f>IF(Purchase[[#This Row],[Status]]="Cancelled",0,Purchase[[#This Row],[Total Amount]])</f>
        <v>116837.7</v>
      </c>
      <c r="U847" s="146">
        <f>SUM(Purchase[Net Amount])</f>
        <v>814985438.68000126</v>
      </c>
    </row>
    <row r="848" spans="1:21" ht="19.5" thickBot="1" x14ac:dyDescent="0.3">
      <c r="A848" s="136" t="s">
        <v>1889</v>
      </c>
      <c r="B848" s="137">
        <v>45701</v>
      </c>
      <c r="C848" s="138" t="s">
        <v>605</v>
      </c>
      <c r="D848" s="138" t="str">
        <f>VLOOKUP(Purchase[[#This Row],[Supplier ID]],Supplier[#All],2,0)</f>
        <v>Star Traders</v>
      </c>
      <c r="E848" s="138">
        <f>VLOOKUP(Purchase[[#This Row],[Supplier ID]],Supplier[#All],3,0)</f>
        <v>9689542488</v>
      </c>
      <c r="F848" s="138" t="str">
        <f>VLOOKUP(Purchase[[#This Row],[Supplier ID]],Supplier[#All],4,0)</f>
        <v>Indore</v>
      </c>
      <c r="G848" s="138" t="str">
        <f>VLOOKUP(Purchase[[#This Row],[Supplier ID]],Supplier[#All],5,0)</f>
        <v>MP</v>
      </c>
      <c r="H848" s="138" t="str">
        <f>VLOOKUP(Purchase[[#This Row],[Supplier ID]],Supplier[#All],6,0)</f>
        <v>GST2154521T050</v>
      </c>
      <c r="I848" s="138" t="s">
        <v>315</v>
      </c>
      <c r="J848" s="139">
        <v>30</v>
      </c>
      <c r="K848" s="143">
        <f>VLOOKUP(Purchase[[#This Row],[Product ID]],Product[#All],6,0)</f>
        <v>2069</v>
      </c>
      <c r="L848" s="143">
        <f>Purchase[[#This Row],[Purchase Rate]]*Purchase[[#This Row],[Qty]]</f>
        <v>62070</v>
      </c>
      <c r="M848" s="140">
        <v>0</v>
      </c>
      <c r="N848" s="143">
        <v>0</v>
      </c>
      <c r="O848" s="140">
        <v>0.18</v>
      </c>
      <c r="P848" s="145">
        <f>(Purchase[[#This Row],[Gross Amount]]-Purchase[[#This Row],[Disct %]])*Purchase[[#This Row],[GST %]]</f>
        <v>11172.6</v>
      </c>
      <c r="Q848" s="145">
        <f>Purchase[[#This Row],[Gross Amount]]-Purchase[[#This Row],[Disct Amnt]]+Purchase[[#This Row],[GST Amount]]</f>
        <v>73242.600000000006</v>
      </c>
      <c r="R848" s="138" t="s">
        <v>1019</v>
      </c>
      <c r="S848" s="41">
        <f>IF(Purchase[[#This Row],[Status]]="Cancelled",0,Purchase[[#This Row],[Qty]])</f>
        <v>30</v>
      </c>
      <c r="T848" s="146">
        <f>IF(Purchase[[#This Row],[Status]]="Cancelled",0,Purchase[[#This Row],[Total Amount]])</f>
        <v>73242.600000000006</v>
      </c>
      <c r="U848" s="146">
        <f>SUM(Purchase[Net Amount])</f>
        <v>814985438.68000126</v>
      </c>
    </row>
    <row r="849" spans="1:21" ht="19.5" thickBot="1" x14ac:dyDescent="0.3">
      <c r="A849" s="136" t="s">
        <v>1890</v>
      </c>
      <c r="B849" s="137">
        <v>45701</v>
      </c>
      <c r="C849" s="138" t="s">
        <v>579</v>
      </c>
      <c r="D849" s="138" t="str">
        <f>VLOOKUP(Purchase[[#This Row],[Supplier ID]],Supplier[#All],2,0)</f>
        <v>Tech Traders</v>
      </c>
      <c r="E849" s="138">
        <f>VLOOKUP(Purchase[[#This Row],[Supplier ID]],Supplier[#All],3,0)</f>
        <v>9689542463</v>
      </c>
      <c r="F849" s="138" t="str">
        <f>VLOOKUP(Purchase[[#This Row],[Supplier ID]],Supplier[#All],4,0)</f>
        <v>Kanpur</v>
      </c>
      <c r="G849" s="138" t="str">
        <f>VLOOKUP(Purchase[[#This Row],[Supplier ID]],Supplier[#All],5,0)</f>
        <v>UP</v>
      </c>
      <c r="H849" s="138" t="str">
        <f>VLOOKUP(Purchase[[#This Row],[Supplier ID]],Supplier[#All],6,0)</f>
        <v>GST2154521T025</v>
      </c>
      <c r="I849" s="138" t="s">
        <v>208</v>
      </c>
      <c r="J849" s="139">
        <v>19</v>
      </c>
      <c r="K849" s="143">
        <f>VLOOKUP(Purchase[[#This Row],[Product ID]],Product[#All],6,0)</f>
        <v>58903</v>
      </c>
      <c r="L849" s="143">
        <f>Purchase[[#This Row],[Purchase Rate]]*Purchase[[#This Row],[Qty]]</f>
        <v>1119157</v>
      </c>
      <c r="M849" s="140">
        <v>0</v>
      </c>
      <c r="N849" s="143">
        <v>0</v>
      </c>
      <c r="O849" s="140">
        <v>0.18</v>
      </c>
      <c r="P849" s="145">
        <f>(Purchase[[#This Row],[Gross Amount]]-Purchase[[#This Row],[Disct %]])*Purchase[[#This Row],[GST %]]</f>
        <v>201448.25999999998</v>
      </c>
      <c r="Q849" s="145">
        <f>Purchase[[#This Row],[Gross Amount]]-Purchase[[#This Row],[Disct Amnt]]+Purchase[[#This Row],[GST Amount]]</f>
        <v>1320605.26</v>
      </c>
      <c r="R849" s="138" t="s">
        <v>1019</v>
      </c>
      <c r="S849" s="41">
        <f>IF(Purchase[[#This Row],[Status]]="Cancelled",0,Purchase[[#This Row],[Qty]])</f>
        <v>19</v>
      </c>
      <c r="T849" s="146">
        <f>IF(Purchase[[#This Row],[Status]]="Cancelled",0,Purchase[[#This Row],[Total Amount]])</f>
        <v>1320605.26</v>
      </c>
      <c r="U849" s="146">
        <f>SUM(Purchase[Net Amount])</f>
        <v>814985438.68000126</v>
      </c>
    </row>
    <row r="850" spans="1:21" ht="19.5" thickBot="1" x14ac:dyDescent="0.3">
      <c r="A850" s="136" t="s">
        <v>1891</v>
      </c>
      <c r="B850" s="137">
        <v>45701</v>
      </c>
      <c r="C850" s="138" t="s">
        <v>614</v>
      </c>
      <c r="D850" s="138" t="str">
        <f>VLOOKUP(Purchase[[#This Row],[Supplier ID]],Supplier[#All],2,0)</f>
        <v>National Electronics</v>
      </c>
      <c r="E850" s="138">
        <f>VLOOKUP(Purchase[[#This Row],[Supplier ID]],Supplier[#All],3,0)</f>
        <v>9689542497</v>
      </c>
      <c r="F850" s="138" t="str">
        <f>VLOOKUP(Purchase[[#This Row],[Supplier ID]],Supplier[#All],4,0)</f>
        <v>Kanpur</v>
      </c>
      <c r="G850" s="138" t="str">
        <f>VLOOKUP(Purchase[[#This Row],[Supplier ID]],Supplier[#All],5,0)</f>
        <v>UP</v>
      </c>
      <c r="H850" s="138" t="str">
        <f>VLOOKUP(Purchase[[#This Row],[Supplier ID]],Supplier[#All],6,0)</f>
        <v>GST2154521T059</v>
      </c>
      <c r="I850" s="138" t="s">
        <v>59</v>
      </c>
      <c r="J850" s="139">
        <v>2</v>
      </c>
      <c r="K850" s="143">
        <f>VLOOKUP(Purchase[[#This Row],[Product ID]],Product[#All],6,0)</f>
        <v>928</v>
      </c>
      <c r="L850" s="143">
        <f>Purchase[[#This Row],[Purchase Rate]]*Purchase[[#This Row],[Qty]]</f>
        <v>1856</v>
      </c>
      <c r="M850" s="140">
        <v>0</v>
      </c>
      <c r="N850" s="143">
        <v>0</v>
      </c>
      <c r="O850" s="140">
        <v>0.18</v>
      </c>
      <c r="P850" s="145">
        <f>(Purchase[[#This Row],[Gross Amount]]-Purchase[[#This Row],[Disct %]])*Purchase[[#This Row],[GST %]]</f>
        <v>334.08</v>
      </c>
      <c r="Q850" s="145">
        <f>Purchase[[#This Row],[Gross Amount]]-Purchase[[#This Row],[Disct Amnt]]+Purchase[[#This Row],[GST Amount]]</f>
        <v>2190.08</v>
      </c>
      <c r="R850" s="138" t="s">
        <v>1019</v>
      </c>
      <c r="S850" s="41">
        <f>IF(Purchase[[#This Row],[Status]]="Cancelled",0,Purchase[[#This Row],[Qty]])</f>
        <v>2</v>
      </c>
      <c r="T850" s="146">
        <f>IF(Purchase[[#This Row],[Status]]="Cancelled",0,Purchase[[#This Row],[Total Amount]])</f>
        <v>2190.08</v>
      </c>
      <c r="U850" s="146">
        <f>SUM(Purchase[Net Amount])</f>
        <v>814985438.68000126</v>
      </c>
    </row>
    <row r="851" spans="1:21" ht="19.5" thickBot="1" x14ac:dyDescent="0.3">
      <c r="A851" s="136" t="s">
        <v>1892</v>
      </c>
      <c r="B851" s="137">
        <v>45701</v>
      </c>
      <c r="C851" s="138" t="s">
        <v>576</v>
      </c>
      <c r="D851" s="138" t="str">
        <f>VLOOKUP(Purchase[[#This Row],[Supplier ID]],Supplier[#All],2,0)</f>
        <v>Maa Distributors</v>
      </c>
      <c r="E851" s="138">
        <f>VLOOKUP(Purchase[[#This Row],[Supplier ID]],Supplier[#All],3,0)</f>
        <v>9689542460</v>
      </c>
      <c r="F851" s="138" t="str">
        <f>VLOOKUP(Purchase[[#This Row],[Supplier ID]],Supplier[#All],4,0)</f>
        <v>Korba</v>
      </c>
      <c r="G851" s="138" t="str">
        <f>VLOOKUP(Purchase[[#This Row],[Supplier ID]],Supplier[#All],5,0)</f>
        <v>CG</v>
      </c>
      <c r="H851" s="138" t="str">
        <f>VLOOKUP(Purchase[[#This Row],[Supplier ID]],Supplier[#All],6,0)</f>
        <v>GST2154521T022</v>
      </c>
      <c r="I851" s="138" t="s">
        <v>381</v>
      </c>
      <c r="J851" s="139">
        <v>34</v>
      </c>
      <c r="K851" s="143">
        <f>VLOOKUP(Purchase[[#This Row],[Product ID]],Product[#All],6,0)</f>
        <v>829</v>
      </c>
      <c r="L851" s="143">
        <f>Purchase[[#This Row],[Purchase Rate]]*Purchase[[#This Row],[Qty]]</f>
        <v>28186</v>
      </c>
      <c r="M851" s="140">
        <v>0</v>
      </c>
      <c r="N851" s="143">
        <v>0</v>
      </c>
      <c r="O851" s="140">
        <v>0.18</v>
      </c>
      <c r="P851" s="145">
        <f>(Purchase[[#This Row],[Gross Amount]]-Purchase[[#This Row],[Disct %]])*Purchase[[#This Row],[GST %]]</f>
        <v>5073.4799999999996</v>
      </c>
      <c r="Q851" s="145">
        <f>Purchase[[#This Row],[Gross Amount]]-Purchase[[#This Row],[Disct Amnt]]+Purchase[[#This Row],[GST Amount]]</f>
        <v>33259.479999999996</v>
      </c>
      <c r="R851" s="138" t="s">
        <v>1040</v>
      </c>
      <c r="S851" s="41">
        <f>IF(Purchase[[#This Row],[Status]]="Cancelled",0,Purchase[[#This Row],[Qty]])</f>
        <v>0</v>
      </c>
      <c r="T851" s="146">
        <f>IF(Purchase[[#This Row],[Status]]="Cancelled",0,Purchase[[#This Row],[Total Amount]])</f>
        <v>0</v>
      </c>
      <c r="U851" s="146">
        <f>SUM(Purchase[Net Amount])</f>
        <v>814985438.68000126</v>
      </c>
    </row>
    <row r="852" spans="1:21" ht="19.5" thickBot="1" x14ac:dyDescent="0.3">
      <c r="A852" s="136" t="s">
        <v>1893</v>
      </c>
      <c r="B852" s="137">
        <v>45701</v>
      </c>
      <c r="C852" s="138" t="s">
        <v>582</v>
      </c>
      <c r="D852" s="138" t="str">
        <f>VLOOKUP(Purchase[[#This Row],[Supplier ID]],Supplier[#All],2,0)</f>
        <v>Tech Distributors</v>
      </c>
      <c r="E852" s="138">
        <f>VLOOKUP(Purchase[[#This Row],[Supplier ID]],Supplier[#All],3,0)</f>
        <v>9689542466</v>
      </c>
      <c r="F852" s="138" t="str">
        <f>VLOOKUP(Purchase[[#This Row],[Supplier ID]],Supplier[#All],4,0)</f>
        <v>Indore</v>
      </c>
      <c r="G852" s="138" t="str">
        <f>VLOOKUP(Purchase[[#This Row],[Supplier ID]],Supplier[#All],5,0)</f>
        <v>MP</v>
      </c>
      <c r="H852" s="138" t="str">
        <f>VLOOKUP(Purchase[[#This Row],[Supplier ID]],Supplier[#All],6,0)</f>
        <v>GST2154521T028</v>
      </c>
      <c r="I852" s="138" t="s">
        <v>114</v>
      </c>
      <c r="J852" s="139">
        <v>35</v>
      </c>
      <c r="K852" s="143">
        <f>VLOOKUP(Purchase[[#This Row],[Product ID]],Product[#All],6,0)</f>
        <v>13292</v>
      </c>
      <c r="L852" s="143">
        <f>Purchase[[#This Row],[Purchase Rate]]*Purchase[[#This Row],[Qty]]</f>
        <v>465220</v>
      </c>
      <c r="M852" s="140">
        <v>0</v>
      </c>
      <c r="N852" s="143">
        <v>0</v>
      </c>
      <c r="O852" s="140">
        <v>0.18</v>
      </c>
      <c r="P852" s="145">
        <f>(Purchase[[#This Row],[Gross Amount]]-Purchase[[#This Row],[Disct %]])*Purchase[[#This Row],[GST %]]</f>
        <v>83739.599999999991</v>
      </c>
      <c r="Q852" s="145">
        <f>Purchase[[#This Row],[Gross Amount]]-Purchase[[#This Row],[Disct Amnt]]+Purchase[[#This Row],[GST Amount]]</f>
        <v>548959.6</v>
      </c>
      <c r="R852" s="138" t="s">
        <v>1019</v>
      </c>
      <c r="S852" s="41">
        <f>IF(Purchase[[#This Row],[Status]]="Cancelled",0,Purchase[[#This Row],[Qty]])</f>
        <v>35</v>
      </c>
      <c r="T852" s="146">
        <f>IF(Purchase[[#This Row],[Status]]="Cancelled",0,Purchase[[#This Row],[Total Amount]])</f>
        <v>548959.6</v>
      </c>
      <c r="U852" s="146">
        <f>SUM(Purchase[Net Amount])</f>
        <v>814985438.68000126</v>
      </c>
    </row>
    <row r="853" spans="1:21" ht="19.5" thickBot="1" x14ac:dyDescent="0.3">
      <c r="A853" s="136" t="s">
        <v>1894</v>
      </c>
      <c r="B853" s="137">
        <v>45701</v>
      </c>
      <c r="C853" s="138" t="s">
        <v>586</v>
      </c>
      <c r="D853" s="138" t="str">
        <f>VLOOKUP(Purchase[[#This Row],[Supplier ID]],Supplier[#All],2,0)</f>
        <v>Maa Traders</v>
      </c>
      <c r="E853" s="138">
        <f>VLOOKUP(Purchase[[#This Row],[Supplier ID]],Supplier[#All],3,0)</f>
        <v>9689542470</v>
      </c>
      <c r="F853" s="138" t="str">
        <f>VLOOKUP(Purchase[[#This Row],[Supplier ID]],Supplier[#All],4,0)</f>
        <v>Kanpur</v>
      </c>
      <c r="G853" s="138" t="str">
        <f>VLOOKUP(Purchase[[#This Row],[Supplier ID]],Supplier[#All],5,0)</f>
        <v>UP</v>
      </c>
      <c r="H853" s="138" t="str">
        <f>VLOOKUP(Purchase[[#This Row],[Supplier ID]],Supplier[#All],6,0)</f>
        <v>GST2154521T032</v>
      </c>
      <c r="I853" s="138" t="s">
        <v>419</v>
      </c>
      <c r="J853" s="139">
        <v>19</v>
      </c>
      <c r="K853" s="143">
        <f>VLOOKUP(Purchase[[#This Row],[Product ID]],Product[#All],6,0)</f>
        <v>7279</v>
      </c>
      <c r="L853" s="143">
        <f>Purchase[[#This Row],[Purchase Rate]]*Purchase[[#This Row],[Qty]]</f>
        <v>138301</v>
      </c>
      <c r="M853" s="140">
        <v>0</v>
      </c>
      <c r="N853" s="143">
        <v>0</v>
      </c>
      <c r="O853" s="140">
        <v>0.18</v>
      </c>
      <c r="P853" s="145">
        <f>(Purchase[[#This Row],[Gross Amount]]-Purchase[[#This Row],[Disct %]])*Purchase[[#This Row],[GST %]]</f>
        <v>24894.18</v>
      </c>
      <c r="Q853" s="145">
        <f>Purchase[[#This Row],[Gross Amount]]-Purchase[[#This Row],[Disct Amnt]]+Purchase[[#This Row],[GST Amount]]</f>
        <v>163195.18</v>
      </c>
      <c r="R853" s="138" t="s">
        <v>1019</v>
      </c>
      <c r="S853" s="41">
        <f>IF(Purchase[[#This Row],[Status]]="Cancelled",0,Purchase[[#This Row],[Qty]])</f>
        <v>19</v>
      </c>
      <c r="T853" s="146">
        <f>IF(Purchase[[#This Row],[Status]]="Cancelled",0,Purchase[[#This Row],[Total Amount]])</f>
        <v>163195.18</v>
      </c>
      <c r="U853" s="146">
        <f>SUM(Purchase[Net Amount])</f>
        <v>814985438.68000126</v>
      </c>
    </row>
    <row r="854" spans="1:21" ht="19.5" thickBot="1" x14ac:dyDescent="0.3">
      <c r="A854" s="136" t="s">
        <v>1895</v>
      </c>
      <c r="B854" s="137">
        <v>45701</v>
      </c>
      <c r="C854" s="138" t="s">
        <v>567</v>
      </c>
      <c r="D854" s="138" t="str">
        <f>VLOOKUP(Purchase[[#This Row],[Supplier ID]],Supplier[#All],2,0)</f>
        <v>National Distributors</v>
      </c>
      <c r="E854" s="138">
        <f>VLOOKUP(Purchase[[#This Row],[Supplier ID]],Supplier[#All],3,0)</f>
        <v>9689542453</v>
      </c>
      <c r="F854" s="138" t="str">
        <f>VLOOKUP(Purchase[[#This Row],[Supplier ID]],Supplier[#All],4,0)</f>
        <v>Korba</v>
      </c>
      <c r="G854" s="138" t="str">
        <f>VLOOKUP(Purchase[[#This Row],[Supplier ID]],Supplier[#All],5,0)</f>
        <v>CG</v>
      </c>
      <c r="H854" s="138" t="str">
        <f>VLOOKUP(Purchase[[#This Row],[Supplier ID]],Supplier[#All],6,0)</f>
        <v>GST2154521T015</v>
      </c>
      <c r="I854" s="138" t="s">
        <v>263</v>
      </c>
      <c r="J854" s="139">
        <v>33</v>
      </c>
      <c r="K854" s="143">
        <f>VLOOKUP(Purchase[[#This Row],[Product ID]],Product[#All],6,0)</f>
        <v>619</v>
      </c>
      <c r="L854" s="143">
        <f>Purchase[[#This Row],[Purchase Rate]]*Purchase[[#This Row],[Qty]]</f>
        <v>20427</v>
      </c>
      <c r="M854" s="140">
        <v>0</v>
      </c>
      <c r="N854" s="143">
        <v>0</v>
      </c>
      <c r="O854" s="140">
        <v>0.18</v>
      </c>
      <c r="P854" s="145">
        <f>(Purchase[[#This Row],[Gross Amount]]-Purchase[[#This Row],[Disct %]])*Purchase[[#This Row],[GST %]]</f>
        <v>3676.8599999999997</v>
      </c>
      <c r="Q854" s="145">
        <f>Purchase[[#This Row],[Gross Amount]]-Purchase[[#This Row],[Disct Amnt]]+Purchase[[#This Row],[GST Amount]]</f>
        <v>24103.86</v>
      </c>
      <c r="R854" s="138" t="s">
        <v>1019</v>
      </c>
      <c r="S854" s="41">
        <f>IF(Purchase[[#This Row],[Status]]="Cancelled",0,Purchase[[#This Row],[Qty]])</f>
        <v>33</v>
      </c>
      <c r="T854" s="146">
        <f>IF(Purchase[[#This Row],[Status]]="Cancelled",0,Purchase[[#This Row],[Total Amount]])</f>
        <v>24103.86</v>
      </c>
      <c r="U854" s="146">
        <f>SUM(Purchase[Net Amount])</f>
        <v>814985438.68000126</v>
      </c>
    </row>
    <row r="855" spans="1:21" ht="19.5" thickBot="1" x14ac:dyDescent="0.3">
      <c r="A855" s="136" t="s">
        <v>1896</v>
      </c>
      <c r="B855" s="137">
        <v>45701</v>
      </c>
      <c r="C855" s="138" t="s">
        <v>605</v>
      </c>
      <c r="D855" s="138" t="str">
        <f>VLOOKUP(Purchase[[#This Row],[Supplier ID]],Supplier[#All],2,0)</f>
        <v>Star Traders</v>
      </c>
      <c r="E855" s="138">
        <f>VLOOKUP(Purchase[[#This Row],[Supplier ID]],Supplier[#All],3,0)</f>
        <v>9689542488</v>
      </c>
      <c r="F855" s="138" t="str">
        <f>VLOOKUP(Purchase[[#This Row],[Supplier ID]],Supplier[#All],4,0)</f>
        <v>Indore</v>
      </c>
      <c r="G855" s="138" t="str">
        <f>VLOOKUP(Purchase[[#This Row],[Supplier ID]],Supplier[#All],5,0)</f>
        <v>MP</v>
      </c>
      <c r="H855" s="138" t="str">
        <f>VLOOKUP(Purchase[[#This Row],[Supplier ID]],Supplier[#All],6,0)</f>
        <v>GST2154521T050</v>
      </c>
      <c r="I855" s="138" t="s">
        <v>100</v>
      </c>
      <c r="J855" s="139">
        <v>5</v>
      </c>
      <c r="K855" s="143">
        <f>VLOOKUP(Purchase[[#This Row],[Product ID]],Product[#All],6,0)</f>
        <v>162</v>
      </c>
      <c r="L855" s="143">
        <f>Purchase[[#This Row],[Purchase Rate]]*Purchase[[#This Row],[Qty]]</f>
        <v>810</v>
      </c>
      <c r="M855" s="140">
        <v>0</v>
      </c>
      <c r="N855" s="143">
        <v>0</v>
      </c>
      <c r="O855" s="140">
        <v>0.18</v>
      </c>
      <c r="P855" s="145">
        <f>(Purchase[[#This Row],[Gross Amount]]-Purchase[[#This Row],[Disct %]])*Purchase[[#This Row],[GST %]]</f>
        <v>145.79999999999998</v>
      </c>
      <c r="Q855" s="145">
        <f>Purchase[[#This Row],[Gross Amount]]-Purchase[[#This Row],[Disct Amnt]]+Purchase[[#This Row],[GST Amount]]</f>
        <v>955.8</v>
      </c>
      <c r="R855" s="138" t="s">
        <v>1019</v>
      </c>
      <c r="S855" s="41">
        <f>IF(Purchase[[#This Row],[Status]]="Cancelled",0,Purchase[[#This Row],[Qty]])</f>
        <v>5</v>
      </c>
      <c r="T855" s="146">
        <f>IF(Purchase[[#This Row],[Status]]="Cancelled",0,Purchase[[#This Row],[Total Amount]])</f>
        <v>955.8</v>
      </c>
      <c r="U855" s="146">
        <f>SUM(Purchase[Net Amount])</f>
        <v>814985438.68000126</v>
      </c>
    </row>
    <row r="856" spans="1:21" ht="19.5" thickBot="1" x14ac:dyDescent="0.3">
      <c r="A856" s="136" t="s">
        <v>1897</v>
      </c>
      <c r="B856" s="137">
        <v>45701</v>
      </c>
      <c r="C856" s="138" t="s">
        <v>575</v>
      </c>
      <c r="D856" s="138" t="str">
        <f>VLOOKUP(Purchase[[#This Row],[Supplier ID]],Supplier[#All],2,0)</f>
        <v>Global Computers</v>
      </c>
      <c r="E856" s="138">
        <f>VLOOKUP(Purchase[[#This Row],[Supplier ID]],Supplier[#All],3,0)</f>
        <v>9689542459</v>
      </c>
      <c r="F856" s="138" t="str">
        <f>VLOOKUP(Purchase[[#This Row],[Supplier ID]],Supplier[#All],4,0)</f>
        <v>Indore</v>
      </c>
      <c r="G856" s="138" t="str">
        <f>VLOOKUP(Purchase[[#This Row],[Supplier ID]],Supplier[#All],5,0)</f>
        <v>MP</v>
      </c>
      <c r="H856" s="138" t="str">
        <f>VLOOKUP(Purchase[[#This Row],[Supplier ID]],Supplier[#All],6,0)</f>
        <v>GST2154521T021</v>
      </c>
      <c r="I856" s="138" t="s">
        <v>418</v>
      </c>
      <c r="J856" s="139">
        <v>35</v>
      </c>
      <c r="K856" s="143">
        <f>VLOOKUP(Purchase[[#This Row],[Product ID]],Product[#All],6,0)</f>
        <v>5541</v>
      </c>
      <c r="L856" s="143">
        <f>Purchase[[#This Row],[Purchase Rate]]*Purchase[[#This Row],[Qty]]</f>
        <v>193935</v>
      </c>
      <c r="M856" s="140">
        <v>0</v>
      </c>
      <c r="N856" s="143">
        <v>0</v>
      </c>
      <c r="O856" s="140">
        <v>0.18</v>
      </c>
      <c r="P856" s="145">
        <f>(Purchase[[#This Row],[Gross Amount]]-Purchase[[#This Row],[Disct %]])*Purchase[[#This Row],[GST %]]</f>
        <v>34908.299999999996</v>
      </c>
      <c r="Q856" s="145">
        <f>Purchase[[#This Row],[Gross Amount]]-Purchase[[#This Row],[Disct Amnt]]+Purchase[[#This Row],[GST Amount]]</f>
        <v>228843.3</v>
      </c>
      <c r="R856" s="138" t="s">
        <v>1019</v>
      </c>
      <c r="S856" s="41">
        <f>IF(Purchase[[#This Row],[Status]]="Cancelled",0,Purchase[[#This Row],[Qty]])</f>
        <v>35</v>
      </c>
      <c r="T856" s="146">
        <f>IF(Purchase[[#This Row],[Status]]="Cancelled",0,Purchase[[#This Row],[Total Amount]])</f>
        <v>228843.3</v>
      </c>
      <c r="U856" s="146">
        <f>SUM(Purchase[Net Amount])</f>
        <v>814985438.68000126</v>
      </c>
    </row>
    <row r="857" spans="1:21" ht="19.5" thickBot="1" x14ac:dyDescent="0.3">
      <c r="A857" s="136" t="s">
        <v>1898</v>
      </c>
      <c r="B857" s="137">
        <v>45701</v>
      </c>
      <c r="C857" s="138" t="s">
        <v>582</v>
      </c>
      <c r="D857" s="138" t="str">
        <f>VLOOKUP(Purchase[[#This Row],[Supplier ID]],Supplier[#All],2,0)</f>
        <v>Tech Distributors</v>
      </c>
      <c r="E857" s="138">
        <f>VLOOKUP(Purchase[[#This Row],[Supplier ID]],Supplier[#All],3,0)</f>
        <v>9689542466</v>
      </c>
      <c r="F857" s="138" t="str">
        <f>VLOOKUP(Purchase[[#This Row],[Supplier ID]],Supplier[#All],4,0)</f>
        <v>Indore</v>
      </c>
      <c r="G857" s="138" t="str">
        <f>VLOOKUP(Purchase[[#This Row],[Supplier ID]],Supplier[#All],5,0)</f>
        <v>MP</v>
      </c>
      <c r="H857" s="138" t="str">
        <f>VLOOKUP(Purchase[[#This Row],[Supplier ID]],Supplier[#All],6,0)</f>
        <v>GST2154521T028</v>
      </c>
      <c r="I857" s="138" t="s">
        <v>86</v>
      </c>
      <c r="J857" s="139">
        <v>13</v>
      </c>
      <c r="K857" s="143">
        <f>VLOOKUP(Purchase[[#This Row],[Product ID]],Product[#All],6,0)</f>
        <v>11919</v>
      </c>
      <c r="L857" s="143">
        <f>Purchase[[#This Row],[Purchase Rate]]*Purchase[[#This Row],[Qty]]</f>
        <v>154947</v>
      </c>
      <c r="M857" s="140">
        <v>0</v>
      </c>
      <c r="N857" s="143">
        <v>0</v>
      </c>
      <c r="O857" s="140">
        <v>0.18</v>
      </c>
      <c r="P857" s="145">
        <f>(Purchase[[#This Row],[Gross Amount]]-Purchase[[#This Row],[Disct %]])*Purchase[[#This Row],[GST %]]</f>
        <v>27890.46</v>
      </c>
      <c r="Q857" s="145">
        <f>Purchase[[#This Row],[Gross Amount]]-Purchase[[#This Row],[Disct Amnt]]+Purchase[[#This Row],[GST Amount]]</f>
        <v>182837.46</v>
      </c>
      <c r="R857" s="138" t="s">
        <v>1019</v>
      </c>
      <c r="S857" s="41">
        <f>IF(Purchase[[#This Row],[Status]]="Cancelled",0,Purchase[[#This Row],[Qty]])</f>
        <v>13</v>
      </c>
      <c r="T857" s="146">
        <f>IF(Purchase[[#This Row],[Status]]="Cancelled",0,Purchase[[#This Row],[Total Amount]])</f>
        <v>182837.46</v>
      </c>
      <c r="U857" s="146">
        <f>SUM(Purchase[Net Amount])</f>
        <v>814985438.68000126</v>
      </c>
    </row>
    <row r="858" spans="1:21" ht="19.5" thickBot="1" x14ac:dyDescent="0.3">
      <c r="A858" s="136" t="s">
        <v>1899</v>
      </c>
      <c r="B858" s="137">
        <v>45701</v>
      </c>
      <c r="C858" s="138" t="s">
        <v>589</v>
      </c>
      <c r="D858" s="138" t="str">
        <f>VLOOKUP(Purchase[[#This Row],[Supplier ID]],Supplier[#All],2,0)</f>
        <v>Maa Computers</v>
      </c>
      <c r="E858" s="138">
        <f>VLOOKUP(Purchase[[#This Row],[Supplier ID]],Supplier[#All],3,0)</f>
        <v>9689542473</v>
      </c>
      <c r="F858" s="138" t="str">
        <f>VLOOKUP(Purchase[[#This Row],[Supplier ID]],Supplier[#All],4,0)</f>
        <v>Kanpur</v>
      </c>
      <c r="G858" s="138" t="str">
        <f>VLOOKUP(Purchase[[#This Row],[Supplier ID]],Supplier[#All],5,0)</f>
        <v>UP</v>
      </c>
      <c r="H858" s="138" t="str">
        <f>VLOOKUP(Purchase[[#This Row],[Supplier ID]],Supplier[#All],6,0)</f>
        <v>GST2154521T035</v>
      </c>
      <c r="I858" s="138" t="s">
        <v>163</v>
      </c>
      <c r="J858" s="139">
        <v>17</v>
      </c>
      <c r="K858" s="143">
        <f>VLOOKUP(Purchase[[#This Row],[Product ID]],Product[#All],6,0)</f>
        <v>13893</v>
      </c>
      <c r="L858" s="143">
        <f>Purchase[[#This Row],[Purchase Rate]]*Purchase[[#This Row],[Qty]]</f>
        <v>236181</v>
      </c>
      <c r="M858" s="140">
        <v>0</v>
      </c>
      <c r="N858" s="143">
        <v>0</v>
      </c>
      <c r="O858" s="140">
        <v>0.18</v>
      </c>
      <c r="P858" s="145">
        <f>(Purchase[[#This Row],[Gross Amount]]-Purchase[[#This Row],[Disct %]])*Purchase[[#This Row],[GST %]]</f>
        <v>42512.58</v>
      </c>
      <c r="Q858" s="145">
        <f>Purchase[[#This Row],[Gross Amount]]-Purchase[[#This Row],[Disct Amnt]]+Purchase[[#This Row],[GST Amount]]</f>
        <v>278693.58</v>
      </c>
      <c r="R858" s="138" t="s">
        <v>1019</v>
      </c>
      <c r="S858" s="41">
        <f>IF(Purchase[[#This Row],[Status]]="Cancelled",0,Purchase[[#This Row],[Qty]])</f>
        <v>17</v>
      </c>
      <c r="T858" s="146">
        <f>IF(Purchase[[#This Row],[Status]]="Cancelled",0,Purchase[[#This Row],[Total Amount]])</f>
        <v>278693.58</v>
      </c>
      <c r="U858" s="146">
        <f>SUM(Purchase[Net Amount])</f>
        <v>814985438.68000126</v>
      </c>
    </row>
    <row r="859" spans="1:21" ht="19.5" thickBot="1" x14ac:dyDescent="0.3">
      <c r="A859" s="136" t="s">
        <v>1900</v>
      </c>
      <c r="B859" s="137">
        <v>45701</v>
      </c>
      <c r="C859" s="138" t="s">
        <v>614</v>
      </c>
      <c r="D859" s="138" t="str">
        <f>VLOOKUP(Purchase[[#This Row],[Supplier ID]],Supplier[#All],2,0)</f>
        <v>National Electronics</v>
      </c>
      <c r="E859" s="138">
        <f>VLOOKUP(Purchase[[#This Row],[Supplier ID]],Supplier[#All],3,0)</f>
        <v>9689542497</v>
      </c>
      <c r="F859" s="138" t="str">
        <f>VLOOKUP(Purchase[[#This Row],[Supplier ID]],Supplier[#All],4,0)</f>
        <v>Kanpur</v>
      </c>
      <c r="G859" s="138" t="str">
        <f>VLOOKUP(Purchase[[#This Row],[Supplier ID]],Supplier[#All],5,0)</f>
        <v>UP</v>
      </c>
      <c r="H859" s="138" t="str">
        <f>VLOOKUP(Purchase[[#This Row],[Supplier ID]],Supplier[#All],6,0)</f>
        <v>GST2154521T059</v>
      </c>
      <c r="I859" s="138" t="s">
        <v>545</v>
      </c>
      <c r="J859" s="139">
        <v>28</v>
      </c>
      <c r="K859" s="143">
        <f>VLOOKUP(Purchase[[#This Row],[Product ID]],Product[#All],6,0)</f>
        <v>5298</v>
      </c>
      <c r="L859" s="143">
        <f>Purchase[[#This Row],[Purchase Rate]]*Purchase[[#This Row],[Qty]]</f>
        <v>148344</v>
      </c>
      <c r="M859" s="140">
        <v>0</v>
      </c>
      <c r="N859" s="143">
        <v>0</v>
      </c>
      <c r="O859" s="140">
        <v>0.18</v>
      </c>
      <c r="P859" s="145">
        <f>(Purchase[[#This Row],[Gross Amount]]-Purchase[[#This Row],[Disct %]])*Purchase[[#This Row],[GST %]]</f>
        <v>26701.919999999998</v>
      </c>
      <c r="Q859" s="145">
        <f>Purchase[[#This Row],[Gross Amount]]-Purchase[[#This Row],[Disct Amnt]]+Purchase[[#This Row],[GST Amount]]</f>
        <v>175045.91999999998</v>
      </c>
      <c r="R859" s="138" t="s">
        <v>1019</v>
      </c>
      <c r="S859" s="41">
        <f>IF(Purchase[[#This Row],[Status]]="Cancelled",0,Purchase[[#This Row],[Qty]])</f>
        <v>28</v>
      </c>
      <c r="T859" s="146">
        <f>IF(Purchase[[#This Row],[Status]]="Cancelled",0,Purchase[[#This Row],[Total Amount]])</f>
        <v>175045.91999999998</v>
      </c>
      <c r="U859" s="146">
        <f>SUM(Purchase[Net Amount])</f>
        <v>814985438.68000126</v>
      </c>
    </row>
    <row r="860" spans="1:21" ht="19.5" thickBot="1" x14ac:dyDescent="0.3">
      <c r="A860" s="136" t="s">
        <v>1901</v>
      </c>
      <c r="B860" s="137">
        <v>45701</v>
      </c>
      <c r="C860" s="138" t="s">
        <v>578</v>
      </c>
      <c r="D860" s="138" t="str">
        <f>VLOOKUP(Purchase[[#This Row],[Supplier ID]],Supplier[#All],2,0)</f>
        <v>Shree Computers</v>
      </c>
      <c r="E860" s="138">
        <f>VLOOKUP(Purchase[[#This Row],[Supplier ID]],Supplier[#All],3,0)</f>
        <v>9689542462</v>
      </c>
      <c r="F860" s="138" t="str">
        <f>VLOOKUP(Purchase[[#This Row],[Supplier ID]],Supplier[#All],4,0)</f>
        <v>Korba</v>
      </c>
      <c r="G860" s="138" t="str">
        <f>VLOOKUP(Purchase[[#This Row],[Supplier ID]],Supplier[#All],5,0)</f>
        <v>CG</v>
      </c>
      <c r="H860" s="138" t="str">
        <f>VLOOKUP(Purchase[[#This Row],[Supplier ID]],Supplier[#All],6,0)</f>
        <v>GST2154521T024</v>
      </c>
      <c r="I860" s="138" t="s">
        <v>334</v>
      </c>
      <c r="J860" s="139">
        <v>35</v>
      </c>
      <c r="K860" s="143">
        <f>VLOOKUP(Purchase[[#This Row],[Product ID]],Product[#All],6,0)</f>
        <v>2706</v>
      </c>
      <c r="L860" s="143">
        <f>Purchase[[#This Row],[Purchase Rate]]*Purchase[[#This Row],[Qty]]</f>
        <v>94710</v>
      </c>
      <c r="M860" s="140">
        <v>0</v>
      </c>
      <c r="N860" s="143">
        <v>0</v>
      </c>
      <c r="O860" s="140">
        <v>0.18</v>
      </c>
      <c r="P860" s="145">
        <f>(Purchase[[#This Row],[Gross Amount]]-Purchase[[#This Row],[Disct %]])*Purchase[[#This Row],[GST %]]</f>
        <v>17047.8</v>
      </c>
      <c r="Q860" s="145">
        <f>Purchase[[#This Row],[Gross Amount]]-Purchase[[#This Row],[Disct Amnt]]+Purchase[[#This Row],[GST Amount]]</f>
        <v>111757.8</v>
      </c>
      <c r="R860" s="138" t="s">
        <v>1019</v>
      </c>
      <c r="S860" s="41">
        <f>IF(Purchase[[#This Row],[Status]]="Cancelled",0,Purchase[[#This Row],[Qty]])</f>
        <v>35</v>
      </c>
      <c r="T860" s="146">
        <f>IF(Purchase[[#This Row],[Status]]="Cancelled",0,Purchase[[#This Row],[Total Amount]])</f>
        <v>111757.8</v>
      </c>
      <c r="U860" s="146">
        <f>SUM(Purchase[Net Amount])</f>
        <v>814985438.68000126</v>
      </c>
    </row>
    <row r="861" spans="1:21" ht="19.5" thickBot="1" x14ac:dyDescent="0.3">
      <c r="A861" s="136" t="s">
        <v>1902</v>
      </c>
      <c r="B861" s="137">
        <v>45701</v>
      </c>
      <c r="C861" s="138" t="s">
        <v>581</v>
      </c>
      <c r="D861" s="138" t="str">
        <f>VLOOKUP(Purchase[[#This Row],[Supplier ID]],Supplier[#All],2,0)</f>
        <v>Prime Electronics</v>
      </c>
      <c r="E861" s="138">
        <f>VLOOKUP(Purchase[[#This Row],[Supplier ID]],Supplier[#All],3,0)</f>
        <v>9689542465</v>
      </c>
      <c r="F861" s="138" t="str">
        <f>VLOOKUP(Purchase[[#This Row],[Supplier ID]],Supplier[#All],4,0)</f>
        <v>Korba</v>
      </c>
      <c r="G861" s="138" t="str">
        <f>VLOOKUP(Purchase[[#This Row],[Supplier ID]],Supplier[#All],5,0)</f>
        <v>CG</v>
      </c>
      <c r="H861" s="138" t="str">
        <f>VLOOKUP(Purchase[[#This Row],[Supplier ID]],Supplier[#All],6,0)</f>
        <v>GST2154521T027</v>
      </c>
      <c r="I861" s="138" t="s">
        <v>33</v>
      </c>
      <c r="J861" s="139">
        <v>38</v>
      </c>
      <c r="K861" s="143">
        <f>VLOOKUP(Purchase[[#This Row],[Product ID]],Product[#All],6,0)</f>
        <v>8458</v>
      </c>
      <c r="L861" s="143">
        <f>Purchase[[#This Row],[Purchase Rate]]*Purchase[[#This Row],[Qty]]</f>
        <v>321404</v>
      </c>
      <c r="M861" s="140">
        <v>0</v>
      </c>
      <c r="N861" s="143">
        <v>0</v>
      </c>
      <c r="O861" s="140">
        <v>0.18</v>
      </c>
      <c r="P861" s="145">
        <f>(Purchase[[#This Row],[Gross Amount]]-Purchase[[#This Row],[Disct %]])*Purchase[[#This Row],[GST %]]</f>
        <v>57852.72</v>
      </c>
      <c r="Q861" s="145">
        <f>Purchase[[#This Row],[Gross Amount]]-Purchase[[#This Row],[Disct Amnt]]+Purchase[[#This Row],[GST Amount]]</f>
        <v>379256.72</v>
      </c>
      <c r="R861" s="138" t="s">
        <v>1019</v>
      </c>
      <c r="S861" s="41">
        <f>IF(Purchase[[#This Row],[Status]]="Cancelled",0,Purchase[[#This Row],[Qty]])</f>
        <v>38</v>
      </c>
      <c r="T861" s="146">
        <f>IF(Purchase[[#This Row],[Status]]="Cancelled",0,Purchase[[#This Row],[Total Amount]])</f>
        <v>379256.72</v>
      </c>
      <c r="U861" s="146">
        <f>SUM(Purchase[Net Amount])</f>
        <v>814985438.68000126</v>
      </c>
    </row>
    <row r="862" spans="1:21" ht="19.5" thickBot="1" x14ac:dyDescent="0.3">
      <c r="A862" s="136" t="s">
        <v>1903</v>
      </c>
      <c r="B862" s="137">
        <v>45701</v>
      </c>
      <c r="C862" s="138" t="s">
        <v>585</v>
      </c>
      <c r="D862" s="138" t="str">
        <f>VLOOKUP(Purchase[[#This Row],[Supplier ID]],Supplier[#All],2,0)</f>
        <v>Tech Computers</v>
      </c>
      <c r="E862" s="138">
        <f>VLOOKUP(Purchase[[#This Row],[Supplier ID]],Supplier[#All],3,0)</f>
        <v>9689542469</v>
      </c>
      <c r="F862" s="138" t="str">
        <f>VLOOKUP(Purchase[[#This Row],[Supplier ID]],Supplier[#All],4,0)</f>
        <v>Korba</v>
      </c>
      <c r="G862" s="138" t="str">
        <f>VLOOKUP(Purchase[[#This Row],[Supplier ID]],Supplier[#All],5,0)</f>
        <v>CG</v>
      </c>
      <c r="H862" s="138" t="str">
        <f>VLOOKUP(Purchase[[#This Row],[Supplier ID]],Supplier[#All],6,0)</f>
        <v>GST2154521T031</v>
      </c>
      <c r="I862" s="138" t="s">
        <v>539</v>
      </c>
      <c r="J862" s="139">
        <v>21</v>
      </c>
      <c r="K862" s="143">
        <f>VLOOKUP(Purchase[[#This Row],[Product ID]],Product[#All],6,0)</f>
        <v>21269</v>
      </c>
      <c r="L862" s="143">
        <f>Purchase[[#This Row],[Purchase Rate]]*Purchase[[#This Row],[Qty]]</f>
        <v>446649</v>
      </c>
      <c r="M862" s="140">
        <v>0</v>
      </c>
      <c r="N862" s="143">
        <v>0</v>
      </c>
      <c r="O862" s="140">
        <v>0.18</v>
      </c>
      <c r="P862" s="145">
        <f>(Purchase[[#This Row],[Gross Amount]]-Purchase[[#This Row],[Disct %]])*Purchase[[#This Row],[GST %]]</f>
        <v>80396.819999999992</v>
      </c>
      <c r="Q862" s="145">
        <f>Purchase[[#This Row],[Gross Amount]]-Purchase[[#This Row],[Disct Amnt]]+Purchase[[#This Row],[GST Amount]]</f>
        <v>527045.81999999995</v>
      </c>
      <c r="R862" s="138" t="s">
        <v>1019</v>
      </c>
      <c r="S862" s="41">
        <f>IF(Purchase[[#This Row],[Status]]="Cancelled",0,Purchase[[#This Row],[Qty]])</f>
        <v>21</v>
      </c>
      <c r="T862" s="146">
        <f>IF(Purchase[[#This Row],[Status]]="Cancelled",0,Purchase[[#This Row],[Total Amount]])</f>
        <v>527045.81999999995</v>
      </c>
      <c r="U862" s="146">
        <f>SUM(Purchase[Net Amount])</f>
        <v>814985438.68000126</v>
      </c>
    </row>
    <row r="863" spans="1:21" ht="19.5" thickBot="1" x14ac:dyDescent="0.3">
      <c r="A863" s="136" t="s">
        <v>1904</v>
      </c>
      <c r="B863" s="137">
        <v>45701</v>
      </c>
      <c r="C863" s="138" t="s">
        <v>583</v>
      </c>
      <c r="D863" s="138" t="str">
        <f>VLOOKUP(Purchase[[#This Row],[Supplier ID]],Supplier[#All],2,0)</f>
        <v>Shree Distributors</v>
      </c>
      <c r="E863" s="138">
        <f>VLOOKUP(Purchase[[#This Row],[Supplier ID]],Supplier[#All],3,0)</f>
        <v>9689542467</v>
      </c>
      <c r="F863" s="138" t="str">
        <f>VLOOKUP(Purchase[[#This Row],[Supplier ID]],Supplier[#All],4,0)</f>
        <v>Indore</v>
      </c>
      <c r="G863" s="138" t="str">
        <f>VLOOKUP(Purchase[[#This Row],[Supplier ID]],Supplier[#All],5,0)</f>
        <v>MP</v>
      </c>
      <c r="H863" s="138" t="str">
        <f>VLOOKUP(Purchase[[#This Row],[Supplier ID]],Supplier[#All],6,0)</f>
        <v>GST2154521T029</v>
      </c>
      <c r="I863" s="138" t="s">
        <v>135</v>
      </c>
      <c r="J863" s="139">
        <v>11</v>
      </c>
      <c r="K863" s="143">
        <f>VLOOKUP(Purchase[[#This Row],[Product ID]],Product[#All],6,0)</f>
        <v>2681</v>
      </c>
      <c r="L863" s="143">
        <f>Purchase[[#This Row],[Purchase Rate]]*Purchase[[#This Row],[Qty]]</f>
        <v>29491</v>
      </c>
      <c r="M863" s="140">
        <v>0</v>
      </c>
      <c r="N863" s="143">
        <v>0</v>
      </c>
      <c r="O863" s="140">
        <v>0.18</v>
      </c>
      <c r="P863" s="145">
        <f>(Purchase[[#This Row],[Gross Amount]]-Purchase[[#This Row],[Disct %]])*Purchase[[#This Row],[GST %]]</f>
        <v>5308.38</v>
      </c>
      <c r="Q863" s="145">
        <f>Purchase[[#This Row],[Gross Amount]]-Purchase[[#This Row],[Disct Amnt]]+Purchase[[#This Row],[GST Amount]]</f>
        <v>34799.379999999997</v>
      </c>
      <c r="R863" s="138" t="s">
        <v>1019</v>
      </c>
      <c r="S863" s="41">
        <f>IF(Purchase[[#This Row],[Status]]="Cancelled",0,Purchase[[#This Row],[Qty]])</f>
        <v>11</v>
      </c>
      <c r="T863" s="146">
        <f>IF(Purchase[[#This Row],[Status]]="Cancelled",0,Purchase[[#This Row],[Total Amount]])</f>
        <v>34799.379999999997</v>
      </c>
      <c r="U863" s="146">
        <f>SUM(Purchase[Net Amount])</f>
        <v>814985438.68000126</v>
      </c>
    </row>
    <row r="864" spans="1:21" ht="19.5" thickBot="1" x14ac:dyDescent="0.3">
      <c r="A864" s="136" t="s">
        <v>1905</v>
      </c>
      <c r="B864" s="137">
        <v>45701</v>
      </c>
      <c r="C864" s="138" t="s">
        <v>585</v>
      </c>
      <c r="D864" s="138" t="str">
        <f>VLOOKUP(Purchase[[#This Row],[Supplier ID]],Supplier[#All],2,0)</f>
        <v>Tech Computers</v>
      </c>
      <c r="E864" s="138">
        <f>VLOOKUP(Purchase[[#This Row],[Supplier ID]],Supplier[#All],3,0)</f>
        <v>9689542469</v>
      </c>
      <c r="F864" s="138" t="str">
        <f>VLOOKUP(Purchase[[#This Row],[Supplier ID]],Supplier[#All],4,0)</f>
        <v>Korba</v>
      </c>
      <c r="G864" s="138" t="str">
        <f>VLOOKUP(Purchase[[#This Row],[Supplier ID]],Supplier[#All],5,0)</f>
        <v>CG</v>
      </c>
      <c r="H864" s="138" t="str">
        <f>VLOOKUP(Purchase[[#This Row],[Supplier ID]],Supplier[#All],6,0)</f>
        <v>GST2154521T031</v>
      </c>
      <c r="I864" s="138" t="s">
        <v>369</v>
      </c>
      <c r="J864" s="139">
        <v>29</v>
      </c>
      <c r="K864" s="143">
        <f>VLOOKUP(Purchase[[#This Row],[Product ID]],Product[#All],6,0)</f>
        <v>1684</v>
      </c>
      <c r="L864" s="143">
        <f>Purchase[[#This Row],[Purchase Rate]]*Purchase[[#This Row],[Qty]]</f>
        <v>48836</v>
      </c>
      <c r="M864" s="140">
        <v>0</v>
      </c>
      <c r="N864" s="143">
        <v>0</v>
      </c>
      <c r="O864" s="140">
        <v>0.18</v>
      </c>
      <c r="P864" s="145">
        <f>(Purchase[[#This Row],[Gross Amount]]-Purchase[[#This Row],[Disct %]])*Purchase[[#This Row],[GST %]]</f>
        <v>8790.48</v>
      </c>
      <c r="Q864" s="145">
        <f>Purchase[[#This Row],[Gross Amount]]-Purchase[[#This Row],[Disct Amnt]]+Purchase[[#This Row],[GST Amount]]</f>
        <v>57626.479999999996</v>
      </c>
      <c r="R864" s="138" t="s">
        <v>1019</v>
      </c>
      <c r="S864" s="41">
        <f>IF(Purchase[[#This Row],[Status]]="Cancelled",0,Purchase[[#This Row],[Qty]])</f>
        <v>29</v>
      </c>
      <c r="T864" s="146">
        <f>IF(Purchase[[#This Row],[Status]]="Cancelled",0,Purchase[[#This Row],[Total Amount]])</f>
        <v>57626.479999999996</v>
      </c>
      <c r="U864" s="146">
        <f>SUM(Purchase[Net Amount])</f>
        <v>814985438.68000126</v>
      </c>
    </row>
    <row r="865" spans="1:21" ht="19.5" thickBot="1" x14ac:dyDescent="0.3">
      <c r="A865" s="136" t="s">
        <v>1906</v>
      </c>
      <c r="B865" s="137">
        <v>45701</v>
      </c>
      <c r="C865" s="138" t="s">
        <v>576</v>
      </c>
      <c r="D865" s="138" t="str">
        <f>VLOOKUP(Purchase[[#This Row],[Supplier ID]],Supplier[#All],2,0)</f>
        <v>Maa Distributors</v>
      </c>
      <c r="E865" s="138">
        <f>VLOOKUP(Purchase[[#This Row],[Supplier ID]],Supplier[#All],3,0)</f>
        <v>9689542460</v>
      </c>
      <c r="F865" s="138" t="str">
        <f>VLOOKUP(Purchase[[#This Row],[Supplier ID]],Supplier[#All],4,0)</f>
        <v>Korba</v>
      </c>
      <c r="G865" s="138" t="str">
        <f>VLOOKUP(Purchase[[#This Row],[Supplier ID]],Supplier[#All],5,0)</f>
        <v>CG</v>
      </c>
      <c r="H865" s="138" t="str">
        <f>VLOOKUP(Purchase[[#This Row],[Supplier ID]],Supplier[#All],6,0)</f>
        <v>GST2154521T022</v>
      </c>
      <c r="I865" s="138" t="s">
        <v>489</v>
      </c>
      <c r="J865" s="139">
        <v>11</v>
      </c>
      <c r="K865" s="143">
        <f>VLOOKUP(Purchase[[#This Row],[Product ID]],Product[#All],6,0)</f>
        <v>6471</v>
      </c>
      <c r="L865" s="143">
        <f>Purchase[[#This Row],[Purchase Rate]]*Purchase[[#This Row],[Qty]]</f>
        <v>71181</v>
      </c>
      <c r="M865" s="140">
        <v>0</v>
      </c>
      <c r="N865" s="143">
        <v>0</v>
      </c>
      <c r="O865" s="140">
        <v>0.18</v>
      </c>
      <c r="P865" s="145">
        <f>(Purchase[[#This Row],[Gross Amount]]-Purchase[[#This Row],[Disct %]])*Purchase[[#This Row],[GST %]]</f>
        <v>12812.58</v>
      </c>
      <c r="Q865" s="145">
        <f>Purchase[[#This Row],[Gross Amount]]-Purchase[[#This Row],[Disct Amnt]]+Purchase[[#This Row],[GST Amount]]</f>
        <v>83993.58</v>
      </c>
      <c r="R865" s="138" t="s">
        <v>1019</v>
      </c>
      <c r="S865" s="41">
        <f>IF(Purchase[[#This Row],[Status]]="Cancelled",0,Purchase[[#This Row],[Qty]])</f>
        <v>11</v>
      </c>
      <c r="T865" s="146">
        <f>IF(Purchase[[#This Row],[Status]]="Cancelled",0,Purchase[[#This Row],[Total Amount]])</f>
        <v>83993.58</v>
      </c>
      <c r="U865" s="146">
        <f>SUM(Purchase[Net Amount])</f>
        <v>814985438.68000126</v>
      </c>
    </row>
    <row r="866" spans="1:21" ht="19.5" thickBot="1" x14ac:dyDescent="0.3">
      <c r="A866" s="136" t="s">
        <v>1907</v>
      </c>
      <c r="B866" s="137">
        <v>45701</v>
      </c>
      <c r="C866" s="138" t="s">
        <v>573</v>
      </c>
      <c r="D866" s="138" t="str">
        <f>VLOOKUP(Purchase[[#This Row],[Supplier ID]],Supplier[#All],2,0)</f>
        <v>Shree Traders</v>
      </c>
      <c r="E866" s="138">
        <f>VLOOKUP(Purchase[[#This Row],[Supplier ID]],Supplier[#All],3,0)</f>
        <v>9689542458</v>
      </c>
      <c r="F866" s="138" t="str">
        <f>VLOOKUP(Purchase[[#This Row],[Supplier ID]],Supplier[#All],4,0)</f>
        <v>Korba</v>
      </c>
      <c r="G866" s="138" t="str">
        <f>VLOOKUP(Purchase[[#This Row],[Supplier ID]],Supplier[#All],5,0)</f>
        <v>CG</v>
      </c>
      <c r="H866" s="138" t="str">
        <f>VLOOKUP(Purchase[[#This Row],[Supplier ID]],Supplier[#All],6,0)</f>
        <v>GST2154521T020</v>
      </c>
      <c r="I866" s="138" t="s">
        <v>124</v>
      </c>
      <c r="J866" s="139">
        <v>2</v>
      </c>
      <c r="K866" s="143">
        <f>VLOOKUP(Purchase[[#This Row],[Product ID]],Product[#All],6,0)</f>
        <v>12974</v>
      </c>
      <c r="L866" s="143">
        <f>Purchase[[#This Row],[Purchase Rate]]*Purchase[[#This Row],[Qty]]</f>
        <v>25948</v>
      </c>
      <c r="M866" s="140">
        <v>0</v>
      </c>
      <c r="N866" s="143">
        <v>0</v>
      </c>
      <c r="O866" s="140">
        <v>0.18</v>
      </c>
      <c r="P866" s="145">
        <f>(Purchase[[#This Row],[Gross Amount]]-Purchase[[#This Row],[Disct %]])*Purchase[[#This Row],[GST %]]</f>
        <v>4670.6399999999994</v>
      </c>
      <c r="Q866" s="145">
        <f>Purchase[[#This Row],[Gross Amount]]-Purchase[[#This Row],[Disct Amnt]]+Purchase[[#This Row],[GST Amount]]</f>
        <v>30618.639999999999</v>
      </c>
      <c r="R866" s="138" t="s">
        <v>1019</v>
      </c>
      <c r="S866" s="41">
        <f>IF(Purchase[[#This Row],[Status]]="Cancelled",0,Purchase[[#This Row],[Qty]])</f>
        <v>2</v>
      </c>
      <c r="T866" s="146">
        <f>IF(Purchase[[#This Row],[Status]]="Cancelled",0,Purchase[[#This Row],[Total Amount]])</f>
        <v>30618.639999999999</v>
      </c>
      <c r="U866" s="146">
        <f>SUM(Purchase[Net Amount])</f>
        <v>814985438.68000126</v>
      </c>
    </row>
    <row r="867" spans="1:21" ht="19.5" thickBot="1" x14ac:dyDescent="0.3">
      <c r="A867" s="136" t="s">
        <v>1908</v>
      </c>
      <c r="B867" s="137">
        <v>45701</v>
      </c>
      <c r="C867" s="138" t="s">
        <v>582</v>
      </c>
      <c r="D867" s="138" t="str">
        <f>VLOOKUP(Purchase[[#This Row],[Supplier ID]],Supplier[#All],2,0)</f>
        <v>Tech Distributors</v>
      </c>
      <c r="E867" s="138">
        <f>VLOOKUP(Purchase[[#This Row],[Supplier ID]],Supplier[#All],3,0)</f>
        <v>9689542466</v>
      </c>
      <c r="F867" s="138" t="str">
        <f>VLOOKUP(Purchase[[#This Row],[Supplier ID]],Supplier[#All],4,0)</f>
        <v>Indore</v>
      </c>
      <c r="G867" s="138" t="str">
        <f>VLOOKUP(Purchase[[#This Row],[Supplier ID]],Supplier[#All],5,0)</f>
        <v>MP</v>
      </c>
      <c r="H867" s="138" t="str">
        <f>VLOOKUP(Purchase[[#This Row],[Supplier ID]],Supplier[#All],6,0)</f>
        <v>GST2154521T028</v>
      </c>
      <c r="I867" s="138" t="s">
        <v>447</v>
      </c>
      <c r="J867" s="139">
        <v>16</v>
      </c>
      <c r="K867" s="143">
        <f>VLOOKUP(Purchase[[#This Row],[Product ID]],Product[#All],6,0)</f>
        <v>2460</v>
      </c>
      <c r="L867" s="143">
        <f>Purchase[[#This Row],[Purchase Rate]]*Purchase[[#This Row],[Qty]]</f>
        <v>39360</v>
      </c>
      <c r="M867" s="140">
        <v>0</v>
      </c>
      <c r="N867" s="143">
        <v>0</v>
      </c>
      <c r="O867" s="140">
        <v>0.18</v>
      </c>
      <c r="P867" s="145">
        <f>(Purchase[[#This Row],[Gross Amount]]-Purchase[[#This Row],[Disct %]])*Purchase[[#This Row],[GST %]]</f>
        <v>7084.8</v>
      </c>
      <c r="Q867" s="145">
        <f>Purchase[[#This Row],[Gross Amount]]-Purchase[[#This Row],[Disct Amnt]]+Purchase[[#This Row],[GST Amount]]</f>
        <v>46444.800000000003</v>
      </c>
      <c r="R867" s="138" t="s">
        <v>1019</v>
      </c>
      <c r="S867" s="41">
        <f>IF(Purchase[[#This Row],[Status]]="Cancelled",0,Purchase[[#This Row],[Qty]])</f>
        <v>16</v>
      </c>
      <c r="T867" s="146">
        <f>IF(Purchase[[#This Row],[Status]]="Cancelled",0,Purchase[[#This Row],[Total Amount]])</f>
        <v>46444.800000000003</v>
      </c>
      <c r="U867" s="146">
        <f>SUM(Purchase[Net Amount])</f>
        <v>814985438.68000126</v>
      </c>
    </row>
    <row r="868" spans="1:21" ht="19.5" thickBot="1" x14ac:dyDescent="0.3">
      <c r="A868" s="136" t="s">
        <v>1909</v>
      </c>
      <c r="B868" s="137">
        <v>45701</v>
      </c>
      <c r="C868" s="138" t="s">
        <v>604</v>
      </c>
      <c r="D868" s="138" t="str">
        <f>VLOOKUP(Purchase[[#This Row],[Supplier ID]],Supplier[#All],2,0)</f>
        <v>Prime Traders</v>
      </c>
      <c r="E868" s="138">
        <f>VLOOKUP(Purchase[[#This Row],[Supplier ID]],Supplier[#All],3,0)</f>
        <v>9689542487</v>
      </c>
      <c r="F868" s="138" t="str">
        <f>VLOOKUP(Purchase[[#This Row],[Supplier ID]],Supplier[#All],4,0)</f>
        <v>Indore</v>
      </c>
      <c r="G868" s="138" t="str">
        <f>VLOOKUP(Purchase[[#This Row],[Supplier ID]],Supplier[#All],5,0)</f>
        <v>MP</v>
      </c>
      <c r="H868" s="138" t="str">
        <f>VLOOKUP(Purchase[[#This Row],[Supplier ID]],Supplier[#All],6,0)</f>
        <v>GST2154521T049</v>
      </c>
      <c r="I868" s="138" t="s">
        <v>493</v>
      </c>
      <c r="J868" s="139">
        <v>15</v>
      </c>
      <c r="K868" s="143">
        <f>VLOOKUP(Purchase[[#This Row],[Product ID]],Product[#All],6,0)</f>
        <v>2415</v>
      </c>
      <c r="L868" s="143">
        <f>Purchase[[#This Row],[Purchase Rate]]*Purchase[[#This Row],[Qty]]</f>
        <v>36225</v>
      </c>
      <c r="M868" s="140">
        <v>0</v>
      </c>
      <c r="N868" s="143">
        <v>0</v>
      </c>
      <c r="O868" s="140">
        <v>0.18</v>
      </c>
      <c r="P868" s="145">
        <f>(Purchase[[#This Row],[Gross Amount]]-Purchase[[#This Row],[Disct %]])*Purchase[[#This Row],[GST %]]</f>
        <v>6520.5</v>
      </c>
      <c r="Q868" s="145">
        <f>Purchase[[#This Row],[Gross Amount]]-Purchase[[#This Row],[Disct Amnt]]+Purchase[[#This Row],[GST Amount]]</f>
        <v>42745.5</v>
      </c>
      <c r="R868" s="138" t="s">
        <v>1019</v>
      </c>
      <c r="S868" s="41">
        <f>IF(Purchase[[#This Row],[Status]]="Cancelled",0,Purchase[[#This Row],[Qty]])</f>
        <v>15</v>
      </c>
      <c r="T868" s="146">
        <f>IF(Purchase[[#This Row],[Status]]="Cancelled",0,Purchase[[#This Row],[Total Amount]])</f>
        <v>42745.5</v>
      </c>
      <c r="U868" s="146">
        <f>SUM(Purchase[Net Amount])</f>
        <v>814985438.68000126</v>
      </c>
    </row>
    <row r="869" spans="1:21" ht="19.5" thickBot="1" x14ac:dyDescent="0.3">
      <c r="A869" s="136" t="s">
        <v>1910</v>
      </c>
      <c r="B869" s="137">
        <v>45702</v>
      </c>
      <c r="C869" s="138" t="s">
        <v>616</v>
      </c>
      <c r="D869" s="138" t="str">
        <f>VLOOKUP(Purchase[[#This Row],[Supplier ID]],Supplier[#All],2,0)</f>
        <v>Global Suppliers</v>
      </c>
      <c r="E869" s="138">
        <f>VLOOKUP(Purchase[[#This Row],[Supplier ID]],Supplier[#All],3,0)</f>
        <v>9689542499</v>
      </c>
      <c r="F869" s="138" t="str">
        <f>VLOOKUP(Purchase[[#This Row],[Supplier ID]],Supplier[#All],4,0)</f>
        <v>Kanpur</v>
      </c>
      <c r="G869" s="138" t="str">
        <f>VLOOKUP(Purchase[[#This Row],[Supplier ID]],Supplier[#All],5,0)</f>
        <v>UP</v>
      </c>
      <c r="H869" s="138" t="str">
        <f>VLOOKUP(Purchase[[#This Row],[Supplier ID]],Supplier[#All],6,0)</f>
        <v>GST2154521T061</v>
      </c>
      <c r="I869" s="138" t="s">
        <v>184</v>
      </c>
      <c r="J869" s="139">
        <v>5</v>
      </c>
      <c r="K869" s="143">
        <f>VLOOKUP(Purchase[[#This Row],[Product ID]],Product[#All],6,0)</f>
        <v>9420</v>
      </c>
      <c r="L869" s="143">
        <f>Purchase[[#This Row],[Purchase Rate]]*Purchase[[#This Row],[Qty]]</f>
        <v>47100</v>
      </c>
      <c r="M869" s="140">
        <v>0</v>
      </c>
      <c r="N869" s="143">
        <v>0</v>
      </c>
      <c r="O869" s="140">
        <v>0.18</v>
      </c>
      <c r="P869" s="145">
        <f>(Purchase[[#This Row],[Gross Amount]]-Purchase[[#This Row],[Disct %]])*Purchase[[#This Row],[GST %]]</f>
        <v>8478</v>
      </c>
      <c r="Q869" s="145">
        <f>Purchase[[#This Row],[Gross Amount]]-Purchase[[#This Row],[Disct Amnt]]+Purchase[[#This Row],[GST Amount]]</f>
        <v>55578</v>
      </c>
      <c r="R869" s="138" t="s">
        <v>1019</v>
      </c>
      <c r="S869" s="41">
        <f>IF(Purchase[[#This Row],[Status]]="Cancelled",0,Purchase[[#This Row],[Qty]])</f>
        <v>5</v>
      </c>
      <c r="T869" s="146">
        <f>IF(Purchase[[#This Row],[Status]]="Cancelled",0,Purchase[[#This Row],[Total Amount]])</f>
        <v>55578</v>
      </c>
      <c r="U869" s="146">
        <f>SUM(Purchase[Net Amount])</f>
        <v>814985438.68000126</v>
      </c>
    </row>
    <row r="870" spans="1:21" ht="19.5" thickBot="1" x14ac:dyDescent="0.3">
      <c r="A870" s="136" t="s">
        <v>1911</v>
      </c>
      <c r="B870" s="137">
        <v>45702</v>
      </c>
      <c r="C870" s="138" t="s">
        <v>1447</v>
      </c>
      <c r="D870" s="138" t="str">
        <f>VLOOKUP(Purchase[[#This Row],[Supplier ID]],Supplier[#All],2,0)</f>
        <v>Prime Traders</v>
      </c>
      <c r="E870" s="138">
        <f>VLOOKUP(Purchase[[#This Row],[Supplier ID]],Supplier[#All],3,0)</f>
        <v>9689542456</v>
      </c>
      <c r="F870" s="138" t="str">
        <f>VLOOKUP(Purchase[[#This Row],[Supplier ID]],Supplier[#All],4,0)</f>
        <v>Indore</v>
      </c>
      <c r="G870" s="138" t="str">
        <f>VLOOKUP(Purchase[[#This Row],[Supplier ID]],Supplier[#All],5,0)</f>
        <v>MP</v>
      </c>
      <c r="H870" s="138" t="str">
        <f>VLOOKUP(Purchase[[#This Row],[Supplier ID]],Supplier[#All],6,0)</f>
        <v>GST2154521T018</v>
      </c>
      <c r="I870" s="138" t="s">
        <v>280</v>
      </c>
      <c r="J870" s="139">
        <v>33</v>
      </c>
      <c r="K870" s="143">
        <f>VLOOKUP(Purchase[[#This Row],[Product ID]],Product[#All],6,0)</f>
        <v>28461</v>
      </c>
      <c r="L870" s="143">
        <f>Purchase[[#This Row],[Purchase Rate]]*Purchase[[#This Row],[Qty]]</f>
        <v>939213</v>
      </c>
      <c r="M870" s="140">
        <v>0</v>
      </c>
      <c r="N870" s="143">
        <v>0</v>
      </c>
      <c r="O870" s="140">
        <v>0.18</v>
      </c>
      <c r="P870" s="145">
        <f>(Purchase[[#This Row],[Gross Amount]]-Purchase[[#This Row],[Disct %]])*Purchase[[#This Row],[GST %]]</f>
        <v>169058.34</v>
      </c>
      <c r="Q870" s="145">
        <f>Purchase[[#This Row],[Gross Amount]]-Purchase[[#This Row],[Disct Amnt]]+Purchase[[#This Row],[GST Amount]]</f>
        <v>1108271.3400000001</v>
      </c>
      <c r="R870" s="138" t="s">
        <v>1019</v>
      </c>
      <c r="S870" s="41">
        <f>IF(Purchase[[#This Row],[Status]]="Cancelled",0,Purchase[[#This Row],[Qty]])</f>
        <v>33</v>
      </c>
      <c r="T870" s="146">
        <f>IF(Purchase[[#This Row],[Status]]="Cancelled",0,Purchase[[#This Row],[Total Amount]])</f>
        <v>1108271.3400000001</v>
      </c>
      <c r="U870" s="146">
        <f>SUM(Purchase[Net Amount])</f>
        <v>814985438.68000126</v>
      </c>
    </row>
    <row r="871" spans="1:21" ht="19.5" thickBot="1" x14ac:dyDescent="0.3">
      <c r="A871" s="136" t="s">
        <v>1912</v>
      </c>
      <c r="B871" s="137">
        <v>45702</v>
      </c>
      <c r="C871" s="138" t="s">
        <v>566</v>
      </c>
      <c r="D871" s="138" t="str">
        <f>VLOOKUP(Purchase[[#This Row],[Supplier ID]],Supplier[#All],2,0)</f>
        <v>Maa Computers</v>
      </c>
      <c r="E871" s="138">
        <f>VLOOKUP(Purchase[[#This Row],[Supplier ID]],Supplier[#All],3,0)</f>
        <v>9689542452</v>
      </c>
      <c r="F871" s="138" t="str">
        <f>VLOOKUP(Purchase[[#This Row],[Supplier ID]],Supplier[#All],4,0)</f>
        <v>Kanpur</v>
      </c>
      <c r="G871" s="138" t="str">
        <f>VLOOKUP(Purchase[[#This Row],[Supplier ID]],Supplier[#All],5,0)</f>
        <v>UP</v>
      </c>
      <c r="H871" s="138" t="str">
        <f>VLOOKUP(Purchase[[#This Row],[Supplier ID]],Supplier[#All],6,0)</f>
        <v>GST2154521T014</v>
      </c>
      <c r="I871" s="138" t="s">
        <v>335</v>
      </c>
      <c r="J871" s="139">
        <v>5</v>
      </c>
      <c r="K871" s="143">
        <f>VLOOKUP(Purchase[[#This Row],[Product ID]],Product[#All],6,0)</f>
        <v>3570</v>
      </c>
      <c r="L871" s="143">
        <f>Purchase[[#This Row],[Purchase Rate]]*Purchase[[#This Row],[Qty]]</f>
        <v>17850</v>
      </c>
      <c r="M871" s="140">
        <v>0</v>
      </c>
      <c r="N871" s="143">
        <v>0</v>
      </c>
      <c r="O871" s="140">
        <v>0.18</v>
      </c>
      <c r="P871" s="145">
        <f>(Purchase[[#This Row],[Gross Amount]]-Purchase[[#This Row],[Disct %]])*Purchase[[#This Row],[GST %]]</f>
        <v>3213</v>
      </c>
      <c r="Q871" s="145">
        <f>Purchase[[#This Row],[Gross Amount]]-Purchase[[#This Row],[Disct Amnt]]+Purchase[[#This Row],[GST Amount]]</f>
        <v>21063</v>
      </c>
      <c r="R871" s="138" t="s">
        <v>1019</v>
      </c>
      <c r="S871" s="41">
        <f>IF(Purchase[[#This Row],[Status]]="Cancelled",0,Purchase[[#This Row],[Qty]])</f>
        <v>5</v>
      </c>
      <c r="T871" s="146">
        <f>IF(Purchase[[#This Row],[Status]]="Cancelled",0,Purchase[[#This Row],[Total Amount]])</f>
        <v>21063</v>
      </c>
      <c r="U871" s="146">
        <f>SUM(Purchase[Net Amount])</f>
        <v>814985438.68000126</v>
      </c>
    </row>
    <row r="872" spans="1:21" ht="19.5" thickBot="1" x14ac:dyDescent="0.3">
      <c r="A872" s="136" t="s">
        <v>1913</v>
      </c>
      <c r="B872" s="137">
        <v>45702</v>
      </c>
      <c r="C872" s="138" t="s">
        <v>599</v>
      </c>
      <c r="D872" s="138" t="str">
        <f>VLOOKUP(Purchase[[#This Row],[Supplier ID]],Supplier[#All],2,0)</f>
        <v>National Distributors</v>
      </c>
      <c r="E872" s="138">
        <f>VLOOKUP(Purchase[[#This Row],[Supplier ID]],Supplier[#All],3,0)</f>
        <v>9689542482</v>
      </c>
      <c r="F872" s="138" t="str">
        <f>VLOOKUP(Purchase[[#This Row],[Supplier ID]],Supplier[#All],4,0)</f>
        <v>Kanpur</v>
      </c>
      <c r="G872" s="138" t="str">
        <f>VLOOKUP(Purchase[[#This Row],[Supplier ID]],Supplier[#All],5,0)</f>
        <v>UP</v>
      </c>
      <c r="H872" s="138" t="str">
        <f>VLOOKUP(Purchase[[#This Row],[Supplier ID]],Supplier[#All],6,0)</f>
        <v>GST2154521T044</v>
      </c>
      <c r="I872" s="138" t="s">
        <v>165</v>
      </c>
      <c r="J872" s="139">
        <v>4</v>
      </c>
      <c r="K872" s="143">
        <f>VLOOKUP(Purchase[[#This Row],[Product ID]],Product[#All],6,0)</f>
        <v>6875</v>
      </c>
      <c r="L872" s="143">
        <f>Purchase[[#This Row],[Purchase Rate]]*Purchase[[#This Row],[Qty]]</f>
        <v>27500</v>
      </c>
      <c r="M872" s="140">
        <v>0</v>
      </c>
      <c r="N872" s="143">
        <v>0</v>
      </c>
      <c r="O872" s="140">
        <v>0.18</v>
      </c>
      <c r="P872" s="145">
        <f>(Purchase[[#This Row],[Gross Amount]]-Purchase[[#This Row],[Disct %]])*Purchase[[#This Row],[GST %]]</f>
        <v>4950</v>
      </c>
      <c r="Q872" s="145">
        <f>Purchase[[#This Row],[Gross Amount]]-Purchase[[#This Row],[Disct Amnt]]+Purchase[[#This Row],[GST Amount]]</f>
        <v>32450</v>
      </c>
      <c r="R872" s="138" t="s">
        <v>1019</v>
      </c>
      <c r="S872" s="41">
        <f>IF(Purchase[[#This Row],[Status]]="Cancelled",0,Purchase[[#This Row],[Qty]])</f>
        <v>4</v>
      </c>
      <c r="T872" s="146">
        <f>IF(Purchase[[#This Row],[Status]]="Cancelled",0,Purchase[[#This Row],[Total Amount]])</f>
        <v>32450</v>
      </c>
      <c r="U872" s="146">
        <f>SUM(Purchase[Net Amount])</f>
        <v>814985438.68000126</v>
      </c>
    </row>
    <row r="873" spans="1:21" ht="19.5" thickBot="1" x14ac:dyDescent="0.3">
      <c r="A873" s="136" t="s">
        <v>1914</v>
      </c>
      <c r="B873" s="137">
        <v>45702</v>
      </c>
      <c r="C873" s="138" t="s">
        <v>577</v>
      </c>
      <c r="D873" s="138" t="str">
        <f>VLOOKUP(Purchase[[#This Row],[Supplier ID]],Supplier[#All],2,0)</f>
        <v>National Electronics</v>
      </c>
      <c r="E873" s="138">
        <f>VLOOKUP(Purchase[[#This Row],[Supplier ID]],Supplier[#All],3,0)</f>
        <v>9689542469</v>
      </c>
      <c r="F873" s="138" t="str">
        <f>VLOOKUP(Purchase[[#This Row],[Supplier ID]],Supplier[#All],4,0)</f>
        <v>Korba</v>
      </c>
      <c r="G873" s="138" t="str">
        <f>VLOOKUP(Purchase[[#This Row],[Supplier ID]],Supplier[#All],5,0)</f>
        <v>CG</v>
      </c>
      <c r="H873" s="138" t="str">
        <f>VLOOKUP(Purchase[[#This Row],[Supplier ID]],Supplier[#All],6,0)</f>
        <v>GST2154521T023</v>
      </c>
      <c r="I873" s="138" t="s">
        <v>372</v>
      </c>
      <c r="J873" s="139">
        <v>11</v>
      </c>
      <c r="K873" s="143">
        <f>VLOOKUP(Purchase[[#This Row],[Product ID]],Product[#All],6,0)</f>
        <v>441</v>
      </c>
      <c r="L873" s="143">
        <f>Purchase[[#This Row],[Purchase Rate]]*Purchase[[#This Row],[Qty]]</f>
        <v>4851</v>
      </c>
      <c r="M873" s="140">
        <v>0</v>
      </c>
      <c r="N873" s="143">
        <v>0</v>
      </c>
      <c r="O873" s="140">
        <v>0.18</v>
      </c>
      <c r="P873" s="145">
        <f>(Purchase[[#This Row],[Gross Amount]]-Purchase[[#This Row],[Disct %]])*Purchase[[#This Row],[GST %]]</f>
        <v>873.18</v>
      </c>
      <c r="Q873" s="145">
        <f>Purchase[[#This Row],[Gross Amount]]-Purchase[[#This Row],[Disct Amnt]]+Purchase[[#This Row],[GST Amount]]</f>
        <v>5724.18</v>
      </c>
      <c r="R873" s="138" t="s">
        <v>1019</v>
      </c>
      <c r="S873" s="41">
        <f>IF(Purchase[[#This Row],[Status]]="Cancelled",0,Purchase[[#This Row],[Qty]])</f>
        <v>11</v>
      </c>
      <c r="T873" s="146">
        <f>IF(Purchase[[#This Row],[Status]]="Cancelled",0,Purchase[[#This Row],[Total Amount]])</f>
        <v>5724.18</v>
      </c>
      <c r="U873" s="146">
        <f>SUM(Purchase[Net Amount])</f>
        <v>814985438.68000126</v>
      </c>
    </row>
    <row r="874" spans="1:21" ht="19.5" thickBot="1" x14ac:dyDescent="0.3">
      <c r="A874" s="136" t="s">
        <v>1915</v>
      </c>
      <c r="B874" s="137">
        <v>45702</v>
      </c>
      <c r="C874" s="138" t="s">
        <v>565</v>
      </c>
      <c r="D874" s="138" t="str">
        <f>VLOOKUP(Purchase[[#This Row],[Supplier ID]],Supplier[#All],2,0)</f>
        <v>Global Suppliers</v>
      </c>
      <c r="E874" s="138">
        <f>VLOOKUP(Purchase[[#This Row],[Supplier ID]],Supplier[#All],3,0)</f>
        <v>9689542459</v>
      </c>
      <c r="F874" s="138" t="str">
        <f>VLOOKUP(Purchase[[#This Row],[Supplier ID]],Supplier[#All],4,0)</f>
        <v>Indore</v>
      </c>
      <c r="G874" s="138" t="str">
        <f>VLOOKUP(Purchase[[#This Row],[Supplier ID]],Supplier[#All],5,0)</f>
        <v>MP</v>
      </c>
      <c r="H874" s="138" t="str">
        <f>VLOOKUP(Purchase[[#This Row],[Supplier ID]],Supplier[#All],6,0)</f>
        <v>GST2154521T013</v>
      </c>
      <c r="I874" s="138" t="s">
        <v>402</v>
      </c>
      <c r="J874" s="139">
        <v>40</v>
      </c>
      <c r="K874" s="143">
        <f>VLOOKUP(Purchase[[#This Row],[Product ID]],Product[#All],6,0)</f>
        <v>2925</v>
      </c>
      <c r="L874" s="143">
        <f>Purchase[[#This Row],[Purchase Rate]]*Purchase[[#This Row],[Qty]]</f>
        <v>117000</v>
      </c>
      <c r="M874" s="140">
        <v>0</v>
      </c>
      <c r="N874" s="143">
        <v>0</v>
      </c>
      <c r="O874" s="140">
        <v>0.18</v>
      </c>
      <c r="P874" s="145">
        <f>(Purchase[[#This Row],[Gross Amount]]-Purchase[[#This Row],[Disct %]])*Purchase[[#This Row],[GST %]]</f>
        <v>21060</v>
      </c>
      <c r="Q874" s="145">
        <f>Purchase[[#This Row],[Gross Amount]]-Purchase[[#This Row],[Disct Amnt]]+Purchase[[#This Row],[GST Amount]]</f>
        <v>138060</v>
      </c>
      <c r="R874" s="138" t="s">
        <v>1040</v>
      </c>
      <c r="S874" s="41">
        <f>IF(Purchase[[#This Row],[Status]]="Cancelled",0,Purchase[[#This Row],[Qty]])</f>
        <v>0</v>
      </c>
      <c r="T874" s="146">
        <f>IF(Purchase[[#This Row],[Status]]="Cancelled",0,Purchase[[#This Row],[Total Amount]])</f>
        <v>0</v>
      </c>
      <c r="U874" s="146">
        <f>SUM(Purchase[Net Amount])</f>
        <v>814985438.68000126</v>
      </c>
    </row>
    <row r="875" spans="1:21" ht="19.5" thickBot="1" x14ac:dyDescent="0.3">
      <c r="A875" s="136" t="s">
        <v>1916</v>
      </c>
      <c r="B875" s="137">
        <v>45702</v>
      </c>
      <c r="C875" s="138" t="s">
        <v>602</v>
      </c>
      <c r="D875" s="138" t="str">
        <f>VLOOKUP(Purchase[[#This Row],[Supplier ID]],Supplier[#All],2,0)</f>
        <v>Maa Computers</v>
      </c>
      <c r="E875" s="138">
        <f>VLOOKUP(Purchase[[#This Row],[Supplier ID]],Supplier[#All],3,0)</f>
        <v>9689542485</v>
      </c>
      <c r="F875" s="138" t="str">
        <f>VLOOKUP(Purchase[[#This Row],[Supplier ID]],Supplier[#All],4,0)</f>
        <v>Korba</v>
      </c>
      <c r="G875" s="138" t="str">
        <f>VLOOKUP(Purchase[[#This Row],[Supplier ID]],Supplier[#All],5,0)</f>
        <v>CG</v>
      </c>
      <c r="H875" s="138" t="str">
        <f>VLOOKUP(Purchase[[#This Row],[Supplier ID]],Supplier[#All],6,0)</f>
        <v>GST2154521T047</v>
      </c>
      <c r="I875" s="138" t="s">
        <v>325</v>
      </c>
      <c r="J875" s="139">
        <v>5</v>
      </c>
      <c r="K875" s="143">
        <f>VLOOKUP(Purchase[[#This Row],[Product ID]],Product[#All],6,0)</f>
        <v>1396</v>
      </c>
      <c r="L875" s="143">
        <f>Purchase[[#This Row],[Purchase Rate]]*Purchase[[#This Row],[Qty]]</f>
        <v>6980</v>
      </c>
      <c r="M875" s="140">
        <v>0</v>
      </c>
      <c r="N875" s="143">
        <v>0</v>
      </c>
      <c r="O875" s="140">
        <v>0.18</v>
      </c>
      <c r="P875" s="145">
        <f>(Purchase[[#This Row],[Gross Amount]]-Purchase[[#This Row],[Disct %]])*Purchase[[#This Row],[GST %]]</f>
        <v>1256.3999999999999</v>
      </c>
      <c r="Q875" s="145">
        <f>Purchase[[#This Row],[Gross Amount]]-Purchase[[#This Row],[Disct Amnt]]+Purchase[[#This Row],[GST Amount]]</f>
        <v>8236.4</v>
      </c>
      <c r="R875" s="138" t="s">
        <v>1019</v>
      </c>
      <c r="S875" s="41">
        <f>IF(Purchase[[#This Row],[Status]]="Cancelled",0,Purchase[[#This Row],[Qty]])</f>
        <v>5</v>
      </c>
      <c r="T875" s="146">
        <f>IF(Purchase[[#This Row],[Status]]="Cancelled",0,Purchase[[#This Row],[Total Amount]])</f>
        <v>8236.4</v>
      </c>
      <c r="U875" s="146">
        <f>SUM(Purchase[Net Amount])</f>
        <v>814985438.68000126</v>
      </c>
    </row>
    <row r="876" spans="1:21" ht="19.5" thickBot="1" x14ac:dyDescent="0.3">
      <c r="A876" s="136" t="s">
        <v>1917</v>
      </c>
      <c r="B876" s="137">
        <v>45702</v>
      </c>
      <c r="C876" s="138" t="s">
        <v>615</v>
      </c>
      <c r="D876" s="138" t="str">
        <f>VLOOKUP(Purchase[[#This Row],[Supplier ID]],Supplier[#All],2,0)</f>
        <v>NATIONAL ELECTRONICS</v>
      </c>
      <c r="E876" s="138">
        <f>VLOOKUP(Purchase[[#This Row],[Supplier ID]],Supplier[#All],3,0)</f>
        <v>9689542498</v>
      </c>
      <c r="F876" s="138" t="str">
        <f>VLOOKUP(Purchase[[#This Row],[Supplier ID]],Supplier[#All],4,0)</f>
        <v>Kanpur</v>
      </c>
      <c r="G876" s="138" t="str">
        <f>VLOOKUP(Purchase[[#This Row],[Supplier ID]],Supplier[#All],5,0)</f>
        <v>UP</v>
      </c>
      <c r="H876" s="138" t="str">
        <f>VLOOKUP(Purchase[[#This Row],[Supplier ID]],Supplier[#All],6,0)</f>
        <v>GST2154521T060</v>
      </c>
      <c r="I876" s="138" t="s">
        <v>61</v>
      </c>
      <c r="J876" s="139">
        <v>3</v>
      </c>
      <c r="K876" s="143">
        <f>VLOOKUP(Purchase[[#This Row],[Product ID]],Product[#All],6,0)</f>
        <v>2704</v>
      </c>
      <c r="L876" s="143">
        <f>Purchase[[#This Row],[Purchase Rate]]*Purchase[[#This Row],[Qty]]</f>
        <v>8112</v>
      </c>
      <c r="M876" s="140">
        <v>0</v>
      </c>
      <c r="N876" s="143">
        <v>0</v>
      </c>
      <c r="O876" s="140">
        <v>0.18</v>
      </c>
      <c r="P876" s="145">
        <f>(Purchase[[#This Row],[Gross Amount]]-Purchase[[#This Row],[Disct %]])*Purchase[[#This Row],[GST %]]</f>
        <v>1460.1599999999999</v>
      </c>
      <c r="Q876" s="145">
        <f>Purchase[[#This Row],[Gross Amount]]-Purchase[[#This Row],[Disct Amnt]]+Purchase[[#This Row],[GST Amount]]</f>
        <v>9572.16</v>
      </c>
      <c r="R876" s="138" t="s">
        <v>1019</v>
      </c>
      <c r="S876" s="41">
        <f>IF(Purchase[[#This Row],[Status]]="Cancelled",0,Purchase[[#This Row],[Qty]])</f>
        <v>3</v>
      </c>
      <c r="T876" s="146">
        <f>IF(Purchase[[#This Row],[Status]]="Cancelled",0,Purchase[[#This Row],[Total Amount]])</f>
        <v>9572.16</v>
      </c>
      <c r="U876" s="146">
        <f>SUM(Purchase[Net Amount])</f>
        <v>814985438.68000126</v>
      </c>
    </row>
    <row r="877" spans="1:21" ht="19.5" thickBot="1" x14ac:dyDescent="0.3">
      <c r="A877" s="136" t="s">
        <v>1918</v>
      </c>
      <c r="B877" s="137">
        <v>45702</v>
      </c>
      <c r="C877" s="138" t="s">
        <v>588</v>
      </c>
      <c r="D877" s="138" t="str">
        <f>VLOOKUP(Purchase[[#This Row],[Supplier ID]],Supplier[#All],2,0)</f>
        <v>Star Electronics</v>
      </c>
      <c r="E877" s="138">
        <f>VLOOKUP(Purchase[[#This Row],[Supplier ID]],Supplier[#All],3,0)</f>
        <v>9689542472</v>
      </c>
      <c r="F877" s="138" t="str">
        <f>VLOOKUP(Purchase[[#This Row],[Supplier ID]],Supplier[#All],4,0)</f>
        <v>Korba</v>
      </c>
      <c r="G877" s="138" t="str">
        <f>VLOOKUP(Purchase[[#This Row],[Supplier ID]],Supplier[#All],5,0)</f>
        <v>CG</v>
      </c>
      <c r="H877" s="138" t="str">
        <f>VLOOKUP(Purchase[[#This Row],[Supplier ID]],Supplier[#All],6,0)</f>
        <v>GST2154521T034</v>
      </c>
      <c r="I877" s="138" t="s">
        <v>188</v>
      </c>
      <c r="J877" s="139">
        <v>5</v>
      </c>
      <c r="K877" s="143">
        <f>VLOOKUP(Purchase[[#This Row],[Product ID]],Product[#All],6,0)</f>
        <v>11278</v>
      </c>
      <c r="L877" s="143">
        <f>Purchase[[#This Row],[Purchase Rate]]*Purchase[[#This Row],[Qty]]</f>
        <v>56390</v>
      </c>
      <c r="M877" s="140">
        <v>0</v>
      </c>
      <c r="N877" s="143">
        <v>0</v>
      </c>
      <c r="O877" s="140">
        <v>0.18</v>
      </c>
      <c r="P877" s="145">
        <f>(Purchase[[#This Row],[Gross Amount]]-Purchase[[#This Row],[Disct %]])*Purchase[[#This Row],[GST %]]</f>
        <v>10150.199999999999</v>
      </c>
      <c r="Q877" s="145">
        <f>Purchase[[#This Row],[Gross Amount]]-Purchase[[#This Row],[Disct Amnt]]+Purchase[[#This Row],[GST Amount]]</f>
        <v>66540.2</v>
      </c>
      <c r="R877" s="138" t="s">
        <v>1019</v>
      </c>
      <c r="S877" s="41">
        <f>IF(Purchase[[#This Row],[Status]]="Cancelled",0,Purchase[[#This Row],[Qty]])</f>
        <v>5</v>
      </c>
      <c r="T877" s="146">
        <f>IF(Purchase[[#This Row],[Status]]="Cancelled",0,Purchase[[#This Row],[Total Amount]])</f>
        <v>66540.2</v>
      </c>
      <c r="U877" s="146">
        <f>SUM(Purchase[Net Amount])</f>
        <v>814985438.68000126</v>
      </c>
    </row>
    <row r="878" spans="1:21" ht="19.5" thickBot="1" x14ac:dyDescent="0.3">
      <c r="A878" s="136" t="s">
        <v>1919</v>
      </c>
      <c r="B878" s="137">
        <v>45702</v>
      </c>
      <c r="C878" s="138" t="s">
        <v>588</v>
      </c>
      <c r="D878" s="138" t="str">
        <f>VLOOKUP(Purchase[[#This Row],[Supplier ID]],Supplier[#All],2,0)</f>
        <v>Star Electronics</v>
      </c>
      <c r="E878" s="138">
        <f>VLOOKUP(Purchase[[#This Row],[Supplier ID]],Supplier[#All],3,0)</f>
        <v>9689542472</v>
      </c>
      <c r="F878" s="138" t="str">
        <f>VLOOKUP(Purchase[[#This Row],[Supplier ID]],Supplier[#All],4,0)</f>
        <v>Korba</v>
      </c>
      <c r="G878" s="138" t="str">
        <f>VLOOKUP(Purchase[[#This Row],[Supplier ID]],Supplier[#All],5,0)</f>
        <v>CG</v>
      </c>
      <c r="H878" s="138" t="str">
        <f>VLOOKUP(Purchase[[#This Row],[Supplier ID]],Supplier[#All],6,0)</f>
        <v>GST2154521T034</v>
      </c>
      <c r="I878" s="138" t="s">
        <v>263</v>
      </c>
      <c r="J878" s="139">
        <v>3</v>
      </c>
      <c r="K878" s="143">
        <f>VLOOKUP(Purchase[[#This Row],[Product ID]],Product[#All],6,0)</f>
        <v>619</v>
      </c>
      <c r="L878" s="143">
        <f>Purchase[[#This Row],[Purchase Rate]]*Purchase[[#This Row],[Qty]]</f>
        <v>1857</v>
      </c>
      <c r="M878" s="140">
        <v>0</v>
      </c>
      <c r="N878" s="143">
        <v>0</v>
      </c>
      <c r="O878" s="140">
        <v>0.18</v>
      </c>
      <c r="P878" s="145">
        <f>(Purchase[[#This Row],[Gross Amount]]-Purchase[[#This Row],[Disct %]])*Purchase[[#This Row],[GST %]]</f>
        <v>334.26</v>
      </c>
      <c r="Q878" s="145">
        <f>Purchase[[#This Row],[Gross Amount]]-Purchase[[#This Row],[Disct Amnt]]+Purchase[[#This Row],[GST Amount]]</f>
        <v>2191.2600000000002</v>
      </c>
      <c r="R878" s="138" t="s">
        <v>1019</v>
      </c>
      <c r="S878" s="41">
        <f>IF(Purchase[[#This Row],[Status]]="Cancelled",0,Purchase[[#This Row],[Qty]])</f>
        <v>3</v>
      </c>
      <c r="T878" s="146">
        <f>IF(Purchase[[#This Row],[Status]]="Cancelled",0,Purchase[[#This Row],[Total Amount]])</f>
        <v>2191.2600000000002</v>
      </c>
      <c r="U878" s="146">
        <f>SUM(Purchase[Net Amount])</f>
        <v>814985438.68000126</v>
      </c>
    </row>
    <row r="879" spans="1:21" ht="19.5" thickBot="1" x14ac:dyDescent="0.3">
      <c r="A879" s="136" t="s">
        <v>1920</v>
      </c>
      <c r="B879" s="137">
        <v>45702</v>
      </c>
      <c r="C879" s="138" t="s">
        <v>584</v>
      </c>
      <c r="D879" s="138" t="str">
        <f>VLOOKUP(Purchase[[#This Row],[Supplier ID]],Supplier[#All],2,0)</f>
        <v>Prime Computers</v>
      </c>
      <c r="E879" s="138">
        <f>VLOOKUP(Purchase[[#This Row],[Supplier ID]],Supplier[#All],3,0)</f>
        <v>9689542468</v>
      </c>
      <c r="F879" s="138" t="str">
        <f>VLOOKUP(Purchase[[#This Row],[Supplier ID]],Supplier[#All],4,0)</f>
        <v>Kanpur</v>
      </c>
      <c r="G879" s="138" t="str">
        <f>VLOOKUP(Purchase[[#This Row],[Supplier ID]],Supplier[#All],5,0)</f>
        <v>UP</v>
      </c>
      <c r="H879" s="138" t="str">
        <f>VLOOKUP(Purchase[[#This Row],[Supplier ID]],Supplier[#All],6,0)</f>
        <v>GST2154521T030</v>
      </c>
      <c r="I879" s="138" t="s">
        <v>536</v>
      </c>
      <c r="J879" s="139">
        <v>21</v>
      </c>
      <c r="K879" s="143">
        <f>VLOOKUP(Purchase[[#This Row],[Product ID]],Product[#All],6,0)</f>
        <v>961</v>
      </c>
      <c r="L879" s="143">
        <f>Purchase[[#This Row],[Purchase Rate]]*Purchase[[#This Row],[Qty]]</f>
        <v>20181</v>
      </c>
      <c r="M879" s="140">
        <v>0</v>
      </c>
      <c r="N879" s="143">
        <v>0</v>
      </c>
      <c r="O879" s="140">
        <v>0.18</v>
      </c>
      <c r="P879" s="145">
        <f>(Purchase[[#This Row],[Gross Amount]]-Purchase[[#This Row],[Disct %]])*Purchase[[#This Row],[GST %]]</f>
        <v>3632.58</v>
      </c>
      <c r="Q879" s="145">
        <f>Purchase[[#This Row],[Gross Amount]]-Purchase[[#This Row],[Disct Amnt]]+Purchase[[#This Row],[GST Amount]]</f>
        <v>23813.58</v>
      </c>
      <c r="R879" s="138" t="s">
        <v>1019</v>
      </c>
      <c r="S879" s="41">
        <f>IF(Purchase[[#This Row],[Status]]="Cancelled",0,Purchase[[#This Row],[Qty]])</f>
        <v>21</v>
      </c>
      <c r="T879" s="146">
        <f>IF(Purchase[[#This Row],[Status]]="Cancelled",0,Purchase[[#This Row],[Total Amount]])</f>
        <v>23813.58</v>
      </c>
      <c r="U879" s="146">
        <f>SUM(Purchase[Net Amount])</f>
        <v>814985438.68000126</v>
      </c>
    </row>
    <row r="880" spans="1:21" ht="19.5" thickBot="1" x14ac:dyDescent="0.3">
      <c r="A880" s="136" t="s">
        <v>1921</v>
      </c>
      <c r="B880" s="137">
        <v>45702</v>
      </c>
      <c r="C880" s="138" t="s">
        <v>584</v>
      </c>
      <c r="D880" s="138" t="str">
        <f>VLOOKUP(Purchase[[#This Row],[Supplier ID]],Supplier[#All],2,0)</f>
        <v>Prime Computers</v>
      </c>
      <c r="E880" s="138">
        <f>VLOOKUP(Purchase[[#This Row],[Supplier ID]],Supplier[#All],3,0)</f>
        <v>9689542468</v>
      </c>
      <c r="F880" s="138" t="str">
        <f>VLOOKUP(Purchase[[#This Row],[Supplier ID]],Supplier[#All],4,0)</f>
        <v>Kanpur</v>
      </c>
      <c r="G880" s="138" t="str">
        <f>VLOOKUP(Purchase[[#This Row],[Supplier ID]],Supplier[#All],5,0)</f>
        <v>UP</v>
      </c>
      <c r="H880" s="138" t="str">
        <f>VLOOKUP(Purchase[[#This Row],[Supplier ID]],Supplier[#All],6,0)</f>
        <v>GST2154521T030</v>
      </c>
      <c r="I880" s="138" t="s">
        <v>263</v>
      </c>
      <c r="J880" s="139">
        <v>40</v>
      </c>
      <c r="K880" s="143">
        <f>VLOOKUP(Purchase[[#This Row],[Product ID]],Product[#All],6,0)</f>
        <v>619</v>
      </c>
      <c r="L880" s="143">
        <f>Purchase[[#This Row],[Purchase Rate]]*Purchase[[#This Row],[Qty]]</f>
        <v>24760</v>
      </c>
      <c r="M880" s="140">
        <v>0</v>
      </c>
      <c r="N880" s="143">
        <v>0</v>
      </c>
      <c r="O880" s="140">
        <v>0.18</v>
      </c>
      <c r="P880" s="145">
        <f>(Purchase[[#This Row],[Gross Amount]]-Purchase[[#This Row],[Disct %]])*Purchase[[#This Row],[GST %]]</f>
        <v>4456.8</v>
      </c>
      <c r="Q880" s="145">
        <f>Purchase[[#This Row],[Gross Amount]]-Purchase[[#This Row],[Disct Amnt]]+Purchase[[#This Row],[GST Amount]]</f>
        <v>29216.799999999999</v>
      </c>
      <c r="R880" s="138" t="s">
        <v>1019</v>
      </c>
      <c r="S880" s="41">
        <f>IF(Purchase[[#This Row],[Status]]="Cancelled",0,Purchase[[#This Row],[Qty]])</f>
        <v>40</v>
      </c>
      <c r="T880" s="146">
        <f>IF(Purchase[[#This Row],[Status]]="Cancelled",0,Purchase[[#This Row],[Total Amount]])</f>
        <v>29216.799999999999</v>
      </c>
      <c r="U880" s="146">
        <f>SUM(Purchase[Net Amount])</f>
        <v>814985438.68000126</v>
      </c>
    </row>
    <row r="881" spans="1:21" ht="19.5" thickBot="1" x14ac:dyDescent="0.3">
      <c r="A881" s="136" t="s">
        <v>1922</v>
      </c>
      <c r="B881" s="137">
        <v>45702</v>
      </c>
      <c r="C881" s="138" t="s">
        <v>612</v>
      </c>
      <c r="D881" s="138" t="str">
        <f>VLOOKUP(Purchase[[#This Row],[Supplier ID]],Supplier[#All],2,0)</f>
        <v>National Computers</v>
      </c>
      <c r="E881" s="138">
        <f>VLOOKUP(Purchase[[#This Row],[Supplier ID]],Supplier[#All],3,0)</f>
        <v>9689542495</v>
      </c>
      <c r="F881" s="138" t="str">
        <f>VLOOKUP(Purchase[[#This Row],[Supplier ID]],Supplier[#All],4,0)</f>
        <v>Indore</v>
      </c>
      <c r="G881" s="138" t="str">
        <f>VLOOKUP(Purchase[[#This Row],[Supplier ID]],Supplier[#All],5,0)</f>
        <v>MP</v>
      </c>
      <c r="H881" s="138" t="str">
        <f>VLOOKUP(Purchase[[#This Row],[Supplier ID]],Supplier[#All],6,0)</f>
        <v>GST2154521T057</v>
      </c>
      <c r="I881" s="138" t="s">
        <v>507</v>
      </c>
      <c r="J881" s="139">
        <v>26</v>
      </c>
      <c r="K881" s="143">
        <f>VLOOKUP(Purchase[[#This Row],[Product ID]],Product[#All],6,0)</f>
        <v>1636</v>
      </c>
      <c r="L881" s="143">
        <f>Purchase[[#This Row],[Purchase Rate]]*Purchase[[#This Row],[Qty]]</f>
        <v>42536</v>
      </c>
      <c r="M881" s="140">
        <v>0</v>
      </c>
      <c r="N881" s="143">
        <v>0</v>
      </c>
      <c r="O881" s="140">
        <v>0.18</v>
      </c>
      <c r="P881" s="145">
        <f>(Purchase[[#This Row],[Gross Amount]]-Purchase[[#This Row],[Disct %]])*Purchase[[#This Row],[GST %]]</f>
        <v>7656.48</v>
      </c>
      <c r="Q881" s="145">
        <f>Purchase[[#This Row],[Gross Amount]]-Purchase[[#This Row],[Disct Amnt]]+Purchase[[#This Row],[GST Amount]]</f>
        <v>50192.479999999996</v>
      </c>
      <c r="R881" s="138" t="s">
        <v>1019</v>
      </c>
      <c r="S881" s="41">
        <f>IF(Purchase[[#This Row],[Status]]="Cancelled",0,Purchase[[#This Row],[Qty]])</f>
        <v>26</v>
      </c>
      <c r="T881" s="146">
        <f>IF(Purchase[[#This Row],[Status]]="Cancelled",0,Purchase[[#This Row],[Total Amount]])</f>
        <v>50192.479999999996</v>
      </c>
      <c r="U881" s="146">
        <f>SUM(Purchase[Net Amount])</f>
        <v>814985438.68000126</v>
      </c>
    </row>
    <row r="882" spans="1:21" ht="19.5" thickBot="1" x14ac:dyDescent="0.3">
      <c r="A882" s="136" t="s">
        <v>1923</v>
      </c>
      <c r="B882" s="137">
        <v>45702</v>
      </c>
      <c r="C882" s="138" t="s">
        <v>588</v>
      </c>
      <c r="D882" s="138" t="str">
        <f>VLOOKUP(Purchase[[#This Row],[Supplier ID]],Supplier[#All],2,0)</f>
        <v>Star Electronics</v>
      </c>
      <c r="E882" s="138">
        <f>VLOOKUP(Purchase[[#This Row],[Supplier ID]],Supplier[#All],3,0)</f>
        <v>9689542472</v>
      </c>
      <c r="F882" s="138" t="str">
        <f>VLOOKUP(Purchase[[#This Row],[Supplier ID]],Supplier[#All],4,0)</f>
        <v>Korba</v>
      </c>
      <c r="G882" s="138" t="str">
        <f>VLOOKUP(Purchase[[#This Row],[Supplier ID]],Supplier[#All],5,0)</f>
        <v>CG</v>
      </c>
      <c r="H882" s="138" t="str">
        <f>VLOOKUP(Purchase[[#This Row],[Supplier ID]],Supplier[#All],6,0)</f>
        <v>GST2154521T034</v>
      </c>
      <c r="I882" s="138" t="s">
        <v>211</v>
      </c>
      <c r="J882" s="139">
        <v>39</v>
      </c>
      <c r="K882" s="143">
        <f>VLOOKUP(Purchase[[#This Row],[Product ID]],Product[#All],6,0)</f>
        <v>13782</v>
      </c>
      <c r="L882" s="143">
        <f>Purchase[[#This Row],[Purchase Rate]]*Purchase[[#This Row],[Qty]]</f>
        <v>537498</v>
      </c>
      <c r="M882" s="140">
        <v>0</v>
      </c>
      <c r="N882" s="143">
        <v>0</v>
      </c>
      <c r="O882" s="140">
        <v>0.18</v>
      </c>
      <c r="P882" s="145">
        <f>(Purchase[[#This Row],[Gross Amount]]-Purchase[[#This Row],[Disct %]])*Purchase[[#This Row],[GST %]]</f>
        <v>96749.64</v>
      </c>
      <c r="Q882" s="145">
        <f>Purchase[[#This Row],[Gross Amount]]-Purchase[[#This Row],[Disct Amnt]]+Purchase[[#This Row],[GST Amount]]</f>
        <v>634247.64</v>
      </c>
      <c r="R882" s="138" t="s">
        <v>1019</v>
      </c>
      <c r="S882" s="41">
        <f>IF(Purchase[[#This Row],[Status]]="Cancelled",0,Purchase[[#This Row],[Qty]])</f>
        <v>39</v>
      </c>
      <c r="T882" s="146">
        <f>IF(Purchase[[#This Row],[Status]]="Cancelled",0,Purchase[[#This Row],[Total Amount]])</f>
        <v>634247.64</v>
      </c>
      <c r="U882" s="146">
        <f>SUM(Purchase[Net Amount])</f>
        <v>814985438.68000126</v>
      </c>
    </row>
    <row r="883" spans="1:21" ht="19.5" thickBot="1" x14ac:dyDescent="0.3">
      <c r="A883" s="136" t="s">
        <v>1924</v>
      </c>
      <c r="B883" s="137">
        <v>45702</v>
      </c>
      <c r="C883" s="138" t="s">
        <v>580</v>
      </c>
      <c r="D883" s="138" t="str">
        <f>VLOOKUP(Purchase[[#This Row],[Supplier ID]],Supplier[#All],2,0)</f>
        <v>Star Distributors</v>
      </c>
      <c r="E883" s="138">
        <f>VLOOKUP(Purchase[[#This Row],[Supplier ID]],Supplier[#All],3,0)</f>
        <v>9689542464</v>
      </c>
      <c r="F883" s="138" t="str">
        <f>VLOOKUP(Purchase[[#This Row],[Supplier ID]],Supplier[#All],4,0)</f>
        <v>Indore</v>
      </c>
      <c r="G883" s="138" t="str">
        <f>VLOOKUP(Purchase[[#This Row],[Supplier ID]],Supplier[#All],5,0)</f>
        <v>MP</v>
      </c>
      <c r="H883" s="138" t="str">
        <f>VLOOKUP(Purchase[[#This Row],[Supplier ID]],Supplier[#All],6,0)</f>
        <v>GST2154521T026</v>
      </c>
      <c r="I883" s="138" t="s">
        <v>405</v>
      </c>
      <c r="J883" s="139">
        <v>4</v>
      </c>
      <c r="K883" s="143">
        <f>VLOOKUP(Purchase[[#This Row],[Product ID]],Product[#All],6,0)</f>
        <v>1259</v>
      </c>
      <c r="L883" s="143">
        <f>Purchase[[#This Row],[Purchase Rate]]*Purchase[[#This Row],[Qty]]</f>
        <v>5036</v>
      </c>
      <c r="M883" s="140">
        <v>0</v>
      </c>
      <c r="N883" s="143">
        <v>0</v>
      </c>
      <c r="O883" s="140">
        <v>0.18</v>
      </c>
      <c r="P883" s="145">
        <f>(Purchase[[#This Row],[Gross Amount]]-Purchase[[#This Row],[Disct %]])*Purchase[[#This Row],[GST %]]</f>
        <v>906.48</v>
      </c>
      <c r="Q883" s="145">
        <f>Purchase[[#This Row],[Gross Amount]]-Purchase[[#This Row],[Disct Amnt]]+Purchase[[#This Row],[GST Amount]]</f>
        <v>5942.48</v>
      </c>
      <c r="R883" s="138" t="s">
        <v>1040</v>
      </c>
      <c r="S883" s="41">
        <f>IF(Purchase[[#This Row],[Status]]="Cancelled",0,Purchase[[#This Row],[Qty]])</f>
        <v>0</v>
      </c>
      <c r="T883" s="146">
        <f>IF(Purchase[[#This Row],[Status]]="Cancelled",0,Purchase[[#This Row],[Total Amount]])</f>
        <v>0</v>
      </c>
      <c r="U883" s="146">
        <f>SUM(Purchase[Net Amount])</f>
        <v>814985438.68000126</v>
      </c>
    </row>
    <row r="884" spans="1:21" ht="19.5" thickBot="1" x14ac:dyDescent="0.3">
      <c r="A884" s="136" t="s">
        <v>1925</v>
      </c>
      <c r="B884" s="137">
        <v>45702</v>
      </c>
      <c r="C884" s="138" t="s">
        <v>1369</v>
      </c>
      <c r="D884" s="138" t="str">
        <f>VLOOKUP(Purchase[[#This Row],[Supplier ID]],Supplier[#All],2,0)</f>
        <v xml:space="preserve">Star Electronics </v>
      </c>
      <c r="E884" s="138">
        <f>VLOOKUP(Purchase[[#This Row],[Supplier ID]],Supplier[#All],3,0)</f>
        <v>9689542450</v>
      </c>
      <c r="F884" s="138" t="str">
        <f>VLOOKUP(Purchase[[#This Row],[Supplier ID]],Supplier[#All],4,0)</f>
        <v>Korba</v>
      </c>
      <c r="G884" s="138" t="str">
        <f>VLOOKUP(Purchase[[#This Row],[Supplier ID]],Supplier[#All],5,0)</f>
        <v>CG</v>
      </c>
      <c r="H884" s="138" t="str">
        <f>VLOOKUP(Purchase[[#This Row],[Supplier ID]],Supplier[#All],6,0)</f>
        <v>GST2154521T012</v>
      </c>
      <c r="I884" s="138" t="s">
        <v>471</v>
      </c>
      <c r="J884" s="139">
        <v>2</v>
      </c>
      <c r="K884" s="143">
        <f>VLOOKUP(Purchase[[#This Row],[Product ID]],Product[#All],6,0)</f>
        <v>8339</v>
      </c>
      <c r="L884" s="143">
        <f>Purchase[[#This Row],[Purchase Rate]]*Purchase[[#This Row],[Qty]]</f>
        <v>16678</v>
      </c>
      <c r="M884" s="140">
        <v>0</v>
      </c>
      <c r="N884" s="143">
        <v>0</v>
      </c>
      <c r="O884" s="140">
        <v>0.18</v>
      </c>
      <c r="P884" s="145">
        <f>(Purchase[[#This Row],[Gross Amount]]-Purchase[[#This Row],[Disct %]])*Purchase[[#This Row],[GST %]]</f>
        <v>3002.04</v>
      </c>
      <c r="Q884" s="145">
        <f>Purchase[[#This Row],[Gross Amount]]-Purchase[[#This Row],[Disct Amnt]]+Purchase[[#This Row],[GST Amount]]</f>
        <v>19680.04</v>
      </c>
      <c r="R884" s="138" t="s">
        <v>1019</v>
      </c>
      <c r="S884" s="41">
        <f>IF(Purchase[[#This Row],[Status]]="Cancelled",0,Purchase[[#This Row],[Qty]])</f>
        <v>2</v>
      </c>
      <c r="T884" s="146">
        <f>IF(Purchase[[#This Row],[Status]]="Cancelled",0,Purchase[[#This Row],[Total Amount]])</f>
        <v>19680.04</v>
      </c>
      <c r="U884" s="146">
        <f>SUM(Purchase[Net Amount])</f>
        <v>814985438.68000126</v>
      </c>
    </row>
    <row r="885" spans="1:21" ht="19.5" thickBot="1" x14ac:dyDescent="0.3">
      <c r="A885" s="136" t="s">
        <v>1926</v>
      </c>
      <c r="B885" s="137">
        <v>45702</v>
      </c>
      <c r="C885" s="138" t="s">
        <v>593</v>
      </c>
      <c r="D885" s="138" t="str">
        <f>VLOOKUP(Purchase[[#This Row],[Supplier ID]],Supplier[#All],2,0)</f>
        <v>Global Suppliers</v>
      </c>
      <c r="E885" s="138">
        <f>VLOOKUP(Purchase[[#This Row],[Supplier ID]],Supplier[#All],3,0)</f>
        <v>9689542476</v>
      </c>
      <c r="F885" s="138" t="str">
        <f>VLOOKUP(Purchase[[#This Row],[Supplier ID]],Supplier[#All],4,0)</f>
        <v>Korba</v>
      </c>
      <c r="G885" s="138" t="str">
        <f>VLOOKUP(Purchase[[#This Row],[Supplier ID]],Supplier[#All],5,0)</f>
        <v>CG</v>
      </c>
      <c r="H885" s="138" t="str">
        <f>VLOOKUP(Purchase[[#This Row],[Supplier ID]],Supplier[#All],6,0)</f>
        <v>GST2154521T038</v>
      </c>
      <c r="I885" s="138" t="s">
        <v>154</v>
      </c>
      <c r="J885" s="139">
        <v>23</v>
      </c>
      <c r="K885" s="143">
        <f>VLOOKUP(Purchase[[#This Row],[Product ID]],Product[#All],6,0)</f>
        <v>39768</v>
      </c>
      <c r="L885" s="143">
        <f>Purchase[[#This Row],[Purchase Rate]]*Purchase[[#This Row],[Qty]]</f>
        <v>914664</v>
      </c>
      <c r="M885" s="140">
        <v>0</v>
      </c>
      <c r="N885" s="143">
        <v>0</v>
      </c>
      <c r="O885" s="140">
        <v>0.18</v>
      </c>
      <c r="P885" s="145">
        <f>(Purchase[[#This Row],[Gross Amount]]-Purchase[[#This Row],[Disct %]])*Purchase[[#This Row],[GST %]]</f>
        <v>164639.51999999999</v>
      </c>
      <c r="Q885" s="145">
        <f>Purchase[[#This Row],[Gross Amount]]-Purchase[[#This Row],[Disct Amnt]]+Purchase[[#This Row],[GST Amount]]</f>
        <v>1079303.52</v>
      </c>
      <c r="R885" s="138" t="s">
        <v>1019</v>
      </c>
      <c r="S885" s="41">
        <f>IF(Purchase[[#This Row],[Status]]="Cancelled",0,Purchase[[#This Row],[Qty]])</f>
        <v>23</v>
      </c>
      <c r="T885" s="146">
        <f>IF(Purchase[[#This Row],[Status]]="Cancelled",0,Purchase[[#This Row],[Total Amount]])</f>
        <v>1079303.52</v>
      </c>
      <c r="U885" s="146">
        <f>SUM(Purchase[Net Amount])</f>
        <v>814985438.68000126</v>
      </c>
    </row>
    <row r="886" spans="1:21" ht="19.5" thickBot="1" x14ac:dyDescent="0.3">
      <c r="A886" s="136" t="s">
        <v>1927</v>
      </c>
      <c r="B886" s="137">
        <v>45702</v>
      </c>
      <c r="C886" s="138" t="s">
        <v>1611</v>
      </c>
      <c r="D886" s="138" t="str">
        <f>VLOOKUP(Purchase[[#This Row],[Supplier ID]],Supplier[#All],2,0)</f>
        <v>Maa Computers</v>
      </c>
      <c r="E886" s="138">
        <f>VLOOKUP(Purchase[[#This Row],[Supplier ID]],Supplier[#All],3,0)</f>
        <v>9689542452</v>
      </c>
      <c r="F886" s="138" t="str">
        <f>VLOOKUP(Purchase[[#This Row],[Supplier ID]],Supplier[#All],4,0)</f>
        <v>Kanpur</v>
      </c>
      <c r="G886" s="138" t="str">
        <f>VLOOKUP(Purchase[[#This Row],[Supplier ID]],Supplier[#All],5,0)</f>
        <v>UP</v>
      </c>
      <c r="H886" s="138" t="str">
        <f>VLOOKUP(Purchase[[#This Row],[Supplier ID]],Supplier[#All],6,0)</f>
        <v>GST2154521T014</v>
      </c>
      <c r="I886" s="138" t="s">
        <v>149</v>
      </c>
      <c r="J886" s="139">
        <v>30</v>
      </c>
      <c r="K886" s="143">
        <f>VLOOKUP(Purchase[[#This Row],[Product ID]],Product[#All],6,0)</f>
        <v>5562</v>
      </c>
      <c r="L886" s="143">
        <f>Purchase[[#This Row],[Purchase Rate]]*Purchase[[#This Row],[Qty]]</f>
        <v>166860</v>
      </c>
      <c r="M886" s="140">
        <v>0</v>
      </c>
      <c r="N886" s="143">
        <v>0</v>
      </c>
      <c r="O886" s="140">
        <v>0.18</v>
      </c>
      <c r="P886" s="145">
        <f>(Purchase[[#This Row],[Gross Amount]]-Purchase[[#This Row],[Disct %]])*Purchase[[#This Row],[GST %]]</f>
        <v>30034.799999999999</v>
      </c>
      <c r="Q886" s="145">
        <f>Purchase[[#This Row],[Gross Amount]]-Purchase[[#This Row],[Disct Amnt]]+Purchase[[#This Row],[GST Amount]]</f>
        <v>196894.8</v>
      </c>
      <c r="R886" s="138" t="s">
        <v>1019</v>
      </c>
      <c r="S886" s="41">
        <f>IF(Purchase[[#This Row],[Status]]="Cancelled",0,Purchase[[#This Row],[Qty]])</f>
        <v>30</v>
      </c>
      <c r="T886" s="146">
        <f>IF(Purchase[[#This Row],[Status]]="Cancelled",0,Purchase[[#This Row],[Total Amount]])</f>
        <v>196894.8</v>
      </c>
      <c r="U886" s="146">
        <f>SUM(Purchase[Net Amount])</f>
        <v>814985438.68000126</v>
      </c>
    </row>
    <row r="887" spans="1:21" ht="19.5" thickBot="1" x14ac:dyDescent="0.3">
      <c r="A887" s="136" t="s">
        <v>1928</v>
      </c>
      <c r="B887" s="137">
        <v>45702</v>
      </c>
      <c r="C887" s="138" t="s">
        <v>591</v>
      </c>
      <c r="D887" s="138" t="str">
        <f>VLOOKUP(Purchase[[#This Row],[Supplier ID]],Supplier[#All],2,0)</f>
        <v>Shree Computers</v>
      </c>
      <c r="E887" s="138">
        <f>VLOOKUP(Purchase[[#This Row],[Supplier ID]],Supplier[#All],3,0)</f>
        <v>9689542475</v>
      </c>
      <c r="F887" s="138" t="str">
        <f>VLOOKUP(Purchase[[#This Row],[Supplier ID]],Supplier[#All],4,0)</f>
        <v>Indore</v>
      </c>
      <c r="G887" s="138" t="str">
        <f>VLOOKUP(Purchase[[#This Row],[Supplier ID]],Supplier[#All],5,0)</f>
        <v>MP</v>
      </c>
      <c r="H887" s="138" t="str">
        <f>VLOOKUP(Purchase[[#This Row],[Supplier ID]],Supplier[#All],6,0)</f>
        <v>GST2154521T037</v>
      </c>
      <c r="I887" s="138" t="s">
        <v>252</v>
      </c>
      <c r="J887" s="139">
        <v>8</v>
      </c>
      <c r="K887" s="143">
        <f>VLOOKUP(Purchase[[#This Row],[Product ID]],Product[#All],6,0)</f>
        <v>47932</v>
      </c>
      <c r="L887" s="143">
        <f>Purchase[[#This Row],[Purchase Rate]]*Purchase[[#This Row],[Qty]]</f>
        <v>383456</v>
      </c>
      <c r="M887" s="140">
        <v>0</v>
      </c>
      <c r="N887" s="143">
        <v>0</v>
      </c>
      <c r="O887" s="140">
        <v>0.18</v>
      </c>
      <c r="P887" s="145">
        <f>(Purchase[[#This Row],[Gross Amount]]-Purchase[[#This Row],[Disct %]])*Purchase[[#This Row],[GST %]]</f>
        <v>69022.080000000002</v>
      </c>
      <c r="Q887" s="145">
        <f>Purchase[[#This Row],[Gross Amount]]-Purchase[[#This Row],[Disct Amnt]]+Purchase[[#This Row],[GST Amount]]</f>
        <v>452478.08</v>
      </c>
      <c r="R887" s="138" t="s">
        <v>1019</v>
      </c>
      <c r="S887" s="41">
        <f>IF(Purchase[[#This Row],[Status]]="Cancelled",0,Purchase[[#This Row],[Qty]])</f>
        <v>8</v>
      </c>
      <c r="T887" s="146">
        <f>IF(Purchase[[#This Row],[Status]]="Cancelled",0,Purchase[[#This Row],[Total Amount]])</f>
        <v>452478.08</v>
      </c>
      <c r="U887" s="146">
        <f>SUM(Purchase[Net Amount])</f>
        <v>814985438.68000126</v>
      </c>
    </row>
    <row r="888" spans="1:21" ht="19.5" thickBot="1" x14ac:dyDescent="0.3">
      <c r="A888" s="136" t="s">
        <v>1929</v>
      </c>
      <c r="B888" s="137">
        <v>45702</v>
      </c>
      <c r="C888" s="138" t="s">
        <v>603</v>
      </c>
      <c r="D888" s="138" t="str">
        <f>VLOOKUP(Purchase[[#This Row],[Supplier ID]],Supplier[#All],2,0)</f>
        <v>Tech Computers</v>
      </c>
      <c r="E888" s="138">
        <f>VLOOKUP(Purchase[[#This Row],[Supplier ID]],Supplier[#All],3,0)</f>
        <v>9689542486</v>
      </c>
      <c r="F888" s="138" t="str">
        <f>VLOOKUP(Purchase[[#This Row],[Supplier ID]],Supplier[#All],4,0)</f>
        <v>Indore</v>
      </c>
      <c r="G888" s="138" t="str">
        <f>VLOOKUP(Purchase[[#This Row],[Supplier ID]],Supplier[#All],5,0)</f>
        <v>MP</v>
      </c>
      <c r="H888" s="138" t="str">
        <f>VLOOKUP(Purchase[[#This Row],[Supplier ID]],Supplier[#All],6,0)</f>
        <v>GST2154521T048</v>
      </c>
      <c r="I888" s="138" t="s">
        <v>206</v>
      </c>
      <c r="J888" s="139">
        <v>5</v>
      </c>
      <c r="K888" s="143">
        <f>VLOOKUP(Purchase[[#This Row],[Product ID]],Product[#All],6,0)</f>
        <v>1892</v>
      </c>
      <c r="L888" s="143">
        <f>Purchase[[#This Row],[Purchase Rate]]*Purchase[[#This Row],[Qty]]</f>
        <v>9460</v>
      </c>
      <c r="M888" s="140">
        <v>0</v>
      </c>
      <c r="N888" s="143">
        <v>0</v>
      </c>
      <c r="O888" s="140">
        <v>0.18</v>
      </c>
      <c r="P888" s="145">
        <f>(Purchase[[#This Row],[Gross Amount]]-Purchase[[#This Row],[Disct %]])*Purchase[[#This Row],[GST %]]</f>
        <v>1702.8</v>
      </c>
      <c r="Q888" s="145">
        <f>Purchase[[#This Row],[Gross Amount]]-Purchase[[#This Row],[Disct Amnt]]+Purchase[[#This Row],[GST Amount]]</f>
        <v>11162.8</v>
      </c>
      <c r="R888" s="138" t="s">
        <v>1019</v>
      </c>
      <c r="S888" s="41">
        <f>IF(Purchase[[#This Row],[Status]]="Cancelled",0,Purchase[[#This Row],[Qty]])</f>
        <v>5</v>
      </c>
      <c r="T888" s="146">
        <f>IF(Purchase[[#This Row],[Status]]="Cancelled",0,Purchase[[#This Row],[Total Amount]])</f>
        <v>11162.8</v>
      </c>
      <c r="U888" s="146">
        <f>SUM(Purchase[Net Amount])</f>
        <v>814985438.68000126</v>
      </c>
    </row>
    <row r="889" spans="1:21" ht="19.5" thickBot="1" x14ac:dyDescent="0.3">
      <c r="A889" s="136" t="s">
        <v>1930</v>
      </c>
      <c r="B889" s="137">
        <v>45702</v>
      </c>
      <c r="C889" s="138" t="s">
        <v>605</v>
      </c>
      <c r="D889" s="138" t="str">
        <f>VLOOKUP(Purchase[[#This Row],[Supplier ID]],Supplier[#All],2,0)</f>
        <v>Star Traders</v>
      </c>
      <c r="E889" s="138">
        <f>VLOOKUP(Purchase[[#This Row],[Supplier ID]],Supplier[#All],3,0)</f>
        <v>9689542488</v>
      </c>
      <c r="F889" s="138" t="str">
        <f>VLOOKUP(Purchase[[#This Row],[Supplier ID]],Supplier[#All],4,0)</f>
        <v>Indore</v>
      </c>
      <c r="G889" s="138" t="str">
        <f>VLOOKUP(Purchase[[#This Row],[Supplier ID]],Supplier[#All],5,0)</f>
        <v>MP</v>
      </c>
      <c r="H889" s="138" t="str">
        <f>VLOOKUP(Purchase[[#This Row],[Supplier ID]],Supplier[#All],6,0)</f>
        <v>GST2154521T050</v>
      </c>
      <c r="I889" s="138" t="s">
        <v>88</v>
      </c>
      <c r="J889" s="139">
        <v>36</v>
      </c>
      <c r="K889" s="143">
        <f>VLOOKUP(Purchase[[#This Row],[Product ID]],Product[#All],6,0)</f>
        <v>33605</v>
      </c>
      <c r="L889" s="143">
        <f>Purchase[[#This Row],[Purchase Rate]]*Purchase[[#This Row],[Qty]]</f>
        <v>1209780</v>
      </c>
      <c r="M889" s="140">
        <v>0</v>
      </c>
      <c r="N889" s="143">
        <v>0</v>
      </c>
      <c r="O889" s="140">
        <v>0.18</v>
      </c>
      <c r="P889" s="145">
        <f>(Purchase[[#This Row],[Gross Amount]]-Purchase[[#This Row],[Disct %]])*Purchase[[#This Row],[GST %]]</f>
        <v>217760.4</v>
      </c>
      <c r="Q889" s="145">
        <f>Purchase[[#This Row],[Gross Amount]]-Purchase[[#This Row],[Disct Amnt]]+Purchase[[#This Row],[GST Amount]]</f>
        <v>1427540.4</v>
      </c>
      <c r="R889" s="138" t="s">
        <v>1019</v>
      </c>
      <c r="S889" s="41">
        <f>IF(Purchase[[#This Row],[Status]]="Cancelled",0,Purchase[[#This Row],[Qty]])</f>
        <v>36</v>
      </c>
      <c r="T889" s="146">
        <f>IF(Purchase[[#This Row],[Status]]="Cancelled",0,Purchase[[#This Row],[Total Amount]])</f>
        <v>1427540.4</v>
      </c>
      <c r="U889" s="146">
        <f>SUM(Purchase[Net Amount])</f>
        <v>814985438.68000126</v>
      </c>
    </row>
    <row r="890" spans="1:21" ht="19.5" thickBot="1" x14ac:dyDescent="0.3">
      <c r="A890" s="136" t="s">
        <v>1931</v>
      </c>
      <c r="B890" s="137">
        <v>45702</v>
      </c>
      <c r="C890" s="138" t="s">
        <v>594</v>
      </c>
      <c r="D890" s="138" t="str">
        <f>VLOOKUP(Purchase[[#This Row],[Supplier ID]],Supplier[#All],2,0)</f>
        <v>Shree Suppliers</v>
      </c>
      <c r="E890" s="138">
        <f>VLOOKUP(Purchase[[#This Row],[Supplier ID]],Supplier[#All],3,0)</f>
        <v>9689542477</v>
      </c>
      <c r="F890" s="138" t="str">
        <f>VLOOKUP(Purchase[[#This Row],[Supplier ID]],Supplier[#All],4,0)</f>
        <v>Indore</v>
      </c>
      <c r="G890" s="138" t="str">
        <f>VLOOKUP(Purchase[[#This Row],[Supplier ID]],Supplier[#All],5,0)</f>
        <v>MP</v>
      </c>
      <c r="H890" s="138" t="str">
        <f>VLOOKUP(Purchase[[#This Row],[Supplier ID]],Supplier[#All],6,0)</f>
        <v>GST2154521T039</v>
      </c>
      <c r="I890" s="138" t="s">
        <v>549</v>
      </c>
      <c r="J890" s="139">
        <v>35</v>
      </c>
      <c r="K890" s="143">
        <f>VLOOKUP(Purchase[[#This Row],[Product ID]],Product[#All],6,0)</f>
        <v>2884</v>
      </c>
      <c r="L890" s="143">
        <f>Purchase[[#This Row],[Purchase Rate]]*Purchase[[#This Row],[Qty]]</f>
        <v>100940</v>
      </c>
      <c r="M890" s="140">
        <v>0</v>
      </c>
      <c r="N890" s="143">
        <v>0</v>
      </c>
      <c r="O890" s="140">
        <v>0.18</v>
      </c>
      <c r="P890" s="145">
        <f>(Purchase[[#This Row],[Gross Amount]]-Purchase[[#This Row],[Disct %]])*Purchase[[#This Row],[GST %]]</f>
        <v>18169.2</v>
      </c>
      <c r="Q890" s="145">
        <f>Purchase[[#This Row],[Gross Amount]]-Purchase[[#This Row],[Disct Amnt]]+Purchase[[#This Row],[GST Amount]]</f>
        <v>119109.2</v>
      </c>
      <c r="R890" s="138" t="s">
        <v>1019</v>
      </c>
      <c r="S890" s="41">
        <f>IF(Purchase[[#This Row],[Status]]="Cancelled",0,Purchase[[#This Row],[Qty]])</f>
        <v>35</v>
      </c>
      <c r="T890" s="146">
        <f>IF(Purchase[[#This Row],[Status]]="Cancelled",0,Purchase[[#This Row],[Total Amount]])</f>
        <v>119109.2</v>
      </c>
      <c r="U890" s="146">
        <f>SUM(Purchase[Net Amount])</f>
        <v>814985438.68000126</v>
      </c>
    </row>
    <row r="891" spans="1:21" ht="19.5" thickBot="1" x14ac:dyDescent="0.3">
      <c r="A891" s="136" t="s">
        <v>1932</v>
      </c>
      <c r="B891" s="137">
        <v>45702</v>
      </c>
      <c r="C891" s="138" t="s">
        <v>564</v>
      </c>
      <c r="D891" s="138" t="str">
        <f>VLOOKUP(Purchase[[#This Row],[Supplier ID]],Supplier[#All],2,0)</f>
        <v xml:space="preserve">Star Electronics </v>
      </c>
      <c r="E891" s="138">
        <f>VLOOKUP(Purchase[[#This Row],[Supplier ID]],Supplier[#All],3,0)</f>
        <v>9689542450</v>
      </c>
      <c r="F891" s="138" t="str">
        <f>VLOOKUP(Purchase[[#This Row],[Supplier ID]],Supplier[#All],4,0)</f>
        <v>Korba</v>
      </c>
      <c r="G891" s="138" t="str">
        <f>VLOOKUP(Purchase[[#This Row],[Supplier ID]],Supplier[#All],5,0)</f>
        <v>CG</v>
      </c>
      <c r="H891" s="138" t="str">
        <f>VLOOKUP(Purchase[[#This Row],[Supplier ID]],Supplier[#All],6,0)</f>
        <v>GST2154521T012</v>
      </c>
      <c r="I891" s="138" t="s">
        <v>141</v>
      </c>
      <c r="J891" s="139">
        <v>28</v>
      </c>
      <c r="K891" s="143">
        <f>VLOOKUP(Purchase[[#This Row],[Product ID]],Product[#All],6,0)</f>
        <v>11947</v>
      </c>
      <c r="L891" s="143">
        <f>Purchase[[#This Row],[Purchase Rate]]*Purchase[[#This Row],[Qty]]</f>
        <v>334516</v>
      </c>
      <c r="M891" s="140">
        <v>0</v>
      </c>
      <c r="N891" s="143">
        <v>0</v>
      </c>
      <c r="O891" s="140">
        <v>0.18</v>
      </c>
      <c r="P891" s="145">
        <f>(Purchase[[#This Row],[Gross Amount]]-Purchase[[#This Row],[Disct %]])*Purchase[[#This Row],[GST %]]</f>
        <v>60212.88</v>
      </c>
      <c r="Q891" s="145">
        <f>Purchase[[#This Row],[Gross Amount]]-Purchase[[#This Row],[Disct Amnt]]+Purchase[[#This Row],[GST Amount]]</f>
        <v>394728.88</v>
      </c>
      <c r="R891" s="138" t="s">
        <v>1019</v>
      </c>
      <c r="S891" s="41">
        <f>IF(Purchase[[#This Row],[Status]]="Cancelled",0,Purchase[[#This Row],[Qty]])</f>
        <v>28</v>
      </c>
      <c r="T891" s="146">
        <f>IF(Purchase[[#This Row],[Status]]="Cancelled",0,Purchase[[#This Row],[Total Amount]])</f>
        <v>394728.88</v>
      </c>
      <c r="U891" s="146">
        <f>SUM(Purchase[Net Amount])</f>
        <v>814985438.68000126</v>
      </c>
    </row>
    <row r="892" spans="1:21" ht="19.5" thickBot="1" x14ac:dyDescent="0.3">
      <c r="A892" s="136" t="s">
        <v>1933</v>
      </c>
      <c r="B892" s="137">
        <v>45702</v>
      </c>
      <c r="C892" s="138" t="s">
        <v>602</v>
      </c>
      <c r="D892" s="138" t="str">
        <f>VLOOKUP(Purchase[[#This Row],[Supplier ID]],Supplier[#All],2,0)</f>
        <v>Maa Computers</v>
      </c>
      <c r="E892" s="138">
        <f>VLOOKUP(Purchase[[#This Row],[Supplier ID]],Supplier[#All],3,0)</f>
        <v>9689542485</v>
      </c>
      <c r="F892" s="138" t="str">
        <f>VLOOKUP(Purchase[[#This Row],[Supplier ID]],Supplier[#All],4,0)</f>
        <v>Korba</v>
      </c>
      <c r="G892" s="138" t="str">
        <f>VLOOKUP(Purchase[[#This Row],[Supplier ID]],Supplier[#All],5,0)</f>
        <v>CG</v>
      </c>
      <c r="H892" s="138" t="str">
        <f>VLOOKUP(Purchase[[#This Row],[Supplier ID]],Supplier[#All],6,0)</f>
        <v>GST2154521T047</v>
      </c>
      <c r="I892" s="138" t="s">
        <v>314</v>
      </c>
      <c r="J892" s="139">
        <v>16</v>
      </c>
      <c r="K892" s="143">
        <f>VLOOKUP(Purchase[[#This Row],[Product ID]],Product[#All],6,0)</f>
        <v>53060</v>
      </c>
      <c r="L892" s="143">
        <f>Purchase[[#This Row],[Purchase Rate]]*Purchase[[#This Row],[Qty]]</f>
        <v>848960</v>
      </c>
      <c r="M892" s="140">
        <v>0</v>
      </c>
      <c r="N892" s="143">
        <v>0</v>
      </c>
      <c r="O892" s="140">
        <v>0.18</v>
      </c>
      <c r="P892" s="145">
        <f>(Purchase[[#This Row],[Gross Amount]]-Purchase[[#This Row],[Disct %]])*Purchase[[#This Row],[GST %]]</f>
        <v>152812.79999999999</v>
      </c>
      <c r="Q892" s="145">
        <f>Purchase[[#This Row],[Gross Amount]]-Purchase[[#This Row],[Disct Amnt]]+Purchase[[#This Row],[GST Amount]]</f>
        <v>1001772.8</v>
      </c>
      <c r="R892" s="138" t="s">
        <v>1019</v>
      </c>
      <c r="S892" s="41">
        <f>IF(Purchase[[#This Row],[Status]]="Cancelled",0,Purchase[[#This Row],[Qty]])</f>
        <v>16</v>
      </c>
      <c r="T892" s="146">
        <f>IF(Purchase[[#This Row],[Status]]="Cancelled",0,Purchase[[#This Row],[Total Amount]])</f>
        <v>1001772.8</v>
      </c>
      <c r="U892" s="146">
        <f>SUM(Purchase[Net Amount])</f>
        <v>814985438.68000126</v>
      </c>
    </row>
    <row r="893" spans="1:21" ht="19.5" thickBot="1" x14ac:dyDescent="0.3">
      <c r="A893" s="136" t="s">
        <v>1934</v>
      </c>
      <c r="B893" s="137">
        <v>45702</v>
      </c>
      <c r="C893" s="138" t="s">
        <v>573</v>
      </c>
      <c r="D893" s="138" t="str">
        <f>VLOOKUP(Purchase[[#This Row],[Supplier ID]],Supplier[#All],2,0)</f>
        <v>Shree Traders</v>
      </c>
      <c r="E893" s="138">
        <f>VLOOKUP(Purchase[[#This Row],[Supplier ID]],Supplier[#All],3,0)</f>
        <v>9689542458</v>
      </c>
      <c r="F893" s="138" t="str">
        <f>VLOOKUP(Purchase[[#This Row],[Supplier ID]],Supplier[#All],4,0)</f>
        <v>Korba</v>
      </c>
      <c r="G893" s="138" t="str">
        <f>VLOOKUP(Purchase[[#This Row],[Supplier ID]],Supplier[#All],5,0)</f>
        <v>CG</v>
      </c>
      <c r="H893" s="138" t="str">
        <f>VLOOKUP(Purchase[[#This Row],[Supplier ID]],Supplier[#All],6,0)</f>
        <v>GST2154521T020</v>
      </c>
      <c r="I893" s="138" t="s">
        <v>547</v>
      </c>
      <c r="J893" s="139">
        <v>30</v>
      </c>
      <c r="K893" s="143">
        <f>VLOOKUP(Purchase[[#This Row],[Product ID]],Product[#All],6,0)</f>
        <v>28107</v>
      </c>
      <c r="L893" s="143">
        <f>Purchase[[#This Row],[Purchase Rate]]*Purchase[[#This Row],[Qty]]</f>
        <v>843210</v>
      </c>
      <c r="M893" s="140">
        <v>0</v>
      </c>
      <c r="N893" s="143">
        <v>0</v>
      </c>
      <c r="O893" s="140">
        <v>0.18</v>
      </c>
      <c r="P893" s="145">
        <f>(Purchase[[#This Row],[Gross Amount]]-Purchase[[#This Row],[Disct %]])*Purchase[[#This Row],[GST %]]</f>
        <v>151777.79999999999</v>
      </c>
      <c r="Q893" s="145">
        <f>Purchase[[#This Row],[Gross Amount]]-Purchase[[#This Row],[Disct Amnt]]+Purchase[[#This Row],[GST Amount]]</f>
        <v>994987.8</v>
      </c>
      <c r="R893" s="138" t="s">
        <v>1019</v>
      </c>
      <c r="S893" s="41">
        <f>IF(Purchase[[#This Row],[Status]]="Cancelled",0,Purchase[[#This Row],[Qty]])</f>
        <v>30</v>
      </c>
      <c r="T893" s="146">
        <f>IF(Purchase[[#This Row],[Status]]="Cancelled",0,Purchase[[#This Row],[Total Amount]])</f>
        <v>994987.8</v>
      </c>
      <c r="U893" s="146">
        <f>SUM(Purchase[Net Amount])</f>
        <v>814985438.68000126</v>
      </c>
    </row>
    <row r="894" spans="1:21" ht="19.5" thickBot="1" x14ac:dyDescent="0.3">
      <c r="A894" s="136" t="s">
        <v>1935</v>
      </c>
      <c r="B894" s="137">
        <v>45702</v>
      </c>
      <c r="C894" s="138" t="s">
        <v>609</v>
      </c>
      <c r="D894" s="138" t="str">
        <f>VLOOKUP(Purchase[[#This Row],[Supplier ID]],Supplier[#All],2,0)</f>
        <v>Star Suppliers</v>
      </c>
      <c r="E894" s="138">
        <f>VLOOKUP(Purchase[[#This Row],[Supplier ID]],Supplier[#All],3,0)</f>
        <v>9689542492</v>
      </c>
      <c r="F894" s="138" t="str">
        <f>VLOOKUP(Purchase[[#This Row],[Supplier ID]],Supplier[#All],4,0)</f>
        <v>Kanpur</v>
      </c>
      <c r="G894" s="138" t="str">
        <f>VLOOKUP(Purchase[[#This Row],[Supplier ID]],Supplier[#All],5,0)</f>
        <v>UP</v>
      </c>
      <c r="H894" s="138" t="str">
        <f>VLOOKUP(Purchase[[#This Row],[Supplier ID]],Supplier[#All],6,0)</f>
        <v>GST2154521T054</v>
      </c>
      <c r="I894" s="138" t="s">
        <v>350</v>
      </c>
      <c r="J894" s="139">
        <v>10</v>
      </c>
      <c r="K894" s="143">
        <f>VLOOKUP(Purchase[[#This Row],[Product ID]],Product[#All],6,0)</f>
        <v>14913</v>
      </c>
      <c r="L894" s="143">
        <f>Purchase[[#This Row],[Purchase Rate]]*Purchase[[#This Row],[Qty]]</f>
        <v>149130</v>
      </c>
      <c r="M894" s="140">
        <v>0</v>
      </c>
      <c r="N894" s="143">
        <v>0</v>
      </c>
      <c r="O894" s="140">
        <v>0.18</v>
      </c>
      <c r="P894" s="145">
        <f>(Purchase[[#This Row],[Gross Amount]]-Purchase[[#This Row],[Disct %]])*Purchase[[#This Row],[GST %]]</f>
        <v>26843.399999999998</v>
      </c>
      <c r="Q894" s="145">
        <f>Purchase[[#This Row],[Gross Amount]]-Purchase[[#This Row],[Disct Amnt]]+Purchase[[#This Row],[GST Amount]]</f>
        <v>175973.4</v>
      </c>
      <c r="R894" s="138" t="s">
        <v>1019</v>
      </c>
      <c r="S894" s="41">
        <f>IF(Purchase[[#This Row],[Status]]="Cancelled",0,Purchase[[#This Row],[Qty]])</f>
        <v>10</v>
      </c>
      <c r="T894" s="146">
        <f>IF(Purchase[[#This Row],[Status]]="Cancelled",0,Purchase[[#This Row],[Total Amount]])</f>
        <v>175973.4</v>
      </c>
      <c r="U894" s="146">
        <f>SUM(Purchase[Net Amount])</f>
        <v>814985438.68000126</v>
      </c>
    </row>
    <row r="895" spans="1:21" ht="19.5" thickBot="1" x14ac:dyDescent="0.3">
      <c r="A895" s="136" t="s">
        <v>1936</v>
      </c>
      <c r="B895" s="137">
        <v>45702</v>
      </c>
      <c r="C895" s="138" t="s">
        <v>603</v>
      </c>
      <c r="D895" s="138" t="str">
        <f>VLOOKUP(Purchase[[#This Row],[Supplier ID]],Supplier[#All],2,0)</f>
        <v>Tech Computers</v>
      </c>
      <c r="E895" s="138">
        <f>VLOOKUP(Purchase[[#This Row],[Supplier ID]],Supplier[#All],3,0)</f>
        <v>9689542486</v>
      </c>
      <c r="F895" s="138" t="str">
        <f>VLOOKUP(Purchase[[#This Row],[Supplier ID]],Supplier[#All],4,0)</f>
        <v>Indore</v>
      </c>
      <c r="G895" s="138" t="str">
        <f>VLOOKUP(Purchase[[#This Row],[Supplier ID]],Supplier[#All],5,0)</f>
        <v>MP</v>
      </c>
      <c r="H895" s="138" t="str">
        <f>VLOOKUP(Purchase[[#This Row],[Supplier ID]],Supplier[#All],6,0)</f>
        <v>GST2154521T048</v>
      </c>
      <c r="I895" s="138" t="s">
        <v>127</v>
      </c>
      <c r="J895" s="139">
        <v>29</v>
      </c>
      <c r="K895" s="143">
        <f>VLOOKUP(Purchase[[#This Row],[Product ID]],Product[#All],6,0)</f>
        <v>3474</v>
      </c>
      <c r="L895" s="143">
        <f>Purchase[[#This Row],[Purchase Rate]]*Purchase[[#This Row],[Qty]]</f>
        <v>100746</v>
      </c>
      <c r="M895" s="140">
        <v>0</v>
      </c>
      <c r="N895" s="143">
        <v>0</v>
      </c>
      <c r="O895" s="140">
        <v>0.18</v>
      </c>
      <c r="P895" s="145">
        <f>(Purchase[[#This Row],[Gross Amount]]-Purchase[[#This Row],[Disct %]])*Purchase[[#This Row],[GST %]]</f>
        <v>18134.28</v>
      </c>
      <c r="Q895" s="145">
        <f>Purchase[[#This Row],[Gross Amount]]-Purchase[[#This Row],[Disct Amnt]]+Purchase[[#This Row],[GST Amount]]</f>
        <v>118880.28</v>
      </c>
      <c r="R895" s="138" t="s">
        <v>1019</v>
      </c>
      <c r="S895" s="41">
        <f>IF(Purchase[[#This Row],[Status]]="Cancelled",0,Purchase[[#This Row],[Qty]])</f>
        <v>29</v>
      </c>
      <c r="T895" s="146">
        <f>IF(Purchase[[#This Row],[Status]]="Cancelled",0,Purchase[[#This Row],[Total Amount]])</f>
        <v>118880.28</v>
      </c>
      <c r="U895" s="146">
        <f>SUM(Purchase[Net Amount])</f>
        <v>814985438.68000126</v>
      </c>
    </row>
    <row r="896" spans="1:21" ht="19.5" thickBot="1" x14ac:dyDescent="0.3">
      <c r="A896" s="136" t="s">
        <v>1937</v>
      </c>
      <c r="B896" s="137">
        <v>45702</v>
      </c>
      <c r="C896" s="138" t="s">
        <v>575</v>
      </c>
      <c r="D896" s="138" t="str">
        <f>VLOOKUP(Purchase[[#This Row],[Supplier ID]],Supplier[#All],2,0)</f>
        <v>Global Computers</v>
      </c>
      <c r="E896" s="138">
        <f>VLOOKUP(Purchase[[#This Row],[Supplier ID]],Supplier[#All],3,0)</f>
        <v>9689542459</v>
      </c>
      <c r="F896" s="138" t="str">
        <f>VLOOKUP(Purchase[[#This Row],[Supplier ID]],Supplier[#All],4,0)</f>
        <v>Indore</v>
      </c>
      <c r="G896" s="138" t="str">
        <f>VLOOKUP(Purchase[[#This Row],[Supplier ID]],Supplier[#All],5,0)</f>
        <v>MP</v>
      </c>
      <c r="H896" s="138" t="str">
        <f>VLOOKUP(Purchase[[#This Row],[Supplier ID]],Supplier[#All],6,0)</f>
        <v>GST2154521T021</v>
      </c>
      <c r="I896" s="138" t="s">
        <v>503</v>
      </c>
      <c r="J896" s="139">
        <v>24</v>
      </c>
      <c r="K896" s="143">
        <f>VLOOKUP(Purchase[[#This Row],[Product ID]],Product[#All],6,0)</f>
        <v>7350</v>
      </c>
      <c r="L896" s="143">
        <f>Purchase[[#This Row],[Purchase Rate]]*Purchase[[#This Row],[Qty]]</f>
        <v>176400</v>
      </c>
      <c r="M896" s="140">
        <v>0</v>
      </c>
      <c r="N896" s="143">
        <v>0</v>
      </c>
      <c r="O896" s="140">
        <v>0.18</v>
      </c>
      <c r="P896" s="145">
        <f>(Purchase[[#This Row],[Gross Amount]]-Purchase[[#This Row],[Disct %]])*Purchase[[#This Row],[GST %]]</f>
        <v>31752</v>
      </c>
      <c r="Q896" s="145">
        <f>Purchase[[#This Row],[Gross Amount]]-Purchase[[#This Row],[Disct Amnt]]+Purchase[[#This Row],[GST Amount]]</f>
        <v>208152</v>
      </c>
      <c r="R896" s="138" t="s">
        <v>1019</v>
      </c>
      <c r="S896" s="41">
        <f>IF(Purchase[[#This Row],[Status]]="Cancelled",0,Purchase[[#This Row],[Qty]])</f>
        <v>24</v>
      </c>
      <c r="T896" s="146">
        <f>IF(Purchase[[#This Row],[Status]]="Cancelled",0,Purchase[[#This Row],[Total Amount]])</f>
        <v>208152</v>
      </c>
      <c r="U896" s="146">
        <f>SUM(Purchase[Net Amount])</f>
        <v>814985438.68000126</v>
      </c>
    </row>
    <row r="897" spans="1:21" ht="19.5" thickBot="1" x14ac:dyDescent="0.3">
      <c r="A897" s="136" t="s">
        <v>1938</v>
      </c>
      <c r="B897" s="137">
        <v>45702</v>
      </c>
      <c r="C897" s="138" t="s">
        <v>607</v>
      </c>
      <c r="D897" s="138" t="str">
        <f>VLOOKUP(Purchase[[#This Row],[Supplier ID]],Supplier[#All],2,0)</f>
        <v>Global Distributors</v>
      </c>
      <c r="E897" s="138">
        <f>VLOOKUP(Purchase[[#This Row],[Supplier ID]],Supplier[#All],3,0)</f>
        <v>9689542490</v>
      </c>
      <c r="F897" s="138" t="str">
        <f>VLOOKUP(Purchase[[#This Row],[Supplier ID]],Supplier[#All],4,0)</f>
        <v>Kanpur</v>
      </c>
      <c r="G897" s="138" t="str">
        <f>VLOOKUP(Purchase[[#This Row],[Supplier ID]],Supplier[#All],5,0)</f>
        <v>UP</v>
      </c>
      <c r="H897" s="138" t="str">
        <f>VLOOKUP(Purchase[[#This Row],[Supplier ID]],Supplier[#All],6,0)</f>
        <v>GST2154521T052</v>
      </c>
      <c r="I897" s="138" t="s">
        <v>252</v>
      </c>
      <c r="J897" s="139">
        <v>29</v>
      </c>
      <c r="K897" s="143">
        <f>VLOOKUP(Purchase[[#This Row],[Product ID]],Product[#All],6,0)</f>
        <v>47932</v>
      </c>
      <c r="L897" s="143">
        <f>Purchase[[#This Row],[Purchase Rate]]*Purchase[[#This Row],[Qty]]</f>
        <v>1390028</v>
      </c>
      <c r="M897" s="140">
        <v>0</v>
      </c>
      <c r="N897" s="143">
        <v>0</v>
      </c>
      <c r="O897" s="140">
        <v>0.18</v>
      </c>
      <c r="P897" s="145">
        <f>(Purchase[[#This Row],[Gross Amount]]-Purchase[[#This Row],[Disct %]])*Purchase[[#This Row],[GST %]]</f>
        <v>250205.03999999998</v>
      </c>
      <c r="Q897" s="145">
        <f>Purchase[[#This Row],[Gross Amount]]-Purchase[[#This Row],[Disct Amnt]]+Purchase[[#This Row],[GST Amount]]</f>
        <v>1640233.04</v>
      </c>
      <c r="R897" s="138" t="s">
        <v>1019</v>
      </c>
      <c r="S897" s="41">
        <f>IF(Purchase[[#This Row],[Status]]="Cancelled",0,Purchase[[#This Row],[Qty]])</f>
        <v>29</v>
      </c>
      <c r="T897" s="146">
        <f>IF(Purchase[[#This Row],[Status]]="Cancelled",0,Purchase[[#This Row],[Total Amount]])</f>
        <v>1640233.04</v>
      </c>
      <c r="U897" s="146">
        <f>SUM(Purchase[Net Amount])</f>
        <v>814985438.68000126</v>
      </c>
    </row>
    <row r="898" spans="1:21" ht="19.5" thickBot="1" x14ac:dyDescent="0.3">
      <c r="A898" s="136" t="s">
        <v>1939</v>
      </c>
      <c r="B898" s="137">
        <v>45702</v>
      </c>
      <c r="C898" s="138" t="s">
        <v>588</v>
      </c>
      <c r="D898" s="138" t="str">
        <f>VLOOKUP(Purchase[[#This Row],[Supplier ID]],Supplier[#All],2,0)</f>
        <v>Star Electronics</v>
      </c>
      <c r="E898" s="138">
        <f>VLOOKUP(Purchase[[#This Row],[Supplier ID]],Supplier[#All],3,0)</f>
        <v>9689542472</v>
      </c>
      <c r="F898" s="138" t="str">
        <f>VLOOKUP(Purchase[[#This Row],[Supplier ID]],Supplier[#All],4,0)</f>
        <v>Korba</v>
      </c>
      <c r="G898" s="138" t="str">
        <f>VLOOKUP(Purchase[[#This Row],[Supplier ID]],Supplier[#All],5,0)</f>
        <v>CG</v>
      </c>
      <c r="H898" s="138" t="str">
        <f>VLOOKUP(Purchase[[#This Row],[Supplier ID]],Supplier[#All],6,0)</f>
        <v>GST2154521T034</v>
      </c>
      <c r="I898" s="138" t="s">
        <v>422</v>
      </c>
      <c r="J898" s="139">
        <v>25</v>
      </c>
      <c r="K898" s="143">
        <f>VLOOKUP(Purchase[[#This Row],[Product ID]],Product[#All],6,0)</f>
        <v>5548</v>
      </c>
      <c r="L898" s="143">
        <f>Purchase[[#This Row],[Purchase Rate]]*Purchase[[#This Row],[Qty]]</f>
        <v>138700</v>
      </c>
      <c r="M898" s="140">
        <v>0</v>
      </c>
      <c r="N898" s="143">
        <v>0</v>
      </c>
      <c r="O898" s="140">
        <v>0.18</v>
      </c>
      <c r="P898" s="145">
        <f>(Purchase[[#This Row],[Gross Amount]]-Purchase[[#This Row],[Disct %]])*Purchase[[#This Row],[GST %]]</f>
        <v>24966</v>
      </c>
      <c r="Q898" s="145">
        <f>Purchase[[#This Row],[Gross Amount]]-Purchase[[#This Row],[Disct Amnt]]+Purchase[[#This Row],[GST Amount]]</f>
        <v>163666</v>
      </c>
      <c r="R898" s="138" t="s">
        <v>1019</v>
      </c>
      <c r="S898" s="41">
        <f>IF(Purchase[[#This Row],[Status]]="Cancelled",0,Purchase[[#This Row],[Qty]])</f>
        <v>25</v>
      </c>
      <c r="T898" s="146">
        <f>IF(Purchase[[#This Row],[Status]]="Cancelled",0,Purchase[[#This Row],[Total Amount]])</f>
        <v>163666</v>
      </c>
      <c r="U898" s="146">
        <f>SUM(Purchase[Net Amount])</f>
        <v>814985438.68000126</v>
      </c>
    </row>
    <row r="899" spans="1:21" ht="19.5" thickBot="1" x14ac:dyDescent="0.3">
      <c r="A899" s="136" t="s">
        <v>1940</v>
      </c>
      <c r="B899" s="137">
        <v>45702</v>
      </c>
      <c r="C899" s="138" t="s">
        <v>614</v>
      </c>
      <c r="D899" s="138" t="str">
        <f>VLOOKUP(Purchase[[#This Row],[Supplier ID]],Supplier[#All],2,0)</f>
        <v>National Electronics</v>
      </c>
      <c r="E899" s="138">
        <f>VLOOKUP(Purchase[[#This Row],[Supplier ID]],Supplier[#All],3,0)</f>
        <v>9689542497</v>
      </c>
      <c r="F899" s="138" t="str">
        <f>VLOOKUP(Purchase[[#This Row],[Supplier ID]],Supplier[#All],4,0)</f>
        <v>Kanpur</v>
      </c>
      <c r="G899" s="138" t="str">
        <f>VLOOKUP(Purchase[[#This Row],[Supplier ID]],Supplier[#All],5,0)</f>
        <v>UP</v>
      </c>
      <c r="H899" s="138" t="str">
        <f>VLOOKUP(Purchase[[#This Row],[Supplier ID]],Supplier[#All],6,0)</f>
        <v>GST2154521T059</v>
      </c>
      <c r="I899" s="138" t="s">
        <v>155</v>
      </c>
      <c r="J899" s="139">
        <v>20</v>
      </c>
      <c r="K899" s="143">
        <f>VLOOKUP(Purchase[[#This Row],[Product ID]],Product[#All],6,0)</f>
        <v>2996</v>
      </c>
      <c r="L899" s="143">
        <f>Purchase[[#This Row],[Purchase Rate]]*Purchase[[#This Row],[Qty]]</f>
        <v>59920</v>
      </c>
      <c r="M899" s="140">
        <v>0</v>
      </c>
      <c r="N899" s="143">
        <v>0</v>
      </c>
      <c r="O899" s="140">
        <v>0.18</v>
      </c>
      <c r="P899" s="145">
        <f>(Purchase[[#This Row],[Gross Amount]]-Purchase[[#This Row],[Disct %]])*Purchase[[#This Row],[GST %]]</f>
        <v>10785.6</v>
      </c>
      <c r="Q899" s="145">
        <f>Purchase[[#This Row],[Gross Amount]]-Purchase[[#This Row],[Disct Amnt]]+Purchase[[#This Row],[GST Amount]]</f>
        <v>70705.600000000006</v>
      </c>
      <c r="R899" s="138" t="s">
        <v>1019</v>
      </c>
      <c r="S899" s="41">
        <f>IF(Purchase[[#This Row],[Status]]="Cancelled",0,Purchase[[#This Row],[Qty]])</f>
        <v>20</v>
      </c>
      <c r="T899" s="146">
        <f>IF(Purchase[[#This Row],[Status]]="Cancelled",0,Purchase[[#This Row],[Total Amount]])</f>
        <v>70705.600000000006</v>
      </c>
      <c r="U899" s="146">
        <f>SUM(Purchase[Net Amount])</f>
        <v>814985438.68000126</v>
      </c>
    </row>
    <row r="900" spans="1:21" ht="19.5" thickBot="1" x14ac:dyDescent="0.3">
      <c r="A900" s="136" t="s">
        <v>1941</v>
      </c>
      <c r="B900" s="137">
        <v>45702</v>
      </c>
      <c r="C900" s="138" t="s">
        <v>589</v>
      </c>
      <c r="D900" s="138" t="str">
        <f>VLOOKUP(Purchase[[#This Row],[Supplier ID]],Supplier[#All],2,0)</f>
        <v>Maa Computers</v>
      </c>
      <c r="E900" s="138">
        <f>VLOOKUP(Purchase[[#This Row],[Supplier ID]],Supplier[#All],3,0)</f>
        <v>9689542473</v>
      </c>
      <c r="F900" s="138" t="str">
        <f>VLOOKUP(Purchase[[#This Row],[Supplier ID]],Supplier[#All],4,0)</f>
        <v>Kanpur</v>
      </c>
      <c r="G900" s="138" t="str">
        <f>VLOOKUP(Purchase[[#This Row],[Supplier ID]],Supplier[#All],5,0)</f>
        <v>UP</v>
      </c>
      <c r="H900" s="138" t="str">
        <f>VLOOKUP(Purchase[[#This Row],[Supplier ID]],Supplier[#All],6,0)</f>
        <v>GST2154521T035</v>
      </c>
      <c r="I900" s="138" t="s">
        <v>268</v>
      </c>
      <c r="J900" s="139">
        <v>40</v>
      </c>
      <c r="K900" s="143">
        <f>VLOOKUP(Purchase[[#This Row],[Product ID]],Product[#All],6,0)</f>
        <v>1726</v>
      </c>
      <c r="L900" s="143">
        <f>Purchase[[#This Row],[Purchase Rate]]*Purchase[[#This Row],[Qty]]</f>
        <v>69040</v>
      </c>
      <c r="M900" s="140">
        <v>0</v>
      </c>
      <c r="N900" s="143">
        <v>0</v>
      </c>
      <c r="O900" s="140">
        <v>0.18</v>
      </c>
      <c r="P900" s="145">
        <f>(Purchase[[#This Row],[Gross Amount]]-Purchase[[#This Row],[Disct %]])*Purchase[[#This Row],[GST %]]</f>
        <v>12427.199999999999</v>
      </c>
      <c r="Q900" s="145">
        <f>Purchase[[#This Row],[Gross Amount]]-Purchase[[#This Row],[Disct Amnt]]+Purchase[[#This Row],[GST Amount]]</f>
        <v>81467.199999999997</v>
      </c>
      <c r="R900" s="138" t="s">
        <v>1019</v>
      </c>
      <c r="S900" s="41">
        <f>IF(Purchase[[#This Row],[Status]]="Cancelled",0,Purchase[[#This Row],[Qty]])</f>
        <v>40</v>
      </c>
      <c r="T900" s="146">
        <f>IF(Purchase[[#This Row],[Status]]="Cancelled",0,Purchase[[#This Row],[Total Amount]])</f>
        <v>81467.199999999997</v>
      </c>
      <c r="U900" s="146">
        <f>SUM(Purchase[Net Amount])</f>
        <v>814985438.68000126</v>
      </c>
    </row>
    <row r="901" spans="1:21" ht="19.5" thickBot="1" x14ac:dyDescent="0.3">
      <c r="A901" s="136" t="s">
        <v>1942</v>
      </c>
      <c r="B901" s="137">
        <v>45702</v>
      </c>
      <c r="C901" s="138" t="s">
        <v>607</v>
      </c>
      <c r="D901" s="138" t="str">
        <f>VLOOKUP(Purchase[[#This Row],[Supplier ID]],Supplier[#All],2,0)</f>
        <v>Global Distributors</v>
      </c>
      <c r="E901" s="138">
        <f>VLOOKUP(Purchase[[#This Row],[Supplier ID]],Supplier[#All],3,0)</f>
        <v>9689542490</v>
      </c>
      <c r="F901" s="138" t="str">
        <f>VLOOKUP(Purchase[[#This Row],[Supplier ID]],Supplier[#All],4,0)</f>
        <v>Kanpur</v>
      </c>
      <c r="G901" s="138" t="str">
        <f>VLOOKUP(Purchase[[#This Row],[Supplier ID]],Supplier[#All],5,0)</f>
        <v>UP</v>
      </c>
      <c r="H901" s="138" t="str">
        <f>VLOOKUP(Purchase[[#This Row],[Supplier ID]],Supplier[#All],6,0)</f>
        <v>GST2154521T052</v>
      </c>
      <c r="I901" s="138" t="s">
        <v>551</v>
      </c>
      <c r="J901" s="139">
        <v>40</v>
      </c>
      <c r="K901" s="143">
        <f>VLOOKUP(Purchase[[#This Row],[Product ID]],Product[#All],6,0)</f>
        <v>33311</v>
      </c>
      <c r="L901" s="143">
        <f>Purchase[[#This Row],[Purchase Rate]]*Purchase[[#This Row],[Qty]]</f>
        <v>1332440</v>
      </c>
      <c r="M901" s="140">
        <v>0</v>
      </c>
      <c r="N901" s="143">
        <v>0</v>
      </c>
      <c r="O901" s="140">
        <v>0.18</v>
      </c>
      <c r="P901" s="145">
        <f>(Purchase[[#This Row],[Gross Amount]]-Purchase[[#This Row],[Disct %]])*Purchase[[#This Row],[GST %]]</f>
        <v>239839.19999999998</v>
      </c>
      <c r="Q901" s="145">
        <f>Purchase[[#This Row],[Gross Amount]]-Purchase[[#This Row],[Disct Amnt]]+Purchase[[#This Row],[GST Amount]]</f>
        <v>1572279.2</v>
      </c>
      <c r="R901" s="138" t="s">
        <v>1040</v>
      </c>
      <c r="S901" s="41">
        <f>IF(Purchase[[#This Row],[Status]]="Cancelled",0,Purchase[[#This Row],[Qty]])</f>
        <v>0</v>
      </c>
      <c r="T901" s="146">
        <f>IF(Purchase[[#This Row],[Status]]="Cancelled",0,Purchase[[#This Row],[Total Amount]])</f>
        <v>0</v>
      </c>
      <c r="U901" s="146">
        <f>SUM(Purchase[Net Amount])</f>
        <v>814985438.68000126</v>
      </c>
    </row>
    <row r="902" spans="1:21" ht="19.5" thickBot="1" x14ac:dyDescent="0.3">
      <c r="A902" s="136" t="s">
        <v>1943</v>
      </c>
      <c r="B902" s="137">
        <v>45702</v>
      </c>
      <c r="C902" s="138" t="s">
        <v>576</v>
      </c>
      <c r="D902" s="138" t="str">
        <f>VLOOKUP(Purchase[[#This Row],[Supplier ID]],Supplier[#All],2,0)</f>
        <v>Maa Distributors</v>
      </c>
      <c r="E902" s="138">
        <f>VLOOKUP(Purchase[[#This Row],[Supplier ID]],Supplier[#All],3,0)</f>
        <v>9689542460</v>
      </c>
      <c r="F902" s="138" t="str">
        <f>VLOOKUP(Purchase[[#This Row],[Supplier ID]],Supplier[#All],4,0)</f>
        <v>Korba</v>
      </c>
      <c r="G902" s="138" t="str">
        <f>VLOOKUP(Purchase[[#This Row],[Supplier ID]],Supplier[#All],5,0)</f>
        <v>CG</v>
      </c>
      <c r="H902" s="138" t="str">
        <f>VLOOKUP(Purchase[[#This Row],[Supplier ID]],Supplier[#All],6,0)</f>
        <v>GST2154521T022</v>
      </c>
      <c r="I902" s="138" t="s">
        <v>537</v>
      </c>
      <c r="J902" s="139">
        <v>29</v>
      </c>
      <c r="K902" s="143">
        <f>VLOOKUP(Purchase[[#This Row],[Product ID]],Product[#All],6,0)</f>
        <v>73748</v>
      </c>
      <c r="L902" s="143">
        <f>Purchase[[#This Row],[Purchase Rate]]*Purchase[[#This Row],[Qty]]</f>
        <v>2138692</v>
      </c>
      <c r="M902" s="140">
        <v>0</v>
      </c>
      <c r="N902" s="143">
        <v>0</v>
      </c>
      <c r="O902" s="140">
        <v>0.18</v>
      </c>
      <c r="P902" s="145">
        <f>(Purchase[[#This Row],[Gross Amount]]-Purchase[[#This Row],[Disct %]])*Purchase[[#This Row],[GST %]]</f>
        <v>384964.56</v>
      </c>
      <c r="Q902" s="145">
        <f>Purchase[[#This Row],[Gross Amount]]-Purchase[[#This Row],[Disct Amnt]]+Purchase[[#This Row],[GST Amount]]</f>
        <v>2523656.56</v>
      </c>
      <c r="R902" s="138" t="s">
        <v>1019</v>
      </c>
      <c r="S902" s="41">
        <f>IF(Purchase[[#This Row],[Status]]="Cancelled",0,Purchase[[#This Row],[Qty]])</f>
        <v>29</v>
      </c>
      <c r="T902" s="146">
        <f>IF(Purchase[[#This Row],[Status]]="Cancelled",0,Purchase[[#This Row],[Total Amount]])</f>
        <v>2523656.56</v>
      </c>
      <c r="U902" s="146">
        <f>SUM(Purchase[Net Amount])</f>
        <v>814985438.68000126</v>
      </c>
    </row>
    <row r="903" spans="1:21" ht="19.5" thickBot="1" x14ac:dyDescent="0.3">
      <c r="A903" s="136" t="s">
        <v>1944</v>
      </c>
      <c r="B903" s="137">
        <v>45702</v>
      </c>
      <c r="C903" s="138" t="s">
        <v>579</v>
      </c>
      <c r="D903" s="138" t="str">
        <f>VLOOKUP(Purchase[[#This Row],[Supplier ID]],Supplier[#All],2,0)</f>
        <v>Tech Traders</v>
      </c>
      <c r="E903" s="138">
        <f>VLOOKUP(Purchase[[#This Row],[Supplier ID]],Supplier[#All],3,0)</f>
        <v>9689542463</v>
      </c>
      <c r="F903" s="138" t="str">
        <f>VLOOKUP(Purchase[[#This Row],[Supplier ID]],Supplier[#All],4,0)</f>
        <v>Kanpur</v>
      </c>
      <c r="G903" s="138" t="str">
        <f>VLOOKUP(Purchase[[#This Row],[Supplier ID]],Supplier[#All],5,0)</f>
        <v>UP</v>
      </c>
      <c r="H903" s="138" t="str">
        <f>VLOOKUP(Purchase[[#This Row],[Supplier ID]],Supplier[#All],6,0)</f>
        <v>GST2154521T025</v>
      </c>
      <c r="I903" s="138" t="s">
        <v>353</v>
      </c>
      <c r="J903" s="139">
        <v>21</v>
      </c>
      <c r="K903" s="143">
        <f>VLOOKUP(Purchase[[#This Row],[Product ID]],Product[#All],6,0)</f>
        <v>51991</v>
      </c>
      <c r="L903" s="143">
        <f>Purchase[[#This Row],[Purchase Rate]]*Purchase[[#This Row],[Qty]]</f>
        <v>1091811</v>
      </c>
      <c r="M903" s="140">
        <v>0</v>
      </c>
      <c r="N903" s="143">
        <v>0</v>
      </c>
      <c r="O903" s="140">
        <v>0.18</v>
      </c>
      <c r="P903" s="145">
        <f>(Purchase[[#This Row],[Gross Amount]]-Purchase[[#This Row],[Disct %]])*Purchase[[#This Row],[GST %]]</f>
        <v>196525.97999999998</v>
      </c>
      <c r="Q903" s="145">
        <f>Purchase[[#This Row],[Gross Amount]]-Purchase[[#This Row],[Disct Amnt]]+Purchase[[#This Row],[GST Amount]]</f>
        <v>1288336.98</v>
      </c>
      <c r="R903" s="138" t="s">
        <v>1019</v>
      </c>
      <c r="S903" s="41">
        <f>IF(Purchase[[#This Row],[Status]]="Cancelled",0,Purchase[[#This Row],[Qty]])</f>
        <v>21</v>
      </c>
      <c r="T903" s="146">
        <f>IF(Purchase[[#This Row],[Status]]="Cancelled",0,Purchase[[#This Row],[Total Amount]])</f>
        <v>1288336.98</v>
      </c>
      <c r="U903" s="146">
        <f>SUM(Purchase[Net Amount])</f>
        <v>814985438.68000126</v>
      </c>
    </row>
    <row r="904" spans="1:21" ht="19.5" thickBot="1" x14ac:dyDescent="0.3">
      <c r="A904" s="136" t="s">
        <v>1945</v>
      </c>
      <c r="B904" s="137">
        <v>45702</v>
      </c>
      <c r="C904" s="138" t="s">
        <v>593</v>
      </c>
      <c r="D904" s="138" t="str">
        <f>VLOOKUP(Purchase[[#This Row],[Supplier ID]],Supplier[#All],2,0)</f>
        <v>Global Suppliers</v>
      </c>
      <c r="E904" s="138">
        <f>VLOOKUP(Purchase[[#This Row],[Supplier ID]],Supplier[#All],3,0)</f>
        <v>9689542476</v>
      </c>
      <c r="F904" s="138" t="str">
        <f>VLOOKUP(Purchase[[#This Row],[Supplier ID]],Supplier[#All],4,0)</f>
        <v>Korba</v>
      </c>
      <c r="G904" s="138" t="str">
        <f>VLOOKUP(Purchase[[#This Row],[Supplier ID]],Supplier[#All],5,0)</f>
        <v>CG</v>
      </c>
      <c r="H904" s="138" t="str">
        <f>VLOOKUP(Purchase[[#This Row],[Supplier ID]],Supplier[#All],6,0)</f>
        <v>GST2154521T038</v>
      </c>
      <c r="I904" s="138" t="s">
        <v>75</v>
      </c>
      <c r="J904" s="139">
        <v>35</v>
      </c>
      <c r="K904" s="143">
        <f>VLOOKUP(Purchase[[#This Row],[Product ID]],Product[#All],6,0)</f>
        <v>27287</v>
      </c>
      <c r="L904" s="143">
        <f>Purchase[[#This Row],[Purchase Rate]]*Purchase[[#This Row],[Qty]]</f>
        <v>955045</v>
      </c>
      <c r="M904" s="140">
        <v>0</v>
      </c>
      <c r="N904" s="143">
        <v>0</v>
      </c>
      <c r="O904" s="140">
        <v>0.18</v>
      </c>
      <c r="P904" s="145">
        <f>(Purchase[[#This Row],[Gross Amount]]-Purchase[[#This Row],[Disct %]])*Purchase[[#This Row],[GST %]]</f>
        <v>171908.1</v>
      </c>
      <c r="Q904" s="145">
        <f>Purchase[[#This Row],[Gross Amount]]-Purchase[[#This Row],[Disct Amnt]]+Purchase[[#This Row],[GST Amount]]</f>
        <v>1126953.1000000001</v>
      </c>
      <c r="R904" s="138" t="s">
        <v>1019</v>
      </c>
      <c r="S904" s="41">
        <f>IF(Purchase[[#This Row],[Status]]="Cancelled",0,Purchase[[#This Row],[Qty]])</f>
        <v>35</v>
      </c>
      <c r="T904" s="146">
        <f>IF(Purchase[[#This Row],[Status]]="Cancelled",0,Purchase[[#This Row],[Total Amount]])</f>
        <v>1126953.1000000001</v>
      </c>
      <c r="U904" s="146">
        <f>SUM(Purchase[Net Amount])</f>
        <v>814985438.68000126</v>
      </c>
    </row>
    <row r="905" spans="1:21" ht="19.5" thickBot="1" x14ac:dyDescent="0.3">
      <c r="A905" s="136" t="s">
        <v>1946</v>
      </c>
      <c r="B905" s="137">
        <v>45702</v>
      </c>
      <c r="C905" s="138" t="s">
        <v>597</v>
      </c>
      <c r="D905" s="138" t="str">
        <f>VLOOKUP(Purchase[[#This Row],[Supplier ID]],Supplier[#All],2,0)</f>
        <v>Tech Traders</v>
      </c>
      <c r="E905" s="138">
        <f>VLOOKUP(Purchase[[#This Row],[Supplier ID]],Supplier[#All],3,0)</f>
        <v>9689542480</v>
      </c>
      <c r="F905" s="138" t="str">
        <f>VLOOKUP(Purchase[[#This Row],[Supplier ID]],Supplier[#All],4,0)</f>
        <v>Kanpur</v>
      </c>
      <c r="G905" s="138" t="str">
        <f>VLOOKUP(Purchase[[#This Row],[Supplier ID]],Supplier[#All],5,0)</f>
        <v>UP</v>
      </c>
      <c r="H905" s="138" t="str">
        <f>VLOOKUP(Purchase[[#This Row],[Supplier ID]],Supplier[#All],6,0)</f>
        <v>GST2154521T042</v>
      </c>
      <c r="I905" s="138" t="s">
        <v>281</v>
      </c>
      <c r="J905" s="139">
        <v>4</v>
      </c>
      <c r="K905" s="143">
        <f>VLOOKUP(Purchase[[#This Row],[Product ID]],Product[#All],6,0)</f>
        <v>9854</v>
      </c>
      <c r="L905" s="143">
        <f>Purchase[[#This Row],[Purchase Rate]]*Purchase[[#This Row],[Qty]]</f>
        <v>39416</v>
      </c>
      <c r="M905" s="140">
        <v>0</v>
      </c>
      <c r="N905" s="143">
        <v>0</v>
      </c>
      <c r="O905" s="140">
        <v>0.18</v>
      </c>
      <c r="P905" s="145">
        <f>(Purchase[[#This Row],[Gross Amount]]-Purchase[[#This Row],[Disct %]])*Purchase[[#This Row],[GST %]]</f>
        <v>7094.88</v>
      </c>
      <c r="Q905" s="145">
        <f>Purchase[[#This Row],[Gross Amount]]-Purchase[[#This Row],[Disct Amnt]]+Purchase[[#This Row],[GST Amount]]</f>
        <v>46510.879999999997</v>
      </c>
      <c r="R905" s="138" t="s">
        <v>1019</v>
      </c>
      <c r="S905" s="41">
        <f>IF(Purchase[[#This Row],[Status]]="Cancelled",0,Purchase[[#This Row],[Qty]])</f>
        <v>4</v>
      </c>
      <c r="T905" s="146">
        <f>IF(Purchase[[#This Row],[Status]]="Cancelled",0,Purchase[[#This Row],[Total Amount]])</f>
        <v>46510.879999999997</v>
      </c>
      <c r="U905" s="146">
        <f>SUM(Purchase[Net Amount])</f>
        <v>814985438.68000126</v>
      </c>
    </row>
    <row r="906" spans="1:21" ht="19.5" thickBot="1" x14ac:dyDescent="0.3">
      <c r="A906" s="136" t="s">
        <v>1947</v>
      </c>
      <c r="B906" s="137">
        <v>45703</v>
      </c>
      <c r="C906" s="138" t="s">
        <v>616</v>
      </c>
      <c r="D906" s="138" t="str">
        <f>VLOOKUP(Purchase[[#This Row],[Supplier ID]],Supplier[#All],2,0)</f>
        <v>Global Suppliers</v>
      </c>
      <c r="E906" s="138">
        <f>VLOOKUP(Purchase[[#This Row],[Supplier ID]],Supplier[#All],3,0)</f>
        <v>9689542499</v>
      </c>
      <c r="F906" s="138" t="str">
        <f>VLOOKUP(Purchase[[#This Row],[Supplier ID]],Supplier[#All],4,0)</f>
        <v>Kanpur</v>
      </c>
      <c r="G906" s="138" t="str">
        <f>VLOOKUP(Purchase[[#This Row],[Supplier ID]],Supplier[#All],5,0)</f>
        <v>UP</v>
      </c>
      <c r="H906" s="138" t="str">
        <f>VLOOKUP(Purchase[[#This Row],[Supplier ID]],Supplier[#All],6,0)</f>
        <v>GST2154521T061</v>
      </c>
      <c r="I906" s="138" t="s">
        <v>95</v>
      </c>
      <c r="J906" s="139">
        <v>2</v>
      </c>
      <c r="K906" s="143">
        <f>VLOOKUP(Purchase[[#This Row],[Product ID]],Product[#All],6,0)</f>
        <v>5781</v>
      </c>
      <c r="L906" s="143">
        <f>Purchase[[#This Row],[Purchase Rate]]*Purchase[[#This Row],[Qty]]</f>
        <v>11562</v>
      </c>
      <c r="M906" s="140">
        <v>0</v>
      </c>
      <c r="N906" s="143">
        <v>0</v>
      </c>
      <c r="O906" s="140">
        <v>0.18</v>
      </c>
      <c r="P906" s="145">
        <f>(Purchase[[#This Row],[Gross Amount]]-Purchase[[#This Row],[Disct %]])*Purchase[[#This Row],[GST %]]</f>
        <v>2081.16</v>
      </c>
      <c r="Q906" s="145">
        <f>Purchase[[#This Row],[Gross Amount]]-Purchase[[#This Row],[Disct Amnt]]+Purchase[[#This Row],[GST Amount]]</f>
        <v>13643.16</v>
      </c>
      <c r="R906" s="138" t="s">
        <v>1019</v>
      </c>
      <c r="S906" s="41">
        <f>IF(Purchase[[#This Row],[Status]]="Cancelled",0,Purchase[[#This Row],[Qty]])</f>
        <v>2</v>
      </c>
      <c r="T906" s="146">
        <f>IF(Purchase[[#This Row],[Status]]="Cancelled",0,Purchase[[#This Row],[Total Amount]])</f>
        <v>13643.16</v>
      </c>
      <c r="U906" s="146">
        <f>SUM(Purchase[Net Amount])</f>
        <v>814985438.68000126</v>
      </c>
    </row>
    <row r="907" spans="1:21" ht="19.5" thickBot="1" x14ac:dyDescent="0.3">
      <c r="A907" s="136" t="s">
        <v>1948</v>
      </c>
      <c r="B907" s="137">
        <v>45703</v>
      </c>
      <c r="C907" s="138" t="s">
        <v>614</v>
      </c>
      <c r="D907" s="138" t="str">
        <f>VLOOKUP(Purchase[[#This Row],[Supplier ID]],Supplier[#All],2,0)</f>
        <v>National Electronics</v>
      </c>
      <c r="E907" s="138">
        <f>VLOOKUP(Purchase[[#This Row],[Supplier ID]],Supplier[#All],3,0)</f>
        <v>9689542497</v>
      </c>
      <c r="F907" s="138" t="str">
        <f>VLOOKUP(Purchase[[#This Row],[Supplier ID]],Supplier[#All],4,0)</f>
        <v>Kanpur</v>
      </c>
      <c r="G907" s="138" t="str">
        <f>VLOOKUP(Purchase[[#This Row],[Supplier ID]],Supplier[#All],5,0)</f>
        <v>UP</v>
      </c>
      <c r="H907" s="138" t="str">
        <f>VLOOKUP(Purchase[[#This Row],[Supplier ID]],Supplier[#All],6,0)</f>
        <v>GST2154521T059</v>
      </c>
      <c r="I907" s="138" t="s">
        <v>293</v>
      </c>
      <c r="J907" s="139">
        <v>40</v>
      </c>
      <c r="K907" s="143">
        <f>VLOOKUP(Purchase[[#This Row],[Product ID]],Product[#All],6,0)</f>
        <v>7511</v>
      </c>
      <c r="L907" s="143">
        <f>Purchase[[#This Row],[Purchase Rate]]*Purchase[[#This Row],[Qty]]</f>
        <v>300440</v>
      </c>
      <c r="M907" s="140">
        <v>0</v>
      </c>
      <c r="N907" s="143">
        <v>0</v>
      </c>
      <c r="O907" s="140">
        <v>0.18</v>
      </c>
      <c r="P907" s="145">
        <f>(Purchase[[#This Row],[Gross Amount]]-Purchase[[#This Row],[Disct %]])*Purchase[[#This Row],[GST %]]</f>
        <v>54079.199999999997</v>
      </c>
      <c r="Q907" s="145">
        <f>Purchase[[#This Row],[Gross Amount]]-Purchase[[#This Row],[Disct Amnt]]+Purchase[[#This Row],[GST Amount]]</f>
        <v>354519.2</v>
      </c>
      <c r="R907" s="138" t="s">
        <v>1019</v>
      </c>
      <c r="S907" s="41">
        <f>IF(Purchase[[#This Row],[Status]]="Cancelled",0,Purchase[[#This Row],[Qty]])</f>
        <v>40</v>
      </c>
      <c r="T907" s="146">
        <f>IF(Purchase[[#This Row],[Status]]="Cancelled",0,Purchase[[#This Row],[Total Amount]])</f>
        <v>354519.2</v>
      </c>
      <c r="U907" s="146">
        <f>SUM(Purchase[Net Amount])</f>
        <v>814985438.68000126</v>
      </c>
    </row>
    <row r="908" spans="1:21" ht="19.5" thickBot="1" x14ac:dyDescent="0.3">
      <c r="A908" s="136" t="s">
        <v>1949</v>
      </c>
      <c r="B908" s="137">
        <v>45703</v>
      </c>
      <c r="C908" s="138" t="s">
        <v>583</v>
      </c>
      <c r="D908" s="138" t="str">
        <f>VLOOKUP(Purchase[[#This Row],[Supplier ID]],Supplier[#All],2,0)</f>
        <v>Shree Distributors</v>
      </c>
      <c r="E908" s="138">
        <f>VLOOKUP(Purchase[[#This Row],[Supplier ID]],Supplier[#All],3,0)</f>
        <v>9689542467</v>
      </c>
      <c r="F908" s="138" t="str">
        <f>VLOOKUP(Purchase[[#This Row],[Supplier ID]],Supplier[#All],4,0)</f>
        <v>Indore</v>
      </c>
      <c r="G908" s="138" t="str">
        <f>VLOOKUP(Purchase[[#This Row],[Supplier ID]],Supplier[#All],5,0)</f>
        <v>MP</v>
      </c>
      <c r="H908" s="138" t="str">
        <f>VLOOKUP(Purchase[[#This Row],[Supplier ID]],Supplier[#All],6,0)</f>
        <v>GST2154521T029</v>
      </c>
      <c r="I908" s="138" t="s">
        <v>408</v>
      </c>
      <c r="J908" s="139">
        <v>14</v>
      </c>
      <c r="K908" s="143">
        <f>VLOOKUP(Purchase[[#This Row],[Product ID]],Product[#All],6,0)</f>
        <v>79437</v>
      </c>
      <c r="L908" s="143">
        <f>Purchase[[#This Row],[Purchase Rate]]*Purchase[[#This Row],[Qty]]</f>
        <v>1112118</v>
      </c>
      <c r="M908" s="140">
        <v>0</v>
      </c>
      <c r="N908" s="143">
        <v>0</v>
      </c>
      <c r="O908" s="140">
        <v>0.18</v>
      </c>
      <c r="P908" s="145">
        <f>(Purchase[[#This Row],[Gross Amount]]-Purchase[[#This Row],[Disct %]])*Purchase[[#This Row],[GST %]]</f>
        <v>200181.24</v>
      </c>
      <c r="Q908" s="145">
        <f>Purchase[[#This Row],[Gross Amount]]-Purchase[[#This Row],[Disct Amnt]]+Purchase[[#This Row],[GST Amount]]</f>
        <v>1312299.24</v>
      </c>
      <c r="R908" s="138" t="s">
        <v>1019</v>
      </c>
      <c r="S908" s="41">
        <f>IF(Purchase[[#This Row],[Status]]="Cancelled",0,Purchase[[#This Row],[Qty]])</f>
        <v>14</v>
      </c>
      <c r="T908" s="146">
        <f>IF(Purchase[[#This Row],[Status]]="Cancelled",0,Purchase[[#This Row],[Total Amount]])</f>
        <v>1312299.24</v>
      </c>
      <c r="U908" s="146">
        <f>SUM(Purchase[Net Amount])</f>
        <v>814985438.68000126</v>
      </c>
    </row>
    <row r="909" spans="1:21" ht="19.5" thickBot="1" x14ac:dyDescent="0.3">
      <c r="A909" s="136" t="s">
        <v>1950</v>
      </c>
      <c r="B909" s="137">
        <v>45703</v>
      </c>
      <c r="C909" s="138" t="s">
        <v>573</v>
      </c>
      <c r="D909" s="138" t="str">
        <f>VLOOKUP(Purchase[[#This Row],[Supplier ID]],Supplier[#All],2,0)</f>
        <v>Shree Traders</v>
      </c>
      <c r="E909" s="138">
        <f>VLOOKUP(Purchase[[#This Row],[Supplier ID]],Supplier[#All],3,0)</f>
        <v>9689542458</v>
      </c>
      <c r="F909" s="138" t="str">
        <f>VLOOKUP(Purchase[[#This Row],[Supplier ID]],Supplier[#All],4,0)</f>
        <v>Korba</v>
      </c>
      <c r="G909" s="138" t="str">
        <f>VLOOKUP(Purchase[[#This Row],[Supplier ID]],Supplier[#All],5,0)</f>
        <v>CG</v>
      </c>
      <c r="H909" s="138" t="str">
        <f>VLOOKUP(Purchase[[#This Row],[Supplier ID]],Supplier[#All],6,0)</f>
        <v>GST2154521T020</v>
      </c>
      <c r="I909" s="138" t="s">
        <v>282</v>
      </c>
      <c r="J909" s="139">
        <v>31</v>
      </c>
      <c r="K909" s="143">
        <f>VLOOKUP(Purchase[[#This Row],[Product ID]],Product[#All],6,0)</f>
        <v>675</v>
      </c>
      <c r="L909" s="143">
        <f>Purchase[[#This Row],[Purchase Rate]]*Purchase[[#This Row],[Qty]]</f>
        <v>20925</v>
      </c>
      <c r="M909" s="140">
        <v>0</v>
      </c>
      <c r="N909" s="143">
        <v>0</v>
      </c>
      <c r="O909" s="140">
        <v>0.18</v>
      </c>
      <c r="P909" s="145">
        <f>(Purchase[[#This Row],[Gross Amount]]-Purchase[[#This Row],[Disct %]])*Purchase[[#This Row],[GST %]]</f>
        <v>3766.5</v>
      </c>
      <c r="Q909" s="145">
        <f>Purchase[[#This Row],[Gross Amount]]-Purchase[[#This Row],[Disct Amnt]]+Purchase[[#This Row],[GST Amount]]</f>
        <v>24691.5</v>
      </c>
      <c r="R909" s="138" t="s">
        <v>1019</v>
      </c>
      <c r="S909" s="41">
        <f>IF(Purchase[[#This Row],[Status]]="Cancelled",0,Purchase[[#This Row],[Qty]])</f>
        <v>31</v>
      </c>
      <c r="T909" s="146">
        <f>IF(Purchase[[#This Row],[Status]]="Cancelled",0,Purchase[[#This Row],[Total Amount]])</f>
        <v>24691.5</v>
      </c>
      <c r="U909" s="146">
        <f>SUM(Purchase[Net Amount])</f>
        <v>814985438.68000126</v>
      </c>
    </row>
    <row r="910" spans="1:21" ht="19.5" thickBot="1" x14ac:dyDescent="0.3">
      <c r="A910" s="136" t="s">
        <v>1951</v>
      </c>
      <c r="B910" s="137">
        <v>45703</v>
      </c>
      <c r="C910" s="138" t="s">
        <v>608</v>
      </c>
      <c r="D910" s="138" t="str">
        <f>VLOOKUP(Purchase[[#This Row],[Supplier ID]],Supplier[#All],2,0)</f>
        <v>Global Suppliers</v>
      </c>
      <c r="E910" s="138">
        <f>VLOOKUP(Purchase[[#This Row],[Supplier ID]],Supplier[#All],3,0)</f>
        <v>9689542499</v>
      </c>
      <c r="F910" s="138" t="str">
        <f>VLOOKUP(Purchase[[#This Row],[Supplier ID]],Supplier[#All],4,0)</f>
        <v>Korba</v>
      </c>
      <c r="G910" s="138" t="str">
        <f>VLOOKUP(Purchase[[#This Row],[Supplier ID]],Supplier[#All],5,0)</f>
        <v>CG</v>
      </c>
      <c r="H910" s="138" t="str">
        <f>VLOOKUP(Purchase[[#This Row],[Supplier ID]],Supplier[#All],6,0)</f>
        <v>GST2154521T053</v>
      </c>
      <c r="I910" s="138" t="s">
        <v>399</v>
      </c>
      <c r="J910" s="139">
        <v>29</v>
      </c>
      <c r="K910" s="143">
        <f>VLOOKUP(Purchase[[#This Row],[Product ID]],Product[#All],6,0)</f>
        <v>35080</v>
      </c>
      <c r="L910" s="143">
        <f>Purchase[[#This Row],[Purchase Rate]]*Purchase[[#This Row],[Qty]]</f>
        <v>1017320</v>
      </c>
      <c r="M910" s="140">
        <v>0</v>
      </c>
      <c r="N910" s="143">
        <v>0</v>
      </c>
      <c r="O910" s="140">
        <v>0.18</v>
      </c>
      <c r="P910" s="145">
        <f>(Purchase[[#This Row],[Gross Amount]]-Purchase[[#This Row],[Disct %]])*Purchase[[#This Row],[GST %]]</f>
        <v>183117.6</v>
      </c>
      <c r="Q910" s="145">
        <f>Purchase[[#This Row],[Gross Amount]]-Purchase[[#This Row],[Disct Amnt]]+Purchase[[#This Row],[GST Amount]]</f>
        <v>1200437.6000000001</v>
      </c>
      <c r="R910" s="138" t="s">
        <v>1019</v>
      </c>
      <c r="S910" s="41">
        <f>IF(Purchase[[#This Row],[Status]]="Cancelled",0,Purchase[[#This Row],[Qty]])</f>
        <v>29</v>
      </c>
      <c r="T910" s="146">
        <f>IF(Purchase[[#This Row],[Status]]="Cancelled",0,Purchase[[#This Row],[Total Amount]])</f>
        <v>1200437.6000000001</v>
      </c>
      <c r="U910" s="146">
        <f>SUM(Purchase[Net Amount])</f>
        <v>814985438.68000126</v>
      </c>
    </row>
    <row r="911" spans="1:21" ht="19.5" thickBot="1" x14ac:dyDescent="0.3">
      <c r="A911" s="136" t="s">
        <v>1952</v>
      </c>
      <c r="B911" s="137">
        <v>45703</v>
      </c>
      <c r="C911" s="138" t="s">
        <v>595</v>
      </c>
      <c r="D911" s="138" t="str">
        <f>VLOOKUP(Purchase[[#This Row],[Supplier ID]],Supplier[#All],2,0)</f>
        <v>Star Computers</v>
      </c>
      <c r="E911" s="138">
        <f>VLOOKUP(Purchase[[#This Row],[Supplier ID]],Supplier[#All],3,0)</f>
        <v>9689542478</v>
      </c>
      <c r="F911" s="138" t="str">
        <f>VLOOKUP(Purchase[[#This Row],[Supplier ID]],Supplier[#All],4,0)</f>
        <v>Kanpur</v>
      </c>
      <c r="G911" s="138" t="str">
        <f>VLOOKUP(Purchase[[#This Row],[Supplier ID]],Supplier[#All],5,0)</f>
        <v>UP</v>
      </c>
      <c r="H911" s="138" t="str">
        <f>VLOOKUP(Purchase[[#This Row],[Supplier ID]],Supplier[#All],6,0)</f>
        <v>GST2154521T040</v>
      </c>
      <c r="I911" s="138" t="s">
        <v>231</v>
      </c>
      <c r="J911" s="139">
        <v>38</v>
      </c>
      <c r="K911" s="143">
        <f>VLOOKUP(Purchase[[#This Row],[Product ID]],Product[#All],6,0)</f>
        <v>1862</v>
      </c>
      <c r="L911" s="143">
        <f>Purchase[[#This Row],[Purchase Rate]]*Purchase[[#This Row],[Qty]]</f>
        <v>70756</v>
      </c>
      <c r="M911" s="140">
        <v>0</v>
      </c>
      <c r="N911" s="143">
        <v>0</v>
      </c>
      <c r="O911" s="140">
        <v>0.18</v>
      </c>
      <c r="P911" s="145">
        <f>(Purchase[[#This Row],[Gross Amount]]-Purchase[[#This Row],[Disct %]])*Purchase[[#This Row],[GST %]]</f>
        <v>12736.08</v>
      </c>
      <c r="Q911" s="145">
        <f>Purchase[[#This Row],[Gross Amount]]-Purchase[[#This Row],[Disct Amnt]]+Purchase[[#This Row],[GST Amount]]</f>
        <v>83492.08</v>
      </c>
      <c r="R911" s="138" t="s">
        <v>1019</v>
      </c>
      <c r="S911" s="41">
        <f>IF(Purchase[[#This Row],[Status]]="Cancelled",0,Purchase[[#This Row],[Qty]])</f>
        <v>38</v>
      </c>
      <c r="T911" s="146">
        <f>IF(Purchase[[#This Row],[Status]]="Cancelled",0,Purchase[[#This Row],[Total Amount]])</f>
        <v>83492.08</v>
      </c>
      <c r="U911" s="146">
        <f>SUM(Purchase[Net Amount])</f>
        <v>814985438.68000126</v>
      </c>
    </row>
    <row r="912" spans="1:21" ht="19.5" thickBot="1" x14ac:dyDescent="0.3">
      <c r="A912" s="136" t="s">
        <v>1953</v>
      </c>
      <c r="B912" s="137">
        <v>45703</v>
      </c>
      <c r="C912" s="138" t="s">
        <v>577</v>
      </c>
      <c r="D912" s="138" t="str">
        <f>VLOOKUP(Purchase[[#This Row],[Supplier ID]],Supplier[#All],2,0)</f>
        <v>National Electronics</v>
      </c>
      <c r="E912" s="138">
        <f>VLOOKUP(Purchase[[#This Row],[Supplier ID]],Supplier[#All],3,0)</f>
        <v>9689542469</v>
      </c>
      <c r="F912" s="138" t="str">
        <f>VLOOKUP(Purchase[[#This Row],[Supplier ID]],Supplier[#All],4,0)</f>
        <v>Korba</v>
      </c>
      <c r="G912" s="138" t="str">
        <f>VLOOKUP(Purchase[[#This Row],[Supplier ID]],Supplier[#All],5,0)</f>
        <v>CG</v>
      </c>
      <c r="H912" s="138" t="str">
        <f>VLOOKUP(Purchase[[#This Row],[Supplier ID]],Supplier[#All],6,0)</f>
        <v>GST2154521T023</v>
      </c>
      <c r="I912" s="138" t="s">
        <v>458</v>
      </c>
      <c r="J912" s="139">
        <v>11</v>
      </c>
      <c r="K912" s="143">
        <f>VLOOKUP(Purchase[[#This Row],[Product ID]],Product[#All],6,0)</f>
        <v>5242</v>
      </c>
      <c r="L912" s="143">
        <f>Purchase[[#This Row],[Purchase Rate]]*Purchase[[#This Row],[Qty]]</f>
        <v>57662</v>
      </c>
      <c r="M912" s="140">
        <v>0</v>
      </c>
      <c r="N912" s="143">
        <v>0</v>
      </c>
      <c r="O912" s="140">
        <v>0.18</v>
      </c>
      <c r="P912" s="145">
        <f>(Purchase[[#This Row],[Gross Amount]]-Purchase[[#This Row],[Disct %]])*Purchase[[#This Row],[GST %]]</f>
        <v>10379.16</v>
      </c>
      <c r="Q912" s="145">
        <f>Purchase[[#This Row],[Gross Amount]]-Purchase[[#This Row],[Disct Amnt]]+Purchase[[#This Row],[GST Amount]]</f>
        <v>68041.16</v>
      </c>
      <c r="R912" s="138" t="s">
        <v>1019</v>
      </c>
      <c r="S912" s="41">
        <f>IF(Purchase[[#This Row],[Status]]="Cancelled",0,Purchase[[#This Row],[Qty]])</f>
        <v>11</v>
      </c>
      <c r="T912" s="146">
        <f>IF(Purchase[[#This Row],[Status]]="Cancelled",0,Purchase[[#This Row],[Total Amount]])</f>
        <v>68041.16</v>
      </c>
      <c r="U912" s="146">
        <f>SUM(Purchase[Net Amount])</f>
        <v>814985438.68000126</v>
      </c>
    </row>
    <row r="913" spans="1:21" ht="19.5" thickBot="1" x14ac:dyDescent="0.3">
      <c r="A913" s="136" t="s">
        <v>1954</v>
      </c>
      <c r="B913" s="137">
        <v>45703</v>
      </c>
      <c r="C913" s="138" t="s">
        <v>591</v>
      </c>
      <c r="D913" s="138" t="str">
        <f>VLOOKUP(Purchase[[#This Row],[Supplier ID]],Supplier[#All],2,0)</f>
        <v>Shree Computers</v>
      </c>
      <c r="E913" s="138">
        <f>VLOOKUP(Purchase[[#This Row],[Supplier ID]],Supplier[#All],3,0)</f>
        <v>9689542475</v>
      </c>
      <c r="F913" s="138" t="str">
        <f>VLOOKUP(Purchase[[#This Row],[Supplier ID]],Supplier[#All],4,0)</f>
        <v>Indore</v>
      </c>
      <c r="G913" s="138" t="str">
        <f>VLOOKUP(Purchase[[#This Row],[Supplier ID]],Supplier[#All],5,0)</f>
        <v>MP</v>
      </c>
      <c r="H913" s="138" t="str">
        <f>VLOOKUP(Purchase[[#This Row],[Supplier ID]],Supplier[#All],6,0)</f>
        <v>GST2154521T037</v>
      </c>
      <c r="I913" s="138" t="s">
        <v>134</v>
      </c>
      <c r="J913" s="139">
        <v>36</v>
      </c>
      <c r="K913" s="143">
        <f>VLOOKUP(Purchase[[#This Row],[Product ID]],Product[#All],6,0)</f>
        <v>3192</v>
      </c>
      <c r="L913" s="143">
        <f>Purchase[[#This Row],[Purchase Rate]]*Purchase[[#This Row],[Qty]]</f>
        <v>114912</v>
      </c>
      <c r="M913" s="140">
        <v>0</v>
      </c>
      <c r="N913" s="143">
        <v>0</v>
      </c>
      <c r="O913" s="140">
        <v>0.18</v>
      </c>
      <c r="P913" s="145">
        <f>(Purchase[[#This Row],[Gross Amount]]-Purchase[[#This Row],[Disct %]])*Purchase[[#This Row],[GST %]]</f>
        <v>20684.16</v>
      </c>
      <c r="Q913" s="145">
        <f>Purchase[[#This Row],[Gross Amount]]-Purchase[[#This Row],[Disct Amnt]]+Purchase[[#This Row],[GST Amount]]</f>
        <v>135596.16</v>
      </c>
      <c r="R913" s="138" t="s">
        <v>1019</v>
      </c>
      <c r="S913" s="41">
        <f>IF(Purchase[[#This Row],[Status]]="Cancelled",0,Purchase[[#This Row],[Qty]])</f>
        <v>36</v>
      </c>
      <c r="T913" s="146">
        <f>IF(Purchase[[#This Row],[Status]]="Cancelled",0,Purchase[[#This Row],[Total Amount]])</f>
        <v>135596.16</v>
      </c>
      <c r="U913" s="146">
        <f>SUM(Purchase[Net Amount])</f>
        <v>814985438.68000126</v>
      </c>
    </row>
    <row r="914" spans="1:21" ht="19.5" thickBot="1" x14ac:dyDescent="0.3">
      <c r="A914" s="136" t="s">
        <v>1955</v>
      </c>
      <c r="B914" s="137">
        <v>45703</v>
      </c>
      <c r="C914" s="138" t="s">
        <v>603</v>
      </c>
      <c r="D914" s="138" t="str">
        <f>VLOOKUP(Purchase[[#This Row],[Supplier ID]],Supplier[#All],2,0)</f>
        <v>Tech Computers</v>
      </c>
      <c r="E914" s="138">
        <f>VLOOKUP(Purchase[[#This Row],[Supplier ID]],Supplier[#All],3,0)</f>
        <v>9689542486</v>
      </c>
      <c r="F914" s="138" t="str">
        <f>VLOOKUP(Purchase[[#This Row],[Supplier ID]],Supplier[#All],4,0)</f>
        <v>Indore</v>
      </c>
      <c r="G914" s="138" t="str">
        <f>VLOOKUP(Purchase[[#This Row],[Supplier ID]],Supplier[#All],5,0)</f>
        <v>MP</v>
      </c>
      <c r="H914" s="138" t="str">
        <f>VLOOKUP(Purchase[[#This Row],[Supplier ID]],Supplier[#All],6,0)</f>
        <v>GST2154521T048</v>
      </c>
      <c r="I914" s="138" t="s">
        <v>549</v>
      </c>
      <c r="J914" s="139">
        <v>5</v>
      </c>
      <c r="K914" s="143">
        <f>VLOOKUP(Purchase[[#This Row],[Product ID]],Product[#All],6,0)</f>
        <v>2884</v>
      </c>
      <c r="L914" s="143">
        <f>Purchase[[#This Row],[Purchase Rate]]*Purchase[[#This Row],[Qty]]</f>
        <v>14420</v>
      </c>
      <c r="M914" s="140">
        <v>0</v>
      </c>
      <c r="N914" s="143">
        <v>0</v>
      </c>
      <c r="O914" s="140">
        <v>0.18</v>
      </c>
      <c r="P914" s="145">
        <f>(Purchase[[#This Row],[Gross Amount]]-Purchase[[#This Row],[Disct %]])*Purchase[[#This Row],[GST %]]</f>
        <v>2595.6</v>
      </c>
      <c r="Q914" s="145">
        <f>Purchase[[#This Row],[Gross Amount]]-Purchase[[#This Row],[Disct Amnt]]+Purchase[[#This Row],[GST Amount]]</f>
        <v>17015.599999999999</v>
      </c>
      <c r="R914" s="138" t="s">
        <v>1019</v>
      </c>
      <c r="S914" s="41">
        <f>IF(Purchase[[#This Row],[Status]]="Cancelled",0,Purchase[[#This Row],[Qty]])</f>
        <v>5</v>
      </c>
      <c r="T914" s="146">
        <f>IF(Purchase[[#This Row],[Status]]="Cancelled",0,Purchase[[#This Row],[Total Amount]])</f>
        <v>17015.599999999999</v>
      </c>
      <c r="U914" s="146">
        <f>SUM(Purchase[Net Amount])</f>
        <v>814985438.68000126</v>
      </c>
    </row>
    <row r="915" spans="1:21" ht="19.5" thickBot="1" x14ac:dyDescent="0.3">
      <c r="A915" s="136" t="s">
        <v>1956</v>
      </c>
      <c r="B915" s="137">
        <v>45703</v>
      </c>
      <c r="C915" s="138" t="s">
        <v>576</v>
      </c>
      <c r="D915" s="138" t="str">
        <f>VLOOKUP(Purchase[[#This Row],[Supplier ID]],Supplier[#All],2,0)</f>
        <v>Maa Distributors</v>
      </c>
      <c r="E915" s="138">
        <f>VLOOKUP(Purchase[[#This Row],[Supplier ID]],Supplier[#All],3,0)</f>
        <v>9689542460</v>
      </c>
      <c r="F915" s="138" t="str">
        <f>VLOOKUP(Purchase[[#This Row],[Supplier ID]],Supplier[#All],4,0)</f>
        <v>Korba</v>
      </c>
      <c r="G915" s="138" t="str">
        <f>VLOOKUP(Purchase[[#This Row],[Supplier ID]],Supplier[#All],5,0)</f>
        <v>CG</v>
      </c>
      <c r="H915" s="138" t="str">
        <f>VLOOKUP(Purchase[[#This Row],[Supplier ID]],Supplier[#All],6,0)</f>
        <v>GST2154521T022</v>
      </c>
      <c r="I915" s="138" t="s">
        <v>82</v>
      </c>
      <c r="J915" s="139">
        <v>26</v>
      </c>
      <c r="K915" s="143">
        <f>VLOOKUP(Purchase[[#This Row],[Product ID]],Product[#All],6,0)</f>
        <v>4177</v>
      </c>
      <c r="L915" s="143">
        <f>Purchase[[#This Row],[Purchase Rate]]*Purchase[[#This Row],[Qty]]</f>
        <v>108602</v>
      </c>
      <c r="M915" s="140">
        <v>0</v>
      </c>
      <c r="N915" s="143">
        <v>0</v>
      </c>
      <c r="O915" s="140">
        <v>0.18</v>
      </c>
      <c r="P915" s="145">
        <f>(Purchase[[#This Row],[Gross Amount]]-Purchase[[#This Row],[Disct %]])*Purchase[[#This Row],[GST %]]</f>
        <v>19548.36</v>
      </c>
      <c r="Q915" s="145">
        <f>Purchase[[#This Row],[Gross Amount]]-Purchase[[#This Row],[Disct Amnt]]+Purchase[[#This Row],[GST Amount]]</f>
        <v>128150.36</v>
      </c>
      <c r="R915" s="138" t="s">
        <v>1019</v>
      </c>
      <c r="S915" s="41">
        <f>IF(Purchase[[#This Row],[Status]]="Cancelled",0,Purchase[[#This Row],[Qty]])</f>
        <v>26</v>
      </c>
      <c r="T915" s="146">
        <f>IF(Purchase[[#This Row],[Status]]="Cancelled",0,Purchase[[#This Row],[Total Amount]])</f>
        <v>128150.36</v>
      </c>
      <c r="U915" s="146">
        <f>SUM(Purchase[Net Amount])</f>
        <v>814985438.68000126</v>
      </c>
    </row>
    <row r="916" spans="1:21" ht="19.5" thickBot="1" x14ac:dyDescent="0.3">
      <c r="A916" s="136" t="s">
        <v>1957</v>
      </c>
      <c r="B916" s="137">
        <v>45703</v>
      </c>
      <c r="C916" s="138" t="s">
        <v>1447</v>
      </c>
      <c r="D916" s="138" t="str">
        <f>VLOOKUP(Purchase[[#This Row],[Supplier ID]],Supplier[#All],2,0)</f>
        <v>Prime Traders</v>
      </c>
      <c r="E916" s="138">
        <f>VLOOKUP(Purchase[[#This Row],[Supplier ID]],Supplier[#All],3,0)</f>
        <v>9689542456</v>
      </c>
      <c r="F916" s="138" t="str">
        <f>VLOOKUP(Purchase[[#This Row],[Supplier ID]],Supplier[#All],4,0)</f>
        <v>Indore</v>
      </c>
      <c r="G916" s="138" t="str">
        <f>VLOOKUP(Purchase[[#This Row],[Supplier ID]],Supplier[#All],5,0)</f>
        <v>MP</v>
      </c>
      <c r="H916" s="138" t="str">
        <f>VLOOKUP(Purchase[[#This Row],[Supplier ID]],Supplier[#All],6,0)</f>
        <v>GST2154521T018</v>
      </c>
      <c r="I916" s="138" t="s">
        <v>234</v>
      </c>
      <c r="J916" s="139">
        <v>2</v>
      </c>
      <c r="K916" s="143">
        <f>VLOOKUP(Purchase[[#This Row],[Product ID]],Product[#All],6,0)</f>
        <v>63093</v>
      </c>
      <c r="L916" s="143">
        <f>Purchase[[#This Row],[Purchase Rate]]*Purchase[[#This Row],[Qty]]</f>
        <v>126186</v>
      </c>
      <c r="M916" s="140">
        <v>0</v>
      </c>
      <c r="N916" s="143">
        <v>0</v>
      </c>
      <c r="O916" s="140">
        <v>0.18</v>
      </c>
      <c r="P916" s="145">
        <f>(Purchase[[#This Row],[Gross Amount]]-Purchase[[#This Row],[Disct %]])*Purchase[[#This Row],[GST %]]</f>
        <v>22713.48</v>
      </c>
      <c r="Q916" s="145">
        <f>Purchase[[#This Row],[Gross Amount]]-Purchase[[#This Row],[Disct Amnt]]+Purchase[[#This Row],[GST Amount]]</f>
        <v>148899.48000000001</v>
      </c>
      <c r="R916" s="138" t="s">
        <v>1019</v>
      </c>
      <c r="S916" s="41">
        <f>IF(Purchase[[#This Row],[Status]]="Cancelled",0,Purchase[[#This Row],[Qty]])</f>
        <v>2</v>
      </c>
      <c r="T916" s="146">
        <f>IF(Purchase[[#This Row],[Status]]="Cancelled",0,Purchase[[#This Row],[Total Amount]])</f>
        <v>148899.48000000001</v>
      </c>
      <c r="U916" s="146">
        <f>SUM(Purchase[Net Amount])</f>
        <v>814985438.68000126</v>
      </c>
    </row>
    <row r="917" spans="1:21" ht="19.5" thickBot="1" x14ac:dyDescent="0.3">
      <c r="A917" s="136" t="s">
        <v>1958</v>
      </c>
      <c r="B917" s="137">
        <v>45703</v>
      </c>
      <c r="C917" s="138" t="s">
        <v>581</v>
      </c>
      <c r="D917" s="138" t="str">
        <f>VLOOKUP(Purchase[[#This Row],[Supplier ID]],Supplier[#All],2,0)</f>
        <v>Prime Electronics</v>
      </c>
      <c r="E917" s="138">
        <f>VLOOKUP(Purchase[[#This Row],[Supplier ID]],Supplier[#All],3,0)</f>
        <v>9689542465</v>
      </c>
      <c r="F917" s="138" t="str">
        <f>VLOOKUP(Purchase[[#This Row],[Supplier ID]],Supplier[#All],4,0)</f>
        <v>Korba</v>
      </c>
      <c r="G917" s="138" t="str">
        <f>VLOOKUP(Purchase[[#This Row],[Supplier ID]],Supplier[#All],5,0)</f>
        <v>CG</v>
      </c>
      <c r="H917" s="138" t="str">
        <f>VLOOKUP(Purchase[[#This Row],[Supplier ID]],Supplier[#All],6,0)</f>
        <v>GST2154521T027</v>
      </c>
      <c r="I917" s="138" t="s">
        <v>431</v>
      </c>
      <c r="J917" s="139">
        <v>36</v>
      </c>
      <c r="K917" s="143">
        <f>VLOOKUP(Purchase[[#This Row],[Product ID]],Product[#All],6,0)</f>
        <v>14391</v>
      </c>
      <c r="L917" s="143">
        <f>Purchase[[#This Row],[Purchase Rate]]*Purchase[[#This Row],[Qty]]</f>
        <v>518076</v>
      </c>
      <c r="M917" s="140">
        <v>0</v>
      </c>
      <c r="N917" s="143">
        <v>0</v>
      </c>
      <c r="O917" s="140">
        <v>0.18</v>
      </c>
      <c r="P917" s="145">
        <f>(Purchase[[#This Row],[Gross Amount]]-Purchase[[#This Row],[Disct %]])*Purchase[[#This Row],[GST %]]</f>
        <v>93253.68</v>
      </c>
      <c r="Q917" s="145">
        <f>Purchase[[#This Row],[Gross Amount]]-Purchase[[#This Row],[Disct Amnt]]+Purchase[[#This Row],[GST Amount]]</f>
        <v>611329.67999999993</v>
      </c>
      <c r="R917" s="138" t="s">
        <v>1019</v>
      </c>
      <c r="S917" s="41">
        <f>IF(Purchase[[#This Row],[Status]]="Cancelled",0,Purchase[[#This Row],[Qty]])</f>
        <v>36</v>
      </c>
      <c r="T917" s="146">
        <f>IF(Purchase[[#This Row],[Status]]="Cancelled",0,Purchase[[#This Row],[Total Amount]])</f>
        <v>611329.67999999993</v>
      </c>
      <c r="U917" s="146">
        <f>SUM(Purchase[Net Amount])</f>
        <v>814985438.68000126</v>
      </c>
    </row>
    <row r="918" spans="1:21" ht="19.5" thickBot="1" x14ac:dyDescent="0.3">
      <c r="A918" s="136" t="s">
        <v>1959</v>
      </c>
      <c r="B918" s="137">
        <v>45703</v>
      </c>
      <c r="C918" s="138" t="s">
        <v>566</v>
      </c>
      <c r="D918" s="138" t="str">
        <f>VLOOKUP(Purchase[[#This Row],[Supplier ID]],Supplier[#All],2,0)</f>
        <v>Maa Computers</v>
      </c>
      <c r="E918" s="138">
        <f>VLOOKUP(Purchase[[#This Row],[Supplier ID]],Supplier[#All],3,0)</f>
        <v>9689542452</v>
      </c>
      <c r="F918" s="138" t="str">
        <f>VLOOKUP(Purchase[[#This Row],[Supplier ID]],Supplier[#All],4,0)</f>
        <v>Kanpur</v>
      </c>
      <c r="G918" s="138" t="str">
        <f>VLOOKUP(Purchase[[#This Row],[Supplier ID]],Supplier[#All],5,0)</f>
        <v>UP</v>
      </c>
      <c r="H918" s="138" t="str">
        <f>VLOOKUP(Purchase[[#This Row],[Supplier ID]],Supplier[#All],6,0)</f>
        <v>GST2154521T014</v>
      </c>
      <c r="I918" s="138" t="s">
        <v>420</v>
      </c>
      <c r="J918" s="139">
        <v>17</v>
      </c>
      <c r="K918" s="143">
        <f>VLOOKUP(Purchase[[#This Row],[Product ID]],Product[#All],6,0)</f>
        <v>3054</v>
      </c>
      <c r="L918" s="143">
        <f>Purchase[[#This Row],[Purchase Rate]]*Purchase[[#This Row],[Qty]]</f>
        <v>51918</v>
      </c>
      <c r="M918" s="140">
        <v>0</v>
      </c>
      <c r="N918" s="143">
        <v>0</v>
      </c>
      <c r="O918" s="140">
        <v>0.18</v>
      </c>
      <c r="P918" s="145">
        <f>(Purchase[[#This Row],[Gross Amount]]-Purchase[[#This Row],[Disct %]])*Purchase[[#This Row],[GST %]]</f>
        <v>9345.24</v>
      </c>
      <c r="Q918" s="145">
        <f>Purchase[[#This Row],[Gross Amount]]-Purchase[[#This Row],[Disct Amnt]]+Purchase[[#This Row],[GST Amount]]</f>
        <v>61263.24</v>
      </c>
      <c r="R918" s="138" t="s">
        <v>1019</v>
      </c>
      <c r="S918" s="41">
        <f>IF(Purchase[[#This Row],[Status]]="Cancelled",0,Purchase[[#This Row],[Qty]])</f>
        <v>17</v>
      </c>
      <c r="T918" s="146">
        <f>IF(Purchase[[#This Row],[Status]]="Cancelled",0,Purchase[[#This Row],[Total Amount]])</f>
        <v>61263.24</v>
      </c>
      <c r="U918" s="146">
        <f>SUM(Purchase[Net Amount])</f>
        <v>814985438.68000126</v>
      </c>
    </row>
    <row r="919" spans="1:21" ht="19.5" thickBot="1" x14ac:dyDescent="0.3">
      <c r="A919" s="136" t="s">
        <v>1960</v>
      </c>
      <c r="B919" s="137">
        <v>45703</v>
      </c>
      <c r="C919" s="138" t="s">
        <v>602</v>
      </c>
      <c r="D919" s="138" t="str">
        <f>VLOOKUP(Purchase[[#This Row],[Supplier ID]],Supplier[#All],2,0)</f>
        <v>Maa Computers</v>
      </c>
      <c r="E919" s="138">
        <f>VLOOKUP(Purchase[[#This Row],[Supplier ID]],Supplier[#All],3,0)</f>
        <v>9689542485</v>
      </c>
      <c r="F919" s="138" t="str">
        <f>VLOOKUP(Purchase[[#This Row],[Supplier ID]],Supplier[#All],4,0)</f>
        <v>Korba</v>
      </c>
      <c r="G919" s="138" t="str">
        <f>VLOOKUP(Purchase[[#This Row],[Supplier ID]],Supplier[#All],5,0)</f>
        <v>CG</v>
      </c>
      <c r="H919" s="138" t="str">
        <f>VLOOKUP(Purchase[[#This Row],[Supplier ID]],Supplier[#All],6,0)</f>
        <v>GST2154521T047</v>
      </c>
      <c r="I919" s="138" t="s">
        <v>334</v>
      </c>
      <c r="J919" s="139">
        <v>33</v>
      </c>
      <c r="K919" s="143">
        <f>VLOOKUP(Purchase[[#This Row],[Product ID]],Product[#All],6,0)</f>
        <v>2706</v>
      </c>
      <c r="L919" s="143">
        <f>Purchase[[#This Row],[Purchase Rate]]*Purchase[[#This Row],[Qty]]</f>
        <v>89298</v>
      </c>
      <c r="M919" s="140">
        <v>0</v>
      </c>
      <c r="N919" s="143">
        <v>0</v>
      </c>
      <c r="O919" s="140">
        <v>0.18</v>
      </c>
      <c r="P919" s="145">
        <f>(Purchase[[#This Row],[Gross Amount]]-Purchase[[#This Row],[Disct %]])*Purchase[[#This Row],[GST %]]</f>
        <v>16073.64</v>
      </c>
      <c r="Q919" s="145">
        <f>Purchase[[#This Row],[Gross Amount]]-Purchase[[#This Row],[Disct Amnt]]+Purchase[[#This Row],[GST Amount]]</f>
        <v>105371.64</v>
      </c>
      <c r="R919" s="138" t="s">
        <v>1019</v>
      </c>
      <c r="S919" s="41">
        <f>IF(Purchase[[#This Row],[Status]]="Cancelled",0,Purchase[[#This Row],[Qty]])</f>
        <v>33</v>
      </c>
      <c r="T919" s="146">
        <f>IF(Purchase[[#This Row],[Status]]="Cancelled",0,Purchase[[#This Row],[Total Amount]])</f>
        <v>105371.64</v>
      </c>
      <c r="U919" s="146">
        <f>SUM(Purchase[Net Amount])</f>
        <v>814985438.68000126</v>
      </c>
    </row>
    <row r="920" spans="1:21" ht="19.5" thickBot="1" x14ac:dyDescent="0.3">
      <c r="A920" s="136" t="s">
        <v>1961</v>
      </c>
      <c r="B920" s="137">
        <v>45703</v>
      </c>
      <c r="C920" s="138" t="s">
        <v>568</v>
      </c>
      <c r="D920" s="138" t="str">
        <f>VLOOKUP(Purchase[[#This Row],[Supplier ID]],Supplier[#All],2,0)</f>
        <v>Maa Computers</v>
      </c>
      <c r="E920" s="138">
        <f>VLOOKUP(Purchase[[#This Row],[Supplier ID]],Supplier[#All],3,0)</f>
        <v>9689542454</v>
      </c>
      <c r="F920" s="138" t="str">
        <f>VLOOKUP(Purchase[[#This Row],[Supplier ID]],Supplier[#All],4,0)</f>
        <v>Korba</v>
      </c>
      <c r="G920" s="138" t="str">
        <f>VLOOKUP(Purchase[[#This Row],[Supplier ID]],Supplier[#All],5,0)</f>
        <v>CG</v>
      </c>
      <c r="H920" s="138" t="str">
        <f>VLOOKUP(Purchase[[#This Row],[Supplier ID]],Supplier[#All],6,0)</f>
        <v>GST2154521T016</v>
      </c>
      <c r="I920" s="138" t="s">
        <v>213</v>
      </c>
      <c r="J920" s="139">
        <v>28</v>
      </c>
      <c r="K920" s="143">
        <f>VLOOKUP(Purchase[[#This Row],[Product ID]],Product[#All],6,0)</f>
        <v>3086</v>
      </c>
      <c r="L920" s="143">
        <f>Purchase[[#This Row],[Purchase Rate]]*Purchase[[#This Row],[Qty]]</f>
        <v>86408</v>
      </c>
      <c r="M920" s="140">
        <v>0</v>
      </c>
      <c r="N920" s="143">
        <v>0</v>
      </c>
      <c r="O920" s="140">
        <v>0.18</v>
      </c>
      <c r="P920" s="145">
        <f>(Purchase[[#This Row],[Gross Amount]]-Purchase[[#This Row],[Disct %]])*Purchase[[#This Row],[GST %]]</f>
        <v>15553.439999999999</v>
      </c>
      <c r="Q920" s="145">
        <f>Purchase[[#This Row],[Gross Amount]]-Purchase[[#This Row],[Disct Amnt]]+Purchase[[#This Row],[GST Amount]]</f>
        <v>101961.44</v>
      </c>
      <c r="R920" s="138" t="s">
        <v>1019</v>
      </c>
      <c r="S920" s="41">
        <f>IF(Purchase[[#This Row],[Status]]="Cancelled",0,Purchase[[#This Row],[Qty]])</f>
        <v>28</v>
      </c>
      <c r="T920" s="146">
        <f>IF(Purchase[[#This Row],[Status]]="Cancelled",0,Purchase[[#This Row],[Total Amount]])</f>
        <v>101961.44</v>
      </c>
      <c r="U920" s="146">
        <f>SUM(Purchase[Net Amount])</f>
        <v>814985438.68000126</v>
      </c>
    </row>
    <row r="921" spans="1:21" ht="19.5" thickBot="1" x14ac:dyDescent="0.3">
      <c r="A921" s="136" t="s">
        <v>1962</v>
      </c>
      <c r="B921" s="137">
        <v>45703</v>
      </c>
      <c r="C921" s="138" t="s">
        <v>581</v>
      </c>
      <c r="D921" s="138" t="str">
        <f>VLOOKUP(Purchase[[#This Row],[Supplier ID]],Supplier[#All],2,0)</f>
        <v>Prime Electronics</v>
      </c>
      <c r="E921" s="138">
        <f>VLOOKUP(Purchase[[#This Row],[Supplier ID]],Supplier[#All],3,0)</f>
        <v>9689542465</v>
      </c>
      <c r="F921" s="138" t="str">
        <f>VLOOKUP(Purchase[[#This Row],[Supplier ID]],Supplier[#All],4,0)</f>
        <v>Korba</v>
      </c>
      <c r="G921" s="138" t="str">
        <f>VLOOKUP(Purchase[[#This Row],[Supplier ID]],Supplier[#All],5,0)</f>
        <v>CG</v>
      </c>
      <c r="H921" s="138" t="str">
        <f>VLOOKUP(Purchase[[#This Row],[Supplier ID]],Supplier[#All],6,0)</f>
        <v>GST2154521T027</v>
      </c>
      <c r="I921" s="138" t="s">
        <v>338</v>
      </c>
      <c r="J921" s="139">
        <v>26</v>
      </c>
      <c r="K921" s="143">
        <f>VLOOKUP(Purchase[[#This Row],[Product ID]],Product[#All],6,0)</f>
        <v>10799</v>
      </c>
      <c r="L921" s="143">
        <f>Purchase[[#This Row],[Purchase Rate]]*Purchase[[#This Row],[Qty]]</f>
        <v>280774</v>
      </c>
      <c r="M921" s="140">
        <v>0</v>
      </c>
      <c r="N921" s="143">
        <v>0</v>
      </c>
      <c r="O921" s="140">
        <v>0.18</v>
      </c>
      <c r="P921" s="145">
        <f>(Purchase[[#This Row],[Gross Amount]]-Purchase[[#This Row],[Disct %]])*Purchase[[#This Row],[GST %]]</f>
        <v>50539.32</v>
      </c>
      <c r="Q921" s="145">
        <f>Purchase[[#This Row],[Gross Amount]]-Purchase[[#This Row],[Disct Amnt]]+Purchase[[#This Row],[GST Amount]]</f>
        <v>331313.32</v>
      </c>
      <c r="R921" s="138" t="s">
        <v>1019</v>
      </c>
      <c r="S921" s="41">
        <f>IF(Purchase[[#This Row],[Status]]="Cancelled",0,Purchase[[#This Row],[Qty]])</f>
        <v>26</v>
      </c>
      <c r="T921" s="146">
        <f>IF(Purchase[[#This Row],[Status]]="Cancelled",0,Purchase[[#This Row],[Total Amount]])</f>
        <v>331313.32</v>
      </c>
      <c r="U921" s="146">
        <f>SUM(Purchase[Net Amount])</f>
        <v>814985438.68000126</v>
      </c>
    </row>
    <row r="922" spans="1:21" ht="19.5" thickBot="1" x14ac:dyDescent="0.3">
      <c r="A922" s="136" t="s">
        <v>1963</v>
      </c>
      <c r="B922" s="137">
        <v>45703</v>
      </c>
      <c r="C922" s="138" t="s">
        <v>585</v>
      </c>
      <c r="D922" s="138" t="str">
        <f>VLOOKUP(Purchase[[#This Row],[Supplier ID]],Supplier[#All],2,0)</f>
        <v>Tech Computers</v>
      </c>
      <c r="E922" s="138">
        <f>VLOOKUP(Purchase[[#This Row],[Supplier ID]],Supplier[#All],3,0)</f>
        <v>9689542469</v>
      </c>
      <c r="F922" s="138" t="str">
        <f>VLOOKUP(Purchase[[#This Row],[Supplier ID]],Supplier[#All],4,0)</f>
        <v>Korba</v>
      </c>
      <c r="G922" s="138" t="str">
        <f>VLOOKUP(Purchase[[#This Row],[Supplier ID]],Supplier[#All],5,0)</f>
        <v>CG</v>
      </c>
      <c r="H922" s="138" t="str">
        <f>VLOOKUP(Purchase[[#This Row],[Supplier ID]],Supplier[#All],6,0)</f>
        <v>GST2154521T031</v>
      </c>
      <c r="I922" s="138" t="s">
        <v>440</v>
      </c>
      <c r="J922" s="139">
        <v>40</v>
      </c>
      <c r="K922" s="143">
        <f>VLOOKUP(Purchase[[#This Row],[Product ID]],Product[#All],6,0)</f>
        <v>20248</v>
      </c>
      <c r="L922" s="143">
        <f>Purchase[[#This Row],[Purchase Rate]]*Purchase[[#This Row],[Qty]]</f>
        <v>809920</v>
      </c>
      <c r="M922" s="140">
        <v>0</v>
      </c>
      <c r="N922" s="143">
        <v>0</v>
      </c>
      <c r="O922" s="140">
        <v>0.18</v>
      </c>
      <c r="P922" s="145">
        <f>(Purchase[[#This Row],[Gross Amount]]-Purchase[[#This Row],[Disct %]])*Purchase[[#This Row],[GST %]]</f>
        <v>145785.60000000001</v>
      </c>
      <c r="Q922" s="145">
        <f>Purchase[[#This Row],[Gross Amount]]-Purchase[[#This Row],[Disct Amnt]]+Purchase[[#This Row],[GST Amount]]</f>
        <v>955705.6</v>
      </c>
      <c r="R922" s="138" t="s">
        <v>1019</v>
      </c>
      <c r="S922" s="41">
        <f>IF(Purchase[[#This Row],[Status]]="Cancelled",0,Purchase[[#This Row],[Qty]])</f>
        <v>40</v>
      </c>
      <c r="T922" s="146">
        <f>IF(Purchase[[#This Row],[Status]]="Cancelled",0,Purchase[[#This Row],[Total Amount]])</f>
        <v>955705.6</v>
      </c>
      <c r="U922" s="146">
        <f>SUM(Purchase[Net Amount])</f>
        <v>814985438.68000126</v>
      </c>
    </row>
    <row r="923" spans="1:21" ht="19.5" thickBot="1" x14ac:dyDescent="0.3">
      <c r="A923" s="136" t="s">
        <v>1964</v>
      </c>
      <c r="B923" s="137">
        <v>45703</v>
      </c>
      <c r="C923" s="138" t="s">
        <v>573</v>
      </c>
      <c r="D923" s="138" t="str">
        <f>VLOOKUP(Purchase[[#This Row],[Supplier ID]],Supplier[#All],2,0)</f>
        <v>Shree Traders</v>
      </c>
      <c r="E923" s="138">
        <f>VLOOKUP(Purchase[[#This Row],[Supplier ID]],Supplier[#All],3,0)</f>
        <v>9689542458</v>
      </c>
      <c r="F923" s="138" t="str">
        <f>VLOOKUP(Purchase[[#This Row],[Supplier ID]],Supplier[#All],4,0)</f>
        <v>Korba</v>
      </c>
      <c r="G923" s="138" t="str">
        <f>VLOOKUP(Purchase[[#This Row],[Supplier ID]],Supplier[#All],5,0)</f>
        <v>CG</v>
      </c>
      <c r="H923" s="138" t="str">
        <f>VLOOKUP(Purchase[[#This Row],[Supplier ID]],Supplier[#All],6,0)</f>
        <v>GST2154521T020</v>
      </c>
      <c r="I923" s="138" t="s">
        <v>343</v>
      </c>
      <c r="J923" s="139">
        <v>36</v>
      </c>
      <c r="K923" s="143">
        <f>VLOOKUP(Purchase[[#This Row],[Product ID]],Product[#All],6,0)</f>
        <v>692</v>
      </c>
      <c r="L923" s="143">
        <f>Purchase[[#This Row],[Purchase Rate]]*Purchase[[#This Row],[Qty]]</f>
        <v>24912</v>
      </c>
      <c r="M923" s="140">
        <v>0</v>
      </c>
      <c r="N923" s="143">
        <v>0</v>
      </c>
      <c r="O923" s="140">
        <v>0.18</v>
      </c>
      <c r="P923" s="145">
        <f>(Purchase[[#This Row],[Gross Amount]]-Purchase[[#This Row],[Disct %]])*Purchase[[#This Row],[GST %]]</f>
        <v>4484.16</v>
      </c>
      <c r="Q923" s="145">
        <f>Purchase[[#This Row],[Gross Amount]]-Purchase[[#This Row],[Disct Amnt]]+Purchase[[#This Row],[GST Amount]]</f>
        <v>29396.16</v>
      </c>
      <c r="R923" s="138" t="s">
        <v>1019</v>
      </c>
      <c r="S923" s="41">
        <f>IF(Purchase[[#This Row],[Status]]="Cancelled",0,Purchase[[#This Row],[Qty]])</f>
        <v>36</v>
      </c>
      <c r="T923" s="146">
        <f>IF(Purchase[[#This Row],[Status]]="Cancelled",0,Purchase[[#This Row],[Total Amount]])</f>
        <v>29396.16</v>
      </c>
      <c r="U923" s="146">
        <f>SUM(Purchase[Net Amount])</f>
        <v>814985438.68000126</v>
      </c>
    </row>
    <row r="924" spans="1:21" ht="19.5" thickBot="1" x14ac:dyDescent="0.3">
      <c r="A924" s="136" t="s">
        <v>1965</v>
      </c>
      <c r="B924" s="137">
        <v>45703</v>
      </c>
      <c r="C924" s="138" t="s">
        <v>594</v>
      </c>
      <c r="D924" s="138" t="str">
        <f>VLOOKUP(Purchase[[#This Row],[Supplier ID]],Supplier[#All],2,0)</f>
        <v>Shree Suppliers</v>
      </c>
      <c r="E924" s="138">
        <f>VLOOKUP(Purchase[[#This Row],[Supplier ID]],Supplier[#All],3,0)</f>
        <v>9689542477</v>
      </c>
      <c r="F924" s="138" t="str">
        <f>VLOOKUP(Purchase[[#This Row],[Supplier ID]],Supplier[#All],4,0)</f>
        <v>Indore</v>
      </c>
      <c r="G924" s="138" t="str">
        <f>VLOOKUP(Purchase[[#This Row],[Supplier ID]],Supplier[#All],5,0)</f>
        <v>MP</v>
      </c>
      <c r="H924" s="138" t="str">
        <f>VLOOKUP(Purchase[[#This Row],[Supplier ID]],Supplier[#All],6,0)</f>
        <v>GST2154521T039</v>
      </c>
      <c r="I924" s="138" t="s">
        <v>177</v>
      </c>
      <c r="J924" s="139">
        <v>28</v>
      </c>
      <c r="K924" s="143">
        <f>VLOOKUP(Purchase[[#This Row],[Product ID]],Product[#All],6,0)</f>
        <v>45329</v>
      </c>
      <c r="L924" s="143">
        <f>Purchase[[#This Row],[Purchase Rate]]*Purchase[[#This Row],[Qty]]</f>
        <v>1269212</v>
      </c>
      <c r="M924" s="140">
        <v>0</v>
      </c>
      <c r="N924" s="143">
        <v>0</v>
      </c>
      <c r="O924" s="140">
        <v>0.18</v>
      </c>
      <c r="P924" s="145">
        <f>(Purchase[[#This Row],[Gross Amount]]-Purchase[[#This Row],[Disct %]])*Purchase[[#This Row],[GST %]]</f>
        <v>228458.16</v>
      </c>
      <c r="Q924" s="145">
        <f>Purchase[[#This Row],[Gross Amount]]-Purchase[[#This Row],[Disct Amnt]]+Purchase[[#This Row],[GST Amount]]</f>
        <v>1497670.16</v>
      </c>
      <c r="R924" s="138" t="s">
        <v>1019</v>
      </c>
      <c r="S924" s="41">
        <f>IF(Purchase[[#This Row],[Status]]="Cancelled",0,Purchase[[#This Row],[Qty]])</f>
        <v>28</v>
      </c>
      <c r="T924" s="146">
        <f>IF(Purchase[[#This Row],[Status]]="Cancelled",0,Purchase[[#This Row],[Total Amount]])</f>
        <v>1497670.16</v>
      </c>
      <c r="U924" s="146">
        <f>SUM(Purchase[Net Amount])</f>
        <v>814985438.68000126</v>
      </c>
    </row>
    <row r="925" spans="1:21" ht="19.5" thickBot="1" x14ac:dyDescent="0.3">
      <c r="A925" s="136" t="s">
        <v>1966</v>
      </c>
      <c r="B925" s="137">
        <v>45703</v>
      </c>
      <c r="C925" s="138" t="s">
        <v>579</v>
      </c>
      <c r="D925" s="138" t="str">
        <f>VLOOKUP(Purchase[[#This Row],[Supplier ID]],Supplier[#All],2,0)</f>
        <v>Tech Traders</v>
      </c>
      <c r="E925" s="138">
        <f>VLOOKUP(Purchase[[#This Row],[Supplier ID]],Supplier[#All],3,0)</f>
        <v>9689542463</v>
      </c>
      <c r="F925" s="138" t="str">
        <f>VLOOKUP(Purchase[[#This Row],[Supplier ID]],Supplier[#All],4,0)</f>
        <v>Kanpur</v>
      </c>
      <c r="G925" s="138" t="str">
        <f>VLOOKUP(Purchase[[#This Row],[Supplier ID]],Supplier[#All],5,0)</f>
        <v>UP</v>
      </c>
      <c r="H925" s="138" t="str">
        <f>VLOOKUP(Purchase[[#This Row],[Supplier ID]],Supplier[#All],6,0)</f>
        <v>GST2154521T025</v>
      </c>
      <c r="I925" s="138" t="s">
        <v>489</v>
      </c>
      <c r="J925" s="139">
        <v>19</v>
      </c>
      <c r="K925" s="143">
        <f>VLOOKUP(Purchase[[#This Row],[Product ID]],Product[#All],6,0)</f>
        <v>6471</v>
      </c>
      <c r="L925" s="143">
        <f>Purchase[[#This Row],[Purchase Rate]]*Purchase[[#This Row],[Qty]]</f>
        <v>122949</v>
      </c>
      <c r="M925" s="140">
        <v>0</v>
      </c>
      <c r="N925" s="143">
        <v>0</v>
      </c>
      <c r="O925" s="140">
        <v>0.18</v>
      </c>
      <c r="P925" s="145">
        <f>(Purchase[[#This Row],[Gross Amount]]-Purchase[[#This Row],[Disct %]])*Purchase[[#This Row],[GST %]]</f>
        <v>22130.82</v>
      </c>
      <c r="Q925" s="145">
        <f>Purchase[[#This Row],[Gross Amount]]-Purchase[[#This Row],[Disct Amnt]]+Purchase[[#This Row],[GST Amount]]</f>
        <v>145079.82</v>
      </c>
      <c r="R925" s="138" t="s">
        <v>1019</v>
      </c>
      <c r="S925" s="41">
        <f>IF(Purchase[[#This Row],[Status]]="Cancelled",0,Purchase[[#This Row],[Qty]])</f>
        <v>19</v>
      </c>
      <c r="T925" s="146">
        <f>IF(Purchase[[#This Row],[Status]]="Cancelled",0,Purchase[[#This Row],[Total Amount]])</f>
        <v>145079.82</v>
      </c>
      <c r="U925" s="146">
        <f>SUM(Purchase[Net Amount])</f>
        <v>814985438.68000126</v>
      </c>
    </row>
    <row r="926" spans="1:21" ht="19.5" thickBot="1" x14ac:dyDescent="0.3">
      <c r="A926" s="136" t="s">
        <v>1967</v>
      </c>
      <c r="B926" s="137">
        <v>45703</v>
      </c>
      <c r="C926" s="138" t="s">
        <v>566</v>
      </c>
      <c r="D926" s="138" t="str">
        <f>VLOOKUP(Purchase[[#This Row],[Supplier ID]],Supplier[#All],2,0)</f>
        <v>Maa Computers</v>
      </c>
      <c r="E926" s="138">
        <f>VLOOKUP(Purchase[[#This Row],[Supplier ID]],Supplier[#All],3,0)</f>
        <v>9689542452</v>
      </c>
      <c r="F926" s="138" t="str">
        <f>VLOOKUP(Purchase[[#This Row],[Supplier ID]],Supplier[#All],4,0)</f>
        <v>Kanpur</v>
      </c>
      <c r="G926" s="138" t="str">
        <f>VLOOKUP(Purchase[[#This Row],[Supplier ID]],Supplier[#All],5,0)</f>
        <v>UP</v>
      </c>
      <c r="H926" s="138" t="str">
        <f>VLOOKUP(Purchase[[#This Row],[Supplier ID]],Supplier[#All],6,0)</f>
        <v>GST2154521T014</v>
      </c>
      <c r="I926" s="138" t="s">
        <v>466</v>
      </c>
      <c r="J926" s="139">
        <v>28</v>
      </c>
      <c r="K926" s="143">
        <f>VLOOKUP(Purchase[[#This Row],[Product ID]],Product[#All],6,0)</f>
        <v>68885</v>
      </c>
      <c r="L926" s="143">
        <f>Purchase[[#This Row],[Purchase Rate]]*Purchase[[#This Row],[Qty]]</f>
        <v>1928780</v>
      </c>
      <c r="M926" s="140">
        <v>0</v>
      </c>
      <c r="N926" s="143">
        <v>0</v>
      </c>
      <c r="O926" s="140">
        <v>0.18</v>
      </c>
      <c r="P926" s="145">
        <f>(Purchase[[#This Row],[Gross Amount]]-Purchase[[#This Row],[Disct %]])*Purchase[[#This Row],[GST %]]</f>
        <v>347180.39999999997</v>
      </c>
      <c r="Q926" s="145">
        <f>Purchase[[#This Row],[Gross Amount]]-Purchase[[#This Row],[Disct Amnt]]+Purchase[[#This Row],[GST Amount]]</f>
        <v>2275960.4</v>
      </c>
      <c r="R926" s="138" t="s">
        <v>1019</v>
      </c>
      <c r="S926" s="41">
        <f>IF(Purchase[[#This Row],[Status]]="Cancelled",0,Purchase[[#This Row],[Qty]])</f>
        <v>28</v>
      </c>
      <c r="T926" s="146">
        <f>IF(Purchase[[#This Row],[Status]]="Cancelled",0,Purchase[[#This Row],[Total Amount]])</f>
        <v>2275960.4</v>
      </c>
      <c r="U926" s="146">
        <f>SUM(Purchase[Net Amount])</f>
        <v>814985438.68000126</v>
      </c>
    </row>
    <row r="927" spans="1:21" ht="19.5" thickBot="1" x14ac:dyDescent="0.3">
      <c r="A927" s="136" t="s">
        <v>1968</v>
      </c>
      <c r="B927" s="137">
        <v>45703</v>
      </c>
      <c r="C927" s="138" t="s">
        <v>571</v>
      </c>
      <c r="D927" s="138" t="str">
        <f>VLOOKUP(Purchase[[#This Row],[Supplier ID]],Supplier[#All],2,0)</f>
        <v>Tech Suppliers</v>
      </c>
      <c r="E927" s="138">
        <f>VLOOKUP(Purchase[[#This Row],[Supplier ID]],Supplier[#All],3,0)</f>
        <v>9689542457</v>
      </c>
      <c r="F927" s="138" t="str">
        <f>VLOOKUP(Purchase[[#This Row],[Supplier ID]],Supplier[#All],4,0)</f>
        <v>Korba</v>
      </c>
      <c r="G927" s="138" t="str">
        <f>VLOOKUP(Purchase[[#This Row],[Supplier ID]],Supplier[#All],5,0)</f>
        <v>CG</v>
      </c>
      <c r="H927" s="138" t="str">
        <f>VLOOKUP(Purchase[[#This Row],[Supplier ID]],Supplier[#All],6,0)</f>
        <v>GST2154521T019</v>
      </c>
      <c r="I927" s="138" t="s">
        <v>262</v>
      </c>
      <c r="J927" s="139">
        <v>25</v>
      </c>
      <c r="K927" s="143">
        <f>VLOOKUP(Purchase[[#This Row],[Product ID]],Product[#All],6,0)</f>
        <v>2712</v>
      </c>
      <c r="L927" s="143">
        <f>Purchase[[#This Row],[Purchase Rate]]*Purchase[[#This Row],[Qty]]</f>
        <v>67800</v>
      </c>
      <c r="M927" s="140">
        <v>0</v>
      </c>
      <c r="N927" s="143">
        <v>0</v>
      </c>
      <c r="O927" s="140">
        <v>0.18</v>
      </c>
      <c r="P927" s="145">
        <f>(Purchase[[#This Row],[Gross Amount]]-Purchase[[#This Row],[Disct %]])*Purchase[[#This Row],[GST %]]</f>
        <v>12204</v>
      </c>
      <c r="Q927" s="145">
        <f>Purchase[[#This Row],[Gross Amount]]-Purchase[[#This Row],[Disct Amnt]]+Purchase[[#This Row],[GST Amount]]</f>
        <v>80004</v>
      </c>
      <c r="R927" s="138" t="s">
        <v>1019</v>
      </c>
      <c r="S927" s="41">
        <f>IF(Purchase[[#This Row],[Status]]="Cancelled",0,Purchase[[#This Row],[Qty]])</f>
        <v>25</v>
      </c>
      <c r="T927" s="146">
        <f>IF(Purchase[[#This Row],[Status]]="Cancelled",0,Purchase[[#This Row],[Total Amount]])</f>
        <v>80004</v>
      </c>
      <c r="U927" s="146">
        <f>SUM(Purchase[Net Amount])</f>
        <v>814985438.68000126</v>
      </c>
    </row>
    <row r="928" spans="1:21" ht="19.5" thickBot="1" x14ac:dyDescent="0.3">
      <c r="A928" s="136" t="s">
        <v>1969</v>
      </c>
      <c r="B928" s="137">
        <v>45704</v>
      </c>
      <c r="C928" s="138" t="s">
        <v>1855</v>
      </c>
      <c r="D928" s="138" t="str">
        <f>VLOOKUP(Purchase[[#This Row],[Supplier ID]],Supplier[#All],2,0)</f>
        <v>Shree Computers</v>
      </c>
      <c r="E928" s="138">
        <f>VLOOKUP(Purchase[[#This Row],[Supplier ID]],Supplier[#All],3,0)</f>
        <v>9689542475</v>
      </c>
      <c r="F928" s="138" t="str">
        <f>VLOOKUP(Purchase[[#This Row],[Supplier ID]],Supplier[#All],4,0)</f>
        <v>Indore</v>
      </c>
      <c r="G928" s="138" t="str">
        <f>VLOOKUP(Purchase[[#This Row],[Supplier ID]],Supplier[#All],5,0)</f>
        <v>MP</v>
      </c>
      <c r="H928" s="138" t="str">
        <f>VLOOKUP(Purchase[[#This Row],[Supplier ID]],Supplier[#All],6,0)</f>
        <v>GST2154521T037</v>
      </c>
      <c r="I928" s="138" t="s">
        <v>309</v>
      </c>
      <c r="J928" s="139">
        <v>28</v>
      </c>
      <c r="K928" s="143">
        <f>VLOOKUP(Purchase[[#This Row],[Product ID]],Product[#All],6,0)</f>
        <v>1051</v>
      </c>
      <c r="L928" s="143">
        <f>Purchase[[#This Row],[Purchase Rate]]*Purchase[[#This Row],[Qty]]</f>
        <v>29428</v>
      </c>
      <c r="M928" s="140">
        <v>0</v>
      </c>
      <c r="N928" s="143">
        <v>0</v>
      </c>
      <c r="O928" s="140">
        <v>0.18</v>
      </c>
      <c r="P928" s="145">
        <f>(Purchase[[#This Row],[Gross Amount]]-Purchase[[#This Row],[Disct %]])*Purchase[[#This Row],[GST %]]</f>
        <v>5297.04</v>
      </c>
      <c r="Q928" s="145">
        <f>Purchase[[#This Row],[Gross Amount]]-Purchase[[#This Row],[Disct Amnt]]+Purchase[[#This Row],[GST Amount]]</f>
        <v>34725.040000000001</v>
      </c>
      <c r="R928" s="138" t="s">
        <v>1019</v>
      </c>
      <c r="S928" s="41">
        <f>IF(Purchase[[#This Row],[Status]]="Cancelled",0,Purchase[[#This Row],[Qty]])</f>
        <v>28</v>
      </c>
      <c r="T928" s="146">
        <f>IF(Purchase[[#This Row],[Status]]="Cancelled",0,Purchase[[#This Row],[Total Amount]])</f>
        <v>34725.040000000001</v>
      </c>
      <c r="U928" s="146">
        <f>SUM(Purchase[Net Amount])</f>
        <v>814985438.68000126</v>
      </c>
    </row>
    <row r="929" spans="1:21" ht="19.5" thickBot="1" x14ac:dyDescent="0.3">
      <c r="A929" s="136" t="s">
        <v>1970</v>
      </c>
      <c r="B929" s="137">
        <v>45704</v>
      </c>
      <c r="C929" s="138" t="s">
        <v>588</v>
      </c>
      <c r="D929" s="138" t="str">
        <f>VLOOKUP(Purchase[[#This Row],[Supplier ID]],Supplier[#All],2,0)</f>
        <v>Star Electronics</v>
      </c>
      <c r="E929" s="138">
        <f>VLOOKUP(Purchase[[#This Row],[Supplier ID]],Supplier[#All],3,0)</f>
        <v>9689542472</v>
      </c>
      <c r="F929" s="138" t="str">
        <f>VLOOKUP(Purchase[[#This Row],[Supplier ID]],Supplier[#All],4,0)</f>
        <v>Korba</v>
      </c>
      <c r="G929" s="138" t="str">
        <f>VLOOKUP(Purchase[[#This Row],[Supplier ID]],Supplier[#All],5,0)</f>
        <v>CG</v>
      </c>
      <c r="H929" s="138" t="str">
        <f>VLOOKUP(Purchase[[#This Row],[Supplier ID]],Supplier[#All],6,0)</f>
        <v>GST2154521T034</v>
      </c>
      <c r="I929" s="138" t="s">
        <v>402</v>
      </c>
      <c r="J929" s="139">
        <v>2</v>
      </c>
      <c r="K929" s="143">
        <f>VLOOKUP(Purchase[[#This Row],[Product ID]],Product[#All],6,0)</f>
        <v>2925</v>
      </c>
      <c r="L929" s="143">
        <f>Purchase[[#This Row],[Purchase Rate]]*Purchase[[#This Row],[Qty]]</f>
        <v>5850</v>
      </c>
      <c r="M929" s="140">
        <v>0</v>
      </c>
      <c r="N929" s="143">
        <v>0</v>
      </c>
      <c r="O929" s="140">
        <v>0.18</v>
      </c>
      <c r="P929" s="145">
        <f>(Purchase[[#This Row],[Gross Amount]]-Purchase[[#This Row],[Disct %]])*Purchase[[#This Row],[GST %]]</f>
        <v>1053</v>
      </c>
      <c r="Q929" s="145">
        <f>Purchase[[#This Row],[Gross Amount]]-Purchase[[#This Row],[Disct Amnt]]+Purchase[[#This Row],[GST Amount]]</f>
        <v>6903</v>
      </c>
      <c r="R929" s="138" t="s">
        <v>1040</v>
      </c>
      <c r="S929" s="41">
        <f>IF(Purchase[[#This Row],[Status]]="Cancelled",0,Purchase[[#This Row],[Qty]])</f>
        <v>0</v>
      </c>
      <c r="T929" s="146">
        <f>IF(Purchase[[#This Row],[Status]]="Cancelled",0,Purchase[[#This Row],[Total Amount]])</f>
        <v>0</v>
      </c>
      <c r="U929" s="146">
        <f>SUM(Purchase[Net Amount])</f>
        <v>814985438.68000126</v>
      </c>
    </row>
    <row r="930" spans="1:21" ht="19.5" thickBot="1" x14ac:dyDescent="0.3">
      <c r="A930" s="136" t="s">
        <v>1971</v>
      </c>
      <c r="B930" s="137">
        <v>45704</v>
      </c>
      <c r="C930" s="138" t="s">
        <v>573</v>
      </c>
      <c r="D930" s="138" t="str">
        <f>VLOOKUP(Purchase[[#This Row],[Supplier ID]],Supplier[#All],2,0)</f>
        <v>Shree Traders</v>
      </c>
      <c r="E930" s="138">
        <f>VLOOKUP(Purchase[[#This Row],[Supplier ID]],Supplier[#All],3,0)</f>
        <v>9689542458</v>
      </c>
      <c r="F930" s="138" t="str">
        <f>VLOOKUP(Purchase[[#This Row],[Supplier ID]],Supplier[#All],4,0)</f>
        <v>Korba</v>
      </c>
      <c r="G930" s="138" t="str">
        <f>VLOOKUP(Purchase[[#This Row],[Supplier ID]],Supplier[#All],5,0)</f>
        <v>CG</v>
      </c>
      <c r="H930" s="138" t="str">
        <f>VLOOKUP(Purchase[[#This Row],[Supplier ID]],Supplier[#All],6,0)</f>
        <v>GST2154521T020</v>
      </c>
      <c r="I930" s="138" t="s">
        <v>238</v>
      </c>
      <c r="J930" s="139">
        <v>29</v>
      </c>
      <c r="K930" s="143">
        <f>VLOOKUP(Purchase[[#This Row],[Product ID]],Product[#All],6,0)</f>
        <v>6619</v>
      </c>
      <c r="L930" s="143">
        <f>Purchase[[#This Row],[Purchase Rate]]*Purchase[[#This Row],[Qty]]</f>
        <v>191951</v>
      </c>
      <c r="M930" s="140">
        <v>0</v>
      </c>
      <c r="N930" s="143">
        <v>0</v>
      </c>
      <c r="O930" s="140">
        <v>0.18</v>
      </c>
      <c r="P930" s="145">
        <f>(Purchase[[#This Row],[Gross Amount]]-Purchase[[#This Row],[Disct %]])*Purchase[[#This Row],[GST %]]</f>
        <v>34551.18</v>
      </c>
      <c r="Q930" s="145">
        <f>Purchase[[#This Row],[Gross Amount]]-Purchase[[#This Row],[Disct Amnt]]+Purchase[[#This Row],[GST Amount]]</f>
        <v>226502.18</v>
      </c>
      <c r="R930" s="138" t="s">
        <v>1019</v>
      </c>
      <c r="S930" s="41">
        <f>IF(Purchase[[#This Row],[Status]]="Cancelled",0,Purchase[[#This Row],[Qty]])</f>
        <v>29</v>
      </c>
      <c r="T930" s="146">
        <f>IF(Purchase[[#This Row],[Status]]="Cancelled",0,Purchase[[#This Row],[Total Amount]])</f>
        <v>226502.18</v>
      </c>
      <c r="U930" s="146">
        <f>SUM(Purchase[Net Amount])</f>
        <v>814985438.68000126</v>
      </c>
    </row>
    <row r="931" spans="1:21" ht="19.5" thickBot="1" x14ac:dyDescent="0.3">
      <c r="A931" s="136" t="s">
        <v>1972</v>
      </c>
      <c r="B931" s="137">
        <v>45704</v>
      </c>
      <c r="C931" s="138" t="s">
        <v>602</v>
      </c>
      <c r="D931" s="138" t="str">
        <f>VLOOKUP(Purchase[[#This Row],[Supplier ID]],Supplier[#All],2,0)</f>
        <v>Maa Computers</v>
      </c>
      <c r="E931" s="138">
        <f>VLOOKUP(Purchase[[#This Row],[Supplier ID]],Supplier[#All],3,0)</f>
        <v>9689542485</v>
      </c>
      <c r="F931" s="138" t="str">
        <f>VLOOKUP(Purchase[[#This Row],[Supplier ID]],Supplier[#All],4,0)</f>
        <v>Korba</v>
      </c>
      <c r="G931" s="138" t="str">
        <f>VLOOKUP(Purchase[[#This Row],[Supplier ID]],Supplier[#All],5,0)</f>
        <v>CG</v>
      </c>
      <c r="H931" s="138" t="str">
        <f>VLOOKUP(Purchase[[#This Row],[Supplier ID]],Supplier[#All],6,0)</f>
        <v>GST2154521T047</v>
      </c>
      <c r="I931" s="138" t="s">
        <v>41</v>
      </c>
      <c r="J931" s="139">
        <v>29</v>
      </c>
      <c r="K931" s="143">
        <f>VLOOKUP(Purchase[[#This Row],[Product ID]],Product[#All],6,0)</f>
        <v>58660</v>
      </c>
      <c r="L931" s="143">
        <f>Purchase[[#This Row],[Purchase Rate]]*Purchase[[#This Row],[Qty]]</f>
        <v>1701140</v>
      </c>
      <c r="M931" s="140">
        <v>0</v>
      </c>
      <c r="N931" s="143">
        <v>0</v>
      </c>
      <c r="O931" s="140">
        <v>0.18</v>
      </c>
      <c r="P931" s="145">
        <f>(Purchase[[#This Row],[Gross Amount]]-Purchase[[#This Row],[Disct %]])*Purchase[[#This Row],[GST %]]</f>
        <v>306205.2</v>
      </c>
      <c r="Q931" s="145">
        <f>Purchase[[#This Row],[Gross Amount]]-Purchase[[#This Row],[Disct Amnt]]+Purchase[[#This Row],[GST Amount]]</f>
        <v>2007345.2</v>
      </c>
      <c r="R931" s="138" t="s">
        <v>1019</v>
      </c>
      <c r="S931" s="41">
        <f>IF(Purchase[[#This Row],[Status]]="Cancelled",0,Purchase[[#This Row],[Qty]])</f>
        <v>29</v>
      </c>
      <c r="T931" s="146">
        <f>IF(Purchase[[#This Row],[Status]]="Cancelled",0,Purchase[[#This Row],[Total Amount]])</f>
        <v>2007345.2</v>
      </c>
      <c r="U931" s="146">
        <f>SUM(Purchase[Net Amount])</f>
        <v>814985438.68000126</v>
      </c>
    </row>
    <row r="932" spans="1:21" ht="19.5" thickBot="1" x14ac:dyDescent="0.3">
      <c r="A932" s="136" t="s">
        <v>1973</v>
      </c>
      <c r="B932" s="137">
        <v>45704</v>
      </c>
      <c r="C932" s="138" t="s">
        <v>573</v>
      </c>
      <c r="D932" s="138" t="str">
        <f>VLOOKUP(Purchase[[#This Row],[Supplier ID]],Supplier[#All],2,0)</f>
        <v>Shree Traders</v>
      </c>
      <c r="E932" s="138">
        <f>VLOOKUP(Purchase[[#This Row],[Supplier ID]],Supplier[#All],3,0)</f>
        <v>9689542458</v>
      </c>
      <c r="F932" s="138" t="str">
        <f>VLOOKUP(Purchase[[#This Row],[Supplier ID]],Supplier[#All],4,0)</f>
        <v>Korba</v>
      </c>
      <c r="G932" s="138" t="str">
        <f>VLOOKUP(Purchase[[#This Row],[Supplier ID]],Supplier[#All],5,0)</f>
        <v>CG</v>
      </c>
      <c r="H932" s="138" t="str">
        <f>VLOOKUP(Purchase[[#This Row],[Supplier ID]],Supplier[#All],6,0)</f>
        <v>GST2154521T020</v>
      </c>
      <c r="I932" s="138" t="s">
        <v>358</v>
      </c>
      <c r="J932" s="139">
        <v>20</v>
      </c>
      <c r="K932" s="143">
        <f>VLOOKUP(Purchase[[#This Row],[Product ID]],Product[#All],6,0)</f>
        <v>3087</v>
      </c>
      <c r="L932" s="143">
        <f>Purchase[[#This Row],[Purchase Rate]]*Purchase[[#This Row],[Qty]]</f>
        <v>61740</v>
      </c>
      <c r="M932" s="140">
        <v>0</v>
      </c>
      <c r="N932" s="143">
        <v>0</v>
      </c>
      <c r="O932" s="140">
        <v>0.18</v>
      </c>
      <c r="P932" s="145">
        <f>(Purchase[[#This Row],[Gross Amount]]-Purchase[[#This Row],[Disct %]])*Purchase[[#This Row],[GST %]]</f>
        <v>11113.199999999999</v>
      </c>
      <c r="Q932" s="145">
        <f>Purchase[[#This Row],[Gross Amount]]-Purchase[[#This Row],[Disct Amnt]]+Purchase[[#This Row],[GST Amount]]</f>
        <v>72853.2</v>
      </c>
      <c r="R932" s="138" t="s">
        <v>1019</v>
      </c>
      <c r="S932" s="41">
        <f>IF(Purchase[[#This Row],[Status]]="Cancelled",0,Purchase[[#This Row],[Qty]])</f>
        <v>20</v>
      </c>
      <c r="T932" s="146">
        <f>IF(Purchase[[#This Row],[Status]]="Cancelled",0,Purchase[[#This Row],[Total Amount]])</f>
        <v>72853.2</v>
      </c>
      <c r="U932" s="146">
        <f>SUM(Purchase[Net Amount])</f>
        <v>814985438.68000126</v>
      </c>
    </row>
    <row r="933" spans="1:21" ht="19.5" thickBot="1" x14ac:dyDescent="0.3">
      <c r="A933" s="136" t="s">
        <v>1974</v>
      </c>
      <c r="B933" s="137">
        <v>45704</v>
      </c>
      <c r="C933" s="138" t="s">
        <v>1111</v>
      </c>
      <c r="D933" s="138" t="str">
        <f>VLOOKUP(Purchase[[#This Row],[Supplier ID]],Supplier[#All],2,0)</f>
        <v>Prime Traders</v>
      </c>
      <c r="E933" s="138">
        <f>VLOOKUP(Purchase[[#This Row],[Supplier ID]],Supplier[#All],3,0)</f>
        <v>9689542489</v>
      </c>
      <c r="F933" s="138" t="str">
        <f>VLOOKUP(Purchase[[#This Row],[Supplier ID]],Supplier[#All],4,0)</f>
        <v>Indore</v>
      </c>
      <c r="G933" s="138" t="str">
        <f>VLOOKUP(Purchase[[#This Row],[Supplier ID]],Supplier[#All],5,0)</f>
        <v>MP</v>
      </c>
      <c r="H933" s="138" t="str">
        <f>VLOOKUP(Purchase[[#This Row],[Supplier ID]],Supplier[#All],6,0)</f>
        <v>GST2154521T051</v>
      </c>
      <c r="I933" s="138" t="s">
        <v>52</v>
      </c>
      <c r="J933" s="139">
        <v>2</v>
      </c>
      <c r="K933" s="143">
        <f>VLOOKUP(Purchase[[#This Row],[Product ID]],Product[#All],6,0)</f>
        <v>3643</v>
      </c>
      <c r="L933" s="143">
        <f>Purchase[[#This Row],[Purchase Rate]]*Purchase[[#This Row],[Qty]]</f>
        <v>7286</v>
      </c>
      <c r="M933" s="140">
        <v>0</v>
      </c>
      <c r="N933" s="143">
        <v>0</v>
      </c>
      <c r="O933" s="140">
        <v>0.18</v>
      </c>
      <c r="P933" s="145">
        <f>(Purchase[[#This Row],[Gross Amount]]-Purchase[[#This Row],[Disct %]])*Purchase[[#This Row],[GST %]]</f>
        <v>1311.48</v>
      </c>
      <c r="Q933" s="145">
        <f>Purchase[[#This Row],[Gross Amount]]-Purchase[[#This Row],[Disct Amnt]]+Purchase[[#This Row],[GST Amount]]</f>
        <v>8597.48</v>
      </c>
      <c r="R933" s="138" t="s">
        <v>1040</v>
      </c>
      <c r="S933" s="41">
        <f>IF(Purchase[[#This Row],[Status]]="Cancelled",0,Purchase[[#This Row],[Qty]])</f>
        <v>0</v>
      </c>
      <c r="T933" s="146">
        <f>IF(Purchase[[#This Row],[Status]]="Cancelled",0,Purchase[[#This Row],[Total Amount]])</f>
        <v>0</v>
      </c>
      <c r="U933" s="146">
        <f>SUM(Purchase[Net Amount])</f>
        <v>814985438.68000126</v>
      </c>
    </row>
    <row r="934" spans="1:21" ht="19.5" thickBot="1" x14ac:dyDescent="0.3">
      <c r="A934" s="136" t="s">
        <v>1975</v>
      </c>
      <c r="B934" s="137">
        <v>45704</v>
      </c>
      <c r="C934" s="138" t="s">
        <v>606</v>
      </c>
      <c r="D934" s="138" t="str">
        <f>VLOOKUP(Purchase[[#This Row],[Supplier ID]],Supplier[#All],2,0)</f>
        <v>Prime Traders</v>
      </c>
      <c r="E934" s="138">
        <f>VLOOKUP(Purchase[[#This Row],[Supplier ID]],Supplier[#All],3,0)</f>
        <v>9689542489</v>
      </c>
      <c r="F934" s="138" t="str">
        <f>VLOOKUP(Purchase[[#This Row],[Supplier ID]],Supplier[#All],4,0)</f>
        <v>Indore</v>
      </c>
      <c r="G934" s="138" t="str">
        <f>VLOOKUP(Purchase[[#This Row],[Supplier ID]],Supplier[#All],5,0)</f>
        <v>MP</v>
      </c>
      <c r="H934" s="138" t="str">
        <f>VLOOKUP(Purchase[[#This Row],[Supplier ID]],Supplier[#All],6,0)</f>
        <v>GST2154521T051</v>
      </c>
      <c r="I934" s="138" t="s">
        <v>533</v>
      </c>
      <c r="J934" s="139">
        <v>19</v>
      </c>
      <c r="K934" s="143">
        <f>VLOOKUP(Purchase[[#This Row],[Product ID]],Product[#All],6,0)</f>
        <v>60707</v>
      </c>
      <c r="L934" s="143">
        <f>Purchase[[#This Row],[Purchase Rate]]*Purchase[[#This Row],[Qty]]</f>
        <v>1153433</v>
      </c>
      <c r="M934" s="140">
        <v>0</v>
      </c>
      <c r="N934" s="143">
        <v>0</v>
      </c>
      <c r="O934" s="140">
        <v>0.18</v>
      </c>
      <c r="P934" s="145">
        <f>(Purchase[[#This Row],[Gross Amount]]-Purchase[[#This Row],[Disct %]])*Purchase[[#This Row],[GST %]]</f>
        <v>207617.94</v>
      </c>
      <c r="Q934" s="145">
        <f>Purchase[[#This Row],[Gross Amount]]-Purchase[[#This Row],[Disct Amnt]]+Purchase[[#This Row],[GST Amount]]</f>
        <v>1361050.94</v>
      </c>
      <c r="R934" s="138" t="s">
        <v>1019</v>
      </c>
      <c r="S934" s="41">
        <f>IF(Purchase[[#This Row],[Status]]="Cancelled",0,Purchase[[#This Row],[Qty]])</f>
        <v>19</v>
      </c>
      <c r="T934" s="146">
        <f>IF(Purchase[[#This Row],[Status]]="Cancelled",0,Purchase[[#This Row],[Total Amount]])</f>
        <v>1361050.94</v>
      </c>
      <c r="U934" s="146">
        <f>SUM(Purchase[Net Amount])</f>
        <v>814985438.68000126</v>
      </c>
    </row>
    <row r="935" spans="1:21" ht="19.5" thickBot="1" x14ac:dyDescent="0.3">
      <c r="A935" s="136" t="s">
        <v>1976</v>
      </c>
      <c r="B935" s="137">
        <v>45704</v>
      </c>
      <c r="C935" s="138" t="s">
        <v>582</v>
      </c>
      <c r="D935" s="138" t="str">
        <f>VLOOKUP(Purchase[[#This Row],[Supplier ID]],Supplier[#All],2,0)</f>
        <v>Tech Distributors</v>
      </c>
      <c r="E935" s="138">
        <f>VLOOKUP(Purchase[[#This Row],[Supplier ID]],Supplier[#All],3,0)</f>
        <v>9689542466</v>
      </c>
      <c r="F935" s="138" t="str">
        <f>VLOOKUP(Purchase[[#This Row],[Supplier ID]],Supplier[#All],4,0)</f>
        <v>Indore</v>
      </c>
      <c r="G935" s="138" t="str">
        <f>VLOOKUP(Purchase[[#This Row],[Supplier ID]],Supplier[#All],5,0)</f>
        <v>MP</v>
      </c>
      <c r="H935" s="138" t="str">
        <f>VLOOKUP(Purchase[[#This Row],[Supplier ID]],Supplier[#All],6,0)</f>
        <v>GST2154521T028</v>
      </c>
      <c r="I935" s="138" t="s">
        <v>262</v>
      </c>
      <c r="J935" s="139">
        <v>37</v>
      </c>
      <c r="K935" s="143">
        <f>VLOOKUP(Purchase[[#This Row],[Product ID]],Product[#All],6,0)</f>
        <v>2712</v>
      </c>
      <c r="L935" s="143">
        <f>Purchase[[#This Row],[Purchase Rate]]*Purchase[[#This Row],[Qty]]</f>
        <v>100344</v>
      </c>
      <c r="M935" s="140">
        <v>0</v>
      </c>
      <c r="N935" s="143">
        <v>0</v>
      </c>
      <c r="O935" s="140">
        <v>0.18</v>
      </c>
      <c r="P935" s="145">
        <f>(Purchase[[#This Row],[Gross Amount]]-Purchase[[#This Row],[Disct %]])*Purchase[[#This Row],[GST %]]</f>
        <v>18061.919999999998</v>
      </c>
      <c r="Q935" s="145">
        <f>Purchase[[#This Row],[Gross Amount]]-Purchase[[#This Row],[Disct Amnt]]+Purchase[[#This Row],[GST Amount]]</f>
        <v>118405.92</v>
      </c>
      <c r="R935" s="138" t="s">
        <v>1019</v>
      </c>
      <c r="S935" s="41">
        <f>IF(Purchase[[#This Row],[Status]]="Cancelled",0,Purchase[[#This Row],[Qty]])</f>
        <v>37</v>
      </c>
      <c r="T935" s="146">
        <f>IF(Purchase[[#This Row],[Status]]="Cancelled",0,Purchase[[#This Row],[Total Amount]])</f>
        <v>118405.92</v>
      </c>
      <c r="U935" s="146">
        <f>SUM(Purchase[Net Amount])</f>
        <v>814985438.68000126</v>
      </c>
    </row>
    <row r="936" spans="1:21" ht="19.5" thickBot="1" x14ac:dyDescent="0.3">
      <c r="A936" s="136" t="s">
        <v>1977</v>
      </c>
      <c r="B936" s="137">
        <v>45704</v>
      </c>
      <c r="C936" s="138" t="s">
        <v>615</v>
      </c>
      <c r="D936" s="138" t="str">
        <f>VLOOKUP(Purchase[[#This Row],[Supplier ID]],Supplier[#All],2,0)</f>
        <v>NATIONAL ELECTRONICS</v>
      </c>
      <c r="E936" s="138">
        <f>VLOOKUP(Purchase[[#This Row],[Supplier ID]],Supplier[#All],3,0)</f>
        <v>9689542498</v>
      </c>
      <c r="F936" s="138" t="str">
        <f>VLOOKUP(Purchase[[#This Row],[Supplier ID]],Supplier[#All],4,0)</f>
        <v>Kanpur</v>
      </c>
      <c r="G936" s="138" t="str">
        <f>VLOOKUP(Purchase[[#This Row],[Supplier ID]],Supplier[#All],5,0)</f>
        <v>UP</v>
      </c>
      <c r="H936" s="138" t="str">
        <f>VLOOKUP(Purchase[[#This Row],[Supplier ID]],Supplier[#All],6,0)</f>
        <v>GST2154521T060</v>
      </c>
      <c r="I936" s="138" t="s">
        <v>480</v>
      </c>
      <c r="J936" s="139">
        <v>22</v>
      </c>
      <c r="K936" s="143">
        <f>VLOOKUP(Purchase[[#This Row],[Product ID]],Product[#All],6,0)</f>
        <v>1370</v>
      </c>
      <c r="L936" s="143">
        <f>Purchase[[#This Row],[Purchase Rate]]*Purchase[[#This Row],[Qty]]</f>
        <v>30140</v>
      </c>
      <c r="M936" s="140">
        <v>0</v>
      </c>
      <c r="N936" s="143">
        <v>0</v>
      </c>
      <c r="O936" s="140">
        <v>0.18</v>
      </c>
      <c r="P936" s="145">
        <f>(Purchase[[#This Row],[Gross Amount]]-Purchase[[#This Row],[Disct %]])*Purchase[[#This Row],[GST %]]</f>
        <v>5425.2</v>
      </c>
      <c r="Q936" s="145">
        <f>Purchase[[#This Row],[Gross Amount]]-Purchase[[#This Row],[Disct Amnt]]+Purchase[[#This Row],[GST Amount]]</f>
        <v>35565.199999999997</v>
      </c>
      <c r="R936" s="138" t="s">
        <v>1019</v>
      </c>
      <c r="S936" s="41">
        <f>IF(Purchase[[#This Row],[Status]]="Cancelled",0,Purchase[[#This Row],[Qty]])</f>
        <v>22</v>
      </c>
      <c r="T936" s="146">
        <f>IF(Purchase[[#This Row],[Status]]="Cancelled",0,Purchase[[#This Row],[Total Amount]])</f>
        <v>35565.199999999997</v>
      </c>
      <c r="U936" s="146">
        <f>SUM(Purchase[Net Amount])</f>
        <v>814985438.68000126</v>
      </c>
    </row>
    <row r="937" spans="1:21" ht="19.5" thickBot="1" x14ac:dyDescent="0.3">
      <c r="A937" s="136" t="s">
        <v>1978</v>
      </c>
      <c r="B937" s="137">
        <v>45704</v>
      </c>
      <c r="C937" s="138" t="s">
        <v>609</v>
      </c>
      <c r="D937" s="138" t="str">
        <f>VLOOKUP(Purchase[[#This Row],[Supplier ID]],Supplier[#All],2,0)</f>
        <v>Star Suppliers</v>
      </c>
      <c r="E937" s="138">
        <f>VLOOKUP(Purchase[[#This Row],[Supplier ID]],Supplier[#All],3,0)</f>
        <v>9689542492</v>
      </c>
      <c r="F937" s="138" t="str">
        <f>VLOOKUP(Purchase[[#This Row],[Supplier ID]],Supplier[#All],4,0)</f>
        <v>Kanpur</v>
      </c>
      <c r="G937" s="138" t="str">
        <f>VLOOKUP(Purchase[[#This Row],[Supplier ID]],Supplier[#All],5,0)</f>
        <v>UP</v>
      </c>
      <c r="H937" s="138" t="str">
        <f>VLOOKUP(Purchase[[#This Row],[Supplier ID]],Supplier[#All],6,0)</f>
        <v>GST2154521T054</v>
      </c>
      <c r="I937" s="138" t="s">
        <v>140</v>
      </c>
      <c r="J937" s="139">
        <v>33</v>
      </c>
      <c r="K937" s="143">
        <f>VLOOKUP(Purchase[[#This Row],[Product ID]],Product[#All],6,0)</f>
        <v>2116</v>
      </c>
      <c r="L937" s="143">
        <f>Purchase[[#This Row],[Purchase Rate]]*Purchase[[#This Row],[Qty]]</f>
        <v>69828</v>
      </c>
      <c r="M937" s="140">
        <v>0</v>
      </c>
      <c r="N937" s="143">
        <v>0</v>
      </c>
      <c r="O937" s="140">
        <v>0.18</v>
      </c>
      <c r="P937" s="145">
        <f>(Purchase[[#This Row],[Gross Amount]]-Purchase[[#This Row],[Disct %]])*Purchase[[#This Row],[GST %]]</f>
        <v>12569.039999999999</v>
      </c>
      <c r="Q937" s="145">
        <f>Purchase[[#This Row],[Gross Amount]]-Purchase[[#This Row],[Disct Amnt]]+Purchase[[#This Row],[GST Amount]]</f>
        <v>82397.039999999994</v>
      </c>
      <c r="R937" s="138" t="s">
        <v>1019</v>
      </c>
      <c r="S937" s="41">
        <f>IF(Purchase[[#This Row],[Status]]="Cancelled",0,Purchase[[#This Row],[Qty]])</f>
        <v>33</v>
      </c>
      <c r="T937" s="146">
        <f>IF(Purchase[[#This Row],[Status]]="Cancelled",0,Purchase[[#This Row],[Total Amount]])</f>
        <v>82397.039999999994</v>
      </c>
      <c r="U937" s="146">
        <f>SUM(Purchase[Net Amount])</f>
        <v>814985438.68000126</v>
      </c>
    </row>
    <row r="938" spans="1:21" ht="19.5" thickBot="1" x14ac:dyDescent="0.3">
      <c r="A938" s="136" t="s">
        <v>1979</v>
      </c>
      <c r="B938" s="137">
        <v>45704</v>
      </c>
      <c r="C938" s="138" t="s">
        <v>577</v>
      </c>
      <c r="D938" s="138" t="str">
        <f>VLOOKUP(Purchase[[#This Row],[Supplier ID]],Supplier[#All],2,0)</f>
        <v>National Electronics</v>
      </c>
      <c r="E938" s="138">
        <f>VLOOKUP(Purchase[[#This Row],[Supplier ID]],Supplier[#All],3,0)</f>
        <v>9689542469</v>
      </c>
      <c r="F938" s="138" t="str">
        <f>VLOOKUP(Purchase[[#This Row],[Supplier ID]],Supplier[#All],4,0)</f>
        <v>Korba</v>
      </c>
      <c r="G938" s="138" t="str">
        <f>VLOOKUP(Purchase[[#This Row],[Supplier ID]],Supplier[#All],5,0)</f>
        <v>CG</v>
      </c>
      <c r="H938" s="138" t="str">
        <f>VLOOKUP(Purchase[[#This Row],[Supplier ID]],Supplier[#All],6,0)</f>
        <v>GST2154521T023</v>
      </c>
      <c r="I938" s="138" t="s">
        <v>93</v>
      </c>
      <c r="J938" s="139">
        <v>11</v>
      </c>
      <c r="K938" s="143">
        <f>VLOOKUP(Purchase[[#This Row],[Product ID]],Product[#All],6,0)</f>
        <v>1436</v>
      </c>
      <c r="L938" s="143">
        <f>Purchase[[#This Row],[Purchase Rate]]*Purchase[[#This Row],[Qty]]</f>
        <v>15796</v>
      </c>
      <c r="M938" s="140">
        <v>0</v>
      </c>
      <c r="N938" s="143">
        <v>0</v>
      </c>
      <c r="O938" s="140">
        <v>0.18</v>
      </c>
      <c r="P938" s="145">
        <f>(Purchase[[#This Row],[Gross Amount]]-Purchase[[#This Row],[Disct %]])*Purchase[[#This Row],[GST %]]</f>
        <v>2843.2799999999997</v>
      </c>
      <c r="Q938" s="145">
        <f>Purchase[[#This Row],[Gross Amount]]-Purchase[[#This Row],[Disct Amnt]]+Purchase[[#This Row],[GST Amount]]</f>
        <v>18639.28</v>
      </c>
      <c r="R938" s="138" t="s">
        <v>1019</v>
      </c>
      <c r="S938" s="41">
        <f>IF(Purchase[[#This Row],[Status]]="Cancelled",0,Purchase[[#This Row],[Qty]])</f>
        <v>11</v>
      </c>
      <c r="T938" s="146">
        <f>IF(Purchase[[#This Row],[Status]]="Cancelled",0,Purchase[[#This Row],[Total Amount]])</f>
        <v>18639.28</v>
      </c>
      <c r="U938" s="146">
        <f>SUM(Purchase[Net Amount])</f>
        <v>814985438.68000126</v>
      </c>
    </row>
    <row r="939" spans="1:21" ht="19.5" thickBot="1" x14ac:dyDescent="0.3">
      <c r="A939" s="136" t="s">
        <v>1980</v>
      </c>
      <c r="B939" s="137">
        <v>45704</v>
      </c>
      <c r="C939" s="138" t="s">
        <v>564</v>
      </c>
      <c r="D939" s="138" t="str">
        <f>VLOOKUP(Purchase[[#This Row],[Supplier ID]],Supplier[#All],2,0)</f>
        <v xml:space="preserve">Star Electronics </v>
      </c>
      <c r="E939" s="138">
        <f>VLOOKUP(Purchase[[#This Row],[Supplier ID]],Supplier[#All],3,0)</f>
        <v>9689542450</v>
      </c>
      <c r="F939" s="138" t="str">
        <f>VLOOKUP(Purchase[[#This Row],[Supplier ID]],Supplier[#All],4,0)</f>
        <v>Korba</v>
      </c>
      <c r="G939" s="138" t="str">
        <f>VLOOKUP(Purchase[[#This Row],[Supplier ID]],Supplier[#All],5,0)</f>
        <v>CG</v>
      </c>
      <c r="H939" s="138" t="str">
        <f>VLOOKUP(Purchase[[#This Row],[Supplier ID]],Supplier[#All],6,0)</f>
        <v>GST2154521T012</v>
      </c>
      <c r="I939" s="138" t="s">
        <v>213</v>
      </c>
      <c r="J939" s="139">
        <v>31</v>
      </c>
      <c r="K939" s="143">
        <f>VLOOKUP(Purchase[[#This Row],[Product ID]],Product[#All],6,0)</f>
        <v>3086</v>
      </c>
      <c r="L939" s="143">
        <f>Purchase[[#This Row],[Purchase Rate]]*Purchase[[#This Row],[Qty]]</f>
        <v>95666</v>
      </c>
      <c r="M939" s="140">
        <v>0</v>
      </c>
      <c r="N939" s="143">
        <v>0</v>
      </c>
      <c r="O939" s="140">
        <v>0.18</v>
      </c>
      <c r="P939" s="145">
        <f>(Purchase[[#This Row],[Gross Amount]]-Purchase[[#This Row],[Disct %]])*Purchase[[#This Row],[GST %]]</f>
        <v>17219.88</v>
      </c>
      <c r="Q939" s="145">
        <f>Purchase[[#This Row],[Gross Amount]]-Purchase[[#This Row],[Disct Amnt]]+Purchase[[#This Row],[GST Amount]]</f>
        <v>112885.88</v>
      </c>
      <c r="R939" s="138" t="s">
        <v>1019</v>
      </c>
      <c r="S939" s="41">
        <f>IF(Purchase[[#This Row],[Status]]="Cancelled",0,Purchase[[#This Row],[Qty]])</f>
        <v>31</v>
      </c>
      <c r="T939" s="146">
        <f>IF(Purchase[[#This Row],[Status]]="Cancelled",0,Purchase[[#This Row],[Total Amount]])</f>
        <v>112885.88</v>
      </c>
      <c r="U939" s="146">
        <f>SUM(Purchase[Net Amount])</f>
        <v>814985438.68000126</v>
      </c>
    </row>
    <row r="940" spans="1:21" ht="19.5" thickBot="1" x14ac:dyDescent="0.3">
      <c r="A940" s="136" t="s">
        <v>1981</v>
      </c>
      <c r="B940" s="137">
        <v>45704</v>
      </c>
      <c r="C940" s="138" t="s">
        <v>565</v>
      </c>
      <c r="D940" s="138" t="str">
        <f>VLOOKUP(Purchase[[#This Row],[Supplier ID]],Supplier[#All],2,0)</f>
        <v>Global Suppliers</v>
      </c>
      <c r="E940" s="138">
        <f>VLOOKUP(Purchase[[#This Row],[Supplier ID]],Supplier[#All],3,0)</f>
        <v>9689542459</v>
      </c>
      <c r="F940" s="138" t="str">
        <f>VLOOKUP(Purchase[[#This Row],[Supplier ID]],Supplier[#All],4,0)</f>
        <v>Indore</v>
      </c>
      <c r="G940" s="138" t="str">
        <f>VLOOKUP(Purchase[[#This Row],[Supplier ID]],Supplier[#All],5,0)</f>
        <v>MP</v>
      </c>
      <c r="H940" s="138" t="str">
        <f>VLOOKUP(Purchase[[#This Row],[Supplier ID]],Supplier[#All],6,0)</f>
        <v>GST2154521T013</v>
      </c>
      <c r="I940" s="138" t="s">
        <v>96</v>
      </c>
      <c r="J940" s="139">
        <v>39</v>
      </c>
      <c r="K940" s="143">
        <f>VLOOKUP(Purchase[[#This Row],[Product ID]],Product[#All],6,0)</f>
        <v>3785</v>
      </c>
      <c r="L940" s="143">
        <f>Purchase[[#This Row],[Purchase Rate]]*Purchase[[#This Row],[Qty]]</f>
        <v>147615</v>
      </c>
      <c r="M940" s="140">
        <v>0</v>
      </c>
      <c r="N940" s="143">
        <v>0</v>
      </c>
      <c r="O940" s="140">
        <v>0.18</v>
      </c>
      <c r="P940" s="145">
        <f>(Purchase[[#This Row],[Gross Amount]]-Purchase[[#This Row],[Disct %]])*Purchase[[#This Row],[GST %]]</f>
        <v>26570.7</v>
      </c>
      <c r="Q940" s="145">
        <f>Purchase[[#This Row],[Gross Amount]]-Purchase[[#This Row],[Disct Amnt]]+Purchase[[#This Row],[GST Amount]]</f>
        <v>174185.7</v>
      </c>
      <c r="R940" s="138" t="s">
        <v>1019</v>
      </c>
      <c r="S940" s="41">
        <f>IF(Purchase[[#This Row],[Status]]="Cancelled",0,Purchase[[#This Row],[Qty]])</f>
        <v>39</v>
      </c>
      <c r="T940" s="146">
        <f>IF(Purchase[[#This Row],[Status]]="Cancelled",0,Purchase[[#This Row],[Total Amount]])</f>
        <v>174185.7</v>
      </c>
      <c r="U940" s="146">
        <f>SUM(Purchase[Net Amount])</f>
        <v>814985438.68000126</v>
      </c>
    </row>
    <row r="941" spans="1:21" ht="19.5" thickBot="1" x14ac:dyDescent="0.3">
      <c r="A941" s="136" t="s">
        <v>1982</v>
      </c>
      <c r="B941" s="137">
        <v>45704</v>
      </c>
      <c r="C941" s="138" t="s">
        <v>616</v>
      </c>
      <c r="D941" s="138" t="str">
        <f>VLOOKUP(Purchase[[#This Row],[Supplier ID]],Supplier[#All],2,0)</f>
        <v>Global Suppliers</v>
      </c>
      <c r="E941" s="138">
        <f>VLOOKUP(Purchase[[#This Row],[Supplier ID]],Supplier[#All],3,0)</f>
        <v>9689542499</v>
      </c>
      <c r="F941" s="138" t="str">
        <f>VLOOKUP(Purchase[[#This Row],[Supplier ID]],Supplier[#All],4,0)</f>
        <v>Kanpur</v>
      </c>
      <c r="G941" s="138" t="str">
        <f>VLOOKUP(Purchase[[#This Row],[Supplier ID]],Supplier[#All],5,0)</f>
        <v>UP</v>
      </c>
      <c r="H941" s="138" t="str">
        <f>VLOOKUP(Purchase[[#This Row],[Supplier ID]],Supplier[#All],6,0)</f>
        <v>GST2154521T061</v>
      </c>
      <c r="I941" s="138" t="s">
        <v>23</v>
      </c>
      <c r="J941" s="139">
        <v>40</v>
      </c>
      <c r="K941" s="143">
        <f>VLOOKUP(Purchase[[#This Row],[Product ID]],Product[#All],6,0)</f>
        <v>4851</v>
      </c>
      <c r="L941" s="143">
        <f>Purchase[[#This Row],[Purchase Rate]]*Purchase[[#This Row],[Qty]]</f>
        <v>194040</v>
      </c>
      <c r="M941" s="140">
        <v>0</v>
      </c>
      <c r="N941" s="143">
        <v>0</v>
      </c>
      <c r="O941" s="140">
        <v>0.18</v>
      </c>
      <c r="P941" s="145">
        <f>(Purchase[[#This Row],[Gross Amount]]-Purchase[[#This Row],[Disct %]])*Purchase[[#This Row],[GST %]]</f>
        <v>34927.199999999997</v>
      </c>
      <c r="Q941" s="145">
        <f>Purchase[[#This Row],[Gross Amount]]-Purchase[[#This Row],[Disct Amnt]]+Purchase[[#This Row],[GST Amount]]</f>
        <v>228967.2</v>
      </c>
      <c r="R941" s="138" t="s">
        <v>1040</v>
      </c>
      <c r="S941" s="41">
        <f>IF(Purchase[[#This Row],[Status]]="Cancelled",0,Purchase[[#This Row],[Qty]])</f>
        <v>0</v>
      </c>
      <c r="T941" s="146">
        <f>IF(Purchase[[#This Row],[Status]]="Cancelled",0,Purchase[[#This Row],[Total Amount]])</f>
        <v>0</v>
      </c>
      <c r="U941" s="146">
        <f>SUM(Purchase[Net Amount])</f>
        <v>814985438.68000126</v>
      </c>
    </row>
    <row r="942" spans="1:21" ht="19.5" thickBot="1" x14ac:dyDescent="0.3">
      <c r="A942" s="136" t="s">
        <v>1983</v>
      </c>
      <c r="B942" s="137">
        <v>45704</v>
      </c>
      <c r="C942" s="138" t="s">
        <v>598</v>
      </c>
      <c r="D942" s="138" t="str">
        <f>VLOOKUP(Purchase[[#This Row],[Supplier ID]],Supplier[#All],2,0)</f>
        <v>National Distributors</v>
      </c>
      <c r="E942" s="138">
        <f>VLOOKUP(Purchase[[#This Row],[Supplier ID]],Supplier[#All],3,0)</f>
        <v>9689542489</v>
      </c>
      <c r="F942" s="138" t="str">
        <f>VLOOKUP(Purchase[[#This Row],[Supplier ID]],Supplier[#All],4,0)</f>
        <v>Indore</v>
      </c>
      <c r="G942" s="138" t="str">
        <f>VLOOKUP(Purchase[[#This Row],[Supplier ID]],Supplier[#All],5,0)</f>
        <v>MP</v>
      </c>
      <c r="H942" s="138" t="str">
        <f>VLOOKUP(Purchase[[#This Row],[Supplier ID]],Supplier[#All],6,0)</f>
        <v>GST2154521T043</v>
      </c>
      <c r="I942" s="138" t="s">
        <v>222</v>
      </c>
      <c r="J942" s="139">
        <v>5</v>
      </c>
      <c r="K942" s="143">
        <f>VLOOKUP(Purchase[[#This Row],[Product ID]],Product[#All],6,0)</f>
        <v>6513</v>
      </c>
      <c r="L942" s="143">
        <f>Purchase[[#This Row],[Purchase Rate]]*Purchase[[#This Row],[Qty]]</f>
        <v>32565</v>
      </c>
      <c r="M942" s="140">
        <v>0</v>
      </c>
      <c r="N942" s="143">
        <v>0</v>
      </c>
      <c r="O942" s="140">
        <v>0.18</v>
      </c>
      <c r="P942" s="145">
        <f>(Purchase[[#This Row],[Gross Amount]]-Purchase[[#This Row],[Disct %]])*Purchase[[#This Row],[GST %]]</f>
        <v>5861.7</v>
      </c>
      <c r="Q942" s="145">
        <f>Purchase[[#This Row],[Gross Amount]]-Purchase[[#This Row],[Disct Amnt]]+Purchase[[#This Row],[GST Amount]]</f>
        <v>38426.699999999997</v>
      </c>
      <c r="R942" s="138" t="s">
        <v>1019</v>
      </c>
      <c r="S942" s="41">
        <f>IF(Purchase[[#This Row],[Status]]="Cancelled",0,Purchase[[#This Row],[Qty]])</f>
        <v>5</v>
      </c>
      <c r="T942" s="146">
        <f>IF(Purchase[[#This Row],[Status]]="Cancelled",0,Purchase[[#This Row],[Total Amount]])</f>
        <v>38426.699999999997</v>
      </c>
      <c r="U942" s="146">
        <f>SUM(Purchase[Net Amount])</f>
        <v>814985438.68000126</v>
      </c>
    </row>
    <row r="943" spans="1:21" ht="19.5" thickBot="1" x14ac:dyDescent="0.3">
      <c r="A943" s="136" t="s">
        <v>1984</v>
      </c>
      <c r="B943" s="137">
        <v>45704</v>
      </c>
      <c r="C943" s="138" t="s">
        <v>575</v>
      </c>
      <c r="D943" s="138" t="str">
        <f>VLOOKUP(Purchase[[#This Row],[Supplier ID]],Supplier[#All],2,0)</f>
        <v>Global Computers</v>
      </c>
      <c r="E943" s="138">
        <f>VLOOKUP(Purchase[[#This Row],[Supplier ID]],Supplier[#All],3,0)</f>
        <v>9689542459</v>
      </c>
      <c r="F943" s="138" t="str">
        <f>VLOOKUP(Purchase[[#This Row],[Supplier ID]],Supplier[#All],4,0)</f>
        <v>Indore</v>
      </c>
      <c r="G943" s="138" t="str">
        <f>VLOOKUP(Purchase[[#This Row],[Supplier ID]],Supplier[#All],5,0)</f>
        <v>MP</v>
      </c>
      <c r="H943" s="138" t="str">
        <f>VLOOKUP(Purchase[[#This Row],[Supplier ID]],Supplier[#All],6,0)</f>
        <v>GST2154521T021</v>
      </c>
      <c r="I943" s="138" t="s">
        <v>120</v>
      </c>
      <c r="J943" s="139">
        <v>15</v>
      </c>
      <c r="K943" s="143">
        <f>VLOOKUP(Purchase[[#This Row],[Product ID]],Product[#All],6,0)</f>
        <v>5465</v>
      </c>
      <c r="L943" s="143">
        <f>Purchase[[#This Row],[Purchase Rate]]*Purchase[[#This Row],[Qty]]</f>
        <v>81975</v>
      </c>
      <c r="M943" s="140">
        <v>0</v>
      </c>
      <c r="N943" s="143">
        <v>0</v>
      </c>
      <c r="O943" s="140">
        <v>0.18</v>
      </c>
      <c r="P943" s="145">
        <f>(Purchase[[#This Row],[Gross Amount]]-Purchase[[#This Row],[Disct %]])*Purchase[[#This Row],[GST %]]</f>
        <v>14755.5</v>
      </c>
      <c r="Q943" s="145">
        <f>Purchase[[#This Row],[Gross Amount]]-Purchase[[#This Row],[Disct Amnt]]+Purchase[[#This Row],[GST Amount]]</f>
        <v>96730.5</v>
      </c>
      <c r="R943" s="138" t="s">
        <v>1019</v>
      </c>
      <c r="S943" s="41">
        <f>IF(Purchase[[#This Row],[Status]]="Cancelled",0,Purchase[[#This Row],[Qty]])</f>
        <v>15</v>
      </c>
      <c r="T943" s="146">
        <f>IF(Purchase[[#This Row],[Status]]="Cancelled",0,Purchase[[#This Row],[Total Amount]])</f>
        <v>96730.5</v>
      </c>
      <c r="U943" s="146">
        <f>SUM(Purchase[Net Amount])</f>
        <v>814985438.68000126</v>
      </c>
    </row>
    <row r="944" spans="1:21" ht="19.5" thickBot="1" x14ac:dyDescent="0.3">
      <c r="A944" s="136" t="s">
        <v>1985</v>
      </c>
      <c r="B944" s="137">
        <v>45704</v>
      </c>
      <c r="C944" s="138" t="s">
        <v>577</v>
      </c>
      <c r="D944" s="138" t="str">
        <f>VLOOKUP(Purchase[[#This Row],[Supplier ID]],Supplier[#All],2,0)</f>
        <v>National Electronics</v>
      </c>
      <c r="E944" s="138">
        <f>VLOOKUP(Purchase[[#This Row],[Supplier ID]],Supplier[#All],3,0)</f>
        <v>9689542469</v>
      </c>
      <c r="F944" s="138" t="str">
        <f>VLOOKUP(Purchase[[#This Row],[Supplier ID]],Supplier[#All],4,0)</f>
        <v>Korba</v>
      </c>
      <c r="G944" s="138" t="str">
        <f>VLOOKUP(Purchase[[#This Row],[Supplier ID]],Supplier[#All],5,0)</f>
        <v>CG</v>
      </c>
      <c r="H944" s="138" t="str">
        <f>VLOOKUP(Purchase[[#This Row],[Supplier ID]],Supplier[#All],6,0)</f>
        <v>GST2154521T023</v>
      </c>
      <c r="I944" s="138" t="s">
        <v>131</v>
      </c>
      <c r="J944" s="139">
        <v>27</v>
      </c>
      <c r="K944" s="143">
        <f>VLOOKUP(Purchase[[#This Row],[Product ID]],Product[#All],6,0)</f>
        <v>2019</v>
      </c>
      <c r="L944" s="143">
        <f>Purchase[[#This Row],[Purchase Rate]]*Purchase[[#This Row],[Qty]]</f>
        <v>54513</v>
      </c>
      <c r="M944" s="140">
        <v>0</v>
      </c>
      <c r="N944" s="143">
        <v>0</v>
      </c>
      <c r="O944" s="140">
        <v>0.18</v>
      </c>
      <c r="P944" s="145">
        <f>(Purchase[[#This Row],[Gross Amount]]-Purchase[[#This Row],[Disct %]])*Purchase[[#This Row],[GST %]]</f>
        <v>9812.34</v>
      </c>
      <c r="Q944" s="145">
        <f>Purchase[[#This Row],[Gross Amount]]-Purchase[[#This Row],[Disct Amnt]]+Purchase[[#This Row],[GST Amount]]</f>
        <v>64325.34</v>
      </c>
      <c r="R944" s="138" t="s">
        <v>1019</v>
      </c>
      <c r="S944" s="41">
        <f>IF(Purchase[[#This Row],[Status]]="Cancelled",0,Purchase[[#This Row],[Qty]])</f>
        <v>27</v>
      </c>
      <c r="T944" s="146">
        <f>IF(Purchase[[#This Row],[Status]]="Cancelled",0,Purchase[[#This Row],[Total Amount]])</f>
        <v>64325.34</v>
      </c>
      <c r="U944" s="146">
        <f>SUM(Purchase[Net Amount])</f>
        <v>814985438.68000126</v>
      </c>
    </row>
    <row r="945" spans="1:21" ht="19.5" thickBot="1" x14ac:dyDescent="0.3">
      <c r="A945" s="136" t="s">
        <v>1986</v>
      </c>
      <c r="B945" s="137">
        <v>45704</v>
      </c>
      <c r="C945" s="138" t="s">
        <v>612</v>
      </c>
      <c r="D945" s="138" t="str">
        <f>VLOOKUP(Purchase[[#This Row],[Supplier ID]],Supplier[#All],2,0)</f>
        <v>National Computers</v>
      </c>
      <c r="E945" s="138">
        <f>VLOOKUP(Purchase[[#This Row],[Supplier ID]],Supplier[#All],3,0)</f>
        <v>9689542495</v>
      </c>
      <c r="F945" s="138" t="str">
        <f>VLOOKUP(Purchase[[#This Row],[Supplier ID]],Supplier[#All],4,0)</f>
        <v>Indore</v>
      </c>
      <c r="G945" s="138" t="str">
        <f>VLOOKUP(Purchase[[#This Row],[Supplier ID]],Supplier[#All],5,0)</f>
        <v>MP</v>
      </c>
      <c r="H945" s="138" t="str">
        <f>VLOOKUP(Purchase[[#This Row],[Supplier ID]],Supplier[#All],6,0)</f>
        <v>GST2154521T057</v>
      </c>
      <c r="I945" s="138" t="s">
        <v>265</v>
      </c>
      <c r="J945" s="139">
        <v>28</v>
      </c>
      <c r="K945" s="143">
        <f>VLOOKUP(Purchase[[#This Row],[Product ID]],Product[#All],6,0)</f>
        <v>28871</v>
      </c>
      <c r="L945" s="143">
        <f>Purchase[[#This Row],[Purchase Rate]]*Purchase[[#This Row],[Qty]]</f>
        <v>808388</v>
      </c>
      <c r="M945" s="140">
        <v>0</v>
      </c>
      <c r="N945" s="143">
        <v>0</v>
      </c>
      <c r="O945" s="140">
        <v>0.18</v>
      </c>
      <c r="P945" s="145">
        <f>(Purchase[[#This Row],[Gross Amount]]-Purchase[[#This Row],[Disct %]])*Purchase[[#This Row],[GST %]]</f>
        <v>145509.84</v>
      </c>
      <c r="Q945" s="145">
        <f>Purchase[[#This Row],[Gross Amount]]-Purchase[[#This Row],[Disct Amnt]]+Purchase[[#This Row],[GST Amount]]</f>
        <v>953897.84</v>
      </c>
      <c r="R945" s="138" t="s">
        <v>1019</v>
      </c>
      <c r="S945" s="41">
        <f>IF(Purchase[[#This Row],[Status]]="Cancelled",0,Purchase[[#This Row],[Qty]])</f>
        <v>28</v>
      </c>
      <c r="T945" s="146">
        <f>IF(Purchase[[#This Row],[Status]]="Cancelled",0,Purchase[[#This Row],[Total Amount]])</f>
        <v>953897.84</v>
      </c>
      <c r="U945" s="146">
        <f>SUM(Purchase[Net Amount])</f>
        <v>814985438.68000126</v>
      </c>
    </row>
    <row r="946" spans="1:21" ht="19.5" thickBot="1" x14ac:dyDescent="0.3">
      <c r="A946" s="136" t="s">
        <v>1987</v>
      </c>
      <c r="B946" s="137">
        <v>45704</v>
      </c>
      <c r="C946" s="138" t="s">
        <v>612</v>
      </c>
      <c r="D946" s="138" t="str">
        <f>VLOOKUP(Purchase[[#This Row],[Supplier ID]],Supplier[#All],2,0)</f>
        <v>National Computers</v>
      </c>
      <c r="E946" s="138">
        <f>VLOOKUP(Purchase[[#This Row],[Supplier ID]],Supplier[#All],3,0)</f>
        <v>9689542495</v>
      </c>
      <c r="F946" s="138" t="str">
        <f>VLOOKUP(Purchase[[#This Row],[Supplier ID]],Supplier[#All],4,0)</f>
        <v>Indore</v>
      </c>
      <c r="G946" s="138" t="str">
        <f>VLOOKUP(Purchase[[#This Row],[Supplier ID]],Supplier[#All],5,0)</f>
        <v>MP</v>
      </c>
      <c r="H946" s="138" t="str">
        <f>VLOOKUP(Purchase[[#This Row],[Supplier ID]],Supplier[#All],6,0)</f>
        <v>GST2154521T057</v>
      </c>
      <c r="I946" s="138" t="s">
        <v>76</v>
      </c>
      <c r="J946" s="139">
        <v>36</v>
      </c>
      <c r="K946" s="143">
        <f>VLOOKUP(Purchase[[#This Row],[Product ID]],Product[#All],6,0)</f>
        <v>1400</v>
      </c>
      <c r="L946" s="143">
        <f>Purchase[[#This Row],[Purchase Rate]]*Purchase[[#This Row],[Qty]]</f>
        <v>50400</v>
      </c>
      <c r="M946" s="140">
        <v>0</v>
      </c>
      <c r="N946" s="143">
        <v>0</v>
      </c>
      <c r="O946" s="140">
        <v>0.18</v>
      </c>
      <c r="P946" s="145">
        <f>(Purchase[[#This Row],[Gross Amount]]-Purchase[[#This Row],[Disct %]])*Purchase[[#This Row],[GST %]]</f>
        <v>9072</v>
      </c>
      <c r="Q946" s="145">
        <f>Purchase[[#This Row],[Gross Amount]]-Purchase[[#This Row],[Disct Amnt]]+Purchase[[#This Row],[GST Amount]]</f>
        <v>59472</v>
      </c>
      <c r="R946" s="138" t="s">
        <v>1019</v>
      </c>
      <c r="S946" s="41">
        <f>IF(Purchase[[#This Row],[Status]]="Cancelled",0,Purchase[[#This Row],[Qty]])</f>
        <v>36</v>
      </c>
      <c r="T946" s="146">
        <f>IF(Purchase[[#This Row],[Status]]="Cancelled",0,Purchase[[#This Row],[Total Amount]])</f>
        <v>59472</v>
      </c>
      <c r="U946" s="146">
        <f>SUM(Purchase[Net Amount])</f>
        <v>814985438.68000126</v>
      </c>
    </row>
    <row r="947" spans="1:21" ht="19.5" thickBot="1" x14ac:dyDescent="0.3">
      <c r="A947" s="136" t="s">
        <v>1988</v>
      </c>
      <c r="B947" s="137">
        <v>45704</v>
      </c>
      <c r="C947" s="138" t="s">
        <v>596</v>
      </c>
      <c r="D947" s="138" t="str">
        <f>VLOOKUP(Purchase[[#This Row],[Supplier ID]],Supplier[#All],2,0)</f>
        <v>star traders</v>
      </c>
      <c r="E947" s="138">
        <f>VLOOKUP(Purchase[[#This Row],[Supplier ID]],Supplier[#All],3,0)</f>
        <v>9689542479</v>
      </c>
      <c r="F947" s="138" t="str">
        <f>VLOOKUP(Purchase[[#This Row],[Supplier ID]],Supplier[#All],4,0)</f>
        <v>Korba</v>
      </c>
      <c r="G947" s="138" t="str">
        <f>VLOOKUP(Purchase[[#This Row],[Supplier ID]],Supplier[#All],5,0)</f>
        <v>CG</v>
      </c>
      <c r="H947" s="138" t="str">
        <f>VLOOKUP(Purchase[[#This Row],[Supplier ID]],Supplier[#All],6,0)</f>
        <v>GST2154521T041</v>
      </c>
      <c r="I947" s="138" t="s">
        <v>253</v>
      </c>
      <c r="J947" s="139">
        <v>40</v>
      </c>
      <c r="K947" s="143">
        <f>VLOOKUP(Purchase[[#This Row],[Product ID]],Product[#All],6,0)</f>
        <v>34835</v>
      </c>
      <c r="L947" s="143">
        <f>Purchase[[#This Row],[Purchase Rate]]*Purchase[[#This Row],[Qty]]</f>
        <v>1393400</v>
      </c>
      <c r="M947" s="140">
        <v>0</v>
      </c>
      <c r="N947" s="143">
        <v>0</v>
      </c>
      <c r="O947" s="140">
        <v>0.18</v>
      </c>
      <c r="P947" s="145">
        <f>(Purchase[[#This Row],[Gross Amount]]-Purchase[[#This Row],[Disct %]])*Purchase[[#This Row],[GST %]]</f>
        <v>250812</v>
      </c>
      <c r="Q947" s="145">
        <f>Purchase[[#This Row],[Gross Amount]]-Purchase[[#This Row],[Disct Amnt]]+Purchase[[#This Row],[GST Amount]]</f>
        <v>1644212</v>
      </c>
      <c r="R947" s="138" t="s">
        <v>1019</v>
      </c>
      <c r="S947" s="41">
        <f>IF(Purchase[[#This Row],[Status]]="Cancelled",0,Purchase[[#This Row],[Qty]])</f>
        <v>40</v>
      </c>
      <c r="T947" s="146">
        <f>IF(Purchase[[#This Row],[Status]]="Cancelled",0,Purchase[[#This Row],[Total Amount]])</f>
        <v>1644212</v>
      </c>
      <c r="U947" s="146">
        <f>SUM(Purchase[Net Amount])</f>
        <v>814985438.68000126</v>
      </c>
    </row>
    <row r="948" spans="1:21" ht="19.5" thickBot="1" x14ac:dyDescent="0.3">
      <c r="A948" s="136" t="s">
        <v>1989</v>
      </c>
      <c r="B948" s="137">
        <v>45704</v>
      </c>
      <c r="C948" s="138" t="s">
        <v>588</v>
      </c>
      <c r="D948" s="138" t="str">
        <f>VLOOKUP(Purchase[[#This Row],[Supplier ID]],Supplier[#All],2,0)</f>
        <v>Star Electronics</v>
      </c>
      <c r="E948" s="138">
        <f>VLOOKUP(Purchase[[#This Row],[Supplier ID]],Supplier[#All],3,0)</f>
        <v>9689542472</v>
      </c>
      <c r="F948" s="138" t="str">
        <f>VLOOKUP(Purchase[[#This Row],[Supplier ID]],Supplier[#All],4,0)</f>
        <v>Korba</v>
      </c>
      <c r="G948" s="138" t="str">
        <f>VLOOKUP(Purchase[[#This Row],[Supplier ID]],Supplier[#All],5,0)</f>
        <v>CG</v>
      </c>
      <c r="H948" s="138" t="str">
        <f>VLOOKUP(Purchase[[#This Row],[Supplier ID]],Supplier[#All],6,0)</f>
        <v>GST2154521T034</v>
      </c>
      <c r="I948" s="138" t="s">
        <v>454</v>
      </c>
      <c r="J948" s="139">
        <v>40</v>
      </c>
      <c r="K948" s="143">
        <f>VLOOKUP(Purchase[[#This Row],[Product ID]],Product[#All],6,0)</f>
        <v>14397</v>
      </c>
      <c r="L948" s="143">
        <f>Purchase[[#This Row],[Purchase Rate]]*Purchase[[#This Row],[Qty]]</f>
        <v>575880</v>
      </c>
      <c r="M948" s="140">
        <v>0</v>
      </c>
      <c r="N948" s="143">
        <v>0</v>
      </c>
      <c r="O948" s="140">
        <v>0.18</v>
      </c>
      <c r="P948" s="145">
        <f>(Purchase[[#This Row],[Gross Amount]]-Purchase[[#This Row],[Disct %]])*Purchase[[#This Row],[GST %]]</f>
        <v>103658.4</v>
      </c>
      <c r="Q948" s="145">
        <f>Purchase[[#This Row],[Gross Amount]]-Purchase[[#This Row],[Disct Amnt]]+Purchase[[#This Row],[GST Amount]]</f>
        <v>679538.4</v>
      </c>
      <c r="R948" s="138" t="s">
        <v>1019</v>
      </c>
      <c r="S948" s="41">
        <f>IF(Purchase[[#This Row],[Status]]="Cancelled",0,Purchase[[#This Row],[Qty]])</f>
        <v>40</v>
      </c>
      <c r="T948" s="146">
        <f>IF(Purchase[[#This Row],[Status]]="Cancelled",0,Purchase[[#This Row],[Total Amount]])</f>
        <v>679538.4</v>
      </c>
      <c r="U948" s="146">
        <f>SUM(Purchase[Net Amount])</f>
        <v>814985438.68000126</v>
      </c>
    </row>
    <row r="949" spans="1:21" ht="19.5" thickBot="1" x14ac:dyDescent="0.3">
      <c r="A949" s="136" t="s">
        <v>1990</v>
      </c>
      <c r="B949" s="137">
        <v>45705</v>
      </c>
      <c r="C949" s="138" t="s">
        <v>609</v>
      </c>
      <c r="D949" s="138" t="str">
        <f>VLOOKUP(Purchase[[#This Row],[Supplier ID]],Supplier[#All],2,0)</f>
        <v>Star Suppliers</v>
      </c>
      <c r="E949" s="138">
        <f>VLOOKUP(Purchase[[#This Row],[Supplier ID]],Supplier[#All],3,0)</f>
        <v>9689542492</v>
      </c>
      <c r="F949" s="138" t="str">
        <f>VLOOKUP(Purchase[[#This Row],[Supplier ID]],Supplier[#All],4,0)</f>
        <v>Kanpur</v>
      </c>
      <c r="G949" s="138" t="str">
        <f>VLOOKUP(Purchase[[#This Row],[Supplier ID]],Supplier[#All],5,0)</f>
        <v>UP</v>
      </c>
      <c r="H949" s="138" t="str">
        <f>VLOOKUP(Purchase[[#This Row],[Supplier ID]],Supplier[#All],6,0)</f>
        <v>GST2154521T054</v>
      </c>
      <c r="I949" s="138" t="s">
        <v>468</v>
      </c>
      <c r="J949" s="139">
        <v>28</v>
      </c>
      <c r="K949" s="143">
        <f>VLOOKUP(Purchase[[#This Row],[Product ID]],Product[#All],6,0)</f>
        <v>75590</v>
      </c>
      <c r="L949" s="143">
        <f>Purchase[[#This Row],[Purchase Rate]]*Purchase[[#This Row],[Qty]]</f>
        <v>2116520</v>
      </c>
      <c r="M949" s="140">
        <v>0</v>
      </c>
      <c r="N949" s="143">
        <v>0</v>
      </c>
      <c r="O949" s="140">
        <v>0.18</v>
      </c>
      <c r="P949" s="145">
        <f>(Purchase[[#This Row],[Gross Amount]]-Purchase[[#This Row],[Disct %]])*Purchase[[#This Row],[GST %]]</f>
        <v>380973.6</v>
      </c>
      <c r="Q949" s="145">
        <f>Purchase[[#This Row],[Gross Amount]]-Purchase[[#This Row],[Disct Amnt]]+Purchase[[#This Row],[GST Amount]]</f>
        <v>2497493.6</v>
      </c>
      <c r="R949" s="138" t="s">
        <v>1019</v>
      </c>
      <c r="S949" s="41">
        <f>IF(Purchase[[#This Row],[Status]]="Cancelled",0,Purchase[[#This Row],[Qty]])</f>
        <v>28</v>
      </c>
      <c r="T949" s="146">
        <f>IF(Purchase[[#This Row],[Status]]="Cancelled",0,Purchase[[#This Row],[Total Amount]])</f>
        <v>2497493.6</v>
      </c>
      <c r="U949" s="146">
        <f>SUM(Purchase[Net Amount])</f>
        <v>814985438.68000126</v>
      </c>
    </row>
    <row r="950" spans="1:21" ht="19.5" thickBot="1" x14ac:dyDescent="0.3">
      <c r="A950" s="136" t="s">
        <v>1991</v>
      </c>
      <c r="B950" s="137">
        <v>45705</v>
      </c>
      <c r="C950" s="138" t="s">
        <v>600</v>
      </c>
      <c r="D950" s="138" t="str">
        <f>VLOOKUP(Purchase[[#This Row],[Supplier ID]],Supplier[#All],2,0)</f>
        <v>Prime Suppliers</v>
      </c>
      <c r="E950" s="138">
        <f>VLOOKUP(Purchase[[#This Row],[Supplier ID]],Supplier[#All],3,0)</f>
        <v>9689542483</v>
      </c>
      <c r="F950" s="138" t="str">
        <f>VLOOKUP(Purchase[[#This Row],[Supplier ID]],Supplier[#All],4,0)</f>
        <v>Korba</v>
      </c>
      <c r="G950" s="138" t="str">
        <f>VLOOKUP(Purchase[[#This Row],[Supplier ID]],Supplier[#All],5,0)</f>
        <v>CG</v>
      </c>
      <c r="H950" s="138" t="str">
        <f>VLOOKUP(Purchase[[#This Row],[Supplier ID]],Supplier[#All],6,0)</f>
        <v>GST2154521T045</v>
      </c>
      <c r="I950" s="138" t="s">
        <v>147</v>
      </c>
      <c r="J950" s="139">
        <v>16</v>
      </c>
      <c r="K950" s="143">
        <f>VLOOKUP(Purchase[[#This Row],[Product ID]],Product[#All],6,0)</f>
        <v>3935</v>
      </c>
      <c r="L950" s="143">
        <f>Purchase[[#This Row],[Purchase Rate]]*Purchase[[#This Row],[Qty]]</f>
        <v>62960</v>
      </c>
      <c r="M950" s="140">
        <v>0</v>
      </c>
      <c r="N950" s="143">
        <v>0</v>
      </c>
      <c r="O950" s="140">
        <v>0.18</v>
      </c>
      <c r="P950" s="145">
        <f>(Purchase[[#This Row],[Gross Amount]]-Purchase[[#This Row],[Disct %]])*Purchase[[#This Row],[GST %]]</f>
        <v>11332.8</v>
      </c>
      <c r="Q950" s="145">
        <f>Purchase[[#This Row],[Gross Amount]]-Purchase[[#This Row],[Disct Amnt]]+Purchase[[#This Row],[GST Amount]]</f>
        <v>74292.800000000003</v>
      </c>
      <c r="R950" s="138" t="s">
        <v>1019</v>
      </c>
      <c r="S950" s="41">
        <f>IF(Purchase[[#This Row],[Status]]="Cancelled",0,Purchase[[#This Row],[Qty]])</f>
        <v>16</v>
      </c>
      <c r="T950" s="146">
        <f>IF(Purchase[[#This Row],[Status]]="Cancelled",0,Purchase[[#This Row],[Total Amount]])</f>
        <v>74292.800000000003</v>
      </c>
      <c r="U950" s="146">
        <f>SUM(Purchase[Net Amount])</f>
        <v>814985438.68000126</v>
      </c>
    </row>
    <row r="951" spans="1:21" ht="19.5" thickBot="1" x14ac:dyDescent="0.3">
      <c r="A951" s="136" t="s">
        <v>1992</v>
      </c>
      <c r="B951" s="137">
        <v>45705</v>
      </c>
      <c r="C951" s="138" t="s">
        <v>577</v>
      </c>
      <c r="D951" s="138" t="str">
        <f>VLOOKUP(Purchase[[#This Row],[Supplier ID]],Supplier[#All],2,0)</f>
        <v>National Electronics</v>
      </c>
      <c r="E951" s="138">
        <f>VLOOKUP(Purchase[[#This Row],[Supplier ID]],Supplier[#All],3,0)</f>
        <v>9689542469</v>
      </c>
      <c r="F951" s="138" t="str">
        <f>VLOOKUP(Purchase[[#This Row],[Supplier ID]],Supplier[#All],4,0)</f>
        <v>Korba</v>
      </c>
      <c r="G951" s="138" t="str">
        <f>VLOOKUP(Purchase[[#This Row],[Supplier ID]],Supplier[#All],5,0)</f>
        <v>CG</v>
      </c>
      <c r="H951" s="138" t="str">
        <f>VLOOKUP(Purchase[[#This Row],[Supplier ID]],Supplier[#All],6,0)</f>
        <v>GST2154521T023</v>
      </c>
      <c r="I951" s="138" t="s">
        <v>476</v>
      </c>
      <c r="J951" s="139">
        <v>9</v>
      </c>
      <c r="K951" s="143">
        <f>VLOOKUP(Purchase[[#This Row],[Product ID]],Product[#All],6,0)</f>
        <v>552</v>
      </c>
      <c r="L951" s="143">
        <f>Purchase[[#This Row],[Purchase Rate]]*Purchase[[#This Row],[Qty]]</f>
        <v>4968</v>
      </c>
      <c r="M951" s="140">
        <v>0</v>
      </c>
      <c r="N951" s="143">
        <v>0</v>
      </c>
      <c r="O951" s="140">
        <v>0.18</v>
      </c>
      <c r="P951" s="145">
        <f>(Purchase[[#This Row],[Gross Amount]]-Purchase[[#This Row],[Disct %]])*Purchase[[#This Row],[GST %]]</f>
        <v>894.24</v>
      </c>
      <c r="Q951" s="145">
        <f>Purchase[[#This Row],[Gross Amount]]-Purchase[[#This Row],[Disct Amnt]]+Purchase[[#This Row],[GST Amount]]</f>
        <v>5862.24</v>
      </c>
      <c r="R951" s="138" t="s">
        <v>1019</v>
      </c>
      <c r="S951" s="41">
        <f>IF(Purchase[[#This Row],[Status]]="Cancelled",0,Purchase[[#This Row],[Qty]])</f>
        <v>9</v>
      </c>
      <c r="T951" s="146">
        <f>IF(Purchase[[#This Row],[Status]]="Cancelled",0,Purchase[[#This Row],[Total Amount]])</f>
        <v>5862.24</v>
      </c>
      <c r="U951" s="146">
        <f>SUM(Purchase[Net Amount])</f>
        <v>814985438.68000126</v>
      </c>
    </row>
    <row r="952" spans="1:21" ht="19.5" thickBot="1" x14ac:dyDescent="0.3">
      <c r="A952" s="136" t="s">
        <v>1993</v>
      </c>
      <c r="B952" s="137">
        <v>45705</v>
      </c>
      <c r="C952" s="138" t="s">
        <v>603</v>
      </c>
      <c r="D952" s="138" t="str">
        <f>VLOOKUP(Purchase[[#This Row],[Supplier ID]],Supplier[#All],2,0)</f>
        <v>Tech Computers</v>
      </c>
      <c r="E952" s="138">
        <f>VLOOKUP(Purchase[[#This Row],[Supplier ID]],Supplier[#All],3,0)</f>
        <v>9689542486</v>
      </c>
      <c r="F952" s="138" t="str">
        <f>VLOOKUP(Purchase[[#This Row],[Supplier ID]],Supplier[#All],4,0)</f>
        <v>Indore</v>
      </c>
      <c r="G952" s="138" t="str">
        <f>VLOOKUP(Purchase[[#This Row],[Supplier ID]],Supplier[#All],5,0)</f>
        <v>MP</v>
      </c>
      <c r="H952" s="138" t="str">
        <f>VLOOKUP(Purchase[[#This Row],[Supplier ID]],Supplier[#All],6,0)</f>
        <v>GST2154521T048</v>
      </c>
      <c r="I952" s="138" t="s">
        <v>65</v>
      </c>
      <c r="J952" s="139">
        <v>6</v>
      </c>
      <c r="K952" s="143">
        <f>VLOOKUP(Purchase[[#This Row],[Product ID]],Product[#All],6,0)</f>
        <v>1758</v>
      </c>
      <c r="L952" s="143">
        <f>Purchase[[#This Row],[Purchase Rate]]*Purchase[[#This Row],[Qty]]</f>
        <v>10548</v>
      </c>
      <c r="M952" s="140">
        <v>0</v>
      </c>
      <c r="N952" s="143">
        <v>0</v>
      </c>
      <c r="O952" s="140">
        <v>0.18</v>
      </c>
      <c r="P952" s="145">
        <f>(Purchase[[#This Row],[Gross Amount]]-Purchase[[#This Row],[Disct %]])*Purchase[[#This Row],[GST %]]</f>
        <v>1898.6399999999999</v>
      </c>
      <c r="Q952" s="145">
        <f>Purchase[[#This Row],[Gross Amount]]-Purchase[[#This Row],[Disct Amnt]]+Purchase[[#This Row],[GST Amount]]</f>
        <v>12446.64</v>
      </c>
      <c r="R952" s="138" t="s">
        <v>1019</v>
      </c>
      <c r="S952" s="41">
        <f>IF(Purchase[[#This Row],[Status]]="Cancelled",0,Purchase[[#This Row],[Qty]])</f>
        <v>6</v>
      </c>
      <c r="T952" s="146">
        <f>IF(Purchase[[#This Row],[Status]]="Cancelled",0,Purchase[[#This Row],[Total Amount]])</f>
        <v>12446.64</v>
      </c>
      <c r="U952" s="146">
        <f>SUM(Purchase[Net Amount])</f>
        <v>814985438.68000126</v>
      </c>
    </row>
    <row r="953" spans="1:21" ht="19.5" thickBot="1" x14ac:dyDescent="0.3">
      <c r="A953" s="136" t="s">
        <v>1994</v>
      </c>
      <c r="B953" s="137">
        <v>45705</v>
      </c>
      <c r="C953" s="138" t="s">
        <v>590</v>
      </c>
      <c r="D953" s="138" t="str">
        <f>VLOOKUP(Purchase[[#This Row],[Supplier ID]],Supplier[#All],2,0)</f>
        <v>Star Distributors</v>
      </c>
      <c r="E953" s="138">
        <f>VLOOKUP(Purchase[[#This Row],[Supplier ID]],Supplier[#All],3,0)</f>
        <v>9689542474</v>
      </c>
      <c r="F953" s="138" t="str">
        <f>VLOOKUP(Purchase[[#This Row],[Supplier ID]],Supplier[#All],4,0)</f>
        <v>Kanpur</v>
      </c>
      <c r="G953" s="138" t="str">
        <f>VLOOKUP(Purchase[[#This Row],[Supplier ID]],Supplier[#All],5,0)</f>
        <v>UP</v>
      </c>
      <c r="H953" s="138" t="str">
        <f>VLOOKUP(Purchase[[#This Row],[Supplier ID]],Supplier[#All],6,0)</f>
        <v>GST2154521T036</v>
      </c>
      <c r="I953" s="138" t="s">
        <v>68</v>
      </c>
      <c r="J953" s="139">
        <v>4</v>
      </c>
      <c r="K953" s="143">
        <f>VLOOKUP(Purchase[[#This Row],[Product ID]],Product[#All],6,0)</f>
        <v>17186</v>
      </c>
      <c r="L953" s="143">
        <f>Purchase[[#This Row],[Purchase Rate]]*Purchase[[#This Row],[Qty]]</f>
        <v>68744</v>
      </c>
      <c r="M953" s="140">
        <v>0</v>
      </c>
      <c r="N953" s="143">
        <v>0</v>
      </c>
      <c r="O953" s="140">
        <v>0.18</v>
      </c>
      <c r="P953" s="145">
        <f>(Purchase[[#This Row],[Gross Amount]]-Purchase[[#This Row],[Disct %]])*Purchase[[#This Row],[GST %]]</f>
        <v>12373.92</v>
      </c>
      <c r="Q953" s="145">
        <f>Purchase[[#This Row],[Gross Amount]]-Purchase[[#This Row],[Disct Amnt]]+Purchase[[#This Row],[GST Amount]]</f>
        <v>81117.919999999998</v>
      </c>
      <c r="R953" s="138" t="s">
        <v>1019</v>
      </c>
      <c r="S953" s="41">
        <f>IF(Purchase[[#This Row],[Status]]="Cancelled",0,Purchase[[#This Row],[Qty]])</f>
        <v>4</v>
      </c>
      <c r="T953" s="146">
        <f>IF(Purchase[[#This Row],[Status]]="Cancelled",0,Purchase[[#This Row],[Total Amount]])</f>
        <v>81117.919999999998</v>
      </c>
      <c r="U953" s="146">
        <f>SUM(Purchase[Net Amount])</f>
        <v>814985438.68000126</v>
      </c>
    </row>
    <row r="954" spans="1:21" ht="19.5" thickBot="1" x14ac:dyDescent="0.3">
      <c r="A954" s="136" t="s">
        <v>1995</v>
      </c>
      <c r="B954" s="137">
        <v>45705</v>
      </c>
      <c r="C954" s="138" t="s">
        <v>579</v>
      </c>
      <c r="D954" s="138" t="str">
        <f>VLOOKUP(Purchase[[#This Row],[Supplier ID]],Supplier[#All],2,0)</f>
        <v>Tech Traders</v>
      </c>
      <c r="E954" s="138">
        <f>VLOOKUP(Purchase[[#This Row],[Supplier ID]],Supplier[#All],3,0)</f>
        <v>9689542463</v>
      </c>
      <c r="F954" s="138" t="str">
        <f>VLOOKUP(Purchase[[#This Row],[Supplier ID]],Supplier[#All],4,0)</f>
        <v>Kanpur</v>
      </c>
      <c r="G954" s="138" t="str">
        <f>VLOOKUP(Purchase[[#This Row],[Supplier ID]],Supplier[#All],5,0)</f>
        <v>UP</v>
      </c>
      <c r="H954" s="138" t="str">
        <f>VLOOKUP(Purchase[[#This Row],[Supplier ID]],Supplier[#All],6,0)</f>
        <v>GST2154521T025</v>
      </c>
      <c r="I954" s="138" t="s">
        <v>310</v>
      </c>
      <c r="J954" s="139">
        <v>11</v>
      </c>
      <c r="K954" s="143">
        <f>VLOOKUP(Purchase[[#This Row],[Product ID]],Product[#All],6,0)</f>
        <v>558</v>
      </c>
      <c r="L954" s="143">
        <f>Purchase[[#This Row],[Purchase Rate]]*Purchase[[#This Row],[Qty]]</f>
        <v>6138</v>
      </c>
      <c r="M954" s="140">
        <v>0</v>
      </c>
      <c r="N954" s="143">
        <v>0</v>
      </c>
      <c r="O954" s="140">
        <v>0.18</v>
      </c>
      <c r="P954" s="145">
        <f>(Purchase[[#This Row],[Gross Amount]]-Purchase[[#This Row],[Disct %]])*Purchase[[#This Row],[GST %]]</f>
        <v>1104.8399999999999</v>
      </c>
      <c r="Q954" s="145">
        <f>Purchase[[#This Row],[Gross Amount]]-Purchase[[#This Row],[Disct Amnt]]+Purchase[[#This Row],[GST Amount]]</f>
        <v>7242.84</v>
      </c>
      <c r="R954" s="138" t="s">
        <v>1019</v>
      </c>
      <c r="S954" s="41">
        <f>IF(Purchase[[#This Row],[Status]]="Cancelled",0,Purchase[[#This Row],[Qty]])</f>
        <v>11</v>
      </c>
      <c r="T954" s="146">
        <f>IF(Purchase[[#This Row],[Status]]="Cancelled",0,Purchase[[#This Row],[Total Amount]])</f>
        <v>7242.84</v>
      </c>
      <c r="U954" s="146">
        <f>SUM(Purchase[Net Amount])</f>
        <v>814985438.68000126</v>
      </c>
    </row>
    <row r="955" spans="1:21" ht="19.5" thickBot="1" x14ac:dyDescent="0.3">
      <c r="A955" s="136" t="s">
        <v>1996</v>
      </c>
      <c r="B955" s="137">
        <v>45705</v>
      </c>
      <c r="C955" s="138" t="s">
        <v>603</v>
      </c>
      <c r="D955" s="138" t="str">
        <f>VLOOKUP(Purchase[[#This Row],[Supplier ID]],Supplier[#All],2,0)</f>
        <v>Tech Computers</v>
      </c>
      <c r="E955" s="138">
        <f>VLOOKUP(Purchase[[#This Row],[Supplier ID]],Supplier[#All],3,0)</f>
        <v>9689542486</v>
      </c>
      <c r="F955" s="138" t="str">
        <f>VLOOKUP(Purchase[[#This Row],[Supplier ID]],Supplier[#All],4,0)</f>
        <v>Indore</v>
      </c>
      <c r="G955" s="138" t="str">
        <f>VLOOKUP(Purchase[[#This Row],[Supplier ID]],Supplier[#All],5,0)</f>
        <v>MP</v>
      </c>
      <c r="H955" s="138" t="str">
        <f>VLOOKUP(Purchase[[#This Row],[Supplier ID]],Supplier[#All],6,0)</f>
        <v>GST2154521T048</v>
      </c>
      <c r="I955" s="138" t="s">
        <v>357</v>
      </c>
      <c r="J955" s="139">
        <v>17</v>
      </c>
      <c r="K955" s="143">
        <f>VLOOKUP(Purchase[[#This Row],[Product ID]],Product[#All],6,0)</f>
        <v>7550</v>
      </c>
      <c r="L955" s="143">
        <f>Purchase[[#This Row],[Purchase Rate]]*Purchase[[#This Row],[Qty]]</f>
        <v>128350</v>
      </c>
      <c r="M955" s="140">
        <v>0</v>
      </c>
      <c r="N955" s="143">
        <v>0</v>
      </c>
      <c r="O955" s="140">
        <v>0.18</v>
      </c>
      <c r="P955" s="145">
        <f>(Purchase[[#This Row],[Gross Amount]]-Purchase[[#This Row],[Disct %]])*Purchase[[#This Row],[GST %]]</f>
        <v>23103</v>
      </c>
      <c r="Q955" s="145">
        <f>Purchase[[#This Row],[Gross Amount]]-Purchase[[#This Row],[Disct Amnt]]+Purchase[[#This Row],[GST Amount]]</f>
        <v>151453</v>
      </c>
      <c r="R955" s="138" t="s">
        <v>1019</v>
      </c>
      <c r="S955" s="41">
        <f>IF(Purchase[[#This Row],[Status]]="Cancelled",0,Purchase[[#This Row],[Qty]])</f>
        <v>17</v>
      </c>
      <c r="T955" s="146">
        <f>IF(Purchase[[#This Row],[Status]]="Cancelled",0,Purchase[[#This Row],[Total Amount]])</f>
        <v>151453</v>
      </c>
      <c r="U955" s="146">
        <f>SUM(Purchase[Net Amount])</f>
        <v>814985438.68000126</v>
      </c>
    </row>
    <row r="956" spans="1:21" ht="19.5" thickBot="1" x14ac:dyDescent="0.3">
      <c r="A956" s="136" t="s">
        <v>1997</v>
      </c>
      <c r="B956" s="137">
        <v>45705</v>
      </c>
      <c r="C956" s="138" t="s">
        <v>599</v>
      </c>
      <c r="D956" s="138" t="str">
        <f>VLOOKUP(Purchase[[#This Row],[Supplier ID]],Supplier[#All],2,0)</f>
        <v>National Distributors</v>
      </c>
      <c r="E956" s="138">
        <f>VLOOKUP(Purchase[[#This Row],[Supplier ID]],Supplier[#All],3,0)</f>
        <v>9689542482</v>
      </c>
      <c r="F956" s="138" t="str">
        <f>VLOOKUP(Purchase[[#This Row],[Supplier ID]],Supplier[#All],4,0)</f>
        <v>Kanpur</v>
      </c>
      <c r="G956" s="138" t="str">
        <f>VLOOKUP(Purchase[[#This Row],[Supplier ID]],Supplier[#All],5,0)</f>
        <v>UP</v>
      </c>
      <c r="H956" s="138" t="str">
        <f>VLOOKUP(Purchase[[#This Row],[Supplier ID]],Supplier[#All],6,0)</f>
        <v>GST2154521T044</v>
      </c>
      <c r="I956" s="138" t="s">
        <v>118</v>
      </c>
      <c r="J956" s="139">
        <v>33</v>
      </c>
      <c r="K956" s="143">
        <f>VLOOKUP(Purchase[[#This Row],[Product ID]],Product[#All],6,0)</f>
        <v>3406</v>
      </c>
      <c r="L956" s="143">
        <f>Purchase[[#This Row],[Purchase Rate]]*Purchase[[#This Row],[Qty]]</f>
        <v>112398</v>
      </c>
      <c r="M956" s="140">
        <v>0</v>
      </c>
      <c r="N956" s="143">
        <v>0</v>
      </c>
      <c r="O956" s="140">
        <v>0.18</v>
      </c>
      <c r="P956" s="145">
        <f>(Purchase[[#This Row],[Gross Amount]]-Purchase[[#This Row],[Disct %]])*Purchase[[#This Row],[GST %]]</f>
        <v>20231.64</v>
      </c>
      <c r="Q956" s="145">
        <f>Purchase[[#This Row],[Gross Amount]]-Purchase[[#This Row],[Disct Amnt]]+Purchase[[#This Row],[GST Amount]]</f>
        <v>132629.64000000001</v>
      </c>
      <c r="R956" s="138" t="s">
        <v>1019</v>
      </c>
      <c r="S956" s="41">
        <f>IF(Purchase[[#This Row],[Status]]="Cancelled",0,Purchase[[#This Row],[Qty]])</f>
        <v>33</v>
      </c>
      <c r="T956" s="146">
        <f>IF(Purchase[[#This Row],[Status]]="Cancelled",0,Purchase[[#This Row],[Total Amount]])</f>
        <v>132629.64000000001</v>
      </c>
      <c r="U956" s="146">
        <f>SUM(Purchase[Net Amount])</f>
        <v>814985438.68000126</v>
      </c>
    </row>
    <row r="957" spans="1:21" ht="19.5" thickBot="1" x14ac:dyDescent="0.3">
      <c r="A957" s="136" t="s">
        <v>1998</v>
      </c>
      <c r="B957" s="137">
        <v>45705</v>
      </c>
      <c r="C957" s="138" t="s">
        <v>585</v>
      </c>
      <c r="D957" s="138" t="str">
        <f>VLOOKUP(Purchase[[#This Row],[Supplier ID]],Supplier[#All],2,0)</f>
        <v>Tech Computers</v>
      </c>
      <c r="E957" s="138">
        <f>VLOOKUP(Purchase[[#This Row],[Supplier ID]],Supplier[#All],3,0)</f>
        <v>9689542469</v>
      </c>
      <c r="F957" s="138" t="str">
        <f>VLOOKUP(Purchase[[#This Row],[Supplier ID]],Supplier[#All],4,0)</f>
        <v>Korba</v>
      </c>
      <c r="G957" s="138" t="str">
        <f>VLOOKUP(Purchase[[#This Row],[Supplier ID]],Supplier[#All],5,0)</f>
        <v>CG</v>
      </c>
      <c r="H957" s="138" t="str">
        <f>VLOOKUP(Purchase[[#This Row],[Supplier ID]],Supplier[#All],6,0)</f>
        <v>GST2154521T031</v>
      </c>
      <c r="I957" s="138" t="s">
        <v>70</v>
      </c>
      <c r="J957" s="139">
        <v>18</v>
      </c>
      <c r="K957" s="143">
        <f>VLOOKUP(Purchase[[#This Row],[Product ID]],Product[#All],6,0)</f>
        <v>3980</v>
      </c>
      <c r="L957" s="143">
        <f>Purchase[[#This Row],[Purchase Rate]]*Purchase[[#This Row],[Qty]]</f>
        <v>71640</v>
      </c>
      <c r="M957" s="140">
        <v>0</v>
      </c>
      <c r="N957" s="143">
        <v>0</v>
      </c>
      <c r="O957" s="140">
        <v>0.18</v>
      </c>
      <c r="P957" s="145">
        <f>(Purchase[[#This Row],[Gross Amount]]-Purchase[[#This Row],[Disct %]])*Purchase[[#This Row],[GST %]]</f>
        <v>12895.199999999999</v>
      </c>
      <c r="Q957" s="145">
        <f>Purchase[[#This Row],[Gross Amount]]-Purchase[[#This Row],[Disct Amnt]]+Purchase[[#This Row],[GST Amount]]</f>
        <v>84535.2</v>
      </c>
      <c r="R957" s="138" t="s">
        <v>1019</v>
      </c>
      <c r="S957" s="41">
        <f>IF(Purchase[[#This Row],[Status]]="Cancelled",0,Purchase[[#This Row],[Qty]])</f>
        <v>18</v>
      </c>
      <c r="T957" s="146">
        <f>IF(Purchase[[#This Row],[Status]]="Cancelled",0,Purchase[[#This Row],[Total Amount]])</f>
        <v>84535.2</v>
      </c>
      <c r="U957" s="146">
        <f>SUM(Purchase[Net Amount])</f>
        <v>814985438.68000126</v>
      </c>
    </row>
    <row r="958" spans="1:21" ht="19.5" thickBot="1" x14ac:dyDescent="0.3">
      <c r="A958" s="136" t="s">
        <v>1999</v>
      </c>
      <c r="B958" s="137">
        <v>45705</v>
      </c>
      <c r="C958" s="138" t="s">
        <v>578</v>
      </c>
      <c r="D958" s="138" t="str">
        <f>VLOOKUP(Purchase[[#This Row],[Supplier ID]],Supplier[#All],2,0)</f>
        <v>Shree Computers</v>
      </c>
      <c r="E958" s="138">
        <f>VLOOKUP(Purchase[[#This Row],[Supplier ID]],Supplier[#All],3,0)</f>
        <v>9689542462</v>
      </c>
      <c r="F958" s="138" t="str">
        <f>VLOOKUP(Purchase[[#This Row],[Supplier ID]],Supplier[#All],4,0)</f>
        <v>Korba</v>
      </c>
      <c r="G958" s="138" t="str">
        <f>VLOOKUP(Purchase[[#This Row],[Supplier ID]],Supplier[#All],5,0)</f>
        <v>CG</v>
      </c>
      <c r="H958" s="138" t="str">
        <f>VLOOKUP(Purchase[[#This Row],[Supplier ID]],Supplier[#All],6,0)</f>
        <v>GST2154521T024</v>
      </c>
      <c r="I958" s="138" t="s">
        <v>543</v>
      </c>
      <c r="J958" s="139">
        <v>2</v>
      </c>
      <c r="K958" s="143">
        <f>VLOOKUP(Purchase[[#This Row],[Product ID]],Product[#All],6,0)</f>
        <v>2136</v>
      </c>
      <c r="L958" s="143">
        <f>Purchase[[#This Row],[Purchase Rate]]*Purchase[[#This Row],[Qty]]</f>
        <v>4272</v>
      </c>
      <c r="M958" s="140">
        <v>0</v>
      </c>
      <c r="N958" s="143">
        <v>0</v>
      </c>
      <c r="O958" s="140">
        <v>0.18</v>
      </c>
      <c r="P958" s="145">
        <f>(Purchase[[#This Row],[Gross Amount]]-Purchase[[#This Row],[Disct %]])*Purchase[[#This Row],[GST %]]</f>
        <v>768.95999999999992</v>
      </c>
      <c r="Q958" s="145">
        <f>Purchase[[#This Row],[Gross Amount]]-Purchase[[#This Row],[Disct Amnt]]+Purchase[[#This Row],[GST Amount]]</f>
        <v>5040.96</v>
      </c>
      <c r="R958" s="138" t="s">
        <v>1019</v>
      </c>
      <c r="S958" s="41">
        <f>IF(Purchase[[#This Row],[Status]]="Cancelled",0,Purchase[[#This Row],[Qty]])</f>
        <v>2</v>
      </c>
      <c r="T958" s="146">
        <f>IF(Purchase[[#This Row],[Status]]="Cancelled",0,Purchase[[#This Row],[Total Amount]])</f>
        <v>5040.96</v>
      </c>
      <c r="U958" s="146">
        <f>SUM(Purchase[Net Amount])</f>
        <v>814985438.68000126</v>
      </c>
    </row>
    <row r="959" spans="1:21" ht="19.5" thickBot="1" x14ac:dyDescent="0.3">
      <c r="A959" s="136" t="s">
        <v>2000</v>
      </c>
      <c r="B959" s="137">
        <v>45705</v>
      </c>
      <c r="C959" s="138" t="s">
        <v>591</v>
      </c>
      <c r="D959" s="138" t="str">
        <f>VLOOKUP(Purchase[[#This Row],[Supplier ID]],Supplier[#All],2,0)</f>
        <v>Shree Computers</v>
      </c>
      <c r="E959" s="138">
        <f>VLOOKUP(Purchase[[#This Row],[Supplier ID]],Supplier[#All],3,0)</f>
        <v>9689542475</v>
      </c>
      <c r="F959" s="138" t="str">
        <f>VLOOKUP(Purchase[[#This Row],[Supplier ID]],Supplier[#All],4,0)</f>
        <v>Indore</v>
      </c>
      <c r="G959" s="138" t="str">
        <f>VLOOKUP(Purchase[[#This Row],[Supplier ID]],Supplier[#All],5,0)</f>
        <v>MP</v>
      </c>
      <c r="H959" s="138" t="str">
        <f>VLOOKUP(Purchase[[#This Row],[Supplier ID]],Supplier[#All],6,0)</f>
        <v>GST2154521T037</v>
      </c>
      <c r="I959" s="138" t="s">
        <v>504</v>
      </c>
      <c r="J959" s="139">
        <v>5</v>
      </c>
      <c r="K959" s="143">
        <f>VLOOKUP(Purchase[[#This Row],[Product ID]],Product[#All],6,0)</f>
        <v>3172</v>
      </c>
      <c r="L959" s="143">
        <f>Purchase[[#This Row],[Purchase Rate]]*Purchase[[#This Row],[Qty]]</f>
        <v>15860</v>
      </c>
      <c r="M959" s="140">
        <v>0</v>
      </c>
      <c r="N959" s="143">
        <v>0</v>
      </c>
      <c r="O959" s="140">
        <v>0.18</v>
      </c>
      <c r="P959" s="145">
        <f>(Purchase[[#This Row],[Gross Amount]]-Purchase[[#This Row],[Disct %]])*Purchase[[#This Row],[GST %]]</f>
        <v>2854.7999999999997</v>
      </c>
      <c r="Q959" s="145">
        <f>Purchase[[#This Row],[Gross Amount]]-Purchase[[#This Row],[Disct Amnt]]+Purchase[[#This Row],[GST Amount]]</f>
        <v>18714.8</v>
      </c>
      <c r="R959" s="138" t="s">
        <v>1019</v>
      </c>
      <c r="S959" s="41">
        <f>IF(Purchase[[#This Row],[Status]]="Cancelled",0,Purchase[[#This Row],[Qty]])</f>
        <v>5</v>
      </c>
      <c r="T959" s="146">
        <f>IF(Purchase[[#This Row],[Status]]="Cancelled",0,Purchase[[#This Row],[Total Amount]])</f>
        <v>18714.8</v>
      </c>
      <c r="U959" s="146">
        <f>SUM(Purchase[Net Amount])</f>
        <v>814985438.68000126</v>
      </c>
    </row>
    <row r="960" spans="1:21" ht="19.5" thickBot="1" x14ac:dyDescent="0.3">
      <c r="A960" s="136" t="s">
        <v>2001</v>
      </c>
      <c r="B960" s="137">
        <v>45705</v>
      </c>
      <c r="C960" s="138" t="s">
        <v>567</v>
      </c>
      <c r="D960" s="138" t="str">
        <f>VLOOKUP(Purchase[[#This Row],[Supplier ID]],Supplier[#All],2,0)</f>
        <v>National Distributors</v>
      </c>
      <c r="E960" s="138">
        <f>VLOOKUP(Purchase[[#This Row],[Supplier ID]],Supplier[#All],3,0)</f>
        <v>9689542453</v>
      </c>
      <c r="F960" s="138" t="str">
        <f>VLOOKUP(Purchase[[#This Row],[Supplier ID]],Supplier[#All],4,0)</f>
        <v>Korba</v>
      </c>
      <c r="G960" s="138" t="str">
        <f>VLOOKUP(Purchase[[#This Row],[Supplier ID]],Supplier[#All],5,0)</f>
        <v>CG</v>
      </c>
      <c r="H960" s="138" t="str">
        <f>VLOOKUP(Purchase[[#This Row],[Supplier ID]],Supplier[#All],6,0)</f>
        <v>GST2154521T015</v>
      </c>
      <c r="I960" s="138" t="s">
        <v>547</v>
      </c>
      <c r="J960" s="139">
        <v>30</v>
      </c>
      <c r="K960" s="143">
        <f>VLOOKUP(Purchase[[#This Row],[Product ID]],Product[#All],6,0)</f>
        <v>28107</v>
      </c>
      <c r="L960" s="143">
        <f>Purchase[[#This Row],[Purchase Rate]]*Purchase[[#This Row],[Qty]]</f>
        <v>843210</v>
      </c>
      <c r="M960" s="140">
        <v>0</v>
      </c>
      <c r="N960" s="143">
        <v>0</v>
      </c>
      <c r="O960" s="140">
        <v>0.18</v>
      </c>
      <c r="P960" s="145">
        <f>(Purchase[[#This Row],[Gross Amount]]-Purchase[[#This Row],[Disct %]])*Purchase[[#This Row],[GST %]]</f>
        <v>151777.79999999999</v>
      </c>
      <c r="Q960" s="145">
        <f>Purchase[[#This Row],[Gross Amount]]-Purchase[[#This Row],[Disct Amnt]]+Purchase[[#This Row],[GST Amount]]</f>
        <v>994987.8</v>
      </c>
      <c r="R960" s="138" t="s">
        <v>1019</v>
      </c>
      <c r="S960" s="41">
        <f>IF(Purchase[[#This Row],[Status]]="Cancelled",0,Purchase[[#This Row],[Qty]])</f>
        <v>30</v>
      </c>
      <c r="T960" s="146">
        <f>IF(Purchase[[#This Row],[Status]]="Cancelled",0,Purchase[[#This Row],[Total Amount]])</f>
        <v>994987.8</v>
      </c>
      <c r="U960" s="146">
        <f>SUM(Purchase[Net Amount])</f>
        <v>814985438.68000126</v>
      </c>
    </row>
    <row r="961" spans="1:21" ht="19.5" thickBot="1" x14ac:dyDescent="0.3">
      <c r="A961" s="136" t="s">
        <v>2002</v>
      </c>
      <c r="B961" s="137">
        <v>45705</v>
      </c>
      <c r="C961" s="138" t="s">
        <v>583</v>
      </c>
      <c r="D961" s="138" t="str">
        <f>VLOOKUP(Purchase[[#This Row],[Supplier ID]],Supplier[#All],2,0)</f>
        <v>Shree Distributors</v>
      </c>
      <c r="E961" s="138">
        <f>VLOOKUP(Purchase[[#This Row],[Supplier ID]],Supplier[#All],3,0)</f>
        <v>9689542467</v>
      </c>
      <c r="F961" s="138" t="str">
        <f>VLOOKUP(Purchase[[#This Row],[Supplier ID]],Supplier[#All],4,0)</f>
        <v>Indore</v>
      </c>
      <c r="G961" s="138" t="str">
        <f>VLOOKUP(Purchase[[#This Row],[Supplier ID]],Supplier[#All],5,0)</f>
        <v>MP</v>
      </c>
      <c r="H961" s="138" t="str">
        <f>VLOOKUP(Purchase[[#This Row],[Supplier ID]],Supplier[#All],6,0)</f>
        <v>GST2154521T029</v>
      </c>
      <c r="I961" s="138" t="s">
        <v>126</v>
      </c>
      <c r="J961" s="139">
        <v>9</v>
      </c>
      <c r="K961" s="143">
        <f>VLOOKUP(Purchase[[#This Row],[Product ID]],Product[#All],6,0)</f>
        <v>19380</v>
      </c>
      <c r="L961" s="143">
        <f>Purchase[[#This Row],[Purchase Rate]]*Purchase[[#This Row],[Qty]]</f>
        <v>174420</v>
      </c>
      <c r="M961" s="140">
        <v>0</v>
      </c>
      <c r="N961" s="143">
        <v>0</v>
      </c>
      <c r="O961" s="140">
        <v>0.18</v>
      </c>
      <c r="P961" s="145">
        <f>(Purchase[[#This Row],[Gross Amount]]-Purchase[[#This Row],[Disct %]])*Purchase[[#This Row],[GST %]]</f>
        <v>31395.599999999999</v>
      </c>
      <c r="Q961" s="145">
        <f>Purchase[[#This Row],[Gross Amount]]-Purchase[[#This Row],[Disct Amnt]]+Purchase[[#This Row],[GST Amount]]</f>
        <v>205815.6</v>
      </c>
      <c r="R961" s="138" t="s">
        <v>1040</v>
      </c>
      <c r="S961" s="41">
        <f>IF(Purchase[[#This Row],[Status]]="Cancelled",0,Purchase[[#This Row],[Qty]])</f>
        <v>0</v>
      </c>
      <c r="T961" s="146">
        <f>IF(Purchase[[#This Row],[Status]]="Cancelled",0,Purchase[[#This Row],[Total Amount]])</f>
        <v>0</v>
      </c>
      <c r="U961" s="146">
        <f>SUM(Purchase[Net Amount])</f>
        <v>814985438.68000126</v>
      </c>
    </row>
    <row r="962" spans="1:21" ht="19.5" thickBot="1" x14ac:dyDescent="0.3">
      <c r="A962" s="136" t="s">
        <v>2003</v>
      </c>
      <c r="B962" s="137">
        <v>45705</v>
      </c>
      <c r="C962" s="138" t="s">
        <v>590</v>
      </c>
      <c r="D962" s="138" t="str">
        <f>VLOOKUP(Purchase[[#This Row],[Supplier ID]],Supplier[#All],2,0)</f>
        <v>Star Distributors</v>
      </c>
      <c r="E962" s="138">
        <f>VLOOKUP(Purchase[[#This Row],[Supplier ID]],Supplier[#All],3,0)</f>
        <v>9689542474</v>
      </c>
      <c r="F962" s="138" t="str">
        <f>VLOOKUP(Purchase[[#This Row],[Supplier ID]],Supplier[#All],4,0)</f>
        <v>Kanpur</v>
      </c>
      <c r="G962" s="138" t="str">
        <f>VLOOKUP(Purchase[[#This Row],[Supplier ID]],Supplier[#All],5,0)</f>
        <v>UP</v>
      </c>
      <c r="H962" s="138" t="str">
        <f>VLOOKUP(Purchase[[#This Row],[Supplier ID]],Supplier[#All],6,0)</f>
        <v>GST2154521T036</v>
      </c>
      <c r="I962" s="138" t="s">
        <v>515</v>
      </c>
      <c r="J962" s="139">
        <v>26</v>
      </c>
      <c r="K962" s="143">
        <f>VLOOKUP(Purchase[[#This Row],[Product ID]],Product[#All],6,0)</f>
        <v>2141</v>
      </c>
      <c r="L962" s="143">
        <f>Purchase[[#This Row],[Purchase Rate]]*Purchase[[#This Row],[Qty]]</f>
        <v>55666</v>
      </c>
      <c r="M962" s="140">
        <v>0</v>
      </c>
      <c r="N962" s="143">
        <v>0</v>
      </c>
      <c r="O962" s="140">
        <v>0.18</v>
      </c>
      <c r="P962" s="145">
        <f>(Purchase[[#This Row],[Gross Amount]]-Purchase[[#This Row],[Disct %]])*Purchase[[#This Row],[GST %]]</f>
        <v>10019.879999999999</v>
      </c>
      <c r="Q962" s="145">
        <f>Purchase[[#This Row],[Gross Amount]]-Purchase[[#This Row],[Disct Amnt]]+Purchase[[#This Row],[GST Amount]]</f>
        <v>65685.88</v>
      </c>
      <c r="R962" s="138" t="s">
        <v>1019</v>
      </c>
      <c r="S962" s="41">
        <f>IF(Purchase[[#This Row],[Status]]="Cancelled",0,Purchase[[#This Row],[Qty]])</f>
        <v>26</v>
      </c>
      <c r="T962" s="146">
        <f>IF(Purchase[[#This Row],[Status]]="Cancelled",0,Purchase[[#This Row],[Total Amount]])</f>
        <v>65685.88</v>
      </c>
      <c r="U962" s="146">
        <f>SUM(Purchase[Net Amount])</f>
        <v>814985438.68000126</v>
      </c>
    </row>
    <row r="963" spans="1:21" ht="19.5" thickBot="1" x14ac:dyDescent="0.3">
      <c r="A963" s="136" t="s">
        <v>2004</v>
      </c>
      <c r="B963" s="137">
        <v>45705</v>
      </c>
      <c r="C963" s="138" t="s">
        <v>598</v>
      </c>
      <c r="D963" s="138" t="str">
        <f>VLOOKUP(Purchase[[#This Row],[Supplier ID]],Supplier[#All],2,0)</f>
        <v>National Distributors</v>
      </c>
      <c r="E963" s="138">
        <f>VLOOKUP(Purchase[[#This Row],[Supplier ID]],Supplier[#All],3,0)</f>
        <v>9689542489</v>
      </c>
      <c r="F963" s="138" t="str">
        <f>VLOOKUP(Purchase[[#This Row],[Supplier ID]],Supplier[#All],4,0)</f>
        <v>Indore</v>
      </c>
      <c r="G963" s="138" t="str">
        <f>VLOOKUP(Purchase[[#This Row],[Supplier ID]],Supplier[#All],5,0)</f>
        <v>MP</v>
      </c>
      <c r="H963" s="138" t="str">
        <f>VLOOKUP(Purchase[[#This Row],[Supplier ID]],Supplier[#All],6,0)</f>
        <v>GST2154521T043</v>
      </c>
      <c r="I963" s="138" t="s">
        <v>247</v>
      </c>
      <c r="J963" s="139">
        <v>10</v>
      </c>
      <c r="K963" s="143">
        <f>VLOOKUP(Purchase[[#This Row],[Product ID]],Product[#All],6,0)</f>
        <v>57779</v>
      </c>
      <c r="L963" s="143">
        <f>Purchase[[#This Row],[Purchase Rate]]*Purchase[[#This Row],[Qty]]</f>
        <v>577790</v>
      </c>
      <c r="M963" s="140">
        <v>0</v>
      </c>
      <c r="N963" s="143">
        <v>0</v>
      </c>
      <c r="O963" s="140">
        <v>0.18</v>
      </c>
      <c r="P963" s="145">
        <f>(Purchase[[#This Row],[Gross Amount]]-Purchase[[#This Row],[Disct %]])*Purchase[[#This Row],[GST %]]</f>
        <v>104002.2</v>
      </c>
      <c r="Q963" s="145">
        <f>Purchase[[#This Row],[Gross Amount]]-Purchase[[#This Row],[Disct Amnt]]+Purchase[[#This Row],[GST Amount]]</f>
        <v>681792.2</v>
      </c>
      <c r="R963" s="138" t="s">
        <v>1019</v>
      </c>
      <c r="S963" s="41">
        <f>IF(Purchase[[#This Row],[Status]]="Cancelled",0,Purchase[[#This Row],[Qty]])</f>
        <v>10</v>
      </c>
      <c r="T963" s="146">
        <f>IF(Purchase[[#This Row],[Status]]="Cancelled",0,Purchase[[#This Row],[Total Amount]])</f>
        <v>681792.2</v>
      </c>
      <c r="U963" s="146">
        <f>SUM(Purchase[Net Amount])</f>
        <v>814985438.68000126</v>
      </c>
    </row>
    <row r="964" spans="1:21" ht="19.5" thickBot="1" x14ac:dyDescent="0.3">
      <c r="A964" s="136" t="s">
        <v>2005</v>
      </c>
      <c r="B964" s="137">
        <v>45705</v>
      </c>
      <c r="C964" s="138" t="s">
        <v>601</v>
      </c>
      <c r="D964" s="138" t="str">
        <f>VLOOKUP(Purchase[[#This Row],[Supplier ID]],Supplier[#All],2,0)</f>
        <v>Maa Distributors</v>
      </c>
      <c r="E964" s="138">
        <f>VLOOKUP(Purchase[[#This Row],[Supplier ID]],Supplier[#All],3,0)</f>
        <v>9689542484</v>
      </c>
      <c r="F964" s="138" t="str">
        <f>VLOOKUP(Purchase[[#This Row],[Supplier ID]],Supplier[#All],4,0)</f>
        <v>Indore</v>
      </c>
      <c r="G964" s="138" t="str">
        <f>VLOOKUP(Purchase[[#This Row],[Supplier ID]],Supplier[#All],5,0)</f>
        <v>MP</v>
      </c>
      <c r="H964" s="138" t="str">
        <f>VLOOKUP(Purchase[[#This Row],[Supplier ID]],Supplier[#All],6,0)</f>
        <v>GST2154521T046</v>
      </c>
      <c r="I964" s="138" t="s">
        <v>115</v>
      </c>
      <c r="J964" s="139">
        <v>19</v>
      </c>
      <c r="K964" s="143">
        <f>VLOOKUP(Purchase[[#This Row],[Product ID]],Product[#All],6,0)</f>
        <v>1444</v>
      </c>
      <c r="L964" s="143">
        <f>Purchase[[#This Row],[Purchase Rate]]*Purchase[[#This Row],[Qty]]</f>
        <v>27436</v>
      </c>
      <c r="M964" s="140">
        <v>0</v>
      </c>
      <c r="N964" s="143">
        <v>0</v>
      </c>
      <c r="O964" s="140">
        <v>0.18</v>
      </c>
      <c r="P964" s="145">
        <f>(Purchase[[#This Row],[Gross Amount]]-Purchase[[#This Row],[Disct %]])*Purchase[[#This Row],[GST %]]</f>
        <v>4938.4799999999996</v>
      </c>
      <c r="Q964" s="145">
        <f>Purchase[[#This Row],[Gross Amount]]-Purchase[[#This Row],[Disct Amnt]]+Purchase[[#This Row],[GST Amount]]</f>
        <v>32374.48</v>
      </c>
      <c r="R964" s="138" t="s">
        <v>1019</v>
      </c>
      <c r="S964" s="41">
        <f>IF(Purchase[[#This Row],[Status]]="Cancelled",0,Purchase[[#This Row],[Qty]])</f>
        <v>19</v>
      </c>
      <c r="T964" s="146">
        <f>IF(Purchase[[#This Row],[Status]]="Cancelled",0,Purchase[[#This Row],[Total Amount]])</f>
        <v>32374.48</v>
      </c>
      <c r="U964" s="146">
        <f>SUM(Purchase[Net Amount])</f>
        <v>814985438.68000126</v>
      </c>
    </row>
    <row r="965" spans="1:21" ht="19.5" thickBot="1" x14ac:dyDescent="0.3">
      <c r="A965" s="136" t="s">
        <v>2006</v>
      </c>
      <c r="B965" s="137">
        <v>45705</v>
      </c>
      <c r="C965" s="138" t="s">
        <v>591</v>
      </c>
      <c r="D965" s="138" t="str">
        <f>VLOOKUP(Purchase[[#This Row],[Supplier ID]],Supplier[#All],2,0)</f>
        <v>Shree Computers</v>
      </c>
      <c r="E965" s="138">
        <f>VLOOKUP(Purchase[[#This Row],[Supplier ID]],Supplier[#All],3,0)</f>
        <v>9689542475</v>
      </c>
      <c r="F965" s="138" t="str">
        <f>VLOOKUP(Purchase[[#This Row],[Supplier ID]],Supplier[#All],4,0)</f>
        <v>Indore</v>
      </c>
      <c r="G965" s="138" t="str">
        <f>VLOOKUP(Purchase[[#This Row],[Supplier ID]],Supplier[#All],5,0)</f>
        <v>MP</v>
      </c>
      <c r="H965" s="138" t="str">
        <f>VLOOKUP(Purchase[[#This Row],[Supplier ID]],Supplier[#All],6,0)</f>
        <v>GST2154521T037</v>
      </c>
      <c r="I965" s="138" t="s">
        <v>72</v>
      </c>
      <c r="J965" s="139">
        <v>22</v>
      </c>
      <c r="K965" s="143">
        <f>VLOOKUP(Purchase[[#This Row],[Product ID]],Product[#All],6,0)</f>
        <v>1000</v>
      </c>
      <c r="L965" s="143">
        <f>Purchase[[#This Row],[Purchase Rate]]*Purchase[[#This Row],[Qty]]</f>
        <v>22000</v>
      </c>
      <c r="M965" s="140">
        <v>0</v>
      </c>
      <c r="N965" s="143">
        <v>0</v>
      </c>
      <c r="O965" s="140">
        <v>0.18</v>
      </c>
      <c r="P965" s="145">
        <f>(Purchase[[#This Row],[Gross Amount]]-Purchase[[#This Row],[Disct %]])*Purchase[[#This Row],[GST %]]</f>
        <v>3960</v>
      </c>
      <c r="Q965" s="145">
        <f>Purchase[[#This Row],[Gross Amount]]-Purchase[[#This Row],[Disct Amnt]]+Purchase[[#This Row],[GST Amount]]</f>
        <v>25960</v>
      </c>
      <c r="R965" s="138" t="s">
        <v>1019</v>
      </c>
      <c r="S965" s="41">
        <f>IF(Purchase[[#This Row],[Status]]="Cancelled",0,Purchase[[#This Row],[Qty]])</f>
        <v>22</v>
      </c>
      <c r="T965" s="146">
        <f>IF(Purchase[[#This Row],[Status]]="Cancelled",0,Purchase[[#This Row],[Total Amount]])</f>
        <v>25960</v>
      </c>
      <c r="U965" s="146">
        <f>SUM(Purchase[Net Amount])</f>
        <v>814985438.68000126</v>
      </c>
    </row>
    <row r="966" spans="1:21" ht="19.5" thickBot="1" x14ac:dyDescent="0.3">
      <c r="A966" s="136" t="s">
        <v>2007</v>
      </c>
      <c r="B966" s="137">
        <v>45705</v>
      </c>
      <c r="C966" s="138" t="s">
        <v>578</v>
      </c>
      <c r="D966" s="138" t="str">
        <f>VLOOKUP(Purchase[[#This Row],[Supplier ID]],Supplier[#All],2,0)</f>
        <v>Shree Computers</v>
      </c>
      <c r="E966" s="138">
        <f>VLOOKUP(Purchase[[#This Row],[Supplier ID]],Supplier[#All],3,0)</f>
        <v>9689542462</v>
      </c>
      <c r="F966" s="138" t="str">
        <f>VLOOKUP(Purchase[[#This Row],[Supplier ID]],Supplier[#All],4,0)</f>
        <v>Korba</v>
      </c>
      <c r="G966" s="138" t="str">
        <f>VLOOKUP(Purchase[[#This Row],[Supplier ID]],Supplier[#All],5,0)</f>
        <v>CG</v>
      </c>
      <c r="H966" s="138" t="str">
        <f>VLOOKUP(Purchase[[#This Row],[Supplier ID]],Supplier[#All],6,0)</f>
        <v>GST2154521T024</v>
      </c>
      <c r="I966" s="138" t="s">
        <v>424</v>
      </c>
      <c r="J966" s="139">
        <v>31</v>
      </c>
      <c r="K966" s="143">
        <f>VLOOKUP(Purchase[[#This Row],[Product ID]],Product[#All],6,0)</f>
        <v>598</v>
      </c>
      <c r="L966" s="143">
        <f>Purchase[[#This Row],[Purchase Rate]]*Purchase[[#This Row],[Qty]]</f>
        <v>18538</v>
      </c>
      <c r="M966" s="140">
        <v>0</v>
      </c>
      <c r="N966" s="143">
        <v>0</v>
      </c>
      <c r="O966" s="140">
        <v>0.18</v>
      </c>
      <c r="P966" s="145">
        <f>(Purchase[[#This Row],[Gross Amount]]-Purchase[[#This Row],[Disct %]])*Purchase[[#This Row],[GST %]]</f>
        <v>3336.8399999999997</v>
      </c>
      <c r="Q966" s="145">
        <f>Purchase[[#This Row],[Gross Amount]]-Purchase[[#This Row],[Disct Amnt]]+Purchase[[#This Row],[GST Amount]]</f>
        <v>21874.84</v>
      </c>
      <c r="R966" s="138" t="s">
        <v>1019</v>
      </c>
      <c r="S966" s="41">
        <f>IF(Purchase[[#This Row],[Status]]="Cancelled",0,Purchase[[#This Row],[Qty]])</f>
        <v>31</v>
      </c>
      <c r="T966" s="146">
        <f>IF(Purchase[[#This Row],[Status]]="Cancelled",0,Purchase[[#This Row],[Total Amount]])</f>
        <v>21874.84</v>
      </c>
      <c r="U966" s="146">
        <f>SUM(Purchase[Net Amount])</f>
        <v>814985438.68000126</v>
      </c>
    </row>
    <row r="967" spans="1:21" ht="19.5" thickBot="1" x14ac:dyDescent="0.3">
      <c r="A967" s="136" t="s">
        <v>2008</v>
      </c>
      <c r="B967" s="137">
        <v>45705</v>
      </c>
      <c r="C967" s="138" t="s">
        <v>582</v>
      </c>
      <c r="D967" s="138" t="str">
        <f>VLOOKUP(Purchase[[#This Row],[Supplier ID]],Supplier[#All],2,0)</f>
        <v>Tech Distributors</v>
      </c>
      <c r="E967" s="138">
        <f>VLOOKUP(Purchase[[#This Row],[Supplier ID]],Supplier[#All],3,0)</f>
        <v>9689542466</v>
      </c>
      <c r="F967" s="138" t="str">
        <f>VLOOKUP(Purchase[[#This Row],[Supplier ID]],Supplier[#All],4,0)</f>
        <v>Indore</v>
      </c>
      <c r="G967" s="138" t="str">
        <f>VLOOKUP(Purchase[[#This Row],[Supplier ID]],Supplier[#All],5,0)</f>
        <v>MP</v>
      </c>
      <c r="H967" s="138" t="str">
        <f>VLOOKUP(Purchase[[#This Row],[Supplier ID]],Supplier[#All],6,0)</f>
        <v>GST2154521T028</v>
      </c>
      <c r="I967" s="138" t="s">
        <v>529</v>
      </c>
      <c r="J967" s="139">
        <v>20</v>
      </c>
      <c r="K967" s="143">
        <f>VLOOKUP(Purchase[[#This Row],[Product ID]],Product[#All],6,0)</f>
        <v>2878</v>
      </c>
      <c r="L967" s="143">
        <f>Purchase[[#This Row],[Purchase Rate]]*Purchase[[#This Row],[Qty]]</f>
        <v>57560</v>
      </c>
      <c r="M967" s="140">
        <v>0</v>
      </c>
      <c r="N967" s="143">
        <v>0</v>
      </c>
      <c r="O967" s="140">
        <v>0.18</v>
      </c>
      <c r="P967" s="145">
        <f>(Purchase[[#This Row],[Gross Amount]]-Purchase[[#This Row],[Disct %]])*Purchase[[#This Row],[GST %]]</f>
        <v>10360.799999999999</v>
      </c>
      <c r="Q967" s="145">
        <f>Purchase[[#This Row],[Gross Amount]]-Purchase[[#This Row],[Disct Amnt]]+Purchase[[#This Row],[GST Amount]]</f>
        <v>67920.800000000003</v>
      </c>
      <c r="R967" s="138" t="s">
        <v>1019</v>
      </c>
      <c r="S967" s="41">
        <f>IF(Purchase[[#This Row],[Status]]="Cancelled",0,Purchase[[#This Row],[Qty]])</f>
        <v>20</v>
      </c>
      <c r="T967" s="146">
        <f>IF(Purchase[[#This Row],[Status]]="Cancelled",0,Purchase[[#This Row],[Total Amount]])</f>
        <v>67920.800000000003</v>
      </c>
      <c r="U967" s="146">
        <f>SUM(Purchase[Net Amount])</f>
        <v>814985438.68000126</v>
      </c>
    </row>
    <row r="968" spans="1:21" ht="19.5" thickBot="1" x14ac:dyDescent="0.3">
      <c r="A968" s="136" t="s">
        <v>2009</v>
      </c>
      <c r="B968" s="137">
        <v>45705</v>
      </c>
      <c r="C968" s="138" t="s">
        <v>581</v>
      </c>
      <c r="D968" s="138" t="str">
        <f>VLOOKUP(Purchase[[#This Row],[Supplier ID]],Supplier[#All],2,0)</f>
        <v>Prime Electronics</v>
      </c>
      <c r="E968" s="138">
        <f>VLOOKUP(Purchase[[#This Row],[Supplier ID]],Supplier[#All],3,0)</f>
        <v>9689542465</v>
      </c>
      <c r="F968" s="138" t="str">
        <f>VLOOKUP(Purchase[[#This Row],[Supplier ID]],Supplier[#All],4,0)</f>
        <v>Korba</v>
      </c>
      <c r="G968" s="138" t="str">
        <f>VLOOKUP(Purchase[[#This Row],[Supplier ID]],Supplier[#All],5,0)</f>
        <v>CG</v>
      </c>
      <c r="H968" s="138" t="str">
        <f>VLOOKUP(Purchase[[#This Row],[Supplier ID]],Supplier[#All],6,0)</f>
        <v>GST2154521T027</v>
      </c>
      <c r="I968" s="138" t="s">
        <v>252</v>
      </c>
      <c r="J968" s="139">
        <v>18</v>
      </c>
      <c r="K968" s="143">
        <f>VLOOKUP(Purchase[[#This Row],[Product ID]],Product[#All],6,0)</f>
        <v>47932</v>
      </c>
      <c r="L968" s="143">
        <f>Purchase[[#This Row],[Purchase Rate]]*Purchase[[#This Row],[Qty]]</f>
        <v>862776</v>
      </c>
      <c r="M968" s="140">
        <v>0</v>
      </c>
      <c r="N968" s="143">
        <v>0</v>
      </c>
      <c r="O968" s="140">
        <v>0.18</v>
      </c>
      <c r="P968" s="145">
        <f>(Purchase[[#This Row],[Gross Amount]]-Purchase[[#This Row],[Disct %]])*Purchase[[#This Row],[GST %]]</f>
        <v>155299.68</v>
      </c>
      <c r="Q968" s="145">
        <f>Purchase[[#This Row],[Gross Amount]]-Purchase[[#This Row],[Disct Amnt]]+Purchase[[#This Row],[GST Amount]]</f>
        <v>1018075.6799999999</v>
      </c>
      <c r="R968" s="138" t="s">
        <v>1019</v>
      </c>
      <c r="S968" s="41">
        <f>IF(Purchase[[#This Row],[Status]]="Cancelled",0,Purchase[[#This Row],[Qty]])</f>
        <v>18</v>
      </c>
      <c r="T968" s="146">
        <f>IF(Purchase[[#This Row],[Status]]="Cancelled",0,Purchase[[#This Row],[Total Amount]])</f>
        <v>1018075.6799999999</v>
      </c>
      <c r="U968" s="146">
        <f>SUM(Purchase[Net Amount])</f>
        <v>814985438.68000126</v>
      </c>
    </row>
    <row r="969" spans="1:21" ht="19.5" thickBot="1" x14ac:dyDescent="0.3">
      <c r="A969" s="136" t="s">
        <v>2010</v>
      </c>
      <c r="B969" s="137">
        <v>45705</v>
      </c>
      <c r="C969" s="138" t="s">
        <v>575</v>
      </c>
      <c r="D969" s="138" t="str">
        <f>VLOOKUP(Purchase[[#This Row],[Supplier ID]],Supplier[#All],2,0)</f>
        <v>Global Computers</v>
      </c>
      <c r="E969" s="138">
        <f>VLOOKUP(Purchase[[#This Row],[Supplier ID]],Supplier[#All],3,0)</f>
        <v>9689542459</v>
      </c>
      <c r="F969" s="138" t="str">
        <f>VLOOKUP(Purchase[[#This Row],[Supplier ID]],Supplier[#All],4,0)</f>
        <v>Indore</v>
      </c>
      <c r="G969" s="138" t="str">
        <f>VLOOKUP(Purchase[[#This Row],[Supplier ID]],Supplier[#All],5,0)</f>
        <v>MP</v>
      </c>
      <c r="H969" s="138" t="str">
        <f>VLOOKUP(Purchase[[#This Row],[Supplier ID]],Supplier[#All],6,0)</f>
        <v>GST2154521T021</v>
      </c>
      <c r="I969" s="138" t="s">
        <v>428</v>
      </c>
      <c r="J969" s="139">
        <v>11</v>
      </c>
      <c r="K969" s="143">
        <f>VLOOKUP(Purchase[[#This Row],[Product ID]],Product[#All],6,0)</f>
        <v>6736</v>
      </c>
      <c r="L969" s="143">
        <f>Purchase[[#This Row],[Purchase Rate]]*Purchase[[#This Row],[Qty]]</f>
        <v>74096</v>
      </c>
      <c r="M969" s="140">
        <v>0</v>
      </c>
      <c r="N969" s="143">
        <v>0</v>
      </c>
      <c r="O969" s="140">
        <v>0.18</v>
      </c>
      <c r="P969" s="145">
        <f>(Purchase[[#This Row],[Gross Amount]]-Purchase[[#This Row],[Disct %]])*Purchase[[#This Row],[GST %]]</f>
        <v>13337.279999999999</v>
      </c>
      <c r="Q969" s="145">
        <f>Purchase[[#This Row],[Gross Amount]]-Purchase[[#This Row],[Disct Amnt]]+Purchase[[#This Row],[GST Amount]]</f>
        <v>87433.279999999999</v>
      </c>
      <c r="R969" s="138" t="s">
        <v>1019</v>
      </c>
      <c r="S969" s="41">
        <f>IF(Purchase[[#This Row],[Status]]="Cancelled",0,Purchase[[#This Row],[Qty]])</f>
        <v>11</v>
      </c>
      <c r="T969" s="146">
        <f>IF(Purchase[[#This Row],[Status]]="Cancelled",0,Purchase[[#This Row],[Total Amount]])</f>
        <v>87433.279999999999</v>
      </c>
      <c r="U969" s="146">
        <f>SUM(Purchase[Net Amount])</f>
        <v>814985438.68000126</v>
      </c>
    </row>
    <row r="970" spans="1:21" ht="19.5" thickBot="1" x14ac:dyDescent="0.3">
      <c r="A970" s="136" t="s">
        <v>2011</v>
      </c>
      <c r="B970" s="137">
        <v>45705</v>
      </c>
      <c r="C970" s="138" t="s">
        <v>586</v>
      </c>
      <c r="D970" s="138" t="str">
        <f>VLOOKUP(Purchase[[#This Row],[Supplier ID]],Supplier[#All],2,0)</f>
        <v>Maa Traders</v>
      </c>
      <c r="E970" s="138">
        <f>VLOOKUP(Purchase[[#This Row],[Supplier ID]],Supplier[#All],3,0)</f>
        <v>9689542470</v>
      </c>
      <c r="F970" s="138" t="str">
        <f>VLOOKUP(Purchase[[#This Row],[Supplier ID]],Supplier[#All],4,0)</f>
        <v>Kanpur</v>
      </c>
      <c r="G970" s="138" t="str">
        <f>VLOOKUP(Purchase[[#This Row],[Supplier ID]],Supplier[#All],5,0)</f>
        <v>UP</v>
      </c>
      <c r="H970" s="138" t="str">
        <f>VLOOKUP(Purchase[[#This Row],[Supplier ID]],Supplier[#All],6,0)</f>
        <v>GST2154521T032</v>
      </c>
      <c r="I970" s="138" t="s">
        <v>492</v>
      </c>
      <c r="J970" s="139">
        <v>31</v>
      </c>
      <c r="K970" s="143">
        <f>VLOOKUP(Purchase[[#This Row],[Product ID]],Product[#All],6,0)</f>
        <v>11090</v>
      </c>
      <c r="L970" s="143">
        <f>Purchase[[#This Row],[Purchase Rate]]*Purchase[[#This Row],[Qty]]</f>
        <v>343790</v>
      </c>
      <c r="M970" s="140">
        <v>0</v>
      </c>
      <c r="N970" s="143">
        <v>0</v>
      </c>
      <c r="O970" s="140">
        <v>0.18</v>
      </c>
      <c r="P970" s="145">
        <f>(Purchase[[#This Row],[Gross Amount]]-Purchase[[#This Row],[Disct %]])*Purchase[[#This Row],[GST %]]</f>
        <v>61882.2</v>
      </c>
      <c r="Q970" s="145">
        <f>Purchase[[#This Row],[Gross Amount]]-Purchase[[#This Row],[Disct Amnt]]+Purchase[[#This Row],[GST Amount]]</f>
        <v>405672.2</v>
      </c>
      <c r="R970" s="138" t="s">
        <v>1019</v>
      </c>
      <c r="S970" s="41">
        <f>IF(Purchase[[#This Row],[Status]]="Cancelled",0,Purchase[[#This Row],[Qty]])</f>
        <v>31</v>
      </c>
      <c r="T970" s="146">
        <f>IF(Purchase[[#This Row],[Status]]="Cancelled",0,Purchase[[#This Row],[Total Amount]])</f>
        <v>405672.2</v>
      </c>
      <c r="U970" s="146">
        <f>SUM(Purchase[Net Amount])</f>
        <v>814985438.68000126</v>
      </c>
    </row>
    <row r="971" spans="1:21" ht="19.5" thickBot="1" x14ac:dyDescent="0.3">
      <c r="A971" s="136" t="s">
        <v>2012</v>
      </c>
      <c r="B971" s="137">
        <v>45706</v>
      </c>
      <c r="C971" s="138" t="s">
        <v>593</v>
      </c>
      <c r="D971" s="138" t="str">
        <f>VLOOKUP(Purchase[[#This Row],[Supplier ID]],Supplier[#All],2,0)</f>
        <v>Global Suppliers</v>
      </c>
      <c r="E971" s="138">
        <f>VLOOKUP(Purchase[[#This Row],[Supplier ID]],Supplier[#All],3,0)</f>
        <v>9689542476</v>
      </c>
      <c r="F971" s="138" t="str">
        <f>VLOOKUP(Purchase[[#This Row],[Supplier ID]],Supplier[#All],4,0)</f>
        <v>Korba</v>
      </c>
      <c r="G971" s="138" t="str">
        <f>VLOOKUP(Purchase[[#This Row],[Supplier ID]],Supplier[#All],5,0)</f>
        <v>CG</v>
      </c>
      <c r="H971" s="138" t="str">
        <f>VLOOKUP(Purchase[[#This Row],[Supplier ID]],Supplier[#All],6,0)</f>
        <v>GST2154521T038</v>
      </c>
      <c r="I971" s="138" t="s">
        <v>464</v>
      </c>
      <c r="J971" s="139">
        <v>38</v>
      </c>
      <c r="K971" s="143">
        <f>VLOOKUP(Purchase[[#This Row],[Product ID]],Product[#All],6,0)</f>
        <v>22348</v>
      </c>
      <c r="L971" s="143">
        <f>Purchase[[#This Row],[Purchase Rate]]*Purchase[[#This Row],[Qty]]</f>
        <v>849224</v>
      </c>
      <c r="M971" s="140">
        <v>0</v>
      </c>
      <c r="N971" s="143">
        <v>0</v>
      </c>
      <c r="O971" s="140">
        <v>0.18</v>
      </c>
      <c r="P971" s="145">
        <f>(Purchase[[#This Row],[Gross Amount]]-Purchase[[#This Row],[Disct %]])*Purchase[[#This Row],[GST %]]</f>
        <v>152860.32</v>
      </c>
      <c r="Q971" s="145">
        <f>Purchase[[#This Row],[Gross Amount]]-Purchase[[#This Row],[Disct Amnt]]+Purchase[[#This Row],[GST Amount]]</f>
        <v>1002084.3200000001</v>
      </c>
      <c r="R971" s="138" t="s">
        <v>1040</v>
      </c>
      <c r="S971" s="41">
        <f>IF(Purchase[[#This Row],[Status]]="Cancelled",0,Purchase[[#This Row],[Qty]])</f>
        <v>0</v>
      </c>
      <c r="T971" s="146">
        <f>IF(Purchase[[#This Row],[Status]]="Cancelled",0,Purchase[[#This Row],[Total Amount]])</f>
        <v>0</v>
      </c>
      <c r="U971" s="146">
        <f>SUM(Purchase[Net Amount])</f>
        <v>814985438.68000126</v>
      </c>
    </row>
    <row r="972" spans="1:21" ht="19.5" thickBot="1" x14ac:dyDescent="0.3">
      <c r="A972" s="136" t="s">
        <v>2013</v>
      </c>
      <c r="B972" s="137">
        <v>45706</v>
      </c>
      <c r="C972" s="138" t="s">
        <v>598</v>
      </c>
      <c r="D972" s="138" t="str">
        <f>VLOOKUP(Purchase[[#This Row],[Supplier ID]],Supplier[#All],2,0)</f>
        <v>National Distributors</v>
      </c>
      <c r="E972" s="138">
        <f>VLOOKUP(Purchase[[#This Row],[Supplier ID]],Supplier[#All],3,0)</f>
        <v>9689542489</v>
      </c>
      <c r="F972" s="138" t="str">
        <f>VLOOKUP(Purchase[[#This Row],[Supplier ID]],Supplier[#All],4,0)</f>
        <v>Indore</v>
      </c>
      <c r="G972" s="138" t="str">
        <f>VLOOKUP(Purchase[[#This Row],[Supplier ID]],Supplier[#All],5,0)</f>
        <v>MP</v>
      </c>
      <c r="H972" s="138" t="str">
        <f>VLOOKUP(Purchase[[#This Row],[Supplier ID]],Supplier[#All],6,0)</f>
        <v>GST2154521T043</v>
      </c>
      <c r="I972" s="138" t="s">
        <v>203</v>
      </c>
      <c r="J972" s="139">
        <v>22</v>
      </c>
      <c r="K972" s="143">
        <f>VLOOKUP(Purchase[[#This Row],[Product ID]],Product[#All],6,0)</f>
        <v>1713</v>
      </c>
      <c r="L972" s="143">
        <f>Purchase[[#This Row],[Purchase Rate]]*Purchase[[#This Row],[Qty]]</f>
        <v>37686</v>
      </c>
      <c r="M972" s="140">
        <v>0</v>
      </c>
      <c r="N972" s="143">
        <v>0</v>
      </c>
      <c r="O972" s="140">
        <v>0.18</v>
      </c>
      <c r="P972" s="145">
        <f>(Purchase[[#This Row],[Gross Amount]]-Purchase[[#This Row],[Disct %]])*Purchase[[#This Row],[GST %]]</f>
        <v>6783.48</v>
      </c>
      <c r="Q972" s="145">
        <f>Purchase[[#This Row],[Gross Amount]]-Purchase[[#This Row],[Disct Amnt]]+Purchase[[#This Row],[GST Amount]]</f>
        <v>44469.479999999996</v>
      </c>
      <c r="R972" s="138" t="s">
        <v>1019</v>
      </c>
      <c r="S972" s="41">
        <f>IF(Purchase[[#This Row],[Status]]="Cancelled",0,Purchase[[#This Row],[Qty]])</f>
        <v>22</v>
      </c>
      <c r="T972" s="146">
        <f>IF(Purchase[[#This Row],[Status]]="Cancelled",0,Purchase[[#This Row],[Total Amount]])</f>
        <v>44469.479999999996</v>
      </c>
      <c r="U972" s="146">
        <f>SUM(Purchase[Net Amount])</f>
        <v>814985438.68000126</v>
      </c>
    </row>
    <row r="973" spans="1:21" ht="19.5" thickBot="1" x14ac:dyDescent="0.3">
      <c r="A973" s="136" t="s">
        <v>2014</v>
      </c>
      <c r="B973" s="137">
        <v>45706</v>
      </c>
      <c r="C973" s="138" t="s">
        <v>1265</v>
      </c>
      <c r="D973" s="138" t="str">
        <f>VLOOKUP(Purchase[[#This Row],[Supplier ID]],Supplier[#All],2,0)</f>
        <v>Prime Computers</v>
      </c>
      <c r="E973" s="138">
        <f>VLOOKUP(Purchase[[#This Row],[Supplier ID]],Supplier[#All],3,0)</f>
        <v>9689542468</v>
      </c>
      <c r="F973" s="138" t="str">
        <f>VLOOKUP(Purchase[[#This Row],[Supplier ID]],Supplier[#All],4,0)</f>
        <v>Kanpur</v>
      </c>
      <c r="G973" s="138" t="str">
        <f>VLOOKUP(Purchase[[#This Row],[Supplier ID]],Supplier[#All],5,0)</f>
        <v>UP</v>
      </c>
      <c r="H973" s="138" t="str">
        <f>VLOOKUP(Purchase[[#This Row],[Supplier ID]],Supplier[#All],6,0)</f>
        <v>GST2154521T030</v>
      </c>
      <c r="I973" s="138" t="s">
        <v>444</v>
      </c>
      <c r="J973" s="139">
        <v>33</v>
      </c>
      <c r="K973" s="143">
        <f>VLOOKUP(Purchase[[#This Row],[Product ID]],Product[#All],6,0)</f>
        <v>47242</v>
      </c>
      <c r="L973" s="143">
        <f>Purchase[[#This Row],[Purchase Rate]]*Purchase[[#This Row],[Qty]]</f>
        <v>1558986</v>
      </c>
      <c r="M973" s="140">
        <v>0</v>
      </c>
      <c r="N973" s="143">
        <v>0</v>
      </c>
      <c r="O973" s="140">
        <v>0.18</v>
      </c>
      <c r="P973" s="145">
        <f>(Purchase[[#This Row],[Gross Amount]]-Purchase[[#This Row],[Disct %]])*Purchase[[#This Row],[GST %]]</f>
        <v>280617.48</v>
      </c>
      <c r="Q973" s="145">
        <f>Purchase[[#This Row],[Gross Amount]]-Purchase[[#This Row],[Disct Amnt]]+Purchase[[#This Row],[GST Amount]]</f>
        <v>1839603.48</v>
      </c>
      <c r="R973" s="138" t="s">
        <v>1019</v>
      </c>
      <c r="S973" s="41">
        <f>IF(Purchase[[#This Row],[Status]]="Cancelled",0,Purchase[[#This Row],[Qty]])</f>
        <v>33</v>
      </c>
      <c r="T973" s="146">
        <f>IF(Purchase[[#This Row],[Status]]="Cancelled",0,Purchase[[#This Row],[Total Amount]])</f>
        <v>1839603.48</v>
      </c>
      <c r="U973" s="146">
        <f>SUM(Purchase[Net Amount])</f>
        <v>814985438.68000126</v>
      </c>
    </row>
    <row r="974" spans="1:21" ht="19.5" thickBot="1" x14ac:dyDescent="0.3">
      <c r="A974" s="136" t="s">
        <v>2015</v>
      </c>
      <c r="B974" s="137">
        <v>45706</v>
      </c>
      <c r="C974" s="138" t="s">
        <v>1242</v>
      </c>
      <c r="D974" s="138" t="str">
        <f>VLOOKUP(Purchase[[#This Row],[Supplier ID]],Supplier[#All],2,0)</f>
        <v>Star Electronics</v>
      </c>
      <c r="E974" s="138">
        <f>VLOOKUP(Purchase[[#This Row],[Supplier ID]],Supplier[#All],3,0)</f>
        <v>9689542472</v>
      </c>
      <c r="F974" s="138" t="str">
        <f>VLOOKUP(Purchase[[#This Row],[Supplier ID]],Supplier[#All],4,0)</f>
        <v>Korba</v>
      </c>
      <c r="G974" s="138" t="str">
        <f>VLOOKUP(Purchase[[#This Row],[Supplier ID]],Supplier[#All],5,0)</f>
        <v>CG</v>
      </c>
      <c r="H974" s="138" t="str">
        <f>VLOOKUP(Purchase[[#This Row],[Supplier ID]],Supplier[#All],6,0)</f>
        <v>GST2154521T034</v>
      </c>
      <c r="I974" s="138" t="s">
        <v>431</v>
      </c>
      <c r="J974" s="139">
        <v>9</v>
      </c>
      <c r="K974" s="143">
        <f>VLOOKUP(Purchase[[#This Row],[Product ID]],Product[#All],6,0)</f>
        <v>14391</v>
      </c>
      <c r="L974" s="143">
        <f>Purchase[[#This Row],[Purchase Rate]]*Purchase[[#This Row],[Qty]]</f>
        <v>129519</v>
      </c>
      <c r="M974" s="140">
        <v>0</v>
      </c>
      <c r="N974" s="143">
        <v>0</v>
      </c>
      <c r="O974" s="140">
        <v>0.18</v>
      </c>
      <c r="P974" s="145">
        <f>(Purchase[[#This Row],[Gross Amount]]-Purchase[[#This Row],[Disct %]])*Purchase[[#This Row],[GST %]]</f>
        <v>23313.42</v>
      </c>
      <c r="Q974" s="145">
        <f>Purchase[[#This Row],[Gross Amount]]-Purchase[[#This Row],[Disct Amnt]]+Purchase[[#This Row],[GST Amount]]</f>
        <v>152832.41999999998</v>
      </c>
      <c r="R974" s="138" t="s">
        <v>1019</v>
      </c>
      <c r="S974" s="41">
        <f>IF(Purchase[[#This Row],[Status]]="Cancelled",0,Purchase[[#This Row],[Qty]])</f>
        <v>9</v>
      </c>
      <c r="T974" s="146">
        <f>IF(Purchase[[#This Row],[Status]]="Cancelled",0,Purchase[[#This Row],[Total Amount]])</f>
        <v>152832.41999999998</v>
      </c>
      <c r="U974" s="146">
        <f>SUM(Purchase[Net Amount])</f>
        <v>814985438.68000126</v>
      </c>
    </row>
    <row r="975" spans="1:21" ht="19.5" thickBot="1" x14ac:dyDescent="0.3">
      <c r="A975" s="136" t="s">
        <v>2016</v>
      </c>
      <c r="B975" s="137">
        <v>45706</v>
      </c>
      <c r="C975" s="138" t="s">
        <v>566</v>
      </c>
      <c r="D975" s="138" t="str">
        <f>VLOOKUP(Purchase[[#This Row],[Supplier ID]],Supplier[#All],2,0)</f>
        <v>Maa Computers</v>
      </c>
      <c r="E975" s="138">
        <f>VLOOKUP(Purchase[[#This Row],[Supplier ID]],Supplier[#All],3,0)</f>
        <v>9689542452</v>
      </c>
      <c r="F975" s="138" t="str">
        <f>VLOOKUP(Purchase[[#This Row],[Supplier ID]],Supplier[#All],4,0)</f>
        <v>Kanpur</v>
      </c>
      <c r="G975" s="138" t="str">
        <f>VLOOKUP(Purchase[[#This Row],[Supplier ID]],Supplier[#All],5,0)</f>
        <v>UP</v>
      </c>
      <c r="H975" s="138" t="str">
        <f>VLOOKUP(Purchase[[#This Row],[Supplier ID]],Supplier[#All],6,0)</f>
        <v>GST2154521T014</v>
      </c>
      <c r="I975" s="138" t="s">
        <v>477</v>
      </c>
      <c r="J975" s="139">
        <v>11</v>
      </c>
      <c r="K975" s="143">
        <f>VLOOKUP(Purchase[[#This Row],[Product ID]],Product[#All],6,0)</f>
        <v>13876</v>
      </c>
      <c r="L975" s="143">
        <f>Purchase[[#This Row],[Purchase Rate]]*Purchase[[#This Row],[Qty]]</f>
        <v>152636</v>
      </c>
      <c r="M975" s="140">
        <v>0</v>
      </c>
      <c r="N975" s="143">
        <v>0</v>
      </c>
      <c r="O975" s="140">
        <v>0.18</v>
      </c>
      <c r="P975" s="145">
        <f>(Purchase[[#This Row],[Gross Amount]]-Purchase[[#This Row],[Disct %]])*Purchase[[#This Row],[GST %]]</f>
        <v>27474.48</v>
      </c>
      <c r="Q975" s="145">
        <f>Purchase[[#This Row],[Gross Amount]]-Purchase[[#This Row],[Disct Amnt]]+Purchase[[#This Row],[GST Amount]]</f>
        <v>180110.48</v>
      </c>
      <c r="R975" s="138" t="s">
        <v>1019</v>
      </c>
      <c r="S975" s="41">
        <f>IF(Purchase[[#This Row],[Status]]="Cancelled",0,Purchase[[#This Row],[Qty]])</f>
        <v>11</v>
      </c>
      <c r="T975" s="146">
        <f>IF(Purchase[[#This Row],[Status]]="Cancelled",0,Purchase[[#This Row],[Total Amount]])</f>
        <v>180110.48</v>
      </c>
      <c r="U975" s="146">
        <f>SUM(Purchase[Net Amount])</f>
        <v>814985438.68000126</v>
      </c>
    </row>
    <row r="976" spans="1:21" ht="19.5" thickBot="1" x14ac:dyDescent="0.3">
      <c r="A976" s="136" t="s">
        <v>2017</v>
      </c>
      <c r="B976" s="137">
        <v>45706</v>
      </c>
      <c r="C976" s="138" t="s">
        <v>594</v>
      </c>
      <c r="D976" s="138" t="str">
        <f>VLOOKUP(Purchase[[#This Row],[Supplier ID]],Supplier[#All],2,0)</f>
        <v>Shree Suppliers</v>
      </c>
      <c r="E976" s="138">
        <f>VLOOKUP(Purchase[[#This Row],[Supplier ID]],Supplier[#All],3,0)</f>
        <v>9689542477</v>
      </c>
      <c r="F976" s="138" t="str">
        <f>VLOOKUP(Purchase[[#This Row],[Supplier ID]],Supplier[#All],4,0)</f>
        <v>Indore</v>
      </c>
      <c r="G976" s="138" t="str">
        <f>VLOOKUP(Purchase[[#This Row],[Supplier ID]],Supplier[#All],5,0)</f>
        <v>MP</v>
      </c>
      <c r="H976" s="138" t="str">
        <f>VLOOKUP(Purchase[[#This Row],[Supplier ID]],Supplier[#All],6,0)</f>
        <v>GST2154521T039</v>
      </c>
      <c r="I976" s="138" t="s">
        <v>528</v>
      </c>
      <c r="J976" s="139">
        <v>31</v>
      </c>
      <c r="K976" s="143">
        <f>VLOOKUP(Purchase[[#This Row],[Product ID]],Product[#All],6,0)</f>
        <v>4004</v>
      </c>
      <c r="L976" s="143">
        <f>Purchase[[#This Row],[Purchase Rate]]*Purchase[[#This Row],[Qty]]</f>
        <v>124124</v>
      </c>
      <c r="M976" s="140">
        <v>0</v>
      </c>
      <c r="N976" s="143">
        <v>0</v>
      </c>
      <c r="O976" s="140">
        <v>0.18</v>
      </c>
      <c r="P976" s="145">
        <f>(Purchase[[#This Row],[Gross Amount]]-Purchase[[#This Row],[Disct %]])*Purchase[[#This Row],[GST %]]</f>
        <v>22342.32</v>
      </c>
      <c r="Q976" s="145">
        <f>Purchase[[#This Row],[Gross Amount]]-Purchase[[#This Row],[Disct Amnt]]+Purchase[[#This Row],[GST Amount]]</f>
        <v>146466.32</v>
      </c>
      <c r="R976" s="138" t="s">
        <v>1019</v>
      </c>
      <c r="S976" s="41">
        <f>IF(Purchase[[#This Row],[Status]]="Cancelled",0,Purchase[[#This Row],[Qty]])</f>
        <v>31</v>
      </c>
      <c r="T976" s="146">
        <f>IF(Purchase[[#This Row],[Status]]="Cancelled",0,Purchase[[#This Row],[Total Amount]])</f>
        <v>146466.32</v>
      </c>
      <c r="U976" s="146">
        <f>SUM(Purchase[Net Amount])</f>
        <v>814985438.68000126</v>
      </c>
    </row>
    <row r="977" spans="1:21" ht="19.5" thickBot="1" x14ac:dyDescent="0.3">
      <c r="A977" s="136" t="s">
        <v>2018</v>
      </c>
      <c r="B977" s="137">
        <v>45706</v>
      </c>
      <c r="C977" s="138" t="s">
        <v>579</v>
      </c>
      <c r="D977" s="138" t="str">
        <f>VLOOKUP(Purchase[[#This Row],[Supplier ID]],Supplier[#All],2,0)</f>
        <v>Tech Traders</v>
      </c>
      <c r="E977" s="138">
        <f>VLOOKUP(Purchase[[#This Row],[Supplier ID]],Supplier[#All],3,0)</f>
        <v>9689542463</v>
      </c>
      <c r="F977" s="138" t="str">
        <f>VLOOKUP(Purchase[[#This Row],[Supplier ID]],Supplier[#All],4,0)</f>
        <v>Kanpur</v>
      </c>
      <c r="G977" s="138" t="str">
        <f>VLOOKUP(Purchase[[#This Row],[Supplier ID]],Supplier[#All],5,0)</f>
        <v>UP</v>
      </c>
      <c r="H977" s="138" t="str">
        <f>VLOOKUP(Purchase[[#This Row],[Supplier ID]],Supplier[#All],6,0)</f>
        <v>GST2154521T025</v>
      </c>
      <c r="I977" s="138" t="s">
        <v>356</v>
      </c>
      <c r="J977" s="139">
        <v>32</v>
      </c>
      <c r="K977" s="143">
        <f>VLOOKUP(Purchase[[#This Row],[Product ID]],Product[#All],6,0)</f>
        <v>6914</v>
      </c>
      <c r="L977" s="143">
        <f>Purchase[[#This Row],[Purchase Rate]]*Purchase[[#This Row],[Qty]]</f>
        <v>221248</v>
      </c>
      <c r="M977" s="140">
        <v>0</v>
      </c>
      <c r="N977" s="143">
        <v>0</v>
      </c>
      <c r="O977" s="140">
        <v>0.18</v>
      </c>
      <c r="P977" s="145">
        <f>(Purchase[[#This Row],[Gross Amount]]-Purchase[[#This Row],[Disct %]])*Purchase[[#This Row],[GST %]]</f>
        <v>39824.639999999999</v>
      </c>
      <c r="Q977" s="145">
        <f>Purchase[[#This Row],[Gross Amount]]-Purchase[[#This Row],[Disct Amnt]]+Purchase[[#This Row],[GST Amount]]</f>
        <v>261072.64000000001</v>
      </c>
      <c r="R977" s="138" t="s">
        <v>1019</v>
      </c>
      <c r="S977" s="41">
        <f>IF(Purchase[[#This Row],[Status]]="Cancelled",0,Purchase[[#This Row],[Qty]])</f>
        <v>32</v>
      </c>
      <c r="T977" s="146">
        <f>IF(Purchase[[#This Row],[Status]]="Cancelled",0,Purchase[[#This Row],[Total Amount]])</f>
        <v>261072.64000000001</v>
      </c>
      <c r="U977" s="146">
        <f>SUM(Purchase[Net Amount])</f>
        <v>814985438.68000126</v>
      </c>
    </row>
    <row r="978" spans="1:21" ht="19.5" thickBot="1" x14ac:dyDescent="0.3">
      <c r="A978" s="136" t="s">
        <v>2019</v>
      </c>
      <c r="B978" s="137">
        <v>45706</v>
      </c>
      <c r="C978" s="138" t="s">
        <v>604</v>
      </c>
      <c r="D978" s="138" t="str">
        <f>VLOOKUP(Purchase[[#This Row],[Supplier ID]],Supplier[#All],2,0)</f>
        <v>Prime Traders</v>
      </c>
      <c r="E978" s="138">
        <f>VLOOKUP(Purchase[[#This Row],[Supplier ID]],Supplier[#All],3,0)</f>
        <v>9689542487</v>
      </c>
      <c r="F978" s="138" t="str">
        <f>VLOOKUP(Purchase[[#This Row],[Supplier ID]],Supplier[#All],4,0)</f>
        <v>Indore</v>
      </c>
      <c r="G978" s="138" t="str">
        <f>VLOOKUP(Purchase[[#This Row],[Supplier ID]],Supplier[#All],5,0)</f>
        <v>MP</v>
      </c>
      <c r="H978" s="138" t="str">
        <f>VLOOKUP(Purchase[[#This Row],[Supplier ID]],Supplier[#All],6,0)</f>
        <v>GST2154521T049</v>
      </c>
      <c r="I978" s="138" t="s">
        <v>125</v>
      </c>
      <c r="J978" s="139">
        <v>30</v>
      </c>
      <c r="K978" s="143">
        <f>VLOOKUP(Purchase[[#This Row],[Product ID]],Product[#All],6,0)</f>
        <v>33391</v>
      </c>
      <c r="L978" s="143">
        <f>Purchase[[#This Row],[Purchase Rate]]*Purchase[[#This Row],[Qty]]</f>
        <v>1001730</v>
      </c>
      <c r="M978" s="140">
        <v>0</v>
      </c>
      <c r="N978" s="143">
        <v>0</v>
      </c>
      <c r="O978" s="140">
        <v>0.18</v>
      </c>
      <c r="P978" s="145">
        <f>(Purchase[[#This Row],[Gross Amount]]-Purchase[[#This Row],[Disct %]])*Purchase[[#This Row],[GST %]]</f>
        <v>180311.4</v>
      </c>
      <c r="Q978" s="145">
        <f>Purchase[[#This Row],[Gross Amount]]-Purchase[[#This Row],[Disct Amnt]]+Purchase[[#This Row],[GST Amount]]</f>
        <v>1182041.3999999999</v>
      </c>
      <c r="R978" s="138" t="s">
        <v>1019</v>
      </c>
      <c r="S978" s="41">
        <f>IF(Purchase[[#This Row],[Status]]="Cancelled",0,Purchase[[#This Row],[Qty]])</f>
        <v>30</v>
      </c>
      <c r="T978" s="146">
        <f>IF(Purchase[[#This Row],[Status]]="Cancelled",0,Purchase[[#This Row],[Total Amount]])</f>
        <v>1182041.3999999999</v>
      </c>
      <c r="U978" s="146">
        <f>SUM(Purchase[Net Amount])</f>
        <v>814985438.68000126</v>
      </c>
    </row>
    <row r="979" spans="1:21" ht="19.5" thickBot="1" x14ac:dyDescent="0.3">
      <c r="A979" s="136" t="s">
        <v>2020</v>
      </c>
      <c r="B979" s="137">
        <v>45706</v>
      </c>
      <c r="C979" s="138" t="s">
        <v>564</v>
      </c>
      <c r="D979" s="138" t="str">
        <f>VLOOKUP(Purchase[[#This Row],[Supplier ID]],Supplier[#All],2,0)</f>
        <v xml:space="preserve">Star Electronics </v>
      </c>
      <c r="E979" s="138">
        <f>VLOOKUP(Purchase[[#This Row],[Supplier ID]],Supplier[#All],3,0)</f>
        <v>9689542450</v>
      </c>
      <c r="F979" s="138" t="str">
        <f>VLOOKUP(Purchase[[#This Row],[Supplier ID]],Supplier[#All],4,0)</f>
        <v>Korba</v>
      </c>
      <c r="G979" s="138" t="str">
        <f>VLOOKUP(Purchase[[#This Row],[Supplier ID]],Supplier[#All],5,0)</f>
        <v>CG</v>
      </c>
      <c r="H979" s="138" t="str">
        <f>VLOOKUP(Purchase[[#This Row],[Supplier ID]],Supplier[#All],6,0)</f>
        <v>GST2154521T012</v>
      </c>
      <c r="I979" s="138" t="s">
        <v>459</v>
      </c>
      <c r="J979" s="139">
        <v>10</v>
      </c>
      <c r="K979" s="143">
        <f>VLOOKUP(Purchase[[#This Row],[Product ID]],Product[#All],6,0)</f>
        <v>1347</v>
      </c>
      <c r="L979" s="143">
        <f>Purchase[[#This Row],[Purchase Rate]]*Purchase[[#This Row],[Qty]]</f>
        <v>13470</v>
      </c>
      <c r="M979" s="140">
        <v>0</v>
      </c>
      <c r="N979" s="143">
        <v>0</v>
      </c>
      <c r="O979" s="140">
        <v>0.18</v>
      </c>
      <c r="P979" s="145">
        <f>(Purchase[[#This Row],[Gross Amount]]-Purchase[[#This Row],[Disct %]])*Purchase[[#This Row],[GST %]]</f>
        <v>2424.6</v>
      </c>
      <c r="Q979" s="145">
        <f>Purchase[[#This Row],[Gross Amount]]-Purchase[[#This Row],[Disct Amnt]]+Purchase[[#This Row],[GST Amount]]</f>
        <v>15894.6</v>
      </c>
      <c r="R979" s="138" t="s">
        <v>1019</v>
      </c>
      <c r="S979" s="41">
        <f>IF(Purchase[[#This Row],[Status]]="Cancelled",0,Purchase[[#This Row],[Qty]])</f>
        <v>10</v>
      </c>
      <c r="T979" s="146">
        <f>IF(Purchase[[#This Row],[Status]]="Cancelled",0,Purchase[[#This Row],[Total Amount]])</f>
        <v>15894.6</v>
      </c>
      <c r="U979" s="146">
        <f>SUM(Purchase[Net Amount])</f>
        <v>814985438.68000126</v>
      </c>
    </row>
    <row r="980" spans="1:21" ht="19.5" thickBot="1" x14ac:dyDescent="0.3">
      <c r="A980" s="136" t="s">
        <v>2021</v>
      </c>
      <c r="B980" s="137">
        <v>45706</v>
      </c>
      <c r="C980" s="138" t="s">
        <v>570</v>
      </c>
      <c r="D980" s="138" t="str">
        <f>VLOOKUP(Purchase[[#This Row],[Supplier ID]],Supplier[#All],2,0)</f>
        <v>Prime Traders</v>
      </c>
      <c r="E980" s="138">
        <f>VLOOKUP(Purchase[[#This Row],[Supplier ID]],Supplier[#All],3,0)</f>
        <v>9689542456</v>
      </c>
      <c r="F980" s="138" t="str">
        <f>VLOOKUP(Purchase[[#This Row],[Supplier ID]],Supplier[#All],4,0)</f>
        <v>Indore</v>
      </c>
      <c r="G980" s="138" t="str">
        <f>VLOOKUP(Purchase[[#This Row],[Supplier ID]],Supplier[#All],5,0)</f>
        <v>MP</v>
      </c>
      <c r="H980" s="138" t="str">
        <f>VLOOKUP(Purchase[[#This Row],[Supplier ID]],Supplier[#All],6,0)</f>
        <v>GST2154521T018</v>
      </c>
      <c r="I980" s="138" t="s">
        <v>453</v>
      </c>
      <c r="J980" s="139">
        <v>29</v>
      </c>
      <c r="K980" s="143">
        <f>VLOOKUP(Purchase[[#This Row],[Product ID]],Product[#All],6,0)</f>
        <v>2343</v>
      </c>
      <c r="L980" s="143">
        <f>Purchase[[#This Row],[Purchase Rate]]*Purchase[[#This Row],[Qty]]</f>
        <v>67947</v>
      </c>
      <c r="M980" s="140">
        <v>0</v>
      </c>
      <c r="N980" s="143">
        <v>0</v>
      </c>
      <c r="O980" s="140">
        <v>0.18</v>
      </c>
      <c r="P980" s="145">
        <f>(Purchase[[#This Row],[Gross Amount]]-Purchase[[#This Row],[Disct %]])*Purchase[[#This Row],[GST %]]</f>
        <v>12230.46</v>
      </c>
      <c r="Q980" s="145">
        <f>Purchase[[#This Row],[Gross Amount]]-Purchase[[#This Row],[Disct Amnt]]+Purchase[[#This Row],[GST Amount]]</f>
        <v>80177.459999999992</v>
      </c>
      <c r="R980" s="138" t="s">
        <v>1019</v>
      </c>
      <c r="S980" s="41">
        <f>IF(Purchase[[#This Row],[Status]]="Cancelled",0,Purchase[[#This Row],[Qty]])</f>
        <v>29</v>
      </c>
      <c r="T980" s="146">
        <f>IF(Purchase[[#This Row],[Status]]="Cancelled",0,Purchase[[#This Row],[Total Amount]])</f>
        <v>80177.459999999992</v>
      </c>
      <c r="U980" s="146">
        <f>SUM(Purchase[Net Amount])</f>
        <v>814985438.68000126</v>
      </c>
    </row>
    <row r="981" spans="1:21" ht="19.5" thickBot="1" x14ac:dyDescent="0.3">
      <c r="A981" s="136" t="s">
        <v>2022</v>
      </c>
      <c r="B981" s="137">
        <v>45706</v>
      </c>
      <c r="C981" s="138" t="s">
        <v>611</v>
      </c>
      <c r="D981" s="138" t="str">
        <f>VLOOKUP(Purchase[[#This Row],[Supplier ID]],Supplier[#All],2,0)</f>
        <v>National Distributors</v>
      </c>
      <c r="E981" s="138">
        <f>VLOOKUP(Purchase[[#This Row],[Supplier ID]],Supplier[#All],3,0)</f>
        <v>9689542494</v>
      </c>
      <c r="F981" s="138" t="str">
        <f>VLOOKUP(Purchase[[#This Row],[Supplier ID]],Supplier[#All],4,0)</f>
        <v>Korba</v>
      </c>
      <c r="G981" s="138" t="str">
        <f>VLOOKUP(Purchase[[#This Row],[Supplier ID]],Supplier[#All],5,0)</f>
        <v>CG</v>
      </c>
      <c r="H981" s="138" t="str">
        <f>VLOOKUP(Purchase[[#This Row],[Supplier ID]],Supplier[#All],6,0)</f>
        <v>GST2154521T056</v>
      </c>
      <c r="I981" s="138" t="s">
        <v>179</v>
      </c>
      <c r="J981" s="139">
        <v>29</v>
      </c>
      <c r="K981" s="143">
        <f>VLOOKUP(Purchase[[#This Row],[Product ID]],Product[#All],6,0)</f>
        <v>1180</v>
      </c>
      <c r="L981" s="143">
        <f>Purchase[[#This Row],[Purchase Rate]]*Purchase[[#This Row],[Qty]]</f>
        <v>34220</v>
      </c>
      <c r="M981" s="140">
        <v>0</v>
      </c>
      <c r="N981" s="143">
        <v>0</v>
      </c>
      <c r="O981" s="140">
        <v>0.18</v>
      </c>
      <c r="P981" s="145">
        <f>(Purchase[[#This Row],[Gross Amount]]-Purchase[[#This Row],[Disct %]])*Purchase[[#This Row],[GST %]]</f>
        <v>6159.5999999999995</v>
      </c>
      <c r="Q981" s="145">
        <f>Purchase[[#This Row],[Gross Amount]]-Purchase[[#This Row],[Disct Amnt]]+Purchase[[#This Row],[GST Amount]]</f>
        <v>40379.599999999999</v>
      </c>
      <c r="R981" s="138" t="s">
        <v>1019</v>
      </c>
      <c r="S981" s="41">
        <f>IF(Purchase[[#This Row],[Status]]="Cancelled",0,Purchase[[#This Row],[Qty]])</f>
        <v>29</v>
      </c>
      <c r="T981" s="146">
        <f>IF(Purchase[[#This Row],[Status]]="Cancelled",0,Purchase[[#This Row],[Total Amount]])</f>
        <v>40379.599999999999</v>
      </c>
      <c r="U981" s="146">
        <f>SUM(Purchase[Net Amount])</f>
        <v>814985438.68000126</v>
      </c>
    </row>
    <row r="982" spans="1:21" ht="19.5" thickBot="1" x14ac:dyDescent="0.3">
      <c r="A982" s="136" t="s">
        <v>2023</v>
      </c>
      <c r="B982" s="137">
        <v>45706</v>
      </c>
      <c r="C982" s="138" t="s">
        <v>590</v>
      </c>
      <c r="D982" s="138" t="str">
        <f>VLOOKUP(Purchase[[#This Row],[Supplier ID]],Supplier[#All],2,0)</f>
        <v>Star Distributors</v>
      </c>
      <c r="E982" s="138">
        <f>VLOOKUP(Purchase[[#This Row],[Supplier ID]],Supplier[#All],3,0)</f>
        <v>9689542474</v>
      </c>
      <c r="F982" s="138" t="str">
        <f>VLOOKUP(Purchase[[#This Row],[Supplier ID]],Supplier[#All],4,0)</f>
        <v>Kanpur</v>
      </c>
      <c r="G982" s="138" t="str">
        <f>VLOOKUP(Purchase[[#This Row],[Supplier ID]],Supplier[#All],5,0)</f>
        <v>UP</v>
      </c>
      <c r="H982" s="138" t="str">
        <f>VLOOKUP(Purchase[[#This Row],[Supplier ID]],Supplier[#All],6,0)</f>
        <v>GST2154521T036</v>
      </c>
      <c r="I982" s="138" t="s">
        <v>206</v>
      </c>
      <c r="J982" s="139">
        <v>6</v>
      </c>
      <c r="K982" s="143">
        <f>VLOOKUP(Purchase[[#This Row],[Product ID]],Product[#All],6,0)</f>
        <v>1892</v>
      </c>
      <c r="L982" s="143">
        <f>Purchase[[#This Row],[Purchase Rate]]*Purchase[[#This Row],[Qty]]</f>
        <v>11352</v>
      </c>
      <c r="M982" s="140">
        <v>0</v>
      </c>
      <c r="N982" s="143">
        <v>0</v>
      </c>
      <c r="O982" s="140">
        <v>0.18</v>
      </c>
      <c r="P982" s="145">
        <f>(Purchase[[#This Row],[Gross Amount]]-Purchase[[#This Row],[Disct %]])*Purchase[[#This Row],[GST %]]</f>
        <v>2043.36</v>
      </c>
      <c r="Q982" s="145">
        <f>Purchase[[#This Row],[Gross Amount]]-Purchase[[#This Row],[Disct Amnt]]+Purchase[[#This Row],[GST Amount]]</f>
        <v>13395.36</v>
      </c>
      <c r="R982" s="138" t="s">
        <v>1019</v>
      </c>
      <c r="S982" s="41">
        <f>IF(Purchase[[#This Row],[Status]]="Cancelled",0,Purchase[[#This Row],[Qty]])</f>
        <v>6</v>
      </c>
      <c r="T982" s="146">
        <f>IF(Purchase[[#This Row],[Status]]="Cancelled",0,Purchase[[#This Row],[Total Amount]])</f>
        <v>13395.36</v>
      </c>
      <c r="U982" s="146">
        <f>SUM(Purchase[Net Amount])</f>
        <v>814985438.68000126</v>
      </c>
    </row>
    <row r="983" spans="1:21" ht="19.5" thickBot="1" x14ac:dyDescent="0.3">
      <c r="A983" s="136" t="s">
        <v>2024</v>
      </c>
      <c r="B983" s="137">
        <v>45706</v>
      </c>
      <c r="C983" s="138" t="s">
        <v>594</v>
      </c>
      <c r="D983" s="138" t="str">
        <f>VLOOKUP(Purchase[[#This Row],[Supplier ID]],Supplier[#All],2,0)</f>
        <v>Shree Suppliers</v>
      </c>
      <c r="E983" s="138">
        <f>VLOOKUP(Purchase[[#This Row],[Supplier ID]],Supplier[#All],3,0)</f>
        <v>9689542477</v>
      </c>
      <c r="F983" s="138" t="str">
        <f>VLOOKUP(Purchase[[#This Row],[Supplier ID]],Supplier[#All],4,0)</f>
        <v>Indore</v>
      </c>
      <c r="G983" s="138" t="str">
        <f>VLOOKUP(Purchase[[#This Row],[Supplier ID]],Supplier[#All],5,0)</f>
        <v>MP</v>
      </c>
      <c r="H983" s="138" t="str">
        <f>VLOOKUP(Purchase[[#This Row],[Supplier ID]],Supplier[#All],6,0)</f>
        <v>GST2154521T039</v>
      </c>
      <c r="I983" s="138" t="s">
        <v>152</v>
      </c>
      <c r="J983" s="139">
        <v>38</v>
      </c>
      <c r="K983" s="143">
        <f>VLOOKUP(Purchase[[#This Row],[Product ID]],Product[#All],6,0)</f>
        <v>29602</v>
      </c>
      <c r="L983" s="143">
        <f>Purchase[[#This Row],[Purchase Rate]]*Purchase[[#This Row],[Qty]]</f>
        <v>1124876</v>
      </c>
      <c r="M983" s="140">
        <v>0</v>
      </c>
      <c r="N983" s="143">
        <v>0</v>
      </c>
      <c r="O983" s="140">
        <v>0.18</v>
      </c>
      <c r="P983" s="145">
        <f>(Purchase[[#This Row],[Gross Amount]]-Purchase[[#This Row],[Disct %]])*Purchase[[#This Row],[GST %]]</f>
        <v>202477.68</v>
      </c>
      <c r="Q983" s="145">
        <f>Purchase[[#This Row],[Gross Amount]]-Purchase[[#This Row],[Disct Amnt]]+Purchase[[#This Row],[GST Amount]]</f>
        <v>1327353.68</v>
      </c>
      <c r="R983" s="138" t="s">
        <v>1019</v>
      </c>
      <c r="S983" s="41">
        <f>IF(Purchase[[#This Row],[Status]]="Cancelled",0,Purchase[[#This Row],[Qty]])</f>
        <v>38</v>
      </c>
      <c r="T983" s="146">
        <f>IF(Purchase[[#This Row],[Status]]="Cancelled",0,Purchase[[#This Row],[Total Amount]])</f>
        <v>1327353.68</v>
      </c>
      <c r="U983" s="146">
        <f>SUM(Purchase[Net Amount])</f>
        <v>814985438.68000126</v>
      </c>
    </row>
    <row r="984" spans="1:21" ht="19.5" thickBot="1" x14ac:dyDescent="0.3">
      <c r="A984" s="136" t="s">
        <v>2025</v>
      </c>
      <c r="B984" s="137">
        <v>45706</v>
      </c>
      <c r="C984" s="138" t="s">
        <v>612</v>
      </c>
      <c r="D984" s="138" t="str">
        <f>VLOOKUP(Purchase[[#This Row],[Supplier ID]],Supplier[#All],2,0)</f>
        <v>National Computers</v>
      </c>
      <c r="E984" s="138">
        <f>VLOOKUP(Purchase[[#This Row],[Supplier ID]],Supplier[#All],3,0)</f>
        <v>9689542495</v>
      </c>
      <c r="F984" s="138" t="str">
        <f>VLOOKUP(Purchase[[#This Row],[Supplier ID]],Supplier[#All],4,0)</f>
        <v>Indore</v>
      </c>
      <c r="G984" s="138" t="str">
        <f>VLOOKUP(Purchase[[#This Row],[Supplier ID]],Supplier[#All],5,0)</f>
        <v>MP</v>
      </c>
      <c r="H984" s="138" t="str">
        <f>VLOOKUP(Purchase[[#This Row],[Supplier ID]],Supplier[#All],6,0)</f>
        <v>GST2154521T057</v>
      </c>
      <c r="I984" s="138" t="s">
        <v>275</v>
      </c>
      <c r="J984" s="139">
        <v>40</v>
      </c>
      <c r="K984" s="143">
        <f>VLOOKUP(Purchase[[#This Row],[Product ID]],Product[#All],6,0)</f>
        <v>31184</v>
      </c>
      <c r="L984" s="143">
        <f>Purchase[[#This Row],[Purchase Rate]]*Purchase[[#This Row],[Qty]]</f>
        <v>1247360</v>
      </c>
      <c r="M984" s="140">
        <v>0</v>
      </c>
      <c r="N984" s="143">
        <v>0</v>
      </c>
      <c r="O984" s="140">
        <v>0.18</v>
      </c>
      <c r="P984" s="145">
        <f>(Purchase[[#This Row],[Gross Amount]]-Purchase[[#This Row],[Disct %]])*Purchase[[#This Row],[GST %]]</f>
        <v>224524.79999999999</v>
      </c>
      <c r="Q984" s="145">
        <f>Purchase[[#This Row],[Gross Amount]]-Purchase[[#This Row],[Disct Amnt]]+Purchase[[#This Row],[GST Amount]]</f>
        <v>1471884.8</v>
      </c>
      <c r="R984" s="138" t="s">
        <v>1019</v>
      </c>
      <c r="S984" s="41">
        <f>IF(Purchase[[#This Row],[Status]]="Cancelled",0,Purchase[[#This Row],[Qty]])</f>
        <v>40</v>
      </c>
      <c r="T984" s="146">
        <f>IF(Purchase[[#This Row],[Status]]="Cancelled",0,Purchase[[#This Row],[Total Amount]])</f>
        <v>1471884.8</v>
      </c>
      <c r="U984" s="146">
        <f>SUM(Purchase[Net Amount])</f>
        <v>814985438.68000126</v>
      </c>
    </row>
    <row r="985" spans="1:21" ht="19.5" thickBot="1" x14ac:dyDescent="0.3">
      <c r="A985" s="136" t="s">
        <v>2026</v>
      </c>
      <c r="B985" s="137">
        <v>45706</v>
      </c>
      <c r="C985" s="138" t="s">
        <v>588</v>
      </c>
      <c r="D985" s="138" t="str">
        <f>VLOOKUP(Purchase[[#This Row],[Supplier ID]],Supplier[#All],2,0)</f>
        <v>Star Electronics</v>
      </c>
      <c r="E985" s="138">
        <f>VLOOKUP(Purchase[[#This Row],[Supplier ID]],Supplier[#All],3,0)</f>
        <v>9689542472</v>
      </c>
      <c r="F985" s="138" t="str">
        <f>VLOOKUP(Purchase[[#This Row],[Supplier ID]],Supplier[#All],4,0)</f>
        <v>Korba</v>
      </c>
      <c r="G985" s="138" t="str">
        <f>VLOOKUP(Purchase[[#This Row],[Supplier ID]],Supplier[#All],5,0)</f>
        <v>CG</v>
      </c>
      <c r="H985" s="138" t="str">
        <f>VLOOKUP(Purchase[[#This Row],[Supplier ID]],Supplier[#All],6,0)</f>
        <v>GST2154521T034</v>
      </c>
      <c r="I985" s="138" t="s">
        <v>188</v>
      </c>
      <c r="J985" s="139">
        <v>3</v>
      </c>
      <c r="K985" s="143">
        <f>VLOOKUP(Purchase[[#This Row],[Product ID]],Product[#All],6,0)</f>
        <v>11278</v>
      </c>
      <c r="L985" s="143">
        <f>Purchase[[#This Row],[Purchase Rate]]*Purchase[[#This Row],[Qty]]</f>
        <v>33834</v>
      </c>
      <c r="M985" s="140">
        <v>0</v>
      </c>
      <c r="N985" s="143">
        <v>0</v>
      </c>
      <c r="O985" s="140">
        <v>0.18</v>
      </c>
      <c r="P985" s="145">
        <f>(Purchase[[#This Row],[Gross Amount]]-Purchase[[#This Row],[Disct %]])*Purchase[[#This Row],[GST %]]</f>
        <v>6090.12</v>
      </c>
      <c r="Q985" s="145">
        <f>Purchase[[#This Row],[Gross Amount]]-Purchase[[#This Row],[Disct Amnt]]+Purchase[[#This Row],[GST Amount]]</f>
        <v>39924.120000000003</v>
      </c>
      <c r="R985" s="138" t="s">
        <v>1019</v>
      </c>
      <c r="S985" s="41">
        <f>IF(Purchase[[#This Row],[Status]]="Cancelled",0,Purchase[[#This Row],[Qty]])</f>
        <v>3</v>
      </c>
      <c r="T985" s="146">
        <f>IF(Purchase[[#This Row],[Status]]="Cancelled",0,Purchase[[#This Row],[Total Amount]])</f>
        <v>39924.120000000003</v>
      </c>
      <c r="U985" s="146">
        <f>SUM(Purchase[Net Amount])</f>
        <v>814985438.68000126</v>
      </c>
    </row>
    <row r="986" spans="1:21" ht="19.5" thickBot="1" x14ac:dyDescent="0.3">
      <c r="A986" s="136" t="s">
        <v>2027</v>
      </c>
      <c r="B986" s="137">
        <v>45706</v>
      </c>
      <c r="C986" s="138" t="s">
        <v>615</v>
      </c>
      <c r="D986" s="138" t="str">
        <f>VLOOKUP(Purchase[[#This Row],[Supplier ID]],Supplier[#All],2,0)</f>
        <v>NATIONAL ELECTRONICS</v>
      </c>
      <c r="E986" s="138">
        <f>VLOOKUP(Purchase[[#This Row],[Supplier ID]],Supplier[#All],3,0)</f>
        <v>9689542498</v>
      </c>
      <c r="F986" s="138" t="str">
        <f>VLOOKUP(Purchase[[#This Row],[Supplier ID]],Supplier[#All],4,0)</f>
        <v>Kanpur</v>
      </c>
      <c r="G986" s="138" t="str">
        <f>VLOOKUP(Purchase[[#This Row],[Supplier ID]],Supplier[#All],5,0)</f>
        <v>UP</v>
      </c>
      <c r="H986" s="138" t="str">
        <f>VLOOKUP(Purchase[[#This Row],[Supplier ID]],Supplier[#All],6,0)</f>
        <v>GST2154521T060</v>
      </c>
      <c r="I986" s="138" t="s">
        <v>390</v>
      </c>
      <c r="J986" s="139">
        <v>28</v>
      </c>
      <c r="K986" s="143">
        <f>VLOOKUP(Purchase[[#This Row],[Product ID]],Product[#All],6,0)</f>
        <v>3799</v>
      </c>
      <c r="L986" s="143">
        <f>Purchase[[#This Row],[Purchase Rate]]*Purchase[[#This Row],[Qty]]</f>
        <v>106372</v>
      </c>
      <c r="M986" s="140">
        <v>0</v>
      </c>
      <c r="N986" s="143">
        <v>0</v>
      </c>
      <c r="O986" s="140">
        <v>0.18</v>
      </c>
      <c r="P986" s="145">
        <f>(Purchase[[#This Row],[Gross Amount]]-Purchase[[#This Row],[Disct %]])*Purchase[[#This Row],[GST %]]</f>
        <v>19146.96</v>
      </c>
      <c r="Q986" s="145">
        <f>Purchase[[#This Row],[Gross Amount]]-Purchase[[#This Row],[Disct Amnt]]+Purchase[[#This Row],[GST Amount]]</f>
        <v>125518.95999999999</v>
      </c>
      <c r="R986" s="138" t="s">
        <v>1019</v>
      </c>
      <c r="S986" s="41">
        <f>IF(Purchase[[#This Row],[Status]]="Cancelled",0,Purchase[[#This Row],[Qty]])</f>
        <v>28</v>
      </c>
      <c r="T986" s="146">
        <f>IF(Purchase[[#This Row],[Status]]="Cancelled",0,Purchase[[#This Row],[Total Amount]])</f>
        <v>125518.95999999999</v>
      </c>
      <c r="U986" s="146">
        <f>SUM(Purchase[Net Amount])</f>
        <v>814985438.68000126</v>
      </c>
    </row>
    <row r="987" spans="1:21" ht="19.5" thickBot="1" x14ac:dyDescent="0.3">
      <c r="A987" s="136" t="s">
        <v>2028</v>
      </c>
      <c r="B987" s="137">
        <v>45706</v>
      </c>
      <c r="C987" s="138" t="s">
        <v>582</v>
      </c>
      <c r="D987" s="138" t="str">
        <f>VLOOKUP(Purchase[[#This Row],[Supplier ID]],Supplier[#All],2,0)</f>
        <v>Tech Distributors</v>
      </c>
      <c r="E987" s="138">
        <f>VLOOKUP(Purchase[[#This Row],[Supplier ID]],Supplier[#All],3,0)</f>
        <v>9689542466</v>
      </c>
      <c r="F987" s="138" t="str">
        <f>VLOOKUP(Purchase[[#This Row],[Supplier ID]],Supplier[#All],4,0)</f>
        <v>Indore</v>
      </c>
      <c r="G987" s="138" t="str">
        <f>VLOOKUP(Purchase[[#This Row],[Supplier ID]],Supplier[#All],5,0)</f>
        <v>MP</v>
      </c>
      <c r="H987" s="138" t="str">
        <f>VLOOKUP(Purchase[[#This Row],[Supplier ID]],Supplier[#All],6,0)</f>
        <v>GST2154521T028</v>
      </c>
      <c r="I987" s="138" t="s">
        <v>400</v>
      </c>
      <c r="J987" s="139">
        <v>18</v>
      </c>
      <c r="K987" s="143">
        <f>VLOOKUP(Purchase[[#This Row],[Product ID]],Product[#All],6,0)</f>
        <v>1065</v>
      </c>
      <c r="L987" s="143">
        <f>Purchase[[#This Row],[Purchase Rate]]*Purchase[[#This Row],[Qty]]</f>
        <v>19170</v>
      </c>
      <c r="M987" s="140">
        <v>0</v>
      </c>
      <c r="N987" s="143">
        <v>0</v>
      </c>
      <c r="O987" s="140">
        <v>0.18</v>
      </c>
      <c r="P987" s="145">
        <f>(Purchase[[#This Row],[Gross Amount]]-Purchase[[#This Row],[Disct %]])*Purchase[[#This Row],[GST %]]</f>
        <v>3450.6</v>
      </c>
      <c r="Q987" s="145">
        <f>Purchase[[#This Row],[Gross Amount]]-Purchase[[#This Row],[Disct Amnt]]+Purchase[[#This Row],[GST Amount]]</f>
        <v>22620.6</v>
      </c>
      <c r="R987" s="138" t="s">
        <v>1019</v>
      </c>
      <c r="S987" s="41">
        <f>IF(Purchase[[#This Row],[Status]]="Cancelled",0,Purchase[[#This Row],[Qty]])</f>
        <v>18</v>
      </c>
      <c r="T987" s="146">
        <f>IF(Purchase[[#This Row],[Status]]="Cancelled",0,Purchase[[#This Row],[Total Amount]])</f>
        <v>22620.6</v>
      </c>
      <c r="U987" s="146">
        <f>SUM(Purchase[Net Amount])</f>
        <v>814985438.68000126</v>
      </c>
    </row>
    <row r="988" spans="1:21" ht="19.5" thickBot="1" x14ac:dyDescent="0.3">
      <c r="A988" s="136" t="s">
        <v>2029</v>
      </c>
      <c r="B988" s="137">
        <v>45706</v>
      </c>
      <c r="C988" s="138" t="s">
        <v>616</v>
      </c>
      <c r="D988" s="138" t="str">
        <f>VLOOKUP(Purchase[[#This Row],[Supplier ID]],Supplier[#All],2,0)</f>
        <v>Global Suppliers</v>
      </c>
      <c r="E988" s="138">
        <f>VLOOKUP(Purchase[[#This Row],[Supplier ID]],Supplier[#All],3,0)</f>
        <v>9689542499</v>
      </c>
      <c r="F988" s="138" t="str">
        <f>VLOOKUP(Purchase[[#This Row],[Supplier ID]],Supplier[#All],4,0)</f>
        <v>Kanpur</v>
      </c>
      <c r="G988" s="138" t="str">
        <f>VLOOKUP(Purchase[[#This Row],[Supplier ID]],Supplier[#All],5,0)</f>
        <v>UP</v>
      </c>
      <c r="H988" s="138" t="str">
        <f>VLOOKUP(Purchase[[#This Row],[Supplier ID]],Supplier[#All],6,0)</f>
        <v>GST2154521T061</v>
      </c>
      <c r="I988" s="138" t="s">
        <v>535</v>
      </c>
      <c r="J988" s="139">
        <v>22</v>
      </c>
      <c r="K988" s="143">
        <f>VLOOKUP(Purchase[[#This Row],[Product ID]],Product[#All],6,0)</f>
        <v>679</v>
      </c>
      <c r="L988" s="143">
        <f>Purchase[[#This Row],[Purchase Rate]]*Purchase[[#This Row],[Qty]]</f>
        <v>14938</v>
      </c>
      <c r="M988" s="140">
        <v>0</v>
      </c>
      <c r="N988" s="143">
        <v>0</v>
      </c>
      <c r="O988" s="140">
        <v>0.18</v>
      </c>
      <c r="P988" s="145">
        <f>(Purchase[[#This Row],[Gross Amount]]-Purchase[[#This Row],[Disct %]])*Purchase[[#This Row],[GST %]]</f>
        <v>2688.8399999999997</v>
      </c>
      <c r="Q988" s="145">
        <f>Purchase[[#This Row],[Gross Amount]]-Purchase[[#This Row],[Disct Amnt]]+Purchase[[#This Row],[GST Amount]]</f>
        <v>17626.84</v>
      </c>
      <c r="R988" s="138" t="s">
        <v>1019</v>
      </c>
      <c r="S988" s="41">
        <f>IF(Purchase[[#This Row],[Status]]="Cancelled",0,Purchase[[#This Row],[Qty]])</f>
        <v>22</v>
      </c>
      <c r="T988" s="146">
        <f>IF(Purchase[[#This Row],[Status]]="Cancelled",0,Purchase[[#This Row],[Total Amount]])</f>
        <v>17626.84</v>
      </c>
      <c r="U988" s="146">
        <f>SUM(Purchase[Net Amount])</f>
        <v>814985438.68000126</v>
      </c>
    </row>
    <row r="989" spans="1:21" ht="19.5" thickBot="1" x14ac:dyDescent="0.3">
      <c r="A989" s="136" t="s">
        <v>2030</v>
      </c>
      <c r="B989" s="137">
        <v>45706</v>
      </c>
      <c r="C989" s="138" t="s">
        <v>615</v>
      </c>
      <c r="D989" s="138" t="str">
        <f>VLOOKUP(Purchase[[#This Row],[Supplier ID]],Supplier[#All],2,0)</f>
        <v>NATIONAL ELECTRONICS</v>
      </c>
      <c r="E989" s="138">
        <f>VLOOKUP(Purchase[[#This Row],[Supplier ID]],Supplier[#All],3,0)</f>
        <v>9689542498</v>
      </c>
      <c r="F989" s="138" t="str">
        <f>VLOOKUP(Purchase[[#This Row],[Supplier ID]],Supplier[#All],4,0)</f>
        <v>Kanpur</v>
      </c>
      <c r="G989" s="138" t="str">
        <f>VLOOKUP(Purchase[[#This Row],[Supplier ID]],Supplier[#All],5,0)</f>
        <v>UP</v>
      </c>
      <c r="H989" s="138" t="str">
        <f>VLOOKUP(Purchase[[#This Row],[Supplier ID]],Supplier[#All],6,0)</f>
        <v>GST2154521T060</v>
      </c>
      <c r="I989" s="138" t="s">
        <v>413</v>
      </c>
      <c r="J989" s="139">
        <v>31</v>
      </c>
      <c r="K989" s="143">
        <f>VLOOKUP(Purchase[[#This Row],[Product ID]],Product[#All],6,0)</f>
        <v>8700</v>
      </c>
      <c r="L989" s="143">
        <f>Purchase[[#This Row],[Purchase Rate]]*Purchase[[#This Row],[Qty]]</f>
        <v>269700</v>
      </c>
      <c r="M989" s="140">
        <v>0</v>
      </c>
      <c r="N989" s="143">
        <v>0</v>
      </c>
      <c r="O989" s="140">
        <v>0.18</v>
      </c>
      <c r="P989" s="145">
        <f>(Purchase[[#This Row],[Gross Amount]]-Purchase[[#This Row],[Disct %]])*Purchase[[#This Row],[GST %]]</f>
        <v>48546</v>
      </c>
      <c r="Q989" s="145">
        <f>Purchase[[#This Row],[Gross Amount]]-Purchase[[#This Row],[Disct Amnt]]+Purchase[[#This Row],[GST Amount]]</f>
        <v>318246</v>
      </c>
      <c r="R989" s="138" t="s">
        <v>1019</v>
      </c>
      <c r="S989" s="41">
        <f>IF(Purchase[[#This Row],[Status]]="Cancelled",0,Purchase[[#This Row],[Qty]])</f>
        <v>31</v>
      </c>
      <c r="T989" s="146">
        <f>IF(Purchase[[#This Row],[Status]]="Cancelled",0,Purchase[[#This Row],[Total Amount]])</f>
        <v>318246</v>
      </c>
      <c r="U989" s="146">
        <f>SUM(Purchase[Net Amount])</f>
        <v>814985438.68000126</v>
      </c>
    </row>
    <row r="990" spans="1:21" ht="19.5" thickBot="1" x14ac:dyDescent="0.3">
      <c r="A990" s="136" t="s">
        <v>2031</v>
      </c>
      <c r="B990" s="137">
        <v>45706</v>
      </c>
      <c r="C990" s="138" t="s">
        <v>613</v>
      </c>
      <c r="D990" s="138" t="str">
        <f>VLOOKUP(Purchase[[#This Row],[Supplier ID]],Supplier[#All],2,0)</f>
        <v>National Traders</v>
      </c>
      <c r="E990" s="138">
        <f>VLOOKUP(Purchase[[#This Row],[Supplier ID]],Supplier[#All],3,0)</f>
        <v>9689542496</v>
      </c>
      <c r="F990" s="138" t="str">
        <f>VLOOKUP(Purchase[[#This Row],[Supplier ID]],Supplier[#All],4,0)</f>
        <v>Indore</v>
      </c>
      <c r="G990" s="138" t="str">
        <f>VLOOKUP(Purchase[[#This Row],[Supplier ID]],Supplier[#All],5,0)</f>
        <v>MP</v>
      </c>
      <c r="H990" s="138" t="str">
        <f>VLOOKUP(Purchase[[#This Row],[Supplier ID]],Supplier[#All],6,0)</f>
        <v>GST2154521T058</v>
      </c>
      <c r="I990" s="138" t="s">
        <v>91</v>
      </c>
      <c r="J990" s="139">
        <v>8</v>
      </c>
      <c r="K990" s="143">
        <f>VLOOKUP(Purchase[[#This Row],[Product ID]],Product[#All],6,0)</f>
        <v>3315</v>
      </c>
      <c r="L990" s="143">
        <f>Purchase[[#This Row],[Purchase Rate]]*Purchase[[#This Row],[Qty]]</f>
        <v>26520</v>
      </c>
      <c r="M990" s="140">
        <v>0</v>
      </c>
      <c r="N990" s="143">
        <v>0</v>
      </c>
      <c r="O990" s="140">
        <v>0.18</v>
      </c>
      <c r="P990" s="145">
        <f>(Purchase[[#This Row],[Gross Amount]]-Purchase[[#This Row],[Disct %]])*Purchase[[#This Row],[GST %]]</f>
        <v>4773.5999999999995</v>
      </c>
      <c r="Q990" s="145">
        <f>Purchase[[#This Row],[Gross Amount]]-Purchase[[#This Row],[Disct Amnt]]+Purchase[[#This Row],[GST Amount]]</f>
        <v>31293.599999999999</v>
      </c>
      <c r="R990" s="138" t="s">
        <v>1019</v>
      </c>
      <c r="S990" s="41">
        <f>IF(Purchase[[#This Row],[Status]]="Cancelled",0,Purchase[[#This Row],[Qty]])</f>
        <v>8</v>
      </c>
      <c r="T990" s="146">
        <f>IF(Purchase[[#This Row],[Status]]="Cancelled",0,Purchase[[#This Row],[Total Amount]])</f>
        <v>31293.599999999999</v>
      </c>
      <c r="U990" s="146">
        <f>SUM(Purchase[Net Amount])</f>
        <v>814985438.68000126</v>
      </c>
    </row>
    <row r="991" spans="1:21" ht="19.5" thickBot="1" x14ac:dyDescent="0.3">
      <c r="A991" s="136" t="s">
        <v>2032</v>
      </c>
      <c r="B991" s="137">
        <v>45706</v>
      </c>
      <c r="C991" s="138" t="s">
        <v>610</v>
      </c>
      <c r="D991" s="138" t="str">
        <f>VLOOKUP(Purchase[[#This Row],[Supplier ID]],Supplier[#All],2,0)</f>
        <v>Shree Electronics</v>
      </c>
      <c r="E991" s="138">
        <f>VLOOKUP(Purchase[[#This Row],[Supplier ID]],Supplier[#All],3,0)</f>
        <v>9689542493</v>
      </c>
      <c r="F991" s="138" t="str">
        <f>VLOOKUP(Purchase[[#This Row],[Supplier ID]],Supplier[#All],4,0)</f>
        <v>Kanpur</v>
      </c>
      <c r="G991" s="138" t="str">
        <f>VLOOKUP(Purchase[[#This Row],[Supplier ID]],Supplier[#All],5,0)</f>
        <v>UP</v>
      </c>
      <c r="H991" s="138" t="str">
        <f>VLOOKUP(Purchase[[#This Row],[Supplier ID]],Supplier[#All],6,0)</f>
        <v>GST2154521T055</v>
      </c>
      <c r="I991" s="138" t="s">
        <v>26</v>
      </c>
      <c r="J991" s="139">
        <v>19</v>
      </c>
      <c r="K991" s="143">
        <f>VLOOKUP(Purchase[[#This Row],[Product ID]],Product[#All],6,0)</f>
        <v>18890</v>
      </c>
      <c r="L991" s="143">
        <f>Purchase[[#This Row],[Purchase Rate]]*Purchase[[#This Row],[Qty]]</f>
        <v>358910</v>
      </c>
      <c r="M991" s="140">
        <v>0</v>
      </c>
      <c r="N991" s="143">
        <v>0</v>
      </c>
      <c r="O991" s="140">
        <v>0.18</v>
      </c>
      <c r="P991" s="145">
        <f>(Purchase[[#This Row],[Gross Amount]]-Purchase[[#This Row],[Disct %]])*Purchase[[#This Row],[GST %]]</f>
        <v>64603.799999999996</v>
      </c>
      <c r="Q991" s="145">
        <f>Purchase[[#This Row],[Gross Amount]]-Purchase[[#This Row],[Disct Amnt]]+Purchase[[#This Row],[GST Amount]]</f>
        <v>423513.8</v>
      </c>
      <c r="R991" s="138" t="s">
        <v>1019</v>
      </c>
      <c r="S991" s="41">
        <f>IF(Purchase[[#This Row],[Status]]="Cancelled",0,Purchase[[#This Row],[Qty]])</f>
        <v>19</v>
      </c>
      <c r="T991" s="146">
        <f>IF(Purchase[[#This Row],[Status]]="Cancelled",0,Purchase[[#This Row],[Total Amount]])</f>
        <v>423513.8</v>
      </c>
      <c r="U991" s="146">
        <f>SUM(Purchase[Net Amount])</f>
        <v>814985438.68000126</v>
      </c>
    </row>
    <row r="992" spans="1:21" ht="19.5" thickBot="1" x14ac:dyDescent="0.3">
      <c r="A992" s="136" t="s">
        <v>2033</v>
      </c>
      <c r="B992" s="137">
        <v>45706</v>
      </c>
      <c r="C992" s="138" t="s">
        <v>601</v>
      </c>
      <c r="D992" s="138" t="str">
        <f>VLOOKUP(Purchase[[#This Row],[Supplier ID]],Supplier[#All],2,0)</f>
        <v>Maa Distributors</v>
      </c>
      <c r="E992" s="138">
        <f>VLOOKUP(Purchase[[#This Row],[Supplier ID]],Supplier[#All],3,0)</f>
        <v>9689542484</v>
      </c>
      <c r="F992" s="138" t="str">
        <f>VLOOKUP(Purchase[[#This Row],[Supplier ID]],Supplier[#All],4,0)</f>
        <v>Indore</v>
      </c>
      <c r="G992" s="138" t="str">
        <f>VLOOKUP(Purchase[[#This Row],[Supplier ID]],Supplier[#All],5,0)</f>
        <v>MP</v>
      </c>
      <c r="H992" s="138" t="str">
        <f>VLOOKUP(Purchase[[#This Row],[Supplier ID]],Supplier[#All],6,0)</f>
        <v>GST2154521T046</v>
      </c>
      <c r="I992" s="138" t="s">
        <v>149</v>
      </c>
      <c r="J992" s="139">
        <v>13</v>
      </c>
      <c r="K992" s="143">
        <f>VLOOKUP(Purchase[[#This Row],[Product ID]],Product[#All],6,0)</f>
        <v>5562</v>
      </c>
      <c r="L992" s="143">
        <f>Purchase[[#This Row],[Purchase Rate]]*Purchase[[#This Row],[Qty]]</f>
        <v>72306</v>
      </c>
      <c r="M992" s="140">
        <v>0</v>
      </c>
      <c r="N992" s="143">
        <v>0</v>
      </c>
      <c r="O992" s="140">
        <v>0.18</v>
      </c>
      <c r="P992" s="145">
        <f>(Purchase[[#This Row],[Gross Amount]]-Purchase[[#This Row],[Disct %]])*Purchase[[#This Row],[GST %]]</f>
        <v>13015.08</v>
      </c>
      <c r="Q992" s="145">
        <f>Purchase[[#This Row],[Gross Amount]]-Purchase[[#This Row],[Disct Amnt]]+Purchase[[#This Row],[GST Amount]]</f>
        <v>85321.08</v>
      </c>
      <c r="R992" s="138" t="s">
        <v>1019</v>
      </c>
      <c r="S992" s="41">
        <f>IF(Purchase[[#This Row],[Status]]="Cancelled",0,Purchase[[#This Row],[Qty]])</f>
        <v>13</v>
      </c>
      <c r="T992" s="146">
        <f>IF(Purchase[[#This Row],[Status]]="Cancelled",0,Purchase[[#This Row],[Total Amount]])</f>
        <v>85321.08</v>
      </c>
      <c r="U992" s="146">
        <f>SUM(Purchase[Net Amount])</f>
        <v>814985438.68000126</v>
      </c>
    </row>
    <row r="993" spans="1:21" ht="19.5" thickBot="1" x14ac:dyDescent="0.3">
      <c r="A993" s="136" t="s">
        <v>2034</v>
      </c>
      <c r="B993" s="137">
        <v>45706</v>
      </c>
      <c r="C993" s="138" t="s">
        <v>587</v>
      </c>
      <c r="D993" s="138" t="str">
        <f>VLOOKUP(Purchase[[#This Row],[Supplier ID]],Supplier[#All],2,0)</f>
        <v>maa distributors</v>
      </c>
      <c r="E993" s="138">
        <f>VLOOKUP(Purchase[[#This Row],[Supplier ID]],Supplier[#All],3,0)</f>
        <v>9689542479</v>
      </c>
      <c r="F993" s="138" t="str">
        <f>VLOOKUP(Purchase[[#This Row],[Supplier ID]],Supplier[#All],4,0)</f>
        <v>Indore</v>
      </c>
      <c r="G993" s="138" t="str">
        <f>VLOOKUP(Purchase[[#This Row],[Supplier ID]],Supplier[#All],5,0)</f>
        <v>MP</v>
      </c>
      <c r="H993" s="138" t="str">
        <f>VLOOKUP(Purchase[[#This Row],[Supplier ID]],Supplier[#All],6,0)</f>
        <v>GST2154521T033</v>
      </c>
      <c r="I993" s="138" t="s">
        <v>243</v>
      </c>
      <c r="J993" s="139">
        <v>34</v>
      </c>
      <c r="K993" s="143">
        <f>VLOOKUP(Purchase[[#This Row],[Product ID]],Product[#All],6,0)</f>
        <v>2543</v>
      </c>
      <c r="L993" s="143">
        <f>Purchase[[#This Row],[Purchase Rate]]*Purchase[[#This Row],[Qty]]</f>
        <v>86462</v>
      </c>
      <c r="M993" s="140">
        <v>0</v>
      </c>
      <c r="N993" s="143">
        <v>0</v>
      </c>
      <c r="O993" s="140">
        <v>0.18</v>
      </c>
      <c r="P993" s="145">
        <f>(Purchase[[#This Row],[Gross Amount]]-Purchase[[#This Row],[Disct %]])*Purchase[[#This Row],[GST %]]</f>
        <v>15563.16</v>
      </c>
      <c r="Q993" s="145">
        <f>Purchase[[#This Row],[Gross Amount]]-Purchase[[#This Row],[Disct Amnt]]+Purchase[[#This Row],[GST Amount]]</f>
        <v>102025.16</v>
      </c>
      <c r="R993" s="138" t="s">
        <v>1019</v>
      </c>
      <c r="S993" s="41">
        <f>IF(Purchase[[#This Row],[Status]]="Cancelled",0,Purchase[[#This Row],[Qty]])</f>
        <v>34</v>
      </c>
      <c r="T993" s="146">
        <f>IF(Purchase[[#This Row],[Status]]="Cancelled",0,Purchase[[#This Row],[Total Amount]])</f>
        <v>102025.16</v>
      </c>
      <c r="U993" s="146">
        <f>SUM(Purchase[Net Amount])</f>
        <v>814985438.68000126</v>
      </c>
    </row>
    <row r="994" spans="1:21" ht="19.5" thickBot="1" x14ac:dyDescent="0.3">
      <c r="A994" s="136" t="s">
        <v>2035</v>
      </c>
      <c r="B994" s="137">
        <v>45706</v>
      </c>
      <c r="C994" s="138" t="s">
        <v>1490</v>
      </c>
      <c r="D994" s="138" t="str">
        <f>VLOOKUP(Purchase[[#This Row],[Supplier ID]],Supplier[#All],2,0)</f>
        <v>Maa Traders</v>
      </c>
      <c r="E994" s="138">
        <f>VLOOKUP(Purchase[[#This Row],[Supplier ID]],Supplier[#All],3,0)</f>
        <v>9689542470</v>
      </c>
      <c r="F994" s="138" t="str">
        <f>VLOOKUP(Purchase[[#This Row],[Supplier ID]],Supplier[#All],4,0)</f>
        <v>Kanpur</v>
      </c>
      <c r="G994" s="138" t="str">
        <f>VLOOKUP(Purchase[[#This Row],[Supplier ID]],Supplier[#All],5,0)</f>
        <v>UP</v>
      </c>
      <c r="H994" s="138" t="str">
        <f>VLOOKUP(Purchase[[#This Row],[Supplier ID]],Supplier[#All],6,0)</f>
        <v>GST2154521T032</v>
      </c>
      <c r="I994" s="138" t="s">
        <v>93</v>
      </c>
      <c r="J994" s="139">
        <v>24</v>
      </c>
      <c r="K994" s="143">
        <f>VLOOKUP(Purchase[[#This Row],[Product ID]],Product[#All],6,0)</f>
        <v>1436</v>
      </c>
      <c r="L994" s="143">
        <f>Purchase[[#This Row],[Purchase Rate]]*Purchase[[#This Row],[Qty]]</f>
        <v>34464</v>
      </c>
      <c r="M994" s="140">
        <v>0</v>
      </c>
      <c r="N994" s="143">
        <v>0</v>
      </c>
      <c r="O994" s="140">
        <v>0.18</v>
      </c>
      <c r="P994" s="145">
        <f>(Purchase[[#This Row],[Gross Amount]]-Purchase[[#This Row],[Disct %]])*Purchase[[#This Row],[GST %]]</f>
        <v>6203.5199999999995</v>
      </c>
      <c r="Q994" s="145">
        <f>Purchase[[#This Row],[Gross Amount]]-Purchase[[#This Row],[Disct Amnt]]+Purchase[[#This Row],[GST Amount]]</f>
        <v>40667.519999999997</v>
      </c>
      <c r="R994" s="138" t="s">
        <v>1019</v>
      </c>
      <c r="S994" s="41">
        <f>IF(Purchase[[#This Row],[Status]]="Cancelled",0,Purchase[[#This Row],[Qty]])</f>
        <v>24</v>
      </c>
      <c r="T994" s="146">
        <f>IF(Purchase[[#This Row],[Status]]="Cancelled",0,Purchase[[#This Row],[Total Amount]])</f>
        <v>40667.519999999997</v>
      </c>
      <c r="U994" s="146">
        <f>SUM(Purchase[Net Amount])</f>
        <v>814985438.68000126</v>
      </c>
    </row>
    <row r="995" spans="1:21" ht="19.5" thickBot="1" x14ac:dyDescent="0.3">
      <c r="A995" s="136" t="s">
        <v>2036</v>
      </c>
      <c r="B995" s="137">
        <v>45707</v>
      </c>
      <c r="C995" s="138" t="s">
        <v>590</v>
      </c>
      <c r="D995" s="138" t="str">
        <f>VLOOKUP(Purchase[[#This Row],[Supplier ID]],Supplier[#All],2,0)</f>
        <v>Star Distributors</v>
      </c>
      <c r="E995" s="138">
        <f>VLOOKUP(Purchase[[#This Row],[Supplier ID]],Supplier[#All],3,0)</f>
        <v>9689542474</v>
      </c>
      <c r="F995" s="138" t="str">
        <f>VLOOKUP(Purchase[[#This Row],[Supplier ID]],Supplier[#All],4,0)</f>
        <v>Kanpur</v>
      </c>
      <c r="G995" s="138" t="str">
        <f>VLOOKUP(Purchase[[#This Row],[Supplier ID]],Supplier[#All],5,0)</f>
        <v>UP</v>
      </c>
      <c r="H995" s="138" t="str">
        <f>VLOOKUP(Purchase[[#This Row],[Supplier ID]],Supplier[#All],6,0)</f>
        <v>GST2154521T036</v>
      </c>
      <c r="I995" s="138" t="s">
        <v>95</v>
      </c>
      <c r="J995" s="139">
        <v>30</v>
      </c>
      <c r="K995" s="143">
        <f>VLOOKUP(Purchase[[#This Row],[Product ID]],Product[#All],6,0)</f>
        <v>5781</v>
      </c>
      <c r="L995" s="143">
        <f>Purchase[[#This Row],[Purchase Rate]]*Purchase[[#This Row],[Qty]]</f>
        <v>173430</v>
      </c>
      <c r="M995" s="140">
        <v>0</v>
      </c>
      <c r="N995" s="143">
        <v>0</v>
      </c>
      <c r="O995" s="140">
        <v>0.18</v>
      </c>
      <c r="P995" s="145">
        <f>(Purchase[[#This Row],[Gross Amount]]-Purchase[[#This Row],[Disct %]])*Purchase[[#This Row],[GST %]]</f>
        <v>31217.399999999998</v>
      </c>
      <c r="Q995" s="145">
        <f>Purchase[[#This Row],[Gross Amount]]-Purchase[[#This Row],[Disct Amnt]]+Purchase[[#This Row],[GST Amount]]</f>
        <v>204647.4</v>
      </c>
      <c r="R995" s="138" t="s">
        <v>1040</v>
      </c>
      <c r="S995" s="41">
        <f>IF(Purchase[[#This Row],[Status]]="Cancelled",0,Purchase[[#This Row],[Qty]])</f>
        <v>0</v>
      </c>
      <c r="T995" s="146">
        <f>IF(Purchase[[#This Row],[Status]]="Cancelled",0,Purchase[[#This Row],[Total Amount]])</f>
        <v>0</v>
      </c>
      <c r="U995" s="146">
        <f>SUM(Purchase[Net Amount])</f>
        <v>814985438.68000126</v>
      </c>
    </row>
    <row r="996" spans="1:21" ht="19.5" thickBot="1" x14ac:dyDescent="0.3">
      <c r="A996" s="136" t="s">
        <v>2037</v>
      </c>
      <c r="B996" s="137">
        <v>45707</v>
      </c>
      <c r="C996" s="138" t="s">
        <v>2038</v>
      </c>
      <c r="D996" s="138" t="str">
        <f>VLOOKUP(Purchase[[#This Row],[Supplier ID]],Supplier[#All],2,0)</f>
        <v>National Electronics</v>
      </c>
      <c r="E996" s="138">
        <f>VLOOKUP(Purchase[[#This Row],[Supplier ID]],Supplier[#All],3,0)</f>
        <v>9689542497</v>
      </c>
      <c r="F996" s="138" t="str">
        <f>VLOOKUP(Purchase[[#This Row],[Supplier ID]],Supplier[#All],4,0)</f>
        <v>Kanpur</v>
      </c>
      <c r="G996" s="138" t="str">
        <f>VLOOKUP(Purchase[[#This Row],[Supplier ID]],Supplier[#All],5,0)</f>
        <v>UP</v>
      </c>
      <c r="H996" s="138" t="str">
        <f>VLOOKUP(Purchase[[#This Row],[Supplier ID]],Supplier[#All],6,0)</f>
        <v>GST2154521T059</v>
      </c>
      <c r="I996" s="138" t="s">
        <v>206</v>
      </c>
      <c r="J996" s="139">
        <v>23</v>
      </c>
      <c r="K996" s="143">
        <f>VLOOKUP(Purchase[[#This Row],[Product ID]],Product[#All],6,0)</f>
        <v>1892</v>
      </c>
      <c r="L996" s="143">
        <f>Purchase[[#This Row],[Purchase Rate]]*Purchase[[#This Row],[Qty]]</f>
        <v>43516</v>
      </c>
      <c r="M996" s="140">
        <v>0</v>
      </c>
      <c r="N996" s="143">
        <v>0</v>
      </c>
      <c r="O996" s="140">
        <v>0.18</v>
      </c>
      <c r="P996" s="145">
        <f>(Purchase[[#This Row],[Gross Amount]]-Purchase[[#This Row],[Disct %]])*Purchase[[#This Row],[GST %]]</f>
        <v>7832.88</v>
      </c>
      <c r="Q996" s="145">
        <f>Purchase[[#This Row],[Gross Amount]]-Purchase[[#This Row],[Disct Amnt]]+Purchase[[#This Row],[GST Amount]]</f>
        <v>51348.88</v>
      </c>
      <c r="R996" s="138" t="s">
        <v>1019</v>
      </c>
      <c r="S996" s="41">
        <f>IF(Purchase[[#This Row],[Status]]="Cancelled",0,Purchase[[#This Row],[Qty]])</f>
        <v>23</v>
      </c>
      <c r="T996" s="146">
        <f>IF(Purchase[[#This Row],[Status]]="Cancelled",0,Purchase[[#This Row],[Total Amount]])</f>
        <v>51348.88</v>
      </c>
      <c r="U996" s="146">
        <f>SUM(Purchase[Net Amount])</f>
        <v>814985438.68000126</v>
      </c>
    </row>
    <row r="997" spans="1:21" ht="19.5" thickBot="1" x14ac:dyDescent="0.3">
      <c r="A997" s="136" t="s">
        <v>2039</v>
      </c>
      <c r="B997" s="137">
        <v>45707</v>
      </c>
      <c r="C997" s="138" t="s">
        <v>598</v>
      </c>
      <c r="D997" s="138" t="str">
        <f>VLOOKUP(Purchase[[#This Row],[Supplier ID]],Supplier[#All],2,0)</f>
        <v>National Distributors</v>
      </c>
      <c r="E997" s="138">
        <f>VLOOKUP(Purchase[[#This Row],[Supplier ID]],Supplier[#All],3,0)</f>
        <v>9689542489</v>
      </c>
      <c r="F997" s="138" t="str">
        <f>VLOOKUP(Purchase[[#This Row],[Supplier ID]],Supplier[#All],4,0)</f>
        <v>Indore</v>
      </c>
      <c r="G997" s="138" t="str">
        <f>VLOOKUP(Purchase[[#This Row],[Supplier ID]],Supplier[#All],5,0)</f>
        <v>MP</v>
      </c>
      <c r="H997" s="138" t="str">
        <f>VLOOKUP(Purchase[[#This Row],[Supplier ID]],Supplier[#All],6,0)</f>
        <v>GST2154521T043</v>
      </c>
      <c r="I997" s="138" t="s">
        <v>483</v>
      </c>
      <c r="J997" s="139">
        <v>21</v>
      </c>
      <c r="K997" s="143">
        <f>VLOOKUP(Purchase[[#This Row],[Product ID]],Product[#All],6,0)</f>
        <v>7184</v>
      </c>
      <c r="L997" s="143">
        <f>Purchase[[#This Row],[Purchase Rate]]*Purchase[[#This Row],[Qty]]</f>
        <v>150864</v>
      </c>
      <c r="M997" s="140">
        <v>0</v>
      </c>
      <c r="N997" s="143">
        <v>0</v>
      </c>
      <c r="O997" s="140">
        <v>0.18</v>
      </c>
      <c r="P997" s="145">
        <f>(Purchase[[#This Row],[Gross Amount]]-Purchase[[#This Row],[Disct %]])*Purchase[[#This Row],[GST %]]</f>
        <v>27155.52</v>
      </c>
      <c r="Q997" s="145">
        <f>Purchase[[#This Row],[Gross Amount]]-Purchase[[#This Row],[Disct Amnt]]+Purchase[[#This Row],[GST Amount]]</f>
        <v>178019.52</v>
      </c>
      <c r="R997" s="138" t="s">
        <v>1019</v>
      </c>
      <c r="S997" s="41">
        <f>IF(Purchase[[#This Row],[Status]]="Cancelled",0,Purchase[[#This Row],[Qty]])</f>
        <v>21</v>
      </c>
      <c r="T997" s="146">
        <f>IF(Purchase[[#This Row],[Status]]="Cancelled",0,Purchase[[#This Row],[Total Amount]])</f>
        <v>178019.52</v>
      </c>
      <c r="U997" s="146">
        <f>SUM(Purchase[Net Amount])</f>
        <v>814985438.68000126</v>
      </c>
    </row>
    <row r="998" spans="1:21" ht="19.5" thickBot="1" x14ac:dyDescent="0.3">
      <c r="A998" s="136" t="s">
        <v>2040</v>
      </c>
      <c r="B998" s="137">
        <v>45707</v>
      </c>
      <c r="C998" s="138" t="s">
        <v>605</v>
      </c>
      <c r="D998" s="138" t="str">
        <f>VLOOKUP(Purchase[[#This Row],[Supplier ID]],Supplier[#All],2,0)</f>
        <v>Star Traders</v>
      </c>
      <c r="E998" s="138">
        <f>VLOOKUP(Purchase[[#This Row],[Supplier ID]],Supplier[#All],3,0)</f>
        <v>9689542488</v>
      </c>
      <c r="F998" s="138" t="str">
        <f>VLOOKUP(Purchase[[#This Row],[Supplier ID]],Supplier[#All],4,0)</f>
        <v>Indore</v>
      </c>
      <c r="G998" s="138" t="str">
        <f>VLOOKUP(Purchase[[#This Row],[Supplier ID]],Supplier[#All],5,0)</f>
        <v>MP</v>
      </c>
      <c r="H998" s="138" t="str">
        <f>VLOOKUP(Purchase[[#This Row],[Supplier ID]],Supplier[#All],6,0)</f>
        <v>GST2154521T050</v>
      </c>
      <c r="I998" s="138" t="s">
        <v>485</v>
      </c>
      <c r="J998" s="139">
        <v>20</v>
      </c>
      <c r="K998" s="143">
        <f>VLOOKUP(Purchase[[#This Row],[Product ID]],Product[#All],6,0)</f>
        <v>42398</v>
      </c>
      <c r="L998" s="143">
        <f>Purchase[[#This Row],[Purchase Rate]]*Purchase[[#This Row],[Qty]]</f>
        <v>847960</v>
      </c>
      <c r="M998" s="140">
        <v>0</v>
      </c>
      <c r="N998" s="143">
        <v>0</v>
      </c>
      <c r="O998" s="140">
        <v>0.18</v>
      </c>
      <c r="P998" s="145">
        <f>(Purchase[[#This Row],[Gross Amount]]-Purchase[[#This Row],[Disct %]])*Purchase[[#This Row],[GST %]]</f>
        <v>152632.79999999999</v>
      </c>
      <c r="Q998" s="145">
        <f>Purchase[[#This Row],[Gross Amount]]-Purchase[[#This Row],[Disct Amnt]]+Purchase[[#This Row],[GST Amount]]</f>
        <v>1000592.8</v>
      </c>
      <c r="R998" s="138" t="s">
        <v>1019</v>
      </c>
      <c r="S998" s="41">
        <f>IF(Purchase[[#This Row],[Status]]="Cancelled",0,Purchase[[#This Row],[Qty]])</f>
        <v>20</v>
      </c>
      <c r="T998" s="146">
        <f>IF(Purchase[[#This Row],[Status]]="Cancelled",0,Purchase[[#This Row],[Total Amount]])</f>
        <v>1000592.8</v>
      </c>
      <c r="U998" s="146">
        <f>SUM(Purchase[Net Amount])</f>
        <v>814985438.68000126</v>
      </c>
    </row>
    <row r="999" spans="1:21" ht="19.5" thickBot="1" x14ac:dyDescent="0.3">
      <c r="A999" s="136" t="s">
        <v>2041</v>
      </c>
      <c r="B999" s="137">
        <v>45707</v>
      </c>
      <c r="C999" s="138" t="s">
        <v>611</v>
      </c>
      <c r="D999" s="138" t="str">
        <f>VLOOKUP(Purchase[[#This Row],[Supplier ID]],Supplier[#All],2,0)</f>
        <v>National Distributors</v>
      </c>
      <c r="E999" s="138">
        <f>VLOOKUP(Purchase[[#This Row],[Supplier ID]],Supplier[#All],3,0)</f>
        <v>9689542494</v>
      </c>
      <c r="F999" s="138" t="str">
        <f>VLOOKUP(Purchase[[#This Row],[Supplier ID]],Supplier[#All],4,0)</f>
        <v>Korba</v>
      </c>
      <c r="G999" s="138" t="str">
        <f>VLOOKUP(Purchase[[#This Row],[Supplier ID]],Supplier[#All],5,0)</f>
        <v>CG</v>
      </c>
      <c r="H999" s="138" t="str">
        <f>VLOOKUP(Purchase[[#This Row],[Supplier ID]],Supplier[#All],6,0)</f>
        <v>GST2154521T056</v>
      </c>
      <c r="I999" s="138" t="s">
        <v>399</v>
      </c>
      <c r="J999" s="139">
        <v>31</v>
      </c>
      <c r="K999" s="143">
        <f>VLOOKUP(Purchase[[#This Row],[Product ID]],Product[#All],6,0)</f>
        <v>35080</v>
      </c>
      <c r="L999" s="143">
        <f>Purchase[[#This Row],[Purchase Rate]]*Purchase[[#This Row],[Qty]]</f>
        <v>1087480</v>
      </c>
      <c r="M999" s="140">
        <v>0</v>
      </c>
      <c r="N999" s="143">
        <v>0</v>
      </c>
      <c r="O999" s="140">
        <v>0.18</v>
      </c>
      <c r="P999" s="145">
        <f>(Purchase[[#This Row],[Gross Amount]]-Purchase[[#This Row],[Disct %]])*Purchase[[#This Row],[GST %]]</f>
        <v>195746.4</v>
      </c>
      <c r="Q999" s="145">
        <f>Purchase[[#This Row],[Gross Amount]]-Purchase[[#This Row],[Disct Amnt]]+Purchase[[#This Row],[GST Amount]]</f>
        <v>1283226.3999999999</v>
      </c>
      <c r="R999" s="138" t="s">
        <v>1019</v>
      </c>
      <c r="S999" s="41">
        <f>IF(Purchase[[#This Row],[Status]]="Cancelled",0,Purchase[[#This Row],[Qty]])</f>
        <v>31</v>
      </c>
      <c r="T999" s="146">
        <f>IF(Purchase[[#This Row],[Status]]="Cancelled",0,Purchase[[#This Row],[Total Amount]])</f>
        <v>1283226.3999999999</v>
      </c>
      <c r="U999" s="146">
        <f>SUM(Purchase[Net Amount])</f>
        <v>814985438.68000126</v>
      </c>
    </row>
    <row r="1000" spans="1:21" ht="19.5" thickBot="1" x14ac:dyDescent="0.3">
      <c r="A1000" s="136" t="s">
        <v>2042</v>
      </c>
      <c r="B1000" s="137">
        <v>45707</v>
      </c>
      <c r="C1000" s="138" t="s">
        <v>586</v>
      </c>
      <c r="D1000" s="138" t="str">
        <f>VLOOKUP(Purchase[[#This Row],[Supplier ID]],Supplier[#All],2,0)</f>
        <v>Maa Traders</v>
      </c>
      <c r="E1000" s="138">
        <f>VLOOKUP(Purchase[[#This Row],[Supplier ID]],Supplier[#All],3,0)</f>
        <v>9689542470</v>
      </c>
      <c r="F1000" s="138" t="str">
        <f>VLOOKUP(Purchase[[#This Row],[Supplier ID]],Supplier[#All],4,0)</f>
        <v>Kanpur</v>
      </c>
      <c r="G1000" s="138" t="str">
        <f>VLOOKUP(Purchase[[#This Row],[Supplier ID]],Supplier[#All],5,0)</f>
        <v>UP</v>
      </c>
      <c r="H1000" s="138" t="str">
        <f>VLOOKUP(Purchase[[#This Row],[Supplier ID]],Supplier[#All],6,0)</f>
        <v>GST2154521T032</v>
      </c>
      <c r="I1000" s="138" t="s">
        <v>383</v>
      </c>
      <c r="J1000" s="139">
        <v>40</v>
      </c>
      <c r="K1000" s="143">
        <f>VLOOKUP(Purchase[[#This Row],[Product ID]],Product[#All],6,0)</f>
        <v>2478</v>
      </c>
      <c r="L1000" s="143">
        <f>Purchase[[#This Row],[Purchase Rate]]*Purchase[[#This Row],[Qty]]</f>
        <v>99120</v>
      </c>
      <c r="M1000" s="140">
        <v>0</v>
      </c>
      <c r="N1000" s="143">
        <v>0</v>
      </c>
      <c r="O1000" s="140">
        <v>0.18</v>
      </c>
      <c r="P1000" s="145">
        <f>(Purchase[[#This Row],[Gross Amount]]-Purchase[[#This Row],[Disct %]])*Purchase[[#This Row],[GST %]]</f>
        <v>17841.599999999999</v>
      </c>
      <c r="Q1000" s="145">
        <f>Purchase[[#This Row],[Gross Amount]]-Purchase[[#This Row],[Disct Amnt]]+Purchase[[#This Row],[GST Amount]]</f>
        <v>116961.60000000001</v>
      </c>
      <c r="R1000" s="138" t="s">
        <v>1019</v>
      </c>
      <c r="S1000" s="41">
        <f>IF(Purchase[[#This Row],[Status]]="Cancelled",0,Purchase[[#This Row],[Qty]])</f>
        <v>40</v>
      </c>
      <c r="T1000" s="146">
        <f>IF(Purchase[[#This Row],[Status]]="Cancelled",0,Purchase[[#This Row],[Total Amount]])</f>
        <v>116961.60000000001</v>
      </c>
      <c r="U1000" s="146">
        <f>SUM(Purchase[Net Amount])</f>
        <v>814985438.68000126</v>
      </c>
    </row>
    <row r="1001" spans="1:21" ht="19.5" thickBot="1" x14ac:dyDescent="0.3">
      <c r="A1001" s="136" t="s">
        <v>2043</v>
      </c>
      <c r="B1001" s="137">
        <v>45707</v>
      </c>
      <c r="C1001" s="138" t="s">
        <v>600</v>
      </c>
      <c r="D1001" s="138" t="str">
        <f>VLOOKUP(Purchase[[#This Row],[Supplier ID]],Supplier[#All],2,0)</f>
        <v>Prime Suppliers</v>
      </c>
      <c r="E1001" s="138">
        <f>VLOOKUP(Purchase[[#This Row],[Supplier ID]],Supplier[#All],3,0)</f>
        <v>9689542483</v>
      </c>
      <c r="F1001" s="138" t="str">
        <f>VLOOKUP(Purchase[[#This Row],[Supplier ID]],Supplier[#All],4,0)</f>
        <v>Korba</v>
      </c>
      <c r="G1001" s="138" t="str">
        <f>VLOOKUP(Purchase[[#This Row],[Supplier ID]],Supplier[#All],5,0)</f>
        <v>CG</v>
      </c>
      <c r="H1001" s="138" t="str">
        <f>VLOOKUP(Purchase[[#This Row],[Supplier ID]],Supplier[#All],6,0)</f>
        <v>GST2154521T045</v>
      </c>
      <c r="I1001" s="138" t="s">
        <v>449</v>
      </c>
      <c r="J1001" s="139">
        <v>6</v>
      </c>
      <c r="K1001" s="143">
        <f>VLOOKUP(Purchase[[#This Row],[Product ID]],Product[#All],6,0)</f>
        <v>16570</v>
      </c>
      <c r="L1001" s="143">
        <f>Purchase[[#This Row],[Purchase Rate]]*Purchase[[#This Row],[Qty]]</f>
        <v>99420</v>
      </c>
      <c r="M1001" s="140">
        <v>0</v>
      </c>
      <c r="N1001" s="143">
        <v>0</v>
      </c>
      <c r="O1001" s="140">
        <v>0.18</v>
      </c>
      <c r="P1001" s="145">
        <f>(Purchase[[#This Row],[Gross Amount]]-Purchase[[#This Row],[Disct %]])*Purchase[[#This Row],[GST %]]</f>
        <v>17895.599999999999</v>
      </c>
      <c r="Q1001" s="145">
        <f>Purchase[[#This Row],[Gross Amount]]-Purchase[[#This Row],[Disct Amnt]]+Purchase[[#This Row],[GST Amount]]</f>
        <v>117315.6</v>
      </c>
      <c r="R1001" s="138" t="s">
        <v>1019</v>
      </c>
      <c r="S1001" s="41">
        <f>IF(Purchase[[#This Row],[Status]]="Cancelled",0,Purchase[[#This Row],[Qty]])</f>
        <v>6</v>
      </c>
      <c r="T1001" s="146">
        <f>IF(Purchase[[#This Row],[Status]]="Cancelled",0,Purchase[[#This Row],[Total Amount]])</f>
        <v>117315.6</v>
      </c>
      <c r="U1001" s="146">
        <f>SUM(Purchase[Net Amount])</f>
        <v>814985438.68000126</v>
      </c>
    </row>
    <row r="1002" spans="1:21" ht="19.5" thickBot="1" x14ac:dyDescent="0.3">
      <c r="A1002" s="136" t="s">
        <v>2044</v>
      </c>
      <c r="B1002" s="137">
        <v>45707</v>
      </c>
      <c r="C1002" s="138" t="s">
        <v>599</v>
      </c>
      <c r="D1002" s="138" t="str">
        <f>VLOOKUP(Purchase[[#This Row],[Supplier ID]],Supplier[#All],2,0)</f>
        <v>National Distributors</v>
      </c>
      <c r="E1002" s="138">
        <f>VLOOKUP(Purchase[[#This Row],[Supplier ID]],Supplier[#All],3,0)</f>
        <v>9689542482</v>
      </c>
      <c r="F1002" s="138" t="str">
        <f>VLOOKUP(Purchase[[#This Row],[Supplier ID]],Supplier[#All],4,0)</f>
        <v>Kanpur</v>
      </c>
      <c r="G1002" s="138" t="str">
        <f>VLOOKUP(Purchase[[#This Row],[Supplier ID]],Supplier[#All],5,0)</f>
        <v>UP</v>
      </c>
      <c r="H1002" s="138" t="str">
        <f>VLOOKUP(Purchase[[#This Row],[Supplier ID]],Supplier[#All],6,0)</f>
        <v>GST2154521T044</v>
      </c>
      <c r="I1002" s="138" t="s">
        <v>346</v>
      </c>
      <c r="J1002" s="139">
        <v>40</v>
      </c>
      <c r="K1002" s="143">
        <f>VLOOKUP(Purchase[[#This Row],[Product ID]],Product[#All],6,0)</f>
        <v>77190</v>
      </c>
      <c r="L1002" s="143">
        <f>Purchase[[#This Row],[Purchase Rate]]*Purchase[[#This Row],[Qty]]</f>
        <v>3087600</v>
      </c>
      <c r="M1002" s="140">
        <v>0</v>
      </c>
      <c r="N1002" s="143">
        <v>0</v>
      </c>
      <c r="O1002" s="140">
        <v>0.18</v>
      </c>
      <c r="P1002" s="145">
        <f>(Purchase[[#This Row],[Gross Amount]]-Purchase[[#This Row],[Disct %]])*Purchase[[#This Row],[GST %]]</f>
        <v>555768</v>
      </c>
      <c r="Q1002" s="145">
        <f>Purchase[[#This Row],[Gross Amount]]-Purchase[[#This Row],[Disct Amnt]]+Purchase[[#This Row],[GST Amount]]</f>
        <v>3643368</v>
      </c>
      <c r="R1002" s="138" t="s">
        <v>1019</v>
      </c>
      <c r="S1002" s="41">
        <f>IF(Purchase[[#This Row],[Status]]="Cancelled",0,Purchase[[#This Row],[Qty]])</f>
        <v>40</v>
      </c>
      <c r="T1002" s="146">
        <f>IF(Purchase[[#This Row],[Status]]="Cancelled",0,Purchase[[#This Row],[Total Amount]])</f>
        <v>3643368</v>
      </c>
      <c r="U1002" s="146">
        <f>SUM(Purchase[Net Amount])</f>
        <v>814985438.68000126</v>
      </c>
    </row>
    <row r="1003" spans="1:21" ht="19.5" thickBot="1" x14ac:dyDescent="0.3">
      <c r="A1003" s="136" t="s">
        <v>2045</v>
      </c>
      <c r="B1003" s="137">
        <v>45707</v>
      </c>
      <c r="C1003" s="138" t="s">
        <v>596</v>
      </c>
      <c r="D1003" s="138" t="str">
        <f>VLOOKUP(Purchase[[#This Row],[Supplier ID]],Supplier[#All],2,0)</f>
        <v>star traders</v>
      </c>
      <c r="E1003" s="138">
        <f>VLOOKUP(Purchase[[#This Row],[Supplier ID]],Supplier[#All],3,0)</f>
        <v>9689542479</v>
      </c>
      <c r="F1003" s="138" t="str">
        <f>VLOOKUP(Purchase[[#This Row],[Supplier ID]],Supplier[#All],4,0)</f>
        <v>Korba</v>
      </c>
      <c r="G1003" s="138" t="str">
        <f>VLOOKUP(Purchase[[#This Row],[Supplier ID]],Supplier[#All],5,0)</f>
        <v>CG</v>
      </c>
      <c r="H1003" s="138" t="str">
        <f>VLOOKUP(Purchase[[#This Row],[Supplier ID]],Supplier[#All],6,0)</f>
        <v>GST2154521T041</v>
      </c>
      <c r="I1003" s="138" t="s">
        <v>209</v>
      </c>
      <c r="J1003" s="139">
        <v>32</v>
      </c>
      <c r="K1003" s="143">
        <f>VLOOKUP(Purchase[[#This Row],[Product ID]],Product[#All],6,0)</f>
        <v>46511</v>
      </c>
      <c r="L1003" s="143">
        <f>Purchase[[#This Row],[Purchase Rate]]*Purchase[[#This Row],[Qty]]</f>
        <v>1488352</v>
      </c>
      <c r="M1003" s="140">
        <v>0</v>
      </c>
      <c r="N1003" s="143">
        <v>0</v>
      </c>
      <c r="O1003" s="140">
        <v>0.18</v>
      </c>
      <c r="P1003" s="145">
        <f>(Purchase[[#This Row],[Gross Amount]]-Purchase[[#This Row],[Disct %]])*Purchase[[#This Row],[GST %]]</f>
        <v>267903.35999999999</v>
      </c>
      <c r="Q1003" s="145">
        <f>Purchase[[#This Row],[Gross Amount]]-Purchase[[#This Row],[Disct Amnt]]+Purchase[[#This Row],[GST Amount]]</f>
        <v>1756255.3599999999</v>
      </c>
      <c r="R1003" s="138" t="s">
        <v>1019</v>
      </c>
      <c r="S1003" s="41">
        <f>IF(Purchase[[#This Row],[Status]]="Cancelled",0,Purchase[[#This Row],[Qty]])</f>
        <v>32</v>
      </c>
      <c r="T1003" s="146">
        <f>IF(Purchase[[#This Row],[Status]]="Cancelled",0,Purchase[[#This Row],[Total Amount]])</f>
        <v>1756255.3599999999</v>
      </c>
      <c r="U1003" s="146">
        <f>SUM(Purchase[Net Amount])</f>
        <v>814985438.68000126</v>
      </c>
    </row>
    <row r="1004" spans="1:21" ht="19.5" thickBot="1" x14ac:dyDescent="0.3">
      <c r="A1004" s="136" t="s">
        <v>2046</v>
      </c>
      <c r="B1004" s="137">
        <v>45707</v>
      </c>
      <c r="C1004" s="138" t="s">
        <v>601</v>
      </c>
      <c r="D1004" s="138" t="str">
        <f>VLOOKUP(Purchase[[#This Row],[Supplier ID]],Supplier[#All],2,0)</f>
        <v>Maa Distributors</v>
      </c>
      <c r="E1004" s="138">
        <f>VLOOKUP(Purchase[[#This Row],[Supplier ID]],Supplier[#All],3,0)</f>
        <v>9689542484</v>
      </c>
      <c r="F1004" s="138" t="str">
        <f>VLOOKUP(Purchase[[#This Row],[Supplier ID]],Supplier[#All],4,0)</f>
        <v>Indore</v>
      </c>
      <c r="G1004" s="138" t="str">
        <f>VLOOKUP(Purchase[[#This Row],[Supplier ID]],Supplier[#All],5,0)</f>
        <v>MP</v>
      </c>
      <c r="H1004" s="138" t="str">
        <f>VLOOKUP(Purchase[[#This Row],[Supplier ID]],Supplier[#All],6,0)</f>
        <v>GST2154521T046</v>
      </c>
      <c r="I1004" s="138" t="s">
        <v>311</v>
      </c>
      <c r="J1004" s="139">
        <v>16</v>
      </c>
      <c r="K1004" s="143">
        <f>VLOOKUP(Purchase[[#This Row],[Product ID]],Product[#All],6,0)</f>
        <v>471</v>
      </c>
      <c r="L1004" s="143">
        <f>Purchase[[#This Row],[Purchase Rate]]*Purchase[[#This Row],[Qty]]</f>
        <v>7536</v>
      </c>
      <c r="M1004" s="140">
        <v>0</v>
      </c>
      <c r="N1004" s="143">
        <v>0</v>
      </c>
      <c r="O1004" s="140">
        <v>0.18</v>
      </c>
      <c r="P1004" s="145">
        <f>(Purchase[[#This Row],[Gross Amount]]-Purchase[[#This Row],[Disct %]])*Purchase[[#This Row],[GST %]]</f>
        <v>1356.48</v>
      </c>
      <c r="Q1004" s="145">
        <f>Purchase[[#This Row],[Gross Amount]]-Purchase[[#This Row],[Disct Amnt]]+Purchase[[#This Row],[GST Amount]]</f>
        <v>8892.48</v>
      </c>
      <c r="R1004" s="138" t="s">
        <v>1019</v>
      </c>
      <c r="S1004" s="41">
        <f>IF(Purchase[[#This Row],[Status]]="Cancelled",0,Purchase[[#This Row],[Qty]])</f>
        <v>16</v>
      </c>
      <c r="T1004" s="146">
        <f>IF(Purchase[[#This Row],[Status]]="Cancelled",0,Purchase[[#This Row],[Total Amount]])</f>
        <v>8892.48</v>
      </c>
      <c r="U1004" s="146">
        <f>SUM(Purchase[Net Amount])</f>
        <v>814985438.68000126</v>
      </c>
    </row>
    <row r="1005" spans="1:21" ht="19.5" thickBot="1" x14ac:dyDescent="0.3">
      <c r="A1005" s="136" t="s">
        <v>2047</v>
      </c>
      <c r="B1005" s="137">
        <v>45707</v>
      </c>
      <c r="C1005" s="138" t="s">
        <v>576</v>
      </c>
      <c r="D1005" s="138" t="str">
        <f>VLOOKUP(Purchase[[#This Row],[Supplier ID]],Supplier[#All],2,0)</f>
        <v>Maa Distributors</v>
      </c>
      <c r="E1005" s="138">
        <f>VLOOKUP(Purchase[[#This Row],[Supplier ID]],Supplier[#All],3,0)</f>
        <v>9689542460</v>
      </c>
      <c r="F1005" s="138" t="str">
        <f>VLOOKUP(Purchase[[#This Row],[Supplier ID]],Supplier[#All],4,0)</f>
        <v>Korba</v>
      </c>
      <c r="G1005" s="138" t="str">
        <f>VLOOKUP(Purchase[[#This Row],[Supplier ID]],Supplier[#All],5,0)</f>
        <v>CG</v>
      </c>
      <c r="H1005" s="138" t="str">
        <f>VLOOKUP(Purchase[[#This Row],[Supplier ID]],Supplier[#All],6,0)</f>
        <v>GST2154521T022</v>
      </c>
      <c r="I1005" s="138" t="s">
        <v>148</v>
      </c>
      <c r="J1005" s="139">
        <v>6</v>
      </c>
      <c r="K1005" s="143">
        <f>VLOOKUP(Purchase[[#This Row],[Product ID]],Product[#All],6,0)</f>
        <v>17657</v>
      </c>
      <c r="L1005" s="143">
        <f>Purchase[[#This Row],[Purchase Rate]]*Purchase[[#This Row],[Qty]]</f>
        <v>105942</v>
      </c>
      <c r="M1005" s="140">
        <v>0</v>
      </c>
      <c r="N1005" s="143">
        <v>0</v>
      </c>
      <c r="O1005" s="140">
        <v>0.18</v>
      </c>
      <c r="P1005" s="145">
        <f>(Purchase[[#This Row],[Gross Amount]]-Purchase[[#This Row],[Disct %]])*Purchase[[#This Row],[GST %]]</f>
        <v>19069.559999999998</v>
      </c>
      <c r="Q1005" s="145">
        <f>Purchase[[#This Row],[Gross Amount]]-Purchase[[#This Row],[Disct Amnt]]+Purchase[[#This Row],[GST Amount]]</f>
        <v>125011.56</v>
      </c>
      <c r="R1005" s="138" t="s">
        <v>1040</v>
      </c>
      <c r="S1005" s="41">
        <f>IF(Purchase[[#This Row],[Status]]="Cancelled",0,Purchase[[#This Row],[Qty]])</f>
        <v>0</v>
      </c>
      <c r="T1005" s="146">
        <f>IF(Purchase[[#This Row],[Status]]="Cancelled",0,Purchase[[#This Row],[Total Amount]])</f>
        <v>0</v>
      </c>
      <c r="U1005" s="146">
        <f>SUM(Purchase[Net Amount])</f>
        <v>814985438.68000126</v>
      </c>
    </row>
    <row r="1006" spans="1:21" ht="19.5" thickBot="1" x14ac:dyDescent="0.3">
      <c r="A1006" s="136" t="s">
        <v>2048</v>
      </c>
      <c r="B1006" s="137">
        <v>45707</v>
      </c>
      <c r="C1006" s="138" t="s">
        <v>584</v>
      </c>
      <c r="D1006" s="138" t="str">
        <f>VLOOKUP(Purchase[[#This Row],[Supplier ID]],Supplier[#All],2,0)</f>
        <v>Prime Computers</v>
      </c>
      <c r="E1006" s="138">
        <f>VLOOKUP(Purchase[[#This Row],[Supplier ID]],Supplier[#All],3,0)</f>
        <v>9689542468</v>
      </c>
      <c r="F1006" s="138" t="str">
        <f>VLOOKUP(Purchase[[#This Row],[Supplier ID]],Supplier[#All],4,0)</f>
        <v>Kanpur</v>
      </c>
      <c r="G1006" s="138" t="str">
        <f>VLOOKUP(Purchase[[#This Row],[Supplier ID]],Supplier[#All],5,0)</f>
        <v>UP</v>
      </c>
      <c r="H1006" s="138" t="str">
        <f>VLOOKUP(Purchase[[#This Row],[Supplier ID]],Supplier[#All],6,0)</f>
        <v>GST2154521T030</v>
      </c>
      <c r="I1006" s="138" t="s">
        <v>538</v>
      </c>
      <c r="J1006" s="139">
        <v>10</v>
      </c>
      <c r="K1006" s="143">
        <f>VLOOKUP(Purchase[[#This Row],[Product ID]],Product[#All],6,0)</f>
        <v>36513</v>
      </c>
      <c r="L1006" s="143">
        <f>Purchase[[#This Row],[Purchase Rate]]*Purchase[[#This Row],[Qty]]</f>
        <v>365130</v>
      </c>
      <c r="M1006" s="140">
        <v>0</v>
      </c>
      <c r="N1006" s="143">
        <v>0</v>
      </c>
      <c r="O1006" s="140">
        <v>0.18</v>
      </c>
      <c r="P1006" s="145">
        <f>(Purchase[[#This Row],[Gross Amount]]-Purchase[[#This Row],[Disct %]])*Purchase[[#This Row],[GST %]]</f>
        <v>65723.399999999994</v>
      </c>
      <c r="Q1006" s="145">
        <f>Purchase[[#This Row],[Gross Amount]]-Purchase[[#This Row],[Disct Amnt]]+Purchase[[#This Row],[GST Amount]]</f>
        <v>430853.4</v>
      </c>
      <c r="R1006" s="138" t="s">
        <v>1019</v>
      </c>
      <c r="S1006" s="41">
        <f>IF(Purchase[[#This Row],[Status]]="Cancelled",0,Purchase[[#This Row],[Qty]])</f>
        <v>10</v>
      </c>
      <c r="T1006" s="146">
        <f>IF(Purchase[[#This Row],[Status]]="Cancelled",0,Purchase[[#This Row],[Total Amount]])</f>
        <v>430853.4</v>
      </c>
      <c r="U1006" s="146">
        <f>SUM(Purchase[Net Amount])</f>
        <v>814985438.68000126</v>
      </c>
    </row>
    <row r="1007" spans="1:21" ht="19.5" thickBot="1" x14ac:dyDescent="0.3">
      <c r="A1007" s="136" t="s">
        <v>2049</v>
      </c>
      <c r="B1007" s="137">
        <v>45707</v>
      </c>
      <c r="C1007" s="138" t="s">
        <v>584</v>
      </c>
      <c r="D1007" s="138" t="str">
        <f>VLOOKUP(Purchase[[#This Row],[Supplier ID]],Supplier[#All],2,0)</f>
        <v>Prime Computers</v>
      </c>
      <c r="E1007" s="138">
        <f>VLOOKUP(Purchase[[#This Row],[Supplier ID]],Supplier[#All],3,0)</f>
        <v>9689542468</v>
      </c>
      <c r="F1007" s="138" t="str">
        <f>VLOOKUP(Purchase[[#This Row],[Supplier ID]],Supplier[#All],4,0)</f>
        <v>Kanpur</v>
      </c>
      <c r="G1007" s="138" t="str">
        <f>VLOOKUP(Purchase[[#This Row],[Supplier ID]],Supplier[#All],5,0)</f>
        <v>UP</v>
      </c>
      <c r="H1007" s="138" t="str">
        <f>VLOOKUP(Purchase[[#This Row],[Supplier ID]],Supplier[#All],6,0)</f>
        <v>GST2154521T030</v>
      </c>
      <c r="I1007" s="138" t="s">
        <v>4</v>
      </c>
      <c r="J1007" s="139">
        <v>20</v>
      </c>
      <c r="K1007" s="143">
        <f>VLOOKUP(Purchase[[#This Row],[Product ID]],Product[#All],6,0)</f>
        <v>38884</v>
      </c>
      <c r="L1007" s="143">
        <f>Purchase[[#This Row],[Purchase Rate]]*Purchase[[#This Row],[Qty]]</f>
        <v>777680</v>
      </c>
      <c r="M1007" s="140">
        <v>0</v>
      </c>
      <c r="N1007" s="143">
        <v>0</v>
      </c>
      <c r="O1007" s="140">
        <v>0.18</v>
      </c>
      <c r="P1007" s="145">
        <f>(Purchase[[#This Row],[Gross Amount]]-Purchase[[#This Row],[Disct %]])*Purchase[[#This Row],[GST %]]</f>
        <v>139982.39999999999</v>
      </c>
      <c r="Q1007" s="145">
        <f>Purchase[[#This Row],[Gross Amount]]-Purchase[[#This Row],[Disct Amnt]]+Purchase[[#This Row],[GST Amount]]</f>
        <v>917662.4</v>
      </c>
      <c r="R1007" s="138" t="s">
        <v>1019</v>
      </c>
      <c r="S1007" s="41">
        <f>IF(Purchase[[#This Row],[Status]]="Cancelled",0,Purchase[[#This Row],[Qty]])</f>
        <v>20</v>
      </c>
      <c r="T1007" s="146">
        <f>IF(Purchase[[#This Row],[Status]]="Cancelled",0,Purchase[[#This Row],[Total Amount]])</f>
        <v>917662.4</v>
      </c>
      <c r="U1007" s="146">
        <f>SUM(Purchase[Net Amount])</f>
        <v>814985438.68000126</v>
      </c>
    </row>
    <row r="1008" spans="1:21" ht="19.5" thickBot="1" x14ac:dyDescent="0.3">
      <c r="A1008" s="136" t="s">
        <v>2050</v>
      </c>
      <c r="B1008" s="137">
        <v>45707</v>
      </c>
      <c r="C1008" s="138" t="s">
        <v>566</v>
      </c>
      <c r="D1008" s="138" t="str">
        <f>VLOOKUP(Purchase[[#This Row],[Supplier ID]],Supplier[#All],2,0)</f>
        <v>Maa Computers</v>
      </c>
      <c r="E1008" s="138">
        <f>VLOOKUP(Purchase[[#This Row],[Supplier ID]],Supplier[#All],3,0)</f>
        <v>9689542452</v>
      </c>
      <c r="F1008" s="138" t="str">
        <f>VLOOKUP(Purchase[[#This Row],[Supplier ID]],Supplier[#All],4,0)</f>
        <v>Kanpur</v>
      </c>
      <c r="G1008" s="138" t="str">
        <f>VLOOKUP(Purchase[[#This Row],[Supplier ID]],Supplier[#All],5,0)</f>
        <v>UP</v>
      </c>
      <c r="H1008" s="138" t="str">
        <f>VLOOKUP(Purchase[[#This Row],[Supplier ID]],Supplier[#All],6,0)</f>
        <v>GST2154521T014</v>
      </c>
      <c r="I1008" s="138" t="s">
        <v>223</v>
      </c>
      <c r="J1008" s="139">
        <v>7</v>
      </c>
      <c r="K1008" s="143">
        <f>VLOOKUP(Purchase[[#This Row],[Product ID]],Product[#All],6,0)</f>
        <v>8461</v>
      </c>
      <c r="L1008" s="143">
        <f>Purchase[[#This Row],[Purchase Rate]]*Purchase[[#This Row],[Qty]]</f>
        <v>59227</v>
      </c>
      <c r="M1008" s="140">
        <v>0</v>
      </c>
      <c r="N1008" s="143">
        <v>0</v>
      </c>
      <c r="O1008" s="140">
        <v>0.18</v>
      </c>
      <c r="P1008" s="145">
        <f>(Purchase[[#This Row],[Gross Amount]]-Purchase[[#This Row],[Disct %]])*Purchase[[#This Row],[GST %]]</f>
        <v>10660.859999999999</v>
      </c>
      <c r="Q1008" s="145">
        <f>Purchase[[#This Row],[Gross Amount]]-Purchase[[#This Row],[Disct Amnt]]+Purchase[[#This Row],[GST Amount]]</f>
        <v>69887.86</v>
      </c>
      <c r="R1008" s="138" t="s">
        <v>1019</v>
      </c>
      <c r="S1008" s="41">
        <f>IF(Purchase[[#This Row],[Status]]="Cancelled",0,Purchase[[#This Row],[Qty]])</f>
        <v>7</v>
      </c>
      <c r="T1008" s="146">
        <f>IF(Purchase[[#This Row],[Status]]="Cancelled",0,Purchase[[#This Row],[Total Amount]])</f>
        <v>69887.86</v>
      </c>
      <c r="U1008" s="146">
        <f>SUM(Purchase[Net Amount])</f>
        <v>814985438.68000126</v>
      </c>
    </row>
    <row r="1009" spans="1:21" ht="19.5" thickBot="1" x14ac:dyDescent="0.3">
      <c r="A1009" s="136" t="s">
        <v>2051</v>
      </c>
      <c r="B1009" s="137">
        <v>45707</v>
      </c>
      <c r="C1009" s="138" t="s">
        <v>579</v>
      </c>
      <c r="D1009" s="138" t="str">
        <f>VLOOKUP(Purchase[[#This Row],[Supplier ID]],Supplier[#All],2,0)</f>
        <v>Tech Traders</v>
      </c>
      <c r="E1009" s="138">
        <f>VLOOKUP(Purchase[[#This Row],[Supplier ID]],Supplier[#All],3,0)</f>
        <v>9689542463</v>
      </c>
      <c r="F1009" s="138" t="str">
        <f>VLOOKUP(Purchase[[#This Row],[Supplier ID]],Supplier[#All],4,0)</f>
        <v>Kanpur</v>
      </c>
      <c r="G1009" s="138" t="str">
        <f>VLOOKUP(Purchase[[#This Row],[Supplier ID]],Supplier[#All],5,0)</f>
        <v>UP</v>
      </c>
      <c r="H1009" s="138" t="str">
        <f>VLOOKUP(Purchase[[#This Row],[Supplier ID]],Supplier[#All],6,0)</f>
        <v>GST2154521T025</v>
      </c>
      <c r="I1009" s="138" t="s">
        <v>323</v>
      </c>
      <c r="J1009" s="139">
        <v>23</v>
      </c>
      <c r="K1009" s="143">
        <f>VLOOKUP(Purchase[[#This Row],[Product ID]],Product[#All],6,0)</f>
        <v>36082</v>
      </c>
      <c r="L1009" s="143">
        <f>Purchase[[#This Row],[Purchase Rate]]*Purchase[[#This Row],[Qty]]</f>
        <v>829886</v>
      </c>
      <c r="M1009" s="140">
        <v>0</v>
      </c>
      <c r="N1009" s="143">
        <v>0</v>
      </c>
      <c r="O1009" s="140">
        <v>0.18</v>
      </c>
      <c r="P1009" s="145">
        <f>(Purchase[[#This Row],[Gross Amount]]-Purchase[[#This Row],[Disct %]])*Purchase[[#This Row],[GST %]]</f>
        <v>149379.47999999998</v>
      </c>
      <c r="Q1009" s="145">
        <f>Purchase[[#This Row],[Gross Amount]]-Purchase[[#This Row],[Disct Amnt]]+Purchase[[#This Row],[GST Amount]]</f>
        <v>979265.48</v>
      </c>
      <c r="R1009" s="138" t="s">
        <v>1019</v>
      </c>
      <c r="S1009" s="41">
        <f>IF(Purchase[[#This Row],[Status]]="Cancelled",0,Purchase[[#This Row],[Qty]])</f>
        <v>23</v>
      </c>
      <c r="T1009" s="146">
        <f>IF(Purchase[[#This Row],[Status]]="Cancelled",0,Purchase[[#This Row],[Total Amount]])</f>
        <v>979265.48</v>
      </c>
      <c r="U1009" s="146">
        <f>SUM(Purchase[Net Amount])</f>
        <v>814985438.68000126</v>
      </c>
    </row>
    <row r="1010" spans="1:21" ht="19.5" thickBot="1" x14ac:dyDescent="0.3">
      <c r="A1010" s="136" t="s">
        <v>2052</v>
      </c>
      <c r="B1010" s="137">
        <v>45707</v>
      </c>
      <c r="C1010" s="138" t="s">
        <v>608</v>
      </c>
      <c r="D1010" s="138" t="str">
        <f>VLOOKUP(Purchase[[#This Row],[Supplier ID]],Supplier[#All],2,0)</f>
        <v>Global Suppliers</v>
      </c>
      <c r="E1010" s="138">
        <f>VLOOKUP(Purchase[[#This Row],[Supplier ID]],Supplier[#All],3,0)</f>
        <v>9689542499</v>
      </c>
      <c r="F1010" s="138" t="str">
        <f>VLOOKUP(Purchase[[#This Row],[Supplier ID]],Supplier[#All],4,0)</f>
        <v>Korba</v>
      </c>
      <c r="G1010" s="138" t="str">
        <f>VLOOKUP(Purchase[[#This Row],[Supplier ID]],Supplier[#All],5,0)</f>
        <v>CG</v>
      </c>
      <c r="H1010" s="138" t="str">
        <f>VLOOKUP(Purchase[[#This Row],[Supplier ID]],Supplier[#All],6,0)</f>
        <v>GST2154521T053</v>
      </c>
      <c r="I1010" s="138" t="s">
        <v>251</v>
      </c>
      <c r="J1010" s="139">
        <v>19</v>
      </c>
      <c r="K1010" s="143">
        <f>VLOOKUP(Purchase[[#This Row],[Product ID]],Product[#All],6,0)</f>
        <v>2536</v>
      </c>
      <c r="L1010" s="143">
        <f>Purchase[[#This Row],[Purchase Rate]]*Purchase[[#This Row],[Qty]]</f>
        <v>48184</v>
      </c>
      <c r="M1010" s="140">
        <v>0</v>
      </c>
      <c r="N1010" s="143">
        <v>0</v>
      </c>
      <c r="O1010" s="140">
        <v>0.18</v>
      </c>
      <c r="P1010" s="145">
        <f>(Purchase[[#This Row],[Gross Amount]]-Purchase[[#This Row],[Disct %]])*Purchase[[#This Row],[GST %]]</f>
        <v>8673.119999999999</v>
      </c>
      <c r="Q1010" s="145">
        <f>Purchase[[#This Row],[Gross Amount]]-Purchase[[#This Row],[Disct Amnt]]+Purchase[[#This Row],[GST Amount]]</f>
        <v>56857.119999999995</v>
      </c>
      <c r="R1010" s="138" t="s">
        <v>1019</v>
      </c>
      <c r="S1010" s="41">
        <f>IF(Purchase[[#This Row],[Status]]="Cancelled",0,Purchase[[#This Row],[Qty]])</f>
        <v>19</v>
      </c>
      <c r="T1010" s="146">
        <f>IF(Purchase[[#This Row],[Status]]="Cancelled",0,Purchase[[#This Row],[Total Amount]])</f>
        <v>56857.119999999995</v>
      </c>
      <c r="U1010" s="146">
        <f>SUM(Purchase[Net Amount])</f>
        <v>814985438.68000126</v>
      </c>
    </row>
    <row r="1011" spans="1:21" ht="19.5" thickBot="1" x14ac:dyDescent="0.3">
      <c r="A1011" s="136" t="s">
        <v>2053</v>
      </c>
      <c r="B1011" s="137">
        <v>45707</v>
      </c>
      <c r="C1011" s="138" t="s">
        <v>606</v>
      </c>
      <c r="D1011" s="138" t="str">
        <f>VLOOKUP(Purchase[[#This Row],[Supplier ID]],Supplier[#All],2,0)</f>
        <v>Prime Traders</v>
      </c>
      <c r="E1011" s="138">
        <f>VLOOKUP(Purchase[[#This Row],[Supplier ID]],Supplier[#All],3,0)</f>
        <v>9689542489</v>
      </c>
      <c r="F1011" s="138" t="str">
        <f>VLOOKUP(Purchase[[#This Row],[Supplier ID]],Supplier[#All],4,0)</f>
        <v>Indore</v>
      </c>
      <c r="G1011" s="138" t="str">
        <f>VLOOKUP(Purchase[[#This Row],[Supplier ID]],Supplier[#All],5,0)</f>
        <v>MP</v>
      </c>
      <c r="H1011" s="138" t="str">
        <f>VLOOKUP(Purchase[[#This Row],[Supplier ID]],Supplier[#All],6,0)</f>
        <v>GST2154521T051</v>
      </c>
      <c r="I1011" s="138" t="s">
        <v>403</v>
      </c>
      <c r="J1011" s="139">
        <v>28</v>
      </c>
      <c r="K1011" s="143">
        <f>VLOOKUP(Purchase[[#This Row],[Product ID]],Product[#All],6,0)</f>
        <v>13869</v>
      </c>
      <c r="L1011" s="143">
        <f>Purchase[[#This Row],[Purchase Rate]]*Purchase[[#This Row],[Qty]]</f>
        <v>388332</v>
      </c>
      <c r="M1011" s="140">
        <v>0</v>
      </c>
      <c r="N1011" s="143">
        <v>0</v>
      </c>
      <c r="O1011" s="140">
        <v>0.18</v>
      </c>
      <c r="P1011" s="145">
        <f>(Purchase[[#This Row],[Gross Amount]]-Purchase[[#This Row],[Disct %]])*Purchase[[#This Row],[GST %]]</f>
        <v>69899.759999999995</v>
      </c>
      <c r="Q1011" s="145">
        <f>Purchase[[#This Row],[Gross Amount]]-Purchase[[#This Row],[Disct Amnt]]+Purchase[[#This Row],[GST Amount]]</f>
        <v>458231.76</v>
      </c>
      <c r="R1011" s="138" t="s">
        <v>1019</v>
      </c>
      <c r="S1011" s="41">
        <f>IF(Purchase[[#This Row],[Status]]="Cancelled",0,Purchase[[#This Row],[Qty]])</f>
        <v>28</v>
      </c>
      <c r="T1011" s="146">
        <f>IF(Purchase[[#This Row],[Status]]="Cancelled",0,Purchase[[#This Row],[Total Amount]])</f>
        <v>458231.76</v>
      </c>
      <c r="U1011" s="146">
        <f>SUM(Purchase[Net Amount])</f>
        <v>814985438.68000126</v>
      </c>
    </row>
    <row r="1012" spans="1:21" ht="19.5" thickBot="1" x14ac:dyDescent="0.3">
      <c r="A1012" s="136" t="s">
        <v>2054</v>
      </c>
      <c r="B1012" s="137">
        <v>45707</v>
      </c>
      <c r="C1012" s="138" t="s">
        <v>610</v>
      </c>
      <c r="D1012" s="138" t="str">
        <f>VLOOKUP(Purchase[[#This Row],[Supplier ID]],Supplier[#All],2,0)</f>
        <v>Shree Electronics</v>
      </c>
      <c r="E1012" s="138">
        <f>VLOOKUP(Purchase[[#This Row],[Supplier ID]],Supplier[#All],3,0)</f>
        <v>9689542493</v>
      </c>
      <c r="F1012" s="138" t="str">
        <f>VLOOKUP(Purchase[[#This Row],[Supplier ID]],Supplier[#All],4,0)</f>
        <v>Kanpur</v>
      </c>
      <c r="G1012" s="138" t="str">
        <f>VLOOKUP(Purchase[[#This Row],[Supplier ID]],Supplier[#All],5,0)</f>
        <v>UP</v>
      </c>
      <c r="H1012" s="138" t="str">
        <f>VLOOKUP(Purchase[[#This Row],[Supplier ID]],Supplier[#All],6,0)</f>
        <v>GST2154521T055</v>
      </c>
      <c r="I1012" s="138" t="s">
        <v>26</v>
      </c>
      <c r="J1012" s="139">
        <v>19</v>
      </c>
      <c r="K1012" s="143">
        <f>VLOOKUP(Purchase[[#This Row],[Product ID]],Product[#All],6,0)</f>
        <v>18890</v>
      </c>
      <c r="L1012" s="143">
        <f>Purchase[[#This Row],[Purchase Rate]]*Purchase[[#This Row],[Qty]]</f>
        <v>358910</v>
      </c>
      <c r="M1012" s="140">
        <v>0</v>
      </c>
      <c r="N1012" s="143">
        <v>0</v>
      </c>
      <c r="O1012" s="140">
        <v>0.18</v>
      </c>
      <c r="P1012" s="145">
        <f>(Purchase[[#This Row],[Gross Amount]]-Purchase[[#This Row],[Disct %]])*Purchase[[#This Row],[GST %]]</f>
        <v>64603.799999999996</v>
      </c>
      <c r="Q1012" s="145">
        <f>Purchase[[#This Row],[Gross Amount]]-Purchase[[#This Row],[Disct Amnt]]+Purchase[[#This Row],[GST Amount]]</f>
        <v>423513.8</v>
      </c>
      <c r="R1012" s="138" t="s">
        <v>1019</v>
      </c>
      <c r="S1012" s="41">
        <f>IF(Purchase[[#This Row],[Status]]="Cancelled",0,Purchase[[#This Row],[Qty]])</f>
        <v>19</v>
      </c>
      <c r="T1012" s="146">
        <f>IF(Purchase[[#This Row],[Status]]="Cancelled",0,Purchase[[#This Row],[Total Amount]])</f>
        <v>423513.8</v>
      </c>
      <c r="U1012" s="146">
        <f>SUM(Purchase[Net Amount])</f>
        <v>814985438.68000126</v>
      </c>
    </row>
    <row r="1013" spans="1:21" ht="19.5" thickBot="1" x14ac:dyDescent="0.3">
      <c r="A1013" s="136" t="s">
        <v>2055</v>
      </c>
      <c r="B1013" s="137">
        <v>45707</v>
      </c>
      <c r="C1013" s="138" t="s">
        <v>599</v>
      </c>
      <c r="D1013" s="138" t="str">
        <f>VLOOKUP(Purchase[[#This Row],[Supplier ID]],Supplier[#All],2,0)</f>
        <v>National Distributors</v>
      </c>
      <c r="E1013" s="138">
        <f>VLOOKUP(Purchase[[#This Row],[Supplier ID]],Supplier[#All],3,0)</f>
        <v>9689542482</v>
      </c>
      <c r="F1013" s="138" t="str">
        <f>VLOOKUP(Purchase[[#This Row],[Supplier ID]],Supplier[#All],4,0)</f>
        <v>Kanpur</v>
      </c>
      <c r="G1013" s="138" t="str">
        <f>VLOOKUP(Purchase[[#This Row],[Supplier ID]],Supplier[#All],5,0)</f>
        <v>UP</v>
      </c>
      <c r="H1013" s="138" t="str">
        <f>VLOOKUP(Purchase[[#This Row],[Supplier ID]],Supplier[#All],6,0)</f>
        <v>GST2154521T044</v>
      </c>
      <c r="I1013" s="138" t="s">
        <v>489</v>
      </c>
      <c r="J1013" s="139">
        <v>27</v>
      </c>
      <c r="K1013" s="143">
        <f>VLOOKUP(Purchase[[#This Row],[Product ID]],Product[#All],6,0)</f>
        <v>6471</v>
      </c>
      <c r="L1013" s="143">
        <f>Purchase[[#This Row],[Purchase Rate]]*Purchase[[#This Row],[Qty]]</f>
        <v>174717</v>
      </c>
      <c r="M1013" s="140">
        <v>0</v>
      </c>
      <c r="N1013" s="143">
        <v>0</v>
      </c>
      <c r="O1013" s="140">
        <v>0.18</v>
      </c>
      <c r="P1013" s="145">
        <f>(Purchase[[#This Row],[Gross Amount]]-Purchase[[#This Row],[Disct %]])*Purchase[[#This Row],[GST %]]</f>
        <v>31449.059999999998</v>
      </c>
      <c r="Q1013" s="145">
        <f>Purchase[[#This Row],[Gross Amount]]-Purchase[[#This Row],[Disct Amnt]]+Purchase[[#This Row],[GST Amount]]</f>
        <v>206166.06</v>
      </c>
      <c r="R1013" s="138" t="s">
        <v>1019</v>
      </c>
      <c r="S1013" s="41">
        <f>IF(Purchase[[#This Row],[Status]]="Cancelled",0,Purchase[[#This Row],[Qty]])</f>
        <v>27</v>
      </c>
      <c r="T1013" s="146">
        <f>IF(Purchase[[#This Row],[Status]]="Cancelled",0,Purchase[[#This Row],[Total Amount]])</f>
        <v>206166.06</v>
      </c>
      <c r="U1013" s="146">
        <f>SUM(Purchase[Net Amount])</f>
        <v>814985438.68000126</v>
      </c>
    </row>
    <row r="1014" spans="1:21" ht="19.5" thickBot="1" x14ac:dyDescent="0.3">
      <c r="A1014" s="136" t="s">
        <v>2056</v>
      </c>
      <c r="B1014" s="137">
        <v>45707</v>
      </c>
      <c r="C1014" s="138" t="s">
        <v>2057</v>
      </c>
      <c r="D1014" s="138" t="str">
        <f>VLOOKUP(Purchase[[#This Row],[Supplier ID]],Supplier[#All],2,0)</f>
        <v>Maa Computers</v>
      </c>
      <c r="E1014" s="138">
        <f>VLOOKUP(Purchase[[#This Row],[Supplier ID]],Supplier[#All],3,0)</f>
        <v>9689542454</v>
      </c>
      <c r="F1014" s="138" t="str">
        <f>VLOOKUP(Purchase[[#This Row],[Supplier ID]],Supplier[#All],4,0)</f>
        <v>Korba</v>
      </c>
      <c r="G1014" s="138" t="str">
        <f>VLOOKUP(Purchase[[#This Row],[Supplier ID]],Supplier[#All],5,0)</f>
        <v>CG</v>
      </c>
      <c r="H1014" s="138" t="str">
        <f>VLOOKUP(Purchase[[#This Row],[Supplier ID]],Supplier[#All],6,0)</f>
        <v>GST2154521T016</v>
      </c>
      <c r="I1014" s="138" t="s">
        <v>211</v>
      </c>
      <c r="J1014" s="139">
        <v>32</v>
      </c>
      <c r="K1014" s="143">
        <f>VLOOKUP(Purchase[[#This Row],[Product ID]],Product[#All],6,0)</f>
        <v>13782</v>
      </c>
      <c r="L1014" s="143">
        <f>Purchase[[#This Row],[Purchase Rate]]*Purchase[[#This Row],[Qty]]</f>
        <v>441024</v>
      </c>
      <c r="M1014" s="140">
        <v>0</v>
      </c>
      <c r="N1014" s="143">
        <v>0</v>
      </c>
      <c r="O1014" s="140">
        <v>0.18</v>
      </c>
      <c r="P1014" s="145">
        <f>(Purchase[[#This Row],[Gross Amount]]-Purchase[[#This Row],[Disct %]])*Purchase[[#This Row],[GST %]]</f>
        <v>79384.319999999992</v>
      </c>
      <c r="Q1014" s="145">
        <f>Purchase[[#This Row],[Gross Amount]]-Purchase[[#This Row],[Disct Amnt]]+Purchase[[#This Row],[GST Amount]]</f>
        <v>520408.32000000001</v>
      </c>
      <c r="R1014" s="138" t="s">
        <v>1019</v>
      </c>
      <c r="S1014" s="41">
        <f>IF(Purchase[[#This Row],[Status]]="Cancelled",0,Purchase[[#This Row],[Qty]])</f>
        <v>32</v>
      </c>
      <c r="T1014" s="146">
        <f>IF(Purchase[[#This Row],[Status]]="Cancelled",0,Purchase[[#This Row],[Total Amount]])</f>
        <v>520408.32000000001</v>
      </c>
      <c r="U1014" s="146">
        <f>SUM(Purchase[Net Amount])</f>
        <v>814985438.68000126</v>
      </c>
    </row>
    <row r="1015" spans="1:21" ht="19.5" thickBot="1" x14ac:dyDescent="0.3">
      <c r="A1015" s="136" t="s">
        <v>2058</v>
      </c>
      <c r="B1015" s="137">
        <v>45707</v>
      </c>
      <c r="C1015" s="138" t="s">
        <v>583</v>
      </c>
      <c r="D1015" s="138" t="str">
        <f>VLOOKUP(Purchase[[#This Row],[Supplier ID]],Supplier[#All],2,0)</f>
        <v>Shree Distributors</v>
      </c>
      <c r="E1015" s="138">
        <f>VLOOKUP(Purchase[[#This Row],[Supplier ID]],Supplier[#All],3,0)</f>
        <v>9689542467</v>
      </c>
      <c r="F1015" s="138" t="str">
        <f>VLOOKUP(Purchase[[#This Row],[Supplier ID]],Supplier[#All],4,0)</f>
        <v>Indore</v>
      </c>
      <c r="G1015" s="138" t="str">
        <f>VLOOKUP(Purchase[[#This Row],[Supplier ID]],Supplier[#All],5,0)</f>
        <v>MP</v>
      </c>
      <c r="H1015" s="138" t="str">
        <f>VLOOKUP(Purchase[[#This Row],[Supplier ID]],Supplier[#All],6,0)</f>
        <v>GST2154521T029</v>
      </c>
      <c r="I1015" s="138" t="s">
        <v>539</v>
      </c>
      <c r="J1015" s="139">
        <v>26</v>
      </c>
      <c r="K1015" s="143">
        <f>VLOOKUP(Purchase[[#This Row],[Product ID]],Product[#All],6,0)</f>
        <v>21269</v>
      </c>
      <c r="L1015" s="143">
        <f>Purchase[[#This Row],[Purchase Rate]]*Purchase[[#This Row],[Qty]]</f>
        <v>552994</v>
      </c>
      <c r="M1015" s="140">
        <v>0</v>
      </c>
      <c r="N1015" s="143">
        <v>0</v>
      </c>
      <c r="O1015" s="140">
        <v>0.18</v>
      </c>
      <c r="P1015" s="145">
        <f>(Purchase[[#This Row],[Gross Amount]]-Purchase[[#This Row],[Disct %]])*Purchase[[#This Row],[GST %]]</f>
        <v>99538.92</v>
      </c>
      <c r="Q1015" s="145">
        <f>Purchase[[#This Row],[Gross Amount]]-Purchase[[#This Row],[Disct Amnt]]+Purchase[[#This Row],[GST Amount]]</f>
        <v>652532.92000000004</v>
      </c>
      <c r="R1015" s="138" t="s">
        <v>1019</v>
      </c>
      <c r="S1015" s="41">
        <f>IF(Purchase[[#This Row],[Status]]="Cancelled",0,Purchase[[#This Row],[Qty]])</f>
        <v>26</v>
      </c>
      <c r="T1015" s="146">
        <f>IF(Purchase[[#This Row],[Status]]="Cancelled",0,Purchase[[#This Row],[Total Amount]])</f>
        <v>652532.92000000004</v>
      </c>
      <c r="U1015" s="146">
        <f>SUM(Purchase[Net Amount])</f>
        <v>814985438.68000126</v>
      </c>
    </row>
    <row r="1016" spans="1:21" ht="19.5" thickBot="1" x14ac:dyDescent="0.3">
      <c r="A1016" s="136" t="s">
        <v>2059</v>
      </c>
      <c r="B1016" s="137">
        <v>45707</v>
      </c>
      <c r="C1016" s="138" t="s">
        <v>590</v>
      </c>
      <c r="D1016" s="138" t="str">
        <f>VLOOKUP(Purchase[[#This Row],[Supplier ID]],Supplier[#All],2,0)</f>
        <v>Star Distributors</v>
      </c>
      <c r="E1016" s="138">
        <f>VLOOKUP(Purchase[[#This Row],[Supplier ID]],Supplier[#All],3,0)</f>
        <v>9689542474</v>
      </c>
      <c r="F1016" s="138" t="str">
        <f>VLOOKUP(Purchase[[#This Row],[Supplier ID]],Supplier[#All],4,0)</f>
        <v>Kanpur</v>
      </c>
      <c r="G1016" s="138" t="str">
        <f>VLOOKUP(Purchase[[#This Row],[Supplier ID]],Supplier[#All],5,0)</f>
        <v>UP</v>
      </c>
      <c r="H1016" s="138" t="str">
        <f>VLOOKUP(Purchase[[#This Row],[Supplier ID]],Supplier[#All],6,0)</f>
        <v>GST2154521T036</v>
      </c>
      <c r="I1016" s="138" t="s">
        <v>295</v>
      </c>
      <c r="J1016" s="139">
        <v>31</v>
      </c>
      <c r="K1016" s="143">
        <f>VLOOKUP(Purchase[[#This Row],[Product ID]],Product[#All],6,0)</f>
        <v>6747</v>
      </c>
      <c r="L1016" s="143">
        <f>Purchase[[#This Row],[Purchase Rate]]*Purchase[[#This Row],[Qty]]</f>
        <v>209157</v>
      </c>
      <c r="M1016" s="140">
        <v>0</v>
      </c>
      <c r="N1016" s="143">
        <v>0</v>
      </c>
      <c r="O1016" s="140">
        <v>0.18</v>
      </c>
      <c r="P1016" s="145">
        <f>(Purchase[[#This Row],[Gross Amount]]-Purchase[[#This Row],[Disct %]])*Purchase[[#This Row],[GST %]]</f>
        <v>37648.26</v>
      </c>
      <c r="Q1016" s="145">
        <f>Purchase[[#This Row],[Gross Amount]]-Purchase[[#This Row],[Disct Amnt]]+Purchase[[#This Row],[GST Amount]]</f>
        <v>246805.26</v>
      </c>
      <c r="R1016" s="138" t="s">
        <v>1019</v>
      </c>
      <c r="S1016" s="41">
        <f>IF(Purchase[[#This Row],[Status]]="Cancelled",0,Purchase[[#This Row],[Qty]])</f>
        <v>31</v>
      </c>
      <c r="T1016" s="146">
        <f>IF(Purchase[[#This Row],[Status]]="Cancelled",0,Purchase[[#This Row],[Total Amount]])</f>
        <v>246805.26</v>
      </c>
      <c r="U1016" s="146">
        <f>SUM(Purchase[Net Amount])</f>
        <v>814985438.68000126</v>
      </c>
    </row>
    <row r="1017" spans="1:21" ht="19.5" thickBot="1" x14ac:dyDescent="0.3">
      <c r="A1017" s="136" t="s">
        <v>2060</v>
      </c>
      <c r="B1017" s="137">
        <v>45707</v>
      </c>
      <c r="C1017" s="138" t="s">
        <v>573</v>
      </c>
      <c r="D1017" s="138" t="str">
        <f>VLOOKUP(Purchase[[#This Row],[Supplier ID]],Supplier[#All],2,0)</f>
        <v>Shree Traders</v>
      </c>
      <c r="E1017" s="138">
        <f>VLOOKUP(Purchase[[#This Row],[Supplier ID]],Supplier[#All],3,0)</f>
        <v>9689542458</v>
      </c>
      <c r="F1017" s="138" t="str">
        <f>VLOOKUP(Purchase[[#This Row],[Supplier ID]],Supplier[#All],4,0)</f>
        <v>Korba</v>
      </c>
      <c r="G1017" s="138" t="str">
        <f>VLOOKUP(Purchase[[#This Row],[Supplier ID]],Supplier[#All],5,0)</f>
        <v>CG</v>
      </c>
      <c r="H1017" s="138" t="str">
        <f>VLOOKUP(Purchase[[#This Row],[Supplier ID]],Supplier[#All],6,0)</f>
        <v>GST2154521T020</v>
      </c>
      <c r="I1017" s="138" t="s">
        <v>287</v>
      </c>
      <c r="J1017" s="139">
        <v>36</v>
      </c>
      <c r="K1017" s="143">
        <f>VLOOKUP(Purchase[[#This Row],[Product ID]],Product[#All],6,0)</f>
        <v>1803</v>
      </c>
      <c r="L1017" s="143">
        <f>Purchase[[#This Row],[Purchase Rate]]*Purchase[[#This Row],[Qty]]</f>
        <v>64908</v>
      </c>
      <c r="M1017" s="140">
        <v>0</v>
      </c>
      <c r="N1017" s="143">
        <v>0</v>
      </c>
      <c r="O1017" s="140">
        <v>0.18</v>
      </c>
      <c r="P1017" s="145">
        <f>(Purchase[[#This Row],[Gross Amount]]-Purchase[[#This Row],[Disct %]])*Purchase[[#This Row],[GST %]]</f>
        <v>11683.439999999999</v>
      </c>
      <c r="Q1017" s="145">
        <f>Purchase[[#This Row],[Gross Amount]]-Purchase[[#This Row],[Disct Amnt]]+Purchase[[#This Row],[GST Amount]]</f>
        <v>76591.44</v>
      </c>
      <c r="R1017" s="138" t="s">
        <v>1019</v>
      </c>
      <c r="S1017" s="41">
        <f>IF(Purchase[[#This Row],[Status]]="Cancelled",0,Purchase[[#This Row],[Qty]])</f>
        <v>36</v>
      </c>
      <c r="T1017" s="146">
        <f>IF(Purchase[[#This Row],[Status]]="Cancelled",0,Purchase[[#This Row],[Total Amount]])</f>
        <v>76591.44</v>
      </c>
      <c r="U1017" s="146">
        <f>SUM(Purchase[Net Amount])</f>
        <v>814985438.68000126</v>
      </c>
    </row>
    <row r="1018" spans="1:21" ht="19.5" thickBot="1" x14ac:dyDescent="0.3">
      <c r="A1018" s="136" t="s">
        <v>2061</v>
      </c>
      <c r="B1018" s="137">
        <v>45707</v>
      </c>
      <c r="C1018" s="138" t="s">
        <v>585</v>
      </c>
      <c r="D1018" s="138" t="str">
        <f>VLOOKUP(Purchase[[#This Row],[Supplier ID]],Supplier[#All],2,0)</f>
        <v>Tech Computers</v>
      </c>
      <c r="E1018" s="138">
        <f>VLOOKUP(Purchase[[#This Row],[Supplier ID]],Supplier[#All],3,0)</f>
        <v>9689542469</v>
      </c>
      <c r="F1018" s="138" t="str">
        <f>VLOOKUP(Purchase[[#This Row],[Supplier ID]],Supplier[#All],4,0)</f>
        <v>Korba</v>
      </c>
      <c r="G1018" s="138" t="str">
        <f>VLOOKUP(Purchase[[#This Row],[Supplier ID]],Supplier[#All],5,0)</f>
        <v>CG</v>
      </c>
      <c r="H1018" s="138" t="str">
        <f>VLOOKUP(Purchase[[#This Row],[Supplier ID]],Supplier[#All],6,0)</f>
        <v>GST2154521T031</v>
      </c>
      <c r="I1018" s="138" t="s">
        <v>389</v>
      </c>
      <c r="J1018" s="139">
        <v>31</v>
      </c>
      <c r="K1018" s="143">
        <f>VLOOKUP(Purchase[[#This Row],[Product ID]],Product[#All],6,0)</f>
        <v>9003</v>
      </c>
      <c r="L1018" s="143">
        <f>Purchase[[#This Row],[Purchase Rate]]*Purchase[[#This Row],[Qty]]</f>
        <v>279093</v>
      </c>
      <c r="M1018" s="140">
        <v>0</v>
      </c>
      <c r="N1018" s="143">
        <v>0</v>
      </c>
      <c r="O1018" s="140">
        <v>0.18</v>
      </c>
      <c r="P1018" s="145">
        <f>(Purchase[[#This Row],[Gross Amount]]-Purchase[[#This Row],[Disct %]])*Purchase[[#This Row],[GST %]]</f>
        <v>50236.74</v>
      </c>
      <c r="Q1018" s="145">
        <f>Purchase[[#This Row],[Gross Amount]]-Purchase[[#This Row],[Disct Amnt]]+Purchase[[#This Row],[GST Amount]]</f>
        <v>329329.74</v>
      </c>
      <c r="R1018" s="138" t="s">
        <v>1019</v>
      </c>
      <c r="S1018" s="41">
        <f>IF(Purchase[[#This Row],[Status]]="Cancelled",0,Purchase[[#This Row],[Qty]])</f>
        <v>31</v>
      </c>
      <c r="T1018" s="146">
        <f>IF(Purchase[[#This Row],[Status]]="Cancelled",0,Purchase[[#This Row],[Total Amount]])</f>
        <v>329329.74</v>
      </c>
      <c r="U1018" s="146">
        <f>SUM(Purchase[Net Amount])</f>
        <v>814985438.68000126</v>
      </c>
    </row>
    <row r="1019" spans="1:21" ht="19.5" thickBot="1" x14ac:dyDescent="0.3">
      <c r="A1019" s="136" t="s">
        <v>2062</v>
      </c>
      <c r="B1019" s="137">
        <v>45707</v>
      </c>
      <c r="C1019" s="138" t="s">
        <v>594</v>
      </c>
      <c r="D1019" s="138" t="str">
        <f>VLOOKUP(Purchase[[#This Row],[Supplier ID]],Supplier[#All],2,0)</f>
        <v>Shree Suppliers</v>
      </c>
      <c r="E1019" s="138">
        <f>VLOOKUP(Purchase[[#This Row],[Supplier ID]],Supplier[#All],3,0)</f>
        <v>9689542477</v>
      </c>
      <c r="F1019" s="138" t="str">
        <f>VLOOKUP(Purchase[[#This Row],[Supplier ID]],Supplier[#All],4,0)</f>
        <v>Indore</v>
      </c>
      <c r="G1019" s="138" t="str">
        <f>VLOOKUP(Purchase[[#This Row],[Supplier ID]],Supplier[#All],5,0)</f>
        <v>MP</v>
      </c>
      <c r="H1019" s="138" t="str">
        <f>VLOOKUP(Purchase[[#This Row],[Supplier ID]],Supplier[#All],6,0)</f>
        <v>GST2154521T039</v>
      </c>
      <c r="I1019" s="138" t="s">
        <v>41</v>
      </c>
      <c r="J1019" s="139">
        <v>28</v>
      </c>
      <c r="K1019" s="143">
        <f>VLOOKUP(Purchase[[#This Row],[Product ID]],Product[#All],6,0)</f>
        <v>58660</v>
      </c>
      <c r="L1019" s="143">
        <f>Purchase[[#This Row],[Purchase Rate]]*Purchase[[#This Row],[Qty]]</f>
        <v>1642480</v>
      </c>
      <c r="M1019" s="140">
        <v>0</v>
      </c>
      <c r="N1019" s="143">
        <v>0</v>
      </c>
      <c r="O1019" s="140">
        <v>0.18</v>
      </c>
      <c r="P1019" s="145">
        <f>(Purchase[[#This Row],[Gross Amount]]-Purchase[[#This Row],[Disct %]])*Purchase[[#This Row],[GST %]]</f>
        <v>295646.39999999997</v>
      </c>
      <c r="Q1019" s="145">
        <f>Purchase[[#This Row],[Gross Amount]]-Purchase[[#This Row],[Disct Amnt]]+Purchase[[#This Row],[GST Amount]]</f>
        <v>1938126.4</v>
      </c>
      <c r="R1019" s="138" t="s">
        <v>1019</v>
      </c>
      <c r="S1019" s="41">
        <f>IF(Purchase[[#This Row],[Status]]="Cancelled",0,Purchase[[#This Row],[Qty]])</f>
        <v>28</v>
      </c>
      <c r="T1019" s="146">
        <f>IF(Purchase[[#This Row],[Status]]="Cancelled",0,Purchase[[#This Row],[Total Amount]])</f>
        <v>1938126.4</v>
      </c>
      <c r="U1019" s="146">
        <f>SUM(Purchase[Net Amount])</f>
        <v>814985438.68000126</v>
      </c>
    </row>
    <row r="1020" spans="1:21" ht="19.5" thickBot="1" x14ac:dyDescent="0.3">
      <c r="A1020" s="136" t="s">
        <v>2063</v>
      </c>
      <c r="B1020" s="137">
        <v>45708</v>
      </c>
      <c r="C1020" s="138" t="s">
        <v>577</v>
      </c>
      <c r="D1020" s="138" t="str">
        <f>VLOOKUP(Purchase[[#This Row],[Supplier ID]],Supplier[#All],2,0)</f>
        <v>National Electronics</v>
      </c>
      <c r="E1020" s="138">
        <f>VLOOKUP(Purchase[[#This Row],[Supplier ID]],Supplier[#All],3,0)</f>
        <v>9689542469</v>
      </c>
      <c r="F1020" s="138" t="str">
        <f>VLOOKUP(Purchase[[#This Row],[Supplier ID]],Supplier[#All],4,0)</f>
        <v>Korba</v>
      </c>
      <c r="G1020" s="138" t="str">
        <f>VLOOKUP(Purchase[[#This Row],[Supplier ID]],Supplier[#All],5,0)</f>
        <v>CG</v>
      </c>
      <c r="H1020" s="138" t="str">
        <f>VLOOKUP(Purchase[[#This Row],[Supplier ID]],Supplier[#All],6,0)</f>
        <v>GST2154521T023</v>
      </c>
      <c r="I1020" s="138" t="s">
        <v>266</v>
      </c>
      <c r="J1020" s="139">
        <v>10</v>
      </c>
      <c r="K1020" s="143">
        <f>VLOOKUP(Purchase[[#This Row],[Product ID]],Product[#All],6,0)</f>
        <v>3282</v>
      </c>
      <c r="L1020" s="143">
        <f>Purchase[[#This Row],[Purchase Rate]]*Purchase[[#This Row],[Qty]]</f>
        <v>32820</v>
      </c>
      <c r="M1020" s="140">
        <v>0</v>
      </c>
      <c r="N1020" s="143">
        <v>0</v>
      </c>
      <c r="O1020" s="140">
        <v>0.18</v>
      </c>
      <c r="P1020" s="145">
        <f>(Purchase[[#This Row],[Gross Amount]]-Purchase[[#This Row],[Disct %]])*Purchase[[#This Row],[GST %]]</f>
        <v>5907.5999999999995</v>
      </c>
      <c r="Q1020" s="145">
        <f>Purchase[[#This Row],[Gross Amount]]-Purchase[[#This Row],[Disct Amnt]]+Purchase[[#This Row],[GST Amount]]</f>
        <v>38727.599999999999</v>
      </c>
      <c r="R1020" s="138" t="s">
        <v>1019</v>
      </c>
      <c r="S1020" s="41">
        <f>IF(Purchase[[#This Row],[Status]]="Cancelled",0,Purchase[[#This Row],[Qty]])</f>
        <v>10</v>
      </c>
      <c r="T1020" s="146">
        <f>IF(Purchase[[#This Row],[Status]]="Cancelled",0,Purchase[[#This Row],[Total Amount]])</f>
        <v>38727.599999999999</v>
      </c>
      <c r="U1020" s="146">
        <f>SUM(Purchase[Net Amount])</f>
        <v>814985438.68000126</v>
      </c>
    </row>
    <row r="1021" spans="1:21" ht="19.5" thickBot="1" x14ac:dyDescent="0.3">
      <c r="A1021" s="136" t="s">
        <v>2064</v>
      </c>
      <c r="B1021" s="137">
        <v>45708</v>
      </c>
      <c r="C1021" s="138" t="s">
        <v>2065</v>
      </c>
      <c r="D1021" s="138" t="str">
        <f>VLOOKUP(Purchase[[#This Row],[Supplier ID]],Supplier[#All],2,0)</f>
        <v>Maa Computers</v>
      </c>
      <c r="E1021" s="138">
        <f>VLOOKUP(Purchase[[#This Row],[Supplier ID]],Supplier[#All],3,0)</f>
        <v>9689542485</v>
      </c>
      <c r="F1021" s="138" t="str">
        <f>VLOOKUP(Purchase[[#This Row],[Supplier ID]],Supplier[#All],4,0)</f>
        <v>Korba</v>
      </c>
      <c r="G1021" s="138" t="str">
        <f>VLOOKUP(Purchase[[#This Row],[Supplier ID]],Supplier[#All],5,0)</f>
        <v>CG</v>
      </c>
      <c r="H1021" s="138" t="str">
        <f>VLOOKUP(Purchase[[#This Row],[Supplier ID]],Supplier[#All],6,0)</f>
        <v>GST2154521T047</v>
      </c>
      <c r="I1021" s="138" t="s">
        <v>150</v>
      </c>
      <c r="J1021" s="139">
        <v>31</v>
      </c>
      <c r="K1021" s="143">
        <f>VLOOKUP(Purchase[[#This Row],[Product ID]],Product[#All],6,0)</f>
        <v>7322</v>
      </c>
      <c r="L1021" s="143">
        <f>Purchase[[#This Row],[Purchase Rate]]*Purchase[[#This Row],[Qty]]</f>
        <v>226982</v>
      </c>
      <c r="M1021" s="140">
        <v>0</v>
      </c>
      <c r="N1021" s="143">
        <v>0</v>
      </c>
      <c r="O1021" s="140">
        <v>0.18</v>
      </c>
      <c r="P1021" s="145">
        <f>(Purchase[[#This Row],[Gross Amount]]-Purchase[[#This Row],[Disct %]])*Purchase[[#This Row],[GST %]]</f>
        <v>40856.76</v>
      </c>
      <c r="Q1021" s="145">
        <f>Purchase[[#This Row],[Gross Amount]]-Purchase[[#This Row],[Disct Amnt]]+Purchase[[#This Row],[GST Amount]]</f>
        <v>267838.76</v>
      </c>
      <c r="R1021" s="138" t="s">
        <v>1019</v>
      </c>
      <c r="S1021" s="41">
        <f>IF(Purchase[[#This Row],[Status]]="Cancelled",0,Purchase[[#This Row],[Qty]])</f>
        <v>31</v>
      </c>
      <c r="T1021" s="146">
        <f>IF(Purchase[[#This Row],[Status]]="Cancelled",0,Purchase[[#This Row],[Total Amount]])</f>
        <v>267838.76</v>
      </c>
      <c r="U1021" s="146">
        <f>SUM(Purchase[Net Amount])</f>
        <v>814985438.68000126</v>
      </c>
    </row>
    <row r="1022" spans="1:21" ht="19.5" thickBot="1" x14ac:dyDescent="0.3">
      <c r="A1022" s="136" t="s">
        <v>2066</v>
      </c>
      <c r="B1022" s="137">
        <v>45708</v>
      </c>
      <c r="C1022" s="138" t="s">
        <v>589</v>
      </c>
      <c r="D1022" s="138" t="str">
        <f>VLOOKUP(Purchase[[#This Row],[Supplier ID]],Supplier[#All],2,0)</f>
        <v>Maa Computers</v>
      </c>
      <c r="E1022" s="138">
        <f>VLOOKUP(Purchase[[#This Row],[Supplier ID]],Supplier[#All],3,0)</f>
        <v>9689542473</v>
      </c>
      <c r="F1022" s="138" t="str">
        <f>VLOOKUP(Purchase[[#This Row],[Supplier ID]],Supplier[#All],4,0)</f>
        <v>Kanpur</v>
      </c>
      <c r="G1022" s="138" t="str">
        <f>VLOOKUP(Purchase[[#This Row],[Supplier ID]],Supplier[#All],5,0)</f>
        <v>UP</v>
      </c>
      <c r="H1022" s="138" t="str">
        <f>VLOOKUP(Purchase[[#This Row],[Supplier ID]],Supplier[#All],6,0)</f>
        <v>GST2154521T035</v>
      </c>
      <c r="I1022" s="138" t="s">
        <v>446</v>
      </c>
      <c r="J1022" s="139">
        <v>14</v>
      </c>
      <c r="K1022" s="143">
        <f>VLOOKUP(Purchase[[#This Row],[Product ID]],Product[#All],6,0)</f>
        <v>38075</v>
      </c>
      <c r="L1022" s="143">
        <f>Purchase[[#This Row],[Purchase Rate]]*Purchase[[#This Row],[Qty]]</f>
        <v>533050</v>
      </c>
      <c r="M1022" s="140">
        <v>0</v>
      </c>
      <c r="N1022" s="143">
        <v>0</v>
      </c>
      <c r="O1022" s="140">
        <v>0.18</v>
      </c>
      <c r="P1022" s="145">
        <f>(Purchase[[#This Row],[Gross Amount]]-Purchase[[#This Row],[Disct %]])*Purchase[[#This Row],[GST %]]</f>
        <v>95949</v>
      </c>
      <c r="Q1022" s="145">
        <f>Purchase[[#This Row],[Gross Amount]]-Purchase[[#This Row],[Disct Amnt]]+Purchase[[#This Row],[GST Amount]]</f>
        <v>628999</v>
      </c>
      <c r="R1022" s="138" t="s">
        <v>1019</v>
      </c>
      <c r="S1022" s="41">
        <f>IF(Purchase[[#This Row],[Status]]="Cancelled",0,Purchase[[#This Row],[Qty]])</f>
        <v>14</v>
      </c>
      <c r="T1022" s="146">
        <f>IF(Purchase[[#This Row],[Status]]="Cancelled",0,Purchase[[#This Row],[Total Amount]])</f>
        <v>628999</v>
      </c>
      <c r="U1022" s="146">
        <f>SUM(Purchase[Net Amount])</f>
        <v>814985438.68000126</v>
      </c>
    </row>
    <row r="1023" spans="1:21" ht="19.5" thickBot="1" x14ac:dyDescent="0.3">
      <c r="A1023" s="136" t="s">
        <v>2067</v>
      </c>
      <c r="B1023" s="137">
        <v>45708</v>
      </c>
      <c r="C1023" s="138" t="s">
        <v>576</v>
      </c>
      <c r="D1023" s="138" t="str">
        <f>VLOOKUP(Purchase[[#This Row],[Supplier ID]],Supplier[#All],2,0)</f>
        <v>Maa Distributors</v>
      </c>
      <c r="E1023" s="138">
        <f>VLOOKUP(Purchase[[#This Row],[Supplier ID]],Supplier[#All],3,0)</f>
        <v>9689542460</v>
      </c>
      <c r="F1023" s="138" t="str">
        <f>VLOOKUP(Purchase[[#This Row],[Supplier ID]],Supplier[#All],4,0)</f>
        <v>Korba</v>
      </c>
      <c r="G1023" s="138" t="str">
        <f>VLOOKUP(Purchase[[#This Row],[Supplier ID]],Supplier[#All],5,0)</f>
        <v>CG</v>
      </c>
      <c r="H1023" s="138" t="str">
        <f>VLOOKUP(Purchase[[#This Row],[Supplier ID]],Supplier[#All],6,0)</f>
        <v>GST2154521T022</v>
      </c>
      <c r="I1023" s="138" t="s">
        <v>84</v>
      </c>
      <c r="J1023" s="139">
        <v>16</v>
      </c>
      <c r="K1023" s="143">
        <f>VLOOKUP(Purchase[[#This Row],[Product ID]],Product[#All],6,0)</f>
        <v>1086</v>
      </c>
      <c r="L1023" s="143">
        <f>Purchase[[#This Row],[Purchase Rate]]*Purchase[[#This Row],[Qty]]</f>
        <v>17376</v>
      </c>
      <c r="M1023" s="140">
        <v>0</v>
      </c>
      <c r="N1023" s="143">
        <v>0</v>
      </c>
      <c r="O1023" s="140">
        <v>0.18</v>
      </c>
      <c r="P1023" s="145">
        <f>(Purchase[[#This Row],[Gross Amount]]-Purchase[[#This Row],[Disct %]])*Purchase[[#This Row],[GST %]]</f>
        <v>3127.68</v>
      </c>
      <c r="Q1023" s="145">
        <f>Purchase[[#This Row],[Gross Amount]]-Purchase[[#This Row],[Disct Amnt]]+Purchase[[#This Row],[GST Amount]]</f>
        <v>20503.68</v>
      </c>
      <c r="R1023" s="138" t="s">
        <v>1019</v>
      </c>
      <c r="S1023" s="41">
        <f>IF(Purchase[[#This Row],[Status]]="Cancelled",0,Purchase[[#This Row],[Qty]])</f>
        <v>16</v>
      </c>
      <c r="T1023" s="146">
        <f>IF(Purchase[[#This Row],[Status]]="Cancelled",0,Purchase[[#This Row],[Total Amount]])</f>
        <v>20503.68</v>
      </c>
      <c r="U1023" s="146">
        <f>SUM(Purchase[Net Amount])</f>
        <v>814985438.68000126</v>
      </c>
    </row>
    <row r="1024" spans="1:21" ht="19.5" thickBot="1" x14ac:dyDescent="0.3">
      <c r="A1024" s="136" t="s">
        <v>2068</v>
      </c>
      <c r="B1024" s="137">
        <v>45708</v>
      </c>
      <c r="C1024" s="138" t="s">
        <v>591</v>
      </c>
      <c r="D1024" s="138" t="str">
        <f>VLOOKUP(Purchase[[#This Row],[Supplier ID]],Supplier[#All],2,0)</f>
        <v>Shree Computers</v>
      </c>
      <c r="E1024" s="138">
        <f>VLOOKUP(Purchase[[#This Row],[Supplier ID]],Supplier[#All],3,0)</f>
        <v>9689542475</v>
      </c>
      <c r="F1024" s="138" t="str">
        <f>VLOOKUP(Purchase[[#This Row],[Supplier ID]],Supplier[#All],4,0)</f>
        <v>Indore</v>
      </c>
      <c r="G1024" s="138" t="str">
        <f>VLOOKUP(Purchase[[#This Row],[Supplier ID]],Supplier[#All],5,0)</f>
        <v>MP</v>
      </c>
      <c r="H1024" s="138" t="str">
        <f>VLOOKUP(Purchase[[#This Row],[Supplier ID]],Supplier[#All],6,0)</f>
        <v>GST2154521T037</v>
      </c>
      <c r="I1024" s="138" t="s">
        <v>198</v>
      </c>
      <c r="J1024" s="139">
        <v>16</v>
      </c>
      <c r="K1024" s="143">
        <f>VLOOKUP(Purchase[[#This Row],[Product ID]],Product[#All],6,0)</f>
        <v>1905</v>
      </c>
      <c r="L1024" s="143">
        <f>Purchase[[#This Row],[Purchase Rate]]*Purchase[[#This Row],[Qty]]</f>
        <v>30480</v>
      </c>
      <c r="M1024" s="140">
        <v>0</v>
      </c>
      <c r="N1024" s="143">
        <v>0</v>
      </c>
      <c r="O1024" s="140">
        <v>0.18</v>
      </c>
      <c r="P1024" s="145">
        <f>(Purchase[[#This Row],[Gross Amount]]-Purchase[[#This Row],[Disct %]])*Purchase[[#This Row],[GST %]]</f>
        <v>5486.4</v>
      </c>
      <c r="Q1024" s="145">
        <f>Purchase[[#This Row],[Gross Amount]]-Purchase[[#This Row],[Disct Amnt]]+Purchase[[#This Row],[GST Amount]]</f>
        <v>35966.400000000001</v>
      </c>
      <c r="R1024" s="138" t="s">
        <v>1019</v>
      </c>
      <c r="S1024" s="41">
        <f>IF(Purchase[[#This Row],[Status]]="Cancelled",0,Purchase[[#This Row],[Qty]])</f>
        <v>16</v>
      </c>
      <c r="T1024" s="146">
        <f>IF(Purchase[[#This Row],[Status]]="Cancelled",0,Purchase[[#This Row],[Total Amount]])</f>
        <v>35966.400000000001</v>
      </c>
      <c r="U1024" s="146">
        <f>SUM(Purchase[Net Amount])</f>
        <v>814985438.68000126</v>
      </c>
    </row>
    <row r="1025" spans="1:21" ht="19.5" thickBot="1" x14ac:dyDescent="0.3">
      <c r="A1025" s="136" t="s">
        <v>2069</v>
      </c>
      <c r="B1025" s="137">
        <v>45708</v>
      </c>
      <c r="C1025" s="138" t="s">
        <v>604</v>
      </c>
      <c r="D1025" s="138" t="str">
        <f>VLOOKUP(Purchase[[#This Row],[Supplier ID]],Supplier[#All],2,0)</f>
        <v>Prime Traders</v>
      </c>
      <c r="E1025" s="138">
        <f>VLOOKUP(Purchase[[#This Row],[Supplier ID]],Supplier[#All],3,0)</f>
        <v>9689542487</v>
      </c>
      <c r="F1025" s="138" t="str">
        <f>VLOOKUP(Purchase[[#This Row],[Supplier ID]],Supplier[#All],4,0)</f>
        <v>Indore</v>
      </c>
      <c r="G1025" s="138" t="str">
        <f>VLOOKUP(Purchase[[#This Row],[Supplier ID]],Supplier[#All],5,0)</f>
        <v>MP</v>
      </c>
      <c r="H1025" s="138" t="str">
        <f>VLOOKUP(Purchase[[#This Row],[Supplier ID]],Supplier[#All],6,0)</f>
        <v>GST2154521T049</v>
      </c>
      <c r="I1025" s="138" t="s">
        <v>245</v>
      </c>
      <c r="J1025" s="139">
        <v>3</v>
      </c>
      <c r="K1025" s="143">
        <f>VLOOKUP(Purchase[[#This Row],[Product ID]],Product[#All],6,0)</f>
        <v>9305</v>
      </c>
      <c r="L1025" s="143">
        <f>Purchase[[#This Row],[Purchase Rate]]*Purchase[[#This Row],[Qty]]</f>
        <v>27915</v>
      </c>
      <c r="M1025" s="140">
        <v>0</v>
      </c>
      <c r="N1025" s="143">
        <v>0</v>
      </c>
      <c r="O1025" s="140">
        <v>0.18</v>
      </c>
      <c r="P1025" s="145">
        <f>(Purchase[[#This Row],[Gross Amount]]-Purchase[[#This Row],[Disct %]])*Purchase[[#This Row],[GST %]]</f>
        <v>5024.7</v>
      </c>
      <c r="Q1025" s="145">
        <f>Purchase[[#This Row],[Gross Amount]]-Purchase[[#This Row],[Disct Amnt]]+Purchase[[#This Row],[GST Amount]]</f>
        <v>32939.699999999997</v>
      </c>
      <c r="R1025" s="138" t="s">
        <v>1019</v>
      </c>
      <c r="S1025" s="41">
        <f>IF(Purchase[[#This Row],[Status]]="Cancelled",0,Purchase[[#This Row],[Qty]])</f>
        <v>3</v>
      </c>
      <c r="T1025" s="146">
        <f>IF(Purchase[[#This Row],[Status]]="Cancelled",0,Purchase[[#This Row],[Total Amount]])</f>
        <v>32939.699999999997</v>
      </c>
      <c r="U1025" s="146">
        <f>SUM(Purchase[Net Amount])</f>
        <v>814985438.68000126</v>
      </c>
    </row>
    <row r="1026" spans="1:21" ht="19.5" thickBot="1" x14ac:dyDescent="0.3">
      <c r="A1026" s="136" t="s">
        <v>2070</v>
      </c>
      <c r="B1026" s="137">
        <v>45708</v>
      </c>
      <c r="C1026" s="138" t="s">
        <v>583</v>
      </c>
      <c r="D1026" s="138" t="str">
        <f>VLOOKUP(Purchase[[#This Row],[Supplier ID]],Supplier[#All],2,0)</f>
        <v>Shree Distributors</v>
      </c>
      <c r="E1026" s="138">
        <f>VLOOKUP(Purchase[[#This Row],[Supplier ID]],Supplier[#All],3,0)</f>
        <v>9689542467</v>
      </c>
      <c r="F1026" s="138" t="str">
        <f>VLOOKUP(Purchase[[#This Row],[Supplier ID]],Supplier[#All],4,0)</f>
        <v>Indore</v>
      </c>
      <c r="G1026" s="138" t="str">
        <f>VLOOKUP(Purchase[[#This Row],[Supplier ID]],Supplier[#All],5,0)</f>
        <v>MP</v>
      </c>
      <c r="H1026" s="138" t="str">
        <f>VLOOKUP(Purchase[[#This Row],[Supplier ID]],Supplier[#All],6,0)</f>
        <v>GST2154521T029</v>
      </c>
      <c r="I1026" s="138" t="s">
        <v>377</v>
      </c>
      <c r="J1026" s="139">
        <v>8</v>
      </c>
      <c r="K1026" s="143">
        <f>VLOOKUP(Purchase[[#This Row],[Product ID]],Product[#All],6,0)</f>
        <v>54386</v>
      </c>
      <c r="L1026" s="143">
        <f>Purchase[[#This Row],[Purchase Rate]]*Purchase[[#This Row],[Qty]]</f>
        <v>435088</v>
      </c>
      <c r="M1026" s="140">
        <v>0</v>
      </c>
      <c r="N1026" s="143">
        <v>0</v>
      </c>
      <c r="O1026" s="140">
        <v>0.18</v>
      </c>
      <c r="P1026" s="145">
        <f>(Purchase[[#This Row],[Gross Amount]]-Purchase[[#This Row],[Disct %]])*Purchase[[#This Row],[GST %]]</f>
        <v>78315.839999999997</v>
      </c>
      <c r="Q1026" s="145">
        <f>Purchase[[#This Row],[Gross Amount]]-Purchase[[#This Row],[Disct Amnt]]+Purchase[[#This Row],[GST Amount]]</f>
        <v>513403.83999999997</v>
      </c>
      <c r="R1026" s="138" t="s">
        <v>1019</v>
      </c>
      <c r="S1026" s="41">
        <f>IF(Purchase[[#This Row],[Status]]="Cancelled",0,Purchase[[#This Row],[Qty]])</f>
        <v>8</v>
      </c>
      <c r="T1026" s="146">
        <f>IF(Purchase[[#This Row],[Status]]="Cancelled",0,Purchase[[#This Row],[Total Amount]])</f>
        <v>513403.83999999997</v>
      </c>
      <c r="U1026" s="146">
        <f>SUM(Purchase[Net Amount])</f>
        <v>814985438.68000126</v>
      </c>
    </row>
    <row r="1027" spans="1:21" ht="19.5" thickBot="1" x14ac:dyDescent="0.3">
      <c r="A1027" s="136" t="s">
        <v>2071</v>
      </c>
      <c r="B1027" s="137">
        <v>45708</v>
      </c>
      <c r="C1027" s="138" t="s">
        <v>565</v>
      </c>
      <c r="D1027" s="138" t="str">
        <f>VLOOKUP(Purchase[[#This Row],[Supplier ID]],Supplier[#All],2,0)</f>
        <v>Global Suppliers</v>
      </c>
      <c r="E1027" s="138">
        <f>VLOOKUP(Purchase[[#This Row],[Supplier ID]],Supplier[#All],3,0)</f>
        <v>9689542459</v>
      </c>
      <c r="F1027" s="138" t="str">
        <f>VLOOKUP(Purchase[[#This Row],[Supplier ID]],Supplier[#All],4,0)</f>
        <v>Indore</v>
      </c>
      <c r="G1027" s="138" t="str">
        <f>VLOOKUP(Purchase[[#This Row],[Supplier ID]],Supplier[#All],5,0)</f>
        <v>MP</v>
      </c>
      <c r="H1027" s="138" t="str">
        <f>VLOOKUP(Purchase[[#This Row],[Supplier ID]],Supplier[#All],6,0)</f>
        <v>GST2154521T013</v>
      </c>
      <c r="I1027" s="138" t="s">
        <v>524</v>
      </c>
      <c r="J1027" s="139">
        <v>10</v>
      </c>
      <c r="K1027" s="143">
        <f>VLOOKUP(Purchase[[#This Row],[Product ID]],Product[#All],6,0)</f>
        <v>581</v>
      </c>
      <c r="L1027" s="143">
        <f>Purchase[[#This Row],[Purchase Rate]]*Purchase[[#This Row],[Qty]]</f>
        <v>5810</v>
      </c>
      <c r="M1027" s="140">
        <v>0</v>
      </c>
      <c r="N1027" s="143">
        <v>0</v>
      </c>
      <c r="O1027" s="140">
        <v>0.18</v>
      </c>
      <c r="P1027" s="145">
        <f>(Purchase[[#This Row],[Gross Amount]]-Purchase[[#This Row],[Disct %]])*Purchase[[#This Row],[GST %]]</f>
        <v>1045.8</v>
      </c>
      <c r="Q1027" s="145">
        <f>Purchase[[#This Row],[Gross Amount]]-Purchase[[#This Row],[Disct Amnt]]+Purchase[[#This Row],[GST Amount]]</f>
        <v>6855.8</v>
      </c>
      <c r="R1027" s="138" t="s">
        <v>1019</v>
      </c>
      <c r="S1027" s="41">
        <f>IF(Purchase[[#This Row],[Status]]="Cancelled",0,Purchase[[#This Row],[Qty]])</f>
        <v>10</v>
      </c>
      <c r="T1027" s="146">
        <f>IF(Purchase[[#This Row],[Status]]="Cancelled",0,Purchase[[#This Row],[Total Amount]])</f>
        <v>6855.8</v>
      </c>
      <c r="U1027" s="146">
        <f>SUM(Purchase[Net Amount])</f>
        <v>814985438.68000126</v>
      </c>
    </row>
    <row r="1028" spans="1:21" ht="19.5" thickBot="1" x14ac:dyDescent="0.3">
      <c r="A1028" s="136" t="s">
        <v>2072</v>
      </c>
      <c r="B1028" s="137">
        <v>45708</v>
      </c>
      <c r="C1028" s="138" t="s">
        <v>596</v>
      </c>
      <c r="D1028" s="138" t="str">
        <f>VLOOKUP(Purchase[[#This Row],[Supplier ID]],Supplier[#All],2,0)</f>
        <v>star traders</v>
      </c>
      <c r="E1028" s="138">
        <f>VLOOKUP(Purchase[[#This Row],[Supplier ID]],Supplier[#All],3,0)</f>
        <v>9689542479</v>
      </c>
      <c r="F1028" s="138" t="str">
        <f>VLOOKUP(Purchase[[#This Row],[Supplier ID]],Supplier[#All],4,0)</f>
        <v>Korba</v>
      </c>
      <c r="G1028" s="138" t="str">
        <f>VLOOKUP(Purchase[[#This Row],[Supplier ID]],Supplier[#All],5,0)</f>
        <v>CG</v>
      </c>
      <c r="H1028" s="138" t="str">
        <f>VLOOKUP(Purchase[[#This Row],[Supplier ID]],Supplier[#All],6,0)</f>
        <v>GST2154521T041</v>
      </c>
      <c r="I1028" s="138" t="s">
        <v>466</v>
      </c>
      <c r="J1028" s="139">
        <v>26</v>
      </c>
      <c r="K1028" s="143">
        <f>VLOOKUP(Purchase[[#This Row],[Product ID]],Product[#All],6,0)</f>
        <v>68885</v>
      </c>
      <c r="L1028" s="143">
        <f>Purchase[[#This Row],[Purchase Rate]]*Purchase[[#This Row],[Qty]]</f>
        <v>1791010</v>
      </c>
      <c r="M1028" s="140">
        <v>0</v>
      </c>
      <c r="N1028" s="143">
        <v>0</v>
      </c>
      <c r="O1028" s="140">
        <v>0.18</v>
      </c>
      <c r="P1028" s="145">
        <f>(Purchase[[#This Row],[Gross Amount]]-Purchase[[#This Row],[Disct %]])*Purchase[[#This Row],[GST %]]</f>
        <v>322381.8</v>
      </c>
      <c r="Q1028" s="145">
        <f>Purchase[[#This Row],[Gross Amount]]-Purchase[[#This Row],[Disct Amnt]]+Purchase[[#This Row],[GST Amount]]</f>
        <v>2113391.7999999998</v>
      </c>
      <c r="R1028" s="138" t="s">
        <v>1019</v>
      </c>
      <c r="S1028" s="41">
        <f>IF(Purchase[[#This Row],[Status]]="Cancelled",0,Purchase[[#This Row],[Qty]])</f>
        <v>26</v>
      </c>
      <c r="T1028" s="146">
        <f>IF(Purchase[[#This Row],[Status]]="Cancelled",0,Purchase[[#This Row],[Total Amount]])</f>
        <v>2113391.7999999998</v>
      </c>
      <c r="U1028" s="146">
        <f>SUM(Purchase[Net Amount])</f>
        <v>814985438.68000126</v>
      </c>
    </row>
    <row r="1029" spans="1:21" ht="19.5" thickBot="1" x14ac:dyDescent="0.3">
      <c r="A1029" s="136" t="s">
        <v>2073</v>
      </c>
      <c r="B1029" s="137">
        <v>45708</v>
      </c>
      <c r="C1029" s="138" t="s">
        <v>614</v>
      </c>
      <c r="D1029" s="138" t="str">
        <f>VLOOKUP(Purchase[[#This Row],[Supplier ID]],Supplier[#All],2,0)</f>
        <v>National Electronics</v>
      </c>
      <c r="E1029" s="138">
        <f>VLOOKUP(Purchase[[#This Row],[Supplier ID]],Supplier[#All],3,0)</f>
        <v>9689542497</v>
      </c>
      <c r="F1029" s="138" t="str">
        <f>VLOOKUP(Purchase[[#This Row],[Supplier ID]],Supplier[#All],4,0)</f>
        <v>Kanpur</v>
      </c>
      <c r="G1029" s="138" t="str">
        <f>VLOOKUP(Purchase[[#This Row],[Supplier ID]],Supplier[#All],5,0)</f>
        <v>UP</v>
      </c>
      <c r="H1029" s="138" t="str">
        <f>VLOOKUP(Purchase[[#This Row],[Supplier ID]],Supplier[#All],6,0)</f>
        <v>GST2154521T059</v>
      </c>
      <c r="I1029" s="138" t="s">
        <v>545</v>
      </c>
      <c r="J1029" s="139">
        <v>9</v>
      </c>
      <c r="K1029" s="143">
        <f>VLOOKUP(Purchase[[#This Row],[Product ID]],Product[#All],6,0)</f>
        <v>5298</v>
      </c>
      <c r="L1029" s="143">
        <f>Purchase[[#This Row],[Purchase Rate]]*Purchase[[#This Row],[Qty]]</f>
        <v>47682</v>
      </c>
      <c r="M1029" s="140">
        <v>0</v>
      </c>
      <c r="N1029" s="143">
        <v>0</v>
      </c>
      <c r="O1029" s="140">
        <v>0.18</v>
      </c>
      <c r="P1029" s="145">
        <f>(Purchase[[#This Row],[Gross Amount]]-Purchase[[#This Row],[Disct %]])*Purchase[[#This Row],[GST %]]</f>
        <v>8582.76</v>
      </c>
      <c r="Q1029" s="145">
        <f>Purchase[[#This Row],[Gross Amount]]-Purchase[[#This Row],[Disct Amnt]]+Purchase[[#This Row],[GST Amount]]</f>
        <v>56264.76</v>
      </c>
      <c r="R1029" s="138" t="s">
        <v>1019</v>
      </c>
      <c r="S1029" s="41">
        <f>IF(Purchase[[#This Row],[Status]]="Cancelled",0,Purchase[[#This Row],[Qty]])</f>
        <v>9</v>
      </c>
      <c r="T1029" s="146">
        <f>IF(Purchase[[#This Row],[Status]]="Cancelled",0,Purchase[[#This Row],[Total Amount]])</f>
        <v>56264.76</v>
      </c>
      <c r="U1029" s="146">
        <f>SUM(Purchase[Net Amount])</f>
        <v>814985438.68000126</v>
      </c>
    </row>
    <row r="1030" spans="1:21" ht="19.5" thickBot="1" x14ac:dyDescent="0.3">
      <c r="A1030" s="136" t="s">
        <v>2074</v>
      </c>
      <c r="B1030" s="137">
        <v>45708</v>
      </c>
      <c r="C1030" s="138" t="s">
        <v>565</v>
      </c>
      <c r="D1030" s="138" t="str">
        <f>VLOOKUP(Purchase[[#This Row],[Supplier ID]],Supplier[#All],2,0)</f>
        <v>Global Suppliers</v>
      </c>
      <c r="E1030" s="138">
        <f>VLOOKUP(Purchase[[#This Row],[Supplier ID]],Supplier[#All],3,0)</f>
        <v>9689542459</v>
      </c>
      <c r="F1030" s="138" t="str">
        <f>VLOOKUP(Purchase[[#This Row],[Supplier ID]],Supplier[#All],4,0)</f>
        <v>Indore</v>
      </c>
      <c r="G1030" s="138" t="str">
        <f>VLOOKUP(Purchase[[#This Row],[Supplier ID]],Supplier[#All],5,0)</f>
        <v>MP</v>
      </c>
      <c r="H1030" s="138" t="str">
        <f>VLOOKUP(Purchase[[#This Row],[Supplier ID]],Supplier[#All],6,0)</f>
        <v>GST2154521T013</v>
      </c>
      <c r="I1030" s="138" t="s">
        <v>163</v>
      </c>
      <c r="J1030" s="139">
        <v>34</v>
      </c>
      <c r="K1030" s="143">
        <f>VLOOKUP(Purchase[[#This Row],[Product ID]],Product[#All],6,0)</f>
        <v>13893</v>
      </c>
      <c r="L1030" s="143">
        <f>Purchase[[#This Row],[Purchase Rate]]*Purchase[[#This Row],[Qty]]</f>
        <v>472362</v>
      </c>
      <c r="M1030" s="140">
        <v>0</v>
      </c>
      <c r="N1030" s="143">
        <v>0</v>
      </c>
      <c r="O1030" s="140">
        <v>0.18</v>
      </c>
      <c r="P1030" s="145">
        <f>(Purchase[[#This Row],[Gross Amount]]-Purchase[[#This Row],[Disct %]])*Purchase[[#This Row],[GST %]]</f>
        <v>85025.16</v>
      </c>
      <c r="Q1030" s="145">
        <f>Purchase[[#This Row],[Gross Amount]]-Purchase[[#This Row],[Disct Amnt]]+Purchase[[#This Row],[GST Amount]]</f>
        <v>557387.16</v>
      </c>
      <c r="R1030" s="138" t="s">
        <v>1019</v>
      </c>
      <c r="S1030" s="41">
        <f>IF(Purchase[[#This Row],[Status]]="Cancelled",0,Purchase[[#This Row],[Qty]])</f>
        <v>34</v>
      </c>
      <c r="T1030" s="146">
        <f>IF(Purchase[[#This Row],[Status]]="Cancelled",0,Purchase[[#This Row],[Total Amount]])</f>
        <v>557387.16</v>
      </c>
      <c r="U1030" s="146">
        <f>SUM(Purchase[Net Amount])</f>
        <v>814985438.68000126</v>
      </c>
    </row>
    <row r="1031" spans="1:21" ht="19.5" thickBot="1" x14ac:dyDescent="0.3">
      <c r="A1031" s="136" t="s">
        <v>2075</v>
      </c>
      <c r="B1031" s="137">
        <v>45708</v>
      </c>
      <c r="C1031" s="138" t="s">
        <v>608</v>
      </c>
      <c r="D1031" s="138" t="str">
        <f>VLOOKUP(Purchase[[#This Row],[Supplier ID]],Supplier[#All],2,0)</f>
        <v>Global Suppliers</v>
      </c>
      <c r="E1031" s="138">
        <f>VLOOKUP(Purchase[[#This Row],[Supplier ID]],Supplier[#All],3,0)</f>
        <v>9689542499</v>
      </c>
      <c r="F1031" s="138" t="str">
        <f>VLOOKUP(Purchase[[#This Row],[Supplier ID]],Supplier[#All],4,0)</f>
        <v>Korba</v>
      </c>
      <c r="G1031" s="138" t="str">
        <f>VLOOKUP(Purchase[[#This Row],[Supplier ID]],Supplier[#All],5,0)</f>
        <v>CG</v>
      </c>
      <c r="H1031" s="138" t="str">
        <f>VLOOKUP(Purchase[[#This Row],[Supplier ID]],Supplier[#All],6,0)</f>
        <v>GST2154521T053</v>
      </c>
      <c r="I1031" s="138" t="s">
        <v>513</v>
      </c>
      <c r="J1031" s="139">
        <v>11</v>
      </c>
      <c r="K1031" s="143">
        <f>VLOOKUP(Purchase[[#This Row],[Product ID]],Product[#All],6,0)</f>
        <v>1887</v>
      </c>
      <c r="L1031" s="143">
        <f>Purchase[[#This Row],[Purchase Rate]]*Purchase[[#This Row],[Qty]]</f>
        <v>20757</v>
      </c>
      <c r="M1031" s="140">
        <v>0</v>
      </c>
      <c r="N1031" s="143">
        <v>0</v>
      </c>
      <c r="O1031" s="140">
        <v>0.18</v>
      </c>
      <c r="P1031" s="145">
        <f>(Purchase[[#This Row],[Gross Amount]]-Purchase[[#This Row],[Disct %]])*Purchase[[#This Row],[GST %]]</f>
        <v>3736.2599999999998</v>
      </c>
      <c r="Q1031" s="145">
        <f>Purchase[[#This Row],[Gross Amount]]-Purchase[[#This Row],[Disct Amnt]]+Purchase[[#This Row],[GST Amount]]</f>
        <v>24493.26</v>
      </c>
      <c r="R1031" s="138" t="s">
        <v>1019</v>
      </c>
      <c r="S1031" s="41">
        <f>IF(Purchase[[#This Row],[Status]]="Cancelled",0,Purchase[[#This Row],[Qty]])</f>
        <v>11</v>
      </c>
      <c r="T1031" s="146">
        <f>IF(Purchase[[#This Row],[Status]]="Cancelled",0,Purchase[[#This Row],[Total Amount]])</f>
        <v>24493.26</v>
      </c>
      <c r="U1031" s="146">
        <f>SUM(Purchase[Net Amount])</f>
        <v>814985438.68000126</v>
      </c>
    </row>
    <row r="1032" spans="1:21" ht="19.5" thickBot="1" x14ac:dyDescent="0.3">
      <c r="A1032" s="136" t="s">
        <v>2076</v>
      </c>
      <c r="B1032" s="137">
        <v>45708</v>
      </c>
      <c r="C1032" s="138" t="s">
        <v>565</v>
      </c>
      <c r="D1032" s="138" t="str">
        <f>VLOOKUP(Purchase[[#This Row],[Supplier ID]],Supplier[#All],2,0)</f>
        <v>Global Suppliers</v>
      </c>
      <c r="E1032" s="138">
        <f>VLOOKUP(Purchase[[#This Row],[Supplier ID]],Supplier[#All],3,0)</f>
        <v>9689542459</v>
      </c>
      <c r="F1032" s="138" t="str">
        <f>VLOOKUP(Purchase[[#This Row],[Supplier ID]],Supplier[#All],4,0)</f>
        <v>Indore</v>
      </c>
      <c r="G1032" s="138" t="str">
        <f>VLOOKUP(Purchase[[#This Row],[Supplier ID]],Supplier[#All],5,0)</f>
        <v>MP</v>
      </c>
      <c r="H1032" s="138" t="str">
        <f>VLOOKUP(Purchase[[#This Row],[Supplier ID]],Supplier[#All],6,0)</f>
        <v>GST2154521T013</v>
      </c>
      <c r="I1032" s="138" t="s">
        <v>50</v>
      </c>
      <c r="J1032" s="139">
        <v>40</v>
      </c>
      <c r="K1032" s="143">
        <f>VLOOKUP(Purchase[[#This Row],[Product ID]],Product[#All],6,0)</f>
        <v>28268</v>
      </c>
      <c r="L1032" s="143">
        <f>Purchase[[#This Row],[Purchase Rate]]*Purchase[[#This Row],[Qty]]</f>
        <v>1130720</v>
      </c>
      <c r="M1032" s="140">
        <v>0</v>
      </c>
      <c r="N1032" s="143">
        <v>0</v>
      </c>
      <c r="O1032" s="140">
        <v>0.18</v>
      </c>
      <c r="P1032" s="145">
        <f>(Purchase[[#This Row],[Gross Amount]]-Purchase[[#This Row],[Disct %]])*Purchase[[#This Row],[GST %]]</f>
        <v>203529.60000000001</v>
      </c>
      <c r="Q1032" s="145">
        <f>Purchase[[#This Row],[Gross Amount]]-Purchase[[#This Row],[Disct Amnt]]+Purchase[[#This Row],[GST Amount]]</f>
        <v>1334249.6000000001</v>
      </c>
      <c r="R1032" s="138" t="s">
        <v>1019</v>
      </c>
      <c r="S1032" s="41">
        <f>IF(Purchase[[#This Row],[Status]]="Cancelled",0,Purchase[[#This Row],[Qty]])</f>
        <v>40</v>
      </c>
      <c r="T1032" s="146">
        <f>IF(Purchase[[#This Row],[Status]]="Cancelled",0,Purchase[[#This Row],[Total Amount]])</f>
        <v>1334249.6000000001</v>
      </c>
      <c r="U1032" s="146">
        <f>SUM(Purchase[Net Amount])</f>
        <v>814985438.68000126</v>
      </c>
    </row>
    <row r="1033" spans="1:21" ht="19.5" thickBot="1" x14ac:dyDescent="0.3">
      <c r="A1033" s="136" t="s">
        <v>2077</v>
      </c>
      <c r="B1033" s="137">
        <v>45708</v>
      </c>
      <c r="C1033" s="138" t="s">
        <v>613</v>
      </c>
      <c r="D1033" s="138" t="str">
        <f>VLOOKUP(Purchase[[#This Row],[Supplier ID]],Supplier[#All],2,0)</f>
        <v>National Traders</v>
      </c>
      <c r="E1033" s="138">
        <f>VLOOKUP(Purchase[[#This Row],[Supplier ID]],Supplier[#All],3,0)</f>
        <v>9689542496</v>
      </c>
      <c r="F1033" s="138" t="str">
        <f>VLOOKUP(Purchase[[#This Row],[Supplier ID]],Supplier[#All],4,0)</f>
        <v>Indore</v>
      </c>
      <c r="G1033" s="138" t="str">
        <f>VLOOKUP(Purchase[[#This Row],[Supplier ID]],Supplier[#All],5,0)</f>
        <v>MP</v>
      </c>
      <c r="H1033" s="138" t="str">
        <f>VLOOKUP(Purchase[[#This Row],[Supplier ID]],Supplier[#All],6,0)</f>
        <v>GST2154521T058</v>
      </c>
      <c r="I1033" s="138" t="s">
        <v>334</v>
      </c>
      <c r="J1033" s="139">
        <v>15</v>
      </c>
      <c r="K1033" s="143">
        <f>VLOOKUP(Purchase[[#This Row],[Product ID]],Product[#All],6,0)</f>
        <v>2706</v>
      </c>
      <c r="L1033" s="143">
        <f>Purchase[[#This Row],[Purchase Rate]]*Purchase[[#This Row],[Qty]]</f>
        <v>40590</v>
      </c>
      <c r="M1033" s="140">
        <v>0</v>
      </c>
      <c r="N1033" s="143">
        <v>0</v>
      </c>
      <c r="O1033" s="140">
        <v>0.18</v>
      </c>
      <c r="P1033" s="145">
        <f>(Purchase[[#This Row],[Gross Amount]]-Purchase[[#This Row],[Disct %]])*Purchase[[#This Row],[GST %]]</f>
        <v>7306.2</v>
      </c>
      <c r="Q1033" s="145">
        <f>Purchase[[#This Row],[Gross Amount]]-Purchase[[#This Row],[Disct Amnt]]+Purchase[[#This Row],[GST Amount]]</f>
        <v>47896.2</v>
      </c>
      <c r="R1033" s="138" t="s">
        <v>1019</v>
      </c>
      <c r="S1033" s="41">
        <f>IF(Purchase[[#This Row],[Status]]="Cancelled",0,Purchase[[#This Row],[Qty]])</f>
        <v>15</v>
      </c>
      <c r="T1033" s="146">
        <f>IF(Purchase[[#This Row],[Status]]="Cancelled",0,Purchase[[#This Row],[Total Amount]])</f>
        <v>47896.2</v>
      </c>
      <c r="U1033" s="146">
        <f>SUM(Purchase[Net Amount])</f>
        <v>814985438.68000126</v>
      </c>
    </row>
    <row r="1034" spans="1:21" ht="19.5" thickBot="1" x14ac:dyDescent="0.3">
      <c r="A1034" s="136" t="s">
        <v>2078</v>
      </c>
      <c r="B1034" s="137">
        <v>45708</v>
      </c>
      <c r="C1034" s="138" t="s">
        <v>600</v>
      </c>
      <c r="D1034" s="138" t="str">
        <f>VLOOKUP(Purchase[[#This Row],[Supplier ID]],Supplier[#All],2,0)</f>
        <v>Prime Suppliers</v>
      </c>
      <c r="E1034" s="138">
        <f>VLOOKUP(Purchase[[#This Row],[Supplier ID]],Supplier[#All],3,0)</f>
        <v>9689542483</v>
      </c>
      <c r="F1034" s="138" t="str">
        <f>VLOOKUP(Purchase[[#This Row],[Supplier ID]],Supplier[#All],4,0)</f>
        <v>Korba</v>
      </c>
      <c r="G1034" s="138" t="str">
        <f>VLOOKUP(Purchase[[#This Row],[Supplier ID]],Supplier[#All],5,0)</f>
        <v>CG</v>
      </c>
      <c r="H1034" s="138" t="str">
        <f>VLOOKUP(Purchase[[#This Row],[Supplier ID]],Supplier[#All],6,0)</f>
        <v>GST2154521T045</v>
      </c>
      <c r="I1034" s="138" t="s">
        <v>227</v>
      </c>
      <c r="J1034" s="139">
        <v>23</v>
      </c>
      <c r="K1034" s="143">
        <f>VLOOKUP(Purchase[[#This Row],[Product ID]],Product[#All],6,0)</f>
        <v>11911</v>
      </c>
      <c r="L1034" s="143">
        <f>Purchase[[#This Row],[Purchase Rate]]*Purchase[[#This Row],[Qty]]</f>
        <v>273953</v>
      </c>
      <c r="M1034" s="140">
        <v>0</v>
      </c>
      <c r="N1034" s="143">
        <v>0</v>
      </c>
      <c r="O1034" s="140">
        <v>0.18</v>
      </c>
      <c r="P1034" s="145">
        <f>(Purchase[[#This Row],[Gross Amount]]-Purchase[[#This Row],[Disct %]])*Purchase[[#This Row],[GST %]]</f>
        <v>49311.54</v>
      </c>
      <c r="Q1034" s="145">
        <f>Purchase[[#This Row],[Gross Amount]]-Purchase[[#This Row],[Disct Amnt]]+Purchase[[#This Row],[GST Amount]]</f>
        <v>323264.53999999998</v>
      </c>
      <c r="R1034" s="138" t="s">
        <v>1019</v>
      </c>
      <c r="S1034" s="41">
        <f>IF(Purchase[[#This Row],[Status]]="Cancelled",0,Purchase[[#This Row],[Qty]])</f>
        <v>23</v>
      </c>
      <c r="T1034" s="146">
        <f>IF(Purchase[[#This Row],[Status]]="Cancelled",0,Purchase[[#This Row],[Total Amount]])</f>
        <v>323264.53999999998</v>
      </c>
      <c r="U1034" s="146">
        <f>SUM(Purchase[Net Amount])</f>
        <v>814985438.68000126</v>
      </c>
    </row>
    <row r="1035" spans="1:21" ht="19.5" thickBot="1" x14ac:dyDescent="0.3">
      <c r="A1035" s="136" t="s">
        <v>2079</v>
      </c>
      <c r="B1035" s="137">
        <v>45708</v>
      </c>
      <c r="C1035" s="138" t="s">
        <v>573</v>
      </c>
      <c r="D1035" s="138" t="str">
        <f>VLOOKUP(Purchase[[#This Row],[Supplier ID]],Supplier[#All],2,0)</f>
        <v>Shree Traders</v>
      </c>
      <c r="E1035" s="138">
        <f>VLOOKUP(Purchase[[#This Row],[Supplier ID]],Supplier[#All],3,0)</f>
        <v>9689542458</v>
      </c>
      <c r="F1035" s="138" t="str">
        <f>VLOOKUP(Purchase[[#This Row],[Supplier ID]],Supplier[#All],4,0)</f>
        <v>Korba</v>
      </c>
      <c r="G1035" s="138" t="str">
        <f>VLOOKUP(Purchase[[#This Row],[Supplier ID]],Supplier[#All],5,0)</f>
        <v>CG</v>
      </c>
      <c r="H1035" s="138" t="str">
        <f>VLOOKUP(Purchase[[#This Row],[Supplier ID]],Supplier[#All],6,0)</f>
        <v>GST2154521T020</v>
      </c>
      <c r="I1035" s="138" t="s">
        <v>438</v>
      </c>
      <c r="J1035" s="139">
        <v>20</v>
      </c>
      <c r="K1035" s="143">
        <f>VLOOKUP(Purchase[[#This Row],[Product ID]],Product[#All],6,0)</f>
        <v>1324</v>
      </c>
      <c r="L1035" s="143">
        <f>Purchase[[#This Row],[Purchase Rate]]*Purchase[[#This Row],[Qty]]</f>
        <v>26480</v>
      </c>
      <c r="M1035" s="140">
        <v>0</v>
      </c>
      <c r="N1035" s="143">
        <v>0</v>
      </c>
      <c r="O1035" s="140">
        <v>0.18</v>
      </c>
      <c r="P1035" s="145">
        <f>(Purchase[[#This Row],[Gross Amount]]-Purchase[[#This Row],[Disct %]])*Purchase[[#This Row],[GST %]]</f>
        <v>4766.3999999999996</v>
      </c>
      <c r="Q1035" s="145">
        <f>Purchase[[#This Row],[Gross Amount]]-Purchase[[#This Row],[Disct Amnt]]+Purchase[[#This Row],[GST Amount]]</f>
        <v>31246.400000000001</v>
      </c>
      <c r="R1035" s="138" t="s">
        <v>1019</v>
      </c>
      <c r="S1035" s="41">
        <f>IF(Purchase[[#This Row],[Status]]="Cancelled",0,Purchase[[#This Row],[Qty]])</f>
        <v>20</v>
      </c>
      <c r="T1035" s="146">
        <f>IF(Purchase[[#This Row],[Status]]="Cancelled",0,Purchase[[#This Row],[Total Amount]])</f>
        <v>31246.400000000001</v>
      </c>
      <c r="U1035" s="146">
        <f>SUM(Purchase[Net Amount])</f>
        <v>814985438.68000126</v>
      </c>
    </row>
    <row r="1036" spans="1:21" ht="19.5" thickBot="1" x14ac:dyDescent="0.3">
      <c r="A1036" s="136" t="s">
        <v>2080</v>
      </c>
      <c r="B1036" s="137">
        <v>45708</v>
      </c>
      <c r="C1036" s="138" t="s">
        <v>600</v>
      </c>
      <c r="D1036" s="138" t="str">
        <f>VLOOKUP(Purchase[[#This Row],[Supplier ID]],Supplier[#All],2,0)</f>
        <v>Prime Suppliers</v>
      </c>
      <c r="E1036" s="138">
        <f>VLOOKUP(Purchase[[#This Row],[Supplier ID]],Supplier[#All],3,0)</f>
        <v>9689542483</v>
      </c>
      <c r="F1036" s="138" t="str">
        <f>VLOOKUP(Purchase[[#This Row],[Supplier ID]],Supplier[#All],4,0)</f>
        <v>Korba</v>
      </c>
      <c r="G1036" s="138" t="str">
        <f>VLOOKUP(Purchase[[#This Row],[Supplier ID]],Supplier[#All],5,0)</f>
        <v>CG</v>
      </c>
      <c r="H1036" s="138" t="str">
        <f>VLOOKUP(Purchase[[#This Row],[Supplier ID]],Supplier[#All],6,0)</f>
        <v>GST2154521T045</v>
      </c>
      <c r="I1036" s="138" t="s">
        <v>484</v>
      </c>
      <c r="J1036" s="139">
        <v>23</v>
      </c>
      <c r="K1036" s="143">
        <f>VLOOKUP(Purchase[[#This Row],[Product ID]],Product[#All],6,0)</f>
        <v>53726</v>
      </c>
      <c r="L1036" s="143">
        <f>Purchase[[#This Row],[Purchase Rate]]*Purchase[[#This Row],[Qty]]</f>
        <v>1235698</v>
      </c>
      <c r="M1036" s="140">
        <v>0</v>
      </c>
      <c r="N1036" s="143">
        <v>0</v>
      </c>
      <c r="O1036" s="140">
        <v>0.18</v>
      </c>
      <c r="P1036" s="145">
        <f>(Purchase[[#This Row],[Gross Amount]]-Purchase[[#This Row],[Disct %]])*Purchase[[#This Row],[GST %]]</f>
        <v>222425.63999999998</v>
      </c>
      <c r="Q1036" s="145">
        <f>Purchase[[#This Row],[Gross Amount]]-Purchase[[#This Row],[Disct Amnt]]+Purchase[[#This Row],[GST Amount]]</f>
        <v>1458123.64</v>
      </c>
      <c r="R1036" s="138" t="s">
        <v>1040</v>
      </c>
      <c r="S1036" s="41">
        <f>IF(Purchase[[#This Row],[Status]]="Cancelled",0,Purchase[[#This Row],[Qty]])</f>
        <v>0</v>
      </c>
      <c r="T1036" s="146">
        <f>IF(Purchase[[#This Row],[Status]]="Cancelled",0,Purchase[[#This Row],[Total Amount]])</f>
        <v>0</v>
      </c>
      <c r="U1036" s="146">
        <f>SUM(Purchase[Net Amount])</f>
        <v>814985438.68000126</v>
      </c>
    </row>
    <row r="1037" spans="1:21" ht="19.5" thickBot="1" x14ac:dyDescent="0.3">
      <c r="A1037" s="136" t="s">
        <v>2081</v>
      </c>
      <c r="B1037" s="137">
        <v>45708</v>
      </c>
      <c r="C1037" s="138" t="s">
        <v>567</v>
      </c>
      <c r="D1037" s="138" t="str">
        <f>VLOOKUP(Purchase[[#This Row],[Supplier ID]],Supplier[#All],2,0)</f>
        <v>National Distributors</v>
      </c>
      <c r="E1037" s="138">
        <f>VLOOKUP(Purchase[[#This Row],[Supplier ID]],Supplier[#All],3,0)</f>
        <v>9689542453</v>
      </c>
      <c r="F1037" s="138" t="str">
        <f>VLOOKUP(Purchase[[#This Row],[Supplier ID]],Supplier[#All],4,0)</f>
        <v>Korba</v>
      </c>
      <c r="G1037" s="138" t="str">
        <f>VLOOKUP(Purchase[[#This Row],[Supplier ID]],Supplier[#All],5,0)</f>
        <v>CG</v>
      </c>
      <c r="H1037" s="138" t="str">
        <f>VLOOKUP(Purchase[[#This Row],[Supplier ID]],Supplier[#All],6,0)</f>
        <v>GST2154521T015</v>
      </c>
      <c r="I1037" s="138" t="s">
        <v>544</v>
      </c>
      <c r="J1037" s="139">
        <v>26</v>
      </c>
      <c r="K1037" s="143">
        <f>VLOOKUP(Purchase[[#This Row],[Product ID]],Product[#All],6,0)</f>
        <v>14145</v>
      </c>
      <c r="L1037" s="143">
        <f>Purchase[[#This Row],[Purchase Rate]]*Purchase[[#This Row],[Qty]]</f>
        <v>367770</v>
      </c>
      <c r="M1037" s="140">
        <v>0</v>
      </c>
      <c r="N1037" s="143">
        <v>0</v>
      </c>
      <c r="O1037" s="140">
        <v>0.18</v>
      </c>
      <c r="P1037" s="145">
        <f>(Purchase[[#This Row],[Gross Amount]]-Purchase[[#This Row],[Disct %]])*Purchase[[#This Row],[GST %]]</f>
        <v>66198.599999999991</v>
      </c>
      <c r="Q1037" s="145">
        <f>Purchase[[#This Row],[Gross Amount]]-Purchase[[#This Row],[Disct Amnt]]+Purchase[[#This Row],[GST Amount]]</f>
        <v>433968.6</v>
      </c>
      <c r="R1037" s="138" t="s">
        <v>1019</v>
      </c>
      <c r="S1037" s="41">
        <f>IF(Purchase[[#This Row],[Status]]="Cancelled",0,Purchase[[#This Row],[Qty]])</f>
        <v>26</v>
      </c>
      <c r="T1037" s="146">
        <f>IF(Purchase[[#This Row],[Status]]="Cancelled",0,Purchase[[#This Row],[Total Amount]])</f>
        <v>433968.6</v>
      </c>
      <c r="U1037" s="146">
        <f>SUM(Purchase[Net Amount])</f>
        <v>814985438.68000126</v>
      </c>
    </row>
    <row r="1038" spans="1:21" ht="19.5" thickBot="1" x14ac:dyDescent="0.3">
      <c r="A1038" s="136" t="s">
        <v>2082</v>
      </c>
      <c r="B1038" s="137">
        <v>45708</v>
      </c>
      <c r="C1038" s="138" t="s">
        <v>579</v>
      </c>
      <c r="D1038" s="138" t="str">
        <f>VLOOKUP(Purchase[[#This Row],[Supplier ID]],Supplier[#All],2,0)</f>
        <v>Tech Traders</v>
      </c>
      <c r="E1038" s="138">
        <f>VLOOKUP(Purchase[[#This Row],[Supplier ID]],Supplier[#All],3,0)</f>
        <v>9689542463</v>
      </c>
      <c r="F1038" s="138" t="str">
        <f>VLOOKUP(Purchase[[#This Row],[Supplier ID]],Supplier[#All],4,0)</f>
        <v>Kanpur</v>
      </c>
      <c r="G1038" s="138" t="str">
        <f>VLOOKUP(Purchase[[#This Row],[Supplier ID]],Supplier[#All],5,0)</f>
        <v>UP</v>
      </c>
      <c r="H1038" s="138" t="str">
        <f>VLOOKUP(Purchase[[#This Row],[Supplier ID]],Supplier[#All],6,0)</f>
        <v>GST2154521T025</v>
      </c>
      <c r="I1038" s="138" t="s">
        <v>250</v>
      </c>
      <c r="J1038" s="139">
        <v>29</v>
      </c>
      <c r="K1038" s="143">
        <f>VLOOKUP(Purchase[[#This Row],[Product ID]],Product[#All],6,0)</f>
        <v>10586</v>
      </c>
      <c r="L1038" s="143">
        <f>Purchase[[#This Row],[Purchase Rate]]*Purchase[[#This Row],[Qty]]</f>
        <v>306994</v>
      </c>
      <c r="M1038" s="140">
        <v>0</v>
      </c>
      <c r="N1038" s="143">
        <v>0</v>
      </c>
      <c r="O1038" s="140">
        <v>0.18</v>
      </c>
      <c r="P1038" s="145">
        <f>(Purchase[[#This Row],[Gross Amount]]-Purchase[[#This Row],[Disct %]])*Purchase[[#This Row],[GST %]]</f>
        <v>55258.92</v>
      </c>
      <c r="Q1038" s="145">
        <f>Purchase[[#This Row],[Gross Amount]]-Purchase[[#This Row],[Disct Amnt]]+Purchase[[#This Row],[GST Amount]]</f>
        <v>362252.92</v>
      </c>
      <c r="R1038" s="138" t="s">
        <v>1019</v>
      </c>
      <c r="S1038" s="41">
        <f>IF(Purchase[[#This Row],[Status]]="Cancelled",0,Purchase[[#This Row],[Qty]])</f>
        <v>29</v>
      </c>
      <c r="T1038" s="146">
        <f>IF(Purchase[[#This Row],[Status]]="Cancelled",0,Purchase[[#This Row],[Total Amount]])</f>
        <v>362252.92</v>
      </c>
      <c r="U1038" s="146">
        <f>SUM(Purchase[Net Amount])</f>
        <v>814985438.68000126</v>
      </c>
    </row>
    <row r="1039" spans="1:21" ht="19.5" thickBot="1" x14ac:dyDescent="0.3">
      <c r="A1039" s="136" t="s">
        <v>2083</v>
      </c>
      <c r="B1039" s="137">
        <v>45708</v>
      </c>
      <c r="C1039" s="138" t="s">
        <v>580</v>
      </c>
      <c r="D1039" s="138" t="str">
        <f>VLOOKUP(Purchase[[#This Row],[Supplier ID]],Supplier[#All],2,0)</f>
        <v>Star Distributors</v>
      </c>
      <c r="E1039" s="138">
        <f>VLOOKUP(Purchase[[#This Row],[Supplier ID]],Supplier[#All],3,0)</f>
        <v>9689542464</v>
      </c>
      <c r="F1039" s="138" t="str">
        <f>VLOOKUP(Purchase[[#This Row],[Supplier ID]],Supplier[#All],4,0)</f>
        <v>Indore</v>
      </c>
      <c r="G1039" s="138" t="str">
        <f>VLOOKUP(Purchase[[#This Row],[Supplier ID]],Supplier[#All],5,0)</f>
        <v>MP</v>
      </c>
      <c r="H1039" s="138" t="str">
        <f>VLOOKUP(Purchase[[#This Row],[Supplier ID]],Supplier[#All],6,0)</f>
        <v>GST2154521T026</v>
      </c>
      <c r="I1039" s="138" t="s">
        <v>273</v>
      </c>
      <c r="J1039" s="139">
        <v>36</v>
      </c>
      <c r="K1039" s="143">
        <f>VLOOKUP(Purchase[[#This Row],[Product ID]],Product[#All],6,0)</f>
        <v>3783</v>
      </c>
      <c r="L1039" s="143">
        <f>Purchase[[#This Row],[Purchase Rate]]*Purchase[[#This Row],[Qty]]</f>
        <v>136188</v>
      </c>
      <c r="M1039" s="140">
        <v>0</v>
      </c>
      <c r="N1039" s="143">
        <v>0</v>
      </c>
      <c r="O1039" s="140">
        <v>0.18</v>
      </c>
      <c r="P1039" s="145">
        <f>(Purchase[[#This Row],[Gross Amount]]-Purchase[[#This Row],[Disct %]])*Purchase[[#This Row],[GST %]]</f>
        <v>24513.84</v>
      </c>
      <c r="Q1039" s="145">
        <f>Purchase[[#This Row],[Gross Amount]]-Purchase[[#This Row],[Disct Amnt]]+Purchase[[#This Row],[GST Amount]]</f>
        <v>160701.84</v>
      </c>
      <c r="R1039" s="138" t="s">
        <v>1019</v>
      </c>
      <c r="S1039" s="41">
        <f>IF(Purchase[[#This Row],[Status]]="Cancelled",0,Purchase[[#This Row],[Qty]])</f>
        <v>36</v>
      </c>
      <c r="T1039" s="146">
        <f>IF(Purchase[[#This Row],[Status]]="Cancelled",0,Purchase[[#This Row],[Total Amount]])</f>
        <v>160701.84</v>
      </c>
      <c r="U1039" s="146">
        <f>SUM(Purchase[Net Amount])</f>
        <v>814985438.68000126</v>
      </c>
    </row>
    <row r="1040" spans="1:21" ht="19.5" thickBot="1" x14ac:dyDescent="0.3">
      <c r="A1040" s="136" t="s">
        <v>2084</v>
      </c>
      <c r="B1040" s="137">
        <v>45708</v>
      </c>
      <c r="C1040" s="138" t="s">
        <v>565</v>
      </c>
      <c r="D1040" s="138" t="str">
        <f>VLOOKUP(Purchase[[#This Row],[Supplier ID]],Supplier[#All],2,0)</f>
        <v>Global Suppliers</v>
      </c>
      <c r="E1040" s="138">
        <f>VLOOKUP(Purchase[[#This Row],[Supplier ID]],Supplier[#All],3,0)</f>
        <v>9689542459</v>
      </c>
      <c r="F1040" s="138" t="str">
        <f>VLOOKUP(Purchase[[#This Row],[Supplier ID]],Supplier[#All],4,0)</f>
        <v>Indore</v>
      </c>
      <c r="G1040" s="138" t="str">
        <f>VLOOKUP(Purchase[[#This Row],[Supplier ID]],Supplier[#All],5,0)</f>
        <v>MP</v>
      </c>
      <c r="H1040" s="138" t="str">
        <f>VLOOKUP(Purchase[[#This Row],[Supplier ID]],Supplier[#All],6,0)</f>
        <v>GST2154521T013</v>
      </c>
      <c r="I1040" s="138" t="s">
        <v>486</v>
      </c>
      <c r="J1040" s="139">
        <v>22</v>
      </c>
      <c r="K1040" s="143">
        <f>VLOOKUP(Purchase[[#This Row],[Product ID]],Product[#All],6,0)</f>
        <v>1345</v>
      </c>
      <c r="L1040" s="143">
        <f>Purchase[[#This Row],[Purchase Rate]]*Purchase[[#This Row],[Qty]]</f>
        <v>29590</v>
      </c>
      <c r="M1040" s="140">
        <v>0</v>
      </c>
      <c r="N1040" s="143">
        <v>0</v>
      </c>
      <c r="O1040" s="140">
        <v>0.18</v>
      </c>
      <c r="P1040" s="145">
        <f>(Purchase[[#This Row],[Gross Amount]]-Purchase[[#This Row],[Disct %]])*Purchase[[#This Row],[GST %]]</f>
        <v>5326.2</v>
      </c>
      <c r="Q1040" s="145">
        <f>Purchase[[#This Row],[Gross Amount]]-Purchase[[#This Row],[Disct Amnt]]+Purchase[[#This Row],[GST Amount]]</f>
        <v>34916.199999999997</v>
      </c>
      <c r="R1040" s="138" t="s">
        <v>1019</v>
      </c>
      <c r="S1040" s="41">
        <f>IF(Purchase[[#This Row],[Status]]="Cancelled",0,Purchase[[#This Row],[Qty]])</f>
        <v>22</v>
      </c>
      <c r="T1040" s="146">
        <f>IF(Purchase[[#This Row],[Status]]="Cancelled",0,Purchase[[#This Row],[Total Amount]])</f>
        <v>34916.199999999997</v>
      </c>
      <c r="U1040" s="146">
        <f>SUM(Purchase[Net Amount])</f>
        <v>814985438.68000126</v>
      </c>
    </row>
    <row r="1041" spans="1:21" ht="19.5" thickBot="1" x14ac:dyDescent="0.3">
      <c r="A1041" s="136" t="s">
        <v>2085</v>
      </c>
      <c r="B1041" s="137">
        <v>45708</v>
      </c>
      <c r="C1041" s="138" t="s">
        <v>613</v>
      </c>
      <c r="D1041" s="138" t="str">
        <f>VLOOKUP(Purchase[[#This Row],[Supplier ID]],Supplier[#All],2,0)</f>
        <v>National Traders</v>
      </c>
      <c r="E1041" s="138">
        <f>VLOOKUP(Purchase[[#This Row],[Supplier ID]],Supplier[#All],3,0)</f>
        <v>9689542496</v>
      </c>
      <c r="F1041" s="138" t="str">
        <f>VLOOKUP(Purchase[[#This Row],[Supplier ID]],Supplier[#All],4,0)</f>
        <v>Indore</v>
      </c>
      <c r="G1041" s="138" t="str">
        <f>VLOOKUP(Purchase[[#This Row],[Supplier ID]],Supplier[#All],5,0)</f>
        <v>MP</v>
      </c>
      <c r="H1041" s="138" t="str">
        <f>VLOOKUP(Purchase[[#This Row],[Supplier ID]],Supplier[#All],6,0)</f>
        <v>GST2154521T058</v>
      </c>
      <c r="I1041" s="138" t="s">
        <v>368</v>
      </c>
      <c r="J1041" s="139">
        <v>19</v>
      </c>
      <c r="K1041" s="143">
        <f>VLOOKUP(Purchase[[#This Row],[Product ID]],Product[#All],6,0)</f>
        <v>1031</v>
      </c>
      <c r="L1041" s="143">
        <f>Purchase[[#This Row],[Purchase Rate]]*Purchase[[#This Row],[Qty]]</f>
        <v>19589</v>
      </c>
      <c r="M1041" s="140">
        <v>0</v>
      </c>
      <c r="N1041" s="143">
        <v>0</v>
      </c>
      <c r="O1041" s="140">
        <v>0.18</v>
      </c>
      <c r="P1041" s="145">
        <f>(Purchase[[#This Row],[Gross Amount]]-Purchase[[#This Row],[Disct %]])*Purchase[[#This Row],[GST %]]</f>
        <v>3526.02</v>
      </c>
      <c r="Q1041" s="145">
        <f>Purchase[[#This Row],[Gross Amount]]-Purchase[[#This Row],[Disct Amnt]]+Purchase[[#This Row],[GST Amount]]</f>
        <v>23115.02</v>
      </c>
      <c r="R1041" s="138" t="s">
        <v>1019</v>
      </c>
      <c r="S1041" s="41">
        <f>IF(Purchase[[#This Row],[Status]]="Cancelled",0,Purchase[[#This Row],[Qty]])</f>
        <v>19</v>
      </c>
      <c r="T1041" s="146">
        <f>IF(Purchase[[#This Row],[Status]]="Cancelled",0,Purchase[[#This Row],[Total Amount]])</f>
        <v>23115.02</v>
      </c>
      <c r="U1041" s="146">
        <f>SUM(Purchase[Net Amount])</f>
        <v>814985438.68000126</v>
      </c>
    </row>
    <row r="1042" spans="1:21" ht="19.5" thickBot="1" x14ac:dyDescent="0.3">
      <c r="A1042" s="136" t="s">
        <v>2086</v>
      </c>
      <c r="B1042" s="137">
        <v>45708</v>
      </c>
      <c r="C1042" s="138" t="s">
        <v>578</v>
      </c>
      <c r="D1042" s="138" t="str">
        <f>VLOOKUP(Purchase[[#This Row],[Supplier ID]],Supplier[#All],2,0)</f>
        <v>Shree Computers</v>
      </c>
      <c r="E1042" s="138">
        <f>VLOOKUP(Purchase[[#This Row],[Supplier ID]],Supplier[#All],3,0)</f>
        <v>9689542462</v>
      </c>
      <c r="F1042" s="138" t="str">
        <f>VLOOKUP(Purchase[[#This Row],[Supplier ID]],Supplier[#All],4,0)</f>
        <v>Korba</v>
      </c>
      <c r="G1042" s="138" t="str">
        <f>VLOOKUP(Purchase[[#This Row],[Supplier ID]],Supplier[#All],5,0)</f>
        <v>CG</v>
      </c>
      <c r="H1042" s="138" t="str">
        <f>VLOOKUP(Purchase[[#This Row],[Supplier ID]],Supplier[#All],6,0)</f>
        <v>GST2154521T024</v>
      </c>
      <c r="I1042" s="138" t="s">
        <v>49</v>
      </c>
      <c r="J1042" s="139">
        <v>24</v>
      </c>
      <c r="K1042" s="143">
        <f>VLOOKUP(Purchase[[#This Row],[Product ID]],Product[#All],6,0)</f>
        <v>798</v>
      </c>
      <c r="L1042" s="143">
        <f>Purchase[[#This Row],[Purchase Rate]]*Purchase[[#This Row],[Qty]]</f>
        <v>19152</v>
      </c>
      <c r="M1042" s="140">
        <v>0</v>
      </c>
      <c r="N1042" s="143">
        <v>0</v>
      </c>
      <c r="O1042" s="140">
        <v>0.18</v>
      </c>
      <c r="P1042" s="145">
        <f>(Purchase[[#This Row],[Gross Amount]]-Purchase[[#This Row],[Disct %]])*Purchase[[#This Row],[GST %]]</f>
        <v>3447.3599999999997</v>
      </c>
      <c r="Q1042" s="145">
        <f>Purchase[[#This Row],[Gross Amount]]-Purchase[[#This Row],[Disct Amnt]]+Purchase[[#This Row],[GST Amount]]</f>
        <v>22599.360000000001</v>
      </c>
      <c r="R1042" s="138" t="s">
        <v>1019</v>
      </c>
      <c r="S1042" s="41">
        <f>IF(Purchase[[#This Row],[Status]]="Cancelled",0,Purchase[[#This Row],[Qty]])</f>
        <v>24</v>
      </c>
      <c r="T1042" s="146">
        <f>IF(Purchase[[#This Row],[Status]]="Cancelled",0,Purchase[[#This Row],[Total Amount]])</f>
        <v>22599.360000000001</v>
      </c>
      <c r="U1042" s="146">
        <f>SUM(Purchase[Net Amount])</f>
        <v>814985438.68000126</v>
      </c>
    </row>
    <row r="1043" spans="1:21" ht="19.5" thickBot="1" x14ac:dyDescent="0.3">
      <c r="A1043" s="136" t="s">
        <v>2087</v>
      </c>
      <c r="B1043" s="137">
        <v>45708</v>
      </c>
      <c r="C1043" s="138" t="s">
        <v>586</v>
      </c>
      <c r="D1043" s="138" t="str">
        <f>VLOOKUP(Purchase[[#This Row],[Supplier ID]],Supplier[#All],2,0)</f>
        <v>Maa Traders</v>
      </c>
      <c r="E1043" s="138">
        <f>VLOOKUP(Purchase[[#This Row],[Supplier ID]],Supplier[#All],3,0)</f>
        <v>9689542470</v>
      </c>
      <c r="F1043" s="138" t="str">
        <f>VLOOKUP(Purchase[[#This Row],[Supplier ID]],Supplier[#All],4,0)</f>
        <v>Kanpur</v>
      </c>
      <c r="G1043" s="138" t="str">
        <f>VLOOKUP(Purchase[[#This Row],[Supplier ID]],Supplier[#All],5,0)</f>
        <v>UP</v>
      </c>
      <c r="H1043" s="138" t="str">
        <f>VLOOKUP(Purchase[[#This Row],[Supplier ID]],Supplier[#All],6,0)</f>
        <v>GST2154521T032</v>
      </c>
      <c r="I1043" s="138" t="s">
        <v>241</v>
      </c>
      <c r="J1043" s="139">
        <v>17</v>
      </c>
      <c r="K1043" s="143">
        <f>VLOOKUP(Purchase[[#This Row],[Product ID]],Product[#All],6,0)</f>
        <v>537</v>
      </c>
      <c r="L1043" s="143">
        <f>Purchase[[#This Row],[Purchase Rate]]*Purchase[[#This Row],[Qty]]</f>
        <v>9129</v>
      </c>
      <c r="M1043" s="140">
        <v>0</v>
      </c>
      <c r="N1043" s="143">
        <v>0</v>
      </c>
      <c r="O1043" s="140">
        <v>0.18</v>
      </c>
      <c r="P1043" s="145">
        <f>(Purchase[[#This Row],[Gross Amount]]-Purchase[[#This Row],[Disct %]])*Purchase[[#This Row],[GST %]]</f>
        <v>1643.22</v>
      </c>
      <c r="Q1043" s="145">
        <f>Purchase[[#This Row],[Gross Amount]]-Purchase[[#This Row],[Disct Amnt]]+Purchase[[#This Row],[GST Amount]]</f>
        <v>10772.22</v>
      </c>
      <c r="R1043" s="138" t="s">
        <v>1019</v>
      </c>
      <c r="S1043" s="41">
        <f>IF(Purchase[[#This Row],[Status]]="Cancelled",0,Purchase[[#This Row],[Qty]])</f>
        <v>17</v>
      </c>
      <c r="T1043" s="146">
        <f>IF(Purchase[[#This Row],[Status]]="Cancelled",0,Purchase[[#This Row],[Total Amount]])</f>
        <v>10772.22</v>
      </c>
      <c r="U1043" s="146">
        <f>SUM(Purchase[Net Amount])</f>
        <v>814985438.68000126</v>
      </c>
    </row>
    <row r="1044" spans="1:21" ht="19.5" thickBot="1" x14ac:dyDescent="0.3">
      <c r="A1044" s="136" t="s">
        <v>2088</v>
      </c>
      <c r="B1044" s="137">
        <v>45709</v>
      </c>
      <c r="C1044" s="138" t="s">
        <v>587</v>
      </c>
      <c r="D1044" s="138" t="str">
        <f>VLOOKUP(Purchase[[#This Row],[Supplier ID]],Supplier[#All],2,0)</f>
        <v>maa distributors</v>
      </c>
      <c r="E1044" s="138">
        <f>VLOOKUP(Purchase[[#This Row],[Supplier ID]],Supplier[#All],3,0)</f>
        <v>9689542479</v>
      </c>
      <c r="F1044" s="138" t="str">
        <f>VLOOKUP(Purchase[[#This Row],[Supplier ID]],Supplier[#All],4,0)</f>
        <v>Indore</v>
      </c>
      <c r="G1044" s="138" t="str">
        <f>VLOOKUP(Purchase[[#This Row],[Supplier ID]],Supplier[#All],5,0)</f>
        <v>MP</v>
      </c>
      <c r="H1044" s="138" t="str">
        <f>VLOOKUP(Purchase[[#This Row],[Supplier ID]],Supplier[#All],6,0)</f>
        <v>GST2154521T033</v>
      </c>
      <c r="I1044" s="138" t="s">
        <v>280</v>
      </c>
      <c r="J1044" s="139">
        <v>2</v>
      </c>
      <c r="K1044" s="143">
        <f>VLOOKUP(Purchase[[#This Row],[Product ID]],Product[#All],6,0)</f>
        <v>28461</v>
      </c>
      <c r="L1044" s="143">
        <f>Purchase[[#This Row],[Purchase Rate]]*Purchase[[#This Row],[Qty]]</f>
        <v>56922</v>
      </c>
      <c r="M1044" s="140">
        <v>0</v>
      </c>
      <c r="N1044" s="143">
        <v>0</v>
      </c>
      <c r="O1044" s="140">
        <v>0.18</v>
      </c>
      <c r="P1044" s="145">
        <f>(Purchase[[#This Row],[Gross Amount]]-Purchase[[#This Row],[Disct %]])*Purchase[[#This Row],[GST %]]</f>
        <v>10245.959999999999</v>
      </c>
      <c r="Q1044" s="145">
        <f>Purchase[[#This Row],[Gross Amount]]-Purchase[[#This Row],[Disct Amnt]]+Purchase[[#This Row],[GST Amount]]</f>
        <v>67167.959999999992</v>
      </c>
      <c r="R1044" s="138" t="s">
        <v>1019</v>
      </c>
      <c r="S1044" s="41">
        <f>IF(Purchase[[#This Row],[Status]]="Cancelled",0,Purchase[[#This Row],[Qty]])</f>
        <v>2</v>
      </c>
      <c r="T1044" s="146">
        <f>IF(Purchase[[#This Row],[Status]]="Cancelled",0,Purchase[[#This Row],[Total Amount]])</f>
        <v>67167.959999999992</v>
      </c>
      <c r="U1044" s="146">
        <f>SUM(Purchase[Net Amount])</f>
        <v>814985438.68000126</v>
      </c>
    </row>
    <row r="1045" spans="1:21" ht="19.5" thickBot="1" x14ac:dyDescent="0.3">
      <c r="A1045" s="136" t="s">
        <v>2089</v>
      </c>
      <c r="B1045" s="137">
        <v>45709</v>
      </c>
      <c r="C1045" s="138" t="s">
        <v>587</v>
      </c>
      <c r="D1045" s="138" t="str">
        <f>VLOOKUP(Purchase[[#This Row],[Supplier ID]],Supplier[#All],2,0)</f>
        <v>maa distributors</v>
      </c>
      <c r="E1045" s="138">
        <f>VLOOKUP(Purchase[[#This Row],[Supplier ID]],Supplier[#All],3,0)</f>
        <v>9689542479</v>
      </c>
      <c r="F1045" s="138" t="str">
        <f>VLOOKUP(Purchase[[#This Row],[Supplier ID]],Supplier[#All],4,0)</f>
        <v>Indore</v>
      </c>
      <c r="G1045" s="138" t="str">
        <f>VLOOKUP(Purchase[[#This Row],[Supplier ID]],Supplier[#All],5,0)</f>
        <v>MP</v>
      </c>
      <c r="H1045" s="138" t="str">
        <f>VLOOKUP(Purchase[[#This Row],[Supplier ID]],Supplier[#All],6,0)</f>
        <v>GST2154521T033</v>
      </c>
      <c r="I1045" s="138" t="s">
        <v>106</v>
      </c>
      <c r="J1045" s="139">
        <v>15</v>
      </c>
      <c r="K1045" s="143">
        <f>VLOOKUP(Purchase[[#This Row],[Product ID]],Product[#All],6,0)</f>
        <v>6729</v>
      </c>
      <c r="L1045" s="143">
        <f>Purchase[[#This Row],[Purchase Rate]]*Purchase[[#This Row],[Qty]]</f>
        <v>100935</v>
      </c>
      <c r="M1045" s="140">
        <v>0</v>
      </c>
      <c r="N1045" s="143">
        <v>0</v>
      </c>
      <c r="O1045" s="140">
        <v>0.18</v>
      </c>
      <c r="P1045" s="145">
        <f>(Purchase[[#This Row],[Gross Amount]]-Purchase[[#This Row],[Disct %]])*Purchase[[#This Row],[GST %]]</f>
        <v>18168.3</v>
      </c>
      <c r="Q1045" s="145">
        <f>Purchase[[#This Row],[Gross Amount]]-Purchase[[#This Row],[Disct Amnt]]+Purchase[[#This Row],[GST Amount]]</f>
        <v>119103.3</v>
      </c>
      <c r="R1045" s="138" t="s">
        <v>1019</v>
      </c>
      <c r="S1045" s="41">
        <f>IF(Purchase[[#This Row],[Status]]="Cancelled",0,Purchase[[#This Row],[Qty]])</f>
        <v>15</v>
      </c>
      <c r="T1045" s="146">
        <f>IF(Purchase[[#This Row],[Status]]="Cancelled",0,Purchase[[#This Row],[Total Amount]])</f>
        <v>119103.3</v>
      </c>
      <c r="U1045" s="146">
        <f>SUM(Purchase[Net Amount])</f>
        <v>814985438.68000126</v>
      </c>
    </row>
    <row r="1046" spans="1:21" ht="19.5" thickBot="1" x14ac:dyDescent="0.3">
      <c r="A1046" s="136" t="s">
        <v>2090</v>
      </c>
      <c r="B1046" s="137">
        <v>45709</v>
      </c>
      <c r="C1046" s="138" t="s">
        <v>569</v>
      </c>
      <c r="D1046" s="138" t="str">
        <f>VLOOKUP(Purchase[[#This Row],[Supplier ID]],Supplier[#All],2,0)</f>
        <v>Tech Electronics</v>
      </c>
      <c r="E1046" s="138">
        <f>VLOOKUP(Purchase[[#This Row],[Supplier ID]],Supplier[#All],3,0)</f>
        <v>9689542455</v>
      </c>
      <c r="F1046" s="138" t="str">
        <f>VLOOKUP(Purchase[[#This Row],[Supplier ID]],Supplier[#All],4,0)</f>
        <v>Korba</v>
      </c>
      <c r="G1046" s="138" t="str">
        <f>VLOOKUP(Purchase[[#This Row],[Supplier ID]],Supplier[#All],5,0)</f>
        <v>CG</v>
      </c>
      <c r="H1046" s="138" t="str">
        <f>VLOOKUP(Purchase[[#This Row],[Supplier ID]],Supplier[#All],6,0)</f>
        <v>GST2154521T017</v>
      </c>
      <c r="I1046" s="138" t="s">
        <v>497</v>
      </c>
      <c r="J1046" s="139">
        <v>27</v>
      </c>
      <c r="K1046" s="143">
        <f>VLOOKUP(Purchase[[#This Row],[Product ID]],Product[#All],6,0)</f>
        <v>3742</v>
      </c>
      <c r="L1046" s="143">
        <f>Purchase[[#This Row],[Purchase Rate]]*Purchase[[#This Row],[Qty]]</f>
        <v>101034</v>
      </c>
      <c r="M1046" s="140">
        <v>0</v>
      </c>
      <c r="N1046" s="143">
        <v>0</v>
      </c>
      <c r="O1046" s="140">
        <v>0.18</v>
      </c>
      <c r="P1046" s="145">
        <f>(Purchase[[#This Row],[Gross Amount]]-Purchase[[#This Row],[Disct %]])*Purchase[[#This Row],[GST %]]</f>
        <v>18186.12</v>
      </c>
      <c r="Q1046" s="145">
        <f>Purchase[[#This Row],[Gross Amount]]-Purchase[[#This Row],[Disct Amnt]]+Purchase[[#This Row],[GST Amount]]</f>
        <v>119220.12</v>
      </c>
      <c r="R1046" s="138" t="s">
        <v>1019</v>
      </c>
      <c r="S1046" s="41">
        <f>IF(Purchase[[#This Row],[Status]]="Cancelled",0,Purchase[[#This Row],[Qty]])</f>
        <v>27</v>
      </c>
      <c r="T1046" s="146">
        <f>IF(Purchase[[#This Row],[Status]]="Cancelled",0,Purchase[[#This Row],[Total Amount]])</f>
        <v>119220.12</v>
      </c>
      <c r="U1046" s="146">
        <f>SUM(Purchase[Net Amount])</f>
        <v>814985438.68000126</v>
      </c>
    </row>
    <row r="1047" spans="1:21" ht="19.5" thickBot="1" x14ac:dyDescent="0.3">
      <c r="A1047" s="136" t="s">
        <v>2091</v>
      </c>
      <c r="B1047" s="137">
        <v>45709</v>
      </c>
      <c r="C1047" s="138" t="s">
        <v>566</v>
      </c>
      <c r="D1047" s="138" t="str">
        <f>VLOOKUP(Purchase[[#This Row],[Supplier ID]],Supplier[#All],2,0)</f>
        <v>Maa Computers</v>
      </c>
      <c r="E1047" s="138">
        <f>VLOOKUP(Purchase[[#This Row],[Supplier ID]],Supplier[#All],3,0)</f>
        <v>9689542452</v>
      </c>
      <c r="F1047" s="138" t="str">
        <f>VLOOKUP(Purchase[[#This Row],[Supplier ID]],Supplier[#All],4,0)</f>
        <v>Kanpur</v>
      </c>
      <c r="G1047" s="138" t="str">
        <f>VLOOKUP(Purchase[[#This Row],[Supplier ID]],Supplier[#All],5,0)</f>
        <v>UP</v>
      </c>
      <c r="H1047" s="138" t="str">
        <f>VLOOKUP(Purchase[[#This Row],[Supplier ID]],Supplier[#All],6,0)</f>
        <v>GST2154521T014</v>
      </c>
      <c r="I1047" s="138" t="s">
        <v>501</v>
      </c>
      <c r="J1047" s="139">
        <v>13</v>
      </c>
      <c r="K1047" s="143">
        <f>VLOOKUP(Purchase[[#This Row],[Product ID]],Product[#All],6,0)</f>
        <v>3547</v>
      </c>
      <c r="L1047" s="143">
        <f>Purchase[[#This Row],[Purchase Rate]]*Purchase[[#This Row],[Qty]]</f>
        <v>46111</v>
      </c>
      <c r="M1047" s="140">
        <v>0</v>
      </c>
      <c r="N1047" s="143">
        <v>0</v>
      </c>
      <c r="O1047" s="140">
        <v>0.18</v>
      </c>
      <c r="P1047" s="145">
        <f>(Purchase[[#This Row],[Gross Amount]]-Purchase[[#This Row],[Disct %]])*Purchase[[#This Row],[GST %]]</f>
        <v>8299.98</v>
      </c>
      <c r="Q1047" s="145">
        <f>Purchase[[#This Row],[Gross Amount]]-Purchase[[#This Row],[Disct Amnt]]+Purchase[[#This Row],[GST Amount]]</f>
        <v>54410.979999999996</v>
      </c>
      <c r="R1047" s="138" t="s">
        <v>1019</v>
      </c>
      <c r="S1047" s="41">
        <f>IF(Purchase[[#This Row],[Status]]="Cancelled",0,Purchase[[#This Row],[Qty]])</f>
        <v>13</v>
      </c>
      <c r="T1047" s="146">
        <f>IF(Purchase[[#This Row],[Status]]="Cancelled",0,Purchase[[#This Row],[Total Amount]])</f>
        <v>54410.979999999996</v>
      </c>
      <c r="U1047" s="146">
        <f>SUM(Purchase[Net Amount])</f>
        <v>814985438.68000126</v>
      </c>
    </row>
    <row r="1048" spans="1:21" ht="19.5" thickBot="1" x14ac:dyDescent="0.3">
      <c r="A1048" s="136" t="s">
        <v>2092</v>
      </c>
      <c r="B1048" s="137">
        <v>45709</v>
      </c>
      <c r="C1048" s="138" t="s">
        <v>611</v>
      </c>
      <c r="D1048" s="138" t="str">
        <f>VLOOKUP(Purchase[[#This Row],[Supplier ID]],Supplier[#All],2,0)</f>
        <v>National Distributors</v>
      </c>
      <c r="E1048" s="138">
        <f>VLOOKUP(Purchase[[#This Row],[Supplier ID]],Supplier[#All],3,0)</f>
        <v>9689542494</v>
      </c>
      <c r="F1048" s="138" t="str">
        <f>VLOOKUP(Purchase[[#This Row],[Supplier ID]],Supplier[#All],4,0)</f>
        <v>Korba</v>
      </c>
      <c r="G1048" s="138" t="str">
        <f>VLOOKUP(Purchase[[#This Row],[Supplier ID]],Supplier[#All],5,0)</f>
        <v>CG</v>
      </c>
      <c r="H1048" s="138" t="str">
        <f>VLOOKUP(Purchase[[#This Row],[Supplier ID]],Supplier[#All],6,0)</f>
        <v>GST2154521T056</v>
      </c>
      <c r="I1048" s="138" t="s">
        <v>509</v>
      </c>
      <c r="J1048" s="139">
        <v>14</v>
      </c>
      <c r="K1048" s="143">
        <f>VLOOKUP(Purchase[[#This Row],[Product ID]],Product[#All],6,0)</f>
        <v>2682</v>
      </c>
      <c r="L1048" s="143">
        <f>Purchase[[#This Row],[Purchase Rate]]*Purchase[[#This Row],[Qty]]</f>
        <v>37548</v>
      </c>
      <c r="M1048" s="140">
        <v>0</v>
      </c>
      <c r="N1048" s="143">
        <v>0</v>
      </c>
      <c r="O1048" s="140">
        <v>0.18</v>
      </c>
      <c r="P1048" s="145">
        <f>(Purchase[[#This Row],[Gross Amount]]-Purchase[[#This Row],[Disct %]])*Purchase[[#This Row],[GST %]]</f>
        <v>6758.6399999999994</v>
      </c>
      <c r="Q1048" s="145">
        <f>Purchase[[#This Row],[Gross Amount]]-Purchase[[#This Row],[Disct Amnt]]+Purchase[[#This Row],[GST Amount]]</f>
        <v>44306.64</v>
      </c>
      <c r="R1048" s="138" t="s">
        <v>1019</v>
      </c>
      <c r="S1048" s="41">
        <f>IF(Purchase[[#This Row],[Status]]="Cancelled",0,Purchase[[#This Row],[Qty]])</f>
        <v>14</v>
      </c>
      <c r="T1048" s="146">
        <f>IF(Purchase[[#This Row],[Status]]="Cancelled",0,Purchase[[#This Row],[Total Amount]])</f>
        <v>44306.64</v>
      </c>
      <c r="U1048" s="146">
        <f>SUM(Purchase[Net Amount])</f>
        <v>814985438.68000126</v>
      </c>
    </row>
    <row r="1049" spans="1:21" ht="19.5" thickBot="1" x14ac:dyDescent="0.3">
      <c r="A1049" s="136" t="s">
        <v>2093</v>
      </c>
      <c r="B1049" s="137">
        <v>45709</v>
      </c>
      <c r="C1049" s="138" t="s">
        <v>589</v>
      </c>
      <c r="D1049" s="138" t="str">
        <f>VLOOKUP(Purchase[[#This Row],[Supplier ID]],Supplier[#All],2,0)</f>
        <v>Maa Computers</v>
      </c>
      <c r="E1049" s="138">
        <f>VLOOKUP(Purchase[[#This Row],[Supplier ID]],Supplier[#All],3,0)</f>
        <v>9689542473</v>
      </c>
      <c r="F1049" s="138" t="str">
        <f>VLOOKUP(Purchase[[#This Row],[Supplier ID]],Supplier[#All],4,0)</f>
        <v>Kanpur</v>
      </c>
      <c r="G1049" s="138" t="str">
        <f>VLOOKUP(Purchase[[#This Row],[Supplier ID]],Supplier[#All],5,0)</f>
        <v>UP</v>
      </c>
      <c r="H1049" s="138" t="str">
        <f>VLOOKUP(Purchase[[#This Row],[Supplier ID]],Supplier[#All],6,0)</f>
        <v>GST2154521T035</v>
      </c>
      <c r="I1049" s="138" t="s">
        <v>429</v>
      </c>
      <c r="J1049" s="139">
        <v>12</v>
      </c>
      <c r="K1049" s="143">
        <f>VLOOKUP(Purchase[[#This Row],[Product ID]],Product[#All],6,0)</f>
        <v>1959</v>
      </c>
      <c r="L1049" s="143">
        <f>Purchase[[#This Row],[Purchase Rate]]*Purchase[[#This Row],[Qty]]</f>
        <v>23508</v>
      </c>
      <c r="M1049" s="140">
        <v>0</v>
      </c>
      <c r="N1049" s="143">
        <v>0</v>
      </c>
      <c r="O1049" s="140">
        <v>0.18</v>
      </c>
      <c r="P1049" s="145">
        <f>(Purchase[[#This Row],[Gross Amount]]-Purchase[[#This Row],[Disct %]])*Purchase[[#This Row],[GST %]]</f>
        <v>4231.4399999999996</v>
      </c>
      <c r="Q1049" s="145">
        <f>Purchase[[#This Row],[Gross Amount]]-Purchase[[#This Row],[Disct Amnt]]+Purchase[[#This Row],[GST Amount]]</f>
        <v>27739.439999999999</v>
      </c>
      <c r="R1049" s="138" t="s">
        <v>1019</v>
      </c>
      <c r="S1049" s="41">
        <f>IF(Purchase[[#This Row],[Status]]="Cancelled",0,Purchase[[#This Row],[Qty]])</f>
        <v>12</v>
      </c>
      <c r="T1049" s="146">
        <f>IF(Purchase[[#This Row],[Status]]="Cancelled",0,Purchase[[#This Row],[Total Amount]])</f>
        <v>27739.439999999999</v>
      </c>
      <c r="U1049" s="146">
        <f>SUM(Purchase[Net Amount])</f>
        <v>814985438.68000126</v>
      </c>
    </row>
    <row r="1050" spans="1:21" ht="19.5" thickBot="1" x14ac:dyDescent="0.3">
      <c r="A1050" s="136" t="s">
        <v>2094</v>
      </c>
      <c r="B1050" s="137">
        <v>45709</v>
      </c>
      <c r="C1050" s="138" t="s">
        <v>585</v>
      </c>
      <c r="D1050" s="138" t="str">
        <f>VLOOKUP(Purchase[[#This Row],[Supplier ID]],Supplier[#All],2,0)</f>
        <v>Tech Computers</v>
      </c>
      <c r="E1050" s="138">
        <f>VLOOKUP(Purchase[[#This Row],[Supplier ID]],Supplier[#All],3,0)</f>
        <v>9689542469</v>
      </c>
      <c r="F1050" s="138" t="str">
        <f>VLOOKUP(Purchase[[#This Row],[Supplier ID]],Supplier[#All],4,0)</f>
        <v>Korba</v>
      </c>
      <c r="G1050" s="138" t="str">
        <f>VLOOKUP(Purchase[[#This Row],[Supplier ID]],Supplier[#All],5,0)</f>
        <v>CG</v>
      </c>
      <c r="H1050" s="138" t="str">
        <f>VLOOKUP(Purchase[[#This Row],[Supplier ID]],Supplier[#All],6,0)</f>
        <v>GST2154521T031</v>
      </c>
      <c r="I1050" s="138" t="s">
        <v>492</v>
      </c>
      <c r="J1050" s="139">
        <v>2</v>
      </c>
      <c r="K1050" s="143">
        <f>VLOOKUP(Purchase[[#This Row],[Product ID]],Product[#All],6,0)</f>
        <v>11090</v>
      </c>
      <c r="L1050" s="143">
        <f>Purchase[[#This Row],[Purchase Rate]]*Purchase[[#This Row],[Qty]]</f>
        <v>22180</v>
      </c>
      <c r="M1050" s="140">
        <v>0</v>
      </c>
      <c r="N1050" s="143">
        <v>0</v>
      </c>
      <c r="O1050" s="140">
        <v>0.18</v>
      </c>
      <c r="P1050" s="145">
        <f>(Purchase[[#This Row],[Gross Amount]]-Purchase[[#This Row],[Disct %]])*Purchase[[#This Row],[GST %]]</f>
        <v>3992.3999999999996</v>
      </c>
      <c r="Q1050" s="145">
        <f>Purchase[[#This Row],[Gross Amount]]-Purchase[[#This Row],[Disct Amnt]]+Purchase[[#This Row],[GST Amount]]</f>
        <v>26172.400000000001</v>
      </c>
      <c r="R1050" s="138" t="s">
        <v>1019</v>
      </c>
      <c r="S1050" s="41">
        <f>IF(Purchase[[#This Row],[Status]]="Cancelled",0,Purchase[[#This Row],[Qty]])</f>
        <v>2</v>
      </c>
      <c r="T1050" s="146">
        <f>IF(Purchase[[#This Row],[Status]]="Cancelled",0,Purchase[[#This Row],[Total Amount]])</f>
        <v>26172.400000000001</v>
      </c>
      <c r="U1050" s="146">
        <f>SUM(Purchase[Net Amount])</f>
        <v>814985438.68000126</v>
      </c>
    </row>
    <row r="1051" spans="1:21" ht="19.5" thickBot="1" x14ac:dyDescent="0.3">
      <c r="A1051" s="136" t="s">
        <v>2095</v>
      </c>
      <c r="B1051" s="137">
        <v>45709</v>
      </c>
      <c r="C1051" s="138" t="s">
        <v>614</v>
      </c>
      <c r="D1051" s="138" t="str">
        <f>VLOOKUP(Purchase[[#This Row],[Supplier ID]],Supplier[#All],2,0)</f>
        <v>National Electronics</v>
      </c>
      <c r="E1051" s="138">
        <f>VLOOKUP(Purchase[[#This Row],[Supplier ID]],Supplier[#All],3,0)</f>
        <v>9689542497</v>
      </c>
      <c r="F1051" s="138" t="str">
        <f>VLOOKUP(Purchase[[#This Row],[Supplier ID]],Supplier[#All],4,0)</f>
        <v>Kanpur</v>
      </c>
      <c r="G1051" s="138" t="str">
        <f>VLOOKUP(Purchase[[#This Row],[Supplier ID]],Supplier[#All],5,0)</f>
        <v>UP</v>
      </c>
      <c r="H1051" s="138" t="str">
        <f>VLOOKUP(Purchase[[#This Row],[Supplier ID]],Supplier[#All],6,0)</f>
        <v>GST2154521T059</v>
      </c>
      <c r="I1051" s="138" t="s">
        <v>466</v>
      </c>
      <c r="J1051" s="139">
        <v>26</v>
      </c>
      <c r="K1051" s="143">
        <f>VLOOKUP(Purchase[[#This Row],[Product ID]],Product[#All],6,0)</f>
        <v>68885</v>
      </c>
      <c r="L1051" s="143">
        <f>Purchase[[#This Row],[Purchase Rate]]*Purchase[[#This Row],[Qty]]</f>
        <v>1791010</v>
      </c>
      <c r="M1051" s="140">
        <v>0</v>
      </c>
      <c r="N1051" s="143">
        <v>0</v>
      </c>
      <c r="O1051" s="140">
        <v>0.18</v>
      </c>
      <c r="P1051" s="145">
        <f>(Purchase[[#This Row],[Gross Amount]]-Purchase[[#This Row],[Disct %]])*Purchase[[#This Row],[GST %]]</f>
        <v>322381.8</v>
      </c>
      <c r="Q1051" s="145">
        <f>Purchase[[#This Row],[Gross Amount]]-Purchase[[#This Row],[Disct Amnt]]+Purchase[[#This Row],[GST Amount]]</f>
        <v>2113391.7999999998</v>
      </c>
      <c r="R1051" s="138" t="s">
        <v>1019</v>
      </c>
      <c r="S1051" s="41">
        <f>IF(Purchase[[#This Row],[Status]]="Cancelled",0,Purchase[[#This Row],[Qty]])</f>
        <v>26</v>
      </c>
      <c r="T1051" s="146">
        <f>IF(Purchase[[#This Row],[Status]]="Cancelled",0,Purchase[[#This Row],[Total Amount]])</f>
        <v>2113391.7999999998</v>
      </c>
      <c r="U1051" s="146">
        <f>SUM(Purchase[Net Amount])</f>
        <v>814985438.68000126</v>
      </c>
    </row>
    <row r="1052" spans="1:21" ht="19.5" thickBot="1" x14ac:dyDescent="0.3">
      <c r="A1052" s="136" t="s">
        <v>2096</v>
      </c>
      <c r="B1052" s="137">
        <v>45709</v>
      </c>
      <c r="C1052" s="138" t="s">
        <v>578</v>
      </c>
      <c r="D1052" s="138" t="str">
        <f>VLOOKUP(Purchase[[#This Row],[Supplier ID]],Supplier[#All],2,0)</f>
        <v>Shree Computers</v>
      </c>
      <c r="E1052" s="138">
        <f>VLOOKUP(Purchase[[#This Row],[Supplier ID]],Supplier[#All],3,0)</f>
        <v>9689542462</v>
      </c>
      <c r="F1052" s="138" t="str">
        <f>VLOOKUP(Purchase[[#This Row],[Supplier ID]],Supplier[#All],4,0)</f>
        <v>Korba</v>
      </c>
      <c r="G1052" s="138" t="str">
        <f>VLOOKUP(Purchase[[#This Row],[Supplier ID]],Supplier[#All],5,0)</f>
        <v>CG</v>
      </c>
      <c r="H1052" s="138" t="str">
        <f>VLOOKUP(Purchase[[#This Row],[Supplier ID]],Supplier[#All],6,0)</f>
        <v>GST2154521T024</v>
      </c>
      <c r="I1052" s="138" t="s">
        <v>425</v>
      </c>
      <c r="J1052" s="139">
        <v>15</v>
      </c>
      <c r="K1052" s="143">
        <f>VLOOKUP(Purchase[[#This Row],[Product ID]],Product[#All],6,0)</f>
        <v>6244</v>
      </c>
      <c r="L1052" s="143">
        <f>Purchase[[#This Row],[Purchase Rate]]*Purchase[[#This Row],[Qty]]</f>
        <v>93660</v>
      </c>
      <c r="M1052" s="140">
        <v>0</v>
      </c>
      <c r="N1052" s="143">
        <v>0</v>
      </c>
      <c r="O1052" s="140">
        <v>0.18</v>
      </c>
      <c r="P1052" s="145">
        <f>(Purchase[[#This Row],[Gross Amount]]-Purchase[[#This Row],[Disct %]])*Purchase[[#This Row],[GST %]]</f>
        <v>16858.8</v>
      </c>
      <c r="Q1052" s="145">
        <f>Purchase[[#This Row],[Gross Amount]]-Purchase[[#This Row],[Disct Amnt]]+Purchase[[#This Row],[GST Amount]]</f>
        <v>110518.8</v>
      </c>
      <c r="R1052" s="138" t="s">
        <v>1019</v>
      </c>
      <c r="S1052" s="41">
        <f>IF(Purchase[[#This Row],[Status]]="Cancelled",0,Purchase[[#This Row],[Qty]])</f>
        <v>15</v>
      </c>
      <c r="T1052" s="146">
        <f>IF(Purchase[[#This Row],[Status]]="Cancelled",0,Purchase[[#This Row],[Total Amount]])</f>
        <v>110518.8</v>
      </c>
      <c r="U1052" s="146">
        <f>SUM(Purchase[Net Amount])</f>
        <v>814985438.68000126</v>
      </c>
    </row>
    <row r="1053" spans="1:21" ht="19.5" thickBot="1" x14ac:dyDescent="0.3">
      <c r="A1053" s="136" t="s">
        <v>2097</v>
      </c>
      <c r="B1053" s="137">
        <v>45709</v>
      </c>
      <c r="C1053" s="138" t="s">
        <v>616</v>
      </c>
      <c r="D1053" s="138" t="str">
        <f>VLOOKUP(Purchase[[#This Row],[Supplier ID]],Supplier[#All],2,0)</f>
        <v>Global Suppliers</v>
      </c>
      <c r="E1053" s="138">
        <f>VLOOKUP(Purchase[[#This Row],[Supplier ID]],Supplier[#All],3,0)</f>
        <v>9689542499</v>
      </c>
      <c r="F1053" s="138" t="str">
        <f>VLOOKUP(Purchase[[#This Row],[Supplier ID]],Supplier[#All],4,0)</f>
        <v>Kanpur</v>
      </c>
      <c r="G1053" s="138" t="str">
        <f>VLOOKUP(Purchase[[#This Row],[Supplier ID]],Supplier[#All],5,0)</f>
        <v>UP</v>
      </c>
      <c r="H1053" s="138" t="str">
        <f>VLOOKUP(Purchase[[#This Row],[Supplier ID]],Supplier[#All],6,0)</f>
        <v>GST2154521T061</v>
      </c>
      <c r="I1053" s="138" t="s">
        <v>442</v>
      </c>
      <c r="J1053" s="139">
        <v>39</v>
      </c>
      <c r="K1053" s="143">
        <f>VLOOKUP(Purchase[[#This Row],[Product ID]],Product[#All],6,0)</f>
        <v>3149</v>
      </c>
      <c r="L1053" s="143">
        <f>Purchase[[#This Row],[Purchase Rate]]*Purchase[[#This Row],[Qty]]</f>
        <v>122811</v>
      </c>
      <c r="M1053" s="140">
        <v>0</v>
      </c>
      <c r="N1053" s="143">
        <v>0</v>
      </c>
      <c r="O1053" s="140">
        <v>0.18</v>
      </c>
      <c r="P1053" s="145">
        <f>(Purchase[[#This Row],[Gross Amount]]-Purchase[[#This Row],[Disct %]])*Purchase[[#This Row],[GST %]]</f>
        <v>22105.98</v>
      </c>
      <c r="Q1053" s="145">
        <f>Purchase[[#This Row],[Gross Amount]]-Purchase[[#This Row],[Disct Amnt]]+Purchase[[#This Row],[GST Amount]]</f>
        <v>144916.98000000001</v>
      </c>
      <c r="R1053" s="138" t="s">
        <v>1019</v>
      </c>
      <c r="S1053" s="41">
        <f>IF(Purchase[[#This Row],[Status]]="Cancelled",0,Purchase[[#This Row],[Qty]])</f>
        <v>39</v>
      </c>
      <c r="T1053" s="146">
        <f>IF(Purchase[[#This Row],[Status]]="Cancelled",0,Purchase[[#This Row],[Total Amount]])</f>
        <v>144916.98000000001</v>
      </c>
      <c r="U1053" s="146">
        <f>SUM(Purchase[Net Amount])</f>
        <v>814985438.68000126</v>
      </c>
    </row>
    <row r="1054" spans="1:21" ht="19.5" thickBot="1" x14ac:dyDescent="0.3">
      <c r="A1054" s="136" t="s">
        <v>2098</v>
      </c>
      <c r="B1054" s="137">
        <v>45709</v>
      </c>
      <c r="C1054" s="138" t="s">
        <v>583</v>
      </c>
      <c r="D1054" s="138" t="str">
        <f>VLOOKUP(Purchase[[#This Row],[Supplier ID]],Supplier[#All],2,0)</f>
        <v>Shree Distributors</v>
      </c>
      <c r="E1054" s="138">
        <f>VLOOKUP(Purchase[[#This Row],[Supplier ID]],Supplier[#All],3,0)</f>
        <v>9689542467</v>
      </c>
      <c r="F1054" s="138" t="str">
        <f>VLOOKUP(Purchase[[#This Row],[Supplier ID]],Supplier[#All],4,0)</f>
        <v>Indore</v>
      </c>
      <c r="G1054" s="138" t="str">
        <f>VLOOKUP(Purchase[[#This Row],[Supplier ID]],Supplier[#All],5,0)</f>
        <v>MP</v>
      </c>
      <c r="H1054" s="138" t="str">
        <f>VLOOKUP(Purchase[[#This Row],[Supplier ID]],Supplier[#All],6,0)</f>
        <v>GST2154521T029</v>
      </c>
      <c r="I1054" s="138" t="s">
        <v>81</v>
      </c>
      <c r="J1054" s="139">
        <v>11</v>
      </c>
      <c r="K1054" s="143">
        <f>VLOOKUP(Purchase[[#This Row],[Product ID]],Product[#All],6,0)</f>
        <v>52393</v>
      </c>
      <c r="L1054" s="143">
        <f>Purchase[[#This Row],[Purchase Rate]]*Purchase[[#This Row],[Qty]]</f>
        <v>576323</v>
      </c>
      <c r="M1054" s="140">
        <v>0</v>
      </c>
      <c r="N1054" s="143">
        <v>0</v>
      </c>
      <c r="O1054" s="140">
        <v>0.18</v>
      </c>
      <c r="P1054" s="145">
        <f>(Purchase[[#This Row],[Gross Amount]]-Purchase[[#This Row],[Disct %]])*Purchase[[#This Row],[GST %]]</f>
        <v>103738.14</v>
      </c>
      <c r="Q1054" s="145">
        <f>Purchase[[#This Row],[Gross Amount]]-Purchase[[#This Row],[Disct Amnt]]+Purchase[[#This Row],[GST Amount]]</f>
        <v>680061.14</v>
      </c>
      <c r="R1054" s="138" t="s">
        <v>1019</v>
      </c>
      <c r="S1054" s="41">
        <f>IF(Purchase[[#This Row],[Status]]="Cancelled",0,Purchase[[#This Row],[Qty]])</f>
        <v>11</v>
      </c>
      <c r="T1054" s="146">
        <f>IF(Purchase[[#This Row],[Status]]="Cancelled",0,Purchase[[#This Row],[Total Amount]])</f>
        <v>680061.14</v>
      </c>
      <c r="U1054" s="146">
        <f>SUM(Purchase[Net Amount])</f>
        <v>814985438.68000126</v>
      </c>
    </row>
    <row r="1055" spans="1:21" ht="19.5" thickBot="1" x14ac:dyDescent="0.3">
      <c r="A1055" s="136" t="s">
        <v>2099</v>
      </c>
      <c r="B1055" s="137">
        <v>45709</v>
      </c>
      <c r="C1055" s="138" t="s">
        <v>575</v>
      </c>
      <c r="D1055" s="138" t="str">
        <f>VLOOKUP(Purchase[[#This Row],[Supplier ID]],Supplier[#All],2,0)</f>
        <v>Global Computers</v>
      </c>
      <c r="E1055" s="138">
        <f>VLOOKUP(Purchase[[#This Row],[Supplier ID]],Supplier[#All],3,0)</f>
        <v>9689542459</v>
      </c>
      <c r="F1055" s="138" t="str">
        <f>VLOOKUP(Purchase[[#This Row],[Supplier ID]],Supplier[#All],4,0)</f>
        <v>Indore</v>
      </c>
      <c r="G1055" s="138" t="str">
        <f>VLOOKUP(Purchase[[#This Row],[Supplier ID]],Supplier[#All],5,0)</f>
        <v>MP</v>
      </c>
      <c r="H1055" s="138" t="str">
        <f>VLOOKUP(Purchase[[#This Row],[Supplier ID]],Supplier[#All],6,0)</f>
        <v>GST2154521T021</v>
      </c>
      <c r="I1055" s="138" t="s">
        <v>248</v>
      </c>
      <c r="J1055" s="139">
        <v>28</v>
      </c>
      <c r="K1055" s="143">
        <f>VLOOKUP(Purchase[[#This Row],[Product ID]],Product[#All],6,0)</f>
        <v>824</v>
      </c>
      <c r="L1055" s="143">
        <f>Purchase[[#This Row],[Purchase Rate]]*Purchase[[#This Row],[Qty]]</f>
        <v>23072</v>
      </c>
      <c r="M1055" s="140">
        <v>0</v>
      </c>
      <c r="N1055" s="143">
        <v>0</v>
      </c>
      <c r="O1055" s="140">
        <v>0.18</v>
      </c>
      <c r="P1055" s="145">
        <f>(Purchase[[#This Row],[Gross Amount]]-Purchase[[#This Row],[Disct %]])*Purchase[[#This Row],[GST %]]</f>
        <v>4152.96</v>
      </c>
      <c r="Q1055" s="145">
        <f>Purchase[[#This Row],[Gross Amount]]-Purchase[[#This Row],[Disct Amnt]]+Purchase[[#This Row],[GST Amount]]</f>
        <v>27224.959999999999</v>
      </c>
      <c r="R1055" s="138" t="s">
        <v>1019</v>
      </c>
      <c r="S1055" s="41">
        <f>IF(Purchase[[#This Row],[Status]]="Cancelled",0,Purchase[[#This Row],[Qty]])</f>
        <v>28</v>
      </c>
      <c r="T1055" s="146">
        <f>IF(Purchase[[#This Row],[Status]]="Cancelled",0,Purchase[[#This Row],[Total Amount]])</f>
        <v>27224.959999999999</v>
      </c>
      <c r="U1055" s="146">
        <f>SUM(Purchase[Net Amount])</f>
        <v>814985438.68000126</v>
      </c>
    </row>
    <row r="1056" spans="1:21" ht="19.5" thickBot="1" x14ac:dyDescent="0.3">
      <c r="A1056" s="136" t="s">
        <v>2100</v>
      </c>
      <c r="B1056" s="137">
        <v>45709</v>
      </c>
      <c r="C1056" s="138" t="s">
        <v>616</v>
      </c>
      <c r="D1056" s="138" t="str">
        <f>VLOOKUP(Purchase[[#This Row],[Supplier ID]],Supplier[#All],2,0)</f>
        <v>Global Suppliers</v>
      </c>
      <c r="E1056" s="138">
        <f>VLOOKUP(Purchase[[#This Row],[Supplier ID]],Supplier[#All],3,0)</f>
        <v>9689542499</v>
      </c>
      <c r="F1056" s="138" t="str">
        <f>VLOOKUP(Purchase[[#This Row],[Supplier ID]],Supplier[#All],4,0)</f>
        <v>Kanpur</v>
      </c>
      <c r="G1056" s="138" t="str">
        <f>VLOOKUP(Purchase[[#This Row],[Supplier ID]],Supplier[#All],5,0)</f>
        <v>UP</v>
      </c>
      <c r="H1056" s="138" t="str">
        <f>VLOOKUP(Purchase[[#This Row],[Supplier ID]],Supplier[#All],6,0)</f>
        <v>GST2154521T061</v>
      </c>
      <c r="I1056" s="138" t="s">
        <v>515</v>
      </c>
      <c r="J1056" s="139">
        <v>6</v>
      </c>
      <c r="K1056" s="143">
        <f>VLOOKUP(Purchase[[#This Row],[Product ID]],Product[#All],6,0)</f>
        <v>2141</v>
      </c>
      <c r="L1056" s="143">
        <f>Purchase[[#This Row],[Purchase Rate]]*Purchase[[#This Row],[Qty]]</f>
        <v>12846</v>
      </c>
      <c r="M1056" s="140">
        <v>0</v>
      </c>
      <c r="N1056" s="143">
        <v>0</v>
      </c>
      <c r="O1056" s="140">
        <v>0.18</v>
      </c>
      <c r="P1056" s="145">
        <f>(Purchase[[#This Row],[Gross Amount]]-Purchase[[#This Row],[Disct %]])*Purchase[[#This Row],[GST %]]</f>
        <v>2312.2799999999997</v>
      </c>
      <c r="Q1056" s="145">
        <f>Purchase[[#This Row],[Gross Amount]]-Purchase[[#This Row],[Disct Amnt]]+Purchase[[#This Row],[GST Amount]]</f>
        <v>15158.279999999999</v>
      </c>
      <c r="R1056" s="138" t="s">
        <v>1019</v>
      </c>
      <c r="S1056" s="41">
        <f>IF(Purchase[[#This Row],[Status]]="Cancelled",0,Purchase[[#This Row],[Qty]])</f>
        <v>6</v>
      </c>
      <c r="T1056" s="146">
        <f>IF(Purchase[[#This Row],[Status]]="Cancelled",0,Purchase[[#This Row],[Total Amount]])</f>
        <v>15158.279999999999</v>
      </c>
      <c r="U1056" s="146">
        <f>SUM(Purchase[Net Amount])</f>
        <v>814985438.68000126</v>
      </c>
    </row>
    <row r="1057" spans="1:21" ht="19.5" thickBot="1" x14ac:dyDescent="0.3">
      <c r="A1057" s="136" t="s">
        <v>2101</v>
      </c>
      <c r="B1057" s="137">
        <v>45709</v>
      </c>
      <c r="C1057" s="138" t="s">
        <v>581</v>
      </c>
      <c r="D1057" s="138" t="str">
        <f>VLOOKUP(Purchase[[#This Row],[Supplier ID]],Supplier[#All],2,0)</f>
        <v>Prime Electronics</v>
      </c>
      <c r="E1057" s="138">
        <f>VLOOKUP(Purchase[[#This Row],[Supplier ID]],Supplier[#All],3,0)</f>
        <v>9689542465</v>
      </c>
      <c r="F1057" s="138" t="str">
        <f>VLOOKUP(Purchase[[#This Row],[Supplier ID]],Supplier[#All],4,0)</f>
        <v>Korba</v>
      </c>
      <c r="G1057" s="138" t="str">
        <f>VLOOKUP(Purchase[[#This Row],[Supplier ID]],Supplier[#All],5,0)</f>
        <v>CG</v>
      </c>
      <c r="H1057" s="138" t="str">
        <f>VLOOKUP(Purchase[[#This Row],[Supplier ID]],Supplier[#All],6,0)</f>
        <v>GST2154521T027</v>
      </c>
      <c r="I1057" s="138" t="s">
        <v>421</v>
      </c>
      <c r="J1057" s="139">
        <v>18</v>
      </c>
      <c r="K1057" s="143">
        <f>VLOOKUP(Purchase[[#This Row],[Product ID]],Product[#All],6,0)</f>
        <v>233</v>
      </c>
      <c r="L1057" s="143">
        <f>Purchase[[#This Row],[Purchase Rate]]*Purchase[[#This Row],[Qty]]</f>
        <v>4194</v>
      </c>
      <c r="M1057" s="140">
        <v>0</v>
      </c>
      <c r="N1057" s="143">
        <v>0</v>
      </c>
      <c r="O1057" s="140">
        <v>0.18</v>
      </c>
      <c r="P1057" s="145">
        <f>(Purchase[[#This Row],[Gross Amount]]-Purchase[[#This Row],[Disct %]])*Purchase[[#This Row],[GST %]]</f>
        <v>754.92</v>
      </c>
      <c r="Q1057" s="145">
        <f>Purchase[[#This Row],[Gross Amount]]-Purchase[[#This Row],[Disct Amnt]]+Purchase[[#This Row],[GST Amount]]</f>
        <v>4948.92</v>
      </c>
      <c r="R1057" s="138" t="s">
        <v>1019</v>
      </c>
      <c r="S1057" s="41">
        <f>IF(Purchase[[#This Row],[Status]]="Cancelled",0,Purchase[[#This Row],[Qty]])</f>
        <v>18</v>
      </c>
      <c r="T1057" s="146">
        <f>IF(Purchase[[#This Row],[Status]]="Cancelled",0,Purchase[[#This Row],[Total Amount]])</f>
        <v>4948.92</v>
      </c>
      <c r="U1057" s="146">
        <f>SUM(Purchase[Net Amount])</f>
        <v>814985438.68000126</v>
      </c>
    </row>
    <row r="1058" spans="1:21" ht="19.5" thickBot="1" x14ac:dyDescent="0.3">
      <c r="A1058" s="136" t="s">
        <v>2102</v>
      </c>
      <c r="B1058" s="137">
        <v>45709</v>
      </c>
      <c r="C1058" s="138" t="s">
        <v>584</v>
      </c>
      <c r="D1058" s="138" t="str">
        <f>VLOOKUP(Purchase[[#This Row],[Supplier ID]],Supplier[#All],2,0)</f>
        <v>Prime Computers</v>
      </c>
      <c r="E1058" s="138">
        <f>VLOOKUP(Purchase[[#This Row],[Supplier ID]],Supplier[#All],3,0)</f>
        <v>9689542468</v>
      </c>
      <c r="F1058" s="138" t="str">
        <f>VLOOKUP(Purchase[[#This Row],[Supplier ID]],Supplier[#All],4,0)</f>
        <v>Kanpur</v>
      </c>
      <c r="G1058" s="138" t="str">
        <f>VLOOKUP(Purchase[[#This Row],[Supplier ID]],Supplier[#All],5,0)</f>
        <v>UP</v>
      </c>
      <c r="H1058" s="138" t="str">
        <f>VLOOKUP(Purchase[[#This Row],[Supplier ID]],Supplier[#All],6,0)</f>
        <v>GST2154521T030</v>
      </c>
      <c r="I1058" s="138" t="s">
        <v>238</v>
      </c>
      <c r="J1058" s="139">
        <v>31</v>
      </c>
      <c r="K1058" s="143">
        <f>VLOOKUP(Purchase[[#This Row],[Product ID]],Product[#All],6,0)</f>
        <v>6619</v>
      </c>
      <c r="L1058" s="143">
        <f>Purchase[[#This Row],[Purchase Rate]]*Purchase[[#This Row],[Qty]]</f>
        <v>205189</v>
      </c>
      <c r="M1058" s="140">
        <v>0</v>
      </c>
      <c r="N1058" s="143">
        <v>0</v>
      </c>
      <c r="O1058" s="140">
        <v>0.18</v>
      </c>
      <c r="P1058" s="145">
        <f>(Purchase[[#This Row],[Gross Amount]]-Purchase[[#This Row],[Disct %]])*Purchase[[#This Row],[GST %]]</f>
        <v>36934.019999999997</v>
      </c>
      <c r="Q1058" s="145">
        <f>Purchase[[#This Row],[Gross Amount]]-Purchase[[#This Row],[Disct Amnt]]+Purchase[[#This Row],[GST Amount]]</f>
        <v>242123.02</v>
      </c>
      <c r="R1058" s="138" t="s">
        <v>1019</v>
      </c>
      <c r="S1058" s="41">
        <f>IF(Purchase[[#This Row],[Status]]="Cancelled",0,Purchase[[#This Row],[Qty]])</f>
        <v>31</v>
      </c>
      <c r="T1058" s="146">
        <f>IF(Purchase[[#This Row],[Status]]="Cancelled",0,Purchase[[#This Row],[Total Amount]])</f>
        <v>242123.02</v>
      </c>
      <c r="U1058" s="146">
        <f>SUM(Purchase[Net Amount])</f>
        <v>814985438.68000126</v>
      </c>
    </row>
    <row r="1059" spans="1:21" ht="19.5" thickBot="1" x14ac:dyDescent="0.3">
      <c r="A1059" s="136" t="s">
        <v>2103</v>
      </c>
      <c r="B1059" s="137">
        <v>45710</v>
      </c>
      <c r="C1059" s="138" t="s">
        <v>564</v>
      </c>
      <c r="D1059" s="138" t="str">
        <f>VLOOKUP(Purchase[[#This Row],[Supplier ID]],Supplier[#All],2,0)</f>
        <v xml:space="preserve">Star Electronics </v>
      </c>
      <c r="E1059" s="138">
        <f>VLOOKUP(Purchase[[#This Row],[Supplier ID]],Supplier[#All],3,0)</f>
        <v>9689542450</v>
      </c>
      <c r="F1059" s="138" t="str">
        <f>VLOOKUP(Purchase[[#This Row],[Supplier ID]],Supplier[#All],4,0)</f>
        <v>Korba</v>
      </c>
      <c r="G1059" s="138" t="str">
        <f>VLOOKUP(Purchase[[#This Row],[Supplier ID]],Supplier[#All],5,0)</f>
        <v>CG</v>
      </c>
      <c r="H1059" s="138" t="str">
        <f>VLOOKUP(Purchase[[#This Row],[Supplier ID]],Supplier[#All],6,0)</f>
        <v>GST2154521T012</v>
      </c>
      <c r="I1059" s="138" t="s">
        <v>441</v>
      </c>
      <c r="J1059" s="139">
        <v>11</v>
      </c>
      <c r="K1059" s="143">
        <f>VLOOKUP(Purchase[[#This Row],[Product ID]],Product[#All],6,0)</f>
        <v>3214</v>
      </c>
      <c r="L1059" s="143">
        <f>Purchase[[#This Row],[Purchase Rate]]*Purchase[[#This Row],[Qty]]</f>
        <v>35354</v>
      </c>
      <c r="M1059" s="140">
        <v>0</v>
      </c>
      <c r="N1059" s="143">
        <v>0</v>
      </c>
      <c r="O1059" s="140">
        <v>0.18</v>
      </c>
      <c r="P1059" s="145">
        <f>(Purchase[[#This Row],[Gross Amount]]-Purchase[[#This Row],[Disct %]])*Purchase[[#This Row],[GST %]]</f>
        <v>6363.7199999999993</v>
      </c>
      <c r="Q1059" s="145">
        <f>Purchase[[#This Row],[Gross Amount]]-Purchase[[#This Row],[Disct Amnt]]+Purchase[[#This Row],[GST Amount]]</f>
        <v>41717.72</v>
      </c>
      <c r="R1059" s="138" t="s">
        <v>1019</v>
      </c>
      <c r="S1059" s="41">
        <f>IF(Purchase[[#This Row],[Status]]="Cancelled",0,Purchase[[#This Row],[Qty]])</f>
        <v>11</v>
      </c>
      <c r="T1059" s="146">
        <f>IF(Purchase[[#This Row],[Status]]="Cancelled",0,Purchase[[#This Row],[Total Amount]])</f>
        <v>41717.72</v>
      </c>
      <c r="U1059" s="146">
        <f>SUM(Purchase[Net Amount])</f>
        <v>814985438.68000126</v>
      </c>
    </row>
    <row r="1060" spans="1:21" ht="19.5" thickBot="1" x14ac:dyDescent="0.3">
      <c r="A1060" s="136" t="s">
        <v>2104</v>
      </c>
      <c r="B1060" s="137">
        <v>45710</v>
      </c>
      <c r="C1060" s="138" t="s">
        <v>596</v>
      </c>
      <c r="D1060" s="138" t="str">
        <f>VLOOKUP(Purchase[[#This Row],[Supplier ID]],Supplier[#All],2,0)</f>
        <v>star traders</v>
      </c>
      <c r="E1060" s="138">
        <f>VLOOKUP(Purchase[[#This Row],[Supplier ID]],Supplier[#All],3,0)</f>
        <v>9689542479</v>
      </c>
      <c r="F1060" s="138" t="str">
        <f>VLOOKUP(Purchase[[#This Row],[Supplier ID]],Supplier[#All],4,0)</f>
        <v>Korba</v>
      </c>
      <c r="G1060" s="138" t="str">
        <f>VLOOKUP(Purchase[[#This Row],[Supplier ID]],Supplier[#All],5,0)</f>
        <v>CG</v>
      </c>
      <c r="H1060" s="138" t="str">
        <f>VLOOKUP(Purchase[[#This Row],[Supplier ID]],Supplier[#All],6,0)</f>
        <v>GST2154521T041</v>
      </c>
      <c r="I1060" s="138" t="s">
        <v>284</v>
      </c>
      <c r="J1060" s="139">
        <v>21</v>
      </c>
      <c r="K1060" s="143">
        <f>VLOOKUP(Purchase[[#This Row],[Product ID]],Product[#All],6,0)</f>
        <v>1542</v>
      </c>
      <c r="L1060" s="143">
        <f>Purchase[[#This Row],[Purchase Rate]]*Purchase[[#This Row],[Qty]]</f>
        <v>32382</v>
      </c>
      <c r="M1060" s="140">
        <v>0</v>
      </c>
      <c r="N1060" s="143">
        <v>0</v>
      </c>
      <c r="O1060" s="140">
        <v>0.18</v>
      </c>
      <c r="P1060" s="145">
        <f>(Purchase[[#This Row],[Gross Amount]]-Purchase[[#This Row],[Disct %]])*Purchase[[#This Row],[GST %]]</f>
        <v>5828.76</v>
      </c>
      <c r="Q1060" s="145">
        <f>Purchase[[#This Row],[Gross Amount]]-Purchase[[#This Row],[Disct Amnt]]+Purchase[[#This Row],[GST Amount]]</f>
        <v>38210.76</v>
      </c>
      <c r="R1060" s="138" t="s">
        <v>1019</v>
      </c>
      <c r="S1060" s="41">
        <f>IF(Purchase[[#This Row],[Status]]="Cancelled",0,Purchase[[#This Row],[Qty]])</f>
        <v>21</v>
      </c>
      <c r="T1060" s="146">
        <f>IF(Purchase[[#This Row],[Status]]="Cancelled",0,Purchase[[#This Row],[Total Amount]])</f>
        <v>38210.76</v>
      </c>
      <c r="U1060" s="146">
        <f>SUM(Purchase[Net Amount])</f>
        <v>814985438.68000126</v>
      </c>
    </row>
    <row r="1061" spans="1:21" ht="19.5" thickBot="1" x14ac:dyDescent="0.3">
      <c r="A1061" s="136" t="s">
        <v>2105</v>
      </c>
      <c r="B1061" s="137">
        <v>45710</v>
      </c>
      <c r="C1061" s="138" t="s">
        <v>573</v>
      </c>
      <c r="D1061" s="138" t="str">
        <f>VLOOKUP(Purchase[[#This Row],[Supplier ID]],Supplier[#All],2,0)</f>
        <v>Shree Traders</v>
      </c>
      <c r="E1061" s="138">
        <f>VLOOKUP(Purchase[[#This Row],[Supplier ID]],Supplier[#All],3,0)</f>
        <v>9689542458</v>
      </c>
      <c r="F1061" s="138" t="str">
        <f>VLOOKUP(Purchase[[#This Row],[Supplier ID]],Supplier[#All],4,0)</f>
        <v>Korba</v>
      </c>
      <c r="G1061" s="138" t="str">
        <f>VLOOKUP(Purchase[[#This Row],[Supplier ID]],Supplier[#All],5,0)</f>
        <v>CG</v>
      </c>
      <c r="H1061" s="138" t="str">
        <f>VLOOKUP(Purchase[[#This Row],[Supplier ID]],Supplier[#All],6,0)</f>
        <v>GST2154521T020</v>
      </c>
      <c r="I1061" s="138" t="s">
        <v>445</v>
      </c>
      <c r="J1061" s="139">
        <v>10</v>
      </c>
      <c r="K1061" s="143">
        <f>VLOOKUP(Purchase[[#This Row],[Product ID]],Product[#All],6,0)</f>
        <v>33297</v>
      </c>
      <c r="L1061" s="143">
        <f>Purchase[[#This Row],[Purchase Rate]]*Purchase[[#This Row],[Qty]]</f>
        <v>332970</v>
      </c>
      <c r="M1061" s="140">
        <v>0</v>
      </c>
      <c r="N1061" s="143">
        <v>0</v>
      </c>
      <c r="O1061" s="140">
        <v>0.18</v>
      </c>
      <c r="P1061" s="145">
        <f>(Purchase[[#This Row],[Gross Amount]]-Purchase[[#This Row],[Disct %]])*Purchase[[#This Row],[GST %]]</f>
        <v>59934.6</v>
      </c>
      <c r="Q1061" s="145">
        <f>Purchase[[#This Row],[Gross Amount]]-Purchase[[#This Row],[Disct Amnt]]+Purchase[[#This Row],[GST Amount]]</f>
        <v>392904.6</v>
      </c>
      <c r="R1061" s="138" t="s">
        <v>1019</v>
      </c>
      <c r="S1061" s="41">
        <f>IF(Purchase[[#This Row],[Status]]="Cancelled",0,Purchase[[#This Row],[Qty]])</f>
        <v>10</v>
      </c>
      <c r="T1061" s="146">
        <f>IF(Purchase[[#This Row],[Status]]="Cancelled",0,Purchase[[#This Row],[Total Amount]])</f>
        <v>392904.6</v>
      </c>
      <c r="U1061" s="146">
        <f>SUM(Purchase[Net Amount])</f>
        <v>814985438.68000126</v>
      </c>
    </row>
    <row r="1062" spans="1:21" ht="19.5" thickBot="1" x14ac:dyDescent="0.3">
      <c r="A1062" s="136" t="s">
        <v>2106</v>
      </c>
      <c r="B1062" s="137">
        <v>45710</v>
      </c>
      <c r="C1062" s="138" t="s">
        <v>597</v>
      </c>
      <c r="D1062" s="138" t="str">
        <f>VLOOKUP(Purchase[[#This Row],[Supplier ID]],Supplier[#All],2,0)</f>
        <v>Tech Traders</v>
      </c>
      <c r="E1062" s="138">
        <f>VLOOKUP(Purchase[[#This Row],[Supplier ID]],Supplier[#All],3,0)</f>
        <v>9689542480</v>
      </c>
      <c r="F1062" s="138" t="str">
        <f>VLOOKUP(Purchase[[#This Row],[Supplier ID]],Supplier[#All],4,0)</f>
        <v>Kanpur</v>
      </c>
      <c r="G1062" s="138" t="str">
        <f>VLOOKUP(Purchase[[#This Row],[Supplier ID]],Supplier[#All],5,0)</f>
        <v>UP</v>
      </c>
      <c r="H1062" s="138" t="str">
        <f>VLOOKUP(Purchase[[#This Row],[Supplier ID]],Supplier[#All],6,0)</f>
        <v>GST2154521T042</v>
      </c>
      <c r="I1062" s="138" t="s">
        <v>467</v>
      </c>
      <c r="J1062" s="139">
        <v>25</v>
      </c>
      <c r="K1062" s="143">
        <f>VLOOKUP(Purchase[[#This Row],[Product ID]],Product[#All],6,0)</f>
        <v>4805</v>
      </c>
      <c r="L1062" s="143">
        <f>Purchase[[#This Row],[Purchase Rate]]*Purchase[[#This Row],[Qty]]</f>
        <v>120125</v>
      </c>
      <c r="M1062" s="140">
        <v>0</v>
      </c>
      <c r="N1062" s="143">
        <v>0</v>
      </c>
      <c r="O1062" s="140">
        <v>0.18</v>
      </c>
      <c r="P1062" s="145">
        <f>(Purchase[[#This Row],[Gross Amount]]-Purchase[[#This Row],[Disct %]])*Purchase[[#This Row],[GST %]]</f>
        <v>21622.5</v>
      </c>
      <c r="Q1062" s="145">
        <f>Purchase[[#This Row],[Gross Amount]]-Purchase[[#This Row],[Disct Amnt]]+Purchase[[#This Row],[GST Amount]]</f>
        <v>141747.5</v>
      </c>
      <c r="R1062" s="138" t="s">
        <v>1019</v>
      </c>
      <c r="S1062" s="41">
        <f>IF(Purchase[[#This Row],[Status]]="Cancelled",0,Purchase[[#This Row],[Qty]])</f>
        <v>25</v>
      </c>
      <c r="T1062" s="146">
        <f>IF(Purchase[[#This Row],[Status]]="Cancelled",0,Purchase[[#This Row],[Total Amount]])</f>
        <v>141747.5</v>
      </c>
      <c r="U1062" s="146">
        <f>SUM(Purchase[Net Amount])</f>
        <v>814985438.68000126</v>
      </c>
    </row>
    <row r="1063" spans="1:21" ht="19.5" thickBot="1" x14ac:dyDescent="0.3">
      <c r="A1063" s="136" t="s">
        <v>2107</v>
      </c>
      <c r="B1063" s="137">
        <v>45710</v>
      </c>
      <c r="C1063" s="138" t="s">
        <v>611</v>
      </c>
      <c r="D1063" s="138" t="str">
        <f>VLOOKUP(Purchase[[#This Row],[Supplier ID]],Supplier[#All],2,0)</f>
        <v>National Distributors</v>
      </c>
      <c r="E1063" s="138">
        <f>VLOOKUP(Purchase[[#This Row],[Supplier ID]],Supplier[#All],3,0)</f>
        <v>9689542494</v>
      </c>
      <c r="F1063" s="138" t="str">
        <f>VLOOKUP(Purchase[[#This Row],[Supplier ID]],Supplier[#All],4,0)</f>
        <v>Korba</v>
      </c>
      <c r="G1063" s="138" t="str">
        <f>VLOOKUP(Purchase[[#This Row],[Supplier ID]],Supplier[#All],5,0)</f>
        <v>CG</v>
      </c>
      <c r="H1063" s="138" t="str">
        <f>VLOOKUP(Purchase[[#This Row],[Supplier ID]],Supplier[#All],6,0)</f>
        <v>GST2154521T056</v>
      </c>
      <c r="I1063" s="138" t="s">
        <v>348</v>
      </c>
      <c r="J1063" s="139">
        <v>6</v>
      </c>
      <c r="K1063" s="143">
        <f>VLOOKUP(Purchase[[#This Row],[Product ID]],Product[#All],6,0)</f>
        <v>5315</v>
      </c>
      <c r="L1063" s="143">
        <f>Purchase[[#This Row],[Purchase Rate]]*Purchase[[#This Row],[Qty]]</f>
        <v>31890</v>
      </c>
      <c r="M1063" s="140">
        <v>0</v>
      </c>
      <c r="N1063" s="143">
        <v>0</v>
      </c>
      <c r="O1063" s="140">
        <v>0.18</v>
      </c>
      <c r="P1063" s="145">
        <f>(Purchase[[#This Row],[Gross Amount]]-Purchase[[#This Row],[Disct %]])*Purchase[[#This Row],[GST %]]</f>
        <v>5740.2</v>
      </c>
      <c r="Q1063" s="145">
        <f>Purchase[[#This Row],[Gross Amount]]-Purchase[[#This Row],[Disct Amnt]]+Purchase[[#This Row],[GST Amount]]</f>
        <v>37630.199999999997</v>
      </c>
      <c r="R1063" s="138" t="s">
        <v>1019</v>
      </c>
      <c r="S1063" s="41">
        <f>IF(Purchase[[#This Row],[Status]]="Cancelled",0,Purchase[[#This Row],[Qty]])</f>
        <v>6</v>
      </c>
      <c r="T1063" s="146">
        <f>IF(Purchase[[#This Row],[Status]]="Cancelled",0,Purchase[[#This Row],[Total Amount]])</f>
        <v>37630.199999999997</v>
      </c>
      <c r="U1063" s="146">
        <f>SUM(Purchase[Net Amount])</f>
        <v>814985438.68000126</v>
      </c>
    </row>
    <row r="1064" spans="1:21" ht="19.5" thickBot="1" x14ac:dyDescent="0.3">
      <c r="A1064" s="136" t="s">
        <v>2108</v>
      </c>
      <c r="B1064" s="137">
        <v>45710</v>
      </c>
      <c r="C1064" s="138" t="s">
        <v>593</v>
      </c>
      <c r="D1064" s="138" t="str">
        <f>VLOOKUP(Purchase[[#This Row],[Supplier ID]],Supplier[#All],2,0)</f>
        <v>Global Suppliers</v>
      </c>
      <c r="E1064" s="138">
        <f>VLOOKUP(Purchase[[#This Row],[Supplier ID]],Supplier[#All],3,0)</f>
        <v>9689542476</v>
      </c>
      <c r="F1064" s="138" t="str">
        <f>VLOOKUP(Purchase[[#This Row],[Supplier ID]],Supplier[#All],4,0)</f>
        <v>Korba</v>
      </c>
      <c r="G1064" s="138" t="str">
        <f>VLOOKUP(Purchase[[#This Row],[Supplier ID]],Supplier[#All],5,0)</f>
        <v>CG</v>
      </c>
      <c r="H1064" s="138" t="str">
        <f>VLOOKUP(Purchase[[#This Row],[Supplier ID]],Supplier[#All],6,0)</f>
        <v>GST2154521T038</v>
      </c>
      <c r="I1064" s="138" t="s">
        <v>171</v>
      </c>
      <c r="J1064" s="139">
        <v>36</v>
      </c>
      <c r="K1064" s="143">
        <f>VLOOKUP(Purchase[[#This Row],[Product ID]],Product[#All],6,0)</f>
        <v>3469</v>
      </c>
      <c r="L1064" s="143">
        <f>Purchase[[#This Row],[Purchase Rate]]*Purchase[[#This Row],[Qty]]</f>
        <v>124884</v>
      </c>
      <c r="M1064" s="140">
        <v>0</v>
      </c>
      <c r="N1064" s="143">
        <v>0</v>
      </c>
      <c r="O1064" s="140">
        <v>0.18</v>
      </c>
      <c r="P1064" s="145">
        <f>(Purchase[[#This Row],[Gross Amount]]-Purchase[[#This Row],[Disct %]])*Purchase[[#This Row],[GST %]]</f>
        <v>22479.119999999999</v>
      </c>
      <c r="Q1064" s="145">
        <f>Purchase[[#This Row],[Gross Amount]]-Purchase[[#This Row],[Disct Amnt]]+Purchase[[#This Row],[GST Amount]]</f>
        <v>147363.12</v>
      </c>
      <c r="R1064" s="138" t="s">
        <v>1019</v>
      </c>
      <c r="S1064" s="41">
        <f>IF(Purchase[[#This Row],[Status]]="Cancelled",0,Purchase[[#This Row],[Qty]])</f>
        <v>36</v>
      </c>
      <c r="T1064" s="146">
        <f>IF(Purchase[[#This Row],[Status]]="Cancelled",0,Purchase[[#This Row],[Total Amount]])</f>
        <v>147363.12</v>
      </c>
      <c r="U1064" s="146">
        <f>SUM(Purchase[Net Amount])</f>
        <v>814985438.68000126</v>
      </c>
    </row>
    <row r="1065" spans="1:21" ht="19.5" thickBot="1" x14ac:dyDescent="0.3">
      <c r="A1065" s="136" t="s">
        <v>2109</v>
      </c>
      <c r="B1065" s="137">
        <v>45710</v>
      </c>
      <c r="C1065" s="138" t="s">
        <v>599</v>
      </c>
      <c r="D1065" s="138" t="str">
        <f>VLOOKUP(Purchase[[#This Row],[Supplier ID]],Supplier[#All],2,0)</f>
        <v>National Distributors</v>
      </c>
      <c r="E1065" s="138">
        <f>VLOOKUP(Purchase[[#This Row],[Supplier ID]],Supplier[#All],3,0)</f>
        <v>9689542482</v>
      </c>
      <c r="F1065" s="138" t="str">
        <f>VLOOKUP(Purchase[[#This Row],[Supplier ID]],Supplier[#All],4,0)</f>
        <v>Kanpur</v>
      </c>
      <c r="G1065" s="138" t="str">
        <f>VLOOKUP(Purchase[[#This Row],[Supplier ID]],Supplier[#All],5,0)</f>
        <v>UP</v>
      </c>
      <c r="H1065" s="138" t="str">
        <f>VLOOKUP(Purchase[[#This Row],[Supplier ID]],Supplier[#All],6,0)</f>
        <v>GST2154521T044</v>
      </c>
      <c r="I1065" s="138" t="s">
        <v>152</v>
      </c>
      <c r="J1065" s="139">
        <v>38</v>
      </c>
      <c r="K1065" s="143">
        <f>VLOOKUP(Purchase[[#This Row],[Product ID]],Product[#All],6,0)</f>
        <v>29602</v>
      </c>
      <c r="L1065" s="143">
        <f>Purchase[[#This Row],[Purchase Rate]]*Purchase[[#This Row],[Qty]]</f>
        <v>1124876</v>
      </c>
      <c r="M1065" s="140">
        <v>0</v>
      </c>
      <c r="N1065" s="143">
        <v>0</v>
      </c>
      <c r="O1065" s="140">
        <v>0.18</v>
      </c>
      <c r="P1065" s="145">
        <f>(Purchase[[#This Row],[Gross Amount]]-Purchase[[#This Row],[Disct %]])*Purchase[[#This Row],[GST %]]</f>
        <v>202477.68</v>
      </c>
      <c r="Q1065" s="145">
        <f>Purchase[[#This Row],[Gross Amount]]-Purchase[[#This Row],[Disct Amnt]]+Purchase[[#This Row],[GST Amount]]</f>
        <v>1327353.68</v>
      </c>
      <c r="R1065" s="138" t="s">
        <v>1019</v>
      </c>
      <c r="S1065" s="41">
        <f>IF(Purchase[[#This Row],[Status]]="Cancelled",0,Purchase[[#This Row],[Qty]])</f>
        <v>38</v>
      </c>
      <c r="T1065" s="146">
        <f>IF(Purchase[[#This Row],[Status]]="Cancelled",0,Purchase[[#This Row],[Total Amount]])</f>
        <v>1327353.68</v>
      </c>
      <c r="U1065" s="146">
        <f>SUM(Purchase[Net Amount])</f>
        <v>814985438.68000126</v>
      </c>
    </row>
    <row r="1066" spans="1:21" ht="19.5" thickBot="1" x14ac:dyDescent="0.3">
      <c r="A1066" s="136" t="s">
        <v>2110</v>
      </c>
      <c r="B1066" s="137">
        <v>45710</v>
      </c>
      <c r="C1066" s="138" t="s">
        <v>607</v>
      </c>
      <c r="D1066" s="138" t="str">
        <f>VLOOKUP(Purchase[[#This Row],[Supplier ID]],Supplier[#All],2,0)</f>
        <v>Global Distributors</v>
      </c>
      <c r="E1066" s="138">
        <f>VLOOKUP(Purchase[[#This Row],[Supplier ID]],Supplier[#All],3,0)</f>
        <v>9689542490</v>
      </c>
      <c r="F1066" s="138" t="str">
        <f>VLOOKUP(Purchase[[#This Row],[Supplier ID]],Supplier[#All],4,0)</f>
        <v>Kanpur</v>
      </c>
      <c r="G1066" s="138" t="str">
        <f>VLOOKUP(Purchase[[#This Row],[Supplier ID]],Supplier[#All],5,0)</f>
        <v>UP</v>
      </c>
      <c r="H1066" s="138" t="str">
        <f>VLOOKUP(Purchase[[#This Row],[Supplier ID]],Supplier[#All],6,0)</f>
        <v>GST2154521T052</v>
      </c>
      <c r="I1066" s="138" t="s">
        <v>210</v>
      </c>
      <c r="J1066" s="139">
        <v>11</v>
      </c>
      <c r="K1066" s="143">
        <f>VLOOKUP(Purchase[[#This Row],[Product ID]],Product[#All],6,0)</f>
        <v>889</v>
      </c>
      <c r="L1066" s="143">
        <f>Purchase[[#This Row],[Purchase Rate]]*Purchase[[#This Row],[Qty]]</f>
        <v>9779</v>
      </c>
      <c r="M1066" s="140">
        <v>0</v>
      </c>
      <c r="N1066" s="143">
        <v>0</v>
      </c>
      <c r="O1066" s="140">
        <v>0.18</v>
      </c>
      <c r="P1066" s="145">
        <f>(Purchase[[#This Row],[Gross Amount]]-Purchase[[#This Row],[Disct %]])*Purchase[[#This Row],[GST %]]</f>
        <v>1760.22</v>
      </c>
      <c r="Q1066" s="145">
        <f>Purchase[[#This Row],[Gross Amount]]-Purchase[[#This Row],[Disct Amnt]]+Purchase[[#This Row],[GST Amount]]</f>
        <v>11539.22</v>
      </c>
      <c r="R1066" s="138" t="s">
        <v>1019</v>
      </c>
      <c r="S1066" s="41">
        <f>IF(Purchase[[#This Row],[Status]]="Cancelled",0,Purchase[[#This Row],[Qty]])</f>
        <v>11</v>
      </c>
      <c r="T1066" s="146">
        <f>IF(Purchase[[#This Row],[Status]]="Cancelled",0,Purchase[[#This Row],[Total Amount]])</f>
        <v>11539.22</v>
      </c>
      <c r="U1066" s="146">
        <f>SUM(Purchase[Net Amount])</f>
        <v>814985438.68000126</v>
      </c>
    </row>
    <row r="1067" spans="1:21" ht="19.5" thickBot="1" x14ac:dyDescent="0.3">
      <c r="A1067" s="136" t="s">
        <v>2111</v>
      </c>
      <c r="B1067" s="137">
        <v>45710</v>
      </c>
      <c r="C1067" s="138" t="s">
        <v>573</v>
      </c>
      <c r="D1067" s="138" t="str">
        <f>VLOOKUP(Purchase[[#This Row],[Supplier ID]],Supplier[#All],2,0)</f>
        <v>Shree Traders</v>
      </c>
      <c r="E1067" s="138">
        <f>VLOOKUP(Purchase[[#This Row],[Supplier ID]],Supplier[#All],3,0)</f>
        <v>9689542458</v>
      </c>
      <c r="F1067" s="138" t="str">
        <f>VLOOKUP(Purchase[[#This Row],[Supplier ID]],Supplier[#All],4,0)</f>
        <v>Korba</v>
      </c>
      <c r="G1067" s="138" t="str">
        <f>VLOOKUP(Purchase[[#This Row],[Supplier ID]],Supplier[#All],5,0)</f>
        <v>CG</v>
      </c>
      <c r="H1067" s="138" t="str">
        <f>VLOOKUP(Purchase[[#This Row],[Supplier ID]],Supplier[#All],6,0)</f>
        <v>GST2154521T020</v>
      </c>
      <c r="I1067" s="138" t="s">
        <v>224</v>
      </c>
      <c r="J1067" s="139">
        <v>14</v>
      </c>
      <c r="K1067" s="143">
        <f>VLOOKUP(Purchase[[#This Row],[Product ID]],Product[#All],6,0)</f>
        <v>6591</v>
      </c>
      <c r="L1067" s="143">
        <f>Purchase[[#This Row],[Purchase Rate]]*Purchase[[#This Row],[Qty]]</f>
        <v>92274</v>
      </c>
      <c r="M1067" s="140">
        <v>0</v>
      </c>
      <c r="N1067" s="143">
        <v>0</v>
      </c>
      <c r="O1067" s="140">
        <v>0.18</v>
      </c>
      <c r="P1067" s="145">
        <f>(Purchase[[#This Row],[Gross Amount]]-Purchase[[#This Row],[Disct %]])*Purchase[[#This Row],[GST %]]</f>
        <v>16609.32</v>
      </c>
      <c r="Q1067" s="145">
        <f>Purchase[[#This Row],[Gross Amount]]-Purchase[[#This Row],[Disct Amnt]]+Purchase[[#This Row],[GST Amount]]</f>
        <v>108883.32</v>
      </c>
      <c r="R1067" s="138" t="s">
        <v>1019</v>
      </c>
      <c r="S1067" s="41">
        <f>IF(Purchase[[#This Row],[Status]]="Cancelled",0,Purchase[[#This Row],[Qty]])</f>
        <v>14</v>
      </c>
      <c r="T1067" s="146">
        <f>IF(Purchase[[#This Row],[Status]]="Cancelled",0,Purchase[[#This Row],[Total Amount]])</f>
        <v>108883.32</v>
      </c>
      <c r="U1067" s="146">
        <f>SUM(Purchase[Net Amount])</f>
        <v>814985438.68000126</v>
      </c>
    </row>
    <row r="1068" spans="1:21" ht="19.5" thickBot="1" x14ac:dyDescent="0.3">
      <c r="A1068" s="136" t="s">
        <v>2112</v>
      </c>
      <c r="B1068" s="137">
        <v>45710</v>
      </c>
      <c r="C1068" s="138" t="s">
        <v>577</v>
      </c>
      <c r="D1068" s="138" t="str">
        <f>VLOOKUP(Purchase[[#This Row],[Supplier ID]],Supplier[#All],2,0)</f>
        <v>National Electronics</v>
      </c>
      <c r="E1068" s="138">
        <f>VLOOKUP(Purchase[[#This Row],[Supplier ID]],Supplier[#All],3,0)</f>
        <v>9689542469</v>
      </c>
      <c r="F1068" s="138" t="str">
        <f>VLOOKUP(Purchase[[#This Row],[Supplier ID]],Supplier[#All],4,0)</f>
        <v>Korba</v>
      </c>
      <c r="G1068" s="138" t="str">
        <f>VLOOKUP(Purchase[[#This Row],[Supplier ID]],Supplier[#All],5,0)</f>
        <v>CG</v>
      </c>
      <c r="H1068" s="138" t="str">
        <f>VLOOKUP(Purchase[[#This Row],[Supplier ID]],Supplier[#All],6,0)</f>
        <v>GST2154521T023</v>
      </c>
      <c r="I1068" s="138" t="s">
        <v>211</v>
      </c>
      <c r="J1068" s="139">
        <v>36</v>
      </c>
      <c r="K1068" s="143">
        <f>VLOOKUP(Purchase[[#This Row],[Product ID]],Product[#All],6,0)</f>
        <v>13782</v>
      </c>
      <c r="L1068" s="143">
        <f>Purchase[[#This Row],[Purchase Rate]]*Purchase[[#This Row],[Qty]]</f>
        <v>496152</v>
      </c>
      <c r="M1068" s="140">
        <v>0</v>
      </c>
      <c r="N1068" s="143">
        <v>0</v>
      </c>
      <c r="O1068" s="140">
        <v>0.18</v>
      </c>
      <c r="P1068" s="145">
        <f>(Purchase[[#This Row],[Gross Amount]]-Purchase[[#This Row],[Disct %]])*Purchase[[#This Row],[GST %]]</f>
        <v>89307.36</v>
      </c>
      <c r="Q1068" s="145">
        <f>Purchase[[#This Row],[Gross Amount]]-Purchase[[#This Row],[Disct Amnt]]+Purchase[[#This Row],[GST Amount]]</f>
        <v>585459.36</v>
      </c>
      <c r="R1068" s="138" t="s">
        <v>1019</v>
      </c>
      <c r="S1068" s="41">
        <f>IF(Purchase[[#This Row],[Status]]="Cancelled",0,Purchase[[#This Row],[Qty]])</f>
        <v>36</v>
      </c>
      <c r="T1068" s="146">
        <f>IF(Purchase[[#This Row],[Status]]="Cancelled",0,Purchase[[#This Row],[Total Amount]])</f>
        <v>585459.36</v>
      </c>
      <c r="U1068" s="146">
        <f>SUM(Purchase[Net Amount])</f>
        <v>814985438.68000126</v>
      </c>
    </row>
    <row r="1069" spans="1:21" ht="19.5" thickBot="1" x14ac:dyDescent="0.3">
      <c r="A1069" s="136" t="s">
        <v>2113</v>
      </c>
      <c r="B1069" s="137">
        <v>45710</v>
      </c>
      <c r="C1069" s="138" t="s">
        <v>595</v>
      </c>
      <c r="D1069" s="138" t="str">
        <f>VLOOKUP(Purchase[[#This Row],[Supplier ID]],Supplier[#All],2,0)</f>
        <v>Star Computers</v>
      </c>
      <c r="E1069" s="138">
        <f>VLOOKUP(Purchase[[#This Row],[Supplier ID]],Supplier[#All],3,0)</f>
        <v>9689542478</v>
      </c>
      <c r="F1069" s="138" t="str">
        <f>VLOOKUP(Purchase[[#This Row],[Supplier ID]],Supplier[#All],4,0)</f>
        <v>Kanpur</v>
      </c>
      <c r="G1069" s="138" t="str">
        <f>VLOOKUP(Purchase[[#This Row],[Supplier ID]],Supplier[#All],5,0)</f>
        <v>UP</v>
      </c>
      <c r="H1069" s="138" t="str">
        <f>VLOOKUP(Purchase[[#This Row],[Supplier ID]],Supplier[#All],6,0)</f>
        <v>GST2154521T040</v>
      </c>
      <c r="I1069" s="138" t="s">
        <v>4</v>
      </c>
      <c r="J1069" s="139">
        <v>25</v>
      </c>
      <c r="K1069" s="143">
        <f>VLOOKUP(Purchase[[#This Row],[Product ID]],Product[#All],6,0)</f>
        <v>38884</v>
      </c>
      <c r="L1069" s="143">
        <f>Purchase[[#This Row],[Purchase Rate]]*Purchase[[#This Row],[Qty]]</f>
        <v>972100</v>
      </c>
      <c r="M1069" s="140">
        <v>0</v>
      </c>
      <c r="N1069" s="143">
        <v>0</v>
      </c>
      <c r="O1069" s="140">
        <v>0.18</v>
      </c>
      <c r="P1069" s="145">
        <f>(Purchase[[#This Row],[Gross Amount]]-Purchase[[#This Row],[Disct %]])*Purchase[[#This Row],[GST %]]</f>
        <v>174978</v>
      </c>
      <c r="Q1069" s="145">
        <f>Purchase[[#This Row],[Gross Amount]]-Purchase[[#This Row],[Disct Amnt]]+Purchase[[#This Row],[GST Amount]]</f>
        <v>1147078</v>
      </c>
      <c r="R1069" s="138" t="s">
        <v>1019</v>
      </c>
      <c r="S1069" s="41">
        <f>IF(Purchase[[#This Row],[Status]]="Cancelled",0,Purchase[[#This Row],[Qty]])</f>
        <v>25</v>
      </c>
      <c r="T1069" s="146">
        <f>IF(Purchase[[#This Row],[Status]]="Cancelled",0,Purchase[[#This Row],[Total Amount]])</f>
        <v>1147078</v>
      </c>
      <c r="U1069" s="146">
        <f>SUM(Purchase[Net Amount])</f>
        <v>814985438.68000126</v>
      </c>
    </row>
    <row r="1070" spans="1:21" ht="19.5" thickBot="1" x14ac:dyDescent="0.3">
      <c r="A1070" s="136" t="s">
        <v>2114</v>
      </c>
      <c r="B1070" s="137">
        <v>45710</v>
      </c>
      <c r="C1070" s="138" t="s">
        <v>573</v>
      </c>
      <c r="D1070" s="138" t="str">
        <f>VLOOKUP(Purchase[[#This Row],[Supplier ID]],Supplier[#All],2,0)</f>
        <v>Shree Traders</v>
      </c>
      <c r="E1070" s="138">
        <f>VLOOKUP(Purchase[[#This Row],[Supplier ID]],Supplier[#All],3,0)</f>
        <v>9689542458</v>
      </c>
      <c r="F1070" s="138" t="str">
        <f>VLOOKUP(Purchase[[#This Row],[Supplier ID]],Supplier[#All],4,0)</f>
        <v>Korba</v>
      </c>
      <c r="G1070" s="138" t="str">
        <f>VLOOKUP(Purchase[[#This Row],[Supplier ID]],Supplier[#All],5,0)</f>
        <v>CG</v>
      </c>
      <c r="H1070" s="138" t="str">
        <f>VLOOKUP(Purchase[[#This Row],[Supplier ID]],Supplier[#All],6,0)</f>
        <v>GST2154521T020</v>
      </c>
      <c r="I1070" s="138" t="s">
        <v>317</v>
      </c>
      <c r="J1070" s="139">
        <v>10</v>
      </c>
      <c r="K1070" s="143">
        <f>VLOOKUP(Purchase[[#This Row],[Product ID]],Product[#All],6,0)</f>
        <v>850</v>
      </c>
      <c r="L1070" s="143">
        <f>Purchase[[#This Row],[Purchase Rate]]*Purchase[[#This Row],[Qty]]</f>
        <v>8500</v>
      </c>
      <c r="M1070" s="140">
        <v>0</v>
      </c>
      <c r="N1070" s="143">
        <v>0</v>
      </c>
      <c r="O1070" s="140">
        <v>0.18</v>
      </c>
      <c r="P1070" s="145">
        <f>(Purchase[[#This Row],[Gross Amount]]-Purchase[[#This Row],[Disct %]])*Purchase[[#This Row],[GST %]]</f>
        <v>1530</v>
      </c>
      <c r="Q1070" s="145">
        <f>Purchase[[#This Row],[Gross Amount]]-Purchase[[#This Row],[Disct Amnt]]+Purchase[[#This Row],[GST Amount]]</f>
        <v>10030</v>
      </c>
      <c r="R1070" s="138" t="s">
        <v>1019</v>
      </c>
      <c r="S1070" s="41">
        <f>IF(Purchase[[#This Row],[Status]]="Cancelled",0,Purchase[[#This Row],[Qty]])</f>
        <v>10</v>
      </c>
      <c r="T1070" s="146">
        <f>IF(Purchase[[#This Row],[Status]]="Cancelled",0,Purchase[[#This Row],[Total Amount]])</f>
        <v>10030</v>
      </c>
      <c r="U1070" s="146">
        <f>SUM(Purchase[Net Amount])</f>
        <v>814985438.68000126</v>
      </c>
    </row>
    <row r="1071" spans="1:21" ht="19.5" thickBot="1" x14ac:dyDescent="0.3">
      <c r="A1071" s="136" t="s">
        <v>2115</v>
      </c>
      <c r="B1071" s="137">
        <v>45711</v>
      </c>
      <c r="C1071" s="138" t="s">
        <v>611</v>
      </c>
      <c r="D1071" s="138" t="str">
        <f>VLOOKUP(Purchase[[#This Row],[Supplier ID]],Supplier[#All],2,0)</f>
        <v>National Distributors</v>
      </c>
      <c r="E1071" s="138">
        <f>VLOOKUP(Purchase[[#This Row],[Supplier ID]],Supplier[#All],3,0)</f>
        <v>9689542494</v>
      </c>
      <c r="F1071" s="138" t="str">
        <f>VLOOKUP(Purchase[[#This Row],[Supplier ID]],Supplier[#All],4,0)</f>
        <v>Korba</v>
      </c>
      <c r="G1071" s="138" t="str">
        <f>VLOOKUP(Purchase[[#This Row],[Supplier ID]],Supplier[#All],5,0)</f>
        <v>CG</v>
      </c>
      <c r="H1071" s="138" t="str">
        <f>VLOOKUP(Purchase[[#This Row],[Supplier ID]],Supplier[#All],6,0)</f>
        <v>GST2154521T056</v>
      </c>
      <c r="I1071" s="138" t="s">
        <v>507</v>
      </c>
      <c r="J1071" s="139">
        <v>4</v>
      </c>
      <c r="K1071" s="143">
        <f>VLOOKUP(Purchase[[#This Row],[Product ID]],Product[#All],6,0)</f>
        <v>1636</v>
      </c>
      <c r="L1071" s="143">
        <f>Purchase[[#This Row],[Purchase Rate]]*Purchase[[#This Row],[Qty]]</f>
        <v>6544</v>
      </c>
      <c r="M1071" s="140">
        <v>0</v>
      </c>
      <c r="N1071" s="143">
        <v>0</v>
      </c>
      <c r="O1071" s="140">
        <v>0.18</v>
      </c>
      <c r="P1071" s="145">
        <f>(Purchase[[#This Row],[Gross Amount]]-Purchase[[#This Row],[Disct %]])*Purchase[[#This Row],[GST %]]</f>
        <v>1177.9199999999998</v>
      </c>
      <c r="Q1071" s="145">
        <f>Purchase[[#This Row],[Gross Amount]]-Purchase[[#This Row],[Disct Amnt]]+Purchase[[#This Row],[GST Amount]]</f>
        <v>7721.92</v>
      </c>
      <c r="R1071" s="138" t="s">
        <v>1019</v>
      </c>
      <c r="S1071" s="41">
        <f>IF(Purchase[[#This Row],[Status]]="Cancelled",0,Purchase[[#This Row],[Qty]])</f>
        <v>4</v>
      </c>
      <c r="T1071" s="146">
        <f>IF(Purchase[[#This Row],[Status]]="Cancelled",0,Purchase[[#This Row],[Total Amount]])</f>
        <v>7721.92</v>
      </c>
      <c r="U1071" s="146">
        <f>SUM(Purchase[Net Amount])</f>
        <v>814985438.68000126</v>
      </c>
    </row>
    <row r="1072" spans="1:21" ht="19.5" thickBot="1" x14ac:dyDescent="0.3">
      <c r="A1072" s="136" t="s">
        <v>2116</v>
      </c>
      <c r="B1072" s="137">
        <v>45711</v>
      </c>
      <c r="C1072" s="138" t="s">
        <v>605</v>
      </c>
      <c r="D1072" s="138" t="str">
        <f>VLOOKUP(Purchase[[#This Row],[Supplier ID]],Supplier[#All],2,0)</f>
        <v>Star Traders</v>
      </c>
      <c r="E1072" s="138">
        <f>VLOOKUP(Purchase[[#This Row],[Supplier ID]],Supplier[#All],3,0)</f>
        <v>9689542488</v>
      </c>
      <c r="F1072" s="138" t="str">
        <f>VLOOKUP(Purchase[[#This Row],[Supplier ID]],Supplier[#All],4,0)</f>
        <v>Indore</v>
      </c>
      <c r="G1072" s="138" t="str">
        <f>VLOOKUP(Purchase[[#This Row],[Supplier ID]],Supplier[#All],5,0)</f>
        <v>MP</v>
      </c>
      <c r="H1072" s="138" t="str">
        <f>VLOOKUP(Purchase[[#This Row],[Supplier ID]],Supplier[#All],6,0)</f>
        <v>GST2154521T050</v>
      </c>
      <c r="I1072" s="138" t="s">
        <v>233</v>
      </c>
      <c r="J1072" s="139">
        <v>19</v>
      </c>
      <c r="K1072" s="143">
        <f>VLOOKUP(Purchase[[#This Row],[Product ID]],Product[#All],6,0)</f>
        <v>710</v>
      </c>
      <c r="L1072" s="143">
        <f>Purchase[[#This Row],[Purchase Rate]]*Purchase[[#This Row],[Qty]]</f>
        <v>13490</v>
      </c>
      <c r="M1072" s="140">
        <v>0</v>
      </c>
      <c r="N1072" s="143">
        <v>0</v>
      </c>
      <c r="O1072" s="140">
        <v>0.18</v>
      </c>
      <c r="P1072" s="145">
        <f>(Purchase[[#This Row],[Gross Amount]]-Purchase[[#This Row],[Disct %]])*Purchase[[#This Row],[GST %]]</f>
        <v>2428.1999999999998</v>
      </c>
      <c r="Q1072" s="145">
        <f>Purchase[[#This Row],[Gross Amount]]-Purchase[[#This Row],[Disct Amnt]]+Purchase[[#This Row],[GST Amount]]</f>
        <v>15918.2</v>
      </c>
      <c r="R1072" s="138" t="s">
        <v>1019</v>
      </c>
      <c r="S1072" s="41">
        <f>IF(Purchase[[#This Row],[Status]]="Cancelled",0,Purchase[[#This Row],[Qty]])</f>
        <v>19</v>
      </c>
      <c r="T1072" s="146">
        <f>IF(Purchase[[#This Row],[Status]]="Cancelled",0,Purchase[[#This Row],[Total Amount]])</f>
        <v>15918.2</v>
      </c>
      <c r="U1072" s="146">
        <f>SUM(Purchase[Net Amount])</f>
        <v>814985438.68000126</v>
      </c>
    </row>
    <row r="1073" spans="1:21" ht="19.5" thickBot="1" x14ac:dyDescent="0.3">
      <c r="A1073" s="136" t="s">
        <v>2117</v>
      </c>
      <c r="B1073" s="137">
        <v>45711</v>
      </c>
      <c r="C1073" s="138" t="s">
        <v>565</v>
      </c>
      <c r="D1073" s="138" t="str">
        <f>VLOOKUP(Purchase[[#This Row],[Supplier ID]],Supplier[#All],2,0)</f>
        <v>Global Suppliers</v>
      </c>
      <c r="E1073" s="138">
        <f>VLOOKUP(Purchase[[#This Row],[Supplier ID]],Supplier[#All],3,0)</f>
        <v>9689542459</v>
      </c>
      <c r="F1073" s="138" t="str">
        <f>VLOOKUP(Purchase[[#This Row],[Supplier ID]],Supplier[#All],4,0)</f>
        <v>Indore</v>
      </c>
      <c r="G1073" s="138" t="str">
        <f>VLOOKUP(Purchase[[#This Row],[Supplier ID]],Supplier[#All],5,0)</f>
        <v>MP</v>
      </c>
      <c r="H1073" s="138" t="str">
        <f>VLOOKUP(Purchase[[#This Row],[Supplier ID]],Supplier[#All],6,0)</f>
        <v>GST2154521T013</v>
      </c>
      <c r="I1073" s="138" t="s">
        <v>515</v>
      </c>
      <c r="J1073" s="139">
        <v>35</v>
      </c>
      <c r="K1073" s="143">
        <f>VLOOKUP(Purchase[[#This Row],[Product ID]],Product[#All],6,0)</f>
        <v>2141</v>
      </c>
      <c r="L1073" s="143">
        <f>Purchase[[#This Row],[Purchase Rate]]*Purchase[[#This Row],[Qty]]</f>
        <v>74935</v>
      </c>
      <c r="M1073" s="140">
        <v>0</v>
      </c>
      <c r="N1073" s="143">
        <v>0</v>
      </c>
      <c r="O1073" s="140">
        <v>0.18</v>
      </c>
      <c r="P1073" s="145">
        <f>(Purchase[[#This Row],[Gross Amount]]-Purchase[[#This Row],[Disct %]])*Purchase[[#This Row],[GST %]]</f>
        <v>13488.3</v>
      </c>
      <c r="Q1073" s="145">
        <f>Purchase[[#This Row],[Gross Amount]]-Purchase[[#This Row],[Disct Amnt]]+Purchase[[#This Row],[GST Amount]]</f>
        <v>88423.3</v>
      </c>
      <c r="R1073" s="138" t="s">
        <v>1019</v>
      </c>
      <c r="S1073" s="41">
        <f>IF(Purchase[[#This Row],[Status]]="Cancelled",0,Purchase[[#This Row],[Qty]])</f>
        <v>35</v>
      </c>
      <c r="T1073" s="146">
        <f>IF(Purchase[[#This Row],[Status]]="Cancelled",0,Purchase[[#This Row],[Total Amount]])</f>
        <v>88423.3</v>
      </c>
      <c r="U1073" s="146">
        <f>SUM(Purchase[Net Amount])</f>
        <v>814985438.68000126</v>
      </c>
    </row>
    <row r="1074" spans="1:21" ht="19.5" thickBot="1" x14ac:dyDescent="0.3">
      <c r="A1074" s="136" t="s">
        <v>2118</v>
      </c>
      <c r="B1074" s="137">
        <v>45711</v>
      </c>
      <c r="C1074" s="138" t="s">
        <v>614</v>
      </c>
      <c r="D1074" s="138" t="str">
        <f>VLOOKUP(Purchase[[#This Row],[Supplier ID]],Supplier[#All],2,0)</f>
        <v>National Electronics</v>
      </c>
      <c r="E1074" s="138">
        <f>VLOOKUP(Purchase[[#This Row],[Supplier ID]],Supplier[#All],3,0)</f>
        <v>9689542497</v>
      </c>
      <c r="F1074" s="138" t="str">
        <f>VLOOKUP(Purchase[[#This Row],[Supplier ID]],Supplier[#All],4,0)</f>
        <v>Kanpur</v>
      </c>
      <c r="G1074" s="138" t="str">
        <f>VLOOKUP(Purchase[[#This Row],[Supplier ID]],Supplier[#All],5,0)</f>
        <v>UP</v>
      </c>
      <c r="H1074" s="138" t="str">
        <f>VLOOKUP(Purchase[[#This Row],[Supplier ID]],Supplier[#All],6,0)</f>
        <v>GST2154521T059</v>
      </c>
      <c r="I1074" s="138" t="s">
        <v>430</v>
      </c>
      <c r="J1074" s="139">
        <v>16</v>
      </c>
      <c r="K1074" s="143">
        <f>VLOOKUP(Purchase[[#This Row],[Product ID]],Product[#All],6,0)</f>
        <v>5339</v>
      </c>
      <c r="L1074" s="143">
        <f>Purchase[[#This Row],[Purchase Rate]]*Purchase[[#This Row],[Qty]]</f>
        <v>85424</v>
      </c>
      <c r="M1074" s="140">
        <v>0</v>
      </c>
      <c r="N1074" s="143">
        <v>0</v>
      </c>
      <c r="O1074" s="140">
        <v>0.18</v>
      </c>
      <c r="P1074" s="145">
        <f>(Purchase[[#This Row],[Gross Amount]]-Purchase[[#This Row],[Disct %]])*Purchase[[#This Row],[GST %]]</f>
        <v>15376.32</v>
      </c>
      <c r="Q1074" s="145">
        <f>Purchase[[#This Row],[Gross Amount]]-Purchase[[#This Row],[Disct Amnt]]+Purchase[[#This Row],[GST Amount]]</f>
        <v>100800.32000000001</v>
      </c>
      <c r="R1074" s="138" t="s">
        <v>1019</v>
      </c>
      <c r="S1074" s="41">
        <f>IF(Purchase[[#This Row],[Status]]="Cancelled",0,Purchase[[#This Row],[Qty]])</f>
        <v>16</v>
      </c>
      <c r="T1074" s="146">
        <f>IF(Purchase[[#This Row],[Status]]="Cancelled",0,Purchase[[#This Row],[Total Amount]])</f>
        <v>100800.32000000001</v>
      </c>
      <c r="U1074" s="146">
        <f>SUM(Purchase[Net Amount])</f>
        <v>814985438.68000126</v>
      </c>
    </row>
    <row r="1075" spans="1:21" ht="19.5" thickBot="1" x14ac:dyDescent="0.3">
      <c r="A1075" s="136" t="s">
        <v>2119</v>
      </c>
      <c r="B1075" s="137">
        <v>45711</v>
      </c>
      <c r="C1075" s="138" t="s">
        <v>599</v>
      </c>
      <c r="D1075" s="138" t="str">
        <f>VLOOKUP(Purchase[[#This Row],[Supplier ID]],Supplier[#All],2,0)</f>
        <v>National Distributors</v>
      </c>
      <c r="E1075" s="138">
        <f>VLOOKUP(Purchase[[#This Row],[Supplier ID]],Supplier[#All],3,0)</f>
        <v>9689542482</v>
      </c>
      <c r="F1075" s="138" t="str">
        <f>VLOOKUP(Purchase[[#This Row],[Supplier ID]],Supplier[#All],4,0)</f>
        <v>Kanpur</v>
      </c>
      <c r="G1075" s="138" t="str">
        <f>VLOOKUP(Purchase[[#This Row],[Supplier ID]],Supplier[#All],5,0)</f>
        <v>UP</v>
      </c>
      <c r="H1075" s="138" t="str">
        <f>VLOOKUP(Purchase[[#This Row],[Supplier ID]],Supplier[#All],6,0)</f>
        <v>GST2154521T044</v>
      </c>
      <c r="I1075" s="138" t="s">
        <v>46</v>
      </c>
      <c r="J1075" s="139">
        <v>20</v>
      </c>
      <c r="K1075" s="143">
        <f>VLOOKUP(Purchase[[#This Row],[Product ID]],Product[#All],6,0)</f>
        <v>30419</v>
      </c>
      <c r="L1075" s="143">
        <f>Purchase[[#This Row],[Purchase Rate]]*Purchase[[#This Row],[Qty]]</f>
        <v>608380</v>
      </c>
      <c r="M1075" s="140">
        <v>0</v>
      </c>
      <c r="N1075" s="143">
        <v>0</v>
      </c>
      <c r="O1075" s="140">
        <v>0.18</v>
      </c>
      <c r="P1075" s="145">
        <f>(Purchase[[#This Row],[Gross Amount]]-Purchase[[#This Row],[Disct %]])*Purchase[[#This Row],[GST %]]</f>
        <v>109508.4</v>
      </c>
      <c r="Q1075" s="145">
        <f>Purchase[[#This Row],[Gross Amount]]-Purchase[[#This Row],[Disct Amnt]]+Purchase[[#This Row],[GST Amount]]</f>
        <v>717888.4</v>
      </c>
      <c r="R1075" s="138" t="s">
        <v>1019</v>
      </c>
      <c r="S1075" s="41">
        <f>IF(Purchase[[#This Row],[Status]]="Cancelled",0,Purchase[[#This Row],[Qty]])</f>
        <v>20</v>
      </c>
      <c r="T1075" s="146">
        <f>IF(Purchase[[#This Row],[Status]]="Cancelled",0,Purchase[[#This Row],[Total Amount]])</f>
        <v>717888.4</v>
      </c>
      <c r="U1075" s="146">
        <f>SUM(Purchase[Net Amount])</f>
        <v>814985438.68000126</v>
      </c>
    </row>
    <row r="1076" spans="1:21" ht="19.5" thickBot="1" x14ac:dyDescent="0.3">
      <c r="A1076" s="136" t="s">
        <v>2120</v>
      </c>
      <c r="B1076" s="137">
        <v>45711</v>
      </c>
      <c r="C1076" s="138" t="s">
        <v>609</v>
      </c>
      <c r="D1076" s="138" t="str">
        <f>VLOOKUP(Purchase[[#This Row],[Supplier ID]],Supplier[#All],2,0)</f>
        <v>Star Suppliers</v>
      </c>
      <c r="E1076" s="138">
        <f>VLOOKUP(Purchase[[#This Row],[Supplier ID]],Supplier[#All],3,0)</f>
        <v>9689542492</v>
      </c>
      <c r="F1076" s="138" t="str">
        <f>VLOOKUP(Purchase[[#This Row],[Supplier ID]],Supplier[#All],4,0)</f>
        <v>Kanpur</v>
      </c>
      <c r="G1076" s="138" t="str">
        <f>VLOOKUP(Purchase[[#This Row],[Supplier ID]],Supplier[#All],5,0)</f>
        <v>UP</v>
      </c>
      <c r="H1076" s="138" t="str">
        <f>VLOOKUP(Purchase[[#This Row],[Supplier ID]],Supplier[#All],6,0)</f>
        <v>GST2154521T054</v>
      </c>
      <c r="I1076" s="138" t="s">
        <v>367</v>
      </c>
      <c r="J1076" s="139">
        <v>4</v>
      </c>
      <c r="K1076" s="143">
        <f>VLOOKUP(Purchase[[#This Row],[Product ID]],Product[#All],6,0)</f>
        <v>4278</v>
      </c>
      <c r="L1076" s="143">
        <f>Purchase[[#This Row],[Purchase Rate]]*Purchase[[#This Row],[Qty]]</f>
        <v>17112</v>
      </c>
      <c r="M1076" s="140">
        <v>0</v>
      </c>
      <c r="N1076" s="143">
        <v>0</v>
      </c>
      <c r="O1076" s="140">
        <v>0.18</v>
      </c>
      <c r="P1076" s="145">
        <f>(Purchase[[#This Row],[Gross Amount]]-Purchase[[#This Row],[Disct %]])*Purchase[[#This Row],[GST %]]</f>
        <v>3080.16</v>
      </c>
      <c r="Q1076" s="145">
        <f>Purchase[[#This Row],[Gross Amount]]-Purchase[[#This Row],[Disct Amnt]]+Purchase[[#This Row],[GST Amount]]</f>
        <v>20192.16</v>
      </c>
      <c r="R1076" s="138" t="s">
        <v>1019</v>
      </c>
      <c r="S1076" s="41">
        <f>IF(Purchase[[#This Row],[Status]]="Cancelled",0,Purchase[[#This Row],[Qty]])</f>
        <v>4</v>
      </c>
      <c r="T1076" s="146">
        <f>IF(Purchase[[#This Row],[Status]]="Cancelled",0,Purchase[[#This Row],[Total Amount]])</f>
        <v>20192.16</v>
      </c>
      <c r="U1076" s="146">
        <f>SUM(Purchase[Net Amount])</f>
        <v>814985438.68000126</v>
      </c>
    </row>
    <row r="1077" spans="1:21" ht="19.5" thickBot="1" x14ac:dyDescent="0.3">
      <c r="A1077" s="136" t="s">
        <v>2121</v>
      </c>
      <c r="B1077" s="137">
        <v>45711</v>
      </c>
      <c r="C1077" s="138" t="s">
        <v>615</v>
      </c>
      <c r="D1077" s="138" t="str">
        <f>VLOOKUP(Purchase[[#This Row],[Supplier ID]],Supplier[#All],2,0)</f>
        <v>NATIONAL ELECTRONICS</v>
      </c>
      <c r="E1077" s="138">
        <f>VLOOKUP(Purchase[[#This Row],[Supplier ID]],Supplier[#All],3,0)</f>
        <v>9689542498</v>
      </c>
      <c r="F1077" s="138" t="str">
        <f>VLOOKUP(Purchase[[#This Row],[Supplier ID]],Supplier[#All],4,0)</f>
        <v>Kanpur</v>
      </c>
      <c r="G1077" s="138" t="str">
        <f>VLOOKUP(Purchase[[#This Row],[Supplier ID]],Supplier[#All],5,0)</f>
        <v>UP</v>
      </c>
      <c r="H1077" s="138" t="str">
        <f>VLOOKUP(Purchase[[#This Row],[Supplier ID]],Supplier[#All],6,0)</f>
        <v>GST2154521T060</v>
      </c>
      <c r="I1077" s="138" t="s">
        <v>528</v>
      </c>
      <c r="J1077" s="139">
        <v>28</v>
      </c>
      <c r="K1077" s="143">
        <f>VLOOKUP(Purchase[[#This Row],[Product ID]],Product[#All],6,0)</f>
        <v>4004</v>
      </c>
      <c r="L1077" s="143">
        <f>Purchase[[#This Row],[Purchase Rate]]*Purchase[[#This Row],[Qty]]</f>
        <v>112112</v>
      </c>
      <c r="M1077" s="140">
        <v>0</v>
      </c>
      <c r="N1077" s="143">
        <v>0</v>
      </c>
      <c r="O1077" s="140">
        <v>0.18</v>
      </c>
      <c r="P1077" s="145">
        <f>(Purchase[[#This Row],[Gross Amount]]-Purchase[[#This Row],[Disct %]])*Purchase[[#This Row],[GST %]]</f>
        <v>20180.16</v>
      </c>
      <c r="Q1077" s="145">
        <f>Purchase[[#This Row],[Gross Amount]]-Purchase[[#This Row],[Disct Amnt]]+Purchase[[#This Row],[GST Amount]]</f>
        <v>132292.16</v>
      </c>
      <c r="R1077" s="138" t="s">
        <v>1019</v>
      </c>
      <c r="S1077" s="41">
        <f>IF(Purchase[[#This Row],[Status]]="Cancelled",0,Purchase[[#This Row],[Qty]])</f>
        <v>28</v>
      </c>
      <c r="T1077" s="146">
        <f>IF(Purchase[[#This Row],[Status]]="Cancelled",0,Purchase[[#This Row],[Total Amount]])</f>
        <v>132292.16</v>
      </c>
      <c r="U1077" s="146">
        <f>SUM(Purchase[Net Amount])</f>
        <v>814985438.68000126</v>
      </c>
    </row>
    <row r="1078" spans="1:21" ht="19.5" thickBot="1" x14ac:dyDescent="0.3">
      <c r="A1078" s="136" t="s">
        <v>2122</v>
      </c>
      <c r="B1078" s="137">
        <v>45711</v>
      </c>
      <c r="C1078" s="138" t="s">
        <v>2057</v>
      </c>
      <c r="D1078" s="138" t="str">
        <f>VLOOKUP(Purchase[[#This Row],[Supplier ID]],Supplier[#All],2,0)</f>
        <v>Maa Computers</v>
      </c>
      <c r="E1078" s="138">
        <f>VLOOKUP(Purchase[[#This Row],[Supplier ID]],Supplier[#All],3,0)</f>
        <v>9689542454</v>
      </c>
      <c r="F1078" s="138" t="str">
        <f>VLOOKUP(Purchase[[#This Row],[Supplier ID]],Supplier[#All],4,0)</f>
        <v>Korba</v>
      </c>
      <c r="G1078" s="138" t="str">
        <f>VLOOKUP(Purchase[[#This Row],[Supplier ID]],Supplier[#All],5,0)</f>
        <v>CG</v>
      </c>
      <c r="H1078" s="138" t="str">
        <f>VLOOKUP(Purchase[[#This Row],[Supplier ID]],Supplier[#All],6,0)</f>
        <v>GST2154521T016</v>
      </c>
      <c r="I1078" s="138" t="s">
        <v>110</v>
      </c>
      <c r="J1078" s="139">
        <v>6</v>
      </c>
      <c r="K1078" s="143">
        <f>VLOOKUP(Purchase[[#This Row],[Product ID]],Product[#All],6,0)</f>
        <v>59006</v>
      </c>
      <c r="L1078" s="143">
        <f>Purchase[[#This Row],[Purchase Rate]]*Purchase[[#This Row],[Qty]]</f>
        <v>354036</v>
      </c>
      <c r="M1078" s="140">
        <v>0</v>
      </c>
      <c r="N1078" s="143">
        <v>0</v>
      </c>
      <c r="O1078" s="140">
        <v>0.18</v>
      </c>
      <c r="P1078" s="145">
        <f>(Purchase[[#This Row],[Gross Amount]]-Purchase[[#This Row],[Disct %]])*Purchase[[#This Row],[GST %]]</f>
        <v>63726.479999999996</v>
      </c>
      <c r="Q1078" s="145">
        <f>Purchase[[#This Row],[Gross Amount]]-Purchase[[#This Row],[Disct Amnt]]+Purchase[[#This Row],[GST Amount]]</f>
        <v>417762.48</v>
      </c>
      <c r="R1078" s="138" t="s">
        <v>1019</v>
      </c>
      <c r="S1078" s="41">
        <f>IF(Purchase[[#This Row],[Status]]="Cancelled",0,Purchase[[#This Row],[Qty]])</f>
        <v>6</v>
      </c>
      <c r="T1078" s="146">
        <f>IF(Purchase[[#This Row],[Status]]="Cancelled",0,Purchase[[#This Row],[Total Amount]])</f>
        <v>417762.48</v>
      </c>
      <c r="U1078" s="146">
        <f>SUM(Purchase[Net Amount])</f>
        <v>814985438.68000126</v>
      </c>
    </row>
    <row r="1079" spans="1:21" ht="19.5" thickBot="1" x14ac:dyDescent="0.3">
      <c r="A1079" s="136" t="s">
        <v>2123</v>
      </c>
      <c r="B1079" s="137">
        <v>45711</v>
      </c>
      <c r="C1079" s="138" t="s">
        <v>600</v>
      </c>
      <c r="D1079" s="138" t="str">
        <f>VLOOKUP(Purchase[[#This Row],[Supplier ID]],Supplier[#All],2,0)</f>
        <v>Prime Suppliers</v>
      </c>
      <c r="E1079" s="138">
        <f>VLOOKUP(Purchase[[#This Row],[Supplier ID]],Supplier[#All],3,0)</f>
        <v>9689542483</v>
      </c>
      <c r="F1079" s="138" t="str">
        <f>VLOOKUP(Purchase[[#This Row],[Supplier ID]],Supplier[#All],4,0)</f>
        <v>Korba</v>
      </c>
      <c r="G1079" s="138" t="str">
        <f>VLOOKUP(Purchase[[#This Row],[Supplier ID]],Supplier[#All],5,0)</f>
        <v>CG</v>
      </c>
      <c r="H1079" s="138" t="str">
        <f>VLOOKUP(Purchase[[#This Row],[Supplier ID]],Supplier[#All],6,0)</f>
        <v>GST2154521T045</v>
      </c>
      <c r="I1079" s="138" t="s">
        <v>59</v>
      </c>
      <c r="J1079" s="139">
        <v>37</v>
      </c>
      <c r="K1079" s="143">
        <f>VLOOKUP(Purchase[[#This Row],[Product ID]],Product[#All],6,0)</f>
        <v>928</v>
      </c>
      <c r="L1079" s="143">
        <f>Purchase[[#This Row],[Purchase Rate]]*Purchase[[#This Row],[Qty]]</f>
        <v>34336</v>
      </c>
      <c r="M1079" s="140">
        <v>0</v>
      </c>
      <c r="N1079" s="143">
        <v>0</v>
      </c>
      <c r="O1079" s="140">
        <v>0.18</v>
      </c>
      <c r="P1079" s="145">
        <f>(Purchase[[#This Row],[Gross Amount]]-Purchase[[#This Row],[Disct %]])*Purchase[[#This Row],[GST %]]</f>
        <v>6180.48</v>
      </c>
      <c r="Q1079" s="145">
        <f>Purchase[[#This Row],[Gross Amount]]-Purchase[[#This Row],[Disct Amnt]]+Purchase[[#This Row],[GST Amount]]</f>
        <v>40516.479999999996</v>
      </c>
      <c r="R1079" s="138" t="s">
        <v>1019</v>
      </c>
      <c r="S1079" s="41">
        <f>IF(Purchase[[#This Row],[Status]]="Cancelled",0,Purchase[[#This Row],[Qty]])</f>
        <v>37</v>
      </c>
      <c r="T1079" s="146">
        <f>IF(Purchase[[#This Row],[Status]]="Cancelled",0,Purchase[[#This Row],[Total Amount]])</f>
        <v>40516.479999999996</v>
      </c>
      <c r="U1079" s="146">
        <f>SUM(Purchase[Net Amount])</f>
        <v>814985438.68000126</v>
      </c>
    </row>
    <row r="1080" spans="1:21" ht="19.5" thickBot="1" x14ac:dyDescent="0.3">
      <c r="A1080" s="136" t="s">
        <v>2124</v>
      </c>
      <c r="B1080" s="137">
        <v>45711</v>
      </c>
      <c r="C1080" s="138" t="s">
        <v>595</v>
      </c>
      <c r="D1080" s="138" t="str">
        <f>VLOOKUP(Purchase[[#This Row],[Supplier ID]],Supplier[#All],2,0)</f>
        <v>Star Computers</v>
      </c>
      <c r="E1080" s="138">
        <f>VLOOKUP(Purchase[[#This Row],[Supplier ID]],Supplier[#All],3,0)</f>
        <v>9689542478</v>
      </c>
      <c r="F1080" s="138" t="str">
        <f>VLOOKUP(Purchase[[#This Row],[Supplier ID]],Supplier[#All],4,0)</f>
        <v>Kanpur</v>
      </c>
      <c r="G1080" s="138" t="str">
        <f>VLOOKUP(Purchase[[#This Row],[Supplier ID]],Supplier[#All],5,0)</f>
        <v>UP</v>
      </c>
      <c r="H1080" s="138" t="str">
        <f>VLOOKUP(Purchase[[#This Row],[Supplier ID]],Supplier[#All],6,0)</f>
        <v>GST2154521T040</v>
      </c>
      <c r="I1080" s="138" t="s">
        <v>306</v>
      </c>
      <c r="J1080" s="139">
        <v>24</v>
      </c>
      <c r="K1080" s="143">
        <f>VLOOKUP(Purchase[[#This Row],[Product ID]],Product[#All],6,0)</f>
        <v>157</v>
      </c>
      <c r="L1080" s="143">
        <f>Purchase[[#This Row],[Purchase Rate]]*Purchase[[#This Row],[Qty]]</f>
        <v>3768</v>
      </c>
      <c r="M1080" s="140">
        <v>0</v>
      </c>
      <c r="N1080" s="143">
        <v>0</v>
      </c>
      <c r="O1080" s="140">
        <v>0.18</v>
      </c>
      <c r="P1080" s="145">
        <f>(Purchase[[#This Row],[Gross Amount]]-Purchase[[#This Row],[Disct %]])*Purchase[[#This Row],[GST %]]</f>
        <v>678.24</v>
      </c>
      <c r="Q1080" s="145">
        <f>Purchase[[#This Row],[Gross Amount]]-Purchase[[#This Row],[Disct Amnt]]+Purchase[[#This Row],[GST Amount]]</f>
        <v>4446.24</v>
      </c>
      <c r="R1080" s="138" t="s">
        <v>1019</v>
      </c>
      <c r="S1080" s="41">
        <f>IF(Purchase[[#This Row],[Status]]="Cancelled",0,Purchase[[#This Row],[Qty]])</f>
        <v>24</v>
      </c>
      <c r="T1080" s="146">
        <f>IF(Purchase[[#This Row],[Status]]="Cancelled",0,Purchase[[#This Row],[Total Amount]])</f>
        <v>4446.24</v>
      </c>
      <c r="U1080" s="146">
        <f>SUM(Purchase[Net Amount])</f>
        <v>814985438.68000126</v>
      </c>
    </row>
    <row r="1081" spans="1:21" ht="19.5" thickBot="1" x14ac:dyDescent="0.3">
      <c r="A1081" s="136" t="s">
        <v>2125</v>
      </c>
      <c r="B1081" s="137">
        <v>45711</v>
      </c>
      <c r="C1081" s="138" t="s">
        <v>569</v>
      </c>
      <c r="D1081" s="138" t="str">
        <f>VLOOKUP(Purchase[[#This Row],[Supplier ID]],Supplier[#All],2,0)</f>
        <v>Tech Electronics</v>
      </c>
      <c r="E1081" s="138">
        <f>VLOOKUP(Purchase[[#This Row],[Supplier ID]],Supplier[#All],3,0)</f>
        <v>9689542455</v>
      </c>
      <c r="F1081" s="138" t="str">
        <f>VLOOKUP(Purchase[[#This Row],[Supplier ID]],Supplier[#All],4,0)</f>
        <v>Korba</v>
      </c>
      <c r="G1081" s="138" t="str">
        <f>VLOOKUP(Purchase[[#This Row],[Supplier ID]],Supplier[#All],5,0)</f>
        <v>CG</v>
      </c>
      <c r="H1081" s="138" t="str">
        <f>VLOOKUP(Purchase[[#This Row],[Supplier ID]],Supplier[#All],6,0)</f>
        <v>GST2154521T017</v>
      </c>
      <c r="I1081" s="138" t="s">
        <v>347</v>
      </c>
      <c r="J1081" s="139">
        <v>16</v>
      </c>
      <c r="K1081" s="143">
        <f>VLOOKUP(Purchase[[#This Row],[Product ID]],Product[#All],6,0)</f>
        <v>598</v>
      </c>
      <c r="L1081" s="143">
        <f>Purchase[[#This Row],[Purchase Rate]]*Purchase[[#This Row],[Qty]]</f>
        <v>9568</v>
      </c>
      <c r="M1081" s="140">
        <v>0</v>
      </c>
      <c r="N1081" s="143">
        <v>0</v>
      </c>
      <c r="O1081" s="140">
        <v>0.18</v>
      </c>
      <c r="P1081" s="145">
        <f>(Purchase[[#This Row],[Gross Amount]]-Purchase[[#This Row],[Disct %]])*Purchase[[#This Row],[GST %]]</f>
        <v>1722.24</v>
      </c>
      <c r="Q1081" s="145">
        <f>Purchase[[#This Row],[Gross Amount]]-Purchase[[#This Row],[Disct Amnt]]+Purchase[[#This Row],[GST Amount]]</f>
        <v>11290.24</v>
      </c>
      <c r="R1081" s="138" t="s">
        <v>1019</v>
      </c>
      <c r="S1081" s="41">
        <f>IF(Purchase[[#This Row],[Status]]="Cancelled",0,Purchase[[#This Row],[Qty]])</f>
        <v>16</v>
      </c>
      <c r="T1081" s="146">
        <f>IF(Purchase[[#This Row],[Status]]="Cancelled",0,Purchase[[#This Row],[Total Amount]])</f>
        <v>11290.24</v>
      </c>
      <c r="U1081" s="146">
        <f>SUM(Purchase[Net Amount])</f>
        <v>814985438.68000126</v>
      </c>
    </row>
    <row r="1082" spans="1:21" ht="19.5" thickBot="1" x14ac:dyDescent="0.3">
      <c r="A1082" s="136" t="s">
        <v>2126</v>
      </c>
      <c r="B1082" s="137">
        <v>45711</v>
      </c>
      <c r="C1082" s="138" t="s">
        <v>583</v>
      </c>
      <c r="D1082" s="138" t="str">
        <f>VLOOKUP(Purchase[[#This Row],[Supplier ID]],Supplier[#All],2,0)</f>
        <v>Shree Distributors</v>
      </c>
      <c r="E1082" s="138">
        <f>VLOOKUP(Purchase[[#This Row],[Supplier ID]],Supplier[#All],3,0)</f>
        <v>9689542467</v>
      </c>
      <c r="F1082" s="138" t="str">
        <f>VLOOKUP(Purchase[[#This Row],[Supplier ID]],Supplier[#All],4,0)</f>
        <v>Indore</v>
      </c>
      <c r="G1082" s="138" t="str">
        <f>VLOOKUP(Purchase[[#This Row],[Supplier ID]],Supplier[#All],5,0)</f>
        <v>MP</v>
      </c>
      <c r="H1082" s="138" t="str">
        <f>VLOOKUP(Purchase[[#This Row],[Supplier ID]],Supplier[#All],6,0)</f>
        <v>GST2154521T029</v>
      </c>
      <c r="I1082" s="138" t="s">
        <v>139</v>
      </c>
      <c r="J1082" s="139">
        <v>27</v>
      </c>
      <c r="K1082" s="143">
        <f>VLOOKUP(Purchase[[#This Row],[Product ID]],Product[#All],6,0)</f>
        <v>21311</v>
      </c>
      <c r="L1082" s="143">
        <f>Purchase[[#This Row],[Purchase Rate]]*Purchase[[#This Row],[Qty]]</f>
        <v>575397</v>
      </c>
      <c r="M1082" s="140">
        <v>0</v>
      </c>
      <c r="N1082" s="143">
        <v>0</v>
      </c>
      <c r="O1082" s="140">
        <v>0.18</v>
      </c>
      <c r="P1082" s="145">
        <f>(Purchase[[#This Row],[Gross Amount]]-Purchase[[#This Row],[Disct %]])*Purchase[[#This Row],[GST %]]</f>
        <v>103571.45999999999</v>
      </c>
      <c r="Q1082" s="145">
        <f>Purchase[[#This Row],[Gross Amount]]-Purchase[[#This Row],[Disct Amnt]]+Purchase[[#This Row],[GST Amount]]</f>
        <v>678968.46</v>
      </c>
      <c r="R1082" s="138" t="s">
        <v>1019</v>
      </c>
      <c r="S1082" s="41">
        <f>IF(Purchase[[#This Row],[Status]]="Cancelled",0,Purchase[[#This Row],[Qty]])</f>
        <v>27</v>
      </c>
      <c r="T1082" s="146">
        <f>IF(Purchase[[#This Row],[Status]]="Cancelled",0,Purchase[[#This Row],[Total Amount]])</f>
        <v>678968.46</v>
      </c>
      <c r="U1082" s="146">
        <f>SUM(Purchase[Net Amount])</f>
        <v>814985438.68000126</v>
      </c>
    </row>
    <row r="1083" spans="1:21" ht="19.5" thickBot="1" x14ac:dyDescent="0.3">
      <c r="A1083" s="136" t="s">
        <v>2127</v>
      </c>
      <c r="B1083" s="137">
        <v>45711</v>
      </c>
      <c r="C1083" s="138" t="s">
        <v>564</v>
      </c>
      <c r="D1083" s="138" t="str">
        <f>VLOOKUP(Purchase[[#This Row],[Supplier ID]],Supplier[#All],2,0)</f>
        <v xml:space="preserve">Star Electronics </v>
      </c>
      <c r="E1083" s="138">
        <f>VLOOKUP(Purchase[[#This Row],[Supplier ID]],Supplier[#All],3,0)</f>
        <v>9689542450</v>
      </c>
      <c r="F1083" s="138" t="str">
        <f>VLOOKUP(Purchase[[#This Row],[Supplier ID]],Supplier[#All],4,0)</f>
        <v>Korba</v>
      </c>
      <c r="G1083" s="138" t="str">
        <f>VLOOKUP(Purchase[[#This Row],[Supplier ID]],Supplier[#All],5,0)</f>
        <v>CG</v>
      </c>
      <c r="H1083" s="138" t="str">
        <f>VLOOKUP(Purchase[[#This Row],[Supplier ID]],Supplier[#All],6,0)</f>
        <v>GST2154521T012</v>
      </c>
      <c r="I1083" s="138" t="s">
        <v>548</v>
      </c>
      <c r="J1083" s="139">
        <v>35</v>
      </c>
      <c r="K1083" s="143">
        <f>VLOOKUP(Purchase[[#This Row],[Product ID]],Product[#All],6,0)</f>
        <v>2026</v>
      </c>
      <c r="L1083" s="143">
        <f>Purchase[[#This Row],[Purchase Rate]]*Purchase[[#This Row],[Qty]]</f>
        <v>70910</v>
      </c>
      <c r="M1083" s="140">
        <v>0</v>
      </c>
      <c r="N1083" s="143">
        <v>0</v>
      </c>
      <c r="O1083" s="140">
        <v>0.18</v>
      </c>
      <c r="P1083" s="145">
        <f>(Purchase[[#This Row],[Gross Amount]]-Purchase[[#This Row],[Disct %]])*Purchase[[#This Row],[GST %]]</f>
        <v>12763.8</v>
      </c>
      <c r="Q1083" s="145">
        <f>Purchase[[#This Row],[Gross Amount]]-Purchase[[#This Row],[Disct Amnt]]+Purchase[[#This Row],[GST Amount]]</f>
        <v>83673.8</v>
      </c>
      <c r="R1083" s="138" t="s">
        <v>1019</v>
      </c>
      <c r="S1083" s="41">
        <f>IF(Purchase[[#This Row],[Status]]="Cancelled",0,Purchase[[#This Row],[Qty]])</f>
        <v>35</v>
      </c>
      <c r="T1083" s="146">
        <f>IF(Purchase[[#This Row],[Status]]="Cancelled",0,Purchase[[#This Row],[Total Amount]])</f>
        <v>83673.8</v>
      </c>
      <c r="U1083" s="146">
        <f>SUM(Purchase[Net Amount])</f>
        <v>814985438.68000126</v>
      </c>
    </row>
    <row r="1084" spans="1:21" ht="19.5" thickBot="1" x14ac:dyDescent="0.3">
      <c r="A1084" s="136" t="s">
        <v>2128</v>
      </c>
      <c r="B1084" s="137">
        <v>45711</v>
      </c>
      <c r="C1084" s="138" t="s">
        <v>590</v>
      </c>
      <c r="D1084" s="138" t="str">
        <f>VLOOKUP(Purchase[[#This Row],[Supplier ID]],Supplier[#All],2,0)</f>
        <v>Star Distributors</v>
      </c>
      <c r="E1084" s="138">
        <f>VLOOKUP(Purchase[[#This Row],[Supplier ID]],Supplier[#All],3,0)</f>
        <v>9689542474</v>
      </c>
      <c r="F1084" s="138" t="str">
        <f>VLOOKUP(Purchase[[#This Row],[Supplier ID]],Supplier[#All],4,0)</f>
        <v>Kanpur</v>
      </c>
      <c r="G1084" s="138" t="str">
        <f>VLOOKUP(Purchase[[#This Row],[Supplier ID]],Supplier[#All],5,0)</f>
        <v>UP</v>
      </c>
      <c r="H1084" s="138" t="str">
        <f>VLOOKUP(Purchase[[#This Row],[Supplier ID]],Supplier[#All],6,0)</f>
        <v>GST2154521T036</v>
      </c>
      <c r="I1084" s="138" t="s">
        <v>153</v>
      </c>
      <c r="J1084" s="139">
        <v>36</v>
      </c>
      <c r="K1084" s="143">
        <f>VLOOKUP(Purchase[[#This Row],[Product ID]],Product[#All],6,0)</f>
        <v>835</v>
      </c>
      <c r="L1084" s="143">
        <f>Purchase[[#This Row],[Purchase Rate]]*Purchase[[#This Row],[Qty]]</f>
        <v>30060</v>
      </c>
      <c r="M1084" s="140">
        <v>0</v>
      </c>
      <c r="N1084" s="143">
        <v>0</v>
      </c>
      <c r="O1084" s="140">
        <v>0.18</v>
      </c>
      <c r="P1084" s="145">
        <f>(Purchase[[#This Row],[Gross Amount]]-Purchase[[#This Row],[Disct %]])*Purchase[[#This Row],[GST %]]</f>
        <v>5410.8</v>
      </c>
      <c r="Q1084" s="145">
        <f>Purchase[[#This Row],[Gross Amount]]-Purchase[[#This Row],[Disct Amnt]]+Purchase[[#This Row],[GST Amount]]</f>
        <v>35470.800000000003</v>
      </c>
      <c r="R1084" s="138" t="s">
        <v>1019</v>
      </c>
      <c r="S1084" s="41">
        <f>IF(Purchase[[#This Row],[Status]]="Cancelled",0,Purchase[[#This Row],[Qty]])</f>
        <v>36</v>
      </c>
      <c r="T1084" s="146">
        <f>IF(Purchase[[#This Row],[Status]]="Cancelled",0,Purchase[[#This Row],[Total Amount]])</f>
        <v>35470.800000000003</v>
      </c>
      <c r="U1084" s="146">
        <f>SUM(Purchase[Net Amount])</f>
        <v>814985438.68000126</v>
      </c>
    </row>
    <row r="1085" spans="1:21" ht="19.5" thickBot="1" x14ac:dyDescent="0.3">
      <c r="A1085" s="136" t="s">
        <v>2129</v>
      </c>
      <c r="B1085" s="137">
        <v>45711</v>
      </c>
      <c r="C1085" s="138" t="s">
        <v>582</v>
      </c>
      <c r="D1085" s="138" t="str">
        <f>VLOOKUP(Purchase[[#This Row],[Supplier ID]],Supplier[#All],2,0)</f>
        <v>Tech Distributors</v>
      </c>
      <c r="E1085" s="138">
        <f>VLOOKUP(Purchase[[#This Row],[Supplier ID]],Supplier[#All],3,0)</f>
        <v>9689542466</v>
      </c>
      <c r="F1085" s="138" t="str">
        <f>VLOOKUP(Purchase[[#This Row],[Supplier ID]],Supplier[#All],4,0)</f>
        <v>Indore</v>
      </c>
      <c r="G1085" s="138" t="str">
        <f>VLOOKUP(Purchase[[#This Row],[Supplier ID]],Supplier[#All],5,0)</f>
        <v>MP</v>
      </c>
      <c r="H1085" s="138" t="str">
        <f>VLOOKUP(Purchase[[#This Row],[Supplier ID]],Supplier[#All],6,0)</f>
        <v>GST2154521T028</v>
      </c>
      <c r="I1085" s="138" t="s">
        <v>10</v>
      </c>
      <c r="J1085" s="139">
        <v>5</v>
      </c>
      <c r="K1085" s="143">
        <f>VLOOKUP(Purchase[[#This Row],[Product ID]],Product[#All],6,0)</f>
        <v>15190</v>
      </c>
      <c r="L1085" s="143">
        <f>Purchase[[#This Row],[Purchase Rate]]*Purchase[[#This Row],[Qty]]</f>
        <v>75950</v>
      </c>
      <c r="M1085" s="140">
        <v>0</v>
      </c>
      <c r="N1085" s="143">
        <v>0</v>
      </c>
      <c r="O1085" s="140">
        <v>0.18</v>
      </c>
      <c r="P1085" s="145">
        <f>(Purchase[[#This Row],[Gross Amount]]-Purchase[[#This Row],[Disct %]])*Purchase[[#This Row],[GST %]]</f>
        <v>13671</v>
      </c>
      <c r="Q1085" s="145">
        <f>Purchase[[#This Row],[Gross Amount]]-Purchase[[#This Row],[Disct Amnt]]+Purchase[[#This Row],[GST Amount]]</f>
        <v>89621</v>
      </c>
      <c r="R1085" s="138" t="s">
        <v>1019</v>
      </c>
      <c r="S1085" s="41">
        <f>IF(Purchase[[#This Row],[Status]]="Cancelled",0,Purchase[[#This Row],[Qty]])</f>
        <v>5</v>
      </c>
      <c r="T1085" s="146">
        <f>IF(Purchase[[#This Row],[Status]]="Cancelled",0,Purchase[[#This Row],[Total Amount]])</f>
        <v>89621</v>
      </c>
      <c r="U1085" s="146">
        <f>SUM(Purchase[Net Amount])</f>
        <v>814985438.68000126</v>
      </c>
    </row>
    <row r="1086" spans="1:21" ht="19.5" thickBot="1" x14ac:dyDescent="0.3">
      <c r="A1086" s="136" t="s">
        <v>2130</v>
      </c>
      <c r="B1086" s="137">
        <v>45711</v>
      </c>
      <c r="C1086" s="138" t="s">
        <v>597</v>
      </c>
      <c r="D1086" s="138" t="str">
        <f>VLOOKUP(Purchase[[#This Row],[Supplier ID]],Supplier[#All],2,0)</f>
        <v>Tech Traders</v>
      </c>
      <c r="E1086" s="138">
        <f>VLOOKUP(Purchase[[#This Row],[Supplier ID]],Supplier[#All],3,0)</f>
        <v>9689542480</v>
      </c>
      <c r="F1086" s="138" t="str">
        <f>VLOOKUP(Purchase[[#This Row],[Supplier ID]],Supplier[#All],4,0)</f>
        <v>Kanpur</v>
      </c>
      <c r="G1086" s="138" t="str">
        <f>VLOOKUP(Purchase[[#This Row],[Supplier ID]],Supplier[#All],5,0)</f>
        <v>UP</v>
      </c>
      <c r="H1086" s="138" t="str">
        <f>VLOOKUP(Purchase[[#This Row],[Supplier ID]],Supplier[#All],6,0)</f>
        <v>GST2154521T042</v>
      </c>
      <c r="I1086" s="138" t="s">
        <v>335</v>
      </c>
      <c r="J1086" s="139">
        <v>12</v>
      </c>
      <c r="K1086" s="143">
        <f>VLOOKUP(Purchase[[#This Row],[Product ID]],Product[#All],6,0)</f>
        <v>3570</v>
      </c>
      <c r="L1086" s="143">
        <f>Purchase[[#This Row],[Purchase Rate]]*Purchase[[#This Row],[Qty]]</f>
        <v>42840</v>
      </c>
      <c r="M1086" s="140">
        <v>0</v>
      </c>
      <c r="N1086" s="143">
        <v>0</v>
      </c>
      <c r="O1086" s="140">
        <v>0.18</v>
      </c>
      <c r="P1086" s="145">
        <f>(Purchase[[#This Row],[Gross Amount]]-Purchase[[#This Row],[Disct %]])*Purchase[[#This Row],[GST %]]</f>
        <v>7711.2</v>
      </c>
      <c r="Q1086" s="145">
        <f>Purchase[[#This Row],[Gross Amount]]-Purchase[[#This Row],[Disct Amnt]]+Purchase[[#This Row],[GST Amount]]</f>
        <v>50551.199999999997</v>
      </c>
      <c r="R1086" s="138" t="s">
        <v>1019</v>
      </c>
      <c r="S1086" s="41">
        <f>IF(Purchase[[#This Row],[Status]]="Cancelled",0,Purchase[[#This Row],[Qty]])</f>
        <v>12</v>
      </c>
      <c r="T1086" s="146">
        <f>IF(Purchase[[#This Row],[Status]]="Cancelled",0,Purchase[[#This Row],[Total Amount]])</f>
        <v>50551.199999999997</v>
      </c>
      <c r="U1086" s="146">
        <f>SUM(Purchase[Net Amount])</f>
        <v>814985438.68000126</v>
      </c>
    </row>
    <row r="1087" spans="1:21" ht="19.5" thickBot="1" x14ac:dyDescent="0.3">
      <c r="A1087" s="136" t="s">
        <v>2131</v>
      </c>
      <c r="B1087" s="137">
        <v>45711</v>
      </c>
      <c r="C1087" s="138" t="s">
        <v>597</v>
      </c>
      <c r="D1087" s="138" t="str">
        <f>VLOOKUP(Purchase[[#This Row],[Supplier ID]],Supplier[#All],2,0)</f>
        <v>Tech Traders</v>
      </c>
      <c r="E1087" s="138">
        <f>VLOOKUP(Purchase[[#This Row],[Supplier ID]],Supplier[#All],3,0)</f>
        <v>9689542480</v>
      </c>
      <c r="F1087" s="138" t="str">
        <f>VLOOKUP(Purchase[[#This Row],[Supplier ID]],Supplier[#All],4,0)</f>
        <v>Kanpur</v>
      </c>
      <c r="G1087" s="138" t="str">
        <f>VLOOKUP(Purchase[[#This Row],[Supplier ID]],Supplier[#All],5,0)</f>
        <v>UP</v>
      </c>
      <c r="H1087" s="138" t="str">
        <f>VLOOKUP(Purchase[[#This Row],[Supplier ID]],Supplier[#All],6,0)</f>
        <v>GST2154521T042</v>
      </c>
      <c r="I1087" s="138" t="s">
        <v>221</v>
      </c>
      <c r="J1087" s="139">
        <v>21</v>
      </c>
      <c r="K1087" s="143">
        <f>VLOOKUP(Purchase[[#This Row],[Product ID]],Product[#All],6,0)</f>
        <v>2487</v>
      </c>
      <c r="L1087" s="143">
        <f>Purchase[[#This Row],[Purchase Rate]]*Purchase[[#This Row],[Qty]]</f>
        <v>52227</v>
      </c>
      <c r="M1087" s="140">
        <v>0</v>
      </c>
      <c r="N1087" s="143">
        <v>0</v>
      </c>
      <c r="O1087" s="140">
        <v>0.18</v>
      </c>
      <c r="P1087" s="145">
        <f>(Purchase[[#This Row],[Gross Amount]]-Purchase[[#This Row],[Disct %]])*Purchase[[#This Row],[GST %]]</f>
        <v>9400.8599999999988</v>
      </c>
      <c r="Q1087" s="145">
        <f>Purchase[[#This Row],[Gross Amount]]-Purchase[[#This Row],[Disct Amnt]]+Purchase[[#This Row],[GST Amount]]</f>
        <v>61627.86</v>
      </c>
      <c r="R1087" s="138" t="s">
        <v>1019</v>
      </c>
      <c r="S1087" s="41">
        <f>IF(Purchase[[#This Row],[Status]]="Cancelled",0,Purchase[[#This Row],[Qty]])</f>
        <v>21</v>
      </c>
      <c r="T1087" s="146">
        <f>IF(Purchase[[#This Row],[Status]]="Cancelled",0,Purchase[[#This Row],[Total Amount]])</f>
        <v>61627.86</v>
      </c>
      <c r="U1087" s="146">
        <f>SUM(Purchase[Net Amount])</f>
        <v>814985438.68000126</v>
      </c>
    </row>
    <row r="1088" spans="1:21" ht="19.5" thickBot="1" x14ac:dyDescent="0.3">
      <c r="A1088" s="136" t="s">
        <v>2132</v>
      </c>
      <c r="B1088" s="137">
        <v>45711</v>
      </c>
      <c r="C1088" s="138" t="s">
        <v>591</v>
      </c>
      <c r="D1088" s="138" t="str">
        <f>VLOOKUP(Purchase[[#This Row],[Supplier ID]],Supplier[#All],2,0)</f>
        <v>Shree Computers</v>
      </c>
      <c r="E1088" s="138">
        <f>VLOOKUP(Purchase[[#This Row],[Supplier ID]],Supplier[#All],3,0)</f>
        <v>9689542475</v>
      </c>
      <c r="F1088" s="138" t="str">
        <f>VLOOKUP(Purchase[[#This Row],[Supplier ID]],Supplier[#All],4,0)</f>
        <v>Indore</v>
      </c>
      <c r="G1088" s="138" t="str">
        <f>VLOOKUP(Purchase[[#This Row],[Supplier ID]],Supplier[#All],5,0)</f>
        <v>MP</v>
      </c>
      <c r="H1088" s="138" t="str">
        <f>VLOOKUP(Purchase[[#This Row],[Supplier ID]],Supplier[#All],6,0)</f>
        <v>GST2154521T037</v>
      </c>
      <c r="I1088" s="138" t="s">
        <v>306</v>
      </c>
      <c r="J1088" s="139">
        <v>35</v>
      </c>
      <c r="K1088" s="143">
        <f>VLOOKUP(Purchase[[#This Row],[Product ID]],Product[#All],6,0)</f>
        <v>157</v>
      </c>
      <c r="L1088" s="143">
        <f>Purchase[[#This Row],[Purchase Rate]]*Purchase[[#This Row],[Qty]]</f>
        <v>5495</v>
      </c>
      <c r="M1088" s="140">
        <v>0</v>
      </c>
      <c r="N1088" s="143">
        <v>0</v>
      </c>
      <c r="O1088" s="140">
        <v>0.18</v>
      </c>
      <c r="P1088" s="145">
        <f>(Purchase[[#This Row],[Gross Amount]]-Purchase[[#This Row],[Disct %]])*Purchase[[#This Row],[GST %]]</f>
        <v>989.09999999999991</v>
      </c>
      <c r="Q1088" s="145">
        <f>Purchase[[#This Row],[Gross Amount]]-Purchase[[#This Row],[Disct Amnt]]+Purchase[[#This Row],[GST Amount]]</f>
        <v>6484.1</v>
      </c>
      <c r="R1088" s="138" t="s">
        <v>1019</v>
      </c>
      <c r="S1088" s="41">
        <f>IF(Purchase[[#This Row],[Status]]="Cancelled",0,Purchase[[#This Row],[Qty]])</f>
        <v>35</v>
      </c>
      <c r="T1088" s="146">
        <f>IF(Purchase[[#This Row],[Status]]="Cancelled",0,Purchase[[#This Row],[Total Amount]])</f>
        <v>6484.1</v>
      </c>
      <c r="U1088" s="146">
        <f>SUM(Purchase[Net Amount])</f>
        <v>814985438.68000126</v>
      </c>
    </row>
    <row r="1089" spans="1:21" ht="19.5" thickBot="1" x14ac:dyDescent="0.3">
      <c r="A1089" s="136" t="s">
        <v>2133</v>
      </c>
      <c r="B1089" s="137">
        <v>45712</v>
      </c>
      <c r="C1089" s="138" t="s">
        <v>567</v>
      </c>
      <c r="D1089" s="138" t="str">
        <f>VLOOKUP(Purchase[[#This Row],[Supplier ID]],Supplier[#All],2,0)</f>
        <v>National Distributors</v>
      </c>
      <c r="E1089" s="138">
        <f>VLOOKUP(Purchase[[#This Row],[Supplier ID]],Supplier[#All],3,0)</f>
        <v>9689542453</v>
      </c>
      <c r="F1089" s="138" t="str">
        <f>VLOOKUP(Purchase[[#This Row],[Supplier ID]],Supplier[#All],4,0)</f>
        <v>Korba</v>
      </c>
      <c r="G1089" s="138" t="str">
        <f>VLOOKUP(Purchase[[#This Row],[Supplier ID]],Supplier[#All],5,0)</f>
        <v>CG</v>
      </c>
      <c r="H1089" s="138" t="str">
        <f>VLOOKUP(Purchase[[#This Row],[Supplier ID]],Supplier[#All],6,0)</f>
        <v>GST2154521T015</v>
      </c>
      <c r="I1089" s="138" t="s">
        <v>397</v>
      </c>
      <c r="J1089" s="139">
        <v>13</v>
      </c>
      <c r="K1089" s="143">
        <f>VLOOKUP(Purchase[[#This Row],[Product ID]],Product[#All],6,0)</f>
        <v>60817</v>
      </c>
      <c r="L1089" s="143">
        <f>Purchase[[#This Row],[Purchase Rate]]*Purchase[[#This Row],[Qty]]</f>
        <v>790621</v>
      </c>
      <c r="M1089" s="140">
        <v>0</v>
      </c>
      <c r="N1089" s="143">
        <v>0</v>
      </c>
      <c r="O1089" s="140">
        <v>0.18</v>
      </c>
      <c r="P1089" s="145">
        <f>(Purchase[[#This Row],[Gross Amount]]-Purchase[[#This Row],[Disct %]])*Purchase[[#This Row],[GST %]]</f>
        <v>142311.78</v>
      </c>
      <c r="Q1089" s="145">
        <f>Purchase[[#This Row],[Gross Amount]]-Purchase[[#This Row],[Disct Amnt]]+Purchase[[#This Row],[GST Amount]]</f>
        <v>932932.78</v>
      </c>
      <c r="R1089" s="138" t="s">
        <v>1019</v>
      </c>
      <c r="S1089" s="41">
        <f>IF(Purchase[[#This Row],[Status]]="Cancelled",0,Purchase[[#This Row],[Qty]])</f>
        <v>13</v>
      </c>
      <c r="T1089" s="146">
        <f>IF(Purchase[[#This Row],[Status]]="Cancelled",0,Purchase[[#This Row],[Total Amount]])</f>
        <v>932932.78</v>
      </c>
      <c r="U1089" s="146">
        <f>SUM(Purchase[Net Amount])</f>
        <v>814985438.68000126</v>
      </c>
    </row>
    <row r="1090" spans="1:21" ht="19.5" thickBot="1" x14ac:dyDescent="0.3">
      <c r="A1090" s="136" t="s">
        <v>2134</v>
      </c>
      <c r="B1090" s="137">
        <v>45712</v>
      </c>
      <c r="C1090" s="138" t="s">
        <v>579</v>
      </c>
      <c r="D1090" s="138" t="str">
        <f>VLOOKUP(Purchase[[#This Row],[Supplier ID]],Supplier[#All],2,0)</f>
        <v>Tech Traders</v>
      </c>
      <c r="E1090" s="138">
        <f>VLOOKUP(Purchase[[#This Row],[Supplier ID]],Supplier[#All],3,0)</f>
        <v>9689542463</v>
      </c>
      <c r="F1090" s="138" t="str">
        <f>VLOOKUP(Purchase[[#This Row],[Supplier ID]],Supplier[#All],4,0)</f>
        <v>Kanpur</v>
      </c>
      <c r="G1090" s="138" t="str">
        <f>VLOOKUP(Purchase[[#This Row],[Supplier ID]],Supplier[#All],5,0)</f>
        <v>UP</v>
      </c>
      <c r="H1090" s="138" t="str">
        <f>VLOOKUP(Purchase[[#This Row],[Supplier ID]],Supplier[#All],6,0)</f>
        <v>GST2154521T025</v>
      </c>
      <c r="I1090" s="138" t="s">
        <v>504</v>
      </c>
      <c r="J1090" s="139">
        <v>19</v>
      </c>
      <c r="K1090" s="143">
        <f>VLOOKUP(Purchase[[#This Row],[Product ID]],Product[#All],6,0)</f>
        <v>3172</v>
      </c>
      <c r="L1090" s="143">
        <f>Purchase[[#This Row],[Purchase Rate]]*Purchase[[#This Row],[Qty]]</f>
        <v>60268</v>
      </c>
      <c r="M1090" s="140">
        <v>0</v>
      </c>
      <c r="N1090" s="143">
        <v>0</v>
      </c>
      <c r="O1090" s="140">
        <v>0.18</v>
      </c>
      <c r="P1090" s="145">
        <f>(Purchase[[#This Row],[Gross Amount]]-Purchase[[#This Row],[Disct %]])*Purchase[[#This Row],[GST %]]</f>
        <v>10848.24</v>
      </c>
      <c r="Q1090" s="145">
        <f>Purchase[[#This Row],[Gross Amount]]-Purchase[[#This Row],[Disct Amnt]]+Purchase[[#This Row],[GST Amount]]</f>
        <v>71116.240000000005</v>
      </c>
      <c r="R1090" s="138" t="s">
        <v>1019</v>
      </c>
      <c r="S1090" s="41">
        <f>IF(Purchase[[#This Row],[Status]]="Cancelled",0,Purchase[[#This Row],[Qty]])</f>
        <v>19</v>
      </c>
      <c r="T1090" s="146">
        <f>IF(Purchase[[#This Row],[Status]]="Cancelled",0,Purchase[[#This Row],[Total Amount]])</f>
        <v>71116.240000000005</v>
      </c>
      <c r="U1090" s="146">
        <f>SUM(Purchase[Net Amount])</f>
        <v>814985438.68000126</v>
      </c>
    </row>
    <row r="1091" spans="1:21" ht="19.5" thickBot="1" x14ac:dyDescent="0.3">
      <c r="A1091" s="136" t="s">
        <v>2135</v>
      </c>
      <c r="B1091" s="137">
        <v>45712</v>
      </c>
      <c r="C1091" s="138" t="s">
        <v>605</v>
      </c>
      <c r="D1091" s="138" t="str">
        <f>VLOOKUP(Purchase[[#This Row],[Supplier ID]],Supplier[#All],2,0)</f>
        <v>Star Traders</v>
      </c>
      <c r="E1091" s="138">
        <f>VLOOKUP(Purchase[[#This Row],[Supplier ID]],Supplier[#All],3,0)</f>
        <v>9689542488</v>
      </c>
      <c r="F1091" s="138" t="str">
        <f>VLOOKUP(Purchase[[#This Row],[Supplier ID]],Supplier[#All],4,0)</f>
        <v>Indore</v>
      </c>
      <c r="G1091" s="138" t="str">
        <f>VLOOKUP(Purchase[[#This Row],[Supplier ID]],Supplier[#All],5,0)</f>
        <v>MP</v>
      </c>
      <c r="H1091" s="138" t="str">
        <f>VLOOKUP(Purchase[[#This Row],[Supplier ID]],Supplier[#All],6,0)</f>
        <v>GST2154521T050</v>
      </c>
      <c r="I1091" s="138" t="s">
        <v>277</v>
      </c>
      <c r="J1091" s="139">
        <v>31</v>
      </c>
      <c r="K1091" s="143">
        <f>VLOOKUP(Purchase[[#This Row],[Product ID]],Product[#All],6,0)</f>
        <v>3844</v>
      </c>
      <c r="L1091" s="143">
        <f>Purchase[[#This Row],[Purchase Rate]]*Purchase[[#This Row],[Qty]]</f>
        <v>119164</v>
      </c>
      <c r="M1091" s="140">
        <v>0</v>
      </c>
      <c r="N1091" s="143">
        <v>0</v>
      </c>
      <c r="O1091" s="140">
        <v>0.18</v>
      </c>
      <c r="P1091" s="145">
        <f>(Purchase[[#This Row],[Gross Amount]]-Purchase[[#This Row],[Disct %]])*Purchase[[#This Row],[GST %]]</f>
        <v>21449.52</v>
      </c>
      <c r="Q1091" s="145">
        <f>Purchase[[#This Row],[Gross Amount]]-Purchase[[#This Row],[Disct Amnt]]+Purchase[[#This Row],[GST Amount]]</f>
        <v>140613.51999999999</v>
      </c>
      <c r="R1091" s="138" t="s">
        <v>1019</v>
      </c>
      <c r="S1091" s="41">
        <f>IF(Purchase[[#This Row],[Status]]="Cancelled",0,Purchase[[#This Row],[Qty]])</f>
        <v>31</v>
      </c>
      <c r="T1091" s="146">
        <f>IF(Purchase[[#This Row],[Status]]="Cancelled",0,Purchase[[#This Row],[Total Amount]])</f>
        <v>140613.51999999999</v>
      </c>
      <c r="U1091" s="146">
        <f>SUM(Purchase[Net Amount])</f>
        <v>814985438.68000126</v>
      </c>
    </row>
    <row r="1092" spans="1:21" ht="19.5" thickBot="1" x14ac:dyDescent="0.3">
      <c r="A1092" s="136" t="s">
        <v>2136</v>
      </c>
      <c r="B1092" s="137">
        <v>45712</v>
      </c>
      <c r="C1092" s="138" t="s">
        <v>607</v>
      </c>
      <c r="D1092" s="138" t="str">
        <f>VLOOKUP(Purchase[[#This Row],[Supplier ID]],Supplier[#All],2,0)</f>
        <v>Global Distributors</v>
      </c>
      <c r="E1092" s="138">
        <f>VLOOKUP(Purchase[[#This Row],[Supplier ID]],Supplier[#All],3,0)</f>
        <v>9689542490</v>
      </c>
      <c r="F1092" s="138" t="str">
        <f>VLOOKUP(Purchase[[#This Row],[Supplier ID]],Supplier[#All],4,0)</f>
        <v>Kanpur</v>
      </c>
      <c r="G1092" s="138" t="str">
        <f>VLOOKUP(Purchase[[#This Row],[Supplier ID]],Supplier[#All],5,0)</f>
        <v>UP</v>
      </c>
      <c r="H1092" s="138" t="str">
        <f>VLOOKUP(Purchase[[#This Row],[Supplier ID]],Supplier[#All],6,0)</f>
        <v>GST2154521T052</v>
      </c>
      <c r="I1092" s="138" t="s">
        <v>79</v>
      </c>
      <c r="J1092" s="139">
        <v>17</v>
      </c>
      <c r="K1092" s="143">
        <f>VLOOKUP(Purchase[[#This Row],[Product ID]],Product[#All],6,0)</f>
        <v>26386</v>
      </c>
      <c r="L1092" s="143">
        <f>Purchase[[#This Row],[Purchase Rate]]*Purchase[[#This Row],[Qty]]</f>
        <v>448562</v>
      </c>
      <c r="M1092" s="140">
        <v>0</v>
      </c>
      <c r="N1092" s="143">
        <v>0</v>
      </c>
      <c r="O1092" s="140">
        <v>0.18</v>
      </c>
      <c r="P1092" s="145">
        <f>(Purchase[[#This Row],[Gross Amount]]-Purchase[[#This Row],[Disct %]])*Purchase[[#This Row],[GST %]]</f>
        <v>80741.16</v>
      </c>
      <c r="Q1092" s="145">
        <f>Purchase[[#This Row],[Gross Amount]]-Purchase[[#This Row],[Disct Amnt]]+Purchase[[#This Row],[GST Amount]]</f>
        <v>529303.16</v>
      </c>
      <c r="R1092" s="138" t="s">
        <v>1019</v>
      </c>
      <c r="S1092" s="41">
        <f>IF(Purchase[[#This Row],[Status]]="Cancelled",0,Purchase[[#This Row],[Qty]])</f>
        <v>17</v>
      </c>
      <c r="T1092" s="146">
        <f>IF(Purchase[[#This Row],[Status]]="Cancelled",0,Purchase[[#This Row],[Total Amount]])</f>
        <v>529303.16</v>
      </c>
      <c r="U1092" s="146">
        <f>SUM(Purchase[Net Amount])</f>
        <v>814985438.68000126</v>
      </c>
    </row>
    <row r="1093" spans="1:21" ht="19.5" thickBot="1" x14ac:dyDescent="0.3">
      <c r="A1093" s="136" t="s">
        <v>2137</v>
      </c>
      <c r="B1093" s="137">
        <v>45712</v>
      </c>
      <c r="C1093" s="138" t="s">
        <v>567</v>
      </c>
      <c r="D1093" s="138" t="str">
        <f>VLOOKUP(Purchase[[#This Row],[Supplier ID]],Supplier[#All],2,0)</f>
        <v>National Distributors</v>
      </c>
      <c r="E1093" s="138">
        <f>VLOOKUP(Purchase[[#This Row],[Supplier ID]],Supplier[#All],3,0)</f>
        <v>9689542453</v>
      </c>
      <c r="F1093" s="138" t="str">
        <f>VLOOKUP(Purchase[[#This Row],[Supplier ID]],Supplier[#All],4,0)</f>
        <v>Korba</v>
      </c>
      <c r="G1093" s="138" t="str">
        <f>VLOOKUP(Purchase[[#This Row],[Supplier ID]],Supplier[#All],5,0)</f>
        <v>CG</v>
      </c>
      <c r="H1093" s="138" t="str">
        <f>VLOOKUP(Purchase[[#This Row],[Supplier ID]],Supplier[#All],6,0)</f>
        <v>GST2154521T015</v>
      </c>
      <c r="I1093" s="138" t="s">
        <v>26</v>
      </c>
      <c r="J1093" s="139">
        <v>32</v>
      </c>
      <c r="K1093" s="143">
        <f>VLOOKUP(Purchase[[#This Row],[Product ID]],Product[#All],6,0)</f>
        <v>18890</v>
      </c>
      <c r="L1093" s="143">
        <f>Purchase[[#This Row],[Purchase Rate]]*Purchase[[#This Row],[Qty]]</f>
        <v>604480</v>
      </c>
      <c r="M1093" s="140">
        <v>0</v>
      </c>
      <c r="N1093" s="143">
        <v>0</v>
      </c>
      <c r="O1093" s="140">
        <v>0.18</v>
      </c>
      <c r="P1093" s="145">
        <f>(Purchase[[#This Row],[Gross Amount]]-Purchase[[#This Row],[Disct %]])*Purchase[[#This Row],[GST %]]</f>
        <v>108806.39999999999</v>
      </c>
      <c r="Q1093" s="145">
        <f>Purchase[[#This Row],[Gross Amount]]-Purchase[[#This Row],[Disct Amnt]]+Purchase[[#This Row],[GST Amount]]</f>
        <v>713286.4</v>
      </c>
      <c r="R1093" s="138" t="s">
        <v>1019</v>
      </c>
      <c r="S1093" s="41">
        <f>IF(Purchase[[#This Row],[Status]]="Cancelled",0,Purchase[[#This Row],[Qty]])</f>
        <v>32</v>
      </c>
      <c r="T1093" s="146">
        <f>IF(Purchase[[#This Row],[Status]]="Cancelled",0,Purchase[[#This Row],[Total Amount]])</f>
        <v>713286.4</v>
      </c>
      <c r="U1093" s="146">
        <f>SUM(Purchase[Net Amount])</f>
        <v>814985438.68000126</v>
      </c>
    </row>
    <row r="1094" spans="1:21" ht="19.5" thickBot="1" x14ac:dyDescent="0.3">
      <c r="A1094" s="136" t="s">
        <v>2138</v>
      </c>
      <c r="B1094" s="137">
        <v>45712</v>
      </c>
      <c r="C1094" s="138" t="s">
        <v>586</v>
      </c>
      <c r="D1094" s="138" t="str">
        <f>VLOOKUP(Purchase[[#This Row],[Supplier ID]],Supplier[#All],2,0)</f>
        <v>Maa Traders</v>
      </c>
      <c r="E1094" s="138">
        <f>VLOOKUP(Purchase[[#This Row],[Supplier ID]],Supplier[#All],3,0)</f>
        <v>9689542470</v>
      </c>
      <c r="F1094" s="138" t="str">
        <f>VLOOKUP(Purchase[[#This Row],[Supplier ID]],Supplier[#All],4,0)</f>
        <v>Kanpur</v>
      </c>
      <c r="G1094" s="138" t="str">
        <f>VLOOKUP(Purchase[[#This Row],[Supplier ID]],Supplier[#All],5,0)</f>
        <v>UP</v>
      </c>
      <c r="H1094" s="138" t="str">
        <f>VLOOKUP(Purchase[[#This Row],[Supplier ID]],Supplier[#All],6,0)</f>
        <v>GST2154521T032</v>
      </c>
      <c r="I1094" s="138" t="s">
        <v>342</v>
      </c>
      <c r="J1094" s="139">
        <v>32</v>
      </c>
      <c r="K1094" s="143">
        <f>VLOOKUP(Purchase[[#This Row],[Product ID]],Product[#All],6,0)</f>
        <v>58271</v>
      </c>
      <c r="L1094" s="143">
        <f>Purchase[[#This Row],[Purchase Rate]]*Purchase[[#This Row],[Qty]]</f>
        <v>1864672</v>
      </c>
      <c r="M1094" s="140">
        <v>0</v>
      </c>
      <c r="N1094" s="143">
        <v>0</v>
      </c>
      <c r="O1094" s="140">
        <v>0.18</v>
      </c>
      <c r="P1094" s="145">
        <f>(Purchase[[#This Row],[Gross Amount]]-Purchase[[#This Row],[Disct %]])*Purchase[[#This Row],[GST %]]</f>
        <v>335640.95999999996</v>
      </c>
      <c r="Q1094" s="145">
        <f>Purchase[[#This Row],[Gross Amount]]-Purchase[[#This Row],[Disct Amnt]]+Purchase[[#This Row],[GST Amount]]</f>
        <v>2200312.96</v>
      </c>
      <c r="R1094" s="138" t="s">
        <v>1019</v>
      </c>
      <c r="S1094" s="41">
        <f>IF(Purchase[[#This Row],[Status]]="Cancelled",0,Purchase[[#This Row],[Qty]])</f>
        <v>32</v>
      </c>
      <c r="T1094" s="146">
        <f>IF(Purchase[[#This Row],[Status]]="Cancelled",0,Purchase[[#This Row],[Total Amount]])</f>
        <v>2200312.96</v>
      </c>
      <c r="U1094" s="146">
        <f>SUM(Purchase[Net Amount])</f>
        <v>814985438.68000126</v>
      </c>
    </row>
    <row r="1095" spans="1:21" ht="19.5" thickBot="1" x14ac:dyDescent="0.3">
      <c r="A1095" s="136" t="s">
        <v>2139</v>
      </c>
      <c r="B1095" s="137">
        <v>45712</v>
      </c>
      <c r="C1095" s="138" t="s">
        <v>587</v>
      </c>
      <c r="D1095" s="138" t="str">
        <f>VLOOKUP(Purchase[[#This Row],[Supplier ID]],Supplier[#All],2,0)</f>
        <v>maa distributors</v>
      </c>
      <c r="E1095" s="138">
        <f>VLOOKUP(Purchase[[#This Row],[Supplier ID]],Supplier[#All],3,0)</f>
        <v>9689542479</v>
      </c>
      <c r="F1095" s="138" t="str">
        <f>VLOOKUP(Purchase[[#This Row],[Supplier ID]],Supplier[#All],4,0)</f>
        <v>Indore</v>
      </c>
      <c r="G1095" s="138" t="str">
        <f>VLOOKUP(Purchase[[#This Row],[Supplier ID]],Supplier[#All],5,0)</f>
        <v>MP</v>
      </c>
      <c r="H1095" s="138" t="str">
        <f>VLOOKUP(Purchase[[#This Row],[Supplier ID]],Supplier[#All],6,0)</f>
        <v>GST2154521T033</v>
      </c>
      <c r="I1095" s="138" t="s">
        <v>7</v>
      </c>
      <c r="J1095" s="139">
        <v>9</v>
      </c>
      <c r="K1095" s="143">
        <f>VLOOKUP(Purchase[[#This Row],[Product ID]],Product[#All],6,0)</f>
        <v>27080</v>
      </c>
      <c r="L1095" s="143">
        <f>Purchase[[#This Row],[Purchase Rate]]*Purchase[[#This Row],[Qty]]</f>
        <v>243720</v>
      </c>
      <c r="M1095" s="140">
        <v>0</v>
      </c>
      <c r="N1095" s="143">
        <v>0</v>
      </c>
      <c r="O1095" s="140">
        <v>0.18</v>
      </c>
      <c r="P1095" s="145">
        <f>(Purchase[[#This Row],[Gross Amount]]-Purchase[[#This Row],[Disct %]])*Purchase[[#This Row],[GST %]]</f>
        <v>43869.599999999999</v>
      </c>
      <c r="Q1095" s="145">
        <f>Purchase[[#This Row],[Gross Amount]]-Purchase[[#This Row],[Disct Amnt]]+Purchase[[#This Row],[GST Amount]]</f>
        <v>287589.59999999998</v>
      </c>
      <c r="R1095" s="138" t="s">
        <v>1019</v>
      </c>
      <c r="S1095" s="41">
        <f>IF(Purchase[[#This Row],[Status]]="Cancelled",0,Purchase[[#This Row],[Qty]])</f>
        <v>9</v>
      </c>
      <c r="T1095" s="146">
        <f>IF(Purchase[[#This Row],[Status]]="Cancelled",0,Purchase[[#This Row],[Total Amount]])</f>
        <v>287589.59999999998</v>
      </c>
      <c r="U1095" s="146">
        <f>SUM(Purchase[Net Amount])</f>
        <v>814985438.68000126</v>
      </c>
    </row>
    <row r="1096" spans="1:21" ht="19.5" thickBot="1" x14ac:dyDescent="0.3">
      <c r="A1096" s="136" t="s">
        <v>2140</v>
      </c>
      <c r="B1096" s="137">
        <v>45712</v>
      </c>
      <c r="C1096" s="138" t="s">
        <v>571</v>
      </c>
      <c r="D1096" s="138" t="str">
        <f>VLOOKUP(Purchase[[#This Row],[Supplier ID]],Supplier[#All],2,0)</f>
        <v>Tech Suppliers</v>
      </c>
      <c r="E1096" s="138">
        <f>VLOOKUP(Purchase[[#This Row],[Supplier ID]],Supplier[#All],3,0)</f>
        <v>9689542457</v>
      </c>
      <c r="F1096" s="138" t="str">
        <f>VLOOKUP(Purchase[[#This Row],[Supplier ID]],Supplier[#All],4,0)</f>
        <v>Korba</v>
      </c>
      <c r="G1096" s="138" t="str">
        <f>VLOOKUP(Purchase[[#This Row],[Supplier ID]],Supplier[#All],5,0)</f>
        <v>CG</v>
      </c>
      <c r="H1096" s="138" t="str">
        <f>VLOOKUP(Purchase[[#This Row],[Supplier ID]],Supplier[#All],6,0)</f>
        <v>GST2154521T019</v>
      </c>
      <c r="I1096" s="138" t="s">
        <v>519</v>
      </c>
      <c r="J1096" s="139">
        <v>3</v>
      </c>
      <c r="K1096" s="143">
        <f>VLOOKUP(Purchase[[#This Row],[Product ID]],Product[#All],6,0)</f>
        <v>7430</v>
      </c>
      <c r="L1096" s="143">
        <f>Purchase[[#This Row],[Purchase Rate]]*Purchase[[#This Row],[Qty]]</f>
        <v>22290</v>
      </c>
      <c r="M1096" s="140">
        <v>0</v>
      </c>
      <c r="N1096" s="143">
        <v>0</v>
      </c>
      <c r="O1096" s="140">
        <v>0.18</v>
      </c>
      <c r="P1096" s="145">
        <f>(Purchase[[#This Row],[Gross Amount]]-Purchase[[#This Row],[Disct %]])*Purchase[[#This Row],[GST %]]</f>
        <v>4012.2</v>
      </c>
      <c r="Q1096" s="145">
        <f>Purchase[[#This Row],[Gross Amount]]-Purchase[[#This Row],[Disct Amnt]]+Purchase[[#This Row],[GST Amount]]</f>
        <v>26302.2</v>
      </c>
      <c r="R1096" s="138" t="s">
        <v>1019</v>
      </c>
      <c r="S1096" s="41">
        <f>IF(Purchase[[#This Row],[Status]]="Cancelled",0,Purchase[[#This Row],[Qty]])</f>
        <v>3</v>
      </c>
      <c r="T1096" s="146">
        <f>IF(Purchase[[#This Row],[Status]]="Cancelled",0,Purchase[[#This Row],[Total Amount]])</f>
        <v>26302.2</v>
      </c>
      <c r="U1096" s="146">
        <f>SUM(Purchase[Net Amount])</f>
        <v>814985438.68000126</v>
      </c>
    </row>
    <row r="1097" spans="1:21" ht="19.5" thickBot="1" x14ac:dyDescent="0.3">
      <c r="A1097" s="136" t="s">
        <v>2141</v>
      </c>
      <c r="B1097" s="137">
        <v>45712</v>
      </c>
      <c r="C1097" s="138" t="s">
        <v>585</v>
      </c>
      <c r="D1097" s="138" t="str">
        <f>VLOOKUP(Purchase[[#This Row],[Supplier ID]],Supplier[#All],2,0)</f>
        <v>Tech Computers</v>
      </c>
      <c r="E1097" s="138">
        <f>VLOOKUP(Purchase[[#This Row],[Supplier ID]],Supplier[#All],3,0)</f>
        <v>9689542469</v>
      </c>
      <c r="F1097" s="138" t="str">
        <f>VLOOKUP(Purchase[[#This Row],[Supplier ID]],Supplier[#All],4,0)</f>
        <v>Korba</v>
      </c>
      <c r="G1097" s="138" t="str">
        <f>VLOOKUP(Purchase[[#This Row],[Supplier ID]],Supplier[#All],5,0)</f>
        <v>CG</v>
      </c>
      <c r="H1097" s="138" t="str">
        <f>VLOOKUP(Purchase[[#This Row],[Supplier ID]],Supplier[#All],6,0)</f>
        <v>GST2154521T031</v>
      </c>
      <c r="I1097" s="138" t="s">
        <v>505</v>
      </c>
      <c r="J1097" s="139">
        <v>16</v>
      </c>
      <c r="K1097" s="143">
        <f>VLOOKUP(Purchase[[#This Row],[Product ID]],Product[#All],6,0)</f>
        <v>10762</v>
      </c>
      <c r="L1097" s="143">
        <f>Purchase[[#This Row],[Purchase Rate]]*Purchase[[#This Row],[Qty]]</f>
        <v>172192</v>
      </c>
      <c r="M1097" s="140">
        <v>0</v>
      </c>
      <c r="N1097" s="143">
        <v>0</v>
      </c>
      <c r="O1097" s="140">
        <v>0.18</v>
      </c>
      <c r="P1097" s="145">
        <f>(Purchase[[#This Row],[Gross Amount]]-Purchase[[#This Row],[Disct %]])*Purchase[[#This Row],[GST %]]</f>
        <v>30994.559999999998</v>
      </c>
      <c r="Q1097" s="145">
        <f>Purchase[[#This Row],[Gross Amount]]-Purchase[[#This Row],[Disct Amnt]]+Purchase[[#This Row],[GST Amount]]</f>
        <v>203186.56</v>
      </c>
      <c r="R1097" s="138" t="s">
        <v>1040</v>
      </c>
      <c r="S1097" s="41">
        <f>IF(Purchase[[#This Row],[Status]]="Cancelled",0,Purchase[[#This Row],[Qty]])</f>
        <v>0</v>
      </c>
      <c r="T1097" s="146">
        <f>IF(Purchase[[#This Row],[Status]]="Cancelled",0,Purchase[[#This Row],[Total Amount]])</f>
        <v>0</v>
      </c>
      <c r="U1097" s="146">
        <f>SUM(Purchase[Net Amount])</f>
        <v>814985438.68000126</v>
      </c>
    </row>
    <row r="1098" spans="1:21" ht="19.5" thickBot="1" x14ac:dyDescent="0.3">
      <c r="A1098" s="136" t="s">
        <v>2142</v>
      </c>
      <c r="B1098" s="137">
        <v>45712</v>
      </c>
      <c r="C1098" s="138" t="s">
        <v>611</v>
      </c>
      <c r="D1098" s="138" t="str">
        <f>VLOOKUP(Purchase[[#This Row],[Supplier ID]],Supplier[#All],2,0)</f>
        <v>National Distributors</v>
      </c>
      <c r="E1098" s="138">
        <f>VLOOKUP(Purchase[[#This Row],[Supplier ID]],Supplier[#All],3,0)</f>
        <v>9689542494</v>
      </c>
      <c r="F1098" s="138" t="str">
        <f>VLOOKUP(Purchase[[#This Row],[Supplier ID]],Supplier[#All],4,0)</f>
        <v>Korba</v>
      </c>
      <c r="G1098" s="138" t="str">
        <f>VLOOKUP(Purchase[[#This Row],[Supplier ID]],Supplier[#All],5,0)</f>
        <v>CG</v>
      </c>
      <c r="H1098" s="138" t="str">
        <f>VLOOKUP(Purchase[[#This Row],[Supplier ID]],Supplier[#All],6,0)</f>
        <v>GST2154521T056</v>
      </c>
      <c r="I1098" s="138" t="s">
        <v>164</v>
      </c>
      <c r="J1098" s="139">
        <v>13</v>
      </c>
      <c r="K1098" s="143">
        <f>VLOOKUP(Purchase[[#This Row],[Product ID]],Product[#All],6,0)</f>
        <v>2596</v>
      </c>
      <c r="L1098" s="143">
        <f>Purchase[[#This Row],[Purchase Rate]]*Purchase[[#This Row],[Qty]]</f>
        <v>33748</v>
      </c>
      <c r="M1098" s="140">
        <v>0</v>
      </c>
      <c r="N1098" s="143">
        <v>0</v>
      </c>
      <c r="O1098" s="140">
        <v>0.18</v>
      </c>
      <c r="P1098" s="145">
        <f>(Purchase[[#This Row],[Gross Amount]]-Purchase[[#This Row],[Disct %]])*Purchase[[#This Row],[GST %]]</f>
        <v>6074.6399999999994</v>
      </c>
      <c r="Q1098" s="145">
        <f>Purchase[[#This Row],[Gross Amount]]-Purchase[[#This Row],[Disct Amnt]]+Purchase[[#This Row],[GST Amount]]</f>
        <v>39822.639999999999</v>
      </c>
      <c r="R1098" s="138" t="s">
        <v>1019</v>
      </c>
      <c r="S1098" s="41">
        <f>IF(Purchase[[#This Row],[Status]]="Cancelled",0,Purchase[[#This Row],[Qty]])</f>
        <v>13</v>
      </c>
      <c r="T1098" s="146">
        <f>IF(Purchase[[#This Row],[Status]]="Cancelled",0,Purchase[[#This Row],[Total Amount]])</f>
        <v>39822.639999999999</v>
      </c>
      <c r="U1098" s="146">
        <f>SUM(Purchase[Net Amount])</f>
        <v>814985438.68000126</v>
      </c>
    </row>
    <row r="1099" spans="1:21" ht="19.5" thickBot="1" x14ac:dyDescent="0.3">
      <c r="A1099" s="136" t="s">
        <v>2143</v>
      </c>
      <c r="B1099" s="137">
        <v>45712</v>
      </c>
      <c r="C1099" s="138" t="s">
        <v>610</v>
      </c>
      <c r="D1099" s="138" t="str">
        <f>VLOOKUP(Purchase[[#This Row],[Supplier ID]],Supplier[#All],2,0)</f>
        <v>Shree Electronics</v>
      </c>
      <c r="E1099" s="138">
        <f>VLOOKUP(Purchase[[#This Row],[Supplier ID]],Supplier[#All],3,0)</f>
        <v>9689542493</v>
      </c>
      <c r="F1099" s="138" t="str">
        <f>VLOOKUP(Purchase[[#This Row],[Supplier ID]],Supplier[#All],4,0)</f>
        <v>Kanpur</v>
      </c>
      <c r="G1099" s="138" t="str">
        <f>VLOOKUP(Purchase[[#This Row],[Supplier ID]],Supplier[#All],5,0)</f>
        <v>UP</v>
      </c>
      <c r="H1099" s="138" t="str">
        <f>VLOOKUP(Purchase[[#This Row],[Supplier ID]],Supplier[#All],6,0)</f>
        <v>GST2154521T055</v>
      </c>
      <c r="I1099" s="138" t="s">
        <v>484</v>
      </c>
      <c r="J1099" s="139">
        <v>17</v>
      </c>
      <c r="K1099" s="143">
        <f>VLOOKUP(Purchase[[#This Row],[Product ID]],Product[#All],6,0)</f>
        <v>53726</v>
      </c>
      <c r="L1099" s="143">
        <f>Purchase[[#This Row],[Purchase Rate]]*Purchase[[#This Row],[Qty]]</f>
        <v>913342</v>
      </c>
      <c r="M1099" s="140">
        <v>0</v>
      </c>
      <c r="N1099" s="143">
        <v>0</v>
      </c>
      <c r="O1099" s="140">
        <v>0.18</v>
      </c>
      <c r="P1099" s="145">
        <f>(Purchase[[#This Row],[Gross Amount]]-Purchase[[#This Row],[Disct %]])*Purchase[[#This Row],[GST %]]</f>
        <v>164401.56</v>
      </c>
      <c r="Q1099" s="145">
        <f>Purchase[[#This Row],[Gross Amount]]-Purchase[[#This Row],[Disct Amnt]]+Purchase[[#This Row],[GST Amount]]</f>
        <v>1077743.56</v>
      </c>
      <c r="R1099" s="138" t="s">
        <v>1019</v>
      </c>
      <c r="S1099" s="41">
        <f>IF(Purchase[[#This Row],[Status]]="Cancelled",0,Purchase[[#This Row],[Qty]])</f>
        <v>17</v>
      </c>
      <c r="T1099" s="146">
        <f>IF(Purchase[[#This Row],[Status]]="Cancelled",0,Purchase[[#This Row],[Total Amount]])</f>
        <v>1077743.56</v>
      </c>
      <c r="U1099" s="146">
        <f>SUM(Purchase[Net Amount])</f>
        <v>814985438.68000126</v>
      </c>
    </row>
    <row r="1100" spans="1:21" ht="19.5" thickBot="1" x14ac:dyDescent="0.3">
      <c r="A1100" s="136" t="s">
        <v>2144</v>
      </c>
      <c r="B1100" s="137">
        <v>45712</v>
      </c>
      <c r="C1100" s="138" t="s">
        <v>607</v>
      </c>
      <c r="D1100" s="138" t="str">
        <f>VLOOKUP(Purchase[[#This Row],[Supplier ID]],Supplier[#All],2,0)</f>
        <v>Global Distributors</v>
      </c>
      <c r="E1100" s="138">
        <f>VLOOKUP(Purchase[[#This Row],[Supplier ID]],Supplier[#All],3,0)</f>
        <v>9689542490</v>
      </c>
      <c r="F1100" s="138" t="str">
        <f>VLOOKUP(Purchase[[#This Row],[Supplier ID]],Supplier[#All],4,0)</f>
        <v>Kanpur</v>
      </c>
      <c r="G1100" s="138" t="str">
        <f>VLOOKUP(Purchase[[#This Row],[Supplier ID]],Supplier[#All],5,0)</f>
        <v>UP</v>
      </c>
      <c r="H1100" s="138" t="str">
        <f>VLOOKUP(Purchase[[#This Row],[Supplier ID]],Supplier[#All],6,0)</f>
        <v>GST2154521T052</v>
      </c>
      <c r="I1100" s="138" t="s">
        <v>197</v>
      </c>
      <c r="J1100" s="139">
        <v>6</v>
      </c>
      <c r="K1100" s="143">
        <f>VLOOKUP(Purchase[[#This Row],[Product ID]],Product[#All],6,0)</f>
        <v>12461</v>
      </c>
      <c r="L1100" s="143">
        <f>Purchase[[#This Row],[Purchase Rate]]*Purchase[[#This Row],[Qty]]</f>
        <v>74766</v>
      </c>
      <c r="M1100" s="140">
        <v>0</v>
      </c>
      <c r="N1100" s="143">
        <v>0</v>
      </c>
      <c r="O1100" s="140">
        <v>0.18</v>
      </c>
      <c r="P1100" s="145">
        <f>(Purchase[[#This Row],[Gross Amount]]-Purchase[[#This Row],[Disct %]])*Purchase[[#This Row],[GST %]]</f>
        <v>13457.88</v>
      </c>
      <c r="Q1100" s="145">
        <f>Purchase[[#This Row],[Gross Amount]]-Purchase[[#This Row],[Disct Amnt]]+Purchase[[#This Row],[GST Amount]]</f>
        <v>88223.88</v>
      </c>
      <c r="R1100" s="138" t="s">
        <v>1019</v>
      </c>
      <c r="S1100" s="41">
        <f>IF(Purchase[[#This Row],[Status]]="Cancelled",0,Purchase[[#This Row],[Qty]])</f>
        <v>6</v>
      </c>
      <c r="T1100" s="146">
        <f>IF(Purchase[[#This Row],[Status]]="Cancelled",0,Purchase[[#This Row],[Total Amount]])</f>
        <v>88223.88</v>
      </c>
      <c r="U1100" s="146">
        <f>SUM(Purchase[Net Amount])</f>
        <v>814985438.68000126</v>
      </c>
    </row>
    <row r="1101" spans="1:21" ht="19.5" thickBot="1" x14ac:dyDescent="0.3">
      <c r="A1101" s="136" t="s">
        <v>2145</v>
      </c>
      <c r="B1101" s="137">
        <v>45712</v>
      </c>
      <c r="C1101" s="138" t="s">
        <v>599</v>
      </c>
      <c r="D1101" s="138" t="str">
        <f>VLOOKUP(Purchase[[#This Row],[Supplier ID]],Supplier[#All],2,0)</f>
        <v>National Distributors</v>
      </c>
      <c r="E1101" s="138">
        <f>VLOOKUP(Purchase[[#This Row],[Supplier ID]],Supplier[#All],3,0)</f>
        <v>9689542482</v>
      </c>
      <c r="F1101" s="138" t="str">
        <f>VLOOKUP(Purchase[[#This Row],[Supplier ID]],Supplier[#All],4,0)</f>
        <v>Kanpur</v>
      </c>
      <c r="G1101" s="138" t="str">
        <f>VLOOKUP(Purchase[[#This Row],[Supplier ID]],Supplier[#All],5,0)</f>
        <v>UP</v>
      </c>
      <c r="H1101" s="138" t="str">
        <f>VLOOKUP(Purchase[[#This Row],[Supplier ID]],Supplier[#All],6,0)</f>
        <v>GST2154521T044</v>
      </c>
      <c r="I1101" s="138" t="s">
        <v>323</v>
      </c>
      <c r="J1101" s="139">
        <v>33</v>
      </c>
      <c r="K1101" s="143">
        <f>VLOOKUP(Purchase[[#This Row],[Product ID]],Product[#All],6,0)</f>
        <v>36082</v>
      </c>
      <c r="L1101" s="143">
        <f>Purchase[[#This Row],[Purchase Rate]]*Purchase[[#This Row],[Qty]]</f>
        <v>1190706</v>
      </c>
      <c r="M1101" s="140">
        <v>0</v>
      </c>
      <c r="N1101" s="143">
        <v>0</v>
      </c>
      <c r="O1101" s="140">
        <v>0.18</v>
      </c>
      <c r="P1101" s="145">
        <f>(Purchase[[#This Row],[Gross Amount]]-Purchase[[#This Row],[Disct %]])*Purchase[[#This Row],[GST %]]</f>
        <v>214327.08</v>
      </c>
      <c r="Q1101" s="145">
        <f>Purchase[[#This Row],[Gross Amount]]-Purchase[[#This Row],[Disct Amnt]]+Purchase[[#This Row],[GST Amount]]</f>
        <v>1405033.08</v>
      </c>
      <c r="R1101" s="138" t="s">
        <v>1019</v>
      </c>
      <c r="S1101" s="41">
        <f>IF(Purchase[[#This Row],[Status]]="Cancelled",0,Purchase[[#This Row],[Qty]])</f>
        <v>33</v>
      </c>
      <c r="T1101" s="146">
        <f>IF(Purchase[[#This Row],[Status]]="Cancelled",0,Purchase[[#This Row],[Total Amount]])</f>
        <v>1405033.08</v>
      </c>
      <c r="U1101" s="146">
        <f>SUM(Purchase[Net Amount])</f>
        <v>814985438.68000126</v>
      </c>
    </row>
    <row r="1102" spans="1:21" ht="19.5" thickBot="1" x14ac:dyDescent="0.3">
      <c r="A1102" s="136" t="s">
        <v>2146</v>
      </c>
      <c r="B1102" s="137">
        <v>45712</v>
      </c>
      <c r="C1102" s="138" t="s">
        <v>615</v>
      </c>
      <c r="D1102" s="138" t="str">
        <f>VLOOKUP(Purchase[[#This Row],[Supplier ID]],Supplier[#All],2,0)</f>
        <v>NATIONAL ELECTRONICS</v>
      </c>
      <c r="E1102" s="138">
        <f>VLOOKUP(Purchase[[#This Row],[Supplier ID]],Supplier[#All],3,0)</f>
        <v>9689542498</v>
      </c>
      <c r="F1102" s="138" t="str">
        <f>VLOOKUP(Purchase[[#This Row],[Supplier ID]],Supplier[#All],4,0)</f>
        <v>Kanpur</v>
      </c>
      <c r="G1102" s="138" t="str">
        <f>VLOOKUP(Purchase[[#This Row],[Supplier ID]],Supplier[#All],5,0)</f>
        <v>UP</v>
      </c>
      <c r="H1102" s="138" t="str">
        <f>VLOOKUP(Purchase[[#This Row],[Supplier ID]],Supplier[#All],6,0)</f>
        <v>GST2154521T060</v>
      </c>
      <c r="I1102" s="138" t="s">
        <v>458</v>
      </c>
      <c r="J1102" s="139">
        <v>21</v>
      </c>
      <c r="K1102" s="143">
        <f>VLOOKUP(Purchase[[#This Row],[Product ID]],Product[#All],6,0)</f>
        <v>5242</v>
      </c>
      <c r="L1102" s="143">
        <f>Purchase[[#This Row],[Purchase Rate]]*Purchase[[#This Row],[Qty]]</f>
        <v>110082</v>
      </c>
      <c r="M1102" s="140">
        <v>0</v>
      </c>
      <c r="N1102" s="143">
        <v>0</v>
      </c>
      <c r="O1102" s="140">
        <v>0.18</v>
      </c>
      <c r="P1102" s="145">
        <f>(Purchase[[#This Row],[Gross Amount]]-Purchase[[#This Row],[Disct %]])*Purchase[[#This Row],[GST %]]</f>
        <v>19814.759999999998</v>
      </c>
      <c r="Q1102" s="145">
        <f>Purchase[[#This Row],[Gross Amount]]-Purchase[[#This Row],[Disct Amnt]]+Purchase[[#This Row],[GST Amount]]</f>
        <v>129896.76</v>
      </c>
      <c r="R1102" s="138" t="s">
        <v>1019</v>
      </c>
      <c r="S1102" s="41">
        <f>IF(Purchase[[#This Row],[Status]]="Cancelled",0,Purchase[[#This Row],[Qty]])</f>
        <v>21</v>
      </c>
      <c r="T1102" s="146">
        <f>IF(Purchase[[#This Row],[Status]]="Cancelled",0,Purchase[[#This Row],[Total Amount]])</f>
        <v>129896.76</v>
      </c>
      <c r="U1102" s="146">
        <f>SUM(Purchase[Net Amount])</f>
        <v>814985438.68000126</v>
      </c>
    </row>
    <row r="1103" spans="1:21" ht="19.5" thickBot="1" x14ac:dyDescent="0.3">
      <c r="A1103" s="136" t="s">
        <v>2147</v>
      </c>
      <c r="B1103" s="137">
        <v>45712</v>
      </c>
      <c r="C1103" s="138" t="s">
        <v>609</v>
      </c>
      <c r="D1103" s="138" t="str">
        <f>VLOOKUP(Purchase[[#This Row],[Supplier ID]],Supplier[#All],2,0)</f>
        <v>Star Suppliers</v>
      </c>
      <c r="E1103" s="138">
        <f>VLOOKUP(Purchase[[#This Row],[Supplier ID]],Supplier[#All],3,0)</f>
        <v>9689542492</v>
      </c>
      <c r="F1103" s="138" t="str">
        <f>VLOOKUP(Purchase[[#This Row],[Supplier ID]],Supplier[#All],4,0)</f>
        <v>Kanpur</v>
      </c>
      <c r="G1103" s="138" t="str">
        <f>VLOOKUP(Purchase[[#This Row],[Supplier ID]],Supplier[#All],5,0)</f>
        <v>UP</v>
      </c>
      <c r="H1103" s="138" t="str">
        <f>VLOOKUP(Purchase[[#This Row],[Supplier ID]],Supplier[#All],6,0)</f>
        <v>GST2154521T054</v>
      </c>
      <c r="I1103" s="138" t="s">
        <v>26</v>
      </c>
      <c r="J1103" s="139">
        <v>23</v>
      </c>
      <c r="K1103" s="143">
        <f>VLOOKUP(Purchase[[#This Row],[Product ID]],Product[#All],6,0)</f>
        <v>18890</v>
      </c>
      <c r="L1103" s="143">
        <f>Purchase[[#This Row],[Purchase Rate]]*Purchase[[#This Row],[Qty]]</f>
        <v>434470</v>
      </c>
      <c r="M1103" s="140">
        <v>0</v>
      </c>
      <c r="N1103" s="143">
        <v>0</v>
      </c>
      <c r="O1103" s="140">
        <v>0.18</v>
      </c>
      <c r="P1103" s="145">
        <f>(Purchase[[#This Row],[Gross Amount]]-Purchase[[#This Row],[Disct %]])*Purchase[[#This Row],[GST %]]</f>
        <v>78204.599999999991</v>
      </c>
      <c r="Q1103" s="145">
        <f>Purchase[[#This Row],[Gross Amount]]-Purchase[[#This Row],[Disct Amnt]]+Purchase[[#This Row],[GST Amount]]</f>
        <v>512674.6</v>
      </c>
      <c r="R1103" s="138" t="s">
        <v>1019</v>
      </c>
      <c r="S1103" s="41">
        <f>IF(Purchase[[#This Row],[Status]]="Cancelled",0,Purchase[[#This Row],[Qty]])</f>
        <v>23</v>
      </c>
      <c r="T1103" s="146">
        <f>IF(Purchase[[#This Row],[Status]]="Cancelled",0,Purchase[[#This Row],[Total Amount]])</f>
        <v>512674.6</v>
      </c>
      <c r="U1103" s="146">
        <f>SUM(Purchase[Net Amount])</f>
        <v>814985438.68000126</v>
      </c>
    </row>
    <row r="1104" spans="1:21" ht="19.5" thickBot="1" x14ac:dyDescent="0.3">
      <c r="A1104" s="136" t="s">
        <v>2148</v>
      </c>
      <c r="B1104" s="137">
        <v>45712</v>
      </c>
      <c r="C1104" s="138" t="s">
        <v>589</v>
      </c>
      <c r="D1104" s="138" t="str">
        <f>VLOOKUP(Purchase[[#This Row],[Supplier ID]],Supplier[#All],2,0)</f>
        <v>Maa Computers</v>
      </c>
      <c r="E1104" s="138">
        <f>VLOOKUP(Purchase[[#This Row],[Supplier ID]],Supplier[#All],3,0)</f>
        <v>9689542473</v>
      </c>
      <c r="F1104" s="138" t="str">
        <f>VLOOKUP(Purchase[[#This Row],[Supplier ID]],Supplier[#All],4,0)</f>
        <v>Kanpur</v>
      </c>
      <c r="G1104" s="138" t="str">
        <f>VLOOKUP(Purchase[[#This Row],[Supplier ID]],Supplier[#All],5,0)</f>
        <v>UP</v>
      </c>
      <c r="H1104" s="138" t="str">
        <f>VLOOKUP(Purchase[[#This Row],[Supplier ID]],Supplier[#All],6,0)</f>
        <v>GST2154521T035</v>
      </c>
      <c r="I1104" s="138" t="s">
        <v>381</v>
      </c>
      <c r="J1104" s="139">
        <v>32</v>
      </c>
      <c r="K1104" s="143">
        <f>VLOOKUP(Purchase[[#This Row],[Product ID]],Product[#All],6,0)</f>
        <v>829</v>
      </c>
      <c r="L1104" s="143">
        <f>Purchase[[#This Row],[Purchase Rate]]*Purchase[[#This Row],[Qty]]</f>
        <v>26528</v>
      </c>
      <c r="M1104" s="140">
        <v>0</v>
      </c>
      <c r="N1104" s="143">
        <v>0</v>
      </c>
      <c r="O1104" s="140">
        <v>0.18</v>
      </c>
      <c r="P1104" s="145">
        <f>(Purchase[[#This Row],[Gross Amount]]-Purchase[[#This Row],[Disct %]])*Purchase[[#This Row],[GST %]]</f>
        <v>4775.04</v>
      </c>
      <c r="Q1104" s="145">
        <f>Purchase[[#This Row],[Gross Amount]]-Purchase[[#This Row],[Disct Amnt]]+Purchase[[#This Row],[GST Amount]]</f>
        <v>31303.040000000001</v>
      </c>
      <c r="R1104" s="138" t="s">
        <v>1019</v>
      </c>
      <c r="S1104" s="41">
        <f>IF(Purchase[[#This Row],[Status]]="Cancelled",0,Purchase[[#This Row],[Qty]])</f>
        <v>32</v>
      </c>
      <c r="T1104" s="146">
        <f>IF(Purchase[[#This Row],[Status]]="Cancelled",0,Purchase[[#This Row],[Total Amount]])</f>
        <v>31303.040000000001</v>
      </c>
      <c r="U1104" s="146">
        <f>SUM(Purchase[Net Amount])</f>
        <v>814985438.68000126</v>
      </c>
    </row>
    <row r="1105" spans="1:21" ht="19.5" thickBot="1" x14ac:dyDescent="0.3">
      <c r="A1105" s="136" t="s">
        <v>2149</v>
      </c>
      <c r="B1105" s="137">
        <v>45712</v>
      </c>
      <c r="C1105" s="138" t="s">
        <v>575</v>
      </c>
      <c r="D1105" s="138" t="str">
        <f>VLOOKUP(Purchase[[#This Row],[Supplier ID]],Supplier[#All],2,0)</f>
        <v>Global Computers</v>
      </c>
      <c r="E1105" s="138">
        <f>VLOOKUP(Purchase[[#This Row],[Supplier ID]],Supplier[#All],3,0)</f>
        <v>9689542459</v>
      </c>
      <c r="F1105" s="138" t="str">
        <f>VLOOKUP(Purchase[[#This Row],[Supplier ID]],Supplier[#All],4,0)</f>
        <v>Indore</v>
      </c>
      <c r="G1105" s="138" t="str">
        <f>VLOOKUP(Purchase[[#This Row],[Supplier ID]],Supplier[#All],5,0)</f>
        <v>MP</v>
      </c>
      <c r="H1105" s="138" t="str">
        <f>VLOOKUP(Purchase[[#This Row],[Supplier ID]],Supplier[#All],6,0)</f>
        <v>GST2154521T021</v>
      </c>
      <c r="I1105" s="138" t="s">
        <v>181</v>
      </c>
      <c r="J1105" s="139">
        <v>39</v>
      </c>
      <c r="K1105" s="143">
        <f>VLOOKUP(Purchase[[#This Row],[Product ID]],Product[#All],6,0)</f>
        <v>4751</v>
      </c>
      <c r="L1105" s="143">
        <f>Purchase[[#This Row],[Purchase Rate]]*Purchase[[#This Row],[Qty]]</f>
        <v>185289</v>
      </c>
      <c r="M1105" s="140">
        <v>0</v>
      </c>
      <c r="N1105" s="143">
        <v>0</v>
      </c>
      <c r="O1105" s="140">
        <v>0.18</v>
      </c>
      <c r="P1105" s="145">
        <f>(Purchase[[#This Row],[Gross Amount]]-Purchase[[#This Row],[Disct %]])*Purchase[[#This Row],[GST %]]</f>
        <v>33352.019999999997</v>
      </c>
      <c r="Q1105" s="145">
        <f>Purchase[[#This Row],[Gross Amount]]-Purchase[[#This Row],[Disct Amnt]]+Purchase[[#This Row],[GST Amount]]</f>
        <v>218641.02</v>
      </c>
      <c r="R1105" s="138" t="s">
        <v>1019</v>
      </c>
      <c r="S1105" s="41">
        <f>IF(Purchase[[#This Row],[Status]]="Cancelled",0,Purchase[[#This Row],[Qty]])</f>
        <v>39</v>
      </c>
      <c r="T1105" s="146">
        <f>IF(Purchase[[#This Row],[Status]]="Cancelled",0,Purchase[[#This Row],[Total Amount]])</f>
        <v>218641.02</v>
      </c>
      <c r="U1105" s="146">
        <f>SUM(Purchase[Net Amount])</f>
        <v>814985438.68000126</v>
      </c>
    </row>
    <row r="1106" spans="1:21" ht="19.5" thickBot="1" x14ac:dyDescent="0.3">
      <c r="A1106" s="136" t="s">
        <v>2150</v>
      </c>
      <c r="B1106" s="137">
        <v>45712</v>
      </c>
      <c r="C1106" s="138" t="s">
        <v>573</v>
      </c>
      <c r="D1106" s="138" t="str">
        <f>VLOOKUP(Purchase[[#This Row],[Supplier ID]],Supplier[#All],2,0)</f>
        <v>Shree Traders</v>
      </c>
      <c r="E1106" s="138">
        <f>VLOOKUP(Purchase[[#This Row],[Supplier ID]],Supplier[#All],3,0)</f>
        <v>9689542458</v>
      </c>
      <c r="F1106" s="138" t="str">
        <f>VLOOKUP(Purchase[[#This Row],[Supplier ID]],Supplier[#All],4,0)</f>
        <v>Korba</v>
      </c>
      <c r="G1106" s="138" t="str">
        <f>VLOOKUP(Purchase[[#This Row],[Supplier ID]],Supplier[#All],5,0)</f>
        <v>CG</v>
      </c>
      <c r="H1106" s="138" t="str">
        <f>VLOOKUP(Purchase[[#This Row],[Supplier ID]],Supplier[#All],6,0)</f>
        <v>GST2154521T020</v>
      </c>
      <c r="I1106" s="138" t="s">
        <v>424</v>
      </c>
      <c r="J1106" s="139">
        <v>11</v>
      </c>
      <c r="K1106" s="143">
        <f>VLOOKUP(Purchase[[#This Row],[Product ID]],Product[#All],6,0)</f>
        <v>598</v>
      </c>
      <c r="L1106" s="143">
        <f>Purchase[[#This Row],[Purchase Rate]]*Purchase[[#This Row],[Qty]]</f>
        <v>6578</v>
      </c>
      <c r="M1106" s="140">
        <v>0</v>
      </c>
      <c r="N1106" s="143">
        <v>0</v>
      </c>
      <c r="O1106" s="140">
        <v>0.18</v>
      </c>
      <c r="P1106" s="145">
        <f>(Purchase[[#This Row],[Gross Amount]]-Purchase[[#This Row],[Disct %]])*Purchase[[#This Row],[GST %]]</f>
        <v>1184.04</v>
      </c>
      <c r="Q1106" s="145">
        <f>Purchase[[#This Row],[Gross Amount]]-Purchase[[#This Row],[Disct Amnt]]+Purchase[[#This Row],[GST Amount]]</f>
        <v>7762.04</v>
      </c>
      <c r="R1106" s="138" t="s">
        <v>1019</v>
      </c>
      <c r="S1106" s="41">
        <f>IF(Purchase[[#This Row],[Status]]="Cancelled",0,Purchase[[#This Row],[Qty]])</f>
        <v>11</v>
      </c>
      <c r="T1106" s="146">
        <f>IF(Purchase[[#This Row],[Status]]="Cancelled",0,Purchase[[#This Row],[Total Amount]])</f>
        <v>7762.04</v>
      </c>
      <c r="U1106" s="146">
        <f>SUM(Purchase[Net Amount])</f>
        <v>814985438.68000126</v>
      </c>
    </row>
    <row r="1107" spans="1:21" ht="19.5" thickBot="1" x14ac:dyDescent="0.3">
      <c r="A1107" s="136" t="s">
        <v>2151</v>
      </c>
      <c r="B1107" s="137">
        <v>45712</v>
      </c>
      <c r="C1107" s="138" t="s">
        <v>2152</v>
      </c>
      <c r="D1107" s="138" t="str">
        <f>VLOOKUP(Purchase[[#This Row],[Supplier ID]],Supplier[#All],2,0)</f>
        <v>Prime Electronics</v>
      </c>
      <c r="E1107" s="138">
        <f>VLOOKUP(Purchase[[#This Row],[Supplier ID]],Supplier[#All],3,0)</f>
        <v>9689542465</v>
      </c>
      <c r="F1107" s="138" t="str">
        <f>VLOOKUP(Purchase[[#This Row],[Supplier ID]],Supplier[#All],4,0)</f>
        <v>Korba</v>
      </c>
      <c r="G1107" s="138" t="str">
        <f>VLOOKUP(Purchase[[#This Row],[Supplier ID]],Supplier[#All],5,0)</f>
        <v>CG</v>
      </c>
      <c r="H1107" s="138" t="str">
        <f>VLOOKUP(Purchase[[#This Row],[Supplier ID]],Supplier[#All],6,0)</f>
        <v>GST2154521T027</v>
      </c>
      <c r="I1107" s="138" t="s">
        <v>43</v>
      </c>
      <c r="J1107" s="139">
        <v>3</v>
      </c>
      <c r="K1107" s="143">
        <f>VLOOKUP(Purchase[[#This Row],[Product ID]],Product[#All],6,0)</f>
        <v>8664</v>
      </c>
      <c r="L1107" s="143">
        <f>Purchase[[#This Row],[Purchase Rate]]*Purchase[[#This Row],[Qty]]</f>
        <v>25992</v>
      </c>
      <c r="M1107" s="140">
        <v>0</v>
      </c>
      <c r="N1107" s="143">
        <v>0</v>
      </c>
      <c r="O1107" s="140">
        <v>0.18</v>
      </c>
      <c r="P1107" s="145">
        <f>(Purchase[[#This Row],[Gross Amount]]-Purchase[[#This Row],[Disct %]])*Purchase[[#This Row],[GST %]]</f>
        <v>4678.5599999999995</v>
      </c>
      <c r="Q1107" s="145">
        <f>Purchase[[#This Row],[Gross Amount]]-Purchase[[#This Row],[Disct Amnt]]+Purchase[[#This Row],[GST Amount]]</f>
        <v>30670.559999999998</v>
      </c>
      <c r="R1107" s="138" t="s">
        <v>1019</v>
      </c>
      <c r="S1107" s="41">
        <f>IF(Purchase[[#This Row],[Status]]="Cancelled",0,Purchase[[#This Row],[Qty]])</f>
        <v>3</v>
      </c>
      <c r="T1107" s="146">
        <f>IF(Purchase[[#This Row],[Status]]="Cancelled",0,Purchase[[#This Row],[Total Amount]])</f>
        <v>30670.559999999998</v>
      </c>
      <c r="U1107" s="146">
        <f>SUM(Purchase[Net Amount])</f>
        <v>814985438.68000126</v>
      </c>
    </row>
    <row r="1108" spans="1:21" ht="19.5" thickBot="1" x14ac:dyDescent="0.3">
      <c r="A1108" s="136" t="s">
        <v>2153</v>
      </c>
      <c r="B1108" s="137">
        <v>45712</v>
      </c>
      <c r="C1108" s="138" t="s">
        <v>577</v>
      </c>
      <c r="D1108" s="138" t="str">
        <f>VLOOKUP(Purchase[[#This Row],[Supplier ID]],Supplier[#All],2,0)</f>
        <v>National Electronics</v>
      </c>
      <c r="E1108" s="138">
        <f>VLOOKUP(Purchase[[#This Row],[Supplier ID]],Supplier[#All],3,0)</f>
        <v>9689542469</v>
      </c>
      <c r="F1108" s="138" t="str">
        <f>VLOOKUP(Purchase[[#This Row],[Supplier ID]],Supplier[#All],4,0)</f>
        <v>Korba</v>
      </c>
      <c r="G1108" s="138" t="str">
        <f>VLOOKUP(Purchase[[#This Row],[Supplier ID]],Supplier[#All],5,0)</f>
        <v>CG</v>
      </c>
      <c r="H1108" s="138" t="str">
        <f>VLOOKUP(Purchase[[#This Row],[Supplier ID]],Supplier[#All],6,0)</f>
        <v>GST2154521T023</v>
      </c>
      <c r="I1108" s="138" t="s">
        <v>100</v>
      </c>
      <c r="J1108" s="139">
        <v>10</v>
      </c>
      <c r="K1108" s="143">
        <f>VLOOKUP(Purchase[[#This Row],[Product ID]],Product[#All],6,0)</f>
        <v>162</v>
      </c>
      <c r="L1108" s="143">
        <f>Purchase[[#This Row],[Purchase Rate]]*Purchase[[#This Row],[Qty]]</f>
        <v>1620</v>
      </c>
      <c r="M1108" s="140">
        <v>0</v>
      </c>
      <c r="N1108" s="143">
        <v>0</v>
      </c>
      <c r="O1108" s="140">
        <v>0.18</v>
      </c>
      <c r="P1108" s="145">
        <f>(Purchase[[#This Row],[Gross Amount]]-Purchase[[#This Row],[Disct %]])*Purchase[[#This Row],[GST %]]</f>
        <v>291.59999999999997</v>
      </c>
      <c r="Q1108" s="145">
        <f>Purchase[[#This Row],[Gross Amount]]-Purchase[[#This Row],[Disct Amnt]]+Purchase[[#This Row],[GST Amount]]</f>
        <v>1911.6</v>
      </c>
      <c r="R1108" s="138" t="s">
        <v>1019</v>
      </c>
      <c r="S1108" s="41">
        <f>IF(Purchase[[#This Row],[Status]]="Cancelled",0,Purchase[[#This Row],[Qty]])</f>
        <v>10</v>
      </c>
      <c r="T1108" s="146">
        <f>IF(Purchase[[#This Row],[Status]]="Cancelled",0,Purchase[[#This Row],[Total Amount]])</f>
        <v>1911.6</v>
      </c>
      <c r="U1108" s="146">
        <f>SUM(Purchase[Net Amount])</f>
        <v>814985438.68000126</v>
      </c>
    </row>
    <row r="1109" spans="1:21" ht="19.5" thickBot="1" x14ac:dyDescent="0.3">
      <c r="A1109" s="136" t="s">
        <v>2154</v>
      </c>
      <c r="B1109" s="137">
        <v>45712</v>
      </c>
      <c r="C1109" s="138" t="s">
        <v>606</v>
      </c>
      <c r="D1109" s="138" t="str">
        <f>VLOOKUP(Purchase[[#This Row],[Supplier ID]],Supplier[#All],2,0)</f>
        <v>Prime Traders</v>
      </c>
      <c r="E1109" s="138">
        <f>VLOOKUP(Purchase[[#This Row],[Supplier ID]],Supplier[#All],3,0)</f>
        <v>9689542489</v>
      </c>
      <c r="F1109" s="138" t="str">
        <f>VLOOKUP(Purchase[[#This Row],[Supplier ID]],Supplier[#All],4,0)</f>
        <v>Indore</v>
      </c>
      <c r="G1109" s="138" t="str">
        <f>VLOOKUP(Purchase[[#This Row],[Supplier ID]],Supplier[#All],5,0)</f>
        <v>MP</v>
      </c>
      <c r="H1109" s="138" t="str">
        <f>VLOOKUP(Purchase[[#This Row],[Supplier ID]],Supplier[#All],6,0)</f>
        <v>GST2154521T051</v>
      </c>
      <c r="I1109" s="138" t="s">
        <v>421</v>
      </c>
      <c r="J1109" s="139">
        <v>15</v>
      </c>
      <c r="K1109" s="143">
        <f>VLOOKUP(Purchase[[#This Row],[Product ID]],Product[#All],6,0)</f>
        <v>233</v>
      </c>
      <c r="L1109" s="143">
        <f>Purchase[[#This Row],[Purchase Rate]]*Purchase[[#This Row],[Qty]]</f>
        <v>3495</v>
      </c>
      <c r="M1109" s="140">
        <v>0</v>
      </c>
      <c r="N1109" s="143">
        <v>0</v>
      </c>
      <c r="O1109" s="140">
        <v>0.18</v>
      </c>
      <c r="P1109" s="145">
        <f>(Purchase[[#This Row],[Gross Amount]]-Purchase[[#This Row],[Disct %]])*Purchase[[#This Row],[GST %]]</f>
        <v>629.1</v>
      </c>
      <c r="Q1109" s="145">
        <f>Purchase[[#This Row],[Gross Amount]]-Purchase[[#This Row],[Disct Amnt]]+Purchase[[#This Row],[GST Amount]]</f>
        <v>4124.1000000000004</v>
      </c>
      <c r="R1109" s="138" t="s">
        <v>1019</v>
      </c>
      <c r="S1109" s="41">
        <f>IF(Purchase[[#This Row],[Status]]="Cancelled",0,Purchase[[#This Row],[Qty]])</f>
        <v>15</v>
      </c>
      <c r="T1109" s="146">
        <f>IF(Purchase[[#This Row],[Status]]="Cancelled",0,Purchase[[#This Row],[Total Amount]])</f>
        <v>4124.1000000000004</v>
      </c>
      <c r="U1109" s="146">
        <f>SUM(Purchase[Net Amount])</f>
        <v>814985438.68000126</v>
      </c>
    </row>
    <row r="1110" spans="1:21" ht="19.5" thickBot="1" x14ac:dyDescent="0.3">
      <c r="A1110" s="136" t="s">
        <v>2155</v>
      </c>
      <c r="B1110" s="137">
        <v>45712</v>
      </c>
      <c r="C1110" s="138" t="s">
        <v>608</v>
      </c>
      <c r="D1110" s="138" t="str">
        <f>VLOOKUP(Purchase[[#This Row],[Supplier ID]],Supplier[#All],2,0)</f>
        <v>Global Suppliers</v>
      </c>
      <c r="E1110" s="138">
        <f>VLOOKUP(Purchase[[#This Row],[Supplier ID]],Supplier[#All],3,0)</f>
        <v>9689542499</v>
      </c>
      <c r="F1110" s="138" t="str">
        <f>VLOOKUP(Purchase[[#This Row],[Supplier ID]],Supplier[#All],4,0)</f>
        <v>Korba</v>
      </c>
      <c r="G1110" s="138" t="str">
        <f>VLOOKUP(Purchase[[#This Row],[Supplier ID]],Supplier[#All],5,0)</f>
        <v>CG</v>
      </c>
      <c r="H1110" s="138" t="str">
        <f>VLOOKUP(Purchase[[#This Row],[Supplier ID]],Supplier[#All],6,0)</f>
        <v>GST2154521T053</v>
      </c>
      <c r="I1110" s="138" t="s">
        <v>191</v>
      </c>
      <c r="J1110" s="139">
        <v>31</v>
      </c>
      <c r="K1110" s="143">
        <f>VLOOKUP(Purchase[[#This Row],[Product ID]],Product[#All],6,0)</f>
        <v>1533</v>
      </c>
      <c r="L1110" s="143">
        <f>Purchase[[#This Row],[Purchase Rate]]*Purchase[[#This Row],[Qty]]</f>
        <v>47523</v>
      </c>
      <c r="M1110" s="140">
        <v>0</v>
      </c>
      <c r="N1110" s="143">
        <v>0</v>
      </c>
      <c r="O1110" s="140">
        <v>0.18</v>
      </c>
      <c r="P1110" s="145">
        <f>(Purchase[[#This Row],[Gross Amount]]-Purchase[[#This Row],[Disct %]])*Purchase[[#This Row],[GST %]]</f>
        <v>8554.14</v>
      </c>
      <c r="Q1110" s="145">
        <f>Purchase[[#This Row],[Gross Amount]]-Purchase[[#This Row],[Disct Amnt]]+Purchase[[#This Row],[GST Amount]]</f>
        <v>56077.14</v>
      </c>
      <c r="R1110" s="138" t="s">
        <v>1019</v>
      </c>
      <c r="S1110" s="41">
        <f>IF(Purchase[[#This Row],[Status]]="Cancelled",0,Purchase[[#This Row],[Qty]])</f>
        <v>31</v>
      </c>
      <c r="T1110" s="146">
        <f>IF(Purchase[[#This Row],[Status]]="Cancelled",0,Purchase[[#This Row],[Total Amount]])</f>
        <v>56077.14</v>
      </c>
      <c r="U1110" s="146">
        <f>SUM(Purchase[Net Amount])</f>
        <v>814985438.68000126</v>
      </c>
    </row>
    <row r="1111" spans="1:21" ht="19.5" thickBot="1" x14ac:dyDescent="0.3">
      <c r="A1111" s="136" t="s">
        <v>2156</v>
      </c>
      <c r="B1111" s="137">
        <v>45712</v>
      </c>
      <c r="C1111" s="138" t="s">
        <v>605</v>
      </c>
      <c r="D1111" s="138" t="str">
        <f>VLOOKUP(Purchase[[#This Row],[Supplier ID]],Supplier[#All],2,0)</f>
        <v>Star Traders</v>
      </c>
      <c r="E1111" s="138">
        <f>VLOOKUP(Purchase[[#This Row],[Supplier ID]],Supplier[#All],3,0)</f>
        <v>9689542488</v>
      </c>
      <c r="F1111" s="138" t="str">
        <f>VLOOKUP(Purchase[[#This Row],[Supplier ID]],Supplier[#All],4,0)</f>
        <v>Indore</v>
      </c>
      <c r="G1111" s="138" t="str">
        <f>VLOOKUP(Purchase[[#This Row],[Supplier ID]],Supplier[#All],5,0)</f>
        <v>MP</v>
      </c>
      <c r="H1111" s="138" t="str">
        <f>VLOOKUP(Purchase[[#This Row],[Supplier ID]],Supplier[#All],6,0)</f>
        <v>GST2154521T050</v>
      </c>
      <c r="I1111" s="138" t="s">
        <v>296</v>
      </c>
      <c r="J1111" s="139">
        <v>17</v>
      </c>
      <c r="K1111" s="143">
        <f>VLOOKUP(Purchase[[#This Row],[Product ID]],Product[#All],6,0)</f>
        <v>4747</v>
      </c>
      <c r="L1111" s="143">
        <f>Purchase[[#This Row],[Purchase Rate]]*Purchase[[#This Row],[Qty]]</f>
        <v>80699</v>
      </c>
      <c r="M1111" s="140">
        <v>0</v>
      </c>
      <c r="N1111" s="143">
        <v>0</v>
      </c>
      <c r="O1111" s="140">
        <v>0.18</v>
      </c>
      <c r="P1111" s="145">
        <f>(Purchase[[#This Row],[Gross Amount]]-Purchase[[#This Row],[Disct %]])*Purchase[[#This Row],[GST %]]</f>
        <v>14525.82</v>
      </c>
      <c r="Q1111" s="145">
        <f>Purchase[[#This Row],[Gross Amount]]-Purchase[[#This Row],[Disct Amnt]]+Purchase[[#This Row],[GST Amount]]</f>
        <v>95224.82</v>
      </c>
      <c r="R1111" s="138" t="s">
        <v>1019</v>
      </c>
      <c r="S1111" s="41">
        <f>IF(Purchase[[#This Row],[Status]]="Cancelled",0,Purchase[[#This Row],[Qty]])</f>
        <v>17</v>
      </c>
      <c r="T1111" s="146">
        <f>IF(Purchase[[#This Row],[Status]]="Cancelled",0,Purchase[[#This Row],[Total Amount]])</f>
        <v>95224.82</v>
      </c>
      <c r="U1111" s="146">
        <f>SUM(Purchase[Net Amount])</f>
        <v>814985438.68000126</v>
      </c>
    </row>
    <row r="1112" spans="1:21" ht="19.5" thickBot="1" x14ac:dyDescent="0.3">
      <c r="A1112" s="136" t="s">
        <v>2157</v>
      </c>
      <c r="B1112" s="137">
        <v>45712</v>
      </c>
      <c r="C1112" s="138" t="s">
        <v>567</v>
      </c>
      <c r="D1112" s="138" t="str">
        <f>VLOOKUP(Purchase[[#This Row],[Supplier ID]],Supplier[#All],2,0)</f>
        <v>National Distributors</v>
      </c>
      <c r="E1112" s="138">
        <f>VLOOKUP(Purchase[[#This Row],[Supplier ID]],Supplier[#All],3,0)</f>
        <v>9689542453</v>
      </c>
      <c r="F1112" s="138" t="str">
        <f>VLOOKUP(Purchase[[#This Row],[Supplier ID]],Supplier[#All],4,0)</f>
        <v>Korba</v>
      </c>
      <c r="G1112" s="138" t="str">
        <f>VLOOKUP(Purchase[[#This Row],[Supplier ID]],Supplier[#All],5,0)</f>
        <v>CG</v>
      </c>
      <c r="H1112" s="138" t="str">
        <f>VLOOKUP(Purchase[[#This Row],[Supplier ID]],Supplier[#All],6,0)</f>
        <v>GST2154521T015</v>
      </c>
      <c r="I1112" s="138" t="s">
        <v>132</v>
      </c>
      <c r="J1112" s="139">
        <v>30</v>
      </c>
      <c r="K1112" s="143">
        <f>VLOOKUP(Purchase[[#This Row],[Product ID]],Product[#All],6,0)</f>
        <v>6397</v>
      </c>
      <c r="L1112" s="143">
        <f>Purchase[[#This Row],[Purchase Rate]]*Purchase[[#This Row],[Qty]]</f>
        <v>191910</v>
      </c>
      <c r="M1112" s="140">
        <v>0</v>
      </c>
      <c r="N1112" s="143">
        <v>0</v>
      </c>
      <c r="O1112" s="140">
        <v>0.18</v>
      </c>
      <c r="P1112" s="145">
        <f>(Purchase[[#This Row],[Gross Amount]]-Purchase[[#This Row],[Disct %]])*Purchase[[#This Row],[GST %]]</f>
        <v>34543.799999999996</v>
      </c>
      <c r="Q1112" s="145">
        <f>Purchase[[#This Row],[Gross Amount]]-Purchase[[#This Row],[Disct Amnt]]+Purchase[[#This Row],[GST Amount]]</f>
        <v>226453.8</v>
      </c>
      <c r="R1112" s="138" t="s">
        <v>1040</v>
      </c>
      <c r="S1112" s="41">
        <f>IF(Purchase[[#This Row],[Status]]="Cancelled",0,Purchase[[#This Row],[Qty]])</f>
        <v>0</v>
      </c>
      <c r="T1112" s="146">
        <f>IF(Purchase[[#This Row],[Status]]="Cancelled",0,Purchase[[#This Row],[Total Amount]])</f>
        <v>0</v>
      </c>
      <c r="U1112" s="146">
        <f>SUM(Purchase[Net Amount])</f>
        <v>814985438.68000126</v>
      </c>
    </row>
    <row r="1113" spans="1:21" ht="19.5" thickBot="1" x14ac:dyDescent="0.3">
      <c r="A1113" s="136" t="s">
        <v>2158</v>
      </c>
      <c r="B1113" s="137">
        <v>45712</v>
      </c>
      <c r="C1113" s="138" t="s">
        <v>608</v>
      </c>
      <c r="D1113" s="138" t="str">
        <f>VLOOKUP(Purchase[[#This Row],[Supplier ID]],Supplier[#All],2,0)</f>
        <v>Global Suppliers</v>
      </c>
      <c r="E1113" s="138">
        <f>VLOOKUP(Purchase[[#This Row],[Supplier ID]],Supplier[#All],3,0)</f>
        <v>9689542499</v>
      </c>
      <c r="F1113" s="138" t="str">
        <f>VLOOKUP(Purchase[[#This Row],[Supplier ID]],Supplier[#All],4,0)</f>
        <v>Korba</v>
      </c>
      <c r="G1113" s="138" t="str">
        <f>VLOOKUP(Purchase[[#This Row],[Supplier ID]],Supplier[#All],5,0)</f>
        <v>CG</v>
      </c>
      <c r="H1113" s="138" t="str">
        <f>VLOOKUP(Purchase[[#This Row],[Supplier ID]],Supplier[#All],6,0)</f>
        <v>GST2154521T053</v>
      </c>
      <c r="I1113" s="138" t="s">
        <v>241</v>
      </c>
      <c r="J1113" s="139">
        <v>16</v>
      </c>
      <c r="K1113" s="143">
        <f>VLOOKUP(Purchase[[#This Row],[Product ID]],Product[#All],6,0)</f>
        <v>537</v>
      </c>
      <c r="L1113" s="143">
        <f>Purchase[[#This Row],[Purchase Rate]]*Purchase[[#This Row],[Qty]]</f>
        <v>8592</v>
      </c>
      <c r="M1113" s="140">
        <v>0</v>
      </c>
      <c r="N1113" s="143">
        <v>0</v>
      </c>
      <c r="O1113" s="140">
        <v>0.18</v>
      </c>
      <c r="P1113" s="145">
        <f>(Purchase[[#This Row],[Gross Amount]]-Purchase[[#This Row],[Disct %]])*Purchase[[#This Row],[GST %]]</f>
        <v>1546.56</v>
      </c>
      <c r="Q1113" s="145">
        <f>Purchase[[#This Row],[Gross Amount]]-Purchase[[#This Row],[Disct Amnt]]+Purchase[[#This Row],[GST Amount]]</f>
        <v>10138.56</v>
      </c>
      <c r="R1113" s="138" t="s">
        <v>1019</v>
      </c>
      <c r="S1113" s="41">
        <f>IF(Purchase[[#This Row],[Status]]="Cancelled",0,Purchase[[#This Row],[Qty]])</f>
        <v>16</v>
      </c>
      <c r="T1113" s="146">
        <f>IF(Purchase[[#This Row],[Status]]="Cancelled",0,Purchase[[#This Row],[Total Amount]])</f>
        <v>10138.56</v>
      </c>
      <c r="U1113" s="146">
        <f>SUM(Purchase[Net Amount])</f>
        <v>814985438.68000126</v>
      </c>
    </row>
    <row r="1114" spans="1:21" ht="19.5" thickBot="1" x14ac:dyDescent="0.3">
      <c r="A1114" s="136" t="s">
        <v>2159</v>
      </c>
      <c r="B1114" s="137">
        <v>45712</v>
      </c>
      <c r="C1114" s="138" t="s">
        <v>576</v>
      </c>
      <c r="D1114" s="138" t="str">
        <f>VLOOKUP(Purchase[[#This Row],[Supplier ID]],Supplier[#All],2,0)</f>
        <v>Maa Distributors</v>
      </c>
      <c r="E1114" s="138">
        <f>VLOOKUP(Purchase[[#This Row],[Supplier ID]],Supplier[#All],3,0)</f>
        <v>9689542460</v>
      </c>
      <c r="F1114" s="138" t="str">
        <f>VLOOKUP(Purchase[[#This Row],[Supplier ID]],Supplier[#All],4,0)</f>
        <v>Korba</v>
      </c>
      <c r="G1114" s="138" t="str">
        <f>VLOOKUP(Purchase[[#This Row],[Supplier ID]],Supplier[#All],5,0)</f>
        <v>CG</v>
      </c>
      <c r="H1114" s="138" t="str">
        <f>VLOOKUP(Purchase[[#This Row],[Supplier ID]],Supplier[#All],6,0)</f>
        <v>GST2154521T022</v>
      </c>
      <c r="I1114" s="138" t="s">
        <v>517</v>
      </c>
      <c r="J1114" s="139">
        <v>19</v>
      </c>
      <c r="K1114" s="143">
        <f>VLOOKUP(Purchase[[#This Row],[Product ID]],Product[#All],6,0)</f>
        <v>70864</v>
      </c>
      <c r="L1114" s="143">
        <f>Purchase[[#This Row],[Purchase Rate]]*Purchase[[#This Row],[Qty]]</f>
        <v>1346416</v>
      </c>
      <c r="M1114" s="140">
        <v>0</v>
      </c>
      <c r="N1114" s="143">
        <v>0</v>
      </c>
      <c r="O1114" s="140">
        <v>0.18</v>
      </c>
      <c r="P1114" s="145">
        <f>(Purchase[[#This Row],[Gross Amount]]-Purchase[[#This Row],[Disct %]])*Purchase[[#This Row],[GST %]]</f>
        <v>242354.88</v>
      </c>
      <c r="Q1114" s="145">
        <f>Purchase[[#This Row],[Gross Amount]]-Purchase[[#This Row],[Disct Amnt]]+Purchase[[#This Row],[GST Amount]]</f>
        <v>1588770.88</v>
      </c>
      <c r="R1114" s="138" t="s">
        <v>1019</v>
      </c>
      <c r="S1114" s="41">
        <f>IF(Purchase[[#This Row],[Status]]="Cancelled",0,Purchase[[#This Row],[Qty]])</f>
        <v>19</v>
      </c>
      <c r="T1114" s="146">
        <f>IF(Purchase[[#This Row],[Status]]="Cancelled",0,Purchase[[#This Row],[Total Amount]])</f>
        <v>1588770.88</v>
      </c>
      <c r="U1114" s="146">
        <f>SUM(Purchase[Net Amount])</f>
        <v>814985438.68000126</v>
      </c>
    </row>
    <row r="1115" spans="1:21" ht="19.5" thickBot="1" x14ac:dyDescent="0.3">
      <c r="A1115" s="136" t="s">
        <v>2160</v>
      </c>
      <c r="B1115" s="137">
        <v>45712</v>
      </c>
      <c r="C1115" s="138" t="s">
        <v>584</v>
      </c>
      <c r="D1115" s="138" t="str">
        <f>VLOOKUP(Purchase[[#This Row],[Supplier ID]],Supplier[#All],2,0)</f>
        <v>Prime Computers</v>
      </c>
      <c r="E1115" s="138">
        <f>VLOOKUP(Purchase[[#This Row],[Supplier ID]],Supplier[#All],3,0)</f>
        <v>9689542468</v>
      </c>
      <c r="F1115" s="138" t="str">
        <f>VLOOKUP(Purchase[[#This Row],[Supplier ID]],Supplier[#All],4,0)</f>
        <v>Kanpur</v>
      </c>
      <c r="G1115" s="138" t="str">
        <f>VLOOKUP(Purchase[[#This Row],[Supplier ID]],Supplier[#All],5,0)</f>
        <v>UP</v>
      </c>
      <c r="H1115" s="138" t="str">
        <f>VLOOKUP(Purchase[[#This Row],[Supplier ID]],Supplier[#All],6,0)</f>
        <v>GST2154521T030</v>
      </c>
      <c r="I1115" s="138" t="s">
        <v>85</v>
      </c>
      <c r="J1115" s="139">
        <v>5</v>
      </c>
      <c r="K1115" s="143">
        <f>VLOOKUP(Purchase[[#This Row],[Product ID]],Product[#All],6,0)</f>
        <v>7130</v>
      </c>
      <c r="L1115" s="143">
        <f>Purchase[[#This Row],[Purchase Rate]]*Purchase[[#This Row],[Qty]]</f>
        <v>35650</v>
      </c>
      <c r="M1115" s="140">
        <v>0</v>
      </c>
      <c r="N1115" s="143">
        <v>0</v>
      </c>
      <c r="O1115" s="140">
        <v>0.18</v>
      </c>
      <c r="P1115" s="145">
        <f>(Purchase[[#This Row],[Gross Amount]]-Purchase[[#This Row],[Disct %]])*Purchase[[#This Row],[GST %]]</f>
        <v>6417</v>
      </c>
      <c r="Q1115" s="145">
        <f>Purchase[[#This Row],[Gross Amount]]-Purchase[[#This Row],[Disct Amnt]]+Purchase[[#This Row],[GST Amount]]</f>
        <v>42067</v>
      </c>
      <c r="R1115" s="138" t="s">
        <v>1019</v>
      </c>
      <c r="S1115" s="41">
        <f>IF(Purchase[[#This Row],[Status]]="Cancelled",0,Purchase[[#This Row],[Qty]])</f>
        <v>5</v>
      </c>
      <c r="T1115" s="146">
        <f>IF(Purchase[[#This Row],[Status]]="Cancelled",0,Purchase[[#This Row],[Total Amount]])</f>
        <v>42067</v>
      </c>
      <c r="U1115" s="146">
        <f>SUM(Purchase[Net Amount])</f>
        <v>814985438.68000126</v>
      </c>
    </row>
    <row r="1116" spans="1:21" ht="19.5" thickBot="1" x14ac:dyDescent="0.3">
      <c r="A1116" s="136" t="s">
        <v>2161</v>
      </c>
      <c r="B1116" s="137">
        <v>45712</v>
      </c>
      <c r="C1116" s="138" t="s">
        <v>567</v>
      </c>
      <c r="D1116" s="138" t="str">
        <f>VLOOKUP(Purchase[[#This Row],[Supplier ID]],Supplier[#All],2,0)</f>
        <v>National Distributors</v>
      </c>
      <c r="E1116" s="138">
        <f>VLOOKUP(Purchase[[#This Row],[Supplier ID]],Supplier[#All],3,0)</f>
        <v>9689542453</v>
      </c>
      <c r="F1116" s="138" t="str">
        <f>VLOOKUP(Purchase[[#This Row],[Supplier ID]],Supplier[#All],4,0)</f>
        <v>Korba</v>
      </c>
      <c r="G1116" s="138" t="str">
        <f>VLOOKUP(Purchase[[#This Row],[Supplier ID]],Supplier[#All],5,0)</f>
        <v>CG</v>
      </c>
      <c r="H1116" s="138" t="str">
        <f>VLOOKUP(Purchase[[#This Row],[Supplier ID]],Supplier[#All],6,0)</f>
        <v>GST2154521T015</v>
      </c>
      <c r="I1116" s="138" t="s">
        <v>543</v>
      </c>
      <c r="J1116" s="139">
        <v>30</v>
      </c>
      <c r="K1116" s="143">
        <f>VLOOKUP(Purchase[[#This Row],[Product ID]],Product[#All],6,0)</f>
        <v>2136</v>
      </c>
      <c r="L1116" s="143">
        <f>Purchase[[#This Row],[Purchase Rate]]*Purchase[[#This Row],[Qty]]</f>
        <v>64080</v>
      </c>
      <c r="M1116" s="140">
        <v>0</v>
      </c>
      <c r="N1116" s="143">
        <v>0</v>
      </c>
      <c r="O1116" s="140">
        <v>0.18</v>
      </c>
      <c r="P1116" s="145">
        <f>(Purchase[[#This Row],[Gross Amount]]-Purchase[[#This Row],[Disct %]])*Purchase[[#This Row],[GST %]]</f>
        <v>11534.4</v>
      </c>
      <c r="Q1116" s="145">
        <f>Purchase[[#This Row],[Gross Amount]]-Purchase[[#This Row],[Disct Amnt]]+Purchase[[#This Row],[GST Amount]]</f>
        <v>75614.399999999994</v>
      </c>
      <c r="R1116" s="138" t="s">
        <v>1019</v>
      </c>
      <c r="S1116" s="41">
        <f>IF(Purchase[[#This Row],[Status]]="Cancelled",0,Purchase[[#This Row],[Qty]])</f>
        <v>30</v>
      </c>
      <c r="T1116" s="146">
        <f>IF(Purchase[[#This Row],[Status]]="Cancelled",0,Purchase[[#This Row],[Total Amount]])</f>
        <v>75614.399999999994</v>
      </c>
      <c r="U1116" s="146">
        <f>SUM(Purchase[Net Amount])</f>
        <v>814985438.68000126</v>
      </c>
    </row>
    <row r="1117" spans="1:21" ht="19.5" thickBot="1" x14ac:dyDescent="0.3">
      <c r="A1117" s="136" t="s">
        <v>2162</v>
      </c>
      <c r="B1117" s="137">
        <v>45712</v>
      </c>
      <c r="C1117" s="138" t="s">
        <v>614</v>
      </c>
      <c r="D1117" s="138" t="str">
        <f>VLOOKUP(Purchase[[#This Row],[Supplier ID]],Supplier[#All],2,0)</f>
        <v>National Electronics</v>
      </c>
      <c r="E1117" s="138">
        <f>VLOOKUP(Purchase[[#This Row],[Supplier ID]],Supplier[#All],3,0)</f>
        <v>9689542497</v>
      </c>
      <c r="F1117" s="138" t="str">
        <f>VLOOKUP(Purchase[[#This Row],[Supplier ID]],Supplier[#All],4,0)</f>
        <v>Kanpur</v>
      </c>
      <c r="G1117" s="138" t="str">
        <f>VLOOKUP(Purchase[[#This Row],[Supplier ID]],Supplier[#All],5,0)</f>
        <v>UP</v>
      </c>
      <c r="H1117" s="138" t="str">
        <f>VLOOKUP(Purchase[[#This Row],[Supplier ID]],Supplier[#All],6,0)</f>
        <v>GST2154521T059</v>
      </c>
      <c r="I1117" s="138" t="s">
        <v>68</v>
      </c>
      <c r="J1117" s="139">
        <v>40</v>
      </c>
      <c r="K1117" s="143">
        <f>VLOOKUP(Purchase[[#This Row],[Product ID]],Product[#All],6,0)</f>
        <v>17186</v>
      </c>
      <c r="L1117" s="143">
        <f>Purchase[[#This Row],[Purchase Rate]]*Purchase[[#This Row],[Qty]]</f>
        <v>687440</v>
      </c>
      <c r="M1117" s="140">
        <v>0</v>
      </c>
      <c r="N1117" s="143">
        <v>0</v>
      </c>
      <c r="O1117" s="140">
        <v>0.18</v>
      </c>
      <c r="P1117" s="145">
        <f>(Purchase[[#This Row],[Gross Amount]]-Purchase[[#This Row],[Disct %]])*Purchase[[#This Row],[GST %]]</f>
        <v>123739.2</v>
      </c>
      <c r="Q1117" s="145">
        <f>Purchase[[#This Row],[Gross Amount]]-Purchase[[#This Row],[Disct Amnt]]+Purchase[[#This Row],[GST Amount]]</f>
        <v>811179.2</v>
      </c>
      <c r="R1117" s="138" t="s">
        <v>1019</v>
      </c>
      <c r="S1117" s="41">
        <f>IF(Purchase[[#This Row],[Status]]="Cancelled",0,Purchase[[#This Row],[Qty]])</f>
        <v>40</v>
      </c>
      <c r="T1117" s="146">
        <f>IF(Purchase[[#This Row],[Status]]="Cancelled",0,Purchase[[#This Row],[Total Amount]])</f>
        <v>811179.2</v>
      </c>
      <c r="U1117" s="146">
        <f>SUM(Purchase[Net Amount])</f>
        <v>814985438.68000126</v>
      </c>
    </row>
    <row r="1118" spans="1:21" ht="19.5" thickBot="1" x14ac:dyDescent="0.3">
      <c r="A1118" s="136" t="s">
        <v>2163</v>
      </c>
      <c r="B1118" s="137">
        <v>45713</v>
      </c>
      <c r="C1118" s="138" t="s">
        <v>596</v>
      </c>
      <c r="D1118" s="138" t="str">
        <f>VLOOKUP(Purchase[[#This Row],[Supplier ID]],Supplier[#All],2,0)</f>
        <v>star traders</v>
      </c>
      <c r="E1118" s="138">
        <f>VLOOKUP(Purchase[[#This Row],[Supplier ID]],Supplier[#All],3,0)</f>
        <v>9689542479</v>
      </c>
      <c r="F1118" s="138" t="str">
        <f>VLOOKUP(Purchase[[#This Row],[Supplier ID]],Supplier[#All],4,0)</f>
        <v>Korba</v>
      </c>
      <c r="G1118" s="138" t="str">
        <f>VLOOKUP(Purchase[[#This Row],[Supplier ID]],Supplier[#All],5,0)</f>
        <v>CG</v>
      </c>
      <c r="H1118" s="138" t="str">
        <f>VLOOKUP(Purchase[[#This Row],[Supplier ID]],Supplier[#All],6,0)</f>
        <v>GST2154521T041</v>
      </c>
      <c r="I1118" s="138" t="s">
        <v>402</v>
      </c>
      <c r="J1118" s="139">
        <v>24</v>
      </c>
      <c r="K1118" s="143">
        <f>VLOOKUP(Purchase[[#This Row],[Product ID]],Product[#All],6,0)</f>
        <v>2925</v>
      </c>
      <c r="L1118" s="143">
        <f>Purchase[[#This Row],[Purchase Rate]]*Purchase[[#This Row],[Qty]]</f>
        <v>70200</v>
      </c>
      <c r="M1118" s="140">
        <v>0</v>
      </c>
      <c r="N1118" s="143">
        <v>0</v>
      </c>
      <c r="O1118" s="140">
        <v>0.18</v>
      </c>
      <c r="P1118" s="145">
        <f>(Purchase[[#This Row],[Gross Amount]]-Purchase[[#This Row],[Disct %]])*Purchase[[#This Row],[GST %]]</f>
        <v>12636</v>
      </c>
      <c r="Q1118" s="145">
        <f>Purchase[[#This Row],[Gross Amount]]-Purchase[[#This Row],[Disct Amnt]]+Purchase[[#This Row],[GST Amount]]</f>
        <v>82836</v>
      </c>
      <c r="R1118" s="138" t="s">
        <v>1019</v>
      </c>
      <c r="S1118" s="41">
        <f>IF(Purchase[[#This Row],[Status]]="Cancelled",0,Purchase[[#This Row],[Qty]])</f>
        <v>24</v>
      </c>
      <c r="T1118" s="146">
        <f>IF(Purchase[[#This Row],[Status]]="Cancelled",0,Purchase[[#This Row],[Total Amount]])</f>
        <v>82836</v>
      </c>
      <c r="U1118" s="146">
        <f>SUM(Purchase[Net Amount])</f>
        <v>814985438.68000126</v>
      </c>
    </row>
    <row r="1119" spans="1:21" ht="19.5" thickBot="1" x14ac:dyDescent="0.3">
      <c r="A1119" s="136" t="s">
        <v>2164</v>
      </c>
      <c r="B1119" s="137">
        <v>45713</v>
      </c>
      <c r="C1119" s="138" t="s">
        <v>614</v>
      </c>
      <c r="D1119" s="138" t="str">
        <f>VLOOKUP(Purchase[[#This Row],[Supplier ID]],Supplier[#All],2,0)</f>
        <v>National Electronics</v>
      </c>
      <c r="E1119" s="138">
        <f>VLOOKUP(Purchase[[#This Row],[Supplier ID]],Supplier[#All],3,0)</f>
        <v>9689542497</v>
      </c>
      <c r="F1119" s="138" t="str">
        <f>VLOOKUP(Purchase[[#This Row],[Supplier ID]],Supplier[#All],4,0)</f>
        <v>Kanpur</v>
      </c>
      <c r="G1119" s="138" t="str">
        <f>VLOOKUP(Purchase[[#This Row],[Supplier ID]],Supplier[#All],5,0)</f>
        <v>UP</v>
      </c>
      <c r="H1119" s="138" t="str">
        <f>VLOOKUP(Purchase[[#This Row],[Supplier ID]],Supplier[#All],6,0)</f>
        <v>GST2154521T059</v>
      </c>
      <c r="I1119" s="138" t="s">
        <v>110</v>
      </c>
      <c r="J1119" s="139">
        <v>35</v>
      </c>
      <c r="K1119" s="143">
        <f>VLOOKUP(Purchase[[#This Row],[Product ID]],Product[#All],6,0)</f>
        <v>59006</v>
      </c>
      <c r="L1119" s="143">
        <f>Purchase[[#This Row],[Purchase Rate]]*Purchase[[#This Row],[Qty]]</f>
        <v>2065210</v>
      </c>
      <c r="M1119" s="140">
        <v>0</v>
      </c>
      <c r="N1119" s="143">
        <v>0</v>
      </c>
      <c r="O1119" s="140">
        <v>0.18</v>
      </c>
      <c r="P1119" s="145">
        <f>(Purchase[[#This Row],[Gross Amount]]-Purchase[[#This Row],[Disct %]])*Purchase[[#This Row],[GST %]]</f>
        <v>371737.8</v>
      </c>
      <c r="Q1119" s="145">
        <f>Purchase[[#This Row],[Gross Amount]]-Purchase[[#This Row],[Disct Amnt]]+Purchase[[#This Row],[GST Amount]]</f>
        <v>2436947.7999999998</v>
      </c>
      <c r="R1119" s="138" t="s">
        <v>1019</v>
      </c>
      <c r="S1119" s="41">
        <f>IF(Purchase[[#This Row],[Status]]="Cancelled",0,Purchase[[#This Row],[Qty]])</f>
        <v>35</v>
      </c>
      <c r="T1119" s="146">
        <f>IF(Purchase[[#This Row],[Status]]="Cancelled",0,Purchase[[#This Row],[Total Amount]])</f>
        <v>2436947.7999999998</v>
      </c>
      <c r="U1119" s="146">
        <f>SUM(Purchase[Net Amount])</f>
        <v>814985438.68000126</v>
      </c>
    </row>
    <row r="1120" spans="1:21" ht="19.5" thickBot="1" x14ac:dyDescent="0.3">
      <c r="A1120" s="136" t="s">
        <v>2165</v>
      </c>
      <c r="B1120" s="137">
        <v>45713</v>
      </c>
      <c r="C1120" s="138" t="s">
        <v>585</v>
      </c>
      <c r="D1120" s="138" t="str">
        <f>VLOOKUP(Purchase[[#This Row],[Supplier ID]],Supplier[#All],2,0)</f>
        <v>Tech Computers</v>
      </c>
      <c r="E1120" s="138">
        <f>VLOOKUP(Purchase[[#This Row],[Supplier ID]],Supplier[#All],3,0)</f>
        <v>9689542469</v>
      </c>
      <c r="F1120" s="138" t="str">
        <f>VLOOKUP(Purchase[[#This Row],[Supplier ID]],Supplier[#All],4,0)</f>
        <v>Korba</v>
      </c>
      <c r="G1120" s="138" t="str">
        <f>VLOOKUP(Purchase[[#This Row],[Supplier ID]],Supplier[#All],5,0)</f>
        <v>CG</v>
      </c>
      <c r="H1120" s="138" t="str">
        <f>VLOOKUP(Purchase[[#This Row],[Supplier ID]],Supplier[#All],6,0)</f>
        <v>GST2154521T031</v>
      </c>
      <c r="I1120" s="138" t="s">
        <v>461</v>
      </c>
      <c r="J1120" s="139">
        <v>18</v>
      </c>
      <c r="K1120" s="143">
        <f>VLOOKUP(Purchase[[#This Row],[Product ID]],Product[#All],6,0)</f>
        <v>2113</v>
      </c>
      <c r="L1120" s="143">
        <f>Purchase[[#This Row],[Purchase Rate]]*Purchase[[#This Row],[Qty]]</f>
        <v>38034</v>
      </c>
      <c r="M1120" s="140">
        <v>0</v>
      </c>
      <c r="N1120" s="143">
        <v>0</v>
      </c>
      <c r="O1120" s="140">
        <v>0.18</v>
      </c>
      <c r="P1120" s="145">
        <f>(Purchase[[#This Row],[Gross Amount]]-Purchase[[#This Row],[Disct %]])*Purchase[[#This Row],[GST %]]</f>
        <v>6846.12</v>
      </c>
      <c r="Q1120" s="145">
        <f>Purchase[[#This Row],[Gross Amount]]-Purchase[[#This Row],[Disct Amnt]]+Purchase[[#This Row],[GST Amount]]</f>
        <v>44880.12</v>
      </c>
      <c r="R1120" s="138" t="s">
        <v>1019</v>
      </c>
      <c r="S1120" s="41">
        <f>IF(Purchase[[#This Row],[Status]]="Cancelled",0,Purchase[[#This Row],[Qty]])</f>
        <v>18</v>
      </c>
      <c r="T1120" s="146">
        <f>IF(Purchase[[#This Row],[Status]]="Cancelled",0,Purchase[[#This Row],[Total Amount]])</f>
        <v>44880.12</v>
      </c>
      <c r="U1120" s="146">
        <f>SUM(Purchase[Net Amount])</f>
        <v>814985438.68000126</v>
      </c>
    </row>
    <row r="1121" spans="1:21" ht="19.5" thickBot="1" x14ac:dyDescent="0.3">
      <c r="A1121" s="136" t="s">
        <v>2166</v>
      </c>
      <c r="B1121" s="137">
        <v>45713</v>
      </c>
      <c r="C1121" s="138" t="s">
        <v>567</v>
      </c>
      <c r="D1121" s="138" t="str">
        <f>VLOOKUP(Purchase[[#This Row],[Supplier ID]],Supplier[#All],2,0)</f>
        <v>National Distributors</v>
      </c>
      <c r="E1121" s="138">
        <f>VLOOKUP(Purchase[[#This Row],[Supplier ID]],Supplier[#All],3,0)</f>
        <v>9689542453</v>
      </c>
      <c r="F1121" s="138" t="str">
        <f>VLOOKUP(Purchase[[#This Row],[Supplier ID]],Supplier[#All],4,0)</f>
        <v>Korba</v>
      </c>
      <c r="G1121" s="138" t="str">
        <f>VLOOKUP(Purchase[[#This Row],[Supplier ID]],Supplier[#All],5,0)</f>
        <v>CG</v>
      </c>
      <c r="H1121" s="138" t="str">
        <f>VLOOKUP(Purchase[[#This Row],[Supplier ID]],Supplier[#All],6,0)</f>
        <v>GST2154521T015</v>
      </c>
      <c r="I1121" s="138" t="s">
        <v>115</v>
      </c>
      <c r="J1121" s="139">
        <v>5</v>
      </c>
      <c r="K1121" s="143">
        <f>VLOOKUP(Purchase[[#This Row],[Product ID]],Product[#All],6,0)</f>
        <v>1444</v>
      </c>
      <c r="L1121" s="143">
        <f>Purchase[[#This Row],[Purchase Rate]]*Purchase[[#This Row],[Qty]]</f>
        <v>7220</v>
      </c>
      <c r="M1121" s="140">
        <v>0</v>
      </c>
      <c r="N1121" s="143">
        <v>0</v>
      </c>
      <c r="O1121" s="140">
        <v>0.18</v>
      </c>
      <c r="P1121" s="145">
        <f>(Purchase[[#This Row],[Gross Amount]]-Purchase[[#This Row],[Disct %]])*Purchase[[#This Row],[GST %]]</f>
        <v>1299.5999999999999</v>
      </c>
      <c r="Q1121" s="145">
        <f>Purchase[[#This Row],[Gross Amount]]-Purchase[[#This Row],[Disct Amnt]]+Purchase[[#This Row],[GST Amount]]</f>
        <v>8519.6</v>
      </c>
      <c r="R1121" s="138" t="s">
        <v>1019</v>
      </c>
      <c r="S1121" s="41">
        <f>IF(Purchase[[#This Row],[Status]]="Cancelled",0,Purchase[[#This Row],[Qty]])</f>
        <v>5</v>
      </c>
      <c r="T1121" s="146">
        <f>IF(Purchase[[#This Row],[Status]]="Cancelled",0,Purchase[[#This Row],[Total Amount]])</f>
        <v>8519.6</v>
      </c>
      <c r="U1121" s="146">
        <f>SUM(Purchase[Net Amount])</f>
        <v>814985438.68000126</v>
      </c>
    </row>
    <row r="1122" spans="1:21" ht="19.5" thickBot="1" x14ac:dyDescent="0.3">
      <c r="A1122" s="136" t="s">
        <v>2167</v>
      </c>
      <c r="B1122" s="137">
        <v>45713</v>
      </c>
      <c r="C1122" s="138" t="s">
        <v>597</v>
      </c>
      <c r="D1122" s="138" t="str">
        <f>VLOOKUP(Purchase[[#This Row],[Supplier ID]],Supplier[#All],2,0)</f>
        <v>Tech Traders</v>
      </c>
      <c r="E1122" s="138">
        <f>VLOOKUP(Purchase[[#This Row],[Supplier ID]],Supplier[#All],3,0)</f>
        <v>9689542480</v>
      </c>
      <c r="F1122" s="138" t="str">
        <f>VLOOKUP(Purchase[[#This Row],[Supplier ID]],Supplier[#All],4,0)</f>
        <v>Kanpur</v>
      </c>
      <c r="G1122" s="138" t="str">
        <f>VLOOKUP(Purchase[[#This Row],[Supplier ID]],Supplier[#All],5,0)</f>
        <v>UP</v>
      </c>
      <c r="H1122" s="138" t="str">
        <f>VLOOKUP(Purchase[[#This Row],[Supplier ID]],Supplier[#All],6,0)</f>
        <v>GST2154521T042</v>
      </c>
      <c r="I1122" s="138" t="s">
        <v>205</v>
      </c>
      <c r="J1122" s="139">
        <v>7</v>
      </c>
      <c r="K1122" s="143">
        <f>VLOOKUP(Purchase[[#This Row],[Product ID]],Product[#All],6,0)</f>
        <v>3906</v>
      </c>
      <c r="L1122" s="143">
        <f>Purchase[[#This Row],[Purchase Rate]]*Purchase[[#This Row],[Qty]]</f>
        <v>27342</v>
      </c>
      <c r="M1122" s="140">
        <v>0</v>
      </c>
      <c r="N1122" s="143">
        <v>0</v>
      </c>
      <c r="O1122" s="140">
        <v>0.18</v>
      </c>
      <c r="P1122" s="145">
        <f>(Purchase[[#This Row],[Gross Amount]]-Purchase[[#This Row],[Disct %]])*Purchase[[#This Row],[GST %]]</f>
        <v>4921.5599999999995</v>
      </c>
      <c r="Q1122" s="145">
        <f>Purchase[[#This Row],[Gross Amount]]-Purchase[[#This Row],[Disct Amnt]]+Purchase[[#This Row],[GST Amount]]</f>
        <v>32263.559999999998</v>
      </c>
      <c r="R1122" s="138" t="s">
        <v>1019</v>
      </c>
      <c r="S1122" s="41">
        <f>IF(Purchase[[#This Row],[Status]]="Cancelled",0,Purchase[[#This Row],[Qty]])</f>
        <v>7</v>
      </c>
      <c r="T1122" s="146">
        <f>IF(Purchase[[#This Row],[Status]]="Cancelled",0,Purchase[[#This Row],[Total Amount]])</f>
        <v>32263.559999999998</v>
      </c>
      <c r="U1122" s="146">
        <f>SUM(Purchase[Net Amount])</f>
        <v>814985438.68000126</v>
      </c>
    </row>
    <row r="1123" spans="1:21" ht="19.5" thickBot="1" x14ac:dyDescent="0.3">
      <c r="A1123" s="136" t="s">
        <v>2168</v>
      </c>
      <c r="B1123" s="137">
        <v>45713</v>
      </c>
      <c r="C1123" s="138" t="s">
        <v>602</v>
      </c>
      <c r="D1123" s="138" t="str">
        <f>VLOOKUP(Purchase[[#This Row],[Supplier ID]],Supplier[#All],2,0)</f>
        <v>Maa Computers</v>
      </c>
      <c r="E1123" s="138">
        <f>VLOOKUP(Purchase[[#This Row],[Supplier ID]],Supplier[#All],3,0)</f>
        <v>9689542485</v>
      </c>
      <c r="F1123" s="138" t="str">
        <f>VLOOKUP(Purchase[[#This Row],[Supplier ID]],Supplier[#All],4,0)</f>
        <v>Korba</v>
      </c>
      <c r="G1123" s="138" t="str">
        <f>VLOOKUP(Purchase[[#This Row],[Supplier ID]],Supplier[#All],5,0)</f>
        <v>CG</v>
      </c>
      <c r="H1123" s="138" t="str">
        <f>VLOOKUP(Purchase[[#This Row],[Supplier ID]],Supplier[#All],6,0)</f>
        <v>GST2154521T047</v>
      </c>
      <c r="I1123" s="138" t="s">
        <v>131</v>
      </c>
      <c r="J1123" s="139">
        <v>10</v>
      </c>
      <c r="K1123" s="143">
        <f>VLOOKUP(Purchase[[#This Row],[Product ID]],Product[#All],6,0)</f>
        <v>2019</v>
      </c>
      <c r="L1123" s="143">
        <f>Purchase[[#This Row],[Purchase Rate]]*Purchase[[#This Row],[Qty]]</f>
        <v>20190</v>
      </c>
      <c r="M1123" s="140">
        <v>0</v>
      </c>
      <c r="N1123" s="143">
        <v>0</v>
      </c>
      <c r="O1123" s="140">
        <v>0.18</v>
      </c>
      <c r="P1123" s="145">
        <f>(Purchase[[#This Row],[Gross Amount]]-Purchase[[#This Row],[Disct %]])*Purchase[[#This Row],[GST %]]</f>
        <v>3634.2</v>
      </c>
      <c r="Q1123" s="145">
        <f>Purchase[[#This Row],[Gross Amount]]-Purchase[[#This Row],[Disct Amnt]]+Purchase[[#This Row],[GST Amount]]</f>
        <v>23824.2</v>
      </c>
      <c r="R1123" s="138" t="s">
        <v>1019</v>
      </c>
      <c r="S1123" s="41">
        <f>IF(Purchase[[#This Row],[Status]]="Cancelled",0,Purchase[[#This Row],[Qty]])</f>
        <v>10</v>
      </c>
      <c r="T1123" s="146">
        <f>IF(Purchase[[#This Row],[Status]]="Cancelled",0,Purchase[[#This Row],[Total Amount]])</f>
        <v>23824.2</v>
      </c>
      <c r="U1123" s="146">
        <f>SUM(Purchase[Net Amount])</f>
        <v>814985438.68000126</v>
      </c>
    </row>
    <row r="1124" spans="1:21" ht="19.5" thickBot="1" x14ac:dyDescent="0.3">
      <c r="A1124" s="136" t="s">
        <v>2169</v>
      </c>
      <c r="B1124" s="137">
        <v>45713</v>
      </c>
      <c r="C1124" s="138" t="s">
        <v>583</v>
      </c>
      <c r="D1124" s="138" t="str">
        <f>VLOOKUP(Purchase[[#This Row],[Supplier ID]],Supplier[#All],2,0)</f>
        <v>Shree Distributors</v>
      </c>
      <c r="E1124" s="138">
        <f>VLOOKUP(Purchase[[#This Row],[Supplier ID]],Supplier[#All],3,0)</f>
        <v>9689542467</v>
      </c>
      <c r="F1124" s="138" t="str">
        <f>VLOOKUP(Purchase[[#This Row],[Supplier ID]],Supplier[#All],4,0)</f>
        <v>Indore</v>
      </c>
      <c r="G1124" s="138" t="str">
        <f>VLOOKUP(Purchase[[#This Row],[Supplier ID]],Supplier[#All],5,0)</f>
        <v>MP</v>
      </c>
      <c r="H1124" s="138" t="str">
        <f>VLOOKUP(Purchase[[#This Row],[Supplier ID]],Supplier[#All],6,0)</f>
        <v>GST2154521T029</v>
      </c>
      <c r="I1124" s="138" t="s">
        <v>365</v>
      </c>
      <c r="J1124" s="139">
        <v>3</v>
      </c>
      <c r="K1124" s="143">
        <f>VLOOKUP(Purchase[[#This Row],[Product ID]],Product[#All],6,0)</f>
        <v>1653</v>
      </c>
      <c r="L1124" s="143">
        <f>Purchase[[#This Row],[Purchase Rate]]*Purchase[[#This Row],[Qty]]</f>
        <v>4959</v>
      </c>
      <c r="M1124" s="140">
        <v>0</v>
      </c>
      <c r="N1124" s="143">
        <v>0</v>
      </c>
      <c r="O1124" s="140">
        <v>0.18</v>
      </c>
      <c r="P1124" s="145">
        <f>(Purchase[[#This Row],[Gross Amount]]-Purchase[[#This Row],[Disct %]])*Purchase[[#This Row],[GST %]]</f>
        <v>892.62</v>
      </c>
      <c r="Q1124" s="145">
        <f>Purchase[[#This Row],[Gross Amount]]-Purchase[[#This Row],[Disct Amnt]]+Purchase[[#This Row],[GST Amount]]</f>
        <v>5851.62</v>
      </c>
      <c r="R1124" s="138" t="s">
        <v>1019</v>
      </c>
      <c r="S1124" s="41">
        <f>IF(Purchase[[#This Row],[Status]]="Cancelled",0,Purchase[[#This Row],[Qty]])</f>
        <v>3</v>
      </c>
      <c r="T1124" s="146">
        <f>IF(Purchase[[#This Row],[Status]]="Cancelled",0,Purchase[[#This Row],[Total Amount]])</f>
        <v>5851.62</v>
      </c>
      <c r="U1124" s="146">
        <f>SUM(Purchase[Net Amount])</f>
        <v>814985438.68000126</v>
      </c>
    </row>
    <row r="1125" spans="1:21" ht="19.5" thickBot="1" x14ac:dyDescent="0.3">
      <c r="A1125" s="136" t="s">
        <v>2170</v>
      </c>
      <c r="B1125" s="137">
        <v>45713</v>
      </c>
      <c r="C1125" s="138" t="s">
        <v>567</v>
      </c>
      <c r="D1125" s="138" t="str">
        <f>VLOOKUP(Purchase[[#This Row],[Supplier ID]],Supplier[#All],2,0)</f>
        <v>National Distributors</v>
      </c>
      <c r="E1125" s="138">
        <f>VLOOKUP(Purchase[[#This Row],[Supplier ID]],Supplier[#All],3,0)</f>
        <v>9689542453</v>
      </c>
      <c r="F1125" s="138" t="str">
        <f>VLOOKUP(Purchase[[#This Row],[Supplier ID]],Supplier[#All],4,0)</f>
        <v>Korba</v>
      </c>
      <c r="G1125" s="138" t="str">
        <f>VLOOKUP(Purchase[[#This Row],[Supplier ID]],Supplier[#All],5,0)</f>
        <v>CG</v>
      </c>
      <c r="H1125" s="138" t="str">
        <f>VLOOKUP(Purchase[[#This Row],[Supplier ID]],Supplier[#All],6,0)</f>
        <v>GST2154521T015</v>
      </c>
      <c r="I1125" s="138" t="s">
        <v>105</v>
      </c>
      <c r="J1125" s="139">
        <v>21</v>
      </c>
      <c r="K1125" s="143">
        <f>VLOOKUP(Purchase[[#This Row],[Product ID]],Product[#All],6,0)</f>
        <v>2728</v>
      </c>
      <c r="L1125" s="143">
        <f>Purchase[[#This Row],[Purchase Rate]]*Purchase[[#This Row],[Qty]]</f>
        <v>57288</v>
      </c>
      <c r="M1125" s="140">
        <v>0</v>
      </c>
      <c r="N1125" s="143">
        <v>0</v>
      </c>
      <c r="O1125" s="140">
        <v>0.18</v>
      </c>
      <c r="P1125" s="145">
        <f>(Purchase[[#This Row],[Gross Amount]]-Purchase[[#This Row],[Disct %]])*Purchase[[#This Row],[GST %]]</f>
        <v>10311.84</v>
      </c>
      <c r="Q1125" s="145">
        <f>Purchase[[#This Row],[Gross Amount]]-Purchase[[#This Row],[Disct Amnt]]+Purchase[[#This Row],[GST Amount]]</f>
        <v>67599.839999999997</v>
      </c>
      <c r="R1125" s="138" t="s">
        <v>1019</v>
      </c>
      <c r="S1125" s="41">
        <f>IF(Purchase[[#This Row],[Status]]="Cancelled",0,Purchase[[#This Row],[Qty]])</f>
        <v>21</v>
      </c>
      <c r="T1125" s="146">
        <f>IF(Purchase[[#This Row],[Status]]="Cancelled",0,Purchase[[#This Row],[Total Amount]])</f>
        <v>67599.839999999997</v>
      </c>
      <c r="U1125" s="146">
        <f>SUM(Purchase[Net Amount])</f>
        <v>814985438.68000126</v>
      </c>
    </row>
    <row r="1126" spans="1:21" ht="19.5" thickBot="1" x14ac:dyDescent="0.3">
      <c r="A1126" s="136" t="s">
        <v>2171</v>
      </c>
      <c r="B1126" s="137">
        <v>45713</v>
      </c>
      <c r="C1126" s="138" t="s">
        <v>571</v>
      </c>
      <c r="D1126" s="138" t="str">
        <f>VLOOKUP(Purchase[[#This Row],[Supplier ID]],Supplier[#All],2,0)</f>
        <v>Tech Suppliers</v>
      </c>
      <c r="E1126" s="138">
        <f>VLOOKUP(Purchase[[#This Row],[Supplier ID]],Supplier[#All],3,0)</f>
        <v>9689542457</v>
      </c>
      <c r="F1126" s="138" t="str">
        <f>VLOOKUP(Purchase[[#This Row],[Supplier ID]],Supplier[#All],4,0)</f>
        <v>Korba</v>
      </c>
      <c r="G1126" s="138" t="str">
        <f>VLOOKUP(Purchase[[#This Row],[Supplier ID]],Supplier[#All],5,0)</f>
        <v>CG</v>
      </c>
      <c r="H1126" s="138" t="str">
        <f>VLOOKUP(Purchase[[#This Row],[Supplier ID]],Supplier[#All],6,0)</f>
        <v>GST2154521T019</v>
      </c>
      <c r="I1126" s="138" t="s">
        <v>479</v>
      </c>
      <c r="J1126" s="139">
        <v>17</v>
      </c>
      <c r="K1126" s="143">
        <f>VLOOKUP(Purchase[[#This Row],[Product ID]],Product[#All],6,0)</f>
        <v>4548</v>
      </c>
      <c r="L1126" s="143">
        <f>Purchase[[#This Row],[Purchase Rate]]*Purchase[[#This Row],[Qty]]</f>
        <v>77316</v>
      </c>
      <c r="M1126" s="140">
        <v>0</v>
      </c>
      <c r="N1126" s="143">
        <v>0</v>
      </c>
      <c r="O1126" s="140">
        <v>0.18</v>
      </c>
      <c r="P1126" s="145">
        <f>(Purchase[[#This Row],[Gross Amount]]-Purchase[[#This Row],[Disct %]])*Purchase[[#This Row],[GST %]]</f>
        <v>13916.88</v>
      </c>
      <c r="Q1126" s="145">
        <f>Purchase[[#This Row],[Gross Amount]]-Purchase[[#This Row],[Disct Amnt]]+Purchase[[#This Row],[GST Amount]]</f>
        <v>91232.88</v>
      </c>
      <c r="R1126" s="138" t="s">
        <v>1019</v>
      </c>
      <c r="S1126" s="41">
        <f>IF(Purchase[[#This Row],[Status]]="Cancelled",0,Purchase[[#This Row],[Qty]])</f>
        <v>17</v>
      </c>
      <c r="T1126" s="146">
        <f>IF(Purchase[[#This Row],[Status]]="Cancelled",0,Purchase[[#This Row],[Total Amount]])</f>
        <v>91232.88</v>
      </c>
      <c r="U1126" s="146">
        <f>SUM(Purchase[Net Amount])</f>
        <v>814985438.68000126</v>
      </c>
    </row>
    <row r="1127" spans="1:21" ht="19.5" thickBot="1" x14ac:dyDescent="0.3">
      <c r="A1127" s="136" t="s">
        <v>2172</v>
      </c>
      <c r="B1127" s="137">
        <v>45713</v>
      </c>
      <c r="C1127" s="138" t="s">
        <v>600</v>
      </c>
      <c r="D1127" s="138" t="str">
        <f>VLOOKUP(Purchase[[#This Row],[Supplier ID]],Supplier[#All],2,0)</f>
        <v>Prime Suppliers</v>
      </c>
      <c r="E1127" s="138">
        <f>VLOOKUP(Purchase[[#This Row],[Supplier ID]],Supplier[#All],3,0)</f>
        <v>9689542483</v>
      </c>
      <c r="F1127" s="138" t="str">
        <f>VLOOKUP(Purchase[[#This Row],[Supplier ID]],Supplier[#All],4,0)</f>
        <v>Korba</v>
      </c>
      <c r="G1127" s="138" t="str">
        <f>VLOOKUP(Purchase[[#This Row],[Supplier ID]],Supplier[#All],5,0)</f>
        <v>CG</v>
      </c>
      <c r="H1127" s="138" t="str">
        <f>VLOOKUP(Purchase[[#This Row],[Supplier ID]],Supplier[#All],6,0)</f>
        <v>GST2154521T045</v>
      </c>
      <c r="I1127" s="138" t="s">
        <v>426</v>
      </c>
      <c r="J1127" s="139">
        <v>23</v>
      </c>
      <c r="K1127" s="143">
        <f>VLOOKUP(Purchase[[#This Row],[Product ID]],Product[#All],6,0)</f>
        <v>4401</v>
      </c>
      <c r="L1127" s="143">
        <f>Purchase[[#This Row],[Purchase Rate]]*Purchase[[#This Row],[Qty]]</f>
        <v>101223</v>
      </c>
      <c r="M1127" s="140">
        <v>0</v>
      </c>
      <c r="N1127" s="143">
        <v>0</v>
      </c>
      <c r="O1127" s="140">
        <v>0.18</v>
      </c>
      <c r="P1127" s="145">
        <f>(Purchase[[#This Row],[Gross Amount]]-Purchase[[#This Row],[Disct %]])*Purchase[[#This Row],[GST %]]</f>
        <v>18220.14</v>
      </c>
      <c r="Q1127" s="145">
        <f>Purchase[[#This Row],[Gross Amount]]-Purchase[[#This Row],[Disct Amnt]]+Purchase[[#This Row],[GST Amount]]</f>
        <v>119443.14</v>
      </c>
      <c r="R1127" s="138" t="s">
        <v>1019</v>
      </c>
      <c r="S1127" s="41">
        <f>IF(Purchase[[#This Row],[Status]]="Cancelled",0,Purchase[[#This Row],[Qty]])</f>
        <v>23</v>
      </c>
      <c r="T1127" s="146">
        <f>IF(Purchase[[#This Row],[Status]]="Cancelled",0,Purchase[[#This Row],[Total Amount]])</f>
        <v>119443.14</v>
      </c>
      <c r="U1127" s="146">
        <f>SUM(Purchase[Net Amount])</f>
        <v>814985438.68000126</v>
      </c>
    </row>
    <row r="1128" spans="1:21" ht="19.5" thickBot="1" x14ac:dyDescent="0.3">
      <c r="A1128" s="136" t="s">
        <v>2173</v>
      </c>
      <c r="B1128" s="137">
        <v>45713</v>
      </c>
      <c r="C1128" s="138" t="s">
        <v>580</v>
      </c>
      <c r="D1128" s="138" t="str">
        <f>VLOOKUP(Purchase[[#This Row],[Supplier ID]],Supplier[#All],2,0)</f>
        <v>Star Distributors</v>
      </c>
      <c r="E1128" s="138">
        <f>VLOOKUP(Purchase[[#This Row],[Supplier ID]],Supplier[#All],3,0)</f>
        <v>9689542464</v>
      </c>
      <c r="F1128" s="138" t="str">
        <f>VLOOKUP(Purchase[[#This Row],[Supplier ID]],Supplier[#All],4,0)</f>
        <v>Indore</v>
      </c>
      <c r="G1128" s="138" t="str">
        <f>VLOOKUP(Purchase[[#This Row],[Supplier ID]],Supplier[#All],5,0)</f>
        <v>MP</v>
      </c>
      <c r="H1128" s="138" t="str">
        <f>VLOOKUP(Purchase[[#This Row],[Supplier ID]],Supplier[#All],6,0)</f>
        <v>GST2154521T026</v>
      </c>
      <c r="I1128" s="138" t="s">
        <v>270</v>
      </c>
      <c r="J1128" s="139">
        <v>8</v>
      </c>
      <c r="K1128" s="143">
        <f>VLOOKUP(Purchase[[#This Row],[Product ID]],Product[#All],6,0)</f>
        <v>4801</v>
      </c>
      <c r="L1128" s="143">
        <f>Purchase[[#This Row],[Purchase Rate]]*Purchase[[#This Row],[Qty]]</f>
        <v>38408</v>
      </c>
      <c r="M1128" s="140">
        <v>0</v>
      </c>
      <c r="N1128" s="143">
        <v>0</v>
      </c>
      <c r="O1128" s="140">
        <v>0.18</v>
      </c>
      <c r="P1128" s="145">
        <f>(Purchase[[#This Row],[Gross Amount]]-Purchase[[#This Row],[Disct %]])*Purchase[[#This Row],[GST %]]</f>
        <v>6913.44</v>
      </c>
      <c r="Q1128" s="145">
        <f>Purchase[[#This Row],[Gross Amount]]-Purchase[[#This Row],[Disct Amnt]]+Purchase[[#This Row],[GST Amount]]</f>
        <v>45321.440000000002</v>
      </c>
      <c r="R1128" s="138" t="s">
        <v>1019</v>
      </c>
      <c r="S1128" s="41">
        <f>IF(Purchase[[#This Row],[Status]]="Cancelled",0,Purchase[[#This Row],[Qty]])</f>
        <v>8</v>
      </c>
      <c r="T1128" s="146">
        <f>IF(Purchase[[#This Row],[Status]]="Cancelled",0,Purchase[[#This Row],[Total Amount]])</f>
        <v>45321.440000000002</v>
      </c>
      <c r="U1128" s="146">
        <f>SUM(Purchase[Net Amount])</f>
        <v>814985438.68000126</v>
      </c>
    </row>
    <row r="1129" spans="1:21" ht="19.5" thickBot="1" x14ac:dyDescent="0.3">
      <c r="A1129" s="136" t="s">
        <v>2174</v>
      </c>
      <c r="B1129" s="137">
        <v>45713</v>
      </c>
      <c r="C1129" s="138" t="s">
        <v>615</v>
      </c>
      <c r="D1129" s="138" t="str">
        <f>VLOOKUP(Purchase[[#This Row],[Supplier ID]],Supplier[#All],2,0)</f>
        <v>NATIONAL ELECTRONICS</v>
      </c>
      <c r="E1129" s="138">
        <f>VLOOKUP(Purchase[[#This Row],[Supplier ID]],Supplier[#All],3,0)</f>
        <v>9689542498</v>
      </c>
      <c r="F1129" s="138" t="str">
        <f>VLOOKUP(Purchase[[#This Row],[Supplier ID]],Supplier[#All],4,0)</f>
        <v>Kanpur</v>
      </c>
      <c r="G1129" s="138" t="str">
        <f>VLOOKUP(Purchase[[#This Row],[Supplier ID]],Supplier[#All],5,0)</f>
        <v>UP</v>
      </c>
      <c r="H1129" s="138" t="str">
        <f>VLOOKUP(Purchase[[#This Row],[Supplier ID]],Supplier[#All],6,0)</f>
        <v>GST2154521T060</v>
      </c>
      <c r="I1129" s="138" t="s">
        <v>482</v>
      </c>
      <c r="J1129" s="139">
        <v>15</v>
      </c>
      <c r="K1129" s="143">
        <f>VLOOKUP(Purchase[[#This Row],[Product ID]],Product[#All],6,0)</f>
        <v>611</v>
      </c>
      <c r="L1129" s="143">
        <f>Purchase[[#This Row],[Purchase Rate]]*Purchase[[#This Row],[Qty]]</f>
        <v>9165</v>
      </c>
      <c r="M1129" s="140">
        <v>0</v>
      </c>
      <c r="N1129" s="143">
        <v>0</v>
      </c>
      <c r="O1129" s="140">
        <v>0.18</v>
      </c>
      <c r="P1129" s="145">
        <f>(Purchase[[#This Row],[Gross Amount]]-Purchase[[#This Row],[Disct %]])*Purchase[[#This Row],[GST %]]</f>
        <v>1649.7</v>
      </c>
      <c r="Q1129" s="145">
        <f>Purchase[[#This Row],[Gross Amount]]-Purchase[[#This Row],[Disct Amnt]]+Purchase[[#This Row],[GST Amount]]</f>
        <v>10814.7</v>
      </c>
      <c r="R1129" s="138" t="s">
        <v>1019</v>
      </c>
      <c r="S1129" s="41">
        <f>IF(Purchase[[#This Row],[Status]]="Cancelled",0,Purchase[[#This Row],[Qty]])</f>
        <v>15</v>
      </c>
      <c r="T1129" s="146">
        <f>IF(Purchase[[#This Row],[Status]]="Cancelled",0,Purchase[[#This Row],[Total Amount]])</f>
        <v>10814.7</v>
      </c>
      <c r="U1129" s="146">
        <f>SUM(Purchase[Net Amount])</f>
        <v>814985438.68000126</v>
      </c>
    </row>
    <row r="1130" spans="1:21" ht="19.5" thickBot="1" x14ac:dyDescent="0.3">
      <c r="A1130" s="136" t="s">
        <v>2175</v>
      </c>
      <c r="B1130" s="137">
        <v>45713</v>
      </c>
      <c r="C1130" s="138" t="s">
        <v>576</v>
      </c>
      <c r="D1130" s="138" t="str">
        <f>VLOOKUP(Purchase[[#This Row],[Supplier ID]],Supplier[#All],2,0)</f>
        <v>Maa Distributors</v>
      </c>
      <c r="E1130" s="138">
        <f>VLOOKUP(Purchase[[#This Row],[Supplier ID]],Supplier[#All],3,0)</f>
        <v>9689542460</v>
      </c>
      <c r="F1130" s="138" t="str">
        <f>VLOOKUP(Purchase[[#This Row],[Supplier ID]],Supplier[#All],4,0)</f>
        <v>Korba</v>
      </c>
      <c r="G1130" s="138" t="str">
        <f>VLOOKUP(Purchase[[#This Row],[Supplier ID]],Supplier[#All],5,0)</f>
        <v>CG</v>
      </c>
      <c r="H1130" s="138" t="str">
        <f>VLOOKUP(Purchase[[#This Row],[Supplier ID]],Supplier[#All],6,0)</f>
        <v>GST2154521T022</v>
      </c>
      <c r="I1130" s="138" t="s">
        <v>515</v>
      </c>
      <c r="J1130" s="139">
        <v>38</v>
      </c>
      <c r="K1130" s="143">
        <f>VLOOKUP(Purchase[[#This Row],[Product ID]],Product[#All],6,0)</f>
        <v>2141</v>
      </c>
      <c r="L1130" s="143">
        <f>Purchase[[#This Row],[Purchase Rate]]*Purchase[[#This Row],[Qty]]</f>
        <v>81358</v>
      </c>
      <c r="M1130" s="140">
        <v>0</v>
      </c>
      <c r="N1130" s="143">
        <v>0</v>
      </c>
      <c r="O1130" s="140">
        <v>0.18</v>
      </c>
      <c r="P1130" s="145">
        <f>(Purchase[[#This Row],[Gross Amount]]-Purchase[[#This Row],[Disct %]])*Purchase[[#This Row],[GST %]]</f>
        <v>14644.439999999999</v>
      </c>
      <c r="Q1130" s="145">
        <f>Purchase[[#This Row],[Gross Amount]]-Purchase[[#This Row],[Disct Amnt]]+Purchase[[#This Row],[GST Amount]]</f>
        <v>96002.44</v>
      </c>
      <c r="R1130" s="138" t="s">
        <v>1019</v>
      </c>
      <c r="S1130" s="41">
        <f>IF(Purchase[[#This Row],[Status]]="Cancelled",0,Purchase[[#This Row],[Qty]])</f>
        <v>38</v>
      </c>
      <c r="T1130" s="146">
        <f>IF(Purchase[[#This Row],[Status]]="Cancelled",0,Purchase[[#This Row],[Total Amount]])</f>
        <v>96002.44</v>
      </c>
      <c r="U1130" s="146">
        <f>SUM(Purchase[Net Amount])</f>
        <v>814985438.68000126</v>
      </c>
    </row>
    <row r="1131" spans="1:21" ht="19.5" thickBot="1" x14ac:dyDescent="0.3">
      <c r="A1131" s="136" t="s">
        <v>2176</v>
      </c>
      <c r="B1131" s="137">
        <v>45713</v>
      </c>
      <c r="C1131" s="138" t="s">
        <v>613</v>
      </c>
      <c r="D1131" s="138" t="str">
        <f>VLOOKUP(Purchase[[#This Row],[Supplier ID]],Supplier[#All],2,0)</f>
        <v>National Traders</v>
      </c>
      <c r="E1131" s="138">
        <f>VLOOKUP(Purchase[[#This Row],[Supplier ID]],Supplier[#All],3,0)</f>
        <v>9689542496</v>
      </c>
      <c r="F1131" s="138" t="str">
        <f>VLOOKUP(Purchase[[#This Row],[Supplier ID]],Supplier[#All],4,0)</f>
        <v>Indore</v>
      </c>
      <c r="G1131" s="138" t="str">
        <f>VLOOKUP(Purchase[[#This Row],[Supplier ID]],Supplier[#All],5,0)</f>
        <v>MP</v>
      </c>
      <c r="H1131" s="138" t="str">
        <f>VLOOKUP(Purchase[[#This Row],[Supplier ID]],Supplier[#All],6,0)</f>
        <v>GST2154521T058</v>
      </c>
      <c r="I1131" s="138" t="s">
        <v>170</v>
      </c>
      <c r="J1131" s="139">
        <v>11</v>
      </c>
      <c r="K1131" s="143">
        <f>VLOOKUP(Purchase[[#This Row],[Product ID]],Product[#All],6,0)</f>
        <v>26168</v>
      </c>
      <c r="L1131" s="143">
        <f>Purchase[[#This Row],[Purchase Rate]]*Purchase[[#This Row],[Qty]]</f>
        <v>287848</v>
      </c>
      <c r="M1131" s="140">
        <v>0</v>
      </c>
      <c r="N1131" s="143">
        <v>0</v>
      </c>
      <c r="O1131" s="140">
        <v>0.18</v>
      </c>
      <c r="P1131" s="145">
        <f>(Purchase[[#This Row],[Gross Amount]]-Purchase[[#This Row],[Disct %]])*Purchase[[#This Row],[GST %]]</f>
        <v>51812.639999999999</v>
      </c>
      <c r="Q1131" s="145">
        <f>Purchase[[#This Row],[Gross Amount]]-Purchase[[#This Row],[Disct Amnt]]+Purchase[[#This Row],[GST Amount]]</f>
        <v>339660.64</v>
      </c>
      <c r="R1131" s="138" t="s">
        <v>1019</v>
      </c>
      <c r="S1131" s="41">
        <f>IF(Purchase[[#This Row],[Status]]="Cancelled",0,Purchase[[#This Row],[Qty]])</f>
        <v>11</v>
      </c>
      <c r="T1131" s="146">
        <f>IF(Purchase[[#This Row],[Status]]="Cancelled",0,Purchase[[#This Row],[Total Amount]])</f>
        <v>339660.64</v>
      </c>
      <c r="U1131" s="146">
        <f>SUM(Purchase[Net Amount])</f>
        <v>814985438.68000126</v>
      </c>
    </row>
    <row r="1132" spans="1:21" ht="19.5" thickBot="1" x14ac:dyDescent="0.3">
      <c r="A1132" s="136" t="s">
        <v>2177</v>
      </c>
      <c r="B1132" s="137">
        <v>45713</v>
      </c>
      <c r="C1132" s="138" t="s">
        <v>1527</v>
      </c>
      <c r="D1132" s="138" t="str">
        <f>VLOOKUP(Purchase[[#This Row],[Supplier ID]],Supplier[#All],2,0)</f>
        <v>National Traders</v>
      </c>
      <c r="E1132" s="138">
        <f>VLOOKUP(Purchase[[#This Row],[Supplier ID]],Supplier[#All],3,0)</f>
        <v>9689542496</v>
      </c>
      <c r="F1132" s="138" t="str">
        <f>VLOOKUP(Purchase[[#This Row],[Supplier ID]],Supplier[#All],4,0)</f>
        <v>Indore</v>
      </c>
      <c r="G1132" s="138" t="str">
        <f>VLOOKUP(Purchase[[#This Row],[Supplier ID]],Supplier[#All],5,0)</f>
        <v>MP</v>
      </c>
      <c r="H1132" s="138" t="str">
        <f>VLOOKUP(Purchase[[#This Row],[Supplier ID]],Supplier[#All],6,0)</f>
        <v>GST2154521T058</v>
      </c>
      <c r="I1132" s="138" t="s">
        <v>102</v>
      </c>
      <c r="J1132" s="139">
        <v>34</v>
      </c>
      <c r="K1132" s="143">
        <f>VLOOKUP(Purchase[[#This Row],[Product ID]],Product[#All],6,0)</f>
        <v>10483</v>
      </c>
      <c r="L1132" s="143">
        <f>Purchase[[#This Row],[Purchase Rate]]*Purchase[[#This Row],[Qty]]</f>
        <v>356422</v>
      </c>
      <c r="M1132" s="140">
        <v>0</v>
      </c>
      <c r="N1132" s="143">
        <v>0</v>
      </c>
      <c r="O1132" s="140">
        <v>0.18</v>
      </c>
      <c r="P1132" s="145">
        <f>(Purchase[[#This Row],[Gross Amount]]-Purchase[[#This Row],[Disct %]])*Purchase[[#This Row],[GST %]]</f>
        <v>64155.96</v>
      </c>
      <c r="Q1132" s="145">
        <f>Purchase[[#This Row],[Gross Amount]]-Purchase[[#This Row],[Disct Amnt]]+Purchase[[#This Row],[GST Amount]]</f>
        <v>420577.96</v>
      </c>
      <c r="R1132" s="138" t="s">
        <v>1019</v>
      </c>
      <c r="S1132" s="41">
        <f>IF(Purchase[[#This Row],[Status]]="Cancelled",0,Purchase[[#This Row],[Qty]])</f>
        <v>34</v>
      </c>
      <c r="T1132" s="146">
        <f>IF(Purchase[[#This Row],[Status]]="Cancelled",0,Purchase[[#This Row],[Total Amount]])</f>
        <v>420577.96</v>
      </c>
      <c r="U1132" s="146">
        <f>SUM(Purchase[Net Amount])</f>
        <v>814985438.68000126</v>
      </c>
    </row>
    <row r="1133" spans="1:21" ht="19.5" thickBot="1" x14ac:dyDescent="0.3">
      <c r="A1133" s="136" t="s">
        <v>2178</v>
      </c>
      <c r="B1133" s="137">
        <v>45713</v>
      </c>
      <c r="C1133" s="138" t="s">
        <v>2179</v>
      </c>
      <c r="D1133" s="138" t="str">
        <f>VLOOKUP(Purchase[[#This Row],[Supplier ID]],Supplier[#All],2,0)</f>
        <v>National Electronics</v>
      </c>
      <c r="E1133" s="138">
        <f>VLOOKUP(Purchase[[#This Row],[Supplier ID]],Supplier[#All],3,0)</f>
        <v>9689542469</v>
      </c>
      <c r="F1133" s="138" t="str">
        <f>VLOOKUP(Purchase[[#This Row],[Supplier ID]],Supplier[#All],4,0)</f>
        <v>Korba</v>
      </c>
      <c r="G1133" s="138" t="str">
        <f>VLOOKUP(Purchase[[#This Row],[Supplier ID]],Supplier[#All],5,0)</f>
        <v>CG</v>
      </c>
      <c r="H1133" s="138" t="str">
        <f>VLOOKUP(Purchase[[#This Row],[Supplier ID]],Supplier[#All],6,0)</f>
        <v>GST2154521T023</v>
      </c>
      <c r="I1133" s="138" t="s">
        <v>502</v>
      </c>
      <c r="J1133" s="139">
        <v>6</v>
      </c>
      <c r="K1133" s="143">
        <f>VLOOKUP(Purchase[[#This Row],[Product ID]],Product[#All],6,0)</f>
        <v>24343</v>
      </c>
      <c r="L1133" s="143">
        <f>Purchase[[#This Row],[Purchase Rate]]*Purchase[[#This Row],[Qty]]</f>
        <v>146058</v>
      </c>
      <c r="M1133" s="140">
        <v>0</v>
      </c>
      <c r="N1133" s="143">
        <v>0</v>
      </c>
      <c r="O1133" s="140">
        <v>0.18</v>
      </c>
      <c r="P1133" s="145">
        <f>(Purchase[[#This Row],[Gross Amount]]-Purchase[[#This Row],[Disct %]])*Purchase[[#This Row],[GST %]]</f>
        <v>26290.44</v>
      </c>
      <c r="Q1133" s="145">
        <f>Purchase[[#This Row],[Gross Amount]]-Purchase[[#This Row],[Disct Amnt]]+Purchase[[#This Row],[GST Amount]]</f>
        <v>172348.44</v>
      </c>
      <c r="R1133" s="138" t="s">
        <v>1019</v>
      </c>
      <c r="S1133" s="41">
        <f>IF(Purchase[[#This Row],[Status]]="Cancelled",0,Purchase[[#This Row],[Qty]])</f>
        <v>6</v>
      </c>
      <c r="T1133" s="146">
        <f>IF(Purchase[[#This Row],[Status]]="Cancelled",0,Purchase[[#This Row],[Total Amount]])</f>
        <v>172348.44</v>
      </c>
      <c r="U1133" s="146">
        <f>SUM(Purchase[Net Amount])</f>
        <v>814985438.68000126</v>
      </c>
    </row>
    <row r="1134" spans="1:21" ht="19.5" thickBot="1" x14ac:dyDescent="0.3">
      <c r="A1134" s="136" t="s">
        <v>2180</v>
      </c>
      <c r="B1134" s="137">
        <v>45713</v>
      </c>
      <c r="C1134" s="138" t="s">
        <v>604</v>
      </c>
      <c r="D1134" s="138" t="str">
        <f>VLOOKUP(Purchase[[#This Row],[Supplier ID]],Supplier[#All],2,0)</f>
        <v>Prime Traders</v>
      </c>
      <c r="E1134" s="138">
        <f>VLOOKUP(Purchase[[#This Row],[Supplier ID]],Supplier[#All],3,0)</f>
        <v>9689542487</v>
      </c>
      <c r="F1134" s="138" t="str">
        <f>VLOOKUP(Purchase[[#This Row],[Supplier ID]],Supplier[#All],4,0)</f>
        <v>Indore</v>
      </c>
      <c r="G1134" s="138" t="str">
        <f>VLOOKUP(Purchase[[#This Row],[Supplier ID]],Supplier[#All],5,0)</f>
        <v>MP</v>
      </c>
      <c r="H1134" s="138" t="str">
        <f>VLOOKUP(Purchase[[#This Row],[Supplier ID]],Supplier[#All],6,0)</f>
        <v>GST2154521T049</v>
      </c>
      <c r="I1134" s="138" t="s">
        <v>507</v>
      </c>
      <c r="J1134" s="139">
        <v>37</v>
      </c>
      <c r="K1134" s="143">
        <f>VLOOKUP(Purchase[[#This Row],[Product ID]],Product[#All],6,0)</f>
        <v>1636</v>
      </c>
      <c r="L1134" s="143">
        <f>Purchase[[#This Row],[Purchase Rate]]*Purchase[[#This Row],[Qty]]</f>
        <v>60532</v>
      </c>
      <c r="M1134" s="140">
        <v>0</v>
      </c>
      <c r="N1134" s="143">
        <v>0</v>
      </c>
      <c r="O1134" s="140">
        <v>0.18</v>
      </c>
      <c r="P1134" s="145">
        <f>(Purchase[[#This Row],[Gross Amount]]-Purchase[[#This Row],[Disct %]])*Purchase[[#This Row],[GST %]]</f>
        <v>10895.76</v>
      </c>
      <c r="Q1134" s="145">
        <f>Purchase[[#This Row],[Gross Amount]]-Purchase[[#This Row],[Disct Amnt]]+Purchase[[#This Row],[GST Amount]]</f>
        <v>71427.759999999995</v>
      </c>
      <c r="R1134" s="138" t="s">
        <v>1019</v>
      </c>
      <c r="S1134" s="41">
        <f>IF(Purchase[[#This Row],[Status]]="Cancelled",0,Purchase[[#This Row],[Qty]])</f>
        <v>37</v>
      </c>
      <c r="T1134" s="146">
        <f>IF(Purchase[[#This Row],[Status]]="Cancelled",0,Purchase[[#This Row],[Total Amount]])</f>
        <v>71427.759999999995</v>
      </c>
      <c r="U1134" s="146">
        <f>SUM(Purchase[Net Amount])</f>
        <v>814985438.68000126</v>
      </c>
    </row>
    <row r="1135" spans="1:21" ht="19.5" thickBot="1" x14ac:dyDescent="0.3">
      <c r="A1135" s="136" t="s">
        <v>2181</v>
      </c>
      <c r="B1135" s="137">
        <v>45713</v>
      </c>
      <c r="C1135" s="138" t="s">
        <v>584</v>
      </c>
      <c r="D1135" s="138" t="str">
        <f>VLOOKUP(Purchase[[#This Row],[Supplier ID]],Supplier[#All],2,0)</f>
        <v>Prime Computers</v>
      </c>
      <c r="E1135" s="138">
        <f>VLOOKUP(Purchase[[#This Row],[Supplier ID]],Supplier[#All],3,0)</f>
        <v>9689542468</v>
      </c>
      <c r="F1135" s="138" t="str">
        <f>VLOOKUP(Purchase[[#This Row],[Supplier ID]],Supplier[#All],4,0)</f>
        <v>Kanpur</v>
      </c>
      <c r="G1135" s="138" t="str">
        <f>VLOOKUP(Purchase[[#This Row],[Supplier ID]],Supplier[#All],5,0)</f>
        <v>UP</v>
      </c>
      <c r="H1135" s="138" t="str">
        <f>VLOOKUP(Purchase[[#This Row],[Supplier ID]],Supplier[#All],6,0)</f>
        <v>GST2154521T030</v>
      </c>
      <c r="I1135" s="138" t="s">
        <v>370</v>
      </c>
      <c r="J1135" s="139">
        <v>3</v>
      </c>
      <c r="K1135" s="143">
        <f>VLOOKUP(Purchase[[#This Row],[Product ID]],Product[#All],6,0)</f>
        <v>19276</v>
      </c>
      <c r="L1135" s="143">
        <f>Purchase[[#This Row],[Purchase Rate]]*Purchase[[#This Row],[Qty]]</f>
        <v>57828</v>
      </c>
      <c r="M1135" s="140">
        <v>0</v>
      </c>
      <c r="N1135" s="143">
        <v>0</v>
      </c>
      <c r="O1135" s="140">
        <v>0.18</v>
      </c>
      <c r="P1135" s="145">
        <f>(Purchase[[#This Row],[Gross Amount]]-Purchase[[#This Row],[Disct %]])*Purchase[[#This Row],[GST %]]</f>
        <v>10409.039999999999</v>
      </c>
      <c r="Q1135" s="145">
        <f>Purchase[[#This Row],[Gross Amount]]-Purchase[[#This Row],[Disct Amnt]]+Purchase[[#This Row],[GST Amount]]</f>
        <v>68237.039999999994</v>
      </c>
      <c r="R1135" s="138" t="s">
        <v>1019</v>
      </c>
      <c r="S1135" s="41">
        <f>IF(Purchase[[#This Row],[Status]]="Cancelled",0,Purchase[[#This Row],[Qty]])</f>
        <v>3</v>
      </c>
      <c r="T1135" s="146">
        <f>IF(Purchase[[#This Row],[Status]]="Cancelled",0,Purchase[[#This Row],[Total Amount]])</f>
        <v>68237.039999999994</v>
      </c>
      <c r="U1135" s="146">
        <f>SUM(Purchase[Net Amount])</f>
        <v>814985438.68000126</v>
      </c>
    </row>
    <row r="1136" spans="1:21" ht="19.5" thickBot="1" x14ac:dyDescent="0.3">
      <c r="A1136" s="136" t="s">
        <v>2182</v>
      </c>
      <c r="B1136" s="137">
        <v>45714</v>
      </c>
      <c r="C1136" s="138" t="s">
        <v>2183</v>
      </c>
      <c r="D1136" s="138" t="str">
        <f>VLOOKUP(Purchase[[#This Row],[Supplier ID]],Supplier[#All],2,0)</f>
        <v>Star Distributors</v>
      </c>
      <c r="E1136" s="138">
        <f>VLOOKUP(Purchase[[#This Row],[Supplier ID]],Supplier[#All],3,0)</f>
        <v>9689542464</v>
      </c>
      <c r="F1136" s="138" t="str">
        <f>VLOOKUP(Purchase[[#This Row],[Supplier ID]],Supplier[#All],4,0)</f>
        <v>Indore</v>
      </c>
      <c r="G1136" s="138" t="str">
        <f>VLOOKUP(Purchase[[#This Row],[Supplier ID]],Supplier[#All],5,0)</f>
        <v>MP</v>
      </c>
      <c r="H1136" s="138" t="str">
        <f>VLOOKUP(Purchase[[#This Row],[Supplier ID]],Supplier[#All],6,0)</f>
        <v>GST2154521T026</v>
      </c>
      <c r="I1136" s="138" t="s">
        <v>156</v>
      </c>
      <c r="J1136" s="139">
        <v>39</v>
      </c>
      <c r="K1136" s="143">
        <f>VLOOKUP(Purchase[[#This Row],[Product ID]],Product[#All],6,0)</f>
        <v>2558</v>
      </c>
      <c r="L1136" s="143">
        <f>Purchase[[#This Row],[Purchase Rate]]*Purchase[[#This Row],[Qty]]</f>
        <v>99762</v>
      </c>
      <c r="M1136" s="140">
        <v>0</v>
      </c>
      <c r="N1136" s="143">
        <v>0</v>
      </c>
      <c r="O1136" s="140">
        <v>0.18</v>
      </c>
      <c r="P1136" s="145">
        <f>(Purchase[[#This Row],[Gross Amount]]-Purchase[[#This Row],[Disct %]])*Purchase[[#This Row],[GST %]]</f>
        <v>17957.16</v>
      </c>
      <c r="Q1136" s="145">
        <f>Purchase[[#This Row],[Gross Amount]]-Purchase[[#This Row],[Disct Amnt]]+Purchase[[#This Row],[GST Amount]]</f>
        <v>117719.16</v>
      </c>
      <c r="R1136" s="138" t="s">
        <v>1019</v>
      </c>
      <c r="S1136" s="41">
        <f>IF(Purchase[[#This Row],[Status]]="Cancelled",0,Purchase[[#This Row],[Qty]])</f>
        <v>39</v>
      </c>
      <c r="T1136" s="146">
        <f>IF(Purchase[[#This Row],[Status]]="Cancelled",0,Purchase[[#This Row],[Total Amount]])</f>
        <v>117719.16</v>
      </c>
      <c r="U1136" s="146">
        <f>SUM(Purchase[Net Amount])</f>
        <v>814985438.68000126</v>
      </c>
    </row>
    <row r="1137" spans="1:21" ht="19.5" thickBot="1" x14ac:dyDescent="0.3">
      <c r="A1137" s="136" t="s">
        <v>2184</v>
      </c>
      <c r="B1137" s="137">
        <v>45714</v>
      </c>
      <c r="C1137" s="138" t="s">
        <v>586</v>
      </c>
      <c r="D1137" s="138" t="str">
        <f>VLOOKUP(Purchase[[#This Row],[Supplier ID]],Supplier[#All],2,0)</f>
        <v>Maa Traders</v>
      </c>
      <c r="E1137" s="138">
        <f>VLOOKUP(Purchase[[#This Row],[Supplier ID]],Supplier[#All],3,0)</f>
        <v>9689542470</v>
      </c>
      <c r="F1137" s="138" t="str">
        <f>VLOOKUP(Purchase[[#This Row],[Supplier ID]],Supplier[#All],4,0)</f>
        <v>Kanpur</v>
      </c>
      <c r="G1137" s="138" t="str">
        <f>VLOOKUP(Purchase[[#This Row],[Supplier ID]],Supplier[#All],5,0)</f>
        <v>UP</v>
      </c>
      <c r="H1137" s="138" t="str">
        <f>VLOOKUP(Purchase[[#This Row],[Supplier ID]],Supplier[#All],6,0)</f>
        <v>GST2154521T032</v>
      </c>
      <c r="I1137" s="138" t="s">
        <v>364</v>
      </c>
      <c r="J1137" s="139">
        <v>29</v>
      </c>
      <c r="K1137" s="143">
        <f>VLOOKUP(Purchase[[#This Row],[Product ID]],Product[#All],6,0)</f>
        <v>36391</v>
      </c>
      <c r="L1137" s="143">
        <f>Purchase[[#This Row],[Purchase Rate]]*Purchase[[#This Row],[Qty]]</f>
        <v>1055339</v>
      </c>
      <c r="M1137" s="140">
        <v>0</v>
      </c>
      <c r="N1137" s="143">
        <v>0</v>
      </c>
      <c r="O1137" s="140">
        <v>0.18</v>
      </c>
      <c r="P1137" s="145">
        <f>(Purchase[[#This Row],[Gross Amount]]-Purchase[[#This Row],[Disct %]])*Purchase[[#This Row],[GST %]]</f>
        <v>189961.02</v>
      </c>
      <c r="Q1137" s="145">
        <f>Purchase[[#This Row],[Gross Amount]]-Purchase[[#This Row],[Disct Amnt]]+Purchase[[#This Row],[GST Amount]]</f>
        <v>1245300.02</v>
      </c>
      <c r="R1137" s="138" t="s">
        <v>1019</v>
      </c>
      <c r="S1137" s="41">
        <f>IF(Purchase[[#This Row],[Status]]="Cancelled",0,Purchase[[#This Row],[Qty]])</f>
        <v>29</v>
      </c>
      <c r="T1137" s="146">
        <f>IF(Purchase[[#This Row],[Status]]="Cancelled",0,Purchase[[#This Row],[Total Amount]])</f>
        <v>1245300.02</v>
      </c>
      <c r="U1137" s="146">
        <f>SUM(Purchase[Net Amount])</f>
        <v>814985438.68000126</v>
      </c>
    </row>
    <row r="1138" spans="1:21" ht="19.5" thickBot="1" x14ac:dyDescent="0.3">
      <c r="A1138" s="136" t="s">
        <v>2185</v>
      </c>
      <c r="B1138" s="137">
        <v>45714</v>
      </c>
      <c r="C1138" s="138" t="s">
        <v>591</v>
      </c>
      <c r="D1138" s="138" t="str">
        <f>VLOOKUP(Purchase[[#This Row],[Supplier ID]],Supplier[#All],2,0)</f>
        <v>Shree Computers</v>
      </c>
      <c r="E1138" s="138">
        <f>VLOOKUP(Purchase[[#This Row],[Supplier ID]],Supplier[#All],3,0)</f>
        <v>9689542475</v>
      </c>
      <c r="F1138" s="138" t="str">
        <f>VLOOKUP(Purchase[[#This Row],[Supplier ID]],Supplier[#All],4,0)</f>
        <v>Indore</v>
      </c>
      <c r="G1138" s="138" t="str">
        <f>VLOOKUP(Purchase[[#This Row],[Supplier ID]],Supplier[#All],5,0)</f>
        <v>MP</v>
      </c>
      <c r="H1138" s="138" t="str">
        <f>VLOOKUP(Purchase[[#This Row],[Supplier ID]],Supplier[#All],6,0)</f>
        <v>GST2154521T037</v>
      </c>
      <c r="I1138" s="138" t="s">
        <v>536</v>
      </c>
      <c r="J1138" s="139">
        <v>16</v>
      </c>
      <c r="K1138" s="143">
        <f>VLOOKUP(Purchase[[#This Row],[Product ID]],Product[#All],6,0)</f>
        <v>961</v>
      </c>
      <c r="L1138" s="143">
        <f>Purchase[[#This Row],[Purchase Rate]]*Purchase[[#This Row],[Qty]]</f>
        <v>15376</v>
      </c>
      <c r="M1138" s="140">
        <v>0</v>
      </c>
      <c r="N1138" s="143">
        <v>0</v>
      </c>
      <c r="O1138" s="140">
        <v>0.18</v>
      </c>
      <c r="P1138" s="145">
        <f>(Purchase[[#This Row],[Gross Amount]]-Purchase[[#This Row],[Disct %]])*Purchase[[#This Row],[GST %]]</f>
        <v>2767.68</v>
      </c>
      <c r="Q1138" s="145">
        <f>Purchase[[#This Row],[Gross Amount]]-Purchase[[#This Row],[Disct Amnt]]+Purchase[[#This Row],[GST Amount]]</f>
        <v>18143.68</v>
      </c>
      <c r="R1138" s="138" t="s">
        <v>1019</v>
      </c>
      <c r="S1138" s="41">
        <f>IF(Purchase[[#This Row],[Status]]="Cancelled",0,Purchase[[#This Row],[Qty]])</f>
        <v>16</v>
      </c>
      <c r="T1138" s="146">
        <f>IF(Purchase[[#This Row],[Status]]="Cancelled",0,Purchase[[#This Row],[Total Amount]])</f>
        <v>18143.68</v>
      </c>
      <c r="U1138" s="146">
        <f>SUM(Purchase[Net Amount])</f>
        <v>814985438.68000126</v>
      </c>
    </row>
    <row r="1139" spans="1:21" ht="19.5" thickBot="1" x14ac:dyDescent="0.3">
      <c r="A1139" s="136" t="s">
        <v>2186</v>
      </c>
      <c r="B1139" s="137">
        <v>45714</v>
      </c>
      <c r="C1139" s="138" t="s">
        <v>585</v>
      </c>
      <c r="D1139" s="138" t="str">
        <f>VLOOKUP(Purchase[[#This Row],[Supplier ID]],Supplier[#All],2,0)</f>
        <v>Tech Computers</v>
      </c>
      <c r="E1139" s="138">
        <f>VLOOKUP(Purchase[[#This Row],[Supplier ID]],Supplier[#All],3,0)</f>
        <v>9689542469</v>
      </c>
      <c r="F1139" s="138" t="str">
        <f>VLOOKUP(Purchase[[#This Row],[Supplier ID]],Supplier[#All],4,0)</f>
        <v>Korba</v>
      </c>
      <c r="G1139" s="138" t="str">
        <f>VLOOKUP(Purchase[[#This Row],[Supplier ID]],Supplier[#All],5,0)</f>
        <v>CG</v>
      </c>
      <c r="H1139" s="138" t="str">
        <f>VLOOKUP(Purchase[[#This Row],[Supplier ID]],Supplier[#All],6,0)</f>
        <v>GST2154521T031</v>
      </c>
      <c r="I1139" s="138" t="s">
        <v>276</v>
      </c>
      <c r="J1139" s="139">
        <v>27</v>
      </c>
      <c r="K1139" s="143">
        <f>VLOOKUP(Purchase[[#This Row],[Product ID]],Product[#All],6,0)</f>
        <v>6200</v>
      </c>
      <c r="L1139" s="143">
        <f>Purchase[[#This Row],[Purchase Rate]]*Purchase[[#This Row],[Qty]]</f>
        <v>167400</v>
      </c>
      <c r="M1139" s="140">
        <v>0</v>
      </c>
      <c r="N1139" s="143">
        <v>0</v>
      </c>
      <c r="O1139" s="140">
        <v>0.18</v>
      </c>
      <c r="P1139" s="145">
        <f>(Purchase[[#This Row],[Gross Amount]]-Purchase[[#This Row],[Disct %]])*Purchase[[#This Row],[GST %]]</f>
        <v>30132</v>
      </c>
      <c r="Q1139" s="145">
        <f>Purchase[[#This Row],[Gross Amount]]-Purchase[[#This Row],[Disct Amnt]]+Purchase[[#This Row],[GST Amount]]</f>
        <v>197532</v>
      </c>
      <c r="R1139" s="138" t="s">
        <v>1019</v>
      </c>
      <c r="S1139" s="41">
        <f>IF(Purchase[[#This Row],[Status]]="Cancelled",0,Purchase[[#This Row],[Qty]])</f>
        <v>27</v>
      </c>
      <c r="T1139" s="146">
        <f>IF(Purchase[[#This Row],[Status]]="Cancelled",0,Purchase[[#This Row],[Total Amount]])</f>
        <v>197532</v>
      </c>
      <c r="U1139" s="146">
        <f>SUM(Purchase[Net Amount])</f>
        <v>814985438.68000126</v>
      </c>
    </row>
    <row r="1140" spans="1:21" ht="19.5" thickBot="1" x14ac:dyDescent="0.3">
      <c r="A1140" s="136" t="s">
        <v>2187</v>
      </c>
      <c r="B1140" s="137">
        <v>45714</v>
      </c>
      <c r="C1140" s="138" t="s">
        <v>573</v>
      </c>
      <c r="D1140" s="138" t="str">
        <f>VLOOKUP(Purchase[[#This Row],[Supplier ID]],Supplier[#All],2,0)</f>
        <v>Shree Traders</v>
      </c>
      <c r="E1140" s="138">
        <f>VLOOKUP(Purchase[[#This Row],[Supplier ID]],Supplier[#All],3,0)</f>
        <v>9689542458</v>
      </c>
      <c r="F1140" s="138" t="str">
        <f>VLOOKUP(Purchase[[#This Row],[Supplier ID]],Supplier[#All],4,0)</f>
        <v>Korba</v>
      </c>
      <c r="G1140" s="138" t="str">
        <f>VLOOKUP(Purchase[[#This Row],[Supplier ID]],Supplier[#All],5,0)</f>
        <v>CG</v>
      </c>
      <c r="H1140" s="138" t="str">
        <f>VLOOKUP(Purchase[[#This Row],[Supplier ID]],Supplier[#All],6,0)</f>
        <v>GST2154521T020</v>
      </c>
      <c r="I1140" s="138" t="s">
        <v>502</v>
      </c>
      <c r="J1140" s="139">
        <v>39</v>
      </c>
      <c r="K1140" s="143">
        <f>VLOOKUP(Purchase[[#This Row],[Product ID]],Product[#All],6,0)</f>
        <v>24343</v>
      </c>
      <c r="L1140" s="143">
        <f>Purchase[[#This Row],[Purchase Rate]]*Purchase[[#This Row],[Qty]]</f>
        <v>949377</v>
      </c>
      <c r="M1140" s="140">
        <v>0</v>
      </c>
      <c r="N1140" s="143">
        <v>0</v>
      </c>
      <c r="O1140" s="140">
        <v>0.18</v>
      </c>
      <c r="P1140" s="145">
        <f>(Purchase[[#This Row],[Gross Amount]]-Purchase[[#This Row],[Disct %]])*Purchase[[#This Row],[GST %]]</f>
        <v>170887.86</v>
      </c>
      <c r="Q1140" s="145">
        <f>Purchase[[#This Row],[Gross Amount]]-Purchase[[#This Row],[Disct Amnt]]+Purchase[[#This Row],[GST Amount]]</f>
        <v>1120264.8599999999</v>
      </c>
      <c r="R1140" s="138" t="s">
        <v>1019</v>
      </c>
      <c r="S1140" s="41">
        <f>IF(Purchase[[#This Row],[Status]]="Cancelled",0,Purchase[[#This Row],[Qty]])</f>
        <v>39</v>
      </c>
      <c r="T1140" s="146">
        <f>IF(Purchase[[#This Row],[Status]]="Cancelled",0,Purchase[[#This Row],[Total Amount]])</f>
        <v>1120264.8599999999</v>
      </c>
      <c r="U1140" s="146">
        <f>SUM(Purchase[Net Amount])</f>
        <v>814985438.68000126</v>
      </c>
    </row>
    <row r="1141" spans="1:21" ht="19.5" thickBot="1" x14ac:dyDescent="0.3">
      <c r="A1141" s="136" t="s">
        <v>2188</v>
      </c>
      <c r="B1141" s="137">
        <v>45714</v>
      </c>
      <c r="C1141" s="138" t="s">
        <v>611</v>
      </c>
      <c r="D1141" s="138" t="str">
        <f>VLOOKUP(Purchase[[#This Row],[Supplier ID]],Supplier[#All],2,0)</f>
        <v>National Distributors</v>
      </c>
      <c r="E1141" s="138">
        <f>VLOOKUP(Purchase[[#This Row],[Supplier ID]],Supplier[#All],3,0)</f>
        <v>9689542494</v>
      </c>
      <c r="F1141" s="138" t="str">
        <f>VLOOKUP(Purchase[[#This Row],[Supplier ID]],Supplier[#All],4,0)</f>
        <v>Korba</v>
      </c>
      <c r="G1141" s="138" t="str">
        <f>VLOOKUP(Purchase[[#This Row],[Supplier ID]],Supplier[#All],5,0)</f>
        <v>CG</v>
      </c>
      <c r="H1141" s="138" t="str">
        <f>VLOOKUP(Purchase[[#This Row],[Supplier ID]],Supplier[#All],6,0)</f>
        <v>GST2154521T056</v>
      </c>
      <c r="I1141" s="138" t="s">
        <v>412</v>
      </c>
      <c r="J1141" s="139">
        <v>28</v>
      </c>
      <c r="K1141" s="143">
        <f>VLOOKUP(Purchase[[#This Row],[Product ID]],Product[#All],6,0)</f>
        <v>23332</v>
      </c>
      <c r="L1141" s="143">
        <f>Purchase[[#This Row],[Purchase Rate]]*Purchase[[#This Row],[Qty]]</f>
        <v>653296</v>
      </c>
      <c r="M1141" s="140">
        <v>0</v>
      </c>
      <c r="N1141" s="143">
        <v>0</v>
      </c>
      <c r="O1141" s="140">
        <v>0.18</v>
      </c>
      <c r="P1141" s="145">
        <f>(Purchase[[#This Row],[Gross Amount]]-Purchase[[#This Row],[Disct %]])*Purchase[[#This Row],[GST %]]</f>
        <v>117593.28</v>
      </c>
      <c r="Q1141" s="145">
        <f>Purchase[[#This Row],[Gross Amount]]-Purchase[[#This Row],[Disct Amnt]]+Purchase[[#This Row],[GST Amount]]</f>
        <v>770889.28</v>
      </c>
      <c r="R1141" s="138" t="s">
        <v>1019</v>
      </c>
      <c r="S1141" s="41">
        <f>IF(Purchase[[#This Row],[Status]]="Cancelled",0,Purchase[[#This Row],[Qty]])</f>
        <v>28</v>
      </c>
      <c r="T1141" s="146">
        <f>IF(Purchase[[#This Row],[Status]]="Cancelled",0,Purchase[[#This Row],[Total Amount]])</f>
        <v>770889.28</v>
      </c>
      <c r="U1141" s="146">
        <f>SUM(Purchase[Net Amount])</f>
        <v>814985438.68000126</v>
      </c>
    </row>
    <row r="1142" spans="1:21" ht="19.5" thickBot="1" x14ac:dyDescent="0.3">
      <c r="A1142" s="136" t="s">
        <v>2189</v>
      </c>
      <c r="B1142" s="137">
        <v>45714</v>
      </c>
      <c r="C1142" s="138" t="s">
        <v>590</v>
      </c>
      <c r="D1142" s="138" t="str">
        <f>VLOOKUP(Purchase[[#This Row],[Supplier ID]],Supplier[#All],2,0)</f>
        <v>Star Distributors</v>
      </c>
      <c r="E1142" s="138">
        <f>VLOOKUP(Purchase[[#This Row],[Supplier ID]],Supplier[#All],3,0)</f>
        <v>9689542474</v>
      </c>
      <c r="F1142" s="138" t="str">
        <f>VLOOKUP(Purchase[[#This Row],[Supplier ID]],Supplier[#All],4,0)</f>
        <v>Kanpur</v>
      </c>
      <c r="G1142" s="138" t="str">
        <f>VLOOKUP(Purchase[[#This Row],[Supplier ID]],Supplier[#All],5,0)</f>
        <v>UP</v>
      </c>
      <c r="H1142" s="138" t="str">
        <f>VLOOKUP(Purchase[[#This Row],[Supplier ID]],Supplier[#All],6,0)</f>
        <v>GST2154521T036</v>
      </c>
      <c r="I1142" s="138" t="s">
        <v>222</v>
      </c>
      <c r="J1142" s="139">
        <v>32</v>
      </c>
      <c r="K1142" s="143">
        <f>VLOOKUP(Purchase[[#This Row],[Product ID]],Product[#All],6,0)</f>
        <v>6513</v>
      </c>
      <c r="L1142" s="143">
        <f>Purchase[[#This Row],[Purchase Rate]]*Purchase[[#This Row],[Qty]]</f>
        <v>208416</v>
      </c>
      <c r="M1142" s="140">
        <v>0</v>
      </c>
      <c r="N1142" s="143">
        <v>0</v>
      </c>
      <c r="O1142" s="140">
        <v>0.18</v>
      </c>
      <c r="P1142" s="145">
        <f>(Purchase[[#This Row],[Gross Amount]]-Purchase[[#This Row],[Disct %]])*Purchase[[#This Row],[GST %]]</f>
        <v>37514.879999999997</v>
      </c>
      <c r="Q1142" s="145">
        <f>Purchase[[#This Row],[Gross Amount]]-Purchase[[#This Row],[Disct Amnt]]+Purchase[[#This Row],[GST Amount]]</f>
        <v>245930.88</v>
      </c>
      <c r="R1142" s="138" t="s">
        <v>1019</v>
      </c>
      <c r="S1142" s="41">
        <f>IF(Purchase[[#This Row],[Status]]="Cancelled",0,Purchase[[#This Row],[Qty]])</f>
        <v>32</v>
      </c>
      <c r="T1142" s="146">
        <f>IF(Purchase[[#This Row],[Status]]="Cancelled",0,Purchase[[#This Row],[Total Amount]])</f>
        <v>245930.88</v>
      </c>
      <c r="U1142" s="146">
        <f>SUM(Purchase[Net Amount])</f>
        <v>814985438.68000126</v>
      </c>
    </row>
    <row r="1143" spans="1:21" ht="19.5" thickBot="1" x14ac:dyDescent="0.3">
      <c r="A1143" s="136" t="s">
        <v>2190</v>
      </c>
      <c r="B1143" s="137">
        <v>45714</v>
      </c>
      <c r="C1143" s="138" t="s">
        <v>605</v>
      </c>
      <c r="D1143" s="138" t="str">
        <f>VLOOKUP(Purchase[[#This Row],[Supplier ID]],Supplier[#All],2,0)</f>
        <v>Star Traders</v>
      </c>
      <c r="E1143" s="138">
        <f>VLOOKUP(Purchase[[#This Row],[Supplier ID]],Supplier[#All],3,0)</f>
        <v>9689542488</v>
      </c>
      <c r="F1143" s="138" t="str">
        <f>VLOOKUP(Purchase[[#This Row],[Supplier ID]],Supplier[#All],4,0)</f>
        <v>Indore</v>
      </c>
      <c r="G1143" s="138" t="str">
        <f>VLOOKUP(Purchase[[#This Row],[Supplier ID]],Supplier[#All],5,0)</f>
        <v>MP</v>
      </c>
      <c r="H1143" s="138" t="str">
        <f>VLOOKUP(Purchase[[#This Row],[Supplier ID]],Supplier[#All],6,0)</f>
        <v>GST2154521T050</v>
      </c>
      <c r="I1143" s="138" t="s">
        <v>519</v>
      </c>
      <c r="J1143" s="139">
        <v>27</v>
      </c>
      <c r="K1143" s="143">
        <f>VLOOKUP(Purchase[[#This Row],[Product ID]],Product[#All],6,0)</f>
        <v>7430</v>
      </c>
      <c r="L1143" s="143">
        <f>Purchase[[#This Row],[Purchase Rate]]*Purchase[[#This Row],[Qty]]</f>
        <v>200610</v>
      </c>
      <c r="M1143" s="140">
        <v>0</v>
      </c>
      <c r="N1143" s="143">
        <v>0</v>
      </c>
      <c r="O1143" s="140">
        <v>0.18</v>
      </c>
      <c r="P1143" s="145">
        <f>(Purchase[[#This Row],[Gross Amount]]-Purchase[[#This Row],[Disct %]])*Purchase[[#This Row],[GST %]]</f>
        <v>36109.799999999996</v>
      </c>
      <c r="Q1143" s="145">
        <f>Purchase[[#This Row],[Gross Amount]]-Purchase[[#This Row],[Disct Amnt]]+Purchase[[#This Row],[GST Amount]]</f>
        <v>236719.8</v>
      </c>
      <c r="R1143" s="138" t="s">
        <v>1019</v>
      </c>
      <c r="S1143" s="41">
        <f>IF(Purchase[[#This Row],[Status]]="Cancelled",0,Purchase[[#This Row],[Qty]])</f>
        <v>27</v>
      </c>
      <c r="T1143" s="146">
        <f>IF(Purchase[[#This Row],[Status]]="Cancelled",0,Purchase[[#This Row],[Total Amount]])</f>
        <v>236719.8</v>
      </c>
      <c r="U1143" s="146">
        <f>SUM(Purchase[Net Amount])</f>
        <v>814985438.68000126</v>
      </c>
    </row>
    <row r="1144" spans="1:21" ht="19.5" thickBot="1" x14ac:dyDescent="0.3">
      <c r="A1144" s="136" t="s">
        <v>2191</v>
      </c>
      <c r="B1144" s="137">
        <v>45714</v>
      </c>
      <c r="C1144" s="138" t="s">
        <v>611</v>
      </c>
      <c r="D1144" s="138" t="str">
        <f>VLOOKUP(Purchase[[#This Row],[Supplier ID]],Supplier[#All],2,0)</f>
        <v>National Distributors</v>
      </c>
      <c r="E1144" s="138">
        <f>VLOOKUP(Purchase[[#This Row],[Supplier ID]],Supplier[#All],3,0)</f>
        <v>9689542494</v>
      </c>
      <c r="F1144" s="138" t="str">
        <f>VLOOKUP(Purchase[[#This Row],[Supplier ID]],Supplier[#All],4,0)</f>
        <v>Korba</v>
      </c>
      <c r="G1144" s="138" t="str">
        <f>VLOOKUP(Purchase[[#This Row],[Supplier ID]],Supplier[#All],5,0)</f>
        <v>CG</v>
      </c>
      <c r="H1144" s="138" t="str">
        <f>VLOOKUP(Purchase[[#This Row],[Supplier ID]],Supplier[#All],6,0)</f>
        <v>GST2154521T056</v>
      </c>
      <c r="I1144" s="138" t="s">
        <v>534</v>
      </c>
      <c r="J1144" s="139">
        <v>38</v>
      </c>
      <c r="K1144" s="143">
        <f>VLOOKUP(Purchase[[#This Row],[Product ID]],Product[#All],6,0)</f>
        <v>31624</v>
      </c>
      <c r="L1144" s="143">
        <f>Purchase[[#This Row],[Purchase Rate]]*Purchase[[#This Row],[Qty]]</f>
        <v>1201712</v>
      </c>
      <c r="M1144" s="140">
        <v>0</v>
      </c>
      <c r="N1144" s="143">
        <v>0</v>
      </c>
      <c r="O1144" s="140">
        <v>0.18</v>
      </c>
      <c r="P1144" s="145">
        <f>(Purchase[[#This Row],[Gross Amount]]-Purchase[[#This Row],[Disct %]])*Purchase[[#This Row],[GST %]]</f>
        <v>216308.16</v>
      </c>
      <c r="Q1144" s="145">
        <f>Purchase[[#This Row],[Gross Amount]]-Purchase[[#This Row],[Disct Amnt]]+Purchase[[#This Row],[GST Amount]]</f>
        <v>1418020.16</v>
      </c>
      <c r="R1144" s="138" t="s">
        <v>1019</v>
      </c>
      <c r="S1144" s="41">
        <f>IF(Purchase[[#This Row],[Status]]="Cancelled",0,Purchase[[#This Row],[Qty]])</f>
        <v>38</v>
      </c>
      <c r="T1144" s="146">
        <f>IF(Purchase[[#This Row],[Status]]="Cancelled",0,Purchase[[#This Row],[Total Amount]])</f>
        <v>1418020.16</v>
      </c>
      <c r="U1144" s="146">
        <f>SUM(Purchase[Net Amount])</f>
        <v>814985438.68000126</v>
      </c>
    </row>
    <row r="1145" spans="1:21" ht="19.5" thickBot="1" x14ac:dyDescent="0.3">
      <c r="A1145" s="136" t="s">
        <v>2192</v>
      </c>
      <c r="B1145" s="137">
        <v>45714</v>
      </c>
      <c r="C1145" s="138" t="s">
        <v>593</v>
      </c>
      <c r="D1145" s="138" t="str">
        <f>VLOOKUP(Purchase[[#This Row],[Supplier ID]],Supplier[#All],2,0)</f>
        <v>Global Suppliers</v>
      </c>
      <c r="E1145" s="138">
        <f>VLOOKUP(Purchase[[#This Row],[Supplier ID]],Supplier[#All],3,0)</f>
        <v>9689542476</v>
      </c>
      <c r="F1145" s="138" t="str">
        <f>VLOOKUP(Purchase[[#This Row],[Supplier ID]],Supplier[#All],4,0)</f>
        <v>Korba</v>
      </c>
      <c r="G1145" s="138" t="str">
        <f>VLOOKUP(Purchase[[#This Row],[Supplier ID]],Supplier[#All],5,0)</f>
        <v>CG</v>
      </c>
      <c r="H1145" s="138" t="str">
        <f>VLOOKUP(Purchase[[#This Row],[Supplier ID]],Supplier[#All],6,0)</f>
        <v>GST2154521T038</v>
      </c>
      <c r="I1145" s="138" t="s">
        <v>326</v>
      </c>
      <c r="J1145" s="139">
        <v>30</v>
      </c>
      <c r="K1145" s="143">
        <f>VLOOKUP(Purchase[[#This Row],[Product ID]],Product[#All],6,0)</f>
        <v>6904</v>
      </c>
      <c r="L1145" s="143">
        <f>Purchase[[#This Row],[Purchase Rate]]*Purchase[[#This Row],[Qty]]</f>
        <v>207120</v>
      </c>
      <c r="M1145" s="140">
        <v>0</v>
      </c>
      <c r="N1145" s="143">
        <v>0</v>
      </c>
      <c r="O1145" s="140">
        <v>0.18</v>
      </c>
      <c r="P1145" s="145">
        <f>(Purchase[[#This Row],[Gross Amount]]-Purchase[[#This Row],[Disct %]])*Purchase[[#This Row],[GST %]]</f>
        <v>37281.599999999999</v>
      </c>
      <c r="Q1145" s="145">
        <f>Purchase[[#This Row],[Gross Amount]]-Purchase[[#This Row],[Disct Amnt]]+Purchase[[#This Row],[GST Amount]]</f>
        <v>244401.6</v>
      </c>
      <c r="R1145" s="138" t="s">
        <v>1040</v>
      </c>
      <c r="S1145" s="41">
        <f>IF(Purchase[[#This Row],[Status]]="Cancelled",0,Purchase[[#This Row],[Qty]])</f>
        <v>0</v>
      </c>
      <c r="T1145" s="146">
        <f>IF(Purchase[[#This Row],[Status]]="Cancelled",0,Purchase[[#This Row],[Total Amount]])</f>
        <v>0</v>
      </c>
      <c r="U1145" s="146">
        <f>SUM(Purchase[Net Amount])</f>
        <v>814985438.68000126</v>
      </c>
    </row>
    <row r="1146" spans="1:21" ht="19.5" thickBot="1" x14ac:dyDescent="0.3">
      <c r="A1146" s="136" t="s">
        <v>2193</v>
      </c>
      <c r="B1146" s="137">
        <v>45714</v>
      </c>
      <c r="C1146" s="138" t="s">
        <v>604</v>
      </c>
      <c r="D1146" s="138" t="str">
        <f>VLOOKUP(Purchase[[#This Row],[Supplier ID]],Supplier[#All],2,0)</f>
        <v>Prime Traders</v>
      </c>
      <c r="E1146" s="138">
        <f>VLOOKUP(Purchase[[#This Row],[Supplier ID]],Supplier[#All],3,0)</f>
        <v>9689542487</v>
      </c>
      <c r="F1146" s="138" t="str">
        <f>VLOOKUP(Purchase[[#This Row],[Supplier ID]],Supplier[#All],4,0)</f>
        <v>Indore</v>
      </c>
      <c r="G1146" s="138" t="str">
        <f>VLOOKUP(Purchase[[#This Row],[Supplier ID]],Supplier[#All],5,0)</f>
        <v>MP</v>
      </c>
      <c r="H1146" s="138" t="str">
        <f>VLOOKUP(Purchase[[#This Row],[Supplier ID]],Supplier[#All],6,0)</f>
        <v>GST2154521T049</v>
      </c>
      <c r="I1146" s="138" t="s">
        <v>280</v>
      </c>
      <c r="J1146" s="139">
        <v>15</v>
      </c>
      <c r="K1146" s="143">
        <f>VLOOKUP(Purchase[[#This Row],[Product ID]],Product[#All],6,0)</f>
        <v>28461</v>
      </c>
      <c r="L1146" s="143">
        <f>Purchase[[#This Row],[Purchase Rate]]*Purchase[[#This Row],[Qty]]</f>
        <v>426915</v>
      </c>
      <c r="M1146" s="140">
        <v>0</v>
      </c>
      <c r="N1146" s="143">
        <v>0</v>
      </c>
      <c r="O1146" s="140">
        <v>0.18</v>
      </c>
      <c r="P1146" s="145">
        <f>(Purchase[[#This Row],[Gross Amount]]-Purchase[[#This Row],[Disct %]])*Purchase[[#This Row],[GST %]]</f>
        <v>76844.7</v>
      </c>
      <c r="Q1146" s="145">
        <f>Purchase[[#This Row],[Gross Amount]]-Purchase[[#This Row],[Disct Amnt]]+Purchase[[#This Row],[GST Amount]]</f>
        <v>503759.7</v>
      </c>
      <c r="R1146" s="138" t="s">
        <v>1019</v>
      </c>
      <c r="S1146" s="41">
        <f>IF(Purchase[[#This Row],[Status]]="Cancelled",0,Purchase[[#This Row],[Qty]])</f>
        <v>15</v>
      </c>
      <c r="T1146" s="146">
        <f>IF(Purchase[[#This Row],[Status]]="Cancelled",0,Purchase[[#This Row],[Total Amount]])</f>
        <v>503759.7</v>
      </c>
      <c r="U1146" s="146">
        <f>SUM(Purchase[Net Amount])</f>
        <v>814985438.68000126</v>
      </c>
    </row>
    <row r="1147" spans="1:21" ht="19.5" thickBot="1" x14ac:dyDescent="0.3">
      <c r="A1147" s="136" t="s">
        <v>2194</v>
      </c>
      <c r="B1147" s="137">
        <v>45714</v>
      </c>
      <c r="C1147" s="138" t="s">
        <v>596</v>
      </c>
      <c r="D1147" s="138" t="str">
        <f>VLOOKUP(Purchase[[#This Row],[Supplier ID]],Supplier[#All],2,0)</f>
        <v>star traders</v>
      </c>
      <c r="E1147" s="138">
        <f>VLOOKUP(Purchase[[#This Row],[Supplier ID]],Supplier[#All],3,0)</f>
        <v>9689542479</v>
      </c>
      <c r="F1147" s="138" t="str">
        <f>VLOOKUP(Purchase[[#This Row],[Supplier ID]],Supplier[#All],4,0)</f>
        <v>Korba</v>
      </c>
      <c r="G1147" s="138" t="str">
        <f>VLOOKUP(Purchase[[#This Row],[Supplier ID]],Supplier[#All],5,0)</f>
        <v>CG</v>
      </c>
      <c r="H1147" s="138" t="str">
        <f>VLOOKUP(Purchase[[#This Row],[Supplier ID]],Supplier[#All],6,0)</f>
        <v>GST2154521T041</v>
      </c>
      <c r="I1147" s="138" t="s">
        <v>51</v>
      </c>
      <c r="J1147" s="139">
        <v>35</v>
      </c>
      <c r="K1147" s="143">
        <f>VLOOKUP(Purchase[[#This Row],[Product ID]],Product[#All],6,0)</f>
        <v>3994</v>
      </c>
      <c r="L1147" s="143">
        <f>Purchase[[#This Row],[Purchase Rate]]*Purchase[[#This Row],[Qty]]</f>
        <v>139790</v>
      </c>
      <c r="M1147" s="140">
        <v>0</v>
      </c>
      <c r="N1147" s="143">
        <v>0</v>
      </c>
      <c r="O1147" s="140">
        <v>0.18</v>
      </c>
      <c r="P1147" s="145">
        <f>(Purchase[[#This Row],[Gross Amount]]-Purchase[[#This Row],[Disct %]])*Purchase[[#This Row],[GST %]]</f>
        <v>25162.2</v>
      </c>
      <c r="Q1147" s="145">
        <f>Purchase[[#This Row],[Gross Amount]]-Purchase[[#This Row],[Disct Amnt]]+Purchase[[#This Row],[GST Amount]]</f>
        <v>164952.20000000001</v>
      </c>
      <c r="R1147" s="138" t="s">
        <v>1019</v>
      </c>
      <c r="S1147" s="41">
        <f>IF(Purchase[[#This Row],[Status]]="Cancelled",0,Purchase[[#This Row],[Qty]])</f>
        <v>35</v>
      </c>
      <c r="T1147" s="146">
        <f>IF(Purchase[[#This Row],[Status]]="Cancelled",0,Purchase[[#This Row],[Total Amount]])</f>
        <v>164952.20000000001</v>
      </c>
      <c r="U1147" s="146">
        <f>SUM(Purchase[Net Amount])</f>
        <v>814985438.68000126</v>
      </c>
    </row>
    <row r="1148" spans="1:21" ht="19.5" thickBot="1" x14ac:dyDescent="0.3">
      <c r="A1148" s="136" t="s">
        <v>2195</v>
      </c>
      <c r="B1148" s="137">
        <v>45714</v>
      </c>
      <c r="C1148" s="138" t="s">
        <v>605</v>
      </c>
      <c r="D1148" s="138" t="str">
        <f>VLOOKUP(Purchase[[#This Row],[Supplier ID]],Supplier[#All],2,0)</f>
        <v>Star Traders</v>
      </c>
      <c r="E1148" s="138">
        <f>VLOOKUP(Purchase[[#This Row],[Supplier ID]],Supplier[#All],3,0)</f>
        <v>9689542488</v>
      </c>
      <c r="F1148" s="138" t="str">
        <f>VLOOKUP(Purchase[[#This Row],[Supplier ID]],Supplier[#All],4,0)</f>
        <v>Indore</v>
      </c>
      <c r="G1148" s="138" t="str">
        <f>VLOOKUP(Purchase[[#This Row],[Supplier ID]],Supplier[#All],5,0)</f>
        <v>MP</v>
      </c>
      <c r="H1148" s="138" t="str">
        <f>VLOOKUP(Purchase[[#This Row],[Supplier ID]],Supplier[#All],6,0)</f>
        <v>GST2154521T050</v>
      </c>
      <c r="I1148" s="138" t="s">
        <v>538</v>
      </c>
      <c r="J1148" s="139">
        <v>10</v>
      </c>
      <c r="K1148" s="143">
        <f>VLOOKUP(Purchase[[#This Row],[Product ID]],Product[#All],6,0)</f>
        <v>36513</v>
      </c>
      <c r="L1148" s="143">
        <f>Purchase[[#This Row],[Purchase Rate]]*Purchase[[#This Row],[Qty]]</f>
        <v>365130</v>
      </c>
      <c r="M1148" s="140">
        <v>0</v>
      </c>
      <c r="N1148" s="143">
        <v>0</v>
      </c>
      <c r="O1148" s="140">
        <v>0.18</v>
      </c>
      <c r="P1148" s="145">
        <f>(Purchase[[#This Row],[Gross Amount]]-Purchase[[#This Row],[Disct %]])*Purchase[[#This Row],[GST %]]</f>
        <v>65723.399999999994</v>
      </c>
      <c r="Q1148" s="145">
        <f>Purchase[[#This Row],[Gross Amount]]-Purchase[[#This Row],[Disct Amnt]]+Purchase[[#This Row],[GST Amount]]</f>
        <v>430853.4</v>
      </c>
      <c r="R1148" s="138" t="s">
        <v>1019</v>
      </c>
      <c r="S1148" s="41">
        <f>IF(Purchase[[#This Row],[Status]]="Cancelled",0,Purchase[[#This Row],[Qty]])</f>
        <v>10</v>
      </c>
      <c r="T1148" s="146">
        <f>IF(Purchase[[#This Row],[Status]]="Cancelled",0,Purchase[[#This Row],[Total Amount]])</f>
        <v>430853.4</v>
      </c>
      <c r="U1148" s="146">
        <f>SUM(Purchase[Net Amount])</f>
        <v>814985438.68000126</v>
      </c>
    </row>
    <row r="1149" spans="1:21" ht="19.5" thickBot="1" x14ac:dyDescent="0.3">
      <c r="A1149" s="136" t="s">
        <v>2196</v>
      </c>
      <c r="B1149" s="137">
        <v>45714</v>
      </c>
      <c r="C1149" s="138" t="s">
        <v>586</v>
      </c>
      <c r="D1149" s="138" t="str">
        <f>VLOOKUP(Purchase[[#This Row],[Supplier ID]],Supplier[#All],2,0)</f>
        <v>Maa Traders</v>
      </c>
      <c r="E1149" s="138">
        <f>VLOOKUP(Purchase[[#This Row],[Supplier ID]],Supplier[#All],3,0)</f>
        <v>9689542470</v>
      </c>
      <c r="F1149" s="138" t="str">
        <f>VLOOKUP(Purchase[[#This Row],[Supplier ID]],Supplier[#All],4,0)</f>
        <v>Kanpur</v>
      </c>
      <c r="G1149" s="138" t="str">
        <f>VLOOKUP(Purchase[[#This Row],[Supplier ID]],Supplier[#All],5,0)</f>
        <v>UP</v>
      </c>
      <c r="H1149" s="138" t="str">
        <f>VLOOKUP(Purchase[[#This Row],[Supplier ID]],Supplier[#All],6,0)</f>
        <v>GST2154521T032</v>
      </c>
      <c r="I1149" s="138" t="s">
        <v>205</v>
      </c>
      <c r="J1149" s="139">
        <v>34</v>
      </c>
      <c r="K1149" s="143">
        <f>VLOOKUP(Purchase[[#This Row],[Product ID]],Product[#All],6,0)</f>
        <v>3906</v>
      </c>
      <c r="L1149" s="143">
        <f>Purchase[[#This Row],[Purchase Rate]]*Purchase[[#This Row],[Qty]]</f>
        <v>132804</v>
      </c>
      <c r="M1149" s="140">
        <v>0</v>
      </c>
      <c r="N1149" s="143">
        <v>0</v>
      </c>
      <c r="O1149" s="140">
        <v>0.18</v>
      </c>
      <c r="P1149" s="145">
        <f>(Purchase[[#This Row],[Gross Amount]]-Purchase[[#This Row],[Disct %]])*Purchase[[#This Row],[GST %]]</f>
        <v>23904.719999999998</v>
      </c>
      <c r="Q1149" s="145">
        <f>Purchase[[#This Row],[Gross Amount]]-Purchase[[#This Row],[Disct Amnt]]+Purchase[[#This Row],[GST Amount]]</f>
        <v>156708.72</v>
      </c>
      <c r="R1149" s="138" t="s">
        <v>1019</v>
      </c>
      <c r="S1149" s="41">
        <f>IF(Purchase[[#This Row],[Status]]="Cancelled",0,Purchase[[#This Row],[Qty]])</f>
        <v>34</v>
      </c>
      <c r="T1149" s="146">
        <f>IF(Purchase[[#This Row],[Status]]="Cancelled",0,Purchase[[#This Row],[Total Amount]])</f>
        <v>156708.72</v>
      </c>
      <c r="U1149" s="146">
        <f>SUM(Purchase[Net Amount])</f>
        <v>814985438.68000126</v>
      </c>
    </row>
    <row r="1150" spans="1:21" ht="19.5" thickBot="1" x14ac:dyDescent="0.3">
      <c r="A1150" s="136" t="s">
        <v>2197</v>
      </c>
      <c r="B1150" s="137">
        <v>45714</v>
      </c>
      <c r="C1150" s="138" t="s">
        <v>612</v>
      </c>
      <c r="D1150" s="138" t="str">
        <f>VLOOKUP(Purchase[[#This Row],[Supplier ID]],Supplier[#All],2,0)</f>
        <v>National Computers</v>
      </c>
      <c r="E1150" s="138">
        <f>VLOOKUP(Purchase[[#This Row],[Supplier ID]],Supplier[#All],3,0)</f>
        <v>9689542495</v>
      </c>
      <c r="F1150" s="138" t="str">
        <f>VLOOKUP(Purchase[[#This Row],[Supplier ID]],Supplier[#All],4,0)</f>
        <v>Indore</v>
      </c>
      <c r="G1150" s="138" t="str">
        <f>VLOOKUP(Purchase[[#This Row],[Supplier ID]],Supplier[#All],5,0)</f>
        <v>MP</v>
      </c>
      <c r="H1150" s="138" t="str">
        <f>VLOOKUP(Purchase[[#This Row],[Supplier ID]],Supplier[#All],6,0)</f>
        <v>GST2154521T057</v>
      </c>
      <c r="I1150" s="138" t="s">
        <v>543</v>
      </c>
      <c r="J1150" s="139">
        <v>24</v>
      </c>
      <c r="K1150" s="143">
        <f>VLOOKUP(Purchase[[#This Row],[Product ID]],Product[#All],6,0)</f>
        <v>2136</v>
      </c>
      <c r="L1150" s="143">
        <f>Purchase[[#This Row],[Purchase Rate]]*Purchase[[#This Row],[Qty]]</f>
        <v>51264</v>
      </c>
      <c r="M1150" s="140">
        <v>0</v>
      </c>
      <c r="N1150" s="143">
        <v>0</v>
      </c>
      <c r="O1150" s="140">
        <v>0.18</v>
      </c>
      <c r="P1150" s="145">
        <f>(Purchase[[#This Row],[Gross Amount]]-Purchase[[#This Row],[Disct %]])*Purchase[[#This Row],[GST %]]</f>
        <v>9227.52</v>
      </c>
      <c r="Q1150" s="145">
        <f>Purchase[[#This Row],[Gross Amount]]-Purchase[[#This Row],[Disct Amnt]]+Purchase[[#This Row],[GST Amount]]</f>
        <v>60491.520000000004</v>
      </c>
      <c r="R1150" s="138" t="s">
        <v>1019</v>
      </c>
      <c r="S1150" s="41">
        <f>IF(Purchase[[#This Row],[Status]]="Cancelled",0,Purchase[[#This Row],[Qty]])</f>
        <v>24</v>
      </c>
      <c r="T1150" s="146">
        <f>IF(Purchase[[#This Row],[Status]]="Cancelled",0,Purchase[[#This Row],[Total Amount]])</f>
        <v>60491.520000000004</v>
      </c>
      <c r="U1150" s="146">
        <f>SUM(Purchase[Net Amount])</f>
        <v>814985438.68000126</v>
      </c>
    </row>
    <row r="1151" spans="1:21" ht="19.5" thickBot="1" x14ac:dyDescent="0.3">
      <c r="A1151" s="136" t="s">
        <v>2198</v>
      </c>
      <c r="B1151" s="137">
        <v>45715</v>
      </c>
      <c r="C1151" s="138" t="s">
        <v>593</v>
      </c>
      <c r="D1151" s="138" t="str">
        <f>VLOOKUP(Purchase[[#This Row],[Supplier ID]],Supplier[#All],2,0)</f>
        <v>Global Suppliers</v>
      </c>
      <c r="E1151" s="138">
        <f>VLOOKUP(Purchase[[#This Row],[Supplier ID]],Supplier[#All],3,0)</f>
        <v>9689542476</v>
      </c>
      <c r="F1151" s="138" t="str">
        <f>VLOOKUP(Purchase[[#This Row],[Supplier ID]],Supplier[#All],4,0)</f>
        <v>Korba</v>
      </c>
      <c r="G1151" s="138" t="str">
        <f>VLOOKUP(Purchase[[#This Row],[Supplier ID]],Supplier[#All],5,0)</f>
        <v>CG</v>
      </c>
      <c r="H1151" s="138" t="str">
        <f>VLOOKUP(Purchase[[#This Row],[Supplier ID]],Supplier[#All],6,0)</f>
        <v>GST2154521T038</v>
      </c>
      <c r="I1151" s="138" t="s">
        <v>170</v>
      </c>
      <c r="J1151" s="139">
        <v>35</v>
      </c>
      <c r="K1151" s="143">
        <f>VLOOKUP(Purchase[[#This Row],[Product ID]],Product[#All],6,0)</f>
        <v>26168</v>
      </c>
      <c r="L1151" s="143">
        <f>Purchase[[#This Row],[Purchase Rate]]*Purchase[[#This Row],[Qty]]</f>
        <v>915880</v>
      </c>
      <c r="M1151" s="140">
        <v>0</v>
      </c>
      <c r="N1151" s="143">
        <v>0</v>
      </c>
      <c r="O1151" s="140">
        <v>0.18</v>
      </c>
      <c r="P1151" s="145">
        <f>(Purchase[[#This Row],[Gross Amount]]-Purchase[[#This Row],[Disct %]])*Purchase[[#This Row],[GST %]]</f>
        <v>164858.4</v>
      </c>
      <c r="Q1151" s="145">
        <f>Purchase[[#This Row],[Gross Amount]]-Purchase[[#This Row],[Disct Amnt]]+Purchase[[#This Row],[GST Amount]]</f>
        <v>1080738.3999999999</v>
      </c>
      <c r="R1151" s="138" t="s">
        <v>1019</v>
      </c>
      <c r="S1151" s="41">
        <f>IF(Purchase[[#This Row],[Status]]="Cancelled",0,Purchase[[#This Row],[Qty]])</f>
        <v>35</v>
      </c>
      <c r="T1151" s="146">
        <f>IF(Purchase[[#This Row],[Status]]="Cancelled",0,Purchase[[#This Row],[Total Amount]])</f>
        <v>1080738.3999999999</v>
      </c>
      <c r="U1151" s="146">
        <f>SUM(Purchase[Net Amount])</f>
        <v>814985438.68000126</v>
      </c>
    </row>
    <row r="1152" spans="1:21" ht="19.5" thickBot="1" x14ac:dyDescent="0.3">
      <c r="A1152" s="136" t="s">
        <v>2199</v>
      </c>
      <c r="B1152" s="137">
        <v>45715</v>
      </c>
      <c r="C1152" s="138" t="s">
        <v>564</v>
      </c>
      <c r="D1152" s="138" t="str">
        <f>VLOOKUP(Purchase[[#This Row],[Supplier ID]],Supplier[#All],2,0)</f>
        <v xml:space="preserve">Star Electronics </v>
      </c>
      <c r="E1152" s="138">
        <f>VLOOKUP(Purchase[[#This Row],[Supplier ID]],Supplier[#All],3,0)</f>
        <v>9689542450</v>
      </c>
      <c r="F1152" s="138" t="str">
        <f>VLOOKUP(Purchase[[#This Row],[Supplier ID]],Supplier[#All],4,0)</f>
        <v>Korba</v>
      </c>
      <c r="G1152" s="138" t="str">
        <f>VLOOKUP(Purchase[[#This Row],[Supplier ID]],Supplier[#All],5,0)</f>
        <v>CG</v>
      </c>
      <c r="H1152" s="138" t="str">
        <f>VLOOKUP(Purchase[[#This Row],[Supplier ID]],Supplier[#All],6,0)</f>
        <v>GST2154521T012</v>
      </c>
      <c r="I1152" s="138" t="s">
        <v>261</v>
      </c>
      <c r="J1152" s="139">
        <v>13</v>
      </c>
      <c r="K1152" s="143">
        <f>VLOOKUP(Purchase[[#This Row],[Product ID]],Product[#All],6,0)</f>
        <v>1130</v>
      </c>
      <c r="L1152" s="143">
        <f>Purchase[[#This Row],[Purchase Rate]]*Purchase[[#This Row],[Qty]]</f>
        <v>14690</v>
      </c>
      <c r="M1152" s="140">
        <v>0</v>
      </c>
      <c r="N1152" s="143">
        <v>0</v>
      </c>
      <c r="O1152" s="140">
        <v>0.18</v>
      </c>
      <c r="P1152" s="145">
        <f>(Purchase[[#This Row],[Gross Amount]]-Purchase[[#This Row],[Disct %]])*Purchase[[#This Row],[GST %]]</f>
        <v>2644.2</v>
      </c>
      <c r="Q1152" s="145">
        <f>Purchase[[#This Row],[Gross Amount]]-Purchase[[#This Row],[Disct Amnt]]+Purchase[[#This Row],[GST Amount]]</f>
        <v>17334.2</v>
      </c>
      <c r="R1152" s="138" t="s">
        <v>1019</v>
      </c>
      <c r="S1152" s="41">
        <f>IF(Purchase[[#This Row],[Status]]="Cancelled",0,Purchase[[#This Row],[Qty]])</f>
        <v>13</v>
      </c>
      <c r="T1152" s="146">
        <f>IF(Purchase[[#This Row],[Status]]="Cancelled",0,Purchase[[#This Row],[Total Amount]])</f>
        <v>17334.2</v>
      </c>
      <c r="U1152" s="146">
        <f>SUM(Purchase[Net Amount])</f>
        <v>814985438.68000126</v>
      </c>
    </row>
    <row r="1153" spans="1:21" ht="19.5" thickBot="1" x14ac:dyDescent="0.3">
      <c r="A1153" s="136" t="s">
        <v>2200</v>
      </c>
      <c r="B1153" s="137">
        <v>45715</v>
      </c>
      <c r="C1153" s="138" t="s">
        <v>583</v>
      </c>
      <c r="D1153" s="138" t="str">
        <f>VLOOKUP(Purchase[[#This Row],[Supplier ID]],Supplier[#All],2,0)</f>
        <v>Shree Distributors</v>
      </c>
      <c r="E1153" s="138">
        <f>VLOOKUP(Purchase[[#This Row],[Supplier ID]],Supplier[#All],3,0)</f>
        <v>9689542467</v>
      </c>
      <c r="F1153" s="138" t="str">
        <f>VLOOKUP(Purchase[[#This Row],[Supplier ID]],Supplier[#All],4,0)</f>
        <v>Indore</v>
      </c>
      <c r="G1153" s="138" t="str">
        <f>VLOOKUP(Purchase[[#This Row],[Supplier ID]],Supplier[#All],5,0)</f>
        <v>MP</v>
      </c>
      <c r="H1153" s="138" t="str">
        <f>VLOOKUP(Purchase[[#This Row],[Supplier ID]],Supplier[#All],6,0)</f>
        <v>GST2154521T029</v>
      </c>
      <c r="I1153" s="138" t="s">
        <v>240</v>
      </c>
      <c r="J1153" s="139">
        <v>33</v>
      </c>
      <c r="K1153" s="143">
        <f>VLOOKUP(Purchase[[#This Row],[Product ID]],Product[#All],6,0)</f>
        <v>2844</v>
      </c>
      <c r="L1153" s="143">
        <f>Purchase[[#This Row],[Purchase Rate]]*Purchase[[#This Row],[Qty]]</f>
        <v>93852</v>
      </c>
      <c r="M1153" s="140">
        <v>0</v>
      </c>
      <c r="N1153" s="143">
        <v>0</v>
      </c>
      <c r="O1153" s="140">
        <v>0.18</v>
      </c>
      <c r="P1153" s="145">
        <f>(Purchase[[#This Row],[Gross Amount]]-Purchase[[#This Row],[Disct %]])*Purchase[[#This Row],[GST %]]</f>
        <v>16893.36</v>
      </c>
      <c r="Q1153" s="145">
        <f>Purchase[[#This Row],[Gross Amount]]-Purchase[[#This Row],[Disct Amnt]]+Purchase[[#This Row],[GST Amount]]</f>
        <v>110745.36</v>
      </c>
      <c r="R1153" s="138" t="s">
        <v>1019</v>
      </c>
      <c r="S1153" s="41">
        <f>IF(Purchase[[#This Row],[Status]]="Cancelled",0,Purchase[[#This Row],[Qty]])</f>
        <v>33</v>
      </c>
      <c r="T1153" s="146">
        <f>IF(Purchase[[#This Row],[Status]]="Cancelled",0,Purchase[[#This Row],[Total Amount]])</f>
        <v>110745.36</v>
      </c>
      <c r="U1153" s="146">
        <f>SUM(Purchase[Net Amount])</f>
        <v>814985438.68000126</v>
      </c>
    </row>
    <row r="1154" spans="1:21" ht="19.5" thickBot="1" x14ac:dyDescent="0.3">
      <c r="A1154" s="136" t="s">
        <v>2201</v>
      </c>
      <c r="B1154" s="137">
        <v>45715</v>
      </c>
      <c r="C1154" s="138" t="s">
        <v>575</v>
      </c>
      <c r="D1154" s="138" t="str">
        <f>VLOOKUP(Purchase[[#This Row],[Supplier ID]],Supplier[#All],2,0)</f>
        <v>Global Computers</v>
      </c>
      <c r="E1154" s="138">
        <f>VLOOKUP(Purchase[[#This Row],[Supplier ID]],Supplier[#All],3,0)</f>
        <v>9689542459</v>
      </c>
      <c r="F1154" s="138" t="str">
        <f>VLOOKUP(Purchase[[#This Row],[Supplier ID]],Supplier[#All],4,0)</f>
        <v>Indore</v>
      </c>
      <c r="G1154" s="138" t="str">
        <f>VLOOKUP(Purchase[[#This Row],[Supplier ID]],Supplier[#All],5,0)</f>
        <v>MP</v>
      </c>
      <c r="H1154" s="138" t="str">
        <f>VLOOKUP(Purchase[[#This Row],[Supplier ID]],Supplier[#All],6,0)</f>
        <v>GST2154521T021</v>
      </c>
      <c r="I1154" s="138" t="s">
        <v>467</v>
      </c>
      <c r="J1154" s="139">
        <v>40</v>
      </c>
      <c r="K1154" s="143">
        <f>VLOOKUP(Purchase[[#This Row],[Product ID]],Product[#All],6,0)</f>
        <v>4805</v>
      </c>
      <c r="L1154" s="143">
        <f>Purchase[[#This Row],[Purchase Rate]]*Purchase[[#This Row],[Qty]]</f>
        <v>192200</v>
      </c>
      <c r="M1154" s="140">
        <v>0</v>
      </c>
      <c r="N1154" s="143">
        <v>0</v>
      </c>
      <c r="O1154" s="140">
        <v>0.18</v>
      </c>
      <c r="P1154" s="145">
        <f>(Purchase[[#This Row],[Gross Amount]]-Purchase[[#This Row],[Disct %]])*Purchase[[#This Row],[GST %]]</f>
        <v>34596</v>
      </c>
      <c r="Q1154" s="145">
        <f>Purchase[[#This Row],[Gross Amount]]-Purchase[[#This Row],[Disct Amnt]]+Purchase[[#This Row],[GST Amount]]</f>
        <v>226796</v>
      </c>
      <c r="R1154" s="138" t="s">
        <v>1019</v>
      </c>
      <c r="S1154" s="41">
        <f>IF(Purchase[[#This Row],[Status]]="Cancelled",0,Purchase[[#This Row],[Qty]])</f>
        <v>40</v>
      </c>
      <c r="T1154" s="146">
        <f>IF(Purchase[[#This Row],[Status]]="Cancelled",0,Purchase[[#This Row],[Total Amount]])</f>
        <v>226796</v>
      </c>
      <c r="U1154" s="146">
        <f>SUM(Purchase[Net Amount])</f>
        <v>814985438.68000126</v>
      </c>
    </row>
    <row r="1155" spans="1:21" ht="19.5" thickBot="1" x14ac:dyDescent="0.3">
      <c r="A1155" s="136" t="s">
        <v>2202</v>
      </c>
      <c r="B1155" s="137">
        <v>45715</v>
      </c>
      <c r="C1155" s="138" t="s">
        <v>577</v>
      </c>
      <c r="D1155" s="138" t="str">
        <f>VLOOKUP(Purchase[[#This Row],[Supplier ID]],Supplier[#All],2,0)</f>
        <v>National Electronics</v>
      </c>
      <c r="E1155" s="138">
        <f>VLOOKUP(Purchase[[#This Row],[Supplier ID]],Supplier[#All],3,0)</f>
        <v>9689542469</v>
      </c>
      <c r="F1155" s="138" t="str">
        <f>VLOOKUP(Purchase[[#This Row],[Supplier ID]],Supplier[#All],4,0)</f>
        <v>Korba</v>
      </c>
      <c r="G1155" s="138" t="str">
        <f>VLOOKUP(Purchase[[#This Row],[Supplier ID]],Supplier[#All],5,0)</f>
        <v>CG</v>
      </c>
      <c r="H1155" s="138" t="str">
        <f>VLOOKUP(Purchase[[#This Row],[Supplier ID]],Supplier[#All],6,0)</f>
        <v>GST2154521T023</v>
      </c>
      <c r="I1155" s="138" t="s">
        <v>523</v>
      </c>
      <c r="J1155" s="139">
        <v>40</v>
      </c>
      <c r="K1155" s="143">
        <f>VLOOKUP(Purchase[[#This Row],[Product ID]],Product[#All],6,0)</f>
        <v>1062</v>
      </c>
      <c r="L1155" s="143">
        <f>Purchase[[#This Row],[Purchase Rate]]*Purchase[[#This Row],[Qty]]</f>
        <v>42480</v>
      </c>
      <c r="M1155" s="140">
        <v>0</v>
      </c>
      <c r="N1155" s="143">
        <v>0</v>
      </c>
      <c r="O1155" s="140">
        <v>0.18</v>
      </c>
      <c r="P1155" s="145">
        <f>(Purchase[[#This Row],[Gross Amount]]-Purchase[[#This Row],[Disct %]])*Purchase[[#This Row],[GST %]]</f>
        <v>7646.4</v>
      </c>
      <c r="Q1155" s="145">
        <f>Purchase[[#This Row],[Gross Amount]]-Purchase[[#This Row],[Disct Amnt]]+Purchase[[#This Row],[GST Amount]]</f>
        <v>50126.400000000001</v>
      </c>
      <c r="R1155" s="138" t="s">
        <v>1019</v>
      </c>
      <c r="S1155" s="41">
        <f>IF(Purchase[[#This Row],[Status]]="Cancelled",0,Purchase[[#This Row],[Qty]])</f>
        <v>40</v>
      </c>
      <c r="T1155" s="146">
        <f>IF(Purchase[[#This Row],[Status]]="Cancelled",0,Purchase[[#This Row],[Total Amount]])</f>
        <v>50126.400000000001</v>
      </c>
      <c r="U1155" s="146">
        <f>SUM(Purchase[Net Amount])</f>
        <v>814985438.68000126</v>
      </c>
    </row>
    <row r="1156" spans="1:21" ht="19.5" thickBot="1" x14ac:dyDescent="0.3">
      <c r="A1156" s="136" t="s">
        <v>2203</v>
      </c>
      <c r="B1156" s="137">
        <v>45715</v>
      </c>
      <c r="C1156" s="138" t="s">
        <v>605</v>
      </c>
      <c r="D1156" s="138" t="str">
        <f>VLOOKUP(Purchase[[#This Row],[Supplier ID]],Supplier[#All],2,0)</f>
        <v>Star Traders</v>
      </c>
      <c r="E1156" s="138">
        <f>VLOOKUP(Purchase[[#This Row],[Supplier ID]],Supplier[#All],3,0)</f>
        <v>9689542488</v>
      </c>
      <c r="F1156" s="138" t="str">
        <f>VLOOKUP(Purchase[[#This Row],[Supplier ID]],Supplier[#All],4,0)</f>
        <v>Indore</v>
      </c>
      <c r="G1156" s="138" t="str">
        <f>VLOOKUP(Purchase[[#This Row],[Supplier ID]],Supplier[#All],5,0)</f>
        <v>MP</v>
      </c>
      <c r="H1156" s="138" t="str">
        <f>VLOOKUP(Purchase[[#This Row],[Supplier ID]],Supplier[#All],6,0)</f>
        <v>GST2154521T050</v>
      </c>
      <c r="I1156" s="138" t="s">
        <v>514</v>
      </c>
      <c r="J1156" s="139">
        <v>35</v>
      </c>
      <c r="K1156" s="143">
        <f>VLOOKUP(Purchase[[#This Row],[Product ID]],Product[#All],6,0)</f>
        <v>3697</v>
      </c>
      <c r="L1156" s="143">
        <f>Purchase[[#This Row],[Purchase Rate]]*Purchase[[#This Row],[Qty]]</f>
        <v>129395</v>
      </c>
      <c r="M1156" s="140">
        <v>0</v>
      </c>
      <c r="N1156" s="143">
        <v>0</v>
      </c>
      <c r="O1156" s="140">
        <v>0.18</v>
      </c>
      <c r="P1156" s="145">
        <f>(Purchase[[#This Row],[Gross Amount]]-Purchase[[#This Row],[Disct %]])*Purchase[[#This Row],[GST %]]</f>
        <v>23291.1</v>
      </c>
      <c r="Q1156" s="145">
        <f>Purchase[[#This Row],[Gross Amount]]-Purchase[[#This Row],[Disct Amnt]]+Purchase[[#This Row],[GST Amount]]</f>
        <v>152686.1</v>
      </c>
      <c r="R1156" s="138" t="s">
        <v>1019</v>
      </c>
      <c r="S1156" s="41">
        <f>IF(Purchase[[#This Row],[Status]]="Cancelled",0,Purchase[[#This Row],[Qty]])</f>
        <v>35</v>
      </c>
      <c r="T1156" s="146">
        <f>IF(Purchase[[#This Row],[Status]]="Cancelled",0,Purchase[[#This Row],[Total Amount]])</f>
        <v>152686.1</v>
      </c>
      <c r="U1156" s="146">
        <f>SUM(Purchase[Net Amount])</f>
        <v>814985438.68000126</v>
      </c>
    </row>
    <row r="1157" spans="1:21" ht="19.5" thickBot="1" x14ac:dyDescent="0.3">
      <c r="A1157" s="136" t="s">
        <v>2204</v>
      </c>
      <c r="B1157" s="137">
        <v>45715</v>
      </c>
      <c r="C1157" s="138" t="s">
        <v>613</v>
      </c>
      <c r="D1157" s="138" t="str">
        <f>VLOOKUP(Purchase[[#This Row],[Supplier ID]],Supplier[#All],2,0)</f>
        <v>National Traders</v>
      </c>
      <c r="E1157" s="138">
        <f>VLOOKUP(Purchase[[#This Row],[Supplier ID]],Supplier[#All],3,0)</f>
        <v>9689542496</v>
      </c>
      <c r="F1157" s="138" t="str">
        <f>VLOOKUP(Purchase[[#This Row],[Supplier ID]],Supplier[#All],4,0)</f>
        <v>Indore</v>
      </c>
      <c r="G1157" s="138" t="str">
        <f>VLOOKUP(Purchase[[#This Row],[Supplier ID]],Supplier[#All],5,0)</f>
        <v>MP</v>
      </c>
      <c r="H1157" s="138" t="str">
        <f>VLOOKUP(Purchase[[#This Row],[Supplier ID]],Supplier[#All],6,0)</f>
        <v>GST2154521T058</v>
      </c>
      <c r="I1157" s="138" t="s">
        <v>401</v>
      </c>
      <c r="J1157" s="139">
        <v>15</v>
      </c>
      <c r="K1157" s="143">
        <f>VLOOKUP(Purchase[[#This Row],[Product ID]],Product[#All],6,0)</f>
        <v>517</v>
      </c>
      <c r="L1157" s="143">
        <f>Purchase[[#This Row],[Purchase Rate]]*Purchase[[#This Row],[Qty]]</f>
        <v>7755</v>
      </c>
      <c r="M1157" s="140">
        <v>0</v>
      </c>
      <c r="N1157" s="143">
        <v>0</v>
      </c>
      <c r="O1157" s="140">
        <v>0.18</v>
      </c>
      <c r="P1157" s="145">
        <f>(Purchase[[#This Row],[Gross Amount]]-Purchase[[#This Row],[Disct %]])*Purchase[[#This Row],[GST %]]</f>
        <v>1395.8999999999999</v>
      </c>
      <c r="Q1157" s="145">
        <f>Purchase[[#This Row],[Gross Amount]]-Purchase[[#This Row],[Disct Amnt]]+Purchase[[#This Row],[GST Amount]]</f>
        <v>9150.9</v>
      </c>
      <c r="R1157" s="138" t="s">
        <v>1019</v>
      </c>
      <c r="S1157" s="41">
        <f>IF(Purchase[[#This Row],[Status]]="Cancelled",0,Purchase[[#This Row],[Qty]])</f>
        <v>15</v>
      </c>
      <c r="T1157" s="146">
        <f>IF(Purchase[[#This Row],[Status]]="Cancelled",0,Purchase[[#This Row],[Total Amount]])</f>
        <v>9150.9</v>
      </c>
      <c r="U1157" s="146">
        <f>SUM(Purchase[Net Amount])</f>
        <v>814985438.68000126</v>
      </c>
    </row>
    <row r="1158" spans="1:21" ht="19.5" thickBot="1" x14ac:dyDescent="0.3">
      <c r="A1158" s="136" t="s">
        <v>2205</v>
      </c>
      <c r="B1158" s="137">
        <v>45715</v>
      </c>
      <c r="C1158" s="138" t="s">
        <v>589</v>
      </c>
      <c r="D1158" s="138" t="str">
        <f>VLOOKUP(Purchase[[#This Row],[Supplier ID]],Supplier[#All],2,0)</f>
        <v>Maa Computers</v>
      </c>
      <c r="E1158" s="138">
        <f>VLOOKUP(Purchase[[#This Row],[Supplier ID]],Supplier[#All],3,0)</f>
        <v>9689542473</v>
      </c>
      <c r="F1158" s="138" t="str">
        <f>VLOOKUP(Purchase[[#This Row],[Supplier ID]],Supplier[#All],4,0)</f>
        <v>Kanpur</v>
      </c>
      <c r="G1158" s="138" t="str">
        <f>VLOOKUP(Purchase[[#This Row],[Supplier ID]],Supplier[#All],5,0)</f>
        <v>UP</v>
      </c>
      <c r="H1158" s="138" t="str">
        <f>VLOOKUP(Purchase[[#This Row],[Supplier ID]],Supplier[#All],6,0)</f>
        <v>GST2154521T035</v>
      </c>
      <c r="I1158" s="138" t="s">
        <v>122</v>
      </c>
      <c r="J1158" s="139">
        <v>9</v>
      </c>
      <c r="K1158" s="143">
        <f>VLOOKUP(Purchase[[#This Row],[Product ID]],Product[#All],6,0)</f>
        <v>1667</v>
      </c>
      <c r="L1158" s="143">
        <f>Purchase[[#This Row],[Purchase Rate]]*Purchase[[#This Row],[Qty]]</f>
        <v>15003</v>
      </c>
      <c r="M1158" s="140">
        <v>0</v>
      </c>
      <c r="N1158" s="143">
        <v>0</v>
      </c>
      <c r="O1158" s="140">
        <v>0.18</v>
      </c>
      <c r="P1158" s="145">
        <f>(Purchase[[#This Row],[Gross Amount]]-Purchase[[#This Row],[Disct %]])*Purchase[[#This Row],[GST %]]</f>
        <v>2700.54</v>
      </c>
      <c r="Q1158" s="145">
        <f>Purchase[[#This Row],[Gross Amount]]-Purchase[[#This Row],[Disct Amnt]]+Purchase[[#This Row],[GST Amount]]</f>
        <v>17703.54</v>
      </c>
      <c r="R1158" s="138" t="s">
        <v>1019</v>
      </c>
      <c r="S1158" s="41">
        <f>IF(Purchase[[#This Row],[Status]]="Cancelled",0,Purchase[[#This Row],[Qty]])</f>
        <v>9</v>
      </c>
      <c r="T1158" s="146">
        <f>IF(Purchase[[#This Row],[Status]]="Cancelled",0,Purchase[[#This Row],[Total Amount]])</f>
        <v>17703.54</v>
      </c>
      <c r="U1158" s="146">
        <f>SUM(Purchase[Net Amount])</f>
        <v>814985438.68000126</v>
      </c>
    </row>
    <row r="1159" spans="1:21" ht="19.5" thickBot="1" x14ac:dyDescent="0.3">
      <c r="A1159" s="136" t="s">
        <v>2206</v>
      </c>
      <c r="B1159" s="137">
        <v>45715</v>
      </c>
      <c r="C1159" s="138" t="s">
        <v>580</v>
      </c>
      <c r="D1159" s="138" t="str">
        <f>VLOOKUP(Purchase[[#This Row],[Supplier ID]],Supplier[#All],2,0)</f>
        <v>Star Distributors</v>
      </c>
      <c r="E1159" s="138">
        <f>VLOOKUP(Purchase[[#This Row],[Supplier ID]],Supplier[#All],3,0)</f>
        <v>9689542464</v>
      </c>
      <c r="F1159" s="138" t="str">
        <f>VLOOKUP(Purchase[[#This Row],[Supplier ID]],Supplier[#All],4,0)</f>
        <v>Indore</v>
      </c>
      <c r="G1159" s="138" t="str">
        <f>VLOOKUP(Purchase[[#This Row],[Supplier ID]],Supplier[#All],5,0)</f>
        <v>MP</v>
      </c>
      <c r="H1159" s="138" t="str">
        <f>VLOOKUP(Purchase[[#This Row],[Supplier ID]],Supplier[#All],6,0)</f>
        <v>GST2154521T026</v>
      </c>
      <c r="I1159" s="138" t="s">
        <v>7</v>
      </c>
      <c r="J1159" s="139">
        <v>25</v>
      </c>
      <c r="K1159" s="143">
        <f>VLOOKUP(Purchase[[#This Row],[Product ID]],Product[#All],6,0)</f>
        <v>27080</v>
      </c>
      <c r="L1159" s="143">
        <f>Purchase[[#This Row],[Purchase Rate]]*Purchase[[#This Row],[Qty]]</f>
        <v>677000</v>
      </c>
      <c r="M1159" s="140">
        <v>0</v>
      </c>
      <c r="N1159" s="143">
        <v>0</v>
      </c>
      <c r="O1159" s="140">
        <v>0.18</v>
      </c>
      <c r="P1159" s="145">
        <f>(Purchase[[#This Row],[Gross Amount]]-Purchase[[#This Row],[Disct %]])*Purchase[[#This Row],[GST %]]</f>
        <v>121860</v>
      </c>
      <c r="Q1159" s="145">
        <f>Purchase[[#This Row],[Gross Amount]]-Purchase[[#This Row],[Disct Amnt]]+Purchase[[#This Row],[GST Amount]]</f>
        <v>798860</v>
      </c>
      <c r="R1159" s="138" t="s">
        <v>1019</v>
      </c>
      <c r="S1159" s="41">
        <f>IF(Purchase[[#This Row],[Status]]="Cancelled",0,Purchase[[#This Row],[Qty]])</f>
        <v>25</v>
      </c>
      <c r="T1159" s="146">
        <f>IF(Purchase[[#This Row],[Status]]="Cancelled",0,Purchase[[#This Row],[Total Amount]])</f>
        <v>798860</v>
      </c>
      <c r="U1159" s="146">
        <f>SUM(Purchase[Net Amount])</f>
        <v>814985438.68000126</v>
      </c>
    </row>
    <row r="1160" spans="1:21" ht="19.5" thickBot="1" x14ac:dyDescent="0.3">
      <c r="A1160" s="136" t="s">
        <v>2207</v>
      </c>
      <c r="B1160" s="137">
        <v>45715</v>
      </c>
      <c r="C1160" s="138" t="s">
        <v>610</v>
      </c>
      <c r="D1160" s="138" t="str">
        <f>VLOOKUP(Purchase[[#This Row],[Supplier ID]],Supplier[#All],2,0)</f>
        <v>Shree Electronics</v>
      </c>
      <c r="E1160" s="138">
        <f>VLOOKUP(Purchase[[#This Row],[Supplier ID]],Supplier[#All],3,0)</f>
        <v>9689542493</v>
      </c>
      <c r="F1160" s="138" t="str">
        <f>VLOOKUP(Purchase[[#This Row],[Supplier ID]],Supplier[#All],4,0)</f>
        <v>Kanpur</v>
      </c>
      <c r="G1160" s="138" t="str">
        <f>VLOOKUP(Purchase[[#This Row],[Supplier ID]],Supplier[#All],5,0)</f>
        <v>UP</v>
      </c>
      <c r="H1160" s="138" t="str">
        <f>VLOOKUP(Purchase[[#This Row],[Supplier ID]],Supplier[#All],6,0)</f>
        <v>GST2154521T055</v>
      </c>
      <c r="I1160" s="138" t="s">
        <v>269</v>
      </c>
      <c r="J1160" s="139">
        <v>13</v>
      </c>
      <c r="K1160" s="143">
        <f>VLOOKUP(Purchase[[#This Row],[Product ID]],Product[#All],6,0)</f>
        <v>8657</v>
      </c>
      <c r="L1160" s="143">
        <f>Purchase[[#This Row],[Purchase Rate]]*Purchase[[#This Row],[Qty]]</f>
        <v>112541</v>
      </c>
      <c r="M1160" s="140">
        <v>0</v>
      </c>
      <c r="N1160" s="143">
        <v>0</v>
      </c>
      <c r="O1160" s="140">
        <v>0.18</v>
      </c>
      <c r="P1160" s="145">
        <f>(Purchase[[#This Row],[Gross Amount]]-Purchase[[#This Row],[Disct %]])*Purchase[[#This Row],[GST %]]</f>
        <v>20257.38</v>
      </c>
      <c r="Q1160" s="145">
        <f>Purchase[[#This Row],[Gross Amount]]-Purchase[[#This Row],[Disct Amnt]]+Purchase[[#This Row],[GST Amount]]</f>
        <v>132798.38</v>
      </c>
      <c r="R1160" s="138" t="s">
        <v>1019</v>
      </c>
      <c r="S1160" s="41">
        <f>IF(Purchase[[#This Row],[Status]]="Cancelled",0,Purchase[[#This Row],[Qty]])</f>
        <v>13</v>
      </c>
      <c r="T1160" s="146">
        <f>IF(Purchase[[#This Row],[Status]]="Cancelled",0,Purchase[[#This Row],[Total Amount]])</f>
        <v>132798.38</v>
      </c>
      <c r="U1160" s="146">
        <f>SUM(Purchase[Net Amount])</f>
        <v>814985438.68000126</v>
      </c>
    </row>
    <row r="1161" spans="1:21" ht="19.5" thickBot="1" x14ac:dyDescent="0.3">
      <c r="A1161" s="136" t="s">
        <v>2208</v>
      </c>
      <c r="B1161" s="137">
        <v>45715</v>
      </c>
      <c r="C1161" s="138" t="s">
        <v>591</v>
      </c>
      <c r="D1161" s="138" t="str">
        <f>VLOOKUP(Purchase[[#This Row],[Supplier ID]],Supplier[#All],2,0)</f>
        <v>Shree Computers</v>
      </c>
      <c r="E1161" s="138">
        <f>VLOOKUP(Purchase[[#This Row],[Supplier ID]],Supplier[#All],3,0)</f>
        <v>9689542475</v>
      </c>
      <c r="F1161" s="138" t="str">
        <f>VLOOKUP(Purchase[[#This Row],[Supplier ID]],Supplier[#All],4,0)</f>
        <v>Indore</v>
      </c>
      <c r="G1161" s="138" t="str">
        <f>VLOOKUP(Purchase[[#This Row],[Supplier ID]],Supplier[#All],5,0)</f>
        <v>MP</v>
      </c>
      <c r="H1161" s="138" t="str">
        <f>VLOOKUP(Purchase[[#This Row],[Supplier ID]],Supplier[#All],6,0)</f>
        <v>GST2154521T037</v>
      </c>
      <c r="I1161" s="138" t="s">
        <v>111</v>
      </c>
      <c r="J1161" s="139">
        <v>37</v>
      </c>
      <c r="K1161" s="143">
        <f>VLOOKUP(Purchase[[#This Row],[Product ID]],Product[#All],6,0)</f>
        <v>13173</v>
      </c>
      <c r="L1161" s="143">
        <f>Purchase[[#This Row],[Purchase Rate]]*Purchase[[#This Row],[Qty]]</f>
        <v>487401</v>
      </c>
      <c r="M1161" s="140">
        <v>0</v>
      </c>
      <c r="N1161" s="143">
        <v>0</v>
      </c>
      <c r="O1161" s="140">
        <v>0.18</v>
      </c>
      <c r="P1161" s="145">
        <f>(Purchase[[#This Row],[Gross Amount]]-Purchase[[#This Row],[Disct %]])*Purchase[[#This Row],[GST %]]</f>
        <v>87732.18</v>
      </c>
      <c r="Q1161" s="145">
        <f>Purchase[[#This Row],[Gross Amount]]-Purchase[[#This Row],[Disct Amnt]]+Purchase[[#This Row],[GST Amount]]</f>
        <v>575133.17999999993</v>
      </c>
      <c r="R1161" s="138" t="s">
        <v>1019</v>
      </c>
      <c r="S1161" s="41">
        <f>IF(Purchase[[#This Row],[Status]]="Cancelled",0,Purchase[[#This Row],[Qty]])</f>
        <v>37</v>
      </c>
      <c r="T1161" s="146">
        <f>IF(Purchase[[#This Row],[Status]]="Cancelled",0,Purchase[[#This Row],[Total Amount]])</f>
        <v>575133.17999999993</v>
      </c>
      <c r="U1161" s="146">
        <f>SUM(Purchase[Net Amount])</f>
        <v>814985438.68000126</v>
      </c>
    </row>
    <row r="1162" spans="1:21" ht="19.5" thickBot="1" x14ac:dyDescent="0.3">
      <c r="A1162" s="136" t="s">
        <v>2209</v>
      </c>
      <c r="B1162" s="137">
        <v>45715</v>
      </c>
      <c r="C1162" s="138" t="s">
        <v>569</v>
      </c>
      <c r="D1162" s="138" t="str">
        <f>VLOOKUP(Purchase[[#This Row],[Supplier ID]],Supplier[#All],2,0)</f>
        <v>Tech Electronics</v>
      </c>
      <c r="E1162" s="138">
        <f>VLOOKUP(Purchase[[#This Row],[Supplier ID]],Supplier[#All],3,0)</f>
        <v>9689542455</v>
      </c>
      <c r="F1162" s="138" t="str">
        <f>VLOOKUP(Purchase[[#This Row],[Supplier ID]],Supplier[#All],4,0)</f>
        <v>Korba</v>
      </c>
      <c r="G1162" s="138" t="str">
        <f>VLOOKUP(Purchase[[#This Row],[Supplier ID]],Supplier[#All],5,0)</f>
        <v>CG</v>
      </c>
      <c r="H1162" s="138" t="str">
        <f>VLOOKUP(Purchase[[#This Row],[Supplier ID]],Supplier[#All],6,0)</f>
        <v>GST2154521T017</v>
      </c>
      <c r="I1162" s="138" t="s">
        <v>402</v>
      </c>
      <c r="J1162" s="139">
        <v>24</v>
      </c>
      <c r="K1162" s="143">
        <f>VLOOKUP(Purchase[[#This Row],[Product ID]],Product[#All],6,0)</f>
        <v>2925</v>
      </c>
      <c r="L1162" s="143">
        <f>Purchase[[#This Row],[Purchase Rate]]*Purchase[[#This Row],[Qty]]</f>
        <v>70200</v>
      </c>
      <c r="M1162" s="140">
        <v>0</v>
      </c>
      <c r="N1162" s="143">
        <v>0</v>
      </c>
      <c r="O1162" s="140">
        <v>0.18</v>
      </c>
      <c r="P1162" s="145">
        <f>(Purchase[[#This Row],[Gross Amount]]-Purchase[[#This Row],[Disct %]])*Purchase[[#This Row],[GST %]]</f>
        <v>12636</v>
      </c>
      <c r="Q1162" s="145">
        <f>Purchase[[#This Row],[Gross Amount]]-Purchase[[#This Row],[Disct Amnt]]+Purchase[[#This Row],[GST Amount]]</f>
        <v>82836</v>
      </c>
      <c r="R1162" s="138" t="s">
        <v>1019</v>
      </c>
      <c r="S1162" s="41">
        <f>IF(Purchase[[#This Row],[Status]]="Cancelled",0,Purchase[[#This Row],[Qty]])</f>
        <v>24</v>
      </c>
      <c r="T1162" s="146">
        <f>IF(Purchase[[#This Row],[Status]]="Cancelled",0,Purchase[[#This Row],[Total Amount]])</f>
        <v>82836</v>
      </c>
      <c r="U1162" s="146">
        <f>SUM(Purchase[Net Amount])</f>
        <v>814985438.68000126</v>
      </c>
    </row>
    <row r="1163" spans="1:21" ht="19.5" thickBot="1" x14ac:dyDescent="0.3">
      <c r="A1163" s="136" t="s">
        <v>2210</v>
      </c>
      <c r="B1163" s="137">
        <v>45715</v>
      </c>
      <c r="C1163" s="138" t="s">
        <v>575</v>
      </c>
      <c r="D1163" s="138" t="str">
        <f>VLOOKUP(Purchase[[#This Row],[Supplier ID]],Supplier[#All],2,0)</f>
        <v>Global Computers</v>
      </c>
      <c r="E1163" s="138">
        <f>VLOOKUP(Purchase[[#This Row],[Supplier ID]],Supplier[#All],3,0)</f>
        <v>9689542459</v>
      </c>
      <c r="F1163" s="138" t="str">
        <f>VLOOKUP(Purchase[[#This Row],[Supplier ID]],Supplier[#All],4,0)</f>
        <v>Indore</v>
      </c>
      <c r="G1163" s="138" t="str">
        <f>VLOOKUP(Purchase[[#This Row],[Supplier ID]],Supplier[#All],5,0)</f>
        <v>MP</v>
      </c>
      <c r="H1163" s="138" t="str">
        <f>VLOOKUP(Purchase[[#This Row],[Supplier ID]],Supplier[#All],6,0)</f>
        <v>GST2154521T021</v>
      </c>
      <c r="I1163" s="138" t="s">
        <v>468</v>
      </c>
      <c r="J1163" s="139">
        <v>18</v>
      </c>
      <c r="K1163" s="143">
        <f>VLOOKUP(Purchase[[#This Row],[Product ID]],Product[#All],6,0)</f>
        <v>75590</v>
      </c>
      <c r="L1163" s="143">
        <f>Purchase[[#This Row],[Purchase Rate]]*Purchase[[#This Row],[Qty]]</f>
        <v>1360620</v>
      </c>
      <c r="M1163" s="140">
        <v>0</v>
      </c>
      <c r="N1163" s="143">
        <v>0</v>
      </c>
      <c r="O1163" s="140">
        <v>0.18</v>
      </c>
      <c r="P1163" s="145">
        <f>(Purchase[[#This Row],[Gross Amount]]-Purchase[[#This Row],[Disct %]])*Purchase[[#This Row],[GST %]]</f>
        <v>244911.59999999998</v>
      </c>
      <c r="Q1163" s="145">
        <f>Purchase[[#This Row],[Gross Amount]]-Purchase[[#This Row],[Disct Amnt]]+Purchase[[#This Row],[GST Amount]]</f>
        <v>1605531.6</v>
      </c>
      <c r="R1163" s="138" t="s">
        <v>1019</v>
      </c>
      <c r="S1163" s="41">
        <f>IF(Purchase[[#This Row],[Status]]="Cancelled",0,Purchase[[#This Row],[Qty]])</f>
        <v>18</v>
      </c>
      <c r="T1163" s="146">
        <f>IF(Purchase[[#This Row],[Status]]="Cancelled",0,Purchase[[#This Row],[Total Amount]])</f>
        <v>1605531.6</v>
      </c>
      <c r="U1163" s="146">
        <f>SUM(Purchase[Net Amount])</f>
        <v>814985438.68000126</v>
      </c>
    </row>
    <row r="1164" spans="1:21" ht="19.5" thickBot="1" x14ac:dyDescent="0.3">
      <c r="A1164" s="136" t="s">
        <v>2211</v>
      </c>
      <c r="B1164" s="137">
        <v>45715</v>
      </c>
      <c r="C1164" s="138" t="s">
        <v>577</v>
      </c>
      <c r="D1164" s="138" t="str">
        <f>VLOOKUP(Purchase[[#This Row],[Supplier ID]],Supplier[#All],2,0)</f>
        <v>National Electronics</v>
      </c>
      <c r="E1164" s="138">
        <f>VLOOKUP(Purchase[[#This Row],[Supplier ID]],Supplier[#All],3,0)</f>
        <v>9689542469</v>
      </c>
      <c r="F1164" s="138" t="str">
        <f>VLOOKUP(Purchase[[#This Row],[Supplier ID]],Supplier[#All],4,0)</f>
        <v>Korba</v>
      </c>
      <c r="G1164" s="138" t="str">
        <f>VLOOKUP(Purchase[[#This Row],[Supplier ID]],Supplier[#All],5,0)</f>
        <v>CG</v>
      </c>
      <c r="H1164" s="138" t="str">
        <f>VLOOKUP(Purchase[[#This Row],[Supplier ID]],Supplier[#All],6,0)</f>
        <v>GST2154521T023</v>
      </c>
      <c r="I1164" s="138" t="s">
        <v>265</v>
      </c>
      <c r="J1164" s="139">
        <v>32</v>
      </c>
      <c r="K1164" s="143">
        <f>VLOOKUP(Purchase[[#This Row],[Product ID]],Product[#All],6,0)</f>
        <v>28871</v>
      </c>
      <c r="L1164" s="143">
        <f>Purchase[[#This Row],[Purchase Rate]]*Purchase[[#This Row],[Qty]]</f>
        <v>923872</v>
      </c>
      <c r="M1164" s="140">
        <v>0</v>
      </c>
      <c r="N1164" s="143">
        <v>0</v>
      </c>
      <c r="O1164" s="140">
        <v>0.18</v>
      </c>
      <c r="P1164" s="145">
        <f>(Purchase[[#This Row],[Gross Amount]]-Purchase[[#This Row],[Disct %]])*Purchase[[#This Row],[GST %]]</f>
        <v>166296.95999999999</v>
      </c>
      <c r="Q1164" s="145">
        <f>Purchase[[#This Row],[Gross Amount]]-Purchase[[#This Row],[Disct Amnt]]+Purchase[[#This Row],[GST Amount]]</f>
        <v>1090168.96</v>
      </c>
      <c r="R1164" s="138" t="s">
        <v>1019</v>
      </c>
      <c r="S1164" s="41">
        <f>IF(Purchase[[#This Row],[Status]]="Cancelled",0,Purchase[[#This Row],[Qty]])</f>
        <v>32</v>
      </c>
      <c r="T1164" s="146">
        <f>IF(Purchase[[#This Row],[Status]]="Cancelled",0,Purchase[[#This Row],[Total Amount]])</f>
        <v>1090168.96</v>
      </c>
      <c r="U1164" s="146">
        <f>SUM(Purchase[Net Amount])</f>
        <v>814985438.68000126</v>
      </c>
    </row>
    <row r="1165" spans="1:21" ht="19.5" thickBot="1" x14ac:dyDescent="0.3">
      <c r="A1165" s="136" t="s">
        <v>2212</v>
      </c>
      <c r="B1165" s="137">
        <v>45715</v>
      </c>
      <c r="C1165" s="138" t="s">
        <v>596</v>
      </c>
      <c r="D1165" s="138" t="str">
        <f>VLOOKUP(Purchase[[#This Row],[Supplier ID]],Supplier[#All],2,0)</f>
        <v>star traders</v>
      </c>
      <c r="E1165" s="138">
        <f>VLOOKUP(Purchase[[#This Row],[Supplier ID]],Supplier[#All],3,0)</f>
        <v>9689542479</v>
      </c>
      <c r="F1165" s="138" t="str">
        <f>VLOOKUP(Purchase[[#This Row],[Supplier ID]],Supplier[#All],4,0)</f>
        <v>Korba</v>
      </c>
      <c r="G1165" s="138" t="str">
        <f>VLOOKUP(Purchase[[#This Row],[Supplier ID]],Supplier[#All],5,0)</f>
        <v>CG</v>
      </c>
      <c r="H1165" s="138" t="str">
        <f>VLOOKUP(Purchase[[#This Row],[Supplier ID]],Supplier[#All],6,0)</f>
        <v>GST2154521T041</v>
      </c>
      <c r="I1165" s="138" t="s">
        <v>437</v>
      </c>
      <c r="J1165" s="139">
        <v>6</v>
      </c>
      <c r="K1165" s="143">
        <f>VLOOKUP(Purchase[[#This Row],[Product ID]],Product[#All],6,0)</f>
        <v>2489</v>
      </c>
      <c r="L1165" s="143">
        <f>Purchase[[#This Row],[Purchase Rate]]*Purchase[[#This Row],[Qty]]</f>
        <v>14934</v>
      </c>
      <c r="M1165" s="140">
        <v>0</v>
      </c>
      <c r="N1165" s="143">
        <v>0</v>
      </c>
      <c r="O1165" s="140">
        <v>0.18</v>
      </c>
      <c r="P1165" s="145">
        <f>(Purchase[[#This Row],[Gross Amount]]-Purchase[[#This Row],[Disct %]])*Purchase[[#This Row],[GST %]]</f>
        <v>2688.12</v>
      </c>
      <c r="Q1165" s="145">
        <f>Purchase[[#This Row],[Gross Amount]]-Purchase[[#This Row],[Disct Amnt]]+Purchase[[#This Row],[GST Amount]]</f>
        <v>17622.12</v>
      </c>
      <c r="R1165" s="138" t="s">
        <v>1019</v>
      </c>
      <c r="S1165" s="41">
        <f>IF(Purchase[[#This Row],[Status]]="Cancelled",0,Purchase[[#This Row],[Qty]])</f>
        <v>6</v>
      </c>
      <c r="T1165" s="146">
        <f>IF(Purchase[[#This Row],[Status]]="Cancelled",0,Purchase[[#This Row],[Total Amount]])</f>
        <v>17622.12</v>
      </c>
      <c r="U1165" s="146">
        <f>SUM(Purchase[Net Amount])</f>
        <v>814985438.68000126</v>
      </c>
    </row>
    <row r="1166" spans="1:21" ht="19.5" thickBot="1" x14ac:dyDescent="0.3">
      <c r="A1166" s="136" t="s">
        <v>2213</v>
      </c>
      <c r="B1166" s="137">
        <v>45715</v>
      </c>
      <c r="C1166" s="138" t="s">
        <v>564</v>
      </c>
      <c r="D1166" s="138" t="str">
        <f>VLOOKUP(Purchase[[#This Row],[Supplier ID]],Supplier[#All],2,0)</f>
        <v xml:space="preserve">Star Electronics </v>
      </c>
      <c r="E1166" s="138">
        <f>VLOOKUP(Purchase[[#This Row],[Supplier ID]],Supplier[#All],3,0)</f>
        <v>9689542450</v>
      </c>
      <c r="F1166" s="138" t="str">
        <f>VLOOKUP(Purchase[[#This Row],[Supplier ID]],Supplier[#All],4,0)</f>
        <v>Korba</v>
      </c>
      <c r="G1166" s="138" t="str">
        <f>VLOOKUP(Purchase[[#This Row],[Supplier ID]],Supplier[#All],5,0)</f>
        <v>CG</v>
      </c>
      <c r="H1166" s="138" t="str">
        <f>VLOOKUP(Purchase[[#This Row],[Supplier ID]],Supplier[#All],6,0)</f>
        <v>GST2154521T012</v>
      </c>
      <c r="I1166" s="138" t="s">
        <v>258</v>
      </c>
      <c r="J1166" s="139">
        <v>16</v>
      </c>
      <c r="K1166" s="143">
        <f>VLOOKUP(Purchase[[#This Row],[Product ID]],Product[#All],6,0)</f>
        <v>1957</v>
      </c>
      <c r="L1166" s="143">
        <f>Purchase[[#This Row],[Purchase Rate]]*Purchase[[#This Row],[Qty]]</f>
        <v>31312</v>
      </c>
      <c r="M1166" s="140">
        <v>0</v>
      </c>
      <c r="N1166" s="143">
        <v>0</v>
      </c>
      <c r="O1166" s="140">
        <v>0.18</v>
      </c>
      <c r="P1166" s="145">
        <f>(Purchase[[#This Row],[Gross Amount]]-Purchase[[#This Row],[Disct %]])*Purchase[[#This Row],[GST %]]</f>
        <v>5636.16</v>
      </c>
      <c r="Q1166" s="145">
        <f>Purchase[[#This Row],[Gross Amount]]-Purchase[[#This Row],[Disct Amnt]]+Purchase[[#This Row],[GST Amount]]</f>
        <v>36948.160000000003</v>
      </c>
      <c r="R1166" s="138" t="s">
        <v>1019</v>
      </c>
      <c r="S1166" s="41">
        <f>IF(Purchase[[#This Row],[Status]]="Cancelled",0,Purchase[[#This Row],[Qty]])</f>
        <v>16</v>
      </c>
      <c r="T1166" s="146">
        <f>IF(Purchase[[#This Row],[Status]]="Cancelled",0,Purchase[[#This Row],[Total Amount]])</f>
        <v>36948.160000000003</v>
      </c>
      <c r="U1166" s="146">
        <f>SUM(Purchase[Net Amount])</f>
        <v>814985438.68000126</v>
      </c>
    </row>
    <row r="1167" spans="1:21" ht="19.5" thickBot="1" x14ac:dyDescent="0.3">
      <c r="A1167" s="136" t="s">
        <v>2214</v>
      </c>
      <c r="B1167" s="137">
        <v>45715</v>
      </c>
      <c r="C1167" s="138" t="s">
        <v>584</v>
      </c>
      <c r="D1167" s="138" t="str">
        <f>VLOOKUP(Purchase[[#This Row],[Supplier ID]],Supplier[#All],2,0)</f>
        <v>Prime Computers</v>
      </c>
      <c r="E1167" s="138">
        <f>VLOOKUP(Purchase[[#This Row],[Supplier ID]],Supplier[#All],3,0)</f>
        <v>9689542468</v>
      </c>
      <c r="F1167" s="138" t="str">
        <f>VLOOKUP(Purchase[[#This Row],[Supplier ID]],Supplier[#All],4,0)</f>
        <v>Kanpur</v>
      </c>
      <c r="G1167" s="138" t="str">
        <f>VLOOKUP(Purchase[[#This Row],[Supplier ID]],Supplier[#All],5,0)</f>
        <v>UP</v>
      </c>
      <c r="H1167" s="138" t="str">
        <f>VLOOKUP(Purchase[[#This Row],[Supplier ID]],Supplier[#All],6,0)</f>
        <v>GST2154521T030</v>
      </c>
      <c r="I1167" s="138" t="s">
        <v>246</v>
      </c>
      <c r="J1167" s="139">
        <v>12</v>
      </c>
      <c r="K1167" s="143">
        <f>VLOOKUP(Purchase[[#This Row],[Product ID]],Product[#All],6,0)</f>
        <v>1375</v>
      </c>
      <c r="L1167" s="143">
        <f>Purchase[[#This Row],[Purchase Rate]]*Purchase[[#This Row],[Qty]]</f>
        <v>16500</v>
      </c>
      <c r="M1167" s="140">
        <v>0</v>
      </c>
      <c r="N1167" s="143">
        <v>0</v>
      </c>
      <c r="O1167" s="140">
        <v>0.18</v>
      </c>
      <c r="P1167" s="145">
        <f>(Purchase[[#This Row],[Gross Amount]]-Purchase[[#This Row],[Disct %]])*Purchase[[#This Row],[GST %]]</f>
        <v>2970</v>
      </c>
      <c r="Q1167" s="145">
        <f>Purchase[[#This Row],[Gross Amount]]-Purchase[[#This Row],[Disct Amnt]]+Purchase[[#This Row],[GST Amount]]</f>
        <v>19470</v>
      </c>
      <c r="R1167" s="138" t="s">
        <v>1019</v>
      </c>
      <c r="S1167" s="41">
        <f>IF(Purchase[[#This Row],[Status]]="Cancelled",0,Purchase[[#This Row],[Qty]])</f>
        <v>12</v>
      </c>
      <c r="T1167" s="146">
        <f>IF(Purchase[[#This Row],[Status]]="Cancelled",0,Purchase[[#This Row],[Total Amount]])</f>
        <v>19470</v>
      </c>
      <c r="U1167" s="146">
        <f>SUM(Purchase[Net Amount])</f>
        <v>814985438.68000126</v>
      </c>
    </row>
    <row r="1168" spans="1:21" ht="19.5" thickBot="1" x14ac:dyDescent="0.3">
      <c r="A1168" s="136" t="s">
        <v>2215</v>
      </c>
      <c r="B1168" s="137">
        <v>45715</v>
      </c>
      <c r="C1168" s="138" t="s">
        <v>566</v>
      </c>
      <c r="D1168" s="138" t="str">
        <f>VLOOKUP(Purchase[[#This Row],[Supplier ID]],Supplier[#All],2,0)</f>
        <v>Maa Computers</v>
      </c>
      <c r="E1168" s="138">
        <f>VLOOKUP(Purchase[[#This Row],[Supplier ID]],Supplier[#All],3,0)</f>
        <v>9689542452</v>
      </c>
      <c r="F1168" s="138" t="str">
        <f>VLOOKUP(Purchase[[#This Row],[Supplier ID]],Supplier[#All],4,0)</f>
        <v>Kanpur</v>
      </c>
      <c r="G1168" s="138" t="str">
        <f>VLOOKUP(Purchase[[#This Row],[Supplier ID]],Supplier[#All],5,0)</f>
        <v>UP</v>
      </c>
      <c r="H1168" s="138" t="str">
        <f>VLOOKUP(Purchase[[#This Row],[Supplier ID]],Supplier[#All],6,0)</f>
        <v>GST2154521T014</v>
      </c>
      <c r="I1168" s="138" t="s">
        <v>56</v>
      </c>
      <c r="J1168" s="139">
        <v>34</v>
      </c>
      <c r="K1168" s="143">
        <f>VLOOKUP(Purchase[[#This Row],[Product ID]],Product[#All],6,0)</f>
        <v>3467</v>
      </c>
      <c r="L1168" s="143">
        <f>Purchase[[#This Row],[Purchase Rate]]*Purchase[[#This Row],[Qty]]</f>
        <v>117878</v>
      </c>
      <c r="M1168" s="140">
        <v>0</v>
      </c>
      <c r="N1168" s="143">
        <v>0</v>
      </c>
      <c r="O1168" s="140">
        <v>0.18</v>
      </c>
      <c r="P1168" s="145">
        <f>(Purchase[[#This Row],[Gross Amount]]-Purchase[[#This Row],[Disct %]])*Purchase[[#This Row],[GST %]]</f>
        <v>21218.04</v>
      </c>
      <c r="Q1168" s="145">
        <f>Purchase[[#This Row],[Gross Amount]]-Purchase[[#This Row],[Disct Amnt]]+Purchase[[#This Row],[GST Amount]]</f>
        <v>139096.04</v>
      </c>
      <c r="R1168" s="138" t="s">
        <v>1019</v>
      </c>
      <c r="S1168" s="41">
        <f>IF(Purchase[[#This Row],[Status]]="Cancelled",0,Purchase[[#This Row],[Qty]])</f>
        <v>34</v>
      </c>
      <c r="T1168" s="146">
        <f>IF(Purchase[[#This Row],[Status]]="Cancelled",0,Purchase[[#This Row],[Total Amount]])</f>
        <v>139096.04</v>
      </c>
      <c r="U1168" s="146">
        <f>SUM(Purchase[Net Amount])</f>
        <v>814985438.68000126</v>
      </c>
    </row>
    <row r="1169" spans="1:21" ht="19.5" thickBot="1" x14ac:dyDescent="0.3">
      <c r="A1169" s="136" t="s">
        <v>2216</v>
      </c>
      <c r="B1169" s="137">
        <v>45715</v>
      </c>
      <c r="C1169" s="138" t="s">
        <v>614</v>
      </c>
      <c r="D1169" s="138" t="str">
        <f>VLOOKUP(Purchase[[#This Row],[Supplier ID]],Supplier[#All],2,0)</f>
        <v>National Electronics</v>
      </c>
      <c r="E1169" s="138">
        <f>VLOOKUP(Purchase[[#This Row],[Supplier ID]],Supplier[#All],3,0)</f>
        <v>9689542497</v>
      </c>
      <c r="F1169" s="138" t="str">
        <f>VLOOKUP(Purchase[[#This Row],[Supplier ID]],Supplier[#All],4,0)</f>
        <v>Kanpur</v>
      </c>
      <c r="G1169" s="138" t="str">
        <f>VLOOKUP(Purchase[[#This Row],[Supplier ID]],Supplier[#All],5,0)</f>
        <v>UP</v>
      </c>
      <c r="H1169" s="138" t="str">
        <f>VLOOKUP(Purchase[[#This Row],[Supplier ID]],Supplier[#All],6,0)</f>
        <v>GST2154521T059</v>
      </c>
      <c r="I1169" s="138" t="s">
        <v>474</v>
      </c>
      <c r="J1169" s="139">
        <v>24</v>
      </c>
      <c r="K1169" s="143">
        <f>VLOOKUP(Purchase[[#This Row],[Product ID]],Product[#All],6,0)</f>
        <v>1027</v>
      </c>
      <c r="L1169" s="143">
        <f>Purchase[[#This Row],[Purchase Rate]]*Purchase[[#This Row],[Qty]]</f>
        <v>24648</v>
      </c>
      <c r="M1169" s="140">
        <v>0</v>
      </c>
      <c r="N1169" s="143">
        <v>0</v>
      </c>
      <c r="O1169" s="140">
        <v>0.18</v>
      </c>
      <c r="P1169" s="145">
        <f>(Purchase[[#This Row],[Gross Amount]]-Purchase[[#This Row],[Disct %]])*Purchase[[#This Row],[GST %]]</f>
        <v>4436.6399999999994</v>
      </c>
      <c r="Q1169" s="145">
        <f>Purchase[[#This Row],[Gross Amount]]-Purchase[[#This Row],[Disct Amnt]]+Purchase[[#This Row],[GST Amount]]</f>
        <v>29084.639999999999</v>
      </c>
      <c r="R1169" s="138" t="s">
        <v>1019</v>
      </c>
      <c r="S1169" s="41">
        <f>IF(Purchase[[#This Row],[Status]]="Cancelled",0,Purchase[[#This Row],[Qty]])</f>
        <v>24</v>
      </c>
      <c r="T1169" s="146">
        <f>IF(Purchase[[#This Row],[Status]]="Cancelled",0,Purchase[[#This Row],[Total Amount]])</f>
        <v>29084.639999999999</v>
      </c>
      <c r="U1169" s="146">
        <f>SUM(Purchase[Net Amount])</f>
        <v>814985438.68000126</v>
      </c>
    </row>
    <row r="1170" spans="1:21" ht="19.5" thickBot="1" x14ac:dyDescent="0.3">
      <c r="A1170" s="136" t="s">
        <v>2217</v>
      </c>
      <c r="B1170" s="137">
        <v>45715</v>
      </c>
      <c r="C1170" s="138" t="s">
        <v>582</v>
      </c>
      <c r="D1170" s="138" t="str">
        <f>VLOOKUP(Purchase[[#This Row],[Supplier ID]],Supplier[#All],2,0)</f>
        <v>Tech Distributors</v>
      </c>
      <c r="E1170" s="138">
        <f>VLOOKUP(Purchase[[#This Row],[Supplier ID]],Supplier[#All],3,0)</f>
        <v>9689542466</v>
      </c>
      <c r="F1170" s="138" t="str">
        <f>VLOOKUP(Purchase[[#This Row],[Supplier ID]],Supplier[#All],4,0)</f>
        <v>Indore</v>
      </c>
      <c r="G1170" s="138" t="str">
        <f>VLOOKUP(Purchase[[#This Row],[Supplier ID]],Supplier[#All],5,0)</f>
        <v>MP</v>
      </c>
      <c r="H1170" s="138" t="str">
        <f>VLOOKUP(Purchase[[#This Row],[Supplier ID]],Supplier[#All],6,0)</f>
        <v>GST2154521T028</v>
      </c>
      <c r="I1170" s="138" t="s">
        <v>464</v>
      </c>
      <c r="J1170" s="139">
        <v>6</v>
      </c>
      <c r="K1170" s="143">
        <f>VLOOKUP(Purchase[[#This Row],[Product ID]],Product[#All],6,0)</f>
        <v>22348</v>
      </c>
      <c r="L1170" s="143">
        <f>Purchase[[#This Row],[Purchase Rate]]*Purchase[[#This Row],[Qty]]</f>
        <v>134088</v>
      </c>
      <c r="M1170" s="140">
        <v>0</v>
      </c>
      <c r="N1170" s="143">
        <v>0</v>
      </c>
      <c r="O1170" s="140">
        <v>0.18</v>
      </c>
      <c r="P1170" s="145">
        <f>(Purchase[[#This Row],[Gross Amount]]-Purchase[[#This Row],[Disct %]])*Purchase[[#This Row],[GST %]]</f>
        <v>24135.84</v>
      </c>
      <c r="Q1170" s="145">
        <f>Purchase[[#This Row],[Gross Amount]]-Purchase[[#This Row],[Disct Amnt]]+Purchase[[#This Row],[GST Amount]]</f>
        <v>158223.84</v>
      </c>
      <c r="R1170" s="138" t="s">
        <v>1019</v>
      </c>
      <c r="S1170" s="41">
        <f>IF(Purchase[[#This Row],[Status]]="Cancelled",0,Purchase[[#This Row],[Qty]])</f>
        <v>6</v>
      </c>
      <c r="T1170" s="146">
        <f>IF(Purchase[[#This Row],[Status]]="Cancelled",0,Purchase[[#This Row],[Total Amount]])</f>
        <v>158223.84</v>
      </c>
      <c r="U1170" s="146">
        <f>SUM(Purchase[Net Amount])</f>
        <v>814985438.68000126</v>
      </c>
    </row>
    <row r="1171" spans="1:21" ht="19.5" thickBot="1" x14ac:dyDescent="0.3">
      <c r="A1171" s="136" t="s">
        <v>2218</v>
      </c>
      <c r="B1171" s="137">
        <v>45715</v>
      </c>
      <c r="C1171" s="138" t="s">
        <v>582</v>
      </c>
      <c r="D1171" s="138" t="str">
        <f>VLOOKUP(Purchase[[#This Row],[Supplier ID]],Supplier[#All],2,0)</f>
        <v>Tech Distributors</v>
      </c>
      <c r="E1171" s="138">
        <f>VLOOKUP(Purchase[[#This Row],[Supplier ID]],Supplier[#All],3,0)</f>
        <v>9689542466</v>
      </c>
      <c r="F1171" s="138" t="str">
        <f>VLOOKUP(Purchase[[#This Row],[Supplier ID]],Supplier[#All],4,0)</f>
        <v>Indore</v>
      </c>
      <c r="G1171" s="138" t="str">
        <f>VLOOKUP(Purchase[[#This Row],[Supplier ID]],Supplier[#All],5,0)</f>
        <v>MP</v>
      </c>
      <c r="H1171" s="138" t="str">
        <f>VLOOKUP(Purchase[[#This Row],[Supplier ID]],Supplier[#All],6,0)</f>
        <v>GST2154521T028</v>
      </c>
      <c r="I1171" s="138" t="s">
        <v>537</v>
      </c>
      <c r="J1171" s="139">
        <v>30</v>
      </c>
      <c r="K1171" s="143">
        <f>VLOOKUP(Purchase[[#This Row],[Product ID]],Product[#All],6,0)</f>
        <v>73748</v>
      </c>
      <c r="L1171" s="143">
        <f>Purchase[[#This Row],[Purchase Rate]]*Purchase[[#This Row],[Qty]]</f>
        <v>2212440</v>
      </c>
      <c r="M1171" s="140">
        <v>0</v>
      </c>
      <c r="N1171" s="143">
        <v>0</v>
      </c>
      <c r="O1171" s="140">
        <v>0.18</v>
      </c>
      <c r="P1171" s="145">
        <f>(Purchase[[#This Row],[Gross Amount]]-Purchase[[#This Row],[Disct %]])*Purchase[[#This Row],[GST %]]</f>
        <v>398239.2</v>
      </c>
      <c r="Q1171" s="145">
        <f>Purchase[[#This Row],[Gross Amount]]-Purchase[[#This Row],[Disct Amnt]]+Purchase[[#This Row],[GST Amount]]</f>
        <v>2610679.2000000002</v>
      </c>
      <c r="R1171" s="138" t="s">
        <v>1019</v>
      </c>
      <c r="S1171" s="41">
        <f>IF(Purchase[[#This Row],[Status]]="Cancelled",0,Purchase[[#This Row],[Qty]])</f>
        <v>30</v>
      </c>
      <c r="T1171" s="146">
        <f>IF(Purchase[[#This Row],[Status]]="Cancelled",0,Purchase[[#This Row],[Total Amount]])</f>
        <v>2610679.2000000002</v>
      </c>
      <c r="U1171" s="146">
        <f>SUM(Purchase[Net Amount])</f>
        <v>814985438.68000126</v>
      </c>
    </row>
    <row r="1172" spans="1:21" ht="19.5" thickBot="1" x14ac:dyDescent="0.3">
      <c r="A1172" s="136" t="s">
        <v>2219</v>
      </c>
      <c r="B1172" s="137">
        <v>45715</v>
      </c>
      <c r="C1172" s="138" t="s">
        <v>599</v>
      </c>
      <c r="D1172" s="138" t="str">
        <f>VLOOKUP(Purchase[[#This Row],[Supplier ID]],Supplier[#All],2,0)</f>
        <v>National Distributors</v>
      </c>
      <c r="E1172" s="138">
        <f>VLOOKUP(Purchase[[#This Row],[Supplier ID]],Supplier[#All],3,0)</f>
        <v>9689542482</v>
      </c>
      <c r="F1172" s="138" t="str">
        <f>VLOOKUP(Purchase[[#This Row],[Supplier ID]],Supplier[#All],4,0)</f>
        <v>Kanpur</v>
      </c>
      <c r="G1172" s="138" t="str">
        <f>VLOOKUP(Purchase[[#This Row],[Supplier ID]],Supplier[#All],5,0)</f>
        <v>UP</v>
      </c>
      <c r="H1172" s="138" t="str">
        <f>VLOOKUP(Purchase[[#This Row],[Supplier ID]],Supplier[#All],6,0)</f>
        <v>GST2154521T044</v>
      </c>
      <c r="I1172" s="138" t="s">
        <v>451</v>
      </c>
      <c r="J1172" s="139">
        <v>5</v>
      </c>
      <c r="K1172" s="143">
        <f>VLOOKUP(Purchase[[#This Row],[Product ID]],Product[#All],6,0)</f>
        <v>28254</v>
      </c>
      <c r="L1172" s="143">
        <f>Purchase[[#This Row],[Purchase Rate]]*Purchase[[#This Row],[Qty]]</f>
        <v>141270</v>
      </c>
      <c r="M1172" s="140">
        <v>0</v>
      </c>
      <c r="N1172" s="143">
        <v>0</v>
      </c>
      <c r="O1172" s="140">
        <v>0.18</v>
      </c>
      <c r="P1172" s="145">
        <f>(Purchase[[#This Row],[Gross Amount]]-Purchase[[#This Row],[Disct %]])*Purchase[[#This Row],[GST %]]</f>
        <v>25428.6</v>
      </c>
      <c r="Q1172" s="145">
        <f>Purchase[[#This Row],[Gross Amount]]-Purchase[[#This Row],[Disct Amnt]]+Purchase[[#This Row],[GST Amount]]</f>
        <v>166698.6</v>
      </c>
      <c r="R1172" s="138" t="s">
        <v>1019</v>
      </c>
      <c r="S1172" s="41">
        <f>IF(Purchase[[#This Row],[Status]]="Cancelled",0,Purchase[[#This Row],[Qty]])</f>
        <v>5</v>
      </c>
      <c r="T1172" s="146">
        <f>IF(Purchase[[#This Row],[Status]]="Cancelled",0,Purchase[[#This Row],[Total Amount]])</f>
        <v>166698.6</v>
      </c>
      <c r="U1172" s="146">
        <f>SUM(Purchase[Net Amount])</f>
        <v>814985438.68000126</v>
      </c>
    </row>
    <row r="1173" spans="1:21" ht="19.5" thickBot="1" x14ac:dyDescent="0.3">
      <c r="A1173" s="136" t="s">
        <v>2220</v>
      </c>
      <c r="B1173" s="137">
        <v>45715</v>
      </c>
      <c r="C1173" s="138" t="s">
        <v>581</v>
      </c>
      <c r="D1173" s="138" t="str">
        <f>VLOOKUP(Purchase[[#This Row],[Supplier ID]],Supplier[#All],2,0)</f>
        <v>Prime Electronics</v>
      </c>
      <c r="E1173" s="138">
        <f>VLOOKUP(Purchase[[#This Row],[Supplier ID]],Supplier[#All],3,0)</f>
        <v>9689542465</v>
      </c>
      <c r="F1173" s="138" t="str">
        <f>VLOOKUP(Purchase[[#This Row],[Supplier ID]],Supplier[#All],4,0)</f>
        <v>Korba</v>
      </c>
      <c r="G1173" s="138" t="str">
        <f>VLOOKUP(Purchase[[#This Row],[Supplier ID]],Supplier[#All],5,0)</f>
        <v>CG</v>
      </c>
      <c r="H1173" s="138" t="str">
        <f>VLOOKUP(Purchase[[#This Row],[Supplier ID]],Supplier[#All],6,0)</f>
        <v>GST2154521T027</v>
      </c>
      <c r="I1173" s="138" t="s">
        <v>545</v>
      </c>
      <c r="J1173" s="139">
        <v>19</v>
      </c>
      <c r="K1173" s="143">
        <f>VLOOKUP(Purchase[[#This Row],[Product ID]],Product[#All],6,0)</f>
        <v>5298</v>
      </c>
      <c r="L1173" s="143">
        <f>Purchase[[#This Row],[Purchase Rate]]*Purchase[[#This Row],[Qty]]</f>
        <v>100662</v>
      </c>
      <c r="M1173" s="140">
        <v>0</v>
      </c>
      <c r="N1173" s="143">
        <v>0</v>
      </c>
      <c r="O1173" s="140">
        <v>0.18</v>
      </c>
      <c r="P1173" s="145">
        <f>(Purchase[[#This Row],[Gross Amount]]-Purchase[[#This Row],[Disct %]])*Purchase[[#This Row],[GST %]]</f>
        <v>18119.16</v>
      </c>
      <c r="Q1173" s="145">
        <f>Purchase[[#This Row],[Gross Amount]]-Purchase[[#This Row],[Disct Amnt]]+Purchase[[#This Row],[GST Amount]]</f>
        <v>118781.16</v>
      </c>
      <c r="R1173" s="138" t="s">
        <v>1019</v>
      </c>
      <c r="S1173" s="41">
        <f>IF(Purchase[[#This Row],[Status]]="Cancelled",0,Purchase[[#This Row],[Qty]])</f>
        <v>19</v>
      </c>
      <c r="T1173" s="146">
        <f>IF(Purchase[[#This Row],[Status]]="Cancelled",0,Purchase[[#This Row],[Total Amount]])</f>
        <v>118781.16</v>
      </c>
      <c r="U1173" s="146">
        <f>SUM(Purchase[Net Amount])</f>
        <v>814985438.68000126</v>
      </c>
    </row>
    <row r="1174" spans="1:21" ht="19.5" thickBot="1" x14ac:dyDescent="0.3">
      <c r="A1174" s="136" t="s">
        <v>2221</v>
      </c>
      <c r="B1174" s="137">
        <v>45715</v>
      </c>
      <c r="C1174" s="138" t="s">
        <v>595</v>
      </c>
      <c r="D1174" s="138" t="str">
        <f>VLOOKUP(Purchase[[#This Row],[Supplier ID]],Supplier[#All],2,0)</f>
        <v>Star Computers</v>
      </c>
      <c r="E1174" s="138">
        <f>VLOOKUP(Purchase[[#This Row],[Supplier ID]],Supplier[#All],3,0)</f>
        <v>9689542478</v>
      </c>
      <c r="F1174" s="138" t="str">
        <f>VLOOKUP(Purchase[[#This Row],[Supplier ID]],Supplier[#All],4,0)</f>
        <v>Kanpur</v>
      </c>
      <c r="G1174" s="138" t="str">
        <f>VLOOKUP(Purchase[[#This Row],[Supplier ID]],Supplier[#All],5,0)</f>
        <v>UP</v>
      </c>
      <c r="H1174" s="138" t="str">
        <f>VLOOKUP(Purchase[[#This Row],[Supplier ID]],Supplier[#All],6,0)</f>
        <v>GST2154521T040</v>
      </c>
      <c r="I1174" s="138" t="s">
        <v>147</v>
      </c>
      <c r="J1174" s="139">
        <v>40</v>
      </c>
      <c r="K1174" s="143">
        <f>VLOOKUP(Purchase[[#This Row],[Product ID]],Product[#All],6,0)</f>
        <v>3935</v>
      </c>
      <c r="L1174" s="143">
        <f>Purchase[[#This Row],[Purchase Rate]]*Purchase[[#This Row],[Qty]]</f>
        <v>157400</v>
      </c>
      <c r="M1174" s="140">
        <v>0</v>
      </c>
      <c r="N1174" s="143">
        <v>0</v>
      </c>
      <c r="O1174" s="140">
        <v>0.18</v>
      </c>
      <c r="P1174" s="145">
        <f>(Purchase[[#This Row],[Gross Amount]]-Purchase[[#This Row],[Disct %]])*Purchase[[#This Row],[GST %]]</f>
        <v>28332</v>
      </c>
      <c r="Q1174" s="145">
        <f>Purchase[[#This Row],[Gross Amount]]-Purchase[[#This Row],[Disct Amnt]]+Purchase[[#This Row],[GST Amount]]</f>
        <v>185732</v>
      </c>
      <c r="R1174" s="138" t="s">
        <v>1019</v>
      </c>
      <c r="S1174" s="41">
        <f>IF(Purchase[[#This Row],[Status]]="Cancelled",0,Purchase[[#This Row],[Qty]])</f>
        <v>40</v>
      </c>
      <c r="T1174" s="146">
        <f>IF(Purchase[[#This Row],[Status]]="Cancelled",0,Purchase[[#This Row],[Total Amount]])</f>
        <v>185732</v>
      </c>
      <c r="U1174" s="146">
        <f>SUM(Purchase[Net Amount])</f>
        <v>814985438.68000126</v>
      </c>
    </row>
    <row r="1175" spans="1:21" ht="19.5" thickBot="1" x14ac:dyDescent="0.3">
      <c r="A1175" s="136" t="s">
        <v>2222</v>
      </c>
      <c r="B1175" s="137">
        <v>45715</v>
      </c>
      <c r="C1175" s="138" t="s">
        <v>564</v>
      </c>
      <c r="D1175" s="138" t="str">
        <f>VLOOKUP(Purchase[[#This Row],[Supplier ID]],Supplier[#All],2,0)</f>
        <v xml:space="preserve">Star Electronics </v>
      </c>
      <c r="E1175" s="138">
        <f>VLOOKUP(Purchase[[#This Row],[Supplier ID]],Supplier[#All],3,0)</f>
        <v>9689542450</v>
      </c>
      <c r="F1175" s="138" t="str">
        <f>VLOOKUP(Purchase[[#This Row],[Supplier ID]],Supplier[#All],4,0)</f>
        <v>Korba</v>
      </c>
      <c r="G1175" s="138" t="str">
        <f>VLOOKUP(Purchase[[#This Row],[Supplier ID]],Supplier[#All],5,0)</f>
        <v>CG</v>
      </c>
      <c r="H1175" s="138" t="str">
        <f>VLOOKUP(Purchase[[#This Row],[Supplier ID]],Supplier[#All],6,0)</f>
        <v>GST2154521T012</v>
      </c>
      <c r="I1175" s="138" t="s">
        <v>214</v>
      </c>
      <c r="J1175" s="139">
        <v>32</v>
      </c>
      <c r="K1175" s="143">
        <f>VLOOKUP(Purchase[[#This Row],[Product ID]],Product[#All],6,0)</f>
        <v>8627</v>
      </c>
      <c r="L1175" s="143">
        <f>Purchase[[#This Row],[Purchase Rate]]*Purchase[[#This Row],[Qty]]</f>
        <v>276064</v>
      </c>
      <c r="M1175" s="140">
        <v>0</v>
      </c>
      <c r="N1175" s="143">
        <v>0</v>
      </c>
      <c r="O1175" s="140">
        <v>0.18</v>
      </c>
      <c r="P1175" s="145">
        <f>(Purchase[[#This Row],[Gross Amount]]-Purchase[[#This Row],[Disct %]])*Purchase[[#This Row],[GST %]]</f>
        <v>49691.519999999997</v>
      </c>
      <c r="Q1175" s="145">
        <f>Purchase[[#This Row],[Gross Amount]]-Purchase[[#This Row],[Disct Amnt]]+Purchase[[#This Row],[GST Amount]]</f>
        <v>325755.52000000002</v>
      </c>
      <c r="R1175" s="138" t="s">
        <v>1019</v>
      </c>
      <c r="S1175" s="41">
        <f>IF(Purchase[[#This Row],[Status]]="Cancelled",0,Purchase[[#This Row],[Qty]])</f>
        <v>32</v>
      </c>
      <c r="T1175" s="146">
        <f>IF(Purchase[[#This Row],[Status]]="Cancelled",0,Purchase[[#This Row],[Total Amount]])</f>
        <v>325755.52000000002</v>
      </c>
      <c r="U1175" s="146">
        <f>SUM(Purchase[Net Amount])</f>
        <v>814985438.68000126</v>
      </c>
    </row>
    <row r="1176" spans="1:21" ht="19.5" thickBot="1" x14ac:dyDescent="0.3">
      <c r="A1176" s="136" t="s">
        <v>2223</v>
      </c>
      <c r="B1176" s="137">
        <v>45716</v>
      </c>
      <c r="C1176" s="138" t="s">
        <v>575</v>
      </c>
      <c r="D1176" s="138" t="str">
        <f>VLOOKUP(Purchase[[#This Row],[Supplier ID]],Supplier[#All],2,0)</f>
        <v>Global Computers</v>
      </c>
      <c r="E1176" s="138">
        <f>VLOOKUP(Purchase[[#This Row],[Supplier ID]],Supplier[#All],3,0)</f>
        <v>9689542459</v>
      </c>
      <c r="F1176" s="138" t="str">
        <f>VLOOKUP(Purchase[[#This Row],[Supplier ID]],Supplier[#All],4,0)</f>
        <v>Indore</v>
      </c>
      <c r="G1176" s="138" t="str">
        <f>VLOOKUP(Purchase[[#This Row],[Supplier ID]],Supplier[#All],5,0)</f>
        <v>MP</v>
      </c>
      <c r="H1176" s="138" t="str">
        <f>VLOOKUP(Purchase[[#This Row],[Supplier ID]],Supplier[#All],6,0)</f>
        <v>GST2154521T021</v>
      </c>
      <c r="I1176" s="138" t="s">
        <v>305</v>
      </c>
      <c r="J1176" s="139">
        <v>6</v>
      </c>
      <c r="K1176" s="143">
        <f>VLOOKUP(Purchase[[#This Row],[Product ID]],Product[#All],6,0)</f>
        <v>2156</v>
      </c>
      <c r="L1176" s="143">
        <f>Purchase[[#This Row],[Purchase Rate]]*Purchase[[#This Row],[Qty]]</f>
        <v>12936</v>
      </c>
      <c r="M1176" s="140">
        <v>0</v>
      </c>
      <c r="N1176" s="143">
        <v>0</v>
      </c>
      <c r="O1176" s="140">
        <v>0.18</v>
      </c>
      <c r="P1176" s="145">
        <f>(Purchase[[#This Row],[Gross Amount]]-Purchase[[#This Row],[Disct %]])*Purchase[[#This Row],[GST %]]</f>
        <v>2328.48</v>
      </c>
      <c r="Q1176" s="145">
        <f>Purchase[[#This Row],[Gross Amount]]-Purchase[[#This Row],[Disct Amnt]]+Purchase[[#This Row],[GST Amount]]</f>
        <v>15264.48</v>
      </c>
      <c r="R1176" s="138" t="s">
        <v>1019</v>
      </c>
      <c r="S1176" s="41">
        <f>IF(Purchase[[#This Row],[Status]]="Cancelled",0,Purchase[[#This Row],[Qty]])</f>
        <v>6</v>
      </c>
      <c r="T1176" s="146">
        <f>IF(Purchase[[#This Row],[Status]]="Cancelled",0,Purchase[[#This Row],[Total Amount]])</f>
        <v>15264.48</v>
      </c>
      <c r="U1176" s="146">
        <f>SUM(Purchase[Net Amount])</f>
        <v>814985438.68000126</v>
      </c>
    </row>
    <row r="1177" spans="1:21" ht="19.5" thickBot="1" x14ac:dyDescent="0.3">
      <c r="A1177" s="136" t="s">
        <v>2224</v>
      </c>
      <c r="B1177" s="137">
        <v>45716</v>
      </c>
      <c r="C1177" s="138" t="s">
        <v>615</v>
      </c>
      <c r="D1177" s="138" t="str">
        <f>VLOOKUP(Purchase[[#This Row],[Supplier ID]],Supplier[#All],2,0)</f>
        <v>NATIONAL ELECTRONICS</v>
      </c>
      <c r="E1177" s="138">
        <f>VLOOKUP(Purchase[[#This Row],[Supplier ID]],Supplier[#All],3,0)</f>
        <v>9689542498</v>
      </c>
      <c r="F1177" s="138" t="str">
        <f>VLOOKUP(Purchase[[#This Row],[Supplier ID]],Supplier[#All],4,0)</f>
        <v>Kanpur</v>
      </c>
      <c r="G1177" s="138" t="str">
        <f>VLOOKUP(Purchase[[#This Row],[Supplier ID]],Supplier[#All],5,0)</f>
        <v>UP</v>
      </c>
      <c r="H1177" s="138" t="str">
        <f>VLOOKUP(Purchase[[#This Row],[Supplier ID]],Supplier[#All],6,0)</f>
        <v>GST2154521T060</v>
      </c>
      <c r="I1177" s="138" t="s">
        <v>197</v>
      </c>
      <c r="J1177" s="139">
        <v>39</v>
      </c>
      <c r="K1177" s="143">
        <f>VLOOKUP(Purchase[[#This Row],[Product ID]],Product[#All],6,0)</f>
        <v>12461</v>
      </c>
      <c r="L1177" s="143">
        <f>Purchase[[#This Row],[Purchase Rate]]*Purchase[[#This Row],[Qty]]</f>
        <v>485979</v>
      </c>
      <c r="M1177" s="140">
        <v>0</v>
      </c>
      <c r="N1177" s="143">
        <v>0</v>
      </c>
      <c r="O1177" s="140">
        <v>0.18</v>
      </c>
      <c r="P1177" s="145">
        <f>(Purchase[[#This Row],[Gross Amount]]-Purchase[[#This Row],[Disct %]])*Purchase[[#This Row],[GST %]]</f>
        <v>87476.22</v>
      </c>
      <c r="Q1177" s="145">
        <f>Purchase[[#This Row],[Gross Amount]]-Purchase[[#This Row],[Disct Amnt]]+Purchase[[#This Row],[GST Amount]]</f>
        <v>573455.22</v>
      </c>
      <c r="R1177" s="138" t="s">
        <v>1019</v>
      </c>
      <c r="S1177" s="41">
        <f>IF(Purchase[[#This Row],[Status]]="Cancelled",0,Purchase[[#This Row],[Qty]])</f>
        <v>39</v>
      </c>
      <c r="T1177" s="146">
        <f>IF(Purchase[[#This Row],[Status]]="Cancelled",0,Purchase[[#This Row],[Total Amount]])</f>
        <v>573455.22</v>
      </c>
      <c r="U1177" s="146">
        <f>SUM(Purchase[Net Amount])</f>
        <v>814985438.68000126</v>
      </c>
    </row>
    <row r="1178" spans="1:21" ht="19.5" thickBot="1" x14ac:dyDescent="0.3">
      <c r="A1178" s="136" t="s">
        <v>2225</v>
      </c>
      <c r="B1178" s="137">
        <v>45716</v>
      </c>
      <c r="C1178" s="138" t="s">
        <v>594</v>
      </c>
      <c r="D1178" s="138" t="str">
        <f>VLOOKUP(Purchase[[#This Row],[Supplier ID]],Supplier[#All],2,0)</f>
        <v>Shree Suppliers</v>
      </c>
      <c r="E1178" s="138">
        <f>VLOOKUP(Purchase[[#This Row],[Supplier ID]],Supplier[#All],3,0)</f>
        <v>9689542477</v>
      </c>
      <c r="F1178" s="138" t="str">
        <f>VLOOKUP(Purchase[[#This Row],[Supplier ID]],Supplier[#All],4,0)</f>
        <v>Indore</v>
      </c>
      <c r="G1178" s="138" t="str">
        <f>VLOOKUP(Purchase[[#This Row],[Supplier ID]],Supplier[#All],5,0)</f>
        <v>MP</v>
      </c>
      <c r="H1178" s="138" t="str">
        <f>VLOOKUP(Purchase[[#This Row],[Supplier ID]],Supplier[#All],6,0)</f>
        <v>GST2154521T039</v>
      </c>
      <c r="I1178" s="138" t="s">
        <v>161</v>
      </c>
      <c r="J1178" s="139">
        <v>31</v>
      </c>
      <c r="K1178" s="143">
        <f>VLOOKUP(Purchase[[#This Row],[Product ID]],Product[#All],6,0)</f>
        <v>1064</v>
      </c>
      <c r="L1178" s="143">
        <f>Purchase[[#This Row],[Purchase Rate]]*Purchase[[#This Row],[Qty]]</f>
        <v>32984</v>
      </c>
      <c r="M1178" s="140">
        <v>0</v>
      </c>
      <c r="N1178" s="143">
        <v>0</v>
      </c>
      <c r="O1178" s="140">
        <v>0.18</v>
      </c>
      <c r="P1178" s="145">
        <f>(Purchase[[#This Row],[Gross Amount]]-Purchase[[#This Row],[Disct %]])*Purchase[[#This Row],[GST %]]</f>
        <v>5937.12</v>
      </c>
      <c r="Q1178" s="145">
        <f>Purchase[[#This Row],[Gross Amount]]-Purchase[[#This Row],[Disct Amnt]]+Purchase[[#This Row],[GST Amount]]</f>
        <v>38921.120000000003</v>
      </c>
      <c r="R1178" s="138" t="s">
        <v>1019</v>
      </c>
      <c r="S1178" s="41">
        <f>IF(Purchase[[#This Row],[Status]]="Cancelled",0,Purchase[[#This Row],[Qty]])</f>
        <v>31</v>
      </c>
      <c r="T1178" s="146">
        <f>IF(Purchase[[#This Row],[Status]]="Cancelled",0,Purchase[[#This Row],[Total Amount]])</f>
        <v>38921.120000000003</v>
      </c>
      <c r="U1178" s="146">
        <f>SUM(Purchase[Net Amount])</f>
        <v>814985438.68000126</v>
      </c>
    </row>
    <row r="1179" spans="1:21" ht="19.5" thickBot="1" x14ac:dyDescent="0.3">
      <c r="A1179" s="136" t="s">
        <v>2226</v>
      </c>
      <c r="B1179" s="137">
        <v>45716</v>
      </c>
      <c r="C1179" s="138" t="s">
        <v>570</v>
      </c>
      <c r="D1179" s="138" t="str">
        <f>VLOOKUP(Purchase[[#This Row],[Supplier ID]],Supplier[#All],2,0)</f>
        <v>Prime Traders</v>
      </c>
      <c r="E1179" s="138">
        <f>VLOOKUP(Purchase[[#This Row],[Supplier ID]],Supplier[#All],3,0)</f>
        <v>9689542456</v>
      </c>
      <c r="F1179" s="138" t="str">
        <f>VLOOKUP(Purchase[[#This Row],[Supplier ID]],Supplier[#All],4,0)</f>
        <v>Indore</v>
      </c>
      <c r="G1179" s="138" t="str">
        <f>VLOOKUP(Purchase[[#This Row],[Supplier ID]],Supplier[#All],5,0)</f>
        <v>MP</v>
      </c>
      <c r="H1179" s="138" t="str">
        <f>VLOOKUP(Purchase[[#This Row],[Supplier ID]],Supplier[#All],6,0)</f>
        <v>GST2154521T018</v>
      </c>
      <c r="I1179" s="138" t="s">
        <v>366</v>
      </c>
      <c r="J1179" s="139">
        <v>31</v>
      </c>
      <c r="K1179" s="143">
        <f>VLOOKUP(Purchase[[#This Row],[Product ID]],Product[#All],6,0)</f>
        <v>3896</v>
      </c>
      <c r="L1179" s="143">
        <f>Purchase[[#This Row],[Purchase Rate]]*Purchase[[#This Row],[Qty]]</f>
        <v>120776</v>
      </c>
      <c r="M1179" s="140">
        <v>0</v>
      </c>
      <c r="N1179" s="143">
        <v>0</v>
      </c>
      <c r="O1179" s="140">
        <v>0.18</v>
      </c>
      <c r="P1179" s="145">
        <f>(Purchase[[#This Row],[Gross Amount]]-Purchase[[#This Row],[Disct %]])*Purchase[[#This Row],[GST %]]</f>
        <v>21739.68</v>
      </c>
      <c r="Q1179" s="145">
        <f>Purchase[[#This Row],[Gross Amount]]-Purchase[[#This Row],[Disct Amnt]]+Purchase[[#This Row],[GST Amount]]</f>
        <v>142515.68</v>
      </c>
      <c r="R1179" s="138" t="s">
        <v>1019</v>
      </c>
      <c r="S1179" s="41">
        <f>IF(Purchase[[#This Row],[Status]]="Cancelled",0,Purchase[[#This Row],[Qty]])</f>
        <v>31</v>
      </c>
      <c r="T1179" s="146">
        <f>IF(Purchase[[#This Row],[Status]]="Cancelled",0,Purchase[[#This Row],[Total Amount]])</f>
        <v>142515.68</v>
      </c>
      <c r="U1179" s="146">
        <f>SUM(Purchase[Net Amount])</f>
        <v>814985438.68000126</v>
      </c>
    </row>
    <row r="1180" spans="1:21" ht="19.5" thickBot="1" x14ac:dyDescent="0.3">
      <c r="A1180" s="136" t="s">
        <v>2227</v>
      </c>
      <c r="B1180" s="137">
        <v>45716</v>
      </c>
      <c r="C1180" s="138" t="s">
        <v>606</v>
      </c>
      <c r="D1180" s="138" t="str">
        <f>VLOOKUP(Purchase[[#This Row],[Supplier ID]],Supplier[#All],2,0)</f>
        <v>Prime Traders</v>
      </c>
      <c r="E1180" s="138">
        <f>VLOOKUP(Purchase[[#This Row],[Supplier ID]],Supplier[#All],3,0)</f>
        <v>9689542489</v>
      </c>
      <c r="F1180" s="138" t="str">
        <f>VLOOKUP(Purchase[[#This Row],[Supplier ID]],Supplier[#All],4,0)</f>
        <v>Indore</v>
      </c>
      <c r="G1180" s="138" t="str">
        <f>VLOOKUP(Purchase[[#This Row],[Supplier ID]],Supplier[#All],5,0)</f>
        <v>MP</v>
      </c>
      <c r="H1180" s="138" t="str">
        <f>VLOOKUP(Purchase[[#This Row],[Supplier ID]],Supplier[#All],6,0)</f>
        <v>GST2154521T051</v>
      </c>
      <c r="I1180" s="138" t="s">
        <v>535</v>
      </c>
      <c r="J1180" s="139">
        <v>6</v>
      </c>
      <c r="K1180" s="143">
        <f>VLOOKUP(Purchase[[#This Row],[Product ID]],Product[#All],6,0)</f>
        <v>679</v>
      </c>
      <c r="L1180" s="143">
        <f>Purchase[[#This Row],[Purchase Rate]]*Purchase[[#This Row],[Qty]]</f>
        <v>4074</v>
      </c>
      <c r="M1180" s="140">
        <v>0</v>
      </c>
      <c r="N1180" s="143">
        <v>0</v>
      </c>
      <c r="O1180" s="140">
        <v>0.18</v>
      </c>
      <c r="P1180" s="145">
        <f>(Purchase[[#This Row],[Gross Amount]]-Purchase[[#This Row],[Disct %]])*Purchase[[#This Row],[GST %]]</f>
        <v>733.31999999999994</v>
      </c>
      <c r="Q1180" s="145">
        <f>Purchase[[#This Row],[Gross Amount]]-Purchase[[#This Row],[Disct Amnt]]+Purchase[[#This Row],[GST Amount]]</f>
        <v>4807.32</v>
      </c>
      <c r="R1180" s="138" t="s">
        <v>1019</v>
      </c>
      <c r="S1180" s="41">
        <f>IF(Purchase[[#This Row],[Status]]="Cancelled",0,Purchase[[#This Row],[Qty]])</f>
        <v>6</v>
      </c>
      <c r="T1180" s="146">
        <f>IF(Purchase[[#This Row],[Status]]="Cancelled",0,Purchase[[#This Row],[Total Amount]])</f>
        <v>4807.32</v>
      </c>
      <c r="U1180" s="146">
        <f>SUM(Purchase[Net Amount])</f>
        <v>814985438.68000126</v>
      </c>
    </row>
    <row r="1181" spans="1:21" ht="19.5" thickBot="1" x14ac:dyDescent="0.3">
      <c r="A1181" s="136" t="s">
        <v>2228</v>
      </c>
      <c r="B1181" s="137">
        <v>45716</v>
      </c>
      <c r="C1181" s="138" t="s">
        <v>580</v>
      </c>
      <c r="D1181" s="138" t="str">
        <f>VLOOKUP(Purchase[[#This Row],[Supplier ID]],Supplier[#All],2,0)</f>
        <v>Star Distributors</v>
      </c>
      <c r="E1181" s="138">
        <f>VLOOKUP(Purchase[[#This Row],[Supplier ID]],Supplier[#All],3,0)</f>
        <v>9689542464</v>
      </c>
      <c r="F1181" s="138" t="str">
        <f>VLOOKUP(Purchase[[#This Row],[Supplier ID]],Supplier[#All],4,0)</f>
        <v>Indore</v>
      </c>
      <c r="G1181" s="138" t="str">
        <f>VLOOKUP(Purchase[[#This Row],[Supplier ID]],Supplier[#All],5,0)</f>
        <v>MP</v>
      </c>
      <c r="H1181" s="138" t="str">
        <f>VLOOKUP(Purchase[[#This Row],[Supplier ID]],Supplier[#All],6,0)</f>
        <v>GST2154521T026</v>
      </c>
      <c r="I1181" s="138" t="s">
        <v>453</v>
      </c>
      <c r="J1181" s="139">
        <v>7</v>
      </c>
      <c r="K1181" s="143">
        <f>VLOOKUP(Purchase[[#This Row],[Product ID]],Product[#All],6,0)</f>
        <v>2343</v>
      </c>
      <c r="L1181" s="143">
        <f>Purchase[[#This Row],[Purchase Rate]]*Purchase[[#This Row],[Qty]]</f>
        <v>16401</v>
      </c>
      <c r="M1181" s="140">
        <v>0</v>
      </c>
      <c r="N1181" s="143">
        <v>0</v>
      </c>
      <c r="O1181" s="140">
        <v>0.18</v>
      </c>
      <c r="P1181" s="145">
        <f>(Purchase[[#This Row],[Gross Amount]]-Purchase[[#This Row],[Disct %]])*Purchase[[#This Row],[GST %]]</f>
        <v>2952.18</v>
      </c>
      <c r="Q1181" s="145">
        <f>Purchase[[#This Row],[Gross Amount]]-Purchase[[#This Row],[Disct Amnt]]+Purchase[[#This Row],[GST Amount]]</f>
        <v>19353.18</v>
      </c>
      <c r="R1181" s="138" t="s">
        <v>1019</v>
      </c>
      <c r="S1181" s="41">
        <f>IF(Purchase[[#This Row],[Status]]="Cancelled",0,Purchase[[#This Row],[Qty]])</f>
        <v>7</v>
      </c>
      <c r="T1181" s="146">
        <f>IF(Purchase[[#This Row],[Status]]="Cancelled",0,Purchase[[#This Row],[Total Amount]])</f>
        <v>19353.18</v>
      </c>
      <c r="U1181" s="146">
        <f>SUM(Purchase[Net Amount])</f>
        <v>814985438.68000126</v>
      </c>
    </row>
    <row r="1182" spans="1:21" ht="19.5" thickBot="1" x14ac:dyDescent="0.3">
      <c r="A1182" s="136" t="s">
        <v>2229</v>
      </c>
      <c r="B1182" s="137">
        <v>45716</v>
      </c>
      <c r="C1182" s="138" t="s">
        <v>593</v>
      </c>
      <c r="D1182" s="138" t="str">
        <f>VLOOKUP(Purchase[[#This Row],[Supplier ID]],Supplier[#All],2,0)</f>
        <v>Global Suppliers</v>
      </c>
      <c r="E1182" s="138">
        <f>VLOOKUP(Purchase[[#This Row],[Supplier ID]],Supplier[#All],3,0)</f>
        <v>9689542476</v>
      </c>
      <c r="F1182" s="138" t="str">
        <f>VLOOKUP(Purchase[[#This Row],[Supplier ID]],Supplier[#All],4,0)</f>
        <v>Korba</v>
      </c>
      <c r="G1182" s="138" t="str">
        <f>VLOOKUP(Purchase[[#This Row],[Supplier ID]],Supplier[#All],5,0)</f>
        <v>CG</v>
      </c>
      <c r="H1182" s="138" t="str">
        <f>VLOOKUP(Purchase[[#This Row],[Supplier ID]],Supplier[#All],6,0)</f>
        <v>GST2154521T038</v>
      </c>
      <c r="I1182" s="138" t="s">
        <v>523</v>
      </c>
      <c r="J1182" s="139">
        <v>14</v>
      </c>
      <c r="K1182" s="143">
        <f>VLOOKUP(Purchase[[#This Row],[Product ID]],Product[#All],6,0)</f>
        <v>1062</v>
      </c>
      <c r="L1182" s="143">
        <f>Purchase[[#This Row],[Purchase Rate]]*Purchase[[#This Row],[Qty]]</f>
        <v>14868</v>
      </c>
      <c r="M1182" s="140">
        <v>0</v>
      </c>
      <c r="N1182" s="143">
        <v>0</v>
      </c>
      <c r="O1182" s="140">
        <v>0.18</v>
      </c>
      <c r="P1182" s="145">
        <f>(Purchase[[#This Row],[Gross Amount]]-Purchase[[#This Row],[Disct %]])*Purchase[[#This Row],[GST %]]</f>
        <v>2676.24</v>
      </c>
      <c r="Q1182" s="145">
        <f>Purchase[[#This Row],[Gross Amount]]-Purchase[[#This Row],[Disct Amnt]]+Purchase[[#This Row],[GST Amount]]</f>
        <v>17544.239999999998</v>
      </c>
      <c r="R1182" s="138" t="s">
        <v>1019</v>
      </c>
      <c r="S1182" s="41">
        <f>IF(Purchase[[#This Row],[Status]]="Cancelled",0,Purchase[[#This Row],[Qty]])</f>
        <v>14</v>
      </c>
      <c r="T1182" s="146">
        <f>IF(Purchase[[#This Row],[Status]]="Cancelled",0,Purchase[[#This Row],[Total Amount]])</f>
        <v>17544.239999999998</v>
      </c>
      <c r="U1182" s="146">
        <f>SUM(Purchase[Net Amount])</f>
        <v>814985438.68000126</v>
      </c>
    </row>
    <row r="1183" spans="1:21" ht="19.5" thickBot="1" x14ac:dyDescent="0.3">
      <c r="A1183" s="136" t="s">
        <v>2230</v>
      </c>
      <c r="B1183" s="137">
        <v>45716</v>
      </c>
      <c r="C1183" s="138" t="s">
        <v>596</v>
      </c>
      <c r="D1183" s="138" t="str">
        <f>VLOOKUP(Purchase[[#This Row],[Supplier ID]],Supplier[#All],2,0)</f>
        <v>star traders</v>
      </c>
      <c r="E1183" s="138">
        <f>VLOOKUP(Purchase[[#This Row],[Supplier ID]],Supplier[#All],3,0)</f>
        <v>9689542479</v>
      </c>
      <c r="F1183" s="138" t="str">
        <f>VLOOKUP(Purchase[[#This Row],[Supplier ID]],Supplier[#All],4,0)</f>
        <v>Korba</v>
      </c>
      <c r="G1183" s="138" t="str">
        <f>VLOOKUP(Purchase[[#This Row],[Supplier ID]],Supplier[#All],5,0)</f>
        <v>CG</v>
      </c>
      <c r="H1183" s="138" t="str">
        <f>VLOOKUP(Purchase[[#This Row],[Supplier ID]],Supplier[#All],6,0)</f>
        <v>GST2154521T041</v>
      </c>
      <c r="I1183" s="138" t="s">
        <v>209</v>
      </c>
      <c r="J1183" s="139">
        <v>18</v>
      </c>
      <c r="K1183" s="143">
        <f>VLOOKUP(Purchase[[#This Row],[Product ID]],Product[#All],6,0)</f>
        <v>46511</v>
      </c>
      <c r="L1183" s="143">
        <f>Purchase[[#This Row],[Purchase Rate]]*Purchase[[#This Row],[Qty]]</f>
        <v>837198</v>
      </c>
      <c r="M1183" s="140">
        <v>0</v>
      </c>
      <c r="N1183" s="143">
        <v>0</v>
      </c>
      <c r="O1183" s="140">
        <v>0.18</v>
      </c>
      <c r="P1183" s="145">
        <f>(Purchase[[#This Row],[Gross Amount]]-Purchase[[#This Row],[Disct %]])*Purchase[[#This Row],[GST %]]</f>
        <v>150695.63999999998</v>
      </c>
      <c r="Q1183" s="145">
        <f>Purchase[[#This Row],[Gross Amount]]-Purchase[[#This Row],[Disct Amnt]]+Purchase[[#This Row],[GST Amount]]</f>
        <v>987893.64</v>
      </c>
      <c r="R1183" s="138" t="s">
        <v>1019</v>
      </c>
      <c r="S1183" s="41">
        <f>IF(Purchase[[#This Row],[Status]]="Cancelled",0,Purchase[[#This Row],[Qty]])</f>
        <v>18</v>
      </c>
      <c r="T1183" s="146">
        <f>IF(Purchase[[#This Row],[Status]]="Cancelled",0,Purchase[[#This Row],[Total Amount]])</f>
        <v>987893.64</v>
      </c>
      <c r="U1183" s="146">
        <f>SUM(Purchase[Net Amount])</f>
        <v>814985438.68000126</v>
      </c>
    </row>
    <row r="1184" spans="1:21" ht="19.5" thickBot="1" x14ac:dyDescent="0.3">
      <c r="A1184" s="136" t="s">
        <v>2231</v>
      </c>
      <c r="B1184" s="137">
        <v>45716</v>
      </c>
      <c r="C1184" s="138" t="s">
        <v>1398</v>
      </c>
      <c r="D1184" s="138" t="str">
        <f>VLOOKUP(Purchase[[#This Row],[Supplier ID]],Supplier[#All],2,0)</f>
        <v>Tech Traders</v>
      </c>
      <c r="E1184" s="138">
        <f>VLOOKUP(Purchase[[#This Row],[Supplier ID]],Supplier[#All],3,0)</f>
        <v>9689542463</v>
      </c>
      <c r="F1184" s="138" t="str">
        <f>VLOOKUP(Purchase[[#This Row],[Supplier ID]],Supplier[#All],4,0)</f>
        <v>Kanpur</v>
      </c>
      <c r="G1184" s="138" t="str">
        <f>VLOOKUP(Purchase[[#This Row],[Supplier ID]],Supplier[#All],5,0)</f>
        <v>UP</v>
      </c>
      <c r="H1184" s="138" t="str">
        <f>VLOOKUP(Purchase[[#This Row],[Supplier ID]],Supplier[#All],6,0)</f>
        <v>GST2154521T025</v>
      </c>
      <c r="I1184" s="138" t="s">
        <v>109</v>
      </c>
      <c r="J1184" s="139">
        <v>28</v>
      </c>
      <c r="K1184" s="143">
        <f>VLOOKUP(Purchase[[#This Row],[Product ID]],Product[#All],6,0)</f>
        <v>1796</v>
      </c>
      <c r="L1184" s="143">
        <f>Purchase[[#This Row],[Purchase Rate]]*Purchase[[#This Row],[Qty]]</f>
        <v>50288</v>
      </c>
      <c r="M1184" s="140">
        <v>0</v>
      </c>
      <c r="N1184" s="143">
        <v>0</v>
      </c>
      <c r="O1184" s="140">
        <v>0.18</v>
      </c>
      <c r="P1184" s="145">
        <f>(Purchase[[#This Row],[Gross Amount]]-Purchase[[#This Row],[Disct %]])*Purchase[[#This Row],[GST %]]</f>
        <v>9051.84</v>
      </c>
      <c r="Q1184" s="145">
        <f>Purchase[[#This Row],[Gross Amount]]-Purchase[[#This Row],[Disct Amnt]]+Purchase[[#This Row],[GST Amount]]</f>
        <v>59339.839999999997</v>
      </c>
      <c r="R1184" s="138" t="s">
        <v>1019</v>
      </c>
      <c r="S1184" s="41">
        <f>IF(Purchase[[#This Row],[Status]]="Cancelled",0,Purchase[[#This Row],[Qty]])</f>
        <v>28</v>
      </c>
      <c r="T1184" s="146">
        <f>IF(Purchase[[#This Row],[Status]]="Cancelled",0,Purchase[[#This Row],[Total Amount]])</f>
        <v>59339.839999999997</v>
      </c>
      <c r="U1184" s="146">
        <f>SUM(Purchase[Net Amount])</f>
        <v>814985438.68000126</v>
      </c>
    </row>
    <row r="1185" spans="1:21" ht="19.5" thickBot="1" x14ac:dyDescent="0.3">
      <c r="A1185" s="136" t="s">
        <v>2232</v>
      </c>
      <c r="B1185" s="137">
        <v>45716</v>
      </c>
      <c r="C1185" s="138" t="s">
        <v>585</v>
      </c>
      <c r="D1185" s="138" t="str">
        <f>VLOOKUP(Purchase[[#This Row],[Supplier ID]],Supplier[#All],2,0)</f>
        <v>Tech Computers</v>
      </c>
      <c r="E1185" s="138">
        <f>VLOOKUP(Purchase[[#This Row],[Supplier ID]],Supplier[#All],3,0)</f>
        <v>9689542469</v>
      </c>
      <c r="F1185" s="138" t="str">
        <f>VLOOKUP(Purchase[[#This Row],[Supplier ID]],Supplier[#All],4,0)</f>
        <v>Korba</v>
      </c>
      <c r="G1185" s="138" t="str">
        <f>VLOOKUP(Purchase[[#This Row],[Supplier ID]],Supplier[#All],5,0)</f>
        <v>CG</v>
      </c>
      <c r="H1185" s="138" t="str">
        <f>VLOOKUP(Purchase[[#This Row],[Supplier ID]],Supplier[#All],6,0)</f>
        <v>GST2154521T031</v>
      </c>
      <c r="I1185" s="138" t="s">
        <v>400</v>
      </c>
      <c r="J1185" s="139">
        <v>11</v>
      </c>
      <c r="K1185" s="143">
        <f>VLOOKUP(Purchase[[#This Row],[Product ID]],Product[#All],6,0)</f>
        <v>1065</v>
      </c>
      <c r="L1185" s="143">
        <f>Purchase[[#This Row],[Purchase Rate]]*Purchase[[#This Row],[Qty]]</f>
        <v>11715</v>
      </c>
      <c r="M1185" s="140">
        <v>0</v>
      </c>
      <c r="N1185" s="143">
        <v>0</v>
      </c>
      <c r="O1185" s="140">
        <v>0.18</v>
      </c>
      <c r="P1185" s="145">
        <f>(Purchase[[#This Row],[Gross Amount]]-Purchase[[#This Row],[Disct %]])*Purchase[[#This Row],[GST %]]</f>
        <v>2108.6999999999998</v>
      </c>
      <c r="Q1185" s="145">
        <f>Purchase[[#This Row],[Gross Amount]]-Purchase[[#This Row],[Disct Amnt]]+Purchase[[#This Row],[GST Amount]]</f>
        <v>13823.7</v>
      </c>
      <c r="R1185" s="138" t="s">
        <v>1019</v>
      </c>
      <c r="S1185" s="41">
        <f>IF(Purchase[[#This Row],[Status]]="Cancelled",0,Purchase[[#This Row],[Qty]])</f>
        <v>11</v>
      </c>
      <c r="T1185" s="146">
        <f>IF(Purchase[[#This Row],[Status]]="Cancelled",0,Purchase[[#This Row],[Total Amount]])</f>
        <v>13823.7</v>
      </c>
      <c r="U1185" s="146">
        <f>SUM(Purchase[Net Amount])</f>
        <v>814985438.68000126</v>
      </c>
    </row>
    <row r="1186" spans="1:21" ht="19.5" thickBot="1" x14ac:dyDescent="0.3">
      <c r="A1186" s="136" t="s">
        <v>2233</v>
      </c>
      <c r="B1186" s="137">
        <v>45717</v>
      </c>
      <c r="C1186" s="138" t="s">
        <v>570</v>
      </c>
      <c r="D1186" s="138" t="str">
        <f>VLOOKUP(Purchase[[#This Row],[Supplier ID]],Supplier[#All],2,0)</f>
        <v>Prime Traders</v>
      </c>
      <c r="E1186" s="138">
        <f>VLOOKUP(Purchase[[#This Row],[Supplier ID]],Supplier[#All],3,0)</f>
        <v>9689542456</v>
      </c>
      <c r="F1186" s="138" t="str">
        <f>VLOOKUP(Purchase[[#This Row],[Supplier ID]],Supplier[#All],4,0)</f>
        <v>Indore</v>
      </c>
      <c r="G1186" s="138" t="str">
        <f>VLOOKUP(Purchase[[#This Row],[Supplier ID]],Supplier[#All],5,0)</f>
        <v>MP</v>
      </c>
      <c r="H1186" s="138" t="str">
        <f>VLOOKUP(Purchase[[#This Row],[Supplier ID]],Supplier[#All],6,0)</f>
        <v>GST2154521T018</v>
      </c>
      <c r="I1186" s="138" t="s">
        <v>195</v>
      </c>
      <c r="J1186" s="139">
        <v>20</v>
      </c>
      <c r="K1186" s="143">
        <f>VLOOKUP(Purchase[[#This Row],[Product ID]],Product[#All],6,0)</f>
        <v>38353</v>
      </c>
      <c r="L1186" s="143">
        <f>Purchase[[#This Row],[Purchase Rate]]*Purchase[[#This Row],[Qty]]</f>
        <v>767060</v>
      </c>
      <c r="M1186" s="140">
        <v>0</v>
      </c>
      <c r="N1186" s="143">
        <v>0</v>
      </c>
      <c r="O1186" s="140">
        <v>0.18</v>
      </c>
      <c r="P1186" s="145">
        <f>(Purchase[[#This Row],[Gross Amount]]-Purchase[[#This Row],[Disct %]])*Purchase[[#This Row],[GST %]]</f>
        <v>138070.79999999999</v>
      </c>
      <c r="Q1186" s="145">
        <f>Purchase[[#This Row],[Gross Amount]]-Purchase[[#This Row],[Disct Amnt]]+Purchase[[#This Row],[GST Amount]]</f>
        <v>905130.8</v>
      </c>
      <c r="R1186" s="138" t="s">
        <v>1019</v>
      </c>
      <c r="S1186" s="41">
        <f>IF(Purchase[[#This Row],[Status]]="Cancelled",0,Purchase[[#This Row],[Qty]])</f>
        <v>20</v>
      </c>
      <c r="T1186" s="146">
        <f>IF(Purchase[[#This Row],[Status]]="Cancelled",0,Purchase[[#This Row],[Total Amount]])</f>
        <v>905130.8</v>
      </c>
      <c r="U1186" s="146">
        <f>SUM(Purchase[Net Amount])</f>
        <v>814985438.68000126</v>
      </c>
    </row>
    <row r="1187" spans="1:21" ht="19.5" thickBot="1" x14ac:dyDescent="0.3">
      <c r="A1187" s="136" t="s">
        <v>2234</v>
      </c>
      <c r="B1187" s="137">
        <v>45717</v>
      </c>
      <c r="C1187" s="138" t="s">
        <v>591</v>
      </c>
      <c r="D1187" s="138" t="str">
        <f>VLOOKUP(Purchase[[#This Row],[Supplier ID]],Supplier[#All],2,0)</f>
        <v>Shree Computers</v>
      </c>
      <c r="E1187" s="138">
        <f>VLOOKUP(Purchase[[#This Row],[Supplier ID]],Supplier[#All],3,0)</f>
        <v>9689542475</v>
      </c>
      <c r="F1187" s="138" t="str">
        <f>VLOOKUP(Purchase[[#This Row],[Supplier ID]],Supplier[#All],4,0)</f>
        <v>Indore</v>
      </c>
      <c r="G1187" s="138" t="str">
        <f>VLOOKUP(Purchase[[#This Row],[Supplier ID]],Supplier[#All],5,0)</f>
        <v>MP</v>
      </c>
      <c r="H1187" s="138" t="str">
        <f>VLOOKUP(Purchase[[#This Row],[Supplier ID]],Supplier[#All],6,0)</f>
        <v>GST2154521T037</v>
      </c>
      <c r="I1187" s="138" t="s">
        <v>191</v>
      </c>
      <c r="J1187" s="139">
        <v>26</v>
      </c>
      <c r="K1187" s="143">
        <f>VLOOKUP(Purchase[[#This Row],[Product ID]],Product[#All],6,0)</f>
        <v>1533</v>
      </c>
      <c r="L1187" s="143">
        <f>Purchase[[#This Row],[Purchase Rate]]*Purchase[[#This Row],[Qty]]</f>
        <v>39858</v>
      </c>
      <c r="M1187" s="140">
        <v>0</v>
      </c>
      <c r="N1187" s="143">
        <v>0</v>
      </c>
      <c r="O1187" s="140">
        <v>0.18</v>
      </c>
      <c r="P1187" s="145">
        <f>(Purchase[[#This Row],[Gross Amount]]-Purchase[[#This Row],[Disct %]])*Purchase[[#This Row],[GST %]]</f>
        <v>7174.44</v>
      </c>
      <c r="Q1187" s="145">
        <f>Purchase[[#This Row],[Gross Amount]]-Purchase[[#This Row],[Disct Amnt]]+Purchase[[#This Row],[GST Amount]]</f>
        <v>47032.44</v>
      </c>
      <c r="R1187" s="138" t="s">
        <v>1019</v>
      </c>
      <c r="S1187" s="41">
        <f>IF(Purchase[[#This Row],[Status]]="Cancelled",0,Purchase[[#This Row],[Qty]])</f>
        <v>26</v>
      </c>
      <c r="T1187" s="146">
        <f>IF(Purchase[[#This Row],[Status]]="Cancelled",0,Purchase[[#This Row],[Total Amount]])</f>
        <v>47032.44</v>
      </c>
      <c r="U1187" s="146">
        <f>SUM(Purchase[Net Amount])</f>
        <v>814985438.68000126</v>
      </c>
    </row>
    <row r="1188" spans="1:21" ht="19.5" thickBot="1" x14ac:dyDescent="0.3">
      <c r="A1188" s="136" t="s">
        <v>2235</v>
      </c>
      <c r="B1188" s="137">
        <v>45717</v>
      </c>
      <c r="C1188" s="138" t="s">
        <v>611</v>
      </c>
      <c r="D1188" s="138" t="str">
        <f>VLOOKUP(Purchase[[#This Row],[Supplier ID]],Supplier[#All],2,0)</f>
        <v>National Distributors</v>
      </c>
      <c r="E1188" s="138">
        <f>VLOOKUP(Purchase[[#This Row],[Supplier ID]],Supplier[#All],3,0)</f>
        <v>9689542494</v>
      </c>
      <c r="F1188" s="138" t="str">
        <f>VLOOKUP(Purchase[[#This Row],[Supplier ID]],Supplier[#All],4,0)</f>
        <v>Korba</v>
      </c>
      <c r="G1188" s="138" t="str">
        <f>VLOOKUP(Purchase[[#This Row],[Supplier ID]],Supplier[#All],5,0)</f>
        <v>CG</v>
      </c>
      <c r="H1188" s="138" t="str">
        <f>VLOOKUP(Purchase[[#This Row],[Supplier ID]],Supplier[#All],6,0)</f>
        <v>GST2154521T056</v>
      </c>
      <c r="I1188" s="138" t="s">
        <v>31</v>
      </c>
      <c r="J1188" s="139">
        <v>32</v>
      </c>
      <c r="K1188" s="143">
        <f>VLOOKUP(Purchase[[#This Row],[Product ID]],Product[#All],6,0)</f>
        <v>2320</v>
      </c>
      <c r="L1188" s="143">
        <f>Purchase[[#This Row],[Purchase Rate]]*Purchase[[#This Row],[Qty]]</f>
        <v>74240</v>
      </c>
      <c r="M1188" s="140">
        <v>0</v>
      </c>
      <c r="N1188" s="143">
        <v>0</v>
      </c>
      <c r="O1188" s="140">
        <v>0.18</v>
      </c>
      <c r="P1188" s="145">
        <f>(Purchase[[#This Row],[Gross Amount]]-Purchase[[#This Row],[Disct %]])*Purchase[[#This Row],[GST %]]</f>
        <v>13363.199999999999</v>
      </c>
      <c r="Q1188" s="145">
        <f>Purchase[[#This Row],[Gross Amount]]-Purchase[[#This Row],[Disct Amnt]]+Purchase[[#This Row],[GST Amount]]</f>
        <v>87603.199999999997</v>
      </c>
      <c r="R1188" s="138" t="s">
        <v>1019</v>
      </c>
      <c r="S1188" s="41">
        <f>IF(Purchase[[#This Row],[Status]]="Cancelled",0,Purchase[[#This Row],[Qty]])</f>
        <v>32</v>
      </c>
      <c r="T1188" s="146">
        <f>IF(Purchase[[#This Row],[Status]]="Cancelled",0,Purchase[[#This Row],[Total Amount]])</f>
        <v>87603.199999999997</v>
      </c>
      <c r="U1188" s="146">
        <f>SUM(Purchase[Net Amount])</f>
        <v>814985438.68000126</v>
      </c>
    </row>
    <row r="1189" spans="1:21" ht="19.5" thickBot="1" x14ac:dyDescent="0.3">
      <c r="A1189" s="136" t="s">
        <v>2236</v>
      </c>
      <c r="B1189" s="137">
        <v>45717</v>
      </c>
      <c r="C1189" s="138" t="s">
        <v>591</v>
      </c>
      <c r="D1189" s="138" t="str">
        <f>VLOOKUP(Purchase[[#This Row],[Supplier ID]],Supplier[#All],2,0)</f>
        <v>Shree Computers</v>
      </c>
      <c r="E1189" s="138">
        <f>VLOOKUP(Purchase[[#This Row],[Supplier ID]],Supplier[#All],3,0)</f>
        <v>9689542475</v>
      </c>
      <c r="F1189" s="138" t="str">
        <f>VLOOKUP(Purchase[[#This Row],[Supplier ID]],Supplier[#All],4,0)</f>
        <v>Indore</v>
      </c>
      <c r="G1189" s="138" t="str">
        <f>VLOOKUP(Purchase[[#This Row],[Supplier ID]],Supplier[#All],5,0)</f>
        <v>MP</v>
      </c>
      <c r="H1189" s="138" t="str">
        <f>VLOOKUP(Purchase[[#This Row],[Supplier ID]],Supplier[#All],6,0)</f>
        <v>GST2154521T037</v>
      </c>
      <c r="I1189" s="138" t="s">
        <v>379</v>
      </c>
      <c r="J1189" s="139">
        <v>34</v>
      </c>
      <c r="K1189" s="143">
        <f>VLOOKUP(Purchase[[#This Row],[Product ID]],Product[#All],6,0)</f>
        <v>66232</v>
      </c>
      <c r="L1189" s="143">
        <f>Purchase[[#This Row],[Purchase Rate]]*Purchase[[#This Row],[Qty]]</f>
        <v>2251888</v>
      </c>
      <c r="M1189" s="140">
        <v>0</v>
      </c>
      <c r="N1189" s="143">
        <v>0</v>
      </c>
      <c r="O1189" s="140">
        <v>0.18</v>
      </c>
      <c r="P1189" s="145">
        <f>(Purchase[[#This Row],[Gross Amount]]-Purchase[[#This Row],[Disct %]])*Purchase[[#This Row],[GST %]]</f>
        <v>405339.83999999997</v>
      </c>
      <c r="Q1189" s="145">
        <f>Purchase[[#This Row],[Gross Amount]]-Purchase[[#This Row],[Disct Amnt]]+Purchase[[#This Row],[GST Amount]]</f>
        <v>2657227.84</v>
      </c>
      <c r="R1189" s="138" t="s">
        <v>1019</v>
      </c>
      <c r="S1189" s="41">
        <f>IF(Purchase[[#This Row],[Status]]="Cancelled",0,Purchase[[#This Row],[Qty]])</f>
        <v>34</v>
      </c>
      <c r="T1189" s="146">
        <f>IF(Purchase[[#This Row],[Status]]="Cancelled",0,Purchase[[#This Row],[Total Amount]])</f>
        <v>2657227.84</v>
      </c>
      <c r="U1189" s="146">
        <f>SUM(Purchase[Net Amount])</f>
        <v>814985438.68000126</v>
      </c>
    </row>
    <row r="1190" spans="1:21" ht="19.5" thickBot="1" x14ac:dyDescent="0.3">
      <c r="A1190" s="136" t="s">
        <v>2237</v>
      </c>
      <c r="B1190" s="137">
        <v>45717</v>
      </c>
      <c r="C1190" s="138" t="s">
        <v>564</v>
      </c>
      <c r="D1190" s="138" t="str">
        <f>VLOOKUP(Purchase[[#This Row],[Supplier ID]],Supplier[#All],2,0)</f>
        <v xml:space="preserve">Star Electronics </v>
      </c>
      <c r="E1190" s="138">
        <f>VLOOKUP(Purchase[[#This Row],[Supplier ID]],Supplier[#All],3,0)</f>
        <v>9689542450</v>
      </c>
      <c r="F1190" s="138" t="str">
        <f>VLOOKUP(Purchase[[#This Row],[Supplier ID]],Supplier[#All],4,0)</f>
        <v>Korba</v>
      </c>
      <c r="G1190" s="138" t="str">
        <f>VLOOKUP(Purchase[[#This Row],[Supplier ID]],Supplier[#All],5,0)</f>
        <v>CG</v>
      </c>
      <c r="H1190" s="138" t="str">
        <f>VLOOKUP(Purchase[[#This Row],[Supplier ID]],Supplier[#All],6,0)</f>
        <v>GST2154521T012</v>
      </c>
      <c r="I1190" s="138" t="s">
        <v>375</v>
      </c>
      <c r="J1190" s="139">
        <v>7</v>
      </c>
      <c r="K1190" s="143">
        <f>VLOOKUP(Purchase[[#This Row],[Product ID]],Product[#All],6,0)</f>
        <v>4429</v>
      </c>
      <c r="L1190" s="143">
        <f>Purchase[[#This Row],[Purchase Rate]]*Purchase[[#This Row],[Qty]]</f>
        <v>31003</v>
      </c>
      <c r="M1190" s="140">
        <v>0</v>
      </c>
      <c r="N1190" s="143">
        <v>0</v>
      </c>
      <c r="O1190" s="140">
        <v>0.18</v>
      </c>
      <c r="P1190" s="145">
        <f>(Purchase[[#This Row],[Gross Amount]]-Purchase[[#This Row],[Disct %]])*Purchase[[#This Row],[GST %]]</f>
        <v>5580.54</v>
      </c>
      <c r="Q1190" s="145">
        <f>Purchase[[#This Row],[Gross Amount]]-Purchase[[#This Row],[Disct Amnt]]+Purchase[[#This Row],[GST Amount]]</f>
        <v>36583.54</v>
      </c>
      <c r="R1190" s="138" t="s">
        <v>1019</v>
      </c>
      <c r="S1190" s="41">
        <f>IF(Purchase[[#This Row],[Status]]="Cancelled",0,Purchase[[#This Row],[Qty]])</f>
        <v>7</v>
      </c>
      <c r="T1190" s="146">
        <f>IF(Purchase[[#This Row],[Status]]="Cancelled",0,Purchase[[#This Row],[Total Amount]])</f>
        <v>36583.54</v>
      </c>
      <c r="U1190" s="146">
        <f>SUM(Purchase[Net Amount])</f>
        <v>814985438.68000126</v>
      </c>
    </row>
    <row r="1191" spans="1:21" ht="19.5" thickBot="1" x14ac:dyDescent="0.3">
      <c r="A1191" s="136" t="s">
        <v>2238</v>
      </c>
      <c r="B1191" s="137">
        <v>45717</v>
      </c>
      <c r="C1191" s="138" t="s">
        <v>597</v>
      </c>
      <c r="D1191" s="138" t="str">
        <f>VLOOKUP(Purchase[[#This Row],[Supplier ID]],Supplier[#All],2,0)</f>
        <v>Tech Traders</v>
      </c>
      <c r="E1191" s="138">
        <f>VLOOKUP(Purchase[[#This Row],[Supplier ID]],Supplier[#All],3,0)</f>
        <v>9689542480</v>
      </c>
      <c r="F1191" s="138" t="str">
        <f>VLOOKUP(Purchase[[#This Row],[Supplier ID]],Supplier[#All],4,0)</f>
        <v>Kanpur</v>
      </c>
      <c r="G1191" s="138" t="str">
        <f>VLOOKUP(Purchase[[#This Row],[Supplier ID]],Supplier[#All],5,0)</f>
        <v>UP</v>
      </c>
      <c r="H1191" s="138" t="str">
        <f>VLOOKUP(Purchase[[#This Row],[Supplier ID]],Supplier[#All],6,0)</f>
        <v>GST2154521T042</v>
      </c>
      <c r="I1191" s="138" t="s">
        <v>513</v>
      </c>
      <c r="J1191" s="139">
        <v>9</v>
      </c>
      <c r="K1191" s="143">
        <f>VLOOKUP(Purchase[[#This Row],[Product ID]],Product[#All],6,0)</f>
        <v>1887</v>
      </c>
      <c r="L1191" s="143">
        <f>Purchase[[#This Row],[Purchase Rate]]*Purchase[[#This Row],[Qty]]</f>
        <v>16983</v>
      </c>
      <c r="M1191" s="140">
        <v>0</v>
      </c>
      <c r="N1191" s="143">
        <v>0</v>
      </c>
      <c r="O1191" s="140">
        <v>0.18</v>
      </c>
      <c r="P1191" s="145">
        <f>(Purchase[[#This Row],[Gross Amount]]-Purchase[[#This Row],[Disct %]])*Purchase[[#This Row],[GST %]]</f>
        <v>3056.94</v>
      </c>
      <c r="Q1191" s="145">
        <f>Purchase[[#This Row],[Gross Amount]]-Purchase[[#This Row],[Disct Amnt]]+Purchase[[#This Row],[GST Amount]]</f>
        <v>20039.939999999999</v>
      </c>
      <c r="R1191" s="138" t="s">
        <v>1019</v>
      </c>
      <c r="S1191" s="41">
        <f>IF(Purchase[[#This Row],[Status]]="Cancelled",0,Purchase[[#This Row],[Qty]])</f>
        <v>9</v>
      </c>
      <c r="T1191" s="146">
        <f>IF(Purchase[[#This Row],[Status]]="Cancelled",0,Purchase[[#This Row],[Total Amount]])</f>
        <v>20039.939999999999</v>
      </c>
      <c r="U1191" s="146">
        <f>SUM(Purchase[Net Amount])</f>
        <v>814985438.68000126</v>
      </c>
    </row>
    <row r="1192" spans="1:21" ht="19.5" thickBot="1" x14ac:dyDescent="0.3">
      <c r="A1192" s="136" t="s">
        <v>2239</v>
      </c>
      <c r="B1192" s="137">
        <v>45717</v>
      </c>
      <c r="C1192" s="138" t="s">
        <v>2240</v>
      </c>
      <c r="D1192" s="138" t="str">
        <f>VLOOKUP(Purchase[[#This Row],[Supplier ID]],Supplier[#All],2,0)</f>
        <v>Star Traders</v>
      </c>
      <c r="E1192" s="138">
        <f>VLOOKUP(Purchase[[#This Row],[Supplier ID]],Supplier[#All],3,0)</f>
        <v>9689542488</v>
      </c>
      <c r="F1192" s="138" t="str">
        <f>VLOOKUP(Purchase[[#This Row],[Supplier ID]],Supplier[#All],4,0)</f>
        <v>Indore</v>
      </c>
      <c r="G1192" s="138" t="str">
        <f>VLOOKUP(Purchase[[#This Row],[Supplier ID]],Supplier[#All],5,0)</f>
        <v>MP</v>
      </c>
      <c r="H1192" s="138" t="str">
        <f>VLOOKUP(Purchase[[#This Row],[Supplier ID]],Supplier[#All],6,0)</f>
        <v>GST2154521T050</v>
      </c>
      <c r="I1192" s="138" t="s">
        <v>525</v>
      </c>
      <c r="J1192" s="139">
        <v>30</v>
      </c>
      <c r="K1192" s="143">
        <f>VLOOKUP(Purchase[[#This Row],[Product ID]],Product[#All],6,0)</f>
        <v>1570</v>
      </c>
      <c r="L1192" s="143">
        <f>Purchase[[#This Row],[Purchase Rate]]*Purchase[[#This Row],[Qty]]</f>
        <v>47100</v>
      </c>
      <c r="M1192" s="140">
        <v>0</v>
      </c>
      <c r="N1192" s="143">
        <v>0</v>
      </c>
      <c r="O1192" s="140">
        <v>0.18</v>
      </c>
      <c r="P1192" s="145">
        <f>(Purchase[[#This Row],[Gross Amount]]-Purchase[[#This Row],[Disct %]])*Purchase[[#This Row],[GST %]]</f>
        <v>8478</v>
      </c>
      <c r="Q1192" s="145">
        <f>Purchase[[#This Row],[Gross Amount]]-Purchase[[#This Row],[Disct Amnt]]+Purchase[[#This Row],[GST Amount]]</f>
        <v>55578</v>
      </c>
      <c r="R1192" s="138" t="s">
        <v>1019</v>
      </c>
      <c r="S1192" s="41">
        <f>IF(Purchase[[#This Row],[Status]]="Cancelled",0,Purchase[[#This Row],[Qty]])</f>
        <v>30</v>
      </c>
      <c r="T1192" s="146">
        <f>IF(Purchase[[#This Row],[Status]]="Cancelled",0,Purchase[[#This Row],[Total Amount]])</f>
        <v>55578</v>
      </c>
      <c r="U1192" s="146">
        <f>SUM(Purchase[Net Amount])</f>
        <v>814985438.68000126</v>
      </c>
    </row>
    <row r="1193" spans="1:21" ht="19.5" thickBot="1" x14ac:dyDescent="0.3">
      <c r="A1193" s="136" t="s">
        <v>2241</v>
      </c>
      <c r="B1193" s="137">
        <v>45717</v>
      </c>
      <c r="C1193" s="138" t="s">
        <v>567</v>
      </c>
      <c r="D1193" s="138" t="str">
        <f>VLOOKUP(Purchase[[#This Row],[Supplier ID]],Supplier[#All],2,0)</f>
        <v>National Distributors</v>
      </c>
      <c r="E1193" s="138">
        <f>VLOOKUP(Purchase[[#This Row],[Supplier ID]],Supplier[#All],3,0)</f>
        <v>9689542453</v>
      </c>
      <c r="F1193" s="138" t="str">
        <f>VLOOKUP(Purchase[[#This Row],[Supplier ID]],Supplier[#All],4,0)</f>
        <v>Korba</v>
      </c>
      <c r="G1193" s="138" t="str">
        <f>VLOOKUP(Purchase[[#This Row],[Supplier ID]],Supplier[#All],5,0)</f>
        <v>CG</v>
      </c>
      <c r="H1193" s="138" t="str">
        <f>VLOOKUP(Purchase[[#This Row],[Supplier ID]],Supplier[#All],6,0)</f>
        <v>GST2154521T015</v>
      </c>
      <c r="I1193" s="138" t="s">
        <v>130</v>
      </c>
      <c r="J1193" s="139">
        <v>40</v>
      </c>
      <c r="K1193" s="143">
        <f>VLOOKUP(Purchase[[#This Row],[Product ID]],Product[#All],6,0)</f>
        <v>32914</v>
      </c>
      <c r="L1193" s="143">
        <f>Purchase[[#This Row],[Purchase Rate]]*Purchase[[#This Row],[Qty]]</f>
        <v>1316560</v>
      </c>
      <c r="M1193" s="140">
        <v>0</v>
      </c>
      <c r="N1193" s="143">
        <v>0</v>
      </c>
      <c r="O1193" s="140">
        <v>0.18</v>
      </c>
      <c r="P1193" s="145">
        <f>(Purchase[[#This Row],[Gross Amount]]-Purchase[[#This Row],[Disct %]])*Purchase[[#This Row],[GST %]]</f>
        <v>236980.8</v>
      </c>
      <c r="Q1193" s="145">
        <f>Purchase[[#This Row],[Gross Amount]]-Purchase[[#This Row],[Disct Amnt]]+Purchase[[#This Row],[GST Amount]]</f>
        <v>1553540.8</v>
      </c>
      <c r="R1193" s="138" t="s">
        <v>1019</v>
      </c>
      <c r="S1193" s="41">
        <f>IF(Purchase[[#This Row],[Status]]="Cancelled",0,Purchase[[#This Row],[Qty]])</f>
        <v>40</v>
      </c>
      <c r="T1193" s="146">
        <f>IF(Purchase[[#This Row],[Status]]="Cancelled",0,Purchase[[#This Row],[Total Amount]])</f>
        <v>1553540.8</v>
      </c>
      <c r="U1193" s="146">
        <f>SUM(Purchase[Net Amount])</f>
        <v>814985438.68000126</v>
      </c>
    </row>
    <row r="1194" spans="1:21" ht="19.5" thickBot="1" x14ac:dyDescent="0.3">
      <c r="A1194" s="136" t="s">
        <v>2242</v>
      </c>
      <c r="B1194" s="137">
        <v>45717</v>
      </c>
      <c r="C1194" s="138" t="s">
        <v>565</v>
      </c>
      <c r="D1194" s="138" t="str">
        <f>VLOOKUP(Purchase[[#This Row],[Supplier ID]],Supplier[#All],2,0)</f>
        <v>Global Suppliers</v>
      </c>
      <c r="E1194" s="138">
        <f>VLOOKUP(Purchase[[#This Row],[Supplier ID]],Supplier[#All],3,0)</f>
        <v>9689542459</v>
      </c>
      <c r="F1194" s="138" t="str">
        <f>VLOOKUP(Purchase[[#This Row],[Supplier ID]],Supplier[#All],4,0)</f>
        <v>Indore</v>
      </c>
      <c r="G1194" s="138" t="str">
        <f>VLOOKUP(Purchase[[#This Row],[Supplier ID]],Supplier[#All],5,0)</f>
        <v>MP</v>
      </c>
      <c r="H1194" s="138" t="str">
        <f>VLOOKUP(Purchase[[#This Row],[Supplier ID]],Supplier[#All],6,0)</f>
        <v>GST2154521T013</v>
      </c>
      <c r="I1194" s="138" t="s">
        <v>300</v>
      </c>
      <c r="J1194" s="139">
        <v>23</v>
      </c>
      <c r="K1194" s="143">
        <f>VLOOKUP(Purchase[[#This Row],[Product ID]],Product[#All],6,0)</f>
        <v>8629</v>
      </c>
      <c r="L1194" s="143">
        <f>Purchase[[#This Row],[Purchase Rate]]*Purchase[[#This Row],[Qty]]</f>
        <v>198467</v>
      </c>
      <c r="M1194" s="140">
        <v>0</v>
      </c>
      <c r="N1194" s="143">
        <v>0</v>
      </c>
      <c r="O1194" s="140">
        <v>0.18</v>
      </c>
      <c r="P1194" s="145">
        <f>(Purchase[[#This Row],[Gross Amount]]-Purchase[[#This Row],[Disct %]])*Purchase[[#This Row],[GST %]]</f>
        <v>35724.06</v>
      </c>
      <c r="Q1194" s="145">
        <f>Purchase[[#This Row],[Gross Amount]]-Purchase[[#This Row],[Disct Amnt]]+Purchase[[#This Row],[GST Amount]]</f>
        <v>234191.06</v>
      </c>
      <c r="R1194" s="138" t="s">
        <v>1019</v>
      </c>
      <c r="S1194" s="41">
        <f>IF(Purchase[[#This Row],[Status]]="Cancelled",0,Purchase[[#This Row],[Qty]])</f>
        <v>23</v>
      </c>
      <c r="T1194" s="146">
        <f>IF(Purchase[[#This Row],[Status]]="Cancelled",0,Purchase[[#This Row],[Total Amount]])</f>
        <v>234191.06</v>
      </c>
      <c r="U1194" s="146">
        <f>SUM(Purchase[Net Amount])</f>
        <v>814985438.68000126</v>
      </c>
    </row>
    <row r="1195" spans="1:21" ht="19.5" thickBot="1" x14ac:dyDescent="0.3">
      <c r="A1195" s="136" t="s">
        <v>2243</v>
      </c>
      <c r="B1195" s="137">
        <v>45717</v>
      </c>
      <c r="C1195" s="138" t="s">
        <v>595</v>
      </c>
      <c r="D1195" s="138" t="str">
        <f>VLOOKUP(Purchase[[#This Row],[Supplier ID]],Supplier[#All],2,0)</f>
        <v>Star Computers</v>
      </c>
      <c r="E1195" s="138">
        <f>VLOOKUP(Purchase[[#This Row],[Supplier ID]],Supplier[#All],3,0)</f>
        <v>9689542478</v>
      </c>
      <c r="F1195" s="138" t="str">
        <f>VLOOKUP(Purchase[[#This Row],[Supplier ID]],Supplier[#All],4,0)</f>
        <v>Kanpur</v>
      </c>
      <c r="G1195" s="138" t="str">
        <f>VLOOKUP(Purchase[[#This Row],[Supplier ID]],Supplier[#All],5,0)</f>
        <v>UP</v>
      </c>
      <c r="H1195" s="138" t="str">
        <f>VLOOKUP(Purchase[[#This Row],[Supplier ID]],Supplier[#All],6,0)</f>
        <v>GST2154521T040</v>
      </c>
      <c r="I1195" s="138" t="s">
        <v>369</v>
      </c>
      <c r="J1195" s="139">
        <v>26</v>
      </c>
      <c r="K1195" s="143">
        <f>VLOOKUP(Purchase[[#This Row],[Product ID]],Product[#All],6,0)</f>
        <v>1684</v>
      </c>
      <c r="L1195" s="143">
        <f>Purchase[[#This Row],[Purchase Rate]]*Purchase[[#This Row],[Qty]]</f>
        <v>43784</v>
      </c>
      <c r="M1195" s="140">
        <v>0</v>
      </c>
      <c r="N1195" s="143">
        <v>0</v>
      </c>
      <c r="O1195" s="140">
        <v>0.18</v>
      </c>
      <c r="P1195" s="145">
        <f>(Purchase[[#This Row],[Gross Amount]]-Purchase[[#This Row],[Disct %]])*Purchase[[#This Row],[GST %]]</f>
        <v>7881.12</v>
      </c>
      <c r="Q1195" s="145">
        <f>Purchase[[#This Row],[Gross Amount]]-Purchase[[#This Row],[Disct Amnt]]+Purchase[[#This Row],[GST Amount]]</f>
        <v>51665.120000000003</v>
      </c>
      <c r="R1195" s="138" t="s">
        <v>1019</v>
      </c>
      <c r="S1195" s="41">
        <f>IF(Purchase[[#This Row],[Status]]="Cancelled",0,Purchase[[#This Row],[Qty]])</f>
        <v>26</v>
      </c>
      <c r="T1195" s="146">
        <f>IF(Purchase[[#This Row],[Status]]="Cancelled",0,Purchase[[#This Row],[Total Amount]])</f>
        <v>51665.120000000003</v>
      </c>
      <c r="U1195" s="146">
        <f>SUM(Purchase[Net Amount])</f>
        <v>814985438.68000126</v>
      </c>
    </row>
    <row r="1196" spans="1:21" ht="19.5" thickBot="1" x14ac:dyDescent="0.3">
      <c r="A1196" s="136" t="s">
        <v>2244</v>
      </c>
      <c r="B1196" s="137">
        <v>45717</v>
      </c>
      <c r="C1196" s="138" t="s">
        <v>605</v>
      </c>
      <c r="D1196" s="138" t="str">
        <f>VLOOKUP(Purchase[[#This Row],[Supplier ID]],Supplier[#All],2,0)</f>
        <v>Star Traders</v>
      </c>
      <c r="E1196" s="138">
        <f>VLOOKUP(Purchase[[#This Row],[Supplier ID]],Supplier[#All],3,0)</f>
        <v>9689542488</v>
      </c>
      <c r="F1196" s="138" t="str">
        <f>VLOOKUP(Purchase[[#This Row],[Supplier ID]],Supplier[#All],4,0)</f>
        <v>Indore</v>
      </c>
      <c r="G1196" s="138" t="str">
        <f>VLOOKUP(Purchase[[#This Row],[Supplier ID]],Supplier[#All],5,0)</f>
        <v>MP</v>
      </c>
      <c r="H1196" s="138" t="str">
        <f>VLOOKUP(Purchase[[#This Row],[Supplier ID]],Supplier[#All],6,0)</f>
        <v>GST2154521T050</v>
      </c>
      <c r="I1196" s="138" t="s">
        <v>300</v>
      </c>
      <c r="J1196" s="139">
        <v>25</v>
      </c>
      <c r="K1196" s="143">
        <f>VLOOKUP(Purchase[[#This Row],[Product ID]],Product[#All],6,0)</f>
        <v>8629</v>
      </c>
      <c r="L1196" s="143">
        <f>Purchase[[#This Row],[Purchase Rate]]*Purchase[[#This Row],[Qty]]</f>
        <v>215725</v>
      </c>
      <c r="M1196" s="140">
        <v>0</v>
      </c>
      <c r="N1196" s="143">
        <v>0</v>
      </c>
      <c r="O1196" s="140">
        <v>0.18</v>
      </c>
      <c r="P1196" s="145">
        <f>(Purchase[[#This Row],[Gross Amount]]-Purchase[[#This Row],[Disct %]])*Purchase[[#This Row],[GST %]]</f>
        <v>38830.5</v>
      </c>
      <c r="Q1196" s="145">
        <f>Purchase[[#This Row],[Gross Amount]]-Purchase[[#This Row],[Disct Amnt]]+Purchase[[#This Row],[GST Amount]]</f>
        <v>254555.5</v>
      </c>
      <c r="R1196" s="138" t="s">
        <v>1019</v>
      </c>
      <c r="S1196" s="41">
        <f>IF(Purchase[[#This Row],[Status]]="Cancelled",0,Purchase[[#This Row],[Qty]])</f>
        <v>25</v>
      </c>
      <c r="T1196" s="146">
        <f>IF(Purchase[[#This Row],[Status]]="Cancelled",0,Purchase[[#This Row],[Total Amount]])</f>
        <v>254555.5</v>
      </c>
      <c r="U1196" s="146">
        <f>SUM(Purchase[Net Amount])</f>
        <v>814985438.68000126</v>
      </c>
    </row>
    <row r="1197" spans="1:21" ht="19.5" thickBot="1" x14ac:dyDescent="0.3">
      <c r="A1197" s="136" t="s">
        <v>2245</v>
      </c>
      <c r="B1197" s="137">
        <v>45717</v>
      </c>
      <c r="C1197" s="138" t="s">
        <v>569</v>
      </c>
      <c r="D1197" s="138" t="str">
        <f>VLOOKUP(Purchase[[#This Row],[Supplier ID]],Supplier[#All],2,0)</f>
        <v>Tech Electronics</v>
      </c>
      <c r="E1197" s="138">
        <f>VLOOKUP(Purchase[[#This Row],[Supplier ID]],Supplier[#All],3,0)</f>
        <v>9689542455</v>
      </c>
      <c r="F1197" s="138" t="str">
        <f>VLOOKUP(Purchase[[#This Row],[Supplier ID]],Supplier[#All],4,0)</f>
        <v>Korba</v>
      </c>
      <c r="G1197" s="138" t="str">
        <f>VLOOKUP(Purchase[[#This Row],[Supplier ID]],Supplier[#All],5,0)</f>
        <v>CG</v>
      </c>
      <c r="H1197" s="138" t="str">
        <f>VLOOKUP(Purchase[[#This Row],[Supplier ID]],Supplier[#All],6,0)</f>
        <v>GST2154521T017</v>
      </c>
      <c r="I1197" s="138" t="s">
        <v>534</v>
      </c>
      <c r="J1197" s="139">
        <v>13</v>
      </c>
      <c r="K1197" s="143">
        <f>VLOOKUP(Purchase[[#This Row],[Product ID]],Product[#All],6,0)</f>
        <v>31624</v>
      </c>
      <c r="L1197" s="143">
        <f>Purchase[[#This Row],[Purchase Rate]]*Purchase[[#This Row],[Qty]]</f>
        <v>411112</v>
      </c>
      <c r="M1197" s="140">
        <v>0</v>
      </c>
      <c r="N1197" s="143">
        <v>0</v>
      </c>
      <c r="O1197" s="140">
        <v>0.18</v>
      </c>
      <c r="P1197" s="145">
        <f>(Purchase[[#This Row],[Gross Amount]]-Purchase[[#This Row],[Disct %]])*Purchase[[#This Row],[GST %]]</f>
        <v>74000.160000000003</v>
      </c>
      <c r="Q1197" s="145">
        <f>Purchase[[#This Row],[Gross Amount]]-Purchase[[#This Row],[Disct Amnt]]+Purchase[[#This Row],[GST Amount]]</f>
        <v>485112.16000000003</v>
      </c>
      <c r="R1197" s="138" t="s">
        <v>1019</v>
      </c>
      <c r="S1197" s="41">
        <f>IF(Purchase[[#This Row],[Status]]="Cancelled",0,Purchase[[#This Row],[Qty]])</f>
        <v>13</v>
      </c>
      <c r="T1197" s="146">
        <f>IF(Purchase[[#This Row],[Status]]="Cancelled",0,Purchase[[#This Row],[Total Amount]])</f>
        <v>485112.16000000003</v>
      </c>
      <c r="U1197" s="146">
        <f>SUM(Purchase[Net Amount])</f>
        <v>814985438.68000126</v>
      </c>
    </row>
    <row r="1198" spans="1:21" ht="19.5" thickBot="1" x14ac:dyDescent="0.3">
      <c r="A1198" s="136" t="s">
        <v>2246</v>
      </c>
      <c r="B1198" s="137">
        <v>45717</v>
      </c>
      <c r="C1198" s="138" t="s">
        <v>601</v>
      </c>
      <c r="D1198" s="138" t="str">
        <f>VLOOKUP(Purchase[[#This Row],[Supplier ID]],Supplier[#All],2,0)</f>
        <v>Maa Distributors</v>
      </c>
      <c r="E1198" s="138">
        <f>VLOOKUP(Purchase[[#This Row],[Supplier ID]],Supplier[#All],3,0)</f>
        <v>9689542484</v>
      </c>
      <c r="F1198" s="138" t="str">
        <f>VLOOKUP(Purchase[[#This Row],[Supplier ID]],Supplier[#All],4,0)</f>
        <v>Indore</v>
      </c>
      <c r="G1198" s="138" t="str">
        <f>VLOOKUP(Purchase[[#This Row],[Supplier ID]],Supplier[#All],5,0)</f>
        <v>MP</v>
      </c>
      <c r="H1198" s="138" t="str">
        <f>VLOOKUP(Purchase[[#This Row],[Supplier ID]],Supplier[#All],6,0)</f>
        <v>GST2154521T046</v>
      </c>
      <c r="I1198" s="138" t="s">
        <v>459</v>
      </c>
      <c r="J1198" s="139">
        <v>21</v>
      </c>
      <c r="K1198" s="143">
        <f>VLOOKUP(Purchase[[#This Row],[Product ID]],Product[#All],6,0)</f>
        <v>1347</v>
      </c>
      <c r="L1198" s="143">
        <f>Purchase[[#This Row],[Purchase Rate]]*Purchase[[#This Row],[Qty]]</f>
        <v>28287</v>
      </c>
      <c r="M1198" s="140">
        <v>0</v>
      </c>
      <c r="N1198" s="143">
        <v>0</v>
      </c>
      <c r="O1198" s="140">
        <v>0.18</v>
      </c>
      <c r="P1198" s="145">
        <f>(Purchase[[#This Row],[Gross Amount]]-Purchase[[#This Row],[Disct %]])*Purchase[[#This Row],[GST %]]</f>
        <v>5091.66</v>
      </c>
      <c r="Q1198" s="145">
        <f>Purchase[[#This Row],[Gross Amount]]-Purchase[[#This Row],[Disct Amnt]]+Purchase[[#This Row],[GST Amount]]</f>
        <v>33378.660000000003</v>
      </c>
      <c r="R1198" s="138" t="s">
        <v>1019</v>
      </c>
      <c r="S1198" s="41">
        <f>IF(Purchase[[#This Row],[Status]]="Cancelled",0,Purchase[[#This Row],[Qty]])</f>
        <v>21</v>
      </c>
      <c r="T1198" s="146">
        <f>IF(Purchase[[#This Row],[Status]]="Cancelled",0,Purchase[[#This Row],[Total Amount]])</f>
        <v>33378.660000000003</v>
      </c>
      <c r="U1198" s="146">
        <f>SUM(Purchase[Net Amount])</f>
        <v>814985438.68000126</v>
      </c>
    </row>
    <row r="1199" spans="1:21" ht="19.5" thickBot="1" x14ac:dyDescent="0.3">
      <c r="A1199" s="136" t="s">
        <v>2247</v>
      </c>
      <c r="B1199" s="137">
        <v>45717</v>
      </c>
      <c r="C1199" s="138" t="s">
        <v>607</v>
      </c>
      <c r="D1199" s="138" t="str">
        <f>VLOOKUP(Purchase[[#This Row],[Supplier ID]],Supplier[#All],2,0)</f>
        <v>Global Distributors</v>
      </c>
      <c r="E1199" s="138">
        <f>VLOOKUP(Purchase[[#This Row],[Supplier ID]],Supplier[#All],3,0)</f>
        <v>9689542490</v>
      </c>
      <c r="F1199" s="138" t="str">
        <f>VLOOKUP(Purchase[[#This Row],[Supplier ID]],Supplier[#All],4,0)</f>
        <v>Kanpur</v>
      </c>
      <c r="G1199" s="138" t="str">
        <f>VLOOKUP(Purchase[[#This Row],[Supplier ID]],Supplier[#All],5,0)</f>
        <v>UP</v>
      </c>
      <c r="H1199" s="138" t="str">
        <f>VLOOKUP(Purchase[[#This Row],[Supplier ID]],Supplier[#All],6,0)</f>
        <v>GST2154521T052</v>
      </c>
      <c r="I1199" s="138" t="s">
        <v>112</v>
      </c>
      <c r="J1199" s="139">
        <v>6</v>
      </c>
      <c r="K1199" s="143">
        <f>VLOOKUP(Purchase[[#This Row],[Product ID]],Product[#All],6,0)</f>
        <v>2575</v>
      </c>
      <c r="L1199" s="143">
        <f>Purchase[[#This Row],[Purchase Rate]]*Purchase[[#This Row],[Qty]]</f>
        <v>15450</v>
      </c>
      <c r="M1199" s="140">
        <v>0</v>
      </c>
      <c r="N1199" s="143">
        <v>0</v>
      </c>
      <c r="O1199" s="140">
        <v>0.18</v>
      </c>
      <c r="P1199" s="145">
        <f>(Purchase[[#This Row],[Gross Amount]]-Purchase[[#This Row],[Disct %]])*Purchase[[#This Row],[GST %]]</f>
        <v>2781</v>
      </c>
      <c r="Q1199" s="145">
        <f>Purchase[[#This Row],[Gross Amount]]-Purchase[[#This Row],[Disct Amnt]]+Purchase[[#This Row],[GST Amount]]</f>
        <v>18231</v>
      </c>
      <c r="R1199" s="138" t="s">
        <v>1019</v>
      </c>
      <c r="S1199" s="41">
        <f>IF(Purchase[[#This Row],[Status]]="Cancelled",0,Purchase[[#This Row],[Qty]])</f>
        <v>6</v>
      </c>
      <c r="T1199" s="146">
        <f>IF(Purchase[[#This Row],[Status]]="Cancelled",0,Purchase[[#This Row],[Total Amount]])</f>
        <v>18231</v>
      </c>
      <c r="U1199" s="146">
        <f>SUM(Purchase[Net Amount])</f>
        <v>814985438.68000126</v>
      </c>
    </row>
    <row r="1200" spans="1:21" ht="19.5" thickBot="1" x14ac:dyDescent="0.3">
      <c r="A1200" s="136" t="s">
        <v>2248</v>
      </c>
      <c r="B1200" s="137">
        <v>45717</v>
      </c>
      <c r="C1200" s="138" t="s">
        <v>577</v>
      </c>
      <c r="D1200" s="138" t="str">
        <f>VLOOKUP(Purchase[[#This Row],[Supplier ID]],Supplier[#All],2,0)</f>
        <v>National Electronics</v>
      </c>
      <c r="E1200" s="138">
        <f>VLOOKUP(Purchase[[#This Row],[Supplier ID]],Supplier[#All],3,0)</f>
        <v>9689542469</v>
      </c>
      <c r="F1200" s="138" t="str">
        <f>VLOOKUP(Purchase[[#This Row],[Supplier ID]],Supplier[#All],4,0)</f>
        <v>Korba</v>
      </c>
      <c r="G1200" s="138" t="str">
        <f>VLOOKUP(Purchase[[#This Row],[Supplier ID]],Supplier[#All],5,0)</f>
        <v>CG</v>
      </c>
      <c r="H1200" s="138" t="str">
        <f>VLOOKUP(Purchase[[#This Row],[Supplier ID]],Supplier[#All],6,0)</f>
        <v>GST2154521T023</v>
      </c>
      <c r="I1200" s="138" t="s">
        <v>303</v>
      </c>
      <c r="J1200" s="139">
        <v>18</v>
      </c>
      <c r="K1200" s="143">
        <f>VLOOKUP(Purchase[[#This Row],[Product ID]],Product[#All],6,0)</f>
        <v>6214</v>
      </c>
      <c r="L1200" s="143">
        <f>Purchase[[#This Row],[Purchase Rate]]*Purchase[[#This Row],[Qty]]</f>
        <v>111852</v>
      </c>
      <c r="M1200" s="140">
        <v>0</v>
      </c>
      <c r="N1200" s="143">
        <v>0</v>
      </c>
      <c r="O1200" s="140">
        <v>0.18</v>
      </c>
      <c r="P1200" s="145">
        <f>(Purchase[[#This Row],[Gross Amount]]-Purchase[[#This Row],[Disct %]])*Purchase[[#This Row],[GST %]]</f>
        <v>20133.36</v>
      </c>
      <c r="Q1200" s="145">
        <f>Purchase[[#This Row],[Gross Amount]]-Purchase[[#This Row],[Disct Amnt]]+Purchase[[#This Row],[GST Amount]]</f>
        <v>131985.35999999999</v>
      </c>
      <c r="R1200" s="138" t="s">
        <v>1019</v>
      </c>
      <c r="S1200" s="41">
        <f>IF(Purchase[[#This Row],[Status]]="Cancelled",0,Purchase[[#This Row],[Qty]])</f>
        <v>18</v>
      </c>
      <c r="T1200" s="146">
        <f>IF(Purchase[[#This Row],[Status]]="Cancelled",0,Purchase[[#This Row],[Total Amount]])</f>
        <v>131985.35999999999</v>
      </c>
      <c r="U1200" s="146">
        <f>SUM(Purchase[Net Amount])</f>
        <v>814985438.68000126</v>
      </c>
    </row>
    <row r="1201" spans="1:21" ht="19.5" thickBot="1" x14ac:dyDescent="0.3">
      <c r="A1201" s="136" t="s">
        <v>2249</v>
      </c>
      <c r="B1201" s="137">
        <v>45717</v>
      </c>
      <c r="C1201" s="138" t="s">
        <v>576</v>
      </c>
      <c r="D1201" s="138" t="str">
        <f>VLOOKUP(Purchase[[#This Row],[Supplier ID]],Supplier[#All],2,0)</f>
        <v>Maa Distributors</v>
      </c>
      <c r="E1201" s="138">
        <f>VLOOKUP(Purchase[[#This Row],[Supplier ID]],Supplier[#All],3,0)</f>
        <v>9689542460</v>
      </c>
      <c r="F1201" s="138" t="str">
        <f>VLOOKUP(Purchase[[#This Row],[Supplier ID]],Supplier[#All],4,0)</f>
        <v>Korba</v>
      </c>
      <c r="G1201" s="138" t="str">
        <f>VLOOKUP(Purchase[[#This Row],[Supplier ID]],Supplier[#All],5,0)</f>
        <v>CG</v>
      </c>
      <c r="H1201" s="138" t="str">
        <f>VLOOKUP(Purchase[[#This Row],[Supplier ID]],Supplier[#All],6,0)</f>
        <v>GST2154521T022</v>
      </c>
      <c r="I1201" s="138" t="s">
        <v>534</v>
      </c>
      <c r="J1201" s="139">
        <v>15</v>
      </c>
      <c r="K1201" s="143">
        <f>VLOOKUP(Purchase[[#This Row],[Product ID]],Product[#All],6,0)</f>
        <v>31624</v>
      </c>
      <c r="L1201" s="143">
        <f>Purchase[[#This Row],[Purchase Rate]]*Purchase[[#This Row],[Qty]]</f>
        <v>474360</v>
      </c>
      <c r="M1201" s="140">
        <v>0</v>
      </c>
      <c r="N1201" s="143">
        <v>0</v>
      </c>
      <c r="O1201" s="140">
        <v>0.18</v>
      </c>
      <c r="P1201" s="145">
        <f>(Purchase[[#This Row],[Gross Amount]]-Purchase[[#This Row],[Disct %]])*Purchase[[#This Row],[GST %]]</f>
        <v>85384.8</v>
      </c>
      <c r="Q1201" s="145">
        <f>Purchase[[#This Row],[Gross Amount]]-Purchase[[#This Row],[Disct Amnt]]+Purchase[[#This Row],[GST Amount]]</f>
        <v>559744.80000000005</v>
      </c>
      <c r="R1201" s="138" t="s">
        <v>1019</v>
      </c>
      <c r="S1201" s="41">
        <f>IF(Purchase[[#This Row],[Status]]="Cancelled",0,Purchase[[#This Row],[Qty]])</f>
        <v>15</v>
      </c>
      <c r="T1201" s="146">
        <f>IF(Purchase[[#This Row],[Status]]="Cancelled",0,Purchase[[#This Row],[Total Amount]])</f>
        <v>559744.80000000005</v>
      </c>
      <c r="U1201" s="146">
        <f>SUM(Purchase[Net Amount])</f>
        <v>814985438.68000126</v>
      </c>
    </row>
    <row r="1202" spans="1:21" ht="19.5" thickBot="1" x14ac:dyDescent="0.3">
      <c r="A1202" s="136" t="s">
        <v>2250</v>
      </c>
      <c r="B1202" s="137">
        <v>45717</v>
      </c>
      <c r="C1202" s="138" t="s">
        <v>599</v>
      </c>
      <c r="D1202" s="138" t="str">
        <f>VLOOKUP(Purchase[[#This Row],[Supplier ID]],Supplier[#All],2,0)</f>
        <v>National Distributors</v>
      </c>
      <c r="E1202" s="138">
        <f>VLOOKUP(Purchase[[#This Row],[Supplier ID]],Supplier[#All],3,0)</f>
        <v>9689542482</v>
      </c>
      <c r="F1202" s="138" t="str">
        <f>VLOOKUP(Purchase[[#This Row],[Supplier ID]],Supplier[#All],4,0)</f>
        <v>Kanpur</v>
      </c>
      <c r="G1202" s="138" t="str">
        <f>VLOOKUP(Purchase[[#This Row],[Supplier ID]],Supplier[#All],5,0)</f>
        <v>UP</v>
      </c>
      <c r="H1202" s="138" t="str">
        <f>VLOOKUP(Purchase[[#This Row],[Supplier ID]],Supplier[#All],6,0)</f>
        <v>GST2154521T044</v>
      </c>
      <c r="I1202" s="138" t="s">
        <v>257</v>
      </c>
      <c r="J1202" s="139">
        <v>37</v>
      </c>
      <c r="K1202" s="143">
        <f>VLOOKUP(Purchase[[#This Row],[Product ID]],Product[#All],6,0)</f>
        <v>13056</v>
      </c>
      <c r="L1202" s="143">
        <f>Purchase[[#This Row],[Purchase Rate]]*Purchase[[#This Row],[Qty]]</f>
        <v>483072</v>
      </c>
      <c r="M1202" s="140">
        <v>0</v>
      </c>
      <c r="N1202" s="143">
        <v>0</v>
      </c>
      <c r="O1202" s="140">
        <v>0.18</v>
      </c>
      <c r="P1202" s="145">
        <f>(Purchase[[#This Row],[Gross Amount]]-Purchase[[#This Row],[Disct %]])*Purchase[[#This Row],[GST %]]</f>
        <v>86952.959999999992</v>
      </c>
      <c r="Q1202" s="145">
        <f>Purchase[[#This Row],[Gross Amount]]-Purchase[[#This Row],[Disct Amnt]]+Purchase[[#This Row],[GST Amount]]</f>
        <v>570024.95999999996</v>
      </c>
      <c r="R1202" s="138" t="s">
        <v>1019</v>
      </c>
      <c r="S1202" s="41">
        <f>IF(Purchase[[#This Row],[Status]]="Cancelled",0,Purchase[[#This Row],[Qty]])</f>
        <v>37</v>
      </c>
      <c r="T1202" s="146">
        <f>IF(Purchase[[#This Row],[Status]]="Cancelled",0,Purchase[[#This Row],[Total Amount]])</f>
        <v>570024.95999999996</v>
      </c>
      <c r="U1202" s="146">
        <f>SUM(Purchase[Net Amount])</f>
        <v>814985438.68000126</v>
      </c>
    </row>
    <row r="1203" spans="1:21" ht="19.5" thickBot="1" x14ac:dyDescent="0.3">
      <c r="A1203" s="136" t="s">
        <v>2251</v>
      </c>
      <c r="B1203" s="137">
        <v>45717</v>
      </c>
      <c r="C1203" s="138" t="s">
        <v>570</v>
      </c>
      <c r="D1203" s="138" t="str">
        <f>VLOOKUP(Purchase[[#This Row],[Supplier ID]],Supplier[#All],2,0)</f>
        <v>Prime Traders</v>
      </c>
      <c r="E1203" s="138">
        <f>VLOOKUP(Purchase[[#This Row],[Supplier ID]],Supplier[#All],3,0)</f>
        <v>9689542456</v>
      </c>
      <c r="F1203" s="138" t="str">
        <f>VLOOKUP(Purchase[[#This Row],[Supplier ID]],Supplier[#All],4,0)</f>
        <v>Indore</v>
      </c>
      <c r="G1203" s="138" t="str">
        <f>VLOOKUP(Purchase[[#This Row],[Supplier ID]],Supplier[#All],5,0)</f>
        <v>MP</v>
      </c>
      <c r="H1203" s="138" t="str">
        <f>VLOOKUP(Purchase[[#This Row],[Supplier ID]],Supplier[#All],6,0)</f>
        <v>GST2154521T018</v>
      </c>
      <c r="I1203" s="138" t="s">
        <v>160</v>
      </c>
      <c r="J1203" s="139">
        <v>17</v>
      </c>
      <c r="K1203" s="143">
        <f>VLOOKUP(Purchase[[#This Row],[Product ID]],Product[#All],6,0)</f>
        <v>3382</v>
      </c>
      <c r="L1203" s="143">
        <f>Purchase[[#This Row],[Purchase Rate]]*Purchase[[#This Row],[Qty]]</f>
        <v>57494</v>
      </c>
      <c r="M1203" s="140">
        <v>0</v>
      </c>
      <c r="N1203" s="143">
        <v>0</v>
      </c>
      <c r="O1203" s="140">
        <v>0.18</v>
      </c>
      <c r="P1203" s="145">
        <f>(Purchase[[#This Row],[Gross Amount]]-Purchase[[#This Row],[Disct %]])*Purchase[[#This Row],[GST %]]</f>
        <v>10348.92</v>
      </c>
      <c r="Q1203" s="145">
        <f>Purchase[[#This Row],[Gross Amount]]-Purchase[[#This Row],[Disct Amnt]]+Purchase[[#This Row],[GST Amount]]</f>
        <v>67842.92</v>
      </c>
      <c r="R1203" s="138" t="s">
        <v>1019</v>
      </c>
      <c r="S1203" s="41">
        <f>IF(Purchase[[#This Row],[Status]]="Cancelled",0,Purchase[[#This Row],[Qty]])</f>
        <v>17</v>
      </c>
      <c r="T1203" s="146">
        <f>IF(Purchase[[#This Row],[Status]]="Cancelled",0,Purchase[[#This Row],[Total Amount]])</f>
        <v>67842.92</v>
      </c>
      <c r="U1203" s="146">
        <f>SUM(Purchase[Net Amount])</f>
        <v>814985438.68000126</v>
      </c>
    </row>
    <row r="1204" spans="1:21" ht="19.5" thickBot="1" x14ac:dyDescent="0.3">
      <c r="A1204" s="136" t="s">
        <v>2252</v>
      </c>
      <c r="B1204" s="137">
        <v>45717</v>
      </c>
      <c r="C1204" s="138" t="s">
        <v>613</v>
      </c>
      <c r="D1204" s="138" t="str">
        <f>VLOOKUP(Purchase[[#This Row],[Supplier ID]],Supplier[#All],2,0)</f>
        <v>National Traders</v>
      </c>
      <c r="E1204" s="138">
        <f>VLOOKUP(Purchase[[#This Row],[Supplier ID]],Supplier[#All],3,0)</f>
        <v>9689542496</v>
      </c>
      <c r="F1204" s="138" t="str">
        <f>VLOOKUP(Purchase[[#This Row],[Supplier ID]],Supplier[#All],4,0)</f>
        <v>Indore</v>
      </c>
      <c r="G1204" s="138" t="str">
        <f>VLOOKUP(Purchase[[#This Row],[Supplier ID]],Supplier[#All],5,0)</f>
        <v>MP</v>
      </c>
      <c r="H1204" s="138" t="str">
        <f>VLOOKUP(Purchase[[#This Row],[Supplier ID]],Supplier[#All],6,0)</f>
        <v>GST2154521T058</v>
      </c>
      <c r="I1204" s="138" t="s">
        <v>331</v>
      </c>
      <c r="J1204" s="139">
        <v>28</v>
      </c>
      <c r="K1204" s="143">
        <f>VLOOKUP(Purchase[[#This Row],[Product ID]],Product[#All],6,0)</f>
        <v>1721</v>
      </c>
      <c r="L1204" s="143">
        <f>Purchase[[#This Row],[Purchase Rate]]*Purchase[[#This Row],[Qty]]</f>
        <v>48188</v>
      </c>
      <c r="M1204" s="140">
        <v>0</v>
      </c>
      <c r="N1204" s="143">
        <v>0</v>
      </c>
      <c r="O1204" s="140">
        <v>0.18</v>
      </c>
      <c r="P1204" s="145">
        <f>(Purchase[[#This Row],[Gross Amount]]-Purchase[[#This Row],[Disct %]])*Purchase[[#This Row],[GST %]]</f>
        <v>8673.84</v>
      </c>
      <c r="Q1204" s="145">
        <f>Purchase[[#This Row],[Gross Amount]]-Purchase[[#This Row],[Disct Amnt]]+Purchase[[#This Row],[GST Amount]]</f>
        <v>56861.84</v>
      </c>
      <c r="R1204" s="138" t="s">
        <v>1019</v>
      </c>
      <c r="S1204" s="41">
        <f>IF(Purchase[[#This Row],[Status]]="Cancelled",0,Purchase[[#This Row],[Qty]])</f>
        <v>28</v>
      </c>
      <c r="T1204" s="146">
        <f>IF(Purchase[[#This Row],[Status]]="Cancelled",0,Purchase[[#This Row],[Total Amount]])</f>
        <v>56861.84</v>
      </c>
      <c r="U1204" s="146">
        <f>SUM(Purchase[Net Amount])</f>
        <v>814985438.68000126</v>
      </c>
    </row>
    <row r="1205" spans="1:21" ht="19.5" thickBot="1" x14ac:dyDescent="0.3">
      <c r="A1205" s="136" t="s">
        <v>2253</v>
      </c>
      <c r="B1205" s="137">
        <v>45717</v>
      </c>
      <c r="C1205" s="138" t="s">
        <v>573</v>
      </c>
      <c r="D1205" s="138" t="str">
        <f>VLOOKUP(Purchase[[#This Row],[Supplier ID]],Supplier[#All],2,0)</f>
        <v>Shree Traders</v>
      </c>
      <c r="E1205" s="138">
        <f>VLOOKUP(Purchase[[#This Row],[Supplier ID]],Supplier[#All],3,0)</f>
        <v>9689542458</v>
      </c>
      <c r="F1205" s="138" t="str">
        <f>VLOOKUP(Purchase[[#This Row],[Supplier ID]],Supplier[#All],4,0)</f>
        <v>Korba</v>
      </c>
      <c r="G1205" s="138" t="str">
        <f>VLOOKUP(Purchase[[#This Row],[Supplier ID]],Supplier[#All],5,0)</f>
        <v>CG</v>
      </c>
      <c r="H1205" s="138" t="str">
        <f>VLOOKUP(Purchase[[#This Row],[Supplier ID]],Supplier[#All],6,0)</f>
        <v>GST2154521T020</v>
      </c>
      <c r="I1205" s="138" t="s">
        <v>113</v>
      </c>
      <c r="J1205" s="139">
        <v>29</v>
      </c>
      <c r="K1205" s="143">
        <f>VLOOKUP(Purchase[[#This Row],[Product ID]],Product[#All],6,0)</f>
        <v>72093</v>
      </c>
      <c r="L1205" s="143">
        <f>Purchase[[#This Row],[Purchase Rate]]*Purchase[[#This Row],[Qty]]</f>
        <v>2090697</v>
      </c>
      <c r="M1205" s="140">
        <v>0</v>
      </c>
      <c r="N1205" s="143">
        <v>0</v>
      </c>
      <c r="O1205" s="140">
        <v>0.18</v>
      </c>
      <c r="P1205" s="145">
        <f>(Purchase[[#This Row],[Gross Amount]]-Purchase[[#This Row],[Disct %]])*Purchase[[#This Row],[GST %]]</f>
        <v>376325.45999999996</v>
      </c>
      <c r="Q1205" s="145">
        <f>Purchase[[#This Row],[Gross Amount]]-Purchase[[#This Row],[Disct Amnt]]+Purchase[[#This Row],[GST Amount]]</f>
        <v>2467022.46</v>
      </c>
      <c r="R1205" s="138" t="s">
        <v>1019</v>
      </c>
      <c r="S1205" s="41">
        <f>IF(Purchase[[#This Row],[Status]]="Cancelled",0,Purchase[[#This Row],[Qty]])</f>
        <v>29</v>
      </c>
      <c r="T1205" s="146">
        <f>IF(Purchase[[#This Row],[Status]]="Cancelled",0,Purchase[[#This Row],[Total Amount]])</f>
        <v>2467022.46</v>
      </c>
      <c r="U1205" s="146">
        <f>SUM(Purchase[Net Amount])</f>
        <v>814985438.68000126</v>
      </c>
    </row>
    <row r="1206" spans="1:21" ht="19.5" thickBot="1" x14ac:dyDescent="0.3">
      <c r="A1206" s="136" t="s">
        <v>2254</v>
      </c>
      <c r="B1206" s="137">
        <v>45717</v>
      </c>
      <c r="C1206" s="138" t="s">
        <v>583</v>
      </c>
      <c r="D1206" s="138" t="str">
        <f>VLOOKUP(Purchase[[#This Row],[Supplier ID]],Supplier[#All],2,0)</f>
        <v>Shree Distributors</v>
      </c>
      <c r="E1206" s="138">
        <f>VLOOKUP(Purchase[[#This Row],[Supplier ID]],Supplier[#All],3,0)</f>
        <v>9689542467</v>
      </c>
      <c r="F1206" s="138" t="str">
        <f>VLOOKUP(Purchase[[#This Row],[Supplier ID]],Supplier[#All],4,0)</f>
        <v>Indore</v>
      </c>
      <c r="G1206" s="138" t="str">
        <f>VLOOKUP(Purchase[[#This Row],[Supplier ID]],Supplier[#All],5,0)</f>
        <v>MP</v>
      </c>
      <c r="H1206" s="138" t="str">
        <f>VLOOKUP(Purchase[[#This Row],[Supplier ID]],Supplier[#All],6,0)</f>
        <v>GST2154521T029</v>
      </c>
      <c r="I1206" s="138" t="s">
        <v>179</v>
      </c>
      <c r="J1206" s="139">
        <v>14</v>
      </c>
      <c r="K1206" s="143">
        <f>VLOOKUP(Purchase[[#This Row],[Product ID]],Product[#All],6,0)</f>
        <v>1180</v>
      </c>
      <c r="L1206" s="143">
        <f>Purchase[[#This Row],[Purchase Rate]]*Purchase[[#This Row],[Qty]]</f>
        <v>16520</v>
      </c>
      <c r="M1206" s="140">
        <v>0</v>
      </c>
      <c r="N1206" s="143">
        <v>0</v>
      </c>
      <c r="O1206" s="140">
        <v>0.18</v>
      </c>
      <c r="P1206" s="145">
        <f>(Purchase[[#This Row],[Gross Amount]]-Purchase[[#This Row],[Disct %]])*Purchase[[#This Row],[GST %]]</f>
        <v>2973.6</v>
      </c>
      <c r="Q1206" s="145">
        <f>Purchase[[#This Row],[Gross Amount]]-Purchase[[#This Row],[Disct Amnt]]+Purchase[[#This Row],[GST Amount]]</f>
        <v>19493.599999999999</v>
      </c>
      <c r="R1206" s="138" t="s">
        <v>1019</v>
      </c>
      <c r="S1206" s="41">
        <f>IF(Purchase[[#This Row],[Status]]="Cancelled",0,Purchase[[#This Row],[Qty]])</f>
        <v>14</v>
      </c>
      <c r="T1206" s="146">
        <f>IF(Purchase[[#This Row],[Status]]="Cancelled",0,Purchase[[#This Row],[Total Amount]])</f>
        <v>19493.599999999999</v>
      </c>
      <c r="U1206" s="146">
        <f>SUM(Purchase[Net Amount])</f>
        <v>814985438.68000126</v>
      </c>
    </row>
    <row r="1207" spans="1:21" ht="19.5" thickBot="1" x14ac:dyDescent="0.3">
      <c r="A1207" s="136" t="s">
        <v>2255</v>
      </c>
      <c r="B1207" s="137">
        <v>45717</v>
      </c>
      <c r="C1207" s="138" t="s">
        <v>601</v>
      </c>
      <c r="D1207" s="138" t="str">
        <f>VLOOKUP(Purchase[[#This Row],[Supplier ID]],Supplier[#All],2,0)</f>
        <v>Maa Distributors</v>
      </c>
      <c r="E1207" s="138">
        <f>VLOOKUP(Purchase[[#This Row],[Supplier ID]],Supplier[#All],3,0)</f>
        <v>9689542484</v>
      </c>
      <c r="F1207" s="138" t="str">
        <f>VLOOKUP(Purchase[[#This Row],[Supplier ID]],Supplier[#All],4,0)</f>
        <v>Indore</v>
      </c>
      <c r="G1207" s="138" t="str">
        <f>VLOOKUP(Purchase[[#This Row],[Supplier ID]],Supplier[#All],5,0)</f>
        <v>MP</v>
      </c>
      <c r="H1207" s="138" t="str">
        <f>VLOOKUP(Purchase[[#This Row],[Supplier ID]],Supplier[#All],6,0)</f>
        <v>GST2154521T046</v>
      </c>
      <c r="I1207" s="138" t="s">
        <v>82</v>
      </c>
      <c r="J1207" s="139">
        <v>27</v>
      </c>
      <c r="K1207" s="143">
        <f>VLOOKUP(Purchase[[#This Row],[Product ID]],Product[#All],6,0)</f>
        <v>4177</v>
      </c>
      <c r="L1207" s="143">
        <f>Purchase[[#This Row],[Purchase Rate]]*Purchase[[#This Row],[Qty]]</f>
        <v>112779</v>
      </c>
      <c r="M1207" s="140">
        <v>0</v>
      </c>
      <c r="N1207" s="143">
        <v>0</v>
      </c>
      <c r="O1207" s="140">
        <v>0.18</v>
      </c>
      <c r="P1207" s="145">
        <f>(Purchase[[#This Row],[Gross Amount]]-Purchase[[#This Row],[Disct %]])*Purchase[[#This Row],[GST %]]</f>
        <v>20300.219999999998</v>
      </c>
      <c r="Q1207" s="145">
        <f>Purchase[[#This Row],[Gross Amount]]-Purchase[[#This Row],[Disct Amnt]]+Purchase[[#This Row],[GST Amount]]</f>
        <v>133079.22</v>
      </c>
      <c r="R1207" s="138" t="s">
        <v>1019</v>
      </c>
      <c r="S1207" s="41">
        <f>IF(Purchase[[#This Row],[Status]]="Cancelled",0,Purchase[[#This Row],[Qty]])</f>
        <v>27</v>
      </c>
      <c r="T1207" s="146">
        <f>IF(Purchase[[#This Row],[Status]]="Cancelled",0,Purchase[[#This Row],[Total Amount]])</f>
        <v>133079.22</v>
      </c>
      <c r="U1207" s="146">
        <f>SUM(Purchase[Net Amount])</f>
        <v>814985438.68000126</v>
      </c>
    </row>
    <row r="1208" spans="1:21" ht="19.5" thickBot="1" x14ac:dyDescent="0.3">
      <c r="A1208" s="136" t="s">
        <v>2256</v>
      </c>
      <c r="B1208" s="137">
        <v>45717</v>
      </c>
      <c r="C1208" s="138" t="s">
        <v>589</v>
      </c>
      <c r="D1208" s="138" t="str">
        <f>VLOOKUP(Purchase[[#This Row],[Supplier ID]],Supplier[#All],2,0)</f>
        <v>Maa Computers</v>
      </c>
      <c r="E1208" s="138">
        <f>VLOOKUP(Purchase[[#This Row],[Supplier ID]],Supplier[#All],3,0)</f>
        <v>9689542473</v>
      </c>
      <c r="F1208" s="138" t="str">
        <f>VLOOKUP(Purchase[[#This Row],[Supplier ID]],Supplier[#All],4,0)</f>
        <v>Kanpur</v>
      </c>
      <c r="G1208" s="138" t="str">
        <f>VLOOKUP(Purchase[[#This Row],[Supplier ID]],Supplier[#All],5,0)</f>
        <v>UP</v>
      </c>
      <c r="H1208" s="138" t="str">
        <f>VLOOKUP(Purchase[[#This Row],[Supplier ID]],Supplier[#All],6,0)</f>
        <v>GST2154521T035</v>
      </c>
      <c r="I1208" s="138" t="s">
        <v>152</v>
      </c>
      <c r="J1208" s="139">
        <v>4</v>
      </c>
      <c r="K1208" s="143">
        <f>VLOOKUP(Purchase[[#This Row],[Product ID]],Product[#All],6,0)</f>
        <v>29602</v>
      </c>
      <c r="L1208" s="143">
        <f>Purchase[[#This Row],[Purchase Rate]]*Purchase[[#This Row],[Qty]]</f>
        <v>118408</v>
      </c>
      <c r="M1208" s="140">
        <v>0</v>
      </c>
      <c r="N1208" s="143">
        <v>0</v>
      </c>
      <c r="O1208" s="140">
        <v>0.18</v>
      </c>
      <c r="P1208" s="145">
        <f>(Purchase[[#This Row],[Gross Amount]]-Purchase[[#This Row],[Disct %]])*Purchase[[#This Row],[GST %]]</f>
        <v>21313.439999999999</v>
      </c>
      <c r="Q1208" s="145">
        <f>Purchase[[#This Row],[Gross Amount]]-Purchase[[#This Row],[Disct Amnt]]+Purchase[[#This Row],[GST Amount]]</f>
        <v>139721.44</v>
      </c>
      <c r="R1208" s="138" t="s">
        <v>1019</v>
      </c>
      <c r="S1208" s="41">
        <f>IF(Purchase[[#This Row],[Status]]="Cancelled",0,Purchase[[#This Row],[Qty]])</f>
        <v>4</v>
      </c>
      <c r="T1208" s="146">
        <f>IF(Purchase[[#This Row],[Status]]="Cancelled",0,Purchase[[#This Row],[Total Amount]])</f>
        <v>139721.44</v>
      </c>
      <c r="U1208" s="146">
        <f>SUM(Purchase[Net Amount])</f>
        <v>814985438.68000126</v>
      </c>
    </row>
    <row r="1209" spans="1:21" ht="19.5" thickBot="1" x14ac:dyDescent="0.3">
      <c r="A1209" s="136" t="s">
        <v>2257</v>
      </c>
      <c r="B1209" s="137">
        <v>45717</v>
      </c>
      <c r="C1209" s="138" t="s">
        <v>573</v>
      </c>
      <c r="D1209" s="138" t="str">
        <f>VLOOKUP(Purchase[[#This Row],[Supplier ID]],Supplier[#All],2,0)</f>
        <v>Shree Traders</v>
      </c>
      <c r="E1209" s="138">
        <f>VLOOKUP(Purchase[[#This Row],[Supplier ID]],Supplier[#All],3,0)</f>
        <v>9689542458</v>
      </c>
      <c r="F1209" s="138" t="str">
        <f>VLOOKUP(Purchase[[#This Row],[Supplier ID]],Supplier[#All],4,0)</f>
        <v>Korba</v>
      </c>
      <c r="G1209" s="138" t="str">
        <f>VLOOKUP(Purchase[[#This Row],[Supplier ID]],Supplier[#All],5,0)</f>
        <v>CG</v>
      </c>
      <c r="H1209" s="138" t="str">
        <f>VLOOKUP(Purchase[[#This Row],[Supplier ID]],Supplier[#All],6,0)</f>
        <v>GST2154521T020</v>
      </c>
      <c r="I1209" s="138" t="s">
        <v>330</v>
      </c>
      <c r="J1209" s="139">
        <v>18</v>
      </c>
      <c r="K1209" s="143">
        <f>VLOOKUP(Purchase[[#This Row],[Product ID]],Product[#All],6,0)</f>
        <v>4133</v>
      </c>
      <c r="L1209" s="143">
        <f>Purchase[[#This Row],[Purchase Rate]]*Purchase[[#This Row],[Qty]]</f>
        <v>74394</v>
      </c>
      <c r="M1209" s="140">
        <v>0</v>
      </c>
      <c r="N1209" s="143">
        <v>0</v>
      </c>
      <c r="O1209" s="140">
        <v>0.18</v>
      </c>
      <c r="P1209" s="145">
        <f>(Purchase[[#This Row],[Gross Amount]]-Purchase[[#This Row],[Disct %]])*Purchase[[#This Row],[GST %]]</f>
        <v>13390.92</v>
      </c>
      <c r="Q1209" s="145">
        <f>Purchase[[#This Row],[Gross Amount]]-Purchase[[#This Row],[Disct Amnt]]+Purchase[[#This Row],[GST Amount]]</f>
        <v>87784.92</v>
      </c>
      <c r="R1209" s="138" t="s">
        <v>1019</v>
      </c>
      <c r="S1209" s="41">
        <f>IF(Purchase[[#This Row],[Status]]="Cancelled",0,Purchase[[#This Row],[Qty]])</f>
        <v>18</v>
      </c>
      <c r="T1209" s="146">
        <f>IF(Purchase[[#This Row],[Status]]="Cancelled",0,Purchase[[#This Row],[Total Amount]])</f>
        <v>87784.92</v>
      </c>
      <c r="U1209" s="146">
        <f>SUM(Purchase[Net Amount])</f>
        <v>814985438.68000126</v>
      </c>
    </row>
    <row r="1210" spans="1:21" ht="19.5" thickBot="1" x14ac:dyDescent="0.3">
      <c r="A1210" s="136" t="s">
        <v>2258</v>
      </c>
      <c r="B1210" s="137">
        <v>45717</v>
      </c>
      <c r="C1210" s="138" t="s">
        <v>580</v>
      </c>
      <c r="D1210" s="138" t="str">
        <f>VLOOKUP(Purchase[[#This Row],[Supplier ID]],Supplier[#All],2,0)</f>
        <v>Star Distributors</v>
      </c>
      <c r="E1210" s="138">
        <f>VLOOKUP(Purchase[[#This Row],[Supplier ID]],Supplier[#All],3,0)</f>
        <v>9689542464</v>
      </c>
      <c r="F1210" s="138" t="str">
        <f>VLOOKUP(Purchase[[#This Row],[Supplier ID]],Supplier[#All],4,0)</f>
        <v>Indore</v>
      </c>
      <c r="G1210" s="138" t="str">
        <f>VLOOKUP(Purchase[[#This Row],[Supplier ID]],Supplier[#All],5,0)</f>
        <v>MP</v>
      </c>
      <c r="H1210" s="138" t="str">
        <f>VLOOKUP(Purchase[[#This Row],[Supplier ID]],Supplier[#All],6,0)</f>
        <v>GST2154521T026</v>
      </c>
      <c r="I1210" s="138" t="s">
        <v>394</v>
      </c>
      <c r="J1210" s="139">
        <v>36</v>
      </c>
      <c r="K1210" s="143">
        <f>VLOOKUP(Purchase[[#This Row],[Product ID]],Product[#All],6,0)</f>
        <v>1446</v>
      </c>
      <c r="L1210" s="143">
        <f>Purchase[[#This Row],[Purchase Rate]]*Purchase[[#This Row],[Qty]]</f>
        <v>52056</v>
      </c>
      <c r="M1210" s="140">
        <v>0</v>
      </c>
      <c r="N1210" s="143">
        <v>0</v>
      </c>
      <c r="O1210" s="140">
        <v>0.18</v>
      </c>
      <c r="P1210" s="145">
        <f>(Purchase[[#This Row],[Gross Amount]]-Purchase[[#This Row],[Disct %]])*Purchase[[#This Row],[GST %]]</f>
        <v>9370.08</v>
      </c>
      <c r="Q1210" s="145">
        <f>Purchase[[#This Row],[Gross Amount]]-Purchase[[#This Row],[Disct Amnt]]+Purchase[[#This Row],[GST Amount]]</f>
        <v>61426.080000000002</v>
      </c>
      <c r="R1210" s="138" t="s">
        <v>1019</v>
      </c>
      <c r="S1210" s="41">
        <f>IF(Purchase[[#This Row],[Status]]="Cancelled",0,Purchase[[#This Row],[Qty]])</f>
        <v>36</v>
      </c>
      <c r="T1210" s="146">
        <f>IF(Purchase[[#This Row],[Status]]="Cancelled",0,Purchase[[#This Row],[Total Amount]])</f>
        <v>61426.080000000002</v>
      </c>
      <c r="U1210" s="146">
        <f>SUM(Purchase[Net Amount])</f>
        <v>814985438.68000126</v>
      </c>
    </row>
    <row r="1211" spans="1:21" ht="19.5" thickBot="1" x14ac:dyDescent="0.3">
      <c r="A1211" s="136" t="s">
        <v>2259</v>
      </c>
      <c r="B1211" s="137">
        <v>45717</v>
      </c>
      <c r="C1211" s="138" t="s">
        <v>578</v>
      </c>
      <c r="D1211" s="138" t="str">
        <f>VLOOKUP(Purchase[[#This Row],[Supplier ID]],Supplier[#All],2,0)</f>
        <v>Shree Computers</v>
      </c>
      <c r="E1211" s="138">
        <f>VLOOKUP(Purchase[[#This Row],[Supplier ID]],Supplier[#All],3,0)</f>
        <v>9689542462</v>
      </c>
      <c r="F1211" s="138" t="str">
        <f>VLOOKUP(Purchase[[#This Row],[Supplier ID]],Supplier[#All],4,0)</f>
        <v>Korba</v>
      </c>
      <c r="G1211" s="138" t="str">
        <f>VLOOKUP(Purchase[[#This Row],[Supplier ID]],Supplier[#All],5,0)</f>
        <v>CG</v>
      </c>
      <c r="H1211" s="138" t="str">
        <f>VLOOKUP(Purchase[[#This Row],[Supplier ID]],Supplier[#All],6,0)</f>
        <v>GST2154521T024</v>
      </c>
      <c r="I1211" s="138" t="s">
        <v>485</v>
      </c>
      <c r="J1211" s="139">
        <v>33</v>
      </c>
      <c r="K1211" s="143">
        <f>VLOOKUP(Purchase[[#This Row],[Product ID]],Product[#All],6,0)</f>
        <v>42398</v>
      </c>
      <c r="L1211" s="143">
        <f>Purchase[[#This Row],[Purchase Rate]]*Purchase[[#This Row],[Qty]]</f>
        <v>1399134</v>
      </c>
      <c r="M1211" s="140">
        <v>0</v>
      </c>
      <c r="N1211" s="143">
        <v>0</v>
      </c>
      <c r="O1211" s="140">
        <v>0.18</v>
      </c>
      <c r="P1211" s="145">
        <f>(Purchase[[#This Row],[Gross Amount]]-Purchase[[#This Row],[Disct %]])*Purchase[[#This Row],[GST %]]</f>
        <v>251844.12</v>
      </c>
      <c r="Q1211" s="145">
        <f>Purchase[[#This Row],[Gross Amount]]-Purchase[[#This Row],[Disct Amnt]]+Purchase[[#This Row],[GST Amount]]</f>
        <v>1650978.12</v>
      </c>
      <c r="R1211" s="138" t="s">
        <v>1019</v>
      </c>
      <c r="S1211" s="41">
        <f>IF(Purchase[[#This Row],[Status]]="Cancelled",0,Purchase[[#This Row],[Qty]])</f>
        <v>33</v>
      </c>
      <c r="T1211" s="146">
        <f>IF(Purchase[[#This Row],[Status]]="Cancelled",0,Purchase[[#This Row],[Total Amount]])</f>
        <v>1650978.12</v>
      </c>
      <c r="U1211" s="146">
        <f>SUM(Purchase[Net Amount])</f>
        <v>814985438.68000126</v>
      </c>
    </row>
    <row r="1212" spans="1:21" ht="19.5" thickBot="1" x14ac:dyDescent="0.3">
      <c r="A1212" s="136" t="s">
        <v>2260</v>
      </c>
      <c r="B1212" s="137">
        <v>45717</v>
      </c>
      <c r="C1212" s="138" t="s">
        <v>602</v>
      </c>
      <c r="D1212" s="138" t="str">
        <f>VLOOKUP(Purchase[[#This Row],[Supplier ID]],Supplier[#All],2,0)</f>
        <v>Maa Computers</v>
      </c>
      <c r="E1212" s="138">
        <f>VLOOKUP(Purchase[[#This Row],[Supplier ID]],Supplier[#All],3,0)</f>
        <v>9689542485</v>
      </c>
      <c r="F1212" s="138" t="str">
        <f>VLOOKUP(Purchase[[#This Row],[Supplier ID]],Supplier[#All],4,0)</f>
        <v>Korba</v>
      </c>
      <c r="G1212" s="138" t="str">
        <f>VLOOKUP(Purchase[[#This Row],[Supplier ID]],Supplier[#All],5,0)</f>
        <v>CG</v>
      </c>
      <c r="H1212" s="138" t="str">
        <f>VLOOKUP(Purchase[[#This Row],[Supplier ID]],Supplier[#All],6,0)</f>
        <v>GST2154521T047</v>
      </c>
      <c r="I1212" s="138" t="s">
        <v>298</v>
      </c>
      <c r="J1212" s="139">
        <v>33</v>
      </c>
      <c r="K1212" s="143">
        <f>VLOOKUP(Purchase[[#This Row],[Product ID]],Product[#All],6,0)</f>
        <v>19959</v>
      </c>
      <c r="L1212" s="143">
        <f>Purchase[[#This Row],[Purchase Rate]]*Purchase[[#This Row],[Qty]]</f>
        <v>658647</v>
      </c>
      <c r="M1212" s="140">
        <v>0</v>
      </c>
      <c r="N1212" s="143">
        <v>0</v>
      </c>
      <c r="O1212" s="140">
        <v>0.18</v>
      </c>
      <c r="P1212" s="145">
        <f>(Purchase[[#This Row],[Gross Amount]]-Purchase[[#This Row],[Disct %]])*Purchase[[#This Row],[GST %]]</f>
        <v>118556.45999999999</v>
      </c>
      <c r="Q1212" s="145">
        <f>Purchase[[#This Row],[Gross Amount]]-Purchase[[#This Row],[Disct Amnt]]+Purchase[[#This Row],[GST Amount]]</f>
        <v>777203.46</v>
      </c>
      <c r="R1212" s="138" t="s">
        <v>1019</v>
      </c>
      <c r="S1212" s="41">
        <f>IF(Purchase[[#This Row],[Status]]="Cancelled",0,Purchase[[#This Row],[Qty]])</f>
        <v>33</v>
      </c>
      <c r="T1212" s="146">
        <f>IF(Purchase[[#This Row],[Status]]="Cancelled",0,Purchase[[#This Row],[Total Amount]])</f>
        <v>777203.46</v>
      </c>
      <c r="U1212" s="146">
        <f>SUM(Purchase[Net Amount])</f>
        <v>814985438.68000126</v>
      </c>
    </row>
    <row r="1213" spans="1:21" ht="19.5" thickBot="1" x14ac:dyDescent="0.3">
      <c r="A1213" s="136" t="s">
        <v>2261</v>
      </c>
      <c r="B1213" s="137">
        <v>45717</v>
      </c>
      <c r="C1213" s="138" t="s">
        <v>585</v>
      </c>
      <c r="D1213" s="138" t="str">
        <f>VLOOKUP(Purchase[[#This Row],[Supplier ID]],Supplier[#All],2,0)</f>
        <v>Tech Computers</v>
      </c>
      <c r="E1213" s="138">
        <f>VLOOKUP(Purchase[[#This Row],[Supplier ID]],Supplier[#All],3,0)</f>
        <v>9689542469</v>
      </c>
      <c r="F1213" s="138" t="str">
        <f>VLOOKUP(Purchase[[#This Row],[Supplier ID]],Supplier[#All],4,0)</f>
        <v>Korba</v>
      </c>
      <c r="G1213" s="138" t="str">
        <f>VLOOKUP(Purchase[[#This Row],[Supplier ID]],Supplier[#All],5,0)</f>
        <v>CG</v>
      </c>
      <c r="H1213" s="138" t="str">
        <f>VLOOKUP(Purchase[[#This Row],[Supplier ID]],Supplier[#All],6,0)</f>
        <v>GST2154521T031</v>
      </c>
      <c r="I1213" s="138" t="s">
        <v>147</v>
      </c>
      <c r="J1213" s="139">
        <v>7</v>
      </c>
      <c r="K1213" s="143">
        <f>VLOOKUP(Purchase[[#This Row],[Product ID]],Product[#All],6,0)</f>
        <v>3935</v>
      </c>
      <c r="L1213" s="143">
        <f>Purchase[[#This Row],[Purchase Rate]]*Purchase[[#This Row],[Qty]]</f>
        <v>27545</v>
      </c>
      <c r="M1213" s="140">
        <v>0</v>
      </c>
      <c r="N1213" s="143">
        <v>0</v>
      </c>
      <c r="O1213" s="140">
        <v>0.18</v>
      </c>
      <c r="P1213" s="145">
        <f>(Purchase[[#This Row],[Gross Amount]]-Purchase[[#This Row],[Disct %]])*Purchase[[#This Row],[GST %]]</f>
        <v>4958.0999999999995</v>
      </c>
      <c r="Q1213" s="145">
        <f>Purchase[[#This Row],[Gross Amount]]-Purchase[[#This Row],[Disct Amnt]]+Purchase[[#This Row],[GST Amount]]</f>
        <v>32503.1</v>
      </c>
      <c r="R1213" s="138" t="s">
        <v>1019</v>
      </c>
      <c r="S1213" s="41">
        <f>IF(Purchase[[#This Row],[Status]]="Cancelled",0,Purchase[[#This Row],[Qty]])</f>
        <v>7</v>
      </c>
      <c r="T1213" s="146">
        <f>IF(Purchase[[#This Row],[Status]]="Cancelled",0,Purchase[[#This Row],[Total Amount]])</f>
        <v>32503.1</v>
      </c>
      <c r="U1213" s="146">
        <f>SUM(Purchase[Net Amount])</f>
        <v>814985438.68000126</v>
      </c>
    </row>
    <row r="1214" spans="1:21" ht="19.5" thickBot="1" x14ac:dyDescent="0.3">
      <c r="A1214" s="136" t="s">
        <v>2262</v>
      </c>
      <c r="B1214" s="137">
        <v>45717</v>
      </c>
      <c r="C1214" s="138" t="s">
        <v>2152</v>
      </c>
      <c r="D1214" s="138" t="str">
        <f>VLOOKUP(Purchase[[#This Row],[Supplier ID]],Supplier[#All],2,0)</f>
        <v>Prime Electronics</v>
      </c>
      <c r="E1214" s="138">
        <f>VLOOKUP(Purchase[[#This Row],[Supplier ID]],Supplier[#All],3,0)</f>
        <v>9689542465</v>
      </c>
      <c r="F1214" s="138" t="str">
        <f>VLOOKUP(Purchase[[#This Row],[Supplier ID]],Supplier[#All],4,0)</f>
        <v>Korba</v>
      </c>
      <c r="G1214" s="138" t="str">
        <f>VLOOKUP(Purchase[[#This Row],[Supplier ID]],Supplier[#All],5,0)</f>
        <v>CG</v>
      </c>
      <c r="H1214" s="138" t="str">
        <f>VLOOKUP(Purchase[[#This Row],[Supplier ID]],Supplier[#All],6,0)</f>
        <v>GST2154521T027</v>
      </c>
      <c r="I1214" s="138" t="s">
        <v>531</v>
      </c>
      <c r="J1214" s="139">
        <v>38</v>
      </c>
      <c r="K1214" s="143">
        <f>VLOOKUP(Purchase[[#This Row],[Product ID]],Product[#All],6,0)</f>
        <v>5489</v>
      </c>
      <c r="L1214" s="143">
        <f>Purchase[[#This Row],[Purchase Rate]]*Purchase[[#This Row],[Qty]]</f>
        <v>208582</v>
      </c>
      <c r="M1214" s="140">
        <v>0</v>
      </c>
      <c r="N1214" s="143">
        <v>0</v>
      </c>
      <c r="O1214" s="140">
        <v>0.18</v>
      </c>
      <c r="P1214" s="145">
        <f>(Purchase[[#This Row],[Gross Amount]]-Purchase[[#This Row],[Disct %]])*Purchase[[#This Row],[GST %]]</f>
        <v>37544.76</v>
      </c>
      <c r="Q1214" s="145">
        <f>Purchase[[#This Row],[Gross Amount]]-Purchase[[#This Row],[Disct Amnt]]+Purchase[[#This Row],[GST Amount]]</f>
        <v>246126.76</v>
      </c>
      <c r="R1214" s="138" t="s">
        <v>1019</v>
      </c>
      <c r="S1214" s="41">
        <f>IF(Purchase[[#This Row],[Status]]="Cancelled",0,Purchase[[#This Row],[Qty]])</f>
        <v>38</v>
      </c>
      <c r="T1214" s="146">
        <f>IF(Purchase[[#This Row],[Status]]="Cancelled",0,Purchase[[#This Row],[Total Amount]])</f>
        <v>246126.76</v>
      </c>
      <c r="U1214" s="146">
        <f>SUM(Purchase[Net Amount])</f>
        <v>814985438.68000126</v>
      </c>
    </row>
    <row r="1215" spans="1:21" ht="19.5" thickBot="1" x14ac:dyDescent="0.3">
      <c r="A1215" s="136" t="s">
        <v>2263</v>
      </c>
      <c r="B1215" s="137">
        <v>45717</v>
      </c>
      <c r="C1215" s="138" t="s">
        <v>584</v>
      </c>
      <c r="D1215" s="138" t="str">
        <f>VLOOKUP(Purchase[[#This Row],[Supplier ID]],Supplier[#All],2,0)</f>
        <v>Prime Computers</v>
      </c>
      <c r="E1215" s="138">
        <f>VLOOKUP(Purchase[[#This Row],[Supplier ID]],Supplier[#All],3,0)</f>
        <v>9689542468</v>
      </c>
      <c r="F1215" s="138" t="str">
        <f>VLOOKUP(Purchase[[#This Row],[Supplier ID]],Supplier[#All],4,0)</f>
        <v>Kanpur</v>
      </c>
      <c r="G1215" s="138" t="str">
        <f>VLOOKUP(Purchase[[#This Row],[Supplier ID]],Supplier[#All],5,0)</f>
        <v>UP</v>
      </c>
      <c r="H1215" s="138" t="str">
        <f>VLOOKUP(Purchase[[#This Row],[Supplier ID]],Supplier[#All],6,0)</f>
        <v>GST2154521T030</v>
      </c>
      <c r="I1215" s="138" t="s">
        <v>444</v>
      </c>
      <c r="J1215" s="139">
        <v>2</v>
      </c>
      <c r="K1215" s="143">
        <f>VLOOKUP(Purchase[[#This Row],[Product ID]],Product[#All],6,0)</f>
        <v>47242</v>
      </c>
      <c r="L1215" s="143">
        <f>Purchase[[#This Row],[Purchase Rate]]*Purchase[[#This Row],[Qty]]</f>
        <v>94484</v>
      </c>
      <c r="M1215" s="140">
        <v>0</v>
      </c>
      <c r="N1215" s="143">
        <v>0</v>
      </c>
      <c r="O1215" s="140">
        <v>0.18</v>
      </c>
      <c r="P1215" s="145">
        <f>(Purchase[[#This Row],[Gross Amount]]-Purchase[[#This Row],[Disct %]])*Purchase[[#This Row],[GST %]]</f>
        <v>17007.12</v>
      </c>
      <c r="Q1215" s="145">
        <f>Purchase[[#This Row],[Gross Amount]]-Purchase[[#This Row],[Disct Amnt]]+Purchase[[#This Row],[GST Amount]]</f>
        <v>111491.12</v>
      </c>
      <c r="R1215" s="138" t="s">
        <v>1019</v>
      </c>
      <c r="S1215" s="41">
        <f>IF(Purchase[[#This Row],[Status]]="Cancelled",0,Purchase[[#This Row],[Qty]])</f>
        <v>2</v>
      </c>
      <c r="T1215" s="146">
        <f>IF(Purchase[[#This Row],[Status]]="Cancelled",0,Purchase[[#This Row],[Total Amount]])</f>
        <v>111491.12</v>
      </c>
      <c r="U1215" s="146">
        <f>SUM(Purchase[Net Amount])</f>
        <v>814985438.68000126</v>
      </c>
    </row>
    <row r="1216" spans="1:21" ht="19.5" thickBot="1" x14ac:dyDescent="0.3">
      <c r="A1216" s="136" t="s">
        <v>2264</v>
      </c>
      <c r="B1216" s="137">
        <v>45717</v>
      </c>
      <c r="C1216" s="138" t="s">
        <v>599</v>
      </c>
      <c r="D1216" s="138" t="str">
        <f>VLOOKUP(Purchase[[#This Row],[Supplier ID]],Supplier[#All],2,0)</f>
        <v>National Distributors</v>
      </c>
      <c r="E1216" s="138">
        <f>VLOOKUP(Purchase[[#This Row],[Supplier ID]],Supplier[#All],3,0)</f>
        <v>9689542482</v>
      </c>
      <c r="F1216" s="138" t="str">
        <f>VLOOKUP(Purchase[[#This Row],[Supplier ID]],Supplier[#All],4,0)</f>
        <v>Kanpur</v>
      </c>
      <c r="G1216" s="138" t="str">
        <f>VLOOKUP(Purchase[[#This Row],[Supplier ID]],Supplier[#All],5,0)</f>
        <v>UP</v>
      </c>
      <c r="H1216" s="138" t="str">
        <f>VLOOKUP(Purchase[[#This Row],[Supplier ID]],Supplier[#All],6,0)</f>
        <v>GST2154521T044</v>
      </c>
      <c r="I1216" s="138" t="s">
        <v>391</v>
      </c>
      <c r="J1216" s="139">
        <v>17</v>
      </c>
      <c r="K1216" s="143">
        <f>VLOOKUP(Purchase[[#This Row],[Product ID]],Product[#All],6,0)</f>
        <v>8047</v>
      </c>
      <c r="L1216" s="143">
        <f>Purchase[[#This Row],[Purchase Rate]]*Purchase[[#This Row],[Qty]]</f>
        <v>136799</v>
      </c>
      <c r="M1216" s="140">
        <v>0</v>
      </c>
      <c r="N1216" s="143">
        <v>0</v>
      </c>
      <c r="O1216" s="140">
        <v>0.18</v>
      </c>
      <c r="P1216" s="145">
        <f>(Purchase[[#This Row],[Gross Amount]]-Purchase[[#This Row],[Disct %]])*Purchase[[#This Row],[GST %]]</f>
        <v>24623.82</v>
      </c>
      <c r="Q1216" s="145">
        <f>Purchase[[#This Row],[Gross Amount]]-Purchase[[#This Row],[Disct Amnt]]+Purchase[[#This Row],[GST Amount]]</f>
        <v>161422.82</v>
      </c>
      <c r="R1216" s="138" t="s">
        <v>1019</v>
      </c>
      <c r="S1216" s="41">
        <f>IF(Purchase[[#This Row],[Status]]="Cancelled",0,Purchase[[#This Row],[Qty]])</f>
        <v>17</v>
      </c>
      <c r="T1216" s="146">
        <f>IF(Purchase[[#This Row],[Status]]="Cancelled",0,Purchase[[#This Row],[Total Amount]])</f>
        <v>161422.82</v>
      </c>
      <c r="U1216" s="146">
        <f>SUM(Purchase[Net Amount])</f>
        <v>814985438.68000126</v>
      </c>
    </row>
    <row r="1217" spans="1:21" ht="19.5" thickBot="1" x14ac:dyDescent="0.3">
      <c r="A1217" s="136" t="s">
        <v>2265</v>
      </c>
      <c r="B1217" s="137">
        <v>45717</v>
      </c>
      <c r="C1217" s="138" t="s">
        <v>564</v>
      </c>
      <c r="D1217" s="138" t="str">
        <f>VLOOKUP(Purchase[[#This Row],[Supplier ID]],Supplier[#All],2,0)</f>
        <v xml:space="preserve">Star Electronics </v>
      </c>
      <c r="E1217" s="138">
        <f>VLOOKUP(Purchase[[#This Row],[Supplier ID]],Supplier[#All],3,0)</f>
        <v>9689542450</v>
      </c>
      <c r="F1217" s="138" t="str">
        <f>VLOOKUP(Purchase[[#This Row],[Supplier ID]],Supplier[#All],4,0)</f>
        <v>Korba</v>
      </c>
      <c r="G1217" s="138" t="str">
        <f>VLOOKUP(Purchase[[#This Row],[Supplier ID]],Supplier[#All],5,0)</f>
        <v>CG</v>
      </c>
      <c r="H1217" s="138" t="str">
        <f>VLOOKUP(Purchase[[#This Row],[Supplier ID]],Supplier[#All],6,0)</f>
        <v>GST2154521T012</v>
      </c>
      <c r="I1217" s="138" t="s">
        <v>180</v>
      </c>
      <c r="J1217" s="139">
        <v>17</v>
      </c>
      <c r="K1217" s="143">
        <f>VLOOKUP(Purchase[[#This Row],[Product ID]],Product[#All],6,0)</f>
        <v>9104</v>
      </c>
      <c r="L1217" s="143">
        <f>Purchase[[#This Row],[Purchase Rate]]*Purchase[[#This Row],[Qty]]</f>
        <v>154768</v>
      </c>
      <c r="M1217" s="140">
        <v>0</v>
      </c>
      <c r="N1217" s="143">
        <v>0</v>
      </c>
      <c r="O1217" s="140">
        <v>0.18</v>
      </c>
      <c r="P1217" s="145">
        <f>(Purchase[[#This Row],[Gross Amount]]-Purchase[[#This Row],[Disct %]])*Purchase[[#This Row],[GST %]]</f>
        <v>27858.239999999998</v>
      </c>
      <c r="Q1217" s="145">
        <f>Purchase[[#This Row],[Gross Amount]]-Purchase[[#This Row],[Disct Amnt]]+Purchase[[#This Row],[GST Amount]]</f>
        <v>182626.24</v>
      </c>
      <c r="R1217" s="138" t="s">
        <v>1019</v>
      </c>
      <c r="S1217" s="41">
        <f>IF(Purchase[[#This Row],[Status]]="Cancelled",0,Purchase[[#This Row],[Qty]])</f>
        <v>17</v>
      </c>
      <c r="T1217" s="146">
        <f>IF(Purchase[[#This Row],[Status]]="Cancelled",0,Purchase[[#This Row],[Total Amount]])</f>
        <v>182626.24</v>
      </c>
      <c r="U1217" s="146">
        <f>SUM(Purchase[Net Amount])</f>
        <v>814985438.68000126</v>
      </c>
    </row>
    <row r="1218" spans="1:21" ht="19.5" thickBot="1" x14ac:dyDescent="0.3">
      <c r="A1218" s="136" t="s">
        <v>2266</v>
      </c>
      <c r="B1218" s="137">
        <v>45717</v>
      </c>
      <c r="C1218" s="138" t="s">
        <v>612</v>
      </c>
      <c r="D1218" s="138" t="str">
        <f>VLOOKUP(Purchase[[#This Row],[Supplier ID]],Supplier[#All],2,0)</f>
        <v>National Computers</v>
      </c>
      <c r="E1218" s="138">
        <f>VLOOKUP(Purchase[[#This Row],[Supplier ID]],Supplier[#All],3,0)</f>
        <v>9689542495</v>
      </c>
      <c r="F1218" s="138" t="str">
        <f>VLOOKUP(Purchase[[#This Row],[Supplier ID]],Supplier[#All],4,0)</f>
        <v>Indore</v>
      </c>
      <c r="G1218" s="138" t="str">
        <f>VLOOKUP(Purchase[[#This Row],[Supplier ID]],Supplier[#All],5,0)</f>
        <v>MP</v>
      </c>
      <c r="H1218" s="138" t="str">
        <f>VLOOKUP(Purchase[[#This Row],[Supplier ID]],Supplier[#All],6,0)</f>
        <v>GST2154521T057</v>
      </c>
      <c r="I1218" s="138" t="s">
        <v>163</v>
      </c>
      <c r="J1218" s="139">
        <v>10</v>
      </c>
      <c r="K1218" s="143">
        <f>VLOOKUP(Purchase[[#This Row],[Product ID]],Product[#All],6,0)</f>
        <v>13893</v>
      </c>
      <c r="L1218" s="143">
        <f>Purchase[[#This Row],[Purchase Rate]]*Purchase[[#This Row],[Qty]]</f>
        <v>138930</v>
      </c>
      <c r="M1218" s="140">
        <v>0</v>
      </c>
      <c r="N1218" s="143">
        <v>0</v>
      </c>
      <c r="O1218" s="140">
        <v>0.18</v>
      </c>
      <c r="P1218" s="145">
        <f>(Purchase[[#This Row],[Gross Amount]]-Purchase[[#This Row],[Disct %]])*Purchase[[#This Row],[GST %]]</f>
        <v>25007.399999999998</v>
      </c>
      <c r="Q1218" s="145">
        <f>Purchase[[#This Row],[Gross Amount]]-Purchase[[#This Row],[Disct Amnt]]+Purchase[[#This Row],[GST Amount]]</f>
        <v>163937.4</v>
      </c>
      <c r="R1218" s="138" t="s">
        <v>1019</v>
      </c>
      <c r="S1218" s="41">
        <f>IF(Purchase[[#This Row],[Status]]="Cancelled",0,Purchase[[#This Row],[Qty]])</f>
        <v>10</v>
      </c>
      <c r="T1218" s="146">
        <f>IF(Purchase[[#This Row],[Status]]="Cancelled",0,Purchase[[#This Row],[Total Amount]])</f>
        <v>163937.4</v>
      </c>
      <c r="U1218" s="146">
        <f>SUM(Purchase[Net Amount])</f>
        <v>814985438.68000126</v>
      </c>
    </row>
    <row r="1219" spans="1:21" ht="19.5" thickBot="1" x14ac:dyDescent="0.3">
      <c r="A1219" s="136" t="s">
        <v>2267</v>
      </c>
      <c r="B1219" s="137">
        <v>45718</v>
      </c>
      <c r="C1219" s="138" t="s">
        <v>588</v>
      </c>
      <c r="D1219" s="138" t="str">
        <f>VLOOKUP(Purchase[[#This Row],[Supplier ID]],Supplier[#All],2,0)</f>
        <v>Star Electronics</v>
      </c>
      <c r="E1219" s="138">
        <f>VLOOKUP(Purchase[[#This Row],[Supplier ID]],Supplier[#All],3,0)</f>
        <v>9689542472</v>
      </c>
      <c r="F1219" s="138" t="str">
        <f>VLOOKUP(Purchase[[#This Row],[Supplier ID]],Supplier[#All],4,0)</f>
        <v>Korba</v>
      </c>
      <c r="G1219" s="138" t="str">
        <f>VLOOKUP(Purchase[[#This Row],[Supplier ID]],Supplier[#All],5,0)</f>
        <v>CG</v>
      </c>
      <c r="H1219" s="138" t="str">
        <f>VLOOKUP(Purchase[[#This Row],[Supplier ID]],Supplier[#All],6,0)</f>
        <v>GST2154521T034</v>
      </c>
      <c r="I1219" s="138" t="s">
        <v>403</v>
      </c>
      <c r="J1219" s="139">
        <v>7</v>
      </c>
      <c r="K1219" s="143">
        <f>VLOOKUP(Purchase[[#This Row],[Product ID]],Product[#All],6,0)</f>
        <v>13869</v>
      </c>
      <c r="L1219" s="143">
        <f>Purchase[[#This Row],[Purchase Rate]]*Purchase[[#This Row],[Qty]]</f>
        <v>97083</v>
      </c>
      <c r="M1219" s="140">
        <v>0</v>
      </c>
      <c r="N1219" s="143">
        <v>0</v>
      </c>
      <c r="O1219" s="140">
        <v>0.18</v>
      </c>
      <c r="P1219" s="145">
        <f>(Purchase[[#This Row],[Gross Amount]]-Purchase[[#This Row],[Disct %]])*Purchase[[#This Row],[GST %]]</f>
        <v>17474.939999999999</v>
      </c>
      <c r="Q1219" s="145">
        <f>Purchase[[#This Row],[Gross Amount]]-Purchase[[#This Row],[Disct Amnt]]+Purchase[[#This Row],[GST Amount]]</f>
        <v>114557.94</v>
      </c>
      <c r="R1219" s="138" t="s">
        <v>1019</v>
      </c>
      <c r="S1219" s="41">
        <f>IF(Purchase[[#This Row],[Status]]="Cancelled",0,Purchase[[#This Row],[Qty]])</f>
        <v>7</v>
      </c>
      <c r="T1219" s="146">
        <f>IF(Purchase[[#This Row],[Status]]="Cancelled",0,Purchase[[#This Row],[Total Amount]])</f>
        <v>114557.94</v>
      </c>
      <c r="U1219" s="146">
        <f>SUM(Purchase[Net Amount])</f>
        <v>814985438.68000126</v>
      </c>
    </row>
    <row r="1220" spans="1:21" ht="19.5" thickBot="1" x14ac:dyDescent="0.3">
      <c r="A1220" s="136" t="s">
        <v>2268</v>
      </c>
      <c r="B1220" s="137">
        <v>45718</v>
      </c>
      <c r="C1220" s="138" t="s">
        <v>614</v>
      </c>
      <c r="D1220" s="138" t="str">
        <f>VLOOKUP(Purchase[[#This Row],[Supplier ID]],Supplier[#All],2,0)</f>
        <v>National Electronics</v>
      </c>
      <c r="E1220" s="138">
        <f>VLOOKUP(Purchase[[#This Row],[Supplier ID]],Supplier[#All],3,0)</f>
        <v>9689542497</v>
      </c>
      <c r="F1220" s="138" t="str">
        <f>VLOOKUP(Purchase[[#This Row],[Supplier ID]],Supplier[#All],4,0)</f>
        <v>Kanpur</v>
      </c>
      <c r="G1220" s="138" t="str">
        <f>VLOOKUP(Purchase[[#This Row],[Supplier ID]],Supplier[#All],5,0)</f>
        <v>UP</v>
      </c>
      <c r="H1220" s="138" t="str">
        <f>VLOOKUP(Purchase[[#This Row],[Supplier ID]],Supplier[#All],6,0)</f>
        <v>GST2154521T059</v>
      </c>
      <c r="I1220" s="138" t="s">
        <v>547</v>
      </c>
      <c r="J1220" s="139">
        <v>5</v>
      </c>
      <c r="K1220" s="143">
        <f>VLOOKUP(Purchase[[#This Row],[Product ID]],Product[#All],6,0)</f>
        <v>28107</v>
      </c>
      <c r="L1220" s="143">
        <f>Purchase[[#This Row],[Purchase Rate]]*Purchase[[#This Row],[Qty]]</f>
        <v>140535</v>
      </c>
      <c r="M1220" s="140">
        <v>0</v>
      </c>
      <c r="N1220" s="143">
        <v>0</v>
      </c>
      <c r="O1220" s="140">
        <v>0.18</v>
      </c>
      <c r="P1220" s="145">
        <f>(Purchase[[#This Row],[Gross Amount]]-Purchase[[#This Row],[Disct %]])*Purchase[[#This Row],[GST %]]</f>
        <v>25296.3</v>
      </c>
      <c r="Q1220" s="145">
        <f>Purchase[[#This Row],[Gross Amount]]-Purchase[[#This Row],[Disct Amnt]]+Purchase[[#This Row],[GST Amount]]</f>
        <v>165831.29999999999</v>
      </c>
      <c r="R1220" s="138" t="s">
        <v>1019</v>
      </c>
      <c r="S1220" s="41">
        <f>IF(Purchase[[#This Row],[Status]]="Cancelled",0,Purchase[[#This Row],[Qty]])</f>
        <v>5</v>
      </c>
      <c r="T1220" s="146">
        <f>IF(Purchase[[#This Row],[Status]]="Cancelled",0,Purchase[[#This Row],[Total Amount]])</f>
        <v>165831.29999999999</v>
      </c>
      <c r="U1220" s="146">
        <f>SUM(Purchase[Net Amount])</f>
        <v>814985438.68000126</v>
      </c>
    </row>
    <row r="1221" spans="1:21" ht="19.5" thickBot="1" x14ac:dyDescent="0.3">
      <c r="A1221" s="136" t="s">
        <v>2269</v>
      </c>
      <c r="B1221" s="137">
        <v>45718</v>
      </c>
      <c r="C1221" s="138" t="s">
        <v>1045</v>
      </c>
      <c r="D1221" s="138" t="str">
        <f>VLOOKUP(Purchase[[#This Row],[Supplier ID]],Supplier[#All],2,0)</f>
        <v>Prime Suppliers</v>
      </c>
      <c r="E1221" s="138">
        <f>VLOOKUP(Purchase[[#This Row],[Supplier ID]],Supplier[#All],3,0)</f>
        <v>9689542483</v>
      </c>
      <c r="F1221" s="138" t="str">
        <f>VLOOKUP(Purchase[[#This Row],[Supplier ID]],Supplier[#All],4,0)</f>
        <v>Korba</v>
      </c>
      <c r="G1221" s="138" t="str">
        <f>VLOOKUP(Purchase[[#This Row],[Supplier ID]],Supplier[#All],5,0)</f>
        <v>CG</v>
      </c>
      <c r="H1221" s="138" t="str">
        <f>VLOOKUP(Purchase[[#This Row],[Supplier ID]],Supplier[#All],6,0)</f>
        <v>GST2154521T045</v>
      </c>
      <c r="I1221" s="138" t="s">
        <v>394</v>
      </c>
      <c r="J1221" s="139">
        <v>37</v>
      </c>
      <c r="K1221" s="143">
        <f>VLOOKUP(Purchase[[#This Row],[Product ID]],Product[#All],6,0)</f>
        <v>1446</v>
      </c>
      <c r="L1221" s="143">
        <f>Purchase[[#This Row],[Purchase Rate]]*Purchase[[#This Row],[Qty]]</f>
        <v>53502</v>
      </c>
      <c r="M1221" s="140">
        <v>0</v>
      </c>
      <c r="N1221" s="143">
        <v>0</v>
      </c>
      <c r="O1221" s="140">
        <v>0.18</v>
      </c>
      <c r="P1221" s="145">
        <f>(Purchase[[#This Row],[Gross Amount]]-Purchase[[#This Row],[Disct %]])*Purchase[[#This Row],[GST %]]</f>
        <v>9630.3599999999988</v>
      </c>
      <c r="Q1221" s="145">
        <f>Purchase[[#This Row],[Gross Amount]]-Purchase[[#This Row],[Disct Amnt]]+Purchase[[#This Row],[GST Amount]]</f>
        <v>63132.36</v>
      </c>
      <c r="R1221" s="138" t="s">
        <v>1019</v>
      </c>
      <c r="S1221" s="41">
        <f>IF(Purchase[[#This Row],[Status]]="Cancelled",0,Purchase[[#This Row],[Qty]])</f>
        <v>37</v>
      </c>
      <c r="T1221" s="146">
        <f>IF(Purchase[[#This Row],[Status]]="Cancelled",0,Purchase[[#This Row],[Total Amount]])</f>
        <v>63132.36</v>
      </c>
      <c r="U1221" s="146">
        <f>SUM(Purchase[Net Amount])</f>
        <v>814985438.68000126</v>
      </c>
    </row>
    <row r="1222" spans="1:21" ht="19.5" thickBot="1" x14ac:dyDescent="0.3">
      <c r="A1222" s="136" t="s">
        <v>2270</v>
      </c>
      <c r="B1222" s="137">
        <v>45718</v>
      </c>
      <c r="C1222" s="138" t="s">
        <v>573</v>
      </c>
      <c r="D1222" s="138" t="str">
        <f>VLOOKUP(Purchase[[#This Row],[Supplier ID]],Supplier[#All],2,0)</f>
        <v>Shree Traders</v>
      </c>
      <c r="E1222" s="138">
        <f>VLOOKUP(Purchase[[#This Row],[Supplier ID]],Supplier[#All],3,0)</f>
        <v>9689542458</v>
      </c>
      <c r="F1222" s="138" t="str">
        <f>VLOOKUP(Purchase[[#This Row],[Supplier ID]],Supplier[#All],4,0)</f>
        <v>Korba</v>
      </c>
      <c r="G1222" s="138" t="str">
        <f>VLOOKUP(Purchase[[#This Row],[Supplier ID]],Supplier[#All],5,0)</f>
        <v>CG</v>
      </c>
      <c r="H1222" s="138" t="str">
        <f>VLOOKUP(Purchase[[#This Row],[Supplier ID]],Supplier[#All],6,0)</f>
        <v>GST2154521T020</v>
      </c>
      <c r="I1222" s="138" t="s">
        <v>242</v>
      </c>
      <c r="J1222" s="139">
        <v>36</v>
      </c>
      <c r="K1222" s="143">
        <f>VLOOKUP(Purchase[[#This Row],[Product ID]],Product[#All],6,0)</f>
        <v>15569</v>
      </c>
      <c r="L1222" s="143">
        <f>Purchase[[#This Row],[Purchase Rate]]*Purchase[[#This Row],[Qty]]</f>
        <v>560484</v>
      </c>
      <c r="M1222" s="140">
        <v>0</v>
      </c>
      <c r="N1222" s="143">
        <v>0</v>
      </c>
      <c r="O1222" s="140">
        <v>0.18</v>
      </c>
      <c r="P1222" s="145">
        <f>(Purchase[[#This Row],[Gross Amount]]-Purchase[[#This Row],[Disct %]])*Purchase[[#This Row],[GST %]]</f>
        <v>100887.12</v>
      </c>
      <c r="Q1222" s="145">
        <f>Purchase[[#This Row],[Gross Amount]]-Purchase[[#This Row],[Disct Amnt]]+Purchase[[#This Row],[GST Amount]]</f>
        <v>661371.12</v>
      </c>
      <c r="R1222" s="138" t="s">
        <v>1019</v>
      </c>
      <c r="S1222" s="41">
        <f>IF(Purchase[[#This Row],[Status]]="Cancelled",0,Purchase[[#This Row],[Qty]])</f>
        <v>36</v>
      </c>
      <c r="T1222" s="146">
        <f>IF(Purchase[[#This Row],[Status]]="Cancelled",0,Purchase[[#This Row],[Total Amount]])</f>
        <v>661371.12</v>
      </c>
      <c r="U1222" s="146">
        <f>SUM(Purchase[Net Amount])</f>
        <v>814985438.68000126</v>
      </c>
    </row>
    <row r="1223" spans="1:21" ht="19.5" thickBot="1" x14ac:dyDescent="0.3">
      <c r="A1223" s="136" t="s">
        <v>2271</v>
      </c>
      <c r="B1223" s="137">
        <v>45718</v>
      </c>
      <c r="C1223" s="138" t="s">
        <v>595</v>
      </c>
      <c r="D1223" s="138" t="str">
        <f>VLOOKUP(Purchase[[#This Row],[Supplier ID]],Supplier[#All],2,0)</f>
        <v>Star Computers</v>
      </c>
      <c r="E1223" s="138">
        <f>VLOOKUP(Purchase[[#This Row],[Supplier ID]],Supplier[#All],3,0)</f>
        <v>9689542478</v>
      </c>
      <c r="F1223" s="138" t="str">
        <f>VLOOKUP(Purchase[[#This Row],[Supplier ID]],Supplier[#All],4,0)</f>
        <v>Kanpur</v>
      </c>
      <c r="G1223" s="138" t="str">
        <f>VLOOKUP(Purchase[[#This Row],[Supplier ID]],Supplier[#All],5,0)</f>
        <v>UP</v>
      </c>
      <c r="H1223" s="138" t="str">
        <f>VLOOKUP(Purchase[[#This Row],[Supplier ID]],Supplier[#All],6,0)</f>
        <v>GST2154521T040</v>
      </c>
      <c r="I1223" s="138" t="s">
        <v>319</v>
      </c>
      <c r="J1223" s="139">
        <v>24</v>
      </c>
      <c r="K1223" s="143">
        <f>VLOOKUP(Purchase[[#This Row],[Product ID]],Product[#All],6,0)</f>
        <v>8807</v>
      </c>
      <c r="L1223" s="143">
        <f>Purchase[[#This Row],[Purchase Rate]]*Purchase[[#This Row],[Qty]]</f>
        <v>211368</v>
      </c>
      <c r="M1223" s="140">
        <v>0</v>
      </c>
      <c r="N1223" s="143">
        <v>0</v>
      </c>
      <c r="O1223" s="140">
        <v>0.18</v>
      </c>
      <c r="P1223" s="145">
        <f>(Purchase[[#This Row],[Gross Amount]]-Purchase[[#This Row],[Disct %]])*Purchase[[#This Row],[GST %]]</f>
        <v>38046.239999999998</v>
      </c>
      <c r="Q1223" s="145">
        <f>Purchase[[#This Row],[Gross Amount]]-Purchase[[#This Row],[Disct Amnt]]+Purchase[[#This Row],[GST Amount]]</f>
        <v>249414.24</v>
      </c>
      <c r="R1223" s="138" t="s">
        <v>1019</v>
      </c>
      <c r="S1223" s="41">
        <f>IF(Purchase[[#This Row],[Status]]="Cancelled",0,Purchase[[#This Row],[Qty]])</f>
        <v>24</v>
      </c>
      <c r="T1223" s="146">
        <f>IF(Purchase[[#This Row],[Status]]="Cancelled",0,Purchase[[#This Row],[Total Amount]])</f>
        <v>249414.24</v>
      </c>
      <c r="U1223" s="146">
        <f>SUM(Purchase[Net Amount])</f>
        <v>814985438.68000126</v>
      </c>
    </row>
    <row r="1224" spans="1:21" ht="19.5" thickBot="1" x14ac:dyDescent="0.3">
      <c r="A1224" s="136" t="s">
        <v>2272</v>
      </c>
      <c r="B1224" s="137">
        <v>45718</v>
      </c>
      <c r="C1224" s="138" t="s">
        <v>607</v>
      </c>
      <c r="D1224" s="138" t="str">
        <f>VLOOKUP(Purchase[[#This Row],[Supplier ID]],Supplier[#All],2,0)</f>
        <v>Global Distributors</v>
      </c>
      <c r="E1224" s="138">
        <f>VLOOKUP(Purchase[[#This Row],[Supplier ID]],Supplier[#All],3,0)</f>
        <v>9689542490</v>
      </c>
      <c r="F1224" s="138" t="str">
        <f>VLOOKUP(Purchase[[#This Row],[Supplier ID]],Supplier[#All],4,0)</f>
        <v>Kanpur</v>
      </c>
      <c r="G1224" s="138" t="str">
        <f>VLOOKUP(Purchase[[#This Row],[Supplier ID]],Supplier[#All],5,0)</f>
        <v>UP</v>
      </c>
      <c r="H1224" s="138" t="str">
        <f>VLOOKUP(Purchase[[#This Row],[Supplier ID]],Supplier[#All],6,0)</f>
        <v>GST2154521T052</v>
      </c>
      <c r="I1224" s="138" t="s">
        <v>438</v>
      </c>
      <c r="J1224" s="139">
        <v>15</v>
      </c>
      <c r="K1224" s="143">
        <f>VLOOKUP(Purchase[[#This Row],[Product ID]],Product[#All],6,0)</f>
        <v>1324</v>
      </c>
      <c r="L1224" s="143">
        <f>Purchase[[#This Row],[Purchase Rate]]*Purchase[[#This Row],[Qty]]</f>
        <v>19860</v>
      </c>
      <c r="M1224" s="140">
        <v>0</v>
      </c>
      <c r="N1224" s="143">
        <v>0</v>
      </c>
      <c r="O1224" s="140">
        <v>0.18</v>
      </c>
      <c r="P1224" s="145">
        <f>(Purchase[[#This Row],[Gross Amount]]-Purchase[[#This Row],[Disct %]])*Purchase[[#This Row],[GST %]]</f>
        <v>3574.7999999999997</v>
      </c>
      <c r="Q1224" s="145">
        <f>Purchase[[#This Row],[Gross Amount]]-Purchase[[#This Row],[Disct Amnt]]+Purchase[[#This Row],[GST Amount]]</f>
        <v>23434.799999999999</v>
      </c>
      <c r="R1224" s="138" t="s">
        <v>1019</v>
      </c>
      <c r="S1224" s="41">
        <f>IF(Purchase[[#This Row],[Status]]="Cancelled",0,Purchase[[#This Row],[Qty]])</f>
        <v>15</v>
      </c>
      <c r="T1224" s="146">
        <f>IF(Purchase[[#This Row],[Status]]="Cancelled",0,Purchase[[#This Row],[Total Amount]])</f>
        <v>23434.799999999999</v>
      </c>
      <c r="U1224" s="146">
        <f>SUM(Purchase[Net Amount])</f>
        <v>814985438.68000126</v>
      </c>
    </row>
    <row r="1225" spans="1:21" ht="19.5" thickBot="1" x14ac:dyDescent="0.3">
      <c r="A1225" s="136" t="s">
        <v>2273</v>
      </c>
      <c r="B1225" s="137">
        <v>45718</v>
      </c>
      <c r="C1225" s="138" t="s">
        <v>565</v>
      </c>
      <c r="D1225" s="138" t="str">
        <f>VLOOKUP(Purchase[[#This Row],[Supplier ID]],Supplier[#All],2,0)</f>
        <v>Global Suppliers</v>
      </c>
      <c r="E1225" s="138">
        <f>VLOOKUP(Purchase[[#This Row],[Supplier ID]],Supplier[#All],3,0)</f>
        <v>9689542459</v>
      </c>
      <c r="F1225" s="138" t="str">
        <f>VLOOKUP(Purchase[[#This Row],[Supplier ID]],Supplier[#All],4,0)</f>
        <v>Indore</v>
      </c>
      <c r="G1225" s="138" t="str">
        <f>VLOOKUP(Purchase[[#This Row],[Supplier ID]],Supplier[#All],5,0)</f>
        <v>MP</v>
      </c>
      <c r="H1225" s="138" t="str">
        <f>VLOOKUP(Purchase[[#This Row],[Supplier ID]],Supplier[#All],6,0)</f>
        <v>GST2154521T013</v>
      </c>
      <c r="I1225" s="138" t="s">
        <v>527</v>
      </c>
      <c r="J1225" s="139">
        <v>22</v>
      </c>
      <c r="K1225" s="143">
        <f>VLOOKUP(Purchase[[#This Row],[Product ID]],Product[#All],6,0)</f>
        <v>24419</v>
      </c>
      <c r="L1225" s="143">
        <f>Purchase[[#This Row],[Purchase Rate]]*Purchase[[#This Row],[Qty]]</f>
        <v>537218</v>
      </c>
      <c r="M1225" s="140">
        <v>0</v>
      </c>
      <c r="N1225" s="143">
        <v>0</v>
      </c>
      <c r="O1225" s="140">
        <v>0.18</v>
      </c>
      <c r="P1225" s="145">
        <f>(Purchase[[#This Row],[Gross Amount]]-Purchase[[#This Row],[Disct %]])*Purchase[[#This Row],[GST %]]</f>
        <v>96699.239999999991</v>
      </c>
      <c r="Q1225" s="145">
        <f>Purchase[[#This Row],[Gross Amount]]-Purchase[[#This Row],[Disct Amnt]]+Purchase[[#This Row],[GST Amount]]</f>
        <v>633917.24</v>
      </c>
      <c r="R1225" s="138" t="s">
        <v>1019</v>
      </c>
      <c r="S1225" s="41">
        <f>IF(Purchase[[#This Row],[Status]]="Cancelled",0,Purchase[[#This Row],[Qty]])</f>
        <v>22</v>
      </c>
      <c r="T1225" s="146">
        <f>IF(Purchase[[#This Row],[Status]]="Cancelled",0,Purchase[[#This Row],[Total Amount]])</f>
        <v>633917.24</v>
      </c>
      <c r="U1225" s="146">
        <f>SUM(Purchase[Net Amount])</f>
        <v>814985438.68000126</v>
      </c>
    </row>
    <row r="1226" spans="1:21" ht="19.5" thickBot="1" x14ac:dyDescent="0.3">
      <c r="A1226" s="136" t="s">
        <v>2274</v>
      </c>
      <c r="B1226" s="137">
        <v>45718</v>
      </c>
      <c r="C1226" s="138" t="s">
        <v>2275</v>
      </c>
      <c r="D1226" s="138" t="str">
        <f>VLOOKUP(Purchase[[#This Row],[Supplier ID]],Supplier[#All],2,0)</f>
        <v>Shree Electronics</v>
      </c>
      <c r="E1226" s="138">
        <f>VLOOKUP(Purchase[[#This Row],[Supplier ID]],Supplier[#All],3,0)</f>
        <v>9689542493</v>
      </c>
      <c r="F1226" s="138" t="str">
        <f>VLOOKUP(Purchase[[#This Row],[Supplier ID]],Supplier[#All],4,0)</f>
        <v>Kanpur</v>
      </c>
      <c r="G1226" s="138" t="str">
        <f>VLOOKUP(Purchase[[#This Row],[Supplier ID]],Supplier[#All],5,0)</f>
        <v>UP</v>
      </c>
      <c r="H1226" s="138" t="str">
        <f>VLOOKUP(Purchase[[#This Row],[Supplier ID]],Supplier[#All],6,0)</f>
        <v>GST2154521T055</v>
      </c>
      <c r="I1226" s="138" t="s">
        <v>425</v>
      </c>
      <c r="J1226" s="139">
        <v>4</v>
      </c>
      <c r="K1226" s="143">
        <f>VLOOKUP(Purchase[[#This Row],[Product ID]],Product[#All],6,0)</f>
        <v>6244</v>
      </c>
      <c r="L1226" s="143">
        <f>Purchase[[#This Row],[Purchase Rate]]*Purchase[[#This Row],[Qty]]</f>
        <v>24976</v>
      </c>
      <c r="M1226" s="140">
        <v>0</v>
      </c>
      <c r="N1226" s="143">
        <v>0</v>
      </c>
      <c r="O1226" s="140">
        <v>0.18</v>
      </c>
      <c r="P1226" s="145">
        <f>(Purchase[[#This Row],[Gross Amount]]-Purchase[[#This Row],[Disct %]])*Purchase[[#This Row],[GST %]]</f>
        <v>4495.6799999999994</v>
      </c>
      <c r="Q1226" s="145">
        <f>Purchase[[#This Row],[Gross Amount]]-Purchase[[#This Row],[Disct Amnt]]+Purchase[[#This Row],[GST Amount]]</f>
        <v>29471.68</v>
      </c>
      <c r="R1226" s="138" t="s">
        <v>1019</v>
      </c>
      <c r="S1226" s="41">
        <f>IF(Purchase[[#This Row],[Status]]="Cancelled",0,Purchase[[#This Row],[Qty]])</f>
        <v>4</v>
      </c>
      <c r="T1226" s="146">
        <f>IF(Purchase[[#This Row],[Status]]="Cancelled",0,Purchase[[#This Row],[Total Amount]])</f>
        <v>29471.68</v>
      </c>
      <c r="U1226" s="146">
        <f>SUM(Purchase[Net Amount])</f>
        <v>814985438.68000126</v>
      </c>
    </row>
    <row r="1227" spans="1:21" ht="19.5" thickBot="1" x14ac:dyDescent="0.3">
      <c r="A1227" s="136" t="s">
        <v>2276</v>
      </c>
      <c r="B1227" s="137">
        <v>45718</v>
      </c>
      <c r="C1227" s="138" t="s">
        <v>610</v>
      </c>
      <c r="D1227" s="138" t="str">
        <f>VLOOKUP(Purchase[[#This Row],[Supplier ID]],Supplier[#All],2,0)</f>
        <v>Shree Electronics</v>
      </c>
      <c r="E1227" s="138">
        <f>VLOOKUP(Purchase[[#This Row],[Supplier ID]],Supplier[#All],3,0)</f>
        <v>9689542493</v>
      </c>
      <c r="F1227" s="138" t="str">
        <f>VLOOKUP(Purchase[[#This Row],[Supplier ID]],Supplier[#All],4,0)</f>
        <v>Kanpur</v>
      </c>
      <c r="G1227" s="138" t="str">
        <f>VLOOKUP(Purchase[[#This Row],[Supplier ID]],Supplier[#All],5,0)</f>
        <v>UP</v>
      </c>
      <c r="H1227" s="138" t="str">
        <f>VLOOKUP(Purchase[[#This Row],[Supplier ID]],Supplier[#All],6,0)</f>
        <v>GST2154521T055</v>
      </c>
      <c r="I1227" s="138" t="s">
        <v>546</v>
      </c>
      <c r="J1227" s="139">
        <v>15</v>
      </c>
      <c r="K1227" s="143">
        <f>VLOOKUP(Purchase[[#This Row],[Product ID]],Product[#All],6,0)</f>
        <v>12628</v>
      </c>
      <c r="L1227" s="143">
        <f>Purchase[[#This Row],[Purchase Rate]]*Purchase[[#This Row],[Qty]]</f>
        <v>189420</v>
      </c>
      <c r="M1227" s="140">
        <v>0</v>
      </c>
      <c r="N1227" s="143">
        <v>0</v>
      </c>
      <c r="O1227" s="140">
        <v>0.18</v>
      </c>
      <c r="P1227" s="145">
        <f>(Purchase[[#This Row],[Gross Amount]]-Purchase[[#This Row],[Disct %]])*Purchase[[#This Row],[GST %]]</f>
        <v>34095.599999999999</v>
      </c>
      <c r="Q1227" s="145">
        <f>Purchase[[#This Row],[Gross Amount]]-Purchase[[#This Row],[Disct Amnt]]+Purchase[[#This Row],[GST Amount]]</f>
        <v>223515.6</v>
      </c>
      <c r="R1227" s="138" t="s">
        <v>1019</v>
      </c>
      <c r="S1227" s="41">
        <f>IF(Purchase[[#This Row],[Status]]="Cancelled",0,Purchase[[#This Row],[Qty]])</f>
        <v>15</v>
      </c>
      <c r="T1227" s="146">
        <f>IF(Purchase[[#This Row],[Status]]="Cancelled",0,Purchase[[#This Row],[Total Amount]])</f>
        <v>223515.6</v>
      </c>
      <c r="U1227" s="146">
        <f>SUM(Purchase[Net Amount])</f>
        <v>814985438.68000126</v>
      </c>
    </row>
    <row r="1228" spans="1:21" ht="19.5" thickBot="1" x14ac:dyDescent="0.3">
      <c r="A1228" s="136" t="s">
        <v>2277</v>
      </c>
      <c r="B1228" s="137">
        <v>45718</v>
      </c>
      <c r="C1228" s="138" t="s">
        <v>610</v>
      </c>
      <c r="D1228" s="138" t="str">
        <f>VLOOKUP(Purchase[[#This Row],[Supplier ID]],Supplier[#All],2,0)</f>
        <v>Shree Electronics</v>
      </c>
      <c r="E1228" s="138">
        <f>VLOOKUP(Purchase[[#This Row],[Supplier ID]],Supplier[#All],3,0)</f>
        <v>9689542493</v>
      </c>
      <c r="F1228" s="138" t="str">
        <f>VLOOKUP(Purchase[[#This Row],[Supplier ID]],Supplier[#All],4,0)</f>
        <v>Kanpur</v>
      </c>
      <c r="G1228" s="138" t="str">
        <f>VLOOKUP(Purchase[[#This Row],[Supplier ID]],Supplier[#All],5,0)</f>
        <v>UP</v>
      </c>
      <c r="H1228" s="138" t="str">
        <f>VLOOKUP(Purchase[[#This Row],[Supplier ID]],Supplier[#All],6,0)</f>
        <v>GST2154521T055</v>
      </c>
      <c r="I1228" s="138" t="s">
        <v>18</v>
      </c>
      <c r="J1228" s="139">
        <v>3</v>
      </c>
      <c r="K1228" s="143">
        <f>VLOOKUP(Purchase[[#This Row],[Product ID]],Product[#All],6,0)</f>
        <v>701</v>
      </c>
      <c r="L1228" s="143">
        <f>Purchase[[#This Row],[Purchase Rate]]*Purchase[[#This Row],[Qty]]</f>
        <v>2103</v>
      </c>
      <c r="M1228" s="140">
        <v>0</v>
      </c>
      <c r="N1228" s="143">
        <v>0</v>
      </c>
      <c r="O1228" s="140">
        <v>0.18</v>
      </c>
      <c r="P1228" s="145">
        <f>(Purchase[[#This Row],[Gross Amount]]-Purchase[[#This Row],[Disct %]])*Purchase[[#This Row],[GST %]]</f>
        <v>378.53999999999996</v>
      </c>
      <c r="Q1228" s="145">
        <f>Purchase[[#This Row],[Gross Amount]]-Purchase[[#This Row],[Disct Amnt]]+Purchase[[#This Row],[GST Amount]]</f>
        <v>2481.54</v>
      </c>
      <c r="R1228" s="138" t="s">
        <v>1019</v>
      </c>
      <c r="S1228" s="41">
        <f>IF(Purchase[[#This Row],[Status]]="Cancelled",0,Purchase[[#This Row],[Qty]])</f>
        <v>3</v>
      </c>
      <c r="T1228" s="146">
        <f>IF(Purchase[[#This Row],[Status]]="Cancelled",0,Purchase[[#This Row],[Total Amount]])</f>
        <v>2481.54</v>
      </c>
      <c r="U1228" s="146">
        <f>SUM(Purchase[Net Amount])</f>
        <v>814985438.68000126</v>
      </c>
    </row>
    <row r="1229" spans="1:21" ht="19.5" thickBot="1" x14ac:dyDescent="0.3">
      <c r="A1229" s="136" t="s">
        <v>2278</v>
      </c>
      <c r="B1229" s="137">
        <v>45718</v>
      </c>
      <c r="C1229" s="138" t="s">
        <v>580</v>
      </c>
      <c r="D1229" s="138" t="str">
        <f>VLOOKUP(Purchase[[#This Row],[Supplier ID]],Supplier[#All],2,0)</f>
        <v>Star Distributors</v>
      </c>
      <c r="E1229" s="138">
        <f>VLOOKUP(Purchase[[#This Row],[Supplier ID]],Supplier[#All],3,0)</f>
        <v>9689542464</v>
      </c>
      <c r="F1229" s="138" t="str">
        <f>VLOOKUP(Purchase[[#This Row],[Supplier ID]],Supplier[#All],4,0)</f>
        <v>Indore</v>
      </c>
      <c r="G1229" s="138" t="str">
        <f>VLOOKUP(Purchase[[#This Row],[Supplier ID]],Supplier[#All],5,0)</f>
        <v>MP</v>
      </c>
      <c r="H1229" s="138" t="str">
        <f>VLOOKUP(Purchase[[#This Row],[Supplier ID]],Supplier[#All],6,0)</f>
        <v>GST2154521T026</v>
      </c>
      <c r="I1229" s="138" t="s">
        <v>348</v>
      </c>
      <c r="J1229" s="139">
        <v>11</v>
      </c>
      <c r="K1229" s="143">
        <f>VLOOKUP(Purchase[[#This Row],[Product ID]],Product[#All],6,0)</f>
        <v>5315</v>
      </c>
      <c r="L1229" s="143">
        <f>Purchase[[#This Row],[Purchase Rate]]*Purchase[[#This Row],[Qty]]</f>
        <v>58465</v>
      </c>
      <c r="M1229" s="140">
        <v>0</v>
      </c>
      <c r="N1229" s="143">
        <v>0</v>
      </c>
      <c r="O1229" s="140">
        <v>0.18</v>
      </c>
      <c r="P1229" s="145">
        <f>(Purchase[[#This Row],[Gross Amount]]-Purchase[[#This Row],[Disct %]])*Purchase[[#This Row],[GST %]]</f>
        <v>10523.699999999999</v>
      </c>
      <c r="Q1229" s="145">
        <f>Purchase[[#This Row],[Gross Amount]]-Purchase[[#This Row],[Disct Amnt]]+Purchase[[#This Row],[GST Amount]]</f>
        <v>68988.7</v>
      </c>
      <c r="R1229" s="138" t="s">
        <v>1040</v>
      </c>
      <c r="S1229" s="41">
        <f>IF(Purchase[[#This Row],[Status]]="Cancelled",0,Purchase[[#This Row],[Qty]])</f>
        <v>0</v>
      </c>
      <c r="T1229" s="146">
        <f>IF(Purchase[[#This Row],[Status]]="Cancelled",0,Purchase[[#This Row],[Total Amount]])</f>
        <v>0</v>
      </c>
      <c r="U1229" s="146">
        <f>SUM(Purchase[Net Amount])</f>
        <v>814985438.68000126</v>
      </c>
    </row>
    <row r="1230" spans="1:21" ht="19.5" thickBot="1" x14ac:dyDescent="0.3">
      <c r="A1230" s="136" t="s">
        <v>2279</v>
      </c>
      <c r="B1230" s="137">
        <v>45718</v>
      </c>
      <c r="C1230" s="138" t="s">
        <v>582</v>
      </c>
      <c r="D1230" s="138" t="str">
        <f>VLOOKUP(Purchase[[#This Row],[Supplier ID]],Supplier[#All],2,0)</f>
        <v>Tech Distributors</v>
      </c>
      <c r="E1230" s="138">
        <f>VLOOKUP(Purchase[[#This Row],[Supplier ID]],Supplier[#All],3,0)</f>
        <v>9689542466</v>
      </c>
      <c r="F1230" s="138" t="str">
        <f>VLOOKUP(Purchase[[#This Row],[Supplier ID]],Supplier[#All],4,0)</f>
        <v>Indore</v>
      </c>
      <c r="G1230" s="138" t="str">
        <f>VLOOKUP(Purchase[[#This Row],[Supplier ID]],Supplier[#All],5,0)</f>
        <v>MP</v>
      </c>
      <c r="H1230" s="138" t="str">
        <f>VLOOKUP(Purchase[[#This Row],[Supplier ID]],Supplier[#All],6,0)</f>
        <v>GST2154521T028</v>
      </c>
      <c r="I1230" s="138" t="s">
        <v>549</v>
      </c>
      <c r="J1230" s="139">
        <v>20</v>
      </c>
      <c r="K1230" s="143">
        <f>VLOOKUP(Purchase[[#This Row],[Product ID]],Product[#All],6,0)</f>
        <v>2884</v>
      </c>
      <c r="L1230" s="143">
        <f>Purchase[[#This Row],[Purchase Rate]]*Purchase[[#This Row],[Qty]]</f>
        <v>57680</v>
      </c>
      <c r="M1230" s="140">
        <v>0</v>
      </c>
      <c r="N1230" s="143">
        <v>0</v>
      </c>
      <c r="O1230" s="140">
        <v>0.18</v>
      </c>
      <c r="P1230" s="145">
        <f>(Purchase[[#This Row],[Gross Amount]]-Purchase[[#This Row],[Disct %]])*Purchase[[#This Row],[GST %]]</f>
        <v>10382.4</v>
      </c>
      <c r="Q1230" s="145">
        <f>Purchase[[#This Row],[Gross Amount]]-Purchase[[#This Row],[Disct Amnt]]+Purchase[[#This Row],[GST Amount]]</f>
        <v>68062.399999999994</v>
      </c>
      <c r="R1230" s="138" t="s">
        <v>1019</v>
      </c>
      <c r="S1230" s="41">
        <f>IF(Purchase[[#This Row],[Status]]="Cancelled",0,Purchase[[#This Row],[Qty]])</f>
        <v>20</v>
      </c>
      <c r="T1230" s="146">
        <f>IF(Purchase[[#This Row],[Status]]="Cancelled",0,Purchase[[#This Row],[Total Amount]])</f>
        <v>68062.399999999994</v>
      </c>
      <c r="U1230" s="146">
        <f>SUM(Purchase[Net Amount])</f>
        <v>814985438.68000126</v>
      </c>
    </row>
    <row r="1231" spans="1:21" ht="19.5" thickBot="1" x14ac:dyDescent="0.3">
      <c r="A1231" s="136" t="s">
        <v>2280</v>
      </c>
      <c r="B1231" s="137">
        <v>45718</v>
      </c>
      <c r="C1231" s="138" t="s">
        <v>587</v>
      </c>
      <c r="D1231" s="138" t="str">
        <f>VLOOKUP(Purchase[[#This Row],[Supplier ID]],Supplier[#All],2,0)</f>
        <v>maa distributors</v>
      </c>
      <c r="E1231" s="138">
        <f>VLOOKUP(Purchase[[#This Row],[Supplier ID]],Supplier[#All],3,0)</f>
        <v>9689542479</v>
      </c>
      <c r="F1231" s="138" t="str">
        <f>VLOOKUP(Purchase[[#This Row],[Supplier ID]],Supplier[#All],4,0)</f>
        <v>Indore</v>
      </c>
      <c r="G1231" s="138" t="str">
        <f>VLOOKUP(Purchase[[#This Row],[Supplier ID]],Supplier[#All],5,0)</f>
        <v>MP</v>
      </c>
      <c r="H1231" s="138" t="str">
        <f>VLOOKUP(Purchase[[#This Row],[Supplier ID]],Supplier[#All],6,0)</f>
        <v>GST2154521T033</v>
      </c>
      <c r="I1231" s="138" t="s">
        <v>204</v>
      </c>
      <c r="J1231" s="139">
        <v>17</v>
      </c>
      <c r="K1231" s="143">
        <f>VLOOKUP(Purchase[[#This Row],[Product ID]],Product[#All],6,0)</f>
        <v>33533</v>
      </c>
      <c r="L1231" s="143">
        <f>Purchase[[#This Row],[Purchase Rate]]*Purchase[[#This Row],[Qty]]</f>
        <v>570061</v>
      </c>
      <c r="M1231" s="140">
        <v>0</v>
      </c>
      <c r="N1231" s="143">
        <v>0</v>
      </c>
      <c r="O1231" s="140">
        <v>0.18</v>
      </c>
      <c r="P1231" s="145">
        <f>(Purchase[[#This Row],[Gross Amount]]-Purchase[[#This Row],[Disct %]])*Purchase[[#This Row],[GST %]]</f>
        <v>102610.98</v>
      </c>
      <c r="Q1231" s="145">
        <f>Purchase[[#This Row],[Gross Amount]]-Purchase[[#This Row],[Disct Amnt]]+Purchase[[#This Row],[GST Amount]]</f>
        <v>672671.98</v>
      </c>
      <c r="R1231" s="138" t="s">
        <v>1019</v>
      </c>
      <c r="S1231" s="41">
        <f>IF(Purchase[[#This Row],[Status]]="Cancelled",0,Purchase[[#This Row],[Qty]])</f>
        <v>17</v>
      </c>
      <c r="T1231" s="146">
        <f>IF(Purchase[[#This Row],[Status]]="Cancelled",0,Purchase[[#This Row],[Total Amount]])</f>
        <v>672671.98</v>
      </c>
      <c r="U1231" s="146">
        <f>SUM(Purchase[Net Amount])</f>
        <v>814985438.68000126</v>
      </c>
    </row>
    <row r="1232" spans="1:21" ht="19.5" thickBot="1" x14ac:dyDescent="0.3">
      <c r="A1232" s="136" t="s">
        <v>2281</v>
      </c>
      <c r="B1232" s="137">
        <v>45718</v>
      </c>
      <c r="C1232" s="138" t="s">
        <v>600</v>
      </c>
      <c r="D1232" s="138" t="str">
        <f>VLOOKUP(Purchase[[#This Row],[Supplier ID]],Supplier[#All],2,0)</f>
        <v>Prime Suppliers</v>
      </c>
      <c r="E1232" s="138">
        <f>VLOOKUP(Purchase[[#This Row],[Supplier ID]],Supplier[#All],3,0)</f>
        <v>9689542483</v>
      </c>
      <c r="F1232" s="138" t="str">
        <f>VLOOKUP(Purchase[[#This Row],[Supplier ID]],Supplier[#All],4,0)</f>
        <v>Korba</v>
      </c>
      <c r="G1232" s="138" t="str">
        <f>VLOOKUP(Purchase[[#This Row],[Supplier ID]],Supplier[#All],5,0)</f>
        <v>CG</v>
      </c>
      <c r="H1232" s="138" t="str">
        <f>VLOOKUP(Purchase[[#This Row],[Supplier ID]],Supplier[#All],6,0)</f>
        <v>GST2154521T045</v>
      </c>
      <c r="I1232" s="138" t="s">
        <v>38</v>
      </c>
      <c r="J1232" s="139">
        <v>20</v>
      </c>
      <c r="K1232" s="143">
        <f>VLOOKUP(Purchase[[#This Row],[Product ID]],Product[#All],6,0)</f>
        <v>65586</v>
      </c>
      <c r="L1232" s="143">
        <f>Purchase[[#This Row],[Purchase Rate]]*Purchase[[#This Row],[Qty]]</f>
        <v>1311720</v>
      </c>
      <c r="M1232" s="140">
        <v>0</v>
      </c>
      <c r="N1232" s="143">
        <v>0</v>
      </c>
      <c r="O1232" s="140">
        <v>0.18</v>
      </c>
      <c r="P1232" s="145">
        <f>(Purchase[[#This Row],[Gross Amount]]-Purchase[[#This Row],[Disct %]])*Purchase[[#This Row],[GST %]]</f>
        <v>236109.59999999998</v>
      </c>
      <c r="Q1232" s="145">
        <f>Purchase[[#This Row],[Gross Amount]]-Purchase[[#This Row],[Disct Amnt]]+Purchase[[#This Row],[GST Amount]]</f>
        <v>1547829.6</v>
      </c>
      <c r="R1232" s="138" t="s">
        <v>1019</v>
      </c>
      <c r="S1232" s="41">
        <f>IF(Purchase[[#This Row],[Status]]="Cancelled",0,Purchase[[#This Row],[Qty]])</f>
        <v>20</v>
      </c>
      <c r="T1232" s="146">
        <f>IF(Purchase[[#This Row],[Status]]="Cancelled",0,Purchase[[#This Row],[Total Amount]])</f>
        <v>1547829.6</v>
      </c>
      <c r="U1232" s="146">
        <f>SUM(Purchase[Net Amount])</f>
        <v>814985438.68000126</v>
      </c>
    </row>
    <row r="1233" spans="1:21" ht="19.5" thickBot="1" x14ac:dyDescent="0.3">
      <c r="A1233" s="136" t="s">
        <v>2282</v>
      </c>
      <c r="B1233" s="137">
        <v>45718</v>
      </c>
      <c r="C1233" s="138" t="s">
        <v>567</v>
      </c>
      <c r="D1233" s="138" t="str">
        <f>VLOOKUP(Purchase[[#This Row],[Supplier ID]],Supplier[#All],2,0)</f>
        <v>National Distributors</v>
      </c>
      <c r="E1233" s="138">
        <f>VLOOKUP(Purchase[[#This Row],[Supplier ID]],Supplier[#All],3,0)</f>
        <v>9689542453</v>
      </c>
      <c r="F1233" s="138" t="str">
        <f>VLOOKUP(Purchase[[#This Row],[Supplier ID]],Supplier[#All],4,0)</f>
        <v>Korba</v>
      </c>
      <c r="G1233" s="138" t="str">
        <f>VLOOKUP(Purchase[[#This Row],[Supplier ID]],Supplier[#All],5,0)</f>
        <v>CG</v>
      </c>
      <c r="H1233" s="138" t="str">
        <f>VLOOKUP(Purchase[[#This Row],[Supplier ID]],Supplier[#All],6,0)</f>
        <v>GST2154521T015</v>
      </c>
      <c r="I1233" s="138" t="s">
        <v>367</v>
      </c>
      <c r="J1233" s="139">
        <v>22</v>
      </c>
      <c r="K1233" s="143">
        <f>VLOOKUP(Purchase[[#This Row],[Product ID]],Product[#All],6,0)</f>
        <v>4278</v>
      </c>
      <c r="L1233" s="143">
        <f>Purchase[[#This Row],[Purchase Rate]]*Purchase[[#This Row],[Qty]]</f>
        <v>94116</v>
      </c>
      <c r="M1233" s="140">
        <v>0</v>
      </c>
      <c r="N1233" s="143">
        <v>0</v>
      </c>
      <c r="O1233" s="140">
        <v>0.18</v>
      </c>
      <c r="P1233" s="145">
        <f>(Purchase[[#This Row],[Gross Amount]]-Purchase[[#This Row],[Disct %]])*Purchase[[#This Row],[GST %]]</f>
        <v>16940.88</v>
      </c>
      <c r="Q1233" s="145">
        <f>Purchase[[#This Row],[Gross Amount]]-Purchase[[#This Row],[Disct Amnt]]+Purchase[[#This Row],[GST Amount]]</f>
        <v>111056.88</v>
      </c>
      <c r="R1233" s="138" t="s">
        <v>1040</v>
      </c>
      <c r="S1233" s="41">
        <f>IF(Purchase[[#This Row],[Status]]="Cancelled",0,Purchase[[#This Row],[Qty]])</f>
        <v>0</v>
      </c>
      <c r="T1233" s="146">
        <f>IF(Purchase[[#This Row],[Status]]="Cancelled",0,Purchase[[#This Row],[Total Amount]])</f>
        <v>0</v>
      </c>
      <c r="U1233" s="146">
        <f>SUM(Purchase[Net Amount])</f>
        <v>814985438.68000126</v>
      </c>
    </row>
    <row r="1234" spans="1:21" ht="19.5" thickBot="1" x14ac:dyDescent="0.3">
      <c r="A1234" s="136" t="s">
        <v>2283</v>
      </c>
      <c r="B1234" s="137">
        <v>45718</v>
      </c>
      <c r="C1234" s="138" t="s">
        <v>575</v>
      </c>
      <c r="D1234" s="138" t="str">
        <f>VLOOKUP(Purchase[[#This Row],[Supplier ID]],Supplier[#All],2,0)</f>
        <v>Global Computers</v>
      </c>
      <c r="E1234" s="138">
        <f>VLOOKUP(Purchase[[#This Row],[Supplier ID]],Supplier[#All],3,0)</f>
        <v>9689542459</v>
      </c>
      <c r="F1234" s="138" t="str">
        <f>VLOOKUP(Purchase[[#This Row],[Supplier ID]],Supplier[#All],4,0)</f>
        <v>Indore</v>
      </c>
      <c r="G1234" s="138" t="str">
        <f>VLOOKUP(Purchase[[#This Row],[Supplier ID]],Supplier[#All],5,0)</f>
        <v>MP</v>
      </c>
      <c r="H1234" s="138" t="str">
        <f>VLOOKUP(Purchase[[#This Row],[Supplier ID]],Supplier[#All],6,0)</f>
        <v>GST2154521T021</v>
      </c>
      <c r="I1234" s="138" t="s">
        <v>155</v>
      </c>
      <c r="J1234" s="139">
        <v>13</v>
      </c>
      <c r="K1234" s="143">
        <f>VLOOKUP(Purchase[[#This Row],[Product ID]],Product[#All],6,0)</f>
        <v>2996</v>
      </c>
      <c r="L1234" s="143">
        <f>Purchase[[#This Row],[Purchase Rate]]*Purchase[[#This Row],[Qty]]</f>
        <v>38948</v>
      </c>
      <c r="M1234" s="140">
        <v>0</v>
      </c>
      <c r="N1234" s="143">
        <v>0</v>
      </c>
      <c r="O1234" s="140">
        <v>0.18</v>
      </c>
      <c r="P1234" s="145">
        <f>(Purchase[[#This Row],[Gross Amount]]-Purchase[[#This Row],[Disct %]])*Purchase[[#This Row],[GST %]]</f>
        <v>7010.6399999999994</v>
      </c>
      <c r="Q1234" s="145">
        <f>Purchase[[#This Row],[Gross Amount]]-Purchase[[#This Row],[Disct Amnt]]+Purchase[[#This Row],[GST Amount]]</f>
        <v>45958.64</v>
      </c>
      <c r="R1234" s="138" t="s">
        <v>1019</v>
      </c>
      <c r="S1234" s="41">
        <f>IF(Purchase[[#This Row],[Status]]="Cancelled",0,Purchase[[#This Row],[Qty]])</f>
        <v>13</v>
      </c>
      <c r="T1234" s="146">
        <f>IF(Purchase[[#This Row],[Status]]="Cancelled",0,Purchase[[#This Row],[Total Amount]])</f>
        <v>45958.64</v>
      </c>
      <c r="U1234" s="146">
        <f>SUM(Purchase[Net Amount])</f>
        <v>814985438.68000126</v>
      </c>
    </row>
    <row r="1235" spans="1:21" ht="19.5" thickBot="1" x14ac:dyDescent="0.3">
      <c r="A1235" s="136" t="s">
        <v>2284</v>
      </c>
      <c r="B1235" s="137">
        <v>45718</v>
      </c>
      <c r="C1235" s="138" t="s">
        <v>598</v>
      </c>
      <c r="D1235" s="138" t="str">
        <f>VLOOKUP(Purchase[[#This Row],[Supplier ID]],Supplier[#All],2,0)</f>
        <v>National Distributors</v>
      </c>
      <c r="E1235" s="138">
        <f>VLOOKUP(Purchase[[#This Row],[Supplier ID]],Supplier[#All],3,0)</f>
        <v>9689542489</v>
      </c>
      <c r="F1235" s="138" t="str">
        <f>VLOOKUP(Purchase[[#This Row],[Supplier ID]],Supplier[#All],4,0)</f>
        <v>Indore</v>
      </c>
      <c r="G1235" s="138" t="str">
        <f>VLOOKUP(Purchase[[#This Row],[Supplier ID]],Supplier[#All],5,0)</f>
        <v>MP</v>
      </c>
      <c r="H1235" s="138" t="str">
        <f>VLOOKUP(Purchase[[#This Row],[Supplier ID]],Supplier[#All],6,0)</f>
        <v>GST2154521T043</v>
      </c>
      <c r="I1235" s="138" t="s">
        <v>403</v>
      </c>
      <c r="J1235" s="139">
        <v>24</v>
      </c>
      <c r="K1235" s="143">
        <f>VLOOKUP(Purchase[[#This Row],[Product ID]],Product[#All],6,0)</f>
        <v>13869</v>
      </c>
      <c r="L1235" s="143">
        <f>Purchase[[#This Row],[Purchase Rate]]*Purchase[[#This Row],[Qty]]</f>
        <v>332856</v>
      </c>
      <c r="M1235" s="140">
        <v>0</v>
      </c>
      <c r="N1235" s="143">
        <v>0</v>
      </c>
      <c r="O1235" s="140">
        <v>0.18</v>
      </c>
      <c r="P1235" s="145">
        <f>(Purchase[[#This Row],[Gross Amount]]-Purchase[[#This Row],[Disct %]])*Purchase[[#This Row],[GST %]]</f>
        <v>59914.079999999994</v>
      </c>
      <c r="Q1235" s="145">
        <f>Purchase[[#This Row],[Gross Amount]]-Purchase[[#This Row],[Disct Amnt]]+Purchase[[#This Row],[GST Amount]]</f>
        <v>392770.08</v>
      </c>
      <c r="R1235" s="138" t="s">
        <v>1019</v>
      </c>
      <c r="S1235" s="41">
        <f>IF(Purchase[[#This Row],[Status]]="Cancelled",0,Purchase[[#This Row],[Qty]])</f>
        <v>24</v>
      </c>
      <c r="T1235" s="146">
        <f>IF(Purchase[[#This Row],[Status]]="Cancelled",0,Purchase[[#This Row],[Total Amount]])</f>
        <v>392770.08</v>
      </c>
      <c r="U1235" s="146">
        <f>SUM(Purchase[Net Amount])</f>
        <v>814985438.68000126</v>
      </c>
    </row>
    <row r="1236" spans="1:21" ht="19.5" thickBot="1" x14ac:dyDescent="0.3">
      <c r="A1236" s="136" t="s">
        <v>2285</v>
      </c>
      <c r="B1236" s="137">
        <v>45718</v>
      </c>
      <c r="C1236" s="138" t="s">
        <v>590</v>
      </c>
      <c r="D1236" s="138" t="str">
        <f>VLOOKUP(Purchase[[#This Row],[Supplier ID]],Supplier[#All],2,0)</f>
        <v>Star Distributors</v>
      </c>
      <c r="E1236" s="138">
        <f>VLOOKUP(Purchase[[#This Row],[Supplier ID]],Supplier[#All],3,0)</f>
        <v>9689542474</v>
      </c>
      <c r="F1236" s="138" t="str">
        <f>VLOOKUP(Purchase[[#This Row],[Supplier ID]],Supplier[#All],4,0)</f>
        <v>Kanpur</v>
      </c>
      <c r="G1236" s="138" t="str">
        <f>VLOOKUP(Purchase[[#This Row],[Supplier ID]],Supplier[#All],5,0)</f>
        <v>UP</v>
      </c>
      <c r="H1236" s="138" t="str">
        <f>VLOOKUP(Purchase[[#This Row],[Supplier ID]],Supplier[#All],6,0)</f>
        <v>GST2154521T036</v>
      </c>
      <c r="I1236" s="138" t="s">
        <v>316</v>
      </c>
      <c r="J1236" s="139">
        <v>5</v>
      </c>
      <c r="K1236" s="143">
        <f>VLOOKUP(Purchase[[#This Row],[Product ID]],Product[#All],6,0)</f>
        <v>3078</v>
      </c>
      <c r="L1236" s="143">
        <f>Purchase[[#This Row],[Purchase Rate]]*Purchase[[#This Row],[Qty]]</f>
        <v>15390</v>
      </c>
      <c r="M1236" s="140">
        <v>0</v>
      </c>
      <c r="N1236" s="143">
        <v>0</v>
      </c>
      <c r="O1236" s="140">
        <v>0.18</v>
      </c>
      <c r="P1236" s="145">
        <f>(Purchase[[#This Row],[Gross Amount]]-Purchase[[#This Row],[Disct %]])*Purchase[[#This Row],[GST %]]</f>
        <v>2770.2</v>
      </c>
      <c r="Q1236" s="145">
        <f>Purchase[[#This Row],[Gross Amount]]-Purchase[[#This Row],[Disct Amnt]]+Purchase[[#This Row],[GST Amount]]</f>
        <v>18160.2</v>
      </c>
      <c r="R1236" s="138" t="s">
        <v>1040</v>
      </c>
      <c r="S1236" s="41">
        <f>IF(Purchase[[#This Row],[Status]]="Cancelled",0,Purchase[[#This Row],[Qty]])</f>
        <v>0</v>
      </c>
      <c r="T1236" s="146">
        <f>IF(Purchase[[#This Row],[Status]]="Cancelled",0,Purchase[[#This Row],[Total Amount]])</f>
        <v>0</v>
      </c>
      <c r="U1236" s="146">
        <f>SUM(Purchase[Net Amount])</f>
        <v>814985438.68000126</v>
      </c>
    </row>
    <row r="1237" spans="1:21" ht="19.5" thickBot="1" x14ac:dyDescent="0.3">
      <c r="A1237" s="136" t="s">
        <v>2286</v>
      </c>
      <c r="B1237" s="137">
        <v>45718</v>
      </c>
      <c r="C1237" s="138" t="s">
        <v>565</v>
      </c>
      <c r="D1237" s="138" t="str">
        <f>VLOOKUP(Purchase[[#This Row],[Supplier ID]],Supplier[#All],2,0)</f>
        <v>Global Suppliers</v>
      </c>
      <c r="E1237" s="138">
        <f>VLOOKUP(Purchase[[#This Row],[Supplier ID]],Supplier[#All],3,0)</f>
        <v>9689542459</v>
      </c>
      <c r="F1237" s="138" t="str">
        <f>VLOOKUP(Purchase[[#This Row],[Supplier ID]],Supplier[#All],4,0)</f>
        <v>Indore</v>
      </c>
      <c r="G1237" s="138" t="str">
        <f>VLOOKUP(Purchase[[#This Row],[Supplier ID]],Supplier[#All],5,0)</f>
        <v>MP</v>
      </c>
      <c r="H1237" s="138" t="str">
        <f>VLOOKUP(Purchase[[#This Row],[Supplier ID]],Supplier[#All],6,0)</f>
        <v>GST2154521T013</v>
      </c>
      <c r="I1237" s="138" t="s">
        <v>369</v>
      </c>
      <c r="J1237" s="139">
        <v>26</v>
      </c>
      <c r="K1237" s="143">
        <f>VLOOKUP(Purchase[[#This Row],[Product ID]],Product[#All],6,0)</f>
        <v>1684</v>
      </c>
      <c r="L1237" s="143">
        <f>Purchase[[#This Row],[Purchase Rate]]*Purchase[[#This Row],[Qty]]</f>
        <v>43784</v>
      </c>
      <c r="M1237" s="140">
        <v>0</v>
      </c>
      <c r="N1237" s="143">
        <v>0</v>
      </c>
      <c r="O1237" s="140">
        <v>0.18</v>
      </c>
      <c r="P1237" s="145">
        <f>(Purchase[[#This Row],[Gross Amount]]-Purchase[[#This Row],[Disct %]])*Purchase[[#This Row],[GST %]]</f>
        <v>7881.12</v>
      </c>
      <c r="Q1237" s="145">
        <f>Purchase[[#This Row],[Gross Amount]]-Purchase[[#This Row],[Disct Amnt]]+Purchase[[#This Row],[GST Amount]]</f>
        <v>51665.120000000003</v>
      </c>
      <c r="R1237" s="138" t="s">
        <v>1019</v>
      </c>
      <c r="S1237" s="41">
        <f>IF(Purchase[[#This Row],[Status]]="Cancelled",0,Purchase[[#This Row],[Qty]])</f>
        <v>26</v>
      </c>
      <c r="T1237" s="146">
        <f>IF(Purchase[[#This Row],[Status]]="Cancelled",0,Purchase[[#This Row],[Total Amount]])</f>
        <v>51665.120000000003</v>
      </c>
      <c r="U1237" s="146">
        <f>SUM(Purchase[Net Amount])</f>
        <v>814985438.68000126</v>
      </c>
    </row>
    <row r="1238" spans="1:21" ht="19.5" thickBot="1" x14ac:dyDescent="0.3">
      <c r="A1238" s="136" t="s">
        <v>2287</v>
      </c>
      <c r="B1238" s="137">
        <v>45718</v>
      </c>
      <c r="C1238" s="138" t="s">
        <v>616</v>
      </c>
      <c r="D1238" s="138" t="str">
        <f>VLOOKUP(Purchase[[#This Row],[Supplier ID]],Supplier[#All],2,0)</f>
        <v>Global Suppliers</v>
      </c>
      <c r="E1238" s="138">
        <f>VLOOKUP(Purchase[[#This Row],[Supplier ID]],Supplier[#All],3,0)</f>
        <v>9689542499</v>
      </c>
      <c r="F1238" s="138" t="str">
        <f>VLOOKUP(Purchase[[#This Row],[Supplier ID]],Supplier[#All],4,0)</f>
        <v>Kanpur</v>
      </c>
      <c r="G1238" s="138" t="str">
        <f>VLOOKUP(Purchase[[#This Row],[Supplier ID]],Supplier[#All],5,0)</f>
        <v>UP</v>
      </c>
      <c r="H1238" s="138" t="str">
        <f>VLOOKUP(Purchase[[#This Row],[Supplier ID]],Supplier[#All],6,0)</f>
        <v>GST2154521T061</v>
      </c>
      <c r="I1238" s="138" t="s">
        <v>359</v>
      </c>
      <c r="J1238" s="139">
        <v>9</v>
      </c>
      <c r="K1238" s="143">
        <f>VLOOKUP(Purchase[[#This Row],[Product ID]],Product[#All],6,0)</f>
        <v>922</v>
      </c>
      <c r="L1238" s="143">
        <f>Purchase[[#This Row],[Purchase Rate]]*Purchase[[#This Row],[Qty]]</f>
        <v>8298</v>
      </c>
      <c r="M1238" s="140">
        <v>0</v>
      </c>
      <c r="N1238" s="143">
        <v>0</v>
      </c>
      <c r="O1238" s="140">
        <v>0.18</v>
      </c>
      <c r="P1238" s="145">
        <f>(Purchase[[#This Row],[Gross Amount]]-Purchase[[#This Row],[Disct %]])*Purchase[[#This Row],[GST %]]</f>
        <v>1493.6399999999999</v>
      </c>
      <c r="Q1238" s="145">
        <f>Purchase[[#This Row],[Gross Amount]]-Purchase[[#This Row],[Disct Amnt]]+Purchase[[#This Row],[GST Amount]]</f>
        <v>9791.64</v>
      </c>
      <c r="R1238" s="138" t="s">
        <v>1019</v>
      </c>
      <c r="S1238" s="41">
        <f>IF(Purchase[[#This Row],[Status]]="Cancelled",0,Purchase[[#This Row],[Qty]])</f>
        <v>9</v>
      </c>
      <c r="T1238" s="146">
        <f>IF(Purchase[[#This Row],[Status]]="Cancelled",0,Purchase[[#This Row],[Total Amount]])</f>
        <v>9791.64</v>
      </c>
      <c r="U1238" s="146">
        <f>SUM(Purchase[Net Amount])</f>
        <v>814985438.68000126</v>
      </c>
    </row>
    <row r="1239" spans="1:21" ht="19.5" thickBot="1" x14ac:dyDescent="0.3">
      <c r="A1239" s="136" t="s">
        <v>2288</v>
      </c>
      <c r="B1239" s="137">
        <v>45718</v>
      </c>
      <c r="C1239" s="138" t="s">
        <v>580</v>
      </c>
      <c r="D1239" s="138" t="str">
        <f>VLOOKUP(Purchase[[#This Row],[Supplier ID]],Supplier[#All],2,0)</f>
        <v>Star Distributors</v>
      </c>
      <c r="E1239" s="138">
        <f>VLOOKUP(Purchase[[#This Row],[Supplier ID]],Supplier[#All],3,0)</f>
        <v>9689542464</v>
      </c>
      <c r="F1239" s="138" t="str">
        <f>VLOOKUP(Purchase[[#This Row],[Supplier ID]],Supplier[#All],4,0)</f>
        <v>Indore</v>
      </c>
      <c r="G1239" s="138" t="str">
        <f>VLOOKUP(Purchase[[#This Row],[Supplier ID]],Supplier[#All],5,0)</f>
        <v>MP</v>
      </c>
      <c r="H1239" s="138" t="str">
        <f>VLOOKUP(Purchase[[#This Row],[Supplier ID]],Supplier[#All],6,0)</f>
        <v>GST2154521T026</v>
      </c>
      <c r="I1239" s="138" t="s">
        <v>376</v>
      </c>
      <c r="J1239" s="139">
        <v>37</v>
      </c>
      <c r="K1239" s="143">
        <f>VLOOKUP(Purchase[[#This Row],[Product ID]],Product[#All],6,0)</f>
        <v>29934</v>
      </c>
      <c r="L1239" s="143">
        <f>Purchase[[#This Row],[Purchase Rate]]*Purchase[[#This Row],[Qty]]</f>
        <v>1107558</v>
      </c>
      <c r="M1239" s="140">
        <v>0</v>
      </c>
      <c r="N1239" s="143">
        <v>0</v>
      </c>
      <c r="O1239" s="140">
        <v>0.18</v>
      </c>
      <c r="P1239" s="145">
        <f>(Purchase[[#This Row],[Gross Amount]]-Purchase[[#This Row],[Disct %]])*Purchase[[#This Row],[GST %]]</f>
        <v>199360.44</v>
      </c>
      <c r="Q1239" s="145">
        <f>Purchase[[#This Row],[Gross Amount]]-Purchase[[#This Row],[Disct Amnt]]+Purchase[[#This Row],[GST Amount]]</f>
        <v>1306918.44</v>
      </c>
      <c r="R1239" s="138" t="s">
        <v>1019</v>
      </c>
      <c r="S1239" s="41">
        <f>IF(Purchase[[#This Row],[Status]]="Cancelled",0,Purchase[[#This Row],[Qty]])</f>
        <v>37</v>
      </c>
      <c r="T1239" s="146">
        <f>IF(Purchase[[#This Row],[Status]]="Cancelled",0,Purchase[[#This Row],[Total Amount]])</f>
        <v>1306918.44</v>
      </c>
      <c r="U1239" s="146">
        <f>SUM(Purchase[Net Amount])</f>
        <v>814985438.68000126</v>
      </c>
    </row>
    <row r="1240" spans="1:21" ht="19.5" thickBot="1" x14ac:dyDescent="0.3">
      <c r="A1240" s="136" t="s">
        <v>2289</v>
      </c>
      <c r="B1240" s="137">
        <v>45718</v>
      </c>
      <c r="C1240" s="138" t="s">
        <v>609</v>
      </c>
      <c r="D1240" s="138" t="str">
        <f>VLOOKUP(Purchase[[#This Row],[Supplier ID]],Supplier[#All],2,0)</f>
        <v>Star Suppliers</v>
      </c>
      <c r="E1240" s="138">
        <f>VLOOKUP(Purchase[[#This Row],[Supplier ID]],Supplier[#All],3,0)</f>
        <v>9689542492</v>
      </c>
      <c r="F1240" s="138" t="str">
        <f>VLOOKUP(Purchase[[#This Row],[Supplier ID]],Supplier[#All],4,0)</f>
        <v>Kanpur</v>
      </c>
      <c r="G1240" s="138" t="str">
        <f>VLOOKUP(Purchase[[#This Row],[Supplier ID]],Supplier[#All],5,0)</f>
        <v>UP</v>
      </c>
      <c r="H1240" s="138" t="str">
        <f>VLOOKUP(Purchase[[#This Row],[Supplier ID]],Supplier[#All],6,0)</f>
        <v>GST2154521T054</v>
      </c>
      <c r="I1240" s="138" t="s">
        <v>339</v>
      </c>
      <c r="J1240" s="139">
        <v>39</v>
      </c>
      <c r="K1240" s="143">
        <f>VLOOKUP(Purchase[[#This Row],[Product ID]],Product[#All],6,0)</f>
        <v>7087</v>
      </c>
      <c r="L1240" s="143">
        <f>Purchase[[#This Row],[Purchase Rate]]*Purchase[[#This Row],[Qty]]</f>
        <v>276393</v>
      </c>
      <c r="M1240" s="140">
        <v>0</v>
      </c>
      <c r="N1240" s="143">
        <v>0</v>
      </c>
      <c r="O1240" s="140">
        <v>0.18</v>
      </c>
      <c r="P1240" s="145">
        <f>(Purchase[[#This Row],[Gross Amount]]-Purchase[[#This Row],[Disct %]])*Purchase[[#This Row],[GST %]]</f>
        <v>49750.74</v>
      </c>
      <c r="Q1240" s="145">
        <f>Purchase[[#This Row],[Gross Amount]]-Purchase[[#This Row],[Disct Amnt]]+Purchase[[#This Row],[GST Amount]]</f>
        <v>326143.74</v>
      </c>
      <c r="R1240" s="138" t="s">
        <v>1019</v>
      </c>
      <c r="S1240" s="41">
        <f>IF(Purchase[[#This Row],[Status]]="Cancelled",0,Purchase[[#This Row],[Qty]])</f>
        <v>39</v>
      </c>
      <c r="T1240" s="146">
        <f>IF(Purchase[[#This Row],[Status]]="Cancelled",0,Purchase[[#This Row],[Total Amount]])</f>
        <v>326143.74</v>
      </c>
      <c r="U1240" s="146">
        <f>SUM(Purchase[Net Amount])</f>
        <v>814985438.68000126</v>
      </c>
    </row>
    <row r="1241" spans="1:21" ht="19.5" thickBot="1" x14ac:dyDescent="0.3">
      <c r="A1241" s="136" t="s">
        <v>2290</v>
      </c>
      <c r="B1241" s="137">
        <v>45718</v>
      </c>
      <c r="C1241" s="138" t="s">
        <v>591</v>
      </c>
      <c r="D1241" s="138" t="str">
        <f>VLOOKUP(Purchase[[#This Row],[Supplier ID]],Supplier[#All],2,0)</f>
        <v>Shree Computers</v>
      </c>
      <c r="E1241" s="138">
        <f>VLOOKUP(Purchase[[#This Row],[Supplier ID]],Supplier[#All],3,0)</f>
        <v>9689542475</v>
      </c>
      <c r="F1241" s="138" t="str">
        <f>VLOOKUP(Purchase[[#This Row],[Supplier ID]],Supplier[#All],4,0)</f>
        <v>Indore</v>
      </c>
      <c r="G1241" s="138" t="str">
        <f>VLOOKUP(Purchase[[#This Row],[Supplier ID]],Supplier[#All],5,0)</f>
        <v>MP</v>
      </c>
      <c r="H1241" s="138" t="str">
        <f>VLOOKUP(Purchase[[#This Row],[Supplier ID]],Supplier[#All],6,0)</f>
        <v>GST2154521T037</v>
      </c>
      <c r="I1241" s="138" t="s">
        <v>260</v>
      </c>
      <c r="J1241" s="139">
        <v>24</v>
      </c>
      <c r="K1241" s="143">
        <f>VLOOKUP(Purchase[[#This Row],[Product ID]],Product[#All],6,0)</f>
        <v>4751</v>
      </c>
      <c r="L1241" s="143">
        <f>Purchase[[#This Row],[Purchase Rate]]*Purchase[[#This Row],[Qty]]</f>
        <v>114024</v>
      </c>
      <c r="M1241" s="140">
        <v>0</v>
      </c>
      <c r="N1241" s="143">
        <v>0</v>
      </c>
      <c r="O1241" s="140">
        <v>0.18</v>
      </c>
      <c r="P1241" s="145">
        <f>(Purchase[[#This Row],[Gross Amount]]-Purchase[[#This Row],[Disct %]])*Purchase[[#This Row],[GST %]]</f>
        <v>20524.32</v>
      </c>
      <c r="Q1241" s="145">
        <f>Purchase[[#This Row],[Gross Amount]]-Purchase[[#This Row],[Disct Amnt]]+Purchase[[#This Row],[GST Amount]]</f>
        <v>134548.32</v>
      </c>
      <c r="R1241" s="138" t="s">
        <v>1019</v>
      </c>
      <c r="S1241" s="41">
        <f>IF(Purchase[[#This Row],[Status]]="Cancelled",0,Purchase[[#This Row],[Qty]])</f>
        <v>24</v>
      </c>
      <c r="T1241" s="146">
        <f>IF(Purchase[[#This Row],[Status]]="Cancelled",0,Purchase[[#This Row],[Total Amount]])</f>
        <v>134548.32</v>
      </c>
      <c r="U1241" s="146">
        <f>SUM(Purchase[Net Amount])</f>
        <v>814985438.68000126</v>
      </c>
    </row>
    <row r="1242" spans="1:21" ht="19.5" thickBot="1" x14ac:dyDescent="0.3">
      <c r="A1242" s="136" t="s">
        <v>2291</v>
      </c>
      <c r="B1242" s="137">
        <v>45718</v>
      </c>
      <c r="C1242" s="138" t="s">
        <v>606</v>
      </c>
      <c r="D1242" s="138" t="str">
        <f>VLOOKUP(Purchase[[#This Row],[Supplier ID]],Supplier[#All],2,0)</f>
        <v>Prime Traders</v>
      </c>
      <c r="E1242" s="138">
        <f>VLOOKUP(Purchase[[#This Row],[Supplier ID]],Supplier[#All],3,0)</f>
        <v>9689542489</v>
      </c>
      <c r="F1242" s="138" t="str">
        <f>VLOOKUP(Purchase[[#This Row],[Supplier ID]],Supplier[#All],4,0)</f>
        <v>Indore</v>
      </c>
      <c r="G1242" s="138" t="str">
        <f>VLOOKUP(Purchase[[#This Row],[Supplier ID]],Supplier[#All],5,0)</f>
        <v>MP</v>
      </c>
      <c r="H1242" s="138" t="str">
        <f>VLOOKUP(Purchase[[#This Row],[Supplier ID]],Supplier[#All],6,0)</f>
        <v>GST2154521T051</v>
      </c>
      <c r="I1242" s="138" t="s">
        <v>35</v>
      </c>
      <c r="J1242" s="139">
        <v>19</v>
      </c>
      <c r="K1242" s="143">
        <f>VLOOKUP(Purchase[[#This Row],[Product ID]],Product[#All],6,0)</f>
        <v>2905</v>
      </c>
      <c r="L1242" s="143">
        <f>Purchase[[#This Row],[Purchase Rate]]*Purchase[[#This Row],[Qty]]</f>
        <v>55195</v>
      </c>
      <c r="M1242" s="140">
        <v>0</v>
      </c>
      <c r="N1242" s="143">
        <v>0</v>
      </c>
      <c r="O1242" s="140">
        <v>0.18</v>
      </c>
      <c r="P1242" s="145">
        <f>(Purchase[[#This Row],[Gross Amount]]-Purchase[[#This Row],[Disct %]])*Purchase[[#This Row],[GST %]]</f>
        <v>9935.1</v>
      </c>
      <c r="Q1242" s="145">
        <f>Purchase[[#This Row],[Gross Amount]]-Purchase[[#This Row],[Disct Amnt]]+Purchase[[#This Row],[GST Amount]]</f>
        <v>65130.1</v>
      </c>
      <c r="R1242" s="138" t="s">
        <v>1019</v>
      </c>
      <c r="S1242" s="41">
        <f>IF(Purchase[[#This Row],[Status]]="Cancelled",0,Purchase[[#This Row],[Qty]])</f>
        <v>19</v>
      </c>
      <c r="T1242" s="146">
        <f>IF(Purchase[[#This Row],[Status]]="Cancelled",0,Purchase[[#This Row],[Total Amount]])</f>
        <v>65130.1</v>
      </c>
      <c r="U1242" s="146">
        <f>SUM(Purchase[Net Amount])</f>
        <v>814985438.68000126</v>
      </c>
    </row>
    <row r="1243" spans="1:21" ht="19.5" thickBot="1" x14ac:dyDescent="0.3">
      <c r="A1243" s="136" t="s">
        <v>2292</v>
      </c>
      <c r="B1243" s="137">
        <v>45718</v>
      </c>
      <c r="C1243" s="138" t="s">
        <v>581</v>
      </c>
      <c r="D1243" s="138" t="str">
        <f>VLOOKUP(Purchase[[#This Row],[Supplier ID]],Supplier[#All],2,0)</f>
        <v>Prime Electronics</v>
      </c>
      <c r="E1243" s="138">
        <f>VLOOKUP(Purchase[[#This Row],[Supplier ID]],Supplier[#All],3,0)</f>
        <v>9689542465</v>
      </c>
      <c r="F1243" s="138" t="str">
        <f>VLOOKUP(Purchase[[#This Row],[Supplier ID]],Supplier[#All],4,0)</f>
        <v>Korba</v>
      </c>
      <c r="G1243" s="138" t="str">
        <f>VLOOKUP(Purchase[[#This Row],[Supplier ID]],Supplier[#All],5,0)</f>
        <v>CG</v>
      </c>
      <c r="H1243" s="138" t="str">
        <f>VLOOKUP(Purchase[[#This Row],[Supplier ID]],Supplier[#All],6,0)</f>
        <v>GST2154521T027</v>
      </c>
      <c r="I1243" s="138" t="s">
        <v>470</v>
      </c>
      <c r="J1243" s="139">
        <v>19</v>
      </c>
      <c r="K1243" s="143">
        <f>VLOOKUP(Purchase[[#This Row],[Product ID]],Product[#All],6,0)</f>
        <v>30694</v>
      </c>
      <c r="L1243" s="143">
        <f>Purchase[[#This Row],[Purchase Rate]]*Purchase[[#This Row],[Qty]]</f>
        <v>583186</v>
      </c>
      <c r="M1243" s="140">
        <v>0</v>
      </c>
      <c r="N1243" s="143">
        <v>0</v>
      </c>
      <c r="O1243" s="140">
        <v>0.18</v>
      </c>
      <c r="P1243" s="145">
        <f>(Purchase[[#This Row],[Gross Amount]]-Purchase[[#This Row],[Disct %]])*Purchase[[#This Row],[GST %]]</f>
        <v>104973.48</v>
      </c>
      <c r="Q1243" s="145">
        <f>Purchase[[#This Row],[Gross Amount]]-Purchase[[#This Row],[Disct Amnt]]+Purchase[[#This Row],[GST Amount]]</f>
        <v>688159.48</v>
      </c>
      <c r="R1243" s="138" t="s">
        <v>1019</v>
      </c>
      <c r="S1243" s="41">
        <f>IF(Purchase[[#This Row],[Status]]="Cancelled",0,Purchase[[#This Row],[Qty]])</f>
        <v>19</v>
      </c>
      <c r="T1243" s="146">
        <f>IF(Purchase[[#This Row],[Status]]="Cancelled",0,Purchase[[#This Row],[Total Amount]])</f>
        <v>688159.48</v>
      </c>
      <c r="U1243" s="146">
        <f>SUM(Purchase[Net Amount])</f>
        <v>814985438.68000126</v>
      </c>
    </row>
    <row r="1244" spans="1:21" ht="19.5" thickBot="1" x14ac:dyDescent="0.3">
      <c r="A1244" s="136" t="s">
        <v>2293</v>
      </c>
      <c r="B1244" s="137">
        <v>45719</v>
      </c>
      <c r="C1244" s="138" t="s">
        <v>594</v>
      </c>
      <c r="D1244" s="138" t="str">
        <f>VLOOKUP(Purchase[[#This Row],[Supplier ID]],Supplier[#All],2,0)</f>
        <v>Shree Suppliers</v>
      </c>
      <c r="E1244" s="138">
        <f>VLOOKUP(Purchase[[#This Row],[Supplier ID]],Supplier[#All],3,0)</f>
        <v>9689542477</v>
      </c>
      <c r="F1244" s="138" t="str">
        <f>VLOOKUP(Purchase[[#This Row],[Supplier ID]],Supplier[#All],4,0)</f>
        <v>Indore</v>
      </c>
      <c r="G1244" s="138" t="str">
        <f>VLOOKUP(Purchase[[#This Row],[Supplier ID]],Supplier[#All],5,0)</f>
        <v>MP</v>
      </c>
      <c r="H1244" s="138" t="str">
        <f>VLOOKUP(Purchase[[#This Row],[Supplier ID]],Supplier[#All],6,0)</f>
        <v>GST2154521T039</v>
      </c>
      <c r="I1244" s="138" t="s">
        <v>241</v>
      </c>
      <c r="J1244" s="139">
        <v>3</v>
      </c>
      <c r="K1244" s="143">
        <f>VLOOKUP(Purchase[[#This Row],[Product ID]],Product[#All],6,0)</f>
        <v>537</v>
      </c>
      <c r="L1244" s="143">
        <f>Purchase[[#This Row],[Purchase Rate]]*Purchase[[#This Row],[Qty]]</f>
        <v>1611</v>
      </c>
      <c r="M1244" s="140">
        <v>0</v>
      </c>
      <c r="N1244" s="143">
        <v>0</v>
      </c>
      <c r="O1244" s="140">
        <v>0.18</v>
      </c>
      <c r="P1244" s="145">
        <f>(Purchase[[#This Row],[Gross Amount]]-Purchase[[#This Row],[Disct %]])*Purchase[[#This Row],[GST %]]</f>
        <v>289.97999999999996</v>
      </c>
      <c r="Q1244" s="145">
        <f>Purchase[[#This Row],[Gross Amount]]-Purchase[[#This Row],[Disct Amnt]]+Purchase[[#This Row],[GST Amount]]</f>
        <v>1900.98</v>
      </c>
      <c r="R1244" s="138" t="s">
        <v>1019</v>
      </c>
      <c r="S1244" s="41">
        <f>IF(Purchase[[#This Row],[Status]]="Cancelled",0,Purchase[[#This Row],[Qty]])</f>
        <v>3</v>
      </c>
      <c r="T1244" s="146">
        <f>IF(Purchase[[#This Row],[Status]]="Cancelled",0,Purchase[[#This Row],[Total Amount]])</f>
        <v>1900.98</v>
      </c>
      <c r="U1244" s="146">
        <f>SUM(Purchase[Net Amount])</f>
        <v>814985438.68000126</v>
      </c>
    </row>
    <row r="1245" spans="1:21" ht="19.5" thickBot="1" x14ac:dyDescent="0.3">
      <c r="A1245" s="136" t="s">
        <v>2294</v>
      </c>
      <c r="B1245" s="137">
        <v>45719</v>
      </c>
      <c r="C1245" s="138" t="s">
        <v>579</v>
      </c>
      <c r="D1245" s="138" t="str">
        <f>VLOOKUP(Purchase[[#This Row],[Supplier ID]],Supplier[#All],2,0)</f>
        <v>Tech Traders</v>
      </c>
      <c r="E1245" s="138">
        <f>VLOOKUP(Purchase[[#This Row],[Supplier ID]],Supplier[#All],3,0)</f>
        <v>9689542463</v>
      </c>
      <c r="F1245" s="138" t="str">
        <f>VLOOKUP(Purchase[[#This Row],[Supplier ID]],Supplier[#All],4,0)</f>
        <v>Kanpur</v>
      </c>
      <c r="G1245" s="138" t="str">
        <f>VLOOKUP(Purchase[[#This Row],[Supplier ID]],Supplier[#All],5,0)</f>
        <v>UP</v>
      </c>
      <c r="H1245" s="138" t="str">
        <f>VLOOKUP(Purchase[[#This Row],[Supplier ID]],Supplier[#All],6,0)</f>
        <v>GST2154521T025</v>
      </c>
      <c r="I1245" s="138" t="s">
        <v>269</v>
      </c>
      <c r="J1245" s="139">
        <v>11</v>
      </c>
      <c r="K1245" s="143">
        <f>VLOOKUP(Purchase[[#This Row],[Product ID]],Product[#All],6,0)</f>
        <v>8657</v>
      </c>
      <c r="L1245" s="143">
        <f>Purchase[[#This Row],[Purchase Rate]]*Purchase[[#This Row],[Qty]]</f>
        <v>95227</v>
      </c>
      <c r="M1245" s="140">
        <v>0</v>
      </c>
      <c r="N1245" s="143">
        <v>0</v>
      </c>
      <c r="O1245" s="140">
        <v>0.18</v>
      </c>
      <c r="P1245" s="145">
        <f>(Purchase[[#This Row],[Gross Amount]]-Purchase[[#This Row],[Disct %]])*Purchase[[#This Row],[GST %]]</f>
        <v>17140.86</v>
      </c>
      <c r="Q1245" s="145">
        <f>Purchase[[#This Row],[Gross Amount]]-Purchase[[#This Row],[Disct Amnt]]+Purchase[[#This Row],[GST Amount]]</f>
        <v>112367.86</v>
      </c>
      <c r="R1245" s="138" t="s">
        <v>1019</v>
      </c>
      <c r="S1245" s="41">
        <f>IF(Purchase[[#This Row],[Status]]="Cancelled",0,Purchase[[#This Row],[Qty]])</f>
        <v>11</v>
      </c>
      <c r="T1245" s="146">
        <f>IF(Purchase[[#This Row],[Status]]="Cancelled",0,Purchase[[#This Row],[Total Amount]])</f>
        <v>112367.86</v>
      </c>
      <c r="U1245" s="146">
        <f>SUM(Purchase[Net Amount])</f>
        <v>814985438.68000126</v>
      </c>
    </row>
    <row r="1246" spans="1:21" ht="19.5" thickBot="1" x14ac:dyDescent="0.3">
      <c r="A1246" s="136" t="s">
        <v>2295</v>
      </c>
      <c r="B1246" s="137">
        <v>45719</v>
      </c>
      <c r="C1246" s="138" t="s">
        <v>570</v>
      </c>
      <c r="D1246" s="138" t="str">
        <f>VLOOKUP(Purchase[[#This Row],[Supplier ID]],Supplier[#All],2,0)</f>
        <v>Prime Traders</v>
      </c>
      <c r="E1246" s="138">
        <f>VLOOKUP(Purchase[[#This Row],[Supplier ID]],Supplier[#All],3,0)</f>
        <v>9689542456</v>
      </c>
      <c r="F1246" s="138" t="str">
        <f>VLOOKUP(Purchase[[#This Row],[Supplier ID]],Supplier[#All],4,0)</f>
        <v>Indore</v>
      </c>
      <c r="G1246" s="138" t="str">
        <f>VLOOKUP(Purchase[[#This Row],[Supplier ID]],Supplier[#All],5,0)</f>
        <v>MP</v>
      </c>
      <c r="H1246" s="138" t="str">
        <f>VLOOKUP(Purchase[[#This Row],[Supplier ID]],Supplier[#All],6,0)</f>
        <v>GST2154521T018</v>
      </c>
      <c r="I1246" s="138" t="s">
        <v>243</v>
      </c>
      <c r="J1246" s="139">
        <v>38</v>
      </c>
      <c r="K1246" s="143">
        <f>VLOOKUP(Purchase[[#This Row],[Product ID]],Product[#All],6,0)</f>
        <v>2543</v>
      </c>
      <c r="L1246" s="143">
        <f>Purchase[[#This Row],[Purchase Rate]]*Purchase[[#This Row],[Qty]]</f>
        <v>96634</v>
      </c>
      <c r="M1246" s="140">
        <v>0</v>
      </c>
      <c r="N1246" s="143">
        <v>0</v>
      </c>
      <c r="O1246" s="140">
        <v>0.18</v>
      </c>
      <c r="P1246" s="145">
        <f>(Purchase[[#This Row],[Gross Amount]]-Purchase[[#This Row],[Disct %]])*Purchase[[#This Row],[GST %]]</f>
        <v>17394.12</v>
      </c>
      <c r="Q1246" s="145">
        <f>Purchase[[#This Row],[Gross Amount]]-Purchase[[#This Row],[Disct Amnt]]+Purchase[[#This Row],[GST Amount]]</f>
        <v>114028.12</v>
      </c>
      <c r="R1246" s="138" t="s">
        <v>1019</v>
      </c>
      <c r="S1246" s="41">
        <f>IF(Purchase[[#This Row],[Status]]="Cancelled",0,Purchase[[#This Row],[Qty]])</f>
        <v>38</v>
      </c>
      <c r="T1246" s="146">
        <f>IF(Purchase[[#This Row],[Status]]="Cancelled",0,Purchase[[#This Row],[Total Amount]])</f>
        <v>114028.12</v>
      </c>
      <c r="U1246" s="146">
        <f>SUM(Purchase[Net Amount])</f>
        <v>814985438.68000126</v>
      </c>
    </row>
    <row r="1247" spans="1:21" ht="19.5" thickBot="1" x14ac:dyDescent="0.3">
      <c r="A1247" s="136" t="s">
        <v>2296</v>
      </c>
      <c r="B1247" s="137">
        <v>45719</v>
      </c>
      <c r="C1247" s="138" t="s">
        <v>582</v>
      </c>
      <c r="D1247" s="138" t="str">
        <f>VLOOKUP(Purchase[[#This Row],[Supplier ID]],Supplier[#All],2,0)</f>
        <v>Tech Distributors</v>
      </c>
      <c r="E1247" s="138">
        <f>VLOOKUP(Purchase[[#This Row],[Supplier ID]],Supplier[#All],3,0)</f>
        <v>9689542466</v>
      </c>
      <c r="F1247" s="138" t="str">
        <f>VLOOKUP(Purchase[[#This Row],[Supplier ID]],Supplier[#All],4,0)</f>
        <v>Indore</v>
      </c>
      <c r="G1247" s="138" t="str">
        <f>VLOOKUP(Purchase[[#This Row],[Supplier ID]],Supplier[#All],5,0)</f>
        <v>MP</v>
      </c>
      <c r="H1247" s="138" t="str">
        <f>VLOOKUP(Purchase[[#This Row],[Supplier ID]],Supplier[#All],6,0)</f>
        <v>GST2154521T028</v>
      </c>
      <c r="I1247" s="138" t="s">
        <v>503</v>
      </c>
      <c r="J1247" s="139">
        <v>6</v>
      </c>
      <c r="K1247" s="143">
        <f>VLOOKUP(Purchase[[#This Row],[Product ID]],Product[#All],6,0)</f>
        <v>7350</v>
      </c>
      <c r="L1247" s="143">
        <f>Purchase[[#This Row],[Purchase Rate]]*Purchase[[#This Row],[Qty]]</f>
        <v>44100</v>
      </c>
      <c r="M1247" s="140">
        <v>0</v>
      </c>
      <c r="N1247" s="143">
        <v>0</v>
      </c>
      <c r="O1247" s="140">
        <v>0.18</v>
      </c>
      <c r="P1247" s="145">
        <f>(Purchase[[#This Row],[Gross Amount]]-Purchase[[#This Row],[Disct %]])*Purchase[[#This Row],[GST %]]</f>
        <v>7938</v>
      </c>
      <c r="Q1247" s="145">
        <f>Purchase[[#This Row],[Gross Amount]]-Purchase[[#This Row],[Disct Amnt]]+Purchase[[#This Row],[GST Amount]]</f>
        <v>52038</v>
      </c>
      <c r="R1247" s="138" t="s">
        <v>1019</v>
      </c>
      <c r="S1247" s="41">
        <f>IF(Purchase[[#This Row],[Status]]="Cancelled",0,Purchase[[#This Row],[Qty]])</f>
        <v>6</v>
      </c>
      <c r="T1247" s="146">
        <f>IF(Purchase[[#This Row],[Status]]="Cancelled",0,Purchase[[#This Row],[Total Amount]])</f>
        <v>52038</v>
      </c>
      <c r="U1247" s="146">
        <f>SUM(Purchase[Net Amount])</f>
        <v>814985438.68000126</v>
      </c>
    </row>
    <row r="1248" spans="1:21" ht="19.5" thickBot="1" x14ac:dyDescent="0.3">
      <c r="A1248" s="136" t="s">
        <v>2297</v>
      </c>
      <c r="B1248" s="137">
        <v>45719</v>
      </c>
      <c r="C1248" s="138" t="s">
        <v>591</v>
      </c>
      <c r="D1248" s="138" t="str">
        <f>VLOOKUP(Purchase[[#This Row],[Supplier ID]],Supplier[#All],2,0)</f>
        <v>Shree Computers</v>
      </c>
      <c r="E1248" s="138">
        <f>VLOOKUP(Purchase[[#This Row],[Supplier ID]],Supplier[#All],3,0)</f>
        <v>9689542475</v>
      </c>
      <c r="F1248" s="138" t="str">
        <f>VLOOKUP(Purchase[[#This Row],[Supplier ID]],Supplier[#All],4,0)</f>
        <v>Indore</v>
      </c>
      <c r="G1248" s="138" t="str">
        <f>VLOOKUP(Purchase[[#This Row],[Supplier ID]],Supplier[#All],5,0)</f>
        <v>MP</v>
      </c>
      <c r="H1248" s="138" t="str">
        <f>VLOOKUP(Purchase[[#This Row],[Supplier ID]],Supplier[#All],6,0)</f>
        <v>GST2154521T037</v>
      </c>
      <c r="I1248" s="138" t="s">
        <v>271</v>
      </c>
      <c r="J1248" s="139">
        <v>35</v>
      </c>
      <c r="K1248" s="143">
        <f>VLOOKUP(Purchase[[#This Row],[Product ID]],Product[#All],6,0)</f>
        <v>353</v>
      </c>
      <c r="L1248" s="143">
        <f>Purchase[[#This Row],[Purchase Rate]]*Purchase[[#This Row],[Qty]]</f>
        <v>12355</v>
      </c>
      <c r="M1248" s="140">
        <v>0</v>
      </c>
      <c r="N1248" s="143">
        <v>0</v>
      </c>
      <c r="O1248" s="140">
        <v>0.18</v>
      </c>
      <c r="P1248" s="145">
        <f>(Purchase[[#This Row],[Gross Amount]]-Purchase[[#This Row],[Disct %]])*Purchase[[#This Row],[GST %]]</f>
        <v>2223.9</v>
      </c>
      <c r="Q1248" s="145">
        <f>Purchase[[#This Row],[Gross Amount]]-Purchase[[#This Row],[Disct Amnt]]+Purchase[[#This Row],[GST Amount]]</f>
        <v>14578.9</v>
      </c>
      <c r="R1248" s="138" t="s">
        <v>1019</v>
      </c>
      <c r="S1248" s="41">
        <f>IF(Purchase[[#This Row],[Status]]="Cancelled",0,Purchase[[#This Row],[Qty]])</f>
        <v>35</v>
      </c>
      <c r="T1248" s="146">
        <f>IF(Purchase[[#This Row],[Status]]="Cancelled",0,Purchase[[#This Row],[Total Amount]])</f>
        <v>14578.9</v>
      </c>
      <c r="U1248" s="146">
        <f>SUM(Purchase[Net Amount])</f>
        <v>814985438.68000126</v>
      </c>
    </row>
    <row r="1249" spans="1:21" ht="19.5" thickBot="1" x14ac:dyDescent="0.3">
      <c r="A1249" s="136" t="s">
        <v>2298</v>
      </c>
      <c r="B1249" s="137">
        <v>45719</v>
      </c>
      <c r="C1249" s="138" t="s">
        <v>605</v>
      </c>
      <c r="D1249" s="138" t="str">
        <f>VLOOKUP(Purchase[[#This Row],[Supplier ID]],Supplier[#All],2,0)</f>
        <v>Star Traders</v>
      </c>
      <c r="E1249" s="138">
        <f>VLOOKUP(Purchase[[#This Row],[Supplier ID]],Supplier[#All],3,0)</f>
        <v>9689542488</v>
      </c>
      <c r="F1249" s="138" t="str">
        <f>VLOOKUP(Purchase[[#This Row],[Supplier ID]],Supplier[#All],4,0)</f>
        <v>Indore</v>
      </c>
      <c r="G1249" s="138" t="str">
        <f>VLOOKUP(Purchase[[#This Row],[Supplier ID]],Supplier[#All],5,0)</f>
        <v>MP</v>
      </c>
      <c r="H1249" s="138" t="str">
        <f>VLOOKUP(Purchase[[#This Row],[Supplier ID]],Supplier[#All],6,0)</f>
        <v>GST2154521T050</v>
      </c>
      <c r="I1249" s="138" t="s">
        <v>230</v>
      </c>
      <c r="J1249" s="139">
        <v>33</v>
      </c>
      <c r="K1249" s="143">
        <f>VLOOKUP(Purchase[[#This Row],[Product ID]],Product[#All],6,0)</f>
        <v>59681</v>
      </c>
      <c r="L1249" s="143">
        <f>Purchase[[#This Row],[Purchase Rate]]*Purchase[[#This Row],[Qty]]</f>
        <v>1969473</v>
      </c>
      <c r="M1249" s="140">
        <v>0</v>
      </c>
      <c r="N1249" s="143">
        <v>0</v>
      </c>
      <c r="O1249" s="140">
        <v>0.18</v>
      </c>
      <c r="P1249" s="145">
        <f>(Purchase[[#This Row],[Gross Amount]]-Purchase[[#This Row],[Disct %]])*Purchase[[#This Row],[GST %]]</f>
        <v>354505.14</v>
      </c>
      <c r="Q1249" s="145">
        <f>Purchase[[#This Row],[Gross Amount]]-Purchase[[#This Row],[Disct Amnt]]+Purchase[[#This Row],[GST Amount]]</f>
        <v>2323978.14</v>
      </c>
      <c r="R1249" s="138" t="s">
        <v>1019</v>
      </c>
      <c r="S1249" s="41">
        <f>IF(Purchase[[#This Row],[Status]]="Cancelled",0,Purchase[[#This Row],[Qty]])</f>
        <v>33</v>
      </c>
      <c r="T1249" s="146">
        <f>IF(Purchase[[#This Row],[Status]]="Cancelled",0,Purchase[[#This Row],[Total Amount]])</f>
        <v>2323978.14</v>
      </c>
      <c r="U1249" s="146">
        <f>SUM(Purchase[Net Amount])</f>
        <v>814985438.68000126</v>
      </c>
    </row>
    <row r="1250" spans="1:21" ht="19.5" thickBot="1" x14ac:dyDescent="0.3">
      <c r="A1250" s="136" t="s">
        <v>2299</v>
      </c>
      <c r="B1250" s="137">
        <v>45719</v>
      </c>
      <c r="C1250" s="138" t="s">
        <v>609</v>
      </c>
      <c r="D1250" s="138" t="str">
        <f>VLOOKUP(Purchase[[#This Row],[Supplier ID]],Supplier[#All],2,0)</f>
        <v>Star Suppliers</v>
      </c>
      <c r="E1250" s="138">
        <f>VLOOKUP(Purchase[[#This Row],[Supplier ID]],Supplier[#All],3,0)</f>
        <v>9689542492</v>
      </c>
      <c r="F1250" s="138" t="str">
        <f>VLOOKUP(Purchase[[#This Row],[Supplier ID]],Supplier[#All],4,0)</f>
        <v>Kanpur</v>
      </c>
      <c r="G1250" s="138" t="str">
        <f>VLOOKUP(Purchase[[#This Row],[Supplier ID]],Supplier[#All],5,0)</f>
        <v>UP</v>
      </c>
      <c r="H1250" s="138" t="str">
        <f>VLOOKUP(Purchase[[#This Row],[Supplier ID]],Supplier[#All],6,0)</f>
        <v>GST2154521T054</v>
      </c>
      <c r="I1250" s="138" t="s">
        <v>81</v>
      </c>
      <c r="J1250" s="139">
        <v>23</v>
      </c>
      <c r="K1250" s="143">
        <f>VLOOKUP(Purchase[[#This Row],[Product ID]],Product[#All],6,0)</f>
        <v>52393</v>
      </c>
      <c r="L1250" s="143">
        <f>Purchase[[#This Row],[Purchase Rate]]*Purchase[[#This Row],[Qty]]</f>
        <v>1205039</v>
      </c>
      <c r="M1250" s="140">
        <v>0</v>
      </c>
      <c r="N1250" s="143">
        <v>0</v>
      </c>
      <c r="O1250" s="140">
        <v>0.18</v>
      </c>
      <c r="P1250" s="145">
        <f>(Purchase[[#This Row],[Gross Amount]]-Purchase[[#This Row],[Disct %]])*Purchase[[#This Row],[GST %]]</f>
        <v>216907.02</v>
      </c>
      <c r="Q1250" s="145">
        <f>Purchase[[#This Row],[Gross Amount]]-Purchase[[#This Row],[Disct Amnt]]+Purchase[[#This Row],[GST Amount]]</f>
        <v>1421946.02</v>
      </c>
      <c r="R1250" s="138" t="s">
        <v>1019</v>
      </c>
      <c r="S1250" s="41">
        <f>IF(Purchase[[#This Row],[Status]]="Cancelled",0,Purchase[[#This Row],[Qty]])</f>
        <v>23</v>
      </c>
      <c r="T1250" s="146">
        <f>IF(Purchase[[#This Row],[Status]]="Cancelled",0,Purchase[[#This Row],[Total Amount]])</f>
        <v>1421946.02</v>
      </c>
      <c r="U1250" s="146">
        <f>SUM(Purchase[Net Amount])</f>
        <v>814985438.68000126</v>
      </c>
    </row>
    <row r="1251" spans="1:21" ht="19.5" thickBot="1" x14ac:dyDescent="0.3">
      <c r="A1251" s="136" t="s">
        <v>2300</v>
      </c>
      <c r="B1251" s="137">
        <v>45719</v>
      </c>
      <c r="C1251" s="138" t="s">
        <v>615</v>
      </c>
      <c r="D1251" s="138" t="str">
        <f>VLOOKUP(Purchase[[#This Row],[Supplier ID]],Supplier[#All],2,0)</f>
        <v>NATIONAL ELECTRONICS</v>
      </c>
      <c r="E1251" s="138">
        <f>VLOOKUP(Purchase[[#This Row],[Supplier ID]],Supplier[#All],3,0)</f>
        <v>9689542498</v>
      </c>
      <c r="F1251" s="138" t="str">
        <f>VLOOKUP(Purchase[[#This Row],[Supplier ID]],Supplier[#All],4,0)</f>
        <v>Kanpur</v>
      </c>
      <c r="G1251" s="138" t="str">
        <f>VLOOKUP(Purchase[[#This Row],[Supplier ID]],Supplier[#All],5,0)</f>
        <v>UP</v>
      </c>
      <c r="H1251" s="138" t="str">
        <f>VLOOKUP(Purchase[[#This Row],[Supplier ID]],Supplier[#All],6,0)</f>
        <v>GST2154521T060</v>
      </c>
      <c r="I1251" s="138" t="s">
        <v>428</v>
      </c>
      <c r="J1251" s="139">
        <v>21</v>
      </c>
      <c r="K1251" s="143">
        <f>VLOOKUP(Purchase[[#This Row],[Product ID]],Product[#All],6,0)</f>
        <v>6736</v>
      </c>
      <c r="L1251" s="143">
        <f>Purchase[[#This Row],[Purchase Rate]]*Purchase[[#This Row],[Qty]]</f>
        <v>141456</v>
      </c>
      <c r="M1251" s="140">
        <v>0</v>
      </c>
      <c r="N1251" s="143">
        <v>0</v>
      </c>
      <c r="O1251" s="140">
        <v>0.18</v>
      </c>
      <c r="P1251" s="145">
        <f>(Purchase[[#This Row],[Gross Amount]]-Purchase[[#This Row],[Disct %]])*Purchase[[#This Row],[GST %]]</f>
        <v>25462.079999999998</v>
      </c>
      <c r="Q1251" s="145">
        <f>Purchase[[#This Row],[Gross Amount]]-Purchase[[#This Row],[Disct Amnt]]+Purchase[[#This Row],[GST Amount]]</f>
        <v>166918.07999999999</v>
      </c>
      <c r="R1251" s="138" t="s">
        <v>1019</v>
      </c>
      <c r="S1251" s="41">
        <f>IF(Purchase[[#This Row],[Status]]="Cancelled",0,Purchase[[#This Row],[Qty]])</f>
        <v>21</v>
      </c>
      <c r="T1251" s="146">
        <f>IF(Purchase[[#This Row],[Status]]="Cancelled",0,Purchase[[#This Row],[Total Amount]])</f>
        <v>166918.07999999999</v>
      </c>
      <c r="U1251" s="146">
        <f>SUM(Purchase[Net Amount])</f>
        <v>814985438.68000126</v>
      </c>
    </row>
    <row r="1252" spans="1:21" ht="19.5" thickBot="1" x14ac:dyDescent="0.3">
      <c r="A1252" s="136" t="s">
        <v>2301</v>
      </c>
      <c r="B1252" s="137">
        <v>45719</v>
      </c>
      <c r="C1252" s="138" t="s">
        <v>601</v>
      </c>
      <c r="D1252" s="138" t="str">
        <f>VLOOKUP(Purchase[[#This Row],[Supplier ID]],Supplier[#All],2,0)</f>
        <v>Maa Distributors</v>
      </c>
      <c r="E1252" s="138">
        <f>VLOOKUP(Purchase[[#This Row],[Supplier ID]],Supplier[#All],3,0)</f>
        <v>9689542484</v>
      </c>
      <c r="F1252" s="138" t="str">
        <f>VLOOKUP(Purchase[[#This Row],[Supplier ID]],Supplier[#All],4,0)</f>
        <v>Indore</v>
      </c>
      <c r="G1252" s="138" t="str">
        <f>VLOOKUP(Purchase[[#This Row],[Supplier ID]],Supplier[#All],5,0)</f>
        <v>MP</v>
      </c>
      <c r="H1252" s="138" t="str">
        <f>VLOOKUP(Purchase[[#This Row],[Supplier ID]],Supplier[#All],6,0)</f>
        <v>GST2154521T046</v>
      </c>
      <c r="I1252" s="138" t="s">
        <v>273</v>
      </c>
      <c r="J1252" s="139">
        <v>26</v>
      </c>
      <c r="K1252" s="143">
        <f>VLOOKUP(Purchase[[#This Row],[Product ID]],Product[#All],6,0)</f>
        <v>3783</v>
      </c>
      <c r="L1252" s="143">
        <f>Purchase[[#This Row],[Purchase Rate]]*Purchase[[#This Row],[Qty]]</f>
        <v>98358</v>
      </c>
      <c r="M1252" s="140">
        <v>0</v>
      </c>
      <c r="N1252" s="143">
        <v>0</v>
      </c>
      <c r="O1252" s="140">
        <v>0.18</v>
      </c>
      <c r="P1252" s="145">
        <f>(Purchase[[#This Row],[Gross Amount]]-Purchase[[#This Row],[Disct %]])*Purchase[[#This Row],[GST %]]</f>
        <v>17704.439999999999</v>
      </c>
      <c r="Q1252" s="145">
        <f>Purchase[[#This Row],[Gross Amount]]-Purchase[[#This Row],[Disct Amnt]]+Purchase[[#This Row],[GST Amount]]</f>
        <v>116062.44</v>
      </c>
      <c r="R1252" s="138" t="s">
        <v>1019</v>
      </c>
      <c r="S1252" s="41">
        <f>IF(Purchase[[#This Row],[Status]]="Cancelled",0,Purchase[[#This Row],[Qty]])</f>
        <v>26</v>
      </c>
      <c r="T1252" s="146">
        <f>IF(Purchase[[#This Row],[Status]]="Cancelled",0,Purchase[[#This Row],[Total Amount]])</f>
        <v>116062.44</v>
      </c>
      <c r="U1252" s="146">
        <f>SUM(Purchase[Net Amount])</f>
        <v>814985438.68000126</v>
      </c>
    </row>
    <row r="1253" spans="1:21" ht="19.5" thickBot="1" x14ac:dyDescent="0.3">
      <c r="A1253" s="136" t="s">
        <v>2302</v>
      </c>
      <c r="B1253" s="137">
        <v>45719</v>
      </c>
      <c r="C1253" s="138" t="s">
        <v>609</v>
      </c>
      <c r="D1253" s="138" t="str">
        <f>VLOOKUP(Purchase[[#This Row],[Supplier ID]],Supplier[#All],2,0)</f>
        <v>Star Suppliers</v>
      </c>
      <c r="E1253" s="138">
        <f>VLOOKUP(Purchase[[#This Row],[Supplier ID]],Supplier[#All],3,0)</f>
        <v>9689542492</v>
      </c>
      <c r="F1253" s="138" t="str">
        <f>VLOOKUP(Purchase[[#This Row],[Supplier ID]],Supplier[#All],4,0)</f>
        <v>Kanpur</v>
      </c>
      <c r="G1253" s="138" t="str">
        <f>VLOOKUP(Purchase[[#This Row],[Supplier ID]],Supplier[#All],5,0)</f>
        <v>UP</v>
      </c>
      <c r="H1253" s="138" t="str">
        <f>VLOOKUP(Purchase[[#This Row],[Supplier ID]],Supplier[#All],6,0)</f>
        <v>GST2154521T054</v>
      </c>
      <c r="I1253" s="138" t="s">
        <v>301</v>
      </c>
      <c r="J1253" s="139">
        <v>32</v>
      </c>
      <c r="K1253" s="143">
        <f>VLOOKUP(Purchase[[#This Row],[Product ID]],Product[#All],6,0)</f>
        <v>869</v>
      </c>
      <c r="L1253" s="143">
        <f>Purchase[[#This Row],[Purchase Rate]]*Purchase[[#This Row],[Qty]]</f>
        <v>27808</v>
      </c>
      <c r="M1253" s="140">
        <v>0</v>
      </c>
      <c r="N1253" s="143">
        <v>0</v>
      </c>
      <c r="O1253" s="140">
        <v>0.18</v>
      </c>
      <c r="P1253" s="145">
        <f>(Purchase[[#This Row],[Gross Amount]]-Purchase[[#This Row],[Disct %]])*Purchase[[#This Row],[GST %]]</f>
        <v>5005.4399999999996</v>
      </c>
      <c r="Q1253" s="145">
        <f>Purchase[[#This Row],[Gross Amount]]-Purchase[[#This Row],[Disct Amnt]]+Purchase[[#This Row],[GST Amount]]</f>
        <v>32813.440000000002</v>
      </c>
      <c r="R1253" s="138" t="s">
        <v>1019</v>
      </c>
      <c r="S1253" s="41">
        <f>IF(Purchase[[#This Row],[Status]]="Cancelled",0,Purchase[[#This Row],[Qty]])</f>
        <v>32</v>
      </c>
      <c r="T1253" s="146">
        <f>IF(Purchase[[#This Row],[Status]]="Cancelled",0,Purchase[[#This Row],[Total Amount]])</f>
        <v>32813.440000000002</v>
      </c>
      <c r="U1253" s="146">
        <f>SUM(Purchase[Net Amount])</f>
        <v>814985438.68000126</v>
      </c>
    </row>
    <row r="1254" spans="1:21" ht="19.5" thickBot="1" x14ac:dyDescent="0.3">
      <c r="A1254" s="136" t="s">
        <v>2303</v>
      </c>
      <c r="B1254" s="137">
        <v>45719</v>
      </c>
      <c r="C1254" s="138" t="s">
        <v>581</v>
      </c>
      <c r="D1254" s="138" t="str">
        <f>VLOOKUP(Purchase[[#This Row],[Supplier ID]],Supplier[#All],2,0)</f>
        <v>Prime Electronics</v>
      </c>
      <c r="E1254" s="138">
        <f>VLOOKUP(Purchase[[#This Row],[Supplier ID]],Supplier[#All],3,0)</f>
        <v>9689542465</v>
      </c>
      <c r="F1254" s="138" t="str">
        <f>VLOOKUP(Purchase[[#This Row],[Supplier ID]],Supplier[#All],4,0)</f>
        <v>Korba</v>
      </c>
      <c r="G1254" s="138" t="str">
        <f>VLOOKUP(Purchase[[#This Row],[Supplier ID]],Supplier[#All],5,0)</f>
        <v>CG</v>
      </c>
      <c r="H1254" s="138" t="str">
        <f>VLOOKUP(Purchase[[#This Row],[Supplier ID]],Supplier[#All],6,0)</f>
        <v>GST2154521T027</v>
      </c>
      <c r="I1254" s="138" t="s">
        <v>181</v>
      </c>
      <c r="J1254" s="139">
        <v>37</v>
      </c>
      <c r="K1254" s="143">
        <f>VLOOKUP(Purchase[[#This Row],[Product ID]],Product[#All],6,0)</f>
        <v>4751</v>
      </c>
      <c r="L1254" s="143">
        <f>Purchase[[#This Row],[Purchase Rate]]*Purchase[[#This Row],[Qty]]</f>
        <v>175787</v>
      </c>
      <c r="M1254" s="140">
        <v>0</v>
      </c>
      <c r="N1254" s="143">
        <v>0</v>
      </c>
      <c r="O1254" s="140">
        <v>0.18</v>
      </c>
      <c r="P1254" s="145">
        <f>(Purchase[[#This Row],[Gross Amount]]-Purchase[[#This Row],[Disct %]])*Purchase[[#This Row],[GST %]]</f>
        <v>31641.66</v>
      </c>
      <c r="Q1254" s="145">
        <f>Purchase[[#This Row],[Gross Amount]]-Purchase[[#This Row],[Disct Amnt]]+Purchase[[#This Row],[GST Amount]]</f>
        <v>207428.66</v>
      </c>
      <c r="R1254" s="138" t="s">
        <v>1019</v>
      </c>
      <c r="S1254" s="41">
        <f>IF(Purchase[[#This Row],[Status]]="Cancelled",0,Purchase[[#This Row],[Qty]])</f>
        <v>37</v>
      </c>
      <c r="T1254" s="146">
        <f>IF(Purchase[[#This Row],[Status]]="Cancelled",0,Purchase[[#This Row],[Total Amount]])</f>
        <v>207428.66</v>
      </c>
      <c r="U1254" s="146">
        <f>SUM(Purchase[Net Amount])</f>
        <v>814985438.68000126</v>
      </c>
    </row>
    <row r="1255" spans="1:21" ht="19.5" thickBot="1" x14ac:dyDescent="0.3">
      <c r="A1255" s="136" t="s">
        <v>2304</v>
      </c>
      <c r="B1255" s="137">
        <v>45719</v>
      </c>
      <c r="C1255" s="138" t="s">
        <v>581</v>
      </c>
      <c r="D1255" s="138" t="str">
        <f>VLOOKUP(Purchase[[#This Row],[Supplier ID]],Supplier[#All],2,0)</f>
        <v>Prime Electronics</v>
      </c>
      <c r="E1255" s="138">
        <f>VLOOKUP(Purchase[[#This Row],[Supplier ID]],Supplier[#All],3,0)</f>
        <v>9689542465</v>
      </c>
      <c r="F1255" s="138" t="str">
        <f>VLOOKUP(Purchase[[#This Row],[Supplier ID]],Supplier[#All],4,0)</f>
        <v>Korba</v>
      </c>
      <c r="G1255" s="138" t="str">
        <f>VLOOKUP(Purchase[[#This Row],[Supplier ID]],Supplier[#All],5,0)</f>
        <v>CG</v>
      </c>
      <c r="H1255" s="138" t="str">
        <f>VLOOKUP(Purchase[[#This Row],[Supplier ID]],Supplier[#All],6,0)</f>
        <v>GST2154521T027</v>
      </c>
      <c r="I1255" s="138" t="s">
        <v>177</v>
      </c>
      <c r="J1255" s="139">
        <v>8</v>
      </c>
      <c r="K1255" s="143">
        <f>VLOOKUP(Purchase[[#This Row],[Product ID]],Product[#All],6,0)</f>
        <v>45329</v>
      </c>
      <c r="L1255" s="143">
        <f>Purchase[[#This Row],[Purchase Rate]]*Purchase[[#This Row],[Qty]]</f>
        <v>362632</v>
      </c>
      <c r="M1255" s="140">
        <v>0</v>
      </c>
      <c r="N1255" s="143">
        <v>0</v>
      </c>
      <c r="O1255" s="140">
        <v>0.18</v>
      </c>
      <c r="P1255" s="145">
        <f>(Purchase[[#This Row],[Gross Amount]]-Purchase[[#This Row],[Disct %]])*Purchase[[#This Row],[GST %]]</f>
        <v>65273.759999999995</v>
      </c>
      <c r="Q1255" s="145">
        <f>Purchase[[#This Row],[Gross Amount]]-Purchase[[#This Row],[Disct Amnt]]+Purchase[[#This Row],[GST Amount]]</f>
        <v>427905.76</v>
      </c>
      <c r="R1255" s="138" t="s">
        <v>1019</v>
      </c>
      <c r="S1255" s="41">
        <f>IF(Purchase[[#This Row],[Status]]="Cancelled",0,Purchase[[#This Row],[Qty]])</f>
        <v>8</v>
      </c>
      <c r="T1255" s="146">
        <f>IF(Purchase[[#This Row],[Status]]="Cancelled",0,Purchase[[#This Row],[Total Amount]])</f>
        <v>427905.76</v>
      </c>
      <c r="U1255" s="146">
        <f>SUM(Purchase[Net Amount])</f>
        <v>814985438.68000126</v>
      </c>
    </row>
    <row r="1256" spans="1:21" ht="19.5" thickBot="1" x14ac:dyDescent="0.3">
      <c r="A1256" s="136" t="s">
        <v>2305</v>
      </c>
      <c r="B1256" s="137">
        <v>45719</v>
      </c>
      <c r="C1256" s="138" t="s">
        <v>587</v>
      </c>
      <c r="D1256" s="138" t="str">
        <f>VLOOKUP(Purchase[[#This Row],[Supplier ID]],Supplier[#All],2,0)</f>
        <v>maa distributors</v>
      </c>
      <c r="E1256" s="138">
        <f>VLOOKUP(Purchase[[#This Row],[Supplier ID]],Supplier[#All],3,0)</f>
        <v>9689542479</v>
      </c>
      <c r="F1256" s="138" t="str">
        <f>VLOOKUP(Purchase[[#This Row],[Supplier ID]],Supplier[#All],4,0)</f>
        <v>Indore</v>
      </c>
      <c r="G1256" s="138" t="str">
        <f>VLOOKUP(Purchase[[#This Row],[Supplier ID]],Supplier[#All],5,0)</f>
        <v>MP</v>
      </c>
      <c r="H1256" s="138" t="str">
        <f>VLOOKUP(Purchase[[#This Row],[Supplier ID]],Supplier[#All],6,0)</f>
        <v>GST2154521T033</v>
      </c>
      <c r="I1256" s="138" t="s">
        <v>56</v>
      </c>
      <c r="J1256" s="139">
        <v>23</v>
      </c>
      <c r="K1256" s="143">
        <f>VLOOKUP(Purchase[[#This Row],[Product ID]],Product[#All],6,0)</f>
        <v>3467</v>
      </c>
      <c r="L1256" s="143">
        <f>Purchase[[#This Row],[Purchase Rate]]*Purchase[[#This Row],[Qty]]</f>
        <v>79741</v>
      </c>
      <c r="M1256" s="140">
        <v>0</v>
      </c>
      <c r="N1256" s="143">
        <v>0</v>
      </c>
      <c r="O1256" s="140">
        <v>0.18</v>
      </c>
      <c r="P1256" s="145">
        <f>(Purchase[[#This Row],[Gross Amount]]-Purchase[[#This Row],[Disct %]])*Purchase[[#This Row],[GST %]]</f>
        <v>14353.38</v>
      </c>
      <c r="Q1256" s="145">
        <f>Purchase[[#This Row],[Gross Amount]]-Purchase[[#This Row],[Disct Amnt]]+Purchase[[#This Row],[GST Amount]]</f>
        <v>94094.38</v>
      </c>
      <c r="R1256" s="138" t="s">
        <v>1019</v>
      </c>
      <c r="S1256" s="41">
        <f>IF(Purchase[[#This Row],[Status]]="Cancelled",0,Purchase[[#This Row],[Qty]])</f>
        <v>23</v>
      </c>
      <c r="T1256" s="146">
        <f>IF(Purchase[[#This Row],[Status]]="Cancelled",0,Purchase[[#This Row],[Total Amount]])</f>
        <v>94094.38</v>
      </c>
      <c r="U1256" s="146">
        <f>SUM(Purchase[Net Amount])</f>
        <v>814985438.68000126</v>
      </c>
    </row>
    <row r="1257" spans="1:21" ht="19.5" thickBot="1" x14ac:dyDescent="0.3">
      <c r="A1257" s="136" t="s">
        <v>2306</v>
      </c>
      <c r="B1257" s="137">
        <v>45720</v>
      </c>
      <c r="C1257" s="138" t="s">
        <v>564</v>
      </c>
      <c r="D1257" s="138" t="str">
        <f>VLOOKUP(Purchase[[#This Row],[Supplier ID]],Supplier[#All],2,0)</f>
        <v xml:space="preserve">Star Electronics </v>
      </c>
      <c r="E1257" s="138">
        <f>VLOOKUP(Purchase[[#This Row],[Supplier ID]],Supplier[#All],3,0)</f>
        <v>9689542450</v>
      </c>
      <c r="F1257" s="138" t="str">
        <f>VLOOKUP(Purchase[[#This Row],[Supplier ID]],Supplier[#All],4,0)</f>
        <v>Korba</v>
      </c>
      <c r="G1257" s="138" t="str">
        <f>VLOOKUP(Purchase[[#This Row],[Supplier ID]],Supplier[#All],5,0)</f>
        <v>CG</v>
      </c>
      <c r="H1257" s="138" t="str">
        <f>VLOOKUP(Purchase[[#This Row],[Supplier ID]],Supplier[#All],6,0)</f>
        <v>GST2154521T012</v>
      </c>
      <c r="I1257" s="138" t="s">
        <v>368</v>
      </c>
      <c r="J1257" s="139">
        <v>27</v>
      </c>
      <c r="K1257" s="143">
        <f>VLOOKUP(Purchase[[#This Row],[Product ID]],Product[#All],6,0)</f>
        <v>1031</v>
      </c>
      <c r="L1257" s="143">
        <f>Purchase[[#This Row],[Purchase Rate]]*Purchase[[#This Row],[Qty]]</f>
        <v>27837</v>
      </c>
      <c r="M1257" s="140">
        <v>0</v>
      </c>
      <c r="N1257" s="143">
        <v>0</v>
      </c>
      <c r="O1257" s="140">
        <v>0.18</v>
      </c>
      <c r="P1257" s="145">
        <f>(Purchase[[#This Row],[Gross Amount]]-Purchase[[#This Row],[Disct %]])*Purchase[[#This Row],[GST %]]</f>
        <v>5010.66</v>
      </c>
      <c r="Q1257" s="145">
        <f>Purchase[[#This Row],[Gross Amount]]-Purchase[[#This Row],[Disct Amnt]]+Purchase[[#This Row],[GST Amount]]</f>
        <v>32847.660000000003</v>
      </c>
      <c r="R1257" s="138" t="s">
        <v>1019</v>
      </c>
      <c r="S1257" s="41">
        <f>IF(Purchase[[#This Row],[Status]]="Cancelled",0,Purchase[[#This Row],[Qty]])</f>
        <v>27</v>
      </c>
      <c r="T1257" s="146">
        <f>IF(Purchase[[#This Row],[Status]]="Cancelled",0,Purchase[[#This Row],[Total Amount]])</f>
        <v>32847.660000000003</v>
      </c>
      <c r="U1257" s="146">
        <f>SUM(Purchase[Net Amount])</f>
        <v>814985438.68000126</v>
      </c>
    </row>
    <row r="1258" spans="1:21" ht="19.5" thickBot="1" x14ac:dyDescent="0.3">
      <c r="A1258" s="136" t="s">
        <v>2307</v>
      </c>
      <c r="B1258" s="137">
        <v>45720</v>
      </c>
      <c r="C1258" s="138" t="s">
        <v>589</v>
      </c>
      <c r="D1258" s="138" t="str">
        <f>VLOOKUP(Purchase[[#This Row],[Supplier ID]],Supplier[#All],2,0)</f>
        <v>Maa Computers</v>
      </c>
      <c r="E1258" s="138">
        <f>VLOOKUP(Purchase[[#This Row],[Supplier ID]],Supplier[#All],3,0)</f>
        <v>9689542473</v>
      </c>
      <c r="F1258" s="138" t="str">
        <f>VLOOKUP(Purchase[[#This Row],[Supplier ID]],Supplier[#All],4,0)</f>
        <v>Kanpur</v>
      </c>
      <c r="G1258" s="138" t="str">
        <f>VLOOKUP(Purchase[[#This Row],[Supplier ID]],Supplier[#All],5,0)</f>
        <v>UP</v>
      </c>
      <c r="H1258" s="138" t="str">
        <f>VLOOKUP(Purchase[[#This Row],[Supplier ID]],Supplier[#All],6,0)</f>
        <v>GST2154521T035</v>
      </c>
      <c r="I1258" s="138" t="s">
        <v>479</v>
      </c>
      <c r="J1258" s="139">
        <v>35</v>
      </c>
      <c r="K1258" s="143">
        <f>VLOOKUP(Purchase[[#This Row],[Product ID]],Product[#All],6,0)</f>
        <v>4548</v>
      </c>
      <c r="L1258" s="143">
        <f>Purchase[[#This Row],[Purchase Rate]]*Purchase[[#This Row],[Qty]]</f>
        <v>159180</v>
      </c>
      <c r="M1258" s="140">
        <v>0</v>
      </c>
      <c r="N1258" s="143">
        <v>0</v>
      </c>
      <c r="O1258" s="140">
        <v>0.18</v>
      </c>
      <c r="P1258" s="145">
        <f>(Purchase[[#This Row],[Gross Amount]]-Purchase[[#This Row],[Disct %]])*Purchase[[#This Row],[GST %]]</f>
        <v>28652.399999999998</v>
      </c>
      <c r="Q1258" s="145">
        <f>Purchase[[#This Row],[Gross Amount]]-Purchase[[#This Row],[Disct Amnt]]+Purchase[[#This Row],[GST Amount]]</f>
        <v>187832.4</v>
      </c>
      <c r="R1258" s="138" t="s">
        <v>1019</v>
      </c>
      <c r="S1258" s="41">
        <f>IF(Purchase[[#This Row],[Status]]="Cancelled",0,Purchase[[#This Row],[Qty]])</f>
        <v>35</v>
      </c>
      <c r="T1258" s="146">
        <f>IF(Purchase[[#This Row],[Status]]="Cancelled",0,Purchase[[#This Row],[Total Amount]])</f>
        <v>187832.4</v>
      </c>
      <c r="U1258" s="146">
        <f>SUM(Purchase[Net Amount])</f>
        <v>814985438.68000126</v>
      </c>
    </row>
    <row r="1259" spans="1:21" ht="19.5" thickBot="1" x14ac:dyDescent="0.3">
      <c r="A1259" s="136" t="s">
        <v>2308</v>
      </c>
      <c r="B1259" s="137">
        <v>45720</v>
      </c>
      <c r="C1259" s="138" t="s">
        <v>608</v>
      </c>
      <c r="D1259" s="138" t="str">
        <f>VLOOKUP(Purchase[[#This Row],[Supplier ID]],Supplier[#All],2,0)</f>
        <v>Global Suppliers</v>
      </c>
      <c r="E1259" s="138">
        <f>VLOOKUP(Purchase[[#This Row],[Supplier ID]],Supplier[#All],3,0)</f>
        <v>9689542499</v>
      </c>
      <c r="F1259" s="138" t="str">
        <f>VLOOKUP(Purchase[[#This Row],[Supplier ID]],Supplier[#All],4,0)</f>
        <v>Korba</v>
      </c>
      <c r="G1259" s="138" t="str">
        <f>VLOOKUP(Purchase[[#This Row],[Supplier ID]],Supplier[#All],5,0)</f>
        <v>CG</v>
      </c>
      <c r="H1259" s="138" t="str">
        <f>VLOOKUP(Purchase[[#This Row],[Supplier ID]],Supplier[#All],6,0)</f>
        <v>GST2154521T053</v>
      </c>
      <c r="I1259" s="138" t="s">
        <v>15</v>
      </c>
      <c r="J1259" s="139">
        <v>13</v>
      </c>
      <c r="K1259" s="143">
        <f>VLOOKUP(Purchase[[#This Row],[Product ID]],Product[#All],6,0)</f>
        <v>3688</v>
      </c>
      <c r="L1259" s="143">
        <f>Purchase[[#This Row],[Purchase Rate]]*Purchase[[#This Row],[Qty]]</f>
        <v>47944</v>
      </c>
      <c r="M1259" s="140">
        <v>0</v>
      </c>
      <c r="N1259" s="143">
        <v>0</v>
      </c>
      <c r="O1259" s="140">
        <v>0.18</v>
      </c>
      <c r="P1259" s="145">
        <f>(Purchase[[#This Row],[Gross Amount]]-Purchase[[#This Row],[Disct %]])*Purchase[[#This Row],[GST %]]</f>
        <v>8629.92</v>
      </c>
      <c r="Q1259" s="145">
        <f>Purchase[[#This Row],[Gross Amount]]-Purchase[[#This Row],[Disct Amnt]]+Purchase[[#This Row],[GST Amount]]</f>
        <v>56573.919999999998</v>
      </c>
      <c r="R1259" s="138" t="s">
        <v>1019</v>
      </c>
      <c r="S1259" s="41">
        <f>IF(Purchase[[#This Row],[Status]]="Cancelled",0,Purchase[[#This Row],[Qty]])</f>
        <v>13</v>
      </c>
      <c r="T1259" s="146">
        <f>IF(Purchase[[#This Row],[Status]]="Cancelled",0,Purchase[[#This Row],[Total Amount]])</f>
        <v>56573.919999999998</v>
      </c>
      <c r="U1259" s="146">
        <f>SUM(Purchase[Net Amount])</f>
        <v>814985438.68000126</v>
      </c>
    </row>
    <row r="1260" spans="1:21" ht="19.5" thickBot="1" x14ac:dyDescent="0.3">
      <c r="A1260" s="136" t="s">
        <v>2309</v>
      </c>
      <c r="B1260" s="137">
        <v>45720</v>
      </c>
      <c r="C1260" s="138" t="s">
        <v>585</v>
      </c>
      <c r="D1260" s="138" t="str">
        <f>VLOOKUP(Purchase[[#This Row],[Supplier ID]],Supplier[#All],2,0)</f>
        <v>Tech Computers</v>
      </c>
      <c r="E1260" s="138">
        <f>VLOOKUP(Purchase[[#This Row],[Supplier ID]],Supplier[#All],3,0)</f>
        <v>9689542469</v>
      </c>
      <c r="F1260" s="138" t="str">
        <f>VLOOKUP(Purchase[[#This Row],[Supplier ID]],Supplier[#All],4,0)</f>
        <v>Korba</v>
      </c>
      <c r="G1260" s="138" t="str">
        <f>VLOOKUP(Purchase[[#This Row],[Supplier ID]],Supplier[#All],5,0)</f>
        <v>CG</v>
      </c>
      <c r="H1260" s="138" t="str">
        <f>VLOOKUP(Purchase[[#This Row],[Supplier ID]],Supplier[#All],6,0)</f>
        <v>GST2154521T031</v>
      </c>
      <c r="I1260" s="138" t="s">
        <v>182</v>
      </c>
      <c r="J1260" s="139">
        <v>9</v>
      </c>
      <c r="K1260" s="143">
        <f>VLOOKUP(Purchase[[#This Row],[Product ID]],Product[#All],6,0)</f>
        <v>8348</v>
      </c>
      <c r="L1260" s="143">
        <f>Purchase[[#This Row],[Purchase Rate]]*Purchase[[#This Row],[Qty]]</f>
        <v>75132</v>
      </c>
      <c r="M1260" s="140">
        <v>0</v>
      </c>
      <c r="N1260" s="143">
        <v>0</v>
      </c>
      <c r="O1260" s="140">
        <v>0.18</v>
      </c>
      <c r="P1260" s="145">
        <f>(Purchase[[#This Row],[Gross Amount]]-Purchase[[#This Row],[Disct %]])*Purchase[[#This Row],[GST %]]</f>
        <v>13523.76</v>
      </c>
      <c r="Q1260" s="145">
        <f>Purchase[[#This Row],[Gross Amount]]-Purchase[[#This Row],[Disct Amnt]]+Purchase[[#This Row],[GST Amount]]</f>
        <v>88655.76</v>
      </c>
      <c r="R1260" s="138" t="s">
        <v>1019</v>
      </c>
      <c r="S1260" s="41">
        <f>IF(Purchase[[#This Row],[Status]]="Cancelled",0,Purchase[[#This Row],[Qty]])</f>
        <v>9</v>
      </c>
      <c r="T1260" s="146">
        <f>IF(Purchase[[#This Row],[Status]]="Cancelled",0,Purchase[[#This Row],[Total Amount]])</f>
        <v>88655.76</v>
      </c>
      <c r="U1260" s="146">
        <f>SUM(Purchase[Net Amount])</f>
        <v>814985438.68000126</v>
      </c>
    </row>
    <row r="1261" spans="1:21" ht="19.5" thickBot="1" x14ac:dyDescent="0.3">
      <c r="A1261" s="136" t="s">
        <v>2310</v>
      </c>
      <c r="B1261" s="137">
        <v>45720</v>
      </c>
      <c r="C1261" s="138" t="s">
        <v>611</v>
      </c>
      <c r="D1261" s="138" t="str">
        <f>VLOOKUP(Purchase[[#This Row],[Supplier ID]],Supplier[#All],2,0)</f>
        <v>National Distributors</v>
      </c>
      <c r="E1261" s="138">
        <f>VLOOKUP(Purchase[[#This Row],[Supplier ID]],Supplier[#All],3,0)</f>
        <v>9689542494</v>
      </c>
      <c r="F1261" s="138" t="str">
        <f>VLOOKUP(Purchase[[#This Row],[Supplier ID]],Supplier[#All],4,0)</f>
        <v>Korba</v>
      </c>
      <c r="G1261" s="138" t="str">
        <f>VLOOKUP(Purchase[[#This Row],[Supplier ID]],Supplier[#All],5,0)</f>
        <v>CG</v>
      </c>
      <c r="H1261" s="138" t="str">
        <f>VLOOKUP(Purchase[[#This Row],[Supplier ID]],Supplier[#All],6,0)</f>
        <v>GST2154521T056</v>
      </c>
      <c r="I1261" s="138" t="s">
        <v>330</v>
      </c>
      <c r="J1261" s="139">
        <v>40</v>
      </c>
      <c r="K1261" s="143">
        <f>VLOOKUP(Purchase[[#This Row],[Product ID]],Product[#All],6,0)</f>
        <v>4133</v>
      </c>
      <c r="L1261" s="143">
        <f>Purchase[[#This Row],[Purchase Rate]]*Purchase[[#This Row],[Qty]]</f>
        <v>165320</v>
      </c>
      <c r="M1261" s="140">
        <v>0</v>
      </c>
      <c r="N1261" s="143">
        <v>0</v>
      </c>
      <c r="O1261" s="140">
        <v>0.18</v>
      </c>
      <c r="P1261" s="145">
        <f>(Purchase[[#This Row],[Gross Amount]]-Purchase[[#This Row],[Disct %]])*Purchase[[#This Row],[GST %]]</f>
        <v>29757.599999999999</v>
      </c>
      <c r="Q1261" s="145">
        <f>Purchase[[#This Row],[Gross Amount]]-Purchase[[#This Row],[Disct Amnt]]+Purchase[[#This Row],[GST Amount]]</f>
        <v>195077.6</v>
      </c>
      <c r="R1261" s="138" t="s">
        <v>1019</v>
      </c>
      <c r="S1261" s="41">
        <f>IF(Purchase[[#This Row],[Status]]="Cancelled",0,Purchase[[#This Row],[Qty]])</f>
        <v>40</v>
      </c>
      <c r="T1261" s="146">
        <f>IF(Purchase[[#This Row],[Status]]="Cancelled",0,Purchase[[#This Row],[Total Amount]])</f>
        <v>195077.6</v>
      </c>
      <c r="U1261" s="146">
        <f>SUM(Purchase[Net Amount])</f>
        <v>814985438.68000126</v>
      </c>
    </row>
    <row r="1262" spans="1:21" ht="19.5" thickBot="1" x14ac:dyDescent="0.3">
      <c r="A1262" s="136" t="s">
        <v>2311</v>
      </c>
      <c r="B1262" s="137">
        <v>45720</v>
      </c>
      <c r="C1262" s="138" t="s">
        <v>615</v>
      </c>
      <c r="D1262" s="138" t="str">
        <f>VLOOKUP(Purchase[[#This Row],[Supplier ID]],Supplier[#All],2,0)</f>
        <v>NATIONAL ELECTRONICS</v>
      </c>
      <c r="E1262" s="138">
        <f>VLOOKUP(Purchase[[#This Row],[Supplier ID]],Supplier[#All],3,0)</f>
        <v>9689542498</v>
      </c>
      <c r="F1262" s="138" t="str">
        <f>VLOOKUP(Purchase[[#This Row],[Supplier ID]],Supplier[#All],4,0)</f>
        <v>Kanpur</v>
      </c>
      <c r="G1262" s="138" t="str">
        <f>VLOOKUP(Purchase[[#This Row],[Supplier ID]],Supplier[#All],5,0)</f>
        <v>UP</v>
      </c>
      <c r="H1262" s="138" t="str">
        <f>VLOOKUP(Purchase[[#This Row],[Supplier ID]],Supplier[#All],6,0)</f>
        <v>GST2154521T060</v>
      </c>
      <c r="I1262" s="138" t="s">
        <v>443</v>
      </c>
      <c r="J1262" s="139">
        <v>32</v>
      </c>
      <c r="K1262" s="143">
        <f>VLOOKUP(Purchase[[#This Row],[Product ID]],Product[#All],6,0)</f>
        <v>3342</v>
      </c>
      <c r="L1262" s="143">
        <f>Purchase[[#This Row],[Purchase Rate]]*Purchase[[#This Row],[Qty]]</f>
        <v>106944</v>
      </c>
      <c r="M1262" s="140">
        <v>0</v>
      </c>
      <c r="N1262" s="143">
        <v>0</v>
      </c>
      <c r="O1262" s="140">
        <v>0.18</v>
      </c>
      <c r="P1262" s="145">
        <f>(Purchase[[#This Row],[Gross Amount]]-Purchase[[#This Row],[Disct %]])*Purchase[[#This Row],[GST %]]</f>
        <v>19249.919999999998</v>
      </c>
      <c r="Q1262" s="145">
        <f>Purchase[[#This Row],[Gross Amount]]-Purchase[[#This Row],[Disct Amnt]]+Purchase[[#This Row],[GST Amount]]</f>
        <v>126193.92</v>
      </c>
      <c r="R1262" s="138" t="s">
        <v>1019</v>
      </c>
      <c r="S1262" s="41">
        <f>IF(Purchase[[#This Row],[Status]]="Cancelled",0,Purchase[[#This Row],[Qty]])</f>
        <v>32</v>
      </c>
      <c r="T1262" s="146">
        <f>IF(Purchase[[#This Row],[Status]]="Cancelled",0,Purchase[[#This Row],[Total Amount]])</f>
        <v>126193.92</v>
      </c>
      <c r="U1262" s="146">
        <f>SUM(Purchase[Net Amount])</f>
        <v>814985438.68000126</v>
      </c>
    </row>
    <row r="1263" spans="1:21" ht="19.5" thickBot="1" x14ac:dyDescent="0.3">
      <c r="A1263" s="136" t="s">
        <v>2312</v>
      </c>
      <c r="B1263" s="137">
        <v>45720</v>
      </c>
      <c r="C1263" s="138" t="s">
        <v>600</v>
      </c>
      <c r="D1263" s="138" t="str">
        <f>VLOOKUP(Purchase[[#This Row],[Supplier ID]],Supplier[#All],2,0)</f>
        <v>Prime Suppliers</v>
      </c>
      <c r="E1263" s="138">
        <f>VLOOKUP(Purchase[[#This Row],[Supplier ID]],Supplier[#All],3,0)</f>
        <v>9689542483</v>
      </c>
      <c r="F1263" s="138" t="str">
        <f>VLOOKUP(Purchase[[#This Row],[Supplier ID]],Supplier[#All],4,0)</f>
        <v>Korba</v>
      </c>
      <c r="G1263" s="138" t="str">
        <f>VLOOKUP(Purchase[[#This Row],[Supplier ID]],Supplier[#All],5,0)</f>
        <v>CG</v>
      </c>
      <c r="H1263" s="138" t="str">
        <f>VLOOKUP(Purchase[[#This Row],[Supplier ID]],Supplier[#All],6,0)</f>
        <v>GST2154521T045</v>
      </c>
      <c r="I1263" s="138" t="s">
        <v>199</v>
      </c>
      <c r="J1263" s="139">
        <v>35</v>
      </c>
      <c r="K1263" s="143">
        <f>VLOOKUP(Purchase[[#This Row],[Product ID]],Product[#All],6,0)</f>
        <v>10351</v>
      </c>
      <c r="L1263" s="143">
        <f>Purchase[[#This Row],[Purchase Rate]]*Purchase[[#This Row],[Qty]]</f>
        <v>362285</v>
      </c>
      <c r="M1263" s="140">
        <v>0</v>
      </c>
      <c r="N1263" s="143">
        <v>0</v>
      </c>
      <c r="O1263" s="140">
        <v>0.18</v>
      </c>
      <c r="P1263" s="145">
        <f>(Purchase[[#This Row],[Gross Amount]]-Purchase[[#This Row],[Disct %]])*Purchase[[#This Row],[GST %]]</f>
        <v>65211.299999999996</v>
      </c>
      <c r="Q1263" s="145">
        <f>Purchase[[#This Row],[Gross Amount]]-Purchase[[#This Row],[Disct Amnt]]+Purchase[[#This Row],[GST Amount]]</f>
        <v>427496.3</v>
      </c>
      <c r="R1263" s="138" t="s">
        <v>1019</v>
      </c>
      <c r="S1263" s="41">
        <f>IF(Purchase[[#This Row],[Status]]="Cancelled",0,Purchase[[#This Row],[Qty]])</f>
        <v>35</v>
      </c>
      <c r="T1263" s="146">
        <f>IF(Purchase[[#This Row],[Status]]="Cancelled",0,Purchase[[#This Row],[Total Amount]])</f>
        <v>427496.3</v>
      </c>
      <c r="U1263" s="146">
        <f>SUM(Purchase[Net Amount])</f>
        <v>814985438.68000126</v>
      </c>
    </row>
    <row r="1264" spans="1:21" ht="19.5" thickBot="1" x14ac:dyDescent="0.3">
      <c r="A1264" s="136" t="s">
        <v>2313</v>
      </c>
      <c r="B1264" s="137">
        <v>45720</v>
      </c>
      <c r="C1264" s="138" t="s">
        <v>604</v>
      </c>
      <c r="D1264" s="138" t="str">
        <f>VLOOKUP(Purchase[[#This Row],[Supplier ID]],Supplier[#All],2,0)</f>
        <v>Prime Traders</v>
      </c>
      <c r="E1264" s="138">
        <f>VLOOKUP(Purchase[[#This Row],[Supplier ID]],Supplier[#All],3,0)</f>
        <v>9689542487</v>
      </c>
      <c r="F1264" s="138" t="str">
        <f>VLOOKUP(Purchase[[#This Row],[Supplier ID]],Supplier[#All],4,0)</f>
        <v>Indore</v>
      </c>
      <c r="G1264" s="138" t="str">
        <f>VLOOKUP(Purchase[[#This Row],[Supplier ID]],Supplier[#All],5,0)</f>
        <v>MP</v>
      </c>
      <c r="H1264" s="138" t="str">
        <f>VLOOKUP(Purchase[[#This Row],[Supplier ID]],Supplier[#All],6,0)</f>
        <v>GST2154521T049</v>
      </c>
      <c r="I1264" s="138" t="s">
        <v>175</v>
      </c>
      <c r="J1264" s="139">
        <v>16</v>
      </c>
      <c r="K1264" s="143">
        <f>VLOOKUP(Purchase[[#This Row],[Product ID]],Product[#All],6,0)</f>
        <v>1594</v>
      </c>
      <c r="L1264" s="143">
        <f>Purchase[[#This Row],[Purchase Rate]]*Purchase[[#This Row],[Qty]]</f>
        <v>25504</v>
      </c>
      <c r="M1264" s="140">
        <v>0</v>
      </c>
      <c r="N1264" s="143">
        <v>0</v>
      </c>
      <c r="O1264" s="140">
        <v>0.18</v>
      </c>
      <c r="P1264" s="145">
        <f>(Purchase[[#This Row],[Gross Amount]]-Purchase[[#This Row],[Disct %]])*Purchase[[#This Row],[GST %]]</f>
        <v>4590.72</v>
      </c>
      <c r="Q1264" s="145">
        <f>Purchase[[#This Row],[Gross Amount]]-Purchase[[#This Row],[Disct Amnt]]+Purchase[[#This Row],[GST Amount]]</f>
        <v>30094.720000000001</v>
      </c>
      <c r="R1264" s="138" t="s">
        <v>1019</v>
      </c>
      <c r="S1264" s="41">
        <f>IF(Purchase[[#This Row],[Status]]="Cancelled",0,Purchase[[#This Row],[Qty]])</f>
        <v>16</v>
      </c>
      <c r="T1264" s="146">
        <f>IF(Purchase[[#This Row],[Status]]="Cancelled",0,Purchase[[#This Row],[Total Amount]])</f>
        <v>30094.720000000001</v>
      </c>
      <c r="U1264" s="146">
        <f>SUM(Purchase[Net Amount])</f>
        <v>814985438.68000126</v>
      </c>
    </row>
    <row r="1265" spans="1:21" ht="19.5" thickBot="1" x14ac:dyDescent="0.3">
      <c r="A1265" s="136" t="s">
        <v>2314</v>
      </c>
      <c r="B1265" s="137">
        <v>45720</v>
      </c>
      <c r="C1265" s="138" t="s">
        <v>597</v>
      </c>
      <c r="D1265" s="138" t="str">
        <f>VLOOKUP(Purchase[[#This Row],[Supplier ID]],Supplier[#All],2,0)</f>
        <v>Tech Traders</v>
      </c>
      <c r="E1265" s="138">
        <f>VLOOKUP(Purchase[[#This Row],[Supplier ID]],Supplier[#All],3,0)</f>
        <v>9689542480</v>
      </c>
      <c r="F1265" s="138" t="str">
        <f>VLOOKUP(Purchase[[#This Row],[Supplier ID]],Supplier[#All],4,0)</f>
        <v>Kanpur</v>
      </c>
      <c r="G1265" s="138" t="str">
        <f>VLOOKUP(Purchase[[#This Row],[Supplier ID]],Supplier[#All],5,0)</f>
        <v>UP</v>
      </c>
      <c r="H1265" s="138" t="str">
        <f>VLOOKUP(Purchase[[#This Row],[Supplier ID]],Supplier[#All],6,0)</f>
        <v>GST2154521T042</v>
      </c>
      <c r="I1265" s="138" t="s">
        <v>289</v>
      </c>
      <c r="J1265" s="139">
        <v>20</v>
      </c>
      <c r="K1265" s="143">
        <f>VLOOKUP(Purchase[[#This Row],[Product ID]],Product[#All],6,0)</f>
        <v>927</v>
      </c>
      <c r="L1265" s="143">
        <f>Purchase[[#This Row],[Purchase Rate]]*Purchase[[#This Row],[Qty]]</f>
        <v>18540</v>
      </c>
      <c r="M1265" s="140">
        <v>0</v>
      </c>
      <c r="N1265" s="143">
        <v>0</v>
      </c>
      <c r="O1265" s="140">
        <v>0.18</v>
      </c>
      <c r="P1265" s="145">
        <f>(Purchase[[#This Row],[Gross Amount]]-Purchase[[#This Row],[Disct %]])*Purchase[[#This Row],[GST %]]</f>
        <v>3337.2</v>
      </c>
      <c r="Q1265" s="145">
        <f>Purchase[[#This Row],[Gross Amount]]-Purchase[[#This Row],[Disct Amnt]]+Purchase[[#This Row],[GST Amount]]</f>
        <v>21877.200000000001</v>
      </c>
      <c r="R1265" s="138" t="s">
        <v>1019</v>
      </c>
      <c r="S1265" s="41">
        <f>IF(Purchase[[#This Row],[Status]]="Cancelled",0,Purchase[[#This Row],[Qty]])</f>
        <v>20</v>
      </c>
      <c r="T1265" s="146">
        <f>IF(Purchase[[#This Row],[Status]]="Cancelled",0,Purchase[[#This Row],[Total Amount]])</f>
        <v>21877.200000000001</v>
      </c>
      <c r="U1265" s="146">
        <f>SUM(Purchase[Net Amount])</f>
        <v>814985438.68000126</v>
      </c>
    </row>
    <row r="1266" spans="1:21" ht="19.5" thickBot="1" x14ac:dyDescent="0.3">
      <c r="A1266" s="136" t="s">
        <v>2315</v>
      </c>
      <c r="B1266" s="137">
        <v>45720</v>
      </c>
      <c r="C1266" s="138" t="s">
        <v>577</v>
      </c>
      <c r="D1266" s="138" t="str">
        <f>VLOOKUP(Purchase[[#This Row],[Supplier ID]],Supplier[#All],2,0)</f>
        <v>National Electronics</v>
      </c>
      <c r="E1266" s="138">
        <f>VLOOKUP(Purchase[[#This Row],[Supplier ID]],Supplier[#All],3,0)</f>
        <v>9689542469</v>
      </c>
      <c r="F1266" s="138" t="str">
        <f>VLOOKUP(Purchase[[#This Row],[Supplier ID]],Supplier[#All],4,0)</f>
        <v>Korba</v>
      </c>
      <c r="G1266" s="138" t="str">
        <f>VLOOKUP(Purchase[[#This Row],[Supplier ID]],Supplier[#All],5,0)</f>
        <v>CG</v>
      </c>
      <c r="H1266" s="138" t="str">
        <f>VLOOKUP(Purchase[[#This Row],[Supplier ID]],Supplier[#All],6,0)</f>
        <v>GST2154521T023</v>
      </c>
      <c r="I1266" s="138" t="s">
        <v>222</v>
      </c>
      <c r="J1266" s="139">
        <v>7</v>
      </c>
      <c r="K1266" s="143">
        <f>VLOOKUP(Purchase[[#This Row],[Product ID]],Product[#All],6,0)</f>
        <v>6513</v>
      </c>
      <c r="L1266" s="143">
        <f>Purchase[[#This Row],[Purchase Rate]]*Purchase[[#This Row],[Qty]]</f>
        <v>45591</v>
      </c>
      <c r="M1266" s="140">
        <v>0</v>
      </c>
      <c r="N1266" s="143">
        <v>0</v>
      </c>
      <c r="O1266" s="140">
        <v>0.18</v>
      </c>
      <c r="P1266" s="145">
        <f>(Purchase[[#This Row],[Gross Amount]]-Purchase[[#This Row],[Disct %]])*Purchase[[#This Row],[GST %]]</f>
        <v>8206.3799999999992</v>
      </c>
      <c r="Q1266" s="145">
        <f>Purchase[[#This Row],[Gross Amount]]-Purchase[[#This Row],[Disct Amnt]]+Purchase[[#This Row],[GST Amount]]</f>
        <v>53797.38</v>
      </c>
      <c r="R1266" s="138" t="s">
        <v>1019</v>
      </c>
      <c r="S1266" s="41">
        <f>IF(Purchase[[#This Row],[Status]]="Cancelled",0,Purchase[[#This Row],[Qty]])</f>
        <v>7</v>
      </c>
      <c r="T1266" s="146">
        <f>IF(Purchase[[#This Row],[Status]]="Cancelled",0,Purchase[[#This Row],[Total Amount]])</f>
        <v>53797.38</v>
      </c>
      <c r="U1266" s="146">
        <f>SUM(Purchase[Net Amount])</f>
        <v>814985438.68000126</v>
      </c>
    </row>
    <row r="1267" spans="1:21" ht="19.5" thickBot="1" x14ac:dyDescent="0.3">
      <c r="A1267" s="136" t="s">
        <v>2316</v>
      </c>
      <c r="B1267" s="137">
        <v>45720</v>
      </c>
      <c r="C1267" s="138" t="s">
        <v>601</v>
      </c>
      <c r="D1267" s="138" t="str">
        <f>VLOOKUP(Purchase[[#This Row],[Supplier ID]],Supplier[#All],2,0)</f>
        <v>Maa Distributors</v>
      </c>
      <c r="E1267" s="138">
        <f>VLOOKUP(Purchase[[#This Row],[Supplier ID]],Supplier[#All],3,0)</f>
        <v>9689542484</v>
      </c>
      <c r="F1267" s="138" t="str">
        <f>VLOOKUP(Purchase[[#This Row],[Supplier ID]],Supplier[#All],4,0)</f>
        <v>Indore</v>
      </c>
      <c r="G1267" s="138" t="str">
        <f>VLOOKUP(Purchase[[#This Row],[Supplier ID]],Supplier[#All],5,0)</f>
        <v>MP</v>
      </c>
      <c r="H1267" s="138" t="str">
        <f>VLOOKUP(Purchase[[#This Row],[Supplier ID]],Supplier[#All],6,0)</f>
        <v>GST2154521T046</v>
      </c>
      <c r="I1267" s="138" t="s">
        <v>238</v>
      </c>
      <c r="J1267" s="139">
        <v>39</v>
      </c>
      <c r="K1267" s="143">
        <f>VLOOKUP(Purchase[[#This Row],[Product ID]],Product[#All],6,0)</f>
        <v>6619</v>
      </c>
      <c r="L1267" s="143">
        <f>Purchase[[#This Row],[Purchase Rate]]*Purchase[[#This Row],[Qty]]</f>
        <v>258141</v>
      </c>
      <c r="M1267" s="140">
        <v>0</v>
      </c>
      <c r="N1267" s="143">
        <v>0</v>
      </c>
      <c r="O1267" s="140">
        <v>0.18</v>
      </c>
      <c r="P1267" s="145">
        <f>(Purchase[[#This Row],[Gross Amount]]-Purchase[[#This Row],[Disct %]])*Purchase[[#This Row],[GST %]]</f>
        <v>46465.38</v>
      </c>
      <c r="Q1267" s="145">
        <f>Purchase[[#This Row],[Gross Amount]]-Purchase[[#This Row],[Disct Amnt]]+Purchase[[#This Row],[GST Amount]]</f>
        <v>304606.38</v>
      </c>
      <c r="R1267" s="138" t="s">
        <v>1019</v>
      </c>
      <c r="S1267" s="41">
        <f>IF(Purchase[[#This Row],[Status]]="Cancelled",0,Purchase[[#This Row],[Qty]])</f>
        <v>39</v>
      </c>
      <c r="T1267" s="146">
        <f>IF(Purchase[[#This Row],[Status]]="Cancelled",0,Purchase[[#This Row],[Total Amount]])</f>
        <v>304606.38</v>
      </c>
      <c r="U1267" s="146">
        <f>SUM(Purchase[Net Amount])</f>
        <v>814985438.68000126</v>
      </c>
    </row>
    <row r="1268" spans="1:21" ht="19.5" thickBot="1" x14ac:dyDescent="0.3">
      <c r="A1268" s="136" t="s">
        <v>2317</v>
      </c>
      <c r="B1268" s="137">
        <v>45720</v>
      </c>
      <c r="C1268" s="138" t="s">
        <v>583</v>
      </c>
      <c r="D1268" s="138" t="str">
        <f>VLOOKUP(Purchase[[#This Row],[Supplier ID]],Supplier[#All],2,0)</f>
        <v>Shree Distributors</v>
      </c>
      <c r="E1268" s="138">
        <f>VLOOKUP(Purchase[[#This Row],[Supplier ID]],Supplier[#All],3,0)</f>
        <v>9689542467</v>
      </c>
      <c r="F1268" s="138" t="str">
        <f>VLOOKUP(Purchase[[#This Row],[Supplier ID]],Supplier[#All],4,0)</f>
        <v>Indore</v>
      </c>
      <c r="G1268" s="138" t="str">
        <f>VLOOKUP(Purchase[[#This Row],[Supplier ID]],Supplier[#All],5,0)</f>
        <v>MP</v>
      </c>
      <c r="H1268" s="138" t="str">
        <f>VLOOKUP(Purchase[[#This Row],[Supplier ID]],Supplier[#All],6,0)</f>
        <v>GST2154521T029</v>
      </c>
      <c r="I1268" s="138" t="s">
        <v>222</v>
      </c>
      <c r="J1268" s="139">
        <v>25</v>
      </c>
      <c r="K1268" s="143">
        <f>VLOOKUP(Purchase[[#This Row],[Product ID]],Product[#All],6,0)</f>
        <v>6513</v>
      </c>
      <c r="L1268" s="143">
        <f>Purchase[[#This Row],[Purchase Rate]]*Purchase[[#This Row],[Qty]]</f>
        <v>162825</v>
      </c>
      <c r="M1268" s="140">
        <v>0</v>
      </c>
      <c r="N1268" s="143">
        <v>0</v>
      </c>
      <c r="O1268" s="140">
        <v>0.18</v>
      </c>
      <c r="P1268" s="145">
        <f>(Purchase[[#This Row],[Gross Amount]]-Purchase[[#This Row],[Disct %]])*Purchase[[#This Row],[GST %]]</f>
        <v>29308.5</v>
      </c>
      <c r="Q1268" s="145">
        <f>Purchase[[#This Row],[Gross Amount]]-Purchase[[#This Row],[Disct Amnt]]+Purchase[[#This Row],[GST Amount]]</f>
        <v>192133.5</v>
      </c>
      <c r="R1268" s="138" t="s">
        <v>1019</v>
      </c>
      <c r="S1268" s="41">
        <f>IF(Purchase[[#This Row],[Status]]="Cancelled",0,Purchase[[#This Row],[Qty]])</f>
        <v>25</v>
      </c>
      <c r="T1268" s="146">
        <f>IF(Purchase[[#This Row],[Status]]="Cancelled",0,Purchase[[#This Row],[Total Amount]])</f>
        <v>192133.5</v>
      </c>
      <c r="U1268" s="146">
        <f>SUM(Purchase[Net Amount])</f>
        <v>814985438.68000126</v>
      </c>
    </row>
    <row r="1269" spans="1:21" ht="19.5" thickBot="1" x14ac:dyDescent="0.3">
      <c r="A1269" s="136" t="s">
        <v>2318</v>
      </c>
      <c r="B1269" s="137">
        <v>45720</v>
      </c>
      <c r="C1269" s="138" t="s">
        <v>596</v>
      </c>
      <c r="D1269" s="138" t="str">
        <f>VLOOKUP(Purchase[[#This Row],[Supplier ID]],Supplier[#All],2,0)</f>
        <v>star traders</v>
      </c>
      <c r="E1269" s="138">
        <f>VLOOKUP(Purchase[[#This Row],[Supplier ID]],Supplier[#All],3,0)</f>
        <v>9689542479</v>
      </c>
      <c r="F1269" s="138" t="str">
        <f>VLOOKUP(Purchase[[#This Row],[Supplier ID]],Supplier[#All],4,0)</f>
        <v>Korba</v>
      </c>
      <c r="G1269" s="138" t="str">
        <f>VLOOKUP(Purchase[[#This Row],[Supplier ID]],Supplier[#All],5,0)</f>
        <v>CG</v>
      </c>
      <c r="H1269" s="138" t="str">
        <f>VLOOKUP(Purchase[[#This Row],[Supplier ID]],Supplier[#All],6,0)</f>
        <v>GST2154521T041</v>
      </c>
      <c r="I1269" s="138" t="s">
        <v>375</v>
      </c>
      <c r="J1269" s="139">
        <v>3</v>
      </c>
      <c r="K1269" s="143">
        <f>VLOOKUP(Purchase[[#This Row],[Product ID]],Product[#All],6,0)</f>
        <v>4429</v>
      </c>
      <c r="L1269" s="143">
        <f>Purchase[[#This Row],[Purchase Rate]]*Purchase[[#This Row],[Qty]]</f>
        <v>13287</v>
      </c>
      <c r="M1269" s="140">
        <v>0</v>
      </c>
      <c r="N1269" s="143">
        <v>0</v>
      </c>
      <c r="O1269" s="140">
        <v>0.18</v>
      </c>
      <c r="P1269" s="145">
        <f>(Purchase[[#This Row],[Gross Amount]]-Purchase[[#This Row],[Disct %]])*Purchase[[#This Row],[GST %]]</f>
        <v>2391.66</v>
      </c>
      <c r="Q1269" s="145">
        <f>Purchase[[#This Row],[Gross Amount]]-Purchase[[#This Row],[Disct Amnt]]+Purchase[[#This Row],[GST Amount]]</f>
        <v>15678.66</v>
      </c>
      <c r="R1269" s="138" t="s">
        <v>1019</v>
      </c>
      <c r="S1269" s="41">
        <f>IF(Purchase[[#This Row],[Status]]="Cancelled",0,Purchase[[#This Row],[Qty]])</f>
        <v>3</v>
      </c>
      <c r="T1269" s="146">
        <f>IF(Purchase[[#This Row],[Status]]="Cancelled",0,Purchase[[#This Row],[Total Amount]])</f>
        <v>15678.66</v>
      </c>
      <c r="U1269" s="146">
        <f>SUM(Purchase[Net Amount])</f>
        <v>814985438.68000126</v>
      </c>
    </row>
    <row r="1270" spans="1:21" ht="19.5" thickBot="1" x14ac:dyDescent="0.3">
      <c r="A1270" s="136" t="s">
        <v>2319</v>
      </c>
      <c r="B1270" s="137">
        <v>45720</v>
      </c>
      <c r="C1270" s="138" t="s">
        <v>587</v>
      </c>
      <c r="D1270" s="138" t="str">
        <f>VLOOKUP(Purchase[[#This Row],[Supplier ID]],Supplier[#All],2,0)</f>
        <v>maa distributors</v>
      </c>
      <c r="E1270" s="138">
        <f>VLOOKUP(Purchase[[#This Row],[Supplier ID]],Supplier[#All],3,0)</f>
        <v>9689542479</v>
      </c>
      <c r="F1270" s="138" t="str">
        <f>VLOOKUP(Purchase[[#This Row],[Supplier ID]],Supplier[#All],4,0)</f>
        <v>Indore</v>
      </c>
      <c r="G1270" s="138" t="str">
        <f>VLOOKUP(Purchase[[#This Row],[Supplier ID]],Supplier[#All],5,0)</f>
        <v>MP</v>
      </c>
      <c r="H1270" s="138" t="str">
        <f>VLOOKUP(Purchase[[#This Row],[Supplier ID]],Supplier[#All],6,0)</f>
        <v>GST2154521T033</v>
      </c>
      <c r="I1270" s="138" t="s">
        <v>460</v>
      </c>
      <c r="J1270" s="139">
        <v>22</v>
      </c>
      <c r="K1270" s="143">
        <f>VLOOKUP(Purchase[[#This Row],[Product ID]],Product[#All],6,0)</f>
        <v>2470</v>
      </c>
      <c r="L1270" s="143">
        <f>Purchase[[#This Row],[Purchase Rate]]*Purchase[[#This Row],[Qty]]</f>
        <v>54340</v>
      </c>
      <c r="M1270" s="140">
        <v>0</v>
      </c>
      <c r="N1270" s="143">
        <v>0</v>
      </c>
      <c r="O1270" s="140">
        <v>0.18</v>
      </c>
      <c r="P1270" s="145">
        <f>(Purchase[[#This Row],[Gross Amount]]-Purchase[[#This Row],[Disct %]])*Purchase[[#This Row],[GST %]]</f>
        <v>9781.1999999999989</v>
      </c>
      <c r="Q1270" s="145">
        <f>Purchase[[#This Row],[Gross Amount]]-Purchase[[#This Row],[Disct Amnt]]+Purchase[[#This Row],[GST Amount]]</f>
        <v>64121.2</v>
      </c>
      <c r="R1270" s="138" t="s">
        <v>1019</v>
      </c>
      <c r="S1270" s="41">
        <f>IF(Purchase[[#This Row],[Status]]="Cancelled",0,Purchase[[#This Row],[Qty]])</f>
        <v>22</v>
      </c>
      <c r="T1270" s="146">
        <f>IF(Purchase[[#This Row],[Status]]="Cancelled",0,Purchase[[#This Row],[Total Amount]])</f>
        <v>64121.2</v>
      </c>
      <c r="U1270" s="146">
        <f>SUM(Purchase[Net Amount])</f>
        <v>814985438.68000126</v>
      </c>
    </row>
    <row r="1271" spans="1:21" ht="19.5" thickBot="1" x14ac:dyDescent="0.3">
      <c r="A1271" s="136" t="s">
        <v>2320</v>
      </c>
      <c r="B1271" s="137">
        <v>45720</v>
      </c>
      <c r="C1271" s="138" t="s">
        <v>2321</v>
      </c>
      <c r="D1271" s="138" t="str">
        <f>VLOOKUP(Purchase[[#This Row],[Supplier ID]],Supplier[#All],2,0)</f>
        <v>Prime Traders</v>
      </c>
      <c r="E1271" s="138">
        <f>VLOOKUP(Purchase[[#This Row],[Supplier ID]],Supplier[#All],3,0)</f>
        <v>9689542487</v>
      </c>
      <c r="F1271" s="138" t="str">
        <f>VLOOKUP(Purchase[[#This Row],[Supplier ID]],Supplier[#All],4,0)</f>
        <v>Indore</v>
      </c>
      <c r="G1271" s="138" t="str">
        <f>VLOOKUP(Purchase[[#This Row],[Supplier ID]],Supplier[#All],5,0)</f>
        <v>MP</v>
      </c>
      <c r="H1271" s="138" t="str">
        <f>VLOOKUP(Purchase[[#This Row],[Supplier ID]],Supplier[#All],6,0)</f>
        <v>GST2154521T049</v>
      </c>
      <c r="I1271" s="138" t="s">
        <v>418</v>
      </c>
      <c r="J1271" s="139">
        <v>9</v>
      </c>
      <c r="K1271" s="143">
        <f>VLOOKUP(Purchase[[#This Row],[Product ID]],Product[#All],6,0)</f>
        <v>5541</v>
      </c>
      <c r="L1271" s="143">
        <f>Purchase[[#This Row],[Purchase Rate]]*Purchase[[#This Row],[Qty]]</f>
        <v>49869</v>
      </c>
      <c r="M1271" s="140">
        <v>0</v>
      </c>
      <c r="N1271" s="143">
        <v>0</v>
      </c>
      <c r="O1271" s="140">
        <v>0.18</v>
      </c>
      <c r="P1271" s="145">
        <f>(Purchase[[#This Row],[Gross Amount]]-Purchase[[#This Row],[Disct %]])*Purchase[[#This Row],[GST %]]</f>
        <v>8976.42</v>
      </c>
      <c r="Q1271" s="145">
        <f>Purchase[[#This Row],[Gross Amount]]-Purchase[[#This Row],[Disct Amnt]]+Purchase[[#This Row],[GST Amount]]</f>
        <v>58845.42</v>
      </c>
      <c r="R1271" s="138" t="s">
        <v>1019</v>
      </c>
      <c r="S1271" s="41">
        <f>IF(Purchase[[#This Row],[Status]]="Cancelled",0,Purchase[[#This Row],[Qty]])</f>
        <v>9</v>
      </c>
      <c r="T1271" s="146">
        <f>IF(Purchase[[#This Row],[Status]]="Cancelled",0,Purchase[[#This Row],[Total Amount]])</f>
        <v>58845.42</v>
      </c>
      <c r="U1271" s="146">
        <f>SUM(Purchase[Net Amount])</f>
        <v>814985438.68000126</v>
      </c>
    </row>
    <row r="1272" spans="1:21" ht="19.5" thickBot="1" x14ac:dyDescent="0.3">
      <c r="A1272" s="136" t="s">
        <v>2322</v>
      </c>
      <c r="B1272" s="137">
        <v>45721</v>
      </c>
      <c r="C1272" s="138" t="s">
        <v>565</v>
      </c>
      <c r="D1272" s="138" t="str">
        <f>VLOOKUP(Purchase[[#This Row],[Supplier ID]],Supplier[#All],2,0)</f>
        <v>Global Suppliers</v>
      </c>
      <c r="E1272" s="138">
        <f>VLOOKUP(Purchase[[#This Row],[Supplier ID]],Supplier[#All],3,0)</f>
        <v>9689542459</v>
      </c>
      <c r="F1272" s="138" t="str">
        <f>VLOOKUP(Purchase[[#This Row],[Supplier ID]],Supplier[#All],4,0)</f>
        <v>Indore</v>
      </c>
      <c r="G1272" s="138" t="str">
        <f>VLOOKUP(Purchase[[#This Row],[Supplier ID]],Supplier[#All],5,0)</f>
        <v>MP</v>
      </c>
      <c r="H1272" s="138" t="str">
        <f>VLOOKUP(Purchase[[#This Row],[Supplier ID]],Supplier[#All],6,0)</f>
        <v>GST2154521T013</v>
      </c>
      <c r="I1272" s="138" t="s">
        <v>231</v>
      </c>
      <c r="J1272" s="139">
        <v>9</v>
      </c>
      <c r="K1272" s="143">
        <f>VLOOKUP(Purchase[[#This Row],[Product ID]],Product[#All],6,0)</f>
        <v>1862</v>
      </c>
      <c r="L1272" s="143">
        <f>Purchase[[#This Row],[Purchase Rate]]*Purchase[[#This Row],[Qty]]</f>
        <v>16758</v>
      </c>
      <c r="M1272" s="140">
        <v>0</v>
      </c>
      <c r="N1272" s="143">
        <v>0</v>
      </c>
      <c r="O1272" s="140">
        <v>0.18</v>
      </c>
      <c r="P1272" s="145">
        <f>(Purchase[[#This Row],[Gross Amount]]-Purchase[[#This Row],[Disct %]])*Purchase[[#This Row],[GST %]]</f>
        <v>3016.44</v>
      </c>
      <c r="Q1272" s="145">
        <f>Purchase[[#This Row],[Gross Amount]]-Purchase[[#This Row],[Disct Amnt]]+Purchase[[#This Row],[GST Amount]]</f>
        <v>19774.439999999999</v>
      </c>
      <c r="R1272" s="138" t="s">
        <v>1019</v>
      </c>
      <c r="S1272" s="41">
        <f>IF(Purchase[[#This Row],[Status]]="Cancelled",0,Purchase[[#This Row],[Qty]])</f>
        <v>9</v>
      </c>
      <c r="T1272" s="146">
        <f>IF(Purchase[[#This Row],[Status]]="Cancelled",0,Purchase[[#This Row],[Total Amount]])</f>
        <v>19774.439999999999</v>
      </c>
      <c r="U1272" s="146">
        <f>SUM(Purchase[Net Amount])</f>
        <v>814985438.68000126</v>
      </c>
    </row>
    <row r="1273" spans="1:21" ht="19.5" thickBot="1" x14ac:dyDescent="0.3">
      <c r="A1273" s="136" t="s">
        <v>2323</v>
      </c>
      <c r="B1273" s="137">
        <v>45721</v>
      </c>
      <c r="C1273" s="138" t="s">
        <v>579</v>
      </c>
      <c r="D1273" s="138" t="str">
        <f>VLOOKUP(Purchase[[#This Row],[Supplier ID]],Supplier[#All],2,0)</f>
        <v>Tech Traders</v>
      </c>
      <c r="E1273" s="138">
        <f>VLOOKUP(Purchase[[#This Row],[Supplier ID]],Supplier[#All],3,0)</f>
        <v>9689542463</v>
      </c>
      <c r="F1273" s="138" t="str">
        <f>VLOOKUP(Purchase[[#This Row],[Supplier ID]],Supplier[#All],4,0)</f>
        <v>Kanpur</v>
      </c>
      <c r="G1273" s="138" t="str">
        <f>VLOOKUP(Purchase[[#This Row],[Supplier ID]],Supplier[#All],5,0)</f>
        <v>UP</v>
      </c>
      <c r="H1273" s="138" t="str">
        <f>VLOOKUP(Purchase[[#This Row],[Supplier ID]],Supplier[#All],6,0)</f>
        <v>GST2154521T025</v>
      </c>
      <c r="I1273" s="138" t="s">
        <v>220</v>
      </c>
      <c r="J1273" s="139">
        <v>33</v>
      </c>
      <c r="K1273" s="143">
        <f>VLOOKUP(Purchase[[#This Row],[Product ID]],Product[#All],6,0)</f>
        <v>34163</v>
      </c>
      <c r="L1273" s="143">
        <f>Purchase[[#This Row],[Purchase Rate]]*Purchase[[#This Row],[Qty]]</f>
        <v>1127379</v>
      </c>
      <c r="M1273" s="140">
        <v>0</v>
      </c>
      <c r="N1273" s="143">
        <v>0</v>
      </c>
      <c r="O1273" s="140">
        <v>0.18</v>
      </c>
      <c r="P1273" s="145">
        <f>(Purchase[[#This Row],[Gross Amount]]-Purchase[[#This Row],[Disct %]])*Purchase[[#This Row],[GST %]]</f>
        <v>202928.22</v>
      </c>
      <c r="Q1273" s="145">
        <f>Purchase[[#This Row],[Gross Amount]]-Purchase[[#This Row],[Disct Amnt]]+Purchase[[#This Row],[GST Amount]]</f>
        <v>1330307.22</v>
      </c>
      <c r="R1273" s="138" t="s">
        <v>1040</v>
      </c>
      <c r="S1273" s="41">
        <f>IF(Purchase[[#This Row],[Status]]="Cancelled",0,Purchase[[#This Row],[Qty]])</f>
        <v>0</v>
      </c>
      <c r="T1273" s="146">
        <f>IF(Purchase[[#This Row],[Status]]="Cancelled",0,Purchase[[#This Row],[Total Amount]])</f>
        <v>0</v>
      </c>
      <c r="U1273" s="146">
        <f>SUM(Purchase[Net Amount])</f>
        <v>814985438.68000126</v>
      </c>
    </row>
    <row r="1274" spans="1:21" ht="19.5" thickBot="1" x14ac:dyDescent="0.3">
      <c r="A1274" s="136" t="s">
        <v>2324</v>
      </c>
      <c r="B1274" s="137">
        <v>45721</v>
      </c>
      <c r="C1274" s="138" t="s">
        <v>567</v>
      </c>
      <c r="D1274" s="138" t="str">
        <f>VLOOKUP(Purchase[[#This Row],[Supplier ID]],Supplier[#All],2,0)</f>
        <v>National Distributors</v>
      </c>
      <c r="E1274" s="138">
        <f>VLOOKUP(Purchase[[#This Row],[Supplier ID]],Supplier[#All],3,0)</f>
        <v>9689542453</v>
      </c>
      <c r="F1274" s="138" t="str">
        <f>VLOOKUP(Purchase[[#This Row],[Supplier ID]],Supplier[#All],4,0)</f>
        <v>Korba</v>
      </c>
      <c r="G1274" s="138" t="str">
        <f>VLOOKUP(Purchase[[#This Row],[Supplier ID]],Supplier[#All],5,0)</f>
        <v>CG</v>
      </c>
      <c r="H1274" s="138" t="str">
        <f>VLOOKUP(Purchase[[#This Row],[Supplier ID]],Supplier[#All],6,0)</f>
        <v>GST2154521T015</v>
      </c>
      <c r="I1274" s="138" t="s">
        <v>59</v>
      </c>
      <c r="J1274" s="139">
        <v>19</v>
      </c>
      <c r="K1274" s="143">
        <f>VLOOKUP(Purchase[[#This Row],[Product ID]],Product[#All],6,0)</f>
        <v>928</v>
      </c>
      <c r="L1274" s="143">
        <f>Purchase[[#This Row],[Purchase Rate]]*Purchase[[#This Row],[Qty]]</f>
        <v>17632</v>
      </c>
      <c r="M1274" s="140">
        <v>0</v>
      </c>
      <c r="N1274" s="143">
        <v>0</v>
      </c>
      <c r="O1274" s="140">
        <v>0.18</v>
      </c>
      <c r="P1274" s="145">
        <f>(Purchase[[#This Row],[Gross Amount]]-Purchase[[#This Row],[Disct %]])*Purchase[[#This Row],[GST %]]</f>
        <v>3173.7599999999998</v>
      </c>
      <c r="Q1274" s="145">
        <f>Purchase[[#This Row],[Gross Amount]]-Purchase[[#This Row],[Disct Amnt]]+Purchase[[#This Row],[GST Amount]]</f>
        <v>20805.759999999998</v>
      </c>
      <c r="R1274" s="138" t="s">
        <v>1019</v>
      </c>
      <c r="S1274" s="41">
        <f>IF(Purchase[[#This Row],[Status]]="Cancelled",0,Purchase[[#This Row],[Qty]])</f>
        <v>19</v>
      </c>
      <c r="T1274" s="146">
        <f>IF(Purchase[[#This Row],[Status]]="Cancelled",0,Purchase[[#This Row],[Total Amount]])</f>
        <v>20805.759999999998</v>
      </c>
      <c r="U1274" s="146">
        <f>SUM(Purchase[Net Amount])</f>
        <v>814985438.68000126</v>
      </c>
    </row>
    <row r="1275" spans="1:21" ht="19.5" thickBot="1" x14ac:dyDescent="0.3">
      <c r="A1275" s="136" t="s">
        <v>2325</v>
      </c>
      <c r="B1275" s="137">
        <v>45721</v>
      </c>
      <c r="C1275" s="138" t="s">
        <v>594</v>
      </c>
      <c r="D1275" s="138" t="str">
        <f>VLOOKUP(Purchase[[#This Row],[Supplier ID]],Supplier[#All],2,0)</f>
        <v>Shree Suppliers</v>
      </c>
      <c r="E1275" s="138">
        <f>VLOOKUP(Purchase[[#This Row],[Supplier ID]],Supplier[#All],3,0)</f>
        <v>9689542477</v>
      </c>
      <c r="F1275" s="138" t="str">
        <f>VLOOKUP(Purchase[[#This Row],[Supplier ID]],Supplier[#All],4,0)</f>
        <v>Indore</v>
      </c>
      <c r="G1275" s="138" t="str">
        <f>VLOOKUP(Purchase[[#This Row],[Supplier ID]],Supplier[#All],5,0)</f>
        <v>MP</v>
      </c>
      <c r="H1275" s="138" t="str">
        <f>VLOOKUP(Purchase[[#This Row],[Supplier ID]],Supplier[#All],6,0)</f>
        <v>GST2154521T039</v>
      </c>
      <c r="I1275" s="138" t="s">
        <v>480</v>
      </c>
      <c r="J1275" s="139">
        <v>36</v>
      </c>
      <c r="K1275" s="143">
        <f>VLOOKUP(Purchase[[#This Row],[Product ID]],Product[#All],6,0)</f>
        <v>1370</v>
      </c>
      <c r="L1275" s="143">
        <f>Purchase[[#This Row],[Purchase Rate]]*Purchase[[#This Row],[Qty]]</f>
        <v>49320</v>
      </c>
      <c r="M1275" s="140">
        <v>0</v>
      </c>
      <c r="N1275" s="143">
        <v>0</v>
      </c>
      <c r="O1275" s="140">
        <v>0.18</v>
      </c>
      <c r="P1275" s="145">
        <f>(Purchase[[#This Row],[Gross Amount]]-Purchase[[#This Row],[Disct %]])*Purchase[[#This Row],[GST %]]</f>
        <v>8877.6</v>
      </c>
      <c r="Q1275" s="145">
        <f>Purchase[[#This Row],[Gross Amount]]-Purchase[[#This Row],[Disct Amnt]]+Purchase[[#This Row],[GST Amount]]</f>
        <v>58197.599999999999</v>
      </c>
      <c r="R1275" s="138" t="s">
        <v>1019</v>
      </c>
      <c r="S1275" s="41">
        <f>IF(Purchase[[#This Row],[Status]]="Cancelled",0,Purchase[[#This Row],[Qty]])</f>
        <v>36</v>
      </c>
      <c r="T1275" s="146">
        <f>IF(Purchase[[#This Row],[Status]]="Cancelled",0,Purchase[[#This Row],[Total Amount]])</f>
        <v>58197.599999999999</v>
      </c>
      <c r="U1275" s="146">
        <f>SUM(Purchase[Net Amount])</f>
        <v>814985438.68000126</v>
      </c>
    </row>
    <row r="1276" spans="1:21" ht="19.5" thickBot="1" x14ac:dyDescent="0.3">
      <c r="A1276" s="136" t="s">
        <v>2326</v>
      </c>
      <c r="B1276" s="137">
        <v>45721</v>
      </c>
      <c r="C1276" s="138" t="s">
        <v>601</v>
      </c>
      <c r="D1276" s="138" t="str">
        <f>VLOOKUP(Purchase[[#This Row],[Supplier ID]],Supplier[#All],2,0)</f>
        <v>Maa Distributors</v>
      </c>
      <c r="E1276" s="138">
        <f>VLOOKUP(Purchase[[#This Row],[Supplier ID]],Supplier[#All],3,0)</f>
        <v>9689542484</v>
      </c>
      <c r="F1276" s="138" t="str">
        <f>VLOOKUP(Purchase[[#This Row],[Supplier ID]],Supplier[#All],4,0)</f>
        <v>Indore</v>
      </c>
      <c r="G1276" s="138" t="str">
        <f>VLOOKUP(Purchase[[#This Row],[Supplier ID]],Supplier[#All],5,0)</f>
        <v>MP</v>
      </c>
      <c r="H1276" s="138" t="str">
        <f>VLOOKUP(Purchase[[#This Row],[Supplier ID]],Supplier[#All],6,0)</f>
        <v>GST2154521T046</v>
      </c>
      <c r="I1276" s="138" t="s">
        <v>47</v>
      </c>
      <c r="J1276" s="139">
        <v>19</v>
      </c>
      <c r="K1276" s="143">
        <f>VLOOKUP(Purchase[[#This Row],[Product ID]],Product[#All],6,0)</f>
        <v>723</v>
      </c>
      <c r="L1276" s="143">
        <f>Purchase[[#This Row],[Purchase Rate]]*Purchase[[#This Row],[Qty]]</f>
        <v>13737</v>
      </c>
      <c r="M1276" s="140">
        <v>0</v>
      </c>
      <c r="N1276" s="143">
        <v>0</v>
      </c>
      <c r="O1276" s="140">
        <v>0.18</v>
      </c>
      <c r="P1276" s="145">
        <f>(Purchase[[#This Row],[Gross Amount]]-Purchase[[#This Row],[Disct %]])*Purchase[[#This Row],[GST %]]</f>
        <v>2472.66</v>
      </c>
      <c r="Q1276" s="145">
        <f>Purchase[[#This Row],[Gross Amount]]-Purchase[[#This Row],[Disct Amnt]]+Purchase[[#This Row],[GST Amount]]</f>
        <v>16209.66</v>
      </c>
      <c r="R1276" s="138" t="s">
        <v>1019</v>
      </c>
      <c r="S1276" s="41">
        <f>IF(Purchase[[#This Row],[Status]]="Cancelled",0,Purchase[[#This Row],[Qty]])</f>
        <v>19</v>
      </c>
      <c r="T1276" s="146">
        <f>IF(Purchase[[#This Row],[Status]]="Cancelled",0,Purchase[[#This Row],[Total Amount]])</f>
        <v>16209.66</v>
      </c>
      <c r="U1276" s="146">
        <f>SUM(Purchase[Net Amount])</f>
        <v>814985438.68000126</v>
      </c>
    </row>
    <row r="1277" spans="1:21" ht="19.5" thickBot="1" x14ac:dyDescent="0.3">
      <c r="A1277" s="136" t="s">
        <v>2327</v>
      </c>
      <c r="B1277" s="137">
        <v>45721</v>
      </c>
      <c r="C1277" s="138" t="s">
        <v>597</v>
      </c>
      <c r="D1277" s="138" t="str">
        <f>VLOOKUP(Purchase[[#This Row],[Supplier ID]],Supplier[#All],2,0)</f>
        <v>Tech Traders</v>
      </c>
      <c r="E1277" s="138">
        <f>VLOOKUP(Purchase[[#This Row],[Supplier ID]],Supplier[#All],3,0)</f>
        <v>9689542480</v>
      </c>
      <c r="F1277" s="138" t="str">
        <f>VLOOKUP(Purchase[[#This Row],[Supplier ID]],Supplier[#All],4,0)</f>
        <v>Kanpur</v>
      </c>
      <c r="G1277" s="138" t="str">
        <f>VLOOKUP(Purchase[[#This Row],[Supplier ID]],Supplier[#All],5,0)</f>
        <v>UP</v>
      </c>
      <c r="H1277" s="138" t="str">
        <f>VLOOKUP(Purchase[[#This Row],[Supplier ID]],Supplier[#All],6,0)</f>
        <v>GST2154521T042</v>
      </c>
      <c r="I1277" s="138" t="s">
        <v>554</v>
      </c>
      <c r="J1277" s="139">
        <v>7</v>
      </c>
      <c r="K1277" s="143">
        <f>VLOOKUP(Purchase[[#This Row],[Product ID]],Product[#All],6,0)</f>
        <v>4950</v>
      </c>
      <c r="L1277" s="143">
        <f>Purchase[[#This Row],[Purchase Rate]]*Purchase[[#This Row],[Qty]]</f>
        <v>34650</v>
      </c>
      <c r="M1277" s="140">
        <v>0</v>
      </c>
      <c r="N1277" s="143">
        <v>0</v>
      </c>
      <c r="O1277" s="140">
        <v>0.18</v>
      </c>
      <c r="P1277" s="145">
        <f>(Purchase[[#This Row],[Gross Amount]]-Purchase[[#This Row],[Disct %]])*Purchase[[#This Row],[GST %]]</f>
        <v>6237</v>
      </c>
      <c r="Q1277" s="145">
        <f>Purchase[[#This Row],[Gross Amount]]-Purchase[[#This Row],[Disct Amnt]]+Purchase[[#This Row],[GST Amount]]</f>
        <v>40887</v>
      </c>
      <c r="R1277" s="138" t="s">
        <v>1019</v>
      </c>
      <c r="S1277" s="41">
        <f>IF(Purchase[[#This Row],[Status]]="Cancelled",0,Purchase[[#This Row],[Qty]])</f>
        <v>7</v>
      </c>
      <c r="T1277" s="146">
        <f>IF(Purchase[[#This Row],[Status]]="Cancelled",0,Purchase[[#This Row],[Total Amount]])</f>
        <v>40887</v>
      </c>
      <c r="U1277" s="146">
        <f>SUM(Purchase[Net Amount])</f>
        <v>814985438.68000126</v>
      </c>
    </row>
    <row r="1278" spans="1:21" ht="19.5" thickBot="1" x14ac:dyDescent="0.3">
      <c r="A1278" s="136" t="s">
        <v>2328</v>
      </c>
      <c r="B1278" s="137">
        <v>45721</v>
      </c>
      <c r="C1278" s="138" t="s">
        <v>612</v>
      </c>
      <c r="D1278" s="138" t="str">
        <f>VLOOKUP(Purchase[[#This Row],[Supplier ID]],Supplier[#All],2,0)</f>
        <v>National Computers</v>
      </c>
      <c r="E1278" s="138">
        <f>VLOOKUP(Purchase[[#This Row],[Supplier ID]],Supplier[#All],3,0)</f>
        <v>9689542495</v>
      </c>
      <c r="F1278" s="138" t="str">
        <f>VLOOKUP(Purchase[[#This Row],[Supplier ID]],Supplier[#All],4,0)</f>
        <v>Indore</v>
      </c>
      <c r="G1278" s="138" t="str">
        <f>VLOOKUP(Purchase[[#This Row],[Supplier ID]],Supplier[#All],5,0)</f>
        <v>MP</v>
      </c>
      <c r="H1278" s="138" t="str">
        <f>VLOOKUP(Purchase[[#This Row],[Supplier ID]],Supplier[#All],6,0)</f>
        <v>GST2154521T057</v>
      </c>
      <c r="I1278" s="138" t="s">
        <v>181</v>
      </c>
      <c r="J1278" s="139">
        <v>11</v>
      </c>
      <c r="K1278" s="143">
        <f>VLOOKUP(Purchase[[#This Row],[Product ID]],Product[#All],6,0)</f>
        <v>4751</v>
      </c>
      <c r="L1278" s="143">
        <f>Purchase[[#This Row],[Purchase Rate]]*Purchase[[#This Row],[Qty]]</f>
        <v>52261</v>
      </c>
      <c r="M1278" s="140">
        <v>0</v>
      </c>
      <c r="N1278" s="143">
        <v>0</v>
      </c>
      <c r="O1278" s="140">
        <v>0.18</v>
      </c>
      <c r="P1278" s="145">
        <f>(Purchase[[#This Row],[Gross Amount]]-Purchase[[#This Row],[Disct %]])*Purchase[[#This Row],[GST %]]</f>
        <v>9406.98</v>
      </c>
      <c r="Q1278" s="145">
        <f>Purchase[[#This Row],[Gross Amount]]-Purchase[[#This Row],[Disct Amnt]]+Purchase[[#This Row],[GST Amount]]</f>
        <v>61667.979999999996</v>
      </c>
      <c r="R1278" s="138" t="s">
        <v>1019</v>
      </c>
      <c r="S1278" s="41">
        <f>IF(Purchase[[#This Row],[Status]]="Cancelled",0,Purchase[[#This Row],[Qty]])</f>
        <v>11</v>
      </c>
      <c r="T1278" s="146">
        <f>IF(Purchase[[#This Row],[Status]]="Cancelled",0,Purchase[[#This Row],[Total Amount]])</f>
        <v>61667.979999999996</v>
      </c>
      <c r="U1278" s="146">
        <f>SUM(Purchase[Net Amount])</f>
        <v>814985438.68000126</v>
      </c>
    </row>
    <row r="1279" spans="1:21" ht="19.5" thickBot="1" x14ac:dyDescent="0.3">
      <c r="A1279" s="136" t="s">
        <v>2329</v>
      </c>
      <c r="B1279" s="137">
        <v>45721</v>
      </c>
      <c r="C1279" s="138" t="s">
        <v>587</v>
      </c>
      <c r="D1279" s="138" t="str">
        <f>VLOOKUP(Purchase[[#This Row],[Supplier ID]],Supplier[#All],2,0)</f>
        <v>maa distributors</v>
      </c>
      <c r="E1279" s="138">
        <f>VLOOKUP(Purchase[[#This Row],[Supplier ID]],Supplier[#All],3,0)</f>
        <v>9689542479</v>
      </c>
      <c r="F1279" s="138" t="str">
        <f>VLOOKUP(Purchase[[#This Row],[Supplier ID]],Supplier[#All],4,0)</f>
        <v>Indore</v>
      </c>
      <c r="G1279" s="138" t="str">
        <f>VLOOKUP(Purchase[[#This Row],[Supplier ID]],Supplier[#All],5,0)</f>
        <v>MP</v>
      </c>
      <c r="H1279" s="138" t="str">
        <f>VLOOKUP(Purchase[[#This Row],[Supplier ID]],Supplier[#All],6,0)</f>
        <v>GST2154521T033</v>
      </c>
      <c r="I1279" s="138" t="s">
        <v>162</v>
      </c>
      <c r="J1279" s="139">
        <v>27</v>
      </c>
      <c r="K1279" s="143">
        <f>VLOOKUP(Purchase[[#This Row],[Product ID]],Product[#All],6,0)</f>
        <v>724</v>
      </c>
      <c r="L1279" s="143">
        <f>Purchase[[#This Row],[Purchase Rate]]*Purchase[[#This Row],[Qty]]</f>
        <v>19548</v>
      </c>
      <c r="M1279" s="140">
        <v>0</v>
      </c>
      <c r="N1279" s="143">
        <v>0</v>
      </c>
      <c r="O1279" s="140">
        <v>0.18</v>
      </c>
      <c r="P1279" s="145">
        <f>(Purchase[[#This Row],[Gross Amount]]-Purchase[[#This Row],[Disct %]])*Purchase[[#This Row],[GST %]]</f>
        <v>3518.64</v>
      </c>
      <c r="Q1279" s="145">
        <f>Purchase[[#This Row],[Gross Amount]]-Purchase[[#This Row],[Disct Amnt]]+Purchase[[#This Row],[GST Amount]]</f>
        <v>23066.639999999999</v>
      </c>
      <c r="R1279" s="138" t="s">
        <v>1019</v>
      </c>
      <c r="S1279" s="41">
        <f>IF(Purchase[[#This Row],[Status]]="Cancelled",0,Purchase[[#This Row],[Qty]])</f>
        <v>27</v>
      </c>
      <c r="T1279" s="146">
        <f>IF(Purchase[[#This Row],[Status]]="Cancelled",0,Purchase[[#This Row],[Total Amount]])</f>
        <v>23066.639999999999</v>
      </c>
      <c r="U1279" s="146">
        <f>SUM(Purchase[Net Amount])</f>
        <v>814985438.68000126</v>
      </c>
    </row>
    <row r="1280" spans="1:21" ht="19.5" thickBot="1" x14ac:dyDescent="0.3">
      <c r="A1280" s="136" t="s">
        <v>2330</v>
      </c>
      <c r="B1280" s="137">
        <v>45721</v>
      </c>
      <c r="C1280" s="138" t="s">
        <v>580</v>
      </c>
      <c r="D1280" s="138" t="str">
        <f>VLOOKUP(Purchase[[#This Row],[Supplier ID]],Supplier[#All],2,0)</f>
        <v>Star Distributors</v>
      </c>
      <c r="E1280" s="138">
        <f>VLOOKUP(Purchase[[#This Row],[Supplier ID]],Supplier[#All],3,0)</f>
        <v>9689542464</v>
      </c>
      <c r="F1280" s="138" t="str">
        <f>VLOOKUP(Purchase[[#This Row],[Supplier ID]],Supplier[#All],4,0)</f>
        <v>Indore</v>
      </c>
      <c r="G1280" s="138" t="str">
        <f>VLOOKUP(Purchase[[#This Row],[Supplier ID]],Supplier[#All],5,0)</f>
        <v>MP</v>
      </c>
      <c r="H1280" s="138" t="str">
        <f>VLOOKUP(Purchase[[#This Row],[Supplier ID]],Supplier[#All],6,0)</f>
        <v>GST2154521T026</v>
      </c>
      <c r="I1280" s="138" t="s">
        <v>214</v>
      </c>
      <c r="J1280" s="139">
        <v>3</v>
      </c>
      <c r="K1280" s="143">
        <f>VLOOKUP(Purchase[[#This Row],[Product ID]],Product[#All],6,0)</f>
        <v>8627</v>
      </c>
      <c r="L1280" s="143">
        <f>Purchase[[#This Row],[Purchase Rate]]*Purchase[[#This Row],[Qty]]</f>
        <v>25881</v>
      </c>
      <c r="M1280" s="140">
        <v>0</v>
      </c>
      <c r="N1280" s="143">
        <v>0</v>
      </c>
      <c r="O1280" s="140">
        <v>0.18</v>
      </c>
      <c r="P1280" s="145">
        <f>(Purchase[[#This Row],[Gross Amount]]-Purchase[[#This Row],[Disct %]])*Purchase[[#This Row],[GST %]]</f>
        <v>4658.58</v>
      </c>
      <c r="Q1280" s="145">
        <f>Purchase[[#This Row],[Gross Amount]]-Purchase[[#This Row],[Disct Amnt]]+Purchase[[#This Row],[GST Amount]]</f>
        <v>30539.58</v>
      </c>
      <c r="R1280" s="138" t="s">
        <v>1019</v>
      </c>
      <c r="S1280" s="41">
        <f>IF(Purchase[[#This Row],[Status]]="Cancelled",0,Purchase[[#This Row],[Qty]])</f>
        <v>3</v>
      </c>
      <c r="T1280" s="146">
        <f>IF(Purchase[[#This Row],[Status]]="Cancelled",0,Purchase[[#This Row],[Total Amount]])</f>
        <v>30539.58</v>
      </c>
      <c r="U1280" s="146">
        <f>SUM(Purchase[Net Amount])</f>
        <v>814985438.68000126</v>
      </c>
    </row>
    <row r="1281" spans="1:21" ht="19.5" thickBot="1" x14ac:dyDescent="0.3">
      <c r="A1281" s="136" t="s">
        <v>2331</v>
      </c>
      <c r="B1281" s="137">
        <v>45721</v>
      </c>
      <c r="C1281" s="138" t="s">
        <v>591</v>
      </c>
      <c r="D1281" s="138" t="str">
        <f>VLOOKUP(Purchase[[#This Row],[Supplier ID]],Supplier[#All],2,0)</f>
        <v>Shree Computers</v>
      </c>
      <c r="E1281" s="138">
        <f>VLOOKUP(Purchase[[#This Row],[Supplier ID]],Supplier[#All],3,0)</f>
        <v>9689542475</v>
      </c>
      <c r="F1281" s="138" t="str">
        <f>VLOOKUP(Purchase[[#This Row],[Supplier ID]],Supplier[#All],4,0)</f>
        <v>Indore</v>
      </c>
      <c r="G1281" s="138" t="str">
        <f>VLOOKUP(Purchase[[#This Row],[Supplier ID]],Supplier[#All],5,0)</f>
        <v>MP</v>
      </c>
      <c r="H1281" s="138" t="str">
        <f>VLOOKUP(Purchase[[#This Row],[Supplier ID]],Supplier[#All],6,0)</f>
        <v>GST2154521T037</v>
      </c>
      <c r="I1281" s="138" t="s">
        <v>385</v>
      </c>
      <c r="J1281" s="139">
        <v>3</v>
      </c>
      <c r="K1281" s="143">
        <f>VLOOKUP(Purchase[[#This Row],[Product ID]],Product[#All],6,0)</f>
        <v>1060</v>
      </c>
      <c r="L1281" s="143">
        <f>Purchase[[#This Row],[Purchase Rate]]*Purchase[[#This Row],[Qty]]</f>
        <v>3180</v>
      </c>
      <c r="M1281" s="140">
        <v>0</v>
      </c>
      <c r="N1281" s="143">
        <v>0</v>
      </c>
      <c r="O1281" s="140">
        <v>0.18</v>
      </c>
      <c r="P1281" s="145">
        <f>(Purchase[[#This Row],[Gross Amount]]-Purchase[[#This Row],[Disct %]])*Purchase[[#This Row],[GST %]]</f>
        <v>572.4</v>
      </c>
      <c r="Q1281" s="145">
        <f>Purchase[[#This Row],[Gross Amount]]-Purchase[[#This Row],[Disct Amnt]]+Purchase[[#This Row],[GST Amount]]</f>
        <v>3752.4</v>
      </c>
      <c r="R1281" s="138" t="s">
        <v>1019</v>
      </c>
      <c r="S1281" s="41">
        <f>IF(Purchase[[#This Row],[Status]]="Cancelled",0,Purchase[[#This Row],[Qty]])</f>
        <v>3</v>
      </c>
      <c r="T1281" s="146">
        <f>IF(Purchase[[#This Row],[Status]]="Cancelled",0,Purchase[[#This Row],[Total Amount]])</f>
        <v>3752.4</v>
      </c>
      <c r="U1281" s="146">
        <f>SUM(Purchase[Net Amount])</f>
        <v>814985438.68000126</v>
      </c>
    </row>
    <row r="1282" spans="1:21" ht="19.5" thickBot="1" x14ac:dyDescent="0.3">
      <c r="A1282" s="136" t="s">
        <v>2332</v>
      </c>
      <c r="B1282" s="137">
        <v>45721</v>
      </c>
      <c r="C1282" s="138" t="s">
        <v>569</v>
      </c>
      <c r="D1282" s="138" t="str">
        <f>VLOOKUP(Purchase[[#This Row],[Supplier ID]],Supplier[#All],2,0)</f>
        <v>Tech Electronics</v>
      </c>
      <c r="E1282" s="138">
        <f>VLOOKUP(Purchase[[#This Row],[Supplier ID]],Supplier[#All],3,0)</f>
        <v>9689542455</v>
      </c>
      <c r="F1282" s="138" t="str">
        <f>VLOOKUP(Purchase[[#This Row],[Supplier ID]],Supplier[#All],4,0)</f>
        <v>Korba</v>
      </c>
      <c r="G1282" s="138" t="str">
        <f>VLOOKUP(Purchase[[#This Row],[Supplier ID]],Supplier[#All],5,0)</f>
        <v>CG</v>
      </c>
      <c r="H1282" s="138" t="str">
        <f>VLOOKUP(Purchase[[#This Row],[Supplier ID]],Supplier[#All],6,0)</f>
        <v>GST2154521T017</v>
      </c>
      <c r="I1282" s="138" t="s">
        <v>145</v>
      </c>
      <c r="J1282" s="139">
        <v>14</v>
      </c>
      <c r="K1282" s="143">
        <f>VLOOKUP(Purchase[[#This Row],[Product ID]],Product[#All],6,0)</f>
        <v>7623</v>
      </c>
      <c r="L1282" s="143">
        <f>Purchase[[#This Row],[Purchase Rate]]*Purchase[[#This Row],[Qty]]</f>
        <v>106722</v>
      </c>
      <c r="M1282" s="140">
        <v>0</v>
      </c>
      <c r="N1282" s="143">
        <v>0</v>
      </c>
      <c r="O1282" s="140">
        <v>0.18</v>
      </c>
      <c r="P1282" s="145">
        <f>(Purchase[[#This Row],[Gross Amount]]-Purchase[[#This Row],[Disct %]])*Purchase[[#This Row],[GST %]]</f>
        <v>19209.96</v>
      </c>
      <c r="Q1282" s="145">
        <f>Purchase[[#This Row],[Gross Amount]]-Purchase[[#This Row],[Disct Amnt]]+Purchase[[#This Row],[GST Amount]]</f>
        <v>125931.95999999999</v>
      </c>
      <c r="R1282" s="138" t="s">
        <v>1019</v>
      </c>
      <c r="S1282" s="41">
        <f>IF(Purchase[[#This Row],[Status]]="Cancelled",0,Purchase[[#This Row],[Qty]])</f>
        <v>14</v>
      </c>
      <c r="T1282" s="146">
        <f>IF(Purchase[[#This Row],[Status]]="Cancelled",0,Purchase[[#This Row],[Total Amount]])</f>
        <v>125931.95999999999</v>
      </c>
      <c r="U1282" s="146">
        <f>SUM(Purchase[Net Amount])</f>
        <v>814985438.68000126</v>
      </c>
    </row>
    <row r="1283" spans="1:21" ht="19.5" thickBot="1" x14ac:dyDescent="0.3">
      <c r="A1283" s="136" t="s">
        <v>2333</v>
      </c>
      <c r="B1283" s="137">
        <v>45721</v>
      </c>
      <c r="C1283" s="138" t="s">
        <v>576</v>
      </c>
      <c r="D1283" s="138" t="str">
        <f>VLOOKUP(Purchase[[#This Row],[Supplier ID]],Supplier[#All],2,0)</f>
        <v>Maa Distributors</v>
      </c>
      <c r="E1283" s="138">
        <f>VLOOKUP(Purchase[[#This Row],[Supplier ID]],Supplier[#All],3,0)</f>
        <v>9689542460</v>
      </c>
      <c r="F1283" s="138" t="str">
        <f>VLOOKUP(Purchase[[#This Row],[Supplier ID]],Supplier[#All],4,0)</f>
        <v>Korba</v>
      </c>
      <c r="G1283" s="138" t="str">
        <f>VLOOKUP(Purchase[[#This Row],[Supplier ID]],Supplier[#All],5,0)</f>
        <v>CG</v>
      </c>
      <c r="H1283" s="138" t="str">
        <f>VLOOKUP(Purchase[[#This Row],[Supplier ID]],Supplier[#All],6,0)</f>
        <v>GST2154521T022</v>
      </c>
      <c r="I1283" s="138" t="s">
        <v>91</v>
      </c>
      <c r="J1283" s="139">
        <v>33</v>
      </c>
      <c r="K1283" s="143">
        <f>VLOOKUP(Purchase[[#This Row],[Product ID]],Product[#All],6,0)</f>
        <v>3315</v>
      </c>
      <c r="L1283" s="143">
        <f>Purchase[[#This Row],[Purchase Rate]]*Purchase[[#This Row],[Qty]]</f>
        <v>109395</v>
      </c>
      <c r="M1283" s="140">
        <v>0</v>
      </c>
      <c r="N1283" s="143">
        <v>0</v>
      </c>
      <c r="O1283" s="140">
        <v>0.18</v>
      </c>
      <c r="P1283" s="145">
        <f>(Purchase[[#This Row],[Gross Amount]]-Purchase[[#This Row],[Disct %]])*Purchase[[#This Row],[GST %]]</f>
        <v>19691.099999999999</v>
      </c>
      <c r="Q1283" s="145">
        <f>Purchase[[#This Row],[Gross Amount]]-Purchase[[#This Row],[Disct Amnt]]+Purchase[[#This Row],[GST Amount]]</f>
        <v>129086.1</v>
      </c>
      <c r="R1283" s="138" t="s">
        <v>1040</v>
      </c>
      <c r="S1283" s="41">
        <f>IF(Purchase[[#This Row],[Status]]="Cancelled",0,Purchase[[#This Row],[Qty]])</f>
        <v>0</v>
      </c>
      <c r="T1283" s="146">
        <f>IF(Purchase[[#This Row],[Status]]="Cancelled",0,Purchase[[#This Row],[Total Amount]])</f>
        <v>0</v>
      </c>
      <c r="U1283" s="146">
        <f>SUM(Purchase[Net Amount])</f>
        <v>814985438.68000126</v>
      </c>
    </row>
    <row r="1284" spans="1:21" ht="19.5" thickBot="1" x14ac:dyDescent="0.3">
      <c r="A1284" s="136" t="s">
        <v>2334</v>
      </c>
      <c r="B1284" s="137">
        <v>45721</v>
      </c>
      <c r="C1284" s="138" t="s">
        <v>598</v>
      </c>
      <c r="D1284" s="138" t="str">
        <f>VLOOKUP(Purchase[[#This Row],[Supplier ID]],Supplier[#All],2,0)</f>
        <v>National Distributors</v>
      </c>
      <c r="E1284" s="138">
        <f>VLOOKUP(Purchase[[#This Row],[Supplier ID]],Supplier[#All],3,0)</f>
        <v>9689542489</v>
      </c>
      <c r="F1284" s="138" t="str">
        <f>VLOOKUP(Purchase[[#This Row],[Supplier ID]],Supplier[#All],4,0)</f>
        <v>Indore</v>
      </c>
      <c r="G1284" s="138" t="str">
        <f>VLOOKUP(Purchase[[#This Row],[Supplier ID]],Supplier[#All],5,0)</f>
        <v>MP</v>
      </c>
      <c r="H1284" s="138" t="str">
        <f>VLOOKUP(Purchase[[#This Row],[Supplier ID]],Supplier[#All],6,0)</f>
        <v>GST2154521T043</v>
      </c>
      <c r="I1284" s="138" t="s">
        <v>153</v>
      </c>
      <c r="J1284" s="139">
        <v>15</v>
      </c>
      <c r="K1284" s="143">
        <f>VLOOKUP(Purchase[[#This Row],[Product ID]],Product[#All],6,0)</f>
        <v>835</v>
      </c>
      <c r="L1284" s="143">
        <f>Purchase[[#This Row],[Purchase Rate]]*Purchase[[#This Row],[Qty]]</f>
        <v>12525</v>
      </c>
      <c r="M1284" s="140">
        <v>0</v>
      </c>
      <c r="N1284" s="143">
        <v>0</v>
      </c>
      <c r="O1284" s="140">
        <v>0.18</v>
      </c>
      <c r="P1284" s="145">
        <f>(Purchase[[#This Row],[Gross Amount]]-Purchase[[#This Row],[Disct %]])*Purchase[[#This Row],[GST %]]</f>
        <v>2254.5</v>
      </c>
      <c r="Q1284" s="145">
        <f>Purchase[[#This Row],[Gross Amount]]-Purchase[[#This Row],[Disct Amnt]]+Purchase[[#This Row],[GST Amount]]</f>
        <v>14779.5</v>
      </c>
      <c r="R1284" s="138" t="s">
        <v>1040</v>
      </c>
      <c r="S1284" s="41">
        <f>IF(Purchase[[#This Row],[Status]]="Cancelled",0,Purchase[[#This Row],[Qty]])</f>
        <v>0</v>
      </c>
      <c r="T1284" s="146">
        <f>IF(Purchase[[#This Row],[Status]]="Cancelled",0,Purchase[[#This Row],[Total Amount]])</f>
        <v>0</v>
      </c>
      <c r="U1284" s="146">
        <f>SUM(Purchase[Net Amount])</f>
        <v>814985438.68000126</v>
      </c>
    </row>
    <row r="1285" spans="1:21" ht="19.5" thickBot="1" x14ac:dyDescent="0.3">
      <c r="A1285" s="136" t="s">
        <v>2335</v>
      </c>
      <c r="B1285" s="137">
        <v>45721</v>
      </c>
      <c r="C1285" s="138" t="s">
        <v>600</v>
      </c>
      <c r="D1285" s="138" t="str">
        <f>VLOOKUP(Purchase[[#This Row],[Supplier ID]],Supplier[#All],2,0)</f>
        <v>Prime Suppliers</v>
      </c>
      <c r="E1285" s="138">
        <f>VLOOKUP(Purchase[[#This Row],[Supplier ID]],Supplier[#All],3,0)</f>
        <v>9689542483</v>
      </c>
      <c r="F1285" s="138" t="str">
        <f>VLOOKUP(Purchase[[#This Row],[Supplier ID]],Supplier[#All],4,0)</f>
        <v>Korba</v>
      </c>
      <c r="G1285" s="138" t="str">
        <f>VLOOKUP(Purchase[[#This Row],[Supplier ID]],Supplier[#All],5,0)</f>
        <v>CG</v>
      </c>
      <c r="H1285" s="138" t="str">
        <f>VLOOKUP(Purchase[[#This Row],[Supplier ID]],Supplier[#All],6,0)</f>
        <v>GST2154521T045</v>
      </c>
      <c r="I1285" s="138" t="s">
        <v>115</v>
      </c>
      <c r="J1285" s="139">
        <v>22</v>
      </c>
      <c r="K1285" s="143">
        <f>VLOOKUP(Purchase[[#This Row],[Product ID]],Product[#All],6,0)</f>
        <v>1444</v>
      </c>
      <c r="L1285" s="143">
        <f>Purchase[[#This Row],[Purchase Rate]]*Purchase[[#This Row],[Qty]]</f>
        <v>31768</v>
      </c>
      <c r="M1285" s="140">
        <v>0</v>
      </c>
      <c r="N1285" s="143">
        <v>0</v>
      </c>
      <c r="O1285" s="140">
        <v>0.18</v>
      </c>
      <c r="P1285" s="145">
        <f>(Purchase[[#This Row],[Gross Amount]]-Purchase[[#This Row],[Disct %]])*Purchase[[#This Row],[GST %]]</f>
        <v>5718.24</v>
      </c>
      <c r="Q1285" s="145">
        <f>Purchase[[#This Row],[Gross Amount]]-Purchase[[#This Row],[Disct Amnt]]+Purchase[[#This Row],[GST Amount]]</f>
        <v>37486.239999999998</v>
      </c>
      <c r="R1285" s="138" t="s">
        <v>1019</v>
      </c>
      <c r="S1285" s="41">
        <f>IF(Purchase[[#This Row],[Status]]="Cancelled",0,Purchase[[#This Row],[Qty]])</f>
        <v>22</v>
      </c>
      <c r="T1285" s="146">
        <f>IF(Purchase[[#This Row],[Status]]="Cancelled",0,Purchase[[#This Row],[Total Amount]])</f>
        <v>37486.239999999998</v>
      </c>
      <c r="U1285" s="146">
        <f>SUM(Purchase[Net Amount])</f>
        <v>814985438.68000126</v>
      </c>
    </row>
    <row r="1286" spans="1:21" ht="19.5" thickBot="1" x14ac:dyDescent="0.3">
      <c r="A1286" s="136" t="s">
        <v>2336</v>
      </c>
      <c r="B1286" s="137">
        <v>45721</v>
      </c>
      <c r="C1286" s="138" t="s">
        <v>576</v>
      </c>
      <c r="D1286" s="138" t="str">
        <f>VLOOKUP(Purchase[[#This Row],[Supplier ID]],Supplier[#All],2,0)</f>
        <v>Maa Distributors</v>
      </c>
      <c r="E1286" s="138">
        <f>VLOOKUP(Purchase[[#This Row],[Supplier ID]],Supplier[#All],3,0)</f>
        <v>9689542460</v>
      </c>
      <c r="F1286" s="138" t="str">
        <f>VLOOKUP(Purchase[[#This Row],[Supplier ID]],Supplier[#All],4,0)</f>
        <v>Korba</v>
      </c>
      <c r="G1286" s="138" t="str">
        <f>VLOOKUP(Purchase[[#This Row],[Supplier ID]],Supplier[#All],5,0)</f>
        <v>CG</v>
      </c>
      <c r="H1286" s="138" t="str">
        <f>VLOOKUP(Purchase[[#This Row],[Supplier ID]],Supplier[#All],6,0)</f>
        <v>GST2154521T022</v>
      </c>
      <c r="I1286" s="138" t="s">
        <v>479</v>
      </c>
      <c r="J1286" s="139">
        <v>29</v>
      </c>
      <c r="K1286" s="143">
        <f>VLOOKUP(Purchase[[#This Row],[Product ID]],Product[#All],6,0)</f>
        <v>4548</v>
      </c>
      <c r="L1286" s="143">
        <f>Purchase[[#This Row],[Purchase Rate]]*Purchase[[#This Row],[Qty]]</f>
        <v>131892</v>
      </c>
      <c r="M1286" s="140">
        <v>0</v>
      </c>
      <c r="N1286" s="143">
        <v>0</v>
      </c>
      <c r="O1286" s="140">
        <v>0.18</v>
      </c>
      <c r="P1286" s="145">
        <f>(Purchase[[#This Row],[Gross Amount]]-Purchase[[#This Row],[Disct %]])*Purchase[[#This Row],[GST %]]</f>
        <v>23740.559999999998</v>
      </c>
      <c r="Q1286" s="145">
        <f>Purchase[[#This Row],[Gross Amount]]-Purchase[[#This Row],[Disct Amnt]]+Purchase[[#This Row],[GST Amount]]</f>
        <v>155632.56</v>
      </c>
      <c r="R1286" s="138" t="s">
        <v>1019</v>
      </c>
      <c r="S1286" s="41">
        <f>IF(Purchase[[#This Row],[Status]]="Cancelled",0,Purchase[[#This Row],[Qty]])</f>
        <v>29</v>
      </c>
      <c r="T1286" s="146">
        <f>IF(Purchase[[#This Row],[Status]]="Cancelled",0,Purchase[[#This Row],[Total Amount]])</f>
        <v>155632.56</v>
      </c>
      <c r="U1286" s="146">
        <f>SUM(Purchase[Net Amount])</f>
        <v>814985438.68000126</v>
      </c>
    </row>
    <row r="1287" spans="1:21" ht="19.5" thickBot="1" x14ac:dyDescent="0.3">
      <c r="A1287" s="136" t="s">
        <v>2337</v>
      </c>
      <c r="B1287" s="137">
        <v>45721</v>
      </c>
      <c r="C1287" s="138" t="s">
        <v>615</v>
      </c>
      <c r="D1287" s="138" t="str">
        <f>VLOOKUP(Purchase[[#This Row],[Supplier ID]],Supplier[#All],2,0)</f>
        <v>NATIONAL ELECTRONICS</v>
      </c>
      <c r="E1287" s="138">
        <f>VLOOKUP(Purchase[[#This Row],[Supplier ID]],Supplier[#All],3,0)</f>
        <v>9689542498</v>
      </c>
      <c r="F1287" s="138" t="str">
        <f>VLOOKUP(Purchase[[#This Row],[Supplier ID]],Supplier[#All],4,0)</f>
        <v>Kanpur</v>
      </c>
      <c r="G1287" s="138" t="str">
        <f>VLOOKUP(Purchase[[#This Row],[Supplier ID]],Supplier[#All],5,0)</f>
        <v>UP</v>
      </c>
      <c r="H1287" s="138" t="str">
        <f>VLOOKUP(Purchase[[#This Row],[Supplier ID]],Supplier[#All],6,0)</f>
        <v>GST2154521T060</v>
      </c>
      <c r="I1287" s="138" t="s">
        <v>222</v>
      </c>
      <c r="J1287" s="139">
        <v>21</v>
      </c>
      <c r="K1287" s="143">
        <f>VLOOKUP(Purchase[[#This Row],[Product ID]],Product[#All],6,0)</f>
        <v>6513</v>
      </c>
      <c r="L1287" s="143">
        <f>Purchase[[#This Row],[Purchase Rate]]*Purchase[[#This Row],[Qty]]</f>
        <v>136773</v>
      </c>
      <c r="M1287" s="140">
        <v>0</v>
      </c>
      <c r="N1287" s="143">
        <v>0</v>
      </c>
      <c r="O1287" s="140">
        <v>0.18</v>
      </c>
      <c r="P1287" s="145">
        <f>(Purchase[[#This Row],[Gross Amount]]-Purchase[[#This Row],[Disct %]])*Purchase[[#This Row],[GST %]]</f>
        <v>24619.14</v>
      </c>
      <c r="Q1287" s="145">
        <f>Purchase[[#This Row],[Gross Amount]]-Purchase[[#This Row],[Disct Amnt]]+Purchase[[#This Row],[GST Amount]]</f>
        <v>161392.14000000001</v>
      </c>
      <c r="R1287" s="138" t="s">
        <v>1019</v>
      </c>
      <c r="S1287" s="41">
        <f>IF(Purchase[[#This Row],[Status]]="Cancelled",0,Purchase[[#This Row],[Qty]])</f>
        <v>21</v>
      </c>
      <c r="T1287" s="146">
        <f>IF(Purchase[[#This Row],[Status]]="Cancelled",0,Purchase[[#This Row],[Total Amount]])</f>
        <v>161392.14000000001</v>
      </c>
      <c r="U1287" s="146">
        <f>SUM(Purchase[Net Amount])</f>
        <v>814985438.68000126</v>
      </c>
    </row>
    <row r="1288" spans="1:21" ht="19.5" thickBot="1" x14ac:dyDescent="0.3">
      <c r="A1288" s="136" t="s">
        <v>2338</v>
      </c>
      <c r="B1288" s="137">
        <v>45721</v>
      </c>
      <c r="C1288" s="138" t="s">
        <v>606</v>
      </c>
      <c r="D1288" s="138" t="str">
        <f>VLOOKUP(Purchase[[#This Row],[Supplier ID]],Supplier[#All],2,0)</f>
        <v>Prime Traders</v>
      </c>
      <c r="E1288" s="138">
        <f>VLOOKUP(Purchase[[#This Row],[Supplier ID]],Supplier[#All],3,0)</f>
        <v>9689542489</v>
      </c>
      <c r="F1288" s="138" t="str">
        <f>VLOOKUP(Purchase[[#This Row],[Supplier ID]],Supplier[#All],4,0)</f>
        <v>Indore</v>
      </c>
      <c r="G1288" s="138" t="str">
        <f>VLOOKUP(Purchase[[#This Row],[Supplier ID]],Supplier[#All],5,0)</f>
        <v>MP</v>
      </c>
      <c r="H1288" s="138" t="str">
        <f>VLOOKUP(Purchase[[#This Row],[Supplier ID]],Supplier[#All],6,0)</f>
        <v>GST2154521T051</v>
      </c>
      <c r="I1288" s="138" t="s">
        <v>336</v>
      </c>
      <c r="J1288" s="139">
        <v>40</v>
      </c>
      <c r="K1288" s="143">
        <f>VLOOKUP(Purchase[[#This Row],[Product ID]],Product[#All],6,0)</f>
        <v>1127</v>
      </c>
      <c r="L1288" s="143">
        <f>Purchase[[#This Row],[Purchase Rate]]*Purchase[[#This Row],[Qty]]</f>
        <v>45080</v>
      </c>
      <c r="M1288" s="140">
        <v>0</v>
      </c>
      <c r="N1288" s="143">
        <v>0</v>
      </c>
      <c r="O1288" s="140">
        <v>0.18</v>
      </c>
      <c r="P1288" s="145">
        <f>(Purchase[[#This Row],[Gross Amount]]-Purchase[[#This Row],[Disct %]])*Purchase[[#This Row],[GST %]]</f>
        <v>8114.4</v>
      </c>
      <c r="Q1288" s="145">
        <f>Purchase[[#This Row],[Gross Amount]]-Purchase[[#This Row],[Disct Amnt]]+Purchase[[#This Row],[GST Amount]]</f>
        <v>53194.400000000001</v>
      </c>
      <c r="R1288" s="138" t="s">
        <v>1019</v>
      </c>
      <c r="S1288" s="41">
        <f>IF(Purchase[[#This Row],[Status]]="Cancelled",0,Purchase[[#This Row],[Qty]])</f>
        <v>40</v>
      </c>
      <c r="T1288" s="146">
        <f>IF(Purchase[[#This Row],[Status]]="Cancelled",0,Purchase[[#This Row],[Total Amount]])</f>
        <v>53194.400000000001</v>
      </c>
      <c r="U1288" s="146">
        <f>SUM(Purchase[Net Amount])</f>
        <v>814985438.68000126</v>
      </c>
    </row>
    <row r="1289" spans="1:21" ht="19.5" thickBot="1" x14ac:dyDescent="0.3">
      <c r="A1289" s="136" t="s">
        <v>2339</v>
      </c>
      <c r="B1289" s="137">
        <v>45722</v>
      </c>
      <c r="C1289" s="138" t="s">
        <v>565</v>
      </c>
      <c r="D1289" s="138" t="str">
        <f>VLOOKUP(Purchase[[#This Row],[Supplier ID]],Supplier[#All],2,0)</f>
        <v>Global Suppliers</v>
      </c>
      <c r="E1289" s="138">
        <f>VLOOKUP(Purchase[[#This Row],[Supplier ID]],Supplier[#All],3,0)</f>
        <v>9689542459</v>
      </c>
      <c r="F1289" s="138" t="str">
        <f>VLOOKUP(Purchase[[#This Row],[Supplier ID]],Supplier[#All],4,0)</f>
        <v>Indore</v>
      </c>
      <c r="G1289" s="138" t="str">
        <f>VLOOKUP(Purchase[[#This Row],[Supplier ID]],Supplier[#All],5,0)</f>
        <v>MP</v>
      </c>
      <c r="H1289" s="138" t="str">
        <f>VLOOKUP(Purchase[[#This Row],[Supplier ID]],Supplier[#All],6,0)</f>
        <v>GST2154521T013</v>
      </c>
      <c r="I1289" s="138" t="s">
        <v>222</v>
      </c>
      <c r="J1289" s="139">
        <v>30</v>
      </c>
      <c r="K1289" s="143">
        <f>VLOOKUP(Purchase[[#This Row],[Product ID]],Product[#All],6,0)</f>
        <v>6513</v>
      </c>
      <c r="L1289" s="143">
        <f>Purchase[[#This Row],[Purchase Rate]]*Purchase[[#This Row],[Qty]]</f>
        <v>195390</v>
      </c>
      <c r="M1289" s="140">
        <v>0</v>
      </c>
      <c r="N1289" s="143">
        <v>0</v>
      </c>
      <c r="O1289" s="140">
        <v>0.18</v>
      </c>
      <c r="P1289" s="145">
        <f>(Purchase[[#This Row],[Gross Amount]]-Purchase[[#This Row],[Disct %]])*Purchase[[#This Row],[GST %]]</f>
        <v>35170.199999999997</v>
      </c>
      <c r="Q1289" s="145">
        <f>Purchase[[#This Row],[Gross Amount]]-Purchase[[#This Row],[Disct Amnt]]+Purchase[[#This Row],[GST Amount]]</f>
        <v>230560.2</v>
      </c>
      <c r="R1289" s="138" t="s">
        <v>1019</v>
      </c>
      <c r="S1289" s="41">
        <f>IF(Purchase[[#This Row],[Status]]="Cancelled",0,Purchase[[#This Row],[Qty]])</f>
        <v>30</v>
      </c>
      <c r="T1289" s="146">
        <f>IF(Purchase[[#This Row],[Status]]="Cancelled",0,Purchase[[#This Row],[Total Amount]])</f>
        <v>230560.2</v>
      </c>
      <c r="U1289" s="146">
        <f>SUM(Purchase[Net Amount])</f>
        <v>814985438.68000126</v>
      </c>
    </row>
    <row r="1290" spans="1:21" ht="19.5" thickBot="1" x14ac:dyDescent="0.3">
      <c r="A1290" s="136" t="s">
        <v>2340</v>
      </c>
      <c r="B1290" s="137">
        <v>45722</v>
      </c>
      <c r="C1290" s="138" t="s">
        <v>1225</v>
      </c>
      <c r="D1290" s="138" t="str">
        <f>VLOOKUP(Purchase[[#This Row],[Supplier ID]],Supplier[#All],2,0)</f>
        <v>Star Distributors</v>
      </c>
      <c r="E1290" s="138">
        <f>VLOOKUP(Purchase[[#This Row],[Supplier ID]],Supplier[#All],3,0)</f>
        <v>9689542474</v>
      </c>
      <c r="F1290" s="138" t="str">
        <f>VLOOKUP(Purchase[[#This Row],[Supplier ID]],Supplier[#All],4,0)</f>
        <v>Kanpur</v>
      </c>
      <c r="G1290" s="138" t="str">
        <f>VLOOKUP(Purchase[[#This Row],[Supplier ID]],Supplier[#All],5,0)</f>
        <v>UP</v>
      </c>
      <c r="H1290" s="138" t="str">
        <f>VLOOKUP(Purchase[[#This Row],[Supplier ID]],Supplier[#All],6,0)</f>
        <v>GST2154521T036</v>
      </c>
      <c r="I1290" s="138" t="s">
        <v>513</v>
      </c>
      <c r="J1290" s="139">
        <v>7</v>
      </c>
      <c r="K1290" s="143">
        <f>VLOOKUP(Purchase[[#This Row],[Product ID]],Product[#All],6,0)</f>
        <v>1887</v>
      </c>
      <c r="L1290" s="143">
        <f>Purchase[[#This Row],[Purchase Rate]]*Purchase[[#This Row],[Qty]]</f>
        <v>13209</v>
      </c>
      <c r="M1290" s="140">
        <v>0</v>
      </c>
      <c r="N1290" s="143">
        <v>0</v>
      </c>
      <c r="O1290" s="140">
        <v>0.18</v>
      </c>
      <c r="P1290" s="145">
        <f>(Purchase[[#This Row],[Gross Amount]]-Purchase[[#This Row],[Disct %]])*Purchase[[#This Row],[GST %]]</f>
        <v>2377.62</v>
      </c>
      <c r="Q1290" s="145">
        <f>Purchase[[#This Row],[Gross Amount]]-Purchase[[#This Row],[Disct Amnt]]+Purchase[[#This Row],[GST Amount]]</f>
        <v>15586.619999999999</v>
      </c>
      <c r="R1290" s="138" t="s">
        <v>1019</v>
      </c>
      <c r="S1290" s="41">
        <f>IF(Purchase[[#This Row],[Status]]="Cancelled",0,Purchase[[#This Row],[Qty]])</f>
        <v>7</v>
      </c>
      <c r="T1290" s="146">
        <f>IF(Purchase[[#This Row],[Status]]="Cancelled",0,Purchase[[#This Row],[Total Amount]])</f>
        <v>15586.619999999999</v>
      </c>
      <c r="U1290" s="146">
        <f>SUM(Purchase[Net Amount])</f>
        <v>814985438.68000126</v>
      </c>
    </row>
    <row r="1291" spans="1:21" ht="19.5" thickBot="1" x14ac:dyDescent="0.3">
      <c r="A1291" s="136" t="s">
        <v>2341</v>
      </c>
      <c r="B1291" s="137">
        <v>45722</v>
      </c>
      <c r="C1291" s="138" t="s">
        <v>580</v>
      </c>
      <c r="D1291" s="138" t="str">
        <f>VLOOKUP(Purchase[[#This Row],[Supplier ID]],Supplier[#All],2,0)</f>
        <v>Star Distributors</v>
      </c>
      <c r="E1291" s="138">
        <f>VLOOKUP(Purchase[[#This Row],[Supplier ID]],Supplier[#All],3,0)</f>
        <v>9689542464</v>
      </c>
      <c r="F1291" s="138" t="str">
        <f>VLOOKUP(Purchase[[#This Row],[Supplier ID]],Supplier[#All],4,0)</f>
        <v>Indore</v>
      </c>
      <c r="G1291" s="138" t="str">
        <f>VLOOKUP(Purchase[[#This Row],[Supplier ID]],Supplier[#All],5,0)</f>
        <v>MP</v>
      </c>
      <c r="H1291" s="138" t="str">
        <f>VLOOKUP(Purchase[[#This Row],[Supplier ID]],Supplier[#All],6,0)</f>
        <v>GST2154521T026</v>
      </c>
      <c r="I1291" s="138" t="s">
        <v>444</v>
      </c>
      <c r="J1291" s="139">
        <v>38</v>
      </c>
      <c r="K1291" s="143">
        <f>VLOOKUP(Purchase[[#This Row],[Product ID]],Product[#All],6,0)</f>
        <v>47242</v>
      </c>
      <c r="L1291" s="143">
        <f>Purchase[[#This Row],[Purchase Rate]]*Purchase[[#This Row],[Qty]]</f>
        <v>1795196</v>
      </c>
      <c r="M1291" s="140">
        <v>0</v>
      </c>
      <c r="N1291" s="143">
        <v>0</v>
      </c>
      <c r="O1291" s="140">
        <v>0.18</v>
      </c>
      <c r="P1291" s="145">
        <f>(Purchase[[#This Row],[Gross Amount]]-Purchase[[#This Row],[Disct %]])*Purchase[[#This Row],[GST %]]</f>
        <v>323135.27999999997</v>
      </c>
      <c r="Q1291" s="145">
        <f>Purchase[[#This Row],[Gross Amount]]-Purchase[[#This Row],[Disct Amnt]]+Purchase[[#This Row],[GST Amount]]</f>
        <v>2118331.2799999998</v>
      </c>
      <c r="R1291" s="138" t="s">
        <v>1019</v>
      </c>
      <c r="S1291" s="41">
        <f>IF(Purchase[[#This Row],[Status]]="Cancelled",0,Purchase[[#This Row],[Qty]])</f>
        <v>38</v>
      </c>
      <c r="T1291" s="146">
        <f>IF(Purchase[[#This Row],[Status]]="Cancelled",0,Purchase[[#This Row],[Total Amount]])</f>
        <v>2118331.2799999998</v>
      </c>
      <c r="U1291" s="146">
        <f>SUM(Purchase[Net Amount])</f>
        <v>814985438.68000126</v>
      </c>
    </row>
    <row r="1292" spans="1:21" ht="19.5" thickBot="1" x14ac:dyDescent="0.3">
      <c r="A1292" s="136" t="s">
        <v>2342</v>
      </c>
      <c r="B1292" s="137">
        <v>45722</v>
      </c>
      <c r="C1292" s="138" t="s">
        <v>564</v>
      </c>
      <c r="D1292" s="138" t="str">
        <f>VLOOKUP(Purchase[[#This Row],[Supplier ID]],Supplier[#All],2,0)</f>
        <v xml:space="preserve">Star Electronics </v>
      </c>
      <c r="E1292" s="138">
        <f>VLOOKUP(Purchase[[#This Row],[Supplier ID]],Supplier[#All],3,0)</f>
        <v>9689542450</v>
      </c>
      <c r="F1292" s="138" t="str">
        <f>VLOOKUP(Purchase[[#This Row],[Supplier ID]],Supplier[#All],4,0)</f>
        <v>Korba</v>
      </c>
      <c r="G1292" s="138" t="str">
        <f>VLOOKUP(Purchase[[#This Row],[Supplier ID]],Supplier[#All],5,0)</f>
        <v>CG</v>
      </c>
      <c r="H1292" s="138" t="str">
        <f>VLOOKUP(Purchase[[#This Row],[Supplier ID]],Supplier[#All],6,0)</f>
        <v>GST2154521T012</v>
      </c>
      <c r="I1292" s="138" t="s">
        <v>145</v>
      </c>
      <c r="J1292" s="139">
        <v>3</v>
      </c>
      <c r="K1292" s="143">
        <f>VLOOKUP(Purchase[[#This Row],[Product ID]],Product[#All],6,0)</f>
        <v>7623</v>
      </c>
      <c r="L1292" s="143">
        <f>Purchase[[#This Row],[Purchase Rate]]*Purchase[[#This Row],[Qty]]</f>
        <v>22869</v>
      </c>
      <c r="M1292" s="140">
        <v>0</v>
      </c>
      <c r="N1292" s="143">
        <v>0</v>
      </c>
      <c r="O1292" s="140">
        <v>0.18</v>
      </c>
      <c r="P1292" s="145">
        <f>(Purchase[[#This Row],[Gross Amount]]-Purchase[[#This Row],[Disct %]])*Purchase[[#This Row],[GST %]]</f>
        <v>4116.42</v>
      </c>
      <c r="Q1292" s="145">
        <f>Purchase[[#This Row],[Gross Amount]]-Purchase[[#This Row],[Disct Amnt]]+Purchase[[#This Row],[GST Amount]]</f>
        <v>26985.42</v>
      </c>
      <c r="R1292" s="138" t="s">
        <v>1019</v>
      </c>
      <c r="S1292" s="41">
        <f>IF(Purchase[[#This Row],[Status]]="Cancelled",0,Purchase[[#This Row],[Qty]])</f>
        <v>3</v>
      </c>
      <c r="T1292" s="146">
        <f>IF(Purchase[[#This Row],[Status]]="Cancelled",0,Purchase[[#This Row],[Total Amount]])</f>
        <v>26985.42</v>
      </c>
      <c r="U1292" s="146">
        <f>SUM(Purchase[Net Amount])</f>
        <v>814985438.68000126</v>
      </c>
    </row>
    <row r="1293" spans="1:21" ht="19.5" thickBot="1" x14ac:dyDescent="0.3">
      <c r="A1293" s="136" t="s">
        <v>2343</v>
      </c>
      <c r="B1293" s="137">
        <v>45722</v>
      </c>
      <c r="C1293" s="138" t="s">
        <v>614</v>
      </c>
      <c r="D1293" s="138" t="str">
        <f>VLOOKUP(Purchase[[#This Row],[Supplier ID]],Supplier[#All],2,0)</f>
        <v>National Electronics</v>
      </c>
      <c r="E1293" s="138">
        <f>VLOOKUP(Purchase[[#This Row],[Supplier ID]],Supplier[#All],3,0)</f>
        <v>9689542497</v>
      </c>
      <c r="F1293" s="138" t="str">
        <f>VLOOKUP(Purchase[[#This Row],[Supplier ID]],Supplier[#All],4,0)</f>
        <v>Kanpur</v>
      </c>
      <c r="G1293" s="138" t="str">
        <f>VLOOKUP(Purchase[[#This Row],[Supplier ID]],Supplier[#All],5,0)</f>
        <v>UP</v>
      </c>
      <c r="H1293" s="138" t="str">
        <f>VLOOKUP(Purchase[[#This Row],[Supplier ID]],Supplier[#All],6,0)</f>
        <v>GST2154521T059</v>
      </c>
      <c r="I1293" s="138" t="s">
        <v>341</v>
      </c>
      <c r="J1293" s="139">
        <v>35</v>
      </c>
      <c r="K1293" s="143">
        <f>VLOOKUP(Purchase[[#This Row],[Product ID]],Product[#All],6,0)</f>
        <v>17041</v>
      </c>
      <c r="L1293" s="143">
        <f>Purchase[[#This Row],[Purchase Rate]]*Purchase[[#This Row],[Qty]]</f>
        <v>596435</v>
      </c>
      <c r="M1293" s="140">
        <v>0</v>
      </c>
      <c r="N1293" s="143">
        <v>0</v>
      </c>
      <c r="O1293" s="140">
        <v>0.18</v>
      </c>
      <c r="P1293" s="145">
        <f>(Purchase[[#This Row],[Gross Amount]]-Purchase[[#This Row],[Disct %]])*Purchase[[#This Row],[GST %]]</f>
        <v>107358.3</v>
      </c>
      <c r="Q1293" s="145">
        <f>Purchase[[#This Row],[Gross Amount]]-Purchase[[#This Row],[Disct Amnt]]+Purchase[[#This Row],[GST Amount]]</f>
        <v>703793.3</v>
      </c>
      <c r="R1293" s="138" t="s">
        <v>1019</v>
      </c>
      <c r="S1293" s="41">
        <f>IF(Purchase[[#This Row],[Status]]="Cancelled",0,Purchase[[#This Row],[Qty]])</f>
        <v>35</v>
      </c>
      <c r="T1293" s="146">
        <f>IF(Purchase[[#This Row],[Status]]="Cancelled",0,Purchase[[#This Row],[Total Amount]])</f>
        <v>703793.3</v>
      </c>
      <c r="U1293" s="146">
        <f>SUM(Purchase[Net Amount])</f>
        <v>814985438.68000126</v>
      </c>
    </row>
    <row r="1294" spans="1:21" ht="19.5" thickBot="1" x14ac:dyDescent="0.3">
      <c r="A1294" s="136" t="s">
        <v>2344</v>
      </c>
      <c r="B1294" s="137">
        <v>45722</v>
      </c>
      <c r="C1294" s="138" t="s">
        <v>570</v>
      </c>
      <c r="D1294" s="138" t="str">
        <f>VLOOKUP(Purchase[[#This Row],[Supplier ID]],Supplier[#All],2,0)</f>
        <v>Prime Traders</v>
      </c>
      <c r="E1294" s="138">
        <f>VLOOKUP(Purchase[[#This Row],[Supplier ID]],Supplier[#All],3,0)</f>
        <v>9689542456</v>
      </c>
      <c r="F1294" s="138" t="str">
        <f>VLOOKUP(Purchase[[#This Row],[Supplier ID]],Supplier[#All],4,0)</f>
        <v>Indore</v>
      </c>
      <c r="G1294" s="138" t="str">
        <f>VLOOKUP(Purchase[[#This Row],[Supplier ID]],Supplier[#All],5,0)</f>
        <v>MP</v>
      </c>
      <c r="H1294" s="138" t="str">
        <f>VLOOKUP(Purchase[[#This Row],[Supplier ID]],Supplier[#All],6,0)</f>
        <v>GST2154521T018</v>
      </c>
      <c r="I1294" s="138" t="s">
        <v>388</v>
      </c>
      <c r="J1294" s="139">
        <v>25</v>
      </c>
      <c r="K1294" s="143">
        <f>VLOOKUP(Purchase[[#This Row],[Product ID]],Product[#All],6,0)</f>
        <v>57116</v>
      </c>
      <c r="L1294" s="143">
        <f>Purchase[[#This Row],[Purchase Rate]]*Purchase[[#This Row],[Qty]]</f>
        <v>1427900</v>
      </c>
      <c r="M1294" s="140">
        <v>0</v>
      </c>
      <c r="N1294" s="143">
        <v>0</v>
      </c>
      <c r="O1294" s="140">
        <v>0.18</v>
      </c>
      <c r="P1294" s="145">
        <f>(Purchase[[#This Row],[Gross Amount]]-Purchase[[#This Row],[Disct %]])*Purchase[[#This Row],[GST %]]</f>
        <v>257022</v>
      </c>
      <c r="Q1294" s="145">
        <f>Purchase[[#This Row],[Gross Amount]]-Purchase[[#This Row],[Disct Amnt]]+Purchase[[#This Row],[GST Amount]]</f>
        <v>1684922</v>
      </c>
      <c r="R1294" s="138" t="s">
        <v>1019</v>
      </c>
      <c r="S1294" s="41">
        <f>IF(Purchase[[#This Row],[Status]]="Cancelled",0,Purchase[[#This Row],[Qty]])</f>
        <v>25</v>
      </c>
      <c r="T1294" s="146">
        <f>IF(Purchase[[#This Row],[Status]]="Cancelled",0,Purchase[[#This Row],[Total Amount]])</f>
        <v>1684922</v>
      </c>
      <c r="U1294" s="146">
        <f>SUM(Purchase[Net Amount])</f>
        <v>814985438.68000126</v>
      </c>
    </row>
    <row r="1295" spans="1:21" ht="19.5" thickBot="1" x14ac:dyDescent="0.3">
      <c r="A1295" s="136" t="s">
        <v>2345</v>
      </c>
      <c r="B1295" s="137">
        <v>45722</v>
      </c>
      <c r="C1295" s="138" t="s">
        <v>585</v>
      </c>
      <c r="D1295" s="138" t="str">
        <f>VLOOKUP(Purchase[[#This Row],[Supplier ID]],Supplier[#All],2,0)</f>
        <v>Tech Computers</v>
      </c>
      <c r="E1295" s="138">
        <f>VLOOKUP(Purchase[[#This Row],[Supplier ID]],Supplier[#All],3,0)</f>
        <v>9689542469</v>
      </c>
      <c r="F1295" s="138" t="str">
        <f>VLOOKUP(Purchase[[#This Row],[Supplier ID]],Supplier[#All],4,0)</f>
        <v>Korba</v>
      </c>
      <c r="G1295" s="138" t="str">
        <f>VLOOKUP(Purchase[[#This Row],[Supplier ID]],Supplier[#All],5,0)</f>
        <v>CG</v>
      </c>
      <c r="H1295" s="138" t="str">
        <f>VLOOKUP(Purchase[[#This Row],[Supplier ID]],Supplier[#All],6,0)</f>
        <v>GST2154521T031</v>
      </c>
      <c r="I1295" s="138" t="s">
        <v>411</v>
      </c>
      <c r="J1295" s="139">
        <v>32</v>
      </c>
      <c r="K1295" s="143">
        <f>VLOOKUP(Purchase[[#This Row],[Product ID]],Product[#All],6,0)</f>
        <v>2088</v>
      </c>
      <c r="L1295" s="143">
        <f>Purchase[[#This Row],[Purchase Rate]]*Purchase[[#This Row],[Qty]]</f>
        <v>66816</v>
      </c>
      <c r="M1295" s="140">
        <v>0</v>
      </c>
      <c r="N1295" s="143">
        <v>0</v>
      </c>
      <c r="O1295" s="140">
        <v>0.18</v>
      </c>
      <c r="P1295" s="145">
        <f>(Purchase[[#This Row],[Gross Amount]]-Purchase[[#This Row],[Disct %]])*Purchase[[#This Row],[GST %]]</f>
        <v>12026.88</v>
      </c>
      <c r="Q1295" s="145">
        <f>Purchase[[#This Row],[Gross Amount]]-Purchase[[#This Row],[Disct Amnt]]+Purchase[[#This Row],[GST Amount]]</f>
        <v>78842.880000000005</v>
      </c>
      <c r="R1295" s="138" t="s">
        <v>1019</v>
      </c>
      <c r="S1295" s="41">
        <f>IF(Purchase[[#This Row],[Status]]="Cancelled",0,Purchase[[#This Row],[Qty]])</f>
        <v>32</v>
      </c>
      <c r="T1295" s="146">
        <f>IF(Purchase[[#This Row],[Status]]="Cancelled",0,Purchase[[#This Row],[Total Amount]])</f>
        <v>78842.880000000005</v>
      </c>
      <c r="U1295" s="146">
        <f>SUM(Purchase[Net Amount])</f>
        <v>814985438.68000126</v>
      </c>
    </row>
    <row r="1296" spans="1:21" ht="19.5" thickBot="1" x14ac:dyDescent="0.3">
      <c r="A1296" s="136" t="s">
        <v>2346</v>
      </c>
      <c r="B1296" s="137">
        <v>45722</v>
      </c>
      <c r="C1296" s="138" t="s">
        <v>593</v>
      </c>
      <c r="D1296" s="138" t="str">
        <f>VLOOKUP(Purchase[[#This Row],[Supplier ID]],Supplier[#All],2,0)</f>
        <v>Global Suppliers</v>
      </c>
      <c r="E1296" s="138">
        <f>VLOOKUP(Purchase[[#This Row],[Supplier ID]],Supplier[#All],3,0)</f>
        <v>9689542476</v>
      </c>
      <c r="F1296" s="138" t="str">
        <f>VLOOKUP(Purchase[[#This Row],[Supplier ID]],Supplier[#All],4,0)</f>
        <v>Korba</v>
      </c>
      <c r="G1296" s="138" t="str">
        <f>VLOOKUP(Purchase[[#This Row],[Supplier ID]],Supplier[#All],5,0)</f>
        <v>CG</v>
      </c>
      <c r="H1296" s="138" t="str">
        <f>VLOOKUP(Purchase[[#This Row],[Supplier ID]],Supplier[#All],6,0)</f>
        <v>GST2154521T038</v>
      </c>
      <c r="I1296" s="138" t="s">
        <v>164</v>
      </c>
      <c r="J1296" s="139">
        <v>2</v>
      </c>
      <c r="K1296" s="143">
        <f>VLOOKUP(Purchase[[#This Row],[Product ID]],Product[#All],6,0)</f>
        <v>2596</v>
      </c>
      <c r="L1296" s="143">
        <f>Purchase[[#This Row],[Purchase Rate]]*Purchase[[#This Row],[Qty]]</f>
        <v>5192</v>
      </c>
      <c r="M1296" s="140">
        <v>0</v>
      </c>
      <c r="N1296" s="143">
        <v>0</v>
      </c>
      <c r="O1296" s="140">
        <v>0.18</v>
      </c>
      <c r="P1296" s="145">
        <f>(Purchase[[#This Row],[Gross Amount]]-Purchase[[#This Row],[Disct %]])*Purchase[[#This Row],[GST %]]</f>
        <v>934.56</v>
      </c>
      <c r="Q1296" s="145">
        <f>Purchase[[#This Row],[Gross Amount]]-Purchase[[#This Row],[Disct Amnt]]+Purchase[[#This Row],[GST Amount]]</f>
        <v>6126.5599999999995</v>
      </c>
      <c r="R1296" s="138" t="s">
        <v>1019</v>
      </c>
      <c r="S1296" s="41">
        <f>IF(Purchase[[#This Row],[Status]]="Cancelled",0,Purchase[[#This Row],[Qty]])</f>
        <v>2</v>
      </c>
      <c r="T1296" s="146">
        <f>IF(Purchase[[#This Row],[Status]]="Cancelled",0,Purchase[[#This Row],[Total Amount]])</f>
        <v>6126.5599999999995</v>
      </c>
      <c r="U1296" s="146">
        <f>SUM(Purchase[Net Amount])</f>
        <v>814985438.68000126</v>
      </c>
    </row>
    <row r="1297" spans="1:21" ht="19.5" thickBot="1" x14ac:dyDescent="0.3">
      <c r="A1297" s="136" t="s">
        <v>2347</v>
      </c>
      <c r="B1297" s="137">
        <v>45722</v>
      </c>
      <c r="C1297" s="138" t="s">
        <v>573</v>
      </c>
      <c r="D1297" s="138" t="str">
        <f>VLOOKUP(Purchase[[#This Row],[Supplier ID]],Supplier[#All],2,0)</f>
        <v>Shree Traders</v>
      </c>
      <c r="E1297" s="138">
        <f>VLOOKUP(Purchase[[#This Row],[Supplier ID]],Supplier[#All],3,0)</f>
        <v>9689542458</v>
      </c>
      <c r="F1297" s="138" t="str">
        <f>VLOOKUP(Purchase[[#This Row],[Supplier ID]],Supplier[#All],4,0)</f>
        <v>Korba</v>
      </c>
      <c r="G1297" s="138" t="str">
        <f>VLOOKUP(Purchase[[#This Row],[Supplier ID]],Supplier[#All],5,0)</f>
        <v>CG</v>
      </c>
      <c r="H1297" s="138" t="str">
        <f>VLOOKUP(Purchase[[#This Row],[Supplier ID]],Supplier[#All],6,0)</f>
        <v>GST2154521T020</v>
      </c>
      <c r="I1297" s="138" t="s">
        <v>122</v>
      </c>
      <c r="J1297" s="139">
        <v>14</v>
      </c>
      <c r="K1297" s="143">
        <f>VLOOKUP(Purchase[[#This Row],[Product ID]],Product[#All],6,0)</f>
        <v>1667</v>
      </c>
      <c r="L1297" s="143">
        <f>Purchase[[#This Row],[Purchase Rate]]*Purchase[[#This Row],[Qty]]</f>
        <v>23338</v>
      </c>
      <c r="M1297" s="140">
        <v>0</v>
      </c>
      <c r="N1297" s="143">
        <v>0</v>
      </c>
      <c r="O1297" s="140">
        <v>0.18</v>
      </c>
      <c r="P1297" s="145">
        <f>(Purchase[[#This Row],[Gross Amount]]-Purchase[[#This Row],[Disct %]])*Purchase[[#This Row],[GST %]]</f>
        <v>4200.84</v>
      </c>
      <c r="Q1297" s="145">
        <f>Purchase[[#This Row],[Gross Amount]]-Purchase[[#This Row],[Disct Amnt]]+Purchase[[#This Row],[GST Amount]]</f>
        <v>27538.84</v>
      </c>
      <c r="R1297" s="138" t="s">
        <v>1019</v>
      </c>
      <c r="S1297" s="41">
        <f>IF(Purchase[[#This Row],[Status]]="Cancelled",0,Purchase[[#This Row],[Qty]])</f>
        <v>14</v>
      </c>
      <c r="T1297" s="146">
        <f>IF(Purchase[[#This Row],[Status]]="Cancelled",0,Purchase[[#This Row],[Total Amount]])</f>
        <v>27538.84</v>
      </c>
      <c r="U1297" s="146">
        <f>SUM(Purchase[Net Amount])</f>
        <v>814985438.68000126</v>
      </c>
    </row>
    <row r="1298" spans="1:21" ht="19.5" thickBot="1" x14ac:dyDescent="0.3">
      <c r="A1298" s="136" t="s">
        <v>2348</v>
      </c>
      <c r="B1298" s="137">
        <v>45722</v>
      </c>
      <c r="C1298" s="138" t="s">
        <v>567</v>
      </c>
      <c r="D1298" s="138" t="str">
        <f>VLOOKUP(Purchase[[#This Row],[Supplier ID]],Supplier[#All],2,0)</f>
        <v>National Distributors</v>
      </c>
      <c r="E1298" s="138">
        <f>VLOOKUP(Purchase[[#This Row],[Supplier ID]],Supplier[#All],3,0)</f>
        <v>9689542453</v>
      </c>
      <c r="F1298" s="138" t="str">
        <f>VLOOKUP(Purchase[[#This Row],[Supplier ID]],Supplier[#All],4,0)</f>
        <v>Korba</v>
      </c>
      <c r="G1298" s="138" t="str">
        <f>VLOOKUP(Purchase[[#This Row],[Supplier ID]],Supplier[#All],5,0)</f>
        <v>CG</v>
      </c>
      <c r="H1298" s="138" t="str">
        <f>VLOOKUP(Purchase[[#This Row],[Supplier ID]],Supplier[#All],6,0)</f>
        <v>GST2154521T015</v>
      </c>
      <c r="I1298" s="138" t="s">
        <v>209</v>
      </c>
      <c r="J1298" s="139">
        <v>8</v>
      </c>
      <c r="K1298" s="143">
        <f>VLOOKUP(Purchase[[#This Row],[Product ID]],Product[#All],6,0)</f>
        <v>46511</v>
      </c>
      <c r="L1298" s="143">
        <f>Purchase[[#This Row],[Purchase Rate]]*Purchase[[#This Row],[Qty]]</f>
        <v>372088</v>
      </c>
      <c r="M1298" s="140">
        <v>0</v>
      </c>
      <c r="N1298" s="143">
        <v>0</v>
      </c>
      <c r="O1298" s="140">
        <v>0.18</v>
      </c>
      <c r="P1298" s="145">
        <f>(Purchase[[#This Row],[Gross Amount]]-Purchase[[#This Row],[Disct %]])*Purchase[[#This Row],[GST %]]</f>
        <v>66975.839999999997</v>
      </c>
      <c r="Q1298" s="145">
        <f>Purchase[[#This Row],[Gross Amount]]-Purchase[[#This Row],[Disct Amnt]]+Purchase[[#This Row],[GST Amount]]</f>
        <v>439063.83999999997</v>
      </c>
      <c r="R1298" s="138" t="s">
        <v>1019</v>
      </c>
      <c r="S1298" s="41">
        <f>IF(Purchase[[#This Row],[Status]]="Cancelled",0,Purchase[[#This Row],[Qty]])</f>
        <v>8</v>
      </c>
      <c r="T1298" s="146">
        <f>IF(Purchase[[#This Row],[Status]]="Cancelled",0,Purchase[[#This Row],[Total Amount]])</f>
        <v>439063.83999999997</v>
      </c>
      <c r="U1298" s="146">
        <f>SUM(Purchase[Net Amount])</f>
        <v>814985438.68000126</v>
      </c>
    </row>
    <row r="1299" spans="1:21" ht="19.5" thickBot="1" x14ac:dyDescent="0.3">
      <c r="A1299" s="136" t="s">
        <v>2349</v>
      </c>
      <c r="B1299" s="137">
        <v>45722</v>
      </c>
      <c r="C1299" s="138" t="s">
        <v>588</v>
      </c>
      <c r="D1299" s="138" t="str">
        <f>VLOOKUP(Purchase[[#This Row],[Supplier ID]],Supplier[#All],2,0)</f>
        <v>Star Electronics</v>
      </c>
      <c r="E1299" s="138">
        <f>VLOOKUP(Purchase[[#This Row],[Supplier ID]],Supplier[#All],3,0)</f>
        <v>9689542472</v>
      </c>
      <c r="F1299" s="138" t="str">
        <f>VLOOKUP(Purchase[[#This Row],[Supplier ID]],Supplier[#All],4,0)</f>
        <v>Korba</v>
      </c>
      <c r="G1299" s="138" t="str">
        <f>VLOOKUP(Purchase[[#This Row],[Supplier ID]],Supplier[#All],5,0)</f>
        <v>CG</v>
      </c>
      <c r="H1299" s="138" t="str">
        <f>VLOOKUP(Purchase[[#This Row],[Supplier ID]],Supplier[#All],6,0)</f>
        <v>GST2154521T034</v>
      </c>
      <c r="I1299" s="138" t="s">
        <v>472</v>
      </c>
      <c r="J1299" s="139">
        <v>20</v>
      </c>
      <c r="K1299" s="143">
        <f>VLOOKUP(Purchase[[#This Row],[Product ID]],Product[#All],6,0)</f>
        <v>5430</v>
      </c>
      <c r="L1299" s="143">
        <f>Purchase[[#This Row],[Purchase Rate]]*Purchase[[#This Row],[Qty]]</f>
        <v>108600</v>
      </c>
      <c r="M1299" s="140">
        <v>0</v>
      </c>
      <c r="N1299" s="143">
        <v>0</v>
      </c>
      <c r="O1299" s="140">
        <v>0.18</v>
      </c>
      <c r="P1299" s="145">
        <f>(Purchase[[#This Row],[Gross Amount]]-Purchase[[#This Row],[Disct %]])*Purchase[[#This Row],[GST %]]</f>
        <v>19548</v>
      </c>
      <c r="Q1299" s="145">
        <f>Purchase[[#This Row],[Gross Amount]]-Purchase[[#This Row],[Disct Amnt]]+Purchase[[#This Row],[GST Amount]]</f>
        <v>128148</v>
      </c>
      <c r="R1299" s="138" t="s">
        <v>1040</v>
      </c>
      <c r="S1299" s="41">
        <f>IF(Purchase[[#This Row],[Status]]="Cancelled",0,Purchase[[#This Row],[Qty]])</f>
        <v>0</v>
      </c>
      <c r="T1299" s="146">
        <f>IF(Purchase[[#This Row],[Status]]="Cancelled",0,Purchase[[#This Row],[Total Amount]])</f>
        <v>0</v>
      </c>
      <c r="U1299" s="146">
        <f>SUM(Purchase[Net Amount])</f>
        <v>814985438.68000126</v>
      </c>
    </row>
    <row r="1300" spans="1:21" ht="19.5" thickBot="1" x14ac:dyDescent="0.3">
      <c r="A1300" s="136" t="s">
        <v>2350</v>
      </c>
      <c r="B1300" s="137">
        <v>45722</v>
      </c>
      <c r="C1300" s="138" t="s">
        <v>606</v>
      </c>
      <c r="D1300" s="138" t="str">
        <f>VLOOKUP(Purchase[[#This Row],[Supplier ID]],Supplier[#All],2,0)</f>
        <v>Prime Traders</v>
      </c>
      <c r="E1300" s="138">
        <f>VLOOKUP(Purchase[[#This Row],[Supplier ID]],Supplier[#All],3,0)</f>
        <v>9689542489</v>
      </c>
      <c r="F1300" s="138" t="str">
        <f>VLOOKUP(Purchase[[#This Row],[Supplier ID]],Supplier[#All],4,0)</f>
        <v>Indore</v>
      </c>
      <c r="G1300" s="138" t="str">
        <f>VLOOKUP(Purchase[[#This Row],[Supplier ID]],Supplier[#All],5,0)</f>
        <v>MP</v>
      </c>
      <c r="H1300" s="138" t="str">
        <f>VLOOKUP(Purchase[[#This Row],[Supplier ID]],Supplier[#All],6,0)</f>
        <v>GST2154521T051</v>
      </c>
      <c r="I1300" s="138" t="s">
        <v>329</v>
      </c>
      <c r="J1300" s="139">
        <v>18</v>
      </c>
      <c r="K1300" s="143">
        <f>VLOOKUP(Purchase[[#This Row],[Product ID]],Product[#All],6,0)</f>
        <v>826</v>
      </c>
      <c r="L1300" s="143">
        <f>Purchase[[#This Row],[Purchase Rate]]*Purchase[[#This Row],[Qty]]</f>
        <v>14868</v>
      </c>
      <c r="M1300" s="140">
        <v>0</v>
      </c>
      <c r="N1300" s="143">
        <v>0</v>
      </c>
      <c r="O1300" s="140">
        <v>0.18</v>
      </c>
      <c r="P1300" s="145">
        <f>(Purchase[[#This Row],[Gross Amount]]-Purchase[[#This Row],[Disct %]])*Purchase[[#This Row],[GST %]]</f>
        <v>2676.24</v>
      </c>
      <c r="Q1300" s="145">
        <f>Purchase[[#This Row],[Gross Amount]]-Purchase[[#This Row],[Disct Amnt]]+Purchase[[#This Row],[GST Amount]]</f>
        <v>17544.239999999998</v>
      </c>
      <c r="R1300" s="138" t="s">
        <v>1019</v>
      </c>
      <c r="S1300" s="41">
        <f>IF(Purchase[[#This Row],[Status]]="Cancelled",0,Purchase[[#This Row],[Qty]])</f>
        <v>18</v>
      </c>
      <c r="T1300" s="146">
        <f>IF(Purchase[[#This Row],[Status]]="Cancelled",0,Purchase[[#This Row],[Total Amount]])</f>
        <v>17544.239999999998</v>
      </c>
      <c r="U1300" s="146">
        <f>SUM(Purchase[Net Amount])</f>
        <v>814985438.68000126</v>
      </c>
    </row>
    <row r="1301" spans="1:21" ht="19.5" thickBot="1" x14ac:dyDescent="0.3">
      <c r="A1301" s="136" t="s">
        <v>2351</v>
      </c>
      <c r="B1301" s="137">
        <v>45722</v>
      </c>
      <c r="C1301" s="138" t="s">
        <v>564</v>
      </c>
      <c r="D1301" s="138" t="str">
        <f>VLOOKUP(Purchase[[#This Row],[Supplier ID]],Supplier[#All],2,0)</f>
        <v xml:space="preserve">Star Electronics </v>
      </c>
      <c r="E1301" s="138">
        <f>VLOOKUP(Purchase[[#This Row],[Supplier ID]],Supplier[#All],3,0)</f>
        <v>9689542450</v>
      </c>
      <c r="F1301" s="138" t="str">
        <f>VLOOKUP(Purchase[[#This Row],[Supplier ID]],Supplier[#All],4,0)</f>
        <v>Korba</v>
      </c>
      <c r="G1301" s="138" t="str">
        <f>VLOOKUP(Purchase[[#This Row],[Supplier ID]],Supplier[#All],5,0)</f>
        <v>CG</v>
      </c>
      <c r="H1301" s="138" t="str">
        <f>VLOOKUP(Purchase[[#This Row],[Supplier ID]],Supplier[#All],6,0)</f>
        <v>GST2154521T012</v>
      </c>
      <c r="I1301" s="138" t="s">
        <v>242</v>
      </c>
      <c r="J1301" s="139">
        <v>31</v>
      </c>
      <c r="K1301" s="143">
        <f>VLOOKUP(Purchase[[#This Row],[Product ID]],Product[#All],6,0)</f>
        <v>15569</v>
      </c>
      <c r="L1301" s="143">
        <f>Purchase[[#This Row],[Purchase Rate]]*Purchase[[#This Row],[Qty]]</f>
        <v>482639</v>
      </c>
      <c r="M1301" s="140">
        <v>0</v>
      </c>
      <c r="N1301" s="143">
        <v>0</v>
      </c>
      <c r="O1301" s="140">
        <v>0.18</v>
      </c>
      <c r="P1301" s="145">
        <f>(Purchase[[#This Row],[Gross Amount]]-Purchase[[#This Row],[Disct %]])*Purchase[[#This Row],[GST %]]</f>
        <v>86875.01999999999</v>
      </c>
      <c r="Q1301" s="145">
        <f>Purchase[[#This Row],[Gross Amount]]-Purchase[[#This Row],[Disct Amnt]]+Purchase[[#This Row],[GST Amount]]</f>
        <v>569514.02</v>
      </c>
      <c r="R1301" s="138" t="s">
        <v>1019</v>
      </c>
      <c r="S1301" s="41">
        <f>IF(Purchase[[#This Row],[Status]]="Cancelled",0,Purchase[[#This Row],[Qty]])</f>
        <v>31</v>
      </c>
      <c r="T1301" s="146">
        <f>IF(Purchase[[#This Row],[Status]]="Cancelled",0,Purchase[[#This Row],[Total Amount]])</f>
        <v>569514.02</v>
      </c>
      <c r="U1301" s="146">
        <f>SUM(Purchase[Net Amount])</f>
        <v>814985438.68000126</v>
      </c>
    </row>
    <row r="1302" spans="1:21" ht="19.5" thickBot="1" x14ac:dyDescent="0.3">
      <c r="A1302" s="136" t="s">
        <v>2352</v>
      </c>
      <c r="B1302" s="137">
        <v>45722</v>
      </c>
      <c r="C1302" s="138" t="s">
        <v>573</v>
      </c>
      <c r="D1302" s="138" t="str">
        <f>VLOOKUP(Purchase[[#This Row],[Supplier ID]],Supplier[#All],2,0)</f>
        <v>Shree Traders</v>
      </c>
      <c r="E1302" s="138">
        <f>VLOOKUP(Purchase[[#This Row],[Supplier ID]],Supplier[#All],3,0)</f>
        <v>9689542458</v>
      </c>
      <c r="F1302" s="138" t="str">
        <f>VLOOKUP(Purchase[[#This Row],[Supplier ID]],Supplier[#All],4,0)</f>
        <v>Korba</v>
      </c>
      <c r="G1302" s="138" t="str">
        <f>VLOOKUP(Purchase[[#This Row],[Supplier ID]],Supplier[#All],5,0)</f>
        <v>CG</v>
      </c>
      <c r="H1302" s="138" t="str">
        <f>VLOOKUP(Purchase[[#This Row],[Supplier ID]],Supplier[#All],6,0)</f>
        <v>GST2154521T020</v>
      </c>
      <c r="I1302" s="138" t="s">
        <v>380</v>
      </c>
      <c r="J1302" s="139">
        <v>36</v>
      </c>
      <c r="K1302" s="143">
        <f>VLOOKUP(Purchase[[#This Row],[Product ID]],Product[#All],6,0)</f>
        <v>72229</v>
      </c>
      <c r="L1302" s="143">
        <f>Purchase[[#This Row],[Purchase Rate]]*Purchase[[#This Row],[Qty]]</f>
        <v>2600244</v>
      </c>
      <c r="M1302" s="140">
        <v>0</v>
      </c>
      <c r="N1302" s="143">
        <v>0</v>
      </c>
      <c r="O1302" s="140">
        <v>0.18</v>
      </c>
      <c r="P1302" s="145">
        <f>(Purchase[[#This Row],[Gross Amount]]-Purchase[[#This Row],[Disct %]])*Purchase[[#This Row],[GST %]]</f>
        <v>468043.92</v>
      </c>
      <c r="Q1302" s="145">
        <f>Purchase[[#This Row],[Gross Amount]]-Purchase[[#This Row],[Disct Amnt]]+Purchase[[#This Row],[GST Amount]]</f>
        <v>3068287.92</v>
      </c>
      <c r="R1302" s="138" t="s">
        <v>1019</v>
      </c>
      <c r="S1302" s="41">
        <f>IF(Purchase[[#This Row],[Status]]="Cancelled",0,Purchase[[#This Row],[Qty]])</f>
        <v>36</v>
      </c>
      <c r="T1302" s="146">
        <f>IF(Purchase[[#This Row],[Status]]="Cancelled",0,Purchase[[#This Row],[Total Amount]])</f>
        <v>3068287.92</v>
      </c>
      <c r="U1302" s="146">
        <f>SUM(Purchase[Net Amount])</f>
        <v>814985438.68000126</v>
      </c>
    </row>
    <row r="1303" spans="1:21" ht="19.5" thickBot="1" x14ac:dyDescent="0.3">
      <c r="A1303" s="136" t="s">
        <v>2353</v>
      </c>
      <c r="B1303" s="137">
        <v>45722</v>
      </c>
      <c r="C1303" s="138" t="s">
        <v>607</v>
      </c>
      <c r="D1303" s="138" t="str">
        <f>VLOOKUP(Purchase[[#This Row],[Supplier ID]],Supplier[#All],2,0)</f>
        <v>Global Distributors</v>
      </c>
      <c r="E1303" s="138">
        <f>VLOOKUP(Purchase[[#This Row],[Supplier ID]],Supplier[#All],3,0)</f>
        <v>9689542490</v>
      </c>
      <c r="F1303" s="138" t="str">
        <f>VLOOKUP(Purchase[[#This Row],[Supplier ID]],Supplier[#All],4,0)</f>
        <v>Kanpur</v>
      </c>
      <c r="G1303" s="138" t="str">
        <f>VLOOKUP(Purchase[[#This Row],[Supplier ID]],Supplier[#All],5,0)</f>
        <v>UP</v>
      </c>
      <c r="H1303" s="138" t="str">
        <f>VLOOKUP(Purchase[[#This Row],[Supplier ID]],Supplier[#All],6,0)</f>
        <v>GST2154521T052</v>
      </c>
      <c r="I1303" s="138" t="s">
        <v>401</v>
      </c>
      <c r="J1303" s="139">
        <v>30</v>
      </c>
      <c r="K1303" s="143">
        <f>VLOOKUP(Purchase[[#This Row],[Product ID]],Product[#All],6,0)</f>
        <v>517</v>
      </c>
      <c r="L1303" s="143">
        <f>Purchase[[#This Row],[Purchase Rate]]*Purchase[[#This Row],[Qty]]</f>
        <v>15510</v>
      </c>
      <c r="M1303" s="140">
        <v>0</v>
      </c>
      <c r="N1303" s="143">
        <v>0</v>
      </c>
      <c r="O1303" s="140">
        <v>0.18</v>
      </c>
      <c r="P1303" s="145">
        <f>(Purchase[[#This Row],[Gross Amount]]-Purchase[[#This Row],[Disct %]])*Purchase[[#This Row],[GST %]]</f>
        <v>2791.7999999999997</v>
      </c>
      <c r="Q1303" s="145">
        <f>Purchase[[#This Row],[Gross Amount]]-Purchase[[#This Row],[Disct Amnt]]+Purchase[[#This Row],[GST Amount]]</f>
        <v>18301.8</v>
      </c>
      <c r="R1303" s="138" t="s">
        <v>1019</v>
      </c>
      <c r="S1303" s="41">
        <f>IF(Purchase[[#This Row],[Status]]="Cancelled",0,Purchase[[#This Row],[Qty]])</f>
        <v>30</v>
      </c>
      <c r="T1303" s="146">
        <f>IF(Purchase[[#This Row],[Status]]="Cancelled",0,Purchase[[#This Row],[Total Amount]])</f>
        <v>18301.8</v>
      </c>
      <c r="U1303" s="146">
        <f>SUM(Purchase[Net Amount])</f>
        <v>814985438.68000126</v>
      </c>
    </row>
    <row r="1304" spans="1:21" ht="19.5" thickBot="1" x14ac:dyDescent="0.3">
      <c r="A1304" s="136" t="s">
        <v>2354</v>
      </c>
      <c r="B1304" s="137">
        <v>45722</v>
      </c>
      <c r="C1304" s="138" t="s">
        <v>596</v>
      </c>
      <c r="D1304" s="138" t="str">
        <f>VLOOKUP(Purchase[[#This Row],[Supplier ID]],Supplier[#All],2,0)</f>
        <v>star traders</v>
      </c>
      <c r="E1304" s="138">
        <f>VLOOKUP(Purchase[[#This Row],[Supplier ID]],Supplier[#All],3,0)</f>
        <v>9689542479</v>
      </c>
      <c r="F1304" s="138" t="str">
        <f>VLOOKUP(Purchase[[#This Row],[Supplier ID]],Supplier[#All],4,0)</f>
        <v>Korba</v>
      </c>
      <c r="G1304" s="138" t="str">
        <f>VLOOKUP(Purchase[[#This Row],[Supplier ID]],Supplier[#All],5,0)</f>
        <v>CG</v>
      </c>
      <c r="H1304" s="138" t="str">
        <f>VLOOKUP(Purchase[[#This Row],[Supplier ID]],Supplier[#All],6,0)</f>
        <v>GST2154521T041</v>
      </c>
      <c r="I1304" s="138" t="s">
        <v>502</v>
      </c>
      <c r="J1304" s="139">
        <v>4</v>
      </c>
      <c r="K1304" s="143">
        <f>VLOOKUP(Purchase[[#This Row],[Product ID]],Product[#All],6,0)</f>
        <v>24343</v>
      </c>
      <c r="L1304" s="143">
        <f>Purchase[[#This Row],[Purchase Rate]]*Purchase[[#This Row],[Qty]]</f>
        <v>97372</v>
      </c>
      <c r="M1304" s="140">
        <v>0</v>
      </c>
      <c r="N1304" s="143">
        <v>0</v>
      </c>
      <c r="O1304" s="140">
        <v>0.18</v>
      </c>
      <c r="P1304" s="145">
        <f>(Purchase[[#This Row],[Gross Amount]]-Purchase[[#This Row],[Disct %]])*Purchase[[#This Row],[GST %]]</f>
        <v>17526.96</v>
      </c>
      <c r="Q1304" s="145">
        <f>Purchase[[#This Row],[Gross Amount]]-Purchase[[#This Row],[Disct Amnt]]+Purchase[[#This Row],[GST Amount]]</f>
        <v>114898.95999999999</v>
      </c>
      <c r="R1304" s="138" t="s">
        <v>1019</v>
      </c>
      <c r="S1304" s="41">
        <f>IF(Purchase[[#This Row],[Status]]="Cancelled",0,Purchase[[#This Row],[Qty]])</f>
        <v>4</v>
      </c>
      <c r="T1304" s="146">
        <f>IF(Purchase[[#This Row],[Status]]="Cancelled",0,Purchase[[#This Row],[Total Amount]])</f>
        <v>114898.95999999999</v>
      </c>
      <c r="U1304" s="146">
        <f>SUM(Purchase[Net Amount])</f>
        <v>814985438.68000126</v>
      </c>
    </row>
    <row r="1305" spans="1:21" ht="19.5" thickBot="1" x14ac:dyDescent="0.3">
      <c r="A1305" s="136" t="s">
        <v>2355</v>
      </c>
      <c r="B1305" s="137">
        <v>45722</v>
      </c>
      <c r="C1305" s="138" t="s">
        <v>611</v>
      </c>
      <c r="D1305" s="138" t="str">
        <f>VLOOKUP(Purchase[[#This Row],[Supplier ID]],Supplier[#All],2,0)</f>
        <v>National Distributors</v>
      </c>
      <c r="E1305" s="138">
        <f>VLOOKUP(Purchase[[#This Row],[Supplier ID]],Supplier[#All],3,0)</f>
        <v>9689542494</v>
      </c>
      <c r="F1305" s="138" t="str">
        <f>VLOOKUP(Purchase[[#This Row],[Supplier ID]],Supplier[#All],4,0)</f>
        <v>Korba</v>
      </c>
      <c r="G1305" s="138" t="str">
        <f>VLOOKUP(Purchase[[#This Row],[Supplier ID]],Supplier[#All],5,0)</f>
        <v>CG</v>
      </c>
      <c r="H1305" s="138" t="str">
        <f>VLOOKUP(Purchase[[#This Row],[Supplier ID]],Supplier[#All],6,0)</f>
        <v>GST2154521T056</v>
      </c>
      <c r="I1305" s="138" t="s">
        <v>342</v>
      </c>
      <c r="J1305" s="139">
        <v>28</v>
      </c>
      <c r="K1305" s="143">
        <f>VLOOKUP(Purchase[[#This Row],[Product ID]],Product[#All],6,0)</f>
        <v>58271</v>
      </c>
      <c r="L1305" s="143">
        <f>Purchase[[#This Row],[Purchase Rate]]*Purchase[[#This Row],[Qty]]</f>
        <v>1631588</v>
      </c>
      <c r="M1305" s="140">
        <v>0</v>
      </c>
      <c r="N1305" s="143">
        <v>0</v>
      </c>
      <c r="O1305" s="140">
        <v>0.18</v>
      </c>
      <c r="P1305" s="145">
        <f>(Purchase[[#This Row],[Gross Amount]]-Purchase[[#This Row],[Disct %]])*Purchase[[#This Row],[GST %]]</f>
        <v>293685.83999999997</v>
      </c>
      <c r="Q1305" s="145">
        <f>Purchase[[#This Row],[Gross Amount]]-Purchase[[#This Row],[Disct Amnt]]+Purchase[[#This Row],[GST Amount]]</f>
        <v>1925273.8399999999</v>
      </c>
      <c r="R1305" s="138" t="s">
        <v>1019</v>
      </c>
      <c r="S1305" s="41">
        <f>IF(Purchase[[#This Row],[Status]]="Cancelled",0,Purchase[[#This Row],[Qty]])</f>
        <v>28</v>
      </c>
      <c r="T1305" s="146">
        <f>IF(Purchase[[#This Row],[Status]]="Cancelled",0,Purchase[[#This Row],[Total Amount]])</f>
        <v>1925273.8399999999</v>
      </c>
      <c r="U1305" s="146">
        <f>SUM(Purchase[Net Amount])</f>
        <v>814985438.68000126</v>
      </c>
    </row>
    <row r="1306" spans="1:21" ht="19.5" thickBot="1" x14ac:dyDescent="0.3">
      <c r="A1306" s="136" t="s">
        <v>2356</v>
      </c>
      <c r="B1306" s="137">
        <v>45722</v>
      </c>
      <c r="C1306" s="138" t="s">
        <v>577</v>
      </c>
      <c r="D1306" s="138" t="str">
        <f>VLOOKUP(Purchase[[#This Row],[Supplier ID]],Supplier[#All],2,0)</f>
        <v>National Electronics</v>
      </c>
      <c r="E1306" s="138">
        <f>VLOOKUP(Purchase[[#This Row],[Supplier ID]],Supplier[#All],3,0)</f>
        <v>9689542469</v>
      </c>
      <c r="F1306" s="138" t="str">
        <f>VLOOKUP(Purchase[[#This Row],[Supplier ID]],Supplier[#All],4,0)</f>
        <v>Korba</v>
      </c>
      <c r="G1306" s="138" t="str">
        <f>VLOOKUP(Purchase[[#This Row],[Supplier ID]],Supplier[#All],5,0)</f>
        <v>CG</v>
      </c>
      <c r="H1306" s="138" t="str">
        <f>VLOOKUP(Purchase[[#This Row],[Supplier ID]],Supplier[#All],6,0)</f>
        <v>GST2154521T023</v>
      </c>
      <c r="I1306" s="138" t="s">
        <v>154</v>
      </c>
      <c r="J1306" s="139">
        <v>36</v>
      </c>
      <c r="K1306" s="143">
        <f>VLOOKUP(Purchase[[#This Row],[Product ID]],Product[#All],6,0)</f>
        <v>39768</v>
      </c>
      <c r="L1306" s="143">
        <f>Purchase[[#This Row],[Purchase Rate]]*Purchase[[#This Row],[Qty]]</f>
        <v>1431648</v>
      </c>
      <c r="M1306" s="140">
        <v>0</v>
      </c>
      <c r="N1306" s="143">
        <v>0</v>
      </c>
      <c r="O1306" s="140">
        <v>0.18</v>
      </c>
      <c r="P1306" s="145">
        <f>(Purchase[[#This Row],[Gross Amount]]-Purchase[[#This Row],[Disct %]])*Purchase[[#This Row],[GST %]]</f>
        <v>257696.63999999998</v>
      </c>
      <c r="Q1306" s="145">
        <f>Purchase[[#This Row],[Gross Amount]]-Purchase[[#This Row],[Disct Amnt]]+Purchase[[#This Row],[GST Amount]]</f>
        <v>1689344.64</v>
      </c>
      <c r="R1306" s="138" t="s">
        <v>1019</v>
      </c>
      <c r="S1306" s="41">
        <f>IF(Purchase[[#This Row],[Status]]="Cancelled",0,Purchase[[#This Row],[Qty]])</f>
        <v>36</v>
      </c>
      <c r="T1306" s="146">
        <f>IF(Purchase[[#This Row],[Status]]="Cancelled",0,Purchase[[#This Row],[Total Amount]])</f>
        <v>1689344.64</v>
      </c>
      <c r="U1306" s="146">
        <f>SUM(Purchase[Net Amount])</f>
        <v>814985438.68000126</v>
      </c>
    </row>
    <row r="1307" spans="1:21" ht="19.5" thickBot="1" x14ac:dyDescent="0.3">
      <c r="A1307" s="136" t="s">
        <v>2357</v>
      </c>
      <c r="B1307" s="137">
        <v>45722</v>
      </c>
      <c r="C1307" s="138" t="s">
        <v>570</v>
      </c>
      <c r="D1307" s="138" t="str">
        <f>VLOOKUP(Purchase[[#This Row],[Supplier ID]],Supplier[#All],2,0)</f>
        <v>Prime Traders</v>
      </c>
      <c r="E1307" s="138">
        <f>VLOOKUP(Purchase[[#This Row],[Supplier ID]],Supplier[#All],3,0)</f>
        <v>9689542456</v>
      </c>
      <c r="F1307" s="138" t="str">
        <f>VLOOKUP(Purchase[[#This Row],[Supplier ID]],Supplier[#All],4,0)</f>
        <v>Indore</v>
      </c>
      <c r="G1307" s="138" t="str">
        <f>VLOOKUP(Purchase[[#This Row],[Supplier ID]],Supplier[#All],5,0)</f>
        <v>MP</v>
      </c>
      <c r="H1307" s="138" t="str">
        <f>VLOOKUP(Purchase[[#This Row],[Supplier ID]],Supplier[#All],6,0)</f>
        <v>GST2154521T018</v>
      </c>
      <c r="I1307" s="138" t="s">
        <v>136</v>
      </c>
      <c r="J1307" s="139">
        <v>30</v>
      </c>
      <c r="K1307" s="143">
        <f>VLOOKUP(Purchase[[#This Row],[Product ID]],Product[#All],6,0)</f>
        <v>29405</v>
      </c>
      <c r="L1307" s="143">
        <f>Purchase[[#This Row],[Purchase Rate]]*Purchase[[#This Row],[Qty]]</f>
        <v>882150</v>
      </c>
      <c r="M1307" s="140">
        <v>0</v>
      </c>
      <c r="N1307" s="143">
        <v>0</v>
      </c>
      <c r="O1307" s="140">
        <v>0.18</v>
      </c>
      <c r="P1307" s="145">
        <f>(Purchase[[#This Row],[Gross Amount]]-Purchase[[#This Row],[Disct %]])*Purchase[[#This Row],[GST %]]</f>
        <v>158787</v>
      </c>
      <c r="Q1307" s="145">
        <f>Purchase[[#This Row],[Gross Amount]]-Purchase[[#This Row],[Disct Amnt]]+Purchase[[#This Row],[GST Amount]]</f>
        <v>1040937</v>
      </c>
      <c r="R1307" s="138" t="s">
        <v>1019</v>
      </c>
      <c r="S1307" s="41">
        <f>IF(Purchase[[#This Row],[Status]]="Cancelled",0,Purchase[[#This Row],[Qty]])</f>
        <v>30</v>
      </c>
      <c r="T1307" s="146">
        <f>IF(Purchase[[#This Row],[Status]]="Cancelled",0,Purchase[[#This Row],[Total Amount]])</f>
        <v>1040937</v>
      </c>
      <c r="U1307" s="146">
        <f>SUM(Purchase[Net Amount])</f>
        <v>814985438.68000126</v>
      </c>
    </row>
    <row r="1308" spans="1:21" ht="19.5" thickBot="1" x14ac:dyDescent="0.3">
      <c r="A1308" s="136" t="s">
        <v>2358</v>
      </c>
      <c r="B1308" s="137">
        <v>45722</v>
      </c>
      <c r="C1308" s="138" t="s">
        <v>589</v>
      </c>
      <c r="D1308" s="138" t="str">
        <f>VLOOKUP(Purchase[[#This Row],[Supplier ID]],Supplier[#All],2,0)</f>
        <v>Maa Computers</v>
      </c>
      <c r="E1308" s="138">
        <f>VLOOKUP(Purchase[[#This Row],[Supplier ID]],Supplier[#All],3,0)</f>
        <v>9689542473</v>
      </c>
      <c r="F1308" s="138" t="str">
        <f>VLOOKUP(Purchase[[#This Row],[Supplier ID]],Supplier[#All],4,0)</f>
        <v>Kanpur</v>
      </c>
      <c r="G1308" s="138" t="str">
        <f>VLOOKUP(Purchase[[#This Row],[Supplier ID]],Supplier[#All],5,0)</f>
        <v>UP</v>
      </c>
      <c r="H1308" s="138" t="str">
        <f>VLOOKUP(Purchase[[#This Row],[Supplier ID]],Supplier[#All],6,0)</f>
        <v>GST2154521T035</v>
      </c>
      <c r="I1308" s="138" t="s">
        <v>183</v>
      </c>
      <c r="J1308" s="139">
        <v>37</v>
      </c>
      <c r="K1308" s="143">
        <f>VLOOKUP(Purchase[[#This Row],[Product ID]],Product[#All],6,0)</f>
        <v>1270</v>
      </c>
      <c r="L1308" s="143">
        <f>Purchase[[#This Row],[Purchase Rate]]*Purchase[[#This Row],[Qty]]</f>
        <v>46990</v>
      </c>
      <c r="M1308" s="140">
        <v>0</v>
      </c>
      <c r="N1308" s="143">
        <v>0</v>
      </c>
      <c r="O1308" s="140">
        <v>0.18</v>
      </c>
      <c r="P1308" s="145">
        <f>(Purchase[[#This Row],[Gross Amount]]-Purchase[[#This Row],[Disct %]])*Purchase[[#This Row],[GST %]]</f>
        <v>8458.1999999999989</v>
      </c>
      <c r="Q1308" s="145">
        <f>Purchase[[#This Row],[Gross Amount]]-Purchase[[#This Row],[Disct Amnt]]+Purchase[[#This Row],[GST Amount]]</f>
        <v>55448.2</v>
      </c>
      <c r="R1308" s="138" t="s">
        <v>1019</v>
      </c>
      <c r="S1308" s="41">
        <f>IF(Purchase[[#This Row],[Status]]="Cancelled",0,Purchase[[#This Row],[Qty]])</f>
        <v>37</v>
      </c>
      <c r="T1308" s="146">
        <f>IF(Purchase[[#This Row],[Status]]="Cancelled",0,Purchase[[#This Row],[Total Amount]])</f>
        <v>55448.2</v>
      </c>
      <c r="U1308" s="146">
        <f>SUM(Purchase[Net Amount])</f>
        <v>814985438.68000126</v>
      </c>
    </row>
    <row r="1309" spans="1:21" ht="19.5" thickBot="1" x14ac:dyDescent="0.3">
      <c r="A1309" s="136" t="s">
        <v>2359</v>
      </c>
      <c r="B1309" s="137">
        <v>45722</v>
      </c>
      <c r="C1309" s="138" t="s">
        <v>565</v>
      </c>
      <c r="D1309" s="138" t="str">
        <f>VLOOKUP(Purchase[[#This Row],[Supplier ID]],Supplier[#All],2,0)</f>
        <v>Global Suppliers</v>
      </c>
      <c r="E1309" s="138">
        <f>VLOOKUP(Purchase[[#This Row],[Supplier ID]],Supplier[#All],3,0)</f>
        <v>9689542459</v>
      </c>
      <c r="F1309" s="138" t="str">
        <f>VLOOKUP(Purchase[[#This Row],[Supplier ID]],Supplier[#All],4,0)</f>
        <v>Indore</v>
      </c>
      <c r="G1309" s="138" t="str">
        <f>VLOOKUP(Purchase[[#This Row],[Supplier ID]],Supplier[#All],5,0)</f>
        <v>MP</v>
      </c>
      <c r="H1309" s="138" t="str">
        <f>VLOOKUP(Purchase[[#This Row],[Supplier ID]],Supplier[#All],6,0)</f>
        <v>GST2154521T013</v>
      </c>
      <c r="I1309" s="138" t="s">
        <v>411</v>
      </c>
      <c r="J1309" s="139">
        <v>30</v>
      </c>
      <c r="K1309" s="143">
        <f>VLOOKUP(Purchase[[#This Row],[Product ID]],Product[#All],6,0)</f>
        <v>2088</v>
      </c>
      <c r="L1309" s="143">
        <f>Purchase[[#This Row],[Purchase Rate]]*Purchase[[#This Row],[Qty]]</f>
        <v>62640</v>
      </c>
      <c r="M1309" s="140">
        <v>0</v>
      </c>
      <c r="N1309" s="143">
        <v>0</v>
      </c>
      <c r="O1309" s="140">
        <v>0.18</v>
      </c>
      <c r="P1309" s="145">
        <f>(Purchase[[#This Row],[Gross Amount]]-Purchase[[#This Row],[Disct %]])*Purchase[[#This Row],[GST %]]</f>
        <v>11275.199999999999</v>
      </c>
      <c r="Q1309" s="145">
        <f>Purchase[[#This Row],[Gross Amount]]-Purchase[[#This Row],[Disct Amnt]]+Purchase[[#This Row],[GST Amount]]</f>
        <v>73915.199999999997</v>
      </c>
      <c r="R1309" s="138" t="s">
        <v>1019</v>
      </c>
      <c r="S1309" s="41">
        <f>IF(Purchase[[#This Row],[Status]]="Cancelled",0,Purchase[[#This Row],[Qty]])</f>
        <v>30</v>
      </c>
      <c r="T1309" s="146">
        <f>IF(Purchase[[#This Row],[Status]]="Cancelled",0,Purchase[[#This Row],[Total Amount]])</f>
        <v>73915.199999999997</v>
      </c>
      <c r="U1309" s="146">
        <f>SUM(Purchase[Net Amount])</f>
        <v>814985438.68000126</v>
      </c>
    </row>
    <row r="1310" spans="1:21" ht="19.5" thickBot="1" x14ac:dyDescent="0.3">
      <c r="A1310" s="136" t="s">
        <v>2360</v>
      </c>
      <c r="B1310" s="137">
        <v>45722</v>
      </c>
      <c r="C1310" s="138" t="s">
        <v>565</v>
      </c>
      <c r="D1310" s="138" t="str">
        <f>VLOOKUP(Purchase[[#This Row],[Supplier ID]],Supplier[#All],2,0)</f>
        <v>Global Suppliers</v>
      </c>
      <c r="E1310" s="138">
        <f>VLOOKUP(Purchase[[#This Row],[Supplier ID]],Supplier[#All],3,0)</f>
        <v>9689542459</v>
      </c>
      <c r="F1310" s="138" t="str">
        <f>VLOOKUP(Purchase[[#This Row],[Supplier ID]],Supplier[#All],4,0)</f>
        <v>Indore</v>
      </c>
      <c r="G1310" s="138" t="str">
        <f>VLOOKUP(Purchase[[#This Row],[Supplier ID]],Supplier[#All],5,0)</f>
        <v>MP</v>
      </c>
      <c r="H1310" s="138" t="str">
        <f>VLOOKUP(Purchase[[#This Row],[Supplier ID]],Supplier[#All],6,0)</f>
        <v>GST2154521T013</v>
      </c>
      <c r="I1310" s="138" t="s">
        <v>489</v>
      </c>
      <c r="J1310" s="139">
        <v>4</v>
      </c>
      <c r="K1310" s="143">
        <f>VLOOKUP(Purchase[[#This Row],[Product ID]],Product[#All],6,0)</f>
        <v>6471</v>
      </c>
      <c r="L1310" s="143">
        <f>Purchase[[#This Row],[Purchase Rate]]*Purchase[[#This Row],[Qty]]</f>
        <v>25884</v>
      </c>
      <c r="M1310" s="140">
        <v>0</v>
      </c>
      <c r="N1310" s="143">
        <v>0</v>
      </c>
      <c r="O1310" s="140">
        <v>0.18</v>
      </c>
      <c r="P1310" s="145">
        <f>(Purchase[[#This Row],[Gross Amount]]-Purchase[[#This Row],[Disct %]])*Purchase[[#This Row],[GST %]]</f>
        <v>4659.12</v>
      </c>
      <c r="Q1310" s="145">
        <f>Purchase[[#This Row],[Gross Amount]]-Purchase[[#This Row],[Disct Amnt]]+Purchase[[#This Row],[GST Amount]]</f>
        <v>30543.119999999999</v>
      </c>
      <c r="R1310" s="138" t="s">
        <v>1019</v>
      </c>
      <c r="S1310" s="41">
        <f>IF(Purchase[[#This Row],[Status]]="Cancelled",0,Purchase[[#This Row],[Qty]])</f>
        <v>4</v>
      </c>
      <c r="T1310" s="146">
        <f>IF(Purchase[[#This Row],[Status]]="Cancelled",0,Purchase[[#This Row],[Total Amount]])</f>
        <v>30543.119999999999</v>
      </c>
      <c r="U1310" s="146">
        <f>SUM(Purchase[Net Amount])</f>
        <v>814985438.68000126</v>
      </c>
    </row>
    <row r="1311" spans="1:21" ht="19.5" thickBot="1" x14ac:dyDescent="0.3">
      <c r="A1311" s="136" t="s">
        <v>2361</v>
      </c>
      <c r="B1311" s="137">
        <v>45723</v>
      </c>
      <c r="C1311" s="138" t="s">
        <v>578</v>
      </c>
      <c r="D1311" s="138" t="str">
        <f>VLOOKUP(Purchase[[#This Row],[Supplier ID]],Supplier[#All],2,0)</f>
        <v>Shree Computers</v>
      </c>
      <c r="E1311" s="138">
        <f>VLOOKUP(Purchase[[#This Row],[Supplier ID]],Supplier[#All],3,0)</f>
        <v>9689542462</v>
      </c>
      <c r="F1311" s="138" t="str">
        <f>VLOOKUP(Purchase[[#This Row],[Supplier ID]],Supplier[#All],4,0)</f>
        <v>Korba</v>
      </c>
      <c r="G1311" s="138" t="str">
        <f>VLOOKUP(Purchase[[#This Row],[Supplier ID]],Supplier[#All],5,0)</f>
        <v>CG</v>
      </c>
      <c r="H1311" s="138" t="str">
        <f>VLOOKUP(Purchase[[#This Row],[Supplier ID]],Supplier[#All],6,0)</f>
        <v>GST2154521T024</v>
      </c>
      <c r="I1311" s="138" t="s">
        <v>475</v>
      </c>
      <c r="J1311" s="139">
        <v>35</v>
      </c>
      <c r="K1311" s="143">
        <f>VLOOKUP(Purchase[[#This Row],[Product ID]],Product[#All],6,0)</f>
        <v>1253</v>
      </c>
      <c r="L1311" s="143">
        <f>Purchase[[#This Row],[Purchase Rate]]*Purchase[[#This Row],[Qty]]</f>
        <v>43855</v>
      </c>
      <c r="M1311" s="140">
        <v>0</v>
      </c>
      <c r="N1311" s="143">
        <v>0</v>
      </c>
      <c r="O1311" s="140">
        <v>0.18</v>
      </c>
      <c r="P1311" s="145">
        <f>(Purchase[[#This Row],[Gross Amount]]-Purchase[[#This Row],[Disct %]])*Purchase[[#This Row],[GST %]]</f>
        <v>7893.9</v>
      </c>
      <c r="Q1311" s="145">
        <f>Purchase[[#This Row],[Gross Amount]]-Purchase[[#This Row],[Disct Amnt]]+Purchase[[#This Row],[GST Amount]]</f>
        <v>51748.9</v>
      </c>
      <c r="R1311" s="138" t="s">
        <v>1019</v>
      </c>
      <c r="S1311" s="41">
        <f>IF(Purchase[[#This Row],[Status]]="Cancelled",0,Purchase[[#This Row],[Qty]])</f>
        <v>35</v>
      </c>
      <c r="T1311" s="146">
        <f>IF(Purchase[[#This Row],[Status]]="Cancelled",0,Purchase[[#This Row],[Total Amount]])</f>
        <v>51748.9</v>
      </c>
      <c r="U1311" s="146">
        <f>SUM(Purchase[Net Amount])</f>
        <v>814985438.68000126</v>
      </c>
    </row>
    <row r="1312" spans="1:21" ht="19.5" thickBot="1" x14ac:dyDescent="0.3">
      <c r="A1312" s="136" t="s">
        <v>2362</v>
      </c>
      <c r="B1312" s="137">
        <v>45723</v>
      </c>
      <c r="C1312" s="138" t="s">
        <v>584</v>
      </c>
      <c r="D1312" s="138" t="str">
        <f>VLOOKUP(Purchase[[#This Row],[Supplier ID]],Supplier[#All],2,0)</f>
        <v>Prime Computers</v>
      </c>
      <c r="E1312" s="138">
        <f>VLOOKUP(Purchase[[#This Row],[Supplier ID]],Supplier[#All],3,0)</f>
        <v>9689542468</v>
      </c>
      <c r="F1312" s="138" t="str">
        <f>VLOOKUP(Purchase[[#This Row],[Supplier ID]],Supplier[#All],4,0)</f>
        <v>Kanpur</v>
      </c>
      <c r="G1312" s="138" t="str">
        <f>VLOOKUP(Purchase[[#This Row],[Supplier ID]],Supplier[#All],5,0)</f>
        <v>UP</v>
      </c>
      <c r="H1312" s="138" t="str">
        <f>VLOOKUP(Purchase[[#This Row],[Supplier ID]],Supplier[#All],6,0)</f>
        <v>GST2154521T030</v>
      </c>
      <c r="I1312" s="138" t="s">
        <v>57</v>
      </c>
      <c r="J1312" s="139">
        <v>21</v>
      </c>
      <c r="K1312" s="143">
        <f>VLOOKUP(Purchase[[#This Row],[Product ID]],Product[#All],6,0)</f>
        <v>45619</v>
      </c>
      <c r="L1312" s="143">
        <f>Purchase[[#This Row],[Purchase Rate]]*Purchase[[#This Row],[Qty]]</f>
        <v>957999</v>
      </c>
      <c r="M1312" s="140">
        <v>0</v>
      </c>
      <c r="N1312" s="143">
        <v>0</v>
      </c>
      <c r="O1312" s="140">
        <v>0.18</v>
      </c>
      <c r="P1312" s="145">
        <f>(Purchase[[#This Row],[Gross Amount]]-Purchase[[#This Row],[Disct %]])*Purchase[[#This Row],[GST %]]</f>
        <v>172439.82</v>
      </c>
      <c r="Q1312" s="145">
        <f>Purchase[[#This Row],[Gross Amount]]-Purchase[[#This Row],[Disct Amnt]]+Purchase[[#This Row],[GST Amount]]</f>
        <v>1130438.82</v>
      </c>
      <c r="R1312" s="138" t="s">
        <v>1019</v>
      </c>
      <c r="S1312" s="41">
        <f>IF(Purchase[[#This Row],[Status]]="Cancelled",0,Purchase[[#This Row],[Qty]])</f>
        <v>21</v>
      </c>
      <c r="T1312" s="146">
        <f>IF(Purchase[[#This Row],[Status]]="Cancelled",0,Purchase[[#This Row],[Total Amount]])</f>
        <v>1130438.82</v>
      </c>
      <c r="U1312" s="146">
        <f>SUM(Purchase[Net Amount])</f>
        <v>814985438.68000126</v>
      </c>
    </row>
    <row r="1313" spans="1:21" ht="19.5" thickBot="1" x14ac:dyDescent="0.3">
      <c r="A1313" s="136" t="s">
        <v>2363</v>
      </c>
      <c r="B1313" s="137">
        <v>45723</v>
      </c>
      <c r="C1313" s="138" t="s">
        <v>597</v>
      </c>
      <c r="D1313" s="138" t="str">
        <f>VLOOKUP(Purchase[[#This Row],[Supplier ID]],Supplier[#All],2,0)</f>
        <v>Tech Traders</v>
      </c>
      <c r="E1313" s="138">
        <f>VLOOKUP(Purchase[[#This Row],[Supplier ID]],Supplier[#All],3,0)</f>
        <v>9689542480</v>
      </c>
      <c r="F1313" s="138" t="str">
        <f>VLOOKUP(Purchase[[#This Row],[Supplier ID]],Supplier[#All],4,0)</f>
        <v>Kanpur</v>
      </c>
      <c r="G1313" s="138" t="str">
        <f>VLOOKUP(Purchase[[#This Row],[Supplier ID]],Supplier[#All],5,0)</f>
        <v>UP</v>
      </c>
      <c r="H1313" s="138" t="str">
        <f>VLOOKUP(Purchase[[#This Row],[Supplier ID]],Supplier[#All],6,0)</f>
        <v>GST2154521T042</v>
      </c>
      <c r="I1313" s="138" t="s">
        <v>276</v>
      </c>
      <c r="J1313" s="139">
        <v>29</v>
      </c>
      <c r="K1313" s="143">
        <f>VLOOKUP(Purchase[[#This Row],[Product ID]],Product[#All],6,0)</f>
        <v>6200</v>
      </c>
      <c r="L1313" s="143">
        <f>Purchase[[#This Row],[Purchase Rate]]*Purchase[[#This Row],[Qty]]</f>
        <v>179800</v>
      </c>
      <c r="M1313" s="140">
        <v>0</v>
      </c>
      <c r="N1313" s="143">
        <v>0</v>
      </c>
      <c r="O1313" s="140">
        <v>0.18</v>
      </c>
      <c r="P1313" s="145">
        <f>(Purchase[[#This Row],[Gross Amount]]-Purchase[[#This Row],[Disct %]])*Purchase[[#This Row],[GST %]]</f>
        <v>32364</v>
      </c>
      <c r="Q1313" s="145">
        <f>Purchase[[#This Row],[Gross Amount]]-Purchase[[#This Row],[Disct Amnt]]+Purchase[[#This Row],[GST Amount]]</f>
        <v>212164</v>
      </c>
      <c r="R1313" s="138" t="s">
        <v>1019</v>
      </c>
      <c r="S1313" s="41">
        <f>IF(Purchase[[#This Row],[Status]]="Cancelled",0,Purchase[[#This Row],[Qty]])</f>
        <v>29</v>
      </c>
      <c r="T1313" s="146">
        <f>IF(Purchase[[#This Row],[Status]]="Cancelled",0,Purchase[[#This Row],[Total Amount]])</f>
        <v>212164</v>
      </c>
      <c r="U1313" s="146">
        <f>SUM(Purchase[Net Amount])</f>
        <v>814985438.68000126</v>
      </c>
    </row>
    <row r="1314" spans="1:21" ht="19.5" thickBot="1" x14ac:dyDescent="0.3">
      <c r="A1314" s="136" t="s">
        <v>2364</v>
      </c>
      <c r="B1314" s="137">
        <v>45723</v>
      </c>
      <c r="C1314" s="138" t="s">
        <v>581</v>
      </c>
      <c r="D1314" s="138" t="str">
        <f>VLOOKUP(Purchase[[#This Row],[Supplier ID]],Supplier[#All],2,0)</f>
        <v>Prime Electronics</v>
      </c>
      <c r="E1314" s="138">
        <f>VLOOKUP(Purchase[[#This Row],[Supplier ID]],Supplier[#All],3,0)</f>
        <v>9689542465</v>
      </c>
      <c r="F1314" s="138" t="str">
        <f>VLOOKUP(Purchase[[#This Row],[Supplier ID]],Supplier[#All],4,0)</f>
        <v>Korba</v>
      </c>
      <c r="G1314" s="138" t="str">
        <f>VLOOKUP(Purchase[[#This Row],[Supplier ID]],Supplier[#All],5,0)</f>
        <v>CG</v>
      </c>
      <c r="H1314" s="138" t="str">
        <f>VLOOKUP(Purchase[[#This Row],[Supplier ID]],Supplier[#All],6,0)</f>
        <v>GST2154521T027</v>
      </c>
      <c r="I1314" s="138" t="s">
        <v>118</v>
      </c>
      <c r="J1314" s="139">
        <v>31</v>
      </c>
      <c r="K1314" s="143">
        <f>VLOOKUP(Purchase[[#This Row],[Product ID]],Product[#All],6,0)</f>
        <v>3406</v>
      </c>
      <c r="L1314" s="143">
        <f>Purchase[[#This Row],[Purchase Rate]]*Purchase[[#This Row],[Qty]]</f>
        <v>105586</v>
      </c>
      <c r="M1314" s="140">
        <v>0</v>
      </c>
      <c r="N1314" s="143">
        <v>0</v>
      </c>
      <c r="O1314" s="140">
        <v>0.18</v>
      </c>
      <c r="P1314" s="145">
        <f>(Purchase[[#This Row],[Gross Amount]]-Purchase[[#This Row],[Disct %]])*Purchase[[#This Row],[GST %]]</f>
        <v>19005.48</v>
      </c>
      <c r="Q1314" s="145">
        <f>Purchase[[#This Row],[Gross Amount]]-Purchase[[#This Row],[Disct Amnt]]+Purchase[[#This Row],[GST Amount]]</f>
        <v>124591.48</v>
      </c>
      <c r="R1314" s="138" t="s">
        <v>1019</v>
      </c>
      <c r="S1314" s="41">
        <f>IF(Purchase[[#This Row],[Status]]="Cancelled",0,Purchase[[#This Row],[Qty]])</f>
        <v>31</v>
      </c>
      <c r="T1314" s="146">
        <f>IF(Purchase[[#This Row],[Status]]="Cancelled",0,Purchase[[#This Row],[Total Amount]])</f>
        <v>124591.48</v>
      </c>
      <c r="U1314" s="146">
        <f>SUM(Purchase[Net Amount])</f>
        <v>814985438.68000126</v>
      </c>
    </row>
    <row r="1315" spans="1:21" ht="19.5" thickBot="1" x14ac:dyDescent="0.3">
      <c r="A1315" s="136" t="s">
        <v>2365</v>
      </c>
      <c r="B1315" s="137">
        <v>45723</v>
      </c>
      <c r="C1315" s="138" t="s">
        <v>591</v>
      </c>
      <c r="D1315" s="138" t="str">
        <f>VLOOKUP(Purchase[[#This Row],[Supplier ID]],Supplier[#All],2,0)</f>
        <v>Shree Computers</v>
      </c>
      <c r="E1315" s="138">
        <f>VLOOKUP(Purchase[[#This Row],[Supplier ID]],Supplier[#All],3,0)</f>
        <v>9689542475</v>
      </c>
      <c r="F1315" s="138" t="str">
        <f>VLOOKUP(Purchase[[#This Row],[Supplier ID]],Supplier[#All],4,0)</f>
        <v>Indore</v>
      </c>
      <c r="G1315" s="138" t="str">
        <f>VLOOKUP(Purchase[[#This Row],[Supplier ID]],Supplier[#All],5,0)</f>
        <v>MP</v>
      </c>
      <c r="H1315" s="138" t="str">
        <f>VLOOKUP(Purchase[[#This Row],[Supplier ID]],Supplier[#All],6,0)</f>
        <v>GST2154521T037</v>
      </c>
      <c r="I1315" s="138" t="s">
        <v>78</v>
      </c>
      <c r="J1315" s="139">
        <v>39</v>
      </c>
      <c r="K1315" s="143">
        <f>VLOOKUP(Purchase[[#This Row],[Product ID]],Product[#All],6,0)</f>
        <v>13714</v>
      </c>
      <c r="L1315" s="143">
        <f>Purchase[[#This Row],[Purchase Rate]]*Purchase[[#This Row],[Qty]]</f>
        <v>534846</v>
      </c>
      <c r="M1315" s="140">
        <v>0</v>
      </c>
      <c r="N1315" s="143">
        <v>0</v>
      </c>
      <c r="O1315" s="140">
        <v>0.18</v>
      </c>
      <c r="P1315" s="145">
        <f>(Purchase[[#This Row],[Gross Amount]]-Purchase[[#This Row],[Disct %]])*Purchase[[#This Row],[GST %]]</f>
        <v>96272.28</v>
      </c>
      <c r="Q1315" s="145">
        <f>Purchase[[#This Row],[Gross Amount]]-Purchase[[#This Row],[Disct Amnt]]+Purchase[[#This Row],[GST Amount]]</f>
        <v>631118.28</v>
      </c>
      <c r="R1315" s="138" t="s">
        <v>1019</v>
      </c>
      <c r="S1315" s="41">
        <f>IF(Purchase[[#This Row],[Status]]="Cancelled",0,Purchase[[#This Row],[Qty]])</f>
        <v>39</v>
      </c>
      <c r="T1315" s="146">
        <f>IF(Purchase[[#This Row],[Status]]="Cancelled",0,Purchase[[#This Row],[Total Amount]])</f>
        <v>631118.28</v>
      </c>
      <c r="U1315" s="146">
        <f>SUM(Purchase[Net Amount])</f>
        <v>814985438.68000126</v>
      </c>
    </row>
    <row r="1316" spans="1:21" ht="19.5" thickBot="1" x14ac:dyDescent="0.3">
      <c r="A1316" s="136" t="s">
        <v>2366</v>
      </c>
      <c r="B1316" s="137">
        <v>45723</v>
      </c>
      <c r="C1316" s="138" t="s">
        <v>608</v>
      </c>
      <c r="D1316" s="138" t="str">
        <f>VLOOKUP(Purchase[[#This Row],[Supplier ID]],Supplier[#All],2,0)</f>
        <v>Global Suppliers</v>
      </c>
      <c r="E1316" s="138">
        <f>VLOOKUP(Purchase[[#This Row],[Supplier ID]],Supplier[#All],3,0)</f>
        <v>9689542499</v>
      </c>
      <c r="F1316" s="138" t="str">
        <f>VLOOKUP(Purchase[[#This Row],[Supplier ID]],Supplier[#All],4,0)</f>
        <v>Korba</v>
      </c>
      <c r="G1316" s="138" t="str">
        <f>VLOOKUP(Purchase[[#This Row],[Supplier ID]],Supplier[#All],5,0)</f>
        <v>CG</v>
      </c>
      <c r="H1316" s="138" t="str">
        <f>VLOOKUP(Purchase[[#This Row],[Supplier ID]],Supplier[#All],6,0)</f>
        <v>GST2154521T053</v>
      </c>
      <c r="I1316" s="138" t="s">
        <v>209</v>
      </c>
      <c r="J1316" s="139">
        <v>31</v>
      </c>
      <c r="K1316" s="143">
        <f>VLOOKUP(Purchase[[#This Row],[Product ID]],Product[#All],6,0)</f>
        <v>46511</v>
      </c>
      <c r="L1316" s="143">
        <f>Purchase[[#This Row],[Purchase Rate]]*Purchase[[#This Row],[Qty]]</f>
        <v>1441841</v>
      </c>
      <c r="M1316" s="140">
        <v>0</v>
      </c>
      <c r="N1316" s="143">
        <v>0</v>
      </c>
      <c r="O1316" s="140">
        <v>0.18</v>
      </c>
      <c r="P1316" s="145">
        <f>(Purchase[[#This Row],[Gross Amount]]-Purchase[[#This Row],[Disct %]])*Purchase[[#This Row],[GST %]]</f>
        <v>259531.38</v>
      </c>
      <c r="Q1316" s="145">
        <f>Purchase[[#This Row],[Gross Amount]]-Purchase[[#This Row],[Disct Amnt]]+Purchase[[#This Row],[GST Amount]]</f>
        <v>1701372.38</v>
      </c>
      <c r="R1316" s="138" t="s">
        <v>1019</v>
      </c>
      <c r="S1316" s="41">
        <f>IF(Purchase[[#This Row],[Status]]="Cancelled",0,Purchase[[#This Row],[Qty]])</f>
        <v>31</v>
      </c>
      <c r="T1316" s="146">
        <f>IF(Purchase[[#This Row],[Status]]="Cancelled",0,Purchase[[#This Row],[Total Amount]])</f>
        <v>1701372.38</v>
      </c>
      <c r="U1316" s="146">
        <f>SUM(Purchase[Net Amount])</f>
        <v>814985438.68000126</v>
      </c>
    </row>
    <row r="1317" spans="1:21" ht="19.5" thickBot="1" x14ac:dyDescent="0.3">
      <c r="A1317" s="136" t="s">
        <v>2367</v>
      </c>
      <c r="B1317" s="137">
        <v>45723</v>
      </c>
      <c r="C1317" s="138" t="s">
        <v>607</v>
      </c>
      <c r="D1317" s="138" t="str">
        <f>VLOOKUP(Purchase[[#This Row],[Supplier ID]],Supplier[#All],2,0)</f>
        <v>Global Distributors</v>
      </c>
      <c r="E1317" s="138">
        <f>VLOOKUP(Purchase[[#This Row],[Supplier ID]],Supplier[#All],3,0)</f>
        <v>9689542490</v>
      </c>
      <c r="F1317" s="138" t="str">
        <f>VLOOKUP(Purchase[[#This Row],[Supplier ID]],Supplier[#All],4,0)</f>
        <v>Kanpur</v>
      </c>
      <c r="G1317" s="138" t="str">
        <f>VLOOKUP(Purchase[[#This Row],[Supplier ID]],Supplier[#All],5,0)</f>
        <v>UP</v>
      </c>
      <c r="H1317" s="138" t="str">
        <f>VLOOKUP(Purchase[[#This Row],[Supplier ID]],Supplier[#All],6,0)</f>
        <v>GST2154521T052</v>
      </c>
      <c r="I1317" s="138" t="s">
        <v>139</v>
      </c>
      <c r="J1317" s="139">
        <v>19</v>
      </c>
      <c r="K1317" s="143">
        <f>VLOOKUP(Purchase[[#This Row],[Product ID]],Product[#All],6,0)</f>
        <v>21311</v>
      </c>
      <c r="L1317" s="143">
        <f>Purchase[[#This Row],[Purchase Rate]]*Purchase[[#This Row],[Qty]]</f>
        <v>404909</v>
      </c>
      <c r="M1317" s="140">
        <v>0</v>
      </c>
      <c r="N1317" s="143">
        <v>0</v>
      </c>
      <c r="O1317" s="140">
        <v>0.18</v>
      </c>
      <c r="P1317" s="145">
        <f>(Purchase[[#This Row],[Gross Amount]]-Purchase[[#This Row],[Disct %]])*Purchase[[#This Row],[GST %]]</f>
        <v>72883.62</v>
      </c>
      <c r="Q1317" s="145">
        <f>Purchase[[#This Row],[Gross Amount]]-Purchase[[#This Row],[Disct Amnt]]+Purchase[[#This Row],[GST Amount]]</f>
        <v>477792.62</v>
      </c>
      <c r="R1317" s="138" t="s">
        <v>1019</v>
      </c>
      <c r="S1317" s="41">
        <f>IF(Purchase[[#This Row],[Status]]="Cancelled",0,Purchase[[#This Row],[Qty]])</f>
        <v>19</v>
      </c>
      <c r="T1317" s="146">
        <f>IF(Purchase[[#This Row],[Status]]="Cancelled",0,Purchase[[#This Row],[Total Amount]])</f>
        <v>477792.62</v>
      </c>
      <c r="U1317" s="146">
        <f>SUM(Purchase[Net Amount])</f>
        <v>814985438.68000126</v>
      </c>
    </row>
    <row r="1318" spans="1:21" ht="19.5" thickBot="1" x14ac:dyDescent="0.3">
      <c r="A1318" s="136" t="s">
        <v>2368</v>
      </c>
      <c r="B1318" s="137">
        <v>45723</v>
      </c>
      <c r="C1318" s="138" t="s">
        <v>567</v>
      </c>
      <c r="D1318" s="138" t="str">
        <f>VLOOKUP(Purchase[[#This Row],[Supplier ID]],Supplier[#All],2,0)</f>
        <v>National Distributors</v>
      </c>
      <c r="E1318" s="138">
        <f>VLOOKUP(Purchase[[#This Row],[Supplier ID]],Supplier[#All],3,0)</f>
        <v>9689542453</v>
      </c>
      <c r="F1318" s="138" t="str">
        <f>VLOOKUP(Purchase[[#This Row],[Supplier ID]],Supplier[#All],4,0)</f>
        <v>Korba</v>
      </c>
      <c r="G1318" s="138" t="str">
        <f>VLOOKUP(Purchase[[#This Row],[Supplier ID]],Supplier[#All],5,0)</f>
        <v>CG</v>
      </c>
      <c r="H1318" s="138" t="str">
        <f>VLOOKUP(Purchase[[#This Row],[Supplier ID]],Supplier[#All],6,0)</f>
        <v>GST2154521T015</v>
      </c>
      <c r="I1318" s="138" t="s">
        <v>162</v>
      </c>
      <c r="J1318" s="139">
        <v>34</v>
      </c>
      <c r="K1318" s="143">
        <f>VLOOKUP(Purchase[[#This Row],[Product ID]],Product[#All],6,0)</f>
        <v>724</v>
      </c>
      <c r="L1318" s="143">
        <f>Purchase[[#This Row],[Purchase Rate]]*Purchase[[#This Row],[Qty]]</f>
        <v>24616</v>
      </c>
      <c r="M1318" s="140">
        <v>0</v>
      </c>
      <c r="N1318" s="143">
        <v>0</v>
      </c>
      <c r="O1318" s="140">
        <v>0.18</v>
      </c>
      <c r="P1318" s="145">
        <f>(Purchase[[#This Row],[Gross Amount]]-Purchase[[#This Row],[Disct %]])*Purchase[[#This Row],[GST %]]</f>
        <v>4430.88</v>
      </c>
      <c r="Q1318" s="145">
        <f>Purchase[[#This Row],[Gross Amount]]-Purchase[[#This Row],[Disct Amnt]]+Purchase[[#This Row],[GST Amount]]</f>
        <v>29046.880000000001</v>
      </c>
      <c r="R1318" s="138" t="s">
        <v>1019</v>
      </c>
      <c r="S1318" s="41">
        <f>IF(Purchase[[#This Row],[Status]]="Cancelled",0,Purchase[[#This Row],[Qty]])</f>
        <v>34</v>
      </c>
      <c r="T1318" s="146">
        <f>IF(Purchase[[#This Row],[Status]]="Cancelled",0,Purchase[[#This Row],[Total Amount]])</f>
        <v>29046.880000000001</v>
      </c>
      <c r="U1318" s="146">
        <f>SUM(Purchase[Net Amount])</f>
        <v>814985438.68000126</v>
      </c>
    </row>
    <row r="1319" spans="1:21" ht="19.5" thickBot="1" x14ac:dyDescent="0.3">
      <c r="A1319" s="136" t="s">
        <v>2369</v>
      </c>
      <c r="B1319" s="137">
        <v>45723</v>
      </c>
      <c r="C1319" s="138" t="s">
        <v>578</v>
      </c>
      <c r="D1319" s="138" t="str">
        <f>VLOOKUP(Purchase[[#This Row],[Supplier ID]],Supplier[#All],2,0)</f>
        <v>Shree Computers</v>
      </c>
      <c r="E1319" s="138">
        <f>VLOOKUP(Purchase[[#This Row],[Supplier ID]],Supplier[#All],3,0)</f>
        <v>9689542462</v>
      </c>
      <c r="F1319" s="138" t="str">
        <f>VLOOKUP(Purchase[[#This Row],[Supplier ID]],Supplier[#All],4,0)</f>
        <v>Korba</v>
      </c>
      <c r="G1319" s="138" t="str">
        <f>VLOOKUP(Purchase[[#This Row],[Supplier ID]],Supplier[#All],5,0)</f>
        <v>CG</v>
      </c>
      <c r="H1319" s="138" t="str">
        <f>VLOOKUP(Purchase[[#This Row],[Supplier ID]],Supplier[#All],6,0)</f>
        <v>GST2154521T024</v>
      </c>
      <c r="I1319" s="138" t="s">
        <v>116</v>
      </c>
      <c r="J1319" s="139">
        <v>24</v>
      </c>
      <c r="K1319" s="143">
        <f>VLOOKUP(Purchase[[#This Row],[Product ID]],Product[#All],6,0)</f>
        <v>33377</v>
      </c>
      <c r="L1319" s="143">
        <f>Purchase[[#This Row],[Purchase Rate]]*Purchase[[#This Row],[Qty]]</f>
        <v>801048</v>
      </c>
      <c r="M1319" s="140">
        <v>0</v>
      </c>
      <c r="N1319" s="143">
        <v>0</v>
      </c>
      <c r="O1319" s="140">
        <v>0.18</v>
      </c>
      <c r="P1319" s="145">
        <f>(Purchase[[#This Row],[Gross Amount]]-Purchase[[#This Row],[Disct %]])*Purchase[[#This Row],[GST %]]</f>
        <v>144188.63999999998</v>
      </c>
      <c r="Q1319" s="145">
        <f>Purchase[[#This Row],[Gross Amount]]-Purchase[[#This Row],[Disct Amnt]]+Purchase[[#This Row],[GST Amount]]</f>
        <v>945236.64</v>
      </c>
      <c r="R1319" s="138" t="s">
        <v>1019</v>
      </c>
      <c r="S1319" s="41">
        <f>IF(Purchase[[#This Row],[Status]]="Cancelled",0,Purchase[[#This Row],[Qty]])</f>
        <v>24</v>
      </c>
      <c r="T1319" s="146">
        <f>IF(Purchase[[#This Row],[Status]]="Cancelled",0,Purchase[[#This Row],[Total Amount]])</f>
        <v>945236.64</v>
      </c>
      <c r="U1319" s="146">
        <f>SUM(Purchase[Net Amount])</f>
        <v>814985438.68000126</v>
      </c>
    </row>
    <row r="1320" spans="1:21" ht="19.5" thickBot="1" x14ac:dyDescent="0.3">
      <c r="A1320" s="136" t="s">
        <v>2370</v>
      </c>
      <c r="B1320" s="137">
        <v>45723</v>
      </c>
      <c r="C1320" s="138" t="s">
        <v>568</v>
      </c>
      <c r="D1320" s="138" t="str">
        <f>VLOOKUP(Purchase[[#This Row],[Supplier ID]],Supplier[#All],2,0)</f>
        <v>Maa Computers</v>
      </c>
      <c r="E1320" s="138">
        <f>VLOOKUP(Purchase[[#This Row],[Supplier ID]],Supplier[#All],3,0)</f>
        <v>9689542454</v>
      </c>
      <c r="F1320" s="138" t="str">
        <f>VLOOKUP(Purchase[[#This Row],[Supplier ID]],Supplier[#All],4,0)</f>
        <v>Korba</v>
      </c>
      <c r="G1320" s="138" t="str">
        <f>VLOOKUP(Purchase[[#This Row],[Supplier ID]],Supplier[#All],5,0)</f>
        <v>CG</v>
      </c>
      <c r="H1320" s="138" t="str">
        <f>VLOOKUP(Purchase[[#This Row],[Supplier ID]],Supplier[#All],6,0)</f>
        <v>GST2154521T016</v>
      </c>
      <c r="I1320" s="138" t="s">
        <v>362</v>
      </c>
      <c r="J1320" s="139">
        <v>20</v>
      </c>
      <c r="K1320" s="143">
        <f>VLOOKUP(Purchase[[#This Row],[Product ID]],Product[#All],6,0)</f>
        <v>3403</v>
      </c>
      <c r="L1320" s="143">
        <f>Purchase[[#This Row],[Purchase Rate]]*Purchase[[#This Row],[Qty]]</f>
        <v>68060</v>
      </c>
      <c r="M1320" s="140">
        <v>0</v>
      </c>
      <c r="N1320" s="143">
        <v>0</v>
      </c>
      <c r="O1320" s="140">
        <v>0.18</v>
      </c>
      <c r="P1320" s="145">
        <f>(Purchase[[#This Row],[Gross Amount]]-Purchase[[#This Row],[Disct %]])*Purchase[[#This Row],[GST %]]</f>
        <v>12250.8</v>
      </c>
      <c r="Q1320" s="145">
        <f>Purchase[[#This Row],[Gross Amount]]-Purchase[[#This Row],[Disct Amnt]]+Purchase[[#This Row],[GST Amount]]</f>
        <v>80310.8</v>
      </c>
      <c r="R1320" s="138" t="s">
        <v>1019</v>
      </c>
      <c r="S1320" s="41">
        <f>IF(Purchase[[#This Row],[Status]]="Cancelled",0,Purchase[[#This Row],[Qty]])</f>
        <v>20</v>
      </c>
      <c r="T1320" s="146">
        <f>IF(Purchase[[#This Row],[Status]]="Cancelled",0,Purchase[[#This Row],[Total Amount]])</f>
        <v>80310.8</v>
      </c>
      <c r="U1320" s="146">
        <f>SUM(Purchase[Net Amount])</f>
        <v>814985438.68000126</v>
      </c>
    </row>
    <row r="1321" spans="1:21" ht="19.5" thickBot="1" x14ac:dyDescent="0.3">
      <c r="A1321" s="136" t="s">
        <v>2371</v>
      </c>
      <c r="B1321" s="137">
        <v>45723</v>
      </c>
      <c r="C1321" s="138" t="s">
        <v>570</v>
      </c>
      <c r="D1321" s="138" t="str">
        <f>VLOOKUP(Purchase[[#This Row],[Supplier ID]],Supplier[#All],2,0)</f>
        <v>Prime Traders</v>
      </c>
      <c r="E1321" s="138">
        <f>VLOOKUP(Purchase[[#This Row],[Supplier ID]],Supplier[#All],3,0)</f>
        <v>9689542456</v>
      </c>
      <c r="F1321" s="138" t="str">
        <f>VLOOKUP(Purchase[[#This Row],[Supplier ID]],Supplier[#All],4,0)</f>
        <v>Indore</v>
      </c>
      <c r="G1321" s="138" t="str">
        <f>VLOOKUP(Purchase[[#This Row],[Supplier ID]],Supplier[#All],5,0)</f>
        <v>MP</v>
      </c>
      <c r="H1321" s="138" t="str">
        <f>VLOOKUP(Purchase[[#This Row],[Supplier ID]],Supplier[#All],6,0)</f>
        <v>GST2154521T018</v>
      </c>
      <c r="I1321" s="138" t="s">
        <v>421</v>
      </c>
      <c r="J1321" s="139">
        <v>37</v>
      </c>
      <c r="K1321" s="143">
        <f>VLOOKUP(Purchase[[#This Row],[Product ID]],Product[#All],6,0)</f>
        <v>233</v>
      </c>
      <c r="L1321" s="143">
        <f>Purchase[[#This Row],[Purchase Rate]]*Purchase[[#This Row],[Qty]]</f>
        <v>8621</v>
      </c>
      <c r="M1321" s="140">
        <v>0</v>
      </c>
      <c r="N1321" s="143">
        <v>0</v>
      </c>
      <c r="O1321" s="140">
        <v>0.18</v>
      </c>
      <c r="P1321" s="145">
        <f>(Purchase[[#This Row],[Gross Amount]]-Purchase[[#This Row],[Disct %]])*Purchase[[#This Row],[GST %]]</f>
        <v>1551.78</v>
      </c>
      <c r="Q1321" s="145">
        <f>Purchase[[#This Row],[Gross Amount]]-Purchase[[#This Row],[Disct Amnt]]+Purchase[[#This Row],[GST Amount]]</f>
        <v>10172.780000000001</v>
      </c>
      <c r="R1321" s="138" t="s">
        <v>1019</v>
      </c>
      <c r="S1321" s="41">
        <f>IF(Purchase[[#This Row],[Status]]="Cancelled",0,Purchase[[#This Row],[Qty]])</f>
        <v>37</v>
      </c>
      <c r="T1321" s="146">
        <f>IF(Purchase[[#This Row],[Status]]="Cancelled",0,Purchase[[#This Row],[Total Amount]])</f>
        <v>10172.780000000001</v>
      </c>
      <c r="U1321" s="146">
        <f>SUM(Purchase[Net Amount])</f>
        <v>814985438.68000126</v>
      </c>
    </row>
    <row r="1322" spans="1:21" ht="19.5" thickBot="1" x14ac:dyDescent="0.3">
      <c r="A1322" s="136" t="s">
        <v>2372</v>
      </c>
      <c r="B1322" s="137">
        <v>45723</v>
      </c>
      <c r="C1322" s="138" t="s">
        <v>596</v>
      </c>
      <c r="D1322" s="138" t="str">
        <f>VLOOKUP(Purchase[[#This Row],[Supplier ID]],Supplier[#All],2,0)</f>
        <v>star traders</v>
      </c>
      <c r="E1322" s="138">
        <f>VLOOKUP(Purchase[[#This Row],[Supplier ID]],Supplier[#All],3,0)</f>
        <v>9689542479</v>
      </c>
      <c r="F1322" s="138" t="str">
        <f>VLOOKUP(Purchase[[#This Row],[Supplier ID]],Supplier[#All],4,0)</f>
        <v>Korba</v>
      </c>
      <c r="G1322" s="138" t="str">
        <f>VLOOKUP(Purchase[[#This Row],[Supplier ID]],Supplier[#All],5,0)</f>
        <v>CG</v>
      </c>
      <c r="H1322" s="138" t="str">
        <f>VLOOKUP(Purchase[[#This Row],[Supplier ID]],Supplier[#All],6,0)</f>
        <v>GST2154521T041</v>
      </c>
      <c r="I1322" s="138" t="s">
        <v>549</v>
      </c>
      <c r="J1322" s="139">
        <v>10</v>
      </c>
      <c r="K1322" s="143">
        <f>VLOOKUP(Purchase[[#This Row],[Product ID]],Product[#All],6,0)</f>
        <v>2884</v>
      </c>
      <c r="L1322" s="143">
        <f>Purchase[[#This Row],[Purchase Rate]]*Purchase[[#This Row],[Qty]]</f>
        <v>28840</v>
      </c>
      <c r="M1322" s="140">
        <v>0</v>
      </c>
      <c r="N1322" s="143">
        <v>0</v>
      </c>
      <c r="O1322" s="140">
        <v>0.18</v>
      </c>
      <c r="P1322" s="145">
        <f>(Purchase[[#This Row],[Gross Amount]]-Purchase[[#This Row],[Disct %]])*Purchase[[#This Row],[GST %]]</f>
        <v>5191.2</v>
      </c>
      <c r="Q1322" s="145">
        <f>Purchase[[#This Row],[Gross Amount]]-Purchase[[#This Row],[Disct Amnt]]+Purchase[[#This Row],[GST Amount]]</f>
        <v>34031.199999999997</v>
      </c>
      <c r="R1322" s="138" t="s">
        <v>1019</v>
      </c>
      <c r="S1322" s="41">
        <f>IF(Purchase[[#This Row],[Status]]="Cancelled",0,Purchase[[#This Row],[Qty]])</f>
        <v>10</v>
      </c>
      <c r="T1322" s="146">
        <f>IF(Purchase[[#This Row],[Status]]="Cancelled",0,Purchase[[#This Row],[Total Amount]])</f>
        <v>34031.199999999997</v>
      </c>
      <c r="U1322" s="146">
        <f>SUM(Purchase[Net Amount])</f>
        <v>814985438.68000126</v>
      </c>
    </row>
    <row r="1323" spans="1:21" ht="19.5" thickBot="1" x14ac:dyDescent="0.3">
      <c r="A1323" s="136" t="s">
        <v>2373</v>
      </c>
      <c r="B1323" s="137">
        <v>45723</v>
      </c>
      <c r="C1323" s="138" t="s">
        <v>594</v>
      </c>
      <c r="D1323" s="138" t="str">
        <f>VLOOKUP(Purchase[[#This Row],[Supplier ID]],Supplier[#All],2,0)</f>
        <v>Shree Suppliers</v>
      </c>
      <c r="E1323" s="138">
        <f>VLOOKUP(Purchase[[#This Row],[Supplier ID]],Supplier[#All],3,0)</f>
        <v>9689542477</v>
      </c>
      <c r="F1323" s="138" t="str">
        <f>VLOOKUP(Purchase[[#This Row],[Supplier ID]],Supplier[#All],4,0)</f>
        <v>Indore</v>
      </c>
      <c r="G1323" s="138" t="str">
        <f>VLOOKUP(Purchase[[#This Row],[Supplier ID]],Supplier[#All],5,0)</f>
        <v>MP</v>
      </c>
      <c r="H1323" s="138" t="str">
        <f>VLOOKUP(Purchase[[#This Row],[Supplier ID]],Supplier[#All],6,0)</f>
        <v>GST2154521T039</v>
      </c>
      <c r="I1323" s="138" t="s">
        <v>415</v>
      </c>
      <c r="J1323" s="139">
        <v>4</v>
      </c>
      <c r="K1323" s="143">
        <f>VLOOKUP(Purchase[[#This Row],[Product ID]],Product[#All],6,0)</f>
        <v>4146</v>
      </c>
      <c r="L1323" s="143">
        <f>Purchase[[#This Row],[Purchase Rate]]*Purchase[[#This Row],[Qty]]</f>
        <v>16584</v>
      </c>
      <c r="M1323" s="140">
        <v>0</v>
      </c>
      <c r="N1323" s="143">
        <v>0</v>
      </c>
      <c r="O1323" s="140">
        <v>0.18</v>
      </c>
      <c r="P1323" s="145">
        <f>(Purchase[[#This Row],[Gross Amount]]-Purchase[[#This Row],[Disct %]])*Purchase[[#This Row],[GST %]]</f>
        <v>2985.12</v>
      </c>
      <c r="Q1323" s="145">
        <f>Purchase[[#This Row],[Gross Amount]]-Purchase[[#This Row],[Disct Amnt]]+Purchase[[#This Row],[GST Amount]]</f>
        <v>19569.12</v>
      </c>
      <c r="R1323" s="138" t="s">
        <v>1019</v>
      </c>
      <c r="S1323" s="41">
        <f>IF(Purchase[[#This Row],[Status]]="Cancelled",0,Purchase[[#This Row],[Qty]])</f>
        <v>4</v>
      </c>
      <c r="T1323" s="146">
        <f>IF(Purchase[[#This Row],[Status]]="Cancelled",0,Purchase[[#This Row],[Total Amount]])</f>
        <v>19569.12</v>
      </c>
      <c r="U1323" s="146">
        <f>SUM(Purchase[Net Amount])</f>
        <v>814985438.68000126</v>
      </c>
    </row>
    <row r="1324" spans="1:21" ht="19.5" thickBot="1" x14ac:dyDescent="0.3">
      <c r="A1324" s="136" t="s">
        <v>2374</v>
      </c>
      <c r="B1324" s="137">
        <v>45723</v>
      </c>
      <c r="C1324" s="138" t="s">
        <v>611</v>
      </c>
      <c r="D1324" s="138" t="str">
        <f>VLOOKUP(Purchase[[#This Row],[Supplier ID]],Supplier[#All],2,0)</f>
        <v>National Distributors</v>
      </c>
      <c r="E1324" s="138">
        <f>VLOOKUP(Purchase[[#This Row],[Supplier ID]],Supplier[#All],3,0)</f>
        <v>9689542494</v>
      </c>
      <c r="F1324" s="138" t="str">
        <f>VLOOKUP(Purchase[[#This Row],[Supplier ID]],Supplier[#All],4,0)</f>
        <v>Korba</v>
      </c>
      <c r="G1324" s="138" t="str">
        <f>VLOOKUP(Purchase[[#This Row],[Supplier ID]],Supplier[#All],5,0)</f>
        <v>CG</v>
      </c>
      <c r="H1324" s="138" t="str">
        <f>VLOOKUP(Purchase[[#This Row],[Supplier ID]],Supplier[#All],6,0)</f>
        <v>GST2154521T056</v>
      </c>
      <c r="I1324" s="138" t="s">
        <v>308</v>
      </c>
      <c r="J1324" s="139">
        <v>4</v>
      </c>
      <c r="K1324" s="143">
        <f>VLOOKUP(Purchase[[#This Row],[Product ID]],Product[#All],6,0)</f>
        <v>3398</v>
      </c>
      <c r="L1324" s="143">
        <f>Purchase[[#This Row],[Purchase Rate]]*Purchase[[#This Row],[Qty]]</f>
        <v>13592</v>
      </c>
      <c r="M1324" s="140">
        <v>0</v>
      </c>
      <c r="N1324" s="143">
        <v>0</v>
      </c>
      <c r="O1324" s="140">
        <v>0.18</v>
      </c>
      <c r="P1324" s="145">
        <f>(Purchase[[#This Row],[Gross Amount]]-Purchase[[#This Row],[Disct %]])*Purchase[[#This Row],[GST %]]</f>
        <v>2446.56</v>
      </c>
      <c r="Q1324" s="145">
        <f>Purchase[[#This Row],[Gross Amount]]-Purchase[[#This Row],[Disct Amnt]]+Purchase[[#This Row],[GST Amount]]</f>
        <v>16038.56</v>
      </c>
      <c r="R1324" s="138" t="s">
        <v>1019</v>
      </c>
      <c r="S1324" s="41">
        <f>IF(Purchase[[#This Row],[Status]]="Cancelled",0,Purchase[[#This Row],[Qty]])</f>
        <v>4</v>
      </c>
      <c r="T1324" s="146">
        <f>IF(Purchase[[#This Row],[Status]]="Cancelled",0,Purchase[[#This Row],[Total Amount]])</f>
        <v>16038.56</v>
      </c>
      <c r="U1324" s="146">
        <f>SUM(Purchase[Net Amount])</f>
        <v>814985438.68000126</v>
      </c>
    </row>
    <row r="1325" spans="1:21" ht="19.5" thickBot="1" x14ac:dyDescent="0.3">
      <c r="A1325" s="136" t="s">
        <v>2375</v>
      </c>
      <c r="B1325" s="137">
        <v>45723</v>
      </c>
      <c r="C1325" s="138" t="s">
        <v>611</v>
      </c>
      <c r="D1325" s="138" t="str">
        <f>VLOOKUP(Purchase[[#This Row],[Supplier ID]],Supplier[#All],2,0)</f>
        <v>National Distributors</v>
      </c>
      <c r="E1325" s="138">
        <f>VLOOKUP(Purchase[[#This Row],[Supplier ID]],Supplier[#All],3,0)</f>
        <v>9689542494</v>
      </c>
      <c r="F1325" s="138" t="str">
        <f>VLOOKUP(Purchase[[#This Row],[Supplier ID]],Supplier[#All],4,0)</f>
        <v>Korba</v>
      </c>
      <c r="G1325" s="138" t="str">
        <f>VLOOKUP(Purchase[[#This Row],[Supplier ID]],Supplier[#All],5,0)</f>
        <v>CG</v>
      </c>
      <c r="H1325" s="138" t="str">
        <f>VLOOKUP(Purchase[[#This Row],[Supplier ID]],Supplier[#All],6,0)</f>
        <v>GST2154521T056</v>
      </c>
      <c r="I1325" s="138" t="s">
        <v>465</v>
      </c>
      <c r="J1325" s="139">
        <v>21</v>
      </c>
      <c r="K1325" s="143">
        <f>VLOOKUP(Purchase[[#This Row],[Product ID]],Product[#All],6,0)</f>
        <v>1749</v>
      </c>
      <c r="L1325" s="143">
        <f>Purchase[[#This Row],[Purchase Rate]]*Purchase[[#This Row],[Qty]]</f>
        <v>36729</v>
      </c>
      <c r="M1325" s="140">
        <v>0</v>
      </c>
      <c r="N1325" s="143">
        <v>0</v>
      </c>
      <c r="O1325" s="140">
        <v>0.18</v>
      </c>
      <c r="P1325" s="145">
        <f>(Purchase[[#This Row],[Gross Amount]]-Purchase[[#This Row],[Disct %]])*Purchase[[#This Row],[GST %]]</f>
        <v>6611.2199999999993</v>
      </c>
      <c r="Q1325" s="145">
        <f>Purchase[[#This Row],[Gross Amount]]-Purchase[[#This Row],[Disct Amnt]]+Purchase[[#This Row],[GST Amount]]</f>
        <v>43340.22</v>
      </c>
      <c r="R1325" s="138" t="s">
        <v>1040</v>
      </c>
      <c r="S1325" s="41">
        <f>IF(Purchase[[#This Row],[Status]]="Cancelled",0,Purchase[[#This Row],[Qty]])</f>
        <v>0</v>
      </c>
      <c r="T1325" s="146">
        <f>IF(Purchase[[#This Row],[Status]]="Cancelled",0,Purchase[[#This Row],[Total Amount]])</f>
        <v>0</v>
      </c>
      <c r="U1325" s="146">
        <f>SUM(Purchase[Net Amount])</f>
        <v>814985438.68000126</v>
      </c>
    </row>
    <row r="1326" spans="1:21" ht="19.5" thickBot="1" x14ac:dyDescent="0.3">
      <c r="A1326" s="136" t="s">
        <v>2376</v>
      </c>
      <c r="B1326" s="137">
        <v>45723</v>
      </c>
      <c r="C1326" s="138" t="s">
        <v>598</v>
      </c>
      <c r="D1326" s="138" t="str">
        <f>VLOOKUP(Purchase[[#This Row],[Supplier ID]],Supplier[#All],2,0)</f>
        <v>National Distributors</v>
      </c>
      <c r="E1326" s="138">
        <f>VLOOKUP(Purchase[[#This Row],[Supplier ID]],Supplier[#All],3,0)</f>
        <v>9689542489</v>
      </c>
      <c r="F1326" s="138" t="str">
        <f>VLOOKUP(Purchase[[#This Row],[Supplier ID]],Supplier[#All],4,0)</f>
        <v>Indore</v>
      </c>
      <c r="G1326" s="138" t="str">
        <f>VLOOKUP(Purchase[[#This Row],[Supplier ID]],Supplier[#All],5,0)</f>
        <v>MP</v>
      </c>
      <c r="H1326" s="138" t="str">
        <f>VLOOKUP(Purchase[[#This Row],[Supplier ID]],Supplier[#All],6,0)</f>
        <v>GST2154521T043</v>
      </c>
      <c r="I1326" s="138" t="s">
        <v>304</v>
      </c>
      <c r="J1326" s="139">
        <v>38</v>
      </c>
      <c r="K1326" s="143">
        <f>VLOOKUP(Purchase[[#This Row],[Product ID]],Product[#All],6,0)</f>
        <v>2572</v>
      </c>
      <c r="L1326" s="143">
        <f>Purchase[[#This Row],[Purchase Rate]]*Purchase[[#This Row],[Qty]]</f>
        <v>97736</v>
      </c>
      <c r="M1326" s="140">
        <v>0</v>
      </c>
      <c r="N1326" s="143">
        <v>0</v>
      </c>
      <c r="O1326" s="140">
        <v>0.18</v>
      </c>
      <c r="P1326" s="145">
        <f>(Purchase[[#This Row],[Gross Amount]]-Purchase[[#This Row],[Disct %]])*Purchase[[#This Row],[GST %]]</f>
        <v>17592.48</v>
      </c>
      <c r="Q1326" s="145">
        <f>Purchase[[#This Row],[Gross Amount]]-Purchase[[#This Row],[Disct Amnt]]+Purchase[[#This Row],[GST Amount]]</f>
        <v>115328.48</v>
      </c>
      <c r="R1326" s="138" t="s">
        <v>1019</v>
      </c>
      <c r="S1326" s="41">
        <f>IF(Purchase[[#This Row],[Status]]="Cancelled",0,Purchase[[#This Row],[Qty]])</f>
        <v>38</v>
      </c>
      <c r="T1326" s="146">
        <f>IF(Purchase[[#This Row],[Status]]="Cancelled",0,Purchase[[#This Row],[Total Amount]])</f>
        <v>115328.48</v>
      </c>
      <c r="U1326" s="146">
        <f>SUM(Purchase[Net Amount])</f>
        <v>814985438.68000126</v>
      </c>
    </row>
    <row r="1327" spans="1:21" ht="19.5" thickBot="1" x14ac:dyDescent="0.3">
      <c r="A1327" s="136" t="s">
        <v>2377</v>
      </c>
      <c r="B1327" s="137">
        <v>45723</v>
      </c>
      <c r="C1327" s="138" t="s">
        <v>581</v>
      </c>
      <c r="D1327" s="138" t="str">
        <f>VLOOKUP(Purchase[[#This Row],[Supplier ID]],Supplier[#All],2,0)</f>
        <v>Prime Electronics</v>
      </c>
      <c r="E1327" s="138">
        <f>VLOOKUP(Purchase[[#This Row],[Supplier ID]],Supplier[#All],3,0)</f>
        <v>9689542465</v>
      </c>
      <c r="F1327" s="138" t="str">
        <f>VLOOKUP(Purchase[[#This Row],[Supplier ID]],Supplier[#All],4,0)</f>
        <v>Korba</v>
      </c>
      <c r="G1327" s="138" t="str">
        <f>VLOOKUP(Purchase[[#This Row],[Supplier ID]],Supplier[#All],5,0)</f>
        <v>CG</v>
      </c>
      <c r="H1327" s="138" t="str">
        <f>VLOOKUP(Purchase[[#This Row],[Supplier ID]],Supplier[#All],6,0)</f>
        <v>GST2154521T027</v>
      </c>
      <c r="I1327" s="138" t="s">
        <v>465</v>
      </c>
      <c r="J1327" s="139">
        <v>16</v>
      </c>
      <c r="K1327" s="143">
        <f>VLOOKUP(Purchase[[#This Row],[Product ID]],Product[#All],6,0)</f>
        <v>1749</v>
      </c>
      <c r="L1327" s="143">
        <f>Purchase[[#This Row],[Purchase Rate]]*Purchase[[#This Row],[Qty]]</f>
        <v>27984</v>
      </c>
      <c r="M1327" s="140">
        <v>0</v>
      </c>
      <c r="N1327" s="143">
        <v>0</v>
      </c>
      <c r="O1327" s="140">
        <v>0.18</v>
      </c>
      <c r="P1327" s="145">
        <f>(Purchase[[#This Row],[Gross Amount]]-Purchase[[#This Row],[Disct %]])*Purchase[[#This Row],[GST %]]</f>
        <v>5037.12</v>
      </c>
      <c r="Q1327" s="145">
        <f>Purchase[[#This Row],[Gross Amount]]-Purchase[[#This Row],[Disct Amnt]]+Purchase[[#This Row],[GST Amount]]</f>
        <v>33021.120000000003</v>
      </c>
      <c r="R1327" s="138" t="s">
        <v>1019</v>
      </c>
      <c r="S1327" s="41">
        <f>IF(Purchase[[#This Row],[Status]]="Cancelled",0,Purchase[[#This Row],[Qty]])</f>
        <v>16</v>
      </c>
      <c r="T1327" s="146">
        <f>IF(Purchase[[#This Row],[Status]]="Cancelled",0,Purchase[[#This Row],[Total Amount]])</f>
        <v>33021.120000000003</v>
      </c>
      <c r="U1327" s="146">
        <f>SUM(Purchase[Net Amount])</f>
        <v>814985438.68000126</v>
      </c>
    </row>
    <row r="1328" spans="1:21" ht="19.5" thickBot="1" x14ac:dyDescent="0.3">
      <c r="A1328" s="136" t="s">
        <v>2378</v>
      </c>
      <c r="B1328" s="137">
        <v>45723</v>
      </c>
      <c r="C1328" s="138" t="s">
        <v>580</v>
      </c>
      <c r="D1328" s="138" t="str">
        <f>VLOOKUP(Purchase[[#This Row],[Supplier ID]],Supplier[#All],2,0)</f>
        <v>Star Distributors</v>
      </c>
      <c r="E1328" s="138">
        <f>VLOOKUP(Purchase[[#This Row],[Supplier ID]],Supplier[#All],3,0)</f>
        <v>9689542464</v>
      </c>
      <c r="F1328" s="138" t="str">
        <f>VLOOKUP(Purchase[[#This Row],[Supplier ID]],Supplier[#All],4,0)</f>
        <v>Indore</v>
      </c>
      <c r="G1328" s="138" t="str">
        <f>VLOOKUP(Purchase[[#This Row],[Supplier ID]],Supplier[#All],5,0)</f>
        <v>MP</v>
      </c>
      <c r="H1328" s="138" t="str">
        <f>VLOOKUP(Purchase[[#This Row],[Supplier ID]],Supplier[#All],6,0)</f>
        <v>GST2154521T026</v>
      </c>
      <c r="I1328" s="138" t="s">
        <v>385</v>
      </c>
      <c r="J1328" s="139">
        <v>28</v>
      </c>
      <c r="K1328" s="143">
        <f>VLOOKUP(Purchase[[#This Row],[Product ID]],Product[#All],6,0)</f>
        <v>1060</v>
      </c>
      <c r="L1328" s="143">
        <f>Purchase[[#This Row],[Purchase Rate]]*Purchase[[#This Row],[Qty]]</f>
        <v>29680</v>
      </c>
      <c r="M1328" s="140">
        <v>0</v>
      </c>
      <c r="N1328" s="143">
        <v>0</v>
      </c>
      <c r="O1328" s="140">
        <v>0.18</v>
      </c>
      <c r="P1328" s="145">
        <f>(Purchase[[#This Row],[Gross Amount]]-Purchase[[#This Row],[Disct %]])*Purchase[[#This Row],[GST %]]</f>
        <v>5342.4</v>
      </c>
      <c r="Q1328" s="145">
        <f>Purchase[[#This Row],[Gross Amount]]-Purchase[[#This Row],[Disct Amnt]]+Purchase[[#This Row],[GST Amount]]</f>
        <v>35022.400000000001</v>
      </c>
      <c r="R1328" s="138" t="s">
        <v>1019</v>
      </c>
      <c r="S1328" s="41">
        <f>IF(Purchase[[#This Row],[Status]]="Cancelled",0,Purchase[[#This Row],[Qty]])</f>
        <v>28</v>
      </c>
      <c r="T1328" s="146">
        <f>IF(Purchase[[#This Row],[Status]]="Cancelled",0,Purchase[[#This Row],[Total Amount]])</f>
        <v>35022.400000000001</v>
      </c>
      <c r="U1328" s="146">
        <f>SUM(Purchase[Net Amount])</f>
        <v>814985438.68000126</v>
      </c>
    </row>
    <row r="1329" spans="1:21" ht="19.5" thickBot="1" x14ac:dyDescent="0.3">
      <c r="A1329" s="136" t="s">
        <v>2379</v>
      </c>
      <c r="B1329" s="137">
        <v>45723</v>
      </c>
      <c r="C1329" s="138" t="s">
        <v>612</v>
      </c>
      <c r="D1329" s="138" t="str">
        <f>VLOOKUP(Purchase[[#This Row],[Supplier ID]],Supplier[#All],2,0)</f>
        <v>National Computers</v>
      </c>
      <c r="E1329" s="138">
        <f>VLOOKUP(Purchase[[#This Row],[Supplier ID]],Supplier[#All],3,0)</f>
        <v>9689542495</v>
      </c>
      <c r="F1329" s="138" t="str">
        <f>VLOOKUP(Purchase[[#This Row],[Supplier ID]],Supplier[#All],4,0)</f>
        <v>Indore</v>
      </c>
      <c r="G1329" s="138" t="str">
        <f>VLOOKUP(Purchase[[#This Row],[Supplier ID]],Supplier[#All],5,0)</f>
        <v>MP</v>
      </c>
      <c r="H1329" s="138" t="str">
        <f>VLOOKUP(Purchase[[#This Row],[Supplier ID]],Supplier[#All],6,0)</f>
        <v>GST2154521T057</v>
      </c>
      <c r="I1329" s="138" t="s">
        <v>212</v>
      </c>
      <c r="J1329" s="139">
        <v>27</v>
      </c>
      <c r="K1329" s="143">
        <f>VLOOKUP(Purchase[[#This Row],[Product ID]],Product[#All],6,0)</f>
        <v>931</v>
      </c>
      <c r="L1329" s="143">
        <f>Purchase[[#This Row],[Purchase Rate]]*Purchase[[#This Row],[Qty]]</f>
        <v>25137</v>
      </c>
      <c r="M1329" s="140">
        <v>0</v>
      </c>
      <c r="N1329" s="143">
        <v>0</v>
      </c>
      <c r="O1329" s="140">
        <v>0.18</v>
      </c>
      <c r="P1329" s="145">
        <f>(Purchase[[#This Row],[Gross Amount]]-Purchase[[#This Row],[Disct %]])*Purchase[[#This Row],[GST %]]</f>
        <v>4524.66</v>
      </c>
      <c r="Q1329" s="145">
        <f>Purchase[[#This Row],[Gross Amount]]-Purchase[[#This Row],[Disct Amnt]]+Purchase[[#This Row],[GST Amount]]</f>
        <v>29661.66</v>
      </c>
      <c r="R1329" s="138" t="s">
        <v>1019</v>
      </c>
      <c r="S1329" s="41">
        <f>IF(Purchase[[#This Row],[Status]]="Cancelled",0,Purchase[[#This Row],[Qty]])</f>
        <v>27</v>
      </c>
      <c r="T1329" s="146">
        <f>IF(Purchase[[#This Row],[Status]]="Cancelled",0,Purchase[[#This Row],[Total Amount]])</f>
        <v>29661.66</v>
      </c>
      <c r="U1329" s="146">
        <f>SUM(Purchase[Net Amount])</f>
        <v>814985438.68000126</v>
      </c>
    </row>
    <row r="1330" spans="1:21" ht="19.5" thickBot="1" x14ac:dyDescent="0.3">
      <c r="A1330" s="136" t="s">
        <v>2380</v>
      </c>
      <c r="B1330" s="137">
        <v>45723</v>
      </c>
      <c r="C1330" s="138" t="s">
        <v>579</v>
      </c>
      <c r="D1330" s="138" t="str">
        <f>VLOOKUP(Purchase[[#This Row],[Supplier ID]],Supplier[#All],2,0)</f>
        <v>Tech Traders</v>
      </c>
      <c r="E1330" s="138">
        <f>VLOOKUP(Purchase[[#This Row],[Supplier ID]],Supplier[#All],3,0)</f>
        <v>9689542463</v>
      </c>
      <c r="F1330" s="138" t="str">
        <f>VLOOKUP(Purchase[[#This Row],[Supplier ID]],Supplier[#All],4,0)</f>
        <v>Kanpur</v>
      </c>
      <c r="G1330" s="138" t="str">
        <f>VLOOKUP(Purchase[[#This Row],[Supplier ID]],Supplier[#All],5,0)</f>
        <v>UP</v>
      </c>
      <c r="H1330" s="138" t="str">
        <f>VLOOKUP(Purchase[[#This Row],[Supplier ID]],Supplier[#All],6,0)</f>
        <v>GST2154521T025</v>
      </c>
      <c r="I1330" s="138" t="s">
        <v>128</v>
      </c>
      <c r="J1330" s="139">
        <v>27</v>
      </c>
      <c r="K1330" s="143">
        <f>VLOOKUP(Purchase[[#This Row],[Product ID]],Product[#All],6,0)</f>
        <v>2597</v>
      </c>
      <c r="L1330" s="143">
        <f>Purchase[[#This Row],[Purchase Rate]]*Purchase[[#This Row],[Qty]]</f>
        <v>70119</v>
      </c>
      <c r="M1330" s="140">
        <v>0</v>
      </c>
      <c r="N1330" s="143">
        <v>0</v>
      </c>
      <c r="O1330" s="140">
        <v>0.18</v>
      </c>
      <c r="P1330" s="145">
        <f>(Purchase[[#This Row],[Gross Amount]]-Purchase[[#This Row],[Disct %]])*Purchase[[#This Row],[GST %]]</f>
        <v>12621.42</v>
      </c>
      <c r="Q1330" s="145">
        <f>Purchase[[#This Row],[Gross Amount]]-Purchase[[#This Row],[Disct Amnt]]+Purchase[[#This Row],[GST Amount]]</f>
        <v>82740.42</v>
      </c>
      <c r="R1330" s="138" t="s">
        <v>1019</v>
      </c>
      <c r="S1330" s="41">
        <f>IF(Purchase[[#This Row],[Status]]="Cancelled",0,Purchase[[#This Row],[Qty]])</f>
        <v>27</v>
      </c>
      <c r="T1330" s="146">
        <f>IF(Purchase[[#This Row],[Status]]="Cancelled",0,Purchase[[#This Row],[Total Amount]])</f>
        <v>82740.42</v>
      </c>
      <c r="U1330" s="146">
        <f>SUM(Purchase[Net Amount])</f>
        <v>814985438.68000126</v>
      </c>
    </row>
    <row r="1331" spans="1:21" ht="19.5" thickBot="1" x14ac:dyDescent="0.3">
      <c r="A1331" s="136" t="s">
        <v>2381</v>
      </c>
      <c r="B1331" s="137">
        <v>45724</v>
      </c>
      <c r="C1331" s="138" t="s">
        <v>1369</v>
      </c>
      <c r="D1331" s="138" t="str">
        <f>VLOOKUP(Purchase[[#This Row],[Supplier ID]],Supplier[#All],2,0)</f>
        <v xml:space="preserve">Star Electronics </v>
      </c>
      <c r="E1331" s="138">
        <f>VLOOKUP(Purchase[[#This Row],[Supplier ID]],Supplier[#All],3,0)</f>
        <v>9689542450</v>
      </c>
      <c r="F1331" s="138" t="str">
        <f>VLOOKUP(Purchase[[#This Row],[Supplier ID]],Supplier[#All],4,0)</f>
        <v>Korba</v>
      </c>
      <c r="G1331" s="138" t="str">
        <f>VLOOKUP(Purchase[[#This Row],[Supplier ID]],Supplier[#All],5,0)</f>
        <v>CG</v>
      </c>
      <c r="H1331" s="138" t="str">
        <f>VLOOKUP(Purchase[[#This Row],[Supplier ID]],Supplier[#All],6,0)</f>
        <v>GST2154521T012</v>
      </c>
      <c r="I1331" s="138" t="s">
        <v>478</v>
      </c>
      <c r="J1331" s="139">
        <v>22</v>
      </c>
      <c r="K1331" s="143">
        <f>VLOOKUP(Purchase[[#This Row],[Product ID]],Product[#All],6,0)</f>
        <v>4866</v>
      </c>
      <c r="L1331" s="143">
        <f>Purchase[[#This Row],[Purchase Rate]]*Purchase[[#This Row],[Qty]]</f>
        <v>107052</v>
      </c>
      <c r="M1331" s="140">
        <v>0</v>
      </c>
      <c r="N1331" s="143">
        <v>0</v>
      </c>
      <c r="O1331" s="140">
        <v>0.18</v>
      </c>
      <c r="P1331" s="145">
        <f>(Purchase[[#This Row],[Gross Amount]]-Purchase[[#This Row],[Disct %]])*Purchase[[#This Row],[GST %]]</f>
        <v>19269.36</v>
      </c>
      <c r="Q1331" s="145">
        <f>Purchase[[#This Row],[Gross Amount]]-Purchase[[#This Row],[Disct Amnt]]+Purchase[[#This Row],[GST Amount]]</f>
        <v>126321.36</v>
      </c>
      <c r="R1331" s="138" t="s">
        <v>1019</v>
      </c>
      <c r="S1331" s="41">
        <f>IF(Purchase[[#This Row],[Status]]="Cancelled",0,Purchase[[#This Row],[Qty]])</f>
        <v>22</v>
      </c>
      <c r="T1331" s="146">
        <f>IF(Purchase[[#This Row],[Status]]="Cancelled",0,Purchase[[#This Row],[Total Amount]])</f>
        <v>126321.36</v>
      </c>
      <c r="U1331" s="146">
        <f>SUM(Purchase[Net Amount])</f>
        <v>814985438.68000126</v>
      </c>
    </row>
    <row r="1332" spans="1:21" ht="19.5" thickBot="1" x14ac:dyDescent="0.3">
      <c r="A1332" s="136" t="s">
        <v>2382</v>
      </c>
      <c r="B1332" s="137">
        <v>45724</v>
      </c>
      <c r="C1332" s="138" t="s">
        <v>2383</v>
      </c>
      <c r="D1332" s="138" t="str">
        <f>VLOOKUP(Purchase[[#This Row],[Supplier ID]],Supplier[#All],2,0)</f>
        <v>Tech Traders</v>
      </c>
      <c r="E1332" s="138">
        <f>VLOOKUP(Purchase[[#This Row],[Supplier ID]],Supplier[#All],3,0)</f>
        <v>9689542480</v>
      </c>
      <c r="F1332" s="138" t="str">
        <f>VLOOKUP(Purchase[[#This Row],[Supplier ID]],Supplier[#All],4,0)</f>
        <v>Kanpur</v>
      </c>
      <c r="G1332" s="138" t="str">
        <f>VLOOKUP(Purchase[[#This Row],[Supplier ID]],Supplier[#All],5,0)</f>
        <v>UP</v>
      </c>
      <c r="H1332" s="138" t="str">
        <f>VLOOKUP(Purchase[[#This Row],[Supplier ID]],Supplier[#All],6,0)</f>
        <v>GST2154521T042</v>
      </c>
      <c r="I1332" s="138" t="s">
        <v>203</v>
      </c>
      <c r="J1332" s="139">
        <v>15</v>
      </c>
      <c r="K1332" s="143">
        <f>VLOOKUP(Purchase[[#This Row],[Product ID]],Product[#All],6,0)</f>
        <v>1713</v>
      </c>
      <c r="L1332" s="143">
        <f>Purchase[[#This Row],[Purchase Rate]]*Purchase[[#This Row],[Qty]]</f>
        <v>25695</v>
      </c>
      <c r="M1332" s="140">
        <v>0</v>
      </c>
      <c r="N1332" s="143">
        <v>0</v>
      </c>
      <c r="O1332" s="140">
        <v>0.18</v>
      </c>
      <c r="P1332" s="145">
        <f>(Purchase[[#This Row],[Gross Amount]]-Purchase[[#This Row],[Disct %]])*Purchase[[#This Row],[GST %]]</f>
        <v>4625.0999999999995</v>
      </c>
      <c r="Q1332" s="145">
        <f>Purchase[[#This Row],[Gross Amount]]-Purchase[[#This Row],[Disct Amnt]]+Purchase[[#This Row],[GST Amount]]</f>
        <v>30320.1</v>
      </c>
      <c r="R1332" s="138" t="s">
        <v>1019</v>
      </c>
      <c r="S1332" s="41">
        <f>IF(Purchase[[#This Row],[Status]]="Cancelled",0,Purchase[[#This Row],[Qty]])</f>
        <v>15</v>
      </c>
      <c r="T1332" s="146">
        <f>IF(Purchase[[#This Row],[Status]]="Cancelled",0,Purchase[[#This Row],[Total Amount]])</f>
        <v>30320.1</v>
      </c>
      <c r="U1332" s="146">
        <f>SUM(Purchase[Net Amount])</f>
        <v>814985438.68000126</v>
      </c>
    </row>
    <row r="1333" spans="1:21" ht="19.5" thickBot="1" x14ac:dyDescent="0.3">
      <c r="A1333" s="136" t="s">
        <v>2384</v>
      </c>
      <c r="B1333" s="137">
        <v>45724</v>
      </c>
      <c r="C1333" s="138" t="s">
        <v>591</v>
      </c>
      <c r="D1333" s="138" t="str">
        <f>VLOOKUP(Purchase[[#This Row],[Supplier ID]],Supplier[#All],2,0)</f>
        <v>Shree Computers</v>
      </c>
      <c r="E1333" s="138">
        <f>VLOOKUP(Purchase[[#This Row],[Supplier ID]],Supplier[#All],3,0)</f>
        <v>9689542475</v>
      </c>
      <c r="F1333" s="138" t="str">
        <f>VLOOKUP(Purchase[[#This Row],[Supplier ID]],Supplier[#All],4,0)</f>
        <v>Indore</v>
      </c>
      <c r="G1333" s="138" t="str">
        <f>VLOOKUP(Purchase[[#This Row],[Supplier ID]],Supplier[#All],5,0)</f>
        <v>MP</v>
      </c>
      <c r="H1333" s="138" t="str">
        <f>VLOOKUP(Purchase[[#This Row],[Supplier ID]],Supplier[#All],6,0)</f>
        <v>GST2154521T037</v>
      </c>
      <c r="I1333" s="138" t="s">
        <v>199</v>
      </c>
      <c r="J1333" s="139">
        <v>19</v>
      </c>
      <c r="K1333" s="143">
        <f>VLOOKUP(Purchase[[#This Row],[Product ID]],Product[#All],6,0)</f>
        <v>10351</v>
      </c>
      <c r="L1333" s="143">
        <f>Purchase[[#This Row],[Purchase Rate]]*Purchase[[#This Row],[Qty]]</f>
        <v>196669</v>
      </c>
      <c r="M1333" s="140">
        <v>0</v>
      </c>
      <c r="N1333" s="143">
        <v>0</v>
      </c>
      <c r="O1333" s="140">
        <v>0.18</v>
      </c>
      <c r="P1333" s="145">
        <f>(Purchase[[#This Row],[Gross Amount]]-Purchase[[#This Row],[Disct %]])*Purchase[[#This Row],[GST %]]</f>
        <v>35400.42</v>
      </c>
      <c r="Q1333" s="145">
        <f>Purchase[[#This Row],[Gross Amount]]-Purchase[[#This Row],[Disct Amnt]]+Purchase[[#This Row],[GST Amount]]</f>
        <v>232069.41999999998</v>
      </c>
      <c r="R1333" s="138" t="s">
        <v>1019</v>
      </c>
      <c r="S1333" s="41">
        <f>IF(Purchase[[#This Row],[Status]]="Cancelled",0,Purchase[[#This Row],[Qty]])</f>
        <v>19</v>
      </c>
      <c r="T1333" s="146">
        <f>IF(Purchase[[#This Row],[Status]]="Cancelled",0,Purchase[[#This Row],[Total Amount]])</f>
        <v>232069.41999999998</v>
      </c>
      <c r="U1333" s="146">
        <f>SUM(Purchase[Net Amount])</f>
        <v>814985438.68000126</v>
      </c>
    </row>
    <row r="1334" spans="1:21" ht="19.5" thickBot="1" x14ac:dyDescent="0.3">
      <c r="A1334" s="136" t="s">
        <v>2385</v>
      </c>
      <c r="B1334" s="137">
        <v>45724</v>
      </c>
      <c r="C1334" s="138" t="s">
        <v>611</v>
      </c>
      <c r="D1334" s="138" t="str">
        <f>VLOOKUP(Purchase[[#This Row],[Supplier ID]],Supplier[#All],2,0)</f>
        <v>National Distributors</v>
      </c>
      <c r="E1334" s="138">
        <f>VLOOKUP(Purchase[[#This Row],[Supplier ID]],Supplier[#All],3,0)</f>
        <v>9689542494</v>
      </c>
      <c r="F1334" s="138" t="str">
        <f>VLOOKUP(Purchase[[#This Row],[Supplier ID]],Supplier[#All],4,0)</f>
        <v>Korba</v>
      </c>
      <c r="G1334" s="138" t="str">
        <f>VLOOKUP(Purchase[[#This Row],[Supplier ID]],Supplier[#All],5,0)</f>
        <v>CG</v>
      </c>
      <c r="H1334" s="138" t="str">
        <f>VLOOKUP(Purchase[[#This Row],[Supplier ID]],Supplier[#All],6,0)</f>
        <v>GST2154521T056</v>
      </c>
      <c r="I1334" s="138" t="s">
        <v>523</v>
      </c>
      <c r="J1334" s="139">
        <v>15</v>
      </c>
      <c r="K1334" s="143">
        <f>VLOOKUP(Purchase[[#This Row],[Product ID]],Product[#All],6,0)</f>
        <v>1062</v>
      </c>
      <c r="L1334" s="143">
        <f>Purchase[[#This Row],[Purchase Rate]]*Purchase[[#This Row],[Qty]]</f>
        <v>15930</v>
      </c>
      <c r="M1334" s="140">
        <v>0</v>
      </c>
      <c r="N1334" s="143">
        <v>0</v>
      </c>
      <c r="O1334" s="140">
        <v>0.18</v>
      </c>
      <c r="P1334" s="145">
        <f>(Purchase[[#This Row],[Gross Amount]]-Purchase[[#This Row],[Disct %]])*Purchase[[#This Row],[GST %]]</f>
        <v>2867.4</v>
      </c>
      <c r="Q1334" s="145">
        <f>Purchase[[#This Row],[Gross Amount]]-Purchase[[#This Row],[Disct Amnt]]+Purchase[[#This Row],[GST Amount]]</f>
        <v>18797.400000000001</v>
      </c>
      <c r="R1334" s="138" t="s">
        <v>1019</v>
      </c>
      <c r="S1334" s="41">
        <f>IF(Purchase[[#This Row],[Status]]="Cancelled",0,Purchase[[#This Row],[Qty]])</f>
        <v>15</v>
      </c>
      <c r="T1334" s="146">
        <f>IF(Purchase[[#This Row],[Status]]="Cancelled",0,Purchase[[#This Row],[Total Amount]])</f>
        <v>18797.400000000001</v>
      </c>
      <c r="U1334" s="146">
        <f>SUM(Purchase[Net Amount])</f>
        <v>814985438.68000126</v>
      </c>
    </row>
    <row r="1335" spans="1:21" ht="19.5" thickBot="1" x14ac:dyDescent="0.3">
      <c r="A1335" s="136" t="s">
        <v>2386</v>
      </c>
      <c r="B1335" s="137">
        <v>45724</v>
      </c>
      <c r="C1335" s="138" t="s">
        <v>605</v>
      </c>
      <c r="D1335" s="138" t="str">
        <f>VLOOKUP(Purchase[[#This Row],[Supplier ID]],Supplier[#All],2,0)</f>
        <v>Star Traders</v>
      </c>
      <c r="E1335" s="138">
        <f>VLOOKUP(Purchase[[#This Row],[Supplier ID]],Supplier[#All],3,0)</f>
        <v>9689542488</v>
      </c>
      <c r="F1335" s="138" t="str">
        <f>VLOOKUP(Purchase[[#This Row],[Supplier ID]],Supplier[#All],4,0)</f>
        <v>Indore</v>
      </c>
      <c r="G1335" s="138" t="str">
        <f>VLOOKUP(Purchase[[#This Row],[Supplier ID]],Supplier[#All],5,0)</f>
        <v>MP</v>
      </c>
      <c r="H1335" s="138" t="str">
        <f>VLOOKUP(Purchase[[#This Row],[Supplier ID]],Supplier[#All],6,0)</f>
        <v>GST2154521T050</v>
      </c>
      <c r="I1335" s="138" t="s">
        <v>528</v>
      </c>
      <c r="J1335" s="139">
        <v>39</v>
      </c>
      <c r="K1335" s="143">
        <f>VLOOKUP(Purchase[[#This Row],[Product ID]],Product[#All],6,0)</f>
        <v>4004</v>
      </c>
      <c r="L1335" s="143">
        <f>Purchase[[#This Row],[Purchase Rate]]*Purchase[[#This Row],[Qty]]</f>
        <v>156156</v>
      </c>
      <c r="M1335" s="140">
        <v>0</v>
      </c>
      <c r="N1335" s="143">
        <v>0</v>
      </c>
      <c r="O1335" s="140">
        <v>0.18</v>
      </c>
      <c r="P1335" s="145">
        <f>(Purchase[[#This Row],[Gross Amount]]-Purchase[[#This Row],[Disct %]])*Purchase[[#This Row],[GST %]]</f>
        <v>28108.079999999998</v>
      </c>
      <c r="Q1335" s="145">
        <f>Purchase[[#This Row],[Gross Amount]]-Purchase[[#This Row],[Disct Amnt]]+Purchase[[#This Row],[GST Amount]]</f>
        <v>184264.08</v>
      </c>
      <c r="R1335" s="138" t="s">
        <v>1019</v>
      </c>
      <c r="S1335" s="41">
        <f>IF(Purchase[[#This Row],[Status]]="Cancelled",0,Purchase[[#This Row],[Qty]])</f>
        <v>39</v>
      </c>
      <c r="T1335" s="146">
        <f>IF(Purchase[[#This Row],[Status]]="Cancelled",0,Purchase[[#This Row],[Total Amount]])</f>
        <v>184264.08</v>
      </c>
      <c r="U1335" s="146">
        <f>SUM(Purchase[Net Amount])</f>
        <v>814985438.68000126</v>
      </c>
    </row>
    <row r="1336" spans="1:21" ht="19.5" thickBot="1" x14ac:dyDescent="0.3">
      <c r="A1336" s="136" t="s">
        <v>2387</v>
      </c>
      <c r="B1336" s="137">
        <v>45724</v>
      </c>
      <c r="C1336" s="138" t="s">
        <v>584</v>
      </c>
      <c r="D1336" s="138" t="str">
        <f>VLOOKUP(Purchase[[#This Row],[Supplier ID]],Supplier[#All],2,0)</f>
        <v>Prime Computers</v>
      </c>
      <c r="E1336" s="138">
        <f>VLOOKUP(Purchase[[#This Row],[Supplier ID]],Supplier[#All],3,0)</f>
        <v>9689542468</v>
      </c>
      <c r="F1336" s="138" t="str">
        <f>VLOOKUP(Purchase[[#This Row],[Supplier ID]],Supplier[#All],4,0)</f>
        <v>Kanpur</v>
      </c>
      <c r="G1336" s="138" t="str">
        <f>VLOOKUP(Purchase[[#This Row],[Supplier ID]],Supplier[#All],5,0)</f>
        <v>UP</v>
      </c>
      <c r="H1336" s="138" t="str">
        <f>VLOOKUP(Purchase[[#This Row],[Supplier ID]],Supplier[#All],6,0)</f>
        <v>GST2154521T030</v>
      </c>
      <c r="I1336" s="138" t="s">
        <v>390</v>
      </c>
      <c r="J1336" s="139">
        <v>37</v>
      </c>
      <c r="K1336" s="143">
        <f>VLOOKUP(Purchase[[#This Row],[Product ID]],Product[#All],6,0)</f>
        <v>3799</v>
      </c>
      <c r="L1336" s="143">
        <f>Purchase[[#This Row],[Purchase Rate]]*Purchase[[#This Row],[Qty]]</f>
        <v>140563</v>
      </c>
      <c r="M1336" s="140">
        <v>0</v>
      </c>
      <c r="N1336" s="143">
        <v>0</v>
      </c>
      <c r="O1336" s="140">
        <v>0.18</v>
      </c>
      <c r="P1336" s="145">
        <f>(Purchase[[#This Row],[Gross Amount]]-Purchase[[#This Row],[Disct %]])*Purchase[[#This Row],[GST %]]</f>
        <v>25301.34</v>
      </c>
      <c r="Q1336" s="145">
        <f>Purchase[[#This Row],[Gross Amount]]-Purchase[[#This Row],[Disct Amnt]]+Purchase[[#This Row],[GST Amount]]</f>
        <v>165864.34</v>
      </c>
      <c r="R1336" s="138" t="s">
        <v>1019</v>
      </c>
      <c r="S1336" s="41">
        <f>IF(Purchase[[#This Row],[Status]]="Cancelled",0,Purchase[[#This Row],[Qty]])</f>
        <v>37</v>
      </c>
      <c r="T1336" s="146">
        <f>IF(Purchase[[#This Row],[Status]]="Cancelled",0,Purchase[[#This Row],[Total Amount]])</f>
        <v>165864.34</v>
      </c>
      <c r="U1336" s="146">
        <f>SUM(Purchase[Net Amount])</f>
        <v>814985438.68000126</v>
      </c>
    </row>
    <row r="1337" spans="1:21" ht="19.5" thickBot="1" x14ac:dyDescent="0.3">
      <c r="A1337" s="136" t="s">
        <v>2388</v>
      </c>
      <c r="B1337" s="137">
        <v>45724</v>
      </c>
      <c r="C1337" s="138" t="s">
        <v>596</v>
      </c>
      <c r="D1337" s="138" t="str">
        <f>VLOOKUP(Purchase[[#This Row],[Supplier ID]],Supplier[#All],2,0)</f>
        <v>star traders</v>
      </c>
      <c r="E1337" s="138">
        <f>VLOOKUP(Purchase[[#This Row],[Supplier ID]],Supplier[#All],3,0)</f>
        <v>9689542479</v>
      </c>
      <c r="F1337" s="138" t="str">
        <f>VLOOKUP(Purchase[[#This Row],[Supplier ID]],Supplier[#All],4,0)</f>
        <v>Korba</v>
      </c>
      <c r="G1337" s="138" t="str">
        <f>VLOOKUP(Purchase[[#This Row],[Supplier ID]],Supplier[#All],5,0)</f>
        <v>CG</v>
      </c>
      <c r="H1337" s="138" t="str">
        <f>VLOOKUP(Purchase[[#This Row],[Supplier ID]],Supplier[#All],6,0)</f>
        <v>GST2154521T041</v>
      </c>
      <c r="I1337" s="138" t="s">
        <v>553</v>
      </c>
      <c r="J1337" s="139">
        <v>39</v>
      </c>
      <c r="K1337" s="143">
        <f>VLOOKUP(Purchase[[#This Row],[Product ID]],Product[#All],6,0)</f>
        <v>3228</v>
      </c>
      <c r="L1337" s="143">
        <f>Purchase[[#This Row],[Purchase Rate]]*Purchase[[#This Row],[Qty]]</f>
        <v>125892</v>
      </c>
      <c r="M1337" s="140">
        <v>0</v>
      </c>
      <c r="N1337" s="143">
        <v>0</v>
      </c>
      <c r="O1337" s="140">
        <v>0.18</v>
      </c>
      <c r="P1337" s="145">
        <f>(Purchase[[#This Row],[Gross Amount]]-Purchase[[#This Row],[Disct %]])*Purchase[[#This Row],[GST %]]</f>
        <v>22660.559999999998</v>
      </c>
      <c r="Q1337" s="145">
        <f>Purchase[[#This Row],[Gross Amount]]-Purchase[[#This Row],[Disct Amnt]]+Purchase[[#This Row],[GST Amount]]</f>
        <v>148552.56</v>
      </c>
      <c r="R1337" s="138" t="s">
        <v>1019</v>
      </c>
      <c r="S1337" s="41">
        <f>IF(Purchase[[#This Row],[Status]]="Cancelled",0,Purchase[[#This Row],[Qty]])</f>
        <v>39</v>
      </c>
      <c r="T1337" s="146">
        <f>IF(Purchase[[#This Row],[Status]]="Cancelled",0,Purchase[[#This Row],[Total Amount]])</f>
        <v>148552.56</v>
      </c>
      <c r="U1337" s="146">
        <f>SUM(Purchase[Net Amount])</f>
        <v>814985438.68000126</v>
      </c>
    </row>
    <row r="1338" spans="1:21" ht="19.5" thickBot="1" x14ac:dyDescent="0.3">
      <c r="A1338" s="136" t="s">
        <v>2389</v>
      </c>
      <c r="B1338" s="137">
        <v>45724</v>
      </c>
      <c r="C1338" s="138" t="s">
        <v>591</v>
      </c>
      <c r="D1338" s="138" t="str">
        <f>VLOOKUP(Purchase[[#This Row],[Supplier ID]],Supplier[#All],2,0)</f>
        <v>Shree Computers</v>
      </c>
      <c r="E1338" s="138">
        <f>VLOOKUP(Purchase[[#This Row],[Supplier ID]],Supplier[#All],3,0)</f>
        <v>9689542475</v>
      </c>
      <c r="F1338" s="138" t="str">
        <f>VLOOKUP(Purchase[[#This Row],[Supplier ID]],Supplier[#All],4,0)</f>
        <v>Indore</v>
      </c>
      <c r="G1338" s="138" t="str">
        <f>VLOOKUP(Purchase[[#This Row],[Supplier ID]],Supplier[#All],5,0)</f>
        <v>MP</v>
      </c>
      <c r="H1338" s="138" t="str">
        <f>VLOOKUP(Purchase[[#This Row],[Supplier ID]],Supplier[#All],6,0)</f>
        <v>GST2154521T037</v>
      </c>
      <c r="I1338" s="138" t="s">
        <v>156</v>
      </c>
      <c r="J1338" s="139">
        <v>8</v>
      </c>
      <c r="K1338" s="143">
        <f>VLOOKUP(Purchase[[#This Row],[Product ID]],Product[#All],6,0)</f>
        <v>2558</v>
      </c>
      <c r="L1338" s="143">
        <f>Purchase[[#This Row],[Purchase Rate]]*Purchase[[#This Row],[Qty]]</f>
        <v>20464</v>
      </c>
      <c r="M1338" s="140">
        <v>0</v>
      </c>
      <c r="N1338" s="143">
        <v>0</v>
      </c>
      <c r="O1338" s="140">
        <v>0.18</v>
      </c>
      <c r="P1338" s="145">
        <f>(Purchase[[#This Row],[Gross Amount]]-Purchase[[#This Row],[Disct %]])*Purchase[[#This Row],[GST %]]</f>
        <v>3683.52</v>
      </c>
      <c r="Q1338" s="145">
        <f>Purchase[[#This Row],[Gross Amount]]-Purchase[[#This Row],[Disct Amnt]]+Purchase[[#This Row],[GST Amount]]</f>
        <v>24147.52</v>
      </c>
      <c r="R1338" s="138" t="s">
        <v>1019</v>
      </c>
      <c r="S1338" s="41">
        <f>IF(Purchase[[#This Row],[Status]]="Cancelled",0,Purchase[[#This Row],[Qty]])</f>
        <v>8</v>
      </c>
      <c r="T1338" s="146">
        <f>IF(Purchase[[#This Row],[Status]]="Cancelled",0,Purchase[[#This Row],[Total Amount]])</f>
        <v>24147.52</v>
      </c>
      <c r="U1338" s="146">
        <f>SUM(Purchase[Net Amount])</f>
        <v>814985438.68000126</v>
      </c>
    </row>
    <row r="1339" spans="1:21" ht="19.5" thickBot="1" x14ac:dyDescent="0.3">
      <c r="A1339" s="136" t="s">
        <v>2390</v>
      </c>
      <c r="B1339" s="137">
        <v>45724</v>
      </c>
      <c r="C1339" s="138" t="s">
        <v>575</v>
      </c>
      <c r="D1339" s="138" t="str">
        <f>VLOOKUP(Purchase[[#This Row],[Supplier ID]],Supplier[#All],2,0)</f>
        <v>Global Computers</v>
      </c>
      <c r="E1339" s="138">
        <f>VLOOKUP(Purchase[[#This Row],[Supplier ID]],Supplier[#All],3,0)</f>
        <v>9689542459</v>
      </c>
      <c r="F1339" s="138" t="str">
        <f>VLOOKUP(Purchase[[#This Row],[Supplier ID]],Supplier[#All],4,0)</f>
        <v>Indore</v>
      </c>
      <c r="G1339" s="138" t="str">
        <f>VLOOKUP(Purchase[[#This Row],[Supplier ID]],Supplier[#All],5,0)</f>
        <v>MP</v>
      </c>
      <c r="H1339" s="138" t="str">
        <f>VLOOKUP(Purchase[[#This Row],[Supplier ID]],Supplier[#All],6,0)</f>
        <v>GST2154521T021</v>
      </c>
      <c r="I1339" s="138" t="s">
        <v>117</v>
      </c>
      <c r="J1339" s="139">
        <v>38</v>
      </c>
      <c r="K1339" s="143">
        <f>VLOOKUP(Purchase[[#This Row],[Product ID]],Product[#All],6,0)</f>
        <v>2303</v>
      </c>
      <c r="L1339" s="143">
        <f>Purchase[[#This Row],[Purchase Rate]]*Purchase[[#This Row],[Qty]]</f>
        <v>87514</v>
      </c>
      <c r="M1339" s="140">
        <v>0</v>
      </c>
      <c r="N1339" s="143">
        <v>0</v>
      </c>
      <c r="O1339" s="140">
        <v>0.18</v>
      </c>
      <c r="P1339" s="145">
        <f>(Purchase[[#This Row],[Gross Amount]]-Purchase[[#This Row],[Disct %]])*Purchase[[#This Row],[GST %]]</f>
        <v>15752.519999999999</v>
      </c>
      <c r="Q1339" s="145">
        <f>Purchase[[#This Row],[Gross Amount]]-Purchase[[#This Row],[Disct Amnt]]+Purchase[[#This Row],[GST Amount]]</f>
        <v>103266.52</v>
      </c>
      <c r="R1339" s="138" t="s">
        <v>1019</v>
      </c>
      <c r="S1339" s="41">
        <f>IF(Purchase[[#This Row],[Status]]="Cancelled",0,Purchase[[#This Row],[Qty]])</f>
        <v>38</v>
      </c>
      <c r="T1339" s="146">
        <f>IF(Purchase[[#This Row],[Status]]="Cancelled",0,Purchase[[#This Row],[Total Amount]])</f>
        <v>103266.52</v>
      </c>
      <c r="U1339" s="146">
        <f>SUM(Purchase[Net Amount])</f>
        <v>814985438.68000126</v>
      </c>
    </row>
    <row r="1340" spans="1:21" ht="19.5" thickBot="1" x14ac:dyDescent="0.3">
      <c r="A1340" s="136" t="s">
        <v>2391</v>
      </c>
      <c r="B1340" s="137">
        <v>45724</v>
      </c>
      <c r="C1340" s="138" t="s">
        <v>586</v>
      </c>
      <c r="D1340" s="138" t="str">
        <f>VLOOKUP(Purchase[[#This Row],[Supplier ID]],Supplier[#All],2,0)</f>
        <v>Maa Traders</v>
      </c>
      <c r="E1340" s="138">
        <f>VLOOKUP(Purchase[[#This Row],[Supplier ID]],Supplier[#All],3,0)</f>
        <v>9689542470</v>
      </c>
      <c r="F1340" s="138" t="str">
        <f>VLOOKUP(Purchase[[#This Row],[Supplier ID]],Supplier[#All],4,0)</f>
        <v>Kanpur</v>
      </c>
      <c r="G1340" s="138" t="str">
        <f>VLOOKUP(Purchase[[#This Row],[Supplier ID]],Supplier[#All],5,0)</f>
        <v>UP</v>
      </c>
      <c r="H1340" s="138" t="str">
        <f>VLOOKUP(Purchase[[#This Row],[Supplier ID]],Supplier[#All],6,0)</f>
        <v>GST2154521T032</v>
      </c>
      <c r="I1340" s="138" t="s">
        <v>76</v>
      </c>
      <c r="J1340" s="139">
        <v>33</v>
      </c>
      <c r="K1340" s="143">
        <f>VLOOKUP(Purchase[[#This Row],[Product ID]],Product[#All],6,0)</f>
        <v>1400</v>
      </c>
      <c r="L1340" s="143">
        <f>Purchase[[#This Row],[Purchase Rate]]*Purchase[[#This Row],[Qty]]</f>
        <v>46200</v>
      </c>
      <c r="M1340" s="140">
        <v>0</v>
      </c>
      <c r="N1340" s="143">
        <v>0</v>
      </c>
      <c r="O1340" s="140">
        <v>0.18</v>
      </c>
      <c r="P1340" s="145">
        <f>(Purchase[[#This Row],[Gross Amount]]-Purchase[[#This Row],[Disct %]])*Purchase[[#This Row],[GST %]]</f>
        <v>8316</v>
      </c>
      <c r="Q1340" s="145">
        <f>Purchase[[#This Row],[Gross Amount]]-Purchase[[#This Row],[Disct Amnt]]+Purchase[[#This Row],[GST Amount]]</f>
        <v>54516</v>
      </c>
      <c r="R1340" s="138" t="s">
        <v>1019</v>
      </c>
      <c r="S1340" s="41">
        <f>IF(Purchase[[#This Row],[Status]]="Cancelled",0,Purchase[[#This Row],[Qty]])</f>
        <v>33</v>
      </c>
      <c r="T1340" s="146">
        <f>IF(Purchase[[#This Row],[Status]]="Cancelled",0,Purchase[[#This Row],[Total Amount]])</f>
        <v>54516</v>
      </c>
      <c r="U1340" s="146">
        <f>SUM(Purchase[Net Amount])</f>
        <v>814985438.68000126</v>
      </c>
    </row>
    <row r="1341" spans="1:21" ht="19.5" thickBot="1" x14ac:dyDescent="0.3">
      <c r="A1341" s="136" t="s">
        <v>2392</v>
      </c>
      <c r="B1341" s="137">
        <v>45724</v>
      </c>
      <c r="C1341" s="138" t="s">
        <v>609</v>
      </c>
      <c r="D1341" s="138" t="str">
        <f>VLOOKUP(Purchase[[#This Row],[Supplier ID]],Supplier[#All],2,0)</f>
        <v>Star Suppliers</v>
      </c>
      <c r="E1341" s="138">
        <f>VLOOKUP(Purchase[[#This Row],[Supplier ID]],Supplier[#All],3,0)</f>
        <v>9689542492</v>
      </c>
      <c r="F1341" s="138" t="str">
        <f>VLOOKUP(Purchase[[#This Row],[Supplier ID]],Supplier[#All],4,0)</f>
        <v>Kanpur</v>
      </c>
      <c r="G1341" s="138" t="str">
        <f>VLOOKUP(Purchase[[#This Row],[Supplier ID]],Supplier[#All],5,0)</f>
        <v>UP</v>
      </c>
      <c r="H1341" s="138" t="str">
        <f>VLOOKUP(Purchase[[#This Row],[Supplier ID]],Supplier[#All],6,0)</f>
        <v>GST2154521T054</v>
      </c>
      <c r="I1341" s="138" t="s">
        <v>223</v>
      </c>
      <c r="J1341" s="139">
        <v>10</v>
      </c>
      <c r="K1341" s="143">
        <f>VLOOKUP(Purchase[[#This Row],[Product ID]],Product[#All],6,0)</f>
        <v>8461</v>
      </c>
      <c r="L1341" s="143">
        <f>Purchase[[#This Row],[Purchase Rate]]*Purchase[[#This Row],[Qty]]</f>
        <v>84610</v>
      </c>
      <c r="M1341" s="140">
        <v>0</v>
      </c>
      <c r="N1341" s="143">
        <v>0</v>
      </c>
      <c r="O1341" s="140">
        <v>0.18</v>
      </c>
      <c r="P1341" s="145">
        <f>(Purchase[[#This Row],[Gross Amount]]-Purchase[[#This Row],[Disct %]])*Purchase[[#This Row],[GST %]]</f>
        <v>15229.8</v>
      </c>
      <c r="Q1341" s="145">
        <f>Purchase[[#This Row],[Gross Amount]]-Purchase[[#This Row],[Disct Amnt]]+Purchase[[#This Row],[GST Amount]]</f>
        <v>99839.8</v>
      </c>
      <c r="R1341" s="138" t="s">
        <v>1019</v>
      </c>
      <c r="S1341" s="41">
        <f>IF(Purchase[[#This Row],[Status]]="Cancelled",0,Purchase[[#This Row],[Qty]])</f>
        <v>10</v>
      </c>
      <c r="T1341" s="146">
        <f>IF(Purchase[[#This Row],[Status]]="Cancelled",0,Purchase[[#This Row],[Total Amount]])</f>
        <v>99839.8</v>
      </c>
      <c r="U1341" s="146">
        <f>SUM(Purchase[Net Amount])</f>
        <v>814985438.68000126</v>
      </c>
    </row>
    <row r="1342" spans="1:21" ht="19.5" thickBot="1" x14ac:dyDescent="0.3">
      <c r="A1342" s="136" t="s">
        <v>2393</v>
      </c>
      <c r="B1342" s="137">
        <v>45724</v>
      </c>
      <c r="C1342" s="138" t="s">
        <v>580</v>
      </c>
      <c r="D1342" s="138" t="str">
        <f>VLOOKUP(Purchase[[#This Row],[Supplier ID]],Supplier[#All],2,0)</f>
        <v>Star Distributors</v>
      </c>
      <c r="E1342" s="138">
        <f>VLOOKUP(Purchase[[#This Row],[Supplier ID]],Supplier[#All],3,0)</f>
        <v>9689542464</v>
      </c>
      <c r="F1342" s="138" t="str">
        <f>VLOOKUP(Purchase[[#This Row],[Supplier ID]],Supplier[#All],4,0)</f>
        <v>Indore</v>
      </c>
      <c r="G1342" s="138" t="str">
        <f>VLOOKUP(Purchase[[#This Row],[Supplier ID]],Supplier[#All],5,0)</f>
        <v>MP</v>
      </c>
      <c r="H1342" s="138" t="str">
        <f>VLOOKUP(Purchase[[#This Row],[Supplier ID]],Supplier[#All],6,0)</f>
        <v>GST2154521T026</v>
      </c>
      <c r="I1342" s="138" t="s">
        <v>310</v>
      </c>
      <c r="J1342" s="139">
        <v>8</v>
      </c>
      <c r="K1342" s="143">
        <f>VLOOKUP(Purchase[[#This Row],[Product ID]],Product[#All],6,0)</f>
        <v>558</v>
      </c>
      <c r="L1342" s="143">
        <f>Purchase[[#This Row],[Purchase Rate]]*Purchase[[#This Row],[Qty]]</f>
        <v>4464</v>
      </c>
      <c r="M1342" s="140">
        <v>0</v>
      </c>
      <c r="N1342" s="143">
        <v>0</v>
      </c>
      <c r="O1342" s="140">
        <v>0.18</v>
      </c>
      <c r="P1342" s="145">
        <f>(Purchase[[#This Row],[Gross Amount]]-Purchase[[#This Row],[Disct %]])*Purchase[[#This Row],[GST %]]</f>
        <v>803.52</v>
      </c>
      <c r="Q1342" s="145">
        <f>Purchase[[#This Row],[Gross Amount]]-Purchase[[#This Row],[Disct Amnt]]+Purchase[[#This Row],[GST Amount]]</f>
        <v>5267.52</v>
      </c>
      <c r="R1342" s="138" t="s">
        <v>1019</v>
      </c>
      <c r="S1342" s="41">
        <f>IF(Purchase[[#This Row],[Status]]="Cancelled",0,Purchase[[#This Row],[Qty]])</f>
        <v>8</v>
      </c>
      <c r="T1342" s="146">
        <f>IF(Purchase[[#This Row],[Status]]="Cancelled",0,Purchase[[#This Row],[Total Amount]])</f>
        <v>5267.52</v>
      </c>
      <c r="U1342" s="146">
        <f>SUM(Purchase[Net Amount])</f>
        <v>814985438.68000126</v>
      </c>
    </row>
    <row r="1343" spans="1:21" ht="19.5" thickBot="1" x14ac:dyDescent="0.3">
      <c r="A1343" s="136" t="s">
        <v>2394</v>
      </c>
      <c r="B1343" s="137">
        <v>45724</v>
      </c>
      <c r="C1343" s="138" t="s">
        <v>596</v>
      </c>
      <c r="D1343" s="138" t="str">
        <f>VLOOKUP(Purchase[[#This Row],[Supplier ID]],Supplier[#All],2,0)</f>
        <v>star traders</v>
      </c>
      <c r="E1343" s="138">
        <f>VLOOKUP(Purchase[[#This Row],[Supplier ID]],Supplier[#All],3,0)</f>
        <v>9689542479</v>
      </c>
      <c r="F1343" s="138" t="str">
        <f>VLOOKUP(Purchase[[#This Row],[Supplier ID]],Supplier[#All],4,0)</f>
        <v>Korba</v>
      </c>
      <c r="G1343" s="138" t="str">
        <f>VLOOKUP(Purchase[[#This Row],[Supplier ID]],Supplier[#All],5,0)</f>
        <v>CG</v>
      </c>
      <c r="H1343" s="138" t="str">
        <f>VLOOKUP(Purchase[[#This Row],[Supplier ID]],Supplier[#All],6,0)</f>
        <v>GST2154521T041</v>
      </c>
      <c r="I1343" s="138" t="s">
        <v>499</v>
      </c>
      <c r="J1343" s="139">
        <v>9</v>
      </c>
      <c r="K1343" s="143">
        <f>VLOOKUP(Purchase[[#This Row],[Product ID]],Product[#All],6,0)</f>
        <v>69609</v>
      </c>
      <c r="L1343" s="143">
        <f>Purchase[[#This Row],[Purchase Rate]]*Purchase[[#This Row],[Qty]]</f>
        <v>626481</v>
      </c>
      <c r="M1343" s="140">
        <v>0</v>
      </c>
      <c r="N1343" s="143">
        <v>0</v>
      </c>
      <c r="O1343" s="140">
        <v>0.18</v>
      </c>
      <c r="P1343" s="145">
        <f>(Purchase[[#This Row],[Gross Amount]]-Purchase[[#This Row],[Disct %]])*Purchase[[#This Row],[GST %]]</f>
        <v>112766.58</v>
      </c>
      <c r="Q1343" s="145">
        <f>Purchase[[#This Row],[Gross Amount]]-Purchase[[#This Row],[Disct Amnt]]+Purchase[[#This Row],[GST Amount]]</f>
        <v>739247.58</v>
      </c>
      <c r="R1343" s="138" t="s">
        <v>1019</v>
      </c>
      <c r="S1343" s="41">
        <f>IF(Purchase[[#This Row],[Status]]="Cancelled",0,Purchase[[#This Row],[Qty]])</f>
        <v>9</v>
      </c>
      <c r="T1343" s="146">
        <f>IF(Purchase[[#This Row],[Status]]="Cancelled",0,Purchase[[#This Row],[Total Amount]])</f>
        <v>739247.58</v>
      </c>
      <c r="U1343" s="146">
        <f>SUM(Purchase[Net Amount])</f>
        <v>814985438.68000126</v>
      </c>
    </row>
    <row r="1344" spans="1:21" ht="19.5" thickBot="1" x14ac:dyDescent="0.3">
      <c r="A1344" s="136" t="s">
        <v>2395</v>
      </c>
      <c r="B1344" s="137">
        <v>45724</v>
      </c>
      <c r="C1344" s="138" t="s">
        <v>576</v>
      </c>
      <c r="D1344" s="138" t="str">
        <f>VLOOKUP(Purchase[[#This Row],[Supplier ID]],Supplier[#All],2,0)</f>
        <v>Maa Distributors</v>
      </c>
      <c r="E1344" s="138">
        <f>VLOOKUP(Purchase[[#This Row],[Supplier ID]],Supplier[#All],3,0)</f>
        <v>9689542460</v>
      </c>
      <c r="F1344" s="138" t="str">
        <f>VLOOKUP(Purchase[[#This Row],[Supplier ID]],Supplier[#All],4,0)</f>
        <v>Korba</v>
      </c>
      <c r="G1344" s="138" t="str">
        <f>VLOOKUP(Purchase[[#This Row],[Supplier ID]],Supplier[#All],5,0)</f>
        <v>CG</v>
      </c>
      <c r="H1344" s="138" t="str">
        <f>VLOOKUP(Purchase[[#This Row],[Supplier ID]],Supplier[#All],6,0)</f>
        <v>GST2154521T022</v>
      </c>
      <c r="I1344" s="138" t="s">
        <v>473</v>
      </c>
      <c r="J1344" s="139">
        <v>18</v>
      </c>
      <c r="K1344" s="143">
        <f>VLOOKUP(Purchase[[#This Row],[Product ID]],Product[#All],6,0)</f>
        <v>2274</v>
      </c>
      <c r="L1344" s="143">
        <f>Purchase[[#This Row],[Purchase Rate]]*Purchase[[#This Row],[Qty]]</f>
        <v>40932</v>
      </c>
      <c r="M1344" s="140">
        <v>0</v>
      </c>
      <c r="N1344" s="143">
        <v>0</v>
      </c>
      <c r="O1344" s="140">
        <v>0.18</v>
      </c>
      <c r="P1344" s="145">
        <f>(Purchase[[#This Row],[Gross Amount]]-Purchase[[#This Row],[Disct %]])*Purchase[[#This Row],[GST %]]</f>
        <v>7367.7599999999993</v>
      </c>
      <c r="Q1344" s="145">
        <f>Purchase[[#This Row],[Gross Amount]]-Purchase[[#This Row],[Disct Amnt]]+Purchase[[#This Row],[GST Amount]]</f>
        <v>48299.76</v>
      </c>
      <c r="R1344" s="138" t="s">
        <v>1019</v>
      </c>
      <c r="S1344" s="41">
        <f>IF(Purchase[[#This Row],[Status]]="Cancelled",0,Purchase[[#This Row],[Qty]])</f>
        <v>18</v>
      </c>
      <c r="T1344" s="146">
        <f>IF(Purchase[[#This Row],[Status]]="Cancelled",0,Purchase[[#This Row],[Total Amount]])</f>
        <v>48299.76</v>
      </c>
      <c r="U1344" s="146">
        <f>SUM(Purchase[Net Amount])</f>
        <v>814985438.68000126</v>
      </c>
    </row>
    <row r="1345" spans="1:21" ht="19.5" thickBot="1" x14ac:dyDescent="0.3">
      <c r="A1345" s="136" t="s">
        <v>2396</v>
      </c>
      <c r="B1345" s="137">
        <v>45724</v>
      </c>
      <c r="C1345" s="138" t="s">
        <v>596</v>
      </c>
      <c r="D1345" s="138" t="str">
        <f>VLOOKUP(Purchase[[#This Row],[Supplier ID]],Supplier[#All],2,0)</f>
        <v>star traders</v>
      </c>
      <c r="E1345" s="138">
        <f>VLOOKUP(Purchase[[#This Row],[Supplier ID]],Supplier[#All],3,0)</f>
        <v>9689542479</v>
      </c>
      <c r="F1345" s="138" t="str">
        <f>VLOOKUP(Purchase[[#This Row],[Supplier ID]],Supplier[#All],4,0)</f>
        <v>Korba</v>
      </c>
      <c r="G1345" s="138" t="str">
        <f>VLOOKUP(Purchase[[#This Row],[Supplier ID]],Supplier[#All],5,0)</f>
        <v>CG</v>
      </c>
      <c r="H1345" s="138" t="str">
        <f>VLOOKUP(Purchase[[#This Row],[Supplier ID]],Supplier[#All],6,0)</f>
        <v>GST2154521T041</v>
      </c>
      <c r="I1345" s="138" t="s">
        <v>137</v>
      </c>
      <c r="J1345" s="139">
        <v>37</v>
      </c>
      <c r="K1345" s="143">
        <f>VLOOKUP(Purchase[[#This Row],[Product ID]],Product[#All],6,0)</f>
        <v>6071</v>
      </c>
      <c r="L1345" s="143">
        <f>Purchase[[#This Row],[Purchase Rate]]*Purchase[[#This Row],[Qty]]</f>
        <v>224627</v>
      </c>
      <c r="M1345" s="140">
        <v>0</v>
      </c>
      <c r="N1345" s="143">
        <v>0</v>
      </c>
      <c r="O1345" s="140">
        <v>0.18</v>
      </c>
      <c r="P1345" s="145">
        <f>(Purchase[[#This Row],[Gross Amount]]-Purchase[[#This Row],[Disct %]])*Purchase[[#This Row],[GST %]]</f>
        <v>40432.86</v>
      </c>
      <c r="Q1345" s="145">
        <f>Purchase[[#This Row],[Gross Amount]]-Purchase[[#This Row],[Disct Amnt]]+Purchase[[#This Row],[GST Amount]]</f>
        <v>265059.86</v>
      </c>
      <c r="R1345" s="138" t="s">
        <v>1019</v>
      </c>
      <c r="S1345" s="41">
        <f>IF(Purchase[[#This Row],[Status]]="Cancelled",0,Purchase[[#This Row],[Qty]])</f>
        <v>37</v>
      </c>
      <c r="T1345" s="146">
        <f>IF(Purchase[[#This Row],[Status]]="Cancelled",0,Purchase[[#This Row],[Total Amount]])</f>
        <v>265059.86</v>
      </c>
      <c r="U1345" s="146">
        <f>SUM(Purchase[Net Amount])</f>
        <v>814985438.68000126</v>
      </c>
    </row>
    <row r="1346" spans="1:21" ht="19.5" thickBot="1" x14ac:dyDescent="0.3">
      <c r="A1346" s="136" t="s">
        <v>2397</v>
      </c>
      <c r="B1346" s="137">
        <v>45724</v>
      </c>
      <c r="C1346" s="138" t="s">
        <v>615</v>
      </c>
      <c r="D1346" s="138" t="str">
        <f>VLOOKUP(Purchase[[#This Row],[Supplier ID]],Supplier[#All],2,0)</f>
        <v>NATIONAL ELECTRONICS</v>
      </c>
      <c r="E1346" s="138">
        <f>VLOOKUP(Purchase[[#This Row],[Supplier ID]],Supplier[#All],3,0)</f>
        <v>9689542498</v>
      </c>
      <c r="F1346" s="138" t="str">
        <f>VLOOKUP(Purchase[[#This Row],[Supplier ID]],Supplier[#All],4,0)</f>
        <v>Kanpur</v>
      </c>
      <c r="G1346" s="138" t="str">
        <f>VLOOKUP(Purchase[[#This Row],[Supplier ID]],Supplier[#All],5,0)</f>
        <v>UP</v>
      </c>
      <c r="H1346" s="138" t="str">
        <f>VLOOKUP(Purchase[[#This Row],[Supplier ID]],Supplier[#All],6,0)</f>
        <v>GST2154521T060</v>
      </c>
      <c r="I1346" s="138" t="s">
        <v>81</v>
      </c>
      <c r="J1346" s="139">
        <v>5</v>
      </c>
      <c r="K1346" s="143">
        <f>VLOOKUP(Purchase[[#This Row],[Product ID]],Product[#All],6,0)</f>
        <v>52393</v>
      </c>
      <c r="L1346" s="143">
        <f>Purchase[[#This Row],[Purchase Rate]]*Purchase[[#This Row],[Qty]]</f>
        <v>261965</v>
      </c>
      <c r="M1346" s="140">
        <v>0</v>
      </c>
      <c r="N1346" s="143">
        <v>0</v>
      </c>
      <c r="O1346" s="140">
        <v>0.18</v>
      </c>
      <c r="P1346" s="145">
        <f>(Purchase[[#This Row],[Gross Amount]]-Purchase[[#This Row],[Disct %]])*Purchase[[#This Row],[GST %]]</f>
        <v>47153.7</v>
      </c>
      <c r="Q1346" s="145">
        <f>Purchase[[#This Row],[Gross Amount]]-Purchase[[#This Row],[Disct Amnt]]+Purchase[[#This Row],[GST Amount]]</f>
        <v>309118.7</v>
      </c>
      <c r="R1346" s="138" t="s">
        <v>1019</v>
      </c>
      <c r="S1346" s="41">
        <f>IF(Purchase[[#This Row],[Status]]="Cancelled",0,Purchase[[#This Row],[Qty]])</f>
        <v>5</v>
      </c>
      <c r="T1346" s="146">
        <f>IF(Purchase[[#This Row],[Status]]="Cancelled",0,Purchase[[#This Row],[Total Amount]])</f>
        <v>309118.7</v>
      </c>
      <c r="U1346" s="146">
        <f>SUM(Purchase[Net Amount])</f>
        <v>814985438.68000126</v>
      </c>
    </row>
    <row r="1347" spans="1:21" ht="19.5" thickBot="1" x14ac:dyDescent="0.3">
      <c r="A1347" s="136" t="s">
        <v>2398</v>
      </c>
      <c r="B1347" s="137">
        <v>45724</v>
      </c>
      <c r="C1347" s="138" t="s">
        <v>1527</v>
      </c>
      <c r="D1347" s="138" t="str">
        <f>VLOOKUP(Purchase[[#This Row],[Supplier ID]],Supplier[#All],2,0)</f>
        <v>National Traders</v>
      </c>
      <c r="E1347" s="138">
        <f>VLOOKUP(Purchase[[#This Row],[Supplier ID]],Supplier[#All],3,0)</f>
        <v>9689542496</v>
      </c>
      <c r="F1347" s="138" t="str">
        <f>VLOOKUP(Purchase[[#This Row],[Supplier ID]],Supplier[#All],4,0)</f>
        <v>Indore</v>
      </c>
      <c r="G1347" s="138" t="str">
        <f>VLOOKUP(Purchase[[#This Row],[Supplier ID]],Supplier[#All],5,0)</f>
        <v>MP</v>
      </c>
      <c r="H1347" s="138" t="str">
        <f>VLOOKUP(Purchase[[#This Row],[Supplier ID]],Supplier[#All],6,0)</f>
        <v>GST2154521T058</v>
      </c>
      <c r="I1347" s="138" t="s">
        <v>277</v>
      </c>
      <c r="J1347" s="139">
        <v>14</v>
      </c>
      <c r="K1347" s="143">
        <f>VLOOKUP(Purchase[[#This Row],[Product ID]],Product[#All],6,0)</f>
        <v>3844</v>
      </c>
      <c r="L1347" s="143">
        <f>Purchase[[#This Row],[Purchase Rate]]*Purchase[[#This Row],[Qty]]</f>
        <v>53816</v>
      </c>
      <c r="M1347" s="140">
        <v>0</v>
      </c>
      <c r="N1347" s="143">
        <v>0</v>
      </c>
      <c r="O1347" s="140">
        <v>0.18</v>
      </c>
      <c r="P1347" s="145">
        <f>(Purchase[[#This Row],[Gross Amount]]-Purchase[[#This Row],[Disct %]])*Purchase[[#This Row],[GST %]]</f>
        <v>9686.8799999999992</v>
      </c>
      <c r="Q1347" s="145">
        <f>Purchase[[#This Row],[Gross Amount]]-Purchase[[#This Row],[Disct Amnt]]+Purchase[[#This Row],[GST Amount]]</f>
        <v>63502.879999999997</v>
      </c>
      <c r="R1347" s="138" t="s">
        <v>1019</v>
      </c>
      <c r="S1347" s="41">
        <f>IF(Purchase[[#This Row],[Status]]="Cancelled",0,Purchase[[#This Row],[Qty]])</f>
        <v>14</v>
      </c>
      <c r="T1347" s="146">
        <f>IF(Purchase[[#This Row],[Status]]="Cancelled",0,Purchase[[#This Row],[Total Amount]])</f>
        <v>63502.879999999997</v>
      </c>
      <c r="U1347" s="146">
        <f>SUM(Purchase[Net Amount])</f>
        <v>814985438.68000126</v>
      </c>
    </row>
    <row r="1348" spans="1:21" ht="19.5" thickBot="1" x14ac:dyDescent="0.3">
      <c r="A1348" s="136" t="s">
        <v>2399</v>
      </c>
      <c r="B1348" s="137">
        <v>45724</v>
      </c>
      <c r="C1348" s="138" t="s">
        <v>570</v>
      </c>
      <c r="D1348" s="138" t="str">
        <f>VLOOKUP(Purchase[[#This Row],[Supplier ID]],Supplier[#All],2,0)</f>
        <v>Prime Traders</v>
      </c>
      <c r="E1348" s="138">
        <f>VLOOKUP(Purchase[[#This Row],[Supplier ID]],Supplier[#All],3,0)</f>
        <v>9689542456</v>
      </c>
      <c r="F1348" s="138" t="str">
        <f>VLOOKUP(Purchase[[#This Row],[Supplier ID]],Supplier[#All],4,0)</f>
        <v>Indore</v>
      </c>
      <c r="G1348" s="138" t="str">
        <f>VLOOKUP(Purchase[[#This Row],[Supplier ID]],Supplier[#All],5,0)</f>
        <v>MP</v>
      </c>
      <c r="H1348" s="138" t="str">
        <f>VLOOKUP(Purchase[[#This Row],[Supplier ID]],Supplier[#All],6,0)</f>
        <v>GST2154521T018</v>
      </c>
      <c r="I1348" s="138" t="s">
        <v>300</v>
      </c>
      <c r="J1348" s="139">
        <v>39</v>
      </c>
      <c r="K1348" s="143">
        <f>VLOOKUP(Purchase[[#This Row],[Product ID]],Product[#All],6,0)</f>
        <v>8629</v>
      </c>
      <c r="L1348" s="143">
        <f>Purchase[[#This Row],[Purchase Rate]]*Purchase[[#This Row],[Qty]]</f>
        <v>336531</v>
      </c>
      <c r="M1348" s="140">
        <v>0</v>
      </c>
      <c r="N1348" s="143">
        <v>0</v>
      </c>
      <c r="O1348" s="140">
        <v>0.18</v>
      </c>
      <c r="P1348" s="145">
        <f>(Purchase[[#This Row],[Gross Amount]]-Purchase[[#This Row],[Disct %]])*Purchase[[#This Row],[GST %]]</f>
        <v>60575.579999999994</v>
      </c>
      <c r="Q1348" s="145">
        <f>Purchase[[#This Row],[Gross Amount]]-Purchase[[#This Row],[Disct Amnt]]+Purchase[[#This Row],[GST Amount]]</f>
        <v>397106.58</v>
      </c>
      <c r="R1348" s="138" t="s">
        <v>1019</v>
      </c>
      <c r="S1348" s="41">
        <f>IF(Purchase[[#This Row],[Status]]="Cancelled",0,Purchase[[#This Row],[Qty]])</f>
        <v>39</v>
      </c>
      <c r="T1348" s="146">
        <f>IF(Purchase[[#This Row],[Status]]="Cancelled",0,Purchase[[#This Row],[Total Amount]])</f>
        <v>397106.58</v>
      </c>
      <c r="U1348" s="146">
        <f>SUM(Purchase[Net Amount])</f>
        <v>814985438.68000126</v>
      </c>
    </row>
    <row r="1349" spans="1:21" ht="19.5" thickBot="1" x14ac:dyDescent="0.3">
      <c r="A1349" s="136" t="s">
        <v>2400</v>
      </c>
      <c r="B1349" s="137">
        <v>45724</v>
      </c>
      <c r="C1349" s="138" t="s">
        <v>606</v>
      </c>
      <c r="D1349" s="138" t="str">
        <f>VLOOKUP(Purchase[[#This Row],[Supplier ID]],Supplier[#All],2,0)</f>
        <v>Prime Traders</v>
      </c>
      <c r="E1349" s="138">
        <f>VLOOKUP(Purchase[[#This Row],[Supplier ID]],Supplier[#All],3,0)</f>
        <v>9689542489</v>
      </c>
      <c r="F1349" s="138" t="str">
        <f>VLOOKUP(Purchase[[#This Row],[Supplier ID]],Supplier[#All],4,0)</f>
        <v>Indore</v>
      </c>
      <c r="G1349" s="138" t="str">
        <f>VLOOKUP(Purchase[[#This Row],[Supplier ID]],Supplier[#All],5,0)</f>
        <v>MP</v>
      </c>
      <c r="H1349" s="138" t="str">
        <f>VLOOKUP(Purchase[[#This Row],[Supplier ID]],Supplier[#All],6,0)</f>
        <v>GST2154521T051</v>
      </c>
      <c r="I1349" s="138" t="s">
        <v>47</v>
      </c>
      <c r="J1349" s="139">
        <v>15</v>
      </c>
      <c r="K1349" s="143">
        <f>VLOOKUP(Purchase[[#This Row],[Product ID]],Product[#All],6,0)</f>
        <v>723</v>
      </c>
      <c r="L1349" s="143">
        <f>Purchase[[#This Row],[Purchase Rate]]*Purchase[[#This Row],[Qty]]</f>
        <v>10845</v>
      </c>
      <c r="M1349" s="140">
        <v>0</v>
      </c>
      <c r="N1349" s="143">
        <v>0</v>
      </c>
      <c r="O1349" s="140">
        <v>0.18</v>
      </c>
      <c r="P1349" s="145">
        <f>(Purchase[[#This Row],[Gross Amount]]-Purchase[[#This Row],[Disct %]])*Purchase[[#This Row],[GST %]]</f>
        <v>1952.1</v>
      </c>
      <c r="Q1349" s="145">
        <f>Purchase[[#This Row],[Gross Amount]]-Purchase[[#This Row],[Disct Amnt]]+Purchase[[#This Row],[GST Amount]]</f>
        <v>12797.1</v>
      </c>
      <c r="R1349" s="138" t="s">
        <v>1019</v>
      </c>
      <c r="S1349" s="41">
        <f>IF(Purchase[[#This Row],[Status]]="Cancelled",0,Purchase[[#This Row],[Qty]])</f>
        <v>15</v>
      </c>
      <c r="T1349" s="146">
        <f>IF(Purchase[[#This Row],[Status]]="Cancelled",0,Purchase[[#This Row],[Total Amount]])</f>
        <v>12797.1</v>
      </c>
      <c r="U1349" s="146">
        <f>SUM(Purchase[Net Amount])</f>
        <v>814985438.68000126</v>
      </c>
    </row>
    <row r="1350" spans="1:21" ht="19.5" thickBot="1" x14ac:dyDescent="0.3">
      <c r="A1350" s="136" t="s">
        <v>2401</v>
      </c>
      <c r="B1350" s="137">
        <v>45724</v>
      </c>
      <c r="C1350" s="138" t="s">
        <v>616</v>
      </c>
      <c r="D1350" s="138" t="str">
        <f>VLOOKUP(Purchase[[#This Row],[Supplier ID]],Supplier[#All],2,0)</f>
        <v>Global Suppliers</v>
      </c>
      <c r="E1350" s="138">
        <f>VLOOKUP(Purchase[[#This Row],[Supplier ID]],Supplier[#All],3,0)</f>
        <v>9689542499</v>
      </c>
      <c r="F1350" s="138" t="str">
        <f>VLOOKUP(Purchase[[#This Row],[Supplier ID]],Supplier[#All],4,0)</f>
        <v>Kanpur</v>
      </c>
      <c r="G1350" s="138" t="str">
        <f>VLOOKUP(Purchase[[#This Row],[Supplier ID]],Supplier[#All],5,0)</f>
        <v>UP</v>
      </c>
      <c r="H1350" s="138" t="str">
        <f>VLOOKUP(Purchase[[#This Row],[Supplier ID]],Supplier[#All],6,0)</f>
        <v>GST2154521T061</v>
      </c>
      <c r="I1350" s="138" t="s">
        <v>184</v>
      </c>
      <c r="J1350" s="139">
        <v>8</v>
      </c>
      <c r="K1350" s="143">
        <f>VLOOKUP(Purchase[[#This Row],[Product ID]],Product[#All],6,0)</f>
        <v>9420</v>
      </c>
      <c r="L1350" s="143">
        <f>Purchase[[#This Row],[Purchase Rate]]*Purchase[[#This Row],[Qty]]</f>
        <v>75360</v>
      </c>
      <c r="M1350" s="140">
        <v>0</v>
      </c>
      <c r="N1350" s="143">
        <v>0</v>
      </c>
      <c r="O1350" s="140">
        <v>0.18</v>
      </c>
      <c r="P1350" s="145">
        <f>(Purchase[[#This Row],[Gross Amount]]-Purchase[[#This Row],[Disct %]])*Purchase[[#This Row],[GST %]]</f>
        <v>13564.8</v>
      </c>
      <c r="Q1350" s="145">
        <f>Purchase[[#This Row],[Gross Amount]]-Purchase[[#This Row],[Disct Amnt]]+Purchase[[#This Row],[GST Amount]]</f>
        <v>88924.800000000003</v>
      </c>
      <c r="R1350" s="138" t="s">
        <v>1019</v>
      </c>
      <c r="S1350" s="41">
        <f>IF(Purchase[[#This Row],[Status]]="Cancelled",0,Purchase[[#This Row],[Qty]])</f>
        <v>8</v>
      </c>
      <c r="T1350" s="146">
        <f>IF(Purchase[[#This Row],[Status]]="Cancelled",0,Purchase[[#This Row],[Total Amount]])</f>
        <v>88924.800000000003</v>
      </c>
      <c r="U1350" s="146">
        <f>SUM(Purchase[Net Amount])</f>
        <v>814985438.68000126</v>
      </c>
    </row>
    <row r="1351" spans="1:21" ht="19.5" thickBot="1" x14ac:dyDescent="0.3">
      <c r="A1351" s="136" t="s">
        <v>2402</v>
      </c>
      <c r="B1351" s="137">
        <v>45725</v>
      </c>
      <c r="C1351" s="138" t="s">
        <v>570</v>
      </c>
      <c r="D1351" s="138" t="str">
        <f>VLOOKUP(Purchase[[#This Row],[Supplier ID]],Supplier[#All],2,0)</f>
        <v>Prime Traders</v>
      </c>
      <c r="E1351" s="138">
        <f>VLOOKUP(Purchase[[#This Row],[Supplier ID]],Supplier[#All],3,0)</f>
        <v>9689542456</v>
      </c>
      <c r="F1351" s="138" t="str">
        <f>VLOOKUP(Purchase[[#This Row],[Supplier ID]],Supplier[#All],4,0)</f>
        <v>Indore</v>
      </c>
      <c r="G1351" s="138" t="str">
        <f>VLOOKUP(Purchase[[#This Row],[Supplier ID]],Supplier[#All],5,0)</f>
        <v>MP</v>
      </c>
      <c r="H1351" s="138" t="str">
        <f>VLOOKUP(Purchase[[#This Row],[Supplier ID]],Supplier[#All],6,0)</f>
        <v>GST2154521T018</v>
      </c>
      <c r="I1351" s="138" t="s">
        <v>300</v>
      </c>
      <c r="J1351" s="139">
        <v>30</v>
      </c>
      <c r="K1351" s="143">
        <f>VLOOKUP(Purchase[[#This Row],[Product ID]],Product[#All],6,0)</f>
        <v>8629</v>
      </c>
      <c r="L1351" s="143">
        <f>Purchase[[#This Row],[Purchase Rate]]*Purchase[[#This Row],[Qty]]</f>
        <v>258870</v>
      </c>
      <c r="M1351" s="140">
        <v>0</v>
      </c>
      <c r="N1351" s="143">
        <v>0</v>
      </c>
      <c r="O1351" s="140">
        <v>0.18</v>
      </c>
      <c r="P1351" s="145">
        <f>(Purchase[[#This Row],[Gross Amount]]-Purchase[[#This Row],[Disct %]])*Purchase[[#This Row],[GST %]]</f>
        <v>46596.6</v>
      </c>
      <c r="Q1351" s="145">
        <f>Purchase[[#This Row],[Gross Amount]]-Purchase[[#This Row],[Disct Amnt]]+Purchase[[#This Row],[GST Amount]]</f>
        <v>305466.59999999998</v>
      </c>
      <c r="R1351" s="138" t="s">
        <v>1019</v>
      </c>
      <c r="S1351" s="41">
        <f>IF(Purchase[[#This Row],[Status]]="Cancelled",0,Purchase[[#This Row],[Qty]])</f>
        <v>30</v>
      </c>
      <c r="T1351" s="146">
        <f>IF(Purchase[[#This Row],[Status]]="Cancelled",0,Purchase[[#This Row],[Total Amount]])</f>
        <v>305466.59999999998</v>
      </c>
      <c r="U1351" s="146">
        <f>SUM(Purchase[Net Amount])</f>
        <v>814985438.68000126</v>
      </c>
    </row>
    <row r="1352" spans="1:21" ht="19.5" thickBot="1" x14ac:dyDescent="0.3">
      <c r="A1352" s="136" t="s">
        <v>2403</v>
      </c>
      <c r="B1352" s="137">
        <v>45725</v>
      </c>
      <c r="C1352" s="138" t="s">
        <v>590</v>
      </c>
      <c r="D1352" s="138" t="str">
        <f>VLOOKUP(Purchase[[#This Row],[Supplier ID]],Supplier[#All],2,0)</f>
        <v>Star Distributors</v>
      </c>
      <c r="E1352" s="138">
        <f>VLOOKUP(Purchase[[#This Row],[Supplier ID]],Supplier[#All],3,0)</f>
        <v>9689542474</v>
      </c>
      <c r="F1352" s="138" t="str">
        <f>VLOOKUP(Purchase[[#This Row],[Supplier ID]],Supplier[#All],4,0)</f>
        <v>Kanpur</v>
      </c>
      <c r="G1352" s="138" t="str">
        <f>VLOOKUP(Purchase[[#This Row],[Supplier ID]],Supplier[#All],5,0)</f>
        <v>UP</v>
      </c>
      <c r="H1352" s="138" t="str">
        <f>VLOOKUP(Purchase[[#This Row],[Supplier ID]],Supplier[#All],6,0)</f>
        <v>GST2154521T036</v>
      </c>
      <c r="I1352" s="138" t="s">
        <v>317</v>
      </c>
      <c r="J1352" s="139">
        <v>18</v>
      </c>
      <c r="K1352" s="143">
        <f>VLOOKUP(Purchase[[#This Row],[Product ID]],Product[#All],6,0)</f>
        <v>850</v>
      </c>
      <c r="L1352" s="143">
        <f>Purchase[[#This Row],[Purchase Rate]]*Purchase[[#This Row],[Qty]]</f>
        <v>15300</v>
      </c>
      <c r="M1352" s="140">
        <v>0</v>
      </c>
      <c r="N1352" s="143">
        <v>0</v>
      </c>
      <c r="O1352" s="140">
        <v>0.18</v>
      </c>
      <c r="P1352" s="145">
        <f>(Purchase[[#This Row],[Gross Amount]]-Purchase[[#This Row],[Disct %]])*Purchase[[#This Row],[GST %]]</f>
        <v>2754</v>
      </c>
      <c r="Q1352" s="145">
        <f>Purchase[[#This Row],[Gross Amount]]-Purchase[[#This Row],[Disct Amnt]]+Purchase[[#This Row],[GST Amount]]</f>
        <v>18054</v>
      </c>
      <c r="R1352" s="138" t="s">
        <v>1019</v>
      </c>
      <c r="S1352" s="41">
        <f>IF(Purchase[[#This Row],[Status]]="Cancelled",0,Purchase[[#This Row],[Qty]])</f>
        <v>18</v>
      </c>
      <c r="T1352" s="146">
        <f>IF(Purchase[[#This Row],[Status]]="Cancelled",0,Purchase[[#This Row],[Total Amount]])</f>
        <v>18054</v>
      </c>
      <c r="U1352" s="146">
        <f>SUM(Purchase[Net Amount])</f>
        <v>814985438.68000126</v>
      </c>
    </row>
    <row r="1353" spans="1:21" ht="19.5" thickBot="1" x14ac:dyDescent="0.3">
      <c r="A1353" s="136" t="s">
        <v>2404</v>
      </c>
      <c r="B1353" s="137">
        <v>45725</v>
      </c>
      <c r="C1353" s="138" t="s">
        <v>601</v>
      </c>
      <c r="D1353" s="138" t="str">
        <f>VLOOKUP(Purchase[[#This Row],[Supplier ID]],Supplier[#All],2,0)</f>
        <v>Maa Distributors</v>
      </c>
      <c r="E1353" s="138">
        <f>VLOOKUP(Purchase[[#This Row],[Supplier ID]],Supplier[#All],3,0)</f>
        <v>9689542484</v>
      </c>
      <c r="F1353" s="138" t="str">
        <f>VLOOKUP(Purchase[[#This Row],[Supplier ID]],Supplier[#All],4,0)</f>
        <v>Indore</v>
      </c>
      <c r="G1353" s="138" t="str">
        <f>VLOOKUP(Purchase[[#This Row],[Supplier ID]],Supplier[#All],5,0)</f>
        <v>MP</v>
      </c>
      <c r="H1353" s="138" t="str">
        <f>VLOOKUP(Purchase[[#This Row],[Supplier ID]],Supplier[#All],6,0)</f>
        <v>GST2154521T046</v>
      </c>
      <c r="I1353" s="138" t="s">
        <v>30</v>
      </c>
      <c r="J1353" s="139">
        <v>28</v>
      </c>
      <c r="K1353" s="143">
        <f>VLOOKUP(Purchase[[#This Row],[Product ID]],Product[#All],6,0)</f>
        <v>13487</v>
      </c>
      <c r="L1353" s="143">
        <f>Purchase[[#This Row],[Purchase Rate]]*Purchase[[#This Row],[Qty]]</f>
        <v>377636</v>
      </c>
      <c r="M1353" s="140">
        <v>0</v>
      </c>
      <c r="N1353" s="143">
        <v>0</v>
      </c>
      <c r="O1353" s="140">
        <v>0.18</v>
      </c>
      <c r="P1353" s="145">
        <f>(Purchase[[#This Row],[Gross Amount]]-Purchase[[#This Row],[Disct %]])*Purchase[[#This Row],[GST %]]</f>
        <v>67974.48</v>
      </c>
      <c r="Q1353" s="145">
        <f>Purchase[[#This Row],[Gross Amount]]-Purchase[[#This Row],[Disct Amnt]]+Purchase[[#This Row],[GST Amount]]</f>
        <v>445610.48</v>
      </c>
      <c r="R1353" s="138" t="s">
        <v>1019</v>
      </c>
      <c r="S1353" s="41">
        <f>IF(Purchase[[#This Row],[Status]]="Cancelled",0,Purchase[[#This Row],[Qty]])</f>
        <v>28</v>
      </c>
      <c r="T1353" s="146">
        <f>IF(Purchase[[#This Row],[Status]]="Cancelled",0,Purchase[[#This Row],[Total Amount]])</f>
        <v>445610.48</v>
      </c>
      <c r="U1353" s="146">
        <f>SUM(Purchase[Net Amount])</f>
        <v>814985438.68000126</v>
      </c>
    </row>
    <row r="1354" spans="1:21" ht="19.5" thickBot="1" x14ac:dyDescent="0.3">
      <c r="A1354" s="136" t="s">
        <v>2405</v>
      </c>
      <c r="B1354" s="137">
        <v>45725</v>
      </c>
      <c r="C1354" s="138" t="s">
        <v>612</v>
      </c>
      <c r="D1354" s="138" t="str">
        <f>VLOOKUP(Purchase[[#This Row],[Supplier ID]],Supplier[#All],2,0)</f>
        <v>National Computers</v>
      </c>
      <c r="E1354" s="138">
        <f>VLOOKUP(Purchase[[#This Row],[Supplier ID]],Supplier[#All],3,0)</f>
        <v>9689542495</v>
      </c>
      <c r="F1354" s="138" t="str">
        <f>VLOOKUP(Purchase[[#This Row],[Supplier ID]],Supplier[#All],4,0)</f>
        <v>Indore</v>
      </c>
      <c r="G1354" s="138" t="str">
        <f>VLOOKUP(Purchase[[#This Row],[Supplier ID]],Supplier[#All],5,0)</f>
        <v>MP</v>
      </c>
      <c r="H1354" s="138" t="str">
        <f>VLOOKUP(Purchase[[#This Row],[Supplier ID]],Supplier[#All],6,0)</f>
        <v>GST2154521T057</v>
      </c>
      <c r="I1354" s="138" t="s">
        <v>296</v>
      </c>
      <c r="J1354" s="139">
        <v>4</v>
      </c>
      <c r="K1354" s="143">
        <f>VLOOKUP(Purchase[[#This Row],[Product ID]],Product[#All],6,0)</f>
        <v>4747</v>
      </c>
      <c r="L1354" s="143">
        <f>Purchase[[#This Row],[Purchase Rate]]*Purchase[[#This Row],[Qty]]</f>
        <v>18988</v>
      </c>
      <c r="M1354" s="140">
        <v>0</v>
      </c>
      <c r="N1354" s="143">
        <v>0</v>
      </c>
      <c r="O1354" s="140">
        <v>0.18</v>
      </c>
      <c r="P1354" s="145">
        <f>(Purchase[[#This Row],[Gross Amount]]-Purchase[[#This Row],[Disct %]])*Purchase[[#This Row],[GST %]]</f>
        <v>3417.8399999999997</v>
      </c>
      <c r="Q1354" s="145">
        <f>Purchase[[#This Row],[Gross Amount]]-Purchase[[#This Row],[Disct Amnt]]+Purchase[[#This Row],[GST Amount]]</f>
        <v>22405.84</v>
      </c>
      <c r="R1354" s="138" t="s">
        <v>1019</v>
      </c>
      <c r="S1354" s="41">
        <f>IF(Purchase[[#This Row],[Status]]="Cancelled",0,Purchase[[#This Row],[Qty]])</f>
        <v>4</v>
      </c>
      <c r="T1354" s="146">
        <f>IF(Purchase[[#This Row],[Status]]="Cancelled",0,Purchase[[#This Row],[Total Amount]])</f>
        <v>22405.84</v>
      </c>
      <c r="U1354" s="146">
        <f>SUM(Purchase[Net Amount])</f>
        <v>814985438.68000126</v>
      </c>
    </row>
    <row r="1355" spans="1:21" ht="19.5" thickBot="1" x14ac:dyDescent="0.3">
      <c r="A1355" s="136" t="s">
        <v>2406</v>
      </c>
      <c r="B1355" s="137">
        <v>45725</v>
      </c>
      <c r="C1355" s="138" t="s">
        <v>573</v>
      </c>
      <c r="D1355" s="138" t="str">
        <f>VLOOKUP(Purchase[[#This Row],[Supplier ID]],Supplier[#All],2,0)</f>
        <v>Shree Traders</v>
      </c>
      <c r="E1355" s="138">
        <f>VLOOKUP(Purchase[[#This Row],[Supplier ID]],Supplier[#All],3,0)</f>
        <v>9689542458</v>
      </c>
      <c r="F1355" s="138" t="str">
        <f>VLOOKUP(Purchase[[#This Row],[Supplier ID]],Supplier[#All],4,0)</f>
        <v>Korba</v>
      </c>
      <c r="G1355" s="138" t="str">
        <f>VLOOKUP(Purchase[[#This Row],[Supplier ID]],Supplier[#All],5,0)</f>
        <v>CG</v>
      </c>
      <c r="H1355" s="138" t="str">
        <f>VLOOKUP(Purchase[[#This Row],[Supplier ID]],Supplier[#All],6,0)</f>
        <v>GST2154521T020</v>
      </c>
      <c r="I1355" s="138" t="s">
        <v>305</v>
      </c>
      <c r="J1355" s="139">
        <v>25</v>
      </c>
      <c r="K1355" s="143">
        <f>VLOOKUP(Purchase[[#This Row],[Product ID]],Product[#All],6,0)</f>
        <v>2156</v>
      </c>
      <c r="L1355" s="143">
        <f>Purchase[[#This Row],[Purchase Rate]]*Purchase[[#This Row],[Qty]]</f>
        <v>53900</v>
      </c>
      <c r="M1355" s="140">
        <v>0</v>
      </c>
      <c r="N1355" s="143">
        <v>0</v>
      </c>
      <c r="O1355" s="140">
        <v>0.18</v>
      </c>
      <c r="P1355" s="145">
        <f>(Purchase[[#This Row],[Gross Amount]]-Purchase[[#This Row],[Disct %]])*Purchase[[#This Row],[GST %]]</f>
        <v>9702</v>
      </c>
      <c r="Q1355" s="145">
        <f>Purchase[[#This Row],[Gross Amount]]-Purchase[[#This Row],[Disct Amnt]]+Purchase[[#This Row],[GST Amount]]</f>
        <v>63602</v>
      </c>
      <c r="R1355" s="138" t="s">
        <v>1019</v>
      </c>
      <c r="S1355" s="41">
        <f>IF(Purchase[[#This Row],[Status]]="Cancelled",0,Purchase[[#This Row],[Qty]])</f>
        <v>25</v>
      </c>
      <c r="T1355" s="146">
        <f>IF(Purchase[[#This Row],[Status]]="Cancelled",0,Purchase[[#This Row],[Total Amount]])</f>
        <v>63602</v>
      </c>
      <c r="U1355" s="146">
        <f>SUM(Purchase[Net Amount])</f>
        <v>814985438.68000126</v>
      </c>
    </row>
    <row r="1356" spans="1:21" ht="19.5" thickBot="1" x14ac:dyDescent="0.3">
      <c r="A1356" s="136" t="s">
        <v>2407</v>
      </c>
      <c r="B1356" s="137">
        <v>45725</v>
      </c>
      <c r="C1356" s="138" t="s">
        <v>583</v>
      </c>
      <c r="D1356" s="138" t="str">
        <f>VLOOKUP(Purchase[[#This Row],[Supplier ID]],Supplier[#All],2,0)</f>
        <v>Shree Distributors</v>
      </c>
      <c r="E1356" s="138">
        <f>VLOOKUP(Purchase[[#This Row],[Supplier ID]],Supplier[#All],3,0)</f>
        <v>9689542467</v>
      </c>
      <c r="F1356" s="138" t="str">
        <f>VLOOKUP(Purchase[[#This Row],[Supplier ID]],Supplier[#All],4,0)</f>
        <v>Indore</v>
      </c>
      <c r="G1356" s="138" t="str">
        <f>VLOOKUP(Purchase[[#This Row],[Supplier ID]],Supplier[#All],5,0)</f>
        <v>MP</v>
      </c>
      <c r="H1356" s="138" t="str">
        <f>VLOOKUP(Purchase[[#This Row],[Supplier ID]],Supplier[#All],6,0)</f>
        <v>GST2154521T029</v>
      </c>
      <c r="I1356" s="138" t="s">
        <v>478</v>
      </c>
      <c r="J1356" s="139">
        <v>7</v>
      </c>
      <c r="K1356" s="143">
        <f>VLOOKUP(Purchase[[#This Row],[Product ID]],Product[#All],6,0)</f>
        <v>4866</v>
      </c>
      <c r="L1356" s="143">
        <f>Purchase[[#This Row],[Purchase Rate]]*Purchase[[#This Row],[Qty]]</f>
        <v>34062</v>
      </c>
      <c r="M1356" s="140">
        <v>0</v>
      </c>
      <c r="N1356" s="143">
        <v>0</v>
      </c>
      <c r="O1356" s="140">
        <v>0.18</v>
      </c>
      <c r="P1356" s="145">
        <f>(Purchase[[#This Row],[Gross Amount]]-Purchase[[#This Row],[Disct %]])*Purchase[[#This Row],[GST %]]</f>
        <v>6131.16</v>
      </c>
      <c r="Q1356" s="145">
        <f>Purchase[[#This Row],[Gross Amount]]-Purchase[[#This Row],[Disct Amnt]]+Purchase[[#This Row],[GST Amount]]</f>
        <v>40193.160000000003</v>
      </c>
      <c r="R1356" s="138" t="s">
        <v>1019</v>
      </c>
      <c r="S1356" s="41">
        <f>IF(Purchase[[#This Row],[Status]]="Cancelled",0,Purchase[[#This Row],[Qty]])</f>
        <v>7</v>
      </c>
      <c r="T1356" s="146">
        <f>IF(Purchase[[#This Row],[Status]]="Cancelled",0,Purchase[[#This Row],[Total Amount]])</f>
        <v>40193.160000000003</v>
      </c>
      <c r="U1356" s="146">
        <f>SUM(Purchase[Net Amount])</f>
        <v>814985438.68000126</v>
      </c>
    </row>
    <row r="1357" spans="1:21" ht="19.5" thickBot="1" x14ac:dyDescent="0.3">
      <c r="A1357" s="136" t="s">
        <v>2408</v>
      </c>
      <c r="B1357" s="137">
        <v>45725</v>
      </c>
      <c r="C1357" s="138" t="s">
        <v>589</v>
      </c>
      <c r="D1357" s="138" t="str">
        <f>VLOOKUP(Purchase[[#This Row],[Supplier ID]],Supplier[#All],2,0)</f>
        <v>Maa Computers</v>
      </c>
      <c r="E1357" s="138">
        <f>VLOOKUP(Purchase[[#This Row],[Supplier ID]],Supplier[#All],3,0)</f>
        <v>9689542473</v>
      </c>
      <c r="F1357" s="138" t="str">
        <f>VLOOKUP(Purchase[[#This Row],[Supplier ID]],Supplier[#All],4,0)</f>
        <v>Kanpur</v>
      </c>
      <c r="G1357" s="138" t="str">
        <f>VLOOKUP(Purchase[[#This Row],[Supplier ID]],Supplier[#All],5,0)</f>
        <v>UP</v>
      </c>
      <c r="H1357" s="138" t="str">
        <f>VLOOKUP(Purchase[[#This Row],[Supplier ID]],Supplier[#All],6,0)</f>
        <v>GST2154521T035</v>
      </c>
      <c r="I1357" s="138" t="s">
        <v>173</v>
      </c>
      <c r="J1357" s="139">
        <v>21</v>
      </c>
      <c r="K1357" s="143">
        <f>VLOOKUP(Purchase[[#This Row],[Product ID]],Product[#All],6,0)</f>
        <v>60461</v>
      </c>
      <c r="L1357" s="143">
        <f>Purchase[[#This Row],[Purchase Rate]]*Purchase[[#This Row],[Qty]]</f>
        <v>1269681</v>
      </c>
      <c r="M1357" s="140">
        <v>0</v>
      </c>
      <c r="N1357" s="143">
        <v>0</v>
      </c>
      <c r="O1357" s="140">
        <v>0.18</v>
      </c>
      <c r="P1357" s="145">
        <f>(Purchase[[#This Row],[Gross Amount]]-Purchase[[#This Row],[Disct %]])*Purchase[[#This Row],[GST %]]</f>
        <v>228542.58</v>
      </c>
      <c r="Q1357" s="145">
        <f>Purchase[[#This Row],[Gross Amount]]-Purchase[[#This Row],[Disct Amnt]]+Purchase[[#This Row],[GST Amount]]</f>
        <v>1498223.58</v>
      </c>
      <c r="R1357" s="138" t="s">
        <v>1019</v>
      </c>
      <c r="S1357" s="41">
        <f>IF(Purchase[[#This Row],[Status]]="Cancelled",0,Purchase[[#This Row],[Qty]])</f>
        <v>21</v>
      </c>
      <c r="T1357" s="146">
        <f>IF(Purchase[[#This Row],[Status]]="Cancelled",0,Purchase[[#This Row],[Total Amount]])</f>
        <v>1498223.58</v>
      </c>
      <c r="U1357" s="146">
        <f>SUM(Purchase[Net Amount])</f>
        <v>814985438.68000126</v>
      </c>
    </row>
    <row r="1358" spans="1:21" ht="19.5" thickBot="1" x14ac:dyDescent="0.3">
      <c r="A1358" s="136" t="s">
        <v>2409</v>
      </c>
      <c r="B1358" s="137">
        <v>45725</v>
      </c>
      <c r="C1358" s="138" t="s">
        <v>615</v>
      </c>
      <c r="D1358" s="138" t="str">
        <f>VLOOKUP(Purchase[[#This Row],[Supplier ID]],Supplier[#All],2,0)</f>
        <v>NATIONAL ELECTRONICS</v>
      </c>
      <c r="E1358" s="138">
        <f>VLOOKUP(Purchase[[#This Row],[Supplier ID]],Supplier[#All],3,0)</f>
        <v>9689542498</v>
      </c>
      <c r="F1358" s="138" t="str">
        <f>VLOOKUP(Purchase[[#This Row],[Supplier ID]],Supplier[#All],4,0)</f>
        <v>Kanpur</v>
      </c>
      <c r="G1358" s="138" t="str">
        <f>VLOOKUP(Purchase[[#This Row],[Supplier ID]],Supplier[#All],5,0)</f>
        <v>UP</v>
      </c>
      <c r="H1358" s="138" t="str">
        <f>VLOOKUP(Purchase[[#This Row],[Supplier ID]],Supplier[#All],6,0)</f>
        <v>GST2154521T060</v>
      </c>
      <c r="I1358" s="138" t="s">
        <v>359</v>
      </c>
      <c r="J1358" s="139">
        <v>7</v>
      </c>
      <c r="K1358" s="143">
        <f>VLOOKUP(Purchase[[#This Row],[Product ID]],Product[#All],6,0)</f>
        <v>922</v>
      </c>
      <c r="L1358" s="143">
        <f>Purchase[[#This Row],[Purchase Rate]]*Purchase[[#This Row],[Qty]]</f>
        <v>6454</v>
      </c>
      <c r="M1358" s="140">
        <v>0</v>
      </c>
      <c r="N1358" s="143">
        <v>0</v>
      </c>
      <c r="O1358" s="140">
        <v>0.18</v>
      </c>
      <c r="P1358" s="145">
        <f>(Purchase[[#This Row],[Gross Amount]]-Purchase[[#This Row],[Disct %]])*Purchase[[#This Row],[GST %]]</f>
        <v>1161.72</v>
      </c>
      <c r="Q1358" s="145">
        <f>Purchase[[#This Row],[Gross Amount]]-Purchase[[#This Row],[Disct Amnt]]+Purchase[[#This Row],[GST Amount]]</f>
        <v>7615.72</v>
      </c>
      <c r="R1358" s="138" t="s">
        <v>1019</v>
      </c>
      <c r="S1358" s="41">
        <f>IF(Purchase[[#This Row],[Status]]="Cancelled",0,Purchase[[#This Row],[Qty]])</f>
        <v>7</v>
      </c>
      <c r="T1358" s="146">
        <f>IF(Purchase[[#This Row],[Status]]="Cancelled",0,Purchase[[#This Row],[Total Amount]])</f>
        <v>7615.72</v>
      </c>
      <c r="U1358" s="146">
        <f>SUM(Purchase[Net Amount])</f>
        <v>814985438.68000126</v>
      </c>
    </row>
    <row r="1359" spans="1:21" ht="19.5" thickBot="1" x14ac:dyDescent="0.3">
      <c r="A1359" s="136" t="s">
        <v>2410</v>
      </c>
      <c r="B1359" s="137">
        <v>45725</v>
      </c>
      <c r="C1359" s="138" t="s">
        <v>598</v>
      </c>
      <c r="D1359" s="138" t="str">
        <f>VLOOKUP(Purchase[[#This Row],[Supplier ID]],Supplier[#All],2,0)</f>
        <v>National Distributors</v>
      </c>
      <c r="E1359" s="138">
        <f>VLOOKUP(Purchase[[#This Row],[Supplier ID]],Supplier[#All],3,0)</f>
        <v>9689542489</v>
      </c>
      <c r="F1359" s="138" t="str">
        <f>VLOOKUP(Purchase[[#This Row],[Supplier ID]],Supplier[#All],4,0)</f>
        <v>Indore</v>
      </c>
      <c r="G1359" s="138" t="str">
        <f>VLOOKUP(Purchase[[#This Row],[Supplier ID]],Supplier[#All],5,0)</f>
        <v>MP</v>
      </c>
      <c r="H1359" s="138" t="str">
        <f>VLOOKUP(Purchase[[#This Row],[Supplier ID]],Supplier[#All],6,0)</f>
        <v>GST2154521T043</v>
      </c>
      <c r="I1359" s="138" t="s">
        <v>239</v>
      </c>
      <c r="J1359" s="139">
        <v>7</v>
      </c>
      <c r="K1359" s="143">
        <f>VLOOKUP(Purchase[[#This Row],[Product ID]],Product[#All],6,0)</f>
        <v>6638</v>
      </c>
      <c r="L1359" s="143">
        <f>Purchase[[#This Row],[Purchase Rate]]*Purchase[[#This Row],[Qty]]</f>
        <v>46466</v>
      </c>
      <c r="M1359" s="140">
        <v>0</v>
      </c>
      <c r="N1359" s="143">
        <v>0</v>
      </c>
      <c r="O1359" s="140">
        <v>0.18</v>
      </c>
      <c r="P1359" s="145">
        <f>(Purchase[[#This Row],[Gross Amount]]-Purchase[[#This Row],[Disct %]])*Purchase[[#This Row],[GST %]]</f>
        <v>8363.8799999999992</v>
      </c>
      <c r="Q1359" s="145">
        <f>Purchase[[#This Row],[Gross Amount]]-Purchase[[#This Row],[Disct Amnt]]+Purchase[[#This Row],[GST Amount]]</f>
        <v>54829.88</v>
      </c>
      <c r="R1359" s="138" t="s">
        <v>1019</v>
      </c>
      <c r="S1359" s="41">
        <f>IF(Purchase[[#This Row],[Status]]="Cancelled",0,Purchase[[#This Row],[Qty]])</f>
        <v>7</v>
      </c>
      <c r="T1359" s="146">
        <f>IF(Purchase[[#This Row],[Status]]="Cancelled",0,Purchase[[#This Row],[Total Amount]])</f>
        <v>54829.88</v>
      </c>
      <c r="U1359" s="146">
        <f>SUM(Purchase[Net Amount])</f>
        <v>814985438.68000126</v>
      </c>
    </row>
    <row r="1360" spans="1:21" ht="19.5" thickBot="1" x14ac:dyDescent="0.3">
      <c r="A1360" s="136" t="s">
        <v>2411</v>
      </c>
      <c r="B1360" s="137">
        <v>45725</v>
      </c>
      <c r="C1360" s="138" t="s">
        <v>8747</v>
      </c>
      <c r="D1360" s="138" t="str">
        <f>VLOOKUP(Purchase[[#This Row],[Supplier ID]],Supplier[#All],2,0)</f>
        <v>star traders</v>
      </c>
      <c r="E1360" s="138">
        <f>VLOOKUP(Purchase[[#This Row],[Supplier ID]],Supplier[#All],3,0)</f>
        <v>9689542479</v>
      </c>
      <c r="F1360" s="138" t="str">
        <f>VLOOKUP(Purchase[[#This Row],[Supplier ID]],Supplier[#All],4,0)</f>
        <v>Korba</v>
      </c>
      <c r="G1360" s="138" t="str">
        <f>VLOOKUP(Purchase[[#This Row],[Supplier ID]],Supplier[#All],5,0)</f>
        <v>CG</v>
      </c>
      <c r="H1360" s="138" t="str">
        <f>VLOOKUP(Purchase[[#This Row],[Supplier ID]],Supplier[#All],6,0)</f>
        <v>GST2154521T041</v>
      </c>
      <c r="I1360" s="138" t="s">
        <v>444</v>
      </c>
      <c r="J1360" s="139">
        <v>18</v>
      </c>
      <c r="K1360" s="143">
        <f>VLOOKUP(Purchase[[#This Row],[Product ID]],Product[#All],6,0)</f>
        <v>47242</v>
      </c>
      <c r="L1360" s="143">
        <f>Purchase[[#This Row],[Purchase Rate]]*Purchase[[#This Row],[Qty]]</f>
        <v>850356</v>
      </c>
      <c r="M1360" s="140">
        <v>0</v>
      </c>
      <c r="N1360" s="143">
        <v>0</v>
      </c>
      <c r="O1360" s="140">
        <v>0.18</v>
      </c>
      <c r="P1360" s="145">
        <f>(Purchase[[#This Row],[Gross Amount]]-Purchase[[#This Row],[Disct %]])*Purchase[[#This Row],[GST %]]</f>
        <v>153064.07999999999</v>
      </c>
      <c r="Q1360" s="145">
        <f>Purchase[[#This Row],[Gross Amount]]-Purchase[[#This Row],[Disct Amnt]]+Purchase[[#This Row],[GST Amount]]</f>
        <v>1003420.08</v>
      </c>
      <c r="R1360" s="138" t="s">
        <v>1019</v>
      </c>
      <c r="S1360" s="41">
        <f>IF(Purchase[[#This Row],[Status]]="Cancelled",0,Purchase[[#This Row],[Qty]])</f>
        <v>18</v>
      </c>
      <c r="T1360" s="146">
        <f>IF(Purchase[[#This Row],[Status]]="Cancelled",0,Purchase[[#This Row],[Total Amount]])</f>
        <v>1003420.08</v>
      </c>
      <c r="U1360" s="146">
        <f>SUM(Purchase[Net Amount])</f>
        <v>814985438.68000126</v>
      </c>
    </row>
    <row r="1361" spans="1:21" ht="19.5" thickBot="1" x14ac:dyDescent="0.3">
      <c r="A1361" s="136" t="s">
        <v>2412</v>
      </c>
      <c r="B1361" s="137">
        <v>45725</v>
      </c>
      <c r="C1361" s="138" t="s">
        <v>582</v>
      </c>
      <c r="D1361" s="138" t="str">
        <f>VLOOKUP(Purchase[[#This Row],[Supplier ID]],Supplier[#All],2,0)</f>
        <v>Tech Distributors</v>
      </c>
      <c r="E1361" s="138">
        <f>VLOOKUP(Purchase[[#This Row],[Supplier ID]],Supplier[#All],3,0)</f>
        <v>9689542466</v>
      </c>
      <c r="F1361" s="138" t="str">
        <f>VLOOKUP(Purchase[[#This Row],[Supplier ID]],Supplier[#All],4,0)</f>
        <v>Indore</v>
      </c>
      <c r="G1361" s="138" t="str">
        <f>VLOOKUP(Purchase[[#This Row],[Supplier ID]],Supplier[#All],5,0)</f>
        <v>MP</v>
      </c>
      <c r="H1361" s="138" t="str">
        <f>VLOOKUP(Purchase[[#This Row],[Supplier ID]],Supplier[#All],6,0)</f>
        <v>GST2154521T028</v>
      </c>
      <c r="I1361" s="138" t="s">
        <v>367</v>
      </c>
      <c r="J1361" s="139">
        <v>11</v>
      </c>
      <c r="K1361" s="143">
        <f>VLOOKUP(Purchase[[#This Row],[Product ID]],Product[#All],6,0)</f>
        <v>4278</v>
      </c>
      <c r="L1361" s="143">
        <f>Purchase[[#This Row],[Purchase Rate]]*Purchase[[#This Row],[Qty]]</f>
        <v>47058</v>
      </c>
      <c r="M1361" s="140">
        <v>0</v>
      </c>
      <c r="N1361" s="143">
        <v>0</v>
      </c>
      <c r="O1361" s="140">
        <v>0.18</v>
      </c>
      <c r="P1361" s="145">
        <f>(Purchase[[#This Row],[Gross Amount]]-Purchase[[#This Row],[Disct %]])*Purchase[[#This Row],[GST %]]</f>
        <v>8470.44</v>
      </c>
      <c r="Q1361" s="145">
        <f>Purchase[[#This Row],[Gross Amount]]-Purchase[[#This Row],[Disct Amnt]]+Purchase[[#This Row],[GST Amount]]</f>
        <v>55528.44</v>
      </c>
      <c r="R1361" s="138" t="s">
        <v>1019</v>
      </c>
      <c r="S1361" s="41">
        <f>IF(Purchase[[#This Row],[Status]]="Cancelled",0,Purchase[[#This Row],[Qty]])</f>
        <v>11</v>
      </c>
      <c r="T1361" s="146">
        <f>IF(Purchase[[#This Row],[Status]]="Cancelled",0,Purchase[[#This Row],[Total Amount]])</f>
        <v>55528.44</v>
      </c>
      <c r="U1361" s="146">
        <f>SUM(Purchase[Net Amount])</f>
        <v>814985438.68000126</v>
      </c>
    </row>
    <row r="1362" spans="1:21" ht="19.5" thickBot="1" x14ac:dyDescent="0.3">
      <c r="A1362" s="136" t="s">
        <v>2413</v>
      </c>
      <c r="B1362" s="137">
        <v>45725</v>
      </c>
      <c r="C1362" s="138" t="s">
        <v>611</v>
      </c>
      <c r="D1362" s="138" t="str">
        <f>VLOOKUP(Purchase[[#This Row],[Supplier ID]],Supplier[#All],2,0)</f>
        <v>National Distributors</v>
      </c>
      <c r="E1362" s="138">
        <f>VLOOKUP(Purchase[[#This Row],[Supplier ID]],Supplier[#All],3,0)</f>
        <v>9689542494</v>
      </c>
      <c r="F1362" s="138" t="str">
        <f>VLOOKUP(Purchase[[#This Row],[Supplier ID]],Supplier[#All],4,0)</f>
        <v>Korba</v>
      </c>
      <c r="G1362" s="138" t="str">
        <f>VLOOKUP(Purchase[[#This Row],[Supplier ID]],Supplier[#All],5,0)</f>
        <v>CG</v>
      </c>
      <c r="H1362" s="138" t="str">
        <f>VLOOKUP(Purchase[[#This Row],[Supplier ID]],Supplier[#All],6,0)</f>
        <v>GST2154521T056</v>
      </c>
      <c r="I1362" s="138" t="s">
        <v>336</v>
      </c>
      <c r="J1362" s="139">
        <v>31</v>
      </c>
      <c r="K1362" s="143">
        <f>VLOOKUP(Purchase[[#This Row],[Product ID]],Product[#All],6,0)</f>
        <v>1127</v>
      </c>
      <c r="L1362" s="143">
        <f>Purchase[[#This Row],[Purchase Rate]]*Purchase[[#This Row],[Qty]]</f>
        <v>34937</v>
      </c>
      <c r="M1362" s="140">
        <v>0</v>
      </c>
      <c r="N1362" s="143">
        <v>0</v>
      </c>
      <c r="O1362" s="140">
        <v>0.18</v>
      </c>
      <c r="P1362" s="145">
        <f>(Purchase[[#This Row],[Gross Amount]]-Purchase[[#This Row],[Disct %]])*Purchase[[#This Row],[GST %]]</f>
        <v>6288.66</v>
      </c>
      <c r="Q1362" s="145">
        <f>Purchase[[#This Row],[Gross Amount]]-Purchase[[#This Row],[Disct Amnt]]+Purchase[[#This Row],[GST Amount]]</f>
        <v>41225.660000000003</v>
      </c>
      <c r="R1362" s="138" t="s">
        <v>1019</v>
      </c>
      <c r="S1362" s="41">
        <f>IF(Purchase[[#This Row],[Status]]="Cancelled",0,Purchase[[#This Row],[Qty]])</f>
        <v>31</v>
      </c>
      <c r="T1362" s="146">
        <f>IF(Purchase[[#This Row],[Status]]="Cancelled",0,Purchase[[#This Row],[Total Amount]])</f>
        <v>41225.660000000003</v>
      </c>
      <c r="U1362" s="146">
        <f>SUM(Purchase[Net Amount])</f>
        <v>814985438.68000126</v>
      </c>
    </row>
    <row r="1363" spans="1:21" ht="19.5" thickBot="1" x14ac:dyDescent="0.3">
      <c r="A1363" s="136" t="s">
        <v>2414</v>
      </c>
      <c r="B1363" s="137">
        <v>45725</v>
      </c>
      <c r="C1363" s="138" t="s">
        <v>612</v>
      </c>
      <c r="D1363" s="138" t="str">
        <f>VLOOKUP(Purchase[[#This Row],[Supplier ID]],Supplier[#All],2,0)</f>
        <v>National Computers</v>
      </c>
      <c r="E1363" s="138">
        <f>VLOOKUP(Purchase[[#This Row],[Supplier ID]],Supplier[#All],3,0)</f>
        <v>9689542495</v>
      </c>
      <c r="F1363" s="138" t="str">
        <f>VLOOKUP(Purchase[[#This Row],[Supplier ID]],Supplier[#All],4,0)</f>
        <v>Indore</v>
      </c>
      <c r="G1363" s="138" t="str">
        <f>VLOOKUP(Purchase[[#This Row],[Supplier ID]],Supplier[#All],5,0)</f>
        <v>MP</v>
      </c>
      <c r="H1363" s="138" t="str">
        <f>VLOOKUP(Purchase[[#This Row],[Supplier ID]],Supplier[#All],6,0)</f>
        <v>GST2154521T057</v>
      </c>
      <c r="I1363" s="138" t="s">
        <v>380</v>
      </c>
      <c r="J1363" s="139">
        <v>4</v>
      </c>
      <c r="K1363" s="143">
        <f>VLOOKUP(Purchase[[#This Row],[Product ID]],Product[#All],6,0)</f>
        <v>72229</v>
      </c>
      <c r="L1363" s="143">
        <f>Purchase[[#This Row],[Purchase Rate]]*Purchase[[#This Row],[Qty]]</f>
        <v>288916</v>
      </c>
      <c r="M1363" s="140">
        <v>0</v>
      </c>
      <c r="N1363" s="143">
        <v>0</v>
      </c>
      <c r="O1363" s="140">
        <v>0.18</v>
      </c>
      <c r="P1363" s="145">
        <f>(Purchase[[#This Row],[Gross Amount]]-Purchase[[#This Row],[Disct %]])*Purchase[[#This Row],[GST %]]</f>
        <v>52004.88</v>
      </c>
      <c r="Q1363" s="145">
        <f>Purchase[[#This Row],[Gross Amount]]-Purchase[[#This Row],[Disct Amnt]]+Purchase[[#This Row],[GST Amount]]</f>
        <v>340920.88</v>
      </c>
      <c r="R1363" s="138" t="s">
        <v>1019</v>
      </c>
      <c r="S1363" s="41">
        <f>IF(Purchase[[#This Row],[Status]]="Cancelled",0,Purchase[[#This Row],[Qty]])</f>
        <v>4</v>
      </c>
      <c r="T1363" s="146">
        <f>IF(Purchase[[#This Row],[Status]]="Cancelled",0,Purchase[[#This Row],[Total Amount]])</f>
        <v>340920.88</v>
      </c>
      <c r="U1363" s="146">
        <f>SUM(Purchase[Net Amount])</f>
        <v>814985438.68000126</v>
      </c>
    </row>
    <row r="1364" spans="1:21" ht="19.5" thickBot="1" x14ac:dyDescent="0.3">
      <c r="A1364" s="136" t="s">
        <v>2415</v>
      </c>
      <c r="B1364" s="137">
        <v>45725</v>
      </c>
      <c r="C1364" s="138" t="s">
        <v>581</v>
      </c>
      <c r="D1364" s="138" t="str">
        <f>VLOOKUP(Purchase[[#This Row],[Supplier ID]],Supplier[#All],2,0)</f>
        <v>Prime Electronics</v>
      </c>
      <c r="E1364" s="138">
        <f>VLOOKUP(Purchase[[#This Row],[Supplier ID]],Supplier[#All],3,0)</f>
        <v>9689542465</v>
      </c>
      <c r="F1364" s="138" t="str">
        <f>VLOOKUP(Purchase[[#This Row],[Supplier ID]],Supplier[#All],4,0)</f>
        <v>Korba</v>
      </c>
      <c r="G1364" s="138" t="str">
        <f>VLOOKUP(Purchase[[#This Row],[Supplier ID]],Supplier[#All],5,0)</f>
        <v>CG</v>
      </c>
      <c r="H1364" s="138" t="str">
        <f>VLOOKUP(Purchase[[#This Row],[Supplier ID]],Supplier[#All],6,0)</f>
        <v>GST2154521T027</v>
      </c>
      <c r="I1364" s="138" t="s">
        <v>216</v>
      </c>
      <c r="J1364" s="139">
        <v>2</v>
      </c>
      <c r="K1364" s="143">
        <f>VLOOKUP(Purchase[[#This Row],[Product ID]],Product[#All],6,0)</f>
        <v>950</v>
      </c>
      <c r="L1364" s="143">
        <f>Purchase[[#This Row],[Purchase Rate]]*Purchase[[#This Row],[Qty]]</f>
        <v>1900</v>
      </c>
      <c r="M1364" s="140">
        <v>0</v>
      </c>
      <c r="N1364" s="143">
        <v>0</v>
      </c>
      <c r="O1364" s="140">
        <v>0.18</v>
      </c>
      <c r="P1364" s="145">
        <f>(Purchase[[#This Row],[Gross Amount]]-Purchase[[#This Row],[Disct %]])*Purchase[[#This Row],[GST %]]</f>
        <v>342</v>
      </c>
      <c r="Q1364" s="145">
        <f>Purchase[[#This Row],[Gross Amount]]-Purchase[[#This Row],[Disct Amnt]]+Purchase[[#This Row],[GST Amount]]</f>
        <v>2242</v>
      </c>
      <c r="R1364" s="138" t="s">
        <v>1019</v>
      </c>
      <c r="S1364" s="41">
        <f>IF(Purchase[[#This Row],[Status]]="Cancelled",0,Purchase[[#This Row],[Qty]])</f>
        <v>2</v>
      </c>
      <c r="T1364" s="146">
        <f>IF(Purchase[[#This Row],[Status]]="Cancelled",0,Purchase[[#This Row],[Total Amount]])</f>
        <v>2242</v>
      </c>
      <c r="U1364" s="146">
        <f>SUM(Purchase[Net Amount])</f>
        <v>814985438.68000126</v>
      </c>
    </row>
    <row r="1365" spans="1:21" ht="19.5" thickBot="1" x14ac:dyDescent="0.3">
      <c r="A1365" s="136" t="s">
        <v>2416</v>
      </c>
      <c r="B1365" s="137">
        <v>45725</v>
      </c>
      <c r="C1365" s="138" t="s">
        <v>616</v>
      </c>
      <c r="D1365" s="138" t="str">
        <f>VLOOKUP(Purchase[[#This Row],[Supplier ID]],Supplier[#All],2,0)</f>
        <v>Global Suppliers</v>
      </c>
      <c r="E1365" s="138">
        <f>VLOOKUP(Purchase[[#This Row],[Supplier ID]],Supplier[#All],3,0)</f>
        <v>9689542499</v>
      </c>
      <c r="F1365" s="138" t="str">
        <f>VLOOKUP(Purchase[[#This Row],[Supplier ID]],Supplier[#All],4,0)</f>
        <v>Kanpur</v>
      </c>
      <c r="G1365" s="138" t="str">
        <f>VLOOKUP(Purchase[[#This Row],[Supplier ID]],Supplier[#All],5,0)</f>
        <v>UP</v>
      </c>
      <c r="H1365" s="138" t="str">
        <f>VLOOKUP(Purchase[[#This Row],[Supplier ID]],Supplier[#All],6,0)</f>
        <v>GST2154521T061</v>
      </c>
      <c r="I1365" s="138" t="s">
        <v>201</v>
      </c>
      <c r="J1365" s="139">
        <v>38</v>
      </c>
      <c r="K1365" s="143">
        <f>VLOOKUP(Purchase[[#This Row],[Product ID]],Product[#All],6,0)</f>
        <v>2195</v>
      </c>
      <c r="L1365" s="143">
        <f>Purchase[[#This Row],[Purchase Rate]]*Purchase[[#This Row],[Qty]]</f>
        <v>83410</v>
      </c>
      <c r="M1365" s="140">
        <v>0</v>
      </c>
      <c r="N1365" s="143">
        <v>0</v>
      </c>
      <c r="O1365" s="140">
        <v>0.18</v>
      </c>
      <c r="P1365" s="145">
        <f>(Purchase[[#This Row],[Gross Amount]]-Purchase[[#This Row],[Disct %]])*Purchase[[#This Row],[GST %]]</f>
        <v>15013.8</v>
      </c>
      <c r="Q1365" s="145">
        <f>Purchase[[#This Row],[Gross Amount]]-Purchase[[#This Row],[Disct Amnt]]+Purchase[[#This Row],[GST Amount]]</f>
        <v>98423.8</v>
      </c>
      <c r="R1365" s="138" t="s">
        <v>1019</v>
      </c>
      <c r="S1365" s="41">
        <f>IF(Purchase[[#This Row],[Status]]="Cancelled",0,Purchase[[#This Row],[Qty]])</f>
        <v>38</v>
      </c>
      <c r="T1365" s="146">
        <f>IF(Purchase[[#This Row],[Status]]="Cancelled",0,Purchase[[#This Row],[Total Amount]])</f>
        <v>98423.8</v>
      </c>
      <c r="U1365" s="146">
        <f>SUM(Purchase[Net Amount])</f>
        <v>814985438.68000126</v>
      </c>
    </row>
    <row r="1366" spans="1:21" ht="19.5" thickBot="1" x14ac:dyDescent="0.3">
      <c r="A1366" s="136" t="s">
        <v>2417</v>
      </c>
      <c r="B1366" s="137">
        <v>45725</v>
      </c>
      <c r="C1366" s="138" t="s">
        <v>2418</v>
      </c>
      <c r="D1366" s="138" t="str">
        <f>VLOOKUP(Purchase[[#This Row],[Supplier ID]],Supplier[#All],2,0)</f>
        <v>Tech Distributors</v>
      </c>
      <c r="E1366" s="138">
        <f>VLOOKUP(Purchase[[#This Row],[Supplier ID]],Supplier[#All],3,0)</f>
        <v>9689542466</v>
      </c>
      <c r="F1366" s="138" t="str">
        <f>VLOOKUP(Purchase[[#This Row],[Supplier ID]],Supplier[#All],4,0)</f>
        <v>Indore</v>
      </c>
      <c r="G1366" s="138" t="str">
        <f>VLOOKUP(Purchase[[#This Row],[Supplier ID]],Supplier[#All],5,0)</f>
        <v>MP</v>
      </c>
      <c r="H1366" s="138" t="str">
        <f>VLOOKUP(Purchase[[#This Row],[Supplier ID]],Supplier[#All],6,0)</f>
        <v>GST2154521T028</v>
      </c>
      <c r="I1366" s="138" t="s">
        <v>437</v>
      </c>
      <c r="J1366" s="139">
        <v>17</v>
      </c>
      <c r="K1366" s="143">
        <f>VLOOKUP(Purchase[[#This Row],[Product ID]],Product[#All],6,0)</f>
        <v>2489</v>
      </c>
      <c r="L1366" s="143">
        <f>Purchase[[#This Row],[Purchase Rate]]*Purchase[[#This Row],[Qty]]</f>
        <v>42313</v>
      </c>
      <c r="M1366" s="140">
        <v>0</v>
      </c>
      <c r="N1366" s="143">
        <v>0</v>
      </c>
      <c r="O1366" s="140">
        <v>0.18</v>
      </c>
      <c r="P1366" s="145">
        <f>(Purchase[[#This Row],[Gross Amount]]-Purchase[[#This Row],[Disct %]])*Purchase[[#This Row],[GST %]]</f>
        <v>7616.34</v>
      </c>
      <c r="Q1366" s="145">
        <f>Purchase[[#This Row],[Gross Amount]]-Purchase[[#This Row],[Disct Amnt]]+Purchase[[#This Row],[GST Amount]]</f>
        <v>49929.34</v>
      </c>
      <c r="R1366" s="138" t="s">
        <v>1019</v>
      </c>
      <c r="S1366" s="41">
        <f>IF(Purchase[[#This Row],[Status]]="Cancelled",0,Purchase[[#This Row],[Qty]])</f>
        <v>17</v>
      </c>
      <c r="T1366" s="146">
        <f>IF(Purchase[[#This Row],[Status]]="Cancelled",0,Purchase[[#This Row],[Total Amount]])</f>
        <v>49929.34</v>
      </c>
      <c r="U1366" s="146">
        <f>SUM(Purchase[Net Amount])</f>
        <v>814985438.68000126</v>
      </c>
    </row>
    <row r="1367" spans="1:21" ht="19.5" thickBot="1" x14ac:dyDescent="0.3">
      <c r="A1367" s="136" t="s">
        <v>2419</v>
      </c>
      <c r="B1367" s="137">
        <v>45725</v>
      </c>
      <c r="C1367" s="138" t="s">
        <v>606</v>
      </c>
      <c r="D1367" s="138" t="str">
        <f>VLOOKUP(Purchase[[#This Row],[Supplier ID]],Supplier[#All],2,0)</f>
        <v>Prime Traders</v>
      </c>
      <c r="E1367" s="138">
        <f>VLOOKUP(Purchase[[#This Row],[Supplier ID]],Supplier[#All],3,0)</f>
        <v>9689542489</v>
      </c>
      <c r="F1367" s="138" t="str">
        <f>VLOOKUP(Purchase[[#This Row],[Supplier ID]],Supplier[#All],4,0)</f>
        <v>Indore</v>
      </c>
      <c r="G1367" s="138" t="str">
        <f>VLOOKUP(Purchase[[#This Row],[Supplier ID]],Supplier[#All],5,0)</f>
        <v>MP</v>
      </c>
      <c r="H1367" s="138" t="str">
        <f>VLOOKUP(Purchase[[#This Row],[Supplier ID]],Supplier[#All],6,0)</f>
        <v>GST2154521T051</v>
      </c>
      <c r="I1367" s="138" t="s">
        <v>385</v>
      </c>
      <c r="J1367" s="139">
        <v>15</v>
      </c>
      <c r="K1367" s="143">
        <f>VLOOKUP(Purchase[[#This Row],[Product ID]],Product[#All],6,0)</f>
        <v>1060</v>
      </c>
      <c r="L1367" s="143">
        <f>Purchase[[#This Row],[Purchase Rate]]*Purchase[[#This Row],[Qty]]</f>
        <v>15900</v>
      </c>
      <c r="M1367" s="140">
        <v>0</v>
      </c>
      <c r="N1367" s="143">
        <v>0</v>
      </c>
      <c r="O1367" s="140">
        <v>0.18</v>
      </c>
      <c r="P1367" s="145">
        <f>(Purchase[[#This Row],[Gross Amount]]-Purchase[[#This Row],[Disct %]])*Purchase[[#This Row],[GST %]]</f>
        <v>2862</v>
      </c>
      <c r="Q1367" s="145">
        <f>Purchase[[#This Row],[Gross Amount]]-Purchase[[#This Row],[Disct Amnt]]+Purchase[[#This Row],[GST Amount]]</f>
        <v>18762</v>
      </c>
      <c r="R1367" s="138" t="s">
        <v>1019</v>
      </c>
      <c r="S1367" s="41">
        <f>IF(Purchase[[#This Row],[Status]]="Cancelled",0,Purchase[[#This Row],[Qty]])</f>
        <v>15</v>
      </c>
      <c r="T1367" s="146">
        <f>IF(Purchase[[#This Row],[Status]]="Cancelled",0,Purchase[[#This Row],[Total Amount]])</f>
        <v>18762</v>
      </c>
      <c r="U1367" s="146">
        <f>SUM(Purchase[Net Amount])</f>
        <v>814985438.68000126</v>
      </c>
    </row>
    <row r="1368" spans="1:21" ht="19.5" thickBot="1" x14ac:dyDescent="0.3">
      <c r="A1368" s="136" t="s">
        <v>2420</v>
      </c>
      <c r="B1368" s="137">
        <v>45725</v>
      </c>
      <c r="C1368" s="138" t="s">
        <v>569</v>
      </c>
      <c r="D1368" s="138" t="str">
        <f>VLOOKUP(Purchase[[#This Row],[Supplier ID]],Supplier[#All],2,0)</f>
        <v>Tech Electronics</v>
      </c>
      <c r="E1368" s="138">
        <f>VLOOKUP(Purchase[[#This Row],[Supplier ID]],Supplier[#All],3,0)</f>
        <v>9689542455</v>
      </c>
      <c r="F1368" s="138" t="str">
        <f>VLOOKUP(Purchase[[#This Row],[Supplier ID]],Supplier[#All],4,0)</f>
        <v>Korba</v>
      </c>
      <c r="G1368" s="138" t="str">
        <f>VLOOKUP(Purchase[[#This Row],[Supplier ID]],Supplier[#All],5,0)</f>
        <v>CG</v>
      </c>
      <c r="H1368" s="138" t="str">
        <f>VLOOKUP(Purchase[[#This Row],[Supplier ID]],Supplier[#All],6,0)</f>
        <v>GST2154521T017</v>
      </c>
      <c r="I1368" s="138" t="s">
        <v>314</v>
      </c>
      <c r="J1368" s="139">
        <v>2</v>
      </c>
      <c r="K1368" s="143">
        <f>VLOOKUP(Purchase[[#This Row],[Product ID]],Product[#All],6,0)</f>
        <v>53060</v>
      </c>
      <c r="L1368" s="143">
        <f>Purchase[[#This Row],[Purchase Rate]]*Purchase[[#This Row],[Qty]]</f>
        <v>106120</v>
      </c>
      <c r="M1368" s="140">
        <v>0</v>
      </c>
      <c r="N1368" s="143">
        <v>0</v>
      </c>
      <c r="O1368" s="140">
        <v>0.18</v>
      </c>
      <c r="P1368" s="145">
        <f>(Purchase[[#This Row],[Gross Amount]]-Purchase[[#This Row],[Disct %]])*Purchase[[#This Row],[GST %]]</f>
        <v>19101.599999999999</v>
      </c>
      <c r="Q1368" s="145">
        <f>Purchase[[#This Row],[Gross Amount]]-Purchase[[#This Row],[Disct Amnt]]+Purchase[[#This Row],[GST Amount]]</f>
        <v>125221.6</v>
      </c>
      <c r="R1368" s="138" t="s">
        <v>1019</v>
      </c>
      <c r="S1368" s="41">
        <f>IF(Purchase[[#This Row],[Status]]="Cancelled",0,Purchase[[#This Row],[Qty]])</f>
        <v>2</v>
      </c>
      <c r="T1368" s="146">
        <f>IF(Purchase[[#This Row],[Status]]="Cancelled",0,Purchase[[#This Row],[Total Amount]])</f>
        <v>125221.6</v>
      </c>
      <c r="U1368" s="146">
        <f>SUM(Purchase[Net Amount])</f>
        <v>814985438.68000126</v>
      </c>
    </row>
    <row r="1369" spans="1:21" ht="19.5" thickBot="1" x14ac:dyDescent="0.3">
      <c r="A1369" s="136" t="s">
        <v>2421</v>
      </c>
      <c r="B1369" s="137">
        <v>45725</v>
      </c>
      <c r="C1369" s="138" t="s">
        <v>608</v>
      </c>
      <c r="D1369" s="138" t="str">
        <f>VLOOKUP(Purchase[[#This Row],[Supplier ID]],Supplier[#All],2,0)</f>
        <v>Global Suppliers</v>
      </c>
      <c r="E1369" s="138">
        <f>VLOOKUP(Purchase[[#This Row],[Supplier ID]],Supplier[#All],3,0)</f>
        <v>9689542499</v>
      </c>
      <c r="F1369" s="138" t="str">
        <f>VLOOKUP(Purchase[[#This Row],[Supplier ID]],Supplier[#All],4,0)</f>
        <v>Korba</v>
      </c>
      <c r="G1369" s="138" t="str">
        <f>VLOOKUP(Purchase[[#This Row],[Supplier ID]],Supplier[#All],5,0)</f>
        <v>CG</v>
      </c>
      <c r="H1369" s="138" t="str">
        <f>VLOOKUP(Purchase[[#This Row],[Supplier ID]],Supplier[#All],6,0)</f>
        <v>GST2154521T053</v>
      </c>
      <c r="I1369" s="138" t="s">
        <v>268</v>
      </c>
      <c r="J1369" s="139">
        <v>9</v>
      </c>
      <c r="K1369" s="143">
        <f>VLOOKUP(Purchase[[#This Row],[Product ID]],Product[#All],6,0)</f>
        <v>1726</v>
      </c>
      <c r="L1369" s="143">
        <f>Purchase[[#This Row],[Purchase Rate]]*Purchase[[#This Row],[Qty]]</f>
        <v>15534</v>
      </c>
      <c r="M1369" s="140">
        <v>0</v>
      </c>
      <c r="N1369" s="143">
        <v>0</v>
      </c>
      <c r="O1369" s="140">
        <v>0.18</v>
      </c>
      <c r="P1369" s="145">
        <f>(Purchase[[#This Row],[Gross Amount]]-Purchase[[#This Row],[Disct %]])*Purchase[[#This Row],[GST %]]</f>
        <v>2796.12</v>
      </c>
      <c r="Q1369" s="145">
        <f>Purchase[[#This Row],[Gross Amount]]-Purchase[[#This Row],[Disct Amnt]]+Purchase[[#This Row],[GST Amount]]</f>
        <v>18330.12</v>
      </c>
      <c r="R1369" s="138" t="s">
        <v>1019</v>
      </c>
      <c r="S1369" s="41">
        <f>IF(Purchase[[#This Row],[Status]]="Cancelled",0,Purchase[[#This Row],[Qty]])</f>
        <v>9</v>
      </c>
      <c r="T1369" s="146">
        <f>IF(Purchase[[#This Row],[Status]]="Cancelled",0,Purchase[[#This Row],[Total Amount]])</f>
        <v>18330.12</v>
      </c>
      <c r="U1369" s="146">
        <f>SUM(Purchase[Net Amount])</f>
        <v>814985438.68000126</v>
      </c>
    </row>
    <row r="1370" spans="1:21" ht="19.5" thickBot="1" x14ac:dyDescent="0.3">
      <c r="A1370" s="136" t="s">
        <v>2422</v>
      </c>
      <c r="B1370" s="137">
        <v>45725</v>
      </c>
      <c r="C1370" s="138" t="s">
        <v>609</v>
      </c>
      <c r="D1370" s="138" t="str">
        <f>VLOOKUP(Purchase[[#This Row],[Supplier ID]],Supplier[#All],2,0)</f>
        <v>Star Suppliers</v>
      </c>
      <c r="E1370" s="138">
        <f>VLOOKUP(Purchase[[#This Row],[Supplier ID]],Supplier[#All],3,0)</f>
        <v>9689542492</v>
      </c>
      <c r="F1370" s="138" t="str">
        <f>VLOOKUP(Purchase[[#This Row],[Supplier ID]],Supplier[#All],4,0)</f>
        <v>Kanpur</v>
      </c>
      <c r="G1370" s="138" t="str">
        <f>VLOOKUP(Purchase[[#This Row],[Supplier ID]],Supplier[#All],5,0)</f>
        <v>UP</v>
      </c>
      <c r="H1370" s="138" t="str">
        <f>VLOOKUP(Purchase[[#This Row],[Supplier ID]],Supplier[#All],6,0)</f>
        <v>GST2154521T054</v>
      </c>
      <c r="I1370" s="138" t="s">
        <v>293</v>
      </c>
      <c r="J1370" s="139">
        <v>19</v>
      </c>
      <c r="K1370" s="143">
        <f>VLOOKUP(Purchase[[#This Row],[Product ID]],Product[#All],6,0)</f>
        <v>7511</v>
      </c>
      <c r="L1370" s="143">
        <f>Purchase[[#This Row],[Purchase Rate]]*Purchase[[#This Row],[Qty]]</f>
        <v>142709</v>
      </c>
      <c r="M1370" s="140">
        <v>0</v>
      </c>
      <c r="N1370" s="143">
        <v>0</v>
      </c>
      <c r="O1370" s="140">
        <v>0.18</v>
      </c>
      <c r="P1370" s="145">
        <f>(Purchase[[#This Row],[Gross Amount]]-Purchase[[#This Row],[Disct %]])*Purchase[[#This Row],[GST %]]</f>
        <v>25687.62</v>
      </c>
      <c r="Q1370" s="145">
        <f>Purchase[[#This Row],[Gross Amount]]-Purchase[[#This Row],[Disct Amnt]]+Purchase[[#This Row],[GST Amount]]</f>
        <v>168396.62</v>
      </c>
      <c r="R1370" s="138" t="s">
        <v>1019</v>
      </c>
      <c r="S1370" s="41">
        <f>IF(Purchase[[#This Row],[Status]]="Cancelled",0,Purchase[[#This Row],[Qty]])</f>
        <v>19</v>
      </c>
      <c r="T1370" s="146">
        <f>IF(Purchase[[#This Row],[Status]]="Cancelled",0,Purchase[[#This Row],[Total Amount]])</f>
        <v>168396.62</v>
      </c>
      <c r="U1370" s="146">
        <f>SUM(Purchase[Net Amount])</f>
        <v>814985438.68000126</v>
      </c>
    </row>
    <row r="1371" spans="1:21" ht="19.5" thickBot="1" x14ac:dyDescent="0.3">
      <c r="A1371" s="136" t="s">
        <v>2423</v>
      </c>
      <c r="B1371" s="137">
        <v>45726</v>
      </c>
      <c r="C1371" s="138" t="s">
        <v>584</v>
      </c>
      <c r="D1371" s="138" t="str">
        <f>VLOOKUP(Purchase[[#This Row],[Supplier ID]],Supplier[#All],2,0)</f>
        <v>Prime Computers</v>
      </c>
      <c r="E1371" s="138">
        <f>VLOOKUP(Purchase[[#This Row],[Supplier ID]],Supplier[#All],3,0)</f>
        <v>9689542468</v>
      </c>
      <c r="F1371" s="138" t="str">
        <f>VLOOKUP(Purchase[[#This Row],[Supplier ID]],Supplier[#All],4,0)</f>
        <v>Kanpur</v>
      </c>
      <c r="G1371" s="138" t="str">
        <f>VLOOKUP(Purchase[[#This Row],[Supplier ID]],Supplier[#All],5,0)</f>
        <v>UP</v>
      </c>
      <c r="H1371" s="138" t="str">
        <f>VLOOKUP(Purchase[[#This Row],[Supplier ID]],Supplier[#All],6,0)</f>
        <v>GST2154521T030</v>
      </c>
      <c r="I1371" s="138" t="s">
        <v>387</v>
      </c>
      <c r="J1371" s="139">
        <v>28</v>
      </c>
      <c r="K1371" s="143">
        <f>VLOOKUP(Purchase[[#This Row],[Product ID]],Product[#All],6,0)</f>
        <v>12111</v>
      </c>
      <c r="L1371" s="143">
        <f>Purchase[[#This Row],[Purchase Rate]]*Purchase[[#This Row],[Qty]]</f>
        <v>339108</v>
      </c>
      <c r="M1371" s="140">
        <v>0</v>
      </c>
      <c r="N1371" s="143">
        <v>0</v>
      </c>
      <c r="O1371" s="140">
        <v>0.18</v>
      </c>
      <c r="P1371" s="145">
        <f>(Purchase[[#This Row],[Gross Amount]]-Purchase[[#This Row],[Disct %]])*Purchase[[#This Row],[GST %]]</f>
        <v>61039.439999999995</v>
      </c>
      <c r="Q1371" s="145">
        <f>Purchase[[#This Row],[Gross Amount]]-Purchase[[#This Row],[Disct Amnt]]+Purchase[[#This Row],[GST Amount]]</f>
        <v>400147.44</v>
      </c>
      <c r="R1371" s="138" t="s">
        <v>1019</v>
      </c>
      <c r="S1371" s="41">
        <f>IF(Purchase[[#This Row],[Status]]="Cancelled",0,Purchase[[#This Row],[Qty]])</f>
        <v>28</v>
      </c>
      <c r="T1371" s="146">
        <f>IF(Purchase[[#This Row],[Status]]="Cancelled",0,Purchase[[#This Row],[Total Amount]])</f>
        <v>400147.44</v>
      </c>
      <c r="U1371" s="146">
        <f>SUM(Purchase[Net Amount])</f>
        <v>814985438.68000126</v>
      </c>
    </row>
    <row r="1372" spans="1:21" ht="19.5" thickBot="1" x14ac:dyDescent="0.3">
      <c r="A1372" s="136" t="s">
        <v>2424</v>
      </c>
      <c r="B1372" s="137">
        <v>45726</v>
      </c>
      <c r="C1372" s="138" t="s">
        <v>565</v>
      </c>
      <c r="D1372" s="138" t="str">
        <f>VLOOKUP(Purchase[[#This Row],[Supplier ID]],Supplier[#All],2,0)</f>
        <v>Global Suppliers</v>
      </c>
      <c r="E1372" s="138">
        <f>VLOOKUP(Purchase[[#This Row],[Supplier ID]],Supplier[#All],3,0)</f>
        <v>9689542459</v>
      </c>
      <c r="F1372" s="138" t="str">
        <f>VLOOKUP(Purchase[[#This Row],[Supplier ID]],Supplier[#All],4,0)</f>
        <v>Indore</v>
      </c>
      <c r="G1372" s="138" t="str">
        <f>VLOOKUP(Purchase[[#This Row],[Supplier ID]],Supplier[#All],5,0)</f>
        <v>MP</v>
      </c>
      <c r="H1372" s="138" t="str">
        <f>VLOOKUP(Purchase[[#This Row],[Supplier ID]],Supplier[#All],6,0)</f>
        <v>GST2154521T013</v>
      </c>
      <c r="I1372" s="138" t="s">
        <v>404</v>
      </c>
      <c r="J1372" s="139">
        <v>4</v>
      </c>
      <c r="K1372" s="143">
        <f>VLOOKUP(Purchase[[#This Row],[Product ID]],Product[#All],6,0)</f>
        <v>2655</v>
      </c>
      <c r="L1372" s="143">
        <f>Purchase[[#This Row],[Purchase Rate]]*Purchase[[#This Row],[Qty]]</f>
        <v>10620</v>
      </c>
      <c r="M1372" s="140">
        <v>0</v>
      </c>
      <c r="N1372" s="143">
        <v>0</v>
      </c>
      <c r="O1372" s="140">
        <v>0.18</v>
      </c>
      <c r="P1372" s="145">
        <f>(Purchase[[#This Row],[Gross Amount]]-Purchase[[#This Row],[Disct %]])*Purchase[[#This Row],[GST %]]</f>
        <v>1911.6</v>
      </c>
      <c r="Q1372" s="145">
        <f>Purchase[[#This Row],[Gross Amount]]-Purchase[[#This Row],[Disct Amnt]]+Purchase[[#This Row],[GST Amount]]</f>
        <v>12531.6</v>
      </c>
      <c r="R1372" s="138" t="s">
        <v>1019</v>
      </c>
      <c r="S1372" s="41">
        <f>IF(Purchase[[#This Row],[Status]]="Cancelled",0,Purchase[[#This Row],[Qty]])</f>
        <v>4</v>
      </c>
      <c r="T1372" s="146">
        <f>IF(Purchase[[#This Row],[Status]]="Cancelled",0,Purchase[[#This Row],[Total Amount]])</f>
        <v>12531.6</v>
      </c>
      <c r="U1372" s="146">
        <f>SUM(Purchase[Net Amount])</f>
        <v>814985438.68000126</v>
      </c>
    </row>
    <row r="1373" spans="1:21" ht="19.5" thickBot="1" x14ac:dyDescent="0.3">
      <c r="A1373" s="136" t="s">
        <v>2425</v>
      </c>
      <c r="B1373" s="137">
        <v>45726</v>
      </c>
      <c r="C1373" s="138" t="s">
        <v>604</v>
      </c>
      <c r="D1373" s="138" t="str">
        <f>VLOOKUP(Purchase[[#This Row],[Supplier ID]],Supplier[#All],2,0)</f>
        <v>Prime Traders</v>
      </c>
      <c r="E1373" s="138">
        <f>VLOOKUP(Purchase[[#This Row],[Supplier ID]],Supplier[#All],3,0)</f>
        <v>9689542487</v>
      </c>
      <c r="F1373" s="138" t="str">
        <f>VLOOKUP(Purchase[[#This Row],[Supplier ID]],Supplier[#All],4,0)</f>
        <v>Indore</v>
      </c>
      <c r="G1373" s="138" t="str">
        <f>VLOOKUP(Purchase[[#This Row],[Supplier ID]],Supplier[#All],5,0)</f>
        <v>MP</v>
      </c>
      <c r="H1373" s="138" t="str">
        <f>VLOOKUP(Purchase[[#This Row],[Supplier ID]],Supplier[#All],6,0)</f>
        <v>GST2154521T049</v>
      </c>
      <c r="I1373" s="138" t="s">
        <v>550</v>
      </c>
      <c r="J1373" s="139">
        <v>22</v>
      </c>
      <c r="K1373" s="143">
        <f>VLOOKUP(Purchase[[#This Row],[Product ID]],Product[#All],6,0)</f>
        <v>1122</v>
      </c>
      <c r="L1373" s="143">
        <f>Purchase[[#This Row],[Purchase Rate]]*Purchase[[#This Row],[Qty]]</f>
        <v>24684</v>
      </c>
      <c r="M1373" s="140">
        <v>0</v>
      </c>
      <c r="N1373" s="143">
        <v>0</v>
      </c>
      <c r="O1373" s="140">
        <v>0.18</v>
      </c>
      <c r="P1373" s="145">
        <f>(Purchase[[#This Row],[Gross Amount]]-Purchase[[#This Row],[Disct %]])*Purchase[[#This Row],[GST %]]</f>
        <v>4443.12</v>
      </c>
      <c r="Q1373" s="145">
        <f>Purchase[[#This Row],[Gross Amount]]-Purchase[[#This Row],[Disct Amnt]]+Purchase[[#This Row],[GST Amount]]</f>
        <v>29127.119999999999</v>
      </c>
      <c r="R1373" s="138" t="s">
        <v>1019</v>
      </c>
      <c r="S1373" s="41">
        <f>IF(Purchase[[#This Row],[Status]]="Cancelled",0,Purchase[[#This Row],[Qty]])</f>
        <v>22</v>
      </c>
      <c r="T1373" s="146">
        <f>IF(Purchase[[#This Row],[Status]]="Cancelled",0,Purchase[[#This Row],[Total Amount]])</f>
        <v>29127.119999999999</v>
      </c>
      <c r="U1373" s="146">
        <f>SUM(Purchase[Net Amount])</f>
        <v>814985438.68000126</v>
      </c>
    </row>
    <row r="1374" spans="1:21" ht="19.5" thickBot="1" x14ac:dyDescent="0.3">
      <c r="A1374" s="136" t="s">
        <v>2426</v>
      </c>
      <c r="B1374" s="137">
        <v>45726</v>
      </c>
      <c r="C1374" s="138" t="s">
        <v>576</v>
      </c>
      <c r="D1374" s="138" t="str">
        <f>VLOOKUP(Purchase[[#This Row],[Supplier ID]],Supplier[#All],2,0)</f>
        <v>Maa Distributors</v>
      </c>
      <c r="E1374" s="138">
        <f>VLOOKUP(Purchase[[#This Row],[Supplier ID]],Supplier[#All],3,0)</f>
        <v>9689542460</v>
      </c>
      <c r="F1374" s="138" t="str">
        <f>VLOOKUP(Purchase[[#This Row],[Supplier ID]],Supplier[#All],4,0)</f>
        <v>Korba</v>
      </c>
      <c r="G1374" s="138" t="str">
        <f>VLOOKUP(Purchase[[#This Row],[Supplier ID]],Supplier[#All],5,0)</f>
        <v>CG</v>
      </c>
      <c r="H1374" s="138" t="str">
        <f>VLOOKUP(Purchase[[#This Row],[Supplier ID]],Supplier[#All],6,0)</f>
        <v>GST2154521T022</v>
      </c>
      <c r="I1374" s="138" t="s">
        <v>373</v>
      </c>
      <c r="J1374" s="139">
        <v>11</v>
      </c>
      <c r="K1374" s="143">
        <f>VLOOKUP(Purchase[[#This Row],[Product ID]],Product[#All],6,0)</f>
        <v>8224</v>
      </c>
      <c r="L1374" s="143">
        <f>Purchase[[#This Row],[Purchase Rate]]*Purchase[[#This Row],[Qty]]</f>
        <v>90464</v>
      </c>
      <c r="M1374" s="140">
        <v>0</v>
      </c>
      <c r="N1374" s="143">
        <v>0</v>
      </c>
      <c r="O1374" s="140">
        <v>0.18</v>
      </c>
      <c r="P1374" s="145">
        <f>(Purchase[[#This Row],[Gross Amount]]-Purchase[[#This Row],[Disct %]])*Purchase[[#This Row],[GST %]]</f>
        <v>16283.519999999999</v>
      </c>
      <c r="Q1374" s="145">
        <f>Purchase[[#This Row],[Gross Amount]]-Purchase[[#This Row],[Disct Amnt]]+Purchase[[#This Row],[GST Amount]]</f>
        <v>106747.52</v>
      </c>
      <c r="R1374" s="138" t="s">
        <v>1019</v>
      </c>
      <c r="S1374" s="41">
        <f>IF(Purchase[[#This Row],[Status]]="Cancelled",0,Purchase[[#This Row],[Qty]])</f>
        <v>11</v>
      </c>
      <c r="T1374" s="146">
        <f>IF(Purchase[[#This Row],[Status]]="Cancelled",0,Purchase[[#This Row],[Total Amount]])</f>
        <v>106747.52</v>
      </c>
      <c r="U1374" s="146">
        <f>SUM(Purchase[Net Amount])</f>
        <v>814985438.68000126</v>
      </c>
    </row>
    <row r="1375" spans="1:21" ht="19.5" thickBot="1" x14ac:dyDescent="0.3">
      <c r="A1375" s="136" t="s">
        <v>2427</v>
      </c>
      <c r="B1375" s="137">
        <v>45726</v>
      </c>
      <c r="C1375" s="138" t="s">
        <v>598</v>
      </c>
      <c r="D1375" s="138" t="str">
        <f>VLOOKUP(Purchase[[#This Row],[Supplier ID]],Supplier[#All],2,0)</f>
        <v>National Distributors</v>
      </c>
      <c r="E1375" s="138">
        <f>VLOOKUP(Purchase[[#This Row],[Supplier ID]],Supplier[#All],3,0)</f>
        <v>9689542489</v>
      </c>
      <c r="F1375" s="138" t="str">
        <f>VLOOKUP(Purchase[[#This Row],[Supplier ID]],Supplier[#All],4,0)</f>
        <v>Indore</v>
      </c>
      <c r="G1375" s="138" t="str">
        <f>VLOOKUP(Purchase[[#This Row],[Supplier ID]],Supplier[#All],5,0)</f>
        <v>MP</v>
      </c>
      <c r="H1375" s="138" t="str">
        <f>VLOOKUP(Purchase[[#This Row],[Supplier ID]],Supplier[#All],6,0)</f>
        <v>GST2154521T043</v>
      </c>
      <c r="I1375" s="138" t="s">
        <v>458</v>
      </c>
      <c r="J1375" s="139">
        <v>8</v>
      </c>
      <c r="K1375" s="143">
        <f>VLOOKUP(Purchase[[#This Row],[Product ID]],Product[#All],6,0)</f>
        <v>5242</v>
      </c>
      <c r="L1375" s="143">
        <f>Purchase[[#This Row],[Purchase Rate]]*Purchase[[#This Row],[Qty]]</f>
        <v>41936</v>
      </c>
      <c r="M1375" s="140">
        <v>0</v>
      </c>
      <c r="N1375" s="143">
        <v>0</v>
      </c>
      <c r="O1375" s="140">
        <v>0.18</v>
      </c>
      <c r="P1375" s="145">
        <f>(Purchase[[#This Row],[Gross Amount]]-Purchase[[#This Row],[Disct %]])*Purchase[[#This Row],[GST %]]</f>
        <v>7548.48</v>
      </c>
      <c r="Q1375" s="145">
        <f>Purchase[[#This Row],[Gross Amount]]-Purchase[[#This Row],[Disct Amnt]]+Purchase[[#This Row],[GST Amount]]</f>
        <v>49484.479999999996</v>
      </c>
      <c r="R1375" s="138" t="s">
        <v>1019</v>
      </c>
      <c r="S1375" s="41">
        <f>IF(Purchase[[#This Row],[Status]]="Cancelled",0,Purchase[[#This Row],[Qty]])</f>
        <v>8</v>
      </c>
      <c r="T1375" s="146">
        <f>IF(Purchase[[#This Row],[Status]]="Cancelled",0,Purchase[[#This Row],[Total Amount]])</f>
        <v>49484.479999999996</v>
      </c>
      <c r="U1375" s="146">
        <f>SUM(Purchase[Net Amount])</f>
        <v>814985438.68000126</v>
      </c>
    </row>
    <row r="1376" spans="1:21" ht="19.5" thickBot="1" x14ac:dyDescent="0.3">
      <c r="A1376" s="136" t="s">
        <v>2428</v>
      </c>
      <c r="B1376" s="137">
        <v>45726</v>
      </c>
      <c r="C1376" s="138" t="s">
        <v>2429</v>
      </c>
      <c r="D1376" s="138" t="str">
        <f>VLOOKUP(Purchase[[#This Row],[Supplier ID]],Supplier[#All],2,0)</f>
        <v>Maa Computers</v>
      </c>
      <c r="E1376" s="138">
        <f>VLOOKUP(Purchase[[#This Row],[Supplier ID]],Supplier[#All],3,0)</f>
        <v>9689542473</v>
      </c>
      <c r="F1376" s="138" t="str">
        <f>VLOOKUP(Purchase[[#This Row],[Supplier ID]],Supplier[#All],4,0)</f>
        <v>Kanpur</v>
      </c>
      <c r="G1376" s="138" t="str">
        <f>VLOOKUP(Purchase[[#This Row],[Supplier ID]],Supplier[#All],5,0)</f>
        <v>UP</v>
      </c>
      <c r="H1376" s="138" t="str">
        <f>VLOOKUP(Purchase[[#This Row],[Supplier ID]],Supplier[#All],6,0)</f>
        <v>GST2154521T035</v>
      </c>
      <c r="I1376" s="138" t="s">
        <v>125</v>
      </c>
      <c r="J1376" s="139">
        <v>39</v>
      </c>
      <c r="K1376" s="143">
        <f>VLOOKUP(Purchase[[#This Row],[Product ID]],Product[#All],6,0)</f>
        <v>33391</v>
      </c>
      <c r="L1376" s="143">
        <f>Purchase[[#This Row],[Purchase Rate]]*Purchase[[#This Row],[Qty]]</f>
        <v>1302249</v>
      </c>
      <c r="M1376" s="140">
        <v>0</v>
      </c>
      <c r="N1376" s="143">
        <v>0</v>
      </c>
      <c r="O1376" s="140">
        <v>0.18</v>
      </c>
      <c r="P1376" s="145">
        <f>(Purchase[[#This Row],[Gross Amount]]-Purchase[[#This Row],[Disct %]])*Purchase[[#This Row],[GST %]]</f>
        <v>234404.81999999998</v>
      </c>
      <c r="Q1376" s="145">
        <f>Purchase[[#This Row],[Gross Amount]]-Purchase[[#This Row],[Disct Amnt]]+Purchase[[#This Row],[GST Amount]]</f>
        <v>1536653.82</v>
      </c>
      <c r="R1376" s="138" t="s">
        <v>1019</v>
      </c>
      <c r="S1376" s="41">
        <f>IF(Purchase[[#This Row],[Status]]="Cancelled",0,Purchase[[#This Row],[Qty]])</f>
        <v>39</v>
      </c>
      <c r="T1376" s="146">
        <f>IF(Purchase[[#This Row],[Status]]="Cancelled",0,Purchase[[#This Row],[Total Amount]])</f>
        <v>1536653.82</v>
      </c>
      <c r="U1376" s="146">
        <f>SUM(Purchase[Net Amount])</f>
        <v>814985438.68000126</v>
      </c>
    </row>
    <row r="1377" spans="1:21" ht="19.5" thickBot="1" x14ac:dyDescent="0.3">
      <c r="A1377" s="136" t="s">
        <v>2430</v>
      </c>
      <c r="B1377" s="137">
        <v>45726</v>
      </c>
      <c r="C1377" s="138" t="s">
        <v>591</v>
      </c>
      <c r="D1377" s="138" t="str">
        <f>VLOOKUP(Purchase[[#This Row],[Supplier ID]],Supplier[#All],2,0)</f>
        <v>Shree Computers</v>
      </c>
      <c r="E1377" s="138">
        <f>VLOOKUP(Purchase[[#This Row],[Supplier ID]],Supplier[#All],3,0)</f>
        <v>9689542475</v>
      </c>
      <c r="F1377" s="138" t="str">
        <f>VLOOKUP(Purchase[[#This Row],[Supplier ID]],Supplier[#All],4,0)</f>
        <v>Indore</v>
      </c>
      <c r="G1377" s="138" t="str">
        <f>VLOOKUP(Purchase[[#This Row],[Supplier ID]],Supplier[#All],5,0)</f>
        <v>MP</v>
      </c>
      <c r="H1377" s="138" t="str">
        <f>VLOOKUP(Purchase[[#This Row],[Supplier ID]],Supplier[#All],6,0)</f>
        <v>GST2154521T037</v>
      </c>
      <c r="I1377" s="138" t="s">
        <v>250</v>
      </c>
      <c r="J1377" s="139">
        <v>35</v>
      </c>
      <c r="K1377" s="143">
        <f>VLOOKUP(Purchase[[#This Row],[Product ID]],Product[#All],6,0)</f>
        <v>10586</v>
      </c>
      <c r="L1377" s="143">
        <f>Purchase[[#This Row],[Purchase Rate]]*Purchase[[#This Row],[Qty]]</f>
        <v>370510</v>
      </c>
      <c r="M1377" s="140">
        <v>0</v>
      </c>
      <c r="N1377" s="143">
        <v>0</v>
      </c>
      <c r="O1377" s="140">
        <v>0.18</v>
      </c>
      <c r="P1377" s="145">
        <f>(Purchase[[#This Row],[Gross Amount]]-Purchase[[#This Row],[Disct %]])*Purchase[[#This Row],[GST %]]</f>
        <v>66691.8</v>
      </c>
      <c r="Q1377" s="145">
        <f>Purchase[[#This Row],[Gross Amount]]-Purchase[[#This Row],[Disct Amnt]]+Purchase[[#This Row],[GST Amount]]</f>
        <v>437201.8</v>
      </c>
      <c r="R1377" s="138" t="s">
        <v>1019</v>
      </c>
      <c r="S1377" s="41">
        <f>IF(Purchase[[#This Row],[Status]]="Cancelled",0,Purchase[[#This Row],[Qty]])</f>
        <v>35</v>
      </c>
      <c r="T1377" s="146">
        <f>IF(Purchase[[#This Row],[Status]]="Cancelled",0,Purchase[[#This Row],[Total Amount]])</f>
        <v>437201.8</v>
      </c>
      <c r="U1377" s="146">
        <f>SUM(Purchase[Net Amount])</f>
        <v>814985438.68000126</v>
      </c>
    </row>
    <row r="1378" spans="1:21" ht="19.5" thickBot="1" x14ac:dyDescent="0.3">
      <c r="A1378" s="136" t="s">
        <v>2431</v>
      </c>
      <c r="B1378" s="137">
        <v>45726</v>
      </c>
      <c r="C1378" s="138" t="s">
        <v>608</v>
      </c>
      <c r="D1378" s="138" t="str">
        <f>VLOOKUP(Purchase[[#This Row],[Supplier ID]],Supplier[#All],2,0)</f>
        <v>Global Suppliers</v>
      </c>
      <c r="E1378" s="138">
        <f>VLOOKUP(Purchase[[#This Row],[Supplier ID]],Supplier[#All],3,0)</f>
        <v>9689542499</v>
      </c>
      <c r="F1378" s="138" t="str">
        <f>VLOOKUP(Purchase[[#This Row],[Supplier ID]],Supplier[#All],4,0)</f>
        <v>Korba</v>
      </c>
      <c r="G1378" s="138" t="str">
        <f>VLOOKUP(Purchase[[#This Row],[Supplier ID]],Supplier[#All],5,0)</f>
        <v>CG</v>
      </c>
      <c r="H1378" s="138" t="str">
        <f>VLOOKUP(Purchase[[#This Row],[Supplier ID]],Supplier[#All],6,0)</f>
        <v>GST2154521T053</v>
      </c>
      <c r="I1378" s="138" t="s">
        <v>282</v>
      </c>
      <c r="J1378" s="139">
        <v>7</v>
      </c>
      <c r="K1378" s="143">
        <f>VLOOKUP(Purchase[[#This Row],[Product ID]],Product[#All],6,0)</f>
        <v>675</v>
      </c>
      <c r="L1378" s="143">
        <f>Purchase[[#This Row],[Purchase Rate]]*Purchase[[#This Row],[Qty]]</f>
        <v>4725</v>
      </c>
      <c r="M1378" s="140">
        <v>0</v>
      </c>
      <c r="N1378" s="143">
        <v>0</v>
      </c>
      <c r="O1378" s="140">
        <v>0.18</v>
      </c>
      <c r="P1378" s="145">
        <f>(Purchase[[#This Row],[Gross Amount]]-Purchase[[#This Row],[Disct %]])*Purchase[[#This Row],[GST %]]</f>
        <v>850.5</v>
      </c>
      <c r="Q1378" s="145">
        <f>Purchase[[#This Row],[Gross Amount]]-Purchase[[#This Row],[Disct Amnt]]+Purchase[[#This Row],[GST Amount]]</f>
        <v>5575.5</v>
      </c>
      <c r="R1378" s="138" t="s">
        <v>1019</v>
      </c>
      <c r="S1378" s="41">
        <f>IF(Purchase[[#This Row],[Status]]="Cancelled",0,Purchase[[#This Row],[Qty]])</f>
        <v>7</v>
      </c>
      <c r="T1378" s="146">
        <f>IF(Purchase[[#This Row],[Status]]="Cancelled",0,Purchase[[#This Row],[Total Amount]])</f>
        <v>5575.5</v>
      </c>
      <c r="U1378" s="146">
        <f>SUM(Purchase[Net Amount])</f>
        <v>814985438.68000126</v>
      </c>
    </row>
    <row r="1379" spans="1:21" ht="19.5" thickBot="1" x14ac:dyDescent="0.3">
      <c r="A1379" s="136" t="s">
        <v>2432</v>
      </c>
      <c r="B1379" s="137">
        <v>45726</v>
      </c>
      <c r="C1379" s="138" t="s">
        <v>608</v>
      </c>
      <c r="D1379" s="138" t="str">
        <f>VLOOKUP(Purchase[[#This Row],[Supplier ID]],Supplier[#All],2,0)</f>
        <v>Global Suppliers</v>
      </c>
      <c r="E1379" s="138">
        <f>VLOOKUP(Purchase[[#This Row],[Supplier ID]],Supplier[#All],3,0)</f>
        <v>9689542499</v>
      </c>
      <c r="F1379" s="138" t="str">
        <f>VLOOKUP(Purchase[[#This Row],[Supplier ID]],Supplier[#All],4,0)</f>
        <v>Korba</v>
      </c>
      <c r="G1379" s="138" t="str">
        <f>VLOOKUP(Purchase[[#This Row],[Supplier ID]],Supplier[#All],5,0)</f>
        <v>CG</v>
      </c>
      <c r="H1379" s="138" t="str">
        <f>VLOOKUP(Purchase[[#This Row],[Supplier ID]],Supplier[#All],6,0)</f>
        <v>GST2154521T053</v>
      </c>
      <c r="I1379" s="138" t="s">
        <v>248</v>
      </c>
      <c r="J1379" s="139">
        <v>2</v>
      </c>
      <c r="K1379" s="143">
        <f>VLOOKUP(Purchase[[#This Row],[Product ID]],Product[#All],6,0)</f>
        <v>824</v>
      </c>
      <c r="L1379" s="143">
        <f>Purchase[[#This Row],[Purchase Rate]]*Purchase[[#This Row],[Qty]]</f>
        <v>1648</v>
      </c>
      <c r="M1379" s="140">
        <v>0</v>
      </c>
      <c r="N1379" s="143">
        <v>0</v>
      </c>
      <c r="O1379" s="140">
        <v>0.18</v>
      </c>
      <c r="P1379" s="145">
        <f>(Purchase[[#This Row],[Gross Amount]]-Purchase[[#This Row],[Disct %]])*Purchase[[#This Row],[GST %]]</f>
        <v>296.64</v>
      </c>
      <c r="Q1379" s="145">
        <f>Purchase[[#This Row],[Gross Amount]]-Purchase[[#This Row],[Disct Amnt]]+Purchase[[#This Row],[GST Amount]]</f>
        <v>1944.6399999999999</v>
      </c>
      <c r="R1379" s="138" t="s">
        <v>1019</v>
      </c>
      <c r="S1379" s="41">
        <f>IF(Purchase[[#This Row],[Status]]="Cancelled",0,Purchase[[#This Row],[Qty]])</f>
        <v>2</v>
      </c>
      <c r="T1379" s="146">
        <f>IF(Purchase[[#This Row],[Status]]="Cancelled",0,Purchase[[#This Row],[Total Amount]])</f>
        <v>1944.6399999999999</v>
      </c>
      <c r="U1379" s="146">
        <f>SUM(Purchase[Net Amount])</f>
        <v>814985438.68000126</v>
      </c>
    </row>
    <row r="1380" spans="1:21" ht="19.5" thickBot="1" x14ac:dyDescent="0.3">
      <c r="A1380" s="136" t="s">
        <v>2433</v>
      </c>
      <c r="B1380" s="137">
        <v>45726</v>
      </c>
      <c r="C1380" s="138" t="s">
        <v>596</v>
      </c>
      <c r="D1380" s="138" t="str">
        <f>VLOOKUP(Purchase[[#This Row],[Supplier ID]],Supplier[#All],2,0)</f>
        <v>star traders</v>
      </c>
      <c r="E1380" s="138">
        <f>VLOOKUP(Purchase[[#This Row],[Supplier ID]],Supplier[#All],3,0)</f>
        <v>9689542479</v>
      </c>
      <c r="F1380" s="138" t="str">
        <f>VLOOKUP(Purchase[[#This Row],[Supplier ID]],Supplier[#All],4,0)</f>
        <v>Korba</v>
      </c>
      <c r="G1380" s="138" t="str">
        <f>VLOOKUP(Purchase[[#This Row],[Supplier ID]],Supplier[#All],5,0)</f>
        <v>CG</v>
      </c>
      <c r="H1380" s="138" t="str">
        <f>VLOOKUP(Purchase[[#This Row],[Supplier ID]],Supplier[#All],6,0)</f>
        <v>GST2154521T041</v>
      </c>
      <c r="I1380" s="138" t="s">
        <v>509</v>
      </c>
      <c r="J1380" s="139">
        <v>26</v>
      </c>
      <c r="K1380" s="143">
        <f>VLOOKUP(Purchase[[#This Row],[Product ID]],Product[#All],6,0)</f>
        <v>2682</v>
      </c>
      <c r="L1380" s="143">
        <f>Purchase[[#This Row],[Purchase Rate]]*Purchase[[#This Row],[Qty]]</f>
        <v>69732</v>
      </c>
      <c r="M1380" s="140">
        <v>0</v>
      </c>
      <c r="N1380" s="143">
        <v>0</v>
      </c>
      <c r="O1380" s="140">
        <v>0.18</v>
      </c>
      <c r="P1380" s="145">
        <f>(Purchase[[#This Row],[Gross Amount]]-Purchase[[#This Row],[Disct %]])*Purchase[[#This Row],[GST %]]</f>
        <v>12551.76</v>
      </c>
      <c r="Q1380" s="145">
        <f>Purchase[[#This Row],[Gross Amount]]-Purchase[[#This Row],[Disct Amnt]]+Purchase[[#This Row],[GST Amount]]</f>
        <v>82283.759999999995</v>
      </c>
      <c r="R1380" s="138" t="s">
        <v>1019</v>
      </c>
      <c r="S1380" s="41">
        <f>IF(Purchase[[#This Row],[Status]]="Cancelled",0,Purchase[[#This Row],[Qty]])</f>
        <v>26</v>
      </c>
      <c r="T1380" s="146">
        <f>IF(Purchase[[#This Row],[Status]]="Cancelled",0,Purchase[[#This Row],[Total Amount]])</f>
        <v>82283.759999999995</v>
      </c>
      <c r="U1380" s="146">
        <f>SUM(Purchase[Net Amount])</f>
        <v>814985438.68000126</v>
      </c>
    </row>
    <row r="1381" spans="1:21" ht="19.5" thickBot="1" x14ac:dyDescent="0.3">
      <c r="A1381" s="136" t="s">
        <v>2434</v>
      </c>
      <c r="B1381" s="137">
        <v>45726</v>
      </c>
      <c r="C1381" s="138" t="s">
        <v>569</v>
      </c>
      <c r="D1381" s="138" t="str">
        <f>VLOOKUP(Purchase[[#This Row],[Supplier ID]],Supplier[#All],2,0)</f>
        <v>Tech Electronics</v>
      </c>
      <c r="E1381" s="138">
        <f>VLOOKUP(Purchase[[#This Row],[Supplier ID]],Supplier[#All],3,0)</f>
        <v>9689542455</v>
      </c>
      <c r="F1381" s="138" t="str">
        <f>VLOOKUP(Purchase[[#This Row],[Supplier ID]],Supplier[#All],4,0)</f>
        <v>Korba</v>
      </c>
      <c r="G1381" s="138" t="str">
        <f>VLOOKUP(Purchase[[#This Row],[Supplier ID]],Supplier[#All],5,0)</f>
        <v>CG</v>
      </c>
      <c r="H1381" s="138" t="str">
        <f>VLOOKUP(Purchase[[#This Row],[Supplier ID]],Supplier[#All],6,0)</f>
        <v>GST2154521T017</v>
      </c>
      <c r="I1381" s="138" t="s">
        <v>302</v>
      </c>
      <c r="J1381" s="139">
        <v>10</v>
      </c>
      <c r="K1381" s="143">
        <f>VLOOKUP(Purchase[[#This Row],[Product ID]],Product[#All],6,0)</f>
        <v>2021</v>
      </c>
      <c r="L1381" s="143">
        <f>Purchase[[#This Row],[Purchase Rate]]*Purchase[[#This Row],[Qty]]</f>
        <v>20210</v>
      </c>
      <c r="M1381" s="140">
        <v>0</v>
      </c>
      <c r="N1381" s="143">
        <v>0</v>
      </c>
      <c r="O1381" s="140">
        <v>0.18</v>
      </c>
      <c r="P1381" s="145">
        <f>(Purchase[[#This Row],[Gross Amount]]-Purchase[[#This Row],[Disct %]])*Purchase[[#This Row],[GST %]]</f>
        <v>3637.7999999999997</v>
      </c>
      <c r="Q1381" s="145">
        <f>Purchase[[#This Row],[Gross Amount]]-Purchase[[#This Row],[Disct Amnt]]+Purchase[[#This Row],[GST Amount]]</f>
        <v>23847.8</v>
      </c>
      <c r="R1381" s="138" t="s">
        <v>1019</v>
      </c>
      <c r="S1381" s="41">
        <f>IF(Purchase[[#This Row],[Status]]="Cancelled",0,Purchase[[#This Row],[Qty]])</f>
        <v>10</v>
      </c>
      <c r="T1381" s="146">
        <f>IF(Purchase[[#This Row],[Status]]="Cancelled",0,Purchase[[#This Row],[Total Amount]])</f>
        <v>23847.8</v>
      </c>
      <c r="U1381" s="146">
        <f>SUM(Purchase[Net Amount])</f>
        <v>814985438.68000126</v>
      </c>
    </row>
    <row r="1382" spans="1:21" ht="19.5" thickBot="1" x14ac:dyDescent="0.3">
      <c r="A1382" s="136" t="s">
        <v>2435</v>
      </c>
      <c r="B1382" s="137">
        <v>45726</v>
      </c>
      <c r="C1382" s="138" t="s">
        <v>616</v>
      </c>
      <c r="D1382" s="138" t="str">
        <f>VLOOKUP(Purchase[[#This Row],[Supplier ID]],Supplier[#All],2,0)</f>
        <v>Global Suppliers</v>
      </c>
      <c r="E1382" s="138">
        <f>VLOOKUP(Purchase[[#This Row],[Supplier ID]],Supplier[#All],3,0)</f>
        <v>9689542499</v>
      </c>
      <c r="F1382" s="138" t="str">
        <f>VLOOKUP(Purchase[[#This Row],[Supplier ID]],Supplier[#All],4,0)</f>
        <v>Kanpur</v>
      </c>
      <c r="G1382" s="138" t="str">
        <f>VLOOKUP(Purchase[[#This Row],[Supplier ID]],Supplier[#All],5,0)</f>
        <v>UP</v>
      </c>
      <c r="H1382" s="138" t="str">
        <f>VLOOKUP(Purchase[[#This Row],[Supplier ID]],Supplier[#All],6,0)</f>
        <v>GST2154521T061</v>
      </c>
      <c r="I1382" s="138" t="s">
        <v>126</v>
      </c>
      <c r="J1382" s="139">
        <v>5</v>
      </c>
      <c r="K1382" s="143">
        <f>VLOOKUP(Purchase[[#This Row],[Product ID]],Product[#All],6,0)</f>
        <v>19380</v>
      </c>
      <c r="L1382" s="143">
        <f>Purchase[[#This Row],[Purchase Rate]]*Purchase[[#This Row],[Qty]]</f>
        <v>96900</v>
      </c>
      <c r="M1382" s="140">
        <v>0</v>
      </c>
      <c r="N1382" s="143">
        <v>0</v>
      </c>
      <c r="O1382" s="140">
        <v>0.18</v>
      </c>
      <c r="P1382" s="145">
        <f>(Purchase[[#This Row],[Gross Amount]]-Purchase[[#This Row],[Disct %]])*Purchase[[#This Row],[GST %]]</f>
        <v>17442</v>
      </c>
      <c r="Q1382" s="145">
        <f>Purchase[[#This Row],[Gross Amount]]-Purchase[[#This Row],[Disct Amnt]]+Purchase[[#This Row],[GST Amount]]</f>
        <v>114342</v>
      </c>
      <c r="R1382" s="138" t="s">
        <v>1019</v>
      </c>
      <c r="S1382" s="41">
        <f>IF(Purchase[[#This Row],[Status]]="Cancelled",0,Purchase[[#This Row],[Qty]])</f>
        <v>5</v>
      </c>
      <c r="T1382" s="146">
        <f>IF(Purchase[[#This Row],[Status]]="Cancelled",0,Purchase[[#This Row],[Total Amount]])</f>
        <v>114342</v>
      </c>
      <c r="U1382" s="146">
        <f>SUM(Purchase[Net Amount])</f>
        <v>814985438.68000126</v>
      </c>
    </row>
    <row r="1383" spans="1:21" ht="19.5" thickBot="1" x14ac:dyDescent="0.3">
      <c r="A1383" s="136" t="s">
        <v>2436</v>
      </c>
      <c r="B1383" s="137">
        <v>45726</v>
      </c>
      <c r="C1383" s="138" t="s">
        <v>613</v>
      </c>
      <c r="D1383" s="138" t="str">
        <f>VLOOKUP(Purchase[[#This Row],[Supplier ID]],Supplier[#All],2,0)</f>
        <v>National Traders</v>
      </c>
      <c r="E1383" s="138">
        <f>VLOOKUP(Purchase[[#This Row],[Supplier ID]],Supplier[#All],3,0)</f>
        <v>9689542496</v>
      </c>
      <c r="F1383" s="138" t="str">
        <f>VLOOKUP(Purchase[[#This Row],[Supplier ID]],Supplier[#All],4,0)</f>
        <v>Indore</v>
      </c>
      <c r="G1383" s="138" t="str">
        <f>VLOOKUP(Purchase[[#This Row],[Supplier ID]],Supplier[#All],5,0)</f>
        <v>MP</v>
      </c>
      <c r="H1383" s="138" t="str">
        <f>VLOOKUP(Purchase[[#This Row],[Supplier ID]],Supplier[#All],6,0)</f>
        <v>GST2154521T058</v>
      </c>
      <c r="I1383" s="138" t="s">
        <v>405</v>
      </c>
      <c r="J1383" s="139">
        <v>29</v>
      </c>
      <c r="K1383" s="143">
        <f>VLOOKUP(Purchase[[#This Row],[Product ID]],Product[#All],6,0)</f>
        <v>1259</v>
      </c>
      <c r="L1383" s="143">
        <f>Purchase[[#This Row],[Purchase Rate]]*Purchase[[#This Row],[Qty]]</f>
        <v>36511</v>
      </c>
      <c r="M1383" s="140">
        <v>0</v>
      </c>
      <c r="N1383" s="143">
        <v>0</v>
      </c>
      <c r="O1383" s="140">
        <v>0.18</v>
      </c>
      <c r="P1383" s="145">
        <f>(Purchase[[#This Row],[Gross Amount]]-Purchase[[#This Row],[Disct %]])*Purchase[[#This Row],[GST %]]</f>
        <v>6571.98</v>
      </c>
      <c r="Q1383" s="145">
        <f>Purchase[[#This Row],[Gross Amount]]-Purchase[[#This Row],[Disct Amnt]]+Purchase[[#This Row],[GST Amount]]</f>
        <v>43082.979999999996</v>
      </c>
      <c r="R1383" s="138" t="s">
        <v>1019</v>
      </c>
      <c r="S1383" s="41">
        <f>IF(Purchase[[#This Row],[Status]]="Cancelled",0,Purchase[[#This Row],[Qty]])</f>
        <v>29</v>
      </c>
      <c r="T1383" s="146">
        <f>IF(Purchase[[#This Row],[Status]]="Cancelled",0,Purchase[[#This Row],[Total Amount]])</f>
        <v>43082.979999999996</v>
      </c>
      <c r="U1383" s="146">
        <f>SUM(Purchase[Net Amount])</f>
        <v>814985438.68000126</v>
      </c>
    </row>
    <row r="1384" spans="1:21" ht="19.5" thickBot="1" x14ac:dyDescent="0.3">
      <c r="A1384" s="136" t="s">
        <v>2437</v>
      </c>
      <c r="B1384" s="137">
        <v>45726</v>
      </c>
      <c r="C1384" s="138" t="s">
        <v>605</v>
      </c>
      <c r="D1384" s="138" t="str">
        <f>VLOOKUP(Purchase[[#This Row],[Supplier ID]],Supplier[#All],2,0)</f>
        <v>Star Traders</v>
      </c>
      <c r="E1384" s="138">
        <f>VLOOKUP(Purchase[[#This Row],[Supplier ID]],Supplier[#All],3,0)</f>
        <v>9689542488</v>
      </c>
      <c r="F1384" s="138" t="str">
        <f>VLOOKUP(Purchase[[#This Row],[Supplier ID]],Supplier[#All],4,0)</f>
        <v>Indore</v>
      </c>
      <c r="G1384" s="138" t="str">
        <f>VLOOKUP(Purchase[[#This Row],[Supplier ID]],Supplier[#All],5,0)</f>
        <v>MP</v>
      </c>
      <c r="H1384" s="138" t="str">
        <f>VLOOKUP(Purchase[[#This Row],[Supplier ID]],Supplier[#All],6,0)</f>
        <v>GST2154521T050</v>
      </c>
      <c r="I1384" s="138" t="s">
        <v>220</v>
      </c>
      <c r="J1384" s="139">
        <v>40</v>
      </c>
      <c r="K1384" s="143">
        <f>VLOOKUP(Purchase[[#This Row],[Product ID]],Product[#All],6,0)</f>
        <v>34163</v>
      </c>
      <c r="L1384" s="143">
        <f>Purchase[[#This Row],[Purchase Rate]]*Purchase[[#This Row],[Qty]]</f>
        <v>1366520</v>
      </c>
      <c r="M1384" s="140">
        <v>0</v>
      </c>
      <c r="N1384" s="143">
        <v>0</v>
      </c>
      <c r="O1384" s="140">
        <v>0.18</v>
      </c>
      <c r="P1384" s="145">
        <f>(Purchase[[#This Row],[Gross Amount]]-Purchase[[#This Row],[Disct %]])*Purchase[[#This Row],[GST %]]</f>
        <v>245973.59999999998</v>
      </c>
      <c r="Q1384" s="145">
        <f>Purchase[[#This Row],[Gross Amount]]-Purchase[[#This Row],[Disct Amnt]]+Purchase[[#This Row],[GST Amount]]</f>
        <v>1612493.6</v>
      </c>
      <c r="R1384" s="138" t="s">
        <v>1019</v>
      </c>
      <c r="S1384" s="41">
        <f>IF(Purchase[[#This Row],[Status]]="Cancelled",0,Purchase[[#This Row],[Qty]])</f>
        <v>40</v>
      </c>
      <c r="T1384" s="146">
        <f>IF(Purchase[[#This Row],[Status]]="Cancelled",0,Purchase[[#This Row],[Total Amount]])</f>
        <v>1612493.6</v>
      </c>
      <c r="U1384" s="146">
        <f>SUM(Purchase[Net Amount])</f>
        <v>814985438.68000126</v>
      </c>
    </row>
    <row r="1385" spans="1:21" ht="19.5" thickBot="1" x14ac:dyDescent="0.3">
      <c r="A1385" s="136" t="s">
        <v>2438</v>
      </c>
      <c r="B1385" s="137">
        <v>45726</v>
      </c>
      <c r="C1385" s="138" t="s">
        <v>588</v>
      </c>
      <c r="D1385" s="138" t="str">
        <f>VLOOKUP(Purchase[[#This Row],[Supplier ID]],Supplier[#All],2,0)</f>
        <v>Star Electronics</v>
      </c>
      <c r="E1385" s="138">
        <f>VLOOKUP(Purchase[[#This Row],[Supplier ID]],Supplier[#All],3,0)</f>
        <v>9689542472</v>
      </c>
      <c r="F1385" s="138" t="str">
        <f>VLOOKUP(Purchase[[#This Row],[Supplier ID]],Supplier[#All],4,0)</f>
        <v>Korba</v>
      </c>
      <c r="G1385" s="138" t="str">
        <f>VLOOKUP(Purchase[[#This Row],[Supplier ID]],Supplier[#All],5,0)</f>
        <v>CG</v>
      </c>
      <c r="H1385" s="138" t="str">
        <f>VLOOKUP(Purchase[[#This Row],[Supplier ID]],Supplier[#All],6,0)</f>
        <v>GST2154521T034</v>
      </c>
      <c r="I1385" s="138" t="s">
        <v>478</v>
      </c>
      <c r="J1385" s="139">
        <v>34</v>
      </c>
      <c r="K1385" s="143">
        <f>VLOOKUP(Purchase[[#This Row],[Product ID]],Product[#All],6,0)</f>
        <v>4866</v>
      </c>
      <c r="L1385" s="143">
        <f>Purchase[[#This Row],[Purchase Rate]]*Purchase[[#This Row],[Qty]]</f>
        <v>165444</v>
      </c>
      <c r="M1385" s="140">
        <v>0</v>
      </c>
      <c r="N1385" s="143">
        <v>0</v>
      </c>
      <c r="O1385" s="140">
        <v>0.18</v>
      </c>
      <c r="P1385" s="145">
        <f>(Purchase[[#This Row],[Gross Amount]]-Purchase[[#This Row],[Disct %]])*Purchase[[#This Row],[GST %]]</f>
        <v>29779.919999999998</v>
      </c>
      <c r="Q1385" s="145">
        <f>Purchase[[#This Row],[Gross Amount]]-Purchase[[#This Row],[Disct Amnt]]+Purchase[[#This Row],[GST Amount]]</f>
        <v>195223.91999999998</v>
      </c>
      <c r="R1385" s="138" t="s">
        <v>1019</v>
      </c>
      <c r="S1385" s="41">
        <f>IF(Purchase[[#This Row],[Status]]="Cancelled",0,Purchase[[#This Row],[Qty]])</f>
        <v>34</v>
      </c>
      <c r="T1385" s="146">
        <f>IF(Purchase[[#This Row],[Status]]="Cancelled",0,Purchase[[#This Row],[Total Amount]])</f>
        <v>195223.91999999998</v>
      </c>
      <c r="U1385" s="146">
        <f>SUM(Purchase[Net Amount])</f>
        <v>814985438.68000126</v>
      </c>
    </row>
    <row r="1386" spans="1:21" ht="19.5" thickBot="1" x14ac:dyDescent="0.3">
      <c r="A1386" s="136" t="s">
        <v>2439</v>
      </c>
      <c r="B1386" s="137">
        <v>45726</v>
      </c>
      <c r="C1386" s="138" t="s">
        <v>571</v>
      </c>
      <c r="D1386" s="138" t="str">
        <f>VLOOKUP(Purchase[[#This Row],[Supplier ID]],Supplier[#All],2,0)</f>
        <v>Tech Suppliers</v>
      </c>
      <c r="E1386" s="138">
        <f>VLOOKUP(Purchase[[#This Row],[Supplier ID]],Supplier[#All],3,0)</f>
        <v>9689542457</v>
      </c>
      <c r="F1386" s="138" t="str">
        <f>VLOOKUP(Purchase[[#This Row],[Supplier ID]],Supplier[#All],4,0)</f>
        <v>Korba</v>
      </c>
      <c r="G1386" s="138" t="str">
        <f>VLOOKUP(Purchase[[#This Row],[Supplier ID]],Supplier[#All],5,0)</f>
        <v>CG</v>
      </c>
      <c r="H1386" s="138" t="str">
        <f>VLOOKUP(Purchase[[#This Row],[Supplier ID]],Supplier[#All],6,0)</f>
        <v>GST2154521T019</v>
      </c>
      <c r="I1386" s="138" t="s">
        <v>410</v>
      </c>
      <c r="J1386" s="139">
        <v>9</v>
      </c>
      <c r="K1386" s="143">
        <f>VLOOKUP(Purchase[[#This Row],[Product ID]],Product[#All],6,0)</f>
        <v>9953</v>
      </c>
      <c r="L1386" s="143">
        <f>Purchase[[#This Row],[Purchase Rate]]*Purchase[[#This Row],[Qty]]</f>
        <v>89577</v>
      </c>
      <c r="M1386" s="140">
        <v>0</v>
      </c>
      <c r="N1386" s="143">
        <v>0</v>
      </c>
      <c r="O1386" s="140">
        <v>0.18</v>
      </c>
      <c r="P1386" s="145">
        <f>(Purchase[[#This Row],[Gross Amount]]-Purchase[[#This Row],[Disct %]])*Purchase[[#This Row],[GST %]]</f>
        <v>16123.859999999999</v>
      </c>
      <c r="Q1386" s="145">
        <f>Purchase[[#This Row],[Gross Amount]]-Purchase[[#This Row],[Disct Amnt]]+Purchase[[#This Row],[GST Amount]]</f>
        <v>105700.86</v>
      </c>
      <c r="R1386" s="138" t="s">
        <v>1019</v>
      </c>
      <c r="S1386" s="41">
        <f>IF(Purchase[[#This Row],[Status]]="Cancelled",0,Purchase[[#This Row],[Qty]])</f>
        <v>9</v>
      </c>
      <c r="T1386" s="146">
        <f>IF(Purchase[[#This Row],[Status]]="Cancelled",0,Purchase[[#This Row],[Total Amount]])</f>
        <v>105700.86</v>
      </c>
      <c r="U1386" s="146">
        <f>SUM(Purchase[Net Amount])</f>
        <v>814985438.68000126</v>
      </c>
    </row>
    <row r="1387" spans="1:21" ht="19.5" thickBot="1" x14ac:dyDescent="0.3">
      <c r="A1387" s="136" t="s">
        <v>2440</v>
      </c>
      <c r="B1387" s="137">
        <v>45726</v>
      </c>
      <c r="C1387" s="138" t="s">
        <v>611</v>
      </c>
      <c r="D1387" s="138" t="str">
        <f>VLOOKUP(Purchase[[#This Row],[Supplier ID]],Supplier[#All],2,0)</f>
        <v>National Distributors</v>
      </c>
      <c r="E1387" s="138">
        <f>VLOOKUP(Purchase[[#This Row],[Supplier ID]],Supplier[#All],3,0)</f>
        <v>9689542494</v>
      </c>
      <c r="F1387" s="138" t="str">
        <f>VLOOKUP(Purchase[[#This Row],[Supplier ID]],Supplier[#All],4,0)</f>
        <v>Korba</v>
      </c>
      <c r="G1387" s="138" t="str">
        <f>VLOOKUP(Purchase[[#This Row],[Supplier ID]],Supplier[#All],5,0)</f>
        <v>CG</v>
      </c>
      <c r="H1387" s="138" t="str">
        <f>VLOOKUP(Purchase[[#This Row],[Supplier ID]],Supplier[#All],6,0)</f>
        <v>GST2154521T056</v>
      </c>
      <c r="I1387" s="138" t="s">
        <v>330</v>
      </c>
      <c r="J1387" s="139">
        <v>33</v>
      </c>
      <c r="K1387" s="143">
        <f>VLOOKUP(Purchase[[#This Row],[Product ID]],Product[#All],6,0)</f>
        <v>4133</v>
      </c>
      <c r="L1387" s="143">
        <f>Purchase[[#This Row],[Purchase Rate]]*Purchase[[#This Row],[Qty]]</f>
        <v>136389</v>
      </c>
      <c r="M1387" s="140">
        <v>0</v>
      </c>
      <c r="N1387" s="143">
        <v>0</v>
      </c>
      <c r="O1387" s="140">
        <v>0.18</v>
      </c>
      <c r="P1387" s="145">
        <f>(Purchase[[#This Row],[Gross Amount]]-Purchase[[#This Row],[Disct %]])*Purchase[[#This Row],[GST %]]</f>
        <v>24550.02</v>
      </c>
      <c r="Q1387" s="145">
        <f>Purchase[[#This Row],[Gross Amount]]-Purchase[[#This Row],[Disct Amnt]]+Purchase[[#This Row],[GST Amount]]</f>
        <v>160939.01999999999</v>
      </c>
      <c r="R1387" s="138" t="s">
        <v>1019</v>
      </c>
      <c r="S1387" s="41">
        <f>IF(Purchase[[#This Row],[Status]]="Cancelled",0,Purchase[[#This Row],[Qty]])</f>
        <v>33</v>
      </c>
      <c r="T1387" s="146">
        <f>IF(Purchase[[#This Row],[Status]]="Cancelled",0,Purchase[[#This Row],[Total Amount]])</f>
        <v>160939.01999999999</v>
      </c>
      <c r="U1387" s="146">
        <f>SUM(Purchase[Net Amount])</f>
        <v>814985438.68000126</v>
      </c>
    </row>
    <row r="1388" spans="1:21" ht="19.5" thickBot="1" x14ac:dyDescent="0.3">
      <c r="A1388" s="136" t="s">
        <v>2441</v>
      </c>
      <c r="B1388" s="137">
        <v>45726</v>
      </c>
      <c r="C1388" s="138" t="s">
        <v>596</v>
      </c>
      <c r="D1388" s="138" t="str">
        <f>VLOOKUP(Purchase[[#This Row],[Supplier ID]],Supplier[#All],2,0)</f>
        <v>star traders</v>
      </c>
      <c r="E1388" s="138">
        <f>VLOOKUP(Purchase[[#This Row],[Supplier ID]],Supplier[#All],3,0)</f>
        <v>9689542479</v>
      </c>
      <c r="F1388" s="138" t="str">
        <f>VLOOKUP(Purchase[[#This Row],[Supplier ID]],Supplier[#All],4,0)</f>
        <v>Korba</v>
      </c>
      <c r="G1388" s="138" t="str">
        <f>VLOOKUP(Purchase[[#This Row],[Supplier ID]],Supplier[#All],5,0)</f>
        <v>CG</v>
      </c>
      <c r="H1388" s="138" t="str">
        <f>VLOOKUP(Purchase[[#This Row],[Supplier ID]],Supplier[#All],6,0)</f>
        <v>GST2154521T041</v>
      </c>
      <c r="I1388" s="138" t="s">
        <v>495</v>
      </c>
      <c r="J1388" s="139">
        <v>39</v>
      </c>
      <c r="K1388" s="143">
        <f>VLOOKUP(Purchase[[#This Row],[Product ID]],Product[#All],6,0)</f>
        <v>54252</v>
      </c>
      <c r="L1388" s="143">
        <f>Purchase[[#This Row],[Purchase Rate]]*Purchase[[#This Row],[Qty]]</f>
        <v>2115828</v>
      </c>
      <c r="M1388" s="140">
        <v>0</v>
      </c>
      <c r="N1388" s="143">
        <v>0</v>
      </c>
      <c r="O1388" s="140">
        <v>0.18</v>
      </c>
      <c r="P1388" s="145">
        <f>(Purchase[[#This Row],[Gross Amount]]-Purchase[[#This Row],[Disct %]])*Purchase[[#This Row],[GST %]]</f>
        <v>380849.04</v>
      </c>
      <c r="Q1388" s="145">
        <f>Purchase[[#This Row],[Gross Amount]]-Purchase[[#This Row],[Disct Amnt]]+Purchase[[#This Row],[GST Amount]]</f>
        <v>2496677.04</v>
      </c>
      <c r="R1388" s="138" t="s">
        <v>1019</v>
      </c>
      <c r="S1388" s="41">
        <f>IF(Purchase[[#This Row],[Status]]="Cancelled",0,Purchase[[#This Row],[Qty]])</f>
        <v>39</v>
      </c>
      <c r="T1388" s="146">
        <f>IF(Purchase[[#This Row],[Status]]="Cancelled",0,Purchase[[#This Row],[Total Amount]])</f>
        <v>2496677.04</v>
      </c>
      <c r="U1388" s="146">
        <f>SUM(Purchase[Net Amount])</f>
        <v>814985438.68000126</v>
      </c>
    </row>
    <row r="1389" spans="1:21" ht="19.5" thickBot="1" x14ac:dyDescent="0.3">
      <c r="A1389" s="136" t="s">
        <v>2442</v>
      </c>
      <c r="B1389" s="137">
        <v>45726</v>
      </c>
      <c r="C1389" s="138" t="s">
        <v>615</v>
      </c>
      <c r="D1389" s="138" t="str">
        <f>VLOOKUP(Purchase[[#This Row],[Supplier ID]],Supplier[#All],2,0)</f>
        <v>NATIONAL ELECTRONICS</v>
      </c>
      <c r="E1389" s="138">
        <f>VLOOKUP(Purchase[[#This Row],[Supplier ID]],Supplier[#All],3,0)</f>
        <v>9689542498</v>
      </c>
      <c r="F1389" s="138" t="str">
        <f>VLOOKUP(Purchase[[#This Row],[Supplier ID]],Supplier[#All],4,0)</f>
        <v>Kanpur</v>
      </c>
      <c r="G1389" s="138" t="str">
        <f>VLOOKUP(Purchase[[#This Row],[Supplier ID]],Supplier[#All],5,0)</f>
        <v>UP</v>
      </c>
      <c r="H1389" s="138" t="str">
        <f>VLOOKUP(Purchase[[#This Row],[Supplier ID]],Supplier[#All],6,0)</f>
        <v>GST2154521T060</v>
      </c>
      <c r="I1389" s="138" t="s">
        <v>301</v>
      </c>
      <c r="J1389" s="139">
        <v>5</v>
      </c>
      <c r="K1389" s="143">
        <f>VLOOKUP(Purchase[[#This Row],[Product ID]],Product[#All],6,0)</f>
        <v>869</v>
      </c>
      <c r="L1389" s="143">
        <f>Purchase[[#This Row],[Purchase Rate]]*Purchase[[#This Row],[Qty]]</f>
        <v>4345</v>
      </c>
      <c r="M1389" s="140">
        <v>0</v>
      </c>
      <c r="N1389" s="143">
        <v>0</v>
      </c>
      <c r="O1389" s="140">
        <v>0.18</v>
      </c>
      <c r="P1389" s="145">
        <f>(Purchase[[#This Row],[Gross Amount]]-Purchase[[#This Row],[Disct %]])*Purchase[[#This Row],[GST %]]</f>
        <v>782.1</v>
      </c>
      <c r="Q1389" s="145">
        <f>Purchase[[#This Row],[Gross Amount]]-Purchase[[#This Row],[Disct Amnt]]+Purchase[[#This Row],[GST Amount]]</f>
        <v>5127.1000000000004</v>
      </c>
      <c r="R1389" s="138" t="s">
        <v>1019</v>
      </c>
      <c r="S1389" s="41">
        <f>IF(Purchase[[#This Row],[Status]]="Cancelled",0,Purchase[[#This Row],[Qty]])</f>
        <v>5</v>
      </c>
      <c r="T1389" s="146">
        <f>IF(Purchase[[#This Row],[Status]]="Cancelled",0,Purchase[[#This Row],[Total Amount]])</f>
        <v>5127.1000000000004</v>
      </c>
      <c r="U1389" s="146">
        <f>SUM(Purchase[Net Amount])</f>
        <v>814985438.68000126</v>
      </c>
    </row>
    <row r="1390" spans="1:21" ht="19.5" thickBot="1" x14ac:dyDescent="0.3">
      <c r="A1390" s="136" t="s">
        <v>2443</v>
      </c>
      <c r="B1390" s="137">
        <v>45726</v>
      </c>
      <c r="C1390" s="138" t="s">
        <v>579</v>
      </c>
      <c r="D1390" s="138" t="str">
        <f>VLOOKUP(Purchase[[#This Row],[Supplier ID]],Supplier[#All],2,0)</f>
        <v>Tech Traders</v>
      </c>
      <c r="E1390" s="138">
        <f>VLOOKUP(Purchase[[#This Row],[Supplier ID]],Supplier[#All],3,0)</f>
        <v>9689542463</v>
      </c>
      <c r="F1390" s="138" t="str">
        <f>VLOOKUP(Purchase[[#This Row],[Supplier ID]],Supplier[#All],4,0)</f>
        <v>Kanpur</v>
      </c>
      <c r="G1390" s="138" t="str">
        <f>VLOOKUP(Purchase[[#This Row],[Supplier ID]],Supplier[#All],5,0)</f>
        <v>UP</v>
      </c>
      <c r="H1390" s="138" t="str">
        <f>VLOOKUP(Purchase[[#This Row],[Supplier ID]],Supplier[#All],6,0)</f>
        <v>GST2154521T025</v>
      </c>
      <c r="I1390" s="138" t="s">
        <v>268</v>
      </c>
      <c r="J1390" s="139">
        <v>24</v>
      </c>
      <c r="K1390" s="143">
        <f>VLOOKUP(Purchase[[#This Row],[Product ID]],Product[#All],6,0)</f>
        <v>1726</v>
      </c>
      <c r="L1390" s="143">
        <f>Purchase[[#This Row],[Purchase Rate]]*Purchase[[#This Row],[Qty]]</f>
        <v>41424</v>
      </c>
      <c r="M1390" s="140">
        <v>0</v>
      </c>
      <c r="N1390" s="143">
        <v>0</v>
      </c>
      <c r="O1390" s="140">
        <v>0.18</v>
      </c>
      <c r="P1390" s="145">
        <f>(Purchase[[#This Row],[Gross Amount]]-Purchase[[#This Row],[Disct %]])*Purchase[[#This Row],[GST %]]</f>
        <v>7456.32</v>
      </c>
      <c r="Q1390" s="145">
        <f>Purchase[[#This Row],[Gross Amount]]-Purchase[[#This Row],[Disct Amnt]]+Purchase[[#This Row],[GST Amount]]</f>
        <v>48880.32</v>
      </c>
      <c r="R1390" s="138" t="s">
        <v>1019</v>
      </c>
      <c r="S1390" s="41">
        <f>IF(Purchase[[#This Row],[Status]]="Cancelled",0,Purchase[[#This Row],[Qty]])</f>
        <v>24</v>
      </c>
      <c r="T1390" s="146">
        <f>IF(Purchase[[#This Row],[Status]]="Cancelled",0,Purchase[[#This Row],[Total Amount]])</f>
        <v>48880.32</v>
      </c>
      <c r="U1390" s="146">
        <f>SUM(Purchase[Net Amount])</f>
        <v>814985438.68000126</v>
      </c>
    </row>
    <row r="1391" spans="1:21" ht="19.5" thickBot="1" x14ac:dyDescent="0.3">
      <c r="A1391" s="136" t="s">
        <v>2444</v>
      </c>
      <c r="B1391" s="137">
        <v>45726</v>
      </c>
      <c r="C1391" s="138" t="s">
        <v>565</v>
      </c>
      <c r="D1391" s="138" t="str">
        <f>VLOOKUP(Purchase[[#This Row],[Supplier ID]],Supplier[#All],2,0)</f>
        <v>Global Suppliers</v>
      </c>
      <c r="E1391" s="138">
        <f>VLOOKUP(Purchase[[#This Row],[Supplier ID]],Supplier[#All],3,0)</f>
        <v>9689542459</v>
      </c>
      <c r="F1391" s="138" t="str">
        <f>VLOOKUP(Purchase[[#This Row],[Supplier ID]],Supplier[#All],4,0)</f>
        <v>Indore</v>
      </c>
      <c r="G1391" s="138" t="str">
        <f>VLOOKUP(Purchase[[#This Row],[Supplier ID]],Supplier[#All],5,0)</f>
        <v>MP</v>
      </c>
      <c r="H1391" s="138" t="str">
        <f>VLOOKUP(Purchase[[#This Row],[Supplier ID]],Supplier[#All],6,0)</f>
        <v>GST2154521T013</v>
      </c>
      <c r="I1391" s="138" t="s">
        <v>255</v>
      </c>
      <c r="J1391" s="139">
        <v>22</v>
      </c>
      <c r="K1391" s="143">
        <f>VLOOKUP(Purchase[[#This Row],[Product ID]],Product[#All],6,0)</f>
        <v>50809</v>
      </c>
      <c r="L1391" s="143">
        <f>Purchase[[#This Row],[Purchase Rate]]*Purchase[[#This Row],[Qty]]</f>
        <v>1117798</v>
      </c>
      <c r="M1391" s="140">
        <v>0</v>
      </c>
      <c r="N1391" s="143">
        <v>0</v>
      </c>
      <c r="O1391" s="140">
        <v>0.18</v>
      </c>
      <c r="P1391" s="145">
        <f>(Purchase[[#This Row],[Gross Amount]]-Purchase[[#This Row],[Disct %]])*Purchase[[#This Row],[GST %]]</f>
        <v>201203.63999999998</v>
      </c>
      <c r="Q1391" s="145">
        <f>Purchase[[#This Row],[Gross Amount]]-Purchase[[#This Row],[Disct Amnt]]+Purchase[[#This Row],[GST Amount]]</f>
        <v>1319001.6399999999</v>
      </c>
      <c r="R1391" s="138" t="s">
        <v>1019</v>
      </c>
      <c r="S1391" s="41">
        <f>IF(Purchase[[#This Row],[Status]]="Cancelled",0,Purchase[[#This Row],[Qty]])</f>
        <v>22</v>
      </c>
      <c r="T1391" s="146">
        <f>IF(Purchase[[#This Row],[Status]]="Cancelled",0,Purchase[[#This Row],[Total Amount]])</f>
        <v>1319001.6399999999</v>
      </c>
      <c r="U1391" s="146">
        <f>SUM(Purchase[Net Amount])</f>
        <v>814985438.68000126</v>
      </c>
    </row>
    <row r="1392" spans="1:21" ht="19.5" thickBot="1" x14ac:dyDescent="0.3">
      <c r="A1392" s="136" t="s">
        <v>2445</v>
      </c>
      <c r="B1392" s="137">
        <v>45726</v>
      </c>
      <c r="C1392" s="138" t="s">
        <v>583</v>
      </c>
      <c r="D1392" s="138" t="str">
        <f>VLOOKUP(Purchase[[#This Row],[Supplier ID]],Supplier[#All],2,0)</f>
        <v>Shree Distributors</v>
      </c>
      <c r="E1392" s="138">
        <f>VLOOKUP(Purchase[[#This Row],[Supplier ID]],Supplier[#All],3,0)</f>
        <v>9689542467</v>
      </c>
      <c r="F1392" s="138" t="str">
        <f>VLOOKUP(Purchase[[#This Row],[Supplier ID]],Supplier[#All],4,0)</f>
        <v>Indore</v>
      </c>
      <c r="G1392" s="138" t="str">
        <f>VLOOKUP(Purchase[[#This Row],[Supplier ID]],Supplier[#All],5,0)</f>
        <v>MP</v>
      </c>
      <c r="H1392" s="138" t="str">
        <f>VLOOKUP(Purchase[[#This Row],[Supplier ID]],Supplier[#All],6,0)</f>
        <v>GST2154521T029</v>
      </c>
      <c r="I1392" s="138" t="s">
        <v>155</v>
      </c>
      <c r="J1392" s="139">
        <v>5</v>
      </c>
      <c r="K1392" s="143">
        <f>VLOOKUP(Purchase[[#This Row],[Product ID]],Product[#All],6,0)</f>
        <v>2996</v>
      </c>
      <c r="L1392" s="143">
        <f>Purchase[[#This Row],[Purchase Rate]]*Purchase[[#This Row],[Qty]]</f>
        <v>14980</v>
      </c>
      <c r="M1392" s="140">
        <v>0</v>
      </c>
      <c r="N1392" s="143">
        <v>0</v>
      </c>
      <c r="O1392" s="140">
        <v>0.18</v>
      </c>
      <c r="P1392" s="145">
        <f>(Purchase[[#This Row],[Gross Amount]]-Purchase[[#This Row],[Disct %]])*Purchase[[#This Row],[GST %]]</f>
        <v>2696.4</v>
      </c>
      <c r="Q1392" s="145">
        <f>Purchase[[#This Row],[Gross Amount]]-Purchase[[#This Row],[Disct Amnt]]+Purchase[[#This Row],[GST Amount]]</f>
        <v>17676.400000000001</v>
      </c>
      <c r="R1392" s="138" t="s">
        <v>1019</v>
      </c>
      <c r="S1392" s="41">
        <f>IF(Purchase[[#This Row],[Status]]="Cancelled",0,Purchase[[#This Row],[Qty]])</f>
        <v>5</v>
      </c>
      <c r="T1392" s="146">
        <f>IF(Purchase[[#This Row],[Status]]="Cancelled",0,Purchase[[#This Row],[Total Amount]])</f>
        <v>17676.400000000001</v>
      </c>
      <c r="U1392" s="146">
        <f>SUM(Purchase[Net Amount])</f>
        <v>814985438.68000126</v>
      </c>
    </row>
    <row r="1393" spans="1:21" ht="19.5" thickBot="1" x14ac:dyDescent="0.3">
      <c r="A1393" s="136" t="s">
        <v>2446</v>
      </c>
      <c r="B1393" s="137">
        <v>45726</v>
      </c>
      <c r="C1393" s="138" t="s">
        <v>609</v>
      </c>
      <c r="D1393" s="138" t="str">
        <f>VLOOKUP(Purchase[[#This Row],[Supplier ID]],Supplier[#All],2,0)</f>
        <v>Star Suppliers</v>
      </c>
      <c r="E1393" s="138">
        <f>VLOOKUP(Purchase[[#This Row],[Supplier ID]],Supplier[#All],3,0)</f>
        <v>9689542492</v>
      </c>
      <c r="F1393" s="138" t="str">
        <f>VLOOKUP(Purchase[[#This Row],[Supplier ID]],Supplier[#All],4,0)</f>
        <v>Kanpur</v>
      </c>
      <c r="G1393" s="138" t="str">
        <f>VLOOKUP(Purchase[[#This Row],[Supplier ID]],Supplier[#All],5,0)</f>
        <v>UP</v>
      </c>
      <c r="H1393" s="138" t="str">
        <f>VLOOKUP(Purchase[[#This Row],[Supplier ID]],Supplier[#All],6,0)</f>
        <v>GST2154521T054</v>
      </c>
      <c r="I1393" s="138" t="s">
        <v>433</v>
      </c>
      <c r="J1393" s="139">
        <v>32</v>
      </c>
      <c r="K1393" s="143">
        <f>VLOOKUP(Purchase[[#This Row],[Product ID]],Product[#All],6,0)</f>
        <v>10926</v>
      </c>
      <c r="L1393" s="143">
        <f>Purchase[[#This Row],[Purchase Rate]]*Purchase[[#This Row],[Qty]]</f>
        <v>349632</v>
      </c>
      <c r="M1393" s="140">
        <v>0</v>
      </c>
      <c r="N1393" s="143">
        <v>0</v>
      </c>
      <c r="O1393" s="140">
        <v>0.18</v>
      </c>
      <c r="P1393" s="145">
        <f>(Purchase[[#This Row],[Gross Amount]]-Purchase[[#This Row],[Disct %]])*Purchase[[#This Row],[GST %]]</f>
        <v>62933.759999999995</v>
      </c>
      <c r="Q1393" s="145">
        <f>Purchase[[#This Row],[Gross Amount]]-Purchase[[#This Row],[Disct Amnt]]+Purchase[[#This Row],[GST Amount]]</f>
        <v>412565.76000000001</v>
      </c>
      <c r="R1393" s="138" t="s">
        <v>1019</v>
      </c>
      <c r="S1393" s="41">
        <f>IF(Purchase[[#This Row],[Status]]="Cancelled",0,Purchase[[#This Row],[Qty]])</f>
        <v>32</v>
      </c>
      <c r="T1393" s="146">
        <f>IF(Purchase[[#This Row],[Status]]="Cancelled",0,Purchase[[#This Row],[Total Amount]])</f>
        <v>412565.76000000001</v>
      </c>
      <c r="U1393" s="146">
        <f>SUM(Purchase[Net Amount])</f>
        <v>814985438.68000126</v>
      </c>
    </row>
    <row r="1394" spans="1:21" ht="19.5" thickBot="1" x14ac:dyDescent="0.3">
      <c r="A1394" s="136" t="s">
        <v>2447</v>
      </c>
      <c r="B1394" s="137">
        <v>45727</v>
      </c>
      <c r="C1394" s="138" t="s">
        <v>588</v>
      </c>
      <c r="D1394" s="138" t="str">
        <f>VLOOKUP(Purchase[[#This Row],[Supplier ID]],Supplier[#All],2,0)</f>
        <v>Star Electronics</v>
      </c>
      <c r="E1394" s="138">
        <f>VLOOKUP(Purchase[[#This Row],[Supplier ID]],Supplier[#All],3,0)</f>
        <v>9689542472</v>
      </c>
      <c r="F1394" s="138" t="str">
        <f>VLOOKUP(Purchase[[#This Row],[Supplier ID]],Supplier[#All],4,0)</f>
        <v>Korba</v>
      </c>
      <c r="G1394" s="138" t="str">
        <f>VLOOKUP(Purchase[[#This Row],[Supplier ID]],Supplier[#All],5,0)</f>
        <v>CG</v>
      </c>
      <c r="H1394" s="138" t="str">
        <f>VLOOKUP(Purchase[[#This Row],[Supplier ID]],Supplier[#All],6,0)</f>
        <v>GST2154521T034</v>
      </c>
      <c r="I1394" s="138" t="s">
        <v>537</v>
      </c>
      <c r="J1394" s="139">
        <v>35</v>
      </c>
      <c r="K1394" s="143">
        <f>VLOOKUP(Purchase[[#This Row],[Product ID]],Product[#All],6,0)</f>
        <v>73748</v>
      </c>
      <c r="L1394" s="143">
        <f>Purchase[[#This Row],[Purchase Rate]]*Purchase[[#This Row],[Qty]]</f>
        <v>2581180</v>
      </c>
      <c r="M1394" s="140">
        <v>0</v>
      </c>
      <c r="N1394" s="143">
        <v>0</v>
      </c>
      <c r="O1394" s="140">
        <v>0.18</v>
      </c>
      <c r="P1394" s="145">
        <f>(Purchase[[#This Row],[Gross Amount]]-Purchase[[#This Row],[Disct %]])*Purchase[[#This Row],[GST %]]</f>
        <v>464612.39999999997</v>
      </c>
      <c r="Q1394" s="145">
        <f>Purchase[[#This Row],[Gross Amount]]-Purchase[[#This Row],[Disct Amnt]]+Purchase[[#This Row],[GST Amount]]</f>
        <v>3045792.4</v>
      </c>
      <c r="R1394" s="138" t="s">
        <v>1019</v>
      </c>
      <c r="S1394" s="41">
        <f>IF(Purchase[[#This Row],[Status]]="Cancelled",0,Purchase[[#This Row],[Qty]])</f>
        <v>35</v>
      </c>
      <c r="T1394" s="146">
        <f>IF(Purchase[[#This Row],[Status]]="Cancelled",0,Purchase[[#This Row],[Total Amount]])</f>
        <v>3045792.4</v>
      </c>
      <c r="U1394" s="146">
        <f>SUM(Purchase[Net Amount])</f>
        <v>814985438.68000126</v>
      </c>
    </row>
    <row r="1395" spans="1:21" ht="19.5" thickBot="1" x14ac:dyDescent="0.3">
      <c r="A1395" s="136" t="s">
        <v>2448</v>
      </c>
      <c r="B1395" s="137">
        <v>45727</v>
      </c>
      <c r="C1395" s="138" t="s">
        <v>576</v>
      </c>
      <c r="D1395" s="138" t="str">
        <f>VLOOKUP(Purchase[[#This Row],[Supplier ID]],Supplier[#All],2,0)</f>
        <v>Maa Distributors</v>
      </c>
      <c r="E1395" s="138">
        <f>VLOOKUP(Purchase[[#This Row],[Supplier ID]],Supplier[#All],3,0)</f>
        <v>9689542460</v>
      </c>
      <c r="F1395" s="138" t="str">
        <f>VLOOKUP(Purchase[[#This Row],[Supplier ID]],Supplier[#All],4,0)</f>
        <v>Korba</v>
      </c>
      <c r="G1395" s="138" t="str">
        <f>VLOOKUP(Purchase[[#This Row],[Supplier ID]],Supplier[#All],5,0)</f>
        <v>CG</v>
      </c>
      <c r="H1395" s="138" t="str">
        <f>VLOOKUP(Purchase[[#This Row],[Supplier ID]],Supplier[#All],6,0)</f>
        <v>GST2154521T022</v>
      </c>
      <c r="I1395" s="138" t="s">
        <v>112</v>
      </c>
      <c r="J1395" s="139">
        <v>7</v>
      </c>
      <c r="K1395" s="143">
        <f>VLOOKUP(Purchase[[#This Row],[Product ID]],Product[#All],6,0)</f>
        <v>2575</v>
      </c>
      <c r="L1395" s="143">
        <f>Purchase[[#This Row],[Purchase Rate]]*Purchase[[#This Row],[Qty]]</f>
        <v>18025</v>
      </c>
      <c r="M1395" s="140">
        <v>0</v>
      </c>
      <c r="N1395" s="143">
        <v>0</v>
      </c>
      <c r="O1395" s="140">
        <v>0.18</v>
      </c>
      <c r="P1395" s="145">
        <f>(Purchase[[#This Row],[Gross Amount]]-Purchase[[#This Row],[Disct %]])*Purchase[[#This Row],[GST %]]</f>
        <v>3244.5</v>
      </c>
      <c r="Q1395" s="145">
        <f>Purchase[[#This Row],[Gross Amount]]-Purchase[[#This Row],[Disct Amnt]]+Purchase[[#This Row],[GST Amount]]</f>
        <v>21269.5</v>
      </c>
      <c r="R1395" s="138" t="s">
        <v>1019</v>
      </c>
      <c r="S1395" s="41">
        <f>IF(Purchase[[#This Row],[Status]]="Cancelled",0,Purchase[[#This Row],[Qty]])</f>
        <v>7</v>
      </c>
      <c r="T1395" s="146">
        <f>IF(Purchase[[#This Row],[Status]]="Cancelled",0,Purchase[[#This Row],[Total Amount]])</f>
        <v>21269.5</v>
      </c>
      <c r="U1395" s="146">
        <f>SUM(Purchase[Net Amount])</f>
        <v>814985438.68000126</v>
      </c>
    </row>
    <row r="1396" spans="1:21" ht="19.5" thickBot="1" x14ac:dyDescent="0.3">
      <c r="A1396" s="136" t="s">
        <v>2449</v>
      </c>
      <c r="B1396" s="137">
        <v>45727</v>
      </c>
      <c r="C1396" s="138" t="s">
        <v>591</v>
      </c>
      <c r="D1396" s="138" t="str">
        <f>VLOOKUP(Purchase[[#This Row],[Supplier ID]],Supplier[#All],2,0)</f>
        <v>Shree Computers</v>
      </c>
      <c r="E1396" s="138">
        <f>VLOOKUP(Purchase[[#This Row],[Supplier ID]],Supplier[#All],3,0)</f>
        <v>9689542475</v>
      </c>
      <c r="F1396" s="138" t="str">
        <f>VLOOKUP(Purchase[[#This Row],[Supplier ID]],Supplier[#All],4,0)</f>
        <v>Indore</v>
      </c>
      <c r="G1396" s="138" t="str">
        <f>VLOOKUP(Purchase[[#This Row],[Supplier ID]],Supplier[#All],5,0)</f>
        <v>MP</v>
      </c>
      <c r="H1396" s="138" t="str">
        <f>VLOOKUP(Purchase[[#This Row],[Supplier ID]],Supplier[#All],6,0)</f>
        <v>GST2154521T037</v>
      </c>
      <c r="I1396" s="138" t="s">
        <v>390</v>
      </c>
      <c r="J1396" s="139">
        <v>6</v>
      </c>
      <c r="K1396" s="143">
        <f>VLOOKUP(Purchase[[#This Row],[Product ID]],Product[#All],6,0)</f>
        <v>3799</v>
      </c>
      <c r="L1396" s="143">
        <f>Purchase[[#This Row],[Purchase Rate]]*Purchase[[#This Row],[Qty]]</f>
        <v>22794</v>
      </c>
      <c r="M1396" s="140">
        <v>0</v>
      </c>
      <c r="N1396" s="143">
        <v>0</v>
      </c>
      <c r="O1396" s="140">
        <v>0.18</v>
      </c>
      <c r="P1396" s="145">
        <f>(Purchase[[#This Row],[Gross Amount]]-Purchase[[#This Row],[Disct %]])*Purchase[[#This Row],[GST %]]</f>
        <v>4102.92</v>
      </c>
      <c r="Q1396" s="145">
        <f>Purchase[[#This Row],[Gross Amount]]-Purchase[[#This Row],[Disct Amnt]]+Purchase[[#This Row],[GST Amount]]</f>
        <v>26896.92</v>
      </c>
      <c r="R1396" s="138" t="s">
        <v>1019</v>
      </c>
      <c r="S1396" s="41">
        <f>IF(Purchase[[#This Row],[Status]]="Cancelled",0,Purchase[[#This Row],[Qty]])</f>
        <v>6</v>
      </c>
      <c r="T1396" s="146">
        <f>IF(Purchase[[#This Row],[Status]]="Cancelled",0,Purchase[[#This Row],[Total Amount]])</f>
        <v>26896.92</v>
      </c>
      <c r="U1396" s="146">
        <f>SUM(Purchase[Net Amount])</f>
        <v>814985438.68000126</v>
      </c>
    </row>
    <row r="1397" spans="1:21" ht="19.5" thickBot="1" x14ac:dyDescent="0.3">
      <c r="A1397" s="136" t="s">
        <v>2450</v>
      </c>
      <c r="B1397" s="137">
        <v>45727</v>
      </c>
      <c r="C1397" s="138" t="s">
        <v>590</v>
      </c>
      <c r="D1397" s="138" t="str">
        <f>VLOOKUP(Purchase[[#This Row],[Supplier ID]],Supplier[#All],2,0)</f>
        <v>Star Distributors</v>
      </c>
      <c r="E1397" s="138">
        <f>VLOOKUP(Purchase[[#This Row],[Supplier ID]],Supplier[#All],3,0)</f>
        <v>9689542474</v>
      </c>
      <c r="F1397" s="138" t="str">
        <f>VLOOKUP(Purchase[[#This Row],[Supplier ID]],Supplier[#All],4,0)</f>
        <v>Kanpur</v>
      </c>
      <c r="G1397" s="138" t="str">
        <f>VLOOKUP(Purchase[[#This Row],[Supplier ID]],Supplier[#All],5,0)</f>
        <v>UP</v>
      </c>
      <c r="H1397" s="138" t="str">
        <f>VLOOKUP(Purchase[[#This Row],[Supplier ID]],Supplier[#All],6,0)</f>
        <v>GST2154521T036</v>
      </c>
      <c r="I1397" s="138" t="s">
        <v>18</v>
      </c>
      <c r="J1397" s="139">
        <v>37</v>
      </c>
      <c r="K1397" s="143">
        <f>VLOOKUP(Purchase[[#This Row],[Product ID]],Product[#All],6,0)</f>
        <v>701</v>
      </c>
      <c r="L1397" s="143">
        <f>Purchase[[#This Row],[Purchase Rate]]*Purchase[[#This Row],[Qty]]</f>
        <v>25937</v>
      </c>
      <c r="M1397" s="140">
        <v>0</v>
      </c>
      <c r="N1397" s="143">
        <v>0</v>
      </c>
      <c r="O1397" s="140">
        <v>0.18</v>
      </c>
      <c r="P1397" s="145">
        <f>(Purchase[[#This Row],[Gross Amount]]-Purchase[[#This Row],[Disct %]])*Purchase[[#This Row],[GST %]]</f>
        <v>4668.66</v>
      </c>
      <c r="Q1397" s="145">
        <f>Purchase[[#This Row],[Gross Amount]]-Purchase[[#This Row],[Disct Amnt]]+Purchase[[#This Row],[GST Amount]]</f>
        <v>30605.66</v>
      </c>
      <c r="R1397" s="138" t="s">
        <v>1019</v>
      </c>
      <c r="S1397" s="41">
        <f>IF(Purchase[[#This Row],[Status]]="Cancelled",0,Purchase[[#This Row],[Qty]])</f>
        <v>37</v>
      </c>
      <c r="T1397" s="146">
        <f>IF(Purchase[[#This Row],[Status]]="Cancelled",0,Purchase[[#This Row],[Total Amount]])</f>
        <v>30605.66</v>
      </c>
      <c r="U1397" s="146">
        <f>SUM(Purchase[Net Amount])</f>
        <v>814985438.68000126</v>
      </c>
    </row>
    <row r="1398" spans="1:21" ht="19.5" thickBot="1" x14ac:dyDescent="0.3">
      <c r="A1398" s="136" t="s">
        <v>2451</v>
      </c>
      <c r="B1398" s="137">
        <v>45727</v>
      </c>
      <c r="C1398" s="138" t="s">
        <v>2183</v>
      </c>
      <c r="D1398" s="138" t="str">
        <f>VLOOKUP(Purchase[[#This Row],[Supplier ID]],Supplier[#All],2,0)</f>
        <v>Star Distributors</v>
      </c>
      <c r="E1398" s="138">
        <f>VLOOKUP(Purchase[[#This Row],[Supplier ID]],Supplier[#All],3,0)</f>
        <v>9689542464</v>
      </c>
      <c r="F1398" s="138" t="str">
        <f>VLOOKUP(Purchase[[#This Row],[Supplier ID]],Supplier[#All],4,0)</f>
        <v>Indore</v>
      </c>
      <c r="G1398" s="138" t="str">
        <f>VLOOKUP(Purchase[[#This Row],[Supplier ID]],Supplier[#All],5,0)</f>
        <v>MP</v>
      </c>
      <c r="H1398" s="138" t="str">
        <f>VLOOKUP(Purchase[[#This Row],[Supplier ID]],Supplier[#All],6,0)</f>
        <v>GST2154521T026</v>
      </c>
      <c r="I1398" s="138" t="s">
        <v>552</v>
      </c>
      <c r="J1398" s="139">
        <v>15</v>
      </c>
      <c r="K1398" s="143">
        <f>VLOOKUP(Purchase[[#This Row],[Product ID]],Product[#All],6,0)</f>
        <v>4331</v>
      </c>
      <c r="L1398" s="143">
        <f>Purchase[[#This Row],[Purchase Rate]]*Purchase[[#This Row],[Qty]]</f>
        <v>64965</v>
      </c>
      <c r="M1398" s="140">
        <v>0</v>
      </c>
      <c r="N1398" s="143">
        <v>0</v>
      </c>
      <c r="O1398" s="140">
        <v>0.18</v>
      </c>
      <c r="P1398" s="145">
        <f>(Purchase[[#This Row],[Gross Amount]]-Purchase[[#This Row],[Disct %]])*Purchase[[#This Row],[GST %]]</f>
        <v>11693.699999999999</v>
      </c>
      <c r="Q1398" s="145">
        <f>Purchase[[#This Row],[Gross Amount]]-Purchase[[#This Row],[Disct Amnt]]+Purchase[[#This Row],[GST Amount]]</f>
        <v>76658.7</v>
      </c>
      <c r="R1398" s="138" t="s">
        <v>1019</v>
      </c>
      <c r="S1398" s="41">
        <f>IF(Purchase[[#This Row],[Status]]="Cancelled",0,Purchase[[#This Row],[Qty]])</f>
        <v>15</v>
      </c>
      <c r="T1398" s="146">
        <f>IF(Purchase[[#This Row],[Status]]="Cancelled",0,Purchase[[#This Row],[Total Amount]])</f>
        <v>76658.7</v>
      </c>
      <c r="U1398" s="146">
        <f>SUM(Purchase[Net Amount])</f>
        <v>814985438.68000126</v>
      </c>
    </row>
    <row r="1399" spans="1:21" ht="19.5" thickBot="1" x14ac:dyDescent="0.3">
      <c r="A1399" s="136" t="s">
        <v>2452</v>
      </c>
      <c r="B1399" s="137">
        <v>45727</v>
      </c>
      <c r="C1399" s="138" t="s">
        <v>579</v>
      </c>
      <c r="D1399" s="138" t="str">
        <f>VLOOKUP(Purchase[[#This Row],[Supplier ID]],Supplier[#All],2,0)</f>
        <v>Tech Traders</v>
      </c>
      <c r="E1399" s="138">
        <f>VLOOKUP(Purchase[[#This Row],[Supplier ID]],Supplier[#All],3,0)</f>
        <v>9689542463</v>
      </c>
      <c r="F1399" s="138" t="str">
        <f>VLOOKUP(Purchase[[#This Row],[Supplier ID]],Supplier[#All],4,0)</f>
        <v>Kanpur</v>
      </c>
      <c r="G1399" s="138" t="str">
        <f>VLOOKUP(Purchase[[#This Row],[Supplier ID]],Supplier[#All],5,0)</f>
        <v>UP</v>
      </c>
      <c r="H1399" s="138" t="str">
        <f>VLOOKUP(Purchase[[#This Row],[Supplier ID]],Supplier[#All],6,0)</f>
        <v>GST2154521T025</v>
      </c>
      <c r="I1399" s="138" t="s">
        <v>314</v>
      </c>
      <c r="J1399" s="139">
        <v>25</v>
      </c>
      <c r="K1399" s="143">
        <f>VLOOKUP(Purchase[[#This Row],[Product ID]],Product[#All],6,0)</f>
        <v>53060</v>
      </c>
      <c r="L1399" s="143">
        <f>Purchase[[#This Row],[Purchase Rate]]*Purchase[[#This Row],[Qty]]</f>
        <v>1326500</v>
      </c>
      <c r="M1399" s="140">
        <v>0</v>
      </c>
      <c r="N1399" s="143">
        <v>0</v>
      </c>
      <c r="O1399" s="140">
        <v>0.18</v>
      </c>
      <c r="P1399" s="145">
        <f>(Purchase[[#This Row],[Gross Amount]]-Purchase[[#This Row],[Disct %]])*Purchase[[#This Row],[GST %]]</f>
        <v>238770</v>
      </c>
      <c r="Q1399" s="145">
        <f>Purchase[[#This Row],[Gross Amount]]-Purchase[[#This Row],[Disct Amnt]]+Purchase[[#This Row],[GST Amount]]</f>
        <v>1565270</v>
      </c>
      <c r="R1399" s="138" t="s">
        <v>1019</v>
      </c>
      <c r="S1399" s="41">
        <f>IF(Purchase[[#This Row],[Status]]="Cancelled",0,Purchase[[#This Row],[Qty]])</f>
        <v>25</v>
      </c>
      <c r="T1399" s="146">
        <f>IF(Purchase[[#This Row],[Status]]="Cancelled",0,Purchase[[#This Row],[Total Amount]])</f>
        <v>1565270</v>
      </c>
      <c r="U1399" s="146">
        <f>SUM(Purchase[Net Amount])</f>
        <v>814985438.68000126</v>
      </c>
    </row>
    <row r="1400" spans="1:21" ht="19.5" thickBot="1" x14ac:dyDescent="0.3">
      <c r="A1400" s="136" t="s">
        <v>2453</v>
      </c>
      <c r="B1400" s="137">
        <v>45727</v>
      </c>
      <c r="C1400" s="138" t="s">
        <v>567</v>
      </c>
      <c r="D1400" s="138" t="str">
        <f>VLOOKUP(Purchase[[#This Row],[Supplier ID]],Supplier[#All],2,0)</f>
        <v>National Distributors</v>
      </c>
      <c r="E1400" s="138">
        <f>VLOOKUP(Purchase[[#This Row],[Supplier ID]],Supplier[#All],3,0)</f>
        <v>9689542453</v>
      </c>
      <c r="F1400" s="138" t="str">
        <f>VLOOKUP(Purchase[[#This Row],[Supplier ID]],Supplier[#All],4,0)</f>
        <v>Korba</v>
      </c>
      <c r="G1400" s="138" t="str">
        <f>VLOOKUP(Purchase[[#This Row],[Supplier ID]],Supplier[#All],5,0)</f>
        <v>CG</v>
      </c>
      <c r="H1400" s="138" t="str">
        <f>VLOOKUP(Purchase[[#This Row],[Supplier ID]],Supplier[#All],6,0)</f>
        <v>GST2154521T015</v>
      </c>
      <c r="I1400" s="138" t="s">
        <v>173</v>
      </c>
      <c r="J1400" s="139">
        <v>36</v>
      </c>
      <c r="K1400" s="143">
        <f>VLOOKUP(Purchase[[#This Row],[Product ID]],Product[#All],6,0)</f>
        <v>60461</v>
      </c>
      <c r="L1400" s="143">
        <f>Purchase[[#This Row],[Purchase Rate]]*Purchase[[#This Row],[Qty]]</f>
        <v>2176596</v>
      </c>
      <c r="M1400" s="140">
        <v>0</v>
      </c>
      <c r="N1400" s="143">
        <v>0</v>
      </c>
      <c r="O1400" s="140">
        <v>0.18</v>
      </c>
      <c r="P1400" s="145">
        <f>(Purchase[[#This Row],[Gross Amount]]-Purchase[[#This Row],[Disct %]])*Purchase[[#This Row],[GST %]]</f>
        <v>391787.27999999997</v>
      </c>
      <c r="Q1400" s="145">
        <f>Purchase[[#This Row],[Gross Amount]]-Purchase[[#This Row],[Disct Amnt]]+Purchase[[#This Row],[GST Amount]]</f>
        <v>2568383.2799999998</v>
      </c>
      <c r="R1400" s="138" t="s">
        <v>1019</v>
      </c>
      <c r="S1400" s="41">
        <f>IF(Purchase[[#This Row],[Status]]="Cancelled",0,Purchase[[#This Row],[Qty]])</f>
        <v>36</v>
      </c>
      <c r="T1400" s="146">
        <f>IF(Purchase[[#This Row],[Status]]="Cancelled",0,Purchase[[#This Row],[Total Amount]])</f>
        <v>2568383.2799999998</v>
      </c>
      <c r="U1400" s="146">
        <f>SUM(Purchase[Net Amount])</f>
        <v>814985438.68000126</v>
      </c>
    </row>
    <row r="1401" spans="1:21" ht="19.5" thickBot="1" x14ac:dyDescent="0.3">
      <c r="A1401" s="136" t="s">
        <v>2454</v>
      </c>
      <c r="B1401" s="137">
        <v>45727</v>
      </c>
      <c r="C1401" s="138" t="s">
        <v>565</v>
      </c>
      <c r="D1401" s="138" t="str">
        <f>VLOOKUP(Purchase[[#This Row],[Supplier ID]],Supplier[#All],2,0)</f>
        <v>Global Suppliers</v>
      </c>
      <c r="E1401" s="138">
        <f>VLOOKUP(Purchase[[#This Row],[Supplier ID]],Supplier[#All],3,0)</f>
        <v>9689542459</v>
      </c>
      <c r="F1401" s="138" t="str">
        <f>VLOOKUP(Purchase[[#This Row],[Supplier ID]],Supplier[#All],4,0)</f>
        <v>Indore</v>
      </c>
      <c r="G1401" s="138" t="str">
        <f>VLOOKUP(Purchase[[#This Row],[Supplier ID]],Supplier[#All],5,0)</f>
        <v>MP</v>
      </c>
      <c r="H1401" s="138" t="str">
        <f>VLOOKUP(Purchase[[#This Row],[Supplier ID]],Supplier[#All],6,0)</f>
        <v>GST2154521T013</v>
      </c>
      <c r="I1401" s="138" t="s">
        <v>367</v>
      </c>
      <c r="J1401" s="139">
        <v>25</v>
      </c>
      <c r="K1401" s="143">
        <f>VLOOKUP(Purchase[[#This Row],[Product ID]],Product[#All],6,0)</f>
        <v>4278</v>
      </c>
      <c r="L1401" s="143">
        <f>Purchase[[#This Row],[Purchase Rate]]*Purchase[[#This Row],[Qty]]</f>
        <v>106950</v>
      </c>
      <c r="M1401" s="140">
        <v>0</v>
      </c>
      <c r="N1401" s="143">
        <v>0</v>
      </c>
      <c r="O1401" s="140">
        <v>0.18</v>
      </c>
      <c r="P1401" s="145">
        <f>(Purchase[[#This Row],[Gross Amount]]-Purchase[[#This Row],[Disct %]])*Purchase[[#This Row],[GST %]]</f>
        <v>19251</v>
      </c>
      <c r="Q1401" s="145">
        <f>Purchase[[#This Row],[Gross Amount]]-Purchase[[#This Row],[Disct Amnt]]+Purchase[[#This Row],[GST Amount]]</f>
        <v>126201</v>
      </c>
      <c r="R1401" s="138" t="s">
        <v>1040</v>
      </c>
      <c r="S1401" s="41">
        <f>IF(Purchase[[#This Row],[Status]]="Cancelled",0,Purchase[[#This Row],[Qty]])</f>
        <v>0</v>
      </c>
      <c r="T1401" s="146">
        <f>IF(Purchase[[#This Row],[Status]]="Cancelled",0,Purchase[[#This Row],[Total Amount]])</f>
        <v>0</v>
      </c>
      <c r="U1401" s="146">
        <f>SUM(Purchase[Net Amount])</f>
        <v>814985438.68000126</v>
      </c>
    </row>
    <row r="1402" spans="1:21" ht="19.5" thickBot="1" x14ac:dyDescent="0.3">
      <c r="A1402" s="136" t="s">
        <v>2455</v>
      </c>
      <c r="B1402" s="137">
        <v>45727</v>
      </c>
      <c r="C1402" s="138" t="s">
        <v>615</v>
      </c>
      <c r="D1402" s="138" t="str">
        <f>VLOOKUP(Purchase[[#This Row],[Supplier ID]],Supplier[#All],2,0)</f>
        <v>NATIONAL ELECTRONICS</v>
      </c>
      <c r="E1402" s="138">
        <f>VLOOKUP(Purchase[[#This Row],[Supplier ID]],Supplier[#All],3,0)</f>
        <v>9689542498</v>
      </c>
      <c r="F1402" s="138" t="str">
        <f>VLOOKUP(Purchase[[#This Row],[Supplier ID]],Supplier[#All],4,0)</f>
        <v>Kanpur</v>
      </c>
      <c r="G1402" s="138" t="str">
        <f>VLOOKUP(Purchase[[#This Row],[Supplier ID]],Supplier[#All],5,0)</f>
        <v>UP</v>
      </c>
      <c r="H1402" s="138" t="str">
        <f>VLOOKUP(Purchase[[#This Row],[Supplier ID]],Supplier[#All],6,0)</f>
        <v>GST2154521T060</v>
      </c>
      <c r="I1402" s="138" t="s">
        <v>188</v>
      </c>
      <c r="J1402" s="139">
        <v>8</v>
      </c>
      <c r="K1402" s="143">
        <f>VLOOKUP(Purchase[[#This Row],[Product ID]],Product[#All],6,0)</f>
        <v>11278</v>
      </c>
      <c r="L1402" s="143">
        <f>Purchase[[#This Row],[Purchase Rate]]*Purchase[[#This Row],[Qty]]</f>
        <v>90224</v>
      </c>
      <c r="M1402" s="140">
        <v>0</v>
      </c>
      <c r="N1402" s="143">
        <v>0</v>
      </c>
      <c r="O1402" s="140">
        <v>0.18</v>
      </c>
      <c r="P1402" s="145">
        <f>(Purchase[[#This Row],[Gross Amount]]-Purchase[[#This Row],[Disct %]])*Purchase[[#This Row],[GST %]]</f>
        <v>16240.32</v>
      </c>
      <c r="Q1402" s="145">
        <f>Purchase[[#This Row],[Gross Amount]]-Purchase[[#This Row],[Disct Amnt]]+Purchase[[#This Row],[GST Amount]]</f>
        <v>106464.32000000001</v>
      </c>
      <c r="R1402" s="138" t="s">
        <v>1019</v>
      </c>
      <c r="S1402" s="41">
        <f>IF(Purchase[[#This Row],[Status]]="Cancelled",0,Purchase[[#This Row],[Qty]])</f>
        <v>8</v>
      </c>
      <c r="T1402" s="146">
        <f>IF(Purchase[[#This Row],[Status]]="Cancelled",0,Purchase[[#This Row],[Total Amount]])</f>
        <v>106464.32000000001</v>
      </c>
      <c r="U1402" s="146">
        <f>SUM(Purchase[Net Amount])</f>
        <v>814985438.68000126</v>
      </c>
    </row>
    <row r="1403" spans="1:21" ht="19.5" thickBot="1" x14ac:dyDescent="0.3">
      <c r="A1403" s="136" t="s">
        <v>2456</v>
      </c>
      <c r="B1403" s="137">
        <v>45727</v>
      </c>
      <c r="C1403" s="138" t="s">
        <v>584</v>
      </c>
      <c r="D1403" s="138" t="str">
        <f>VLOOKUP(Purchase[[#This Row],[Supplier ID]],Supplier[#All],2,0)</f>
        <v>Prime Computers</v>
      </c>
      <c r="E1403" s="138">
        <f>VLOOKUP(Purchase[[#This Row],[Supplier ID]],Supplier[#All],3,0)</f>
        <v>9689542468</v>
      </c>
      <c r="F1403" s="138" t="str">
        <f>VLOOKUP(Purchase[[#This Row],[Supplier ID]],Supplier[#All],4,0)</f>
        <v>Kanpur</v>
      </c>
      <c r="G1403" s="138" t="str">
        <f>VLOOKUP(Purchase[[#This Row],[Supplier ID]],Supplier[#All],5,0)</f>
        <v>UP</v>
      </c>
      <c r="H1403" s="138" t="str">
        <f>VLOOKUP(Purchase[[#This Row],[Supplier ID]],Supplier[#All],6,0)</f>
        <v>GST2154521T030</v>
      </c>
      <c r="I1403" s="138" t="s">
        <v>515</v>
      </c>
      <c r="J1403" s="139">
        <v>5</v>
      </c>
      <c r="K1403" s="143">
        <f>VLOOKUP(Purchase[[#This Row],[Product ID]],Product[#All],6,0)</f>
        <v>2141</v>
      </c>
      <c r="L1403" s="143">
        <f>Purchase[[#This Row],[Purchase Rate]]*Purchase[[#This Row],[Qty]]</f>
        <v>10705</v>
      </c>
      <c r="M1403" s="140">
        <v>0</v>
      </c>
      <c r="N1403" s="143">
        <v>0</v>
      </c>
      <c r="O1403" s="140">
        <v>0.18</v>
      </c>
      <c r="P1403" s="145">
        <f>(Purchase[[#This Row],[Gross Amount]]-Purchase[[#This Row],[Disct %]])*Purchase[[#This Row],[GST %]]</f>
        <v>1926.8999999999999</v>
      </c>
      <c r="Q1403" s="145">
        <f>Purchase[[#This Row],[Gross Amount]]-Purchase[[#This Row],[Disct Amnt]]+Purchase[[#This Row],[GST Amount]]</f>
        <v>12631.9</v>
      </c>
      <c r="R1403" s="138" t="s">
        <v>1019</v>
      </c>
      <c r="S1403" s="41">
        <f>IF(Purchase[[#This Row],[Status]]="Cancelled",0,Purchase[[#This Row],[Qty]])</f>
        <v>5</v>
      </c>
      <c r="T1403" s="146">
        <f>IF(Purchase[[#This Row],[Status]]="Cancelled",0,Purchase[[#This Row],[Total Amount]])</f>
        <v>12631.9</v>
      </c>
      <c r="U1403" s="146">
        <f>SUM(Purchase[Net Amount])</f>
        <v>814985438.68000126</v>
      </c>
    </row>
    <row r="1404" spans="1:21" ht="19.5" thickBot="1" x14ac:dyDescent="0.3">
      <c r="A1404" s="136" t="s">
        <v>2457</v>
      </c>
      <c r="B1404" s="137">
        <v>45727</v>
      </c>
      <c r="C1404" s="138" t="s">
        <v>614</v>
      </c>
      <c r="D1404" s="138" t="str">
        <f>VLOOKUP(Purchase[[#This Row],[Supplier ID]],Supplier[#All],2,0)</f>
        <v>National Electronics</v>
      </c>
      <c r="E1404" s="138">
        <f>VLOOKUP(Purchase[[#This Row],[Supplier ID]],Supplier[#All],3,0)</f>
        <v>9689542497</v>
      </c>
      <c r="F1404" s="138" t="str">
        <f>VLOOKUP(Purchase[[#This Row],[Supplier ID]],Supplier[#All],4,0)</f>
        <v>Kanpur</v>
      </c>
      <c r="G1404" s="138" t="str">
        <f>VLOOKUP(Purchase[[#This Row],[Supplier ID]],Supplier[#All],5,0)</f>
        <v>UP</v>
      </c>
      <c r="H1404" s="138" t="str">
        <f>VLOOKUP(Purchase[[#This Row],[Supplier ID]],Supplier[#All],6,0)</f>
        <v>GST2154521T059</v>
      </c>
      <c r="I1404" s="138" t="s">
        <v>528</v>
      </c>
      <c r="J1404" s="139">
        <v>11</v>
      </c>
      <c r="K1404" s="143">
        <f>VLOOKUP(Purchase[[#This Row],[Product ID]],Product[#All],6,0)</f>
        <v>4004</v>
      </c>
      <c r="L1404" s="143">
        <f>Purchase[[#This Row],[Purchase Rate]]*Purchase[[#This Row],[Qty]]</f>
        <v>44044</v>
      </c>
      <c r="M1404" s="140">
        <v>0</v>
      </c>
      <c r="N1404" s="143">
        <v>0</v>
      </c>
      <c r="O1404" s="140">
        <v>0.18</v>
      </c>
      <c r="P1404" s="145">
        <f>(Purchase[[#This Row],[Gross Amount]]-Purchase[[#This Row],[Disct %]])*Purchase[[#This Row],[GST %]]</f>
        <v>7927.92</v>
      </c>
      <c r="Q1404" s="145">
        <f>Purchase[[#This Row],[Gross Amount]]-Purchase[[#This Row],[Disct Amnt]]+Purchase[[#This Row],[GST Amount]]</f>
        <v>51971.92</v>
      </c>
      <c r="R1404" s="138" t="s">
        <v>1019</v>
      </c>
      <c r="S1404" s="41">
        <f>IF(Purchase[[#This Row],[Status]]="Cancelled",0,Purchase[[#This Row],[Qty]])</f>
        <v>11</v>
      </c>
      <c r="T1404" s="146">
        <f>IF(Purchase[[#This Row],[Status]]="Cancelled",0,Purchase[[#This Row],[Total Amount]])</f>
        <v>51971.92</v>
      </c>
      <c r="U1404" s="146">
        <f>SUM(Purchase[Net Amount])</f>
        <v>814985438.68000126</v>
      </c>
    </row>
    <row r="1405" spans="1:21" ht="19.5" thickBot="1" x14ac:dyDescent="0.3">
      <c r="A1405" s="136" t="s">
        <v>2458</v>
      </c>
      <c r="B1405" s="137">
        <v>45727</v>
      </c>
      <c r="C1405" s="138" t="s">
        <v>577</v>
      </c>
      <c r="D1405" s="138" t="str">
        <f>VLOOKUP(Purchase[[#This Row],[Supplier ID]],Supplier[#All],2,0)</f>
        <v>National Electronics</v>
      </c>
      <c r="E1405" s="138">
        <f>VLOOKUP(Purchase[[#This Row],[Supplier ID]],Supplier[#All],3,0)</f>
        <v>9689542469</v>
      </c>
      <c r="F1405" s="138" t="str">
        <f>VLOOKUP(Purchase[[#This Row],[Supplier ID]],Supplier[#All],4,0)</f>
        <v>Korba</v>
      </c>
      <c r="G1405" s="138" t="str">
        <f>VLOOKUP(Purchase[[#This Row],[Supplier ID]],Supplier[#All],5,0)</f>
        <v>CG</v>
      </c>
      <c r="H1405" s="138" t="str">
        <f>VLOOKUP(Purchase[[#This Row],[Supplier ID]],Supplier[#All],6,0)</f>
        <v>GST2154521T023</v>
      </c>
      <c r="I1405" s="138" t="s">
        <v>423</v>
      </c>
      <c r="J1405" s="139">
        <v>37</v>
      </c>
      <c r="K1405" s="143">
        <f>VLOOKUP(Purchase[[#This Row],[Product ID]],Product[#All],6,0)</f>
        <v>33151</v>
      </c>
      <c r="L1405" s="143">
        <f>Purchase[[#This Row],[Purchase Rate]]*Purchase[[#This Row],[Qty]]</f>
        <v>1226587</v>
      </c>
      <c r="M1405" s="140">
        <v>0</v>
      </c>
      <c r="N1405" s="143">
        <v>0</v>
      </c>
      <c r="O1405" s="140">
        <v>0.18</v>
      </c>
      <c r="P1405" s="145">
        <f>(Purchase[[#This Row],[Gross Amount]]-Purchase[[#This Row],[Disct %]])*Purchase[[#This Row],[GST %]]</f>
        <v>220785.66</v>
      </c>
      <c r="Q1405" s="145">
        <f>Purchase[[#This Row],[Gross Amount]]-Purchase[[#This Row],[Disct Amnt]]+Purchase[[#This Row],[GST Amount]]</f>
        <v>1447372.66</v>
      </c>
      <c r="R1405" s="138" t="s">
        <v>1019</v>
      </c>
      <c r="S1405" s="41">
        <f>IF(Purchase[[#This Row],[Status]]="Cancelled",0,Purchase[[#This Row],[Qty]])</f>
        <v>37</v>
      </c>
      <c r="T1405" s="146">
        <f>IF(Purchase[[#This Row],[Status]]="Cancelled",0,Purchase[[#This Row],[Total Amount]])</f>
        <v>1447372.66</v>
      </c>
      <c r="U1405" s="146">
        <f>SUM(Purchase[Net Amount])</f>
        <v>814985438.68000126</v>
      </c>
    </row>
    <row r="1406" spans="1:21" ht="19.5" thickBot="1" x14ac:dyDescent="0.3">
      <c r="A1406" s="136" t="s">
        <v>2459</v>
      </c>
      <c r="B1406" s="137">
        <v>45727</v>
      </c>
      <c r="C1406" s="138" t="s">
        <v>580</v>
      </c>
      <c r="D1406" s="138" t="str">
        <f>VLOOKUP(Purchase[[#This Row],[Supplier ID]],Supplier[#All],2,0)</f>
        <v>Star Distributors</v>
      </c>
      <c r="E1406" s="138">
        <f>VLOOKUP(Purchase[[#This Row],[Supplier ID]],Supplier[#All],3,0)</f>
        <v>9689542464</v>
      </c>
      <c r="F1406" s="138" t="str">
        <f>VLOOKUP(Purchase[[#This Row],[Supplier ID]],Supplier[#All],4,0)</f>
        <v>Indore</v>
      </c>
      <c r="G1406" s="138" t="str">
        <f>VLOOKUP(Purchase[[#This Row],[Supplier ID]],Supplier[#All],5,0)</f>
        <v>MP</v>
      </c>
      <c r="H1406" s="138" t="str">
        <f>VLOOKUP(Purchase[[#This Row],[Supplier ID]],Supplier[#All],6,0)</f>
        <v>GST2154521T026</v>
      </c>
      <c r="I1406" s="138" t="s">
        <v>165</v>
      </c>
      <c r="J1406" s="139">
        <v>16</v>
      </c>
      <c r="K1406" s="143">
        <f>VLOOKUP(Purchase[[#This Row],[Product ID]],Product[#All],6,0)</f>
        <v>6875</v>
      </c>
      <c r="L1406" s="143">
        <f>Purchase[[#This Row],[Purchase Rate]]*Purchase[[#This Row],[Qty]]</f>
        <v>110000</v>
      </c>
      <c r="M1406" s="140">
        <v>0</v>
      </c>
      <c r="N1406" s="143">
        <v>0</v>
      </c>
      <c r="O1406" s="140">
        <v>0.18</v>
      </c>
      <c r="P1406" s="145">
        <f>(Purchase[[#This Row],[Gross Amount]]-Purchase[[#This Row],[Disct %]])*Purchase[[#This Row],[GST %]]</f>
        <v>19800</v>
      </c>
      <c r="Q1406" s="145">
        <f>Purchase[[#This Row],[Gross Amount]]-Purchase[[#This Row],[Disct Amnt]]+Purchase[[#This Row],[GST Amount]]</f>
        <v>129800</v>
      </c>
      <c r="R1406" s="138" t="s">
        <v>1019</v>
      </c>
      <c r="S1406" s="41">
        <f>IF(Purchase[[#This Row],[Status]]="Cancelled",0,Purchase[[#This Row],[Qty]])</f>
        <v>16</v>
      </c>
      <c r="T1406" s="146">
        <f>IF(Purchase[[#This Row],[Status]]="Cancelled",0,Purchase[[#This Row],[Total Amount]])</f>
        <v>129800</v>
      </c>
      <c r="U1406" s="146">
        <f>SUM(Purchase[Net Amount])</f>
        <v>814985438.68000126</v>
      </c>
    </row>
    <row r="1407" spans="1:21" ht="19.5" thickBot="1" x14ac:dyDescent="0.3">
      <c r="A1407" s="136" t="s">
        <v>2460</v>
      </c>
      <c r="B1407" s="137">
        <v>45727</v>
      </c>
      <c r="C1407" s="138" t="s">
        <v>582</v>
      </c>
      <c r="D1407" s="138" t="str">
        <f>VLOOKUP(Purchase[[#This Row],[Supplier ID]],Supplier[#All],2,0)</f>
        <v>Tech Distributors</v>
      </c>
      <c r="E1407" s="138">
        <f>VLOOKUP(Purchase[[#This Row],[Supplier ID]],Supplier[#All],3,0)</f>
        <v>9689542466</v>
      </c>
      <c r="F1407" s="138" t="str">
        <f>VLOOKUP(Purchase[[#This Row],[Supplier ID]],Supplier[#All],4,0)</f>
        <v>Indore</v>
      </c>
      <c r="G1407" s="138" t="str">
        <f>VLOOKUP(Purchase[[#This Row],[Supplier ID]],Supplier[#All],5,0)</f>
        <v>MP</v>
      </c>
      <c r="H1407" s="138" t="str">
        <f>VLOOKUP(Purchase[[#This Row],[Supplier ID]],Supplier[#All],6,0)</f>
        <v>GST2154521T028</v>
      </c>
      <c r="I1407" s="138" t="s">
        <v>512</v>
      </c>
      <c r="J1407" s="139">
        <v>29</v>
      </c>
      <c r="K1407" s="143">
        <f>VLOOKUP(Purchase[[#This Row],[Product ID]],Product[#All],6,0)</f>
        <v>4495</v>
      </c>
      <c r="L1407" s="143">
        <f>Purchase[[#This Row],[Purchase Rate]]*Purchase[[#This Row],[Qty]]</f>
        <v>130355</v>
      </c>
      <c r="M1407" s="140">
        <v>0</v>
      </c>
      <c r="N1407" s="143">
        <v>0</v>
      </c>
      <c r="O1407" s="140">
        <v>0.18</v>
      </c>
      <c r="P1407" s="145">
        <f>(Purchase[[#This Row],[Gross Amount]]-Purchase[[#This Row],[Disct %]])*Purchase[[#This Row],[GST %]]</f>
        <v>23463.899999999998</v>
      </c>
      <c r="Q1407" s="145">
        <f>Purchase[[#This Row],[Gross Amount]]-Purchase[[#This Row],[Disct Amnt]]+Purchase[[#This Row],[GST Amount]]</f>
        <v>153818.9</v>
      </c>
      <c r="R1407" s="138" t="s">
        <v>1040</v>
      </c>
      <c r="S1407" s="41">
        <f>IF(Purchase[[#This Row],[Status]]="Cancelled",0,Purchase[[#This Row],[Qty]])</f>
        <v>0</v>
      </c>
      <c r="T1407" s="146">
        <f>IF(Purchase[[#This Row],[Status]]="Cancelled",0,Purchase[[#This Row],[Total Amount]])</f>
        <v>0</v>
      </c>
      <c r="U1407" s="146">
        <f>SUM(Purchase[Net Amount])</f>
        <v>814985438.68000126</v>
      </c>
    </row>
    <row r="1408" spans="1:21" ht="19.5" thickBot="1" x14ac:dyDescent="0.3">
      <c r="A1408" s="136" t="s">
        <v>2461</v>
      </c>
      <c r="B1408" s="137">
        <v>45727</v>
      </c>
      <c r="C1408" s="138" t="s">
        <v>613</v>
      </c>
      <c r="D1408" s="138" t="str">
        <f>VLOOKUP(Purchase[[#This Row],[Supplier ID]],Supplier[#All],2,0)</f>
        <v>National Traders</v>
      </c>
      <c r="E1408" s="138">
        <f>VLOOKUP(Purchase[[#This Row],[Supplier ID]],Supplier[#All],3,0)</f>
        <v>9689542496</v>
      </c>
      <c r="F1408" s="138" t="str">
        <f>VLOOKUP(Purchase[[#This Row],[Supplier ID]],Supplier[#All],4,0)</f>
        <v>Indore</v>
      </c>
      <c r="G1408" s="138" t="str">
        <f>VLOOKUP(Purchase[[#This Row],[Supplier ID]],Supplier[#All],5,0)</f>
        <v>MP</v>
      </c>
      <c r="H1408" s="138" t="str">
        <f>VLOOKUP(Purchase[[#This Row],[Supplier ID]],Supplier[#All],6,0)</f>
        <v>GST2154521T058</v>
      </c>
      <c r="I1408" s="138" t="s">
        <v>465</v>
      </c>
      <c r="J1408" s="139">
        <v>16</v>
      </c>
      <c r="K1408" s="143">
        <f>VLOOKUP(Purchase[[#This Row],[Product ID]],Product[#All],6,0)</f>
        <v>1749</v>
      </c>
      <c r="L1408" s="143">
        <f>Purchase[[#This Row],[Purchase Rate]]*Purchase[[#This Row],[Qty]]</f>
        <v>27984</v>
      </c>
      <c r="M1408" s="140">
        <v>0</v>
      </c>
      <c r="N1408" s="143">
        <v>0</v>
      </c>
      <c r="O1408" s="140">
        <v>0.18</v>
      </c>
      <c r="P1408" s="145">
        <f>(Purchase[[#This Row],[Gross Amount]]-Purchase[[#This Row],[Disct %]])*Purchase[[#This Row],[GST %]]</f>
        <v>5037.12</v>
      </c>
      <c r="Q1408" s="145">
        <f>Purchase[[#This Row],[Gross Amount]]-Purchase[[#This Row],[Disct Amnt]]+Purchase[[#This Row],[GST Amount]]</f>
        <v>33021.120000000003</v>
      </c>
      <c r="R1408" s="138" t="s">
        <v>1019</v>
      </c>
      <c r="S1408" s="41">
        <f>IF(Purchase[[#This Row],[Status]]="Cancelled",0,Purchase[[#This Row],[Qty]])</f>
        <v>16</v>
      </c>
      <c r="T1408" s="146">
        <f>IF(Purchase[[#This Row],[Status]]="Cancelled",0,Purchase[[#This Row],[Total Amount]])</f>
        <v>33021.120000000003</v>
      </c>
      <c r="U1408" s="146">
        <f>SUM(Purchase[Net Amount])</f>
        <v>814985438.68000126</v>
      </c>
    </row>
    <row r="1409" spans="1:21" ht="19.5" thickBot="1" x14ac:dyDescent="0.3">
      <c r="A1409" s="136" t="s">
        <v>2462</v>
      </c>
      <c r="B1409" s="137">
        <v>45727</v>
      </c>
      <c r="C1409" s="138" t="s">
        <v>589</v>
      </c>
      <c r="D1409" s="138" t="str">
        <f>VLOOKUP(Purchase[[#This Row],[Supplier ID]],Supplier[#All],2,0)</f>
        <v>Maa Computers</v>
      </c>
      <c r="E1409" s="138">
        <f>VLOOKUP(Purchase[[#This Row],[Supplier ID]],Supplier[#All],3,0)</f>
        <v>9689542473</v>
      </c>
      <c r="F1409" s="138" t="str">
        <f>VLOOKUP(Purchase[[#This Row],[Supplier ID]],Supplier[#All],4,0)</f>
        <v>Kanpur</v>
      </c>
      <c r="G1409" s="138" t="str">
        <f>VLOOKUP(Purchase[[#This Row],[Supplier ID]],Supplier[#All],5,0)</f>
        <v>UP</v>
      </c>
      <c r="H1409" s="138" t="str">
        <f>VLOOKUP(Purchase[[#This Row],[Supplier ID]],Supplier[#All],6,0)</f>
        <v>GST2154521T035</v>
      </c>
      <c r="I1409" s="138" t="s">
        <v>545</v>
      </c>
      <c r="J1409" s="139">
        <v>38</v>
      </c>
      <c r="K1409" s="143">
        <f>VLOOKUP(Purchase[[#This Row],[Product ID]],Product[#All],6,0)</f>
        <v>5298</v>
      </c>
      <c r="L1409" s="143">
        <f>Purchase[[#This Row],[Purchase Rate]]*Purchase[[#This Row],[Qty]]</f>
        <v>201324</v>
      </c>
      <c r="M1409" s="140">
        <v>0</v>
      </c>
      <c r="N1409" s="143">
        <v>0</v>
      </c>
      <c r="O1409" s="140">
        <v>0.18</v>
      </c>
      <c r="P1409" s="145">
        <f>(Purchase[[#This Row],[Gross Amount]]-Purchase[[#This Row],[Disct %]])*Purchase[[#This Row],[GST %]]</f>
        <v>36238.32</v>
      </c>
      <c r="Q1409" s="145">
        <f>Purchase[[#This Row],[Gross Amount]]-Purchase[[#This Row],[Disct Amnt]]+Purchase[[#This Row],[GST Amount]]</f>
        <v>237562.32</v>
      </c>
      <c r="R1409" s="138" t="s">
        <v>1019</v>
      </c>
      <c r="S1409" s="41">
        <f>IF(Purchase[[#This Row],[Status]]="Cancelled",0,Purchase[[#This Row],[Qty]])</f>
        <v>38</v>
      </c>
      <c r="T1409" s="146">
        <f>IF(Purchase[[#This Row],[Status]]="Cancelled",0,Purchase[[#This Row],[Total Amount]])</f>
        <v>237562.32</v>
      </c>
      <c r="U1409" s="146">
        <f>SUM(Purchase[Net Amount])</f>
        <v>814985438.68000126</v>
      </c>
    </row>
    <row r="1410" spans="1:21" ht="19.5" thickBot="1" x14ac:dyDescent="0.3">
      <c r="A1410" s="136" t="s">
        <v>2463</v>
      </c>
      <c r="B1410" s="137">
        <v>45727</v>
      </c>
      <c r="C1410" s="138" t="s">
        <v>1279</v>
      </c>
      <c r="D1410" s="138" t="str">
        <f>VLOOKUP(Purchase[[#This Row],[Supplier ID]],Supplier[#All],2,0)</f>
        <v>National Distributors</v>
      </c>
      <c r="E1410" s="138">
        <f>VLOOKUP(Purchase[[#This Row],[Supplier ID]],Supplier[#All],3,0)</f>
        <v>9689542494</v>
      </c>
      <c r="F1410" s="138" t="str">
        <f>VLOOKUP(Purchase[[#This Row],[Supplier ID]],Supplier[#All],4,0)</f>
        <v>Korba</v>
      </c>
      <c r="G1410" s="138" t="str">
        <f>VLOOKUP(Purchase[[#This Row],[Supplier ID]],Supplier[#All],5,0)</f>
        <v>CG</v>
      </c>
      <c r="H1410" s="138" t="str">
        <f>VLOOKUP(Purchase[[#This Row],[Supplier ID]],Supplier[#All],6,0)</f>
        <v>GST2154521T056</v>
      </c>
      <c r="I1410" s="138" t="s">
        <v>523</v>
      </c>
      <c r="J1410" s="139">
        <v>31</v>
      </c>
      <c r="K1410" s="143">
        <f>VLOOKUP(Purchase[[#This Row],[Product ID]],Product[#All],6,0)</f>
        <v>1062</v>
      </c>
      <c r="L1410" s="143">
        <f>Purchase[[#This Row],[Purchase Rate]]*Purchase[[#This Row],[Qty]]</f>
        <v>32922</v>
      </c>
      <c r="M1410" s="140">
        <v>0</v>
      </c>
      <c r="N1410" s="143">
        <v>0</v>
      </c>
      <c r="O1410" s="140">
        <v>0.18</v>
      </c>
      <c r="P1410" s="145">
        <f>(Purchase[[#This Row],[Gross Amount]]-Purchase[[#This Row],[Disct %]])*Purchase[[#This Row],[GST %]]</f>
        <v>5925.96</v>
      </c>
      <c r="Q1410" s="145">
        <f>Purchase[[#This Row],[Gross Amount]]-Purchase[[#This Row],[Disct Amnt]]+Purchase[[#This Row],[GST Amount]]</f>
        <v>38847.96</v>
      </c>
      <c r="R1410" s="138" t="s">
        <v>1019</v>
      </c>
      <c r="S1410" s="41">
        <f>IF(Purchase[[#This Row],[Status]]="Cancelled",0,Purchase[[#This Row],[Qty]])</f>
        <v>31</v>
      </c>
      <c r="T1410" s="146">
        <f>IF(Purchase[[#This Row],[Status]]="Cancelled",0,Purchase[[#This Row],[Total Amount]])</f>
        <v>38847.96</v>
      </c>
      <c r="U1410" s="146">
        <f>SUM(Purchase[Net Amount])</f>
        <v>814985438.68000126</v>
      </c>
    </row>
    <row r="1411" spans="1:21" ht="19.5" thickBot="1" x14ac:dyDescent="0.3">
      <c r="A1411" s="136" t="s">
        <v>2464</v>
      </c>
      <c r="B1411" s="137">
        <v>45727</v>
      </c>
      <c r="C1411" s="138" t="s">
        <v>602</v>
      </c>
      <c r="D1411" s="138" t="str">
        <f>VLOOKUP(Purchase[[#This Row],[Supplier ID]],Supplier[#All],2,0)</f>
        <v>Maa Computers</v>
      </c>
      <c r="E1411" s="138">
        <f>VLOOKUP(Purchase[[#This Row],[Supplier ID]],Supplier[#All],3,0)</f>
        <v>9689542485</v>
      </c>
      <c r="F1411" s="138" t="str">
        <f>VLOOKUP(Purchase[[#This Row],[Supplier ID]],Supplier[#All],4,0)</f>
        <v>Korba</v>
      </c>
      <c r="G1411" s="138" t="str">
        <f>VLOOKUP(Purchase[[#This Row],[Supplier ID]],Supplier[#All],5,0)</f>
        <v>CG</v>
      </c>
      <c r="H1411" s="138" t="str">
        <f>VLOOKUP(Purchase[[#This Row],[Supplier ID]],Supplier[#All],6,0)</f>
        <v>GST2154521T047</v>
      </c>
      <c r="I1411" s="138" t="s">
        <v>496</v>
      </c>
      <c r="J1411" s="139">
        <v>5</v>
      </c>
      <c r="K1411" s="143">
        <f>VLOOKUP(Purchase[[#This Row],[Product ID]],Product[#All],6,0)</f>
        <v>1731</v>
      </c>
      <c r="L1411" s="143">
        <f>Purchase[[#This Row],[Purchase Rate]]*Purchase[[#This Row],[Qty]]</f>
        <v>8655</v>
      </c>
      <c r="M1411" s="140">
        <v>0</v>
      </c>
      <c r="N1411" s="143">
        <v>0</v>
      </c>
      <c r="O1411" s="140">
        <v>0.18</v>
      </c>
      <c r="P1411" s="145">
        <f>(Purchase[[#This Row],[Gross Amount]]-Purchase[[#This Row],[Disct %]])*Purchase[[#This Row],[GST %]]</f>
        <v>1557.8999999999999</v>
      </c>
      <c r="Q1411" s="145">
        <f>Purchase[[#This Row],[Gross Amount]]-Purchase[[#This Row],[Disct Amnt]]+Purchase[[#This Row],[GST Amount]]</f>
        <v>10212.9</v>
      </c>
      <c r="R1411" s="138" t="s">
        <v>1019</v>
      </c>
      <c r="S1411" s="41">
        <f>IF(Purchase[[#This Row],[Status]]="Cancelled",0,Purchase[[#This Row],[Qty]])</f>
        <v>5</v>
      </c>
      <c r="T1411" s="146">
        <f>IF(Purchase[[#This Row],[Status]]="Cancelled",0,Purchase[[#This Row],[Total Amount]])</f>
        <v>10212.9</v>
      </c>
      <c r="U1411" s="146">
        <f>SUM(Purchase[Net Amount])</f>
        <v>814985438.68000126</v>
      </c>
    </row>
    <row r="1412" spans="1:21" ht="19.5" thickBot="1" x14ac:dyDescent="0.3">
      <c r="A1412" s="136" t="s">
        <v>2465</v>
      </c>
      <c r="B1412" s="137">
        <v>45727</v>
      </c>
      <c r="C1412" s="138" t="s">
        <v>601</v>
      </c>
      <c r="D1412" s="138" t="str">
        <f>VLOOKUP(Purchase[[#This Row],[Supplier ID]],Supplier[#All],2,0)</f>
        <v>Maa Distributors</v>
      </c>
      <c r="E1412" s="138">
        <f>VLOOKUP(Purchase[[#This Row],[Supplier ID]],Supplier[#All],3,0)</f>
        <v>9689542484</v>
      </c>
      <c r="F1412" s="138" t="str">
        <f>VLOOKUP(Purchase[[#This Row],[Supplier ID]],Supplier[#All],4,0)</f>
        <v>Indore</v>
      </c>
      <c r="G1412" s="138" t="str">
        <f>VLOOKUP(Purchase[[#This Row],[Supplier ID]],Supplier[#All],5,0)</f>
        <v>MP</v>
      </c>
      <c r="H1412" s="138" t="str">
        <f>VLOOKUP(Purchase[[#This Row],[Supplier ID]],Supplier[#All],6,0)</f>
        <v>GST2154521T046</v>
      </c>
      <c r="I1412" s="138" t="s">
        <v>451</v>
      </c>
      <c r="J1412" s="139">
        <v>35</v>
      </c>
      <c r="K1412" s="143">
        <f>VLOOKUP(Purchase[[#This Row],[Product ID]],Product[#All],6,0)</f>
        <v>28254</v>
      </c>
      <c r="L1412" s="143">
        <f>Purchase[[#This Row],[Purchase Rate]]*Purchase[[#This Row],[Qty]]</f>
        <v>988890</v>
      </c>
      <c r="M1412" s="140">
        <v>0</v>
      </c>
      <c r="N1412" s="143">
        <v>0</v>
      </c>
      <c r="O1412" s="140">
        <v>0.18</v>
      </c>
      <c r="P1412" s="145">
        <f>(Purchase[[#This Row],[Gross Amount]]-Purchase[[#This Row],[Disct %]])*Purchase[[#This Row],[GST %]]</f>
        <v>178000.19999999998</v>
      </c>
      <c r="Q1412" s="145">
        <f>Purchase[[#This Row],[Gross Amount]]-Purchase[[#This Row],[Disct Amnt]]+Purchase[[#This Row],[GST Amount]]</f>
        <v>1166890.2</v>
      </c>
      <c r="R1412" s="138" t="s">
        <v>1019</v>
      </c>
      <c r="S1412" s="41">
        <f>IF(Purchase[[#This Row],[Status]]="Cancelled",0,Purchase[[#This Row],[Qty]])</f>
        <v>35</v>
      </c>
      <c r="T1412" s="146">
        <f>IF(Purchase[[#This Row],[Status]]="Cancelled",0,Purchase[[#This Row],[Total Amount]])</f>
        <v>1166890.2</v>
      </c>
      <c r="U1412" s="146">
        <f>SUM(Purchase[Net Amount])</f>
        <v>814985438.68000126</v>
      </c>
    </row>
    <row r="1413" spans="1:21" ht="19.5" thickBot="1" x14ac:dyDescent="0.3">
      <c r="A1413" s="136" t="s">
        <v>2466</v>
      </c>
      <c r="B1413" s="137">
        <v>45727</v>
      </c>
      <c r="C1413" s="138" t="s">
        <v>609</v>
      </c>
      <c r="D1413" s="138" t="str">
        <f>VLOOKUP(Purchase[[#This Row],[Supplier ID]],Supplier[#All],2,0)</f>
        <v>Star Suppliers</v>
      </c>
      <c r="E1413" s="138">
        <f>VLOOKUP(Purchase[[#This Row],[Supplier ID]],Supplier[#All],3,0)</f>
        <v>9689542492</v>
      </c>
      <c r="F1413" s="138" t="str">
        <f>VLOOKUP(Purchase[[#This Row],[Supplier ID]],Supplier[#All],4,0)</f>
        <v>Kanpur</v>
      </c>
      <c r="G1413" s="138" t="str">
        <f>VLOOKUP(Purchase[[#This Row],[Supplier ID]],Supplier[#All],5,0)</f>
        <v>UP</v>
      </c>
      <c r="H1413" s="138" t="str">
        <f>VLOOKUP(Purchase[[#This Row],[Supplier ID]],Supplier[#All],6,0)</f>
        <v>GST2154521T054</v>
      </c>
      <c r="I1413" s="138" t="s">
        <v>359</v>
      </c>
      <c r="J1413" s="139">
        <v>35</v>
      </c>
      <c r="K1413" s="143">
        <f>VLOOKUP(Purchase[[#This Row],[Product ID]],Product[#All],6,0)</f>
        <v>922</v>
      </c>
      <c r="L1413" s="143">
        <f>Purchase[[#This Row],[Purchase Rate]]*Purchase[[#This Row],[Qty]]</f>
        <v>32270</v>
      </c>
      <c r="M1413" s="140">
        <v>0</v>
      </c>
      <c r="N1413" s="143">
        <v>0</v>
      </c>
      <c r="O1413" s="140">
        <v>0.18</v>
      </c>
      <c r="P1413" s="145">
        <f>(Purchase[[#This Row],[Gross Amount]]-Purchase[[#This Row],[Disct %]])*Purchase[[#This Row],[GST %]]</f>
        <v>5808.5999999999995</v>
      </c>
      <c r="Q1413" s="145">
        <f>Purchase[[#This Row],[Gross Amount]]-Purchase[[#This Row],[Disct Amnt]]+Purchase[[#This Row],[GST Amount]]</f>
        <v>38078.6</v>
      </c>
      <c r="R1413" s="138" t="s">
        <v>1019</v>
      </c>
      <c r="S1413" s="41">
        <f>IF(Purchase[[#This Row],[Status]]="Cancelled",0,Purchase[[#This Row],[Qty]])</f>
        <v>35</v>
      </c>
      <c r="T1413" s="146">
        <f>IF(Purchase[[#This Row],[Status]]="Cancelled",0,Purchase[[#This Row],[Total Amount]])</f>
        <v>38078.6</v>
      </c>
      <c r="U1413" s="146">
        <f>SUM(Purchase[Net Amount])</f>
        <v>814985438.68000126</v>
      </c>
    </row>
    <row r="1414" spans="1:21" ht="19.5" thickBot="1" x14ac:dyDescent="0.3">
      <c r="A1414" s="136" t="s">
        <v>2467</v>
      </c>
      <c r="B1414" s="137">
        <v>45728</v>
      </c>
      <c r="C1414" s="138" t="s">
        <v>571</v>
      </c>
      <c r="D1414" s="138" t="str">
        <f>VLOOKUP(Purchase[[#This Row],[Supplier ID]],Supplier[#All],2,0)</f>
        <v>Tech Suppliers</v>
      </c>
      <c r="E1414" s="138">
        <f>VLOOKUP(Purchase[[#This Row],[Supplier ID]],Supplier[#All],3,0)</f>
        <v>9689542457</v>
      </c>
      <c r="F1414" s="138" t="str">
        <f>VLOOKUP(Purchase[[#This Row],[Supplier ID]],Supplier[#All],4,0)</f>
        <v>Korba</v>
      </c>
      <c r="G1414" s="138" t="str">
        <f>VLOOKUP(Purchase[[#This Row],[Supplier ID]],Supplier[#All],5,0)</f>
        <v>CG</v>
      </c>
      <c r="H1414" s="138" t="str">
        <f>VLOOKUP(Purchase[[#This Row],[Supplier ID]],Supplier[#All],6,0)</f>
        <v>GST2154521T019</v>
      </c>
      <c r="I1414" s="138" t="s">
        <v>223</v>
      </c>
      <c r="J1414" s="139">
        <v>31</v>
      </c>
      <c r="K1414" s="143">
        <f>VLOOKUP(Purchase[[#This Row],[Product ID]],Product[#All],6,0)</f>
        <v>8461</v>
      </c>
      <c r="L1414" s="143">
        <f>Purchase[[#This Row],[Purchase Rate]]*Purchase[[#This Row],[Qty]]</f>
        <v>262291</v>
      </c>
      <c r="M1414" s="140">
        <v>0</v>
      </c>
      <c r="N1414" s="143">
        <v>0</v>
      </c>
      <c r="O1414" s="140">
        <v>0.18</v>
      </c>
      <c r="P1414" s="145">
        <f>(Purchase[[#This Row],[Gross Amount]]-Purchase[[#This Row],[Disct %]])*Purchase[[#This Row],[GST %]]</f>
        <v>47212.38</v>
      </c>
      <c r="Q1414" s="145">
        <f>Purchase[[#This Row],[Gross Amount]]-Purchase[[#This Row],[Disct Amnt]]+Purchase[[#This Row],[GST Amount]]</f>
        <v>309503.38</v>
      </c>
      <c r="R1414" s="138" t="s">
        <v>1019</v>
      </c>
      <c r="S1414" s="41">
        <f>IF(Purchase[[#This Row],[Status]]="Cancelled",0,Purchase[[#This Row],[Qty]])</f>
        <v>31</v>
      </c>
      <c r="T1414" s="146">
        <f>IF(Purchase[[#This Row],[Status]]="Cancelled",0,Purchase[[#This Row],[Total Amount]])</f>
        <v>309503.38</v>
      </c>
      <c r="U1414" s="146">
        <f>SUM(Purchase[Net Amount])</f>
        <v>814985438.68000126</v>
      </c>
    </row>
    <row r="1415" spans="1:21" ht="19.5" thickBot="1" x14ac:dyDescent="0.3">
      <c r="A1415" s="136" t="s">
        <v>2468</v>
      </c>
      <c r="B1415" s="137">
        <v>45728</v>
      </c>
      <c r="C1415" s="138" t="s">
        <v>565</v>
      </c>
      <c r="D1415" s="138" t="str">
        <f>VLOOKUP(Purchase[[#This Row],[Supplier ID]],Supplier[#All],2,0)</f>
        <v>Global Suppliers</v>
      </c>
      <c r="E1415" s="138">
        <f>VLOOKUP(Purchase[[#This Row],[Supplier ID]],Supplier[#All],3,0)</f>
        <v>9689542459</v>
      </c>
      <c r="F1415" s="138" t="str">
        <f>VLOOKUP(Purchase[[#This Row],[Supplier ID]],Supplier[#All],4,0)</f>
        <v>Indore</v>
      </c>
      <c r="G1415" s="138" t="str">
        <f>VLOOKUP(Purchase[[#This Row],[Supplier ID]],Supplier[#All],5,0)</f>
        <v>MP</v>
      </c>
      <c r="H1415" s="138" t="str">
        <f>VLOOKUP(Purchase[[#This Row],[Supplier ID]],Supplier[#All],6,0)</f>
        <v>GST2154521T013</v>
      </c>
      <c r="I1415" s="138" t="s">
        <v>102</v>
      </c>
      <c r="J1415" s="139">
        <v>28</v>
      </c>
      <c r="K1415" s="143">
        <f>VLOOKUP(Purchase[[#This Row],[Product ID]],Product[#All],6,0)</f>
        <v>10483</v>
      </c>
      <c r="L1415" s="143">
        <f>Purchase[[#This Row],[Purchase Rate]]*Purchase[[#This Row],[Qty]]</f>
        <v>293524</v>
      </c>
      <c r="M1415" s="140">
        <v>0</v>
      </c>
      <c r="N1415" s="143">
        <v>0</v>
      </c>
      <c r="O1415" s="140">
        <v>0.18</v>
      </c>
      <c r="P1415" s="145">
        <f>(Purchase[[#This Row],[Gross Amount]]-Purchase[[#This Row],[Disct %]])*Purchase[[#This Row],[GST %]]</f>
        <v>52834.32</v>
      </c>
      <c r="Q1415" s="145">
        <f>Purchase[[#This Row],[Gross Amount]]-Purchase[[#This Row],[Disct Amnt]]+Purchase[[#This Row],[GST Amount]]</f>
        <v>346358.32</v>
      </c>
      <c r="R1415" s="138" t="s">
        <v>1019</v>
      </c>
      <c r="S1415" s="41">
        <f>IF(Purchase[[#This Row],[Status]]="Cancelled",0,Purchase[[#This Row],[Qty]])</f>
        <v>28</v>
      </c>
      <c r="T1415" s="146">
        <f>IF(Purchase[[#This Row],[Status]]="Cancelled",0,Purchase[[#This Row],[Total Amount]])</f>
        <v>346358.32</v>
      </c>
      <c r="U1415" s="146">
        <f>SUM(Purchase[Net Amount])</f>
        <v>814985438.68000126</v>
      </c>
    </row>
    <row r="1416" spans="1:21" ht="19.5" thickBot="1" x14ac:dyDescent="0.3">
      <c r="A1416" s="136" t="s">
        <v>2469</v>
      </c>
      <c r="B1416" s="137">
        <v>45728</v>
      </c>
      <c r="C1416" s="138" t="s">
        <v>601</v>
      </c>
      <c r="D1416" s="138" t="str">
        <f>VLOOKUP(Purchase[[#This Row],[Supplier ID]],Supplier[#All],2,0)</f>
        <v>Maa Distributors</v>
      </c>
      <c r="E1416" s="138">
        <f>VLOOKUP(Purchase[[#This Row],[Supplier ID]],Supplier[#All],3,0)</f>
        <v>9689542484</v>
      </c>
      <c r="F1416" s="138" t="str">
        <f>VLOOKUP(Purchase[[#This Row],[Supplier ID]],Supplier[#All],4,0)</f>
        <v>Indore</v>
      </c>
      <c r="G1416" s="138" t="str">
        <f>VLOOKUP(Purchase[[#This Row],[Supplier ID]],Supplier[#All],5,0)</f>
        <v>MP</v>
      </c>
      <c r="H1416" s="138" t="str">
        <f>VLOOKUP(Purchase[[#This Row],[Supplier ID]],Supplier[#All],6,0)</f>
        <v>GST2154521T046</v>
      </c>
      <c r="I1416" s="138" t="s">
        <v>502</v>
      </c>
      <c r="J1416" s="139">
        <v>15</v>
      </c>
      <c r="K1416" s="143">
        <f>VLOOKUP(Purchase[[#This Row],[Product ID]],Product[#All],6,0)</f>
        <v>24343</v>
      </c>
      <c r="L1416" s="143">
        <f>Purchase[[#This Row],[Purchase Rate]]*Purchase[[#This Row],[Qty]]</f>
        <v>365145</v>
      </c>
      <c r="M1416" s="140">
        <v>0</v>
      </c>
      <c r="N1416" s="143">
        <v>0</v>
      </c>
      <c r="O1416" s="140">
        <v>0.18</v>
      </c>
      <c r="P1416" s="145">
        <f>(Purchase[[#This Row],[Gross Amount]]-Purchase[[#This Row],[Disct %]])*Purchase[[#This Row],[GST %]]</f>
        <v>65726.099999999991</v>
      </c>
      <c r="Q1416" s="145">
        <f>Purchase[[#This Row],[Gross Amount]]-Purchase[[#This Row],[Disct Amnt]]+Purchase[[#This Row],[GST Amount]]</f>
        <v>430871.1</v>
      </c>
      <c r="R1416" s="138" t="s">
        <v>1019</v>
      </c>
      <c r="S1416" s="41">
        <f>IF(Purchase[[#This Row],[Status]]="Cancelled",0,Purchase[[#This Row],[Qty]])</f>
        <v>15</v>
      </c>
      <c r="T1416" s="146">
        <f>IF(Purchase[[#This Row],[Status]]="Cancelled",0,Purchase[[#This Row],[Total Amount]])</f>
        <v>430871.1</v>
      </c>
      <c r="U1416" s="146">
        <f>SUM(Purchase[Net Amount])</f>
        <v>814985438.68000126</v>
      </c>
    </row>
    <row r="1417" spans="1:21" ht="19.5" thickBot="1" x14ac:dyDescent="0.3">
      <c r="A1417" s="136" t="s">
        <v>2470</v>
      </c>
      <c r="B1417" s="137">
        <v>45728</v>
      </c>
      <c r="C1417" s="138" t="s">
        <v>604</v>
      </c>
      <c r="D1417" s="138" t="str">
        <f>VLOOKUP(Purchase[[#This Row],[Supplier ID]],Supplier[#All],2,0)</f>
        <v>Prime Traders</v>
      </c>
      <c r="E1417" s="138">
        <f>VLOOKUP(Purchase[[#This Row],[Supplier ID]],Supplier[#All],3,0)</f>
        <v>9689542487</v>
      </c>
      <c r="F1417" s="138" t="str">
        <f>VLOOKUP(Purchase[[#This Row],[Supplier ID]],Supplier[#All],4,0)</f>
        <v>Indore</v>
      </c>
      <c r="G1417" s="138" t="str">
        <f>VLOOKUP(Purchase[[#This Row],[Supplier ID]],Supplier[#All],5,0)</f>
        <v>MP</v>
      </c>
      <c r="H1417" s="138" t="str">
        <f>VLOOKUP(Purchase[[#This Row],[Supplier ID]],Supplier[#All],6,0)</f>
        <v>GST2154521T049</v>
      </c>
      <c r="I1417" s="138" t="s">
        <v>223</v>
      </c>
      <c r="J1417" s="139">
        <v>10</v>
      </c>
      <c r="K1417" s="143">
        <f>VLOOKUP(Purchase[[#This Row],[Product ID]],Product[#All],6,0)</f>
        <v>8461</v>
      </c>
      <c r="L1417" s="143">
        <f>Purchase[[#This Row],[Purchase Rate]]*Purchase[[#This Row],[Qty]]</f>
        <v>84610</v>
      </c>
      <c r="M1417" s="140">
        <v>0</v>
      </c>
      <c r="N1417" s="143">
        <v>0</v>
      </c>
      <c r="O1417" s="140">
        <v>0.18</v>
      </c>
      <c r="P1417" s="145">
        <f>(Purchase[[#This Row],[Gross Amount]]-Purchase[[#This Row],[Disct %]])*Purchase[[#This Row],[GST %]]</f>
        <v>15229.8</v>
      </c>
      <c r="Q1417" s="145">
        <f>Purchase[[#This Row],[Gross Amount]]-Purchase[[#This Row],[Disct Amnt]]+Purchase[[#This Row],[GST Amount]]</f>
        <v>99839.8</v>
      </c>
      <c r="R1417" s="138" t="s">
        <v>1019</v>
      </c>
      <c r="S1417" s="41">
        <f>IF(Purchase[[#This Row],[Status]]="Cancelled",0,Purchase[[#This Row],[Qty]])</f>
        <v>10</v>
      </c>
      <c r="T1417" s="146">
        <f>IF(Purchase[[#This Row],[Status]]="Cancelled",0,Purchase[[#This Row],[Total Amount]])</f>
        <v>99839.8</v>
      </c>
      <c r="U1417" s="146">
        <f>SUM(Purchase[Net Amount])</f>
        <v>814985438.68000126</v>
      </c>
    </row>
    <row r="1418" spans="1:21" ht="19.5" thickBot="1" x14ac:dyDescent="0.3">
      <c r="A1418" s="136" t="s">
        <v>2471</v>
      </c>
      <c r="B1418" s="137">
        <v>45728</v>
      </c>
      <c r="C1418" s="138" t="s">
        <v>595</v>
      </c>
      <c r="D1418" s="138" t="str">
        <f>VLOOKUP(Purchase[[#This Row],[Supplier ID]],Supplier[#All],2,0)</f>
        <v>Star Computers</v>
      </c>
      <c r="E1418" s="138">
        <f>VLOOKUP(Purchase[[#This Row],[Supplier ID]],Supplier[#All],3,0)</f>
        <v>9689542478</v>
      </c>
      <c r="F1418" s="138" t="str">
        <f>VLOOKUP(Purchase[[#This Row],[Supplier ID]],Supplier[#All],4,0)</f>
        <v>Kanpur</v>
      </c>
      <c r="G1418" s="138" t="str">
        <f>VLOOKUP(Purchase[[#This Row],[Supplier ID]],Supplier[#All],5,0)</f>
        <v>UP</v>
      </c>
      <c r="H1418" s="138" t="str">
        <f>VLOOKUP(Purchase[[#This Row],[Supplier ID]],Supplier[#All],6,0)</f>
        <v>GST2154521T040</v>
      </c>
      <c r="I1418" s="138" t="s">
        <v>265</v>
      </c>
      <c r="J1418" s="139">
        <v>2</v>
      </c>
      <c r="K1418" s="143">
        <f>VLOOKUP(Purchase[[#This Row],[Product ID]],Product[#All],6,0)</f>
        <v>28871</v>
      </c>
      <c r="L1418" s="143">
        <f>Purchase[[#This Row],[Purchase Rate]]*Purchase[[#This Row],[Qty]]</f>
        <v>57742</v>
      </c>
      <c r="M1418" s="140">
        <v>0</v>
      </c>
      <c r="N1418" s="143">
        <v>0</v>
      </c>
      <c r="O1418" s="140">
        <v>0.18</v>
      </c>
      <c r="P1418" s="145">
        <f>(Purchase[[#This Row],[Gross Amount]]-Purchase[[#This Row],[Disct %]])*Purchase[[#This Row],[GST %]]</f>
        <v>10393.56</v>
      </c>
      <c r="Q1418" s="145">
        <f>Purchase[[#This Row],[Gross Amount]]-Purchase[[#This Row],[Disct Amnt]]+Purchase[[#This Row],[GST Amount]]</f>
        <v>68135.56</v>
      </c>
      <c r="R1418" s="138" t="s">
        <v>1019</v>
      </c>
      <c r="S1418" s="41">
        <f>IF(Purchase[[#This Row],[Status]]="Cancelled",0,Purchase[[#This Row],[Qty]])</f>
        <v>2</v>
      </c>
      <c r="T1418" s="146">
        <f>IF(Purchase[[#This Row],[Status]]="Cancelled",0,Purchase[[#This Row],[Total Amount]])</f>
        <v>68135.56</v>
      </c>
      <c r="U1418" s="146">
        <f>SUM(Purchase[Net Amount])</f>
        <v>814985438.68000126</v>
      </c>
    </row>
    <row r="1419" spans="1:21" ht="19.5" thickBot="1" x14ac:dyDescent="0.3">
      <c r="A1419" s="136" t="s">
        <v>2472</v>
      </c>
      <c r="B1419" s="137">
        <v>45728</v>
      </c>
      <c r="C1419" s="138" t="s">
        <v>611</v>
      </c>
      <c r="D1419" s="138" t="str">
        <f>VLOOKUP(Purchase[[#This Row],[Supplier ID]],Supplier[#All],2,0)</f>
        <v>National Distributors</v>
      </c>
      <c r="E1419" s="138">
        <f>VLOOKUP(Purchase[[#This Row],[Supplier ID]],Supplier[#All],3,0)</f>
        <v>9689542494</v>
      </c>
      <c r="F1419" s="138" t="str">
        <f>VLOOKUP(Purchase[[#This Row],[Supplier ID]],Supplier[#All],4,0)</f>
        <v>Korba</v>
      </c>
      <c r="G1419" s="138" t="str">
        <f>VLOOKUP(Purchase[[#This Row],[Supplier ID]],Supplier[#All],5,0)</f>
        <v>CG</v>
      </c>
      <c r="H1419" s="138" t="str">
        <f>VLOOKUP(Purchase[[#This Row],[Supplier ID]],Supplier[#All],6,0)</f>
        <v>GST2154521T056</v>
      </c>
      <c r="I1419" s="138" t="s">
        <v>499</v>
      </c>
      <c r="J1419" s="139">
        <v>10</v>
      </c>
      <c r="K1419" s="143">
        <f>VLOOKUP(Purchase[[#This Row],[Product ID]],Product[#All],6,0)</f>
        <v>69609</v>
      </c>
      <c r="L1419" s="143">
        <f>Purchase[[#This Row],[Purchase Rate]]*Purchase[[#This Row],[Qty]]</f>
        <v>696090</v>
      </c>
      <c r="M1419" s="140">
        <v>0</v>
      </c>
      <c r="N1419" s="143">
        <v>0</v>
      </c>
      <c r="O1419" s="140">
        <v>0.18</v>
      </c>
      <c r="P1419" s="145">
        <f>(Purchase[[#This Row],[Gross Amount]]-Purchase[[#This Row],[Disct %]])*Purchase[[#This Row],[GST %]]</f>
        <v>125296.2</v>
      </c>
      <c r="Q1419" s="145">
        <f>Purchase[[#This Row],[Gross Amount]]-Purchase[[#This Row],[Disct Amnt]]+Purchase[[#This Row],[GST Amount]]</f>
        <v>821386.2</v>
      </c>
      <c r="R1419" s="138" t="s">
        <v>1019</v>
      </c>
      <c r="S1419" s="41">
        <f>IF(Purchase[[#This Row],[Status]]="Cancelled",0,Purchase[[#This Row],[Qty]])</f>
        <v>10</v>
      </c>
      <c r="T1419" s="146">
        <f>IF(Purchase[[#This Row],[Status]]="Cancelled",0,Purchase[[#This Row],[Total Amount]])</f>
        <v>821386.2</v>
      </c>
      <c r="U1419" s="146">
        <f>SUM(Purchase[Net Amount])</f>
        <v>814985438.68000126</v>
      </c>
    </row>
    <row r="1420" spans="1:21" ht="19.5" thickBot="1" x14ac:dyDescent="0.3">
      <c r="A1420" s="136" t="s">
        <v>2473</v>
      </c>
      <c r="B1420" s="137">
        <v>45728</v>
      </c>
      <c r="C1420" s="138" t="s">
        <v>566</v>
      </c>
      <c r="D1420" s="138" t="str">
        <f>VLOOKUP(Purchase[[#This Row],[Supplier ID]],Supplier[#All],2,0)</f>
        <v>Maa Computers</v>
      </c>
      <c r="E1420" s="138">
        <f>VLOOKUP(Purchase[[#This Row],[Supplier ID]],Supplier[#All],3,0)</f>
        <v>9689542452</v>
      </c>
      <c r="F1420" s="138" t="str">
        <f>VLOOKUP(Purchase[[#This Row],[Supplier ID]],Supplier[#All],4,0)</f>
        <v>Kanpur</v>
      </c>
      <c r="G1420" s="138" t="str">
        <f>VLOOKUP(Purchase[[#This Row],[Supplier ID]],Supplier[#All],5,0)</f>
        <v>UP</v>
      </c>
      <c r="H1420" s="138" t="str">
        <f>VLOOKUP(Purchase[[#This Row],[Supplier ID]],Supplier[#All],6,0)</f>
        <v>GST2154521T014</v>
      </c>
      <c r="I1420" s="138" t="s">
        <v>336</v>
      </c>
      <c r="J1420" s="139">
        <v>12</v>
      </c>
      <c r="K1420" s="143">
        <f>VLOOKUP(Purchase[[#This Row],[Product ID]],Product[#All],6,0)</f>
        <v>1127</v>
      </c>
      <c r="L1420" s="143">
        <f>Purchase[[#This Row],[Purchase Rate]]*Purchase[[#This Row],[Qty]]</f>
        <v>13524</v>
      </c>
      <c r="M1420" s="140">
        <v>0</v>
      </c>
      <c r="N1420" s="143">
        <v>0</v>
      </c>
      <c r="O1420" s="140">
        <v>0.18</v>
      </c>
      <c r="P1420" s="145">
        <f>(Purchase[[#This Row],[Gross Amount]]-Purchase[[#This Row],[Disct %]])*Purchase[[#This Row],[GST %]]</f>
        <v>2434.3199999999997</v>
      </c>
      <c r="Q1420" s="145">
        <f>Purchase[[#This Row],[Gross Amount]]-Purchase[[#This Row],[Disct Amnt]]+Purchase[[#This Row],[GST Amount]]</f>
        <v>15958.32</v>
      </c>
      <c r="R1420" s="138" t="s">
        <v>1019</v>
      </c>
      <c r="S1420" s="41">
        <f>IF(Purchase[[#This Row],[Status]]="Cancelled",0,Purchase[[#This Row],[Qty]])</f>
        <v>12</v>
      </c>
      <c r="T1420" s="146">
        <f>IF(Purchase[[#This Row],[Status]]="Cancelled",0,Purchase[[#This Row],[Total Amount]])</f>
        <v>15958.32</v>
      </c>
      <c r="U1420" s="146">
        <f>SUM(Purchase[Net Amount])</f>
        <v>814985438.68000126</v>
      </c>
    </row>
    <row r="1421" spans="1:21" ht="19.5" thickBot="1" x14ac:dyDescent="0.3">
      <c r="A1421" s="136" t="s">
        <v>2474</v>
      </c>
      <c r="B1421" s="137">
        <v>45728</v>
      </c>
      <c r="C1421" s="138" t="s">
        <v>581</v>
      </c>
      <c r="D1421" s="138" t="str">
        <f>VLOOKUP(Purchase[[#This Row],[Supplier ID]],Supplier[#All],2,0)</f>
        <v>Prime Electronics</v>
      </c>
      <c r="E1421" s="138">
        <f>VLOOKUP(Purchase[[#This Row],[Supplier ID]],Supplier[#All],3,0)</f>
        <v>9689542465</v>
      </c>
      <c r="F1421" s="138" t="str">
        <f>VLOOKUP(Purchase[[#This Row],[Supplier ID]],Supplier[#All],4,0)</f>
        <v>Korba</v>
      </c>
      <c r="G1421" s="138" t="str">
        <f>VLOOKUP(Purchase[[#This Row],[Supplier ID]],Supplier[#All],5,0)</f>
        <v>CG</v>
      </c>
      <c r="H1421" s="138" t="str">
        <f>VLOOKUP(Purchase[[#This Row],[Supplier ID]],Supplier[#All],6,0)</f>
        <v>GST2154521T027</v>
      </c>
      <c r="I1421" s="138" t="s">
        <v>151</v>
      </c>
      <c r="J1421" s="139">
        <v>26</v>
      </c>
      <c r="K1421" s="143">
        <f>VLOOKUP(Purchase[[#This Row],[Product ID]],Product[#All],6,0)</f>
        <v>5716</v>
      </c>
      <c r="L1421" s="143">
        <f>Purchase[[#This Row],[Purchase Rate]]*Purchase[[#This Row],[Qty]]</f>
        <v>148616</v>
      </c>
      <c r="M1421" s="140">
        <v>0</v>
      </c>
      <c r="N1421" s="143">
        <v>0</v>
      </c>
      <c r="O1421" s="140">
        <v>0.18</v>
      </c>
      <c r="P1421" s="145">
        <f>(Purchase[[#This Row],[Gross Amount]]-Purchase[[#This Row],[Disct %]])*Purchase[[#This Row],[GST %]]</f>
        <v>26750.879999999997</v>
      </c>
      <c r="Q1421" s="145">
        <f>Purchase[[#This Row],[Gross Amount]]-Purchase[[#This Row],[Disct Amnt]]+Purchase[[#This Row],[GST Amount]]</f>
        <v>175366.88</v>
      </c>
      <c r="R1421" s="138" t="s">
        <v>1019</v>
      </c>
      <c r="S1421" s="41">
        <f>IF(Purchase[[#This Row],[Status]]="Cancelled",0,Purchase[[#This Row],[Qty]])</f>
        <v>26</v>
      </c>
      <c r="T1421" s="146">
        <f>IF(Purchase[[#This Row],[Status]]="Cancelled",0,Purchase[[#This Row],[Total Amount]])</f>
        <v>175366.88</v>
      </c>
      <c r="U1421" s="146">
        <f>SUM(Purchase[Net Amount])</f>
        <v>814985438.68000126</v>
      </c>
    </row>
    <row r="1422" spans="1:21" ht="19.5" thickBot="1" x14ac:dyDescent="0.3">
      <c r="A1422" s="136" t="s">
        <v>2475</v>
      </c>
      <c r="B1422" s="137">
        <v>45728</v>
      </c>
      <c r="C1422" s="138" t="s">
        <v>595</v>
      </c>
      <c r="D1422" s="138" t="str">
        <f>VLOOKUP(Purchase[[#This Row],[Supplier ID]],Supplier[#All],2,0)</f>
        <v>Star Computers</v>
      </c>
      <c r="E1422" s="138">
        <f>VLOOKUP(Purchase[[#This Row],[Supplier ID]],Supplier[#All],3,0)</f>
        <v>9689542478</v>
      </c>
      <c r="F1422" s="138" t="str">
        <f>VLOOKUP(Purchase[[#This Row],[Supplier ID]],Supplier[#All],4,0)</f>
        <v>Kanpur</v>
      </c>
      <c r="G1422" s="138" t="str">
        <f>VLOOKUP(Purchase[[#This Row],[Supplier ID]],Supplier[#All],5,0)</f>
        <v>UP</v>
      </c>
      <c r="H1422" s="138" t="str">
        <f>VLOOKUP(Purchase[[#This Row],[Supplier ID]],Supplier[#All],6,0)</f>
        <v>GST2154521T040</v>
      </c>
      <c r="I1422" s="138" t="s">
        <v>49</v>
      </c>
      <c r="J1422" s="139">
        <v>18</v>
      </c>
      <c r="K1422" s="143">
        <f>VLOOKUP(Purchase[[#This Row],[Product ID]],Product[#All],6,0)</f>
        <v>798</v>
      </c>
      <c r="L1422" s="143">
        <f>Purchase[[#This Row],[Purchase Rate]]*Purchase[[#This Row],[Qty]]</f>
        <v>14364</v>
      </c>
      <c r="M1422" s="140">
        <v>0</v>
      </c>
      <c r="N1422" s="143">
        <v>0</v>
      </c>
      <c r="O1422" s="140">
        <v>0.18</v>
      </c>
      <c r="P1422" s="145">
        <f>(Purchase[[#This Row],[Gross Amount]]-Purchase[[#This Row],[Disct %]])*Purchase[[#This Row],[GST %]]</f>
        <v>2585.52</v>
      </c>
      <c r="Q1422" s="145">
        <f>Purchase[[#This Row],[Gross Amount]]-Purchase[[#This Row],[Disct Amnt]]+Purchase[[#This Row],[GST Amount]]</f>
        <v>16949.52</v>
      </c>
      <c r="R1422" s="138" t="s">
        <v>1019</v>
      </c>
      <c r="S1422" s="41">
        <f>IF(Purchase[[#This Row],[Status]]="Cancelled",0,Purchase[[#This Row],[Qty]])</f>
        <v>18</v>
      </c>
      <c r="T1422" s="146">
        <f>IF(Purchase[[#This Row],[Status]]="Cancelled",0,Purchase[[#This Row],[Total Amount]])</f>
        <v>16949.52</v>
      </c>
      <c r="U1422" s="146">
        <f>SUM(Purchase[Net Amount])</f>
        <v>814985438.68000126</v>
      </c>
    </row>
    <row r="1423" spans="1:21" ht="19.5" thickBot="1" x14ac:dyDescent="0.3">
      <c r="A1423" s="136" t="s">
        <v>2476</v>
      </c>
      <c r="B1423" s="137">
        <v>45728</v>
      </c>
      <c r="C1423" s="138" t="s">
        <v>606</v>
      </c>
      <c r="D1423" s="138" t="str">
        <f>VLOOKUP(Purchase[[#This Row],[Supplier ID]],Supplier[#All],2,0)</f>
        <v>Prime Traders</v>
      </c>
      <c r="E1423" s="138">
        <f>VLOOKUP(Purchase[[#This Row],[Supplier ID]],Supplier[#All],3,0)</f>
        <v>9689542489</v>
      </c>
      <c r="F1423" s="138" t="str">
        <f>VLOOKUP(Purchase[[#This Row],[Supplier ID]],Supplier[#All],4,0)</f>
        <v>Indore</v>
      </c>
      <c r="G1423" s="138" t="str">
        <f>VLOOKUP(Purchase[[#This Row],[Supplier ID]],Supplier[#All],5,0)</f>
        <v>MP</v>
      </c>
      <c r="H1423" s="138" t="str">
        <f>VLOOKUP(Purchase[[#This Row],[Supplier ID]],Supplier[#All],6,0)</f>
        <v>GST2154521T051</v>
      </c>
      <c r="I1423" s="138" t="s">
        <v>137</v>
      </c>
      <c r="J1423" s="139">
        <v>36</v>
      </c>
      <c r="K1423" s="143">
        <f>VLOOKUP(Purchase[[#This Row],[Product ID]],Product[#All],6,0)</f>
        <v>6071</v>
      </c>
      <c r="L1423" s="143">
        <f>Purchase[[#This Row],[Purchase Rate]]*Purchase[[#This Row],[Qty]]</f>
        <v>218556</v>
      </c>
      <c r="M1423" s="140">
        <v>0</v>
      </c>
      <c r="N1423" s="143">
        <v>0</v>
      </c>
      <c r="O1423" s="140">
        <v>0.18</v>
      </c>
      <c r="P1423" s="145">
        <f>(Purchase[[#This Row],[Gross Amount]]-Purchase[[#This Row],[Disct %]])*Purchase[[#This Row],[GST %]]</f>
        <v>39340.080000000002</v>
      </c>
      <c r="Q1423" s="145">
        <f>Purchase[[#This Row],[Gross Amount]]-Purchase[[#This Row],[Disct Amnt]]+Purchase[[#This Row],[GST Amount]]</f>
        <v>257896.08000000002</v>
      </c>
      <c r="R1423" s="138" t="s">
        <v>1019</v>
      </c>
      <c r="S1423" s="41">
        <f>IF(Purchase[[#This Row],[Status]]="Cancelled",0,Purchase[[#This Row],[Qty]])</f>
        <v>36</v>
      </c>
      <c r="T1423" s="146">
        <f>IF(Purchase[[#This Row],[Status]]="Cancelled",0,Purchase[[#This Row],[Total Amount]])</f>
        <v>257896.08000000002</v>
      </c>
      <c r="U1423" s="146">
        <f>SUM(Purchase[Net Amount])</f>
        <v>814985438.68000126</v>
      </c>
    </row>
    <row r="1424" spans="1:21" ht="19.5" thickBot="1" x14ac:dyDescent="0.3">
      <c r="A1424" s="136" t="s">
        <v>2477</v>
      </c>
      <c r="B1424" s="137">
        <v>45728</v>
      </c>
      <c r="C1424" s="138" t="s">
        <v>593</v>
      </c>
      <c r="D1424" s="138" t="str">
        <f>VLOOKUP(Purchase[[#This Row],[Supplier ID]],Supplier[#All],2,0)</f>
        <v>Global Suppliers</v>
      </c>
      <c r="E1424" s="138">
        <f>VLOOKUP(Purchase[[#This Row],[Supplier ID]],Supplier[#All],3,0)</f>
        <v>9689542476</v>
      </c>
      <c r="F1424" s="138" t="str">
        <f>VLOOKUP(Purchase[[#This Row],[Supplier ID]],Supplier[#All],4,0)</f>
        <v>Korba</v>
      </c>
      <c r="G1424" s="138" t="str">
        <f>VLOOKUP(Purchase[[#This Row],[Supplier ID]],Supplier[#All],5,0)</f>
        <v>CG</v>
      </c>
      <c r="H1424" s="138" t="str">
        <f>VLOOKUP(Purchase[[#This Row],[Supplier ID]],Supplier[#All],6,0)</f>
        <v>GST2154521T038</v>
      </c>
      <c r="I1424" s="138" t="s">
        <v>341</v>
      </c>
      <c r="J1424" s="139">
        <v>8</v>
      </c>
      <c r="K1424" s="143">
        <f>VLOOKUP(Purchase[[#This Row],[Product ID]],Product[#All],6,0)</f>
        <v>17041</v>
      </c>
      <c r="L1424" s="143">
        <f>Purchase[[#This Row],[Purchase Rate]]*Purchase[[#This Row],[Qty]]</f>
        <v>136328</v>
      </c>
      <c r="M1424" s="140">
        <v>0</v>
      </c>
      <c r="N1424" s="143">
        <v>0</v>
      </c>
      <c r="O1424" s="140">
        <v>0.18</v>
      </c>
      <c r="P1424" s="145">
        <f>(Purchase[[#This Row],[Gross Amount]]-Purchase[[#This Row],[Disct %]])*Purchase[[#This Row],[GST %]]</f>
        <v>24539.040000000001</v>
      </c>
      <c r="Q1424" s="145">
        <f>Purchase[[#This Row],[Gross Amount]]-Purchase[[#This Row],[Disct Amnt]]+Purchase[[#This Row],[GST Amount]]</f>
        <v>160867.04</v>
      </c>
      <c r="R1424" s="138" t="s">
        <v>1019</v>
      </c>
      <c r="S1424" s="41">
        <f>IF(Purchase[[#This Row],[Status]]="Cancelled",0,Purchase[[#This Row],[Qty]])</f>
        <v>8</v>
      </c>
      <c r="T1424" s="146">
        <f>IF(Purchase[[#This Row],[Status]]="Cancelled",0,Purchase[[#This Row],[Total Amount]])</f>
        <v>160867.04</v>
      </c>
      <c r="U1424" s="146">
        <f>SUM(Purchase[Net Amount])</f>
        <v>814985438.68000126</v>
      </c>
    </row>
    <row r="1425" spans="1:21" ht="19.5" thickBot="1" x14ac:dyDescent="0.3">
      <c r="A1425" s="136" t="s">
        <v>2478</v>
      </c>
      <c r="B1425" s="137">
        <v>45728</v>
      </c>
      <c r="C1425" s="138" t="s">
        <v>568</v>
      </c>
      <c r="D1425" s="138" t="str">
        <f>VLOOKUP(Purchase[[#This Row],[Supplier ID]],Supplier[#All],2,0)</f>
        <v>Maa Computers</v>
      </c>
      <c r="E1425" s="138">
        <f>VLOOKUP(Purchase[[#This Row],[Supplier ID]],Supplier[#All],3,0)</f>
        <v>9689542454</v>
      </c>
      <c r="F1425" s="138" t="str">
        <f>VLOOKUP(Purchase[[#This Row],[Supplier ID]],Supplier[#All],4,0)</f>
        <v>Korba</v>
      </c>
      <c r="G1425" s="138" t="str">
        <f>VLOOKUP(Purchase[[#This Row],[Supplier ID]],Supplier[#All],5,0)</f>
        <v>CG</v>
      </c>
      <c r="H1425" s="138" t="str">
        <f>VLOOKUP(Purchase[[#This Row],[Supplier ID]],Supplier[#All],6,0)</f>
        <v>GST2154521T016</v>
      </c>
      <c r="I1425" s="138" t="s">
        <v>270</v>
      </c>
      <c r="J1425" s="139">
        <v>35</v>
      </c>
      <c r="K1425" s="143">
        <f>VLOOKUP(Purchase[[#This Row],[Product ID]],Product[#All],6,0)</f>
        <v>4801</v>
      </c>
      <c r="L1425" s="143">
        <f>Purchase[[#This Row],[Purchase Rate]]*Purchase[[#This Row],[Qty]]</f>
        <v>168035</v>
      </c>
      <c r="M1425" s="140">
        <v>0</v>
      </c>
      <c r="N1425" s="143">
        <v>0</v>
      </c>
      <c r="O1425" s="140">
        <v>0.18</v>
      </c>
      <c r="P1425" s="145">
        <f>(Purchase[[#This Row],[Gross Amount]]-Purchase[[#This Row],[Disct %]])*Purchase[[#This Row],[GST %]]</f>
        <v>30246.3</v>
      </c>
      <c r="Q1425" s="145">
        <f>Purchase[[#This Row],[Gross Amount]]-Purchase[[#This Row],[Disct Amnt]]+Purchase[[#This Row],[GST Amount]]</f>
        <v>198281.3</v>
      </c>
      <c r="R1425" s="138" t="s">
        <v>1019</v>
      </c>
      <c r="S1425" s="41">
        <f>IF(Purchase[[#This Row],[Status]]="Cancelled",0,Purchase[[#This Row],[Qty]])</f>
        <v>35</v>
      </c>
      <c r="T1425" s="146">
        <f>IF(Purchase[[#This Row],[Status]]="Cancelled",0,Purchase[[#This Row],[Total Amount]])</f>
        <v>198281.3</v>
      </c>
      <c r="U1425" s="146">
        <f>SUM(Purchase[Net Amount])</f>
        <v>814985438.68000126</v>
      </c>
    </row>
    <row r="1426" spans="1:21" ht="19.5" thickBot="1" x14ac:dyDescent="0.3">
      <c r="A1426" s="136" t="s">
        <v>2479</v>
      </c>
      <c r="B1426" s="137">
        <v>45728</v>
      </c>
      <c r="C1426" s="138" t="s">
        <v>602</v>
      </c>
      <c r="D1426" s="138" t="str">
        <f>VLOOKUP(Purchase[[#This Row],[Supplier ID]],Supplier[#All],2,0)</f>
        <v>Maa Computers</v>
      </c>
      <c r="E1426" s="138">
        <f>VLOOKUP(Purchase[[#This Row],[Supplier ID]],Supplier[#All],3,0)</f>
        <v>9689542485</v>
      </c>
      <c r="F1426" s="138" t="str">
        <f>VLOOKUP(Purchase[[#This Row],[Supplier ID]],Supplier[#All],4,0)</f>
        <v>Korba</v>
      </c>
      <c r="G1426" s="138" t="str">
        <f>VLOOKUP(Purchase[[#This Row],[Supplier ID]],Supplier[#All],5,0)</f>
        <v>CG</v>
      </c>
      <c r="H1426" s="138" t="str">
        <f>VLOOKUP(Purchase[[#This Row],[Supplier ID]],Supplier[#All],6,0)</f>
        <v>GST2154521T047</v>
      </c>
      <c r="I1426" s="138" t="s">
        <v>294</v>
      </c>
      <c r="J1426" s="139">
        <v>17</v>
      </c>
      <c r="K1426" s="143">
        <f>VLOOKUP(Purchase[[#This Row],[Product ID]],Product[#All],6,0)</f>
        <v>29371</v>
      </c>
      <c r="L1426" s="143">
        <f>Purchase[[#This Row],[Purchase Rate]]*Purchase[[#This Row],[Qty]]</f>
        <v>499307</v>
      </c>
      <c r="M1426" s="140">
        <v>0</v>
      </c>
      <c r="N1426" s="143">
        <v>0</v>
      </c>
      <c r="O1426" s="140">
        <v>0.18</v>
      </c>
      <c r="P1426" s="145">
        <f>(Purchase[[#This Row],[Gross Amount]]-Purchase[[#This Row],[Disct %]])*Purchase[[#This Row],[GST %]]</f>
        <v>89875.26</v>
      </c>
      <c r="Q1426" s="145">
        <f>Purchase[[#This Row],[Gross Amount]]-Purchase[[#This Row],[Disct Amnt]]+Purchase[[#This Row],[GST Amount]]</f>
        <v>589182.26</v>
      </c>
      <c r="R1426" s="138" t="s">
        <v>1019</v>
      </c>
      <c r="S1426" s="41">
        <f>IF(Purchase[[#This Row],[Status]]="Cancelled",0,Purchase[[#This Row],[Qty]])</f>
        <v>17</v>
      </c>
      <c r="T1426" s="146">
        <f>IF(Purchase[[#This Row],[Status]]="Cancelled",0,Purchase[[#This Row],[Total Amount]])</f>
        <v>589182.26</v>
      </c>
      <c r="U1426" s="146">
        <f>SUM(Purchase[Net Amount])</f>
        <v>814985438.68000126</v>
      </c>
    </row>
    <row r="1427" spans="1:21" ht="19.5" thickBot="1" x14ac:dyDescent="0.3">
      <c r="A1427" s="136" t="s">
        <v>2480</v>
      </c>
      <c r="B1427" s="137">
        <v>45728</v>
      </c>
      <c r="C1427" s="138" t="s">
        <v>610</v>
      </c>
      <c r="D1427" s="138" t="str">
        <f>VLOOKUP(Purchase[[#This Row],[Supplier ID]],Supplier[#All],2,0)</f>
        <v>Shree Electronics</v>
      </c>
      <c r="E1427" s="138">
        <f>VLOOKUP(Purchase[[#This Row],[Supplier ID]],Supplier[#All],3,0)</f>
        <v>9689542493</v>
      </c>
      <c r="F1427" s="138" t="str">
        <f>VLOOKUP(Purchase[[#This Row],[Supplier ID]],Supplier[#All],4,0)</f>
        <v>Kanpur</v>
      </c>
      <c r="G1427" s="138" t="str">
        <f>VLOOKUP(Purchase[[#This Row],[Supplier ID]],Supplier[#All],5,0)</f>
        <v>UP</v>
      </c>
      <c r="H1427" s="138" t="str">
        <f>VLOOKUP(Purchase[[#This Row],[Supplier ID]],Supplier[#All],6,0)</f>
        <v>GST2154521T055</v>
      </c>
      <c r="I1427" s="138" t="s">
        <v>224</v>
      </c>
      <c r="J1427" s="139">
        <v>34</v>
      </c>
      <c r="K1427" s="143">
        <f>VLOOKUP(Purchase[[#This Row],[Product ID]],Product[#All],6,0)</f>
        <v>6591</v>
      </c>
      <c r="L1427" s="143">
        <f>Purchase[[#This Row],[Purchase Rate]]*Purchase[[#This Row],[Qty]]</f>
        <v>224094</v>
      </c>
      <c r="M1427" s="140">
        <v>0</v>
      </c>
      <c r="N1427" s="143">
        <v>0</v>
      </c>
      <c r="O1427" s="140">
        <v>0.18</v>
      </c>
      <c r="P1427" s="145">
        <f>(Purchase[[#This Row],[Gross Amount]]-Purchase[[#This Row],[Disct %]])*Purchase[[#This Row],[GST %]]</f>
        <v>40336.92</v>
      </c>
      <c r="Q1427" s="145">
        <f>Purchase[[#This Row],[Gross Amount]]-Purchase[[#This Row],[Disct Amnt]]+Purchase[[#This Row],[GST Amount]]</f>
        <v>264430.92</v>
      </c>
      <c r="R1427" s="138" t="s">
        <v>1019</v>
      </c>
      <c r="S1427" s="41">
        <f>IF(Purchase[[#This Row],[Status]]="Cancelled",0,Purchase[[#This Row],[Qty]])</f>
        <v>34</v>
      </c>
      <c r="T1427" s="146">
        <f>IF(Purchase[[#This Row],[Status]]="Cancelled",0,Purchase[[#This Row],[Total Amount]])</f>
        <v>264430.92</v>
      </c>
      <c r="U1427" s="146">
        <f>SUM(Purchase[Net Amount])</f>
        <v>814985438.68000126</v>
      </c>
    </row>
    <row r="1428" spans="1:21" ht="19.5" thickBot="1" x14ac:dyDescent="0.3">
      <c r="A1428" s="136" t="s">
        <v>2481</v>
      </c>
      <c r="B1428" s="137">
        <v>45728</v>
      </c>
      <c r="C1428" s="138" t="s">
        <v>599</v>
      </c>
      <c r="D1428" s="138" t="str">
        <f>VLOOKUP(Purchase[[#This Row],[Supplier ID]],Supplier[#All],2,0)</f>
        <v>National Distributors</v>
      </c>
      <c r="E1428" s="138">
        <f>VLOOKUP(Purchase[[#This Row],[Supplier ID]],Supplier[#All],3,0)</f>
        <v>9689542482</v>
      </c>
      <c r="F1428" s="138" t="str">
        <f>VLOOKUP(Purchase[[#This Row],[Supplier ID]],Supplier[#All],4,0)</f>
        <v>Kanpur</v>
      </c>
      <c r="G1428" s="138" t="str">
        <f>VLOOKUP(Purchase[[#This Row],[Supplier ID]],Supplier[#All],5,0)</f>
        <v>UP</v>
      </c>
      <c r="H1428" s="138" t="str">
        <f>VLOOKUP(Purchase[[#This Row],[Supplier ID]],Supplier[#All],6,0)</f>
        <v>GST2154521T044</v>
      </c>
      <c r="I1428" s="138" t="s">
        <v>416</v>
      </c>
      <c r="J1428" s="139">
        <v>24</v>
      </c>
      <c r="K1428" s="143">
        <f>VLOOKUP(Purchase[[#This Row],[Product ID]],Product[#All],6,0)</f>
        <v>726</v>
      </c>
      <c r="L1428" s="143">
        <f>Purchase[[#This Row],[Purchase Rate]]*Purchase[[#This Row],[Qty]]</f>
        <v>17424</v>
      </c>
      <c r="M1428" s="140">
        <v>0</v>
      </c>
      <c r="N1428" s="143">
        <v>0</v>
      </c>
      <c r="O1428" s="140">
        <v>0.18</v>
      </c>
      <c r="P1428" s="145">
        <f>(Purchase[[#This Row],[Gross Amount]]-Purchase[[#This Row],[Disct %]])*Purchase[[#This Row],[GST %]]</f>
        <v>3136.3199999999997</v>
      </c>
      <c r="Q1428" s="145">
        <f>Purchase[[#This Row],[Gross Amount]]-Purchase[[#This Row],[Disct Amnt]]+Purchase[[#This Row],[GST Amount]]</f>
        <v>20560.32</v>
      </c>
      <c r="R1428" s="138" t="s">
        <v>1019</v>
      </c>
      <c r="S1428" s="41">
        <f>IF(Purchase[[#This Row],[Status]]="Cancelled",0,Purchase[[#This Row],[Qty]])</f>
        <v>24</v>
      </c>
      <c r="T1428" s="146">
        <f>IF(Purchase[[#This Row],[Status]]="Cancelled",0,Purchase[[#This Row],[Total Amount]])</f>
        <v>20560.32</v>
      </c>
      <c r="U1428" s="146">
        <f>SUM(Purchase[Net Amount])</f>
        <v>814985438.68000126</v>
      </c>
    </row>
    <row r="1429" spans="1:21" ht="19.5" thickBot="1" x14ac:dyDescent="0.3">
      <c r="A1429" s="136" t="s">
        <v>2482</v>
      </c>
      <c r="B1429" s="137">
        <v>45728</v>
      </c>
      <c r="C1429" s="138" t="s">
        <v>605</v>
      </c>
      <c r="D1429" s="138" t="str">
        <f>VLOOKUP(Purchase[[#This Row],[Supplier ID]],Supplier[#All],2,0)</f>
        <v>Star Traders</v>
      </c>
      <c r="E1429" s="138">
        <f>VLOOKUP(Purchase[[#This Row],[Supplier ID]],Supplier[#All],3,0)</f>
        <v>9689542488</v>
      </c>
      <c r="F1429" s="138" t="str">
        <f>VLOOKUP(Purchase[[#This Row],[Supplier ID]],Supplier[#All],4,0)</f>
        <v>Indore</v>
      </c>
      <c r="G1429" s="138" t="str">
        <f>VLOOKUP(Purchase[[#This Row],[Supplier ID]],Supplier[#All],5,0)</f>
        <v>MP</v>
      </c>
      <c r="H1429" s="138" t="str">
        <f>VLOOKUP(Purchase[[#This Row],[Supplier ID]],Supplier[#All],6,0)</f>
        <v>GST2154521T050</v>
      </c>
      <c r="I1429" s="138" t="s">
        <v>159</v>
      </c>
      <c r="J1429" s="139">
        <v>37</v>
      </c>
      <c r="K1429" s="143">
        <f>VLOOKUP(Purchase[[#This Row],[Product ID]],Product[#All],6,0)</f>
        <v>69103</v>
      </c>
      <c r="L1429" s="143">
        <f>Purchase[[#This Row],[Purchase Rate]]*Purchase[[#This Row],[Qty]]</f>
        <v>2556811</v>
      </c>
      <c r="M1429" s="140">
        <v>0</v>
      </c>
      <c r="N1429" s="143">
        <v>0</v>
      </c>
      <c r="O1429" s="140">
        <v>0.18</v>
      </c>
      <c r="P1429" s="145">
        <f>(Purchase[[#This Row],[Gross Amount]]-Purchase[[#This Row],[Disct %]])*Purchase[[#This Row],[GST %]]</f>
        <v>460225.98</v>
      </c>
      <c r="Q1429" s="145">
        <f>Purchase[[#This Row],[Gross Amount]]-Purchase[[#This Row],[Disct Amnt]]+Purchase[[#This Row],[GST Amount]]</f>
        <v>3017036.98</v>
      </c>
      <c r="R1429" s="138" t="s">
        <v>1019</v>
      </c>
      <c r="S1429" s="41">
        <f>IF(Purchase[[#This Row],[Status]]="Cancelled",0,Purchase[[#This Row],[Qty]])</f>
        <v>37</v>
      </c>
      <c r="T1429" s="146">
        <f>IF(Purchase[[#This Row],[Status]]="Cancelled",0,Purchase[[#This Row],[Total Amount]])</f>
        <v>3017036.98</v>
      </c>
      <c r="U1429" s="146">
        <f>SUM(Purchase[Net Amount])</f>
        <v>814985438.68000126</v>
      </c>
    </row>
    <row r="1430" spans="1:21" ht="19.5" thickBot="1" x14ac:dyDescent="0.3">
      <c r="A1430" s="136" t="s">
        <v>2483</v>
      </c>
      <c r="B1430" s="137">
        <v>45728</v>
      </c>
      <c r="C1430" s="138" t="s">
        <v>602</v>
      </c>
      <c r="D1430" s="138" t="str">
        <f>VLOOKUP(Purchase[[#This Row],[Supplier ID]],Supplier[#All],2,0)</f>
        <v>Maa Computers</v>
      </c>
      <c r="E1430" s="138">
        <f>VLOOKUP(Purchase[[#This Row],[Supplier ID]],Supplier[#All],3,0)</f>
        <v>9689542485</v>
      </c>
      <c r="F1430" s="138" t="str">
        <f>VLOOKUP(Purchase[[#This Row],[Supplier ID]],Supplier[#All],4,0)</f>
        <v>Korba</v>
      </c>
      <c r="G1430" s="138" t="str">
        <f>VLOOKUP(Purchase[[#This Row],[Supplier ID]],Supplier[#All],5,0)</f>
        <v>CG</v>
      </c>
      <c r="H1430" s="138" t="str">
        <f>VLOOKUP(Purchase[[#This Row],[Supplier ID]],Supplier[#All],6,0)</f>
        <v>GST2154521T047</v>
      </c>
      <c r="I1430" s="138" t="s">
        <v>346</v>
      </c>
      <c r="J1430" s="139">
        <v>25</v>
      </c>
      <c r="K1430" s="143">
        <f>VLOOKUP(Purchase[[#This Row],[Product ID]],Product[#All],6,0)</f>
        <v>77190</v>
      </c>
      <c r="L1430" s="143">
        <f>Purchase[[#This Row],[Purchase Rate]]*Purchase[[#This Row],[Qty]]</f>
        <v>1929750</v>
      </c>
      <c r="M1430" s="140">
        <v>0</v>
      </c>
      <c r="N1430" s="143">
        <v>0</v>
      </c>
      <c r="O1430" s="140">
        <v>0.18</v>
      </c>
      <c r="P1430" s="145">
        <f>(Purchase[[#This Row],[Gross Amount]]-Purchase[[#This Row],[Disct %]])*Purchase[[#This Row],[GST %]]</f>
        <v>347355</v>
      </c>
      <c r="Q1430" s="145">
        <f>Purchase[[#This Row],[Gross Amount]]-Purchase[[#This Row],[Disct Amnt]]+Purchase[[#This Row],[GST Amount]]</f>
        <v>2277105</v>
      </c>
      <c r="R1430" s="138" t="s">
        <v>1019</v>
      </c>
      <c r="S1430" s="41">
        <f>IF(Purchase[[#This Row],[Status]]="Cancelled",0,Purchase[[#This Row],[Qty]])</f>
        <v>25</v>
      </c>
      <c r="T1430" s="146">
        <f>IF(Purchase[[#This Row],[Status]]="Cancelled",0,Purchase[[#This Row],[Total Amount]])</f>
        <v>2277105</v>
      </c>
      <c r="U1430" s="146">
        <f>SUM(Purchase[Net Amount])</f>
        <v>814985438.68000126</v>
      </c>
    </row>
    <row r="1431" spans="1:21" ht="19.5" thickBot="1" x14ac:dyDescent="0.3">
      <c r="A1431" s="136" t="s">
        <v>2484</v>
      </c>
      <c r="B1431" s="137">
        <v>45728</v>
      </c>
      <c r="C1431" s="138" t="s">
        <v>589</v>
      </c>
      <c r="D1431" s="138" t="str">
        <f>VLOOKUP(Purchase[[#This Row],[Supplier ID]],Supplier[#All],2,0)</f>
        <v>Maa Computers</v>
      </c>
      <c r="E1431" s="138">
        <f>VLOOKUP(Purchase[[#This Row],[Supplier ID]],Supplier[#All],3,0)</f>
        <v>9689542473</v>
      </c>
      <c r="F1431" s="138" t="str">
        <f>VLOOKUP(Purchase[[#This Row],[Supplier ID]],Supplier[#All],4,0)</f>
        <v>Kanpur</v>
      </c>
      <c r="G1431" s="138" t="str">
        <f>VLOOKUP(Purchase[[#This Row],[Supplier ID]],Supplier[#All],5,0)</f>
        <v>UP</v>
      </c>
      <c r="H1431" s="138" t="str">
        <f>VLOOKUP(Purchase[[#This Row],[Supplier ID]],Supplier[#All],6,0)</f>
        <v>GST2154521T035</v>
      </c>
      <c r="I1431" s="138" t="s">
        <v>333</v>
      </c>
      <c r="J1431" s="139">
        <v>10</v>
      </c>
      <c r="K1431" s="143">
        <f>VLOOKUP(Purchase[[#This Row],[Product ID]],Product[#All],6,0)</f>
        <v>2540</v>
      </c>
      <c r="L1431" s="143">
        <f>Purchase[[#This Row],[Purchase Rate]]*Purchase[[#This Row],[Qty]]</f>
        <v>25400</v>
      </c>
      <c r="M1431" s="140">
        <v>0</v>
      </c>
      <c r="N1431" s="143">
        <v>0</v>
      </c>
      <c r="O1431" s="140">
        <v>0.18</v>
      </c>
      <c r="P1431" s="145">
        <f>(Purchase[[#This Row],[Gross Amount]]-Purchase[[#This Row],[Disct %]])*Purchase[[#This Row],[GST %]]</f>
        <v>4572</v>
      </c>
      <c r="Q1431" s="145">
        <f>Purchase[[#This Row],[Gross Amount]]-Purchase[[#This Row],[Disct Amnt]]+Purchase[[#This Row],[GST Amount]]</f>
        <v>29972</v>
      </c>
      <c r="R1431" s="138" t="s">
        <v>1019</v>
      </c>
      <c r="S1431" s="41">
        <f>IF(Purchase[[#This Row],[Status]]="Cancelled",0,Purchase[[#This Row],[Qty]])</f>
        <v>10</v>
      </c>
      <c r="T1431" s="146">
        <f>IF(Purchase[[#This Row],[Status]]="Cancelled",0,Purchase[[#This Row],[Total Amount]])</f>
        <v>29972</v>
      </c>
      <c r="U1431" s="146">
        <f>SUM(Purchase[Net Amount])</f>
        <v>814985438.68000126</v>
      </c>
    </row>
    <row r="1432" spans="1:21" ht="19.5" thickBot="1" x14ac:dyDescent="0.3">
      <c r="A1432" s="136" t="s">
        <v>2485</v>
      </c>
      <c r="B1432" s="137">
        <v>45728</v>
      </c>
      <c r="C1432" s="138" t="s">
        <v>608</v>
      </c>
      <c r="D1432" s="138" t="str">
        <f>VLOOKUP(Purchase[[#This Row],[Supplier ID]],Supplier[#All],2,0)</f>
        <v>Global Suppliers</v>
      </c>
      <c r="E1432" s="138">
        <f>VLOOKUP(Purchase[[#This Row],[Supplier ID]],Supplier[#All],3,0)</f>
        <v>9689542499</v>
      </c>
      <c r="F1432" s="138" t="str">
        <f>VLOOKUP(Purchase[[#This Row],[Supplier ID]],Supplier[#All],4,0)</f>
        <v>Korba</v>
      </c>
      <c r="G1432" s="138" t="str">
        <f>VLOOKUP(Purchase[[#This Row],[Supplier ID]],Supplier[#All],5,0)</f>
        <v>CG</v>
      </c>
      <c r="H1432" s="138" t="str">
        <f>VLOOKUP(Purchase[[#This Row],[Supplier ID]],Supplier[#All],6,0)</f>
        <v>GST2154521T053</v>
      </c>
      <c r="I1432" s="138" t="s">
        <v>164</v>
      </c>
      <c r="J1432" s="139">
        <v>2</v>
      </c>
      <c r="K1432" s="143">
        <f>VLOOKUP(Purchase[[#This Row],[Product ID]],Product[#All],6,0)</f>
        <v>2596</v>
      </c>
      <c r="L1432" s="143">
        <f>Purchase[[#This Row],[Purchase Rate]]*Purchase[[#This Row],[Qty]]</f>
        <v>5192</v>
      </c>
      <c r="M1432" s="140">
        <v>0</v>
      </c>
      <c r="N1432" s="143">
        <v>0</v>
      </c>
      <c r="O1432" s="140">
        <v>0.18</v>
      </c>
      <c r="P1432" s="145">
        <f>(Purchase[[#This Row],[Gross Amount]]-Purchase[[#This Row],[Disct %]])*Purchase[[#This Row],[GST %]]</f>
        <v>934.56</v>
      </c>
      <c r="Q1432" s="145">
        <f>Purchase[[#This Row],[Gross Amount]]-Purchase[[#This Row],[Disct Amnt]]+Purchase[[#This Row],[GST Amount]]</f>
        <v>6126.5599999999995</v>
      </c>
      <c r="R1432" s="138" t="s">
        <v>1019</v>
      </c>
      <c r="S1432" s="41">
        <f>IF(Purchase[[#This Row],[Status]]="Cancelled",0,Purchase[[#This Row],[Qty]])</f>
        <v>2</v>
      </c>
      <c r="T1432" s="146">
        <f>IF(Purchase[[#This Row],[Status]]="Cancelled",0,Purchase[[#This Row],[Total Amount]])</f>
        <v>6126.5599999999995</v>
      </c>
      <c r="U1432" s="146">
        <f>SUM(Purchase[Net Amount])</f>
        <v>814985438.68000126</v>
      </c>
    </row>
    <row r="1433" spans="1:21" ht="19.5" thickBot="1" x14ac:dyDescent="0.3">
      <c r="A1433" s="136" t="s">
        <v>2486</v>
      </c>
      <c r="B1433" s="137">
        <v>45728</v>
      </c>
      <c r="C1433" s="138" t="s">
        <v>595</v>
      </c>
      <c r="D1433" s="138" t="str">
        <f>VLOOKUP(Purchase[[#This Row],[Supplier ID]],Supplier[#All],2,0)</f>
        <v>Star Computers</v>
      </c>
      <c r="E1433" s="138">
        <f>VLOOKUP(Purchase[[#This Row],[Supplier ID]],Supplier[#All],3,0)</f>
        <v>9689542478</v>
      </c>
      <c r="F1433" s="138" t="str">
        <f>VLOOKUP(Purchase[[#This Row],[Supplier ID]],Supplier[#All],4,0)</f>
        <v>Kanpur</v>
      </c>
      <c r="G1433" s="138" t="str">
        <f>VLOOKUP(Purchase[[#This Row],[Supplier ID]],Supplier[#All],5,0)</f>
        <v>UP</v>
      </c>
      <c r="H1433" s="138" t="str">
        <f>VLOOKUP(Purchase[[#This Row],[Supplier ID]],Supplier[#All],6,0)</f>
        <v>GST2154521T040</v>
      </c>
      <c r="I1433" s="138" t="s">
        <v>289</v>
      </c>
      <c r="J1433" s="139">
        <v>7</v>
      </c>
      <c r="K1433" s="143">
        <f>VLOOKUP(Purchase[[#This Row],[Product ID]],Product[#All],6,0)</f>
        <v>927</v>
      </c>
      <c r="L1433" s="143">
        <f>Purchase[[#This Row],[Purchase Rate]]*Purchase[[#This Row],[Qty]]</f>
        <v>6489</v>
      </c>
      <c r="M1433" s="140">
        <v>0</v>
      </c>
      <c r="N1433" s="143">
        <v>0</v>
      </c>
      <c r="O1433" s="140">
        <v>0.18</v>
      </c>
      <c r="P1433" s="145">
        <f>(Purchase[[#This Row],[Gross Amount]]-Purchase[[#This Row],[Disct %]])*Purchase[[#This Row],[GST %]]</f>
        <v>1168.02</v>
      </c>
      <c r="Q1433" s="145">
        <f>Purchase[[#This Row],[Gross Amount]]-Purchase[[#This Row],[Disct Amnt]]+Purchase[[#This Row],[GST Amount]]</f>
        <v>7657.02</v>
      </c>
      <c r="R1433" s="138" t="s">
        <v>1019</v>
      </c>
      <c r="S1433" s="41">
        <f>IF(Purchase[[#This Row],[Status]]="Cancelled",0,Purchase[[#This Row],[Qty]])</f>
        <v>7</v>
      </c>
      <c r="T1433" s="146">
        <f>IF(Purchase[[#This Row],[Status]]="Cancelled",0,Purchase[[#This Row],[Total Amount]])</f>
        <v>7657.02</v>
      </c>
      <c r="U1433" s="146">
        <f>SUM(Purchase[Net Amount])</f>
        <v>814985438.68000126</v>
      </c>
    </row>
    <row r="1434" spans="1:21" ht="19.5" thickBot="1" x14ac:dyDescent="0.3">
      <c r="A1434" s="136" t="s">
        <v>2487</v>
      </c>
      <c r="B1434" s="137">
        <v>45728</v>
      </c>
      <c r="C1434" s="138" t="s">
        <v>605</v>
      </c>
      <c r="D1434" s="138" t="str">
        <f>VLOOKUP(Purchase[[#This Row],[Supplier ID]],Supplier[#All],2,0)</f>
        <v>Star Traders</v>
      </c>
      <c r="E1434" s="138">
        <f>VLOOKUP(Purchase[[#This Row],[Supplier ID]],Supplier[#All],3,0)</f>
        <v>9689542488</v>
      </c>
      <c r="F1434" s="138" t="str">
        <f>VLOOKUP(Purchase[[#This Row],[Supplier ID]],Supplier[#All],4,0)</f>
        <v>Indore</v>
      </c>
      <c r="G1434" s="138" t="str">
        <f>VLOOKUP(Purchase[[#This Row],[Supplier ID]],Supplier[#All],5,0)</f>
        <v>MP</v>
      </c>
      <c r="H1434" s="138" t="str">
        <f>VLOOKUP(Purchase[[#This Row],[Supplier ID]],Supplier[#All],6,0)</f>
        <v>GST2154521T050</v>
      </c>
      <c r="I1434" s="138" t="s">
        <v>59</v>
      </c>
      <c r="J1434" s="139">
        <v>16</v>
      </c>
      <c r="K1434" s="143">
        <f>VLOOKUP(Purchase[[#This Row],[Product ID]],Product[#All],6,0)</f>
        <v>928</v>
      </c>
      <c r="L1434" s="143">
        <f>Purchase[[#This Row],[Purchase Rate]]*Purchase[[#This Row],[Qty]]</f>
        <v>14848</v>
      </c>
      <c r="M1434" s="140">
        <v>0</v>
      </c>
      <c r="N1434" s="143">
        <v>0</v>
      </c>
      <c r="O1434" s="140">
        <v>0.18</v>
      </c>
      <c r="P1434" s="145">
        <f>(Purchase[[#This Row],[Gross Amount]]-Purchase[[#This Row],[Disct %]])*Purchase[[#This Row],[GST %]]</f>
        <v>2672.64</v>
      </c>
      <c r="Q1434" s="145">
        <f>Purchase[[#This Row],[Gross Amount]]-Purchase[[#This Row],[Disct Amnt]]+Purchase[[#This Row],[GST Amount]]</f>
        <v>17520.64</v>
      </c>
      <c r="R1434" s="138" t="s">
        <v>1019</v>
      </c>
      <c r="S1434" s="41">
        <f>IF(Purchase[[#This Row],[Status]]="Cancelled",0,Purchase[[#This Row],[Qty]])</f>
        <v>16</v>
      </c>
      <c r="T1434" s="146">
        <f>IF(Purchase[[#This Row],[Status]]="Cancelled",0,Purchase[[#This Row],[Total Amount]])</f>
        <v>17520.64</v>
      </c>
      <c r="U1434" s="146">
        <f>SUM(Purchase[Net Amount])</f>
        <v>814985438.68000126</v>
      </c>
    </row>
    <row r="1435" spans="1:21" ht="19.5" thickBot="1" x14ac:dyDescent="0.3">
      <c r="A1435" s="136" t="s">
        <v>2488</v>
      </c>
      <c r="B1435" s="137">
        <v>45728</v>
      </c>
      <c r="C1435" s="138" t="s">
        <v>577</v>
      </c>
      <c r="D1435" s="138" t="str">
        <f>VLOOKUP(Purchase[[#This Row],[Supplier ID]],Supplier[#All],2,0)</f>
        <v>National Electronics</v>
      </c>
      <c r="E1435" s="138">
        <f>VLOOKUP(Purchase[[#This Row],[Supplier ID]],Supplier[#All],3,0)</f>
        <v>9689542469</v>
      </c>
      <c r="F1435" s="138" t="str">
        <f>VLOOKUP(Purchase[[#This Row],[Supplier ID]],Supplier[#All],4,0)</f>
        <v>Korba</v>
      </c>
      <c r="G1435" s="138" t="str">
        <f>VLOOKUP(Purchase[[#This Row],[Supplier ID]],Supplier[#All],5,0)</f>
        <v>CG</v>
      </c>
      <c r="H1435" s="138" t="str">
        <f>VLOOKUP(Purchase[[#This Row],[Supplier ID]],Supplier[#All],6,0)</f>
        <v>GST2154521T023</v>
      </c>
      <c r="I1435" s="138" t="s">
        <v>189</v>
      </c>
      <c r="J1435" s="139">
        <v>7</v>
      </c>
      <c r="K1435" s="143">
        <f>VLOOKUP(Purchase[[#This Row],[Product ID]],Product[#All],6,0)</f>
        <v>1280</v>
      </c>
      <c r="L1435" s="143">
        <f>Purchase[[#This Row],[Purchase Rate]]*Purchase[[#This Row],[Qty]]</f>
        <v>8960</v>
      </c>
      <c r="M1435" s="140">
        <v>0</v>
      </c>
      <c r="N1435" s="143">
        <v>0</v>
      </c>
      <c r="O1435" s="140">
        <v>0.18</v>
      </c>
      <c r="P1435" s="145">
        <f>(Purchase[[#This Row],[Gross Amount]]-Purchase[[#This Row],[Disct %]])*Purchase[[#This Row],[GST %]]</f>
        <v>1612.8</v>
      </c>
      <c r="Q1435" s="145">
        <f>Purchase[[#This Row],[Gross Amount]]-Purchase[[#This Row],[Disct Amnt]]+Purchase[[#This Row],[GST Amount]]</f>
        <v>10572.8</v>
      </c>
      <c r="R1435" s="138" t="s">
        <v>1019</v>
      </c>
      <c r="S1435" s="41">
        <f>IF(Purchase[[#This Row],[Status]]="Cancelled",0,Purchase[[#This Row],[Qty]])</f>
        <v>7</v>
      </c>
      <c r="T1435" s="146">
        <f>IF(Purchase[[#This Row],[Status]]="Cancelled",0,Purchase[[#This Row],[Total Amount]])</f>
        <v>10572.8</v>
      </c>
      <c r="U1435" s="146">
        <f>SUM(Purchase[Net Amount])</f>
        <v>814985438.68000126</v>
      </c>
    </row>
    <row r="1436" spans="1:21" ht="19.5" thickBot="1" x14ac:dyDescent="0.3">
      <c r="A1436" s="136" t="s">
        <v>2489</v>
      </c>
      <c r="B1436" s="137">
        <v>45728</v>
      </c>
      <c r="C1436" s="138" t="s">
        <v>616</v>
      </c>
      <c r="D1436" s="138" t="str">
        <f>VLOOKUP(Purchase[[#This Row],[Supplier ID]],Supplier[#All],2,0)</f>
        <v>Global Suppliers</v>
      </c>
      <c r="E1436" s="138">
        <f>VLOOKUP(Purchase[[#This Row],[Supplier ID]],Supplier[#All],3,0)</f>
        <v>9689542499</v>
      </c>
      <c r="F1436" s="138" t="str">
        <f>VLOOKUP(Purchase[[#This Row],[Supplier ID]],Supplier[#All],4,0)</f>
        <v>Kanpur</v>
      </c>
      <c r="G1436" s="138" t="str">
        <f>VLOOKUP(Purchase[[#This Row],[Supplier ID]],Supplier[#All],5,0)</f>
        <v>UP</v>
      </c>
      <c r="H1436" s="138" t="str">
        <f>VLOOKUP(Purchase[[#This Row],[Supplier ID]],Supplier[#All],6,0)</f>
        <v>GST2154521T061</v>
      </c>
      <c r="I1436" s="138" t="s">
        <v>239</v>
      </c>
      <c r="J1436" s="139">
        <v>4</v>
      </c>
      <c r="K1436" s="143">
        <f>VLOOKUP(Purchase[[#This Row],[Product ID]],Product[#All],6,0)</f>
        <v>6638</v>
      </c>
      <c r="L1436" s="143">
        <f>Purchase[[#This Row],[Purchase Rate]]*Purchase[[#This Row],[Qty]]</f>
        <v>26552</v>
      </c>
      <c r="M1436" s="140">
        <v>0</v>
      </c>
      <c r="N1436" s="143">
        <v>0</v>
      </c>
      <c r="O1436" s="140">
        <v>0.18</v>
      </c>
      <c r="P1436" s="145">
        <f>(Purchase[[#This Row],[Gross Amount]]-Purchase[[#This Row],[Disct %]])*Purchase[[#This Row],[GST %]]</f>
        <v>4779.3599999999997</v>
      </c>
      <c r="Q1436" s="145">
        <f>Purchase[[#This Row],[Gross Amount]]-Purchase[[#This Row],[Disct Amnt]]+Purchase[[#This Row],[GST Amount]]</f>
        <v>31331.360000000001</v>
      </c>
      <c r="R1436" s="138" t="s">
        <v>1019</v>
      </c>
      <c r="S1436" s="41">
        <f>IF(Purchase[[#This Row],[Status]]="Cancelled",0,Purchase[[#This Row],[Qty]])</f>
        <v>4</v>
      </c>
      <c r="T1436" s="146">
        <f>IF(Purchase[[#This Row],[Status]]="Cancelled",0,Purchase[[#This Row],[Total Amount]])</f>
        <v>31331.360000000001</v>
      </c>
      <c r="U1436" s="146">
        <f>SUM(Purchase[Net Amount])</f>
        <v>814985438.68000126</v>
      </c>
    </row>
    <row r="1437" spans="1:21" ht="19.5" thickBot="1" x14ac:dyDescent="0.3">
      <c r="A1437" s="136" t="s">
        <v>2490</v>
      </c>
      <c r="B1437" s="137">
        <v>45728</v>
      </c>
      <c r="C1437" s="138" t="s">
        <v>613</v>
      </c>
      <c r="D1437" s="138" t="str">
        <f>VLOOKUP(Purchase[[#This Row],[Supplier ID]],Supplier[#All],2,0)</f>
        <v>National Traders</v>
      </c>
      <c r="E1437" s="138">
        <f>VLOOKUP(Purchase[[#This Row],[Supplier ID]],Supplier[#All],3,0)</f>
        <v>9689542496</v>
      </c>
      <c r="F1437" s="138" t="str">
        <f>VLOOKUP(Purchase[[#This Row],[Supplier ID]],Supplier[#All],4,0)</f>
        <v>Indore</v>
      </c>
      <c r="G1437" s="138" t="str">
        <f>VLOOKUP(Purchase[[#This Row],[Supplier ID]],Supplier[#All],5,0)</f>
        <v>MP</v>
      </c>
      <c r="H1437" s="138" t="str">
        <f>VLOOKUP(Purchase[[#This Row],[Supplier ID]],Supplier[#All],6,0)</f>
        <v>GST2154521T058</v>
      </c>
      <c r="I1437" s="138" t="s">
        <v>270</v>
      </c>
      <c r="J1437" s="139">
        <v>12</v>
      </c>
      <c r="K1437" s="143">
        <f>VLOOKUP(Purchase[[#This Row],[Product ID]],Product[#All],6,0)</f>
        <v>4801</v>
      </c>
      <c r="L1437" s="143">
        <f>Purchase[[#This Row],[Purchase Rate]]*Purchase[[#This Row],[Qty]]</f>
        <v>57612</v>
      </c>
      <c r="M1437" s="140">
        <v>0</v>
      </c>
      <c r="N1437" s="143">
        <v>0</v>
      </c>
      <c r="O1437" s="140">
        <v>0.18</v>
      </c>
      <c r="P1437" s="145">
        <f>(Purchase[[#This Row],[Gross Amount]]-Purchase[[#This Row],[Disct %]])*Purchase[[#This Row],[GST %]]</f>
        <v>10370.16</v>
      </c>
      <c r="Q1437" s="145">
        <f>Purchase[[#This Row],[Gross Amount]]-Purchase[[#This Row],[Disct Amnt]]+Purchase[[#This Row],[GST Amount]]</f>
        <v>67982.16</v>
      </c>
      <c r="R1437" s="138" t="s">
        <v>1040</v>
      </c>
      <c r="S1437" s="41">
        <f>IF(Purchase[[#This Row],[Status]]="Cancelled",0,Purchase[[#This Row],[Qty]])</f>
        <v>0</v>
      </c>
      <c r="T1437" s="146">
        <f>IF(Purchase[[#This Row],[Status]]="Cancelled",0,Purchase[[#This Row],[Total Amount]])</f>
        <v>0</v>
      </c>
      <c r="U1437" s="146">
        <f>SUM(Purchase[Net Amount])</f>
        <v>814985438.68000126</v>
      </c>
    </row>
    <row r="1438" spans="1:21" ht="19.5" thickBot="1" x14ac:dyDescent="0.3">
      <c r="A1438" s="136" t="s">
        <v>2491</v>
      </c>
      <c r="B1438" s="137">
        <v>45728</v>
      </c>
      <c r="C1438" s="138" t="s">
        <v>603</v>
      </c>
      <c r="D1438" s="138" t="str">
        <f>VLOOKUP(Purchase[[#This Row],[Supplier ID]],Supplier[#All],2,0)</f>
        <v>Tech Computers</v>
      </c>
      <c r="E1438" s="138">
        <f>VLOOKUP(Purchase[[#This Row],[Supplier ID]],Supplier[#All],3,0)</f>
        <v>9689542486</v>
      </c>
      <c r="F1438" s="138" t="str">
        <f>VLOOKUP(Purchase[[#This Row],[Supplier ID]],Supplier[#All],4,0)</f>
        <v>Indore</v>
      </c>
      <c r="G1438" s="138" t="str">
        <f>VLOOKUP(Purchase[[#This Row],[Supplier ID]],Supplier[#All],5,0)</f>
        <v>MP</v>
      </c>
      <c r="H1438" s="138" t="str">
        <f>VLOOKUP(Purchase[[#This Row],[Supplier ID]],Supplier[#All],6,0)</f>
        <v>GST2154521T048</v>
      </c>
      <c r="I1438" s="138" t="s">
        <v>462</v>
      </c>
      <c r="J1438" s="139">
        <v>14</v>
      </c>
      <c r="K1438" s="143">
        <f>VLOOKUP(Purchase[[#This Row],[Product ID]],Product[#All],6,0)</f>
        <v>2201</v>
      </c>
      <c r="L1438" s="143">
        <f>Purchase[[#This Row],[Purchase Rate]]*Purchase[[#This Row],[Qty]]</f>
        <v>30814</v>
      </c>
      <c r="M1438" s="140">
        <v>0</v>
      </c>
      <c r="N1438" s="143">
        <v>0</v>
      </c>
      <c r="O1438" s="140">
        <v>0.18</v>
      </c>
      <c r="P1438" s="145">
        <f>(Purchase[[#This Row],[Gross Amount]]-Purchase[[#This Row],[Disct %]])*Purchase[[#This Row],[GST %]]</f>
        <v>5546.5199999999995</v>
      </c>
      <c r="Q1438" s="145">
        <f>Purchase[[#This Row],[Gross Amount]]-Purchase[[#This Row],[Disct Amnt]]+Purchase[[#This Row],[GST Amount]]</f>
        <v>36360.519999999997</v>
      </c>
      <c r="R1438" s="138" t="s">
        <v>1019</v>
      </c>
      <c r="S1438" s="41">
        <f>IF(Purchase[[#This Row],[Status]]="Cancelled",0,Purchase[[#This Row],[Qty]])</f>
        <v>14</v>
      </c>
      <c r="T1438" s="146">
        <f>IF(Purchase[[#This Row],[Status]]="Cancelled",0,Purchase[[#This Row],[Total Amount]])</f>
        <v>36360.519999999997</v>
      </c>
      <c r="U1438" s="146">
        <f>SUM(Purchase[Net Amount])</f>
        <v>814985438.68000126</v>
      </c>
    </row>
    <row r="1439" spans="1:21" ht="19.5" thickBot="1" x14ac:dyDescent="0.3">
      <c r="A1439" s="136" t="s">
        <v>2492</v>
      </c>
      <c r="B1439" s="137">
        <v>45728</v>
      </c>
      <c r="C1439" s="138" t="s">
        <v>565</v>
      </c>
      <c r="D1439" s="138" t="str">
        <f>VLOOKUP(Purchase[[#This Row],[Supplier ID]],Supplier[#All],2,0)</f>
        <v>Global Suppliers</v>
      </c>
      <c r="E1439" s="138">
        <f>VLOOKUP(Purchase[[#This Row],[Supplier ID]],Supplier[#All],3,0)</f>
        <v>9689542459</v>
      </c>
      <c r="F1439" s="138" t="str">
        <f>VLOOKUP(Purchase[[#This Row],[Supplier ID]],Supplier[#All],4,0)</f>
        <v>Indore</v>
      </c>
      <c r="G1439" s="138" t="str">
        <f>VLOOKUP(Purchase[[#This Row],[Supplier ID]],Supplier[#All],5,0)</f>
        <v>MP</v>
      </c>
      <c r="H1439" s="138" t="str">
        <f>VLOOKUP(Purchase[[#This Row],[Supplier ID]],Supplier[#All],6,0)</f>
        <v>GST2154521T013</v>
      </c>
      <c r="I1439" s="138" t="s">
        <v>89</v>
      </c>
      <c r="J1439" s="139">
        <v>10</v>
      </c>
      <c r="K1439" s="143">
        <f>VLOOKUP(Purchase[[#This Row],[Product ID]],Product[#All],6,0)</f>
        <v>341</v>
      </c>
      <c r="L1439" s="143">
        <f>Purchase[[#This Row],[Purchase Rate]]*Purchase[[#This Row],[Qty]]</f>
        <v>3410</v>
      </c>
      <c r="M1439" s="140">
        <v>0</v>
      </c>
      <c r="N1439" s="143">
        <v>0</v>
      </c>
      <c r="O1439" s="140">
        <v>0.18</v>
      </c>
      <c r="P1439" s="145">
        <f>(Purchase[[#This Row],[Gross Amount]]-Purchase[[#This Row],[Disct %]])*Purchase[[#This Row],[GST %]]</f>
        <v>613.79999999999995</v>
      </c>
      <c r="Q1439" s="145">
        <f>Purchase[[#This Row],[Gross Amount]]-Purchase[[#This Row],[Disct Amnt]]+Purchase[[#This Row],[GST Amount]]</f>
        <v>4023.8</v>
      </c>
      <c r="R1439" s="138" t="s">
        <v>1019</v>
      </c>
      <c r="S1439" s="41">
        <f>IF(Purchase[[#This Row],[Status]]="Cancelled",0,Purchase[[#This Row],[Qty]])</f>
        <v>10</v>
      </c>
      <c r="T1439" s="146">
        <f>IF(Purchase[[#This Row],[Status]]="Cancelled",0,Purchase[[#This Row],[Total Amount]])</f>
        <v>4023.8</v>
      </c>
      <c r="U1439" s="146">
        <f>SUM(Purchase[Net Amount])</f>
        <v>814985438.68000126</v>
      </c>
    </row>
    <row r="1440" spans="1:21" ht="19.5" thickBot="1" x14ac:dyDescent="0.3">
      <c r="A1440" s="136" t="s">
        <v>2493</v>
      </c>
      <c r="B1440" s="137">
        <v>45728</v>
      </c>
      <c r="C1440" s="138" t="s">
        <v>607</v>
      </c>
      <c r="D1440" s="138" t="str">
        <f>VLOOKUP(Purchase[[#This Row],[Supplier ID]],Supplier[#All],2,0)</f>
        <v>Global Distributors</v>
      </c>
      <c r="E1440" s="138">
        <f>VLOOKUP(Purchase[[#This Row],[Supplier ID]],Supplier[#All],3,0)</f>
        <v>9689542490</v>
      </c>
      <c r="F1440" s="138" t="str">
        <f>VLOOKUP(Purchase[[#This Row],[Supplier ID]],Supplier[#All],4,0)</f>
        <v>Kanpur</v>
      </c>
      <c r="G1440" s="138" t="str">
        <f>VLOOKUP(Purchase[[#This Row],[Supplier ID]],Supplier[#All],5,0)</f>
        <v>UP</v>
      </c>
      <c r="H1440" s="138" t="str">
        <f>VLOOKUP(Purchase[[#This Row],[Supplier ID]],Supplier[#All],6,0)</f>
        <v>GST2154521T052</v>
      </c>
      <c r="I1440" s="138" t="s">
        <v>400</v>
      </c>
      <c r="J1440" s="139">
        <v>22</v>
      </c>
      <c r="K1440" s="143">
        <f>VLOOKUP(Purchase[[#This Row],[Product ID]],Product[#All],6,0)</f>
        <v>1065</v>
      </c>
      <c r="L1440" s="143">
        <f>Purchase[[#This Row],[Purchase Rate]]*Purchase[[#This Row],[Qty]]</f>
        <v>23430</v>
      </c>
      <c r="M1440" s="140">
        <v>0</v>
      </c>
      <c r="N1440" s="143">
        <v>0</v>
      </c>
      <c r="O1440" s="140">
        <v>0.18</v>
      </c>
      <c r="P1440" s="145">
        <f>(Purchase[[#This Row],[Gross Amount]]-Purchase[[#This Row],[Disct %]])*Purchase[[#This Row],[GST %]]</f>
        <v>4217.3999999999996</v>
      </c>
      <c r="Q1440" s="145">
        <f>Purchase[[#This Row],[Gross Amount]]-Purchase[[#This Row],[Disct Amnt]]+Purchase[[#This Row],[GST Amount]]</f>
        <v>27647.4</v>
      </c>
      <c r="R1440" s="138" t="s">
        <v>1019</v>
      </c>
      <c r="S1440" s="41">
        <f>IF(Purchase[[#This Row],[Status]]="Cancelled",0,Purchase[[#This Row],[Qty]])</f>
        <v>22</v>
      </c>
      <c r="T1440" s="146">
        <f>IF(Purchase[[#This Row],[Status]]="Cancelled",0,Purchase[[#This Row],[Total Amount]])</f>
        <v>27647.4</v>
      </c>
      <c r="U1440" s="146">
        <f>SUM(Purchase[Net Amount])</f>
        <v>814985438.68000126</v>
      </c>
    </row>
    <row r="1441" spans="1:21" ht="19.5" thickBot="1" x14ac:dyDescent="0.3">
      <c r="A1441" s="136" t="s">
        <v>2494</v>
      </c>
      <c r="B1441" s="137">
        <v>45729</v>
      </c>
      <c r="C1441" s="138" t="s">
        <v>612</v>
      </c>
      <c r="D1441" s="138" t="str">
        <f>VLOOKUP(Purchase[[#This Row],[Supplier ID]],Supplier[#All],2,0)</f>
        <v>National Computers</v>
      </c>
      <c r="E1441" s="138">
        <f>VLOOKUP(Purchase[[#This Row],[Supplier ID]],Supplier[#All],3,0)</f>
        <v>9689542495</v>
      </c>
      <c r="F1441" s="138" t="str">
        <f>VLOOKUP(Purchase[[#This Row],[Supplier ID]],Supplier[#All],4,0)</f>
        <v>Indore</v>
      </c>
      <c r="G1441" s="138" t="str">
        <f>VLOOKUP(Purchase[[#This Row],[Supplier ID]],Supplier[#All],5,0)</f>
        <v>MP</v>
      </c>
      <c r="H1441" s="138" t="str">
        <f>VLOOKUP(Purchase[[#This Row],[Supplier ID]],Supplier[#All],6,0)</f>
        <v>GST2154521T057</v>
      </c>
      <c r="I1441" s="138" t="s">
        <v>504</v>
      </c>
      <c r="J1441" s="139">
        <v>36</v>
      </c>
      <c r="K1441" s="143">
        <f>VLOOKUP(Purchase[[#This Row],[Product ID]],Product[#All],6,0)</f>
        <v>3172</v>
      </c>
      <c r="L1441" s="143">
        <f>Purchase[[#This Row],[Purchase Rate]]*Purchase[[#This Row],[Qty]]</f>
        <v>114192</v>
      </c>
      <c r="M1441" s="140">
        <v>0</v>
      </c>
      <c r="N1441" s="143">
        <v>0</v>
      </c>
      <c r="O1441" s="140">
        <v>0.18</v>
      </c>
      <c r="P1441" s="145">
        <f>(Purchase[[#This Row],[Gross Amount]]-Purchase[[#This Row],[Disct %]])*Purchase[[#This Row],[GST %]]</f>
        <v>20554.559999999998</v>
      </c>
      <c r="Q1441" s="145">
        <f>Purchase[[#This Row],[Gross Amount]]-Purchase[[#This Row],[Disct Amnt]]+Purchase[[#This Row],[GST Amount]]</f>
        <v>134746.56</v>
      </c>
      <c r="R1441" s="138" t="s">
        <v>1019</v>
      </c>
      <c r="S1441" s="41">
        <f>IF(Purchase[[#This Row],[Status]]="Cancelled",0,Purchase[[#This Row],[Qty]])</f>
        <v>36</v>
      </c>
      <c r="T1441" s="146">
        <f>IF(Purchase[[#This Row],[Status]]="Cancelled",0,Purchase[[#This Row],[Total Amount]])</f>
        <v>134746.56</v>
      </c>
      <c r="U1441" s="146">
        <f>SUM(Purchase[Net Amount])</f>
        <v>814985438.68000126</v>
      </c>
    </row>
    <row r="1442" spans="1:21" ht="19.5" thickBot="1" x14ac:dyDescent="0.3">
      <c r="A1442" s="136" t="s">
        <v>2495</v>
      </c>
      <c r="B1442" s="137">
        <v>45729</v>
      </c>
      <c r="C1442" s="138" t="s">
        <v>613</v>
      </c>
      <c r="D1442" s="138" t="str">
        <f>VLOOKUP(Purchase[[#This Row],[Supplier ID]],Supplier[#All],2,0)</f>
        <v>National Traders</v>
      </c>
      <c r="E1442" s="138">
        <f>VLOOKUP(Purchase[[#This Row],[Supplier ID]],Supplier[#All],3,0)</f>
        <v>9689542496</v>
      </c>
      <c r="F1442" s="138" t="str">
        <f>VLOOKUP(Purchase[[#This Row],[Supplier ID]],Supplier[#All],4,0)</f>
        <v>Indore</v>
      </c>
      <c r="G1442" s="138" t="str">
        <f>VLOOKUP(Purchase[[#This Row],[Supplier ID]],Supplier[#All],5,0)</f>
        <v>MP</v>
      </c>
      <c r="H1442" s="138" t="str">
        <f>VLOOKUP(Purchase[[#This Row],[Supplier ID]],Supplier[#All],6,0)</f>
        <v>GST2154521T058</v>
      </c>
      <c r="I1442" s="138" t="s">
        <v>216</v>
      </c>
      <c r="J1442" s="139">
        <v>37</v>
      </c>
      <c r="K1442" s="143">
        <f>VLOOKUP(Purchase[[#This Row],[Product ID]],Product[#All],6,0)</f>
        <v>950</v>
      </c>
      <c r="L1442" s="143">
        <f>Purchase[[#This Row],[Purchase Rate]]*Purchase[[#This Row],[Qty]]</f>
        <v>35150</v>
      </c>
      <c r="M1442" s="140">
        <v>0</v>
      </c>
      <c r="N1442" s="143">
        <v>0</v>
      </c>
      <c r="O1442" s="140">
        <v>0.18</v>
      </c>
      <c r="P1442" s="145">
        <f>(Purchase[[#This Row],[Gross Amount]]-Purchase[[#This Row],[Disct %]])*Purchase[[#This Row],[GST %]]</f>
        <v>6327</v>
      </c>
      <c r="Q1442" s="145">
        <f>Purchase[[#This Row],[Gross Amount]]-Purchase[[#This Row],[Disct Amnt]]+Purchase[[#This Row],[GST Amount]]</f>
        <v>41477</v>
      </c>
      <c r="R1442" s="138" t="s">
        <v>1019</v>
      </c>
      <c r="S1442" s="41">
        <f>IF(Purchase[[#This Row],[Status]]="Cancelled",0,Purchase[[#This Row],[Qty]])</f>
        <v>37</v>
      </c>
      <c r="T1442" s="146">
        <f>IF(Purchase[[#This Row],[Status]]="Cancelled",0,Purchase[[#This Row],[Total Amount]])</f>
        <v>41477</v>
      </c>
      <c r="U1442" s="146">
        <f>SUM(Purchase[Net Amount])</f>
        <v>814985438.68000126</v>
      </c>
    </row>
    <row r="1443" spans="1:21" ht="19.5" thickBot="1" x14ac:dyDescent="0.3">
      <c r="A1443" s="136" t="s">
        <v>2496</v>
      </c>
      <c r="B1443" s="137">
        <v>45729</v>
      </c>
      <c r="C1443" s="138" t="s">
        <v>606</v>
      </c>
      <c r="D1443" s="138" t="str">
        <f>VLOOKUP(Purchase[[#This Row],[Supplier ID]],Supplier[#All],2,0)</f>
        <v>Prime Traders</v>
      </c>
      <c r="E1443" s="138">
        <f>VLOOKUP(Purchase[[#This Row],[Supplier ID]],Supplier[#All],3,0)</f>
        <v>9689542489</v>
      </c>
      <c r="F1443" s="138" t="str">
        <f>VLOOKUP(Purchase[[#This Row],[Supplier ID]],Supplier[#All],4,0)</f>
        <v>Indore</v>
      </c>
      <c r="G1443" s="138" t="str">
        <f>VLOOKUP(Purchase[[#This Row],[Supplier ID]],Supplier[#All],5,0)</f>
        <v>MP</v>
      </c>
      <c r="H1443" s="138" t="str">
        <f>VLOOKUP(Purchase[[#This Row],[Supplier ID]],Supplier[#All],6,0)</f>
        <v>GST2154521T051</v>
      </c>
      <c r="I1443" s="138" t="s">
        <v>410</v>
      </c>
      <c r="J1443" s="139">
        <v>30</v>
      </c>
      <c r="K1443" s="143">
        <f>VLOOKUP(Purchase[[#This Row],[Product ID]],Product[#All],6,0)</f>
        <v>9953</v>
      </c>
      <c r="L1443" s="143">
        <f>Purchase[[#This Row],[Purchase Rate]]*Purchase[[#This Row],[Qty]]</f>
        <v>298590</v>
      </c>
      <c r="M1443" s="140">
        <v>0</v>
      </c>
      <c r="N1443" s="143">
        <v>0</v>
      </c>
      <c r="O1443" s="140">
        <v>0.18</v>
      </c>
      <c r="P1443" s="145">
        <f>(Purchase[[#This Row],[Gross Amount]]-Purchase[[#This Row],[Disct %]])*Purchase[[#This Row],[GST %]]</f>
        <v>53746.2</v>
      </c>
      <c r="Q1443" s="145">
        <f>Purchase[[#This Row],[Gross Amount]]-Purchase[[#This Row],[Disct Amnt]]+Purchase[[#This Row],[GST Amount]]</f>
        <v>352336.2</v>
      </c>
      <c r="R1443" s="138" t="s">
        <v>1019</v>
      </c>
      <c r="S1443" s="41">
        <f>IF(Purchase[[#This Row],[Status]]="Cancelled",0,Purchase[[#This Row],[Qty]])</f>
        <v>30</v>
      </c>
      <c r="T1443" s="146">
        <f>IF(Purchase[[#This Row],[Status]]="Cancelled",0,Purchase[[#This Row],[Total Amount]])</f>
        <v>352336.2</v>
      </c>
      <c r="U1443" s="146">
        <f>SUM(Purchase[Net Amount])</f>
        <v>814985438.68000126</v>
      </c>
    </row>
    <row r="1444" spans="1:21" ht="19.5" thickBot="1" x14ac:dyDescent="0.3">
      <c r="A1444" s="136" t="s">
        <v>2497</v>
      </c>
      <c r="B1444" s="137">
        <v>45729</v>
      </c>
      <c r="C1444" s="138" t="s">
        <v>605</v>
      </c>
      <c r="D1444" s="138" t="str">
        <f>VLOOKUP(Purchase[[#This Row],[Supplier ID]],Supplier[#All],2,0)</f>
        <v>Star Traders</v>
      </c>
      <c r="E1444" s="138">
        <f>VLOOKUP(Purchase[[#This Row],[Supplier ID]],Supplier[#All],3,0)</f>
        <v>9689542488</v>
      </c>
      <c r="F1444" s="138" t="str">
        <f>VLOOKUP(Purchase[[#This Row],[Supplier ID]],Supplier[#All],4,0)</f>
        <v>Indore</v>
      </c>
      <c r="G1444" s="138" t="str">
        <f>VLOOKUP(Purchase[[#This Row],[Supplier ID]],Supplier[#All],5,0)</f>
        <v>MP</v>
      </c>
      <c r="H1444" s="138" t="str">
        <f>VLOOKUP(Purchase[[#This Row],[Supplier ID]],Supplier[#All],6,0)</f>
        <v>GST2154521T050</v>
      </c>
      <c r="I1444" s="138" t="s">
        <v>59</v>
      </c>
      <c r="J1444" s="139">
        <v>4</v>
      </c>
      <c r="K1444" s="143">
        <f>VLOOKUP(Purchase[[#This Row],[Product ID]],Product[#All],6,0)</f>
        <v>928</v>
      </c>
      <c r="L1444" s="143">
        <f>Purchase[[#This Row],[Purchase Rate]]*Purchase[[#This Row],[Qty]]</f>
        <v>3712</v>
      </c>
      <c r="M1444" s="140">
        <v>0</v>
      </c>
      <c r="N1444" s="143">
        <v>0</v>
      </c>
      <c r="O1444" s="140">
        <v>0.18</v>
      </c>
      <c r="P1444" s="145">
        <f>(Purchase[[#This Row],[Gross Amount]]-Purchase[[#This Row],[Disct %]])*Purchase[[#This Row],[GST %]]</f>
        <v>668.16</v>
      </c>
      <c r="Q1444" s="145">
        <f>Purchase[[#This Row],[Gross Amount]]-Purchase[[#This Row],[Disct Amnt]]+Purchase[[#This Row],[GST Amount]]</f>
        <v>4380.16</v>
      </c>
      <c r="R1444" s="138" t="s">
        <v>1019</v>
      </c>
      <c r="S1444" s="41">
        <f>IF(Purchase[[#This Row],[Status]]="Cancelled",0,Purchase[[#This Row],[Qty]])</f>
        <v>4</v>
      </c>
      <c r="T1444" s="146">
        <f>IF(Purchase[[#This Row],[Status]]="Cancelled",0,Purchase[[#This Row],[Total Amount]])</f>
        <v>4380.16</v>
      </c>
      <c r="U1444" s="146">
        <f>SUM(Purchase[Net Amount])</f>
        <v>814985438.68000126</v>
      </c>
    </row>
    <row r="1445" spans="1:21" ht="19.5" thickBot="1" x14ac:dyDescent="0.3">
      <c r="A1445" s="136" t="s">
        <v>2498</v>
      </c>
      <c r="B1445" s="137">
        <v>45729</v>
      </c>
      <c r="C1445" s="138" t="s">
        <v>585</v>
      </c>
      <c r="D1445" s="138" t="str">
        <f>VLOOKUP(Purchase[[#This Row],[Supplier ID]],Supplier[#All],2,0)</f>
        <v>Tech Computers</v>
      </c>
      <c r="E1445" s="138">
        <f>VLOOKUP(Purchase[[#This Row],[Supplier ID]],Supplier[#All],3,0)</f>
        <v>9689542469</v>
      </c>
      <c r="F1445" s="138" t="str">
        <f>VLOOKUP(Purchase[[#This Row],[Supplier ID]],Supplier[#All],4,0)</f>
        <v>Korba</v>
      </c>
      <c r="G1445" s="138" t="str">
        <f>VLOOKUP(Purchase[[#This Row],[Supplier ID]],Supplier[#All],5,0)</f>
        <v>CG</v>
      </c>
      <c r="H1445" s="138" t="str">
        <f>VLOOKUP(Purchase[[#This Row],[Supplier ID]],Supplier[#All],6,0)</f>
        <v>GST2154521T031</v>
      </c>
      <c r="I1445" s="138" t="s">
        <v>322</v>
      </c>
      <c r="J1445" s="139">
        <v>28</v>
      </c>
      <c r="K1445" s="143">
        <f>VLOOKUP(Purchase[[#This Row],[Product ID]],Product[#All],6,0)</f>
        <v>8005</v>
      </c>
      <c r="L1445" s="143">
        <f>Purchase[[#This Row],[Purchase Rate]]*Purchase[[#This Row],[Qty]]</f>
        <v>224140</v>
      </c>
      <c r="M1445" s="140">
        <v>0</v>
      </c>
      <c r="N1445" s="143">
        <v>0</v>
      </c>
      <c r="O1445" s="140">
        <v>0.18</v>
      </c>
      <c r="P1445" s="145">
        <f>(Purchase[[#This Row],[Gross Amount]]-Purchase[[#This Row],[Disct %]])*Purchase[[#This Row],[GST %]]</f>
        <v>40345.199999999997</v>
      </c>
      <c r="Q1445" s="145">
        <f>Purchase[[#This Row],[Gross Amount]]-Purchase[[#This Row],[Disct Amnt]]+Purchase[[#This Row],[GST Amount]]</f>
        <v>264485.2</v>
      </c>
      <c r="R1445" s="138" t="s">
        <v>1019</v>
      </c>
      <c r="S1445" s="41">
        <f>IF(Purchase[[#This Row],[Status]]="Cancelled",0,Purchase[[#This Row],[Qty]])</f>
        <v>28</v>
      </c>
      <c r="T1445" s="146">
        <f>IF(Purchase[[#This Row],[Status]]="Cancelled",0,Purchase[[#This Row],[Total Amount]])</f>
        <v>264485.2</v>
      </c>
      <c r="U1445" s="146">
        <f>SUM(Purchase[Net Amount])</f>
        <v>814985438.68000126</v>
      </c>
    </row>
    <row r="1446" spans="1:21" ht="19.5" thickBot="1" x14ac:dyDescent="0.3">
      <c r="A1446" s="136" t="s">
        <v>2499</v>
      </c>
      <c r="B1446" s="137">
        <v>45729</v>
      </c>
      <c r="C1446" s="138" t="s">
        <v>593</v>
      </c>
      <c r="D1446" s="138" t="str">
        <f>VLOOKUP(Purchase[[#This Row],[Supplier ID]],Supplier[#All],2,0)</f>
        <v>Global Suppliers</v>
      </c>
      <c r="E1446" s="138">
        <f>VLOOKUP(Purchase[[#This Row],[Supplier ID]],Supplier[#All],3,0)</f>
        <v>9689542476</v>
      </c>
      <c r="F1446" s="138" t="str">
        <f>VLOOKUP(Purchase[[#This Row],[Supplier ID]],Supplier[#All],4,0)</f>
        <v>Korba</v>
      </c>
      <c r="G1446" s="138" t="str">
        <f>VLOOKUP(Purchase[[#This Row],[Supplier ID]],Supplier[#All],5,0)</f>
        <v>CG</v>
      </c>
      <c r="H1446" s="138" t="str">
        <f>VLOOKUP(Purchase[[#This Row],[Supplier ID]],Supplier[#All],6,0)</f>
        <v>GST2154521T038</v>
      </c>
      <c r="I1446" s="138" t="s">
        <v>350</v>
      </c>
      <c r="J1446" s="139">
        <v>4</v>
      </c>
      <c r="K1446" s="143">
        <f>VLOOKUP(Purchase[[#This Row],[Product ID]],Product[#All],6,0)</f>
        <v>14913</v>
      </c>
      <c r="L1446" s="143">
        <f>Purchase[[#This Row],[Purchase Rate]]*Purchase[[#This Row],[Qty]]</f>
        <v>59652</v>
      </c>
      <c r="M1446" s="140">
        <v>0</v>
      </c>
      <c r="N1446" s="143">
        <v>0</v>
      </c>
      <c r="O1446" s="140">
        <v>0.18</v>
      </c>
      <c r="P1446" s="145">
        <f>(Purchase[[#This Row],[Gross Amount]]-Purchase[[#This Row],[Disct %]])*Purchase[[#This Row],[GST %]]</f>
        <v>10737.359999999999</v>
      </c>
      <c r="Q1446" s="145">
        <f>Purchase[[#This Row],[Gross Amount]]-Purchase[[#This Row],[Disct Amnt]]+Purchase[[#This Row],[GST Amount]]</f>
        <v>70389.36</v>
      </c>
      <c r="R1446" s="138" t="s">
        <v>1019</v>
      </c>
      <c r="S1446" s="41">
        <f>IF(Purchase[[#This Row],[Status]]="Cancelled",0,Purchase[[#This Row],[Qty]])</f>
        <v>4</v>
      </c>
      <c r="T1446" s="146">
        <f>IF(Purchase[[#This Row],[Status]]="Cancelled",0,Purchase[[#This Row],[Total Amount]])</f>
        <v>70389.36</v>
      </c>
      <c r="U1446" s="146">
        <f>SUM(Purchase[Net Amount])</f>
        <v>814985438.68000126</v>
      </c>
    </row>
    <row r="1447" spans="1:21" ht="19.5" thickBot="1" x14ac:dyDescent="0.3">
      <c r="A1447" s="136" t="s">
        <v>2500</v>
      </c>
      <c r="B1447" s="137">
        <v>45729</v>
      </c>
      <c r="C1447" s="138" t="s">
        <v>577</v>
      </c>
      <c r="D1447" s="138" t="str">
        <f>VLOOKUP(Purchase[[#This Row],[Supplier ID]],Supplier[#All],2,0)</f>
        <v>National Electronics</v>
      </c>
      <c r="E1447" s="138">
        <f>VLOOKUP(Purchase[[#This Row],[Supplier ID]],Supplier[#All],3,0)</f>
        <v>9689542469</v>
      </c>
      <c r="F1447" s="138" t="str">
        <f>VLOOKUP(Purchase[[#This Row],[Supplier ID]],Supplier[#All],4,0)</f>
        <v>Korba</v>
      </c>
      <c r="G1447" s="138" t="str">
        <f>VLOOKUP(Purchase[[#This Row],[Supplier ID]],Supplier[#All],5,0)</f>
        <v>CG</v>
      </c>
      <c r="H1447" s="138" t="str">
        <f>VLOOKUP(Purchase[[#This Row],[Supplier ID]],Supplier[#All],6,0)</f>
        <v>GST2154521T023</v>
      </c>
      <c r="I1447" s="138" t="s">
        <v>70</v>
      </c>
      <c r="J1447" s="139">
        <v>9</v>
      </c>
      <c r="K1447" s="143">
        <f>VLOOKUP(Purchase[[#This Row],[Product ID]],Product[#All],6,0)</f>
        <v>3980</v>
      </c>
      <c r="L1447" s="143">
        <f>Purchase[[#This Row],[Purchase Rate]]*Purchase[[#This Row],[Qty]]</f>
        <v>35820</v>
      </c>
      <c r="M1447" s="140">
        <v>0</v>
      </c>
      <c r="N1447" s="143">
        <v>0</v>
      </c>
      <c r="O1447" s="140">
        <v>0.18</v>
      </c>
      <c r="P1447" s="145">
        <f>(Purchase[[#This Row],[Gross Amount]]-Purchase[[#This Row],[Disct %]])*Purchase[[#This Row],[GST %]]</f>
        <v>6447.5999999999995</v>
      </c>
      <c r="Q1447" s="145">
        <f>Purchase[[#This Row],[Gross Amount]]-Purchase[[#This Row],[Disct Amnt]]+Purchase[[#This Row],[GST Amount]]</f>
        <v>42267.6</v>
      </c>
      <c r="R1447" s="138" t="s">
        <v>1019</v>
      </c>
      <c r="S1447" s="41">
        <f>IF(Purchase[[#This Row],[Status]]="Cancelled",0,Purchase[[#This Row],[Qty]])</f>
        <v>9</v>
      </c>
      <c r="T1447" s="146">
        <f>IF(Purchase[[#This Row],[Status]]="Cancelled",0,Purchase[[#This Row],[Total Amount]])</f>
        <v>42267.6</v>
      </c>
      <c r="U1447" s="146">
        <f>SUM(Purchase[Net Amount])</f>
        <v>814985438.68000126</v>
      </c>
    </row>
    <row r="1448" spans="1:21" ht="19.5" thickBot="1" x14ac:dyDescent="0.3">
      <c r="A1448" s="136" t="s">
        <v>2501</v>
      </c>
      <c r="B1448" s="137">
        <v>45729</v>
      </c>
      <c r="C1448" s="138" t="s">
        <v>582</v>
      </c>
      <c r="D1448" s="138" t="str">
        <f>VLOOKUP(Purchase[[#This Row],[Supplier ID]],Supplier[#All],2,0)</f>
        <v>Tech Distributors</v>
      </c>
      <c r="E1448" s="138">
        <f>VLOOKUP(Purchase[[#This Row],[Supplier ID]],Supplier[#All],3,0)</f>
        <v>9689542466</v>
      </c>
      <c r="F1448" s="138" t="str">
        <f>VLOOKUP(Purchase[[#This Row],[Supplier ID]],Supplier[#All],4,0)</f>
        <v>Indore</v>
      </c>
      <c r="G1448" s="138" t="str">
        <f>VLOOKUP(Purchase[[#This Row],[Supplier ID]],Supplier[#All],5,0)</f>
        <v>MP</v>
      </c>
      <c r="H1448" s="138" t="str">
        <f>VLOOKUP(Purchase[[#This Row],[Supplier ID]],Supplier[#All],6,0)</f>
        <v>GST2154521T028</v>
      </c>
      <c r="I1448" s="138" t="s">
        <v>528</v>
      </c>
      <c r="J1448" s="139">
        <v>11</v>
      </c>
      <c r="K1448" s="143">
        <f>VLOOKUP(Purchase[[#This Row],[Product ID]],Product[#All],6,0)</f>
        <v>4004</v>
      </c>
      <c r="L1448" s="143">
        <f>Purchase[[#This Row],[Purchase Rate]]*Purchase[[#This Row],[Qty]]</f>
        <v>44044</v>
      </c>
      <c r="M1448" s="140">
        <v>0</v>
      </c>
      <c r="N1448" s="143">
        <v>0</v>
      </c>
      <c r="O1448" s="140">
        <v>0.18</v>
      </c>
      <c r="P1448" s="145">
        <f>(Purchase[[#This Row],[Gross Amount]]-Purchase[[#This Row],[Disct %]])*Purchase[[#This Row],[GST %]]</f>
        <v>7927.92</v>
      </c>
      <c r="Q1448" s="145">
        <f>Purchase[[#This Row],[Gross Amount]]-Purchase[[#This Row],[Disct Amnt]]+Purchase[[#This Row],[GST Amount]]</f>
        <v>51971.92</v>
      </c>
      <c r="R1448" s="138" t="s">
        <v>1019</v>
      </c>
      <c r="S1448" s="41">
        <f>IF(Purchase[[#This Row],[Status]]="Cancelled",0,Purchase[[#This Row],[Qty]])</f>
        <v>11</v>
      </c>
      <c r="T1448" s="146">
        <f>IF(Purchase[[#This Row],[Status]]="Cancelled",0,Purchase[[#This Row],[Total Amount]])</f>
        <v>51971.92</v>
      </c>
      <c r="U1448" s="146">
        <f>SUM(Purchase[Net Amount])</f>
        <v>814985438.68000126</v>
      </c>
    </row>
    <row r="1449" spans="1:21" ht="19.5" thickBot="1" x14ac:dyDescent="0.3">
      <c r="A1449" s="136" t="s">
        <v>2502</v>
      </c>
      <c r="B1449" s="137">
        <v>45729</v>
      </c>
      <c r="C1449" s="138" t="s">
        <v>591</v>
      </c>
      <c r="D1449" s="138" t="str">
        <f>VLOOKUP(Purchase[[#This Row],[Supplier ID]],Supplier[#All],2,0)</f>
        <v>Shree Computers</v>
      </c>
      <c r="E1449" s="138">
        <f>VLOOKUP(Purchase[[#This Row],[Supplier ID]],Supplier[#All],3,0)</f>
        <v>9689542475</v>
      </c>
      <c r="F1449" s="138" t="str">
        <f>VLOOKUP(Purchase[[#This Row],[Supplier ID]],Supplier[#All],4,0)</f>
        <v>Indore</v>
      </c>
      <c r="G1449" s="138" t="str">
        <f>VLOOKUP(Purchase[[#This Row],[Supplier ID]],Supplier[#All],5,0)</f>
        <v>MP</v>
      </c>
      <c r="H1449" s="138" t="str">
        <f>VLOOKUP(Purchase[[#This Row],[Supplier ID]],Supplier[#All],6,0)</f>
        <v>GST2154521T037</v>
      </c>
      <c r="I1449" s="138" t="s">
        <v>510</v>
      </c>
      <c r="J1449" s="139">
        <v>29</v>
      </c>
      <c r="K1449" s="143">
        <f>VLOOKUP(Purchase[[#This Row],[Product ID]],Product[#All],6,0)</f>
        <v>4271</v>
      </c>
      <c r="L1449" s="143">
        <f>Purchase[[#This Row],[Purchase Rate]]*Purchase[[#This Row],[Qty]]</f>
        <v>123859</v>
      </c>
      <c r="M1449" s="140">
        <v>0</v>
      </c>
      <c r="N1449" s="143">
        <v>0</v>
      </c>
      <c r="O1449" s="140">
        <v>0.18</v>
      </c>
      <c r="P1449" s="145">
        <f>(Purchase[[#This Row],[Gross Amount]]-Purchase[[#This Row],[Disct %]])*Purchase[[#This Row],[GST %]]</f>
        <v>22294.62</v>
      </c>
      <c r="Q1449" s="145">
        <f>Purchase[[#This Row],[Gross Amount]]-Purchase[[#This Row],[Disct Amnt]]+Purchase[[#This Row],[GST Amount]]</f>
        <v>146153.62</v>
      </c>
      <c r="R1449" s="138" t="s">
        <v>1019</v>
      </c>
      <c r="S1449" s="41">
        <f>IF(Purchase[[#This Row],[Status]]="Cancelled",0,Purchase[[#This Row],[Qty]])</f>
        <v>29</v>
      </c>
      <c r="T1449" s="146">
        <f>IF(Purchase[[#This Row],[Status]]="Cancelled",0,Purchase[[#This Row],[Total Amount]])</f>
        <v>146153.62</v>
      </c>
      <c r="U1449" s="146">
        <f>SUM(Purchase[Net Amount])</f>
        <v>814985438.68000126</v>
      </c>
    </row>
    <row r="1450" spans="1:21" ht="19.5" thickBot="1" x14ac:dyDescent="0.3">
      <c r="A1450" s="136" t="s">
        <v>2503</v>
      </c>
      <c r="B1450" s="137">
        <v>45729</v>
      </c>
      <c r="C1450" s="138" t="s">
        <v>573</v>
      </c>
      <c r="D1450" s="138" t="str">
        <f>VLOOKUP(Purchase[[#This Row],[Supplier ID]],Supplier[#All],2,0)</f>
        <v>Shree Traders</v>
      </c>
      <c r="E1450" s="138">
        <f>VLOOKUP(Purchase[[#This Row],[Supplier ID]],Supplier[#All],3,0)</f>
        <v>9689542458</v>
      </c>
      <c r="F1450" s="138" t="str">
        <f>VLOOKUP(Purchase[[#This Row],[Supplier ID]],Supplier[#All],4,0)</f>
        <v>Korba</v>
      </c>
      <c r="G1450" s="138" t="str">
        <f>VLOOKUP(Purchase[[#This Row],[Supplier ID]],Supplier[#All],5,0)</f>
        <v>CG</v>
      </c>
      <c r="H1450" s="138" t="str">
        <f>VLOOKUP(Purchase[[#This Row],[Supplier ID]],Supplier[#All],6,0)</f>
        <v>GST2154521T020</v>
      </c>
      <c r="I1450" s="138" t="s">
        <v>265</v>
      </c>
      <c r="J1450" s="139">
        <v>22</v>
      </c>
      <c r="K1450" s="143">
        <f>VLOOKUP(Purchase[[#This Row],[Product ID]],Product[#All],6,0)</f>
        <v>28871</v>
      </c>
      <c r="L1450" s="143">
        <f>Purchase[[#This Row],[Purchase Rate]]*Purchase[[#This Row],[Qty]]</f>
        <v>635162</v>
      </c>
      <c r="M1450" s="140">
        <v>0</v>
      </c>
      <c r="N1450" s="143">
        <v>0</v>
      </c>
      <c r="O1450" s="140">
        <v>0.18</v>
      </c>
      <c r="P1450" s="145">
        <f>(Purchase[[#This Row],[Gross Amount]]-Purchase[[#This Row],[Disct %]])*Purchase[[#This Row],[GST %]]</f>
        <v>114329.15999999999</v>
      </c>
      <c r="Q1450" s="145">
        <f>Purchase[[#This Row],[Gross Amount]]-Purchase[[#This Row],[Disct Amnt]]+Purchase[[#This Row],[GST Amount]]</f>
        <v>749491.16</v>
      </c>
      <c r="R1450" s="138" t="s">
        <v>1019</v>
      </c>
      <c r="S1450" s="41">
        <f>IF(Purchase[[#This Row],[Status]]="Cancelled",0,Purchase[[#This Row],[Qty]])</f>
        <v>22</v>
      </c>
      <c r="T1450" s="146">
        <f>IF(Purchase[[#This Row],[Status]]="Cancelled",0,Purchase[[#This Row],[Total Amount]])</f>
        <v>749491.16</v>
      </c>
      <c r="U1450" s="146">
        <f>SUM(Purchase[Net Amount])</f>
        <v>814985438.68000126</v>
      </c>
    </row>
    <row r="1451" spans="1:21" ht="19.5" thickBot="1" x14ac:dyDescent="0.3">
      <c r="A1451" s="136" t="s">
        <v>2504</v>
      </c>
      <c r="B1451" s="137">
        <v>45729</v>
      </c>
      <c r="C1451" s="138" t="s">
        <v>568</v>
      </c>
      <c r="D1451" s="138" t="str">
        <f>VLOOKUP(Purchase[[#This Row],[Supplier ID]],Supplier[#All],2,0)</f>
        <v>Maa Computers</v>
      </c>
      <c r="E1451" s="138">
        <f>VLOOKUP(Purchase[[#This Row],[Supplier ID]],Supplier[#All],3,0)</f>
        <v>9689542454</v>
      </c>
      <c r="F1451" s="138" t="str">
        <f>VLOOKUP(Purchase[[#This Row],[Supplier ID]],Supplier[#All],4,0)</f>
        <v>Korba</v>
      </c>
      <c r="G1451" s="138" t="str">
        <f>VLOOKUP(Purchase[[#This Row],[Supplier ID]],Supplier[#All],5,0)</f>
        <v>CG</v>
      </c>
      <c r="H1451" s="138" t="str">
        <f>VLOOKUP(Purchase[[#This Row],[Supplier ID]],Supplier[#All],6,0)</f>
        <v>GST2154521T016</v>
      </c>
      <c r="I1451" s="138" t="s">
        <v>35</v>
      </c>
      <c r="J1451" s="139">
        <v>25</v>
      </c>
      <c r="K1451" s="143">
        <f>VLOOKUP(Purchase[[#This Row],[Product ID]],Product[#All],6,0)</f>
        <v>2905</v>
      </c>
      <c r="L1451" s="143">
        <f>Purchase[[#This Row],[Purchase Rate]]*Purchase[[#This Row],[Qty]]</f>
        <v>72625</v>
      </c>
      <c r="M1451" s="140">
        <v>0</v>
      </c>
      <c r="N1451" s="143">
        <v>0</v>
      </c>
      <c r="O1451" s="140">
        <v>0.18</v>
      </c>
      <c r="P1451" s="145">
        <f>(Purchase[[#This Row],[Gross Amount]]-Purchase[[#This Row],[Disct %]])*Purchase[[#This Row],[GST %]]</f>
        <v>13072.5</v>
      </c>
      <c r="Q1451" s="145">
        <f>Purchase[[#This Row],[Gross Amount]]-Purchase[[#This Row],[Disct Amnt]]+Purchase[[#This Row],[GST Amount]]</f>
        <v>85697.5</v>
      </c>
      <c r="R1451" s="138" t="s">
        <v>1019</v>
      </c>
      <c r="S1451" s="41">
        <f>IF(Purchase[[#This Row],[Status]]="Cancelled",0,Purchase[[#This Row],[Qty]])</f>
        <v>25</v>
      </c>
      <c r="T1451" s="146">
        <f>IF(Purchase[[#This Row],[Status]]="Cancelled",0,Purchase[[#This Row],[Total Amount]])</f>
        <v>85697.5</v>
      </c>
      <c r="U1451" s="146">
        <f>SUM(Purchase[Net Amount])</f>
        <v>814985438.68000126</v>
      </c>
    </row>
    <row r="1452" spans="1:21" ht="19.5" thickBot="1" x14ac:dyDescent="0.3">
      <c r="A1452" s="136" t="s">
        <v>2505</v>
      </c>
      <c r="B1452" s="137">
        <v>45729</v>
      </c>
      <c r="C1452" s="138" t="s">
        <v>578</v>
      </c>
      <c r="D1452" s="138" t="str">
        <f>VLOOKUP(Purchase[[#This Row],[Supplier ID]],Supplier[#All],2,0)</f>
        <v>Shree Computers</v>
      </c>
      <c r="E1452" s="138">
        <f>VLOOKUP(Purchase[[#This Row],[Supplier ID]],Supplier[#All],3,0)</f>
        <v>9689542462</v>
      </c>
      <c r="F1452" s="138" t="str">
        <f>VLOOKUP(Purchase[[#This Row],[Supplier ID]],Supplier[#All],4,0)</f>
        <v>Korba</v>
      </c>
      <c r="G1452" s="138" t="str">
        <f>VLOOKUP(Purchase[[#This Row],[Supplier ID]],Supplier[#All],5,0)</f>
        <v>CG</v>
      </c>
      <c r="H1452" s="138" t="str">
        <f>VLOOKUP(Purchase[[#This Row],[Supplier ID]],Supplier[#All],6,0)</f>
        <v>GST2154521T024</v>
      </c>
      <c r="I1452" s="138" t="s">
        <v>431</v>
      </c>
      <c r="J1452" s="139">
        <v>22</v>
      </c>
      <c r="K1452" s="143">
        <f>VLOOKUP(Purchase[[#This Row],[Product ID]],Product[#All],6,0)</f>
        <v>14391</v>
      </c>
      <c r="L1452" s="143">
        <f>Purchase[[#This Row],[Purchase Rate]]*Purchase[[#This Row],[Qty]]</f>
        <v>316602</v>
      </c>
      <c r="M1452" s="140">
        <v>0</v>
      </c>
      <c r="N1452" s="143">
        <v>0</v>
      </c>
      <c r="O1452" s="140">
        <v>0.18</v>
      </c>
      <c r="P1452" s="145">
        <f>(Purchase[[#This Row],[Gross Amount]]-Purchase[[#This Row],[Disct %]])*Purchase[[#This Row],[GST %]]</f>
        <v>56988.36</v>
      </c>
      <c r="Q1452" s="145">
        <f>Purchase[[#This Row],[Gross Amount]]-Purchase[[#This Row],[Disct Amnt]]+Purchase[[#This Row],[GST Amount]]</f>
        <v>373590.36</v>
      </c>
      <c r="R1452" s="138" t="s">
        <v>1019</v>
      </c>
      <c r="S1452" s="41">
        <f>IF(Purchase[[#This Row],[Status]]="Cancelled",0,Purchase[[#This Row],[Qty]])</f>
        <v>22</v>
      </c>
      <c r="T1452" s="146">
        <f>IF(Purchase[[#This Row],[Status]]="Cancelled",0,Purchase[[#This Row],[Total Amount]])</f>
        <v>373590.36</v>
      </c>
      <c r="U1452" s="146">
        <f>SUM(Purchase[Net Amount])</f>
        <v>814985438.68000126</v>
      </c>
    </row>
    <row r="1453" spans="1:21" ht="19.5" thickBot="1" x14ac:dyDescent="0.3">
      <c r="A1453" s="136" t="s">
        <v>2506</v>
      </c>
      <c r="B1453" s="137">
        <v>45729</v>
      </c>
      <c r="C1453" s="138" t="s">
        <v>596</v>
      </c>
      <c r="D1453" s="138" t="str">
        <f>VLOOKUP(Purchase[[#This Row],[Supplier ID]],Supplier[#All],2,0)</f>
        <v>star traders</v>
      </c>
      <c r="E1453" s="138">
        <f>VLOOKUP(Purchase[[#This Row],[Supplier ID]],Supplier[#All],3,0)</f>
        <v>9689542479</v>
      </c>
      <c r="F1453" s="138" t="str">
        <f>VLOOKUP(Purchase[[#This Row],[Supplier ID]],Supplier[#All],4,0)</f>
        <v>Korba</v>
      </c>
      <c r="G1453" s="138" t="str">
        <f>VLOOKUP(Purchase[[#This Row],[Supplier ID]],Supplier[#All],5,0)</f>
        <v>CG</v>
      </c>
      <c r="H1453" s="138" t="str">
        <f>VLOOKUP(Purchase[[#This Row],[Supplier ID]],Supplier[#All],6,0)</f>
        <v>GST2154521T041</v>
      </c>
      <c r="I1453" s="138" t="s">
        <v>223</v>
      </c>
      <c r="J1453" s="139">
        <v>2</v>
      </c>
      <c r="K1453" s="143">
        <f>VLOOKUP(Purchase[[#This Row],[Product ID]],Product[#All],6,0)</f>
        <v>8461</v>
      </c>
      <c r="L1453" s="143">
        <f>Purchase[[#This Row],[Purchase Rate]]*Purchase[[#This Row],[Qty]]</f>
        <v>16922</v>
      </c>
      <c r="M1453" s="140">
        <v>0</v>
      </c>
      <c r="N1453" s="143">
        <v>0</v>
      </c>
      <c r="O1453" s="140">
        <v>0.18</v>
      </c>
      <c r="P1453" s="145">
        <f>(Purchase[[#This Row],[Gross Amount]]-Purchase[[#This Row],[Disct %]])*Purchase[[#This Row],[GST %]]</f>
        <v>3045.96</v>
      </c>
      <c r="Q1453" s="145">
        <f>Purchase[[#This Row],[Gross Amount]]-Purchase[[#This Row],[Disct Amnt]]+Purchase[[#This Row],[GST Amount]]</f>
        <v>19967.96</v>
      </c>
      <c r="R1453" s="138" t="s">
        <v>1019</v>
      </c>
      <c r="S1453" s="41">
        <f>IF(Purchase[[#This Row],[Status]]="Cancelled",0,Purchase[[#This Row],[Qty]])</f>
        <v>2</v>
      </c>
      <c r="T1453" s="146">
        <f>IF(Purchase[[#This Row],[Status]]="Cancelled",0,Purchase[[#This Row],[Total Amount]])</f>
        <v>19967.96</v>
      </c>
      <c r="U1453" s="146">
        <f>SUM(Purchase[Net Amount])</f>
        <v>814985438.68000126</v>
      </c>
    </row>
    <row r="1454" spans="1:21" ht="19.5" thickBot="1" x14ac:dyDescent="0.3">
      <c r="A1454" s="136" t="s">
        <v>2507</v>
      </c>
      <c r="B1454" s="137">
        <v>45729</v>
      </c>
      <c r="C1454" s="138" t="s">
        <v>570</v>
      </c>
      <c r="D1454" s="138" t="str">
        <f>VLOOKUP(Purchase[[#This Row],[Supplier ID]],Supplier[#All],2,0)</f>
        <v>Prime Traders</v>
      </c>
      <c r="E1454" s="138">
        <f>VLOOKUP(Purchase[[#This Row],[Supplier ID]],Supplier[#All],3,0)</f>
        <v>9689542456</v>
      </c>
      <c r="F1454" s="138" t="str">
        <f>VLOOKUP(Purchase[[#This Row],[Supplier ID]],Supplier[#All],4,0)</f>
        <v>Indore</v>
      </c>
      <c r="G1454" s="138" t="str">
        <f>VLOOKUP(Purchase[[#This Row],[Supplier ID]],Supplier[#All],5,0)</f>
        <v>MP</v>
      </c>
      <c r="H1454" s="138" t="str">
        <f>VLOOKUP(Purchase[[#This Row],[Supplier ID]],Supplier[#All],6,0)</f>
        <v>GST2154521T018</v>
      </c>
      <c r="I1454" s="138" t="s">
        <v>433</v>
      </c>
      <c r="J1454" s="139">
        <v>34</v>
      </c>
      <c r="K1454" s="143">
        <f>VLOOKUP(Purchase[[#This Row],[Product ID]],Product[#All],6,0)</f>
        <v>10926</v>
      </c>
      <c r="L1454" s="143">
        <f>Purchase[[#This Row],[Purchase Rate]]*Purchase[[#This Row],[Qty]]</f>
        <v>371484</v>
      </c>
      <c r="M1454" s="140">
        <v>0</v>
      </c>
      <c r="N1454" s="143">
        <v>0</v>
      </c>
      <c r="O1454" s="140">
        <v>0.18</v>
      </c>
      <c r="P1454" s="145">
        <f>(Purchase[[#This Row],[Gross Amount]]-Purchase[[#This Row],[Disct %]])*Purchase[[#This Row],[GST %]]</f>
        <v>66867.12</v>
      </c>
      <c r="Q1454" s="145">
        <f>Purchase[[#This Row],[Gross Amount]]-Purchase[[#This Row],[Disct Amnt]]+Purchase[[#This Row],[GST Amount]]</f>
        <v>438351.12</v>
      </c>
      <c r="R1454" s="138" t="s">
        <v>1019</v>
      </c>
      <c r="S1454" s="41">
        <f>IF(Purchase[[#This Row],[Status]]="Cancelled",0,Purchase[[#This Row],[Qty]])</f>
        <v>34</v>
      </c>
      <c r="T1454" s="146">
        <f>IF(Purchase[[#This Row],[Status]]="Cancelled",0,Purchase[[#This Row],[Total Amount]])</f>
        <v>438351.12</v>
      </c>
      <c r="U1454" s="146">
        <f>SUM(Purchase[Net Amount])</f>
        <v>814985438.68000126</v>
      </c>
    </row>
    <row r="1455" spans="1:21" ht="19.5" thickBot="1" x14ac:dyDescent="0.3">
      <c r="A1455" s="136" t="s">
        <v>2508</v>
      </c>
      <c r="B1455" s="137">
        <v>45729</v>
      </c>
      <c r="C1455" s="138" t="s">
        <v>591</v>
      </c>
      <c r="D1455" s="138" t="str">
        <f>VLOOKUP(Purchase[[#This Row],[Supplier ID]],Supplier[#All],2,0)</f>
        <v>Shree Computers</v>
      </c>
      <c r="E1455" s="138">
        <f>VLOOKUP(Purchase[[#This Row],[Supplier ID]],Supplier[#All],3,0)</f>
        <v>9689542475</v>
      </c>
      <c r="F1455" s="138" t="str">
        <f>VLOOKUP(Purchase[[#This Row],[Supplier ID]],Supplier[#All],4,0)</f>
        <v>Indore</v>
      </c>
      <c r="G1455" s="138" t="str">
        <f>VLOOKUP(Purchase[[#This Row],[Supplier ID]],Supplier[#All],5,0)</f>
        <v>MP</v>
      </c>
      <c r="H1455" s="138" t="str">
        <f>VLOOKUP(Purchase[[#This Row],[Supplier ID]],Supplier[#All],6,0)</f>
        <v>GST2154521T037</v>
      </c>
      <c r="I1455" s="138" t="s">
        <v>165</v>
      </c>
      <c r="J1455" s="139">
        <v>17</v>
      </c>
      <c r="K1455" s="143">
        <f>VLOOKUP(Purchase[[#This Row],[Product ID]],Product[#All],6,0)</f>
        <v>6875</v>
      </c>
      <c r="L1455" s="143">
        <f>Purchase[[#This Row],[Purchase Rate]]*Purchase[[#This Row],[Qty]]</f>
        <v>116875</v>
      </c>
      <c r="M1455" s="140">
        <v>0</v>
      </c>
      <c r="N1455" s="143">
        <v>0</v>
      </c>
      <c r="O1455" s="140">
        <v>0.18</v>
      </c>
      <c r="P1455" s="145">
        <f>(Purchase[[#This Row],[Gross Amount]]-Purchase[[#This Row],[Disct %]])*Purchase[[#This Row],[GST %]]</f>
        <v>21037.5</v>
      </c>
      <c r="Q1455" s="145">
        <f>Purchase[[#This Row],[Gross Amount]]-Purchase[[#This Row],[Disct Amnt]]+Purchase[[#This Row],[GST Amount]]</f>
        <v>137912.5</v>
      </c>
      <c r="R1455" s="138" t="s">
        <v>1019</v>
      </c>
      <c r="S1455" s="41">
        <f>IF(Purchase[[#This Row],[Status]]="Cancelled",0,Purchase[[#This Row],[Qty]])</f>
        <v>17</v>
      </c>
      <c r="T1455" s="146">
        <f>IF(Purchase[[#This Row],[Status]]="Cancelled",0,Purchase[[#This Row],[Total Amount]])</f>
        <v>137912.5</v>
      </c>
      <c r="U1455" s="146">
        <f>SUM(Purchase[Net Amount])</f>
        <v>814985438.68000126</v>
      </c>
    </row>
    <row r="1456" spans="1:21" ht="19.5" thickBot="1" x14ac:dyDescent="0.3">
      <c r="A1456" s="136" t="s">
        <v>2509</v>
      </c>
      <c r="B1456" s="137">
        <v>45729</v>
      </c>
      <c r="C1456" s="138" t="s">
        <v>579</v>
      </c>
      <c r="D1456" s="138" t="str">
        <f>VLOOKUP(Purchase[[#This Row],[Supplier ID]],Supplier[#All],2,0)</f>
        <v>Tech Traders</v>
      </c>
      <c r="E1456" s="138">
        <f>VLOOKUP(Purchase[[#This Row],[Supplier ID]],Supplier[#All],3,0)</f>
        <v>9689542463</v>
      </c>
      <c r="F1456" s="138" t="str">
        <f>VLOOKUP(Purchase[[#This Row],[Supplier ID]],Supplier[#All],4,0)</f>
        <v>Kanpur</v>
      </c>
      <c r="G1456" s="138" t="str">
        <f>VLOOKUP(Purchase[[#This Row],[Supplier ID]],Supplier[#All],5,0)</f>
        <v>UP</v>
      </c>
      <c r="H1456" s="138" t="str">
        <f>VLOOKUP(Purchase[[#This Row],[Supplier ID]],Supplier[#All],6,0)</f>
        <v>GST2154521T025</v>
      </c>
      <c r="I1456" s="138" t="s">
        <v>415</v>
      </c>
      <c r="J1456" s="139">
        <v>24</v>
      </c>
      <c r="K1456" s="143">
        <f>VLOOKUP(Purchase[[#This Row],[Product ID]],Product[#All],6,0)</f>
        <v>4146</v>
      </c>
      <c r="L1456" s="143">
        <f>Purchase[[#This Row],[Purchase Rate]]*Purchase[[#This Row],[Qty]]</f>
        <v>99504</v>
      </c>
      <c r="M1456" s="140">
        <v>0</v>
      </c>
      <c r="N1456" s="143">
        <v>0</v>
      </c>
      <c r="O1456" s="140">
        <v>0.18</v>
      </c>
      <c r="P1456" s="145">
        <f>(Purchase[[#This Row],[Gross Amount]]-Purchase[[#This Row],[Disct %]])*Purchase[[#This Row],[GST %]]</f>
        <v>17910.719999999998</v>
      </c>
      <c r="Q1456" s="145">
        <f>Purchase[[#This Row],[Gross Amount]]-Purchase[[#This Row],[Disct Amnt]]+Purchase[[#This Row],[GST Amount]]</f>
        <v>117414.72</v>
      </c>
      <c r="R1456" s="138" t="s">
        <v>1019</v>
      </c>
      <c r="S1456" s="41">
        <f>IF(Purchase[[#This Row],[Status]]="Cancelled",0,Purchase[[#This Row],[Qty]])</f>
        <v>24</v>
      </c>
      <c r="T1456" s="146">
        <f>IF(Purchase[[#This Row],[Status]]="Cancelled",0,Purchase[[#This Row],[Total Amount]])</f>
        <v>117414.72</v>
      </c>
      <c r="U1456" s="146">
        <f>SUM(Purchase[Net Amount])</f>
        <v>814985438.68000126</v>
      </c>
    </row>
    <row r="1457" spans="1:21" ht="19.5" thickBot="1" x14ac:dyDescent="0.3">
      <c r="A1457" s="136" t="s">
        <v>2510</v>
      </c>
      <c r="B1457" s="137">
        <v>45729</v>
      </c>
      <c r="C1457" s="138" t="s">
        <v>565</v>
      </c>
      <c r="D1457" s="138" t="str">
        <f>VLOOKUP(Purchase[[#This Row],[Supplier ID]],Supplier[#All],2,0)</f>
        <v>Global Suppliers</v>
      </c>
      <c r="E1457" s="138">
        <f>VLOOKUP(Purchase[[#This Row],[Supplier ID]],Supplier[#All],3,0)</f>
        <v>9689542459</v>
      </c>
      <c r="F1457" s="138" t="str">
        <f>VLOOKUP(Purchase[[#This Row],[Supplier ID]],Supplier[#All],4,0)</f>
        <v>Indore</v>
      </c>
      <c r="G1457" s="138" t="str">
        <f>VLOOKUP(Purchase[[#This Row],[Supplier ID]],Supplier[#All],5,0)</f>
        <v>MP</v>
      </c>
      <c r="H1457" s="138" t="str">
        <f>VLOOKUP(Purchase[[#This Row],[Supplier ID]],Supplier[#All],6,0)</f>
        <v>GST2154521T013</v>
      </c>
      <c r="I1457" s="138" t="s">
        <v>395</v>
      </c>
      <c r="J1457" s="139">
        <v>31</v>
      </c>
      <c r="K1457" s="143">
        <f>VLOOKUP(Purchase[[#This Row],[Product ID]],Product[#All],6,0)</f>
        <v>4422</v>
      </c>
      <c r="L1457" s="143">
        <f>Purchase[[#This Row],[Purchase Rate]]*Purchase[[#This Row],[Qty]]</f>
        <v>137082</v>
      </c>
      <c r="M1457" s="140">
        <v>0</v>
      </c>
      <c r="N1457" s="143">
        <v>0</v>
      </c>
      <c r="O1457" s="140">
        <v>0.18</v>
      </c>
      <c r="P1457" s="145">
        <f>(Purchase[[#This Row],[Gross Amount]]-Purchase[[#This Row],[Disct %]])*Purchase[[#This Row],[GST %]]</f>
        <v>24674.76</v>
      </c>
      <c r="Q1457" s="145">
        <f>Purchase[[#This Row],[Gross Amount]]-Purchase[[#This Row],[Disct Amnt]]+Purchase[[#This Row],[GST Amount]]</f>
        <v>161756.76</v>
      </c>
      <c r="R1457" s="138" t="s">
        <v>1019</v>
      </c>
      <c r="S1457" s="41">
        <f>IF(Purchase[[#This Row],[Status]]="Cancelled",0,Purchase[[#This Row],[Qty]])</f>
        <v>31</v>
      </c>
      <c r="T1457" s="146">
        <f>IF(Purchase[[#This Row],[Status]]="Cancelled",0,Purchase[[#This Row],[Total Amount]])</f>
        <v>161756.76</v>
      </c>
      <c r="U1457" s="146">
        <f>SUM(Purchase[Net Amount])</f>
        <v>814985438.68000126</v>
      </c>
    </row>
    <row r="1458" spans="1:21" ht="19.5" thickBot="1" x14ac:dyDescent="0.3">
      <c r="A1458" s="136" t="s">
        <v>2511</v>
      </c>
      <c r="B1458" s="137">
        <v>45729</v>
      </c>
      <c r="C1458" s="138" t="s">
        <v>604</v>
      </c>
      <c r="D1458" s="138" t="str">
        <f>VLOOKUP(Purchase[[#This Row],[Supplier ID]],Supplier[#All],2,0)</f>
        <v>Prime Traders</v>
      </c>
      <c r="E1458" s="138">
        <f>VLOOKUP(Purchase[[#This Row],[Supplier ID]],Supplier[#All],3,0)</f>
        <v>9689542487</v>
      </c>
      <c r="F1458" s="138" t="str">
        <f>VLOOKUP(Purchase[[#This Row],[Supplier ID]],Supplier[#All],4,0)</f>
        <v>Indore</v>
      </c>
      <c r="G1458" s="138" t="str">
        <f>VLOOKUP(Purchase[[#This Row],[Supplier ID]],Supplier[#All],5,0)</f>
        <v>MP</v>
      </c>
      <c r="H1458" s="138" t="str">
        <f>VLOOKUP(Purchase[[#This Row],[Supplier ID]],Supplier[#All],6,0)</f>
        <v>GST2154521T049</v>
      </c>
      <c r="I1458" s="138" t="s">
        <v>411</v>
      </c>
      <c r="J1458" s="139">
        <v>3</v>
      </c>
      <c r="K1458" s="143">
        <f>VLOOKUP(Purchase[[#This Row],[Product ID]],Product[#All],6,0)</f>
        <v>2088</v>
      </c>
      <c r="L1458" s="143">
        <f>Purchase[[#This Row],[Purchase Rate]]*Purchase[[#This Row],[Qty]]</f>
        <v>6264</v>
      </c>
      <c r="M1458" s="140">
        <v>0</v>
      </c>
      <c r="N1458" s="143">
        <v>0</v>
      </c>
      <c r="O1458" s="140">
        <v>0.18</v>
      </c>
      <c r="P1458" s="145">
        <f>(Purchase[[#This Row],[Gross Amount]]-Purchase[[#This Row],[Disct %]])*Purchase[[#This Row],[GST %]]</f>
        <v>1127.52</v>
      </c>
      <c r="Q1458" s="145">
        <f>Purchase[[#This Row],[Gross Amount]]-Purchase[[#This Row],[Disct Amnt]]+Purchase[[#This Row],[GST Amount]]</f>
        <v>7391.52</v>
      </c>
      <c r="R1458" s="138" t="s">
        <v>1019</v>
      </c>
      <c r="S1458" s="41">
        <f>IF(Purchase[[#This Row],[Status]]="Cancelled",0,Purchase[[#This Row],[Qty]])</f>
        <v>3</v>
      </c>
      <c r="T1458" s="146">
        <f>IF(Purchase[[#This Row],[Status]]="Cancelled",0,Purchase[[#This Row],[Total Amount]])</f>
        <v>7391.52</v>
      </c>
      <c r="U1458" s="146">
        <f>SUM(Purchase[Net Amount])</f>
        <v>814985438.68000126</v>
      </c>
    </row>
    <row r="1459" spans="1:21" ht="19.5" thickBot="1" x14ac:dyDescent="0.3">
      <c r="A1459" s="136" t="s">
        <v>2512</v>
      </c>
      <c r="B1459" s="137">
        <v>45729</v>
      </c>
      <c r="C1459" s="138" t="s">
        <v>608</v>
      </c>
      <c r="D1459" s="138" t="str">
        <f>VLOOKUP(Purchase[[#This Row],[Supplier ID]],Supplier[#All],2,0)</f>
        <v>Global Suppliers</v>
      </c>
      <c r="E1459" s="138">
        <f>VLOOKUP(Purchase[[#This Row],[Supplier ID]],Supplier[#All],3,0)</f>
        <v>9689542499</v>
      </c>
      <c r="F1459" s="138" t="str">
        <f>VLOOKUP(Purchase[[#This Row],[Supplier ID]],Supplier[#All],4,0)</f>
        <v>Korba</v>
      </c>
      <c r="G1459" s="138" t="str">
        <f>VLOOKUP(Purchase[[#This Row],[Supplier ID]],Supplier[#All],5,0)</f>
        <v>CG</v>
      </c>
      <c r="H1459" s="138" t="str">
        <f>VLOOKUP(Purchase[[#This Row],[Supplier ID]],Supplier[#All],6,0)</f>
        <v>GST2154521T053</v>
      </c>
      <c r="I1459" s="138" t="s">
        <v>386</v>
      </c>
      <c r="J1459" s="139">
        <v>37</v>
      </c>
      <c r="K1459" s="143">
        <f>VLOOKUP(Purchase[[#This Row],[Product ID]],Product[#All],6,0)</f>
        <v>534</v>
      </c>
      <c r="L1459" s="143">
        <f>Purchase[[#This Row],[Purchase Rate]]*Purchase[[#This Row],[Qty]]</f>
        <v>19758</v>
      </c>
      <c r="M1459" s="140">
        <v>0</v>
      </c>
      <c r="N1459" s="143">
        <v>0</v>
      </c>
      <c r="O1459" s="140">
        <v>0.18</v>
      </c>
      <c r="P1459" s="145">
        <f>(Purchase[[#This Row],[Gross Amount]]-Purchase[[#This Row],[Disct %]])*Purchase[[#This Row],[GST %]]</f>
        <v>3556.44</v>
      </c>
      <c r="Q1459" s="145">
        <f>Purchase[[#This Row],[Gross Amount]]-Purchase[[#This Row],[Disct Amnt]]+Purchase[[#This Row],[GST Amount]]</f>
        <v>23314.44</v>
      </c>
      <c r="R1459" s="138" t="s">
        <v>1019</v>
      </c>
      <c r="S1459" s="41">
        <f>IF(Purchase[[#This Row],[Status]]="Cancelled",0,Purchase[[#This Row],[Qty]])</f>
        <v>37</v>
      </c>
      <c r="T1459" s="146">
        <f>IF(Purchase[[#This Row],[Status]]="Cancelled",0,Purchase[[#This Row],[Total Amount]])</f>
        <v>23314.44</v>
      </c>
      <c r="U1459" s="146">
        <f>SUM(Purchase[Net Amount])</f>
        <v>814985438.68000126</v>
      </c>
    </row>
    <row r="1460" spans="1:21" ht="19.5" thickBot="1" x14ac:dyDescent="0.3">
      <c r="A1460" s="136" t="s">
        <v>2513</v>
      </c>
      <c r="B1460" s="137">
        <v>45729</v>
      </c>
      <c r="C1460" s="138" t="s">
        <v>606</v>
      </c>
      <c r="D1460" s="138" t="str">
        <f>VLOOKUP(Purchase[[#This Row],[Supplier ID]],Supplier[#All],2,0)</f>
        <v>Prime Traders</v>
      </c>
      <c r="E1460" s="138">
        <f>VLOOKUP(Purchase[[#This Row],[Supplier ID]],Supplier[#All],3,0)</f>
        <v>9689542489</v>
      </c>
      <c r="F1460" s="138" t="str">
        <f>VLOOKUP(Purchase[[#This Row],[Supplier ID]],Supplier[#All],4,0)</f>
        <v>Indore</v>
      </c>
      <c r="G1460" s="138" t="str">
        <f>VLOOKUP(Purchase[[#This Row],[Supplier ID]],Supplier[#All],5,0)</f>
        <v>MP</v>
      </c>
      <c r="H1460" s="138" t="str">
        <f>VLOOKUP(Purchase[[#This Row],[Supplier ID]],Supplier[#All],6,0)</f>
        <v>GST2154521T051</v>
      </c>
      <c r="I1460" s="138" t="s">
        <v>168</v>
      </c>
      <c r="J1460" s="139">
        <v>14</v>
      </c>
      <c r="K1460" s="143">
        <f>VLOOKUP(Purchase[[#This Row],[Product ID]],Product[#All],6,0)</f>
        <v>1166</v>
      </c>
      <c r="L1460" s="143">
        <f>Purchase[[#This Row],[Purchase Rate]]*Purchase[[#This Row],[Qty]]</f>
        <v>16324</v>
      </c>
      <c r="M1460" s="140">
        <v>0</v>
      </c>
      <c r="N1460" s="143">
        <v>0</v>
      </c>
      <c r="O1460" s="140">
        <v>0.18</v>
      </c>
      <c r="P1460" s="145">
        <f>(Purchase[[#This Row],[Gross Amount]]-Purchase[[#This Row],[Disct %]])*Purchase[[#This Row],[GST %]]</f>
        <v>2938.3199999999997</v>
      </c>
      <c r="Q1460" s="145">
        <f>Purchase[[#This Row],[Gross Amount]]-Purchase[[#This Row],[Disct Amnt]]+Purchase[[#This Row],[GST Amount]]</f>
        <v>19262.32</v>
      </c>
      <c r="R1460" s="138" t="s">
        <v>1019</v>
      </c>
      <c r="S1460" s="41">
        <f>IF(Purchase[[#This Row],[Status]]="Cancelled",0,Purchase[[#This Row],[Qty]])</f>
        <v>14</v>
      </c>
      <c r="T1460" s="146">
        <f>IF(Purchase[[#This Row],[Status]]="Cancelled",0,Purchase[[#This Row],[Total Amount]])</f>
        <v>19262.32</v>
      </c>
      <c r="U1460" s="146">
        <f>SUM(Purchase[Net Amount])</f>
        <v>814985438.68000126</v>
      </c>
    </row>
    <row r="1461" spans="1:21" ht="19.5" thickBot="1" x14ac:dyDescent="0.3">
      <c r="A1461" s="136" t="s">
        <v>2514</v>
      </c>
      <c r="B1461" s="137">
        <v>45729</v>
      </c>
      <c r="C1461" s="138" t="s">
        <v>585</v>
      </c>
      <c r="D1461" s="138" t="str">
        <f>VLOOKUP(Purchase[[#This Row],[Supplier ID]],Supplier[#All],2,0)</f>
        <v>Tech Computers</v>
      </c>
      <c r="E1461" s="138">
        <f>VLOOKUP(Purchase[[#This Row],[Supplier ID]],Supplier[#All],3,0)</f>
        <v>9689542469</v>
      </c>
      <c r="F1461" s="138" t="str">
        <f>VLOOKUP(Purchase[[#This Row],[Supplier ID]],Supplier[#All],4,0)</f>
        <v>Korba</v>
      </c>
      <c r="G1461" s="138" t="str">
        <f>VLOOKUP(Purchase[[#This Row],[Supplier ID]],Supplier[#All],5,0)</f>
        <v>CG</v>
      </c>
      <c r="H1461" s="138" t="str">
        <f>VLOOKUP(Purchase[[#This Row],[Supplier ID]],Supplier[#All],6,0)</f>
        <v>GST2154521T031</v>
      </c>
      <c r="I1461" s="138" t="s">
        <v>89</v>
      </c>
      <c r="J1461" s="139">
        <v>9</v>
      </c>
      <c r="K1461" s="143">
        <f>VLOOKUP(Purchase[[#This Row],[Product ID]],Product[#All],6,0)</f>
        <v>341</v>
      </c>
      <c r="L1461" s="143">
        <f>Purchase[[#This Row],[Purchase Rate]]*Purchase[[#This Row],[Qty]]</f>
        <v>3069</v>
      </c>
      <c r="M1461" s="140">
        <v>0</v>
      </c>
      <c r="N1461" s="143">
        <v>0</v>
      </c>
      <c r="O1461" s="140">
        <v>0.18</v>
      </c>
      <c r="P1461" s="145">
        <f>(Purchase[[#This Row],[Gross Amount]]-Purchase[[#This Row],[Disct %]])*Purchase[[#This Row],[GST %]]</f>
        <v>552.41999999999996</v>
      </c>
      <c r="Q1461" s="145">
        <f>Purchase[[#This Row],[Gross Amount]]-Purchase[[#This Row],[Disct Amnt]]+Purchase[[#This Row],[GST Amount]]</f>
        <v>3621.42</v>
      </c>
      <c r="R1461" s="138" t="s">
        <v>1019</v>
      </c>
      <c r="S1461" s="41">
        <f>IF(Purchase[[#This Row],[Status]]="Cancelled",0,Purchase[[#This Row],[Qty]])</f>
        <v>9</v>
      </c>
      <c r="T1461" s="146">
        <f>IF(Purchase[[#This Row],[Status]]="Cancelled",0,Purchase[[#This Row],[Total Amount]])</f>
        <v>3621.42</v>
      </c>
      <c r="U1461" s="146">
        <f>SUM(Purchase[Net Amount])</f>
        <v>814985438.68000126</v>
      </c>
    </row>
    <row r="1462" spans="1:21" ht="19.5" thickBot="1" x14ac:dyDescent="0.3">
      <c r="A1462" s="136" t="s">
        <v>2515</v>
      </c>
      <c r="B1462" s="137">
        <v>45729</v>
      </c>
      <c r="C1462" s="138" t="s">
        <v>579</v>
      </c>
      <c r="D1462" s="138" t="str">
        <f>VLOOKUP(Purchase[[#This Row],[Supplier ID]],Supplier[#All],2,0)</f>
        <v>Tech Traders</v>
      </c>
      <c r="E1462" s="138">
        <f>VLOOKUP(Purchase[[#This Row],[Supplier ID]],Supplier[#All],3,0)</f>
        <v>9689542463</v>
      </c>
      <c r="F1462" s="138" t="str">
        <f>VLOOKUP(Purchase[[#This Row],[Supplier ID]],Supplier[#All],4,0)</f>
        <v>Kanpur</v>
      </c>
      <c r="G1462" s="138" t="str">
        <f>VLOOKUP(Purchase[[#This Row],[Supplier ID]],Supplier[#All],5,0)</f>
        <v>UP</v>
      </c>
      <c r="H1462" s="138" t="str">
        <f>VLOOKUP(Purchase[[#This Row],[Supplier ID]],Supplier[#All],6,0)</f>
        <v>GST2154521T025</v>
      </c>
      <c r="I1462" s="138" t="s">
        <v>164</v>
      </c>
      <c r="J1462" s="139">
        <v>2</v>
      </c>
      <c r="K1462" s="143">
        <f>VLOOKUP(Purchase[[#This Row],[Product ID]],Product[#All],6,0)</f>
        <v>2596</v>
      </c>
      <c r="L1462" s="143">
        <f>Purchase[[#This Row],[Purchase Rate]]*Purchase[[#This Row],[Qty]]</f>
        <v>5192</v>
      </c>
      <c r="M1462" s="140">
        <v>0</v>
      </c>
      <c r="N1462" s="143">
        <v>0</v>
      </c>
      <c r="O1462" s="140">
        <v>0.18</v>
      </c>
      <c r="P1462" s="145">
        <f>(Purchase[[#This Row],[Gross Amount]]-Purchase[[#This Row],[Disct %]])*Purchase[[#This Row],[GST %]]</f>
        <v>934.56</v>
      </c>
      <c r="Q1462" s="145">
        <f>Purchase[[#This Row],[Gross Amount]]-Purchase[[#This Row],[Disct Amnt]]+Purchase[[#This Row],[GST Amount]]</f>
        <v>6126.5599999999995</v>
      </c>
      <c r="R1462" s="138" t="s">
        <v>1019</v>
      </c>
      <c r="S1462" s="41">
        <f>IF(Purchase[[#This Row],[Status]]="Cancelled",0,Purchase[[#This Row],[Qty]])</f>
        <v>2</v>
      </c>
      <c r="T1462" s="146">
        <f>IF(Purchase[[#This Row],[Status]]="Cancelled",0,Purchase[[#This Row],[Total Amount]])</f>
        <v>6126.5599999999995</v>
      </c>
      <c r="U1462" s="146">
        <f>SUM(Purchase[Net Amount])</f>
        <v>814985438.68000126</v>
      </c>
    </row>
    <row r="1463" spans="1:21" ht="19.5" thickBot="1" x14ac:dyDescent="0.3">
      <c r="A1463" s="136" t="s">
        <v>2516</v>
      </c>
      <c r="B1463" s="137">
        <v>45729</v>
      </c>
      <c r="C1463" s="138" t="s">
        <v>595</v>
      </c>
      <c r="D1463" s="138" t="str">
        <f>VLOOKUP(Purchase[[#This Row],[Supplier ID]],Supplier[#All],2,0)</f>
        <v>Star Computers</v>
      </c>
      <c r="E1463" s="138">
        <f>VLOOKUP(Purchase[[#This Row],[Supplier ID]],Supplier[#All],3,0)</f>
        <v>9689542478</v>
      </c>
      <c r="F1463" s="138" t="str">
        <f>VLOOKUP(Purchase[[#This Row],[Supplier ID]],Supplier[#All],4,0)</f>
        <v>Kanpur</v>
      </c>
      <c r="G1463" s="138" t="str">
        <f>VLOOKUP(Purchase[[#This Row],[Supplier ID]],Supplier[#All],5,0)</f>
        <v>UP</v>
      </c>
      <c r="H1463" s="138" t="str">
        <f>VLOOKUP(Purchase[[#This Row],[Supplier ID]],Supplier[#All],6,0)</f>
        <v>GST2154521T040</v>
      </c>
      <c r="I1463" s="138" t="s">
        <v>111</v>
      </c>
      <c r="J1463" s="139">
        <v>8</v>
      </c>
      <c r="K1463" s="143">
        <f>VLOOKUP(Purchase[[#This Row],[Product ID]],Product[#All],6,0)</f>
        <v>13173</v>
      </c>
      <c r="L1463" s="143">
        <f>Purchase[[#This Row],[Purchase Rate]]*Purchase[[#This Row],[Qty]]</f>
        <v>105384</v>
      </c>
      <c r="M1463" s="140">
        <v>0</v>
      </c>
      <c r="N1463" s="143">
        <v>0</v>
      </c>
      <c r="O1463" s="140">
        <v>0.18</v>
      </c>
      <c r="P1463" s="145">
        <f>(Purchase[[#This Row],[Gross Amount]]-Purchase[[#This Row],[Disct %]])*Purchase[[#This Row],[GST %]]</f>
        <v>18969.12</v>
      </c>
      <c r="Q1463" s="145">
        <f>Purchase[[#This Row],[Gross Amount]]-Purchase[[#This Row],[Disct Amnt]]+Purchase[[#This Row],[GST Amount]]</f>
        <v>124353.12</v>
      </c>
      <c r="R1463" s="138" t="s">
        <v>1040</v>
      </c>
      <c r="S1463" s="41">
        <f>IF(Purchase[[#This Row],[Status]]="Cancelled",0,Purchase[[#This Row],[Qty]])</f>
        <v>0</v>
      </c>
      <c r="T1463" s="146">
        <f>IF(Purchase[[#This Row],[Status]]="Cancelled",0,Purchase[[#This Row],[Total Amount]])</f>
        <v>0</v>
      </c>
      <c r="U1463" s="146">
        <f>SUM(Purchase[Net Amount])</f>
        <v>814985438.68000126</v>
      </c>
    </row>
    <row r="1464" spans="1:21" ht="19.5" thickBot="1" x14ac:dyDescent="0.3">
      <c r="A1464" s="136" t="s">
        <v>2517</v>
      </c>
      <c r="B1464" s="137">
        <v>45729</v>
      </c>
      <c r="C1464" s="138" t="s">
        <v>2518</v>
      </c>
      <c r="D1464" s="138" t="str">
        <f>VLOOKUP(Purchase[[#This Row],[Supplier ID]],Supplier[#All],2,0)</f>
        <v>Global Distributors</v>
      </c>
      <c r="E1464" s="138">
        <f>VLOOKUP(Purchase[[#This Row],[Supplier ID]],Supplier[#All],3,0)</f>
        <v>9689542490</v>
      </c>
      <c r="F1464" s="138" t="str">
        <f>VLOOKUP(Purchase[[#This Row],[Supplier ID]],Supplier[#All],4,0)</f>
        <v>Kanpur</v>
      </c>
      <c r="G1464" s="138" t="str">
        <f>VLOOKUP(Purchase[[#This Row],[Supplier ID]],Supplier[#All],5,0)</f>
        <v>UP</v>
      </c>
      <c r="H1464" s="138" t="str">
        <f>VLOOKUP(Purchase[[#This Row],[Supplier ID]],Supplier[#All],6,0)</f>
        <v>GST2154521T052</v>
      </c>
      <c r="I1464" s="138" t="s">
        <v>135</v>
      </c>
      <c r="J1464" s="139">
        <v>30</v>
      </c>
      <c r="K1464" s="143">
        <f>VLOOKUP(Purchase[[#This Row],[Product ID]],Product[#All],6,0)</f>
        <v>2681</v>
      </c>
      <c r="L1464" s="143">
        <f>Purchase[[#This Row],[Purchase Rate]]*Purchase[[#This Row],[Qty]]</f>
        <v>80430</v>
      </c>
      <c r="M1464" s="140">
        <v>0</v>
      </c>
      <c r="N1464" s="143">
        <v>0</v>
      </c>
      <c r="O1464" s="140">
        <v>0.18</v>
      </c>
      <c r="P1464" s="145">
        <f>(Purchase[[#This Row],[Gross Amount]]-Purchase[[#This Row],[Disct %]])*Purchase[[#This Row],[GST %]]</f>
        <v>14477.4</v>
      </c>
      <c r="Q1464" s="145">
        <f>Purchase[[#This Row],[Gross Amount]]-Purchase[[#This Row],[Disct Amnt]]+Purchase[[#This Row],[GST Amount]]</f>
        <v>94907.4</v>
      </c>
      <c r="R1464" s="138" t="s">
        <v>1019</v>
      </c>
      <c r="S1464" s="41">
        <f>IF(Purchase[[#This Row],[Status]]="Cancelled",0,Purchase[[#This Row],[Qty]])</f>
        <v>30</v>
      </c>
      <c r="T1464" s="146">
        <f>IF(Purchase[[#This Row],[Status]]="Cancelled",0,Purchase[[#This Row],[Total Amount]])</f>
        <v>94907.4</v>
      </c>
      <c r="U1464" s="146">
        <f>SUM(Purchase[Net Amount])</f>
        <v>814985438.68000126</v>
      </c>
    </row>
    <row r="1465" spans="1:21" ht="19.5" thickBot="1" x14ac:dyDescent="0.3">
      <c r="A1465" s="136" t="s">
        <v>2519</v>
      </c>
      <c r="B1465" s="137">
        <v>45729</v>
      </c>
      <c r="C1465" s="138" t="s">
        <v>576</v>
      </c>
      <c r="D1465" s="138" t="str">
        <f>VLOOKUP(Purchase[[#This Row],[Supplier ID]],Supplier[#All],2,0)</f>
        <v>Maa Distributors</v>
      </c>
      <c r="E1465" s="138">
        <f>VLOOKUP(Purchase[[#This Row],[Supplier ID]],Supplier[#All],3,0)</f>
        <v>9689542460</v>
      </c>
      <c r="F1465" s="138" t="str">
        <f>VLOOKUP(Purchase[[#This Row],[Supplier ID]],Supplier[#All],4,0)</f>
        <v>Korba</v>
      </c>
      <c r="G1465" s="138" t="str">
        <f>VLOOKUP(Purchase[[#This Row],[Supplier ID]],Supplier[#All],5,0)</f>
        <v>CG</v>
      </c>
      <c r="H1465" s="138" t="str">
        <f>VLOOKUP(Purchase[[#This Row],[Supplier ID]],Supplier[#All],6,0)</f>
        <v>GST2154521T022</v>
      </c>
      <c r="I1465" s="138" t="s">
        <v>550</v>
      </c>
      <c r="J1465" s="139">
        <v>29</v>
      </c>
      <c r="K1465" s="143">
        <f>VLOOKUP(Purchase[[#This Row],[Product ID]],Product[#All],6,0)</f>
        <v>1122</v>
      </c>
      <c r="L1465" s="143">
        <f>Purchase[[#This Row],[Purchase Rate]]*Purchase[[#This Row],[Qty]]</f>
        <v>32538</v>
      </c>
      <c r="M1465" s="140">
        <v>0</v>
      </c>
      <c r="N1465" s="143">
        <v>0</v>
      </c>
      <c r="O1465" s="140">
        <v>0.18</v>
      </c>
      <c r="P1465" s="145">
        <f>(Purchase[[#This Row],[Gross Amount]]-Purchase[[#This Row],[Disct %]])*Purchase[[#This Row],[GST %]]</f>
        <v>5856.84</v>
      </c>
      <c r="Q1465" s="145">
        <f>Purchase[[#This Row],[Gross Amount]]-Purchase[[#This Row],[Disct Amnt]]+Purchase[[#This Row],[GST Amount]]</f>
        <v>38394.839999999997</v>
      </c>
      <c r="R1465" s="138" t="s">
        <v>1019</v>
      </c>
      <c r="S1465" s="41">
        <f>IF(Purchase[[#This Row],[Status]]="Cancelled",0,Purchase[[#This Row],[Qty]])</f>
        <v>29</v>
      </c>
      <c r="T1465" s="146">
        <f>IF(Purchase[[#This Row],[Status]]="Cancelled",0,Purchase[[#This Row],[Total Amount]])</f>
        <v>38394.839999999997</v>
      </c>
      <c r="U1465" s="146">
        <f>SUM(Purchase[Net Amount])</f>
        <v>814985438.68000126</v>
      </c>
    </row>
    <row r="1466" spans="1:21" ht="19.5" thickBot="1" x14ac:dyDescent="0.3">
      <c r="A1466" s="136" t="s">
        <v>2520</v>
      </c>
      <c r="B1466" s="137">
        <v>45729</v>
      </c>
      <c r="C1466" s="138" t="s">
        <v>2240</v>
      </c>
      <c r="D1466" s="138" t="str">
        <f>VLOOKUP(Purchase[[#This Row],[Supplier ID]],Supplier[#All],2,0)</f>
        <v>Star Traders</v>
      </c>
      <c r="E1466" s="138">
        <f>VLOOKUP(Purchase[[#This Row],[Supplier ID]],Supplier[#All],3,0)</f>
        <v>9689542488</v>
      </c>
      <c r="F1466" s="138" t="str">
        <f>VLOOKUP(Purchase[[#This Row],[Supplier ID]],Supplier[#All],4,0)</f>
        <v>Indore</v>
      </c>
      <c r="G1466" s="138" t="str">
        <f>VLOOKUP(Purchase[[#This Row],[Supplier ID]],Supplier[#All],5,0)</f>
        <v>MP</v>
      </c>
      <c r="H1466" s="138" t="str">
        <f>VLOOKUP(Purchase[[#This Row],[Supplier ID]],Supplier[#All],6,0)</f>
        <v>GST2154521T050</v>
      </c>
      <c r="I1466" s="138" t="s">
        <v>92</v>
      </c>
      <c r="J1466" s="139">
        <v>17</v>
      </c>
      <c r="K1466" s="143">
        <f>VLOOKUP(Purchase[[#This Row],[Product ID]],Product[#All],6,0)</f>
        <v>5110</v>
      </c>
      <c r="L1466" s="143">
        <f>Purchase[[#This Row],[Purchase Rate]]*Purchase[[#This Row],[Qty]]</f>
        <v>86870</v>
      </c>
      <c r="M1466" s="140">
        <v>0</v>
      </c>
      <c r="N1466" s="143">
        <v>0</v>
      </c>
      <c r="O1466" s="140">
        <v>0.18</v>
      </c>
      <c r="P1466" s="145">
        <f>(Purchase[[#This Row],[Gross Amount]]-Purchase[[#This Row],[Disct %]])*Purchase[[#This Row],[GST %]]</f>
        <v>15636.599999999999</v>
      </c>
      <c r="Q1466" s="145">
        <f>Purchase[[#This Row],[Gross Amount]]-Purchase[[#This Row],[Disct Amnt]]+Purchase[[#This Row],[GST Amount]]</f>
        <v>102506.6</v>
      </c>
      <c r="R1466" s="138" t="s">
        <v>1019</v>
      </c>
      <c r="S1466" s="41">
        <f>IF(Purchase[[#This Row],[Status]]="Cancelled",0,Purchase[[#This Row],[Qty]])</f>
        <v>17</v>
      </c>
      <c r="T1466" s="146">
        <f>IF(Purchase[[#This Row],[Status]]="Cancelled",0,Purchase[[#This Row],[Total Amount]])</f>
        <v>102506.6</v>
      </c>
      <c r="U1466" s="146">
        <f>SUM(Purchase[Net Amount])</f>
        <v>814985438.68000126</v>
      </c>
    </row>
    <row r="1467" spans="1:21" ht="19.5" thickBot="1" x14ac:dyDescent="0.3">
      <c r="A1467" s="136" t="s">
        <v>2521</v>
      </c>
      <c r="B1467" s="137">
        <v>45729</v>
      </c>
      <c r="C1467" s="138" t="s">
        <v>610</v>
      </c>
      <c r="D1467" s="138" t="str">
        <f>VLOOKUP(Purchase[[#This Row],[Supplier ID]],Supplier[#All],2,0)</f>
        <v>Shree Electronics</v>
      </c>
      <c r="E1467" s="138">
        <f>VLOOKUP(Purchase[[#This Row],[Supplier ID]],Supplier[#All],3,0)</f>
        <v>9689542493</v>
      </c>
      <c r="F1467" s="138" t="str">
        <f>VLOOKUP(Purchase[[#This Row],[Supplier ID]],Supplier[#All],4,0)</f>
        <v>Kanpur</v>
      </c>
      <c r="G1467" s="138" t="str">
        <f>VLOOKUP(Purchase[[#This Row],[Supplier ID]],Supplier[#All],5,0)</f>
        <v>UP</v>
      </c>
      <c r="H1467" s="138" t="str">
        <f>VLOOKUP(Purchase[[#This Row],[Supplier ID]],Supplier[#All],6,0)</f>
        <v>GST2154521T055</v>
      </c>
      <c r="I1467" s="138" t="s">
        <v>410</v>
      </c>
      <c r="J1467" s="139">
        <v>25</v>
      </c>
      <c r="K1467" s="143">
        <f>VLOOKUP(Purchase[[#This Row],[Product ID]],Product[#All],6,0)</f>
        <v>9953</v>
      </c>
      <c r="L1467" s="143">
        <f>Purchase[[#This Row],[Purchase Rate]]*Purchase[[#This Row],[Qty]]</f>
        <v>248825</v>
      </c>
      <c r="M1467" s="140">
        <v>0</v>
      </c>
      <c r="N1467" s="143">
        <v>0</v>
      </c>
      <c r="O1467" s="140">
        <v>0.18</v>
      </c>
      <c r="P1467" s="145">
        <f>(Purchase[[#This Row],[Gross Amount]]-Purchase[[#This Row],[Disct %]])*Purchase[[#This Row],[GST %]]</f>
        <v>44788.5</v>
      </c>
      <c r="Q1467" s="145">
        <f>Purchase[[#This Row],[Gross Amount]]-Purchase[[#This Row],[Disct Amnt]]+Purchase[[#This Row],[GST Amount]]</f>
        <v>293613.5</v>
      </c>
      <c r="R1467" s="138" t="s">
        <v>1019</v>
      </c>
      <c r="S1467" s="41">
        <f>IF(Purchase[[#This Row],[Status]]="Cancelled",0,Purchase[[#This Row],[Qty]])</f>
        <v>25</v>
      </c>
      <c r="T1467" s="146">
        <f>IF(Purchase[[#This Row],[Status]]="Cancelled",0,Purchase[[#This Row],[Total Amount]])</f>
        <v>293613.5</v>
      </c>
      <c r="U1467" s="146">
        <f>SUM(Purchase[Net Amount])</f>
        <v>814985438.68000126</v>
      </c>
    </row>
    <row r="1468" spans="1:21" ht="19.5" thickBot="1" x14ac:dyDescent="0.3">
      <c r="A1468" s="136" t="s">
        <v>2522</v>
      </c>
      <c r="B1468" s="137">
        <v>45729</v>
      </c>
      <c r="C1468" s="138" t="s">
        <v>602</v>
      </c>
      <c r="D1468" s="138" t="str">
        <f>VLOOKUP(Purchase[[#This Row],[Supplier ID]],Supplier[#All],2,0)</f>
        <v>Maa Computers</v>
      </c>
      <c r="E1468" s="138">
        <f>VLOOKUP(Purchase[[#This Row],[Supplier ID]],Supplier[#All],3,0)</f>
        <v>9689542485</v>
      </c>
      <c r="F1468" s="138" t="str">
        <f>VLOOKUP(Purchase[[#This Row],[Supplier ID]],Supplier[#All],4,0)</f>
        <v>Korba</v>
      </c>
      <c r="G1468" s="138" t="str">
        <f>VLOOKUP(Purchase[[#This Row],[Supplier ID]],Supplier[#All],5,0)</f>
        <v>CG</v>
      </c>
      <c r="H1468" s="138" t="str">
        <f>VLOOKUP(Purchase[[#This Row],[Supplier ID]],Supplier[#All],6,0)</f>
        <v>GST2154521T047</v>
      </c>
      <c r="I1468" s="138" t="s">
        <v>233</v>
      </c>
      <c r="J1468" s="139">
        <v>11</v>
      </c>
      <c r="K1468" s="143">
        <f>VLOOKUP(Purchase[[#This Row],[Product ID]],Product[#All],6,0)</f>
        <v>710</v>
      </c>
      <c r="L1468" s="143">
        <f>Purchase[[#This Row],[Purchase Rate]]*Purchase[[#This Row],[Qty]]</f>
        <v>7810</v>
      </c>
      <c r="M1468" s="140">
        <v>0</v>
      </c>
      <c r="N1468" s="143">
        <v>0</v>
      </c>
      <c r="O1468" s="140">
        <v>0.18</v>
      </c>
      <c r="P1468" s="145">
        <f>(Purchase[[#This Row],[Gross Amount]]-Purchase[[#This Row],[Disct %]])*Purchase[[#This Row],[GST %]]</f>
        <v>1405.8</v>
      </c>
      <c r="Q1468" s="145">
        <f>Purchase[[#This Row],[Gross Amount]]-Purchase[[#This Row],[Disct Amnt]]+Purchase[[#This Row],[GST Amount]]</f>
        <v>9215.7999999999993</v>
      </c>
      <c r="R1468" s="138" t="s">
        <v>1019</v>
      </c>
      <c r="S1468" s="41">
        <f>IF(Purchase[[#This Row],[Status]]="Cancelled",0,Purchase[[#This Row],[Qty]])</f>
        <v>11</v>
      </c>
      <c r="T1468" s="146">
        <f>IF(Purchase[[#This Row],[Status]]="Cancelled",0,Purchase[[#This Row],[Total Amount]])</f>
        <v>9215.7999999999993</v>
      </c>
      <c r="U1468" s="146">
        <f>SUM(Purchase[Net Amount])</f>
        <v>814985438.68000126</v>
      </c>
    </row>
    <row r="1469" spans="1:21" ht="19.5" thickBot="1" x14ac:dyDescent="0.3">
      <c r="A1469" s="136" t="s">
        <v>2523</v>
      </c>
      <c r="B1469" s="137">
        <v>45729</v>
      </c>
      <c r="C1469" s="138" t="s">
        <v>587</v>
      </c>
      <c r="D1469" s="138" t="str">
        <f>VLOOKUP(Purchase[[#This Row],[Supplier ID]],Supplier[#All],2,0)</f>
        <v>maa distributors</v>
      </c>
      <c r="E1469" s="138">
        <f>VLOOKUP(Purchase[[#This Row],[Supplier ID]],Supplier[#All],3,0)</f>
        <v>9689542479</v>
      </c>
      <c r="F1469" s="138" t="str">
        <f>VLOOKUP(Purchase[[#This Row],[Supplier ID]],Supplier[#All],4,0)</f>
        <v>Indore</v>
      </c>
      <c r="G1469" s="138" t="str">
        <f>VLOOKUP(Purchase[[#This Row],[Supplier ID]],Supplier[#All],5,0)</f>
        <v>MP</v>
      </c>
      <c r="H1469" s="138" t="str">
        <f>VLOOKUP(Purchase[[#This Row],[Supplier ID]],Supplier[#All],6,0)</f>
        <v>GST2154521T033</v>
      </c>
      <c r="I1469" s="138" t="s">
        <v>239</v>
      </c>
      <c r="J1469" s="139">
        <v>25</v>
      </c>
      <c r="K1469" s="143">
        <f>VLOOKUP(Purchase[[#This Row],[Product ID]],Product[#All],6,0)</f>
        <v>6638</v>
      </c>
      <c r="L1469" s="143">
        <f>Purchase[[#This Row],[Purchase Rate]]*Purchase[[#This Row],[Qty]]</f>
        <v>165950</v>
      </c>
      <c r="M1469" s="140">
        <v>0</v>
      </c>
      <c r="N1469" s="143">
        <v>0</v>
      </c>
      <c r="O1469" s="140">
        <v>0.18</v>
      </c>
      <c r="P1469" s="145">
        <f>(Purchase[[#This Row],[Gross Amount]]-Purchase[[#This Row],[Disct %]])*Purchase[[#This Row],[GST %]]</f>
        <v>29871</v>
      </c>
      <c r="Q1469" s="145">
        <f>Purchase[[#This Row],[Gross Amount]]-Purchase[[#This Row],[Disct Amnt]]+Purchase[[#This Row],[GST Amount]]</f>
        <v>195821</v>
      </c>
      <c r="R1469" s="138" t="s">
        <v>1019</v>
      </c>
      <c r="S1469" s="41">
        <f>IF(Purchase[[#This Row],[Status]]="Cancelled",0,Purchase[[#This Row],[Qty]])</f>
        <v>25</v>
      </c>
      <c r="T1469" s="146">
        <f>IF(Purchase[[#This Row],[Status]]="Cancelled",0,Purchase[[#This Row],[Total Amount]])</f>
        <v>195821</v>
      </c>
      <c r="U1469" s="146">
        <f>SUM(Purchase[Net Amount])</f>
        <v>814985438.68000126</v>
      </c>
    </row>
    <row r="1470" spans="1:21" ht="19.5" thickBot="1" x14ac:dyDescent="0.3">
      <c r="A1470" s="136" t="s">
        <v>2524</v>
      </c>
      <c r="B1470" s="137">
        <v>45729</v>
      </c>
      <c r="C1470" s="138" t="s">
        <v>606</v>
      </c>
      <c r="D1470" s="138" t="str">
        <f>VLOOKUP(Purchase[[#This Row],[Supplier ID]],Supplier[#All],2,0)</f>
        <v>Prime Traders</v>
      </c>
      <c r="E1470" s="138">
        <f>VLOOKUP(Purchase[[#This Row],[Supplier ID]],Supplier[#All],3,0)</f>
        <v>9689542489</v>
      </c>
      <c r="F1470" s="138" t="str">
        <f>VLOOKUP(Purchase[[#This Row],[Supplier ID]],Supplier[#All],4,0)</f>
        <v>Indore</v>
      </c>
      <c r="G1470" s="138" t="str">
        <f>VLOOKUP(Purchase[[#This Row],[Supplier ID]],Supplier[#All],5,0)</f>
        <v>MP</v>
      </c>
      <c r="H1470" s="138" t="str">
        <f>VLOOKUP(Purchase[[#This Row],[Supplier ID]],Supplier[#All],6,0)</f>
        <v>GST2154521T051</v>
      </c>
      <c r="I1470" s="138" t="s">
        <v>140</v>
      </c>
      <c r="J1470" s="139">
        <v>7</v>
      </c>
      <c r="K1470" s="143">
        <f>VLOOKUP(Purchase[[#This Row],[Product ID]],Product[#All],6,0)</f>
        <v>2116</v>
      </c>
      <c r="L1470" s="143">
        <f>Purchase[[#This Row],[Purchase Rate]]*Purchase[[#This Row],[Qty]]</f>
        <v>14812</v>
      </c>
      <c r="M1470" s="140">
        <v>0</v>
      </c>
      <c r="N1470" s="143">
        <v>0</v>
      </c>
      <c r="O1470" s="140">
        <v>0.18</v>
      </c>
      <c r="P1470" s="145">
        <f>(Purchase[[#This Row],[Gross Amount]]-Purchase[[#This Row],[Disct %]])*Purchase[[#This Row],[GST %]]</f>
        <v>2666.16</v>
      </c>
      <c r="Q1470" s="145">
        <f>Purchase[[#This Row],[Gross Amount]]-Purchase[[#This Row],[Disct Amnt]]+Purchase[[#This Row],[GST Amount]]</f>
        <v>17478.16</v>
      </c>
      <c r="R1470" s="138" t="s">
        <v>1019</v>
      </c>
      <c r="S1470" s="41">
        <f>IF(Purchase[[#This Row],[Status]]="Cancelled",0,Purchase[[#This Row],[Qty]])</f>
        <v>7</v>
      </c>
      <c r="T1470" s="146">
        <f>IF(Purchase[[#This Row],[Status]]="Cancelled",0,Purchase[[#This Row],[Total Amount]])</f>
        <v>17478.16</v>
      </c>
      <c r="U1470" s="146">
        <f>SUM(Purchase[Net Amount])</f>
        <v>814985438.68000126</v>
      </c>
    </row>
    <row r="1471" spans="1:21" ht="19.5" thickBot="1" x14ac:dyDescent="0.3">
      <c r="A1471" s="136" t="s">
        <v>2525</v>
      </c>
      <c r="B1471" s="137">
        <v>45729</v>
      </c>
      <c r="C1471" s="138" t="s">
        <v>580</v>
      </c>
      <c r="D1471" s="138" t="str">
        <f>VLOOKUP(Purchase[[#This Row],[Supplier ID]],Supplier[#All],2,0)</f>
        <v>Star Distributors</v>
      </c>
      <c r="E1471" s="138">
        <f>VLOOKUP(Purchase[[#This Row],[Supplier ID]],Supplier[#All],3,0)</f>
        <v>9689542464</v>
      </c>
      <c r="F1471" s="138" t="str">
        <f>VLOOKUP(Purchase[[#This Row],[Supplier ID]],Supplier[#All],4,0)</f>
        <v>Indore</v>
      </c>
      <c r="G1471" s="138" t="str">
        <f>VLOOKUP(Purchase[[#This Row],[Supplier ID]],Supplier[#All],5,0)</f>
        <v>MP</v>
      </c>
      <c r="H1471" s="138" t="str">
        <f>VLOOKUP(Purchase[[#This Row],[Supplier ID]],Supplier[#All],6,0)</f>
        <v>GST2154521T026</v>
      </c>
      <c r="I1471" s="138" t="s">
        <v>48</v>
      </c>
      <c r="J1471" s="139">
        <v>7</v>
      </c>
      <c r="K1471" s="143">
        <f>VLOOKUP(Purchase[[#This Row],[Product ID]],Product[#All],6,0)</f>
        <v>3890</v>
      </c>
      <c r="L1471" s="143">
        <f>Purchase[[#This Row],[Purchase Rate]]*Purchase[[#This Row],[Qty]]</f>
        <v>27230</v>
      </c>
      <c r="M1471" s="140">
        <v>0</v>
      </c>
      <c r="N1471" s="143">
        <v>0</v>
      </c>
      <c r="O1471" s="140">
        <v>0.18</v>
      </c>
      <c r="P1471" s="145">
        <f>(Purchase[[#This Row],[Gross Amount]]-Purchase[[#This Row],[Disct %]])*Purchase[[#This Row],[GST %]]</f>
        <v>4901.3999999999996</v>
      </c>
      <c r="Q1471" s="145">
        <f>Purchase[[#This Row],[Gross Amount]]-Purchase[[#This Row],[Disct Amnt]]+Purchase[[#This Row],[GST Amount]]</f>
        <v>32131.4</v>
      </c>
      <c r="R1471" s="138" t="s">
        <v>1019</v>
      </c>
      <c r="S1471" s="41">
        <f>IF(Purchase[[#This Row],[Status]]="Cancelled",0,Purchase[[#This Row],[Qty]])</f>
        <v>7</v>
      </c>
      <c r="T1471" s="146">
        <f>IF(Purchase[[#This Row],[Status]]="Cancelled",0,Purchase[[#This Row],[Total Amount]])</f>
        <v>32131.4</v>
      </c>
      <c r="U1471" s="146">
        <f>SUM(Purchase[Net Amount])</f>
        <v>814985438.68000126</v>
      </c>
    </row>
    <row r="1472" spans="1:21" ht="19.5" thickBot="1" x14ac:dyDescent="0.3">
      <c r="A1472" s="136" t="s">
        <v>2526</v>
      </c>
      <c r="B1472" s="137">
        <v>45729</v>
      </c>
      <c r="C1472" s="138" t="s">
        <v>601</v>
      </c>
      <c r="D1472" s="138" t="str">
        <f>VLOOKUP(Purchase[[#This Row],[Supplier ID]],Supplier[#All],2,0)</f>
        <v>Maa Distributors</v>
      </c>
      <c r="E1472" s="138">
        <f>VLOOKUP(Purchase[[#This Row],[Supplier ID]],Supplier[#All],3,0)</f>
        <v>9689542484</v>
      </c>
      <c r="F1472" s="138" t="str">
        <f>VLOOKUP(Purchase[[#This Row],[Supplier ID]],Supplier[#All],4,0)</f>
        <v>Indore</v>
      </c>
      <c r="G1472" s="138" t="str">
        <f>VLOOKUP(Purchase[[#This Row],[Supplier ID]],Supplier[#All],5,0)</f>
        <v>MP</v>
      </c>
      <c r="H1472" s="138" t="str">
        <f>VLOOKUP(Purchase[[#This Row],[Supplier ID]],Supplier[#All],6,0)</f>
        <v>GST2154521T046</v>
      </c>
      <c r="I1472" s="138" t="s">
        <v>367</v>
      </c>
      <c r="J1472" s="139">
        <v>19</v>
      </c>
      <c r="K1472" s="143">
        <f>VLOOKUP(Purchase[[#This Row],[Product ID]],Product[#All],6,0)</f>
        <v>4278</v>
      </c>
      <c r="L1472" s="143">
        <f>Purchase[[#This Row],[Purchase Rate]]*Purchase[[#This Row],[Qty]]</f>
        <v>81282</v>
      </c>
      <c r="M1472" s="140">
        <v>0</v>
      </c>
      <c r="N1472" s="143">
        <v>0</v>
      </c>
      <c r="O1472" s="140">
        <v>0.18</v>
      </c>
      <c r="P1472" s="145">
        <f>(Purchase[[#This Row],[Gross Amount]]-Purchase[[#This Row],[Disct %]])*Purchase[[#This Row],[GST %]]</f>
        <v>14630.76</v>
      </c>
      <c r="Q1472" s="145">
        <f>Purchase[[#This Row],[Gross Amount]]-Purchase[[#This Row],[Disct Amnt]]+Purchase[[#This Row],[GST Amount]]</f>
        <v>95912.76</v>
      </c>
      <c r="R1472" s="138" t="s">
        <v>1019</v>
      </c>
      <c r="S1472" s="41">
        <f>IF(Purchase[[#This Row],[Status]]="Cancelled",0,Purchase[[#This Row],[Qty]])</f>
        <v>19</v>
      </c>
      <c r="T1472" s="146">
        <f>IF(Purchase[[#This Row],[Status]]="Cancelled",0,Purchase[[#This Row],[Total Amount]])</f>
        <v>95912.76</v>
      </c>
      <c r="U1472" s="146">
        <f>SUM(Purchase[Net Amount])</f>
        <v>814985438.68000126</v>
      </c>
    </row>
    <row r="1473" spans="1:21" ht="19.5" thickBot="1" x14ac:dyDescent="0.3">
      <c r="A1473" s="136" t="s">
        <v>2527</v>
      </c>
      <c r="B1473" s="137">
        <v>45730</v>
      </c>
      <c r="C1473" s="138" t="s">
        <v>615</v>
      </c>
      <c r="D1473" s="138" t="str">
        <f>VLOOKUP(Purchase[[#This Row],[Supplier ID]],Supplier[#All],2,0)</f>
        <v>NATIONAL ELECTRONICS</v>
      </c>
      <c r="E1473" s="138">
        <f>VLOOKUP(Purchase[[#This Row],[Supplier ID]],Supplier[#All],3,0)</f>
        <v>9689542498</v>
      </c>
      <c r="F1473" s="138" t="str">
        <f>VLOOKUP(Purchase[[#This Row],[Supplier ID]],Supplier[#All],4,0)</f>
        <v>Kanpur</v>
      </c>
      <c r="G1473" s="138" t="str">
        <f>VLOOKUP(Purchase[[#This Row],[Supplier ID]],Supplier[#All],5,0)</f>
        <v>UP</v>
      </c>
      <c r="H1473" s="138" t="str">
        <f>VLOOKUP(Purchase[[#This Row],[Supplier ID]],Supplier[#All],6,0)</f>
        <v>GST2154521T060</v>
      </c>
      <c r="I1473" s="138" t="s">
        <v>349</v>
      </c>
      <c r="J1473" s="139">
        <v>26</v>
      </c>
      <c r="K1473" s="143">
        <f>VLOOKUP(Purchase[[#This Row],[Product ID]],Product[#All],6,0)</f>
        <v>8796</v>
      </c>
      <c r="L1473" s="143">
        <f>Purchase[[#This Row],[Purchase Rate]]*Purchase[[#This Row],[Qty]]</f>
        <v>228696</v>
      </c>
      <c r="M1473" s="140">
        <v>0</v>
      </c>
      <c r="N1473" s="143">
        <v>0</v>
      </c>
      <c r="O1473" s="140">
        <v>0.18</v>
      </c>
      <c r="P1473" s="145">
        <f>(Purchase[[#This Row],[Gross Amount]]-Purchase[[#This Row],[Disct %]])*Purchase[[#This Row],[GST %]]</f>
        <v>41165.279999999999</v>
      </c>
      <c r="Q1473" s="145">
        <f>Purchase[[#This Row],[Gross Amount]]-Purchase[[#This Row],[Disct Amnt]]+Purchase[[#This Row],[GST Amount]]</f>
        <v>269861.28000000003</v>
      </c>
      <c r="R1473" s="138" t="s">
        <v>1019</v>
      </c>
      <c r="S1473" s="41">
        <f>IF(Purchase[[#This Row],[Status]]="Cancelled",0,Purchase[[#This Row],[Qty]])</f>
        <v>26</v>
      </c>
      <c r="T1473" s="146">
        <f>IF(Purchase[[#This Row],[Status]]="Cancelled",0,Purchase[[#This Row],[Total Amount]])</f>
        <v>269861.28000000003</v>
      </c>
      <c r="U1473" s="146">
        <f>SUM(Purchase[Net Amount])</f>
        <v>814985438.68000126</v>
      </c>
    </row>
    <row r="1474" spans="1:21" ht="19.5" thickBot="1" x14ac:dyDescent="0.3">
      <c r="A1474" s="136" t="s">
        <v>2528</v>
      </c>
      <c r="B1474" s="137">
        <v>45730</v>
      </c>
      <c r="C1474" s="138" t="s">
        <v>605</v>
      </c>
      <c r="D1474" s="138" t="str">
        <f>VLOOKUP(Purchase[[#This Row],[Supplier ID]],Supplier[#All],2,0)</f>
        <v>Star Traders</v>
      </c>
      <c r="E1474" s="138">
        <f>VLOOKUP(Purchase[[#This Row],[Supplier ID]],Supplier[#All],3,0)</f>
        <v>9689542488</v>
      </c>
      <c r="F1474" s="138" t="str">
        <f>VLOOKUP(Purchase[[#This Row],[Supplier ID]],Supplier[#All],4,0)</f>
        <v>Indore</v>
      </c>
      <c r="G1474" s="138" t="str">
        <f>VLOOKUP(Purchase[[#This Row],[Supplier ID]],Supplier[#All],5,0)</f>
        <v>MP</v>
      </c>
      <c r="H1474" s="138" t="str">
        <f>VLOOKUP(Purchase[[#This Row],[Supplier ID]],Supplier[#All],6,0)</f>
        <v>GST2154521T050</v>
      </c>
      <c r="I1474" s="138" t="s">
        <v>450</v>
      </c>
      <c r="J1474" s="139">
        <v>20</v>
      </c>
      <c r="K1474" s="143">
        <f>VLOOKUP(Purchase[[#This Row],[Product ID]],Product[#All],6,0)</f>
        <v>1034</v>
      </c>
      <c r="L1474" s="143">
        <f>Purchase[[#This Row],[Purchase Rate]]*Purchase[[#This Row],[Qty]]</f>
        <v>20680</v>
      </c>
      <c r="M1474" s="140">
        <v>0</v>
      </c>
      <c r="N1474" s="143">
        <v>0</v>
      </c>
      <c r="O1474" s="140">
        <v>0.18</v>
      </c>
      <c r="P1474" s="145">
        <f>(Purchase[[#This Row],[Gross Amount]]-Purchase[[#This Row],[Disct %]])*Purchase[[#This Row],[GST %]]</f>
        <v>3722.3999999999996</v>
      </c>
      <c r="Q1474" s="145">
        <f>Purchase[[#This Row],[Gross Amount]]-Purchase[[#This Row],[Disct Amnt]]+Purchase[[#This Row],[GST Amount]]</f>
        <v>24402.400000000001</v>
      </c>
      <c r="R1474" s="138" t="s">
        <v>1019</v>
      </c>
      <c r="S1474" s="41">
        <f>IF(Purchase[[#This Row],[Status]]="Cancelled",0,Purchase[[#This Row],[Qty]])</f>
        <v>20</v>
      </c>
      <c r="T1474" s="146">
        <f>IF(Purchase[[#This Row],[Status]]="Cancelled",0,Purchase[[#This Row],[Total Amount]])</f>
        <v>24402.400000000001</v>
      </c>
      <c r="U1474" s="146">
        <f>SUM(Purchase[Net Amount])</f>
        <v>814985438.68000126</v>
      </c>
    </row>
    <row r="1475" spans="1:21" ht="19.5" thickBot="1" x14ac:dyDescent="0.3">
      <c r="A1475" s="136" t="s">
        <v>2529</v>
      </c>
      <c r="B1475" s="137">
        <v>45730</v>
      </c>
      <c r="C1475" s="138" t="s">
        <v>608</v>
      </c>
      <c r="D1475" s="138" t="str">
        <f>VLOOKUP(Purchase[[#This Row],[Supplier ID]],Supplier[#All],2,0)</f>
        <v>Global Suppliers</v>
      </c>
      <c r="E1475" s="138">
        <f>VLOOKUP(Purchase[[#This Row],[Supplier ID]],Supplier[#All],3,0)</f>
        <v>9689542499</v>
      </c>
      <c r="F1475" s="138" t="str">
        <f>VLOOKUP(Purchase[[#This Row],[Supplier ID]],Supplier[#All],4,0)</f>
        <v>Korba</v>
      </c>
      <c r="G1475" s="138" t="str">
        <f>VLOOKUP(Purchase[[#This Row],[Supplier ID]],Supplier[#All],5,0)</f>
        <v>CG</v>
      </c>
      <c r="H1475" s="138" t="str">
        <f>VLOOKUP(Purchase[[#This Row],[Supplier ID]],Supplier[#All],6,0)</f>
        <v>GST2154521T053</v>
      </c>
      <c r="I1475" s="138" t="s">
        <v>516</v>
      </c>
      <c r="J1475" s="139">
        <v>5</v>
      </c>
      <c r="K1475" s="143">
        <f>VLOOKUP(Purchase[[#This Row],[Product ID]],Product[#All],6,0)</f>
        <v>2042</v>
      </c>
      <c r="L1475" s="143">
        <f>Purchase[[#This Row],[Purchase Rate]]*Purchase[[#This Row],[Qty]]</f>
        <v>10210</v>
      </c>
      <c r="M1475" s="140">
        <v>0</v>
      </c>
      <c r="N1475" s="143">
        <v>0</v>
      </c>
      <c r="O1475" s="140">
        <v>0.18</v>
      </c>
      <c r="P1475" s="145">
        <f>(Purchase[[#This Row],[Gross Amount]]-Purchase[[#This Row],[Disct %]])*Purchase[[#This Row],[GST %]]</f>
        <v>1837.8</v>
      </c>
      <c r="Q1475" s="145">
        <f>Purchase[[#This Row],[Gross Amount]]-Purchase[[#This Row],[Disct Amnt]]+Purchase[[#This Row],[GST Amount]]</f>
        <v>12047.8</v>
      </c>
      <c r="R1475" s="138" t="s">
        <v>1019</v>
      </c>
      <c r="S1475" s="41">
        <f>IF(Purchase[[#This Row],[Status]]="Cancelled",0,Purchase[[#This Row],[Qty]])</f>
        <v>5</v>
      </c>
      <c r="T1475" s="146">
        <f>IF(Purchase[[#This Row],[Status]]="Cancelled",0,Purchase[[#This Row],[Total Amount]])</f>
        <v>12047.8</v>
      </c>
      <c r="U1475" s="146">
        <f>SUM(Purchase[Net Amount])</f>
        <v>814985438.68000126</v>
      </c>
    </row>
    <row r="1476" spans="1:21" ht="19.5" thickBot="1" x14ac:dyDescent="0.3">
      <c r="A1476" s="136" t="s">
        <v>2530</v>
      </c>
      <c r="B1476" s="137">
        <v>45730</v>
      </c>
      <c r="C1476" s="138" t="s">
        <v>568</v>
      </c>
      <c r="D1476" s="138" t="str">
        <f>VLOOKUP(Purchase[[#This Row],[Supplier ID]],Supplier[#All],2,0)</f>
        <v>Maa Computers</v>
      </c>
      <c r="E1476" s="138">
        <f>VLOOKUP(Purchase[[#This Row],[Supplier ID]],Supplier[#All],3,0)</f>
        <v>9689542454</v>
      </c>
      <c r="F1476" s="138" t="str">
        <f>VLOOKUP(Purchase[[#This Row],[Supplier ID]],Supplier[#All],4,0)</f>
        <v>Korba</v>
      </c>
      <c r="G1476" s="138" t="str">
        <f>VLOOKUP(Purchase[[#This Row],[Supplier ID]],Supplier[#All],5,0)</f>
        <v>CG</v>
      </c>
      <c r="H1476" s="138" t="str">
        <f>VLOOKUP(Purchase[[#This Row],[Supplier ID]],Supplier[#All],6,0)</f>
        <v>GST2154521T016</v>
      </c>
      <c r="I1476" s="138" t="s">
        <v>352</v>
      </c>
      <c r="J1476" s="139">
        <v>29</v>
      </c>
      <c r="K1476" s="143">
        <f>VLOOKUP(Purchase[[#This Row],[Product ID]],Product[#All],6,0)</f>
        <v>10783</v>
      </c>
      <c r="L1476" s="143">
        <f>Purchase[[#This Row],[Purchase Rate]]*Purchase[[#This Row],[Qty]]</f>
        <v>312707</v>
      </c>
      <c r="M1476" s="140">
        <v>0</v>
      </c>
      <c r="N1476" s="143">
        <v>0</v>
      </c>
      <c r="O1476" s="140">
        <v>0.18</v>
      </c>
      <c r="P1476" s="145">
        <f>(Purchase[[#This Row],[Gross Amount]]-Purchase[[#This Row],[Disct %]])*Purchase[[#This Row],[GST %]]</f>
        <v>56287.259999999995</v>
      </c>
      <c r="Q1476" s="145">
        <f>Purchase[[#This Row],[Gross Amount]]-Purchase[[#This Row],[Disct Amnt]]+Purchase[[#This Row],[GST Amount]]</f>
        <v>368994.26</v>
      </c>
      <c r="R1476" s="138" t="s">
        <v>1019</v>
      </c>
      <c r="S1476" s="41">
        <f>IF(Purchase[[#This Row],[Status]]="Cancelled",0,Purchase[[#This Row],[Qty]])</f>
        <v>29</v>
      </c>
      <c r="T1476" s="146">
        <f>IF(Purchase[[#This Row],[Status]]="Cancelled",0,Purchase[[#This Row],[Total Amount]])</f>
        <v>368994.26</v>
      </c>
      <c r="U1476" s="146">
        <f>SUM(Purchase[Net Amount])</f>
        <v>814985438.68000126</v>
      </c>
    </row>
    <row r="1477" spans="1:21" ht="19.5" thickBot="1" x14ac:dyDescent="0.3">
      <c r="A1477" s="136" t="s">
        <v>2531</v>
      </c>
      <c r="B1477" s="137">
        <v>45730</v>
      </c>
      <c r="C1477" s="138" t="s">
        <v>587</v>
      </c>
      <c r="D1477" s="138" t="str">
        <f>VLOOKUP(Purchase[[#This Row],[Supplier ID]],Supplier[#All],2,0)</f>
        <v>maa distributors</v>
      </c>
      <c r="E1477" s="138">
        <f>VLOOKUP(Purchase[[#This Row],[Supplier ID]],Supplier[#All],3,0)</f>
        <v>9689542479</v>
      </c>
      <c r="F1477" s="138" t="str">
        <f>VLOOKUP(Purchase[[#This Row],[Supplier ID]],Supplier[#All],4,0)</f>
        <v>Indore</v>
      </c>
      <c r="G1477" s="138" t="str">
        <f>VLOOKUP(Purchase[[#This Row],[Supplier ID]],Supplier[#All],5,0)</f>
        <v>MP</v>
      </c>
      <c r="H1477" s="138" t="str">
        <f>VLOOKUP(Purchase[[#This Row],[Supplier ID]],Supplier[#All],6,0)</f>
        <v>GST2154521T033</v>
      </c>
      <c r="I1477" s="138" t="s">
        <v>274</v>
      </c>
      <c r="J1477" s="139">
        <v>21</v>
      </c>
      <c r="K1477" s="143">
        <f>VLOOKUP(Purchase[[#This Row],[Product ID]],Product[#All],6,0)</f>
        <v>48641</v>
      </c>
      <c r="L1477" s="143">
        <f>Purchase[[#This Row],[Purchase Rate]]*Purchase[[#This Row],[Qty]]</f>
        <v>1021461</v>
      </c>
      <c r="M1477" s="140">
        <v>0</v>
      </c>
      <c r="N1477" s="143">
        <v>0</v>
      </c>
      <c r="O1477" s="140">
        <v>0.18</v>
      </c>
      <c r="P1477" s="145">
        <f>(Purchase[[#This Row],[Gross Amount]]-Purchase[[#This Row],[Disct %]])*Purchase[[#This Row],[GST %]]</f>
        <v>183862.97999999998</v>
      </c>
      <c r="Q1477" s="145">
        <f>Purchase[[#This Row],[Gross Amount]]-Purchase[[#This Row],[Disct Amnt]]+Purchase[[#This Row],[GST Amount]]</f>
        <v>1205323.98</v>
      </c>
      <c r="R1477" s="138" t="s">
        <v>1019</v>
      </c>
      <c r="S1477" s="41">
        <f>IF(Purchase[[#This Row],[Status]]="Cancelled",0,Purchase[[#This Row],[Qty]])</f>
        <v>21</v>
      </c>
      <c r="T1477" s="146">
        <f>IF(Purchase[[#This Row],[Status]]="Cancelled",0,Purchase[[#This Row],[Total Amount]])</f>
        <v>1205323.98</v>
      </c>
      <c r="U1477" s="146">
        <f>SUM(Purchase[Net Amount])</f>
        <v>814985438.68000126</v>
      </c>
    </row>
    <row r="1478" spans="1:21" ht="19.5" thickBot="1" x14ac:dyDescent="0.3">
      <c r="A1478" s="136" t="s">
        <v>2532</v>
      </c>
      <c r="B1478" s="137">
        <v>45730</v>
      </c>
      <c r="C1478" s="138" t="s">
        <v>597</v>
      </c>
      <c r="D1478" s="138" t="str">
        <f>VLOOKUP(Purchase[[#This Row],[Supplier ID]],Supplier[#All],2,0)</f>
        <v>Tech Traders</v>
      </c>
      <c r="E1478" s="138">
        <f>VLOOKUP(Purchase[[#This Row],[Supplier ID]],Supplier[#All],3,0)</f>
        <v>9689542480</v>
      </c>
      <c r="F1478" s="138" t="str">
        <f>VLOOKUP(Purchase[[#This Row],[Supplier ID]],Supplier[#All],4,0)</f>
        <v>Kanpur</v>
      </c>
      <c r="G1478" s="138" t="str">
        <f>VLOOKUP(Purchase[[#This Row],[Supplier ID]],Supplier[#All],5,0)</f>
        <v>UP</v>
      </c>
      <c r="H1478" s="138" t="str">
        <f>VLOOKUP(Purchase[[#This Row],[Supplier ID]],Supplier[#All],6,0)</f>
        <v>GST2154521T042</v>
      </c>
      <c r="I1478" s="138" t="s">
        <v>144</v>
      </c>
      <c r="J1478" s="139">
        <v>34</v>
      </c>
      <c r="K1478" s="143">
        <f>VLOOKUP(Purchase[[#This Row],[Product ID]],Product[#All],6,0)</f>
        <v>6307</v>
      </c>
      <c r="L1478" s="143">
        <f>Purchase[[#This Row],[Purchase Rate]]*Purchase[[#This Row],[Qty]]</f>
        <v>214438</v>
      </c>
      <c r="M1478" s="140">
        <v>0</v>
      </c>
      <c r="N1478" s="143">
        <v>0</v>
      </c>
      <c r="O1478" s="140">
        <v>0.18</v>
      </c>
      <c r="P1478" s="145">
        <f>(Purchase[[#This Row],[Gross Amount]]-Purchase[[#This Row],[Disct %]])*Purchase[[#This Row],[GST %]]</f>
        <v>38598.839999999997</v>
      </c>
      <c r="Q1478" s="145">
        <f>Purchase[[#This Row],[Gross Amount]]-Purchase[[#This Row],[Disct Amnt]]+Purchase[[#This Row],[GST Amount]]</f>
        <v>253036.84</v>
      </c>
      <c r="R1478" s="138" t="s">
        <v>1019</v>
      </c>
      <c r="S1478" s="41">
        <f>IF(Purchase[[#This Row],[Status]]="Cancelled",0,Purchase[[#This Row],[Qty]])</f>
        <v>34</v>
      </c>
      <c r="T1478" s="146">
        <f>IF(Purchase[[#This Row],[Status]]="Cancelled",0,Purchase[[#This Row],[Total Amount]])</f>
        <v>253036.84</v>
      </c>
      <c r="U1478" s="146">
        <f>SUM(Purchase[Net Amount])</f>
        <v>814985438.68000126</v>
      </c>
    </row>
    <row r="1479" spans="1:21" ht="19.5" thickBot="1" x14ac:dyDescent="0.3">
      <c r="A1479" s="136" t="s">
        <v>2533</v>
      </c>
      <c r="B1479" s="137">
        <v>45730</v>
      </c>
      <c r="C1479" s="138" t="s">
        <v>584</v>
      </c>
      <c r="D1479" s="138" t="str">
        <f>VLOOKUP(Purchase[[#This Row],[Supplier ID]],Supplier[#All],2,0)</f>
        <v>Prime Computers</v>
      </c>
      <c r="E1479" s="138">
        <f>VLOOKUP(Purchase[[#This Row],[Supplier ID]],Supplier[#All],3,0)</f>
        <v>9689542468</v>
      </c>
      <c r="F1479" s="138" t="str">
        <f>VLOOKUP(Purchase[[#This Row],[Supplier ID]],Supplier[#All],4,0)</f>
        <v>Kanpur</v>
      </c>
      <c r="G1479" s="138" t="str">
        <f>VLOOKUP(Purchase[[#This Row],[Supplier ID]],Supplier[#All],5,0)</f>
        <v>UP</v>
      </c>
      <c r="H1479" s="138" t="str">
        <f>VLOOKUP(Purchase[[#This Row],[Supplier ID]],Supplier[#All],6,0)</f>
        <v>GST2154521T030</v>
      </c>
      <c r="I1479" s="138" t="s">
        <v>204</v>
      </c>
      <c r="J1479" s="139">
        <v>29</v>
      </c>
      <c r="K1479" s="143">
        <f>VLOOKUP(Purchase[[#This Row],[Product ID]],Product[#All],6,0)</f>
        <v>33533</v>
      </c>
      <c r="L1479" s="143">
        <f>Purchase[[#This Row],[Purchase Rate]]*Purchase[[#This Row],[Qty]]</f>
        <v>972457</v>
      </c>
      <c r="M1479" s="140">
        <v>0</v>
      </c>
      <c r="N1479" s="143">
        <v>0</v>
      </c>
      <c r="O1479" s="140">
        <v>0.18</v>
      </c>
      <c r="P1479" s="145">
        <f>(Purchase[[#This Row],[Gross Amount]]-Purchase[[#This Row],[Disct %]])*Purchase[[#This Row],[GST %]]</f>
        <v>175042.25999999998</v>
      </c>
      <c r="Q1479" s="145">
        <f>Purchase[[#This Row],[Gross Amount]]-Purchase[[#This Row],[Disct Amnt]]+Purchase[[#This Row],[GST Amount]]</f>
        <v>1147499.26</v>
      </c>
      <c r="R1479" s="138" t="s">
        <v>1019</v>
      </c>
      <c r="S1479" s="41">
        <f>IF(Purchase[[#This Row],[Status]]="Cancelled",0,Purchase[[#This Row],[Qty]])</f>
        <v>29</v>
      </c>
      <c r="T1479" s="146">
        <f>IF(Purchase[[#This Row],[Status]]="Cancelled",0,Purchase[[#This Row],[Total Amount]])</f>
        <v>1147499.26</v>
      </c>
      <c r="U1479" s="146">
        <f>SUM(Purchase[Net Amount])</f>
        <v>814985438.68000126</v>
      </c>
    </row>
    <row r="1480" spans="1:21" ht="19.5" thickBot="1" x14ac:dyDescent="0.3">
      <c r="A1480" s="136" t="s">
        <v>2534</v>
      </c>
      <c r="B1480" s="137">
        <v>45730</v>
      </c>
      <c r="C1480" s="138" t="s">
        <v>580</v>
      </c>
      <c r="D1480" s="138" t="str">
        <f>VLOOKUP(Purchase[[#This Row],[Supplier ID]],Supplier[#All],2,0)</f>
        <v>Star Distributors</v>
      </c>
      <c r="E1480" s="138">
        <f>VLOOKUP(Purchase[[#This Row],[Supplier ID]],Supplier[#All],3,0)</f>
        <v>9689542464</v>
      </c>
      <c r="F1480" s="138" t="str">
        <f>VLOOKUP(Purchase[[#This Row],[Supplier ID]],Supplier[#All],4,0)</f>
        <v>Indore</v>
      </c>
      <c r="G1480" s="138" t="str">
        <f>VLOOKUP(Purchase[[#This Row],[Supplier ID]],Supplier[#All],5,0)</f>
        <v>MP</v>
      </c>
      <c r="H1480" s="138" t="str">
        <f>VLOOKUP(Purchase[[#This Row],[Supplier ID]],Supplier[#All],6,0)</f>
        <v>GST2154521T026</v>
      </c>
      <c r="I1480" s="138" t="s">
        <v>440</v>
      </c>
      <c r="J1480" s="139">
        <v>33</v>
      </c>
      <c r="K1480" s="143">
        <f>VLOOKUP(Purchase[[#This Row],[Product ID]],Product[#All],6,0)</f>
        <v>20248</v>
      </c>
      <c r="L1480" s="143">
        <f>Purchase[[#This Row],[Purchase Rate]]*Purchase[[#This Row],[Qty]]</f>
        <v>668184</v>
      </c>
      <c r="M1480" s="140">
        <v>0</v>
      </c>
      <c r="N1480" s="143">
        <v>0</v>
      </c>
      <c r="O1480" s="140">
        <v>0.18</v>
      </c>
      <c r="P1480" s="145">
        <f>(Purchase[[#This Row],[Gross Amount]]-Purchase[[#This Row],[Disct %]])*Purchase[[#This Row],[GST %]]</f>
        <v>120273.12</v>
      </c>
      <c r="Q1480" s="145">
        <f>Purchase[[#This Row],[Gross Amount]]-Purchase[[#This Row],[Disct Amnt]]+Purchase[[#This Row],[GST Amount]]</f>
        <v>788457.12</v>
      </c>
      <c r="R1480" s="138" t="s">
        <v>1019</v>
      </c>
      <c r="S1480" s="41">
        <f>IF(Purchase[[#This Row],[Status]]="Cancelled",0,Purchase[[#This Row],[Qty]])</f>
        <v>33</v>
      </c>
      <c r="T1480" s="146">
        <f>IF(Purchase[[#This Row],[Status]]="Cancelled",0,Purchase[[#This Row],[Total Amount]])</f>
        <v>788457.12</v>
      </c>
      <c r="U1480" s="146">
        <f>SUM(Purchase[Net Amount])</f>
        <v>814985438.68000126</v>
      </c>
    </row>
    <row r="1481" spans="1:21" ht="19.5" thickBot="1" x14ac:dyDescent="0.3">
      <c r="A1481" s="136" t="s">
        <v>2535</v>
      </c>
      <c r="B1481" s="137">
        <v>45730</v>
      </c>
      <c r="C1481" s="138" t="s">
        <v>591</v>
      </c>
      <c r="D1481" s="138" t="str">
        <f>VLOOKUP(Purchase[[#This Row],[Supplier ID]],Supplier[#All],2,0)</f>
        <v>Shree Computers</v>
      </c>
      <c r="E1481" s="138">
        <f>VLOOKUP(Purchase[[#This Row],[Supplier ID]],Supplier[#All],3,0)</f>
        <v>9689542475</v>
      </c>
      <c r="F1481" s="138" t="str">
        <f>VLOOKUP(Purchase[[#This Row],[Supplier ID]],Supplier[#All],4,0)</f>
        <v>Indore</v>
      </c>
      <c r="G1481" s="138" t="str">
        <f>VLOOKUP(Purchase[[#This Row],[Supplier ID]],Supplier[#All],5,0)</f>
        <v>MP</v>
      </c>
      <c r="H1481" s="138" t="str">
        <f>VLOOKUP(Purchase[[#This Row],[Supplier ID]],Supplier[#All],6,0)</f>
        <v>GST2154521T037</v>
      </c>
      <c r="I1481" s="138" t="s">
        <v>382</v>
      </c>
      <c r="J1481" s="139">
        <v>10</v>
      </c>
      <c r="K1481" s="143">
        <f>VLOOKUP(Purchase[[#This Row],[Product ID]],Product[#All],6,0)</f>
        <v>27552</v>
      </c>
      <c r="L1481" s="143">
        <f>Purchase[[#This Row],[Purchase Rate]]*Purchase[[#This Row],[Qty]]</f>
        <v>275520</v>
      </c>
      <c r="M1481" s="140">
        <v>0</v>
      </c>
      <c r="N1481" s="143">
        <v>0</v>
      </c>
      <c r="O1481" s="140">
        <v>0.18</v>
      </c>
      <c r="P1481" s="145">
        <f>(Purchase[[#This Row],[Gross Amount]]-Purchase[[#This Row],[Disct %]])*Purchase[[#This Row],[GST %]]</f>
        <v>49593.599999999999</v>
      </c>
      <c r="Q1481" s="145">
        <f>Purchase[[#This Row],[Gross Amount]]-Purchase[[#This Row],[Disct Amnt]]+Purchase[[#This Row],[GST Amount]]</f>
        <v>325113.59999999998</v>
      </c>
      <c r="R1481" s="138" t="s">
        <v>1019</v>
      </c>
      <c r="S1481" s="41">
        <f>IF(Purchase[[#This Row],[Status]]="Cancelled",0,Purchase[[#This Row],[Qty]])</f>
        <v>10</v>
      </c>
      <c r="T1481" s="146">
        <f>IF(Purchase[[#This Row],[Status]]="Cancelled",0,Purchase[[#This Row],[Total Amount]])</f>
        <v>325113.59999999998</v>
      </c>
      <c r="U1481" s="146">
        <f>SUM(Purchase[Net Amount])</f>
        <v>814985438.68000126</v>
      </c>
    </row>
    <row r="1482" spans="1:21" ht="19.5" thickBot="1" x14ac:dyDescent="0.3">
      <c r="A1482" s="136" t="s">
        <v>2536</v>
      </c>
      <c r="B1482" s="137">
        <v>45730</v>
      </c>
      <c r="C1482" s="138" t="s">
        <v>611</v>
      </c>
      <c r="D1482" s="138" t="str">
        <f>VLOOKUP(Purchase[[#This Row],[Supplier ID]],Supplier[#All],2,0)</f>
        <v>National Distributors</v>
      </c>
      <c r="E1482" s="138">
        <f>VLOOKUP(Purchase[[#This Row],[Supplier ID]],Supplier[#All],3,0)</f>
        <v>9689542494</v>
      </c>
      <c r="F1482" s="138" t="str">
        <f>VLOOKUP(Purchase[[#This Row],[Supplier ID]],Supplier[#All],4,0)</f>
        <v>Korba</v>
      </c>
      <c r="G1482" s="138" t="str">
        <f>VLOOKUP(Purchase[[#This Row],[Supplier ID]],Supplier[#All],5,0)</f>
        <v>CG</v>
      </c>
      <c r="H1482" s="138" t="str">
        <f>VLOOKUP(Purchase[[#This Row],[Supplier ID]],Supplier[#All],6,0)</f>
        <v>GST2154521T056</v>
      </c>
      <c r="I1482" s="138" t="s">
        <v>503</v>
      </c>
      <c r="J1482" s="139">
        <v>11</v>
      </c>
      <c r="K1482" s="143">
        <f>VLOOKUP(Purchase[[#This Row],[Product ID]],Product[#All],6,0)</f>
        <v>7350</v>
      </c>
      <c r="L1482" s="143">
        <f>Purchase[[#This Row],[Purchase Rate]]*Purchase[[#This Row],[Qty]]</f>
        <v>80850</v>
      </c>
      <c r="M1482" s="140">
        <v>0</v>
      </c>
      <c r="N1482" s="143">
        <v>0</v>
      </c>
      <c r="O1482" s="140">
        <v>0.18</v>
      </c>
      <c r="P1482" s="145">
        <f>(Purchase[[#This Row],[Gross Amount]]-Purchase[[#This Row],[Disct %]])*Purchase[[#This Row],[GST %]]</f>
        <v>14553</v>
      </c>
      <c r="Q1482" s="145">
        <f>Purchase[[#This Row],[Gross Amount]]-Purchase[[#This Row],[Disct Amnt]]+Purchase[[#This Row],[GST Amount]]</f>
        <v>95403</v>
      </c>
      <c r="R1482" s="138" t="s">
        <v>1019</v>
      </c>
      <c r="S1482" s="41">
        <f>IF(Purchase[[#This Row],[Status]]="Cancelled",0,Purchase[[#This Row],[Qty]])</f>
        <v>11</v>
      </c>
      <c r="T1482" s="146">
        <f>IF(Purchase[[#This Row],[Status]]="Cancelled",0,Purchase[[#This Row],[Total Amount]])</f>
        <v>95403</v>
      </c>
      <c r="U1482" s="146">
        <f>SUM(Purchase[Net Amount])</f>
        <v>814985438.68000126</v>
      </c>
    </row>
    <row r="1483" spans="1:21" ht="19.5" thickBot="1" x14ac:dyDescent="0.3">
      <c r="A1483" s="136" t="s">
        <v>2537</v>
      </c>
      <c r="B1483" s="137">
        <v>45730</v>
      </c>
      <c r="C1483" s="138" t="s">
        <v>566</v>
      </c>
      <c r="D1483" s="138" t="str">
        <f>VLOOKUP(Purchase[[#This Row],[Supplier ID]],Supplier[#All],2,0)</f>
        <v>Maa Computers</v>
      </c>
      <c r="E1483" s="138">
        <f>VLOOKUP(Purchase[[#This Row],[Supplier ID]],Supplier[#All],3,0)</f>
        <v>9689542452</v>
      </c>
      <c r="F1483" s="138" t="str">
        <f>VLOOKUP(Purchase[[#This Row],[Supplier ID]],Supplier[#All],4,0)</f>
        <v>Kanpur</v>
      </c>
      <c r="G1483" s="138" t="str">
        <f>VLOOKUP(Purchase[[#This Row],[Supplier ID]],Supplier[#All],5,0)</f>
        <v>UP</v>
      </c>
      <c r="H1483" s="138" t="str">
        <f>VLOOKUP(Purchase[[#This Row],[Supplier ID]],Supplier[#All],6,0)</f>
        <v>GST2154521T014</v>
      </c>
      <c r="I1483" s="138" t="s">
        <v>342</v>
      </c>
      <c r="J1483" s="139">
        <v>10</v>
      </c>
      <c r="K1483" s="143">
        <f>VLOOKUP(Purchase[[#This Row],[Product ID]],Product[#All],6,0)</f>
        <v>58271</v>
      </c>
      <c r="L1483" s="143">
        <f>Purchase[[#This Row],[Purchase Rate]]*Purchase[[#This Row],[Qty]]</f>
        <v>582710</v>
      </c>
      <c r="M1483" s="140">
        <v>0</v>
      </c>
      <c r="N1483" s="143">
        <v>0</v>
      </c>
      <c r="O1483" s="140">
        <v>0.18</v>
      </c>
      <c r="P1483" s="145">
        <f>(Purchase[[#This Row],[Gross Amount]]-Purchase[[#This Row],[Disct %]])*Purchase[[#This Row],[GST %]]</f>
        <v>104887.8</v>
      </c>
      <c r="Q1483" s="145">
        <f>Purchase[[#This Row],[Gross Amount]]-Purchase[[#This Row],[Disct Amnt]]+Purchase[[#This Row],[GST Amount]]</f>
        <v>687597.8</v>
      </c>
      <c r="R1483" s="138" t="s">
        <v>1019</v>
      </c>
      <c r="S1483" s="41">
        <f>IF(Purchase[[#This Row],[Status]]="Cancelled",0,Purchase[[#This Row],[Qty]])</f>
        <v>10</v>
      </c>
      <c r="T1483" s="146">
        <f>IF(Purchase[[#This Row],[Status]]="Cancelled",0,Purchase[[#This Row],[Total Amount]])</f>
        <v>687597.8</v>
      </c>
      <c r="U1483" s="146">
        <f>SUM(Purchase[Net Amount])</f>
        <v>814985438.68000126</v>
      </c>
    </row>
    <row r="1484" spans="1:21" ht="19.5" thickBot="1" x14ac:dyDescent="0.3">
      <c r="A1484" s="136" t="s">
        <v>2538</v>
      </c>
      <c r="B1484" s="137">
        <v>45730</v>
      </c>
      <c r="C1484" s="138" t="s">
        <v>582</v>
      </c>
      <c r="D1484" s="138" t="str">
        <f>VLOOKUP(Purchase[[#This Row],[Supplier ID]],Supplier[#All],2,0)</f>
        <v>Tech Distributors</v>
      </c>
      <c r="E1484" s="138">
        <f>VLOOKUP(Purchase[[#This Row],[Supplier ID]],Supplier[#All],3,0)</f>
        <v>9689542466</v>
      </c>
      <c r="F1484" s="138" t="str">
        <f>VLOOKUP(Purchase[[#This Row],[Supplier ID]],Supplier[#All],4,0)</f>
        <v>Indore</v>
      </c>
      <c r="G1484" s="138" t="str">
        <f>VLOOKUP(Purchase[[#This Row],[Supplier ID]],Supplier[#All],5,0)</f>
        <v>MP</v>
      </c>
      <c r="H1484" s="138" t="str">
        <f>VLOOKUP(Purchase[[#This Row],[Supplier ID]],Supplier[#All],6,0)</f>
        <v>GST2154521T028</v>
      </c>
      <c r="I1484" s="138" t="s">
        <v>495</v>
      </c>
      <c r="J1484" s="139">
        <v>18</v>
      </c>
      <c r="K1484" s="143">
        <f>VLOOKUP(Purchase[[#This Row],[Product ID]],Product[#All],6,0)</f>
        <v>54252</v>
      </c>
      <c r="L1484" s="143">
        <f>Purchase[[#This Row],[Purchase Rate]]*Purchase[[#This Row],[Qty]]</f>
        <v>976536</v>
      </c>
      <c r="M1484" s="140">
        <v>0</v>
      </c>
      <c r="N1484" s="143">
        <v>0</v>
      </c>
      <c r="O1484" s="140">
        <v>0.18</v>
      </c>
      <c r="P1484" s="145">
        <f>(Purchase[[#This Row],[Gross Amount]]-Purchase[[#This Row],[Disct %]])*Purchase[[#This Row],[GST %]]</f>
        <v>175776.47999999998</v>
      </c>
      <c r="Q1484" s="145">
        <f>Purchase[[#This Row],[Gross Amount]]-Purchase[[#This Row],[Disct Amnt]]+Purchase[[#This Row],[GST Amount]]</f>
        <v>1152312.48</v>
      </c>
      <c r="R1484" s="138" t="s">
        <v>1019</v>
      </c>
      <c r="S1484" s="41">
        <f>IF(Purchase[[#This Row],[Status]]="Cancelled",0,Purchase[[#This Row],[Qty]])</f>
        <v>18</v>
      </c>
      <c r="T1484" s="146">
        <f>IF(Purchase[[#This Row],[Status]]="Cancelled",0,Purchase[[#This Row],[Total Amount]])</f>
        <v>1152312.48</v>
      </c>
      <c r="U1484" s="146">
        <f>SUM(Purchase[Net Amount])</f>
        <v>814985438.68000126</v>
      </c>
    </row>
    <row r="1485" spans="1:21" ht="19.5" thickBot="1" x14ac:dyDescent="0.3">
      <c r="A1485" s="136" t="s">
        <v>2539</v>
      </c>
      <c r="B1485" s="137">
        <v>45730</v>
      </c>
      <c r="C1485" s="138" t="s">
        <v>570</v>
      </c>
      <c r="D1485" s="138" t="str">
        <f>VLOOKUP(Purchase[[#This Row],[Supplier ID]],Supplier[#All],2,0)</f>
        <v>Prime Traders</v>
      </c>
      <c r="E1485" s="138">
        <f>VLOOKUP(Purchase[[#This Row],[Supplier ID]],Supplier[#All],3,0)</f>
        <v>9689542456</v>
      </c>
      <c r="F1485" s="138" t="str">
        <f>VLOOKUP(Purchase[[#This Row],[Supplier ID]],Supplier[#All],4,0)</f>
        <v>Indore</v>
      </c>
      <c r="G1485" s="138" t="str">
        <f>VLOOKUP(Purchase[[#This Row],[Supplier ID]],Supplier[#All],5,0)</f>
        <v>MP</v>
      </c>
      <c r="H1485" s="138" t="str">
        <f>VLOOKUP(Purchase[[#This Row],[Supplier ID]],Supplier[#All],6,0)</f>
        <v>GST2154521T018</v>
      </c>
      <c r="I1485" s="138" t="s">
        <v>135</v>
      </c>
      <c r="J1485" s="139">
        <v>23</v>
      </c>
      <c r="K1485" s="143">
        <f>VLOOKUP(Purchase[[#This Row],[Product ID]],Product[#All],6,0)</f>
        <v>2681</v>
      </c>
      <c r="L1485" s="143">
        <f>Purchase[[#This Row],[Purchase Rate]]*Purchase[[#This Row],[Qty]]</f>
        <v>61663</v>
      </c>
      <c r="M1485" s="140">
        <v>0</v>
      </c>
      <c r="N1485" s="143">
        <v>0</v>
      </c>
      <c r="O1485" s="140">
        <v>0.18</v>
      </c>
      <c r="P1485" s="145">
        <f>(Purchase[[#This Row],[Gross Amount]]-Purchase[[#This Row],[Disct %]])*Purchase[[#This Row],[GST %]]</f>
        <v>11099.34</v>
      </c>
      <c r="Q1485" s="145">
        <f>Purchase[[#This Row],[Gross Amount]]-Purchase[[#This Row],[Disct Amnt]]+Purchase[[#This Row],[GST Amount]]</f>
        <v>72762.34</v>
      </c>
      <c r="R1485" s="138" t="s">
        <v>1019</v>
      </c>
      <c r="S1485" s="41">
        <f>IF(Purchase[[#This Row],[Status]]="Cancelled",0,Purchase[[#This Row],[Qty]])</f>
        <v>23</v>
      </c>
      <c r="T1485" s="146">
        <f>IF(Purchase[[#This Row],[Status]]="Cancelled",0,Purchase[[#This Row],[Total Amount]])</f>
        <v>72762.34</v>
      </c>
      <c r="U1485" s="146">
        <f>SUM(Purchase[Net Amount])</f>
        <v>814985438.68000126</v>
      </c>
    </row>
    <row r="1486" spans="1:21" ht="19.5" thickBot="1" x14ac:dyDescent="0.3">
      <c r="A1486" s="136" t="s">
        <v>2540</v>
      </c>
      <c r="B1486" s="137">
        <v>45730</v>
      </c>
      <c r="C1486" s="138" t="s">
        <v>585</v>
      </c>
      <c r="D1486" s="138" t="str">
        <f>VLOOKUP(Purchase[[#This Row],[Supplier ID]],Supplier[#All],2,0)</f>
        <v>Tech Computers</v>
      </c>
      <c r="E1486" s="138">
        <f>VLOOKUP(Purchase[[#This Row],[Supplier ID]],Supplier[#All],3,0)</f>
        <v>9689542469</v>
      </c>
      <c r="F1486" s="138" t="str">
        <f>VLOOKUP(Purchase[[#This Row],[Supplier ID]],Supplier[#All],4,0)</f>
        <v>Korba</v>
      </c>
      <c r="G1486" s="138" t="str">
        <f>VLOOKUP(Purchase[[#This Row],[Supplier ID]],Supplier[#All],5,0)</f>
        <v>CG</v>
      </c>
      <c r="H1486" s="138" t="str">
        <f>VLOOKUP(Purchase[[#This Row],[Supplier ID]],Supplier[#All],6,0)</f>
        <v>GST2154521T031</v>
      </c>
      <c r="I1486" s="138" t="s">
        <v>300</v>
      </c>
      <c r="J1486" s="139">
        <v>39</v>
      </c>
      <c r="K1486" s="143">
        <f>VLOOKUP(Purchase[[#This Row],[Product ID]],Product[#All],6,0)</f>
        <v>8629</v>
      </c>
      <c r="L1486" s="143">
        <f>Purchase[[#This Row],[Purchase Rate]]*Purchase[[#This Row],[Qty]]</f>
        <v>336531</v>
      </c>
      <c r="M1486" s="140">
        <v>0</v>
      </c>
      <c r="N1486" s="143">
        <v>0</v>
      </c>
      <c r="O1486" s="140">
        <v>0.18</v>
      </c>
      <c r="P1486" s="145">
        <f>(Purchase[[#This Row],[Gross Amount]]-Purchase[[#This Row],[Disct %]])*Purchase[[#This Row],[GST %]]</f>
        <v>60575.579999999994</v>
      </c>
      <c r="Q1486" s="145">
        <f>Purchase[[#This Row],[Gross Amount]]-Purchase[[#This Row],[Disct Amnt]]+Purchase[[#This Row],[GST Amount]]</f>
        <v>397106.58</v>
      </c>
      <c r="R1486" s="138" t="s">
        <v>1019</v>
      </c>
      <c r="S1486" s="41">
        <f>IF(Purchase[[#This Row],[Status]]="Cancelled",0,Purchase[[#This Row],[Qty]])</f>
        <v>39</v>
      </c>
      <c r="T1486" s="146">
        <f>IF(Purchase[[#This Row],[Status]]="Cancelled",0,Purchase[[#This Row],[Total Amount]])</f>
        <v>397106.58</v>
      </c>
      <c r="U1486" s="146">
        <f>SUM(Purchase[Net Amount])</f>
        <v>814985438.68000126</v>
      </c>
    </row>
    <row r="1487" spans="1:21" ht="19.5" thickBot="1" x14ac:dyDescent="0.3">
      <c r="A1487" s="136" t="s">
        <v>2541</v>
      </c>
      <c r="B1487" s="137">
        <v>45730</v>
      </c>
      <c r="C1487" s="138" t="s">
        <v>569</v>
      </c>
      <c r="D1487" s="138" t="str">
        <f>VLOOKUP(Purchase[[#This Row],[Supplier ID]],Supplier[#All],2,0)</f>
        <v>Tech Electronics</v>
      </c>
      <c r="E1487" s="138">
        <f>VLOOKUP(Purchase[[#This Row],[Supplier ID]],Supplier[#All],3,0)</f>
        <v>9689542455</v>
      </c>
      <c r="F1487" s="138" t="str">
        <f>VLOOKUP(Purchase[[#This Row],[Supplier ID]],Supplier[#All],4,0)</f>
        <v>Korba</v>
      </c>
      <c r="G1487" s="138" t="str">
        <f>VLOOKUP(Purchase[[#This Row],[Supplier ID]],Supplier[#All],5,0)</f>
        <v>CG</v>
      </c>
      <c r="H1487" s="138" t="str">
        <f>VLOOKUP(Purchase[[#This Row],[Supplier ID]],Supplier[#All],6,0)</f>
        <v>GST2154521T017</v>
      </c>
      <c r="I1487" s="138" t="s">
        <v>175</v>
      </c>
      <c r="J1487" s="139">
        <v>38</v>
      </c>
      <c r="K1487" s="143">
        <f>VLOOKUP(Purchase[[#This Row],[Product ID]],Product[#All],6,0)</f>
        <v>1594</v>
      </c>
      <c r="L1487" s="143">
        <f>Purchase[[#This Row],[Purchase Rate]]*Purchase[[#This Row],[Qty]]</f>
        <v>60572</v>
      </c>
      <c r="M1487" s="140">
        <v>0</v>
      </c>
      <c r="N1487" s="143">
        <v>0</v>
      </c>
      <c r="O1487" s="140">
        <v>0.18</v>
      </c>
      <c r="P1487" s="145">
        <f>(Purchase[[#This Row],[Gross Amount]]-Purchase[[#This Row],[Disct %]])*Purchase[[#This Row],[GST %]]</f>
        <v>10902.96</v>
      </c>
      <c r="Q1487" s="145">
        <f>Purchase[[#This Row],[Gross Amount]]-Purchase[[#This Row],[Disct Amnt]]+Purchase[[#This Row],[GST Amount]]</f>
        <v>71474.959999999992</v>
      </c>
      <c r="R1487" s="138" t="s">
        <v>1019</v>
      </c>
      <c r="S1487" s="41">
        <f>IF(Purchase[[#This Row],[Status]]="Cancelled",0,Purchase[[#This Row],[Qty]])</f>
        <v>38</v>
      </c>
      <c r="T1487" s="146">
        <f>IF(Purchase[[#This Row],[Status]]="Cancelled",0,Purchase[[#This Row],[Total Amount]])</f>
        <v>71474.959999999992</v>
      </c>
      <c r="U1487" s="146">
        <f>SUM(Purchase[Net Amount])</f>
        <v>814985438.68000126</v>
      </c>
    </row>
    <row r="1488" spans="1:21" ht="19.5" thickBot="1" x14ac:dyDescent="0.3">
      <c r="A1488" s="136" t="s">
        <v>2542</v>
      </c>
      <c r="B1488" s="137">
        <v>45730</v>
      </c>
      <c r="C1488" s="138" t="s">
        <v>578</v>
      </c>
      <c r="D1488" s="138" t="str">
        <f>VLOOKUP(Purchase[[#This Row],[Supplier ID]],Supplier[#All],2,0)</f>
        <v>Shree Computers</v>
      </c>
      <c r="E1488" s="138">
        <f>VLOOKUP(Purchase[[#This Row],[Supplier ID]],Supplier[#All],3,0)</f>
        <v>9689542462</v>
      </c>
      <c r="F1488" s="138" t="str">
        <f>VLOOKUP(Purchase[[#This Row],[Supplier ID]],Supplier[#All],4,0)</f>
        <v>Korba</v>
      </c>
      <c r="G1488" s="138" t="str">
        <f>VLOOKUP(Purchase[[#This Row],[Supplier ID]],Supplier[#All],5,0)</f>
        <v>CG</v>
      </c>
      <c r="H1488" s="138" t="str">
        <f>VLOOKUP(Purchase[[#This Row],[Supplier ID]],Supplier[#All],6,0)</f>
        <v>GST2154521T024</v>
      </c>
      <c r="I1488" s="138" t="s">
        <v>284</v>
      </c>
      <c r="J1488" s="139">
        <v>16</v>
      </c>
      <c r="K1488" s="143">
        <f>VLOOKUP(Purchase[[#This Row],[Product ID]],Product[#All],6,0)</f>
        <v>1542</v>
      </c>
      <c r="L1488" s="143">
        <f>Purchase[[#This Row],[Purchase Rate]]*Purchase[[#This Row],[Qty]]</f>
        <v>24672</v>
      </c>
      <c r="M1488" s="140">
        <v>0</v>
      </c>
      <c r="N1488" s="143">
        <v>0</v>
      </c>
      <c r="O1488" s="140">
        <v>0.18</v>
      </c>
      <c r="P1488" s="145">
        <f>(Purchase[[#This Row],[Gross Amount]]-Purchase[[#This Row],[Disct %]])*Purchase[[#This Row],[GST %]]</f>
        <v>4440.96</v>
      </c>
      <c r="Q1488" s="145">
        <f>Purchase[[#This Row],[Gross Amount]]-Purchase[[#This Row],[Disct Amnt]]+Purchase[[#This Row],[GST Amount]]</f>
        <v>29112.959999999999</v>
      </c>
      <c r="R1488" s="138" t="s">
        <v>1019</v>
      </c>
      <c r="S1488" s="41">
        <f>IF(Purchase[[#This Row],[Status]]="Cancelled",0,Purchase[[#This Row],[Qty]])</f>
        <v>16</v>
      </c>
      <c r="T1488" s="146">
        <f>IF(Purchase[[#This Row],[Status]]="Cancelled",0,Purchase[[#This Row],[Total Amount]])</f>
        <v>29112.959999999999</v>
      </c>
      <c r="U1488" s="146">
        <f>SUM(Purchase[Net Amount])</f>
        <v>814985438.68000126</v>
      </c>
    </row>
    <row r="1489" spans="1:21" ht="19.5" thickBot="1" x14ac:dyDescent="0.3">
      <c r="A1489" s="136" t="s">
        <v>2543</v>
      </c>
      <c r="B1489" s="137">
        <v>45730</v>
      </c>
      <c r="C1489" s="138" t="s">
        <v>601</v>
      </c>
      <c r="D1489" s="138" t="str">
        <f>VLOOKUP(Purchase[[#This Row],[Supplier ID]],Supplier[#All],2,0)</f>
        <v>Maa Distributors</v>
      </c>
      <c r="E1489" s="138">
        <f>VLOOKUP(Purchase[[#This Row],[Supplier ID]],Supplier[#All],3,0)</f>
        <v>9689542484</v>
      </c>
      <c r="F1489" s="138" t="str">
        <f>VLOOKUP(Purchase[[#This Row],[Supplier ID]],Supplier[#All],4,0)</f>
        <v>Indore</v>
      </c>
      <c r="G1489" s="138" t="str">
        <f>VLOOKUP(Purchase[[#This Row],[Supplier ID]],Supplier[#All],5,0)</f>
        <v>MP</v>
      </c>
      <c r="H1489" s="138" t="str">
        <f>VLOOKUP(Purchase[[#This Row],[Supplier ID]],Supplier[#All],6,0)</f>
        <v>GST2154521T046</v>
      </c>
      <c r="I1489" s="138" t="s">
        <v>282</v>
      </c>
      <c r="J1489" s="139">
        <v>32</v>
      </c>
      <c r="K1489" s="143">
        <f>VLOOKUP(Purchase[[#This Row],[Product ID]],Product[#All],6,0)</f>
        <v>675</v>
      </c>
      <c r="L1489" s="143">
        <f>Purchase[[#This Row],[Purchase Rate]]*Purchase[[#This Row],[Qty]]</f>
        <v>21600</v>
      </c>
      <c r="M1489" s="140">
        <v>0</v>
      </c>
      <c r="N1489" s="143">
        <v>0</v>
      </c>
      <c r="O1489" s="140">
        <v>0.18</v>
      </c>
      <c r="P1489" s="145">
        <f>(Purchase[[#This Row],[Gross Amount]]-Purchase[[#This Row],[Disct %]])*Purchase[[#This Row],[GST %]]</f>
        <v>3888</v>
      </c>
      <c r="Q1489" s="145">
        <f>Purchase[[#This Row],[Gross Amount]]-Purchase[[#This Row],[Disct Amnt]]+Purchase[[#This Row],[GST Amount]]</f>
        <v>25488</v>
      </c>
      <c r="R1489" s="138" t="s">
        <v>1019</v>
      </c>
      <c r="S1489" s="41">
        <f>IF(Purchase[[#This Row],[Status]]="Cancelled",0,Purchase[[#This Row],[Qty]])</f>
        <v>32</v>
      </c>
      <c r="T1489" s="146">
        <f>IF(Purchase[[#This Row],[Status]]="Cancelled",0,Purchase[[#This Row],[Total Amount]])</f>
        <v>25488</v>
      </c>
      <c r="U1489" s="146">
        <f>SUM(Purchase[Net Amount])</f>
        <v>814985438.68000126</v>
      </c>
    </row>
    <row r="1490" spans="1:21" ht="19.5" thickBot="1" x14ac:dyDescent="0.3">
      <c r="A1490" s="136" t="s">
        <v>2544</v>
      </c>
      <c r="B1490" s="137">
        <v>45730</v>
      </c>
      <c r="C1490" s="138" t="s">
        <v>611</v>
      </c>
      <c r="D1490" s="138" t="str">
        <f>VLOOKUP(Purchase[[#This Row],[Supplier ID]],Supplier[#All],2,0)</f>
        <v>National Distributors</v>
      </c>
      <c r="E1490" s="138">
        <f>VLOOKUP(Purchase[[#This Row],[Supplier ID]],Supplier[#All],3,0)</f>
        <v>9689542494</v>
      </c>
      <c r="F1490" s="138" t="str">
        <f>VLOOKUP(Purchase[[#This Row],[Supplier ID]],Supplier[#All],4,0)</f>
        <v>Korba</v>
      </c>
      <c r="G1490" s="138" t="str">
        <f>VLOOKUP(Purchase[[#This Row],[Supplier ID]],Supplier[#All],5,0)</f>
        <v>CG</v>
      </c>
      <c r="H1490" s="138" t="str">
        <f>VLOOKUP(Purchase[[#This Row],[Supplier ID]],Supplier[#All],6,0)</f>
        <v>GST2154521T056</v>
      </c>
      <c r="I1490" s="138" t="s">
        <v>192</v>
      </c>
      <c r="J1490" s="139">
        <v>30</v>
      </c>
      <c r="K1490" s="143">
        <f>VLOOKUP(Purchase[[#This Row],[Product ID]],Product[#All],6,0)</f>
        <v>50201</v>
      </c>
      <c r="L1490" s="143">
        <f>Purchase[[#This Row],[Purchase Rate]]*Purchase[[#This Row],[Qty]]</f>
        <v>1506030</v>
      </c>
      <c r="M1490" s="140">
        <v>0</v>
      </c>
      <c r="N1490" s="143">
        <v>0</v>
      </c>
      <c r="O1490" s="140">
        <v>0.18</v>
      </c>
      <c r="P1490" s="145">
        <f>(Purchase[[#This Row],[Gross Amount]]-Purchase[[#This Row],[Disct %]])*Purchase[[#This Row],[GST %]]</f>
        <v>271085.39999999997</v>
      </c>
      <c r="Q1490" s="145">
        <f>Purchase[[#This Row],[Gross Amount]]-Purchase[[#This Row],[Disct Amnt]]+Purchase[[#This Row],[GST Amount]]</f>
        <v>1777115.4</v>
      </c>
      <c r="R1490" s="138" t="s">
        <v>1019</v>
      </c>
      <c r="S1490" s="41">
        <f>IF(Purchase[[#This Row],[Status]]="Cancelled",0,Purchase[[#This Row],[Qty]])</f>
        <v>30</v>
      </c>
      <c r="T1490" s="146">
        <f>IF(Purchase[[#This Row],[Status]]="Cancelled",0,Purchase[[#This Row],[Total Amount]])</f>
        <v>1777115.4</v>
      </c>
      <c r="U1490" s="146">
        <f>SUM(Purchase[Net Amount])</f>
        <v>814985438.68000126</v>
      </c>
    </row>
    <row r="1491" spans="1:21" ht="19.5" thickBot="1" x14ac:dyDescent="0.3">
      <c r="A1491" s="136" t="s">
        <v>2545</v>
      </c>
      <c r="B1491" s="137">
        <v>45730</v>
      </c>
      <c r="C1491" s="138" t="s">
        <v>596</v>
      </c>
      <c r="D1491" s="138" t="str">
        <f>VLOOKUP(Purchase[[#This Row],[Supplier ID]],Supplier[#All],2,0)</f>
        <v>star traders</v>
      </c>
      <c r="E1491" s="138">
        <f>VLOOKUP(Purchase[[#This Row],[Supplier ID]],Supplier[#All],3,0)</f>
        <v>9689542479</v>
      </c>
      <c r="F1491" s="138" t="str">
        <f>VLOOKUP(Purchase[[#This Row],[Supplier ID]],Supplier[#All],4,0)</f>
        <v>Korba</v>
      </c>
      <c r="G1491" s="138" t="str">
        <f>VLOOKUP(Purchase[[#This Row],[Supplier ID]],Supplier[#All],5,0)</f>
        <v>CG</v>
      </c>
      <c r="H1491" s="138" t="str">
        <f>VLOOKUP(Purchase[[#This Row],[Supplier ID]],Supplier[#All],6,0)</f>
        <v>GST2154521T041</v>
      </c>
      <c r="I1491" s="138" t="s">
        <v>121</v>
      </c>
      <c r="J1491" s="139">
        <v>29</v>
      </c>
      <c r="K1491" s="143">
        <f>VLOOKUP(Purchase[[#This Row],[Product ID]],Product[#All],6,0)</f>
        <v>1781</v>
      </c>
      <c r="L1491" s="143">
        <f>Purchase[[#This Row],[Purchase Rate]]*Purchase[[#This Row],[Qty]]</f>
        <v>51649</v>
      </c>
      <c r="M1491" s="140">
        <v>0</v>
      </c>
      <c r="N1491" s="143">
        <v>0</v>
      </c>
      <c r="O1491" s="140">
        <v>0.18</v>
      </c>
      <c r="P1491" s="145">
        <f>(Purchase[[#This Row],[Gross Amount]]-Purchase[[#This Row],[Disct %]])*Purchase[[#This Row],[GST %]]</f>
        <v>9296.82</v>
      </c>
      <c r="Q1491" s="145">
        <f>Purchase[[#This Row],[Gross Amount]]-Purchase[[#This Row],[Disct Amnt]]+Purchase[[#This Row],[GST Amount]]</f>
        <v>60945.82</v>
      </c>
      <c r="R1491" s="138" t="s">
        <v>1019</v>
      </c>
      <c r="S1491" s="41">
        <f>IF(Purchase[[#This Row],[Status]]="Cancelled",0,Purchase[[#This Row],[Qty]])</f>
        <v>29</v>
      </c>
      <c r="T1491" s="146">
        <f>IF(Purchase[[#This Row],[Status]]="Cancelled",0,Purchase[[#This Row],[Total Amount]])</f>
        <v>60945.82</v>
      </c>
      <c r="U1491" s="146">
        <f>SUM(Purchase[Net Amount])</f>
        <v>814985438.68000126</v>
      </c>
    </row>
    <row r="1492" spans="1:21" ht="19.5" thickBot="1" x14ac:dyDescent="0.3">
      <c r="A1492" s="136" t="s">
        <v>2546</v>
      </c>
      <c r="B1492" s="137">
        <v>45730</v>
      </c>
      <c r="C1492" s="138" t="s">
        <v>578</v>
      </c>
      <c r="D1492" s="138" t="str">
        <f>VLOOKUP(Purchase[[#This Row],[Supplier ID]],Supplier[#All],2,0)</f>
        <v>Shree Computers</v>
      </c>
      <c r="E1492" s="138">
        <f>VLOOKUP(Purchase[[#This Row],[Supplier ID]],Supplier[#All],3,0)</f>
        <v>9689542462</v>
      </c>
      <c r="F1492" s="138" t="str">
        <f>VLOOKUP(Purchase[[#This Row],[Supplier ID]],Supplier[#All],4,0)</f>
        <v>Korba</v>
      </c>
      <c r="G1492" s="138" t="str">
        <f>VLOOKUP(Purchase[[#This Row],[Supplier ID]],Supplier[#All],5,0)</f>
        <v>CG</v>
      </c>
      <c r="H1492" s="138" t="str">
        <f>VLOOKUP(Purchase[[#This Row],[Supplier ID]],Supplier[#All],6,0)</f>
        <v>GST2154521T024</v>
      </c>
      <c r="I1492" s="138" t="s">
        <v>277</v>
      </c>
      <c r="J1492" s="139">
        <v>14</v>
      </c>
      <c r="K1492" s="143">
        <f>VLOOKUP(Purchase[[#This Row],[Product ID]],Product[#All],6,0)</f>
        <v>3844</v>
      </c>
      <c r="L1492" s="143">
        <f>Purchase[[#This Row],[Purchase Rate]]*Purchase[[#This Row],[Qty]]</f>
        <v>53816</v>
      </c>
      <c r="M1492" s="140">
        <v>0</v>
      </c>
      <c r="N1492" s="143">
        <v>0</v>
      </c>
      <c r="O1492" s="140">
        <v>0.18</v>
      </c>
      <c r="P1492" s="145">
        <f>(Purchase[[#This Row],[Gross Amount]]-Purchase[[#This Row],[Disct %]])*Purchase[[#This Row],[GST %]]</f>
        <v>9686.8799999999992</v>
      </c>
      <c r="Q1492" s="145">
        <f>Purchase[[#This Row],[Gross Amount]]-Purchase[[#This Row],[Disct Amnt]]+Purchase[[#This Row],[GST Amount]]</f>
        <v>63502.879999999997</v>
      </c>
      <c r="R1492" s="138" t="s">
        <v>1019</v>
      </c>
      <c r="S1492" s="41">
        <f>IF(Purchase[[#This Row],[Status]]="Cancelled",0,Purchase[[#This Row],[Qty]])</f>
        <v>14</v>
      </c>
      <c r="T1492" s="146">
        <f>IF(Purchase[[#This Row],[Status]]="Cancelled",0,Purchase[[#This Row],[Total Amount]])</f>
        <v>63502.879999999997</v>
      </c>
      <c r="U1492" s="146">
        <f>SUM(Purchase[Net Amount])</f>
        <v>814985438.68000126</v>
      </c>
    </row>
    <row r="1493" spans="1:21" ht="19.5" thickBot="1" x14ac:dyDescent="0.3">
      <c r="A1493" s="136" t="s">
        <v>2547</v>
      </c>
      <c r="B1493" s="137">
        <v>45730</v>
      </c>
      <c r="C1493" s="138" t="s">
        <v>605</v>
      </c>
      <c r="D1493" s="138" t="str">
        <f>VLOOKUP(Purchase[[#This Row],[Supplier ID]],Supplier[#All],2,0)</f>
        <v>Star Traders</v>
      </c>
      <c r="E1493" s="138">
        <f>VLOOKUP(Purchase[[#This Row],[Supplier ID]],Supplier[#All],3,0)</f>
        <v>9689542488</v>
      </c>
      <c r="F1493" s="138" t="str">
        <f>VLOOKUP(Purchase[[#This Row],[Supplier ID]],Supplier[#All],4,0)</f>
        <v>Indore</v>
      </c>
      <c r="G1493" s="138" t="str">
        <f>VLOOKUP(Purchase[[#This Row],[Supplier ID]],Supplier[#All],5,0)</f>
        <v>MP</v>
      </c>
      <c r="H1493" s="138" t="str">
        <f>VLOOKUP(Purchase[[#This Row],[Supplier ID]],Supplier[#All],6,0)</f>
        <v>GST2154521T050</v>
      </c>
      <c r="I1493" s="138" t="s">
        <v>171</v>
      </c>
      <c r="J1493" s="139">
        <v>9</v>
      </c>
      <c r="K1493" s="143">
        <f>VLOOKUP(Purchase[[#This Row],[Product ID]],Product[#All],6,0)</f>
        <v>3469</v>
      </c>
      <c r="L1493" s="143">
        <f>Purchase[[#This Row],[Purchase Rate]]*Purchase[[#This Row],[Qty]]</f>
        <v>31221</v>
      </c>
      <c r="M1493" s="140">
        <v>0</v>
      </c>
      <c r="N1493" s="143">
        <v>0</v>
      </c>
      <c r="O1493" s="140">
        <v>0.18</v>
      </c>
      <c r="P1493" s="145">
        <f>(Purchase[[#This Row],[Gross Amount]]-Purchase[[#This Row],[Disct %]])*Purchase[[#This Row],[GST %]]</f>
        <v>5619.78</v>
      </c>
      <c r="Q1493" s="145">
        <f>Purchase[[#This Row],[Gross Amount]]-Purchase[[#This Row],[Disct Amnt]]+Purchase[[#This Row],[GST Amount]]</f>
        <v>36840.78</v>
      </c>
      <c r="R1493" s="138" t="s">
        <v>1019</v>
      </c>
      <c r="S1493" s="41">
        <f>IF(Purchase[[#This Row],[Status]]="Cancelled",0,Purchase[[#This Row],[Qty]])</f>
        <v>9</v>
      </c>
      <c r="T1493" s="146">
        <f>IF(Purchase[[#This Row],[Status]]="Cancelled",0,Purchase[[#This Row],[Total Amount]])</f>
        <v>36840.78</v>
      </c>
      <c r="U1493" s="146">
        <f>SUM(Purchase[Net Amount])</f>
        <v>814985438.68000126</v>
      </c>
    </row>
    <row r="1494" spans="1:21" ht="19.5" thickBot="1" x14ac:dyDescent="0.3">
      <c r="A1494" s="136" t="s">
        <v>2548</v>
      </c>
      <c r="B1494" s="137">
        <v>45731</v>
      </c>
      <c r="C1494" s="138" t="s">
        <v>595</v>
      </c>
      <c r="D1494" s="138" t="str">
        <f>VLOOKUP(Purchase[[#This Row],[Supplier ID]],Supplier[#All],2,0)</f>
        <v>Star Computers</v>
      </c>
      <c r="E1494" s="138">
        <f>VLOOKUP(Purchase[[#This Row],[Supplier ID]],Supplier[#All],3,0)</f>
        <v>9689542478</v>
      </c>
      <c r="F1494" s="138" t="str">
        <f>VLOOKUP(Purchase[[#This Row],[Supplier ID]],Supplier[#All],4,0)</f>
        <v>Kanpur</v>
      </c>
      <c r="G1494" s="138" t="str">
        <f>VLOOKUP(Purchase[[#This Row],[Supplier ID]],Supplier[#All],5,0)</f>
        <v>UP</v>
      </c>
      <c r="H1494" s="138" t="str">
        <f>VLOOKUP(Purchase[[#This Row],[Supplier ID]],Supplier[#All],6,0)</f>
        <v>GST2154521T040</v>
      </c>
      <c r="I1494" s="138" t="s">
        <v>33</v>
      </c>
      <c r="J1494" s="139">
        <v>29</v>
      </c>
      <c r="K1494" s="143">
        <f>VLOOKUP(Purchase[[#This Row],[Product ID]],Product[#All],6,0)</f>
        <v>8458</v>
      </c>
      <c r="L1494" s="143">
        <f>Purchase[[#This Row],[Purchase Rate]]*Purchase[[#This Row],[Qty]]</f>
        <v>245282</v>
      </c>
      <c r="M1494" s="140">
        <v>0</v>
      </c>
      <c r="N1494" s="143">
        <v>0</v>
      </c>
      <c r="O1494" s="140">
        <v>0.18</v>
      </c>
      <c r="P1494" s="145">
        <f>(Purchase[[#This Row],[Gross Amount]]-Purchase[[#This Row],[Disct %]])*Purchase[[#This Row],[GST %]]</f>
        <v>44150.759999999995</v>
      </c>
      <c r="Q1494" s="145">
        <f>Purchase[[#This Row],[Gross Amount]]-Purchase[[#This Row],[Disct Amnt]]+Purchase[[#This Row],[GST Amount]]</f>
        <v>289432.76</v>
      </c>
      <c r="R1494" s="138" t="s">
        <v>1019</v>
      </c>
      <c r="S1494" s="41">
        <f>IF(Purchase[[#This Row],[Status]]="Cancelled",0,Purchase[[#This Row],[Qty]])</f>
        <v>29</v>
      </c>
      <c r="T1494" s="146">
        <f>IF(Purchase[[#This Row],[Status]]="Cancelled",0,Purchase[[#This Row],[Total Amount]])</f>
        <v>289432.76</v>
      </c>
      <c r="U1494" s="146">
        <f>SUM(Purchase[Net Amount])</f>
        <v>814985438.68000126</v>
      </c>
    </row>
    <row r="1495" spans="1:21" ht="19.5" thickBot="1" x14ac:dyDescent="0.3">
      <c r="A1495" s="136" t="s">
        <v>2549</v>
      </c>
      <c r="B1495" s="137">
        <v>45731</v>
      </c>
      <c r="C1495" s="138" t="s">
        <v>566</v>
      </c>
      <c r="D1495" s="138" t="str">
        <f>VLOOKUP(Purchase[[#This Row],[Supplier ID]],Supplier[#All],2,0)</f>
        <v>Maa Computers</v>
      </c>
      <c r="E1495" s="138">
        <f>VLOOKUP(Purchase[[#This Row],[Supplier ID]],Supplier[#All],3,0)</f>
        <v>9689542452</v>
      </c>
      <c r="F1495" s="138" t="str">
        <f>VLOOKUP(Purchase[[#This Row],[Supplier ID]],Supplier[#All],4,0)</f>
        <v>Kanpur</v>
      </c>
      <c r="G1495" s="138" t="str">
        <f>VLOOKUP(Purchase[[#This Row],[Supplier ID]],Supplier[#All],5,0)</f>
        <v>UP</v>
      </c>
      <c r="H1495" s="138" t="str">
        <f>VLOOKUP(Purchase[[#This Row],[Supplier ID]],Supplier[#All],6,0)</f>
        <v>GST2154521T014</v>
      </c>
      <c r="I1495" s="138" t="s">
        <v>311</v>
      </c>
      <c r="J1495" s="139">
        <v>22</v>
      </c>
      <c r="K1495" s="143">
        <f>VLOOKUP(Purchase[[#This Row],[Product ID]],Product[#All],6,0)</f>
        <v>471</v>
      </c>
      <c r="L1495" s="143">
        <f>Purchase[[#This Row],[Purchase Rate]]*Purchase[[#This Row],[Qty]]</f>
        <v>10362</v>
      </c>
      <c r="M1495" s="140">
        <v>0</v>
      </c>
      <c r="N1495" s="143">
        <v>0</v>
      </c>
      <c r="O1495" s="140">
        <v>0.18</v>
      </c>
      <c r="P1495" s="145">
        <f>(Purchase[[#This Row],[Gross Amount]]-Purchase[[#This Row],[Disct %]])*Purchase[[#This Row],[GST %]]</f>
        <v>1865.1599999999999</v>
      </c>
      <c r="Q1495" s="145">
        <f>Purchase[[#This Row],[Gross Amount]]-Purchase[[#This Row],[Disct Amnt]]+Purchase[[#This Row],[GST Amount]]</f>
        <v>12227.16</v>
      </c>
      <c r="R1495" s="138" t="s">
        <v>1019</v>
      </c>
      <c r="S1495" s="41">
        <f>IF(Purchase[[#This Row],[Status]]="Cancelled",0,Purchase[[#This Row],[Qty]])</f>
        <v>22</v>
      </c>
      <c r="T1495" s="146">
        <f>IF(Purchase[[#This Row],[Status]]="Cancelled",0,Purchase[[#This Row],[Total Amount]])</f>
        <v>12227.16</v>
      </c>
      <c r="U1495" s="146">
        <f>SUM(Purchase[Net Amount])</f>
        <v>814985438.68000126</v>
      </c>
    </row>
    <row r="1496" spans="1:21" ht="19.5" thickBot="1" x14ac:dyDescent="0.3">
      <c r="A1496" s="136" t="s">
        <v>2550</v>
      </c>
      <c r="B1496" s="137">
        <v>45731</v>
      </c>
      <c r="C1496" s="138" t="s">
        <v>571</v>
      </c>
      <c r="D1496" s="138" t="str">
        <f>VLOOKUP(Purchase[[#This Row],[Supplier ID]],Supplier[#All],2,0)</f>
        <v>Tech Suppliers</v>
      </c>
      <c r="E1496" s="138">
        <f>VLOOKUP(Purchase[[#This Row],[Supplier ID]],Supplier[#All],3,0)</f>
        <v>9689542457</v>
      </c>
      <c r="F1496" s="138" t="str">
        <f>VLOOKUP(Purchase[[#This Row],[Supplier ID]],Supplier[#All],4,0)</f>
        <v>Korba</v>
      </c>
      <c r="G1496" s="138" t="str">
        <f>VLOOKUP(Purchase[[#This Row],[Supplier ID]],Supplier[#All],5,0)</f>
        <v>CG</v>
      </c>
      <c r="H1496" s="138" t="str">
        <f>VLOOKUP(Purchase[[#This Row],[Supplier ID]],Supplier[#All],6,0)</f>
        <v>GST2154521T019</v>
      </c>
      <c r="I1496" s="138" t="s">
        <v>277</v>
      </c>
      <c r="J1496" s="139">
        <v>7</v>
      </c>
      <c r="K1496" s="143">
        <f>VLOOKUP(Purchase[[#This Row],[Product ID]],Product[#All],6,0)</f>
        <v>3844</v>
      </c>
      <c r="L1496" s="143">
        <f>Purchase[[#This Row],[Purchase Rate]]*Purchase[[#This Row],[Qty]]</f>
        <v>26908</v>
      </c>
      <c r="M1496" s="140">
        <v>0</v>
      </c>
      <c r="N1496" s="143">
        <v>0</v>
      </c>
      <c r="O1496" s="140">
        <v>0.18</v>
      </c>
      <c r="P1496" s="145">
        <f>(Purchase[[#This Row],[Gross Amount]]-Purchase[[#This Row],[Disct %]])*Purchase[[#This Row],[GST %]]</f>
        <v>4843.4399999999996</v>
      </c>
      <c r="Q1496" s="145">
        <f>Purchase[[#This Row],[Gross Amount]]-Purchase[[#This Row],[Disct Amnt]]+Purchase[[#This Row],[GST Amount]]</f>
        <v>31751.439999999999</v>
      </c>
      <c r="R1496" s="138" t="s">
        <v>1019</v>
      </c>
      <c r="S1496" s="41">
        <f>IF(Purchase[[#This Row],[Status]]="Cancelled",0,Purchase[[#This Row],[Qty]])</f>
        <v>7</v>
      </c>
      <c r="T1496" s="146">
        <f>IF(Purchase[[#This Row],[Status]]="Cancelled",0,Purchase[[#This Row],[Total Amount]])</f>
        <v>31751.439999999999</v>
      </c>
      <c r="U1496" s="146">
        <f>SUM(Purchase[Net Amount])</f>
        <v>814985438.68000126</v>
      </c>
    </row>
    <row r="1497" spans="1:21" ht="19.5" thickBot="1" x14ac:dyDescent="0.3">
      <c r="A1497" s="136" t="s">
        <v>2551</v>
      </c>
      <c r="B1497" s="137">
        <v>45731</v>
      </c>
      <c r="C1497" s="138" t="s">
        <v>584</v>
      </c>
      <c r="D1497" s="138" t="str">
        <f>VLOOKUP(Purchase[[#This Row],[Supplier ID]],Supplier[#All],2,0)</f>
        <v>Prime Computers</v>
      </c>
      <c r="E1497" s="138">
        <f>VLOOKUP(Purchase[[#This Row],[Supplier ID]],Supplier[#All],3,0)</f>
        <v>9689542468</v>
      </c>
      <c r="F1497" s="138" t="str">
        <f>VLOOKUP(Purchase[[#This Row],[Supplier ID]],Supplier[#All],4,0)</f>
        <v>Kanpur</v>
      </c>
      <c r="G1497" s="138" t="str">
        <f>VLOOKUP(Purchase[[#This Row],[Supplier ID]],Supplier[#All],5,0)</f>
        <v>UP</v>
      </c>
      <c r="H1497" s="138" t="str">
        <f>VLOOKUP(Purchase[[#This Row],[Supplier ID]],Supplier[#All],6,0)</f>
        <v>GST2154521T030</v>
      </c>
      <c r="I1497" s="138" t="s">
        <v>61</v>
      </c>
      <c r="J1497" s="139">
        <v>29</v>
      </c>
      <c r="K1497" s="143">
        <f>VLOOKUP(Purchase[[#This Row],[Product ID]],Product[#All],6,0)</f>
        <v>2704</v>
      </c>
      <c r="L1497" s="143">
        <f>Purchase[[#This Row],[Purchase Rate]]*Purchase[[#This Row],[Qty]]</f>
        <v>78416</v>
      </c>
      <c r="M1497" s="140">
        <v>0</v>
      </c>
      <c r="N1497" s="143">
        <v>0</v>
      </c>
      <c r="O1497" s="140">
        <v>0.18</v>
      </c>
      <c r="P1497" s="145">
        <f>(Purchase[[#This Row],[Gross Amount]]-Purchase[[#This Row],[Disct %]])*Purchase[[#This Row],[GST %]]</f>
        <v>14114.88</v>
      </c>
      <c r="Q1497" s="145">
        <f>Purchase[[#This Row],[Gross Amount]]-Purchase[[#This Row],[Disct Amnt]]+Purchase[[#This Row],[GST Amount]]</f>
        <v>92530.880000000005</v>
      </c>
      <c r="R1497" s="138" t="s">
        <v>1019</v>
      </c>
      <c r="S1497" s="41">
        <f>IF(Purchase[[#This Row],[Status]]="Cancelled",0,Purchase[[#This Row],[Qty]])</f>
        <v>29</v>
      </c>
      <c r="T1497" s="146">
        <f>IF(Purchase[[#This Row],[Status]]="Cancelled",0,Purchase[[#This Row],[Total Amount]])</f>
        <v>92530.880000000005</v>
      </c>
      <c r="U1497" s="146">
        <f>SUM(Purchase[Net Amount])</f>
        <v>814985438.68000126</v>
      </c>
    </row>
    <row r="1498" spans="1:21" ht="19.5" thickBot="1" x14ac:dyDescent="0.3">
      <c r="A1498" s="136" t="s">
        <v>2552</v>
      </c>
      <c r="B1498" s="137">
        <v>45731</v>
      </c>
      <c r="C1498" s="138" t="s">
        <v>612</v>
      </c>
      <c r="D1498" s="138" t="str">
        <f>VLOOKUP(Purchase[[#This Row],[Supplier ID]],Supplier[#All],2,0)</f>
        <v>National Computers</v>
      </c>
      <c r="E1498" s="138">
        <f>VLOOKUP(Purchase[[#This Row],[Supplier ID]],Supplier[#All],3,0)</f>
        <v>9689542495</v>
      </c>
      <c r="F1498" s="138" t="str">
        <f>VLOOKUP(Purchase[[#This Row],[Supplier ID]],Supplier[#All],4,0)</f>
        <v>Indore</v>
      </c>
      <c r="G1498" s="138" t="str">
        <f>VLOOKUP(Purchase[[#This Row],[Supplier ID]],Supplier[#All],5,0)</f>
        <v>MP</v>
      </c>
      <c r="H1498" s="138" t="str">
        <f>VLOOKUP(Purchase[[#This Row],[Supplier ID]],Supplier[#All],6,0)</f>
        <v>GST2154521T057</v>
      </c>
      <c r="I1498" s="138" t="s">
        <v>213</v>
      </c>
      <c r="J1498" s="139">
        <v>39</v>
      </c>
      <c r="K1498" s="143">
        <f>VLOOKUP(Purchase[[#This Row],[Product ID]],Product[#All],6,0)</f>
        <v>3086</v>
      </c>
      <c r="L1498" s="143">
        <f>Purchase[[#This Row],[Purchase Rate]]*Purchase[[#This Row],[Qty]]</f>
        <v>120354</v>
      </c>
      <c r="M1498" s="140">
        <v>0</v>
      </c>
      <c r="N1498" s="143">
        <v>0</v>
      </c>
      <c r="O1498" s="140">
        <v>0.18</v>
      </c>
      <c r="P1498" s="145">
        <f>(Purchase[[#This Row],[Gross Amount]]-Purchase[[#This Row],[Disct %]])*Purchase[[#This Row],[GST %]]</f>
        <v>21663.719999999998</v>
      </c>
      <c r="Q1498" s="145">
        <f>Purchase[[#This Row],[Gross Amount]]-Purchase[[#This Row],[Disct Amnt]]+Purchase[[#This Row],[GST Amount]]</f>
        <v>142017.72</v>
      </c>
      <c r="R1498" s="138" t="s">
        <v>1019</v>
      </c>
      <c r="S1498" s="41">
        <f>IF(Purchase[[#This Row],[Status]]="Cancelled",0,Purchase[[#This Row],[Qty]])</f>
        <v>39</v>
      </c>
      <c r="T1498" s="146">
        <f>IF(Purchase[[#This Row],[Status]]="Cancelled",0,Purchase[[#This Row],[Total Amount]])</f>
        <v>142017.72</v>
      </c>
      <c r="U1498" s="146">
        <f>SUM(Purchase[Net Amount])</f>
        <v>814985438.68000126</v>
      </c>
    </row>
    <row r="1499" spans="1:21" ht="19.5" thickBot="1" x14ac:dyDescent="0.3">
      <c r="A1499" s="136" t="s">
        <v>2553</v>
      </c>
      <c r="B1499" s="137">
        <v>45731</v>
      </c>
      <c r="C1499" s="138" t="s">
        <v>571</v>
      </c>
      <c r="D1499" s="138" t="str">
        <f>VLOOKUP(Purchase[[#This Row],[Supplier ID]],Supplier[#All],2,0)</f>
        <v>Tech Suppliers</v>
      </c>
      <c r="E1499" s="138">
        <f>VLOOKUP(Purchase[[#This Row],[Supplier ID]],Supplier[#All],3,0)</f>
        <v>9689542457</v>
      </c>
      <c r="F1499" s="138" t="str">
        <f>VLOOKUP(Purchase[[#This Row],[Supplier ID]],Supplier[#All],4,0)</f>
        <v>Korba</v>
      </c>
      <c r="G1499" s="138" t="str">
        <f>VLOOKUP(Purchase[[#This Row],[Supplier ID]],Supplier[#All],5,0)</f>
        <v>CG</v>
      </c>
      <c r="H1499" s="138" t="str">
        <f>VLOOKUP(Purchase[[#This Row],[Supplier ID]],Supplier[#All],6,0)</f>
        <v>GST2154521T019</v>
      </c>
      <c r="I1499" s="138" t="s">
        <v>553</v>
      </c>
      <c r="J1499" s="139">
        <v>11</v>
      </c>
      <c r="K1499" s="143">
        <f>VLOOKUP(Purchase[[#This Row],[Product ID]],Product[#All],6,0)</f>
        <v>3228</v>
      </c>
      <c r="L1499" s="143">
        <f>Purchase[[#This Row],[Purchase Rate]]*Purchase[[#This Row],[Qty]]</f>
        <v>35508</v>
      </c>
      <c r="M1499" s="140">
        <v>0</v>
      </c>
      <c r="N1499" s="143">
        <v>0</v>
      </c>
      <c r="O1499" s="140">
        <v>0.18</v>
      </c>
      <c r="P1499" s="145">
        <f>(Purchase[[#This Row],[Gross Amount]]-Purchase[[#This Row],[Disct %]])*Purchase[[#This Row],[GST %]]</f>
        <v>6391.44</v>
      </c>
      <c r="Q1499" s="145">
        <f>Purchase[[#This Row],[Gross Amount]]-Purchase[[#This Row],[Disct Amnt]]+Purchase[[#This Row],[GST Amount]]</f>
        <v>41899.440000000002</v>
      </c>
      <c r="R1499" s="138" t="s">
        <v>1019</v>
      </c>
      <c r="S1499" s="41">
        <f>IF(Purchase[[#This Row],[Status]]="Cancelled",0,Purchase[[#This Row],[Qty]])</f>
        <v>11</v>
      </c>
      <c r="T1499" s="146">
        <f>IF(Purchase[[#This Row],[Status]]="Cancelled",0,Purchase[[#This Row],[Total Amount]])</f>
        <v>41899.440000000002</v>
      </c>
      <c r="U1499" s="146">
        <f>SUM(Purchase[Net Amount])</f>
        <v>814985438.68000126</v>
      </c>
    </row>
    <row r="1500" spans="1:21" ht="19.5" thickBot="1" x14ac:dyDescent="0.3">
      <c r="A1500" s="136" t="s">
        <v>2554</v>
      </c>
      <c r="B1500" s="137">
        <v>45731</v>
      </c>
      <c r="C1500" s="138" t="s">
        <v>611</v>
      </c>
      <c r="D1500" s="138" t="str">
        <f>VLOOKUP(Purchase[[#This Row],[Supplier ID]],Supplier[#All],2,0)</f>
        <v>National Distributors</v>
      </c>
      <c r="E1500" s="138">
        <f>VLOOKUP(Purchase[[#This Row],[Supplier ID]],Supplier[#All],3,0)</f>
        <v>9689542494</v>
      </c>
      <c r="F1500" s="138" t="str">
        <f>VLOOKUP(Purchase[[#This Row],[Supplier ID]],Supplier[#All],4,0)</f>
        <v>Korba</v>
      </c>
      <c r="G1500" s="138" t="str">
        <f>VLOOKUP(Purchase[[#This Row],[Supplier ID]],Supplier[#All],5,0)</f>
        <v>CG</v>
      </c>
      <c r="H1500" s="138" t="str">
        <f>VLOOKUP(Purchase[[#This Row],[Supplier ID]],Supplier[#All],6,0)</f>
        <v>GST2154521T056</v>
      </c>
      <c r="I1500" s="138" t="s">
        <v>474</v>
      </c>
      <c r="J1500" s="139">
        <v>34</v>
      </c>
      <c r="K1500" s="143">
        <f>VLOOKUP(Purchase[[#This Row],[Product ID]],Product[#All],6,0)</f>
        <v>1027</v>
      </c>
      <c r="L1500" s="143">
        <f>Purchase[[#This Row],[Purchase Rate]]*Purchase[[#This Row],[Qty]]</f>
        <v>34918</v>
      </c>
      <c r="M1500" s="140">
        <v>0</v>
      </c>
      <c r="N1500" s="143">
        <v>0</v>
      </c>
      <c r="O1500" s="140">
        <v>0.18</v>
      </c>
      <c r="P1500" s="145">
        <f>(Purchase[[#This Row],[Gross Amount]]-Purchase[[#This Row],[Disct %]])*Purchase[[#This Row],[GST %]]</f>
        <v>6285.24</v>
      </c>
      <c r="Q1500" s="145">
        <f>Purchase[[#This Row],[Gross Amount]]-Purchase[[#This Row],[Disct Amnt]]+Purchase[[#This Row],[GST Amount]]</f>
        <v>41203.24</v>
      </c>
      <c r="R1500" s="138" t="s">
        <v>1019</v>
      </c>
      <c r="S1500" s="41">
        <f>IF(Purchase[[#This Row],[Status]]="Cancelled",0,Purchase[[#This Row],[Qty]])</f>
        <v>34</v>
      </c>
      <c r="T1500" s="146">
        <f>IF(Purchase[[#This Row],[Status]]="Cancelled",0,Purchase[[#This Row],[Total Amount]])</f>
        <v>41203.24</v>
      </c>
      <c r="U1500" s="146">
        <f>SUM(Purchase[Net Amount])</f>
        <v>814985438.68000126</v>
      </c>
    </row>
    <row r="1501" spans="1:21" ht="19.5" thickBot="1" x14ac:dyDescent="0.3">
      <c r="A1501" s="136" t="s">
        <v>2555</v>
      </c>
      <c r="B1501" s="137">
        <v>45731</v>
      </c>
      <c r="C1501" s="138" t="s">
        <v>583</v>
      </c>
      <c r="D1501" s="138" t="str">
        <f>VLOOKUP(Purchase[[#This Row],[Supplier ID]],Supplier[#All],2,0)</f>
        <v>Shree Distributors</v>
      </c>
      <c r="E1501" s="138">
        <f>VLOOKUP(Purchase[[#This Row],[Supplier ID]],Supplier[#All],3,0)</f>
        <v>9689542467</v>
      </c>
      <c r="F1501" s="138" t="str">
        <f>VLOOKUP(Purchase[[#This Row],[Supplier ID]],Supplier[#All],4,0)</f>
        <v>Indore</v>
      </c>
      <c r="G1501" s="138" t="str">
        <f>VLOOKUP(Purchase[[#This Row],[Supplier ID]],Supplier[#All],5,0)</f>
        <v>MP</v>
      </c>
      <c r="H1501" s="138" t="str">
        <f>VLOOKUP(Purchase[[#This Row],[Supplier ID]],Supplier[#All],6,0)</f>
        <v>GST2154521T029</v>
      </c>
      <c r="I1501" s="138" t="s">
        <v>72</v>
      </c>
      <c r="J1501" s="139">
        <v>17</v>
      </c>
      <c r="K1501" s="143">
        <f>VLOOKUP(Purchase[[#This Row],[Product ID]],Product[#All],6,0)</f>
        <v>1000</v>
      </c>
      <c r="L1501" s="143">
        <f>Purchase[[#This Row],[Purchase Rate]]*Purchase[[#This Row],[Qty]]</f>
        <v>17000</v>
      </c>
      <c r="M1501" s="140">
        <v>0</v>
      </c>
      <c r="N1501" s="143">
        <v>0</v>
      </c>
      <c r="O1501" s="140">
        <v>0.18</v>
      </c>
      <c r="P1501" s="145">
        <f>(Purchase[[#This Row],[Gross Amount]]-Purchase[[#This Row],[Disct %]])*Purchase[[#This Row],[GST %]]</f>
        <v>3060</v>
      </c>
      <c r="Q1501" s="145">
        <f>Purchase[[#This Row],[Gross Amount]]-Purchase[[#This Row],[Disct Amnt]]+Purchase[[#This Row],[GST Amount]]</f>
        <v>20060</v>
      </c>
      <c r="R1501" s="138" t="s">
        <v>1019</v>
      </c>
      <c r="S1501" s="41">
        <f>IF(Purchase[[#This Row],[Status]]="Cancelled",0,Purchase[[#This Row],[Qty]])</f>
        <v>17</v>
      </c>
      <c r="T1501" s="146">
        <f>IF(Purchase[[#This Row],[Status]]="Cancelled",0,Purchase[[#This Row],[Total Amount]])</f>
        <v>20060</v>
      </c>
      <c r="U1501" s="146">
        <f>SUM(Purchase[Net Amount])</f>
        <v>814985438.68000126</v>
      </c>
    </row>
    <row r="1502" spans="1:21" ht="19.5" thickBot="1" x14ac:dyDescent="0.3">
      <c r="A1502" s="136" t="s">
        <v>2556</v>
      </c>
      <c r="B1502" s="137">
        <v>45731</v>
      </c>
      <c r="C1502" s="138" t="s">
        <v>593</v>
      </c>
      <c r="D1502" s="138" t="str">
        <f>VLOOKUP(Purchase[[#This Row],[Supplier ID]],Supplier[#All],2,0)</f>
        <v>Global Suppliers</v>
      </c>
      <c r="E1502" s="138">
        <f>VLOOKUP(Purchase[[#This Row],[Supplier ID]],Supplier[#All],3,0)</f>
        <v>9689542476</v>
      </c>
      <c r="F1502" s="138" t="str">
        <f>VLOOKUP(Purchase[[#This Row],[Supplier ID]],Supplier[#All],4,0)</f>
        <v>Korba</v>
      </c>
      <c r="G1502" s="138" t="str">
        <f>VLOOKUP(Purchase[[#This Row],[Supplier ID]],Supplier[#All],5,0)</f>
        <v>CG</v>
      </c>
      <c r="H1502" s="138" t="str">
        <f>VLOOKUP(Purchase[[#This Row],[Supplier ID]],Supplier[#All],6,0)</f>
        <v>GST2154521T038</v>
      </c>
      <c r="I1502" s="138" t="s">
        <v>89</v>
      </c>
      <c r="J1502" s="139">
        <v>34</v>
      </c>
      <c r="K1502" s="143">
        <f>VLOOKUP(Purchase[[#This Row],[Product ID]],Product[#All],6,0)</f>
        <v>341</v>
      </c>
      <c r="L1502" s="143">
        <f>Purchase[[#This Row],[Purchase Rate]]*Purchase[[#This Row],[Qty]]</f>
        <v>11594</v>
      </c>
      <c r="M1502" s="140">
        <v>0</v>
      </c>
      <c r="N1502" s="143">
        <v>0</v>
      </c>
      <c r="O1502" s="140">
        <v>0.18</v>
      </c>
      <c r="P1502" s="145">
        <f>(Purchase[[#This Row],[Gross Amount]]-Purchase[[#This Row],[Disct %]])*Purchase[[#This Row],[GST %]]</f>
        <v>2086.92</v>
      </c>
      <c r="Q1502" s="145">
        <f>Purchase[[#This Row],[Gross Amount]]-Purchase[[#This Row],[Disct Amnt]]+Purchase[[#This Row],[GST Amount]]</f>
        <v>13680.92</v>
      </c>
      <c r="R1502" s="138" t="s">
        <v>1019</v>
      </c>
      <c r="S1502" s="41">
        <f>IF(Purchase[[#This Row],[Status]]="Cancelled",0,Purchase[[#This Row],[Qty]])</f>
        <v>34</v>
      </c>
      <c r="T1502" s="146">
        <f>IF(Purchase[[#This Row],[Status]]="Cancelled",0,Purchase[[#This Row],[Total Amount]])</f>
        <v>13680.92</v>
      </c>
      <c r="U1502" s="146">
        <f>SUM(Purchase[Net Amount])</f>
        <v>814985438.68000126</v>
      </c>
    </row>
    <row r="1503" spans="1:21" ht="19.5" thickBot="1" x14ac:dyDescent="0.3">
      <c r="A1503" s="136" t="s">
        <v>2557</v>
      </c>
      <c r="B1503" s="137">
        <v>45731</v>
      </c>
      <c r="C1503" s="138" t="s">
        <v>567</v>
      </c>
      <c r="D1503" s="138" t="str">
        <f>VLOOKUP(Purchase[[#This Row],[Supplier ID]],Supplier[#All],2,0)</f>
        <v>National Distributors</v>
      </c>
      <c r="E1503" s="138">
        <f>VLOOKUP(Purchase[[#This Row],[Supplier ID]],Supplier[#All],3,0)</f>
        <v>9689542453</v>
      </c>
      <c r="F1503" s="138" t="str">
        <f>VLOOKUP(Purchase[[#This Row],[Supplier ID]],Supplier[#All],4,0)</f>
        <v>Korba</v>
      </c>
      <c r="G1503" s="138" t="str">
        <f>VLOOKUP(Purchase[[#This Row],[Supplier ID]],Supplier[#All],5,0)</f>
        <v>CG</v>
      </c>
      <c r="H1503" s="138" t="str">
        <f>VLOOKUP(Purchase[[#This Row],[Supplier ID]],Supplier[#All],6,0)</f>
        <v>GST2154521T015</v>
      </c>
      <c r="I1503" s="138" t="s">
        <v>491</v>
      </c>
      <c r="J1503" s="139">
        <v>27</v>
      </c>
      <c r="K1503" s="143">
        <f>VLOOKUP(Purchase[[#This Row],[Product ID]],Product[#All],6,0)</f>
        <v>1938</v>
      </c>
      <c r="L1503" s="143">
        <f>Purchase[[#This Row],[Purchase Rate]]*Purchase[[#This Row],[Qty]]</f>
        <v>52326</v>
      </c>
      <c r="M1503" s="140">
        <v>0</v>
      </c>
      <c r="N1503" s="143">
        <v>0</v>
      </c>
      <c r="O1503" s="140">
        <v>0.18</v>
      </c>
      <c r="P1503" s="145">
        <f>(Purchase[[#This Row],[Gross Amount]]-Purchase[[#This Row],[Disct %]])*Purchase[[#This Row],[GST %]]</f>
        <v>9418.68</v>
      </c>
      <c r="Q1503" s="145">
        <f>Purchase[[#This Row],[Gross Amount]]-Purchase[[#This Row],[Disct Amnt]]+Purchase[[#This Row],[GST Amount]]</f>
        <v>61744.68</v>
      </c>
      <c r="R1503" s="138" t="s">
        <v>1019</v>
      </c>
      <c r="S1503" s="41">
        <f>IF(Purchase[[#This Row],[Status]]="Cancelled",0,Purchase[[#This Row],[Qty]])</f>
        <v>27</v>
      </c>
      <c r="T1503" s="146">
        <f>IF(Purchase[[#This Row],[Status]]="Cancelled",0,Purchase[[#This Row],[Total Amount]])</f>
        <v>61744.68</v>
      </c>
      <c r="U1503" s="146">
        <f>SUM(Purchase[Net Amount])</f>
        <v>814985438.68000126</v>
      </c>
    </row>
    <row r="1504" spans="1:21" ht="19.5" thickBot="1" x14ac:dyDescent="0.3">
      <c r="A1504" s="136" t="s">
        <v>2558</v>
      </c>
      <c r="B1504" s="137">
        <v>45731</v>
      </c>
      <c r="C1504" s="138" t="s">
        <v>607</v>
      </c>
      <c r="D1504" s="138" t="str">
        <f>VLOOKUP(Purchase[[#This Row],[Supplier ID]],Supplier[#All],2,0)</f>
        <v>Global Distributors</v>
      </c>
      <c r="E1504" s="138">
        <f>VLOOKUP(Purchase[[#This Row],[Supplier ID]],Supplier[#All],3,0)</f>
        <v>9689542490</v>
      </c>
      <c r="F1504" s="138" t="str">
        <f>VLOOKUP(Purchase[[#This Row],[Supplier ID]],Supplier[#All],4,0)</f>
        <v>Kanpur</v>
      </c>
      <c r="G1504" s="138" t="str">
        <f>VLOOKUP(Purchase[[#This Row],[Supplier ID]],Supplier[#All],5,0)</f>
        <v>UP</v>
      </c>
      <c r="H1504" s="138" t="str">
        <f>VLOOKUP(Purchase[[#This Row],[Supplier ID]],Supplier[#All],6,0)</f>
        <v>GST2154521T052</v>
      </c>
      <c r="I1504" s="138" t="s">
        <v>391</v>
      </c>
      <c r="J1504" s="139">
        <v>6</v>
      </c>
      <c r="K1504" s="143">
        <f>VLOOKUP(Purchase[[#This Row],[Product ID]],Product[#All],6,0)</f>
        <v>8047</v>
      </c>
      <c r="L1504" s="143">
        <f>Purchase[[#This Row],[Purchase Rate]]*Purchase[[#This Row],[Qty]]</f>
        <v>48282</v>
      </c>
      <c r="M1504" s="140">
        <v>0</v>
      </c>
      <c r="N1504" s="143">
        <v>0</v>
      </c>
      <c r="O1504" s="140">
        <v>0.18</v>
      </c>
      <c r="P1504" s="145">
        <f>(Purchase[[#This Row],[Gross Amount]]-Purchase[[#This Row],[Disct %]])*Purchase[[#This Row],[GST %]]</f>
        <v>8690.76</v>
      </c>
      <c r="Q1504" s="145">
        <f>Purchase[[#This Row],[Gross Amount]]-Purchase[[#This Row],[Disct Amnt]]+Purchase[[#This Row],[GST Amount]]</f>
        <v>56972.76</v>
      </c>
      <c r="R1504" s="138" t="s">
        <v>1019</v>
      </c>
      <c r="S1504" s="41">
        <f>IF(Purchase[[#This Row],[Status]]="Cancelled",0,Purchase[[#This Row],[Qty]])</f>
        <v>6</v>
      </c>
      <c r="T1504" s="146">
        <f>IF(Purchase[[#This Row],[Status]]="Cancelled",0,Purchase[[#This Row],[Total Amount]])</f>
        <v>56972.76</v>
      </c>
      <c r="U1504" s="146">
        <f>SUM(Purchase[Net Amount])</f>
        <v>814985438.68000126</v>
      </c>
    </row>
    <row r="1505" spans="1:21" ht="19.5" thickBot="1" x14ac:dyDescent="0.3">
      <c r="A1505" s="136" t="s">
        <v>2559</v>
      </c>
      <c r="B1505" s="137">
        <v>45731</v>
      </c>
      <c r="C1505" s="138" t="s">
        <v>597</v>
      </c>
      <c r="D1505" s="138" t="str">
        <f>VLOOKUP(Purchase[[#This Row],[Supplier ID]],Supplier[#All],2,0)</f>
        <v>Tech Traders</v>
      </c>
      <c r="E1505" s="138">
        <f>VLOOKUP(Purchase[[#This Row],[Supplier ID]],Supplier[#All],3,0)</f>
        <v>9689542480</v>
      </c>
      <c r="F1505" s="138" t="str">
        <f>VLOOKUP(Purchase[[#This Row],[Supplier ID]],Supplier[#All],4,0)</f>
        <v>Kanpur</v>
      </c>
      <c r="G1505" s="138" t="str">
        <f>VLOOKUP(Purchase[[#This Row],[Supplier ID]],Supplier[#All],5,0)</f>
        <v>UP</v>
      </c>
      <c r="H1505" s="138" t="str">
        <f>VLOOKUP(Purchase[[#This Row],[Supplier ID]],Supplier[#All],6,0)</f>
        <v>GST2154521T042</v>
      </c>
      <c r="I1505" s="138" t="s">
        <v>114</v>
      </c>
      <c r="J1505" s="139">
        <v>17</v>
      </c>
      <c r="K1505" s="143">
        <f>VLOOKUP(Purchase[[#This Row],[Product ID]],Product[#All],6,0)</f>
        <v>13292</v>
      </c>
      <c r="L1505" s="143">
        <f>Purchase[[#This Row],[Purchase Rate]]*Purchase[[#This Row],[Qty]]</f>
        <v>225964</v>
      </c>
      <c r="M1505" s="140">
        <v>0</v>
      </c>
      <c r="N1505" s="143">
        <v>0</v>
      </c>
      <c r="O1505" s="140">
        <v>0.18</v>
      </c>
      <c r="P1505" s="145">
        <f>(Purchase[[#This Row],[Gross Amount]]-Purchase[[#This Row],[Disct %]])*Purchase[[#This Row],[GST %]]</f>
        <v>40673.519999999997</v>
      </c>
      <c r="Q1505" s="145">
        <f>Purchase[[#This Row],[Gross Amount]]-Purchase[[#This Row],[Disct Amnt]]+Purchase[[#This Row],[GST Amount]]</f>
        <v>266637.52</v>
      </c>
      <c r="R1505" s="138" t="s">
        <v>1019</v>
      </c>
      <c r="S1505" s="41">
        <f>IF(Purchase[[#This Row],[Status]]="Cancelled",0,Purchase[[#This Row],[Qty]])</f>
        <v>17</v>
      </c>
      <c r="T1505" s="146">
        <f>IF(Purchase[[#This Row],[Status]]="Cancelled",0,Purchase[[#This Row],[Total Amount]])</f>
        <v>266637.52</v>
      </c>
      <c r="U1505" s="146">
        <f>SUM(Purchase[Net Amount])</f>
        <v>814985438.68000126</v>
      </c>
    </row>
    <row r="1506" spans="1:21" ht="19.5" thickBot="1" x14ac:dyDescent="0.3">
      <c r="A1506" s="136" t="s">
        <v>2560</v>
      </c>
      <c r="B1506" s="137">
        <v>45731</v>
      </c>
      <c r="C1506" s="138" t="s">
        <v>591</v>
      </c>
      <c r="D1506" s="138" t="str">
        <f>VLOOKUP(Purchase[[#This Row],[Supplier ID]],Supplier[#All],2,0)</f>
        <v>Shree Computers</v>
      </c>
      <c r="E1506" s="138">
        <f>VLOOKUP(Purchase[[#This Row],[Supplier ID]],Supplier[#All],3,0)</f>
        <v>9689542475</v>
      </c>
      <c r="F1506" s="138" t="str">
        <f>VLOOKUP(Purchase[[#This Row],[Supplier ID]],Supplier[#All],4,0)</f>
        <v>Indore</v>
      </c>
      <c r="G1506" s="138" t="str">
        <f>VLOOKUP(Purchase[[#This Row],[Supplier ID]],Supplier[#All],5,0)</f>
        <v>MP</v>
      </c>
      <c r="H1506" s="138" t="str">
        <f>VLOOKUP(Purchase[[#This Row],[Supplier ID]],Supplier[#All],6,0)</f>
        <v>GST2154521T037</v>
      </c>
      <c r="I1506" s="138" t="s">
        <v>432</v>
      </c>
      <c r="J1506" s="139">
        <v>18</v>
      </c>
      <c r="K1506" s="143">
        <f>VLOOKUP(Purchase[[#This Row],[Product ID]],Product[#All],6,0)</f>
        <v>628</v>
      </c>
      <c r="L1506" s="143">
        <f>Purchase[[#This Row],[Purchase Rate]]*Purchase[[#This Row],[Qty]]</f>
        <v>11304</v>
      </c>
      <c r="M1506" s="140">
        <v>0</v>
      </c>
      <c r="N1506" s="143">
        <v>0</v>
      </c>
      <c r="O1506" s="140">
        <v>0.18</v>
      </c>
      <c r="P1506" s="145">
        <f>(Purchase[[#This Row],[Gross Amount]]-Purchase[[#This Row],[Disct %]])*Purchase[[#This Row],[GST %]]</f>
        <v>2034.72</v>
      </c>
      <c r="Q1506" s="145">
        <f>Purchase[[#This Row],[Gross Amount]]-Purchase[[#This Row],[Disct Amnt]]+Purchase[[#This Row],[GST Amount]]</f>
        <v>13338.72</v>
      </c>
      <c r="R1506" s="138" t="s">
        <v>1019</v>
      </c>
      <c r="S1506" s="41">
        <f>IF(Purchase[[#This Row],[Status]]="Cancelled",0,Purchase[[#This Row],[Qty]])</f>
        <v>18</v>
      </c>
      <c r="T1506" s="146">
        <f>IF(Purchase[[#This Row],[Status]]="Cancelled",0,Purchase[[#This Row],[Total Amount]])</f>
        <v>13338.72</v>
      </c>
      <c r="U1506" s="146">
        <f>SUM(Purchase[Net Amount])</f>
        <v>814985438.68000126</v>
      </c>
    </row>
    <row r="1507" spans="1:21" ht="19.5" thickBot="1" x14ac:dyDescent="0.3">
      <c r="A1507" s="136" t="s">
        <v>2561</v>
      </c>
      <c r="B1507" s="137">
        <v>45731</v>
      </c>
      <c r="C1507" s="138" t="s">
        <v>613</v>
      </c>
      <c r="D1507" s="138" t="str">
        <f>VLOOKUP(Purchase[[#This Row],[Supplier ID]],Supplier[#All],2,0)</f>
        <v>National Traders</v>
      </c>
      <c r="E1507" s="138">
        <f>VLOOKUP(Purchase[[#This Row],[Supplier ID]],Supplier[#All],3,0)</f>
        <v>9689542496</v>
      </c>
      <c r="F1507" s="138" t="str">
        <f>VLOOKUP(Purchase[[#This Row],[Supplier ID]],Supplier[#All],4,0)</f>
        <v>Indore</v>
      </c>
      <c r="G1507" s="138" t="str">
        <f>VLOOKUP(Purchase[[#This Row],[Supplier ID]],Supplier[#All],5,0)</f>
        <v>MP</v>
      </c>
      <c r="H1507" s="138" t="str">
        <f>VLOOKUP(Purchase[[#This Row],[Supplier ID]],Supplier[#All],6,0)</f>
        <v>GST2154521T058</v>
      </c>
      <c r="I1507" s="138" t="s">
        <v>191</v>
      </c>
      <c r="J1507" s="139">
        <v>23</v>
      </c>
      <c r="K1507" s="143">
        <f>VLOOKUP(Purchase[[#This Row],[Product ID]],Product[#All],6,0)</f>
        <v>1533</v>
      </c>
      <c r="L1507" s="143">
        <f>Purchase[[#This Row],[Purchase Rate]]*Purchase[[#This Row],[Qty]]</f>
        <v>35259</v>
      </c>
      <c r="M1507" s="140">
        <v>0</v>
      </c>
      <c r="N1507" s="143">
        <v>0</v>
      </c>
      <c r="O1507" s="140">
        <v>0.18</v>
      </c>
      <c r="P1507" s="145">
        <f>(Purchase[[#This Row],[Gross Amount]]-Purchase[[#This Row],[Disct %]])*Purchase[[#This Row],[GST %]]</f>
        <v>6346.62</v>
      </c>
      <c r="Q1507" s="145">
        <f>Purchase[[#This Row],[Gross Amount]]-Purchase[[#This Row],[Disct Amnt]]+Purchase[[#This Row],[GST Amount]]</f>
        <v>41605.620000000003</v>
      </c>
      <c r="R1507" s="138" t="s">
        <v>1019</v>
      </c>
      <c r="S1507" s="41">
        <f>IF(Purchase[[#This Row],[Status]]="Cancelled",0,Purchase[[#This Row],[Qty]])</f>
        <v>23</v>
      </c>
      <c r="T1507" s="146">
        <f>IF(Purchase[[#This Row],[Status]]="Cancelled",0,Purchase[[#This Row],[Total Amount]])</f>
        <v>41605.620000000003</v>
      </c>
      <c r="U1507" s="146">
        <f>SUM(Purchase[Net Amount])</f>
        <v>814985438.68000126</v>
      </c>
    </row>
    <row r="1508" spans="1:21" ht="19.5" thickBot="1" x14ac:dyDescent="0.3">
      <c r="A1508" s="136" t="s">
        <v>2562</v>
      </c>
      <c r="B1508" s="137">
        <v>45731</v>
      </c>
      <c r="C1508" s="138" t="s">
        <v>580</v>
      </c>
      <c r="D1508" s="138" t="str">
        <f>VLOOKUP(Purchase[[#This Row],[Supplier ID]],Supplier[#All],2,0)</f>
        <v>Star Distributors</v>
      </c>
      <c r="E1508" s="138">
        <f>VLOOKUP(Purchase[[#This Row],[Supplier ID]],Supplier[#All],3,0)</f>
        <v>9689542464</v>
      </c>
      <c r="F1508" s="138" t="str">
        <f>VLOOKUP(Purchase[[#This Row],[Supplier ID]],Supplier[#All],4,0)</f>
        <v>Indore</v>
      </c>
      <c r="G1508" s="138" t="str">
        <f>VLOOKUP(Purchase[[#This Row],[Supplier ID]],Supplier[#All],5,0)</f>
        <v>MP</v>
      </c>
      <c r="H1508" s="138" t="str">
        <f>VLOOKUP(Purchase[[#This Row],[Supplier ID]],Supplier[#All],6,0)</f>
        <v>GST2154521T026</v>
      </c>
      <c r="I1508" s="138" t="s">
        <v>381</v>
      </c>
      <c r="J1508" s="139">
        <v>25</v>
      </c>
      <c r="K1508" s="143">
        <f>VLOOKUP(Purchase[[#This Row],[Product ID]],Product[#All],6,0)</f>
        <v>829</v>
      </c>
      <c r="L1508" s="143">
        <f>Purchase[[#This Row],[Purchase Rate]]*Purchase[[#This Row],[Qty]]</f>
        <v>20725</v>
      </c>
      <c r="M1508" s="140">
        <v>0</v>
      </c>
      <c r="N1508" s="143">
        <v>0</v>
      </c>
      <c r="O1508" s="140">
        <v>0.18</v>
      </c>
      <c r="P1508" s="145">
        <f>(Purchase[[#This Row],[Gross Amount]]-Purchase[[#This Row],[Disct %]])*Purchase[[#This Row],[GST %]]</f>
        <v>3730.5</v>
      </c>
      <c r="Q1508" s="145">
        <f>Purchase[[#This Row],[Gross Amount]]-Purchase[[#This Row],[Disct Amnt]]+Purchase[[#This Row],[GST Amount]]</f>
        <v>24455.5</v>
      </c>
      <c r="R1508" s="138" t="s">
        <v>1019</v>
      </c>
      <c r="S1508" s="41">
        <f>IF(Purchase[[#This Row],[Status]]="Cancelled",0,Purchase[[#This Row],[Qty]])</f>
        <v>25</v>
      </c>
      <c r="T1508" s="146">
        <f>IF(Purchase[[#This Row],[Status]]="Cancelled",0,Purchase[[#This Row],[Total Amount]])</f>
        <v>24455.5</v>
      </c>
      <c r="U1508" s="146">
        <f>SUM(Purchase[Net Amount])</f>
        <v>814985438.68000126</v>
      </c>
    </row>
    <row r="1509" spans="1:21" ht="19.5" thickBot="1" x14ac:dyDescent="0.3">
      <c r="A1509" s="136" t="s">
        <v>2563</v>
      </c>
      <c r="B1509" s="137">
        <v>45731</v>
      </c>
      <c r="C1509" s="138" t="s">
        <v>577</v>
      </c>
      <c r="D1509" s="138" t="str">
        <f>VLOOKUP(Purchase[[#This Row],[Supplier ID]],Supplier[#All],2,0)</f>
        <v>National Electronics</v>
      </c>
      <c r="E1509" s="138">
        <f>VLOOKUP(Purchase[[#This Row],[Supplier ID]],Supplier[#All],3,0)</f>
        <v>9689542469</v>
      </c>
      <c r="F1509" s="138" t="str">
        <f>VLOOKUP(Purchase[[#This Row],[Supplier ID]],Supplier[#All],4,0)</f>
        <v>Korba</v>
      </c>
      <c r="G1509" s="138" t="str">
        <f>VLOOKUP(Purchase[[#This Row],[Supplier ID]],Supplier[#All],5,0)</f>
        <v>CG</v>
      </c>
      <c r="H1509" s="138" t="str">
        <f>VLOOKUP(Purchase[[#This Row],[Supplier ID]],Supplier[#All],6,0)</f>
        <v>GST2154521T023</v>
      </c>
      <c r="I1509" s="138" t="s">
        <v>481</v>
      </c>
      <c r="J1509" s="139">
        <v>23</v>
      </c>
      <c r="K1509" s="143">
        <f>VLOOKUP(Purchase[[#This Row],[Product ID]],Product[#All],6,0)</f>
        <v>29803</v>
      </c>
      <c r="L1509" s="143">
        <f>Purchase[[#This Row],[Purchase Rate]]*Purchase[[#This Row],[Qty]]</f>
        <v>685469</v>
      </c>
      <c r="M1509" s="140">
        <v>0</v>
      </c>
      <c r="N1509" s="143">
        <v>0</v>
      </c>
      <c r="O1509" s="140">
        <v>0.18</v>
      </c>
      <c r="P1509" s="145">
        <f>(Purchase[[#This Row],[Gross Amount]]-Purchase[[#This Row],[Disct %]])*Purchase[[#This Row],[GST %]]</f>
        <v>123384.42</v>
      </c>
      <c r="Q1509" s="145">
        <f>Purchase[[#This Row],[Gross Amount]]-Purchase[[#This Row],[Disct Amnt]]+Purchase[[#This Row],[GST Amount]]</f>
        <v>808853.42</v>
      </c>
      <c r="R1509" s="138" t="s">
        <v>1019</v>
      </c>
      <c r="S1509" s="41">
        <f>IF(Purchase[[#This Row],[Status]]="Cancelled",0,Purchase[[#This Row],[Qty]])</f>
        <v>23</v>
      </c>
      <c r="T1509" s="146">
        <f>IF(Purchase[[#This Row],[Status]]="Cancelled",0,Purchase[[#This Row],[Total Amount]])</f>
        <v>808853.42</v>
      </c>
      <c r="U1509" s="146">
        <f>SUM(Purchase[Net Amount])</f>
        <v>814985438.68000126</v>
      </c>
    </row>
    <row r="1510" spans="1:21" ht="19.5" thickBot="1" x14ac:dyDescent="0.3">
      <c r="A1510" s="136" t="s">
        <v>2564</v>
      </c>
      <c r="B1510" s="137">
        <v>45731</v>
      </c>
      <c r="C1510" s="138" t="s">
        <v>593</v>
      </c>
      <c r="D1510" s="138" t="str">
        <f>VLOOKUP(Purchase[[#This Row],[Supplier ID]],Supplier[#All],2,0)</f>
        <v>Global Suppliers</v>
      </c>
      <c r="E1510" s="138">
        <f>VLOOKUP(Purchase[[#This Row],[Supplier ID]],Supplier[#All],3,0)</f>
        <v>9689542476</v>
      </c>
      <c r="F1510" s="138" t="str">
        <f>VLOOKUP(Purchase[[#This Row],[Supplier ID]],Supplier[#All],4,0)</f>
        <v>Korba</v>
      </c>
      <c r="G1510" s="138" t="str">
        <f>VLOOKUP(Purchase[[#This Row],[Supplier ID]],Supplier[#All],5,0)</f>
        <v>CG</v>
      </c>
      <c r="H1510" s="138" t="str">
        <f>VLOOKUP(Purchase[[#This Row],[Supplier ID]],Supplier[#All],6,0)</f>
        <v>GST2154521T038</v>
      </c>
      <c r="I1510" s="138" t="s">
        <v>92</v>
      </c>
      <c r="J1510" s="139">
        <v>37</v>
      </c>
      <c r="K1510" s="143">
        <f>VLOOKUP(Purchase[[#This Row],[Product ID]],Product[#All],6,0)</f>
        <v>5110</v>
      </c>
      <c r="L1510" s="143">
        <f>Purchase[[#This Row],[Purchase Rate]]*Purchase[[#This Row],[Qty]]</f>
        <v>189070</v>
      </c>
      <c r="M1510" s="140">
        <v>0</v>
      </c>
      <c r="N1510" s="143">
        <v>0</v>
      </c>
      <c r="O1510" s="140">
        <v>0.18</v>
      </c>
      <c r="P1510" s="145">
        <f>(Purchase[[#This Row],[Gross Amount]]-Purchase[[#This Row],[Disct %]])*Purchase[[#This Row],[GST %]]</f>
        <v>34032.6</v>
      </c>
      <c r="Q1510" s="145">
        <f>Purchase[[#This Row],[Gross Amount]]-Purchase[[#This Row],[Disct Amnt]]+Purchase[[#This Row],[GST Amount]]</f>
        <v>223102.6</v>
      </c>
      <c r="R1510" s="138" t="s">
        <v>1019</v>
      </c>
      <c r="S1510" s="41">
        <f>IF(Purchase[[#This Row],[Status]]="Cancelled",0,Purchase[[#This Row],[Qty]])</f>
        <v>37</v>
      </c>
      <c r="T1510" s="146">
        <f>IF(Purchase[[#This Row],[Status]]="Cancelled",0,Purchase[[#This Row],[Total Amount]])</f>
        <v>223102.6</v>
      </c>
      <c r="U1510" s="146">
        <f>SUM(Purchase[Net Amount])</f>
        <v>814985438.68000126</v>
      </c>
    </row>
    <row r="1511" spans="1:21" ht="19.5" thickBot="1" x14ac:dyDescent="0.3">
      <c r="A1511" s="136" t="s">
        <v>2565</v>
      </c>
      <c r="B1511" s="137">
        <v>45731</v>
      </c>
      <c r="C1511" s="138" t="s">
        <v>576</v>
      </c>
      <c r="D1511" s="138" t="str">
        <f>VLOOKUP(Purchase[[#This Row],[Supplier ID]],Supplier[#All],2,0)</f>
        <v>Maa Distributors</v>
      </c>
      <c r="E1511" s="138">
        <f>VLOOKUP(Purchase[[#This Row],[Supplier ID]],Supplier[#All],3,0)</f>
        <v>9689542460</v>
      </c>
      <c r="F1511" s="138" t="str">
        <f>VLOOKUP(Purchase[[#This Row],[Supplier ID]],Supplier[#All],4,0)</f>
        <v>Korba</v>
      </c>
      <c r="G1511" s="138" t="str">
        <f>VLOOKUP(Purchase[[#This Row],[Supplier ID]],Supplier[#All],5,0)</f>
        <v>CG</v>
      </c>
      <c r="H1511" s="138" t="str">
        <f>VLOOKUP(Purchase[[#This Row],[Supplier ID]],Supplier[#All],6,0)</f>
        <v>GST2154521T022</v>
      </c>
      <c r="I1511" s="138" t="s">
        <v>368</v>
      </c>
      <c r="J1511" s="139">
        <v>14</v>
      </c>
      <c r="K1511" s="143">
        <f>VLOOKUP(Purchase[[#This Row],[Product ID]],Product[#All],6,0)</f>
        <v>1031</v>
      </c>
      <c r="L1511" s="143">
        <f>Purchase[[#This Row],[Purchase Rate]]*Purchase[[#This Row],[Qty]]</f>
        <v>14434</v>
      </c>
      <c r="M1511" s="140">
        <v>0</v>
      </c>
      <c r="N1511" s="143">
        <v>0</v>
      </c>
      <c r="O1511" s="140">
        <v>0.18</v>
      </c>
      <c r="P1511" s="145">
        <f>(Purchase[[#This Row],[Gross Amount]]-Purchase[[#This Row],[Disct %]])*Purchase[[#This Row],[GST %]]</f>
        <v>2598.12</v>
      </c>
      <c r="Q1511" s="145">
        <f>Purchase[[#This Row],[Gross Amount]]-Purchase[[#This Row],[Disct Amnt]]+Purchase[[#This Row],[GST Amount]]</f>
        <v>17032.12</v>
      </c>
      <c r="R1511" s="138" t="s">
        <v>1019</v>
      </c>
      <c r="S1511" s="41">
        <f>IF(Purchase[[#This Row],[Status]]="Cancelled",0,Purchase[[#This Row],[Qty]])</f>
        <v>14</v>
      </c>
      <c r="T1511" s="146">
        <f>IF(Purchase[[#This Row],[Status]]="Cancelled",0,Purchase[[#This Row],[Total Amount]])</f>
        <v>17032.12</v>
      </c>
      <c r="U1511" s="146">
        <f>SUM(Purchase[Net Amount])</f>
        <v>814985438.68000126</v>
      </c>
    </row>
    <row r="1512" spans="1:21" ht="19.5" thickBot="1" x14ac:dyDescent="0.3">
      <c r="A1512" s="136" t="s">
        <v>2566</v>
      </c>
      <c r="B1512" s="137">
        <v>45731</v>
      </c>
      <c r="C1512" s="138" t="s">
        <v>581</v>
      </c>
      <c r="D1512" s="138" t="str">
        <f>VLOOKUP(Purchase[[#This Row],[Supplier ID]],Supplier[#All],2,0)</f>
        <v>Prime Electronics</v>
      </c>
      <c r="E1512" s="138">
        <f>VLOOKUP(Purchase[[#This Row],[Supplier ID]],Supplier[#All],3,0)</f>
        <v>9689542465</v>
      </c>
      <c r="F1512" s="138" t="str">
        <f>VLOOKUP(Purchase[[#This Row],[Supplier ID]],Supplier[#All],4,0)</f>
        <v>Korba</v>
      </c>
      <c r="G1512" s="138" t="str">
        <f>VLOOKUP(Purchase[[#This Row],[Supplier ID]],Supplier[#All],5,0)</f>
        <v>CG</v>
      </c>
      <c r="H1512" s="138" t="str">
        <f>VLOOKUP(Purchase[[#This Row],[Supplier ID]],Supplier[#All],6,0)</f>
        <v>GST2154521T027</v>
      </c>
      <c r="I1512" s="138" t="s">
        <v>416</v>
      </c>
      <c r="J1512" s="139">
        <v>4</v>
      </c>
      <c r="K1512" s="143">
        <f>VLOOKUP(Purchase[[#This Row],[Product ID]],Product[#All],6,0)</f>
        <v>726</v>
      </c>
      <c r="L1512" s="143">
        <f>Purchase[[#This Row],[Purchase Rate]]*Purchase[[#This Row],[Qty]]</f>
        <v>2904</v>
      </c>
      <c r="M1512" s="140">
        <v>0</v>
      </c>
      <c r="N1512" s="143">
        <v>0</v>
      </c>
      <c r="O1512" s="140">
        <v>0.18</v>
      </c>
      <c r="P1512" s="145">
        <f>(Purchase[[#This Row],[Gross Amount]]-Purchase[[#This Row],[Disct %]])*Purchase[[#This Row],[GST %]]</f>
        <v>522.72</v>
      </c>
      <c r="Q1512" s="145">
        <f>Purchase[[#This Row],[Gross Amount]]-Purchase[[#This Row],[Disct Amnt]]+Purchase[[#This Row],[GST Amount]]</f>
        <v>3426.7200000000003</v>
      </c>
      <c r="R1512" s="138" t="s">
        <v>1019</v>
      </c>
      <c r="S1512" s="41">
        <f>IF(Purchase[[#This Row],[Status]]="Cancelled",0,Purchase[[#This Row],[Qty]])</f>
        <v>4</v>
      </c>
      <c r="T1512" s="146">
        <f>IF(Purchase[[#This Row],[Status]]="Cancelled",0,Purchase[[#This Row],[Total Amount]])</f>
        <v>3426.7200000000003</v>
      </c>
      <c r="U1512" s="146">
        <f>SUM(Purchase[Net Amount])</f>
        <v>814985438.68000126</v>
      </c>
    </row>
    <row r="1513" spans="1:21" ht="19.5" thickBot="1" x14ac:dyDescent="0.3">
      <c r="A1513" s="136" t="s">
        <v>2567</v>
      </c>
      <c r="B1513" s="137">
        <v>45731</v>
      </c>
      <c r="C1513" s="138" t="s">
        <v>596</v>
      </c>
      <c r="D1513" s="138" t="str">
        <f>VLOOKUP(Purchase[[#This Row],[Supplier ID]],Supplier[#All],2,0)</f>
        <v>star traders</v>
      </c>
      <c r="E1513" s="138">
        <f>VLOOKUP(Purchase[[#This Row],[Supplier ID]],Supplier[#All],3,0)</f>
        <v>9689542479</v>
      </c>
      <c r="F1513" s="138" t="str">
        <f>VLOOKUP(Purchase[[#This Row],[Supplier ID]],Supplier[#All],4,0)</f>
        <v>Korba</v>
      </c>
      <c r="G1513" s="138" t="str">
        <f>VLOOKUP(Purchase[[#This Row],[Supplier ID]],Supplier[#All],5,0)</f>
        <v>CG</v>
      </c>
      <c r="H1513" s="138" t="str">
        <f>VLOOKUP(Purchase[[#This Row],[Supplier ID]],Supplier[#All],6,0)</f>
        <v>GST2154521T041</v>
      </c>
      <c r="I1513" s="138" t="s">
        <v>172</v>
      </c>
      <c r="J1513" s="139">
        <v>3</v>
      </c>
      <c r="K1513" s="143">
        <f>VLOOKUP(Purchase[[#This Row],[Product ID]],Product[#All],6,0)</f>
        <v>6047</v>
      </c>
      <c r="L1513" s="143">
        <f>Purchase[[#This Row],[Purchase Rate]]*Purchase[[#This Row],[Qty]]</f>
        <v>18141</v>
      </c>
      <c r="M1513" s="140">
        <v>0</v>
      </c>
      <c r="N1513" s="143">
        <v>0</v>
      </c>
      <c r="O1513" s="140">
        <v>0.18</v>
      </c>
      <c r="P1513" s="145">
        <f>(Purchase[[#This Row],[Gross Amount]]-Purchase[[#This Row],[Disct %]])*Purchase[[#This Row],[GST %]]</f>
        <v>3265.3799999999997</v>
      </c>
      <c r="Q1513" s="145">
        <f>Purchase[[#This Row],[Gross Amount]]-Purchase[[#This Row],[Disct Amnt]]+Purchase[[#This Row],[GST Amount]]</f>
        <v>21406.38</v>
      </c>
      <c r="R1513" s="138" t="s">
        <v>1019</v>
      </c>
      <c r="S1513" s="41">
        <f>IF(Purchase[[#This Row],[Status]]="Cancelled",0,Purchase[[#This Row],[Qty]])</f>
        <v>3</v>
      </c>
      <c r="T1513" s="146">
        <f>IF(Purchase[[#This Row],[Status]]="Cancelled",0,Purchase[[#This Row],[Total Amount]])</f>
        <v>21406.38</v>
      </c>
      <c r="U1513" s="146">
        <f>SUM(Purchase[Net Amount])</f>
        <v>814985438.68000126</v>
      </c>
    </row>
    <row r="1514" spans="1:21" ht="19.5" thickBot="1" x14ac:dyDescent="0.3">
      <c r="A1514" s="136" t="s">
        <v>2568</v>
      </c>
      <c r="B1514" s="137">
        <v>45731</v>
      </c>
      <c r="C1514" s="138" t="s">
        <v>612</v>
      </c>
      <c r="D1514" s="138" t="str">
        <f>VLOOKUP(Purchase[[#This Row],[Supplier ID]],Supplier[#All],2,0)</f>
        <v>National Computers</v>
      </c>
      <c r="E1514" s="138">
        <f>VLOOKUP(Purchase[[#This Row],[Supplier ID]],Supplier[#All],3,0)</f>
        <v>9689542495</v>
      </c>
      <c r="F1514" s="138" t="str">
        <f>VLOOKUP(Purchase[[#This Row],[Supplier ID]],Supplier[#All],4,0)</f>
        <v>Indore</v>
      </c>
      <c r="G1514" s="138" t="str">
        <f>VLOOKUP(Purchase[[#This Row],[Supplier ID]],Supplier[#All],5,0)</f>
        <v>MP</v>
      </c>
      <c r="H1514" s="138" t="str">
        <f>VLOOKUP(Purchase[[#This Row],[Supplier ID]],Supplier[#All],6,0)</f>
        <v>GST2154521T057</v>
      </c>
      <c r="I1514" s="138" t="s">
        <v>372</v>
      </c>
      <c r="J1514" s="139">
        <v>20</v>
      </c>
      <c r="K1514" s="143">
        <f>VLOOKUP(Purchase[[#This Row],[Product ID]],Product[#All],6,0)</f>
        <v>441</v>
      </c>
      <c r="L1514" s="143">
        <f>Purchase[[#This Row],[Purchase Rate]]*Purchase[[#This Row],[Qty]]</f>
        <v>8820</v>
      </c>
      <c r="M1514" s="140">
        <v>0</v>
      </c>
      <c r="N1514" s="143">
        <v>0</v>
      </c>
      <c r="O1514" s="140">
        <v>0.18</v>
      </c>
      <c r="P1514" s="145">
        <f>(Purchase[[#This Row],[Gross Amount]]-Purchase[[#This Row],[Disct %]])*Purchase[[#This Row],[GST %]]</f>
        <v>1587.6</v>
      </c>
      <c r="Q1514" s="145">
        <f>Purchase[[#This Row],[Gross Amount]]-Purchase[[#This Row],[Disct Amnt]]+Purchase[[#This Row],[GST Amount]]</f>
        <v>10407.6</v>
      </c>
      <c r="R1514" s="138" t="s">
        <v>1019</v>
      </c>
      <c r="S1514" s="41">
        <f>IF(Purchase[[#This Row],[Status]]="Cancelled",0,Purchase[[#This Row],[Qty]])</f>
        <v>20</v>
      </c>
      <c r="T1514" s="146">
        <f>IF(Purchase[[#This Row],[Status]]="Cancelled",0,Purchase[[#This Row],[Total Amount]])</f>
        <v>10407.6</v>
      </c>
      <c r="U1514" s="146">
        <f>SUM(Purchase[Net Amount])</f>
        <v>814985438.68000126</v>
      </c>
    </row>
    <row r="1515" spans="1:21" ht="19.5" thickBot="1" x14ac:dyDescent="0.3">
      <c r="A1515" s="136" t="s">
        <v>2569</v>
      </c>
      <c r="B1515" s="137">
        <v>45731</v>
      </c>
      <c r="C1515" s="138" t="s">
        <v>596</v>
      </c>
      <c r="D1515" s="138" t="str">
        <f>VLOOKUP(Purchase[[#This Row],[Supplier ID]],Supplier[#All],2,0)</f>
        <v>star traders</v>
      </c>
      <c r="E1515" s="138">
        <f>VLOOKUP(Purchase[[#This Row],[Supplier ID]],Supplier[#All],3,0)</f>
        <v>9689542479</v>
      </c>
      <c r="F1515" s="138" t="str">
        <f>VLOOKUP(Purchase[[#This Row],[Supplier ID]],Supplier[#All],4,0)</f>
        <v>Korba</v>
      </c>
      <c r="G1515" s="138" t="str">
        <f>VLOOKUP(Purchase[[#This Row],[Supplier ID]],Supplier[#All],5,0)</f>
        <v>CG</v>
      </c>
      <c r="H1515" s="138" t="str">
        <f>VLOOKUP(Purchase[[#This Row],[Supplier ID]],Supplier[#All],6,0)</f>
        <v>GST2154521T041</v>
      </c>
      <c r="I1515" s="138" t="s">
        <v>376</v>
      </c>
      <c r="J1515" s="139">
        <v>34</v>
      </c>
      <c r="K1515" s="143">
        <f>VLOOKUP(Purchase[[#This Row],[Product ID]],Product[#All],6,0)</f>
        <v>29934</v>
      </c>
      <c r="L1515" s="143">
        <f>Purchase[[#This Row],[Purchase Rate]]*Purchase[[#This Row],[Qty]]</f>
        <v>1017756</v>
      </c>
      <c r="M1515" s="140">
        <v>0</v>
      </c>
      <c r="N1515" s="143">
        <v>0</v>
      </c>
      <c r="O1515" s="140">
        <v>0.18</v>
      </c>
      <c r="P1515" s="145">
        <f>(Purchase[[#This Row],[Gross Amount]]-Purchase[[#This Row],[Disct %]])*Purchase[[#This Row],[GST %]]</f>
        <v>183196.08</v>
      </c>
      <c r="Q1515" s="145">
        <f>Purchase[[#This Row],[Gross Amount]]-Purchase[[#This Row],[Disct Amnt]]+Purchase[[#This Row],[GST Amount]]</f>
        <v>1200952.08</v>
      </c>
      <c r="R1515" s="138" t="s">
        <v>1019</v>
      </c>
      <c r="S1515" s="41">
        <f>IF(Purchase[[#This Row],[Status]]="Cancelled",0,Purchase[[#This Row],[Qty]])</f>
        <v>34</v>
      </c>
      <c r="T1515" s="146">
        <f>IF(Purchase[[#This Row],[Status]]="Cancelled",0,Purchase[[#This Row],[Total Amount]])</f>
        <v>1200952.08</v>
      </c>
      <c r="U1515" s="146">
        <f>SUM(Purchase[Net Amount])</f>
        <v>814985438.68000126</v>
      </c>
    </row>
    <row r="1516" spans="1:21" ht="19.5" thickBot="1" x14ac:dyDescent="0.3">
      <c r="A1516" s="136" t="s">
        <v>2570</v>
      </c>
      <c r="B1516" s="137">
        <v>45732</v>
      </c>
      <c r="C1516" s="138" t="s">
        <v>606</v>
      </c>
      <c r="D1516" s="138" t="str">
        <f>VLOOKUP(Purchase[[#This Row],[Supplier ID]],Supplier[#All],2,0)</f>
        <v>Prime Traders</v>
      </c>
      <c r="E1516" s="138">
        <f>VLOOKUP(Purchase[[#This Row],[Supplier ID]],Supplier[#All],3,0)</f>
        <v>9689542489</v>
      </c>
      <c r="F1516" s="138" t="str">
        <f>VLOOKUP(Purchase[[#This Row],[Supplier ID]],Supplier[#All],4,0)</f>
        <v>Indore</v>
      </c>
      <c r="G1516" s="138" t="str">
        <f>VLOOKUP(Purchase[[#This Row],[Supplier ID]],Supplier[#All],5,0)</f>
        <v>MP</v>
      </c>
      <c r="H1516" s="138" t="str">
        <f>VLOOKUP(Purchase[[#This Row],[Supplier ID]],Supplier[#All],6,0)</f>
        <v>GST2154521T051</v>
      </c>
      <c r="I1516" s="138" t="s">
        <v>448</v>
      </c>
      <c r="J1516" s="139">
        <v>8</v>
      </c>
      <c r="K1516" s="143">
        <f>VLOOKUP(Purchase[[#This Row],[Product ID]],Product[#All],6,0)</f>
        <v>7068</v>
      </c>
      <c r="L1516" s="143">
        <f>Purchase[[#This Row],[Purchase Rate]]*Purchase[[#This Row],[Qty]]</f>
        <v>56544</v>
      </c>
      <c r="M1516" s="140">
        <v>0</v>
      </c>
      <c r="N1516" s="143">
        <v>0</v>
      </c>
      <c r="O1516" s="140">
        <v>0.18</v>
      </c>
      <c r="P1516" s="145">
        <f>(Purchase[[#This Row],[Gross Amount]]-Purchase[[#This Row],[Disct %]])*Purchase[[#This Row],[GST %]]</f>
        <v>10177.92</v>
      </c>
      <c r="Q1516" s="145">
        <f>Purchase[[#This Row],[Gross Amount]]-Purchase[[#This Row],[Disct Amnt]]+Purchase[[#This Row],[GST Amount]]</f>
        <v>66721.919999999998</v>
      </c>
      <c r="R1516" s="138" t="s">
        <v>1019</v>
      </c>
      <c r="S1516" s="41">
        <f>IF(Purchase[[#This Row],[Status]]="Cancelled",0,Purchase[[#This Row],[Qty]])</f>
        <v>8</v>
      </c>
      <c r="T1516" s="146">
        <f>IF(Purchase[[#This Row],[Status]]="Cancelled",0,Purchase[[#This Row],[Total Amount]])</f>
        <v>66721.919999999998</v>
      </c>
      <c r="U1516" s="146">
        <f>SUM(Purchase[Net Amount])</f>
        <v>814985438.68000126</v>
      </c>
    </row>
    <row r="1517" spans="1:21" ht="19.5" thickBot="1" x14ac:dyDescent="0.3">
      <c r="A1517" s="136" t="s">
        <v>2571</v>
      </c>
      <c r="B1517" s="137">
        <v>45732</v>
      </c>
      <c r="C1517" s="138" t="s">
        <v>577</v>
      </c>
      <c r="D1517" s="138" t="str">
        <f>VLOOKUP(Purchase[[#This Row],[Supplier ID]],Supplier[#All],2,0)</f>
        <v>National Electronics</v>
      </c>
      <c r="E1517" s="138">
        <f>VLOOKUP(Purchase[[#This Row],[Supplier ID]],Supplier[#All],3,0)</f>
        <v>9689542469</v>
      </c>
      <c r="F1517" s="138" t="str">
        <f>VLOOKUP(Purchase[[#This Row],[Supplier ID]],Supplier[#All],4,0)</f>
        <v>Korba</v>
      </c>
      <c r="G1517" s="138" t="str">
        <f>VLOOKUP(Purchase[[#This Row],[Supplier ID]],Supplier[#All],5,0)</f>
        <v>CG</v>
      </c>
      <c r="H1517" s="138" t="str">
        <f>VLOOKUP(Purchase[[#This Row],[Supplier ID]],Supplier[#All],6,0)</f>
        <v>GST2154521T023</v>
      </c>
      <c r="I1517" s="138" t="s">
        <v>135</v>
      </c>
      <c r="J1517" s="139">
        <v>38</v>
      </c>
      <c r="K1517" s="143">
        <f>VLOOKUP(Purchase[[#This Row],[Product ID]],Product[#All],6,0)</f>
        <v>2681</v>
      </c>
      <c r="L1517" s="143">
        <f>Purchase[[#This Row],[Purchase Rate]]*Purchase[[#This Row],[Qty]]</f>
        <v>101878</v>
      </c>
      <c r="M1517" s="140">
        <v>0</v>
      </c>
      <c r="N1517" s="143">
        <v>0</v>
      </c>
      <c r="O1517" s="140">
        <v>0.18</v>
      </c>
      <c r="P1517" s="145">
        <f>(Purchase[[#This Row],[Gross Amount]]-Purchase[[#This Row],[Disct %]])*Purchase[[#This Row],[GST %]]</f>
        <v>18338.04</v>
      </c>
      <c r="Q1517" s="145">
        <f>Purchase[[#This Row],[Gross Amount]]-Purchase[[#This Row],[Disct Amnt]]+Purchase[[#This Row],[GST Amount]]</f>
        <v>120216.04000000001</v>
      </c>
      <c r="R1517" s="138" t="s">
        <v>1019</v>
      </c>
      <c r="S1517" s="41">
        <f>IF(Purchase[[#This Row],[Status]]="Cancelled",0,Purchase[[#This Row],[Qty]])</f>
        <v>38</v>
      </c>
      <c r="T1517" s="146">
        <f>IF(Purchase[[#This Row],[Status]]="Cancelled",0,Purchase[[#This Row],[Total Amount]])</f>
        <v>120216.04000000001</v>
      </c>
      <c r="U1517" s="146">
        <f>SUM(Purchase[Net Amount])</f>
        <v>814985438.68000126</v>
      </c>
    </row>
    <row r="1518" spans="1:21" ht="19.5" thickBot="1" x14ac:dyDescent="0.3">
      <c r="A1518" s="136" t="s">
        <v>2572</v>
      </c>
      <c r="B1518" s="137">
        <v>45732</v>
      </c>
      <c r="C1518" s="138" t="s">
        <v>609</v>
      </c>
      <c r="D1518" s="138" t="str">
        <f>VLOOKUP(Purchase[[#This Row],[Supplier ID]],Supplier[#All],2,0)</f>
        <v>Star Suppliers</v>
      </c>
      <c r="E1518" s="138">
        <f>VLOOKUP(Purchase[[#This Row],[Supplier ID]],Supplier[#All],3,0)</f>
        <v>9689542492</v>
      </c>
      <c r="F1518" s="138" t="str">
        <f>VLOOKUP(Purchase[[#This Row],[Supplier ID]],Supplier[#All],4,0)</f>
        <v>Kanpur</v>
      </c>
      <c r="G1518" s="138" t="str">
        <f>VLOOKUP(Purchase[[#This Row],[Supplier ID]],Supplier[#All],5,0)</f>
        <v>UP</v>
      </c>
      <c r="H1518" s="138" t="str">
        <f>VLOOKUP(Purchase[[#This Row],[Supplier ID]],Supplier[#All],6,0)</f>
        <v>GST2154521T054</v>
      </c>
      <c r="I1518" s="138" t="s">
        <v>384</v>
      </c>
      <c r="J1518" s="139">
        <v>38</v>
      </c>
      <c r="K1518" s="143">
        <f>VLOOKUP(Purchase[[#This Row],[Product ID]],Product[#All],6,0)</f>
        <v>12176</v>
      </c>
      <c r="L1518" s="143">
        <f>Purchase[[#This Row],[Purchase Rate]]*Purchase[[#This Row],[Qty]]</f>
        <v>462688</v>
      </c>
      <c r="M1518" s="140">
        <v>0</v>
      </c>
      <c r="N1518" s="143">
        <v>0</v>
      </c>
      <c r="O1518" s="140">
        <v>0.18</v>
      </c>
      <c r="P1518" s="145">
        <f>(Purchase[[#This Row],[Gross Amount]]-Purchase[[#This Row],[Disct %]])*Purchase[[#This Row],[GST %]]</f>
        <v>83283.839999999997</v>
      </c>
      <c r="Q1518" s="145">
        <f>Purchase[[#This Row],[Gross Amount]]-Purchase[[#This Row],[Disct Amnt]]+Purchase[[#This Row],[GST Amount]]</f>
        <v>545971.84</v>
      </c>
      <c r="R1518" s="138" t="s">
        <v>1019</v>
      </c>
      <c r="S1518" s="41">
        <f>IF(Purchase[[#This Row],[Status]]="Cancelled",0,Purchase[[#This Row],[Qty]])</f>
        <v>38</v>
      </c>
      <c r="T1518" s="146">
        <f>IF(Purchase[[#This Row],[Status]]="Cancelled",0,Purchase[[#This Row],[Total Amount]])</f>
        <v>545971.84</v>
      </c>
      <c r="U1518" s="146">
        <f>SUM(Purchase[Net Amount])</f>
        <v>814985438.68000126</v>
      </c>
    </row>
    <row r="1519" spans="1:21" ht="19.5" thickBot="1" x14ac:dyDescent="0.3">
      <c r="A1519" s="136" t="s">
        <v>2573</v>
      </c>
      <c r="B1519" s="137">
        <v>45732</v>
      </c>
      <c r="C1519" s="138" t="s">
        <v>585</v>
      </c>
      <c r="D1519" s="138" t="str">
        <f>VLOOKUP(Purchase[[#This Row],[Supplier ID]],Supplier[#All],2,0)</f>
        <v>Tech Computers</v>
      </c>
      <c r="E1519" s="138">
        <f>VLOOKUP(Purchase[[#This Row],[Supplier ID]],Supplier[#All],3,0)</f>
        <v>9689542469</v>
      </c>
      <c r="F1519" s="138" t="str">
        <f>VLOOKUP(Purchase[[#This Row],[Supplier ID]],Supplier[#All],4,0)</f>
        <v>Korba</v>
      </c>
      <c r="G1519" s="138" t="str">
        <f>VLOOKUP(Purchase[[#This Row],[Supplier ID]],Supplier[#All],5,0)</f>
        <v>CG</v>
      </c>
      <c r="H1519" s="138" t="str">
        <f>VLOOKUP(Purchase[[#This Row],[Supplier ID]],Supplier[#All],6,0)</f>
        <v>GST2154521T031</v>
      </c>
      <c r="I1519" s="138" t="s">
        <v>115</v>
      </c>
      <c r="J1519" s="139">
        <v>33</v>
      </c>
      <c r="K1519" s="143">
        <f>VLOOKUP(Purchase[[#This Row],[Product ID]],Product[#All],6,0)</f>
        <v>1444</v>
      </c>
      <c r="L1519" s="143">
        <f>Purchase[[#This Row],[Purchase Rate]]*Purchase[[#This Row],[Qty]]</f>
        <v>47652</v>
      </c>
      <c r="M1519" s="140">
        <v>0</v>
      </c>
      <c r="N1519" s="143">
        <v>0</v>
      </c>
      <c r="O1519" s="140">
        <v>0.18</v>
      </c>
      <c r="P1519" s="145">
        <f>(Purchase[[#This Row],[Gross Amount]]-Purchase[[#This Row],[Disct %]])*Purchase[[#This Row],[GST %]]</f>
        <v>8577.36</v>
      </c>
      <c r="Q1519" s="145">
        <f>Purchase[[#This Row],[Gross Amount]]-Purchase[[#This Row],[Disct Amnt]]+Purchase[[#This Row],[GST Amount]]</f>
        <v>56229.36</v>
      </c>
      <c r="R1519" s="138" t="s">
        <v>1019</v>
      </c>
      <c r="S1519" s="41">
        <f>IF(Purchase[[#This Row],[Status]]="Cancelled",0,Purchase[[#This Row],[Qty]])</f>
        <v>33</v>
      </c>
      <c r="T1519" s="146">
        <f>IF(Purchase[[#This Row],[Status]]="Cancelled",0,Purchase[[#This Row],[Total Amount]])</f>
        <v>56229.36</v>
      </c>
      <c r="U1519" s="146">
        <f>SUM(Purchase[Net Amount])</f>
        <v>814985438.68000126</v>
      </c>
    </row>
    <row r="1520" spans="1:21" ht="19.5" thickBot="1" x14ac:dyDescent="0.3">
      <c r="A1520" s="136" t="s">
        <v>2574</v>
      </c>
      <c r="B1520" s="137">
        <v>45732</v>
      </c>
      <c r="C1520" s="138" t="s">
        <v>584</v>
      </c>
      <c r="D1520" s="138" t="str">
        <f>VLOOKUP(Purchase[[#This Row],[Supplier ID]],Supplier[#All],2,0)</f>
        <v>Prime Computers</v>
      </c>
      <c r="E1520" s="138">
        <f>VLOOKUP(Purchase[[#This Row],[Supplier ID]],Supplier[#All],3,0)</f>
        <v>9689542468</v>
      </c>
      <c r="F1520" s="138" t="str">
        <f>VLOOKUP(Purchase[[#This Row],[Supplier ID]],Supplier[#All],4,0)</f>
        <v>Kanpur</v>
      </c>
      <c r="G1520" s="138" t="str">
        <f>VLOOKUP(Purchase[[#This Row],[Supplier ID]],Supplier[#All],5,0)</f>
        <v>UP</v>
      </c>
      <c r="H1520" s="138" t="str">
        <f>VLOOKUP(Purchase[[#This Row],[Supplier ID]],Supplier[#All],6,0)</f>
        <v>GST2154521T030</v>
      </c>
      <c r="I1520" s="138" t="s">
        <v>80</v>
      </c>
      <c r="J1520" s="139">
        <v>32</v>
      </c>
      <c r="K1520" s="143">
        <f>VLOOKUP(Purchase[[#This Row],[Product ID]],Product[#All],6,0)</f>
        <v>34693</v>
      </c>
      <c r="L1520" s="143">
        <f>Purchase[[#This Row],[Purchase Rate]]*Purchase[[#This Row],[Qty]]</f>
        <v>1110176</v>
      </c>
      <c r="M1520" s="140">
        <v>0</v>
      </c>
      <c r="N1520" s="143">
        <v>0</v>
      </c>
      <c r="O1520" s="140">
        <v>0.18</v>
      </c>
      <c r="P1520" s="145">
        <f>(Purchase[[#This Row],[Gross Amount]]-Purchase[[#This Row],[Disct %]])*Purchase[[#This Row],[GST %]]</f>
        <v>199831.67999999999</v>
      </c>
      <c r="Q1520" s="145">
        <f>Purchase[[#This Row],[Gross Amount]]-Purchase[[#This Row],[Disct Amnt]]+Purchase[[#This Row],[GST Amount]]</f>
        <v>1310007.68</v>
      </c>
      <c r="R1520" s="138" t="s">
        <v>1019</v>
      </c>
      <c r="S1520" s="41">
        <f>IF(Purchase[[#This Row],[Status]]="Cancelled",0,Purchase[[#This Row],[Qty]])</f>
        <v>32</v>
      </c>
      <c r="T1520" s="146">
        <f>IF(Purchase[[#This Row],[Status]]="Cancelled",0,Purchase[[#This Row],[Total Amount]])</f>
        <v>1310007.68</v>
      </c>
      <c r="U1520" s="146">
        <f>SUM(Purchase[Net Amount])</f>
        <v>814985438.68000126</v>
      </c>
    </row>
    <row r="1521" spans="1:21" ht="19.5" thickBot="1" x14ac:dyDescent="0.3">
      <c r="A1521" s="136" t="s">
        <v>2575</v>
      </c>
      <c r="B1521" s="137">
        <v>45732</v>
      </c>
      <c r="C1521" s="138" t="s">
        <v>613</v>
      </c>
      <c r="D1521" s="138" t="str">
        <f>VLOOKUP(Purchase[[#This Row],[Supplier ID]],Supplier[#All],2,0)</f>
        <v>National Traders</v>
      </c>
      <c r="E1521" s="138">
        <f>VLOOKUP(Purchase[[#This Row],[Supplier ID]],Supplier[#All],3,0)</f>
        <v>9689542496</v>
      </c>
      <c r="F1521" s="138" t="str">
        <f>VLOOKUP(Purchase[[#This Row],[Supplier ID]],Supplier[#All],4,0)</f>
        <v>Indore</v>
      </c>
      <c r="G1521" s="138" t="str">
        <f>VLOOKUP(Purchase[[#This Row],[Supplier ID]],Supplier[#All],5,0)</f>
        <v>MP</v>
      </c>
      <c r="H1521" s="138" t="str">
        <f>VLOOKUP(Purchase[[#This Row],[Supplier ID]],Supplier[#All],6,0)</f>
        <v>GST2154521T058</v>
      </c>
      <c r="I1521" s="138" t="s">
        <v>513</v>
      </c>
      <c r="J1521" s="139">
        <v>37</v>
      </c>
      <c r="K1521" s="143">
        <f>VLOOKUP(Purchase[[#This Row],[Product ID]],Product[#All],6,0)</f>
        <v>1887</v>
      </c>
      <c r="L1521" s="143">
        <f>Purchase[[#This Row],[Purchase Rate]]*Purchase[[#This Row],[Qty]]</f>
        <v>69819</v>
      </c>
      <c r="M1521" s="140">
        <v>0</v>
      </c>
      <c r="N1521" s="143">
        <v>0</v>
      </c>
      <c r="O1521" s="140">
        <v>0.18</v>
      </c>
      <c r="P1521" s="145">
        <f>(Purchase[[#This Row],[Gross Amount]]-Purchase[[#This Row],[Disct %]])*Purchase[[#This Row],[GST %]]</f>
        <v>12567.42</v>
      </c>
      <c r="Q1521" s="145">
        <f>Purchase[[#This Row],[Gross Amount]]-Purchase[[#This Row],[Disct Amnt]]+Purchase[[#This Row],[GST Amount]]</f>
        <v>82386.42</v>
      </c>
      <c r="R1521" s="138" t="s">
        <v>1019</v>
      </c>
      <c r="S1521" s="41">
        <f>IF(Purchase[[#This Row],[Status]]="Cancelled",0,Purchase[[#This Row],[Qty]])</f>
        <v>37</v>
      </c>
      <c r="T1521" s="146">
        <f>IF(Purchase[[#This Row],[Status]]="Cancelled",0,Purchase[[#This Row],[Total Amount]])</f>
        <v>82386.42</v>
      </c>
      <c r="U1521" s="146">
        <f>SUM(Purchase[Net Amount])</f>
        <v>814985438.68000126</v>
      </c>
    </row>
    <row r="1522" spans="1:21" ht="19.5" thickBot="1" x14ac:dyDescent="0.3">
      <c r="A1522" s="136" t="s">
        <v>2576</v>
      </c>
      <c r="B1522" s="137">
        <v>45732</v>
      </c>
      <c r="C1522" s="138" t="s">
        <v>565</v>
      </c>
      <c r="D1522" s="138" t="str">
        <f>VLOOKUP(Purchase[[#This Row],[Supplier ID]],Supplier[#All],2,0)</f>
        <v>Global Suppliers</v>
      </c>
      <c r="E1522" s="138">
        <f>VLOOKUP(Purchase[[#This Row],[Supplier ID]],Supplier[#All],3,0)</f>
        <v>9689542459</v>
      </c>
      <c r="F1522" s="138" t="str">
        <f>VLOOKUP(Purchase[[#This Row],[Supplier ID]],Supplier[#All],4,0)</f>
        <v>Indore</v>
      </c>
      <c r="G1522" s="138" t="str">
        <f>VLOOKUP(Purchase[[#This Row],[Supplier ID]],Supplier[#All],5,0)</f>
        <v>MP</v>
      </c>
      <c r="H1522" s="138" t="str">
        <f>VLOOKUP(Purchase[[#This Row],[Supplier ID]],Supplier[#All],6,0)</f>
        <v>GST2154521T013</v>
      </c>
      <c r="I1522" s="138" t="s">
        <v>128</v>
      </c>
      <c r="J1522" s="139">
        <v>39</v>
      </c>
      <c r="K1522" s="143">
        <f>VLOOKUP(Purchase[[#This Row],[Product ID]],Product[#All],6,0)</f>
        <v>2597</v>
      </c>
      <c r="L1522" s="143">
        <f>Purchase[[#This Row],[Purchase Rate]]*Purchase[[#This Row],[Qty]]</f>
        <v>101283</v>
      </c>
      <c r="M1522" s="140">
        <v>0</v>
      </c>
      <c r="N1522" s="143">
        <v>0</v>
      </c>
      <c r="O1522" s="140">
        <v>0.18</v>
      </c>
      <c r="P1522" s="145">
        <f>(Purchase[[#This Row],[Gross Amount]]-Purchase[[#This Row],[Disct %]])*Purchase[[#This Row],[GST %]]</f>
        <v>18230.939999999999</v>
      </c>
      <c r="Q1522" s="145">
        <f>Purchase[[#This Row],[Gross Amount]]-Purchase[[#This Row],[Disct Amnt]]+Purchase[[#This Row],[GST Amount]]</f>
        <v>119513.94</v>
      </c>
      <c r="R1522" s="138" t="s">
        <v>1019</v>
      </c>
      <c r="S1522" s="41">
        <f>IF(Purchase[[#This Row],[Status]]="Cancelled",0,Purchase[[#This Row],[Qty]])</f>
        <v>39</v>
      </c>
      <c r="T1522" s="146">
        <f>IF(Purchase[[#This Row],[Status]]="Cancelled",0,Purchase[[#This Row],[Total Amount]])</f>
        <v>119513.94</v>
      </c>
      <c r="U1522" s="146">
        <f>SUM(Purchase[Net Amount])</f>
        <v>814985438.68000126</v>
      </c>
    </row>
    <row r="1523" spans="1:21" ht="19.5" thickBot="1" x14ac:dyDescent="0.3">
      <c r="A1523" s="136" t="s">
        <v>2577</v>
      </c>
      <c r="B1523" s="137">
        <v>45732</v>
      </c>
      <c r="C1523" s="138" t="s">
        <v>578</v>
      </c>
      <c r="D1523" s="138" t="str">
        <f>VLOOKUP(Purchase[[#This Row],[Supplier ID]],Supplier[#All],2,0)</f>
        <v>Shree Computers</v>
      </c>
      <c r="E1523" s="138">
        <f>VLOOKUP(Purchase[[#This Row],[Supplier ID]],Supplier[#All],3,0)</f>
        <v>9689542462</v>
      </c>
      <c r="F1523" s="138" t="str">
        <f>VLOOKUP(Purchase[[#This Row],[Supplier ID]],Supplier[#All],4,0)</f>
        <v>Korba</v>
      </c>
      <c r="G1523" s="138" t="str">
        <f>VLOOKUP(Purchase[[#This Row],[Supplier ID]],Supplier[#All],5,0)</f>
        <v>CG</v>
      </c>
      <c r="H1523" s="138" t="str">
        <f>VLOOKUP(Purchase[[#This Row],[Supplier ID]],Supplier[#All],6,0)</f>
        <v>GST2154521T024</v>
      </c>
      <c r="I1523" s="138" t="s">
        <v>223</v>
      </c>
      <c r="J1523" s="139">
        <v>17</v>
      </c>
      <c r="K1523" s="143">
        <f>VLOOKUP(Purchase[[#This Row],[Product ID]],Product[#All],6,0)</f>
        <v>8461</v>
      </c>
      <c r="L1523" s="143">
        <f>Purchase[[#This Row],[Purchase Rate]]*Purchase[[#This Row],[Qty]]</f>
        <v>143837</v>
      </c>
      <c r="M1523" s="140">
        <v>0</v>
      </c>
      <c r="N1523" s="143">
        <v>0</v>
      </c>
      <c r="O1523" s="140">
        <v>0.18</v>
      </c>
      <c r="P1523" s="145">
        <f>(Purchase[[#This Row],[Gross Amount]]-Purchase[[#This Row],[Disct %]])*Purchase[[#This Row],[GST %]]</f>
        <v>25890.66</v>
      </c>
      <c r="Q1523" s="145">
        <f>Purchase[[#This Row],[Gross Amount]]-Purchase[[#This Row],[Disct Amnt]]+Purchase[[#This Row],[GST Amount]]</f>
        <v>169727.66</v>
      </c>
      <c r="R1523" s="138" t="s">
        <v>1019</v>
      </c>
      <c r="S1523" s="41">
        <f>IF(Purchase[[#This Row],[Status]]="Cancelled",0,Purchase[[#This Row],[Qty]])</f>
        <v>17</v>
      </c>
      <c r="T1523" s="146">
        <f>IF(Purchase[[#This Row],[Status]]="Cancelled",0,Purchase[[#This Row],[Total Amount]])</f>
        <v>169727.66</v>
      </c>
      <c r="U1523" s="146">
        <f>SUM(Purchase[Net Amount])</f>
        <v>814985438.68000126</v>
      </c>
    </row>
    <row r="1524" spans="1:21" ht="19.5" thickBot="1" x14ac:dyDescent="0.3">
      <c r="A1524" s="136" t="s">
        <v>2578</v>
      </c>
      <c r="B1524" s="137">
        <v>45732</v>
      </c>
      <c r="C1524" s="138" t="s">
        <v>1201</v>
      </c>
      <c r="D1524" s="138" t="str">
        <f>VLOOKUP(Purchase[[#This Row],[Supplier ID]],Supplier[#All],2,0)</f>
        <v>Global Suppliers</v>
      </c>
      <c r="E1524" s="138">
        <f>VLOOKUP(Purchase[[#This Row],[Supplier ID]],Supplier[#All],3,0)</f>
        <v>9689542476</v>
      </c>
      <c r="F1524" s="138" t="str">
        <f>VLOOKUP(Purchase[[#This Row],[Supplier ID]],Supplier[#All],4,0)</f>
        <v>Korba</v>
      </c>
      <c r="G1524" s="138" t="str">
        <f>VLOOKUP(Purchase[[#This Row],[Supplier ID]],Supplier[#All],5,0)</f>
        <v>CG</v>
      </c>
      <c r="H1524" s="138" t="str">
        <f>VLOOKUP(Purchase[[#This Row],[Supplier ID]],Supplier[#All],6,0)</f>
        <v>GST2154521T038</v>
      </c>
      <c r="I1524" s="138" t="s">
        <v>531</v>
      </c>
      <c r="J1524" s="139">
        <v>34</v>
      </c>
      <c r="K1524" s="143">
        <f>VLOOKUP(Purchase[[#This Row],[Product ID]],Product[#All],6,0)</f>
        <v>5489</v>
      </c>
      <c r="L1524" s="143">
        <f>Purchase[[#This Row],[Purchase Rate]]*Purchase[[#This Row],[Qty]]</f>
        <v>186626</v>
      </c>
      <c r="M1524" s="140">
        <v>0</v>
      </c>
      <c r="N1524" s="143">
        <v>0</v>
      </c>
      <c r="O1524" s="140">
        <v>0.18</v>
      </c>
      <c r="P1524" s="145">
        <f>(Purchase[[#This Row],[Gross Amount]]-Purchase[[#This Row],[Disct %]])*Purchase[[#This Row],[GST %]]</f>
        <v>33592.68</v>
      </c>
      <c r="Q1524" s="145">
        <f>Purchase[[#This Row],[Gross Amount]]-Purchase[[#This Row],[Disct Amnt]]+Purchase[[#This Row],[GST Amount]]</f>
        <v>220218.68</v>
      </c>
      <c r="R1524" s="138" t="s">
        <v>1019</v>
      </c>
      <c r="S1524" s="41">
        <f>IF(Purchase[[#This Row],[Status]]="Cancelled",0,Purchase[[#This Row],[Qty]])</f>
        <v>34</v>
      </c>
      <c r="T1524" s="146">
        <f>IF(Purchase[[#This Row],[Status]]="Cancelled",0,Purchase[[#This Row],[Total Amount]])</f>
        <v>220218.68</v>
      </c>
      <c r="U1524" s="146">
        <f>SUM(Purchase[Net Amount])</f>
        <v>814985438.68000126</v>
      </c>
    </row>
    <row r="1525" spans="1:21" ht="19.5" thickBot="1" x14ac:dyDescent="0.3">
      <c r="A1525" s="136" t="s">
        <v>2579</v>
      </c>
      <c r="B1525" s="137">
        <v>45732</v>
      </c>
      <c r="C1525" s="138" t="s">
        <v>604</v>
      </c>
      <c r="D1525" s="138" t="str">
        <f>VLOOKUP(Purchase[[#This Row],[Supplier ID]],Supplier[#All],2,0)</f>
        <v>Prime Traders</v>
      </c>
      <c r="E1525" s="138">
        <f>VLOOKUP(Purchase[[#This Row],[Supplier ID]],Supplier[#All],3,0)</f>
        <v>9689542487</v>
      </c>
      <c r="F1525" s="138" t="str">
        <f>VLOOKUP(Purchase[[#This Row],[Supplier ID]],Supplier[#All],4,0)</f>
        <v>Indore</v>
      </c>
      <c r="G1525" s="138" t="str">
        <f>VLOOKUP(Purchase[[#This Row],[Supplier ID]],Supplier[#All],5,0)</f>
        <v>MP</v>
      </c>
      <c r="H1525" s="138" t="str">
        <f>VLOOKUP(Purchase[[#This Row],[Supplier ID]],Supplier[#All],6,0)</f>
        <v>GST2154521T049</v>
      </c>
      <c r="I1525" s="138" t="s">
        <v>124</v>
      </c>
      <c r="J1525" s="139">
        <v>19</v>
      </c>
      <c r="K1525" s="143">
        <f>VLOOKUP(Purchase[[#This Row],[Product ID]],Product[#All],6,0)</f>
        <v>12974</v>
      </c>
      <c r="L1525" s="143">
        <f>Purchase[[#This Row],[Purchase Rate]]*Purchase[[#This Row],[Qty]]</f>
        <v>246506</v>
      </c>
      <c r="M1525" s="140">
        <v>0</v>
      </c>
      <c r="N1525" s="143">
        <v>0</v>
      </c>
      <c r="O1525" s="140">
        <v>0.18</v>
      </c>
      <c r="P1525" s="145">
        <f>(Purchase[[#This Row],[Gross Amount]]-Purchase[[#This Row],[Disct %]])*Purchase[[#This Row],[GST %]]</f>
        <v>44371.08</v>
      </c>
      <c r="Q1525" s="145">
        <f>Purchase[[#This Row],[Gross Amount]]-Purchase[[#This Row],[Disct Amnt]]+Purchase[[#This Row],[GST Amount]]</f>
        <v>290877.08</v>
      </c>
      <c r="R1525" s="138" t="s">
        <v>1019</v>
      </c>
      <c r="S1525" s="41">
        <f>IF(Purchase[[#This Row],[Status]]="Cancelled",0,Purchase[[#This Row],[Qty]])</f>
        <v>19</v>
      </c>
      <c r="T1525" s="146">
        <f>IF(Purchase[[#This Row],[Status]]="Cancelled",0,Purchase[[#This Row],[Total Amount]])</f>
        <v>290877.08</v>
      </c>
      <c r="U1525" s="146">
        <f>SUM(Purchase[Net Amount])</f>
        <v>814985438.68000126</v>
      </c>
    </row>
    <row r="1526" spans="1:21" ht="19.5" thickBot="1" x14ac:dyDescent="0.3">
      <c r="A1526" s="136" t="s">
        <v>2580</v>
      </c>
      <c r="B1526" s="137">
        <v>45732</v>
      </c>
      <c r="C1526" s="138" t="s">
        <v>571</v>
      </c>
      <c r="D1526" s="138" t="str">
        <f>VLOOKUP(Purchase[[#This Row],[Supplier ID]],Supplier[#All],2,0)</f>
        <v>Tech Suppliers</v>
      </c>
      <c r="E1526" s="138">
        <f>VLOOKUP(Purchase[[#This Row],[Supplier ID]],Supplier[#All],3,0)</f>
        <v>9689542457</v>
      </c>
      <c r="F1526" s="138" t="str">
        <f>VLOOKUP(Purchase[[#This Row],[Supplier ID]],Supplier[#All],4,0)</f>
        <v>Korba</v>
      </c>
      <c r="G1526" s="138" t="str">
        <f>VLOOKUP(Purchase[[#This Row],[Supplier ID]],Supplier[#All],5,0)</f>
        <v>CG</v>
      </c>
      <c r="H1526" s="138" t="str">
        <f>VLOOKUP(Purchase[[#This Row],[Supplier ID]],Supplier[#All],6,0)</f>
        <v>GST2154521T019</v>
      </c>
      <c r="I1526" s="138" t="s">
        <v>41</v>
      </c>
      <c r="J1526" s="139">
        <v>6</v>
      </c>
      <c r="K1526" s="143">
        <f>VLOOKUP(Purchase[[#This Row],[Product ID]],Product[#All],6,0)</f>
        <v>58660</v>
      </c>
      <c r="L1526" s="143">
        <f>Purchase[[#This Row],[Purchase Rate]]*Purchase[[#This Row],[Qty]]</f>
        <v>351960</v>
      </c>
      <c r="M1526" s="140">
        <v>0</v>
      </c>
      <c r="N1526" s="143">
        <v>0</v>
      </c>
      <c r="O1526" s="140">
        <v>0.18</v>
      </c>
      <c r="P1526" s="145">
        <f>(Purchase[[#This Row],[Gross Amount]]-Purchase[[#This Row],[Disct %]])*Purchase[[#This Row],[GST %]]</f>
        <v>63352.799999999996</v>
      </c>
      <c r="Q1526" s="145">
        <f>Purchase[[#This Row],[Gross Amount]]-Purchase[[#This Row],[Disct Amnt]]+Purchase[[#This Row],[GST Amount]]</f>
        <v>415312.8</v>
      </c>
      <c r="R1526" s="138" t="s">
        <v>1019</v>
      </c>
      <c r="S1526" s="41">
        <f>IF(Purchase[[#This Row],[Status]]="Cancelled",0,Purchase[[#This Row],[Qty]])</f>
        <v>6</v>
      </c>
      <c r="T1526" s="146">
        <f>IF(Purchase[[#This Row],[Status]]="Cancelled",0,Purchase[[#This Row],[Total Amount]])</f>
        <v>415312.8</v>
      </c>
      <c r="U1526" s="146">
        <f>SUM(Purchase[Net Amount])</f>
        <v>814985438.68000126</v>
      </c>
    </row>
    <row r="1527" spans="1:21" ht="19.5" thickBot="1" x14ac:dyDescent="0.3">
      <c r="A1527" s="136" t="s">
        <v>2581</v>
      </c>
      <c r="B1527" s="137">
        <v>45732</v>
      </c>
      <c r="C1527" s="138" t="s">
        <v>580</v>
      </c>
      <c r="D1527" s="138" t="str">
        <f>VLOOKUP(Purchase[[#This Row],[Supplier ID]],Supplier[#All],2,0)</f>
        <v>Star Distributors</v>
      </c>
      <c r="E1527" s="138">
        <f>VLOOKUP(Purchase[[#This Row],[Supplier ID]],Supplier[#All],3,0)</f>
        <v>9689542464</v>
      </c>
      <c r="F1527" s="138" t="str">
        <f>VLOOKUP(Purchase[[#This Row],[Supplier ID]],Supplier[#All],4,0)</f>
        <v>Indore</v>
      </c>
      <c r="G1527" s="138" t="str">
        <f>VLOOKUP(Purchase[[#This Row],[Supplier ID]],Supplier[#All],5,0)</f>
        <v>MP</v>
      </c>
      <c r="H1527" s="138" t="str">
        <f>VLOOKUP(Purchase[[#This Row],[Supplier ID]],Supplier[#All],6,0)</f>
        <v>GST2154521T026</v>
      </c>
      <c r="I1527" s="138" t="s">
        <v>197</v>
      </c>
      <c r="J1527" s="139">
        <v>34</v>
      </c>
      <c r="K1527" s="143">
        <f>VLOOKUP(Purchase[[#This Row],[Product ID]],Product[#All],6,0)</f>
        <v>12461</v>
      </c>
      <c r="L1527" s="143">
        <f>Purchase[[#This Row],[Purchase Rate]]*Purchase[[#This Row],[Qty]]</f>
        <v>423674</v>
      </c>
      <c r="M1527" s="140">
        <v>0</v>
      </c>
      <c r="N1527" s="143">
        <v>0</v>
      </c>
      <c r="O1527" s="140">
        <v>0.18</v>
      </c>
      <c r="P1527" s="145">
        <f>(Purchase[[#This Row],[Gross Amount]]-Purchase[[#This Row],[Disct %]])*Purchase[[#This Row],[GST %]]</f>
        <v>76261.319999999992</v>
      </c>
      <c r="Q1527" s="145">
        <f>Purchase[[#This Row],[Gross Amount]]-Purchase[[#This Row],[Disct Amnt]]+Purchase[[#This Row],[GST Amount]]</f>
        <v>499935.32</v>
      </c>
      <c r="R1527" s="138" t="s">
        <v>1019</v>
      </c>
      <c r="S1527" s="41">
        <f>IF(Purchase[[#This Row],[Status]]="Cancelled",0,Purchase[[#This Row],[Qty]])</f>
        <v>34</v>
      </c>
      <c r="T1527" s="146">
        <f>IF(Purchase[[#This Row],[Status]]="Cancelled",0,Purchase[[#This Row],[Total Amount]])</f>
        <v>499935.32</v>
      </c>
      <c r="U1527" s="146">
        <f>SUM(Purchase[Net Amount])</f>
        <v>814985438.68000126</v>
      </c>
    </row>
    <row r="1528" spans="1:21" ht="19.5" thickBot="1" x14ac:dyDescent="0.3">
      <c r="A1528" s="136" t="s">
        <v>2582</v>
      </c>
      <c r="B1528" s="137">
        <v>45732</v>
      </c>
      <c r="C1528" s="138" t="s">
        <v>611</v>
      </c>
      <c r="D1528" s="138" t="str">
        <f>VLOOKUP(Purchase[[#This Row],[Supplier ID]],Supplier[#All],2,0)</f>
        <v>National Distributors</v>
      </c>
      <c r="E1528" s="138">
        <f>VLOOKUP(Purchase[[#This Row],[Supplier ID]],Supplier[#All],3,0)</f>
        <v>9689542494</v>
      </c>
      <c r="F1528" s="138" t="str">
        <f>VLOOKUP(Purchase[[#This Row],[Supplier ID]],Supplier[#All],4,0)</f>
        <v>Korba</v>
      </c>
      <c r="G1528" s="138" t="str">
        <f>VLOOKUP(Purchase[[#This Row],[Supplier ID]],Supplier[#All],5,0)</f>
        <v>CG</v>
      </c>
      <c r="H1528" s="138" t="str">
        <f>VLOOKUP(Purchase[[#This Row],[Supplier ID]],Supplier[#All],6,0)</f>
        <v>GST2154521T056</v>
      </c>
      <c r="I1528" s="138" t="s">
        <v>92</v>
      </c>
      <c r="J1528" s="139">
        <v>6</v>
      </c>
      <c r="K1528" s="143">
        <f>VLOOKUP(Purchase[[#This Row],[Product ID]],Product[#All],6,0)</f>
        <v>5110</v>
      </c>
      <c r="L1528" s="143">
        <f>Purchase[[#This Row],[Purchase Rate]]*Purchase[[#This Row],[Qty]]</f>
        <v>30660</v>
      </c>
      <c r="M1528" s="140">
        <v>0</v>
      </c>
      <c r="N1528" s="143">
        <v>0</v>
      </c>
      <c r="O1528" s="140">
        <v>0.18</v>
      </c>
      <c r="P1528" s="145">
        <f>(Purchase[[#This Row],[Gross Amount]]-Purchase[[#This Row],[Disct %]])*Purchase[[#This Row],[GST %]]</f>
        <v>5518.8</v>
      </c>
      <c r="Q1528" s="145">
        <f>Purchase[[#This Row],[Gross Amount]]-Purchase[[#This Row],[Disct Amnt]]+Purchase[[#This Row],[GST Amount]]</f>
        <v>36178.800000000003</v>
      </c>
      <c r="R1528" s="138" t="s">
        <v>1019</v>
      </c>
      <c r="S1528" s="41">
        <f>IF(Purchase[[#This Row],[Status]]="Cancelled",0,Purchase[[#This Row],[Qty]])</f>
        <v>6</v>
      </c>
      <c r="T1528" s="146">
        <f>IF(Purchase[[#This Row],[Status]]="Cancelled",0,Purchase[[#This Row],[Total Amount]])</f>
        <v>36178.800000000003</v>
      </c>
      <c r="U1528" s="146">
        <f>SUM(Purchase[Net Amount])</f>
        <v>814985438.68000126</v>
      </c>
    </row>
    <row r="1529" spans="1:21" ht="19.5" thickBot="1" x14ac:dyDescent="0.3">
      <c r="A1529" s="136" t="s">
        <v>2583</v>
      </c>
      <c r="B1529" s="137">
        <v>45732</v>
      </c>
      <c r="C1529" s="138" t="s">
        <v>568</v>
      </c>
      <c r="D1529" s="138" t="str">
        <f>VLOOKUP(Purchase[[#This Row],[Supplier ID]],Supplier[#All],2,0)</f>
        <v>Maa Computers</v>
      </c>
      <c r="E1529" s="138">
        <f>VLOOKUP(Purchase[[#This Row],[Supplier ID]],Supplier[#All],3,0)</f>
        <v>9689542454</v>
      </c>
      <c r="F1529" s="138" t="str">
        <f>VLOOKUP(Purchase[[#This Row],[Supplier ID]],Supplier[#All],4,0)</f>
        <v>Korba</v>
      </c>
      <c r="G1529" s="138" t="str">
        <f>VLOOKUP(Purchase[[#This Row],[Supplier ID]],Supplier[#All],5,0)</f>
        <v>CG</v>
      </c>
      <c r="H1529" s="138" t="str">
        <f>VLOOKUP(Purchase[[#This Row],[Supplier ID]],Supplier[#All],6,0)</f>
        <v>GST2154521T016</v>
      </c>
      <c r="I1529" s="138" t="s">
        <v>212</v>
      </c>
      <c r="J1529" s="139">
        <v>37</v>
      </c>
      <c r="K1529" s="143">
        <f>VLOOKUP(Purchase[[#This Row],[Product ID]],Product[#All],6,0)</f>
        <v>931</v>
      </c>
      <c r="L1529" s="143">
        <f>Purchase[[#This Row],[Purchase Rate]]*Purchase[[#This Row],[Qty]]</f>
        <v>34447</v>
      </c>
      <c r="M1529" s="140">
        <v>0</v>
      </c>
      <c r="N1529" s="143">
        <v>0</v>
      </c>
      <c r="O1529" s="140">
        <v>0.18</v>
      </c>
      <c r="P1529" s="145">
        <f>(Purchase[[#This Row],[Gross Amount]]-Purchase[[#This Row],[Disct %]])*Purchase[[#This Row],[GST %]]</f>
        <v>6200.46</v>
      </c>
      <c r="Q1529" s="145">
        <f>Purchase[[#This Row],[Gross Amount]]-Purchase[[#This Row],[Disct Amnt]]+Purchase[[#This Row],[GST Amount]]</f>
        <v>40647.46</v>
      </c>
      <c r="R1529" s="138" t="s">
        <v>1019</v>
      </c>
      <c r="S1529" s="41">
        <f>IF(Purchase[[#This Row],[Status]]="Cancelled",0,Purchase[[#This Row],[Qty]])</f>
        <v>37</v>
      </c>
      <c r="T1529" s="146">
        <f>IF(Purchase[[#This Row],[Status]]="Cancelled",0,Purchase[[#This Row],[Total Amount]])</f>
        <v>40647.46</v>
      </c>
      <c r="U1529" s="146">
        <f>SUM(Purchase[Net Amount])</f>
        <v>814985438.68000126</v>
      </c>
    </row>
    <row r="1530" spans="1:21" ht="19.5" thickBot="1" x14ac:dyDescent="0.3">
      <c r="A1530" s="136" t="s">
        <v>2584</v>
      </c>
      <c r="B1530" s="137">
        <v>45732</v>
      </c>
      <c r="C1530" s="138" t="s">
        <v>577</v>
      </c>
      <c r="D1530" s="138" t="str">
        <f>VLOOKUP(Purchase[[#This Row],[Supplier ID]],Supplier[#All],2,0)</f>
        <v>National Electronics</v>
      </c>
      <c r="E1530" s="138">
        <f>VLOOKUP(Purchase[[#This Row],[Supplier ID]],Supplier[#All],3,0)</f>
        <v>9689542469</v>
      </c>
      <c r="F1530" s="138" t="str">
        <f>VLOOKUP(Purchase[[#This Row],[Supplier ID]],Supplier[#All],4,0)</f>
        <v>Korba</v>
      </c>
      <c r="G1530" s="138" t="str">
        <f>VLOOKUP(Purchase[[#This Row],[Supplier ID]],Supplier[#All],5,0)</f>
        <v>CG</v>
      </c>
      <c r="H1530" s="138" t="str">
        <f>VLOOKUP(Purchase[[#This Row],[Supplier ID]],Supplier[#All],6,0)</f>
        <v>GST2154521T023</v>
      </c>
      <c r="I1530" s="138" t="s">
        <v>139</v>
      </c>
      <c r="J1530" s="139">
        <v>32</v>
      </c>
      <c r="K1530" s="143">
        <f>VLOOKUP(Purchase[[#This Row],[Product ID]],Product[#All],6,0)</f>
        <v>21311</v>
      </c>
      <c r="L1530" s="143">
        <f>Purchase[[#This Row],[Purchase Rate]]*Purchase[[#This Row],[Qty]]</f>
        <v>681952</v>
      </c>
      <c r="M1530" s="140">
        <v>0</v>
      </c>
      <c r="N1530" s="143">
        <v>0</v>
      </c>
      <c r="O1530" s="140">
        <v>0.18</v>
      </c>
      <c r="P1530" s="145">
        <f>(Purchase[[#This Row],[Gross Amount]]-Purchase[[#This Row],[Disct %]])*Purchase[[#This Row],[GST %]]</f>
        <v>122751.36</v>
      </c>
      <c r="Q1530" s="145">
        <f>Purchase[[#This Row],[Gross Amount]]-Purchase[[#This Row],[Disct Amnt]]+Purchase[[#This Row],[GST Amount]]</f>
        <v>804703.36</v>
      </c>
      <c r="R1530" s="138" t="s">
        <v>1019</v>
      </c>
      <c r="S1530" s="41">
        <f>IF(Purchase[[#This Row],[Status]]="Cancelled",0,Purchase[[#This Row],[Qty]])</f>
        <v>32</v>
      </c>
      <c r="T1530" s="146">
        <f>IF(Purchase[[#This Row],[Status]]="Cancelled",0,Purchase[[#This Row],[Total Amount]])</f>
        <v>804703.36</v>
      </c>
      <c r="U1530" s="146">
        <f>SUM(Purchase[Net Amount])</f>
        <v>814985438.68000126</v>
      </c>
    </row>
    <row r="1531" spans="1:21" ht="19.5" thickBot="1" x14ac:dyDescent="0.3">
      <c r="A1531" s="136" t="s">
        <v>2585</v>
      </c>
      <c r="B1531" s="137">
        <v>45732</v>
      </c>
      <c r="C1531" s="138" t="s">
        <v>608</v>
      </c>
      <c r="D1531" s="138" t="str">
        <f>VLOOKUP(Purchase[[#This Row],[Supplier ID]],Supplier[#All],2,0)</f>
        <v>Global Suppliers</v>
      </c>
      <c r="E1531" s="138">
        <f>VLOOKUP(Purchase[[#This Row],[Supplier ID]],Supplier[#All],3,0)</f>
        <v>9689542499</v>
      </c>
      <c r="F1531" s="138" t="str">
        <f>VLOOKUP(Purchase[[#This Row],[Supplier ID]],Supplier[#All],4,0)</f>
        <v>Korba</v>
      </c>
      <c r="G1531" s="138" t="str">
        <f>VLOOKUP(Purchase[[#This Row],[Supplier ID]],Supplier[#All],5,0)</f>
        <v>CG</v>
      </c>
      <c r="H1531" s="138" t="str">
        <f>VLOOKUP(Purchase[[#This Row],[Supplier ID]],Supplier[#All],6,0)</f>
        <v>GST2154521T053</v>
      </c>
      <c r="I1531" s="138" t="s">
        <v>283</v>
      </c>
      <c r="J1531" s="139">
        <v>2</v>
      </c>
      <c r="K1531" s="143">
        <f>VLOOKUP(Purchase[[#This Row],[Product ID]],Product[#All],6,0)</f>
        <v>28087</v>
      </c>
      <c r="L1531" s="143">
        <f>Purchase[[#This Row],[Purchase Rate]]*Purchase[[#This Row],[Qty]]</f>
        <v>56174</v>
      </c>
      <c r="M1531" s="140">
        <v>0</v>
      </c>
      <c r="N1531" s="143">
        <v>0</v>
      </c>
      <c r="O1531" s="140">
        <v>0.18</v>
      </c>
      <c r="P1531" s="145">
        <f>(Purchase[[#This Row],[Gross Amount]]-Purchase[[#This Row],[Disct %]])*Purchase[[#This Row],[GST %]]</f>
        <v>10111.32</v>
      </c>
      <c r="Q1531" s="145">
        <f>Purchase[[#This Row],[Gross Amount]]-Purchase[[#This Row],[Disct Amnt]]+Purchase[[#This Row],[GST Amount]]</f>
        <v>66285.320000000007</v>
      </c>
      <c r="R1531" s="138" t="s">
        <v>1019</v>
      </c>
      <c r="S1531" s="41">
        <f>IF(Purchase[[#This Row],[Status]]="Cancelled",0,Purchase[[#This Row],[Qty]])</f>
        <v>2</v>
      </c>
      <c r="T1531" s="146">
        <f>IF(Purchase[[#This Row],[Status]]="Cancelled",0,Purchase[[#This Row],[Total Amount]])</f>
        <v>66285.320000000007</v>
      </c>
      <c r="U1531" s="146">
        <f>SUM(Purchase[Net Amount])</f>
        <v>814985438.68000126</v>
      </c>
    </row>
    <row r="1532" spans="1:21" ht="19.5" thickBot="1" x14ac:dyDescent="0.3">
      <c r="A1532" s="136" t="s">
        <v>2586</v>
      </c>
      <c r="B1532" s="137">
        <v>45732</v>
      </c>
      <c r="C1532" s="138" t="s">
        <v>611</v>
      </c>
      <c r="D1532" s="138" t="str">
        <f>VLOOKUP(Purchase[[#This Row],[Supplier ID]],Supplier[#All],2,0)</f>
        <v>National Distributors</v>
      </c>
      <c r="E1532" s="138">
        <f>VLOOKUP(Purchase[[#This Row],[Supplier ID]],Supplier[#All],3,0)</f>
        <v>9689542494</v>
      </c>
      <c r="F1532" s="138" t="str">
        <f>VLOOKUP(Purchase[[#This Row],[Supplier ID]],Supplier[#All],4,0)</f>
        <v>Korba</v>
      </c>
      <c r="G1532" s="138" t="str">
        <f>VLOOKUP(Purchase[[#This Row],[Supplier ID]],Supplier[#All],5,0)</f>
        <v>CG</v>
      </c>
      <c r="H1532" s="138" t="str">
        <f>VLOOKUP(Purchase[[#This Row],[Supplier ID]],Supplier[#All],6,0)</f>
        <v>GST2154521T056</v>
      </c>
      <c r="I1532" s="138" t="s">
        <v>469</v>
      </c>
      <c r="J1532" s="139">
        <v>13</v>
      </c>
      <c r="K1532" s="143">
        <f>VLOOKUP(Purchase[[#This Row],[Product ID]],Product[#All],6,0)</f>
        <v>5378</v>
      </c>
      <c r="L1532" s="143">
        <f>Purchase[[#This Row],[Purchase Rate]]*Purchase[[#This Row],[Qty]]</f>
        <v>69914</v>
      </c>
      <c r="M1532" s="140">
        <v>0</v>
      </c>
      <c r="N1532" s="143">
        <v>0</v>
      </c>
      <c r="O1532" s="140">
        <v>0.18</v>
      </c>
      <c r="P1532" s="145">
        <f>(Purchase[[#This Row],[Gross Amount]]-Purchase[[#This Row],[Disct %]])*Purchase[[#This Row],[GST %]]</f>
        <v>12584.52</v>
      </c>
      <c r="Q1532" s="145">
        <f>Purchase[[#This Row],[Gross Amount]]-Purchase[[#This Row],[Disct Amnt]]+Purchase[[#This Row],[GST Amount]]</f>
        <v>82498.52</v>
      </c>
      <c r="R1532" s="138" t="s">
        <v>1019</v>
      </c>
      <c r="S1532" s="41">
        <f>IF(Purchase[[#This Row],[Status]]="Cancelled",0,Purchase[[#This Row],[Qty]])</f>
        <v>13</v>
      </c>
      <c r="T1532" s="146">
        <f>IF(Purchase[[#This Row],[Status]]="Cancelled",0,Purchase[[#This Row],[Total Amount]])</f>
        <v>82498.52</v>
      </c>
      <c r="U1532" s="146">
        <f>SUM(Purchase[Net Amount])</f>
        <v>814985438.68000126</v>
      </c>
    </row>
    <row r="1533" spans="1:21" ht="19.5" thickBot="1" x14ac:dyDescent="0.3">
      <c r="A1533" s="136" t="s">
        <v>2587</v>
      </c>
      <c r="B1533" s="137">
        <v>45732</v>
      </c>
      <c r="C1533" s="138" t="s">
        <v>581</v>
      </c>
      <c r="D1533" s="138" t="str">
        <f>VLOOKUP(Purchase[[#This Row],[Supplier ID]],Supplier[#All],2,0)</f>
        <v>Prime Electronics</v>
      </c>
      <c r="E1533" s="138">
        <f>VLOOKUP(Purchase[[#This Row],[Supplier ID]],Supplier[#All],3,0)</f>
        <v>9689542465</v>
      </c>
      <c r="F1533" s="138" t="str">
        <f>VLOOKUP(Purchase[[#This Row],[Supplier ID]],Supplier[#All],4,0)</f>
        <v>Korba</v>
      </c>
      <c r="G1533" s="138" t="str">
        <f>VLOOKUP(Purchase[[#This Row],[Supplier ID]],Supplier[#All],5,0)</f>
        <v>CG</v>
      </c>
      <c r="H1533" s="138" t="str">
        <f>VLOOKUP(Purchase[[#This Row],[Supplier ID]],Supplier[#All],6,0)</f>
        <v>GST2154521T027</v>
      </c>
      <c r="I1533" s="138" t="s">
        <v>535</v>
      </c>
      <c r="J1533" s="139">
        <v>38</v>
      </c>
      <c r="K1533" s="143">
        <f>VLOOKUP(Purchase[[#This Row],[Product ID]],Product[#All],6,0)</f>
        <v>679</v>
      </c>
      <c r="L1533" s="143">
        <f>Purchase[[#This Row],[Purchase Rate]]*Purchase[[#This Row],[Qty]]</f>
        <v>25802</v>
      </c>
      <c r="M1533" s="140">
        <v>0</v>
      </c>
      <c r="N1533" s="143">
        <v>0</v>
      </c>
      <c r="O1533" s="140">
        <v>0.18</v>
      </c>
      <c r="P1533" s="145">
        <f>(Purchase[[#This Row],[Gross Amount]]-Purchase[[#This Row],[Disct %]])*Purchase[[#This Row],[GST %]]</f>
        <v>4644.3599999999997</v>
      </c>
      <c r="Q1533" s="145">
        <f>Purchase[[#This Row],[Gross Amount]]-Purchase[[#This Row],[Disct Amnt]]+Purchase[[#This Row],[GST Amount]]</f>
        <v>30446.36</v>
      </c>
      <c r="R1533" s="138" t="s">
        <v>1019</v>
      </c>
      <c r="S1533" s="41">
        <f>IF(Purchase[[#This Row],[Status]]="Cancelled",0,Purchase[[#This Row],[Qty]])</f>
        <v>38</v>
      </c>
      <c r="T1533" s="146">
        <f>IF(Purchase[[#This Row],[Status]]="Cancelled",0,Purchase[[#This Row],[Total Amount]])</f>
        <v>30446.36</v>
      </c>
      <c r="U1533" s="146">
        <f>SUM(Purchase[Net Amount])</f>
        <v>814985438.68000126</v>
      </c>
    </row>
    <row r="1534" spans="1:21" ht="19.5" thickBot="1" x14ac:dyDescent="0.3">
      <c r="A1534" s="136" t="s">
        <v>2588</v>
      </c>
      <c r="B1534" s="137">
        <v>45732</v>
      </c>
      <c r="C1534" s="138" t="s">
        <v>587</v>
      </c>
      <c r="D1534" s="138" t="str">
        <f>VLOOKUP(Purchase[[#This Row],[Supplier ID]],Supplier[#All],2,0)</f>
        <v>maa distributors</v>
      </c>
      <c r="E1534" s="138">
        <f>VLOOKUP(Purchase[[#This Row],[Supplier ID]],Supplier[#All],3,0)</f>
        <v>9689542479</v>
      </c>
      <c r="F1534" s="138" t="str">
        <f>VLOOKUP(Purchase[[#This Row],[Supplier ID]],Supplier[#All],4,0)</f>
        <v>Indore</v>
      </c>
      <c r="G1534" s="138" t="str">
        <f>VLOOKUP(Purchase[[#This Row],[Supplier ID]],Supplier[#All],5,0)</f>
        <v>MP</v>
      </c>
      <c r="H1534" s="138" t="str">
        <f>VLOOKUP(Purchase[[#This Row],[Supplier ID]],Supplier[#All],6,0)</f>
        <v>GST2154521T033</v>
      </c>
      <c r="I1534" s="138" t="s">
        <v>531</v>
      </c>
      <c r="J1534" s="139">
        <v>23</v>
      </c>
      <c r="K1534" s="143">
        <f>VLOOKUP(Purchase[[#This Row],[Product ID]],Product[#All],6,0)</f>
        <v>5489</v>
      </c>
      <c r="L1534" s="143">
        <f>Purchase[[#This Row],[Purchase Rate]]*Purchase[[#This Row],[Qty]]</f>
        <v>126247</v>
      </c>
      <c r="M1534" s="140">
        <v>0</v>
      </c>
      <c r="N1534" s="143">
        <v>0</v>
      </c>
      <c r="O1534" s="140">
        <v>0.18</v>
      </c>
      <c r="P1534" s="145">
        <f>(Purchase[[#This Row],[Gross Amount]]-Purchase[[#This Row],[Disct %]])*Purchase[[#This Row],[GST %]]</f>
        <v>22724.46</v>
      </c>
      <c r="Q1534" s="145">
        <f>Purchase[[#This Row],[Gross Amount]]-Purchase[[#This Row],[Disct Amnt]]+Purchase[[#This Row],[GST Amount]]</f>
        <v>148971.46</v>
      </c>
      <c r="R1534" s="138" t="s">
        <v>1019</v>
      </c>
      <c r="S1534" s="41">
        <f>IF(Purchase[[#This Row],[Status]]="Cancelled",0,Purchase[[#This Row],[Qty]])</f>
        <v>23</v>
      </c>
      <c r="T1534" s="146">
        <f>IF(Purchase[[#This Row],[Status]]="Cancelled",0,Purchase[[#This Row],[Total Amount]])</f>
        <v>148971.46</v>
      </c>
      <c r="U1534" s="146">
        <f>SUM(Purchase[Net Amount])</f>
        <v>814985438.68000126</v>
      </c>
    </row>
    <row r="1535" spans="1:21" ht="19.5" thickBot="1" x14ac:dyDescent="0.3">
      <c r="A1535" s="136" t="s">
        <v>2589</v>
      </c>
      <c r="B1535" s="137">
        <v>45732</v>
      </c>
      <c r="C1535" s="138" t="s">
        <v>580</v>
      </c>
      <c r="D1535" s="138" t="str">
        <f>VLOOKUP(Purchase[[#This Row],[Supplier ID]],Supplier[#All],2,0)</f>
        <v>Star Distributors</v>
      </c>
      <c r="E1535" s="138">
        <f>VLOOKUP(Purchase[[#This Row],[Supplier ID]],Supplier[#All],3,0)</f>
        <v>9689542464</v>
      </c>
      <c r="F1535" s="138" t="str">
        <f>VLOOKUP(Purchase[[#This Row],[Supplier ID]],Supplier[#All],4,0)</f>
        <v>Indore</v>
      </c>
      <c r="G1535" s="138" t="str">
        <f>VLOOKUP(Purchase[[#This Row],[Supplier ID]],Supplier[#All],5,0)</f>
        <v>MP</v>
      </c>
      <c r="H1535" s="138" t="str">
        <f>VLOOKUP(Purchase[[#This Row],[Supplier ID]],Supplier[#All],6,0)</f>
        <v>GST2154521T026</v>
      </c>
      <c r="I1535" s="138" t="s">
        <v>317</v>
      </c>
      <c r="J1535" s="139">
        <v>11</v>
      </c>
      <c r="K1535" s="143">
        <f>VLOOKUP(Purchase[[#This Row],[Product ID]],Product[#All],6,0)</f>
        <v>850</v>
      </c>
      <c r="L1535" s="143">
        <f>Purchase[[#This Row],[Purchase Rate]]*Purchase[[#This Row],[Qty]]</f>
        <v>9350</v>
      </c>
      <c r="M1535" s="140">
        <v>0</v>
      </c>
      <c r="N1535" s="143">
        <v>0</v>
      </c>
      <c r="O1535" s="140">
        <v>0.18</v>
      </c>
      <c r="P1535" s="145">
        <f>(Purchase[[#This Row],[Gross Amount]]-Purchase[[#This Row],[Disct %]])*Purchase[[#This Row],[GST %]]</f>
        <v>1683</v>
      </c>
      <c r="Q1535" s="145">
        <f>Purchase[[#This Row],[Gross Amount]]-Purchase[[#This Row],[Disct Amnt]]+Purchase[[#This Row],[GST Amount]]</f>
        <v>11033</v>
      </c>
      <c r="R1535" s="138" t="s">
        <v>1019</v>
      </c>
      <c r="S1535" s="41">
        <f>IF(Purchase[[#This Row],[Status]]="Cancelled",0,Purchase[[#This Row],[Qty]])</f>
        <v>11</v>
      </c>
      <c r="T1535" s="146">
        <f>IF(Purchase[[#This Row],[Status]]="Cancelled",0,Purchase[[#This Row],[Total Amount]])</f>
        <v>11033</v>
      </c>
      <c r="U1535" s="146">
        <f>SUM(Purchase[Net Amount])</f>
        <v>814985438.68000126</v>
      </c>
    </row>
    <row r="1536" spans="1:21" ht="19.5" thickBot="1" x14ac:dyDescent="0.3">
      <c r="A1536" s="136" t="s">
        <v>2590</v>
      </c>
      <c r="B1536" s="137">
        <v>45732</v>
      </c>
      <c r="C1536" s="138" t="s">
        <v>616</v>
      </c>
      <c r="D1536" s="138" t="str">
        <f>VLOOKUP(Purchase[[#This Row],[Supplier ID]],Supplier[#All],2,0)</f>
        <v>Global Suppliers</v>
      </c>
      <c r="E1536" s="138">
        <f>VLOOKUP(Purchase[[#This Row],[Supplier ID]],Supplier[#All],3,0)</f>
        <v>9689542499</v>
      </c>
      <c r="F1536" s="138" t="str">
        <f>VLOOKUP(Purchase[[#This Row],[Supplier ID]],Supplier[#All],4,0)</f>
        <v>Kanpur</v>
      </c>
      <c r="G1536" s="138" t="str">
        <f>VLOOKUP(Purchase[[#This Row],[Supplier ID]],Supplier[#All],5,0)</f>
        <v>UP</v>
      </c>
      <c r="H1536" s="138" t="str">
        <f>VLOOKUP(Purchase[[#This Row],[Supplier ID]],Supplier[#All],6,0)</f>
        <v>GST2154521T061</v>
      </c>
      <c r="I1536" s="138" t="s">
        <v>535</v>
      </c>
      <c r="J1536" s="139">
        <v>25</v>
      </c>
      <c r="K1536" s="143">
        <f>VLOOKUP(Purchase[[#This Row],[Product ID]],Product[#All],6,0)</f>
        <v>679</v>
      </c>
      <c r="L1536" s="143">
        <f>Purchase[[#This Row],[Purchase Rate]]*Purchase[[#This Row],[Qty]]</f>
        <v>16975</v>
      </c>
      <c r="M1536" s="140">
        <v>0</v>
      </c>
      <c r="N1536" s="143">
        <v>0</v>
      </c>
      <c r="O1536" s="140">
        <v>0.18</v>
      </c>
      <c r="P1536" s="145">
        <f>(Purchase[[#This Row],[Gross Amount]]-Purchase[[#This Row],[Disct %]])*Purchase[[#This Row],[GST %]]</f>
        <v>3055.5</v>
      </c>
      <c r="Q1536" s="145">
        <f>Purchase[[#This Row],[Gross Amount]]-Purchase[[#This Row],[Disct Amnt]]+Purchase[[#This Row],[GST Amount]]</f>
        <v>20030.5</v>
      </c>
      <c r="R1536" s="138" t="s">
        <v>1019</v>
      </c>
      <c r="S1536" s="41">
        <f>IF(Purchase[[#This Row],[Status]]="Cancelled",0,Purchase[[#This Row],[Qty]])</f>
        <v>25</v>
      </c>
      <c r="T1536" s="146">
        <f>IF(Purchase[[#This Row],[Status]]="Cancelled",0,Purchase[[#This Row],[Total Amount]])</f>
        <v>20030.5</v>
      </c>
      <c r="U1536" s="146">
        <f>SUM(Purchase[Net Amount])</f>
        <v>814985438.68000126</v>
      </c>
    </row>
    <row r="1537" spans="1:21" ht="19.5" thickBot="1" x14ac:dyDescent="0.3">
      <c r="A1537" s="136" t="s">
        <v>2591</v>
      </c>
      <c r="B1537" s="137">
        <v>45732</v>
      </c>
      <c r="C1537" s="138" t="s">
        <v>576</v>
      </c>
      <c r="D1537" s="138" t="str">
        <f>VLOOKUP(Purchase[[#This Row],[Supplier ID]],Supplier[#All],2,0)</f>
        <v>Maa Distributors</v>
      </c>
      <c r="E1537" s="138">
        <f>VLOOKUP(Purchase[[#This Row],[Supplier ID]],Supplier[#All],3,0)</f>
        <v>9689542460</v>
      </c>
      <c r="F1537" s="138" t="str">
        <f>VLOOKUP(Purchase[[#This Row],[Supplier ID]],Supplier[#All],4,0)</f>
        <v>Korba</v>
      </c>
      <c r="G1537" s="138" t="str">
        <f>VLOOKUP(Purchase[[#This Row],[Supplier ID]],Supplier[#All],5,0)</f>
        <v>CG</v>
      </c>
      <c r="H1537" s="138" t="str">
        <f>VLOOKUP(Purchase[[#This Row],[Supplier ID]],Supplier[#All],6,0)</f>
        <v>GST2154521T022</v>
      </c>
      <c r="I1537" s="138" t="s">
        <v>335</v>
      </c>
      <c r="J1537" s="139">
        <v>17</v>
      </c>
      <c r="K1537" s="143">
        <f>VLOOKUP(Purchase[[#This Row],[Product ID]],Product[#All],6,0)</f>
        <v>3570</v>
      </c>
      <c r="L1537" s="143">
        <f>Purchase[[#This Row],[Purchase Rate]]*Purchase[[#This Row],[Qty]]</f>
        <v>60690</v>
      </c>
      <c r="M1537" s="140">
        <v>0</v>
      </c>
      <c r="N1537" s="143">
        <v>0</v>
      </c>
      <c r="O1537" s="140">
        <v>0.18</v>
      </c>
      <c r="P1537" s="145">
        <f>(Purchase[[#This Row],[Gross Amount]]-Purchase[[#This Row],[Disct %]])*Purchase[[#This Row],[GST %]]</f>
        <v>10924.199999999999</v>
      </c>
      <c r="Q1537" s="145">
        <f>Purchase[[#This Row],[Gross Amount]]-Purchase[[#This Row],[Disct Amnt]]+Purchase[[#This Row],[GST Amount]]</f>
        <v>71614.2</v>
      </c>
      <c r="R1537" s="138" t="s">
        <v>1019</v>
      </c>
      <c r="S1537" s="41">
        <f>IF(Purchase[[#This Row],[Status]]="Cancelled",0,Purchase[[#This Row],[Qty]])</f>
        <v>17</v>
      </c>
      <c r="T1537" s="146">
        <f>IF(Purchase[[#This Row],[Status]]="Cancelled",0,Purchase[[#This Row],[Total Amount]])</f>
        <v>71614.2</v>
      </c>
      <c r="U1537" s="146">
        <f>SUM(Purchase[Net Amount])</f>
        <v>814985438.68000126</v>
      </c>
    </row>
    <row r="1538" spans="1:21" ht="19.5" thickBot="1" x14ac:dyDescent="0.3">
      <c r="A1538" s="136" t="s">
        <v>2592</v>
      </c>
      <c r="B1538" s="137">
        <v>45732</v>
      </c>
      <c r="C1538" s="138" t="s">
        <v>582</v>
      </c>
      <c r="D1538" s="138" t="str">
        <f>VLOOKUP(Purchase[[#This Row],[Supplier ID]],Supplier[#All],2,0)</f>
        <v>Tech Distributors</v>
      </c>
      <c r="E1538" s="138">
        <f>VLOOKUP(Purchase[[#This Row],[Supplier ID]],Supplier[#All],3,0)</f>
        <v>9689542466</v>
      </c>
      <c r="F1538" s="138" t="str">
        <f>VLOOKUP(Purchase[[#This Row],[Supplier ID]],Supplier[#All],4,0)</f>
        <v>Indore</v>
      </c>
      <c r="G1538" s="138" t="str">
        <f>VLOOKUP(Purchase[[#This Row],[Supplier ID]],Supplier[#All],5,0)</f>
        <v>MP</v>
      </c>
      <c r="H1538" s="138" t="str">
        <f>VLOOKUP(Purchase[[#This Row],[Supplier ID]],Supplier[#All],6,0)</f>
        <v>GST2154521T028</v>
      </c>
      <c r="I1538" s="138" t="s">
        <v>454</v>
      </c>
      <c r="J1538" s="139">
        <v>25</v>
      </c>
      <c r="K1538" s="143">
        <f>VLOOKUP(Purchase[[#This Row],[Product ID]],Product[#All],6,0)</f>
        <v>14397</v>
      </c>
      <c r="L1538" s="143">
        <f>Purchase[[#This Row],[Purchase Rate]]*Purchase[[#This Row],[Qty]]</f>
        <v>359925</v>
      </c>
      <c r="M1538" s="140">
        <v>0</v>
      </c>
      <c r="N1538" s="143">
        <v>0</v>
      </c>
      <c r="O1538" s="140">
        <v>0.18</v>
      </c>
      <c r="P1538" s="145">
        <f>(Purchase[[#This Row],[Gross Amount]]-Purchase[[#This Row],[Disct %]])*Purchase[[#This Row],[GST %]]</f>
        <v>64786.5</v>
      </c>
      <c r="Q1538" s="145">
        <f>Purchase[[#This Row],[Gross Amount]]-Purchase[[#This Row],[Disct Amnt]]+Purchase[[#This Row],[GST Amount]]</f>
        <v>424711.5</v>
      </c>
      <c r="R1538" s="138" t="s">
        <v>1019</v>
      </c>
      <c r="S1538" s="41">
        <f>IF(Purchase[[#This Row],[Status]]="Cancelled",0,Purchase[[#This Row],[Qty]])</f>
        <v>25</v>
      </c>
      <c r="T1538" s="146">
        <f>IF(Purchase[[#This Row],[Status]]="Cancelled",0,Purchase[[#This Row],[Total Amount]])</f>
        <v>424711.5</v>
      </c>
      <c r="U1538" s="146">
        <f>SUM(Purchase[Net Amount])</f>
        <v>814985438.68000126</v>
      </c>
    </row>
    <row r="1539" spans="1:21" ht="19.5" thickBot="1" x14ac:dyDescent="0.3">
      <c r="A1539" s="136" t="s">
        <v>2593</v>
      </c>
      <c r="B1539" s="137">
        <v>45732</v>
      </c>
      <c r="C1539" s="138" t="s">
        <v>575</v>
      </c>
      <c r="D1539" s="138" t="str">
        <f>VLOOKUP(Purchase[[#This Row],[Supplier ID]],Supplier[#All],2,0)</f>
        <v>Global Computers</v>
      </c>
      <c r="E1539" s="138">
        <f>VLOOKUP(Purchase[[#This Row],[Supplier ID]],Supplier[#All],3,0)</f>
        <v>9689542459</v>
      </c>
      <c r="F1539" s="138" t="str">
        <f>VLOOKUP(Purchase[[#This Row],[Supplier ID]],Supplier[#All],4,0)</f>
        <v>Indore</v>
      </c>
      <c r="G1539" s="138" t="str">
        <f>VLOOKUP(Purchase[[#This Row],[Supplier ID]],Supplier[#All],5,0)</f>
        <v>MP</v>
      </c>
      <c r="H1539" s="138" t="str">
        <f>VLOOKUP(Purchase[[#This Row],[Supplier ID]],Supplier[#All],6,0)</f>
        <v>GST2154521T021</v>
      </c>
      <c r="I1539" s="138" t="s">
        <v>243</v>
      </c>
      <c r="J1539" s="139">
        <v>13</v>
      </c>
      <c r="K1539" s="143">
        <f>VLOOKUP(Purchase[[#This Row],[Product ID]],Product[#All],6,0)</f>
        <v>2543</v>
      </c>
      <c r="L1539" s="143">
        <f>Purchase[[#This Row],[Purchase Rate]]*Purchase[[#This Row],[Qty]]</f>
        <v>33059</v>
      </c>
      <c r="M1539" s="140">
        <v>0</v>
      </c>
      <c r="N1539" s="143">
        <v>0</v>
      </c>
      <c r="O1539" s="140">
        <v>0.18</v>
      </c>
      <c r="P1539" s="145">
        <f>(Purchase[[#This Row],[Gross Amount]]-Purchase[[#This Row],[Disct %]])*Purchase[[#This Row],[GST %]]</f>
        <v>5950.62</v>
      </c>
      <c r="Q1539" s="145">
        <f>Purchase[[#This Row],[Gross Amount]]-Purchase[[#This Row],[Disct Amnt]]+Purchase[[#This Row],[GST Amount]]</f>
        <v>39009.620000000003</v>
      </c>
      <c r="R1539" s="138" t="s">
        <v>1019</v>
      </c>
      <c r="S1539" s="41">
        <f>IF(Purchase[[#This Row],[Status]]="Cancelled",0,Purchase[[#This Row],[Qty]])</f>
        <v>13</v>
      </c>
      <c r="T1539" s="146">
        <f>IF(Purchase[[#This Row],[Status]]="Cancelled",0,Purchase[[#This Row],[Total Amount]])</f>
        <v>39009.620000000003</v>
      </c>
      <c r="U1539" s="146">
        <f>SUM(Purchase[Net Amount])</f>
        <v>814985438.68000126</v>
      </c>
    </row>
    <row r="1540" spans="1:21" ht="19.5" thickBot="1" x14ac:dyDescent="0.3">
      <c r="A1540" s="136" t="s">
        <v>2594</v>
      </c>
      <c r="B1540" s="137">
        <v>45732</v>
      </c>
      <c r="C1540" s="138" t="s">
        <v>590</v>
      </c>
      <c r="D1540" s="138" t="str">
        <f>VLOOKUP(Purchase[[#This Row],[Supplier ID]],Supplier[#All],2,0)</f>
        <v>Star Distributors</v>
      </c>
      <c r="E1540" s="138">
        <f>VLOOKUP(Purchase[[#This Row],[Supplier ID]],Supplier[#All],3,0)</f>
        <v>9689542474</v>
      </c>
      <c r="F1540" s="138" t="str">
        <f>VLOOKUP(Purchase[[#This Row],[Supplier ID]],Supplier[#All],4,0)</f>
        <v>Kanpur</v>
      </c>
      <c r="G1540" s="138" t="str">
        <f>VLOOKUP(Purchase[[#This Row],[Supplier ID]],Supplier[#All],5,0)</f>
        <v>UP</v>
      </c>
      <c r="H1540" s="138" t="str">
        <f>VLOOKUP(Purchase[[#This Row],[Supplier ID]],Supplier[#All],6,0)</f>
        <v>GST2154521T036</v>
      </c>
      <c r="I1540" s="138" t="s">
        <v>539</v>
      </c>
      <c r="J1540" s="139">
        <v>24</v>
      </c>
      <c r="K1540" s="143">
        <f>VLOOKUP(Purchase[[#This Row],[Product ID]],Product[#All],6,0)</f>
        <v>21269</v>
      </c>
      <c r="L1540" s="143">
        <f>Purchase[[#This Row],[Purchase Rate]]*Purchase[[#This Row],[Qty]]</f>
        <v>510456</v>
      </c>
      <c r="M1540" s="140">
        <v>0</v>
      </c>
      <c r="N1540" s="143">
        <v>0</v>
      </c>
      <c r="O1540" s="140">
        <v>0.18</v>
      </c>
      <c r="P1540" s="145">
        <f>(Purchase[[#This Row],[Gross Amount]]-Purchase[[#This Row],[Disct %]])*Purchase[[#This Row],[GST %]]</f>
        <v>91882.08</v>
      </c>
      <c r="Q1540" s="145">
        <f>Purchase[[#This Row],[Gross Amount]]-Purchase[[#This Row],[Disct Amnt]]+Purchase[[#This Row],[GST Amount]]</f>
        <v>602338.07999999996</v>
      </c>
      <c r="R1540" s="138" t="s">
        <v>1019</v>
      </c>
      <c r="S1540" s="41">
        <f>IF(Purchase[[#This Row],[Status]]="Cancelled",0,Purchase[[#This Row],[Qty]])</f>
        <v>24</v>
      </c>
      <c r="T1540" s="146">
        <f>IF(Purchase[[#This Row],[Status]]="Cancelled",0,Purchase[[#This Row],[Total Amount]])</f>
        <v>602338.07999999996</v>
      </c>
      <c r="U1540" s="146">
        <f>SUM(Purchase[Net Amount])</f>
        <v>814985438.68000126</v>
      </c>
    </row>
    <row r="1541" spans="1:21" ht="19.5" thickBot="1" x14ac:dyDescent="0.3">
      <c r="A1541" s="136" t="s">
        <v>2595</v>
      </c>
      <c r="B1541" s="137">
        <v>45732</v>
      </c>
      <c r="C1541" s="138" t="s">
        <v>608</v>
      </c>
      <c r="D1541" s="138" t="str">
        <f>VLOOKUP(Purchase[[#This Row],[Supplier ID]],Supplier[#All],2,0)</f>
        <v>Global Suppliers</v>
      </c>
      <c r="E1541" s="138">
        <f>VLOOKUP(Purchase[[#This Row],[Supplier ID]],Supplier[#All],3,0)</f>
        <v>9689542499</v>
      </c>
      <c r="F1541" s="138" t="str">
        <f>VLOOKUP(Purchase[[#This Row],[Supplier ID]],Supplier[#All],4,0)</f>
        <v>Korba</v>
      </c>
      <c r="G1541" s="138" t="str">
        <f>VLOOKUP(Purchase[[#This Row],[Supplier ID]],Supplier[#All],5,0)</f>
        <v>CG</v>
      </c>
      <c r="H1541" s="138" t="str">
        <f>VLOOKUP(Purchase[[#This Row],[Supplier ID]],Supplier[#All],6,0)</f>
        <v>GST2154521T053</v>
      </c>
      <c r="I1541" s="138" t="s">
        <v>130</v>
      </c>
      <c r="J1541" s="139">
        <v>12</v>
      </c>
      <c r="K1541" s="143">
        <f>VLOOKUP(Purchase[[#This Row],[Product ID]],Product[#All],6,0)</f>
        <v>32914</v>
      </c>
      <c r="L1541" s="143">
        <f>Purchase[[#This Row],[Purchase Rate]]*Purchase[[#This Row],[Qty]]</f>
        <v>394968</v>
      </c>
      <c r="M1541" s="140">
        <v>0</v>
      </c>
      <c r="N1541" s="143">
        <v>0</v>
      </c>
      <c r="O1541" s="140">
        <v>0.18</v>
      </c>
      <c r="P1541" s="145">
        <f>(Purchase[[#This Row],[Gross Amount]]-Purchase[[#This Row],[Disct %]])*Purchase[[#This Row],[GST %]]</f>
        <v>71094.239999999991</v>
      </c>
      <c r="Q1541" s="145">
        <f>Purchase[[#This Row],[Gross Amount]]-Purchase[[#This Row],[Disct Amnt]]+Purchase[[#This Row],[GST Amount]]</f>
        <v>466062.24</v>
      </c>
      <c r="R1541" s="138" t="s">
        <v>1019</v>
      </c>
      <c r="S1541" s="41">
        <f>IF(Purchase[[#This Row],[Status]]="Cancelled",0,Purchase[[#This Row],[Qty]])</f>
        <v>12</v>
      </c>
      <c r="T1541" s="146">
        <f>IF(Purchase[[#This Row],[Status]]="Cancelled",0,Purchase[[#This Row],[Total Amount]])</f>
        <v>466062.24</v>
      </c>
      <c r="U1541" s="146">
        <f>SUM(Purchase[Net Amount])</f>
        <v>814985438.68000126</v>
      </c>
    </row>
    <row r="1542" spans="1:21" ht="19.5" thickBot="1" x14ac:dyDescent="0.3">
      <c r="A1542" s="136" t="s">
        <v>2596</v>
      </c>
      <c r="B1542" s="137">
        <v>45732</v>
      </c>
      <c r="C1542" s="138" t="s">
        <v>607</v>
      </c>
      <c r="D1542" s="138" t="str">
        <f>VLOOKUP(Purchase[[#This Row],[Supplier ID]],Supplier[#All],2,0)</f>
        <v>Global Distributors</v>
      </c>
      <c r="E1542" s="138">
        <f>VLOOKUP(Purchase[[#This Row],[Supplier ID]],Supplier[#All],3,0)</f>
        <v>9689542490</v>
      </c>
      <c r="F1542" s="138" t="str">
        <f>VLOOKUP(Purchase[[#This Row],[Supplier ID]],Supplier[#All],4,0)</f>
        <v>Kanpur</v>
      </c>
      <c r="G1542" s="138" t="str">
        <f>VLOOKUP(Purchase[[#This Row],[Supplier ID]],Supplier[#All],5,0)</f>
        <v>UP</v>
      </c>
      <c r="H1542" s="138" t="str">
        <f>VLOOKUP(Purchase[[#This Row],[Supplier ID]],Supplier[#All],6,0)</f>
        <v>GST2154521T052</v>
      </c>
      <c r="I1542" s="138" t="s">
        <v>441</v>
      </c>
      <c r="J1542" s="139">
        <v>20</v>
      </c>
      <c r="K1542" s="143">
        <f>VLOOKUP(Purchase[[#This Row],[Product ID]],Product[#All],6,0)</f>
        <v>3214</v>
      </c>
      <c r="L1542" s="143">
        <f>Purchase[[#This Row],[Purchase Rate]]*Purchase[[#This Row],[Qty]]</f>
        <v>64280</v>
      </c>
      <c r="M1542" s="140">
        <v>0</v>
      </c>
      <c r="N1542" s="143">
        <v>0</v>
      </c>
      <c r="O1542" s="140">
        <v>0.18</v>
      </c>
      <c r="P1542" s="145">
        <f>(Purchase[[#This Row],[Gross Amount]]-Purchase[[#This Row],[Disct %]])*Purchase[[#This Row],[GST %]]</f>
        <v>11570.4</v>
      </c>
      <c r="Q1542" s="145">
        <f>Purchase[[#This Row],[Gross Amount]]-Purchase[[#This Row],[Disct Amnt]]+Purchase[[#This Row],[GST Amount]]</f>
        <v>75850.399999999994</v>
      </c>
      <c r="R1542" s="138" t="s">
        <v>1019</v>
      </c>
      <c r="S1542" s="41">
        <f>IF(Purchase[[#This Row],[Status]]="Cancelled",0,Purchase[[#This Row],[Qty]])</f>
        <v>20</v>
      </c>
      <c r="T1542" s="146">
        <f>IF(Purchase[[#This Row],[Status]]="Cancelled",0,Purchase[[#This Row],[Total Amount]])</f>
        <v>75850.399999999994</v>
      </c>
      <c r="U1542" s="146">
        <f>SUM(Purchase[Net Amount])</f>
        <v>814985438.68000126</v>
      </c>
    </row>
    <row r="1543" spans="1:21" ht="19.5" thickBot="1" x14ac:dyDescent="0.3">
      <c r="A1543" s="136" t="s">
        <v>2597</v>
      </c>
      <c r="B1543" s="137">
        <v>45732</v>
      </c>
      <c r="C1543" s="138" t="s">
        <v>590</v>
      </c>
      <c r="D1543" s="138" t="str">
        <f>VLOOKUP(Purchase[[#This Row],[Supplier ID]],Supplier[#All],2,0)</f>
        <v>Star Distributors</v>
      </c>
      <c r="E1543" s="138">
        <f>VLOOKUP(Purchase[[#This Row],[Supplier ID]],Supplier[#All],3,0)</f>
        <v>9689542474</v>
      </c>
      <c r="F1543" s="138" t="str">
        <f>VLOOKUP(Purchase[[#This Row],[Supplier ID]],Supplier[#All],4,0)</f>
        <v>Kanpur</v>
      </c>
      <c r="G1543" s="138" t="str">
        <f>VLOOKUP(Purchase[[#This Row],[Supplier ID]],Supplier[#All],5,0)</f>
        <v>UP</v>
      </c>
      <c r="H1543" s="138" t="str">
        <f>VLOOKUP(Purchase[[#This Row],[Supplier ID]],Supplier[#All],6,0)</f>
        <v>GST2154521T036</v>
      </c>
      <c r="I1543" s="138" t="s">
        <v>87</v>
      </c>
      <c r="J1543" s="139">
        <v>16</v>
      </c>
      <c r="K1543" s="143">
        <f>VLOOKUP(Purchase[[#This Row],[Product ID]],Product[#All],6,0)</f>
        <v>822</v>
      </c>
      <c r="L1543" s="143">
        <f>Purchase[[#This Row],[Purchase Rate]]*Purchase[[#This Row],[Qty]]</f>
        <v>13152</v>
      </c>
      <c r="M1543" s="140">
        <v>0</v>
      </c>
      <c r="N1543" s="143">
        <v>0</v>
      </c>
      <c r="O1543" s="140">
        <v>0.18</v>
      </c>
      <c r="P1543" s="145">
        <f>(Purchase[[#This Row],[Gross Amount]]-Purchase[[#This Row],[Disct %]])*Purchase[[#This Row],[GST %]]</f>
        <v>2367.36</v>
      </c>
      <c r="Q1543" s="145">
        <f>Purchase[[#This Row],[Gross Amount]]-Purchase[[#This Row],[Disct Amnt]]+Purchase[[#This Row],[GST Amount]]</f>
        <v>15519.36</v>
      </c>
      <c r="R1543" s="138" t="s">
        <v>1019</v>
      </c>
      <c r="S1543" s="41">
        <f>IF(Purchase[[#This Row],[Status]]="Cancelled",0,Purchase[[#This Row],[Qty]])</f>
        <v>16</v>
      </c>
      <c r="T1543" s="146">
        <f>IF(Purchase[[#This Row],[Status]]="Cancelled",0,Purchase[[#This Row],[Total Amount]])</f>
        <v>15519.36</v>
      </c>
      <c r="U1543" s="146">
        <f>SUM(Purchase[Net Amount])</f>
        <v>814985438.68000126</v>
      </c>
    </row>
    <row r="1544" spans="1:21" ht="19.5" thickBot="1" x14ac:dyDescent="0.3">
      <c r="A1544" s="136" t="s">
        <v>2598</v>
      </c>
      <c r="B1544" s="137">
        <v>45732</v>
      </c>
      <c r="C1544" s="138" t="s">
        <v>580</v>
      </c>
      <c r="D1544" s="138" t="str">
        <f>VLOOKUP(Purchase[[#This Row],[Supplier ID]],Supplier[#All],2,0)</f>
        <v>Star Distributors</v>
      </c>
      <c r="E1544" s="138">
        <f>VLOOKUP(Purchase[[#This Row],[Supplier ID]],Supplier[#All],3,0)</f>
        <v>9689542464</v>
      </c>
      <c r="F1544" s="138" t="str">
        <f>VLOOKUP(Purchase[[#This Row],[Supplier ID]],Supplier[#All],4,0)</f>
        <v>Indore</v>
      </c>
      <c r="G1544" s="138" t="str">
        <f>VLOOKUP(Purchase[[#This Row],[Supplier ID]],Supplier[#All],5,0)</f>
        <v>MP</v>
      </c>
      <c r="H1544" s="138" t="str">
        <f>VLOOKUP(Purchase[[#This Row],[Supplier ID]],Supplier[#All],6,0)</f>
        <v>GST2154521T026</v>
      </c>
      <c r="I1544" s="138" t="s">
        <v>205</v>
      </c>
      <c r="J1544" s="139">
        <v>30</v>
      </c>
      <c r="K1544" s="143">
        <f>VLOOKUP(Purchase[[#This Row],[Product ID]],Product[#All],6,0)</f>
        <v>3906</v>
      </c>
      <c r="L1544" s="143">
        <f>Purchase[[#This Row],[Purchase Rate]]*Purchase[[#This Row],[Qty]]</f>
        <v>117180</v>
      </c>
      <c r="M1544" s="140">
        <v>0</v>
      </c>
      <c r="N1544" s="143">
        <v>0</v>
      </c>
      <c r="O1544" s="140">
        <v>0.18</v>
      </c>
      <c r="P1544" s="145">
        <f>(Purchase[[#This Row],[Gross Amount]]-Purchase[[#This Row],[Disct %]])*Purchase[[#This Row],[GST %]]</f>
        <v>21092.399999999998</v>
      </c>
      <c r="Q1544" s="145">
        <f>Purchase[[#This Row],[Gross Amount]]-Purchase[[#This Row],[Disct Amnt]]+Purchase[[#This Row],[GST Amount]]</f>
        <v>138272.4</v>
      </c>
      <c r="R1544" s="138" t="s">
        <v>1019</v>
      </c>
      <c r="S1544" s="41">
        <f>IF(Purchase[[#This Row],[Status]]="Cancelled",0,Purchase[[#This Row],[Qty]])</f>
        <v>30</v>
      </c>
      <c r="T1544" s="146">
        <f>IF(Purchase[[#This Row],[Status]]="Cancelled",0,Purchase[[#This Row],[Total Amount]])</f>
        <v>138272.4</v>
      </c>
      <c r="U1544" s="146">
        <f>SUM(Purchase[Net Amount])</f>
        <v>814985438.68000126</v>
      </c>
    </row>
    <row r="1545" spans="1:21" ht="19.5" thickBot="1" x14ac:dyDescent="0.3">
      <c r="A1545" s="136" t="s">
        <v>2599</v>
      </c>
      <c r="B1545" s="137">
        <v>45732</v>
      </c>
      <c r="C1545" s="138" t="s">
        <v>586</v>
      </c>
      <c r="D1545" s="138" t="str">
        <f>VLOOKUP(Purchase[[#This Row],[Supplier ID]],Supplier[#All],2,0)</f>
        <v>Maa Traders</v>
      </c>
      <c r="E1545" s="138">
        <f>VLOOKUP(Purchase[[#This Row],[Supplier ID]],Supplier[#All],3,0)</f>
        <v>9689542470</v>
      </c>
      <c r="F1545" s="138" t="str">
        <f>VLOOKUP(Purchase[[#This Row],[Supplier ID]],Supplier[#All],4,0)</f>
        <v>Kanpur</v>
      </c>
      <c r="G1545" s="138" t="str">
        <f>VLOOKUP(Purchase[[#This Row],[Supplier ID]],Supplier[#All],5,0)</f>
        <v>UP</v>
      </c>
      <c r="H1545" s="138" t="str">
        <f>VLOOKUP(Purchase[[#This Row],[Supplier ID]],Supplier[#All],6,0)</f>
        <v>GST2154521T032</v>
      </c>
      <c r="I1545" s="138" t="s">
        <v>65</v>
      </c>
      <c r="J1545" s="139">
        <v>16</v>
      </c>
      <c r="K1545" s="143">
        <f>VLOOKUP(Purchase[[#This Row],[Product ID]],Product[#All],6,0)</f>
        <v>1758</v>
      </c>
      <c r="L1545" s="143">
        <f>Purchase[[#This Row],[Purchase Rate]]*Purchase[[#This Row],[Qty]]</f>
        <v>28128</v>
      </c>
      <c r="M1545" s="140">
        <v>0</v>
      </c>
      <c r="N1545" s="143">
        <v>0</v>
      </c>
      <c r="O1545" s="140">
        <v>0.18</v>
      </c>
      <c r="P1545" s="145">
        <f>(Purchase[[#This Row],[Gross Amount]]-Purchase[[#This Row],[Disct %]])*Purchase[[#This Row],[GST %]]</f>
        <v>5063.04</v>
      </c>
      <c r="Q1545" s="145">
        <f>Purchase[[#This Row],[Gross Amount]]-Purchase[[#This Row],[Disct Amnt]]+Purchase[[#This Row],[GST Amount]]</f>
        <v>33191.040000000001</v>
      </c>
      <c r="R1545" s="138" t="s">
        <v>1019</v>
      </c>
      <c r="S1545" s="41">
        <f>IF(Purchase[[#This Row],[Status]]="Cancelled",0,Purchase[[#This Row],[Qty]])</f>
        <v>16</v>
      </c>
      <c r="T1545" s="146">
        <f>IF(Purchase[[#This Row],[Status]]="Cancelled",0,Purchase[[#This Row],[Total Amount]])</f>
        <v>33191.040000000001</v>
      </c>
      <c r="U1545" s="146">
        <f>SUM(Purchase[Net Amount])</f>
        <v>814985438.68000126</v>
      </c>
    </row>
    <row r="1546" spans="1:21" ht="19.5" thickBot="1" x14ac:dyDescent="0.3">
      <c r="A1546" s="136" t="s">
        <v>2600</v>
      </c>
      <c r="B1546" s="137">
        <v>45732</v>
      </c>
      <c r="C1546" s="138" t="s">
        <v>568</v>
      </c>
      <c r="D1546" s="138" t="str">
        <f>VLOOKUP(Purchase[[#This Row],[Supplier ID]],Supplier[#All],2,0)</f>
        <v>Maa Computers</v>
      </c>
      <c r="E1546" s="138">
        <f>VLOOKUP(Purchase[[#This Row],[Supplier ID]],Supplier[#All],3,0)</f>
        <v>9689542454</v>
      </c>
      <c r="F1546" s="138" t="str">
        <f>VLOOKUP(Purchase[[#This Row],[Supplier ID]],Supplier[#All],4,0)</f>
        <v>Korba</v>
      </c>
      <c r="G1546" s="138" t="str">
        <f>VLOOKUP(Purchase[[#This Row],[Supplier ID]],Supplier[#All],5,0)</f>
        <v>CG</v>
      </c>
      <c r="H1546" s="138" t="str">
        <f>VLOOKUP(Purchase[[#This Row],[Supplier ID]],Supplier[#All],6,0)</f>
        <v>GST2154521T016</v>
      </c>
      <c r="I1546" s="138" t="s">
        <v>451</v>
      </c>
      <c r="J1546" s="139">
        <v>33</v>
      </c>
      <c r="K1546" s="143">
        <f>VLOOKUP(Purchase[[#This Row],[Product ID]],Product[#All],6,0)</f>
        <v>28254</v>
      </c>
      <c r="L1546" s="143">
        <f>Purchase[[#This Row],[Purchase Rate]]*Purchase[[#This Row],[Qty]]</f>
        <v>932382</v>
      </c>
      <c r="M1546" s="140">
        <v>0</v>
      </c>
      <c r="N1546" s="143">
        <v>0</v>
      </c>
      <c r="O1546" s="140">
        <v>0.18</v>
      </c>
      <c r="P1546" s="145">
        <f>(Purchase[[#This Row],[Gross Amount]]-Purchase[[#This Row],[Disct %]])*Purchase[[#This Row],[GST %]]</f>
        <v>167828.75999999998</v>
      </c>
      <c r="Q1546" s="145">
        <f>Purchase[[#This Row],[Gross Amount]]-Purchase[[#This Row],[Disct Amnt]]+Purchase[[#This Row],[GST Amount]]</f>
        <v>1100210.76</v>
      </c>
      <c r="R1546" s="138" t="s">
        <v>1040</v>
      </c>
      <c r="S1546" s="41">
        <f>IF(Purchase[[#This Row],[Status]]="Cancelled",0,Purchase[[#This Row],[Qty]])</f>
        <v>0</v>
      </c>
      <c r="T1546" s="146">
        <f>IF(Purchase[[#This Row],[Status]]="Cancelled",0,Purchase[[#This Row],[Total Amount]])</f>
        <v>0</v>
      </c>
      <c r="U1546" s="146">
        <f>SUM(Purchase[Net Amount])</f>
        <v>814985438.68000126</v>
      </c>
    </row>
    <row r="1547" spans="1:21" ht="19.5" thickBot="1" x14ac:dyDescent="0.3">
      <c r="A1547" s="136" t="s">
        <v>2601</v>
      </c>
      <c r="B1547" s="137">
        <v>45733</v>
      </c>
      <c r="C1547" s="138" t="s">
        <v>599</v>
      </c>
      <c r="D1547" s="138" t="str">
        <f>VLOOKUP(Purchase[[#This Row],[Supplier ID]],Supplier[#All],2,0)</f>
        <v>National Distributors</v>
      </c>
      <c r="E1547" s="138">
        <f>VLOOKUP(Purchase[[#This Row],[Supplier ID]],Supplier[#All],3,0)</f>
        <v>9689542482</v>
      </c>
      <c r="F1547" s="138" t="str">
        <f>VLOOKUP(Purchase[[#This Row],[Supplier ID]],Supplier[#All],4,0)</f>
        <v>Kanpur</v>
      </c>
      <c r="G1547" s="138" t="str">
        <f>VLOOKUP(Purchase[[#This Row],[Supplier ID]],Supplier[#All],5,0)</f>
        <v>UP</v>
      </c>
      <c r="H1547" s="138" t="str">
        <f>VLOOKUP(Purchase[[#This Row],[Supplier ID]],Supplier[#All],6,0)</f>
        <v>GST2154521T044</v>
      </c>
      <c r="I1547" s="138" t="s">
        <v>100</v>
      </c>
      <c r="J1547" s="139">
        <v>6</v>
      </c>
      <c r="K1547" s="143">
        <f>VLOOKUP(Purchase[[#This Row],[Product ID]],Product[#All],6,0)</f>
        <v>162</v>
      </c>
      <c r="L1547" s="143">
        <f>Purchase[[#This Row],[Purchase Rate]]*Purchase[[#This Row],[Qty]]</f>
        <v>972</v>
      </c>
      <c r="M1547" s="140">
        <v>0</v>
      </c>
      <c r="N1547" s="143">
        <v>0</v>
      </c>
      <c r="O1547" s="140">
        <v>0.18</v>
      </c>
      <c r="P1547" s="145">
        <f>(Purchase[[#This Row],[Gross Amount]]-Purchase[[#This Row],[Disct %]])*Purchase[[#This Row],[GST %]]</f>
        <v>174.95999999999998</v>
      </c>
      <c r="Q1547" s="145">
        <f>Purchase[[#This Row],[Gross Amount]]-Purchase[[#This Row],[Disct Amnt]]+Purchase[[#This Row],[GST Amount]]</f>
        <v>1146.96</v>
      </c>
      <c r="R1547" s="138" t="s">
        <v>1019</v>
      </c>
      <c r="S1547" s="41">
        <f>IF(Purchase[[#This Row],[Status]]="Cancelled",0,Purchase[[#This Row],[Qty]])</f>
        <v>6</v>
      </c>
      <c r="T1547" s="146">
        <f>IF(Purchase[[#This Row],[Status]]="Cancelled",0,Purchase[[#This Row],[Total Amount]])</f>
        <v>1146.96</v>
      </c>
      <c r="U1547" s="146">
        <f>SUM(Purchase[Net Amount])</f>
        <v>814985438.68000126</v>
      </c>
    </row>
    <row r="1548" spans="1:21" ht="19.5" thickBot="1" x14ac:dyDescent="0.3">
      <c r="A1548" s="136" t="s">
        <v>2602</v>
      </c>
      <c r="B1548" s="137">
        <v>45733</v>
      </c>
      <c r="C1548" s="138" t="s">
        <v>600</v>
      </c>
      <c r="D1548" s="138" t="str">
        <f>VLOOKUP(Purchase[[#This Row],[Supplier ID]],Supplier[#All],2,0)</f>
        <v>Prime Suppliers</v>
      </c>
      <c r="E1548" s="138">
        <f>VLOOKUP(Purchase[[#This Row],[Supplier ID]],Supplier[#All],3,0)</f>
        <v>9689542483</v>
      </c>
      <c r="F1548" s="138" t="str">
        <f>VLOOKUP(Purchase[[#This Row],[Supplier ID]],Supplier[#All],4,0)</f>
        <v>Korba</v>
      </c>
      <c r="G1548" s="138" t="str">
        <f>VLOOKUP(Purchase[[#This Row],[Supplier ID]],Supplier[#All],5,0)</f>
        <v>CG</v>
      </c>
      <c r="H1548" s="138" t="str">
        <f>VLOOKUP(Purchase[[#This Row],[Supplier ID]],Supplier[#All],6,0)</f>
        <v>GST2154521T045</v>
      </c>
      <c r="I1548" s="138" t="s">
        <v>256</v>
      </c>
      <c r="J1548" s="139">
        <v>20</v>
      </c>
      <c r="K1548" s="143">
        <f>VLOOKUP(Purchase[[#This Row],[Product ID]],Product[#All],6,0)</f>
        <v>82676</v>
      </c>
      <c r="L1548" s="143">
        <f>Purchase[[#This Row],[Purchase Rate]]*Purchase[[#This Row],[Qty]]</f>
        <v>1653520</v>
      </c>
      <c r="M1548" s="140">
        <v>0</v>
      </c>
      <c r="N1548" s="143">
        <v>0</v>
      </c>
      <c r="O1548" s="140">
        <v>0.18</v>
      </c>
      <c r="P1548" s="145">
        <f>(Purchase[[#This Row],[Gross Amount]]-Purchase[[#This Row],[Disct %]])*Purchase[[#This Row],[GST %]]</f>
        <v>297633.59999999998</v>
      </c>
      <c r="Q1548" s="145">
        <f>Purchase[[#This Row],[Gross Amount]]-Purchase[[#This Row],[Disct Amnt]]+Purchase[[#This Row],[GST Amount]]</f>
        <v>1951153.6</v>
      </c>
      <c r="R1548" s="138" t="s">
        <v>1019</v>
      </c>
      <c r="S1548" s="41">
        <f>IF(Purchase[[#This Row],[Status]]="Cancelled",0,Purchase[[#This Row],[Qty]])</f>
        <v>20</v>
      </c>
      <c r="T1548" s="146">
        <f>IF(Purchase[[#This Row],[Status]]="Cancelled",0,Purchase[[#This Row],[Total Amount]])</f>
        <v>1951153.6</v>
      </c>
      <c r="U1548" s="146">
        <f>SUM(Purchase[Net Amount])</f>
        <v>814985438.68000126</v>
      </c>
    </row>
    <row r="1549" spans="1:21" ht="19.5" thickBot="1" x14ac:dyDescent="0.3">
      <c r="A1549" s="136" t="s">
        <v>2603</v>
      </c>
      <c r="B1549" s="137">
        <v>45733</v>
      </c>
      <c r="C1549" s="138" t="s">
        <v>582</v>
      </c>
      <c r="D1549" s="138" t="str">
        <f>VLOOKUP(Purchase[[#This Row],[Supplier ID]],Supplier[#All],2,0)</f>
        <v>Tech Distributors</v>
      </c>
      <c r="E1549" s="138">
        <f>VLOOKUP(Purchase[[#This Row],[Supplier ID]],Supplier[#All],3,0)</f>
        <v>9689542466</v>
      </c>
      <c r="F1549" s="138" t="str">
        <f>VLOOKUP(Purchase[[#This Row],[Supplier ID]],Supplier[#All],4,0)</f>
        <v>Indore</v>
      </c>
      <c r="G1549" s="138" t="str">
        <f>VLOOKUP(Purchase[[#This Row],[Supplier ID]],Supplier[#All],5,0)</f>
        <v>MP</v>
      </c>
      <c r="H1549" s="138" t="str">
        <f>VLOOKUP(Purchase[[#This Row],[Supplier ID]],Supplier[#All],6,0)</f>
        <v>GST2154521T028</v>
      </c>
      <c r="I1549" s="138" t="s">
        <v>263</v>
      </c>
      <c r="J1549" s="139">
        <v>28</v>
      </c>
      <c r="K1549" s="143">
        <f>VLOOKUP(Purchase[[#This Row],[Product ID]],Product[#All],6,0)</f>
        <v>619</v>
      </c>
      <c r="L1549" s="143">
        <f>Purchase[[#This Row],[Purchase Rate]]*Purchase[[#This Row],[Qty]]</f>
        <v>17332</v>
      </c>
      <c r="M1549" s="140">
        <v>0</v>
      </c>
      <c r="N1549" s="143">
        <v>0</v>
      </c>
      <c r="O1549" s="140">
        <v>0.18</v>
      </c>
      <c r="P1549" s="145">
        <f>(Purchase[[#This Row],[Gross Amount]]-Purchase[[#This Row],[Disct %]])*Purchase[[#This Row],[GST %]]</f>
        <v>3119.7599999999998</v>
      </c>
      <c r="Q1549" s="145">
        <f>Purchase[[#This Row],[Gross Amount]]-Purchase[[#This Row],[Disct Amnt]]+Purchase[[#This Row],[GST Amount]]</f>
        <v>20451.759999999998</v>
      </c>
      <c r="R1549" s="138" t="s">
        <v>1040</v>
      </c>
      <c r="S1549" s="41">
        <f>IF(Purchase[[#This Row],[Status]]="Cancelled",0,Purchase[[#This Row],[Qty]])</f>
        <v>0</v>
      </c>
      <c r="T1549" s="146">
        <f>IF(Purchase[[#This Row],[Status]]="Cancelled",0,Purchase[[#This Row],[Total Amount]])</f>
        <v>0</v>
      </c>
      <c r="U1549" s="146">
        <f>SUM(Purchase[Net Amount])</f>
        <v>814985438.68000126</v>
      </c>
    </row>
    <row r="1550" spans="1:21" ht="19.5" thickBot="1" x14ac:dyDescent="0.3">
      <c r="A1550" s="136" t="s">
        <v>2604</v>
      </c>
      <c r="B1550" s="137">
        <v>45733</v>
      </c>
      <c r="C1550" s="138" t="s">
        <v>588</v>
      </c>
      <c r="D1550" s="138" t="str">
        <f>VLOOKUP(Purchase[[#This Row],[Supplier ID]],Supplier[#All],2,0)</f>
        <v>Star Electronics</v>
      </c>
      <c r="E1550" s="138">
        <f>VLOOKUP(Purchase[[#This Row],[Supplier ID]],Supplier[#All],3,0)</f>
        <v>9689542472</v>
      </c>
      <c r="F1550" s="138" t="str">
        <f>VLOOKUP(Purchase[[#This Row],[Supplier ID]],Supplier[#All],4,0)</f>
        <v>Korba</v>
      </c>
      <c r="G1550" s="138" t="str">
        <f>VLOOKUP(Purchase[[#This Row],[Supplier ID]],Supplier[#All],5,0)</f>
        <v>CG</v>
      </c>
      <c r="H1550" s="138" t="str">
        <f>VLOOKUP(Purchase[[#This Row],[Supplier ID]],Supplier[#All],6,0)</f>
        <v>GST2154521T034</v>
      </c>
      <c r="I1550" s="138" t="s">
        <v>459</v>
      </c>
      <c r="J1550" s="139">
        <v>35</v>
      </c>
      <c r="K1550" s="143">
        <f>VLOOKUP(Purchase[[#This Row],[Product ID]],Product[#All],6,0)</f>
        <v>1347</v>
      </c>
      <c r="L1550" s="143">
        <f>Purchase[[#This Row],[Purchase Rate]]*Purchase[[#This Row],[Qty]]</f>
        <v>47145</v>
      </c>
      <c r="M1550" s="140">
        <v>0</v>
      </c>
      <c r="N1550" s="143">
        <v>0</v>
      </c>
      <c r="O1550" s="140">
        <v>0.18</v>
      </c>
      <c r="P1550" s="145">
        <f>(Purchase[[#This Row],[Gross Amount]]-Purchase[[#This Row],[Disct %]])*Purchase[[#This Row],[GST %]]</f>
        <v>8486.1</v>
      </c>
      <c r="Q1550" s="145">
        <f>Purchase[[#This Row],[Gross Amount]]-Purchase[[#This Row],[Disct Amnt]]+Purchase[[#This Row],[GST Amount]]</f>
        <v>55631.1</v>
      </c>
      <c r="R1550" s="138" t="s">
        <v>1019</v>
      </c>
      <c r="S1550" s="41">
        <f>IF(Purchase[[#This Row],[Status]]="Cancelled",0,Purchase[[#This Row],[Qty]])</f>
        <v>35</v>
      </c>
      <c r="T1550" s="146">
        <f>IF(Purchase[[#This Row],[Status]]="Cancelled",0,Purchase[[#This Row],[Total Amount]])</f>
        <v>55631.1</v>
      </c>
      <c r="U1550" s="146">
        <f>SUM(Purchase[Net Amount])</f>
        <v>814985438.68000126</v>
      </c>
    </row>
    <row r="1551" spans="1:21" ht="19.5" thickBot="1" x14ac:dyDescent="0.3">
      <c r="A1551" s="136" t="s">
        <v>2605</v>
      </c>
      <c r="B1551" s="137">
        <v>45733</v>
      </c>
      <c r="C1551" s="138" t="s">
        <v>603</v>
      </c>
      <c r="D1551" s="138" t="str">
        <f>VLOOKUP(Purchase[[#This Row],[Supplier ID]],Supplier[#All],2,0)</f>
        <v>Tech Computers</v>
      </c>
      <c r="E1551" s="138">
        <f>VLOOKUP(Purchase[[#This Row],[Supplier ID]],Supplier[#All],3,0)</f>
        <v>9689542486</v>
      </c>
      <c r="F1551" s="138" t="str">
        <f>VLOOKUP(Purchase[[#This Row],[Supplier ID]],Supplier[#All],4,0)</f>
        <v>Indore</v>
      </c>
      <c r="G1551" s="138" t="str">
        <f>VLOOKUP(Purchase[[#This Row],[Supplier ID]],Supplier[#All],5,0)</f>
        <v>MP</v>
      </c>
      <c r="H1551" s="138" t="str">
        <f>VLOOKUP(Purchase[[#This Row],[Supplier ID]],Supplier[#All],6,0)</f>
        <v>GST2154521T048</v>
      </c>
      <c r="I1551" s="138" t="s">
        <v>104</v>
      </c>
      <c r="J1551" s="139">
        <v>17</v>
      </c>
      <c r="K1551" s="143">
        <f>VLOOKUP(Purchase[[#This Row],[Product ID]],Product[#All],6,0)</f>
        <v>39369</v>
      </c>
      <c r="L1551" s="143">
        <f>Purchase[[#This Row],[Purchase Rate]]*Purchase[[#This Row],[Qty]]</f>
        <v>669273</v>
      </c>
      <c r="M1551" s="140">
        <v>0</v>
      </c>
      <c r="N1551" s="143">
        <v>0</v>
      </c>
      <c r="O1551" s="140">
        <v>0.18</v>
      </c>
      <c r="P1551" s="145">
        <f>(Purchase[[#This Row],[Gross Amount]]-Purchase[[#This Row],[Disct %]])*Purchase[[#This Row],[GST %]]</f>
        <v>120469.14</v>
      </c>
      <c r="Q1551" s="145">
        <f>Purchase[[#This Row],[Gross Amount]]-Purchase[[#This Row],[Disct Amnt]]+Purchase[[#This Row],[GST Amount]]</f>
        <v>789742.14</v>
      </c>
      <c r="R1551" s="138" t="s">
        <v>1019</v>
      </c>
      <c r="S1551" s="41">
        <f>IF(Purchase[[#This Row],[Status]]="Cancelled",0,Purchase[[#This Row],[Qty]])</f>
        <v>17</v>
      </c>
      <c r="T1551" s="146">
        <f>IF(Purchase[[#This Row],[Status]]="Cancelled",0,Purchase[[#This Row],[Total Amount]])</f>
        <v>789742.14</v>
      </c>
      <c r="U1551" s="146">
        <f>SUM(Purchase[Net Amount])</f>
        <v>814985438.68000126</v>
      </c>
    </row>
    <row r="1552" spans="1:21" ht="19.5" thickBot="1" x14ac:dyDescent="0.3">
      <c r="A1552" s="136" t="s">
        <v>2606</v>
      </c>
      <c r="B1552" s="137">
        <v>45733</v>
      </c>
      <c r="C1552" s="138" t="s">
        <v>580</v>
      </c>
      <c r="D1552" s="138" t="str">
        <f>VLOOKUP(Purchase[[#This Row],[Supplier ID]],Supplier[#All],2,0)</f>
        <v>Star Distributors</v>
      </c>
      <c r="E1552" s="138">
        <f>VLOOKUP(Purchase[[#This Row],[Supplier ID]],Supplier[#All],3,0)</f>
        <v>9689542464</v>
      </c>
      <c r="F1552" s="138" t="str">
        <f>VLOOKUP(Purchase[[#This Row],[Supplier ID]],Supplier[#All],4,0)</f>
        <v>Indore</v>
      </c>
      <c r="G1552" s="138" t="str">
        <f>VLOOKUP(Purchase[[#This Row],[Supplier ID]],Supplier[#All],5,0)</f>
        <v>MP</v>
      </c>
      <c r="H1552" s="138" t="str">
        <f>VLOOKUP(Purchase[[#This Row],[Supplier ID]],Supplier[#All],6,0)</f>
        <v>GST2154521T026</v>
      </c>
      <c r="I1552" s="138" t="s">
        <v>428</v>
      </c>
      <c r="J1552" s="139">
        <v>25</v>
      </c>
      <c r="K1552" s="143">
        <f>VLOOKUP(Purchase[[#This Row],[Product ID]],Product[#All],6,0)</f>
        <v>6736</v>
      </c>
      <c r="L1552" s="143">
        <f>Purchase[[#This Row],[Purchase Rate]]*Purchase[[#This Row],[Qty]]</f>
        <v>168400</v>
      </c>
      <c r="M1552" s="140">
        <v>0</v>
      </c>
      <c r="N1552" s="143">
        <v>0</v>
      </c>
      <c r="O1552" s="140">
        <v>0.18</v>
      </c>
      <c r="P1552" s="145">
        <f>(Purchase[[#This Row],[Gross Amount]]-Purchase[[#This Row],[Disct %]])*Purchase[[#This Row],[GST %]]</f>
        <v>30312</v>
      </c>
      <c r="Q1552" s="145">
        <f>Purchase[[#This Row],[Gross Amount]]-Purchase[[#This Row],[Disct Amnt]]+Purchase[[#This Row],[GST Amount]]</f>
        <v>198712</v>
      </c>
      <c r="R1552" s="138" t="s">
        <v>1019</v>
      </c>
      <c r="S1552" s="41">
        <f>IF(Purchase[[#This Row],[Status]]="Cancelled",0,Purchase[[#This Row],[Qty]])</f>
        <v>25</v>
      </c>
      <c r="T1552" s="146">
        <f>IF(Purchase[[#This Row],[Status]]="Cancelled",0,Purchase[[#This Row],[Total Amount]])</f>
        <v>198712</v>
      </c>
      <c r="U1552" s="146">
        <f>SUM(Purchase[Net Amount])</f>
        <v>814985438.68000126</v>
      </c>
    </row>
    <row r="1553" spans="1:21" ht="19.5" thickBot="1" x14ac:dyDescent="0.3">
      <c r="A1553" s="136" t="s">
        <v>2607</v>
      </c>
      <c r="B1553" s="137">
        <v>45733</v>
      </c>
      <c r="C1553" s="138" t="s">
        <v>611</v>
      </c>
      <c r="D1553" s="138" t="str">
        <f>VLOOKUP(Purchase[[#This Row],[Supplier ID]],Supplier[#All],2,0)</f>
        <v>National Distributors</v>
      </c>
      <c r="E1553" s="138">
        <f>VLOOKUP(Purchase[[#This Row],[Supplier ID]],Supplier[#All],3,0)</f>
        <v>9689542494</v>
      </c>
      <c r="F1553" s="138" t="str">
        <f>VLOOKUP(Purchase[[#This Row],[Supplier ID]],Supplier[#All],4,0)</f>
        <v>Korba</v>
      </c>
      <c r="G1553" s="138" t="str">
        <f>VLOOKUP(Purchase[[#This Row],[Supplier ID]],Supplier[#All],5,0)</f>
        <v>CG</v>
      </c>
      <c r="H1553" s="138" t="str">
        <f>VLOOKUP(Purchase[[#This Row],[Supplier ID]],Supplier[#All],6,0)</f>
        <v>GST2154521T056</v>
      </c>
      <c r="I1553" s="138" t="s">
        <v>343</v>
      </c>
      <c r="J1553" s="139">
        <v>13</v>
      </c>
      <c r="K1553" s="143">
        <f>VLOOKUP(Purchase[[#This Row],[Product ID]],Product[#All],6,0)</f>
        <v>692</v>
      </c>
      <c r="L1553" s="143">
        <f>Purchase[[#This Row],[Purchase Rate]]*Purchase[[#This Row],[Qty]]</f>
        <v>8996</v>
      </c>
      <c r="M1553" s="140">
        <v>0</v>
      </c>
      <c r="N1553" s="143">
        <v>0</v>
      </c>
      <c r="O1553" s="140">
        <v>0.18</v>
      </c>
      <c r="P1553" s="145">
        <f>(Purchase[[#This Row],[Gross Amount]]-Purchase[[#This Row],[Disct %]])*Purchase[[#This Row],[GST %]]</f>
        <v>1619.28</v>
      </c>
      <c r="Q1553" s="145">
        <f>Purchase[[#This Row],[Gross Amount]]-Purchase[[#This Row],[Disct Amnt]]+Purchase[[#This Row],[GST Amount]]</f>
        <v>10615.28</v>
      </c>
      <c r="R1553" s="138" t="s">
        <v>1019</v>
      </c>
      <c r="S1553" s="41">
        <f>IF(Purchase[[#This Row],[Status]]="Cancelled",0,Purchase[[#This Row],[Qty]])</f>
        <v>13</v>
      </c>
      <c r="T1553" s="146">
        <f>IF(Purchase[[#This Row],[Status]]="Cancelled",0,Purchase[[#This Row],[Total Amount]])</f>
        <v>10615.28</v>
      </c>
      <c r="U1553" s="146">
        <f>SUM(Purchase[Net Amount])</f>
        <v>814985438.68000126</v>
      </c>
    </row>
    <row r="1554" spans="1:21" ht="19.5" thickBot="1" x14ac:dyDescent="0.3">
      <c r="A1554" s="136" t="s">
        <v>2608</v>
      </c>
      <c r="B1554" s="137">
        <v>45733</v>
      </c>
      <c r="C1554" s="138" t="s">
        <v>607</v>
      </c>
      <c r="D1554" s="138" t="str">
        <f>VLOOKUP(Purchase[[#This Row],[Supplier ID]],Supplier[#All],2,0)</f>
        <v>Global Distributors</v>
      </c>
      <c r="E1554" s="138">
        <f>VLOOKUP(Purchase[[#This Row],[Supplier ID]],Supplier[#All],3,0)</f>
        <v>9689542490</v>
      </c>
      <c r="F1554" s="138" t="str">
        <f>VLOOKUP(Purchase[[#This Row],[Supplier ID]],Supplier[#All],4,0)</f>
        <v>Kanpur</v>
      </c>
      <c r="G1554" s="138" t="str">
        <f>VLOOKUP(Purchase[[#This Row],[Supplier ID]],Supplier[#All],5,0)</f>
        <v>UP</v>
      </c>
      <c r="H1554" s="138" t="str">
        <f>VLOOKUP(Purchase[[#This Row],[Supplier ID]],Supplier[#All],6,0)</f>
        <v>GST2154521T052</v>
      </c>
      <c r="I1554" s="138" t="s">
        <v>470</v>
      </c>
      <c r="J1554" s="139">
        <v>39</v>
      </c>
      <c r="K1554" s="143">
        <f>VLOOKUP(Purchase[[#This Row],[Product ID]],Product[#All],6,0)</f>
        <v>30694</v>
      </c>
      <c r="L1554" s="143">
        <f>Purchase[[#This Row],[Purchase Rate]]*Purchase[[#This Row],[Qty]]</f>
        <v>1197066</v>
      </c>
      <c r="M1554" s="140">
        <v>0</v>
      </c>
      <c r="N1554" s="143">
        <v>0</v>
      </c>
      <c r="O1554" s="140">
        <v>0.18</v>
      </c>
      <c r="P1554" s="145">
        <f>(Purchase[[#This Row],[Gross Amount]]-Purchase[[#This Row],[Disct %]])*Purchase[[#This Row],[GST %]]</f>
        <v>215471.88</v>
      </c>
      <c r="Q1554" s="145">
        <f>Purchase[[#This Row],[Gross Amount]]-Purchase[[#This Row],[Disct Amnt]]+Purchase[[#This Row],[GST Amount]]</f>
        <v>1412537.88</v>
      </c>
      <c r="R1554" s="138" t="s">
        <v>1019</v>
      </c>
      <c r="S1554" s="41">
        <f>IF(Purchase[[#This Row],[Status]]="Cancelled",0,Purchase[[#This Row],[Qty]])</f>
        <v>39</v>
      </c>
      <c r="T1554" s="146">
        <f>IF(Purchase[[#This Row],[Status]]="Cancelled",0,Purchase[[#This Row],[Total Amount]])</f>
        <v>1412537.88</v>
      </c>
      <c r="U1554" s="146">
        <f>SUM(Purchase[Net Amount])</f>
        <v>814985438.68000126</v>
      </c>
    </row>
    <row r="1555" spans="1:21" ht="19.5" thickBot="1" x14ac:dyDescent="0.3">
      <c r="A1555" s="136" t="s">
        <v>2609</v>
      </c>
      <c r="B1555" s="137">
        <v>45733</v>
      </c>
      <c r="C1555" s="138" t="s">
        <v>583</v>
      </c>
      <c r="D1555" s="138" t="str">
        <f>VLOOKUP(Purchase[[#This Row],[Supplier ID]],Supplier[#All],2,0)</f>
        <v>Shree Distributors</v>
      </c>
      <c r="E1555" s="138">
        <f>VLOOKUP(Purchase[[#This Row],[Supplier ID]],Supplier[#All],3,0)</f>
        <v>9689542467</v>
      </c>
      <c r="F1555" s="138" t="str">
        <f>VLOOKUP(Purchase[[#This Row],[Supplier ID]],Supplier[#All],4,0)</f>
        <v>Indore</v>
      </c>
      <c r="G1555" s="138" t="str">
        <f>VLOOKUP(Purchase[[#This Row],[Supplier ID]],Supplier[#All],5,0)</f>
        <v>MP</v>
      </c>
      <c r="H1555" s="138" t="str">
        <f>VLOOKUP(Purchase[[#This Row],[Supplier ID]],Supplier[#All],6,0)</f>
        <v>GST2154521T029</v>
      </c>
      <c r="I1555" s="138" t="s">
        <v>180</v>
      </c>
      <c r="J1555" s="139">
        <v>40</v>
      </c>
      <c r="K1555" s="143">
        <f>VLOOKUP(Purchase[[#This Row],[Product ID]],Product[#All],6,0)</f>
        <v>9104</v>
      </c>
      <c r="L1555" s="143">
        <f>Purchase[[#This Row],[Purchase Rate]]*Purchase[[#This Row],[Qty]]</f>
        <v>364160</v>
      </c>
      <c r="M1555" s="140">
        <v>0</v>
      </c>
      <c r="N1555" s="143">
        <v>0</v>
      </c>
      <c r="O1555" s="140">
        <v>0.18</v>
      </c>
      <c r="P1555" s="145">
        <f>(Purchase[[#This Row],[Gross Amount]]-Purchase[[#This Row],[Disct %]])*Purchase[[#This Row],[GST %]]</f>
        <v>65548.800000000003</v>
      </c>
      <c r="Q1555" s="145">
        <f>Purchase[[#This Row],[Gross Amount]]-Purchase[[#This Row],[Disct Amnt]]+Purchase[[#This Row],[GST Amount]]</f>
        <v>429708.79999999999</v>
      </c>
      <c r="R1555" s="138" t="s">
        <v>1019</v>
      </c>
      <c r="S1555" s="41">
        <f>IF(Purchase[[#This Row],[Status]]="Cancelled",0,Purchase[[#This Row],[Qty]])</f>
        <v>40</v>
      </c>
      <c r="T1555" s="146">
        <f>IF(Purchase[[#This Row],[Status]]="Cancelled",0,Purchase[[#This Row],[Total Amount]])</f>
        <v>429708.79999999999</v>
      </c>
      <c r="U1555" s="146">
        <f>SUM(Purchase[Net Amount])</f>
        <v>814985438.68000126</v>
      </c>
    </row>
    <row r="1556" spans="1:21" ht="19.5" thickBot="1" x14ac:dyDescent="0.3">
      <c r="A1556" s="136" t="s">
        <v>2610</v>
      </c>
      <c r="B1556" s="137">
        <v>45733</v>
      </c>
      <c r="C1556" s="138" t="s">
        <v>591</v>
      </c>
      <c r="D1556" s="138" t="str">
        <f>VLOOKUP(Purchase[[#This Row],[Supplier ID]],Supplier[#All],2,0)</f>
        <v>Shree Computers</v>
      </c>
      <c r="E1556" s="138">
        <f>VLOOKUP(Purchase[[#This Row],[Supplier ID]],Supplier[#All],3,0)</f>
        <v>9689542475</v>
      </c>
      <c r="F1556" s="138" t="str">
        <f>VLOOKUP(Purchase[[#This Row],[Supplier ID]],Supplier[#All],4,0)</f>
        <v>Indore</v>
      </c>
      <c r="G1556" s="138" t="str">
        <f>VLOOKUP(Purchase[[#This Row],[Supplier ID]],Supplier[#All],5,0)</f>
        <v>MP</v>
      </c>
      <c r="H1556" s="138" t="str">
        <f>VLOOKUP(Purchase[[#This Row],[Supplier ID]],Supplier[#All],6,0)</f>
        <v>GST2154521T037</v>
      </c>
      <c r="I1556" s="138" t="s">
        <v>4</v>
      </c>
      <c r="J1556" s="139">
        <v>4</v>
      </c>
      <c r="K1556" s="143">
        <f>VLOOKUP(Purchase[[#This Row],[Product ID]],Product[#All],6,0)</f>
        <v>38884</v>
      </c>
      <c r="L1556" s="143">
        <f>Purchase[[#This Row],[Purchase Rate]]*Purchase[[#This Row],[Qty]]</f>
        <v>155536</v>
      </c>
      <c r="M1556" s="140">
        <v>0</v>
      </c>
      <c r="N1556" s="143">
        <v>0</v>
      </c>
      <c r="O1556" s="140">
        <v>0.18</v>
      </c>
      <c r="P1556" s="145">
        <f>(Purchase[[#This Row],[Gross Amount]]-Purchase[[#This Row],[Disct %]])*Purchase[[#This Row],[GST %]]</f>
        <v>27996.48</v>
      </c>
      <c r="Q1556" s="145">
        <f>Purchase[[#This Row],[Gross Amount]]-Purchase[[#This Row],[Disct Amnt]]+Purchase[[#This Row],[GST Amount]]</f>
        <v>183532.48</v>
      </c>
      <c r="R1556" s="138" t="s">
        <v>1019</v>
      </c>
      <c r="S1556" s="41">
        <f>IF(Purchase[[#This Row],[Status]]="Cancelled",0,Purchase[[#This Row],[Qty]])</f>
        <v>4</v>
      </c>
      <c r="T1556" s="146">
        <f>IF(Purchase[[#This Row],[Status]]="Cancelled",0,Purchase[[#This Row],[Total Amount]])</f>
        <v>183532.48</v>
      </c>
      <c r="U1556" s="146">
        <f>SUM(Purchase[Net Amount])</f>
        <v>814985438.68000126</v>
      </c>
    </row>
    <row r="1557" spans="1:21" ht="19.5" thickBot="1" x14ac:dyDescent="0.3">
      <c r="A1557" s="136" t="s">
        <v>2611</v>
      </c>
      <c r="B1557" s="137">
        <v>45733</v>
      </c>
      <c r="C1557" s="138" t="s">
        <v>601</v>
      </c>
      <c r="D1557" s="138" t="str">
        <f>VLOOKUP(Purchase[[#This Row],[Supplier ID]],Supplier[#All],2,0)</f>
        <v>Maa Distributors</v>
      </c>
      <c r="E1557" s="138">
        <f>VLOOKUP(Purchase[[#This Row],[Supplier ID]],Supplier[#All],3,0)</f>
        <v>9689542484</v>
      </c>
      <c r="F1557" s="138" t="str">
        <f>VLOOKUP(Purchase[[#This Row],[Supplier ID]],Supplier[#All],4,0)</f>
        <v>Indore</v>
      </c>
      <c r="G1557" s="138" t="str">
        <f>VLOOKUP(Purchase[[#This Row],[Supplier ID]],Supplier[#All],5,0)</f>
        <v>MP</v>
      </c>
      <c r="H1557" s="138" t="str">
        <f>VLOOKUP(Purchase[[#This Row],[Supplier ID]],Supplier[#All],6,0)</f>
        <v>GST2154521T046</v>
      </c>
      <c r="I1557" s="138" t="s">
        <v>193</v>
      </c>
      <c r="J1557" s="139">
        <v>14</v>
      </c>
      <c r="K1557" s="143">
        <f>VLOOKUP(Purchase[[#This Row],[Product ID]],Product[#All],6,0)</f>
        <v>14944</v>
      </c>
      <c r="L1557" s="143">
        <f>Purchase[[#This Row],[Purchase Rate]]*Purchase[[#This Row],[Qty]]</f>
        <v>209216</v>
      </c>
      <c r="M1557" s="140">
        <v>0</v>
      </c>
      <c r="N1557" s="143">
        <v>0</v>
      </c>
      <c r="O1557" s="140">
        <v>0.18</v>
      </c>
      <c r="P1557" s="145">
        <f>(Purchase[[#This Row],[Gross Amount]]-Purchase[[#This Row],[Disct %]])*Purchase[[#This Row],[GST %]]</f>
        <v>37658.879999999997</v>
      </c>
      <c r="Q1557" s="145">
        <f>Purchase[[#This Row],[Gross Amount]]-Purchase[[#This Row],[Disct Amnt]]+Purchase[[#This Row],[GST Amount]]</f>
        <v>246874.88</v>
      </c>
      <c r="R1557" s="138" t="s">
        <v>1019</v>
      </c>
      <c r="S1557" s="41">
        <f>IF(Purchase[[#This Row],[Status]]="Cancelled",0,Purchase[[#This Row],[Qty]])</f>
        <v>14</v>
      </c>
      <c r="T1557" s="146">
        <f>IF(Purchase[[#This Row],[Status]]="Cancelled",0,Purchase[[#This Row],[Total Amount]])</f>
        <v>246874.88</v>
      </c>
      <c r="U1557" s="146">
        <f>SUM(Purchase[Net Amount])</f>
        <v>814985438.68000126</v>
      </c>
    </row>
    <row r="1558" spans="1:21" ht="19.5" thickBot="1" x14ac:dyDescent="0.3">
      <c r="A1558" s="136" t="s">
        <v>2612</v>
      </c>
      <c r="B1558" s="137">
        <v>45733</v>
      </c>
      <c r="C1558" s="138" t="s">
        <v>604</v>
      </c>
      <c r="D1558" s="138" t="str">
        <f>VLOOKUP(Purchase[[#This Row],[Supplier ID]],Supplier[#All],2,0)</f>
        <v>Prime Traders</v>
      </c>
      <c r="E1558" s="138">
        <f>VLOOKUP(Purchase[[#This Row],[Supplier ID]],Supplier[#All],3,0)</f>
        <v>9689542487</v>
      </c>
      <c r="F1558" s="138" t="str">
        <f>VLOOKUP(Purchase[[#This Row],[Supplier ID]],Supplier[#All],4,0)</f>
        <v>Indore</v>
      </c>
      <c r="G1558" s="138" t="str">
        <f>VLOOKUP(Purchase[[#This Row],[Supplier ID]],Supplier[#All],5,0)</f>
        <v>MP</v>
      </c>
      <c r="H1558" s="138" t="str">
        <f>VLOOKUP(Purchase[[#This Row],[Supplier ID]],Supplier[#All],6,0)</f>
        <v>GST2154521T049</v>
      </c>
      <c r="I1558" s="138" t="s">
        <v>527</v>
      </c>
      <c r="J1558" s="139">
        <v>17</v>
      </c>
      <c r="K1558" s="143">
        <f>VLOOKUP(Purchase[[#This Row],[Product ID]],Product[#All],6,0)</f>
        <v>24419</v>
      </c>
      <c r="L1558" s="143">
        <f>Purchase[[#This Row],[Purchase Rate]]*Purchase[[#This Row],[Qty]]</f>
        <v>415123</v>
      </c>
      <c r="M1558" s="140">
        <v>0</v>
      </c>
      <c r="N1558" s="143">
        <v>0</v>
      </c>
      <c r="O1558" s="140">
        <v>0.18</v>
      </c>
      <c r="P1558" s="145">
        <f>(Purchase[[#This Row],[Gross Amount]]-Purchase[[#This Row],[Disct %]])*Purchase[[#This Row],[GST %]]</f>
        <v>74722.14</v>
      </c>
      <c r="Q1558" s="145">
        <f>Purchase[[#This Row],[Gross Amount]]-Purchase[[#This Row],[Disct Amnt]]+Purchase[[#This Row],[GST Amount]]</f>
        <v>489845.14</v>
      </c>
      <c r="R1558" s="138" t="s">
        <v>1019</v>
      </c>
      <c r="S1558" s="41">
        <f>IF(Purchase[[#This Row],[Status]]="Cancelled",0,Purchase[[#This Row],[Qty]])</f>
        <v>17</v>
      </c>
      <c r="T1558" s="146">
        <f>IF(Purchase[[#This Row],[Status]]="Cancelled",0,Purchase[[#This Row],[Total Amount]])</f>
        <v>489845.14</v>
      </c>
      <c r="U1558" s="146">
        <f>SUM(Purchase[Net Amount])</f>
        <v>814985438.68000126</v>
      </c>
    </row>
    <row r="1559" spans="1:21" ht="19.5" thickBot="1" x14ac:dyDescent="0.3">
      <c r="A1559" s="136" t="s">
        <v>2613</v>
      </c>
      <c r="B1559" s="137">
        <v>45733</v>
      </c>
      <c r="C1559" s="138" t="s">
        <v>589</v>
      </c>
      <c r="D1559" s="138" t="str">
        <f>VLOOKUP(Purchase[[#This Row],[Supplier ID]],Supplier[#All],2,0)</f>
        <v>Maa Computers</v>
      </c>
      <c r="E1559" s="138">
        <f>VLOOKUP(Purchase[[#This Row],[Supplier ID]],Supplier[#All],3,0)</f>
        <v>9689542473</v>
      </c>
      <c r="F1559" s="138" t="str">
        <f>VLOOKUP(Purchase[[#This Row],[Supplier ID]],Supplier[#All],4,0)</f>
        <v>Kanpur</v>
      </c>
      <c r="G1559" s="138" t="str">
        <f>VLOOKUP(Purchase[[#This Row],[Supplier ID]],Supplier[#All],5,0)</f>
        <v>UP</v>
      </c>
      <c r="H1559" s="138" t="str">
        <f>VLOOKUP(Purchase[[#This Row],[Supplier ID]],Supplier[#All],6,0)</f>
        <v>GST2154521T035</v>
      </c>
      <c r="I1559" s="138" t="s">
        <v>240</v>
      </c>
      <c r="J1559" s="139">
        <v>5</v>
      </c>
      <c r="K1559" s="143">
        <f>VLOOKUP(Purchase[[#This Row],[Product ID]],Product[#All],6,0)</f>
        <v>2844</v>
      </c>
      <c r="L1559" s="143">
        <f>Purchase[[#This Row],[Purchase Rate]]*Purchase[[#This Row],[Qty]]</f>
        <v>14220</v>
      </c>
      <c r="M1559" s="140">
        <v>0</v>
      </c>
      <c r="N1559" s="143">
        <v>0</v>
      </c>
      <c r="O1559" s="140">
        <v>0.18</v>
      </c>
      <c r="P1559" s="145">
        <f>(Purchase[[#This Row],[Gross Amount]]-Purchase[[#This Row],[Disct %]])*Purchase[[#This Row],[GST %]]</f>
        <v>2559.6</v>
      </c>
      <c r="Q1559" s="145">
        <f>Purchase[[#This Row],[Gross Amount]]-Purchase[[#This Row],[Disct Amnt]]+Purchase[[#This Row],[GST Amount]]</f>
        <v>16779.599999999999</v>
      </c>
      <c r="R1559" s="138" t="s">
        <v>1019</v>
      </c>
      <c r="S1559" s="41">
        <f>IF(Purchase[[#This Row],[Status]]="Cancelled",0,Purchase[[#This Row],[Qty]])</f>
        <v>5</v>
      </c>
      <c r="T1559" s="146">
        <f>IF(Purchase[[#This Row],[Status]]="Cancelled",0,Purchase[[#This Row],[Total Amount]])</f>
        <v>16779.599999999999</v>
      </c>
      <c r="U1559" s="146">
        <f>SUM(Purchase[Net Amount])</f>
        <v>814985438.68000126</v>
      </c>
    </row>
    <row r="1560" spans="1:21" ht="19.5" thickBot="1" x14ac:dyDescent="0.3">
      <c r="A1560" s="136" t="s">
        <v>2614</v>
      </c>
      <c r="B1560" s="137">
        <v>45733</v>
      </c>
      <c r="C1560" s="138" t="s">
        <v>614</v>
      </c>
      <c r="D1560" s="138" t="str">
        <f>VLOOKUP(Purchase[[#This Row],[Supplier ID]],Supplier[#All],2,0)</f>
        <v>National Electronics</v>
      </c>
      <c r="E1560" s="138">
        <f>VLOOKUP(Purchase[[#This Row],[Supplier ID]],Supplier[#All],3,0)</f>
        <v>9689542497</v>
      </c>
      <c r="F1560" s="138" t="str">
        <f>VLOOKUP(Purchase[[#This Row],[Supplier ID]],Supplier[#All],4,0)</f>
        <v>Kanpur</v>
      </c>
      <c r="G1560" s="138" t="str">
        <f>VLOOKUP(Purchase[[#This Row],[Supplier ID]],Supplier[#All],5,0)</f>
        <v>UP</v>
      </c>
      <c r="H1560" s="138" t="str">
        <f>VLOOKUP(Purchase[[#This Row],[Supplier ID]],Supplier[#All],6,0)</f>
        <v>GST2154521T059</v>
      </c>
      <c r="I1560" s="138" t="s">
        <v>475</v>
      </c>
      <c r="J1560" s="139">
        <v>37</v>
      </c>
      <c r="K1560" s="143">
        <f>VLOOKUP(Purchase[[#This Row],[Product ID]],Product[#All],6,0)</f>
        <v>1253</v>
      </c>
      <c r="L1560" s="143">
        <f>Purchase[[#This Row],[Purchase Rate]]*Purchase[[#This Row],[Qty]]</f>
        <v>46361</v>
      </c>
      <c r="M1560" s="140">
        <v>0</v>
      </c>
      <c r="N1560" s="143">
        <v>0</v>
      </c>
      <c r="O1560" s="140">
        <v>0.18</v>
      </c>
      <c r="P1560" s="145">
        <f>(Purchase[[#This Row],[Gross Amount]]-Purchase[[#This Row],[Disct %]])*Purchase[[#This Row],[GST %]]</f>
        <v>8344.98</v>
      </c>
      <c r="Q1560" s="145">
        <f>Purchase[[#This Row],[Gross Amount]]-Purchase[[#This Row],[Disct Amnt]]+Purchase[[#This Row],[GST Amount]]</f>
        <v>54705.979999999996</v>
      </c>
      <c r="R1560" s="138" t="s">
        <v>1019</v>
      </c>
      <c r="S1560" s="41">
        <f>IF(Purchase[[#This Row],[Status]]="Cancelled",0,Purchase[[#This Row],[Qty]])</f>
        <v>37</v>
      </c>
      <c r="T1560" s="146">
        <f>IF(Purchase[[#This Row],[Status]]="Cancelled",0,Purchase[[#This Row],[Total Amount]])</f>
        <v>54705.979999999996</v>
      </c>
      <c r="U1560" s="146">
        <f>SUM(Purchase[Net Amount])</f>
        <v>814985438.68000126</v>
      </c>
    </row>
    <row r="1561" spans="1:21" ht="19.5" thickBot="1" x14ac:dyDescent="0.3">
      <c r="A1561" s="136" t="s">
        <v>2615</v>
      </c>
      <c r="B1561" s="137">
        <v>45733</v>
      </c>
      <c r="C1561" s="138" t="s">
        <v>2418</v>
      </c>
      <c r="D1561" s="138" t="str">
        <f>VLOOKUP(Purchase[[#This Row],[Supplier ID]],Supplier[#All],2,0)</f>
        <v>Tech Distributors</v>
      </c>
      <c r="E1561" s="138">
        <f>VLOOKUP(Purchase[[#This Row],[Supplier ID]],Supplier[#All],3,0)</f>
        <v>9689542466</v>
      </c>
      <c r="F1561" s="138" t="str">
        <f>VLOOKUP(Purchase[[#This Row],[Supplier ID]],Supplier[#All],4,0)</f>
        <v>Indore</v>
      </c>
      <c r="G1561" s="138" t="str">
        <f>VLOOKUP(Purchase[[#This Row],[Supplier ID]],Supplier[#All],5,0)</f>
        <v>MP</v>
      </c>
      <c r="H1561" s="138" t="str">
        <f>VLOOKUP(Purchase[[#This Row],[Supplier ID]],Supplier[#All],6,0)</f>
        <v>GST2154521T028</v>
      </c>
      <c r="I1561" s="138" t="s">
        <v>438</v>
      </c>
      <c r="J1561" s="139">
        <v>4</v>
      </c>
      <c r="K1561" s="143">
        <f>VLOOKUP(Purchase[[#This Row],[Product ID]],Product[#All],6,0)</f>
        <v>1324</v>
      </c>
      <c r="L1561" s="143">
        <f>Purchase[[#This Row],[Purchase Rate]]*Purchase[[#This Row],[Qty]]</f>
        <v>5296</v>
      </c>
      <c r="M1561" s="140">
        <v>0</v>
      </c>
      <c r="N1561" s="143">
        <v>0</v>
      </c>
      <c r="O1561" s="140">
        <v>0.18</v>
      </c>
      <c r="P1561" s="145">
        <f>(Purchase[[#This Row],[Gross Amount]]-Purchase[[#This Row],[Disct %]])*Purchase[[#This Row],[GST %]]</f>
        <v>953.28</v>
      </c>
      <c r="Q1561" s="145">
        <f>Purchase[[#This Row],[Gross Amount]]-Purchase[[#This Row],[Disct Amnt]]+Purchase[[#This Row],[GST Amount]]</f>
        <v>6249.28</v>
      </c>
      <c r="R1561" s="138" t="s">
        <v>1019</v>
      </c>
      <c r="S1561" s="41">
        <f>IF(Purchase[[#This Row],[Status]]="Cancelled",0,Purchase[[#This Row],[Qty]])</f>
        <v>4</v>
      </c>
      <c r="T1561" s="146">
        <f>IF(Purchase[[#This Row],[Status]]="Cancelled",0,Purchase[[#This Row],[Total Amount]])</f>
        <v>6249.28</v>
      </c>
      <c r="U1561" s="146">
        <f>SUM(Purchase[Net Amount])</f>
        <v>814985438.68000126</v>
      </c>
    </row>
    <row r="1562" spans="1:21" ht="19.5" thickBot="1" x14ac:dyDescent="0.3">
      <c r="A1562" s="136" t="s">
        <v>2616</v>
      </c>
      <c r="B1562" s="137">
        <v>45733</v>
      </c>
      <c r="C1562" s="138" t="s">
        <v>610</v>
      </c>
      <c r="D1562" s="138" t="str">
        <f>VLOOKUP(Purchase[[#This Row],[Supplier ID]],Supplier[#All],2,0)</f>
        <v>Shree Electronics</v>
      </c>
      <c r="E1562" s="138">
        <f>VLOOKUP(Purchase[[#This Row],[Supplier ID]],Supplier[#All],3,0)</f>
        <v>9689542493</v>
      </c>
      <c r="F1562" s="138" t="str">
        <f>VLOOKUP(Purchase[[#This Row],[Supplier ID]],Supplier[#All],4,0)</f>
        <v>Kanpur</v>
      </c>
      <c r="G1562" s="138" t="str">
        <f>VLOOKUP(Purchase[[#This Row],[Supplier ID]],Supplier[#All],5,0)</f>
        <v>UP</v>
      </c>
      <c r="H1562" s="138" t="str">
        <f>VLOOKUP(Purchase[[#This Row],[Supplier ID]],Supplier[#All],6,0)</f>
        <v>GST2154521T055</v>
      </c>
      <c r="I1562" s="138" t="s">
        <v>233</v>
      </c>
      <c r="J1562" s="139">
        <v>11</v>
      </c>
      <c r="K1562" s="143">
        <f>VLOOKUP(Purchase[[#This Row],[Product ID]],Product[#All],6,0)</f>
        <v>710</v>
      </c>
      <c r="L1562" s="143">
        <f>Purchase[[#This Row],[Purchase Rate]]*Purchase[[#This Row],[Qty]]</f>
        <v>7810</v>
      </c>
      <c r="M1562" s="140">
        <v>0</v>
      </c>
      <c r="N1562" s="143">
        <v>0</v>
      </c>
      <c r="O1562" s="140">
        <v>0.18</v>
      </c>
      <c r="P1562" s="145">
        <f>(Purchase[[#This Row],[Gross Amount]]-Purchase[[#This Row],[Disct %]])*Purchase[[#This Row],[GST %]]</f>
        <v>1405.8</v>
      </c>
      <c r="Q1562" s="145">
        <f>Purchase[[#This Row],[Gross Amount]]-Purchase[[#This Row],[Disct Amnt]]+Purchase[[#This Row],[GST Amount]]</f>
        <v>9215.7999999999993</v>
      </c>
      <c r="R1562" s="138" t="s">
        <v>1019</v>
      </c>
      <c r="S1562" s="41">
        <f>IF(Purchase[[#This Row],[Status]]="Cancelled",0,Purchase[[#This Row],[Qty]])</f>
        <v>11</v>
      </c>
      <c r="T1562" s="146">
        <f>IF(Purchase[[#This Row],[Status]]="Cancelled",0,Purchase[[#This Row],[Total Amount]])</f>
        <v>9215.7999999999993</v>
      </c>
      <c r="U1562" s="146">
        <f>SUM(Purchase[Net Amount])</f>
        <v>814985438.68000126</v>
      </c>
    </row>
    <row r="1563" spans="1:21" ht="19.5" thickBot="1" x14ac:dyDescent="0.3">
      <c r="A1563" s="136" t="s">
        <v>2617</v>
      </c>
      <c r="B1563" s="137">
        <v>45733</v>
      </c>
      <c r="C1563" s="138" t="s">
        <v>576</v>
      </c>
      <c r="D1563" s="138" t="str">
        <f>VLOOKUP(Purchase[[#This Row],[Supplier ID]],Supplier[#All],2,0)</f>
        <v>Maa Distributors</v>
      </c>
      <c r="E1563" s="138">
        <f>VLOOKUP(Purchase[[#This Row],[Supplier ID]],Supplier[#All],3,0)</f>
        <v>9689542460</v>
      </c>
      <c r="F1563" s="138" t="str">
        <f>VLOOKUP(Purchase[[#This Row],[Supplier ID]],Supplier[#All],4,0)</f>
        <v>Korba</v>
      </c>
      <c r="G1563" s="138" t="str">
        <f>VLOOKUP(Purchase[[#This Row],[Supplier ID]],Supplier[#All],5,0)</f>
        <v>CG</v>
      </c>
      <c r="H1563" s="138" t="str">
        <f>VLOOKUP(Purchase[[#This Row],[Supplier ID]],Supplier[#All],6,0)</f>
        <v>GST2154521T022</v>
      </c>
      <c r="I1563" s="138" t="s">
        <v>217</v>
      </c>
      <c r="J1563" s="139">
        <v>40</v>
      </c>
      <c r="K1563" s="143">
        <f>VLOOKUP(Purchase[[#This Row],[Product ID]],Product[#All],6,0)</f>
        <v>1840</v>
      </c>
      <c r="L1563" s="143">
        <f>Purchase[[#This Row],[Purchase Rate]]*Purchase[[#This Row],[Qty]]</f>
        <v>73600</v>
      </c>
      <c r="M1563" s="140">
        <v>0</v>
      </c>
      <c r="N1563" s="143">
        <v>0</v>
      </c>
      <c r="O1563" s="140">
        <v>0.18</v>
      </c>
      <c r="P1563" s="145">
        <f>(Purchase[[#This Row],[Gross Amount]]-Purchase[[#This Row],[Disct %]])*Purchase[[#This Row],[GST %]]</f>
        <v>13248</v>
      </c>
      <c r="Q1563" s="145">
        <f>Purchase[[#This Row],[Gross Amount]]-Purchase[[#This Row],[Disct Amnt]]+Purchase[[#This Row],[GST Amount]]</f>
        <v>86848</v>
      </c>
      <c r="R1563" s="138" t="s">
        <v>1019</v>
      </c>
      <c r="S1563" s="41">
        <f>IF(Purchase[[#This Row],[Status]]="Cancelled",0,Purchase[[#This Row],[Qty]])</f>
        <v>40</v>
      </c>
      <c r="T1563" s="146">
        <f>IF(Purchase[[#This Row],[Status]]="Cancelled",0,Purchase[[#This Row],[Total Amount]])</f>
        <v>86848</v>
      </c>
      <c r="U1563" s="146">
        <f>SUM(Purchase[Net Amount])</f>
        <v>814985438.68000126</v>
      </c>
    </row>
    <row r="1564" spans="1:21" ht="19.5" thickBot="1" x14ac:dyDescent="0.3">
      <c r="A1564" s="136" t="s">
        <v>2618</v>
      </c>
      <c r="B1564" s="137">
        <v>45733</v>
      </c>
      <c r="C1564" s="138" t="s">
        <v>585</v>
      </c>
      <c r="D1564" s="138" t="str">
        <f>VLOOKUP(Purchase[[#This Row],[Supplier ID]],Supplier[#All],2,0)</f>
        <v>Tech Computers</v>
      </c>
      <c r="E1564" s="138">
        <f>VLOOKUP(Purchase[[#This Row],[Supplier ID]],Supplier[#All],3,0)</f>
        <v>9689542469</v>
      </c>
      <c r="F1564" s="138" t="str">
        <f>VLOOKUP(Purchase[[#This Row],[Supplier ID]],Supplier[#All],4,0)</f>
        <v>Korba</v>
      </c>
      <c r="G1564" s="138" t="str">
        <f>VLOOKUP(Purchase[[#This Row],[Supplier ID]],Supplier[#All],5,0)</f>
        <v>CG</v>
      </c>
      <c r="H1564" s="138" t="str">
        <f>VLOOKUP(Purchase[[#This Row],[Supplier ID]],Supplier[#All],6,0)</f>
        <v>GST2154521T031</v>
      </c>
      <c r="I1564" s="138" t="s">
        <v>356</v>
      </c>
      <c r="J1564" s="139">
        <v>25</v>
      </c>
      <c r="K1564" s="143">
        <f>VLOOKUP(Purchase[[#This Row],[Product ID]],Product[#All],6,0)</f>
        <v>6914</v>
      </c>
      <c r="L1564" s="143">
        <f>Purchase[[#This Row],[Purchase Rate]]*Purchase[[#This Row],[Qty]]</f>
        <v>172850</v>
      </c>
      <c r="M1564" s="140">
        <v>0</v>
      </c>
      <c r="N1564" s="143">
        <v>0</v>
      </c>
      <c r="O1564" s="140">
        <v>0.18</v>
      </c>
      <c r="P1564" s="145">
        <f>(Purchase[[#This Row],[Gross Amount]]-Purchase[[#This Row],[Disct %]])*Purchase[[#This Row],[GST %]]</f>
        <v>31113</v>
      </c>
      <c r="Q1564" s="145">
        <f>Purchase[[#This Row],[Gross Amount]]-Purchase[[#This Row],[Disct Amnt]]+Purchase[[#This Row],[GST Amount]]</f>
        <v>203963</v>
      </c>
      <c r="R1564" s="138" t="s">
        <v>1019</v>
      </c>
      <c r="S1564" s="41">
        <f>IF(Purchase[[#This Row],[Status]]="Cancelled",0,Purchase[[#This Row],[Qty]])</f>
        <v>25</v>
      </c>
      <c r="T1564" s="146">
        <f>IF(Purchase[[#This Row],[Status]]="Cancelled",0,Purchase[[#This Row],[Total Amount]])</f>
        <v>203963</v>
      </c>
      <c r="U1564" s="146">
        <f>SUM(Purchase[Net Amount])</f>
        <v>814985438.68000126</v>
      </c>
    </row>
    <row r="1565" spans="1:21" ht="19.5" thickBot="1" x14ac:dyDescent="0.3">
      <c r="A1565" s="136" t="s">
        <v>2619</v>
      </c>
      <c r="B1565" s="137">
        <v>45733</v>
      </c>
      <c r="C1565" s="138" t="s">
        <v>581</v>
      </c>
      <c r="D1565" s="138" t="str">
        <f>VLOOKUP(Purchase[[#This Row],[Supplier ID]],Supplier[#All],2,0)</f>
        <v>Prime Electronics</v>
      </c>
      <c r="E1565" s="138">
        <f>VLOOKUP(Purchase[[#This Row],[Supplier ID]],Supplier[#All],3,0)</f>
        <v>9689542465</v>
      </c>
      <c r="F1565" s="138" t="str">
        <f>VLOOKUP(Purchase[[#This Row],[Supplier ID]],Supplier[#All],4,0)</f>
        <v>Korba</v>
      </c>
      <c r="G1565" s="138" t="str">
        <f>VLOOKUP(Purchase[[#This Row],[Supplier ID]],Supplier[#All],5,0)</f>
        <v>CG</v>
      </c>
      <c r="H1565" s="138" t="str">
        <f>VLOOKUP(Purchase[[#This Row],[Supplier ID]],Supplier[#All],6,0)</f>
        <v>GST2154521T027</v>
      </c>
      <c r="I1565" s="138" t="s">
        <v>189</v>
      </c>
      <c r="J1565" s="139">
        <v>25</v>
      </c>
      <c r="K1565" s="143">
        <f>VLOOKUP(Purchase[[#This Row],[Product ID]],Product[#All],6,0)</f>
        <v>1280</v>
      </c>
      <c r="L1565" s="143">
        <f>Purchase[[#This Row],[Purchase Rate]]*Purchase[[#This Row],[Qty]]</f>
        <v>32000</v>
      </c>
      <c r="M1565" s="140">
        <v>0</v>
      </c>
      <c r="N1565" s="143">
        <v>0</v>
      </c>
      <c r="O1565" s="140">
        <v>0.18</v>
      </c>
      <c r="P1565" s="145">
        <f>(Purchase[[#This Row],[Gross Amount]]-Purchase[[#This Row],[Disct %]])*Purchase[[#This Row],[GST %]]</f>
        <v>5760</v>
      </c>
      <c r="Q1565" s="145">
        <f>Purchase[[#This Row],[Gross Amount]]-Purchase[[#This Row],[Disct Amnt]]+Purchase[[#This Row],[GST Amount]]</f>
        <v>37760</v>
      </c>
      <c r="R1565" s="138" t="s">
        <v>1019</v>
      </c>
      <c r="S1565" s="41">
        <f>IF(Purchase[[#This Row],[Status]]="Cancelled",0,Purchase[[#This Row],[Qty]])</f>
        <v>25</v>
      </c>
      <c r="T1565" s="146">
        <f>IF(Purchase[[#This Row],[Status]]="Cancelled",0,Purchase[[#This Row],[Total Amount]])</f>
        <v>37760</v>
      </c>
      <c r="U1565" s="146">
        <f>SUM(Purchase[Net Amount])</f>
        <v>814985438.68000126</v>
      </c>
    </row>
    <row r="1566" spans="1:21" ht="19.5" thickBot="1" x14ac:dyDescent="0.3">
      <c r="A1566" s="136" t="s">
        <v>2620</v>
      </c>
      <c r="B1566" s="137">
        <v>45733</v>
      </c>
      <c r="C1566" s="138" t="s">
        <v>585</v>
      </c>
      <c r="D1566" s="138" t="str">
        <f>VLOOKUP(Purchase[[#This Row],[Supplier ID]],Supplier[#All],2,0)</f>
        <v>Tech Computers</v>
      </c>
      <c r="E1566" s="138">
        <f>VLOOKUP(Purchase[[#This Row],[Supplier ID]],Supplier[#All],3,0)</f>
        <v>9689542469</v>
      </c>
      <c r="F1566" s="138" t="str">
        <f>VLOOKUP(Purchase[[#This Row],[Supplier ID]],Supplier[#All],4,0)</f>
        <v>Korba</v>
      </c>
      <c r="G1566" s="138" t="str">
        <f>VLOOKUP(Purchase[[#This Row],[Supplier ID]],Supplier[#All],5,0)</f>
        <v>CG</v>
      </c>
      <c r="H1566" s="138" t="str">
        <f>VLOOKUP(Purchase[[#This Row],[Supplier ID]],Supplier[#All],6,0)</f>
        <v>GST2154521T031</v>
      </c>
      <c r="I1566" s="138" t="s">
        <v>303</v>
      </c>
      <c r="J1566" s="139">
        <v>24</v>
      </c>
      <c r="K1566" s="143">
        <f>VLOOKUP(Purchase[[#This Row],[Product ID]],Product[#All],6,0)</f>
        <v>6214</v>
      </c>
      <c r="L1566" s="143">
        <f>Purchase[[#This Row],[Purchase Rate]]*Purchase[[#This Row],[Qty]]</f>
        <v>149136</v>
      </c>
      <c r="M1566" s="140">
        <v>0</v>
      </c>
      <c r="N1566" s="143">
        <v>0</v>
      </c>
      <c r="O1566" s="140">
        <v>0.18</v>
      </c>
      <c r="P1566" s="145">
        <f>(Purchase[[#This Row],[Gross Amount]]-Purchase[[#This Row],[Disct %]])*Purchase[[#This Row],[GST %]]</f>
        <v>26844.48</v>
      </c>
      <c r="Q1566" s="145">
        <f>Purchase[[#This Row],[Gross Amount]]-Purchase[[#This Row],[Disct Amnt]]+Purchase[[#This Row],[GST Amount]]</f>
        <v>175980.48</v>
      </c>
      <c r="R1566" s="138" t="s">
        <v>1019</v>
      </c>
      <c r="S1566" s="41">
        <f>IF(Purchase[[#This Row],[Status]]="Cancelled",0,Purchase[[#This Row],[Qty]])</f>
        <v>24</v>
      </c>
      <c r="T1566" s="146">
        <f>IF(Purchase[[#This Row],[Status]]="Cancelled",0,Purchase[[#This Row],[Total Amount]])</f>
        <v>175980.48</v>
      </c>
      <c r="U1566" s="146">
        <f>SUM(Purchase[Net Amount])</f>
        <v>814985438.68000126</v>
      </c>
    </row>
    <row r="1567" spans="1:21" ht="19.5" thickBot="1" x14ac:dyDescent="0.3">
      <c r="A1567" s="136" t="s">
        <v>2621</v>
      </c>
      <c r="B1567" s="137">
        <v>45733</v>
      </c>
      <c r="C1567" s="138" t="s">
        <v>564</v>
      </c>
      <c r="D1567" s="138" t="str">
        <f>VLOOKUP(Purchase[[#This Row],[Supplier ID]],Supplier[#All],2,0)</f>
        <v xml:space="preserve">Star Electronics </v>
      </c>
      <c r="E1567" s="138">
        <f>VLOOKUP(Purchase[[#This Row],[Supplier ID]],Supplier[#All],3,0)</f>
        <v>9689542450</v>
      </c>
      <c r="F1567" s="138" t="str">
        <f>VLOOKUP(Purchase[[#This Row],[Supplier ID]],Supplier[#All],4,0)</f>
        <v>Korba</v>
      </c>
      <c r="G1567" s="138" t="str">
        <f>VLOOKUP(Purchase[[#This Row],[Supplier ID]],Supplier[#All],5,0)</f>
        <v>CG</v>
      </c>
      <c r="H1567" s="138" t="str">
        <f>VLOOKUP(Purchase[[#This Row],[Supplier ID]],Supplier[#All],6,0)</f>
        <v>GST2154521T012</v>
      </c>
      <c r="I1567" s="138" t="s">
        <v>121</v>
      </c>
      <c r="J1567" s="139">
        <v>9</v>
      </c>
      <c r="K1567" s="143">
        <f>VLOOKUP(Purchase[[#This Row],[Product ID]],Product[#All],6,0)</f>
        <v>1781</v>
      </c>
      <c r="L1567" s="143">
        <f>Purchase[[#This Row],[Purchase Rate]]*Purchase[[#This Row],[Qty]]</f>
        <v>16029</v>
      </c>
      <c r="M1567" s="140">
        <v>0</v>
      </c>
      <c r="N1567" s="143">
        <v>0</v>
      </c>
      <c r="O1567" s="140">
        <v>0.18</v>
      </c>
      <c r="P1567" s="145">
        <f>(Purchase[[#This Row],[Gross Amount]]-Purchase[[#This Row],[Disct %]])*Purchase[[#This Row],[GST %]]</f>
        <v>2885.22</v>
      </c>
      <c r="Q1567" s="145">
        <f>Purchase[[#This Row],[Gross Amount]]-Purchase[[#This Row],[Disct Amnt]]+Purchase[[#This Row],[GST Amount]]</f>
        <v>18914.22</v>
      </c>
      <c r="R1567" s="138" t="s">
        <v>1019</v>
      </c>
      <c r="S1567" s="41">
        <f>IF(Purchase[[#This Row],[Status]]="Cancelled",0,Purchase[[#This Row],[Qty]])</f>
        <v>9</v>
      </c>
      <c r="T1567" s="146">
        <f>IF(Purchase[[#This Row],[Status]]="Cancelled",0,Purchase[[#This Row],[Total Amount]])</f>
        <v>18914.22</v>
      </c>
      <c r="U1567" s="146">
        <f>SUM(Purchase[Net Amount])</f>
        <v>814985438.68000126</v>
      </c>
    </row>
    <row r="1568" spans="1:21" ht="19.5" thickBot="1" x14ac:dyDescent="0.3">
      <c r="A1568" s="136" t="s">
        <v>2622</v>
      </c>
      <c r="B1568" s="137">
        <v>45733</v>
      </c>
      <c r="C1568" s="138" t="s">
        <v>579</v>
      </c>
      <c r="D1568" s="138" t="str">
        <f>VLOOKUP(Purchase[[#This Row],[Supplier ID]],Supplier[#All],2,0)</f>
        <v>Tech Traders</v>
      </c>
      <c r="E1568" s="138">
        <f>VLOOKUP(Purchase[[#This Row],[Supplier ID]],Supplier[#All],3,0)</f>
        <v>9689542463</v>
      </c>
      <c r="F1568" s="138" t="str">
        <f>VLOOKUP(Purchase[[#This Row],[Supplier ID]],Supplier[#All],4,0)</f>
        <v>Kanpur</v>
      </c>
      <c r="G1568" s="138" t="str">
        <f>VLOOKUP(Purchase[[#This Row],[Supplier ID]],Supplier[#All],5,0)</f>
        <v>UP</v>
      </c>
      <c r="H1568" s="138" t="str">
        <f>VLOOKUP(Purchase[[#This Row],[Supplier ID]],Supplier[#All],6,0)</f>
        <v>GST2154521T025</v>
      </c>
      <c r="I1568" s="138" t="s">
        <v>351</v>
      </c>
      <c r="J1568" s="139">
        <v>7</v>
      </c>
      <c r="K1568" s="143">
        <f>VLOOKUP(Purchase[[#This Row],[Product ID]],Product[#All],6,0)</f>
        <v>1797</v>
      </c>
      <c r="L1568" s="143">
        <f>Purchase[[#This Row],[Purchase Rate]]*Purchase[[#This Row],[Qty]]</f>
        <v>12579</v>
      </c>
      <c r="M1568" s="140">
        <v>0</v>
      </c>
      <c r="N1568" s="143">
        <v>0</v>
      </c>
      <c r="O1568" s="140">
        <v>0.18</v>
      </c>
      <c r="P1568" s="145">
        <f>(Purchase[[#This Row],[Gross Amount]]-Purchase[[#This Row],[Disct %]])*Purchase[[#This Row],[GST %]]</f>
        <v>2264.2199999999998</v>
      </c>
      <c r="Q1568" s="145">
        <f>Purchase[[#This Row],[Gross Amount]]-Purchase[[#This Row],[Disct Amnt]]+Purchase[[#This Row],[GST Amount]]</f>
        <v>14843.22</v>
      </c>
      <c r="R1568" s="138" t="s">
        <v>1019</v>
      </c>
      <c r="S1568" s="41">
        <f>IF(Purchase[[#This Row],[Status]]="Cancelled",0,Purchase[[#This Row],[Qty]])</f>
        <v>7</v>
      </c>
      <c r="T1568" s="146">
        <f>IF(Purchase[[#This Row],[Status]]="Cancelled",0,Purchase[[#This Row],[Total Amount]])</f>
        <v>14843.22</v>
      </c>
      <c r="U1568" s="146">
        <f>SUM(Purchase[Net Amount])</f>
        <v>814985438.68000126</v>
      </c>
    </row>
    <row r="1569" spans="1:21" ht="19.5" thickBot="1" x14ac:dyDescent="0.3">
      <c r="A1569" s="136" t="s">
        <v>2623</v>
      </c>
      <c r="B1569" s="137">
        <v>45733</v>
      </c>
      <c r="C1569" s="138" t="s">
        <v>605</v>
      </c>
      <c r="D1569" s="138" t="str">
        <f>VLOOKUP(Purchase[[#This Row],[Supplier ID]],Supplier[#All],2,0)</f>
        <v>Star Traders</v>
      </c>
      <c r="E1569" s="138">
        <f>VLOOKUP(Purchase[[#This Row],[Supplier ID]],Supplier[#All],3,0)</f>
        <v>9689542488</v>
      </c>
      <c r="F1569" s="138" t="str">
        <f>VLOOKUP(Purchase[[#This Row],[Supplier ID]],Supplier[#All],4,0)</f>
        <v>Indore</v>
      </c>
      <c r="G1569" s="138" t="str">
        <f>VLOOKUP(Purchase[[#This Row],[Supplier ID]],Supplier[#All],5,0)</f>
        <v>MP</v>
      </c>
      <c r="H1569" s="138" t="str">
        <f>VLOOKUP(Purchase[[#This Row],[Supplier ID]],Supplier[#All],6,0)</f>
        <v>GST2154521T050</v>
      </c>
      <c r="I1569" s="138" t="s">
        <v>512</v>
      </c>
      <c r="J1569" s="139">
        <v>26</v>
      </c>
      <c r="K1569" s="143">
        <f>VLOOKUP(Purchase[[#This Row],[Product ID]],Product[#All],6,0)</f>
        <v>4495</v>
      </c>
      <c r="L1569" s="143">
        <f>Purchase[[#This Row],[Purchase Rate]]*Purchase[[#This Row],[Qty]]</f>
        <v>116870</v>
      </c>
      <c r="M1569" s="140">
        <v>0</v>
      </c>
      <c r="N1569" s="143">
        <v>0</v>
      </c>
      <c r="O1569" s="140">
        <v>0.18</v>
      </c>
      <c r="P1569" s="145">
        <f>(Purchase[[#This Row],[Gross Amount]]-Purchase[[#This Row],[Disct %]])*Purchase[[#This Row],[GST %]]</f>
        <v>21036.6</v>
      </c>
      <c r="Q1569" s="145">
        <f>Purchase[[#This Row],[Gross Amount]]-Purchase[[#This Row],[Disct Amnt]]+Purchase[[#This Row],[GST Amount]]</f>
        <v>137906.6</v>
      </c>
      <c r="R1569" s="138" t="s">
        <v>1019</v>
      </c>
      <c r="S1569" s="41">
        <f>IF(Purchase[[#This Row],[Status]]="Cancelled",0,Purchase[[#This Row],[Qty]])</f>
        <v>26</v>
      </c>
      <c r="T1569" s="146">
        <f>IF(Purchase[[#This Row],[Status]]="Cancelled",0,Purchase[[#This Row],[Total Amount]])</f>
        <v>137906.6</v>
      </c>
      <c r="U1569" s="146">
        <f>SUM(Purchase[Net Amount])</f>
        <v>814985438.68000126</v>
      </c>
    </row>
    <row r="1570" spans="1:21" ht="19.5" thickBot="1" x14ac:dyDescent="0.3">
      <c r="A1570" s="136" t="s">
        <v>2624</v>
      </c>
      <c r="B1570" s="137">
        <v>45733</v>
      </c>
      <c r="C1570" s="138" t="s">
        <v>576</v>
      </c>
      <c r="D1570" s="138" t="str">
        <f>VLOOKUP(Purchase[[#This Row],[Supplier ID]],Supplier[#All],2,0)</f>
        <v>Maa Distributors</v>
      </c>
      <c r="E1570" s="138">
        <f>VLOOKUP(Purchase[[#This Row],[Supplier ID]],Supplier[#All],3,0)</f>
        <v>9689542460</v>
      </c>
      <c r="F1570" s="138" t="str">
        <f>VLOOKUP(Purchase[[#This Row],[Supplier ID]],Supplier[#All],4,0)</f>
        <v>Korba</v>
      </c>
      <c r="G1570" s="138" t="str">
        <f>VLOOKUP(Purchase[[#This Row],[Supplier ID]],Supplier[#All],5,0)</f>
        <v>CG</v>
      </c>
      <c r="H1570" s="138" t="str">
        <f>VLOOKUP(Purchase[[#This Row],[Supplier ID]],Supplier[#All],6,0)</f>
        <v>GST2154521T022</v>
      </c>
      <c r="I1570" s="138" t="s">
        <v>38</v>
      </c>
      <c r="J1570" s="139">
        <v>34</v>
      </c>
      <c r="K1570" s="143">
        <f>VLOOKUP(Purchase[[#This Row],[Product ID]],Product[#All],6,0)</f>
        <v>65586</v>
      </c>
      <c r="L1570" s="143">
        <f>Purchase[[#This Row],[Purchase Rate]]*Purchase[[#This Row],[Qty]]</f>
        <v>2229924</v>
      </c>
      <c r="M1570" s="140">
        <v>0</v>
      </c>
      <c r="N1570" s="143">
        <v>0</v>
      </c>
      <c r="O1570" s="140">
        <v>0.18</v>
      </c>
      <c r="P1570" s="145">
        <f>(Purchase[[#This Row],[Gross Amount]]-Purchase[[#This Row],[Disct %]])*Purchase[[#This Row],[GST %]]</f>
        <v>401386.32</v>
      </c>
      <c r="Q1570" s="145">
        <f>Purchase[[#This Row],[Gross Amount]]-Purchase[[#This Row],[Disct Amnt]]+Purchase[[#This Row],[GST Amount]]</f>
        <v>2631310.3199999998</v>
      </c>
      <c r="R1570" s="138" t="s">
        <v>1019</v>
      </c>
      <c r="S1570" s="41">
        <f>IF(Purchase[[#This Row],[Status]]="Cancelled",0,Purchase[[#This Row],[Qty]])</f>
        <v>34</v>
      </c>
      <c r="T1570" s="146">
        <f>IF(Purchase[[#This Row],[Status]]="Cancelled",0,Purchase[[#This Row],[Total Amount]])</f>
        <v>2631310.3199999998</v>
      </c>
      <c r="U1570" s="146">
        <f>SUM(Purchase[Net Amount])</f>
        <v>814985438.68000126</v>
      </c>
    </row>
    <row r="1571" spans="1:21" ht="19.5" thickBot="1" x14ac:dyDescent="0.3">
      <c r="A1571" s="136" t="s">
        <v>2625</v>
      </c>
      <c r="B1571" s="137">
        <v>45734</v>
      </c>
      <c r="C1571" s="138" t="s">
        <v>610</v>
      </c>
      <c r="D1571" s="138" t="str">
        <f>VLOOKUP(Purchase[[#This Row],[Supplier ID]],Supplier[#All],2,0)</f>
        <v>Shree Electronics</v>
      </c>
      <c r="E1571" s="138">
        <f>VLOOKUP(Purchase[[#This Row],[Supplier ID]],Supplier[#All],3,0)</f>
        <v>9689542493</v>
      </c>
      <c r="F1571" s="138" t="str">
        <f>VLOOKUP(Purchase[[#This Row],[Supplier ID]],Supplier[#All],4,0)</f>
        <v>Kanpur</v>
      </c>
      <c r="G1571" s="138" t="str">
        <f>VLOOKUP(Purchase[[#This Row],[Supplier ID]],Supplier[#All],5,0)</f>
        <v>UP</v>
      </c>
      <c r="H1571" s="138" t="str">
        <f>VLOOKUP(Purchase[[#This Row],[Supplier ID]],Supplier[#All],6,0)</f>
        <v>GST2154521T055</v>
      </c>
      <c r="I1571" s="138" t="s">
        <v>221</v>
      </c>
      <c r="J1571" s="139">
        <v>2</v>
      </c>
      <c r="K1571" s="143">
        <f>VLOOKUP(Purchase[[#This Row],[Product ID]],Product[#All],6,0)</f>
        <v>2487</v>
      </c>
      <c r="L1571" s="143">
        <f>Purchase[[#This Row],[Purchase Rate]]*Purchase[[#This Row],[Qty]]</f>
        <v>4974</v>
      </c>
      <c r="M1571" s="140">
        <v>0</v>
      </c>
      <c r="N1571" s="143">
        <v>0</v>
      </c>
      <c r="O1571" s="140">
        <v>0.18</v>
      </c>
      <c r="P1571" s="145">
        <f>(Purchase[[#This Row],[Gross Amount]]-Purchase[[#This Row],[Disct %]])*Purchase[[#This Row],[GST %]]</f>
        <v>895.31999999999994</v>
      </c>
      <c r="Q1571" s="145">
        <f>Purchase[[#This Row],[Gross Amount]]-Purchase[[#This Row],[Disct Amnt]]+Purchase[[#This Row],[GST Amount]]</f>
        <v>5869.32</v>
      </c>
      <c r="R1571" s="138" t="s">
        <v>1019</v>
      </c>
      <c r="S1571" s="41">
        <f>IF(Purchase[[#This Row],[Status]]="Cancelled",0,Purchase[[#This Row],[Qty]])</f>
        <v>2</v>
      </c>
      <c r="T1571" s="146">
        <f>IF(Purchase[[#This Row],[Status]]="Cancelled",0,Purchase[[#This Row],[Total Amount]])</f>
        <v>5869.32</v>
      </c>
      <c r="U1571" s="146">
        <f>SUM(Purchase[Net Amount])</f>
        <v>814985438.68000126</v>
      </c>
    </row>
    <row r="1572" spans="1:21" ht="19.5" thickBot="1" x14ac:dyDescent="0.3">
      <c r="A1572" s="136" t="s">
        <v>2626</v>
      </c>
      <c r="B1572" s="137">
        <v>45734</v>
      </c>
      <c r="C1572" s="138" t="s">
        <v>601</v>
      </c>
      <c r="D1572" s="138" t="str">
        <f>VLOOKUP(Purchase[[#This Row],[Supplier ID]],Supplier[#All],2,0)</f>
        <v>Maa Distributors</v>
      </c>
      <c r="E1572" s="138">
        <f>VLOOKUP(Purchase[[#This Row],[Supplier ID]],Supplier[#All],3,0)</f>
        <v>9689542484</v>
      </c>
      <c r="F1572" s="138" t="str">
        <f>VLOOKUP(Purchase[[#This Row],[Supplier ID]],Supplier[#All],4,0)</f>
        <v>Indore</v>
      </c>
      <c r="G1572" s="138" t="str">
        <f>VLOOKUP(Purchase[[#This Row],[Supplier ID]],Supplier[#All],5,0)</f>
        <v>MP</v>
      </c>
      <c r="H1572" s="138" t="str">
        <f>VLOOKUP(Purchase[[#This Row],[Supplier ID]],Supplier[#All],6,0)</f>
        <v>GST2154521T046</v>
      </c>
      <c r="I1572" s="138" t="s">
        <v>322</v>
      </c>
      <c r="J1572" s="139">
        <v>40</v>
      </c>
      <c r="K1572" s="143">
        <f>VLOOKUP(Purchase[[#This Row],[Product ID]],Product[#All],6,0)</f>
        <v>8005</v>
      </c>
      <c r="L1572" s="143">
        <f>Purchase[[#This Row],[Purchase Rate]]*Purchase[[#This Row],[Qty]]</f>
        <v>320200</v>
      </c>
      <c r="M1572" s="140">
        <v>0</v>
      </c>
      <c r="N1572" s="143">
        <v>0</v>
      </c>
      <c r="O1572" s="140">
        <v>0.18</v>
      </c>
      <c r="P1572" s="145">
        <f>(Purchase[[#This Row],[Gross Amount]]-Purchase[[#This Row],[Disct %]])*Purchase[[#This Row],[GST %]]</f>
        <v>57636</v>
      </c>
      <c r="Q1572" s="145">
        <f>Purchase[[#This Row],[Gross Amount]]-Purchase[[#This Row],[Disct Amnt]]+Purchase[[#This Row],[GST Amount]]</f>
        <v>377836</v>
      </c>
      <c r="R1572" s="138" t="s">
        <v>1040</v>
      </c>
      <c r="S1572" s="41">
        <f>IF(Purchase[[#This Row],[Status]]="Cancelled",0,Purchase[[#This Row],[Qty]])</f>
        <v>0</v>
      </c>
      <c r="T1572" s="146">
        <f>IF(Purchase[[#This Row],[Status]]="Cancelled",0,Purchase[[#This Row],[Total Amount]])</f>
        <v>0</v>
      </c>
      <c r="U1572" s="146">
        <f>SUM(Purchase[Net Amount])</f>
        <v>814985438.68000126</v>
      </c>
    </row>
    <row r="1573" spans="1:21" ht="19.5" thickBot="1" x14ac:dyDescent="0.3">
      <c r="A1573" s="136" t="s">
        <v>2627</v>
      </c>
      <c r="B1573" s="137">
        <v>45734</v>
      </c>
      <c r="C1573" s="138" t="s">
        <v>8748</v>
      </c>
      <c r="D1573" s="138" t="str">
        <f>VLOOKUP(Purchase[[#This Row],[Supplier ID]],Supplier[#All],2,0)</f>
        <v>Global Computers</v>
      </c>
      <c r="E1573" s="138">
        <f>VLOOKUP(Purchase[[#This Row],[Supplier ID]],Supplier[#All],3,0)</f>
        <v>9689542459</v>
      </c>
      <c r="F1573" s="138" t="str">
        <f>VLOOKUP(Purchase[[#This Row],[Supplier ID]],Supplier[#All],4,0)</f>
        <v>Indore</v>
      </c>
      <c r="G1573" s="138" t="str">
        <f>VLOOKUP(Purchase[[#This Row],[Supplier ID]],Supplier[#All],5,0)</f>
        <v>MP</v>
      </c>
      <c r="H1573" s="138" t="str">
        <f>VLOOKUP(Purchase[[#This Row],[Supplier ID]],Supplier[#All],6,0)</f>
        <v>GST2154521T021</v>
      </c>
      <c r="I1573" s="138" t="s">
        <v>545</v>
      </c>
      <c r="J1573" s="139">
        <v>8</v>
      </c>
      <c r="K1573" s="143">
        <f>VLOOKUP(Purchase[[#This Row],[Product ID]],Product[#All],6,0)</f>
        <v>5298</v>
      </c>
      <c r="L1573" s="143">
        <f>Purchase[[#This Row],[Purchase Rate]]*Purchase[[#This Row],[Qty]]</f>
        <v>42384</v>
      </c>
      <c r="M1573" s="140">
        <v>0</v>
      </c>
      <c r="N1573" s="143">
        <v>0</v>
      </c>
      <c r="O1573" s="140">
        <v>0.18</v>
      </c>
      <c r="P1573" s="145">
        <f>(Purchase[[#This Row],[Gross Amount]]-Purchase[[#This Row],[Disct %]])*Purchase[[#This Row],[GST %]]</f>
        <v>7629.12</v>
      </c>
      <c r="Q1573" s="145">
        <f>Purchase[[#This Row],[Gross Amount]]-Purchase[[#This Row],[Disct Amnt]]+Purchase[[#This Row],[GST Amount]]</f>
        <v>50013.120000000003</v>
      </c>
      <c r="R1573" s="138" t="s">
        <v>1019</v>
      </c>
      <c r="S1573" s="41">
        <f>IF(Purchase[[#This Row],[Status]]="Cancelled",0,Purchase[[#This Row],[Qty]])</f>
        <v>8</v>
      </c>
      <c r="T1573" s="146">
        <f>IF(Purchase[[#This Row],[Status]]="Cancelled",0,Purchase[[#This Row],[Total Amount]])</f>
        <v>50013.120000000003</v>
      </c>
      <c r="U1573" s="146">
        <f>SUM(Purchase[Net Amount])</f>
        <v>814985438.68000126</v>
      </c>
    </row>
    <row r="1574" spans="1:21" ht="19.5" thickBot="1" x14ac:dyDescent="0.3">
      <c r="A1574" s="136" t="s">
        <v>2628</v>
      </c>
      <c r="B1574" s="137">
        <v>45734</v>
      </c>
      <c r="C1574" s="138" t="s">
        <v>567</v>
      </c>
      <c r="D1574" s="138" t="str">
        <f>VLOOKUP(Purchase[[#This Row],[Supplier ID]],Supplier[#All],2,0)</f>
        <v>National Distributors</v>
      </c>
      <c r="E1574" s="138">
        <f>VLOOKUP(Purchase[[#This Row],[Supplier ID]],Supplier[#All],3,0)</f>
        <v>9689542453</v>
      </c>
      <c r="F1574" s="138" t="str">
        <f>VLOOKUP(Purchase[[#This Row],[Supplier ID]],Supplier[#All],4,0)</f>
        <v>Korba</v>
      </c>
      <c r="G1574" s="138" t="str">
        <f>VLOOKUP(Purchase[[#This Row],[Supplier ID]],Supplier[#All],5,0)</f>
        <v>CG</v>
      </c>
      <c r="H1574" s="138" t="str">
        <f>VLOOKUP(Purchase[[#This Row],[Supplier ID]],Supplier[#All],6,0)</f>
        <v>GST2154521T015</v>
      </c>
      <c r="I1574" s="138" t="s">
        <v>379</v>
      </c>
      <c r="J1574" s="139">
        <v>11</v>
      </c>
      <c r="K1574" s="143">
        <f>VLOOKUP(Purchase[[#This Row],[Product ID]],Product[#All],6,0)</f>
        <v>66232</v>
      </c>
      <c r="L1574" s="143">
        <f>Purchase[[#This Row],[Purchase Rate]]*Purchase[[#This Row],[Qty]]</f>
        <v>728552</v>
      </c>
      <c r="M1574" s="140">
        <v>0</v>
      </c>
      <c r="N1574" s="143">
        <v>0</v>
      </c>
      <c r="O1574" s="140">
        <v>0.18</v>
      </c>
      <c r="P1574" s="145">
        <f>(Purchase[[#This Row],[Gross Amount]]-Purchase[[#This Row],[Disct %]])*Purchase[[#This Row],[GST %]]</f>
        <v>131139.35999999999</v>
      </c>
      <c r="Q1574" s="145">
        <f>Purchase[[#This Row],[Gross Amount]]-Purchase[[#This Row],[Disct Amnt]]+Purchase[[#This Row],[GST Amount]]</f>
        <v>859691.36</v>
      </c>
      <c r="R1574" s="138" t="s">
        <v>1019</v>
      </c>
      <c r="S1574" s="41">
        <f>IF(Purchase[[#This Row],[Status]]="Cancelled",0,Purchase[[#This Row],[Qty]])</f>
        <v>11</v>
      </c>
      <c r="T1574" s="146">
        <f>IF(Purchase[[#This Row],[Status]]="Cancelled",0,Purchase[[#This Row],[Total Amount]])</f>
        <v>859691.36</v>
      </c>
      <c r="U1574" s="146">
        <f>SUM(Purchase[Net Amount])</f>
        <v>814985438.68000126</v>
      </c>
    </row>
    <row r="1575" spans="1:21" ht="19.5" thickBot="1" x14ac:dyDescent="0.3">
      <c r="A1575" s="136" t="s">
        <v>2629</v>
      </c>
      <c r="B1575" s="137">
        <v>45734</v>
      </c>
      <c r="C1575" s="138" t="s">
        <v>603</v>
      </c>
      <c r="D1575" s="138" t="str">
        <f>VLOOKUP(Purchase[[#This Row],[Supplier ID]],Supplier[#All],2,0)</f>
        <v>Tech Computers</v>
      </c>
      <c r="E1575" s="138">
        <f>VLOOKUP(Purchase[[#This Row],[Supplier ID]],Supplier[#All],3,0)</f>
        <v>9689542486</v>
      </c>
      <c r="F1575" s="138" t="str">
        <f>VLOOKUP(Purchase[[#This Row],[Supplier ID]],Supplier[#All],4,0)</f>
        <v>Indore</v>
      </c>
      <c r="G1575" s="138" t="str">
        <f>VLOOKUP(Purchase[[#This Row],[Supplier ID]],Supplier[#All],5,0)</f>
        <v>MP</v>
      </c>
      <c r="H1575" s="138" t="str">
        <f>VLOOKUP(Purchase[[#This Row],[Supplier ID]],Supplier[#All],6,0)</f>
        <v>GST2154521T048</v>
      </c>
      <c r="I1575" s="138" t="s">
        <v>198</v>
      </c>
      <c r="J1575" s="139">
        <v>6</v>
      </c>
      <c r="K1575" s="143">
        <f>VLOOKUP(Purchase[[#This Row],[Product ID]],Product[#All],6,0)</f>
        <v>1905</v>
      </c>
      <c r="L1575" s="143">
        <f>Purchase[[#This Row],[Purchase Rate]]*Purchase[[#This Row],[Qty]]</f>
        <v>11430</v>
      </c>
      <c r="M1575" s="140">
        <v>0</v>
      </c>
      <c r="N1575" s="143">
        <v>0</v>
      </c>
      <c r="O1575" s="140">
        <v>0.18</v>
      </c>
      <c r="P1575" s="145">
        <f>(Purchase[[#This Row],[Gross Amount]]-Purchase[[#This Row],[Disct %]])*Purchase[[#This Row],[GST %]]</f>
        <v>2057.4</v>
      </c>
      <c r="Q1575" s="145">
        <f>Purchase[[#This Row],[Gross Amount]]-Purchase[[#This Row],[Disct Amnt]]+Purchase[[#This Row],[GST Amount]]</f>
        <v>13487.4</v>
      </c>
      <c r="R1575" s="138" t="s">
        <v>1019</v>
      </c>
      <c r="S1575" s="41">
        <f>IF(Purchase[[#This Row],[Status]]="Cancelled",0,Purchase[[#This Row],[Qty]])</f>
        <v>6</v>
      </c>
      <c r="T1575" s="146">
        <f>IF(Purchase[[#This Row],[Status]]="Cancelled",0,Purchase[[#This Row],[Total Amount]])</f>
        <v>13487.4</v>
      </c>
      <c r="U1575" s="146">
        <f>SUM(Purchase[Net Amount])</f>
        <v>814985438.68000126</v>
      </c>
    </row>
    <row r="1576" spans="1:21" ht="19.5" thickBot="1" x14ac:dyDescent="0.3">
      <c r="A1576" s="136" t="s">
        <v>2630</v>
      </c>
      <c r="B1576" s="137">
        <v>45734</v>
      </c>
      <c r="C1576" s="138" t="s">
        <v>599</v>
      </c>
      <c r="D1576" s="138" t="str">
        <f>VLOOKUP(Purchase[[#This Row],[Supplier ID]],Supplier[#All],2,0)</f>
        <v>National Distributors</v>
      </c>
      <c r="E1576" s="138">
        <f>VLOOKUP(Purchase[[#This Row],[Supplier ID]],Supplier[#All],3,0)</f>
        <v>9689542482</v>
      </c>
      <c r="F1576" s="138" t="str">
        <f>VLOOKUP(Purchase[[#This Row],[Supplier ID]],Supplier[#All],4,0)</f>
        <v>Kanpur</v>
      </c>
      <c r="G1576" s="138" t="str">
        <f>VLOOKUP(Purchase[[#This Row],[Supplier ID]],Supplier[#All],5,0)</f>
        <v>UP</v>
      </c>
      <c r="H1576" s="138" t="str">
        <f>VLOOKUP(Purchase[[#This Row],[Supplier ID]],Supplier[#All],6,0)</f>
        <v>GST2154521T044</v>
      </c>
      <c r="I1576" s="138" t="s">
        <v>403</v>
      </c>
      <c r="J1576" s="139">
        <v>2</v>
      </c>
      <c r="K1576" s="143">
        <f>VLOOKUP(Purchase[[#This Row],[Product ID]],Product[#All],6,0)</f>
        <v>13869</v>
      </c>
      <c r="L1576" s="143">
        <f>Purchase[[#This Row],[Purchase Rate]]*Purchase[[#This Row],[Qty]]</f>
        <v>27738</v>
      </c>
      <c r="M1576" s="140">
        <v>0</v>
      </c>
      <c r="N1576" s="143">
        <v>0</v>
      </c>
      <c r="O1576" s="140">
        <v>0.18</v>
      </c>
      <c r="P1576" s="145">
        <f>(Purchase[[#This Row],[Gross Amount]]-Purchase[[#This Row],[Disct %]])*Purchase[[#This Row],[GST %]]</f>
        <v>4992.84</v>
      </c>
      <c r="Q1576" s="145">
        <f>Purchase[[#This Row],[Gross Amount]]-Purchase[[#This Row],[Disct Amnt]]+Purchase[[#This Row],[GST Amount]]</f>
        <v>32730.84</v>
      </c>
      <c r="R1576" s="138" t="s">
        <v>1019</v>
      </c>
      <c r="S1576" s="41">
        <f>IF(Purchase[[#This Row],[Status]]="Cancelled",0,Purchase[[#This Row],[Qty]])</f>
        <v>2</v>
      </c>
      <c r="T1576" s="146">
        <f>IF(Purchase[[#This Row],[Status]]="Cancelled",0,Purchase[[#This Row],[Total Amount]])</f>
        <v>32730.84</v>
      </c>
      <c r="U1576" s="146">
        <f>SUM(Purchase[Net Amount])</f>
        <v>814985438.68000126</v>
      </c>
    </row>
    <row r="1577" spans="1:21" ht="19.5" thickBot="1" x14ac:dyDescent="0.3">
      <c r="A1577" s="136" t="s">
        <v>2631</v>
      </c>
      <c r="B1577" s="137">
        <v>45734</v>
      </c>
      <c r="C1577" s="138" t="s">
        <v>576</v>
      </c>
      <c r="D1577" s="138" t="str">
        <f>VLOOKUP(Purchase[[#This Row],[Supplier ID]],Supplier[#All],2,0)</f>
        <v>Maa Distributors</v>
      </c>
      <c r="E1577" s="138">
        <f>VLOOKUP(Purchase[[#This Row],[Supplier ID]],Supplier[#All],3,0)</f>
        <v>9689542460</v>
      </c>
      <c r="F1577" s="138" t="str">
        <f>VLOOKUP(Purchase[[#This Row],[Supplier ID]],Supplier[#All],4,0)</f>
        <v>Korba</v>
      </c>
      <c r="G1577" s="138" t="str">
        <f>VLOOKUP(Purchase[[#This Row],[Supplier ID]],Supplier[#All],5,0)</f>
        <v>CG</v>
      </c>
      <c r="H1577" s="138" t="str">
        <f>VLOOKUP(Purchase[[#This Row],[Supplier ID]],Supplier[#All],6,0)</f>
        <v>GST2154521T022</v>
      </c>
      <c r="I1577" s="138" t="s">
        <v>410</v>
      </c>
      <c r="J1577" s="139">
        <v>36</v>
      </c>
      <c r="K1577" s="143">
        <f>VLOOKUP(Purchase[[#This Row],[Product ID]],Product[#All],6,0)</f>
        <v>9953</v>
      </c>
      <c r="L1577" s="143">
        <f>Purchase[[#This Row],[Purchase Rate]]*Purchase[[#This Row],[Qty]]</f>
        <v>358308</v>
      </c>
      <c r="M1577" s="140">
        <v>0</v>
      </c>
      <c r="N1577" s="143">
        <v>0</v>
      </c>
      <c r="O1577" s="140">
        <v>0.18</v>
      </c>
      <c r="P1577" s="145">
        <f>(Purchase[[#This Row],[Gross Amount]]-Purchase[[#This Row],[Disct %]])*Purchase[[#This Row],[GST %]]</f>
        <v>64495.439999999995</v>
      </c>
      <c r="Q1577" s="145">
        <f>Purchase[[#This Row],[Gross Amount]]-Purchase[[#This Row],[Disct Amnt]]+Purchase[[#This Row],[GST Amount]]</f>
        <v>422803.44</v>
      </c>
      <c r="R1577" s="138" t="s">
        <v>1019</v>
      </c>
      <c r="S1577" s="41">
        <f>IF(Purchase[[#This Row],[Status]]="Cancelled",0,Purchase[[#This Row],[Qty]])</f>
        <v>36</v>
      </c>
      <c r="T1577" s="146">
        <f>IF(Purchase[[#This Row],[Status]]="Cancelled",0,Purchase[[#This Row],[Total Amount]])</f>
        <v>422803.44</v>
      </c>
      <c r="U1577" s="146">
        <f>SUM(Purchase[Net Amount])</f>
        <v>814985438.68000126</v>
      </c>
    </row>
    <row r="1578" spans="1:21" ht="19.5" thickBot="1" x14ac:dyDescent="0.3">
      <c r="A1578" s="136" t="s">
        <v>2632</v>
      </c>
      <c r="B1578" s="137">
        <v>45734</v>
      </c>
      <c r="C1578" s="138" t="s">
        <v>594</v>
      </c>
      <c r="D1578" s="138" t="str">
        <f>VLOOKUP(Purchase[[#This Row],[Supplier ID]],Supplier[#All],2,0)</f>
        <v>Shree Suppliers</v>
      </c>
      <c r="E1578" s="138">
        <f>VLOOKUP(Purchase[[#This Row],[Supplier ID]],Supplier[#All],3,0)</f>
        <v>9689542477</v>
      </c>
      <c r="F1578" s="138" t="str">
        <f>VLOOKUP(Purchase[[#This Row],[Supplier ID]],Supplier[#All],4,0)</f>
        <v>Indore</v>
      </c>
      <c r="G1578" s="138" t="str">
        <f>VLOOKUP(Purchase[[#This Row],[Supplier ID]],Supplier[#All],5,0)</f>
        <v>MP</v>
      </c>
      <c r="H1578" s="138" t="str">
        <f>VLOOKUP(Purchase[[#This Row],[Supplier ID]],Supplier[#All],6,0)</f>
        <v>GST2154521T039</v>
      </c>
      <c r="I1578" s="138" t="s">
        <v>220</v>
      </c>
      <c r="J1578" s="139">
        <v>12</v>
      </c>
      <c r="K1578" s="143">
        <f>VLOOKUP(Purchase[[#This Row],[Product ID]],Product[#All],6,0)</f>
        <v>34163</v>
      </c>
      <c r="L1578" s="143">
        <f>Purchase[[#This Row],[Purchase Rate]]*Purchase[[#This Row],[Qty]]</f>
        <v>409956</v>
      </c>
      <c r="M1578" s="140">
        <v>0</v>
      </c>
      <c r="N1578" s="143">
        <v>0</v>
      </c>
      <c r="O1578" s="140">
        <v>0.18</v>
      </c>
      <c r="P1578" s="145">
        <f>(Purchase[[#This Row],[Gross Amount]]-Purchase[[#This Row],[Disct %]])*Purchase[[#This Row],[GST %]]</f>
        <v>73792.08</v>
      </c>
      <c r="Q1578" s="145">
        <f>Purchase[[#This Row],[Gross Amount]]-Purchase[[#This Row],[Disct Amnt]]+Purchase[[#This Row],[GST Amount]]</f>
        <v>483748.08</v>
      </c>
      <c r="R1578" s="138" t="s">
        <v>1019</v>
      </c>
      <c r="S1578" s="41">
        <f>IF(Purchase[[#This Row],[Status]]="Cancelled",0,Purchase[[#This Row],[Qty]])</f>
        <v>12</v>
      </c>
      <c r="T1578" s="146">
        <f>IF(Purchase[[#This Row],[Status]]="Cancelled",0,Purchase[[#This Row],[Total Amount]])</f>
        <v>483748.08</v>
      </c>
      <c r="U1578" s="146">
        <f>SUM(Purchase[Net Amount])</f>
        <v>814985438.68000126</v>
      </c>
    </row>
    <row r="1579" spans="1:21" ht="19.5" thickBot="1" x14ac:dyDescent="0.3">
      <c r="A1579" s="136" t="s">
        <v>2633</v>
      </c>
      <c r="B1579" s="137">
        <v>45734</v>
      </c>
      <c r="C1579" s="138" t="s">
        <v>2383</v>
      </c>
      <c r="D1579" s="138" t="str">
        <f>VLOOKUP(Purchase[[#This Row],[Supplier ID]],Supplier[#All],2,0)</f>
        <v>Tech Traders</v>
      </c>
      <c r="E1579" s="138">
        <f>VLOOKUP(Purchase[[#This Row],[Supplier ID]],Supplier[#All],3,0)</f>
        <v>9689542480</v>
      </c>
      <c r="F1579" s="138" t="str">
        <f>VLOOKUP(Purchase[[#This Row],[Supplier ID]],Supplier[#All],4,0)</f>
        <v>Kanpur</v>
      </c>
      <c r="G1579" s="138" t="str">
        <f>VLOOKUP(Purchase[[#This Row],[Supplier ID]],Supplier[#All],5,0)</f>
        <v>UP</v>
      </c>
      <c r="H1579" s="138" t="str">
        <f>VLOOKUP(Purchase[[#This Row],[Supplier ID]],Supplier[#All],6,0)</f>
        <v>GST2154521T042</v>
      </c>
      <c r="I1579" s="138" t="s">
        <v>298</v>
      </c>
      <c r="J1579" s="139">
        <v>5</v>
      </c>
      <c r="K1579" s="143">
        <f>VLOOKUP(Purchase[[#This Row],[Product ID]],Product[#All],6,0)</f>
        <v>19959</v>
      </c>
      <c r="L1579" s="143">
        <f>Purchase[[#This Row],[Purchase Rate]]*Purchase[[#This Row],[Qty]]</f>
        <v>99795</v>
      </c>
      <c r="M1579" s="140">
        <v>0</v>
      </c>
      <c r="N1579" s="143">
        <v>0</v>
      </c>
      <c r="O1579" s="140">
        <v>0.18</v>
      </c>
      <c r="P1579" s="145">
        <f>(Purchase[[#This Row],[Gross Amount]]-Purchase[[#This Row],[Disct %]])*Purchase[[#This Row],[GST %]]</f>
        <v>17963.099999999999</v>
      </c>
      <c r="Q1579" s="145">
        <f>Purchase[[#This Row],[Gross Amount]]-Purchase[[#This Row],[Disct Amnt]]+Purchase[[#This Row],[GST Amount]]</f>
        <v>117758.1</v>
      </c>
      <c r="R1579" s="138" t="s">
        <v>1019</v>
      </c>
      <c r="S1579" s="41">
        <f>IF(Purchase[[#This Row],[Status]]="Cancelled",0,Purchase[[#This Row],[Qty]])</f>
        <v>5</v>
      </c>
      <c r="T1579" s="146">
        <f>IF(Purchase[[#This Row],[Status]]="Cancelled",0,Purchase[[#This Row],[Total Amount]])</f>
        <v>117758.1</v>
      </c>
      <c r="U1579" s="146">
        <f>SUM(Purchase[Net Amount])</f>
        <v>814985438.68000126</v>
      </c>
    </row>
    <row r="1580" spans="1:21" ht="19.5" thickBot="1" x14ac:dyDescent="0.3">
      <c r="A1580" s="136" t="s">
        <v>2634</v>
      </c>
      <c r="B1580" s="137">
        <v>45734</v>
      </c>
      <c r="C1580" s="138" t="s">
        <v>569</v>
      </c>
      <c r="D1580" s="138" t="str">
        <f>VLOOKUP(Purchase[[#This Row],[Supplier ID]],Supplier[#All],2,0)</f>
        <v>Tech Electronics</v>
      </c>
      <c r="E1580" s="138">
        <f>VLOOKUP(Purchase[[#This Row],[Supplier ID]],Supplier[#All],3,0)</f>
        <v>9689542455</v>
      </c>
      <c r="F1580" s="138" t="str">
        <f>VLOOKUP(Purchase[[#This Row],[Supplier ID]],Supplier[#All],4,0)</f>
        <v>Korba</v>
      </c>
      <c r="G1580" s="138" t="str">
        <f>VLOOKUP(Purchase[[#This Row],[Supplier ID]],Supplier[#All],5,0)</f>
        <v>CG</v>
      </c>
      <c r="H1580" s="138" t="str">
        <f>VLOOKUP(Purchase[[#This Row],[Supplier ID]],Supplier[#All],6,0)</f>
        <v>GST2154521T017</v>
      </c>
      <c r="I1580" s="138" t="s">
        <v>337</v>
      </c>
      <c r="J1580" s="139">
        <v>3</v>
      </c>
      <c r="K1580" s="143">
        <f>VLOOKUP(Purchase[[#This Row],[Product ID]],Product[#All],6,0)</f>
        <v>8039</v>
      </c>
      <c r="L1580" s="143">
        <f>Purchase[[#This Row],[Purchase Rate]]*Purchase[[#This Row],[Qty]]</f>
        <v>24117</v>
      </c>
      <c r="M1580" s="140">
        <v>0</v>
      </c>
      <c r="N1580" s="143">
        <v>0</v>
      </c>
      <c r="O1580" s="140">
        <v>0.18</v>
      </c>
      <c r="P1580" s="145">
        <f>(Purchase[[#This Row],[Gross Amount]]-Purchase[[#This Row],[Disct %]])*Purchase[[#This Row],[GST %]]</f>
        <v>4341.0599999999995</v>
      </c>
      <c r="Q1580" s="145">
        <f>Purchase[[#This Row],[Gross Amount]]-Purchase[[#This Row],[Disct Amnt]]+Purchase[[#This Row],[GST Amount]]</f>
        <v>28458.059999999998</v>
      </c>
      <c r="R1580" s="138" t="s">
        <v>1019</v>
      </c>
      <c r="S1580" s="41">
        <f>IF(Purchase[[#This Row],[Status]]="Cancelled",0,Purchase[[#This Row],[Qty]])</f>
        <v>3</v>
      </c>
      <c r="T1580" s="146">
        <f>IF(Purchase[[#This Row],[Status]]="Cancelled",0,Purchase[[#This Row],[Total Amount]])</f>
        <v>28458.059999999998</v>
      </c>
      <c r="U1580" s="146">
        <f>SUM(Purchase[Net Amount])</f>
        <v>814985438.68000126</v>
      </c>
    </row>
    <row r="1581" spans="1:21" ht="19.5" thickBot="1" x14ac:dyDescent="0.3">
      <c r="A1581" s="136" t="s">
        <v>2635</v>
      </c>
      <c r="B1581" s="137">
        <v>45734</v>
      </c>
      <c r="C1581" s="138" t="s">
        <v>591</v>
      </c>
      <c r="D1581" s="138" t="str">
        <f>VLOOKUP(Purchase[[#This Row],[Supplier ID]],Supplier[#All],2,0)</f>
        <v>Shree Computers</v>
      </c>
      <c r="E1581" s="138">
        <f>VLOOKUP(Purchase[[#This Row],[Supplier ID]],Supplier[#All],3,0)</f>
        <v>9689542475</v>
      </c>
      <c r="F1581" s="138" t="str">
        <f>VLOOKUP(Purchase[[#This Row],[Supplier ID]],Supplier[#All],4,0)</f>
        <v>Indore</v>
      </c>
      <c r="G1581" s="138" t="str">
        <f>VLOOKUP(Purchase[[#This Row],[Supplier ID]],Supplier[#All],5,0)</f>
        <v>MP</v>
      </c>
      <c r="H1581" s="138" t="str">
        <f>VLOOKUP(Purchase[[#This Row],[Supplier ID]],Supplier[#All],6,0)</f>
        <v>GST2154521T037</v>
      </c>
      <c r="I1581" s="138" t="s">
        <v>320</v>
      </c>
      <c r="J1581" s="139">
        <v>13</v>
      </c>
      <c r="K1581" s="143">
        <f>VLOOKUP(Purchase[[#This Row],[Product ID]],Product[#All],6,0)</f>
        <v>10004</v>
      </c>
      <c r="L1581" s="143">
        <f>Purchase[[#This Row],[Purchase Rate]]*Purchase[[#This Row],[Qty]]</f>
        <v>130052</v>
      </c>
      <c r="M1581" s="140">
        <v>0</v>
      </c>
      <c r="N1581" s="143">
        <v>0</v>
      </c>
      <c r="O1581" s="140">
        <v>0.18</v>
      </c>
      <c r="P1581" s="145">
        <f>(Purchase[[#This Row],[Gross Amount]]-Purchase[[#This Row],[Disct %]])*Purchase[[#This Row],[GST %]]</f>
        <v>23409.360000000001</v>
      </c>
      <c r="Q1581" s="145">
        <f>Purchase[[#This Row],[Gross Amount]]-Purchase[[#This Row],[Disct Amnt]]+Purchase[[#This Row],[GST Amount]]</f>
        <v>153461.35999999999</v>
      </c>
      <c r="R1581" s="138" t="s">
        <v>1019</v>
      </c>
      <c r="S1581" s="41">
        <f>IF(Purchase[[#This Row],[Status]]="Cancelled",0,Purchase[[#This Row],[Qty]])</f>
        <v>13</v>
      </c>
      <c r="T1581" s="146">
        <f>IF(Purchase[[#This Row],[Status]]="Cancelled",0,Purchase[[#This Row],[Total Amount]])</f>
        <v>153461.35999999999</v>
      </c>
      <c r="U1581" s="146">
        <f>SUM(Purchase[Net Amount])</f>
        <v>814985438.68000126</v>
      </c>
    </row>
    <row r="1582" spans="1:21" ht="19.5" thickBot="1" x14ac:dyDescent="0.3">
      <c r="A1582" s="136" t="s">
        <v>2636</v>
      </c>
      <c r="B1582" s="137">
        <v>45734</v>
      </c>
      <c r="C1582" s="138" t="s">
        <v>607</v>
      </c>
      <c r="D1582" s="138" t="str">
        <f>VLOOKUP(Purchase[[#This Row],[Supplier ID]],Supplier[#All],2,0)</f>
        <v>Global Distributors</v>
      </c>
      <c r="E1582" s="138">
        <f>VLOOKUP(Purchase[[#This Row],[Supplier ID]],Supplier[#All],3,0)</f>
        <v>9689542490</v>
      </c>
      <c r="F1582" s="138" t="str">
        <f>VLOOKUP(Purchase[[#This Row],[Supplier ID]],Supplier[#All],4,0)</f>
        <v>Kanpur</v>
      </c>
      <c r="G1582" s="138" t="str">
        <f>VLOOKUP(Purchase[[#This Row],[Supplier ID]],Supplier[#All],5,0)</f>
        <v>UP</v>
      </c>
      <c r="H1582" s="138" t="str">
        <f>VLOOKUP(Purchase[[#This Row],[Supplier ID]],Supplier[#All],6,0)</f>
        <v>GST2154521T052</v>
      </c>
      <c r="I1582" s="138" t="s">
        <v>429</v>
      </c>
      <c r="J1582" s="139">
        <v>4</v>
      </c>
      <c r="K1582" s="143">
        <f>VLOOKUP(Purchase[[#This Row],[Product ID]],Product[#All],6,0)</f>
        <v>1959</v>
      </c>
      <c r="L1582" s="143">
        <f>Purchase[[#This Row],[Purchase Rate]]*Purchase[[#This Row],[Qty]]</f>
        <v>7836</v>
      </c>
      <c r="M1582" s="140">
        <v>0</v>
      </c>
      <c r="N1582" s="143">
        <v>0</v>
      </c>
      <c r="O1582" s="140">
        <v>0.18</v>
      </c>
      <c r="P1582" s="145">
        <f>(Purchase[[#This Row],[Gross Amount]]-Purchase[[#This Row],[Disct %]])*Purchase[[#This Row],[GST %]]</f>
        <v>1410.48</v>
      </c>
      <c r="Q1582" s="145">
        <f>Purchase[[#This Row],[Gross Amount]]-Purchase[[#This Row],[Disct Amnt]]+Purchase[[#This Row],[GST Amount]]</f>
        <v>9246.48</v>
      </c>
      <c r="R1582" s="138" t="s">
        <v>1019</v>
      </c>
      <c r="S1582" s="41">
        <f>IF(Purchase[[#This Row],[Status]]="Cancelled",0,Purchase[[#This Row],[Qty]])</f>
        <v>4</v>
      </c>
      <c r="T1582" s="146">
        <f>IF(Purchase[[#This Row],[Status]]="Cancelled",0,Purchase[[#This Row],[Total Amount]])</f>
        <v>9246.48</v>
      </c>
      <c r="U1582" s="146">
        <f>SUM(Purchase[Net Amount])</f>
        <v>814985438.68000126</v>
      </c>
    </row>
    <row r="1583" spans="1:21" ht="19.5" thickBot="1" x14ac:dyDescent="0.3">
      <c r="A1583" s="136" t="s">
        <v>2637</v>
      </c>
      <c r="B1583" s="137">
        <v>45734</v>
      </c>
      <c r="C1583" s="138" t="s">
        <v>568</v>
      </c>
      <c r="D1583" s="138" t="str">
        <f>VLOOKUP(Purchase[[#This Row],[Supplier ID]],Supplier[#All],2,0)</f>
        <v>Maa Computers</v>
      </c>
      <c r="E1583" s="138">
        <f>VLOOKUP(Purchase[[#This Row],[Supplier ID]],Supplier[#All],3,0)</f>
        <v>9689542454</v>
      </c>
      <c r="F1583" s="138" t="str">
        <f>VLOOKUP(Purchase[[#This Row],[Supplier ID]],Supplier[#All],4,0)</f>
        <v>Korba</v>
      </c>
      <c r="G1583" s="138" t="str">
        <f>VLOOKUP(Purchase[[#This Row],[Supplier ID]],Supplier[#All],5,0)</f>
        <v>CG</v>
      </c>
      <c r="H1583" s="138" t="str">
        <f>VLOOKUP(Purchase[[#This Row],[Supplier ID]],Supplier[#All],6,0)</f>
        <v>GST2154521T016</v>
      </c>
      <c r="I1583" s="138" t="s">
        <v>435</v>
      </c>
      <c r="J1583" s="139">
        <v>10</v>
      </c>
      <c r="K1583" s="143">
        <f>VLOOKUP(Purchase[[#This Row],[Product ID]],Product[#All],6,0)</f>
        <v>7192</v>
      </c>
      <c r="L1583" s="143">
        <f>Purchase[[#This Row],[Purchase Rate]]*Purchase[[#This Row],[Qty]]</f>
        <v>71920</v>
      </c>
      <c r="M1583" s="140">
        <v>0</v>
      </c>
      <c r="N1583" s="143">
        <v>0</v>
      </c>
      <c r="O1583" s="140">
        <v>0.18</v>
      </c>
      <c r="P1583" s="145">
        <f>(Purchase[[#This Row],[Gross Amount]]-Purchase[[#This Row],[Disct %]])*Purchase[[#This Row],[GST %]]</f>
        <v>12945.6</v>
      </c>
      <c r="Q1583" s="145">
        <f>Purchase[[#This Row],[Gross Amount]]-Purchase[[#This Row],[Disct Amnt]]+Purchase[[#This Row],[GST Amount]]</f>
        <v>84865.600000000006</v>
      </c>
      <c r="R1583" s="138" t="s">
        <v>1019</v>
      </c>
      <c r="S1583" s="41">
        <f>IF(Purchase[[#This Row],[Status]]="Cancelled",0,Purchase[[#This Row],[Qty]])</f>
        <v>10</v>
      </c>
      <c r="T1583" s="146">
        <f>IF(Purchase[[#This Row],[Status]]="Cancelled",0,Purchase[[#This Row],[Total Amount]])</f>
        <v>84865.600000000006</v>
      </c>
      <c r="U1583" s="146">
        <f>SUM(Purchase[Net Amount])</f>
        <v>814985438.68000126</v>
      </c>
    </row>
    <row r="1584" spans="1:21" ht="19.5" thickBot="1" x14ac:dyDescent="0.3">
      <c r="A1584" s="136" t="s">
        <v>2638</v>
      </c>
      <c r="B1584" s="137">
        <v>45734</v>
      </c>
      <c r="C1584" s="138" t="s">
        <v>585</v>
      </c>
      <c r="D1584" s="138" t="str">
        <f>VLOOKUP(Purchase[[#This Row],[Supplier ID]],Supplier[#All],2,0)</f>
        <v>Tech Computers</v>
      </c>
      <c r="E1584" s="138">
        <f>VLOOKUP(Purchase[[#This Row],[Supplier ID]],Supplier[#All],3,0)</f>
        <v>9689542469</v>
      </c>
      <c r="F1584" s="138" t="str">
        <f>VLOOKUP(Purchase[[#This Row],[Supplier ID]],Supplier[#All],4,0)</f>
        <v>Korba</v>
      </c>
      <c r="G1584" s="138" t="str">
        <f>VLOOKUP(Purchase[[#This Row],[Supplier ID]],Supplier[#All],5,0)</f>
        <v>CG</v>
      </c>
      <c r="H1584" s="138" t="str">
        <f>VLOOKUP(Purchase[[#This Row],[Supplier ID]],Supplier[#All],6,0)</f>
        <v>GST2154521T031</v>
      </c>
      <c r="I1584" s="138" t="s">
        <v>234</v>
      </c>
      <c r="J1584" s="139">
        <v>17</v>
      </c>
      <c r="K1584" s="143">
        <f>VLOOKUP(Purchase[[#This Row],[Product ID]],Product[#All],6,0)</f>
        <v>63093</v>
      </c>
      <c r="L1584" s="143">
        <f>Purchase[[#This Row],[Purchase Rate]]*Purchase[[#This Row],[Qty]]</f>
        <v>1072581</v>
      </c>
      <c r="M1584" s="140">
        <v>0</v>
      </c>
      <c r="N1584" s="143">
        <v>0</v>
      </c>
      <c r="O1584" s="140">
        <v>0.18</v>
      </c>
      <c r="P1584" s="145">
        <f>(Purchase[[#This Row],[Gross Amount]]-Purchase[[#This Row],[Disct %]])*Purchase[[#This Row],[GST %]]</f>
        <v>193064.58</v>
      </c>
      <c r="Q1584" s="145">
        <f>Purchase[[#This Row],[Gross Amount]]-Purchase[[#This Row],[Disct Amnt]]+Purchase[[#This Row],[GST Amount]]</f>
        <v>1265645.58</v>
      </c>
      <c r="R1584" s="138" t="s">
        <v>1019</v>
      </c>
      <c r="S1584" s="41">
        <f>IF(Purchase[[#This Row],[Status]]="Cancelled",0,Purchase[[#This Row],[Qty]])</f>
        <v>17</v>
      </c>
      <c r="T1584" s="146">
        <f>IF(Purchase[[#This Row],[Status]]="Cancelled",0,Purchase[[#This Row],[Total Amount]])</f>
        <v>1265645.58</v>
      </c>
      <c r="U1584" s="146">
        <f>SUM(Purchase[Net Amount])</f>
        <v>814985438.68000126</v>
      </c>
    </row>
    <row r="1585" spans="1:21" ht="19.5" thickBot="1" x14ac:dyDescent="0.3">
      <c r="A1585" s="136" t="s">
        <v>2639</v>
      </c>
      <c r="B1585" s="137">
        <v>45734</v>
      </c>
      <c r="C1585" s="138" t="s">
        <v>600</v>
      </c>
      <c r="D1585" s="138" t="str">
        <f>VLOOKUP(Purchase[[#This Row],[Supplier ID]],Supplier[#All],2,0)</f>
        <v>Prime Suppliers</v>
      </c>
      <c r="E1585" s="138">
        <f>VLOOKUP(Purchase[[#This Row],[Supplier ID]],Supplier[#All],3,0)</f>
        <v>9689542483</v>
      </c>
      <c r="F1585" s="138" t="str">
        <f>VLOOKUP(Purchase[[#This Row],[Supplier ID]],Supplier[#All],4,0)</f>
        <v>Korba</v>
      </c>
      <c r="G1585" s="138" t="str">
        <f>VLOOKUP(Purchase[[#This Row],[Supplier ID]],Supplier[#All],5,0)</f>
        <v>CG</v>
      </c>
      <c r="H1585" s="138" t="str">
        <f>VLOOKUP(Purchase[[#This Row],[Supplier ID]],Supplier[#All],6,0)</f>
        <v>GST2154521T045</v>
      </c>
      <c r="I1585" s="138" t="s">
        <v>438</v>
      </c>
      <c r="J1585" s="139">
        <v>30</v>
      </c>
      <c r="K1585" s="143">
        <f>VLOOKUP(Purchase[[#This Row],[Product ID]],Product[#All],6,0)</f>
        <v>1324</v>
      </c>
      <c r="L1585" s="143">
        <f>Purchase[[#This Row],[Purchase Rate]]*Purchase[[#This Row],[Qty]]</f>
        <v>39720</v>
      </c>
      <c r="M1585" s="140">
        <v>0</v>
      </c>
      <c r="N1585" s="143">
        <v>0</v>
      </c>
      <c r="O1585" s="140">
        <v>0.18</v>
      </c>
      <c r="P1585" s="145">
        <f>(Purchase[[#This Row],[Gross Amount]]-Purchase[[#This Row],[Disct %]])*Purchase[[#This Row],[GST %]]</f>
        <v>7149.5999999999995</v>
      </c>
      <c r="Q1585" s="145">
        <f>Purchase[[#This Row],[Gross Amount]]-Purchase[[#This Row],[Disct Amnt]]+Purchase[[#This Row],[GST Amount]]</f>
        <v>46869.599999999999</v>
      </c>
      <c r="R1585" s="138" t="s">
        <v>1019</v>
      </c>
      <c r="S1585" s="41">
        <f>IF(Purchase[[#This Row],[Status]]="Cancelled",0,Purchase[[#This Row],[Qty]])</f>
        <v>30</v>
      </c>
      <c r="T1585" s="146">
        <f>IF(Purchase[[#This Row],[Status]]="Cancelled",0,Purchase[[#This Row],[Total Amount]])</f>
        <v>46869.599999999999</v>
      </c>
      <c r="U1585" s="146">
        <f>SUM(Purchase[Net Amount])</f>
        <v>814985438.68000126</v>
      </c>
    </row>
    <row r="1586" spans="1:21" ht="19.5" thickBot="1" x14ac:dyDescent="0.3">
      <c r="A1586" s="136" t="s">
        <v>2640</v>
      </c>
      <c r="B1586" s="137">
        <v>45734</v>
      </c>
      <c r="C1586" s="138" t="s">
        <v>588</v>
      </c>
      <c r="D1586" s="138" t="str">
        <f>VLOOKUP(Purchase[[#This Row],[Supplier ID]],Supplier[#All],2,0)</f>
        <v>Star Electronics</v>
      </c>
      <c r="E1586" s="138">
        <f>VLOOKUP(Purchase[[#This Row],[Supplier ID]],Supplier[#All],3,0)</f>
        <v>9689542472</v>
      </c>
      <c r="F1586" s="138" t="str">
        <f>VLOOKUP(Purchase[[#This Row],[Supplier ID]],Supplier[#All],4,0)</f>
        <v>Korba</v>
      </c>
      <c r="G1586" s="138" t="str">
        <f>VLOOKUP(Purchase[[#This Row],[Supplier ID]],Supplier[#All],5,0)</f>
        <v>CG</v>
      </c>
      <c r="H1586" s="138" t="str">
        <f>VLOOKUP(Purchase[[#This Row],[Supplier ID]],Supplier[#All],6,0)</f>
        <v>GST2154521T034</v>
      </c>
      <c r="I1586" s="138" t="s">
        <v>335</v>
      </c>
      <c r="J1586" s="139">
        <v>33</v>
      </c>
      <c r="K1586" s="143">
        <f>VLOOKUP(Purchase[[#This Row],[Product ID]],Product[#All],6,0)</f>
        <v>3570</v>
      </c>
      <c r="L1586" s="143">
        <f>Purchase[[#This Row],[Purchase Rate]]*Purchase[[#This Row],[Qty]]</f>
        <v>117810</v>
      </c>
      <c r="M1586" s="140">
        <v>0</v>
      </c>
      <c r="N1586" s="143">
        <v>0</v>
      </c>
      <c r="O1586" s="140">
        <v>0.18</v>
      </c>
      <c r="P1586" s="145">
        <f>(Purchase[[#This Row],[Gross Amount]]-Purchase[[#This Row],[Disct %]])*Purchase[[#This Row],[GST %]]</f>
        <v>21205.8</v>
      </c>
      <c r="Q1586" s="145">
        <f>Purchase[[#This Row],[Gross Amount]]-Purchase[[#This Row],[Disct Amnt]]+Purchase[[#This Row],[GST Amount]]</f>
        <v>139015.79999999999</v>
      </c>
      <c r="R1586" s="138" t="s">
        <v>1019</v>
      </c>
      <c r="S1586" s="41">
        <f>IF(Purchase[[#This Row],[Status]]="Cancelled",0,Purchase[[#This Row],[Qty]])</f>
        <v>33</v>
      </c>
      <c r="T1586" s="146">
        <f>IF(Purchase[[#This Row],[Status]]="Cancelled",0,Purchase[[#This Row],[Total Amount]])</f>
        <v>139015.79999999999</v>
      </c>
      <c r="U1586" s="146">
        <f>SUM(Purchase[Net Amount])</f>
        <v>814985438.68000126</v>
      </c>
    </row>
    <row r="1587" spans="1:21" ht="19.5" thickBot="1" x14ac:dyDescent="0.3">
      <c r="A1587" s="136" t="s">
        <v>2641</v>
      </c>
      <c r="B1587" s="137">
        <v>45734</v>
      </c>
      <c r="C1587" s="138" t="s">
        <v>611</v>
      </c>
      <c r="D1587" s="138" t="str">
        <f>VLOOKUP(Purchase[[#This Row],[Supplier ID]],Supplier[#All],2,0)</f>
        <v>National Distributors</v>
      </c>
      <c r="E1587" s="138">
        <f>VLOOKUP(Purchase[[#This Row],[Supplier ID]],Supplier[#All],3,0)</f>
        <v>9689542494</v>
      </c>
      <c r="F1587" s="138" t="str">
        <f>VLOOKUP(Purchase[[#This Row],[Supplier ID]],Supplier[#All],4,0)</f>
        <v>Korba</v>
      </c>
      <c r="G1587" s="138" t="str">
        <f>VLOOKUP(Purchase[[#This Row],[Supplier ID]],Supplier[#All],5,0)</f>
        <v>CG</v>
      </c>
      <c r="H1587" s="138" t="str">
        <f>VLOOKUP(Purchase[[#This Row],[Supplier ID]],Supplier[#All],6,0)</f>
        <v>GST2154521T056</v>
      </c>
      <c r="I1587" s="138" t="s">
        <v>43</v>
      </c>
      <c r="J1587" s="139">
        <v>20</v>
      </c>
      <c r="K1587" s="143">
        <f>VLOOKUP(Purchase[[#This Row],[Product ID]],Product[#All],6,0)</f>
        <v>8664</v>
      </c>
      <c r="L1587" s="143">
        <f>Purchase[[#This Row],[Purchase Rate]]*Purchase[[#This Row],[Qty]]</f>
        <v>173280</v>
      </c>
      <c r="M1587" s="140">
        <v>0</v>
      </c>
      <c r="N1587" s="143">
        <v>0</v>
      </c>
      <c r="O1587" s="140">
        <v>0.18</v>
      </c>
      <c r="P1587" s="145">
        <f>(Purchase[[#This Row],[Gross Amount]]-Purchase[[#This Row],[Disct %]])*Purchase[[#This Row],[GST %]]</f>
        <v>31190.399999999998</v>
      </c>
      <c r="Q1587" s="145">
        <f>Purchase[[#This Row],[Gross Amount]]-Purchase[[#This Row],[Disct Amnt]]+Purchase[[#This Row],[GST Amount]]</f>
        <v>204470.39999999999</v>
      </c>
      <c r="R1587" s="138" t="s">
        <v>1019</v>
      </c>
      <c r="S1587" s="41">
        <f>IF(Purchase[[#This Row],[Status]]="Cancelled",0,Purchase[[#This Row],[Qty]])</f>
        <v>20</v>
      </c>
      <c r="T1587" s="146">
        <f>IF(Purchase[[#This Row],[Status]]="Cancelled",0,Purchase[[#This Row],[Total Amount]])</f>
        <v>204470.39999999999</v>
      </c>
      <c r="U1587" s="146">
        <f>SUM(Purchase[Net Amount])</f>
        <v>814985438.68000126</v>
      </c>
    </row>
    <row r="1588" spans="1:21" ht="19.5" thickBot="1" x14ac:dyDescent="0.3">
      <c r="A1588" s="136" t="s">
        <v>2642</v>
      </c>
      <c r="B1588" s="137">
        <v>45735</v>
      </c>
      <c r="C1588" s="138" t="s">
        <v>602</v>
      </c>
      <c r="D1588" s="138" t="str">
        <f>VLOOKUP(Purchase[[#This Row],[Supplier ID]],Supplier[#All],2,0)</f>
        <v>Maa Computers</v>
      </c>
      <c r="E1588" s="138">
        <f>VLOOKUP(Purchase[[#This Row],[Supplier ID]],Supplier[#All],3,0)</f>
        <v>9689542485</v>
      </c>
      <c r="F1588" s="138" t="str">
        <f>VLOOKUP(Purchase[[#This Row],[Supplier ID]],Supplier[#All],4,0)</f>
        <v>Korba</v>
      </c>
      <c r="G1588" s="138" t="str">
        <f>VLOOKUP(Purchase[[#This Row],[Supplier ID]],Supplier[#All],5,0)</f>
        <v>CG</v>
      </c>
      <c r="H1588" s="138" t="str">
        <f>VLOOKUP(Purchase[[#This Row],[Supplier ID]],Supplier[#All],6,0)</f>
        <v>GST2154521T047</v>
      </c>
      <c r="I1588" s="138" t="s">
        <v>140</v>
      </c>
      <c r="J1588" s="139">
        <v>8</v>
      </c>
      <c r="K1588" s="143">
        <f>VLOOKUP(Purchase[[#This Row],[Product ID]],Product[#All],6,0)</f>
        <v>2116</v>
      </c>
      <c r="L1588" s="143">
        <f>Purchase[[#This Row],[Purchase Rate]]*Purchase[[#This Row],[Qty]]</f>
        <v>16928</v>
      </c>
      <c r="M1588" s="140">
        <v>0</v>
      </c>
      <c r="N1588" s="143">
        <v>0</v>
      </c>
      <c r="O1588" s="140">
        <v>0.18</v>
      </c>
      <c r="P1588" s="145">
        <f>(Purchase[[#This Row],[Gross Amount]]-Purchase[[#This Row],[Disct %]])*Purchase[[#This Row],[GST %]]</f>
        <v>3047.04</v>
      </c>
      <c r="Q1588" s="145">
        <f>Purchase[[#This Row],[Gross Amount]]-Purchase[[#This Row],[Disct Amnt]]+Purchase[[#This Row],[GST Amount]]</f>
        <v>19975.04</v>
      </c>
      <c r="R1588" s="138" t="s">
        <v>1019</v>
      </c>
      <c r="S1588" s="41">
        <f>IF(Purchase[[#This Row],[Status]]="Cancelled",0,Purchase[[#This Row],[Qty]])</f>
        <v>8</v>
      </c>
      <c r="T1588" s="146">
        <f>IF(Purchase[[#This Row],[Status]]="Cancelled",0,Purchase[[#This Row],[Total Amount]])</f>
        <v>19975.04</v>
      </c>
      <c r="U1588" s="146">
        <f>SUM(Purchase[Net Amount])</f>
        <v>814985438.68000126</v>
      </c>
    </row>
    <row r="1589" spans="1:21" ht="19.5" thickBot="1" x14ac:dyDescent="0.3">
      <c r="A1589" s="136" t="s">
        <v>2643</v>
      </c>
      <c r="B1589" s="137">
        <v>45735</v>
      </c>
      <c r="C1589" s="138" t="s">
        <v>568</v>
      </c>
      <c r="D1589" s="138" t="str">
        <f>VLOOKUP(Purchase[[#This Row],[Supplier ID]],Supplier[#All],2,0)</f>
        <v>Maa Computers</v>
      </c>
      <c r="E1589" s="138">
        <f>VLOOKUP(Purchase[[#This Row],[Supplier ID]],Supplier[#All],3,0)</f>
        <v>9689542454</v>
      </c>
      <c r="F1589" s="138" t="str">
        <f>VLOOKUP(Purchase[[#This Row],[Supplier ID]],Supplier[#All],4,0)</f>
        <v>Korba</v>
      </c>
      <c r="G1589" s="138" t="str">
        <f>VLOOKUP(Purchase[[#This Row],[Supplier ID]],Supplier[#All],5,0)</f>
        <v>CG</v>
      </c>
      <c r="H1589" s="138" t="str">
        <f>VLOOKUP(Purchase[[#This Row],[Supplier ID]],Supplier[#All],6,0)</f>
        <v>GST2154521T016</v>
      </c>
      <c r="I1589" s="138" t="s">
        <v>226</v>
      </c>
      <c r="J1589" s="139">
        <v>18</v>
      </c>
      <c r="K1589" s="143">
        <f>VLOOKUP(Purchase[[#This Row],[Product ID]],Product[#All],6,0)</f>
        <v>3821</v>
      </c>
      <c r="L1589" s="143">
        <f>Purchase[[#This Row],[Purchase Rate]]*Purchase[[#This Row],[Qty]]</f>
        <v>68778</v>
      </c>
      <c r="M1589" s="140">
        <v>0</v>
      </c>
      <c r="N1589" s="143">
        <v>0</v>
      </c>
      <c r="O1589" s="140">
        <v>0.18</v>
      </c>
      <c r="P1589" s="145">
        <f>(Purchase[[#This Row],[Gross Amount]]-Purchase[[#This Row],[Disct %]])*Purchase[[#This Row],[GST %]]</f>
        <v>12380.039999999999</v>
      </c>
      <c r="Q1589" s="145">
        <f>Purchase[[#This Row],[Gross Amount]]-Purchase[[#This Row],[Disct Amnt]]+Purchase[[#This Row],[GST Amount]]</f>
        <v>81158.039999999994</v>
      </c>
      <c r="R1589" s="138" t="s">
        <v>1019</v>
      </c>
      <c r="S1589" s="41">
        <f>IF(Purchase[[#This Row],[Status]]="Cancelled",0,Purchase[[#This Row],[Qty]])</f>
        <v>18</v>
      </c>
      <c r="T1589" s="146">
        <f>IF(Purchase[[#This Row],[Status]]="Cancelled",0,Purchase[[#This Row],[Total Amount]])</f>
        <v>81158.039999999994</v>
      </c>
      <c r="U1589" s="146">
        <f>SUM(Purchase[Net Amount])</f>
        <v>814985438.68000126</v>
      </c>
    </row>
    <row r="1590" spans="1:21" ht="19.5" thickBot="1" x14ac:dyDescent="0.3">
      <c r="A1590" s="136" t="s">
        <v>2644</v>
      </c>
      <c r="B1590" s="137">
        <v>45735</v>
      </c>
      <c r="C1590" s="138" t="s">
        <v>585</v>
      </c>
      <c r="D1590" s="138" t="str">
        <f>VLOOKUP(Purchase[[#This Row],[Supplier ID]],Supplier[#All],2,0)</f>
        <v>Tech Computers</v>
      </c>
      <c r="E1590" s="138">
        <f>VLOOKUP(Purchase[[#This Row],[Supplier ID]],Supplier[#All],3,0)</f>
        <v>9689542469</v>
      </c>
      <c r="F1590" s="138" t="str">
        <f>VLOOKUP(Purchase[[#This Row],[Supplier ID]],Supplier[#All],4,0)</f>
        <v>Korba</v>
      </c>
      <c r="G1590" s="138" t="str">
        <f>VLOOKUP(Purchase[[#This Row],[Supplier ID]],Supplier[#All],5,0)</f>
        <v>CG</v>
      </c>
      <c r="H1590" s="138" t="str">
        <f>VLOOKUP(Purchase[[#This Row],[Supplier ID]],Supplier[#All],6,0)</f>
        <v>GST2154521T031</v>
      </c>
      <c r="I1590" s="138" t="s">
        <v>362</v>
      </c>
      <c r="J1590" s="139">
        <v>38</v>
      </c>
      <c r="K1590" s="143">
        <f>VLOOKUP(Purchase[[#This Row],[Product ID]],Product[#All],6,0)</f>
        <v>3403</v>
      </c>
      <c r="L1590" s="143">
        <f>Purchase[[#This Row],[Purchase Rate]]*Purchase[[#This Row],[Qty]]</f>
        <v>129314</v>
      </c>
      <c r="M1590" s="140">
        <v>0</v>
      </c>
      <c r="N1590" s="143">
        <v>0</v>
      </c>
      <c r="O1590" s="140">
        <v>0.18</v>
      </c>
      <c r="P1590" s="145">
        <f>(Purchase[[#This Row],[Gross Amount]]-Purchase[[#This Row],[Disct %]])*Purchase[[#This Row],[GST %]]</f>
        <v>23276.52</v>
      </c>
      <c r="Q1590" s="145">
        <f>Purchase[[#This Row],[Gross Amount]]-Purchase[[#This Row],[Disct Amnt]]+Purchase[[#This Row],[GST Amount]]</f>
        <v>152590.51999999999</v>
      </c>
      <c r="R1590" s="138" t="s">
        <v>1019</v>
      </c>
      <c r="S1590" s="41">
        <f>IF(Purchase[[#This Row],[Status]]="Cancelled",0,Purchase[[#This Row],[Qty]])</f>
        <v>38</v>
      </c>
      <c r="T1590" s="146">
        <f>IF(Purchase[[#This Row],[Status]]="Cancelled",0,Purchase[[#This Row],[Total Amount]])</f>
        <v>152590.51999999999</v>
      </c>
      <c r="U1590" s="146">
        <f>SUM(Purchase[Net Amount])</f>
        <v>814985438.68000126</v>
      </c>
    </row>
    <row r="1591" spans="1:21" ht="19.5" thickBot="1" x14ac:dyDescent="0.3">
      <c r="A1591" s="136" t="s">
        <v>2645</v>
      </c>
      <c r="B1591" s="137">
        <v>45735</v>
      </c>
      <c r="C1591" s="138" t="s">
        <v>591</v>
      </c>
      <c r="D1591" s="138" t="str">
        <f>VLOOKUP(Purchase[[#This Row],[Supplier ID]],Supplier[#All],2,0)</f>
        <v>Shree Computers</v>
      </c>
      <c r="E1591" s="138">
        <f>VLOOKUP(Purchase[[#This Row],[Supplier ID]],Supplier[#All],3,0)</f>
        <v>9689542475</v>
      </c>
      <c r="F1591" s="138" t="str">
        <f>VLOOKUP(Purchase[[#This Row],[Supplier ID]],Supplier[#All],4,0)</f>
        <v>Indore</v>
      </c>
      <c r="G1591" s="138" t="str">
        <f>VLOOKUP(Purchase[[#This Row],[Supplier ID]],Supplier[#All],5,0)</f>
        <v>MP</v>
      </c>
      <c r="H1591" s="138" t="str">
        <f>VLOOKUP(Purchase[[#This Row],[Supplier ID]],Supplier[#All],6,0)</f>
        <v>GST2154521T037</v>
      </c>
      <c r="I1591" s="138" t="s">
        <v>492</v>
      </c>
      <c r="J1591" s="139">
        <v>2</v>
      </c>
      <c r="K1591" s="143">
        <f>VLOOKUP(Purchase[[#This Row],[Product ID]],Product[#All],6,0)</f>
        <v>11090</v>
      </c>
      <c r="L1591" s="143">
        <f>Purchase[[#This Row],[Purchase Rate]]*Purchase[[#This Row],[Qty]]</f>
        <v>22180</v>
      </c>
      <c r="M1591" s="140">
        <v>0</v>
      </c>
      <c r="N1591" s="143">
        <v>0</v>
      </c>
      <c r="O1591" s="140">
        <v>0.18</v>
      </c>
      <c r="P1591" s="145">
        <f>(Purchase[[#This Row],[Gross Amount]]-Purchase[[#This Row],[Disct %]])*Purchase[[#This Row],[GST %]]</f>
        <v>3992.3999999999996</v>
      </c>
      <c r="Q1591" s="145">
        <f>Purchase[[#This Row],[Gross Amount]]-Purchase[[#This Row],[Disct Amnt]]+Purchase[[#This Row],[GST Amount]]</f>
        <v>26172.400000000001</v>
      </c>
      <c r="R1591" s="138" t="s">
        <v>1019</v>
      </c>
      <c r="S1591" s="41">
        <f>IF(Purchase[[#This Row],[Status]]="Cancelled",0,Purchase[[#This Row],[Qty]])</f>
        <v>2</v>
      </c>
      <c r="T1591" s="146">
        <f>IF(Purchase[[#This Row],[Status]]="Cancelled",0,Purchase[[#This Row],[Total Amount]])</f>
        <v>26172.400000000001</v>
      </c>
      <c r="U1591" s="146">
        <f>SUM(Purchase[Net Amount])</f>
        <v>814985438.68000126</v>
      </c>
    </row>
    <row r="1592" spans="1:21" ht="19.5" thickBot="1" x14ac:dyDescent="0.3">
      <c r="A1592" s="136" t="s">
        <v>2646</v>
      </c>
      <c r="B1592" s="137">
        <v>45735</v>
      </c>
      <c r="C1592" s="138" t="s">
        <v>588</v>
      </c>
      <c r="D1592" s="138" t="str">
        <f>VLOOKUP(Purchase[[#This Row],[Supplier ID]],Supplier[#All],2,0)</f>
        <v>Star Electronics</v>
      </c>
      <c r="E1592" s="138">
        <f>VLOOKUP(Purchase[[#This Row],[Supplier ID]],Supplier[#All],3,0)</f>
        <v>9689542472</v>
      </c>
      <c r="F1592" s="138" t="str">
        <f>VLOOKUP(Purchase[[#This Row],[Supplier ID]],Supplier[#All],4,0)</f>
        <v>Korba</v>
      </c>
      <c r="G1592" s="138" t="str">
        <f>VLOOKUP(Purchase[[#This Row],[Supplier ID]],Supplier[#All],5,0)</f>
        <v>CG</v>
      </c>
      <c r="H1592" s="138" t="str">
        <f>VLOOKUP(Purchase[[#This Row],[Supplier ID]],Supplier[#All],6,0)</f>
        <v>GST2154521T034</v>
      </c>
      <c r="I1592" s="138" t="s">
        <v>458</v>
      </c>
      <c r="J1592" s="139">
        <v>12</v>
      </c>
      <c r="K1592" s="143">
        <f>VLOOKUP(Purchase[[#This Row],[Product ID]],Product[#All],6,0)</f>
        <v>5242</v>
      </c>
      <c r="L1592" s="143">
        <f>Purchase[[#This Row],[Purchase Rate]]*Purchase[[#This Row],[Qty]]</f>
        <v>62904</v>
      </c>
      <c r="M1592" s="140">
        <v>0</v>
      </c>
      <c r="N1592" s="143">
        <v>0</v>
      </c>
      <c r="O1592" s="140">
        <v>0.18</v>
      </c>
      <c r="P1592" s="145">
        <f>(Purchase[[#This Row],[Gross Amount]]-Purchase[[#This Row],[Disct %]])*Purchase[[#This Row],[GST %]]</f>
        <v>11322.72</v>
      </c>
      <c r="Q1592" s="145">
        <f>Purchase[[#This Row],[Gross Amount]]-Purchase[[#This Row],[Disct Amnt]]+Purchase[[#This Row],[GST Amount]]</f>
        <v>74226.720000000001</v>
      </c>
      <c r="R1592" s="138" t="s">
        <v>1019</v>
      </c>
      <c r="S1592" s="41">
        <f>IF(Purchase[[#This Row],[Status]]="Cancelled",0,Purchase[[#This Row],[Qty]])</f>
        <v>12</v>
      </c>
      <c r="T1592" s="146">
        <f>IF(Purchase[[#This Row],[Status]]="Cancelled",0,Purchase[[#This Row],[Total Amount]])</f>
        <v>74226.720000000001</v>
      </c>
      <c r="U1592" s="146">
        <f>SUM(Purchase[Net Amount])</f>
        <v>814985438.68000126</v>
      </c>
    </row>
    <row r="1593" spans="1:21" ht="19.5" thickBot="1" x14ac:dyDescent="0.3">
      <c r="A1593" s="136" t="s">
        <v>2647</v>
      </c>
      <c r="B1593" s="137">
        <v>45735</v>
      </c>
      <c r="C1593" s="138" t="s">
        <v>588</v>
      </c>
      <c r="D1593" s="138" t="str">
        <f>VLOOKUP(Purchase[[#This Row],[Supplier ID]],Supplier[#All],2,0)</f>
        <v>Star Electronics</v>
      </c>
      <c r="E1593" s="138">
        <f>VLOOKUP(Purchase[[#This Row],[Supplier ID]],Supplier[#All],3,0)</f>
        <v>9689542472</v>
      </c>
      <c r="F1593" s="138" t="str">
        <f>VLOOKUP(Purchase[[#This Row],[Supplier ID]],Supplier[#All],4,0)</f>
        <v>Korba</v>
      </c>
      <c r="G1593" s="138" t="str">
        <f>VLOOKUP(Purchase[[#This Row],[Supplier ID]],Supplier[#All],5,0)</f>
        <v>CG</v>
      </c>
      <c r="H1593" s="138" t="str">
        <f>VLOOKUP(Purchase[[#This Row],[Supplier ID]],Supplier[#All],6,0)</f>
        <v>GST2154521T034</v>
      </c>
      <c r="I1593" s="138" t="s">
        <v>461</v>
      </c>
      <c r="J1593" s="139">
        <v>9</v>
      </c>
      <c r="K1593" s="143">
        <f>VLOOKUP(Purchase[[#This Row],[Product ID]],Product[#All],6,0)</f>
        <v>2113</v>
      </c>
      <c r="L1593" s="143">
        <f>Purchase[[#This Row],[Purchase Rate]]*Purchase[[#This Row],[Qty]]</f>
        <v>19017</v>
      </c>
      <c r="M1593" s="140">
        <v>0</v>
      </c>
      <c r="N1593" s="143">
        <v>0</v>
      </c>
      <c r="O1593" s="140">
        <v>0.18</v>
      </c>
      <c r="P1593" s="145">
        <f>(Purchase[[#This Row],[Gross Amount]]-Purchase[[#This Row],[Disct %]])*Purchase[[#This Row],[GST %]]</f>
        <v>3423.06</v>
      </c>
      <c r="Q1593" s="145">
        <f>Purchase[[#This Row],[Gross Amount]]-Purchase[[#This Row],[Disct Amnt]]+Purchase[[#This Row],[GST Amount]]</f>
        <v>22440.06</v>
      </c>
      <c r="R1593" s="138" t="s">
        <v>1019</v>
      </c>
      <c r="S1593" s="41">
        <f>IF(Purchase[[#This Row],[Status]]="Cancelled",0,Purchase[[#This Row],[Qty]])</f>
        <v>9</v>
      </c>
      <c r="T1593" s="146">
        <f>IF(Purchase[[#This Row],[Status]]="Cancelled",0,Purchase[[#This Row],[Total Amount]])</f>
        <v>22440.06</v>
      </c>
      <c r="U1593" s="146">
        <f>SUM(Purchase[Net Amount])</f>
        <v>814985438.68000126</v>
      </c>
    </row>
    <row r="1594" spans="1:21" ht="19.5" thickBot="1" x14ac:dyDescent="0.3">
      <c r="A1594" s="136" t="s">
        <v>2648</v>
      </c>
      <c r="B1594" s="137">
        <v>45735</v>
      </c>
      <c r="C1594" s="138" t="s">
        <v>569</v>
      </c>
      <c r="D1594" s="138" t="str">
        <f>VLOOKUP(Purchase[[#This Row],[Supplier ID]],Supplier[#All],2,0)</f>
        <v>Tech Electronics</v>
      </c>
      <c r="E1594" s="138">
        <f>VLOOKUP(Purchase[[#This Row],[Supplier ID]],Supplier[#All],3,0)</f>
        <v>9689542455</v>
      </c>
      <c r="F1594" s="138" t="str">
        <f>VLOOKUP(Purchase[[#This Row],[Supplier ID]],Supplier[#All],4,0)</f>
        <v>Korba</v>
      </c>
      <c r="G1594" s="138" t="str">
        <f>VLOOKUP(Purchase[[#This Row],[Supplier ID]],Supplier[#All],5,0)</f>
        <v>CG</v>
      </c>
      <c r="H1594" s="138" t="str">
        <f>VLOOKUP(Purchase[[#This Row],[Supplier ID]],Supplier[#All],6,0)</f>
        <v>GST2154521T017</v>
      </c>
      <c r="I1594" s="138" t="s">
        <v>150</v>
      </c>
      <c r="J1594" s="139">
        <v>40</v>
      </c>
      <c r="K1594" s="143">
        <f>VLOOKUP(Purchase[[#This Row],[Product ID]],Product[#All],6,0)</f>
        <v>7322</v>
      </c>
      <c r="L1594" s="143">
        <f>Purchase[[#This Row],[Purchase Rate]]*Purchase[[#This Row],[Qty]]</f>
        <v>292880</v>
      </c>
      <c r="M1594" s="140">
        <v>0</v>
      </c>
      <c r="N1594" s="143">
        <v>0</v>
      </c>
      <c r="O1594" s="140">
        <v>0.18</v>
      </c>
      <c r="P1594" s="145">
        <f>(Purchase[[#This Row],[Gross Amount]]-Purchase[[#This Row],[Disct %]])*Purchase[[#This Row],[GST %]]</f>
        <v>52718.400000000001</v>
      </c>
      <c r="Q1594" s="145">
        <f>Purchase[[#This Row],[Gross Amount]]-Purchase[[#This Row],[Disct Amnt]]+Purchase[[#This Row],[GST Amount]]</f>
        <v>345598.4</v>
      </c>
      <c r="R1594" s="138" t="s">
        <v>1019</v>
      </c>
      <c r="S1594" s="41">
        <f>IF(Purchase[[#This Row],[Status]]="Cancelled",0,Purchase[[#This Row],[Qty]])</f>
        <v>40</v>
      </c>
      <c r="T1594" s="146">
        <f>IF(Purchase[[#This Row],[Status]]="Cancelled",0,Purchase[[#This Row],[Total Amount]])</f>
        <v>345598.4</v>
      </c>
      <c r="U1594" s="146">
        <f>SUM(Purchase[Net Amount])</f>
        <v>814985438.68000126</v>
      </c>
    </row>
    <row r="1595" spans="1:21" ht="19.5" thickBot="1" x14ac:dyDescent="0.3">
      <c r="A1595" s="136" t="s">
        <v>2649</v>
      </c>
      <c r="B1595" s="137">
        <v>45735</v>
      </c>
      <c r="C1595" s="138" t="s">
        <v>573</v>
      </c>
      <c r="D1595" s="138" t="str">
        <f>VLOOKUP(Purchase[[#This Row],[Supplier ID]],Supplier[#All],2,0)</f>
        <v>Shree Traders</v>
      </c>
      <c r="E1595" s="138">
        <f>VLOOKUP(Purchase[[#This Row],[Supplier ID]],Supplier[#All],3,0)</f>
        <v>9689542458</v>
      </c>
      <c r="F1595" s="138" t="str">
        <f>VLOOKUP(Purchase[[#This Row],[Supplier ID]],Supplier[#All],4,0)</f>
        <v>Korba</v>
      </c>
      <c r="G1595" s="138" t="str">
        <f>VLOOKUP(Purchase[[#This Row],[Supplier ID]],Supplier[#All],5,0)</f>
        <v>CG</v>
      </c>
      <c r="H1595" s="138" t="str">
        <f>VLOOKUP(Purchase[[#This Row],[Supplier ID]],Supplier[#All],6,0)</f>
        <v>GST2154521T020</v>
      </c>
      <c r="I1595" s="138" t="s">
        <v>553</v>
      </c>
      <c r="J1595" s="139">
        <v>39</v>
      </c>
      <c r="K1595" s="143">
        <f>VLOOKUP(Purchase[[#This Row],[Product ID]],Product[#All],6,0)</f>
        <v>3228</v>
      </c>
      <c r="L1595" s="143">
        <f>Purchase[[#This Row],[Purchase Rate]]*Purchase[[#This Row],[Qty]]</f>
        <v>125892</v>
      </c>
      <c r="M1595" s="140">
        <v>0</v>
      </c>
      <c r="N1595" s="143">
        <v>0</v>
      </c>
      <c r="O1595" s="140">
        <v>0.18</v>
      </c>
      <c r="P1595" s="145">
        <f>(Purchase[[#This Row],[Gross Amount]]-Purchase[[#This Row],[Disct %]])*Purchase[[#This Row],[GST %]]</f>
        <v>22660.559999999998</v>
      </c>
      <c r="Q1595" s="145">
        <f>Purchase[[#This Row],[Gross Amount]]-Purchase[[#This Row],[Disct Amnt]]+Purchase[[#This Row],[GST Amount]]</f>
        <v>148552.56</v>
      </c>
      <c r="R1595" s="138" t="s">
        <v>1019</v>
      </c>
      <c r="S1595" s="41">
        <f>IF(Purchase[[#This Row],[Status]]="Cancelled",0,Purchase[[#This Row],[Qty]])</f>
        <v>39</v>
      </c>
      <c r="T1595" s="146">
        <f>IF(Purchase[[#This Row],[Status]]="Cancelled",0,Purchase[[#This Row],[Total Amount]])</f>
        <v>148552.56</v>
      </c>
      <c r="U1595" s="146">
        <f>SUM(Purchase[Net Amount])</f>
        <v>814985438.68000126</v>
      </c>
    </row>
    <row r="1596" spans="1:21" ht="19.5" thickBot="1" x14ac:dyDescent="0.3">
      <c r="A1596" s="136" t="s">
        <v>2650</v>
      </c>
      <c r="B1596" s="137">
        <v>45735</v>
      </c>
      <c r="C1596" s="138" t="s">
        <v>567</v>
      </c>
      <c r="D1596" s="138" t="str">
        <f>VLOOKUP(Purchase[[#This Row],[Supplier ID]],Supplier[#All],2,0)</f>
        <v>National Distributors</v>
      </c>
      <c r="E1596" s="138">
        <f>VLOOKUP(Purchase[[#This Row],[Supplier ID]],Supplier[#All],3,0)</f>
        <v>9689542453</v>
      </c>
      <c r="F1596" s="138" t="str">
        <f>VLOOKUP(Purchase[[#This Row],[Supplier ID]],Supplier[#All],4,0)</f>
        <v>Korba</v>
      </c>
      <c r="G1596" s="138" t="str">
        <f>VLOOKUP(Purchase[[#This Row],[Supplier ID]],Supplier[#All],5,0)</f>
        <v>CG</v>
      </c>
      <c r="H1596" s="138" t="str">
        <f>VLOOKUP(Purchase[[#This Row],[Supplier ID]],Supplier[#All],6,0)</f>
        <v>GST2154521T015</v>
      </c>
      <c r="I1596" s="138" t="s">
        <v>167</v>
      </c>
      <c r="J1596" s="139">
        <v>40</v>
      </c>
      <c r="K1596" s="143">
        <f>VLOOKUP(Purchase[[#This Row],[Product ID]],Product[#All],6,0)</f>
        <v>2161</v>
      </c>
      <c r="L1596" s="143">
        <f>Purchase[[#This Row],[Purchase Rate]]*Purchase[[#This Row],[Qty]]</f>
        <v>86440</v>
      </c>
      <c r="M1596" s="140">
        <v>0</v>
      </c>
      <c r="N1596" s="143">
        <v>0</v>
      </c>
      <c r="O1596" s="140">
        <v>0.18</v>
      </c>
      <c r="P1596" s="145">
        <f>(Purchase[[#This Row],[Gross Amount]]-Purchase[[#This Row],[Disct %]])*Purchase[[#This Row],[GST %]]</f>
        <v>15559.199999999999</v>
      </c>
      <c r="Q1596" s="145">
        <f>Purchase[[#This Row],[Gross Amount]]-Purchase[[#This Row],[Disct Amnt]]+Purchase[[#This Row],[GST Amount]]</f>
        <v>101999.2</v>
      </c>
      <c r="R1596" s="138" t="s">
        <v>1019</v>
      </c>
      <c r="S1596" s="41">
        <f>IF(Purchase[[#This Row],[Status]]="Cancelled",0,Purchase[[#This Row],[Qty]])</f>
        <v>40</v>
      </c>
      <c r="T1596" s="146">
        <f>IF(Purchase[[#This Row],[Status]]="Cancelled",0,Purchase[[#This Row],[Total Amount]])</f>
        <v>101999.2</v>
      </c>
      <c r="U1596" s="146">
        <f>SUM(Purchase[Net Amount])</f>
        <v>814985438.68000126</v>
      </c>
    </row>
    <row r="1597" spans="1:21" ht="19.5" thickBot="1" x14ac:dyDescent="0.3">
      <c r="A1597" s="136" t="s">
        <v>2651</v>
      </c>
      <c r="B1597" s="137">
        <v>45735</v>
      </c>
      <c r="C1597" s="138" t="s">
        <v>594</v>
      </c>
      <c r="D1597" s="138" t="str">
        <f>VLOOKUP(Purchase[[#This Row],[Supplier ID]],Supplier[#All],2,0)</f>
        <v>Shree Suppliers</v>
      </c>
      <c r="E1597" s="138">
        <f>VLOOKUP(Purchase[[#This Row],[Supplier ID]],Supplier[#All],3,0)</f>
        <v>9689542477</v>
      </c>
      <c r="F1597" s="138" t="str">
        <f>VLOOKUP(Purchase[[#This Row],[Supplier ID]],Supplier[#All],4,0)</f>
        <v>Indore</v>
      </c>
      <c r="G1597" s="138" t="str">
        <f>VLOOKUP(Purchase[[#This Row],[Supplier ID]],Supplier[#All],5,0)</f>
        <v>MP</v>
      </c>
      <c r="H1597" s="138" t="str">
        <f>VLOOKUP(Purchase[[#This Row],[Supplier ID]],Supplier[#All],6,0)</f>
        <v>GST2154521T039</v>
      </c>
      <c r="I1597" s="138" t="s">
        <v>232</v>
      </c>
      <c r="J1597" s="139">
        <v>15</v>
      </c>
      <c r="K1597" s="143">
        <f>VLOOKUP(Purchase[[#This Row],[Product ID]],Product[#All],6,0)</f>
        <v>30899</v>
      </c>
      <c r="L1597" s="143">
        <f>Purchase[[#This Row],[Purchase Rate]]*Purchase[[#This Row],[Qty]]</f>
        <v>463485</v>
      </c>
      <c r="M1597" s="140">
        <v>0</v>
      </c>
      <c r="N1597" s="143">
        <v>0</v>
      </c>
      <c r="O1597" s="140">
        <v>0.18</v>
      </c>
      <c r="P1597" s="145">
        <f>(Purchase[[#This Row],[Gross Amount]]-Purchase[[#This Row],[Disct %]])*Purchase[[#This Row],[GST %]]</f>
        <v>83427.3</v>
      </c>
      <c r="Q1597" s="145">
        <f>Purchase[[#This Row],[Gross Amount]]-Purchase[[#This Row],[Disct Amnt]]+Purchase[[#This Row],[GST Amount]]</f>
        <v>546912.30000000005</v>
      </c>
      <c r="R1597" s="138" t="s">
        <v>1019</v>
      </c>
      <c r="S1597" s="41">
        <f>IF(Purchase[[#This Row],[Status]]="Cancelled",0,Purchase[[#This Row],[Qty]])</f>
        <v>15</v>
      </c>
      <c r="T1597" s="146">
        <f>IF(Purchase[[#This Row],[Status]]="Cancelled",0,Purchase[[#This Row],[Total Amount]])</f>
        <v>546912.30000000005</v>
      </c>
      <c r="U1597" s="146">
        <f>SUM(Purchase[Net Amount])</f>
        <v>814985438.68000126</v>
      </c>
    </row>
    <row r="1598" spans="1:21" ht="19.5" thickBot="1" x14ac:dyDescent="0.3">
      <c r="A1598" s="136" t="s">
        <v>2652</v>
      </c>
      <c r="B1598" s="137">
        <v>45735</v>
      </c>
      <c r="C1598" s="138" t="s">
        <v>615</v>
      </c>
      <c r="D1598" s="138" t="str">
        <f>VLOOKUP(Purchase[[#This Row],[Supplier ID]],Supplier[#All],2,0)</f>
        <v>NATIONAL ELECTRONICS</v>
      </c>
      <c r="E1598" s="138">
        <f>VLOOKUP(Purchase[[#This Row],[Supplier ID]],Supplier[#All],3,0)</f>
        <v>9689542498</v>
      </c>
      <c r="F1598" s="138" t="str">
        <f>VLOOKUP(Purchase[[#This Row],[Supplier ID]],Supplier[#All],4,0)</f>
        <v>Kanpur</v>
      </c>
      <c r="G1598" s="138" t="str">
        <f>VLOOKUP(Purchase[[#This Row],[Supplier ID]],Supplier[#All],5,0)</f>
        <v>UP</v>
      </c>
      <c r="H1598" s="138" t="str">
        <f>VLOOKUP(Purchase[[#This Row],[Supplier ID]],Supplier[#All],6,0)</f>
        <v>GST2154521T060</v>
      </c>
      <c r="I1598" s="138" t="s">
        <v>100</v>
      </c>
      <c r="J1598" s="139">
        <v>12</v>
      </c>
      <c r="K1598" s="143">
        <f>VLOOKUP(Purchase[[#This Row],[Product ID]],Product[#All],6,0)</f>
        <v>162</v>
      </c>
      <c r="L1598" s="143">
        <f>Purchase[[#This Row],[Purchase Rate]]*Purchase[[#This Row],[Qty]]</f>
        <v>1944</v>
      </c>
      <c r="M1598" s="140">
        <v>0</v>
      </c>
      <c r="N1598" s="143">
        <v>0</v>
      </c>
      <c r="O1598" s="140">
        <v>0.18</v>
      </c>
      <c r="P1598" s="145">
        <f>(Purchase[[#This Row],[Gross Amount]]-Purchase[[#This Row],[Disct %]])*Purchase[[#This Row],[GST %]]</f>
        <v>349.91999999999996</v>
      </c>
      <c r="Q1598" s="145">
        <f>Purchase[[#This Row],[Gross Amount]]-Purchase[[#This Row],[Disct Amnt]]+Purchase[[#This Row],[GST Amount]]</f>
        <v>2293.92</v>
      </c>
      <c r="R1598" s="138" t="s">
        <v>1040</v>
      </c>
      <c r="S1598" s="41">
        <f>IF(Purchase[[#This Row],[Status]]="Cancelled",0,Purchase[[#This Row],[Qty]])</f>
        <v>0</v>
      </c>
      <c r="T1598" s="146">
        <f>IF(Purchase[[#This Row],[Status]]="Cancelled",0,Purchase[[#This Row],[Total Amount]])</f>
        <v>0</v>
      </c>
      <c r="U1598" s="146">
        <f>SUM(Purchase[Net Amount])</f>
        <v>814985438.68000126</v>
      </c>
    </row>
    <row r="1599" spans="1:21" ht="19.5" thickBot="1" x14ac:dyDescent="0.3">
      <c r="A1599" s="136" t="s">
        <v>2653</v>
      </c>
      <c r="B1599" s="137">
        <v>45735</v>
      </c>
      <c r="C1599" s="138" t="s">
        <v>616</v>
      </c>
      <c r="D1599" s="138" t="str">
        <f>VLOOKUP(Purchase[[#This Row],[Supplier ID]],Supplier[#All],2,0)</f>
        <v>Global Suppliers</v>
      </c>
      <c r="E1599" s="138">
        <f>VLOOKUP(Purchase[[#This Row],[Supplier ID]],Supplier[#All],3,0)</f>
        <v>9689542499</v>
      </c>
      <c r="F1599" s="138" t="str">
        <f>VLOOKUP(Purchase[[#This Row],[Supplier ID]],Supplier[#All],4,0)</f>
        <v>Kanpur</v>
      </c>
      <c r="G1599" s="138" t="str">
        <f>VLOOKUP(Purchase[[#This Row],[Supplier ID]],Supplier[#All],5,0)</f>
        <v>UP</v>
      </c>
      <c r="H1599" s="138" t="str">
        <f>VLOOKUP(Purchase[[#This Row],[Supplier ID]],Supplier[#All],6,0)</f>
        <v>GST2154521T061</v>
      </c>
      <c r="I1599" s="138" t="s">
        <v>15</v>
      </c>
      <c r="J1599" s="139">
        <v>12</v>
      </c>
      <c r="K1599" s="143">
        <f>VLOOKUP(Purchase[[#This Row],[Product ID]],Product[#All],6,0)</f>
        <v>3688</v>
      </c>
      <c r="L1599" s="143">
        <f>Purchase[[#This Row],[Purchase Rate]]*Purchase[[#This Row],[Qty]]</f>
        <v>44256</v>
      </c>
      <c r="M1599" s="140">
        <v>0</v>
      </c>
      <c r="N1599" s="143">
        <v>0</v>
      </c>
      <c r="O1599" s="140">
        <v>0.18</v>
      </c>
      <c r="P1599" s="145">
        <f>(Purchase[[#This Row],[Gross Amount]]-Purchase[[#This Row],[Disct %]])*Purchase[[#This Row],[GST %]]</f>
        <v>7966.08</v>
      </c>
      <c r="Q1599" s="145">
        <f>Purchase[[#This Row],[Gross Amount]]-Purchase[[#This Row],[Disct Amnt]]+Purchase[[#This Row],[GST Amount]]</f>
        <v>52222.080000000002</v>
      </c>
      <c r="R1599" s="138" t="s">
        <v>1019</v>
      </c>
      <c r="S1599" s="41">
        <f>IF(Purchase[[#This Row],[Status]]="Cancelled",0,Purchase[[#This Row],[Qty]])</f>
        <v>12</v>
      </c>
      <c r="T1599" s="146">
        <f>IF(Purchase[[#This Row],[Status]]="Cancelled",0,Purchase[[#This Row],[Total Amount]])</f>
        <v>52222.080000000002</v>
      </c>
      <c r="U1599" s="146">
        <f>SUM(Purchase[Net Amount])</f>
        <v>814985438.68000126</v>
      </c>
    </row>
    <row r="1600" spans="1:21" ht="19.5" thickBot="1" x14ac:dyDescent="0.3">
      <c r="A1600" s="136" t="s">
        <v>2654</v>
      </c>
      <c r="B1600" s="137">
        <v>45735</v>
      </c>
      <c r="C1600" s="138" t="s">
        <v>605</v>
      </c>
      <c r="D1600" s="138" t="str">
        <f>VLOOKUP(Purchase[[#This Row],[Supplier ID]],Supplier[#All],2,0)</f>
        <v>Star Traders</v>
      </c>
      <c r="E1600" s="138">
        <f>VLOOKUP(Purchase[[#This Row],[Supplier ID]],Supplier[#All],3,0)</f>
        <v>9689542488</v>
      </c>
      <c r="F1600" s="138" t="str">
        <f>VLOOKUP(Purchase[[#This Row],[Supplier ID]],Supplier[#All],4,0)</f>
        <v>Indore</v>
      </c>
      <c r="G1600" s="138" t="str">
        <f>VLOOKUP(Purchase[[#This Row],[Supplier ID]],Supplier[#All],5,0)</f>
        <v>MP</v>
      </c>
      <c r="H1600" s="138" t="str">
        <f>VLOOKUP(Purchase[[#This Row],[Supplier ID]],Supplier[#All],6,0)</f>
        <v>GST2154521T050</v>
      </c>
      <c r="I1600" s="138" t="s">
        <v>437</v>
      </c>
      <c r="J1600" s="139">
        <v>12</v>
      </c>
      <c r="K1600" s="143">
        <f>VLOOKUP(Purchase[[#This Row],[Product ID]],Product[#All],6,0)</f>
        <v>2489</v>
      </c>
      <c r="L1600" s="143">
        <f>Purchase[[#This Row],[Purchase Rate]]*Purchase[[#This Row],[Qty]]</f>
        <v>29868</v>
      </c>
      <c r="M1600" s="140">
        <v>0</v>
      </c>
      <c r="N1600" s="143">
        <v>0</v>
      </c>
      <c r="O1600" s="140">
        <v>0.18</v>
      </c>
      <c r="P1600" s="145">
        <f>(Purchase[[#This Row],[Gross Amount]]-Purchase[[#This Row],[Disct %]])*Purchase[[#This Row],[GST %]]</f>
        <v>5376.24</v>
      </c>
      <c r="Q1600" s="145">
        <f>Purchase[[#This Row],[Gross Amount]]-Purchase[[#This Row],[Disct Amnt]]+Purchase[[#This Row],[GST Amount]]</f>
        <v>35244.239999999998</v>
      </c>
      <c r="R1600" s="138" t="s">
        <v>1019</v>
      </c>
      <c r="S1600" s="41">
        <f>IF(Purchase[[#This Row],[Status]]="Cancelled",0,Purchase[[#This Row],[Qty]])</f>
        <v>12</v>
      </c>
      <c r="T1600" s="146">
        <f>IF(Purchase[[#This Row],[Status]]="Cancelled",0,Purchase[[#This Row],[Total Amount]])</f>
        <v>35244.239999999998</v>
      </c>
      <c r="U1600" s="146">
        <f>SUM(Purchase[Net Amount])</f>
        <v>814985438.68000126</v>
      </c>
    </row>
    <row r="1601" spans="1:21" ht="19.5" thickBot="1" x14ac:dyDescent="0.3">
      <c r="A1601" s="136" t="s">
        <v>2655</v>
      </c>
      <c r="B1601" s="137">
        <v>45735</v>
      </c>
      <c r="C1601" s="138" t="s">
        <v>567</v>
      </c>
      <c r="D1601" s="138" t="str">
        <f>VLOOKUP(Purchase[[#This Row],[Supplier ID]],Supplier[#All],2,0)</f>
        <v>National Distributors</v>
      </c>
      <c r="E1601" s="138">
        <f>VLOOKUP(Purchase[[#This Row],[Supplier ID]],Supplier[#All],3,0)</f>
        <v>9689542453</v>
      </c>
      <c r="F1601" s="138" t="str">
        <f>VLOOKUP(Purchase[[#This Row],[Supplier ID]],Supplier[#All],4,0)</f>
        <v>Korba</v>
      </c>
      <c r="G1601" s="138" t="str">
        <f>VLOOKUP(Purchase[[#This Row],[Supplier ID]],Supplier[#All],5,0)</f>
        <v>CG</v>
      </c>
      <c r="H1601" s="138" t="str">
        <f>VLOOKUP(Purchase[[#This Row],[Supplier ID]],Supplier[#All],6,0)</f>
        <v>GST2154521T015</v>
      </c>
      <c r="I1601" s="138" t="s">
        <v>107</v>
      </c>
      <c r="J1601" s="139">
        <v>19</v>
      </c>
      <c r="K1601" s="143">
        <f>VLOOKUP(Purchase[[#This Row],[Product ID]],Product[#All],6,0)</f>
        <v>11599</v>
      </c>
      <c r="L1601" s="143">
        <f>Purchase[[#This Row],[Purchase Rate]]*Purchase[[#This Row],[Qty]]</f>
        <v>220381</v>
      </c>
      <c r="M1601" s="140">
        <v>0</v>
      </c>
      <c r="N1601" s="143">
        <v>0</v>
      </c>
      <c r="O1601" s="140">
        <v>0.18</v>
      </c>
      <c r="P1601" s="145">
        <f>(Purchase[[#This Row],[Gross Amount]]-Purchase[[#This Row],[Disct %]])*Purchase[[#This Row],[GST %]]</f>
        <v>39668.58</v>
      </c>
      <c r="Q1601" s="145">
        <f>Purchase[[#This Row],[Gross Amount]]-Purchase[[#This Row],[Disct Amnt]]+Purchase[[#This Row],[GST Amount]]</f>
        <v>260049.58000000002</v>
      </c>
      <c r="R1601" s="138" t="s">
        <v>1019</v>
      </c>
      <c r="S1601" s="41">
        <f>IF(Purchase[[#This Row],[Status]]="Cancelled",0,Purchase[[#This Row],[Qty]])</f>
        <v>19</v>
      </c>
      <c r="T1601" s="146">
        <f>IF(Purchase[[#This Row],[Status]]="Cancelled",0,Purchase[[#This Row],[Total Amount]])</f>
        <v>260049.58000000002</v>
      </c>
      <c r="U1601" s="146">
        <f>SUM(Purchase[Net Amount])</f>
        <v>814985438.68000126</v>
      </c>
    </row>
    <row r="1602" spans="1:21" ht="19.5" thickBot="1" x14ac:dyDescent="0.3">
      <c r="A1602" s="136" t="s">
        <v>2656</v>
      </c>
      <c r="B1602" s="137">
        <v>45735</v>
      </c>
      <c r="C1602" s="138" t="s">
        <v>581</v>
      </c>
      <c r="D1602" s="138" t="str">
        <f>VLOOKUP(Purchase[[#This Row],[Supplier ID]],Supplier[#All],2,0)</f>
        <v>Prime Electronics</v>
      </c>
      <c r="E1602" s="138">
        <f>VLOOKUP(Purchase[[#This Row],[Supplier ID]],Supplier[#All],3,0)</f>
        <v>9689542465</v>
      </c>
      <c r="F1602" s="138" t="str">
        <f>VLOOKUP(Purchase[[#This Row],[Supplier ID]],Supplier[#All],4,0)</f>
        <v>Korba</v>
      </c>
      <c r="G1602" s="138" t="str">
        <f>VLOOKUP(Purchase[[#This Row],[Supplier ID]],Supplier[#All],5,0)</f>
        <v>CG</v>
      </c>
      <c r="H1602" s="138" t="str">
        <f>VLOOKUP(Purchase[[#This Row],[Supplier ID]],Supplier[#All],6,0)</f>
        <v>GST2154521T027</v>
      </c>
      <c r="I1602" s="138" t="s">
        <v>133</v>
      </c>
      <c r="J1602" s="139">
        <v>14</v>
      </c>
      <c r="K1602" s="143">
        <f>VLOOKUP(Purchase[[#This Row],[Product ID]],Product[#All],6,0)</f>
        <v>39879</v>
      </c>
      <c r="L1602" s="143">
        <f>Purchase[[#This Row],[Purchase Rate]]*Purchase[[#This Row],[Qty]]</f>
        <v>558306</v>
      </c>
      <c r="M1602" s="140">
        <v>0</v>
      </c>
      <c r="N1602" s="143">
        <v>0</v>
      </c>
      <c r="O1602" s="140">
        <v>0.18</v>
      </c>
      <c r="P1602" s="145">
        <f>(Purchase[[#This Row],[Gross Amount]]-Purchase[[#This Row],[Disct %]])*Purchase[[#This Row],[GST %]]</f>
        <v>100495.08</v>
      </c>
      <c r="Q1602" s="145">
        <f>Purchase[[#This Row],[Gross Amount]]-Purchase[[#This Row],[Disct Amnt]]+Purchase[[#This Row],[GST Amount]]</f>
        <v>658801.07999999996</v>
      </c>
      <c r="R1602" s="138" t="s">
        <v>1019</v>
      </c>
      <c r="S1602" s="41">
        <f>IF(Purchase[[#This Row],[Status]]="Cancelled",0,Purchase[[#This Row],[Qty]])</f>
        <v>14</v>
      </c>
      <c r="T1602" s="146">
        <f>IF(Purchase[[#This Row],[Status]]="Cancelled",0,Purchase[[#This Row],[Total Amount]])</f>
        <v>658801.07999999996</v>
      </c>
      <c r="U1602" s="146">
        <f>SUM(Purchase[Net Amount])</f>
        <v>814985438.68000126</v>
      </c>
    </row>
    <row r="1603" spans="1:21" ht="19.5" thickBot="1" x14ac:dyDescent="0.3">
      <c r="A1603" s="136" t="s">
        <v>2657</v>
      </c>
      <c r="B1603" s="137">
        <v>45735</v>
      </c>
      <c r="C1603" s="138" t="s">
        <v>600</v>
      </c>
      <c r="D1603" s="138" t="str">
        <f>VLOOKUP(Purchase[[#This Row],[Supplier ID]],Supplier[#All],2,0)</f>
        <v>Prime Suppliers</v>
      </c>
      <c r="E1603" s="138">
        <f>VLOOKUP(Purchase[[#This Row],[Supplier ID]],Supplier[#All],3,0)</f>
        <v>9689542483</v>
      </c>
      <c r="F1603" s="138" t="str">
        <f>VLOOKUP(Purchase[[#This Row],[Supplier ID]],Supplier[#All],4,0)</f>
        <v>Korba</v>
      </c>
      <c r="G1603" s="138" t="str">
        <f>VLOOKUP(Purchase[[#This Row],[Supplier ID]],Supplier[#All],5,0)</f>
        <v>CG</v>
      </c>
      <c r="H1603" s="138" t="str">
        <f>VLOOKUP(Purchase[[#This Row],[Supplier ID]],Supplier[#All],6,0)</f>
        <v>GST2154521T045</v>
      </c>
      <c r="I1603" s="138" t="s">
        <v>239</v>
      </c>
      <c r="J1603" s="139">
        <v>33</v>
      </c>
      <c r="K1603" s="143">
        <f>VLOOKUP(Purchase[[#This Row],[Product ID]],Product[#All],6,0)</f>
        <v>6638</v>
      </c>
      <c r="L1603" s="143">
        <f>Purchase[[#This Row],[Purchase Rate]]*Purchase[[#This Row],[Qty]]</f>
        <v>219054</v>
      </c>
      <c r="M1603" s="140">
        <v>0</v>
      </c>
      <c r="N1603" s="143">
        <v>0</v>
      </c>
      <c r="O1603" s="140">
        <v>0.18</v>
      </c>
      <c r="P1603" s="145">
        <f>(Purchase[[#This Row],[Gross Amount]]-Purchase[[#This Row],[Disct %]])*Purchase[[#This Row],[GST %]]</f>
        <v>39429.72</v>
      </c>
      <c r="Q1603" s="145">
        <f>Purchase[[#This Row],[Gross Amount]]-Purchase[[#This Row],[Disct Amnt]]+Purchase[[#This Row],[GST Amount]]</f>
        <v>258483.72</v>
      </c>
      <c r="R1603" s="138" t="s">
        <v>1019</v>
      </c>
      <c r="S1603" s="41">
        <f>IF(Purchase[[#This Row],[Status]]="Cancelled",0,Purchase[[#This Row],[Qty]])</f>
        <v>33</v>
      </c>
      <c r="T1603" s="146">
        <f>IF(Purchase[[#This Row],[Status]]="Cancelled",0,Purchase[[#This Row],[Total Amount]])</f>
        <v>258483.72</v>
      </c>
      <c r="U1603" s="146">
        <f>SUM(Purchase[Net Amount])</f>
        <v>814985438.68000126</v>
      </c>
    </row>
    <row r="1604" spans="1:21" ht="19.5" thickBot="1" x14ac:dyDescent="0.3">
      <c r="A1604" s="136" t="s">
        <v>2658</v>
      </c>
      <c r="B1604" s="137">
        <v>45736</v>
      </c>
      <c r="C1604" s="138" t="s">
        <v>573</v>
      </c>
      <c r="D1604" s="138" t="str">
        <f>VLOOKUP(Purchase[[#This Row],[Supplier ID]],Supplier[#All],2,0)</f>
        <v>Shree Traders</v>
      </c>
      <c r="E1604" s="138">
        <f>VLOOKUP(Purchase[[#This Row],[Supplier ID]],Supplier[#All],3,0)</f>
        <v>9689542458</v>
      </c>
      <c r="F1604" s="138" t="str">
        <f>VLOOKUP(Purchase[[#This Row],[Supplier ID]],Supplier[#All],4,0)</f>
        <v>Korba</v>
      </c>
      <c r="G1604" s="138" t="str">
        <f>VLOOKUP(Purchase[[#This Row],[Supplier ID]],Supplier[#All],5,0)</f>
        <v>CG</v>
      </c>
      <c r="H1604" s="138" t="str">
        <f>VLOOKUP(Purchase[[#This Row],[Supplier ID]],Supplier[#All],6,0)</f>
        <v>GST2154521T020</v>
      </c>
      <c r="I1604" s="138" t="s">
        <v>462</v>
      </c>
      <c r="J1604" s="139">
        <v>36</v>
      </c>
      <c r="K1604" s="143">
        <f>VLOOKUP(Purchase[[#This Row],[Product ID]],Product[#All],6,0)</f>
        <v>2201</v>
      </c>
      <c r="L1604" s="143">
        <f>Purchase[[#This Row],[Purchase Rate]]*Purchase[[#This Row],[Qty]]</f>
        <v>79236</v>
      </c>
      <c r="M1604" s="140">
        <v>0</v>
      </c>
      <c r="N1604" s="143">
        <v>0</v>
      </c>
      <c r="O1604" s="140">
        <v>0.18</v>
      </c>
      <c r="P1604" s="145">
        <f>(Purchase[[#This Row],[Gross Amount]]-Purchase[[#This Row],[Disct %]])*Purchase[[#This Row],[GST %]]</f>
        <v>14262.48</v>
      </c>
      <c r="Q1604" s="145">
        <f>Purchase[[#This Row],[Gross Amount]]-Purchase[[#This Row],[Disct Amnt]]+Purchase[[#This Row],[GST Amount]]</f>
        <v>93498.48</v>
      </c>
      <c r="R1604" s="138" t="s">
        <v>1019</v>
      </c>
      <c r="S1604" s="41">
        <f>IF(Purchase[[#This Row],[Status]]="Cancelled",0,Purchase[[#This Row],[Qty]])</f>
        <v>36</v>
      </c>
      <c r="T1604" s="146">
        <f>IF(Purchase[[#This Row],[Status]]="Cancelled",0,Purchase[[#This Row],[Total Amount]])</f>
        <v>93498.48</v>
      </c>
      <c r="U1604" s="146">
        <f>SUM(Purchase[Net Amount])</f>
        <v>814985438.68000126</v>
      </c>
    </row>
    <row r="1605" spans="1:21" ht="19.5" thickBot="1" x14ac:dyDescent="0.3">
      <c r="A1605" s="136" t="s">
        <v>2659</v>
      </c>
      <c r="B1605" s="137">
        <v>45736</v>
      </c>
      <c r="C1605" s="138" t="s">
        <v>571</v>
      </c>
      <c r="D1605" s="138" t="str">
        <f>VLOOKUP(Purchase[[#This Row],[Supplier ID]],Supplier[#All],2,0)</f>
        <v>Tech Suppliers</v>
      </c>
      <c r="E1605" s="138">
        <f>VLOOKUP(Purchase[[#This Row],[Supplier ID]],Supplier[#All],3,0)</f>
        <v>9689542457</v>
      </c>
      <c r="F1605" s="138" t="str">
        <f>VLOOKUP(Purchase[[#This Row],[Supplier ID]],Supplier[#All],4,0)</f>
        <v>Korba</v>
      </c>
      <c r="G1605" s="138" t="str">
        <f>VLOOKUP(Purchase[[#This Row],[Supplier ID]],Supplier[#All],5,0)</f>
        <v>CG</v>
      </c>
      <c r="H1605" s="138" t="str">
        <f>VLOOKUP(Purchase[[#This Row],[Supplier ID]],Supplier[#All],6,0)</f>
        <v>GST2154521T019</v>
      </c>
      <c r="I1605" s="138" t="s">
        <v>141</v>
      </c>
      <c r="J1605" s="139">
        <v>4</v>
      </c>
      <c r="K1605" s="143">
        <f>VLOOKUP(Purchase[[#This Row],[Product ID]],Product[#All],6,0)</f>
        <v>11947</v>
      </c>
      <c r="L1605" s="143">
        <f>Purchase[[#This Row],[Purchase Rate]]*Purchase[[#This Row],[Qty]]</f>
        <v>47788</v>
      </c>
      <c r="M1605" s="140">
        <v>0</v>
      </c>
      <c r="N1605" s="143">
        <v>0</v>
      </c>
      <c r="O1605" s="140">
        <v>0.18</v>
      </c>
      <c r="P1605" s="145">
        <f>(Purchase[[#This Row],[Gross Amount]]-Purchase[[#This Row],[Disct %]])*Purchase[[#This Row],[GST %]]</f>
        <v>8601.84</v>
      </c>
      <c r="Q1605" s="145">
        <f>Purchase[[#This Row],[Gross Amount]]-Purchase[[#This Row],[Disct Amnt]]+Purchase[[#This Row],[GST Amount]]</f>
        <v>56389.84</v>
      </c>
      <c r="R1605" s="138" t="s">
        <v>1019</v>
      </c>
      <c r="S1605" s="41">
        <f>IF(Purchase[[#This Row],[Status]]="Cancelled",0,Purchase[[#This Row],[Qty]])</f>
        <v>4</v>
      </c>
      <c r="T1605" s="146">
        <f>IF(Purchase[[#This Row],[Status]]="Cancelled",0,Purchase[[#This Row],[Total Amount]])</f>
        <v>56389.84</v>
      </c>
      <c r="U1605" s="146">
        <f>SUM(Purchase[Net Amount])</f>
        <v>814985438.68000126</v>
      </c>
    </row>
    <row r="1606" spans="1:21" ht="19.5" thickBot="1" x14ac:dyDescent="0.3">
      <c r="A1606" s="136" t="s">
        <v>2660</v>
      </c>
      <c r="B1606" s="137">
        <v>45736</v>
      </c>
      <c r="C1606" s="138" t="s">
        <v>567</v>
      </c>
      <c r="D1606" s="138" t="str">
        <f>VLOOKUP(Purchase[[#This Row],[Supplier ID]],Supplier[#All],2,0)</f>
        <v>National Distributors</v>
      </c>
      <c r="E1606" s="138">
        <f>VLOOKUP(Purchase[[#This Row],[Supplier ID]],Supplier[#All],3,0)</f>
        <v>9689542453</v>
      </c>
      <c r="F1606" s="138" t="str">
        <f>VLOOKUP(Purchase[[#This Row],[Supplier ID]],Supplier[#All],4,0)</f>
        <v>Korba</v>
      </c>
      <c r="G1606" s="138" t="str">
        <f>VLOOKUP(Purchase[[#This Row],[Supplier ID]],Supplier[#All],5,0)</f>
        <v>CG</v>
      </c>
      <c r="H1606" s="138" t="str">
        <f>VLOOKUP(Purchase[[#This Row],[Supplier ID]],Supplier[#All],6,0)</f>
        <v>GST2154521T015</v>
      </c>
      <c r="I1606" s="138" t="s">
        <v>220</v>
      </c>
      <c r="J1606" s="139">
        <v>27</v>
      </c>
      <c r="K1606" s="143">
        <f>VLOOKUP(Purchase[[#This Row],[Product ID]],Product[#All],6,0)</f>
        <v>34163</v>
      </c>
      <c r="L1606" s="143">
        <f>Purchase[[#This Row],[Purchase Rate]]*Purchase[[#This Row],[Qty]]</f>
        <v>922401</v>
      </c>
      <c r="M1606" s="140">
        <v>0</v>
      </c>
      <c r="N1606" s="143">
        <v>0</v>
      </c>
      <c r="O1606" s="140">
        <v>0.18</v>
      </c>
      <c r="P1606" s="145">
        <f>(Purchase[[#This Row],[Gross Amount]]-Purchase[[#This Row],[Disct %]])*Purchase[[#This Row],[GST %]]</f>
        <v>166032.18</v>
      </c>
      <c r="Q1606" s="145">
        <f>Purchase[[#This Row],[Gross Amount]]-Purchase[[#This Row],[Disct Amnt]]+Purchase[[#This Row],[GST Amount]]</f>
        <v>1088433.18</v>
      </c>
      <c r="R1606" s="138" t="s">
        <v>1019</v>
      </c>
      <c r="S1606" s="41">
        <f>IF(Purchase[[#This Row],[Status]]="Cancelled",0,Purchase[[#This Row],[Qty]])</f>
        <v>27</v>
      </c>
      <c r="T1606" s="146">
        <f>IF(Purchase[[#This Row],[Status]]="Cancelled",0,Purchase[[#This Row],[Total Amount]])</f>
        <v>1088433.18</v>
      </c>
      <c r="U1606" s="146">
        <f>SUM(Purchase[Net Amount])</f>
        <v>814985438.68000126</v>
      </c>
    </row>
    <row r="1607" spans="1:21" ht="19.5" thickBot="1" x14ac:dyDescent="0.3">
      <c r="A1607" s="136" t="s">
        <v>2661</v>
      </c>
      <c r="B1607" s="137">
        <v>45736</v>
      </c>
      <c r="C1607" s="138" t="s">
        <v>614</v>
      </c>
      <c r="D1607" s="138" t="str">
        <f>VLOOKUP(Purchase[[#This Row],[Supplier ID]],Supplier[#All],2,0)</f>
        <v>National Electronics</v>
      </c>
      <c r="E1607" s="138">
        <f>VLOOKUP(Purchase[[#This Row],[Supplier ID]],Supplier[#All],3,0)</f>
        <v>9689542497</v>
      </c>
      <c r="F1607" s="138" t="str">
        <f>VLOOKUP(Purchase[[#This Row],[Supplier ID]],Supplier[#All],4,0)</f>
        <v>Kanpur</v>
      </c>
      <c r="G1607" s="138" t="str">
        <f>VLOOKUP(Purchase[[#This Row],[Supplier ID]],Supplier[#All],5,0)</f>
        <v>UP</v>
      </c>
      <c r="H1607" s="138" t="str">
        <f>VLOOKUP(Purchase[[#This Row],[Supplier ID]],Supplier[#All],6,0)</f>
        <v>GST2154521T059</v>
      </c>
      <c r="I1607" s="138" t="s">
        <v>307</v>
      </c>
      <c r="J1607" s="139">
        <v>25</v>
      </c>
      <c r="K1607" s="143">
        <f>VLOOKUP(Purchase[[#This Row],[Product ID]],Product[#All],6,0)</f>
        <v>39890</v>
      </c>
      <c r="L1607" s="143">
        <f>Purchase[[#This Row],[Purchase Rate]]*Purchase[[#This Row],[Qty]]</f>
        <v>997250</v>
      </c>
      <c r="M1607" s="140">
        <v>0</v>
      </c>
      <c r="N1607" s="143">
        <v>0</v>
      </c>
      <c r="O1607" s="140">
        <v>0.18</v>
      </c>
      <c r="P1607" s="145">
        <f>(Purchase[[#This Row],[Gross Amount]]-Purchase[[#This Row],[Disct %]])*Purchase[[#This Row],[GST %]]</f>
        <v>179505</v>
      </c>
      <c r="Q1607" s="145">
        <f>Purchase[[#This Row],[Gross Amount]]-Purchase[[#This Row],[Disct Amnt]]+Purchase[[#This Row],[GST Amount]]</f>
        <v>1176755</v>
      </c>
      <c r="R1607" s="138" t="s">
        <v>1019</v>
      </c>
      <c r="S1607" s="41">
        <f>IF(Purchase[[#This Row],[Status]]="Cancelled",0,Purchase[[#This Row],[Qty]])</f>
        <v>25</v>
      </c>
      <c r="T1607" s="146">
        <f>IF(Purchase[[#This Row],[Status]]="Cancelled",0,Purchase[[#This Row],[Total Amount]])</f>
        <v>1176755</v>
      </c>
      <c r="U1607" s="146">
        <f>SUM(Purchase[Net Amount])</f>
        <v>814985438.68000126</v>
      </c>
    </row>
    <row r="1608" spans="1:21" ht="19.5" thickBot="1" x14ac:dyDescent="0.3">
      <c r="A1608" s="136" t="s">
        <v>2662</v>
      </c>
      <c r="B1608" s="137">
        <v>45736</v>
      </c>
      <c r="C1608" s="138" t="s">
        <v>598</v>
      </c>
      <c r="D1608" s="138" t="str">
        <f>VLOOKUP(Purchase[[#This Row],[Supplier ID]],Supplier[#All],2,0)</f>
        <v>National Distributors</v>
      </c>
      <c r="E1608" s="138">
        <f>VLOOKUP(Purchase[[#This Row],[Supplier ID]],Supplier[#All],3,0)</f>
        <v>9689542489</v>
      </c>
      <c r="F1608" s="138" t="str">
        <f>VLOOKUP(Purchase[[#This Row],[Supplier ID]],Supplier[#All],4,0)</f>
        <v>Indore</v>
      </c>
      <c r="G1608" s="138" t="str">
        <f>VLOOKUP(Purchase[[#This Row],[Supplier ID]],Supplier[#All],5,0)</f>
        <v>MP</v>
      </c>
      <c r="H1608" s="138" t="str">
        <f>VLOOKUP(Purchase[[#This Row],[Supplier ID]],Supplier[#All],6,0)</f>
        <v>GST2154521T043</v>
      </c>
      <c r="I1608" s="138" t="s">
        <v>47</v>
      </c>
      <c r="J1608" s="139">
        <v>8</v>
      </c>
      <c r="K1608" s="143">
        <f>VLOOKUP(Purchase[[#This Row],[Product ID]],Product[#All],6,0)</f>
        <v>723</v>
      </c>
      <c r="L1608" s="143">
        <f>Purchase[[#This Row],[Purchase Rate]]*Purchase[[#This Row],[Qty]]</f>
        <v>5784</v>
      </c>
      <c r="M1608" s="140">
        <v>0</v>
      </c>
      <c r="N1608" s="143">
        <v>0</v>
      </c>
      <c r="O1608" s="140">
        <v>0.18</v>
      </c>
      <c r="P1608" s="145">
        <f>(Purchase[[#This Row],[Gross Amount]]-Purchase[[#This Row],[Disct %]])*Purchase[[#This Row],[GST %]]</f>
        <v>1041.1199999999999</v>
      </c>
      <c r="Q1608" s="145">
        <f>Purchase[[#This Row],[Gross Amount]]-Purchase[[#This Row],[Disct Amnt]]+Purchase[[#This Row],[GST Amount]]</f>
        <v>6825.12</v>
      </c>
      <c r="R1608" s="138" t="s">
        <v>1019</v>
      </c>
      <c r="S1608" s="41">
        <f>IF(Purchase[[#This Row],[Status]]="Cancelled",0,Purchase[[#This Row],[Qty]])</f>
        <v>8</v>
      </c>
      <c r="T1608" s="146">
        <f>IF(Purchase[[#This Row],[Status]]="Cancelled",0,Purchase[[#This Row],[Total Amount]])</f>
        <v>6825.12</v>
      </c>
      <c r="U1608" s="146">
        <f>SUM(Purchase[Net Amount])</f>
        <v>814985438.68000126</v>
      </c>
    </row>
    <row r="1609" spans="1:21" ht="19.5" thickBot="1" x14ac:dyDescent="0.3">
      <c r="A1609" s="136" t="s">
        <v>2663</v>
      </c>
      <c r="B1609" s="137">
        <v>45736</v>
      </c>
      <c r="C1609" s="138" t="s">
        <v>606</v>
      </c>
      <c r="D1609" s="138" t="str">
        <f>VLOOKUP(Purchase[[#This Row],[Supplier ID]],Supplier[#All],2,0)</f>
        <v>Prime Traders</v>
      </c>
      <c r="E1609" s="138">
        <f>VLOOKUP(Purchase[[#This Row],[Supplier ID]],Supplier[#All],3,0)</f>
        <v>9689542489</v>
      </c>
      <c r="F1609" s="138" t="str">
        <f>VLOOKUP(Purchase[[#This Row],[Supplier ID]],Supplier[#All],4,0)</f>
        <v>Indore</v>
      </c>
      <c r="G1609" s="138" t="str">
        <f>VLOOKUP(Purchase[[#This Row],[Supplier ID]],Supplier[#All],5,0)</f>
        <v>MP</v>
      </c>
      <c r="H1609" s="138" t="str">
        <f>VLOOKUP(Purchase[[#This Row],[Supplier ID]],Supplier[#All],6,0)</f>
        <v>GST2154521T051</v>
      </c>
      <c r="I1609" s="138" t="s">
        <v>43</v>
      </c>
      <c r="J1609" s="139">
        <v>30</v>
      </c>
      <c r="K1609" s="143">
        <f>VLOOKUP(Purchase[[#This Row],[Product ID]],Product[#All],6,0)</f>
        <v>8664</v>
      </c>
      <c r="L1609" s="143">
        <f>Purchase[[#This Row],[Purchase Rate]]*Purchase[[#This Row],[Qty]]</f>
        <v>259920</v>
      </c>
      <c r="M1609" s="140">
        <v>0</v>
      </c>
      <c r="N1609" s="143">
        <v>0</v>
      </c>
      <c r="O1609" s="140">
        <v>0.18</v>
      </c>
      <c r="P1609" s="145">
        <f>(Purchase[[#This Row],[Gross Amount]]-Purchase[[#This Row],[Disct %]])*Purchase[[#This Row],[GST %]]</f>
        <v>46785.599999999999</v>
      </c>
      <c r="Q1609" s="145">
        <f>Purchase[[#This Row],[Gross Amount]]-Purchase[[#This Row],[Disct Amnt]]+Purchase[[#This Row],[GST Amount]]</f>
        <v>306705.59999999998</v>
      </c>
      <c r="R1609" s="138" t="s">
        <v>1019</v>
      </c>
      <c r="S1609" s="41">
        <f>IF(Purchase[[#This Row],[Status]]="Cancelled",0,Purchase[[#This Row],[Qty]])</f>
        <v>30</v>
      </c>
      <c r="T1609" s="146">
        <f>IF(Purchase[[#This Row],[Status]]="Cancelled",0,Purchase[[#This Row],[Total Amount]])</f>
        <v>306705.59999999998</v>
      </c>
      <c r="U1609" s="146">
        <f>SUM(Purchase[Net Amount])</f>
        <v>814985438.68000126</v>
      </c>
    </row>
    <row r="1610" spans="1:21" ht="19.5" thickBot="1" x14ac:dyDescent="0.3">
      <c r="A1610" s="136" t="s">
        <v>2664</v>
      </c>
      <c r="B1610" s="137">
        <v>45736</v>
      </c>
      <c r="C1610" s="138" t="s">
        <v>614</v>
      </c>
      <c r="D1610" s="138" t="str">
        <f>VLOOKUP(Purchase[[#This Row],[Supplier ID]],Supplier[#All],2,0)</f>
        <v>National Electronics</v>
      </c>
      <c r="E1610" s="138">
        <f>VLOOKUP(Purchase[[#This Row],[Supplier ID]],Supplier[#All],3,0)</f>
        <v>9689542497</v>
      </c>
      <c r="F1610" s="138" t="str">
        <f>VLOOKUP(Purchase[[#This Row],[Supplier ID]],Supplier[#All],4,0)</f>
        <v>Kanpur</v>
      </c>
      <c r="G1610" s="138" t="str">
        <f>VLOOKUP(Purchase[[#This Row],[Supplier ID]],Supplier[#All],5,0)</f>
        <v>UP</v>
      </c>
      <c r="H1610" s="138" t="str">
        <f>VLOOKUP(Purchase[[#This Row],[Supplier ID]],Supplier[#All],6,0)</f>
        <v>GST2154521T059</v>
      </c>
      <c r="I1610" s="138" t="s">
        <v>84</v>
      </c>
      <c r="J1610" s="139">
        <v>15</v>
      </c>
      <c r="K1610" s="143">
        <f>VLOOKUP(Purchase[[#This Row],[Product ID]],Product[#All],6,0)</f>
        <v>1086</v>
      </c>
      <c r="L1610" s="143">
        <f>Purchase[[#This Row],[Purchase Rate]]*Purchase[[#This Row],[Qty]]</f>
        <v>16290</v>
      </c>
      <c r="M1610" s="140">
        <v>0</v>
      </c>
      <c r="N1610" s="143">
        <v>0</v>
      </c>
      <c r="O1610" s="140">
        <v>0.18</v>
      </c>
      <c r="P1610" s="145">
        <f>(Purchase[[#This Row],[Gross Amount]]-Purchase[[#This Row],[Disct %]])*Purchase[[#This Row],[GST %]]</f>
        <v>2932.2</v>
      </c>
      <c r="Q1610" s="145">
        <f>Purchase[[#This Row],[Gross Amount]]-Purchase[[#This Row],[Disct Amnt]]+Purchase[[#This Row],[GST Amount]]</f>
        <v>19222.2</v>
      </c>
      <c r="R1610" s="138" t="s">
        <v>1019</v>
      </c>
      <c r="S1610" s="41">
        <f>IF(Purchase[[#This Row],[Status]]="Cancelled",0,Purchase[[#This Row],[Qty]])</f>
        <v>15</v>
      </c>
      <c r="T1610" s="146">
        <f>IF(Purchase[[#This Row],[Status]]="Cancelled",0,Purchase[[#This Row],[Total Amount]])</f>
        <v>19222.2</v>
      </c>
      <c r="U1610" s="146">
        <f>SUM(Purchase[Net Amount])</f>
        <v>814985438.68000126</v>
      </c>
    </row>
    <row r="1611" spans="1:21" ht="19.5" thickBot="1" x14ac:dyDescent="0.3">
      <c r="A1611" s="136" t="s">
        <v>2665</v>
      </c>
      <c r="B1611" s="137">
        <v>45736</v>
      </c>
      <c r="C1611" s="138" t="s">
        <v>588</v>
      </c>
      <c r="D1611" s="138" t="str">
        <f>VLOOKUP(Purchase[[#This Row],[Supplier ID]],Supplier[#All],2,0)</f>
        <v>Star Electronics</v>
      </c>
      <c r="E1611" s="138">
        <f>VLOOKUP(Purchase[[#This Row],[Supplier ID]],Supplier[#All],3,0)</f>
        <v>9689542472</v>
      </c>
      <c r="F1611" s="138" t="str">
        <f>VLOOKUP(Purchase[[#This Row],[Supplier ID]],Supplier[#All],4,0)</f>
        <v>Korba</v>
      </c>
      <c r="G1611" s="138" t="str">
        <f>VLOOKUP(Purchase[[#This Row],[Supplier ID]],Supplier[#All],5,0)</f>
        <v>CG</v>
      </c>
      <c r="H1611" s="138" t="str">
        <f>VLOOKUP(Purchase[[#This Row],[Supplier ID]],Supplier[#All],6,0)</f>
        <v>GST2154521T034</v>
      </c>
      <c r="I1611" s="138" t="s">
        <v>531</v>
      </c>
      <c r="J1611" s="139">
        <v>20</v>
      </c>
      <c r="K1611" s="143">
        <f>VLOOKUP(Purchase[[#This Row],[Product ID]],Product[#All],6,0)</f>
        <v>5489</v>
      </c>
      <c r="L1611" s="143">
        <f>Purchase[[#This Row],[Purchase Rate]]*Purchase[[#This Row],[Qty]]</f>
        <v>109780</v>
      </c>
      <c r="M1611" s="140">
        <v>0</v>
      </c>
      <c r="N1611" s="143">
        <v>0</v>
      </c>
      <c r="O1611" s="140">
        <v>0.18</v>
      </c>
      <c r="P1611" s="145">
        <f>(Purchase[[#This Row],[Gross Amount]]-Purchase[[#This Row],[Disct %]])*Purchase[[#This Row],[GST %]]</f>
        <v>19760.399999999998</v>
      </c>
      <c r="Q1611" s="145">
        <f>Purchase[[#This Row],[Gross Amount]]-Purchase[[#This Row],[Disct Amnt]]+Purchase[[#This Row],[GST Amount]]</f>
        <v>129540.4</v>
      </c>
      <c r="R1611" s="138" t="s">
        <v>1019</v>
      </c>
      <c r="S1611" s="41">
        <f>IF(Purchase[[#This Row],[Status]]="Cancelled",0,Purchase[[#This Row],[Qty]])</f>
        <v>20</v>
      </c>
      <c r="T1611" s="146">
        <f>IF(Purchase[[#This Row],[Status]]="Cancelled",0,Purchase[[#This Row],[Total Amount]])</f>
        <v>129540.4</v>
      </c>
      <c r="U1611" s="146">
        <f>SUM(Purchase[Net Amount])</f>
        <v>814985438.68000126</v>
      </c>
    </row>
    <row r="1612" spans="1:21" ht="19.5" thickBot="1" x14ac:dyDescent="0.3">
      <c r="A1612" s="136" t="s">
        <v>2666</v>
      </c>
      <c r="B1612" s="137">
        <v>45736</v>
      </c>
      <c r="C1612" s="138" t="s">
        <v>598</v>
      </c>
      <c r="D1612" s="138" t="str">
        <f>VLOOKUP(Purchase[[#This Row],[Supplier ID]],Supplier[#All],2,0)</f>
        <v>National Distributors</v>
      </c>
      <c r="E1612" s="138">
        <f>VLOOKUP(Purchase[[#This Row],[Supplier ID]],Supplier[#All],3,0)</f>
        <v>9689542489</v>
      </c>
      <c r="F1612" s="138" t="str">
        <f>VLOOKUP(Purchase[[#This Row],[Supplier ID]],Supplier[#All],4,0)</f>
        <v>Indore</v>
      </c>
      <c r="G1612" s="138" t="str">
        <f>VLOOKUP(Purchase[[#This Row],[Supplier ID]],Supplier[#All],5,0)</f>
        <v>MP</v>
      </c>
      <c r="H1612" s="138" t="str">
        <f>VLOOKUP(Purchase[[#This Row],[Supplier ID]],Supplier[#All],6,0)</f>
        <v>GST2154521T043</v>
      </c>
      <c r="I1612" s="138" t="s">
        <v>231</v>
      </c>
      <c r="J1612" s="139">
        <v>3</v>
      </c>
      <c r="K1612" s="143">
        <f>VLOOKUP(Purchase[[#This Row],[Product ID]],Product[#All],6,0)</f>
        <v>1862</v>
      </c>
      <c r="L1612" s="143">
        <f>Purchase[[#This Row],[Purchase Rate]]*Purchase[[#This Row],[Qty]]</f>
        <v>5586</v>
      </c>
      <c r="M1612" s="140">
        <v>0</v>
      </c>
      <c r="N1612" s="143">
        <v>0</v>
      </c>
      <c r="O1612" s="140">
        <v>0.18</v>
      </c>
      <c r="P1612" s="145">
        <f>(Purchase[[#This Row],[Gross Amount]]-Purchase[[#This Row],[Disct %]])*Purchase[[#This Row],[GST %]]</f>
        <v>1005.48</v>
      </c>
      <c r="Q1612" s="145">
        <f>Purchase[[#This Row],[Gross Amount]]-Purchase[[#This Row],[Disct Amnt]]+Purchase[[#This Row],[GST Amount]]</f>
        <v>6591.48</v>
      </c>
      <c r="R1612" s="138" t="s">
        <v>1019</v>
      </c>
      <c r="S1612" s="41">
        <f>IF(Purchase[[#This Row],[Status]]="Cancelled",0,Purchase[[#This Row],[Qty]])</f>
        <v>3</v>
      </c>
      <c r="T1612" s="146">
        <f>IF(Purchase[[#This Row],[Status]]="Cancelled",0,Purchase[[#This Row],[Total Amount]])</f>
        <v>6591.48</v>
      </c>
      <c r="U1612" s="146">
        <f>SUM(Purchase[Net Amount])</f>
        <v>814985438.68000126</v>
      </c>
    </row>
    <row r="1613" spans="1:21" ht="19.5" thickBot="1" x14ac:dyDescent="0.3">
      <c r="A1613" s="136" t="s">
        <v>2667</v>
      </c>
      <c r="B1613" s="137">
        <v>45736</v>
      </c>
      <c r="C1613" s="138" t="s">
        <v>603</v>
      </c>
      <c r="D1613" s="138" t="str">
        <f>VLOOKUP(Purchase[[#This Row],[Supplier ID]],Supplier[#All],2,0)</f>
        <v>Tech Computers</v>
      </c>
      <c r="E1613" s="138">
        <f>VLOOKUP(Purchase[[#This Row],[Supplier ID]],Supplier[#All],3,0)</f>
        <v>9689542486</v>
      </c>
      <c r="F1613" s="138" t="str">
        <f>VLOOKUP(Purchase[[#This Row],[Supplier ID]],Supplier[#All],4,0)</f>
        <v>Indore</v>
      </c>
      <c r="G1613" s="138" t="str">
        <f>VLOOKUP(Purchase[[#This Row],[Supplier ID]],Supplier[#All],5,0)</f>
        <v>MP</v>
      </c>
      <c r="H1613" s="138" t="str">
        <f>VLOOKUP(Purchase[[#This Row],[Supplier ID]],Supplier[#All],6,0)</f>
        <v>GST2154521T048</v>
      </c>
      <c r="I1613" s="138" t="s">
        <v>235</v>
      </c>
      <c r="J1613" s="139">
        <v>25</v>
      </c>
      <c r="K1613" s="143">
        <f>VLOOKUP(Purchase[[#This Row],[Product ID]],Product[#All],6,0)</f>
        <v>1096</v>
      </c>
      <c r="L1613" s="143">
        <f>Purchase[[#This Row],[Purchase Rate]]*Purchase[[#This Row],[Qty]]</f>
        <v>27400</v>
      </c>
      <c r="M1613" s="140">
        <v>0</v>
      </c>
      <c r="N1613" s="143">
        <v>0</v>
      </c>
      <c r="O1613" s="140">
        <v>0.18</v>
      </c>
      <c r="P1613" s="145">
        <f>(Purchase[[#This Row],[Gross Amount]]-Purchase[[#This Row],[Disct %]])*Purchase[[#This Row],[GST %]]</f>
        <v>4932</v>
      </c>
      <c r="Q1613" s="145">
        <f>Purchase[[#This Row],[Gross Amount]]-Purchase[[#This Row],[Disct Amnt]]+Purchase[[#This Row],[GST Amount]]</f>
        <v>32332</v>
      </c>
      <c r="R1613" s="138" t="s">
        <v>1019</v>
      </c>
      <c r="S1613" s="41">
        <f>IF(Purchase[[#This Row],[Status]]="Cancelled",0,Purchase[[#This Row],[Qty]])</f>
        <v>25</v>
      </c>
      <c r="T1613" s="146">
        <f>IF(Purchase[[#This Row],[Status]]="Cancelled",0,Purchase[[#This Row],[Total Amount]])</f>
        <v>32332</v>
      </c>
      <c r="U1613" s="146">
        <f>SUM(Purchase[Net Amount])</f>
        <v>814985438.68000126</v>
      </c>
    </row>
    <row r="1614" spans="1:21" ht="19.5" thickBot="1" x14ac:dyDescent="0.3">
      <c r="A1614" s="136" t="s">
        <v>2668</v>
      </c>
      <c r="B1614" s="137">
        <v>45736</v>
      </c>
      <c r="C1614" s="138" t="s">
        <v>582</v>
      </c>
      <c r="D1614" s="138" t="str">
        <f>VLOOKUP(Purchase[[#This Row],[Supplier ID]],Supplier[#All],2,0)</f>
        <v>Tech Distributors</v>
      </c>
      <c r="E1614" s="138">
        <f>VLOOKUP(Purchase[[#This Row],[Supplier ID]],Supplier[#All],3,0)</f>
        <v>9689542466</v>
      </c>
      <c r="F1614" s="138" t="str">
        <f>VLOOKUP(Purchase[[#This Row],[Supplier ID]],Supplier[#All],4,0)</f>
        <v>Indore</v>
      </c>
      <c r="G1614" s="138" t="str">
        <f>VLOOKUP(Purchase[[#This Row],[Supplier ID]],Supplier[#All],5,0)</f>
        <v>MP</v>
      </c>
      <c r="H1614" s="138" t="str">
        <f>VLOOKUP(Purchase[[#This Row],[Supplier ID]],Supplier[#All],6,0)</f>
        <v>GST2154521T028</v>
      </c>
      <c r="I1614" s="138" t="s">
        <v>184</v>
      </c>
      <c r="J1614" s="139">
        <v>40</v>
      </c>
      <c r="K1614" s="143">
        <f>VLOOKUP(Purchase[[#This Row],[Product ID]],Product[#All],6,0)</f>
        <v>9420</v>
      </c>
      <c r="L1614" s="143">
        <f>Purchase[[#This Row],[Purchase Rate]]*Purchase[[#This Row],[Qty]]</f>
        <v>376800</v>
      </c>
      <c r="M1614" s="140">
        <v>0</v>
      </c>
      <c r="N1614" s="143">
        <v>0</v>
      </c>
      <c r="O1614" s="140">
        <v>0.18</v>
      </c>
      <c r="P1614" s="145">
        <f>(Purchase[[#This Row],[Gross Amount]]-Purchase[[#This Row],[Disct %]])*Purchase[[#This Row],[GST %]]</f>
        <v>67824</v>
      </c>
      <c r="Q1614" s="145">
        <f>Purchase[[#This Row],[Gross Amount]]-Purchase[[#This Row],[Disct Amnt]]+Purchase[[#This Row],[GST Amount]]</f>
        <v>444624</v>
      </c>
      <c r="R1614" s="138" t="s">
        <v>1019</v>
      </c>
      <c r="S1614" s="41">
        <f>IF(Purchase[[#This Row],[Status]]="Cancelled",0,Purchase[[#This Row],[Qty]])</f>
        <v>40</v>
      </c>
      <c r="T1614" s="146">
        <f>IF(Purchase[[#This Row],[Status]]="Cancelled",0,Purchase[[#This Row],[Total Amount]])</f>
        <v>444624</v>
      </c>
      <c r="U1614" s="146">
        <f>SUM(Purchase[Net Amount])</f>
        <v>814985438.68000126</v>
      </c>
    </row>
    <row r="1615" spans="1:21" ht="19.5" thickBot="1" x14ac:dyDescent="0.3">
      <c r="A1615" s="136" t="s">
        <v>2669</v>
      </c>
      <c r="B1615" s="137">
        <v>45736</v>
      </c>
      <c r="C1615" s="138" t="s">
        <v>568</v>
      </c>
      <c r="D1615" s="138" t="str">
        <f>VLOOKUP(Purchase[[#This Row],[Supplier ID]],Supplier[#All],2,0)</f>
        <v>Maa Computers</v>
      </c>
      <c r="E1615" s="138">
        <f>VLOOKUP(Purchase[[#This Row],[Supplier ID]],Supplier[#All],3,0)</f>
        <v>9689542454</v>
      </c>
      <c r="F1615" s="138" t="str">
        <f>VLOOKUP(Purchase[[#This Row],[Supplier ID]],Supplier[#All],4,0)</f>
        <v>Korba</v>
      </c>
      <c r="G1615" s="138" t="str">
        <f>VLOOKUP(Purchase[[#This Row],[Supplier ID]],Supplier[#All],5,0)</f>
        <v>CG</v>
      </c>
      <c r="H1615" s="138" t="str">
        <f>VLOOKUP(Purchase[[#This Row],[Supplier ID]],Supplier[#All],6,0)</f>
        <v>GST2154521T016</v>
      </c>
      <c r="I1615" s="138" t="s">
        <v>432</v>
      </c>
      <c r="J1615" s="139">
        <v>18</v>
      </c>
      <c r="K1615" s="143">
        <f>VLOOKUP(Purchase[[#This Row],[Product ID]],Product[#All],6,0)</f>
        <v>628</v>
      </c>
      <c r="L1615" s="143">
        <f>Purchase[[#This Row],[Purchase Rate]]*Purchase[[#This Row],[Qty]]</f>
        <v>11304</v>
      </c>
      <c r="M1615" s="140">
        <v>0</v>
      </c>
      <c r="N1615" s="143">
        <v>0</v>
      </c>
      <c r="O1615" s="140">
        <v>0.18</v>
      </c>
      <c r="P1615" s="145">
        <f>(Purchase[[#This Row],[Gross Amount]]-Purchase[[#This Row],[Disct %]])*Purchase[[#This Row],[GST %]]</f>
        <v>2034.72</v>
      </c>
      <c r="Q1615" s="145">
        <f>Purchase[[#This Row],[Gross Amount]]-Purchase[[#This Row],[Disct Amnt]]+Purchase[[#This Row],[GST Amount]]</f>
        <v>13338.72</v>
      </c>
      <c r="R1615" s="138" t="s">
        <v>1019</v>
      </c>
      <c r="S1615" s="41">
        <f>IF(Purchase[[#This Row],[Status]]="Cancelled",0,Purchase[[#This Row],[Qty]])</f>
        <v>18</v>
      </c>
      <c r="T1615" s="146">
        <f>IF(Purchase[[#This Row],[Status]]="Cancelled",0,Purchase[[#This Row],[Total Amount]])</f>
        <v>13338.72</v>
      </c>
      <c r="U1615" s="146">
        <f>SUM(Purchase[Net Amount])</f>
        <v>814985438.68000126</v>
      </c>
    </row>
    <row r="1616" spans="1:21" ht="19.5" thickBot="1" x14ac:dyDescent="0.3">
      <c r="A1616" s="136" t="s">
        <v>2670</v>
      </c>
      <c r="B1616" s="137">
        <v>45736</v>
      </c>
      <c r="C1616" s="138" t="s">
        <v>567</v>
      </c>
      <c r="D1616" s="138" t="str">
        <f>VLOOKUP(Purchase[[#This Row],[Supplier ID]],Supplier[#All],2,0)</f>
        <v>National Distributors</v>
      </c>
      <c r="E1616" s="138">
        <f>VLOOKUP(Purchase[[#This Row],[Supplier ID]],Supplier[#All],3,0)</f>
        <v>9689542453</v>
      </c>
      <c r="F1616" s="138" t="str">
        <f>VLOOKUP(Purchase[[#This Row],[Supplier ID]],Supplier[#All],4,0)</f>
        <v>Korba</v>
      </c>
      <c r="G1616" s="138" t="str">
        <f>VLOOKUP(Purchase[[#This Row],[Supplier ID]],Supplier[#All],5,0)</f>
        <v>CG</v>
      </c>
      <c r="H1616" s="138" t="str">
        <f>VLOOKUP(Purchase[[#This Row],[Supplier ID]],Supplier[#All],6,0)</f>
        <v>GST2154521T015</v>
      </c>
      <c r="I1616" s="138" t="s">
        <v>373</v>
      </c>
      <c r="J1616" s="139">
        <v>40</v>
      </c>
      <c r="K1616" s="143">
        <f>VLOOKUP(Purchase[[#This Row],[Product ID]],Product[#All],6,0)</f>
        <v>8224</v>
      </c>
      <c r="L1616" s="143">
        <f>Purchase[[#This Row],[Purchase Rate]]*Purchase[[#This Row],[Qty]]</f>
        <v>328960</v>
      </c>
      <c r="M1616" s="140">
        <v>0</v>
      </c>
      <c r="N1616" s="143">
        <v>0</v>
      </c>
      <c r="O1616" s="140">
        <v>0.18</v>
      </c>
      <c r="P1616" s="145">
        <f>(Purchase[[#This Row],[Gross Amount]]-Purchase[[#This Row],[Disct %]])*Purchase[[#This Row],[GST %]]</f>
        <v>59212.799999999996</v>
      </c>
      <c r="Q1616" s="145">
        <f>Purchase[[#This Row],[Gross Amount]]-Purchase[[#This Row],[Disct Amnt]]+Purchase[[#This Row],[GST Amount]]</f>
        <v>388172.79999999999</v>
      </c>
      <c r="R1616" s="138" t="s">
        <v>1019</v>
      </c>
      <c r="S1616" s="41">
        <f>IF(Purchase[[#This Row],[Status]]="Cancelled",0,Purchase[[#This Row],[Qty]])</f>
        <v>40</v>
      </c>
      <c r="T1616" s="146">
        <f>IF(Purchase[[#This Row],[Status]]="Cancelled",0,Purchase[[#This Row],[Total Amount]])</f>
        <v>388172.79999999999</v>
      </c>
      <c r="U1616" s="146">
        <f>SUM(Purchase[Net Amount])</f>
        <v>814985438.68000126</v>
      </c>
    </row>
    <row r="1617" spans="1:21" ht="19.5" thickBot="1" x14ac:dyDescent="0.3">
      <c r="A1617" s="136" t="s">
        <v>2671</v>
      </c>
      <c r="B1617" s="137">
        <v>45736</v>
      </c>
      <c r="C1617" s="138" t="s">
        <v>567</v>
      </c>
      <c r="D1617" s="138" t="str">
        <f>VLOOKUP(Purchase[[#This Row],[Supplier ID]],Supplier[#All],2,0)</f>
        <v>National Distributors</v>
      </c>
      <c r="E1617" s="138">
        <f>VLOOKUP(Purchase[[#This Row],[Supplier ID]],Supplier[#All],3,0)</f>
        <v>9689542453</v>
      </c>
      <c r="F1617" s="138" t="str">
        <f>VLOOKUP(Purchase[[#This Row],[Supplier ID]],Supplier[#All],4,0)</f>
        <v>Korba</v>
      </c>
      <c r="G1617" s="138" t="str">
        <f>VLOOKUP(Purchase[[#This Row],[Supplier ID]],Supplier[#All],5,0)</f>
        <v>CG</v>
      </c>
      <c r="H1617" s="138" t="str">
        <f>VLOOKUP(Purchase[[#This Row],[Supplier ID]],Supplier[#All],6,0)</f>
        <v>GST2154521T015</v>
      </c>
      <c r="I1617" s="138" t="s">
        <v>512</v>
      </c>
      <c r="J1617" s="139">
        <v>31</v>
      </c>
      <c r="K1617" s="143">
        <f>VLOOKUP(Purchase[[#This Row],[Product ID]],Product[#All],6,0)</f>
        <v>4495</v>
      </c>
      <c r="L1617" s="143">
        <f>Purchase[[#This Row],[Purchase Rate]]*Purchase[[#This Row],[Qty]]</f>
        <v>139345</v>
      </c>
      <c r="M1617" s="140">
        <v>0</v>
      </c>
      <c r="N1617" s="143">
        <v>0</v>
      </c>
      <c r="O1617" s="140">
        <v>0.18</v>
      </c>
      <c r="P1617" s="145">
        <f>(Purchase[[#This Row],[Gross Amount]]-Purchase[[#This Row],[Disct %]])*Purchase[[#This Row],[GST %]]</f>
        <v>25082.1</v>
      </c>
      <c r="Q1617" s="145">
        <f>Purchase[[#This Row],[Gross Amount]]-Purchase[[#This Row],[Disct Amnt]]+Purchase[[#This Row],[GST Amount]]</f>
        <v>164427.1</v>
      </c>
      <c r="R1617" s="138" t="s">
        <v>1019</v>
      </c>
      <c r="S1617" s="41">
        <f>IF(Purchase[[#This Row],[Status]]="Cancelled",0,Purchase[[#This Row],[Qty]])</f>
        <v>31</v>
      </c>
      <c r="T1617" s="146">
        <f>IF(Purchase[[#This Row],[Status]]="Cancelled",0,Purchase[[#This Row],[Total Amount]])</f>
        <v>164427.1</v>
      </c>
      <c r="U1617" s="146">
        <f>SUM(Purchase[Net Amount])</f>
        <v>814985438.68000126</v>
      </c>
    </row>
    <row r="1618" spans="1:21" ht="19.5" thickBot="1" x14ac:dyDescent="0.3">
      <c r="A1618" s="136" t="s">
        <v>2672</v>
      </c>
      <c r="B1618" s="137">
        <v>45736</v>
      </c>
      <c r="C1618" s="138" t="s">
        <v>571</v>
      </c>
      <c r="D1618" s="138" t="str">
        <f>VLOOKUP(Purchase[[#This Row],[Supplier ID]],Supplier[#All],2,0)</f>
        <v>Tech Suppliers</v>
      </c>
      <c r="E1618" s="138">
        <f>VLOOKUP(Purchase[[#This Row],[Supplier ID]],Supplier[#All],3,0)</f>
        <v>9689542457</v>
      </c>
      <c r="F1618" s="138" t="str">
        <f>VLOOKUP(Purchase[[#This Row],[Supplier ID]],Supplier[#All],4,0)</f>
        <v>Korba</v>
      </c>
      <c r="G1618" s="138" t="str">
        <f>VLOOKUP(Purchase[[#This Row],[Supplier ID]],Supplier[#All],5,0)</f>
        <v>CG</v>
      </c>
      <c r="H1618" s="138" t="str">
        <f>VLOOKUP(Purchase[[#This Row],[Supplier ID]],Supplier[#All],6,0)</f>
        <v>GST2154521T019</v>
      </c>
      <c r="I1618" s="138" t="s">
        <v>371</v>
      </c>
      <c r="J1618" s="139">
        <v>3</v>
      </c>
      <c r="K1618" s="143">
        <f>VLOOKUP(Purchase[[#This Row],[Product ID]],Product[#All],6,0)</f>
        <v>372</v>
      </c>
      <c r="L1618" s="143">
        <f>Purchase[[#This Row],[Purchase Rate]]*Purchase[[#This Row],[Qty]]</f>
        <v>1116</v>
      </c>
      <c r="M1618" s="140">
        <v>0</v>
      </c>
      <c r="N1618" s="143">
        <v>0</v>
      </c>
      <c r="O1618" s="140">
        <v>0.18</v>
      </c>
      <c r="P1618" s="145">
        <f>(Purchase[[#This Row],[Gross Amount]]-Purchase[[#This Row],[Disct %]])*Purchase[[#This Row],[GST %]]</f>
        <v>200.88</v>
      </c>
      <c r="Q1618" s="145">
        <f>Purchase[[#This Row],[Gross Amount]]-Purchase[[#This Row],[Disct Amnt]]+Purchase[[#This Row],[GST Amount]]</f>
        <v>1316.88</v>
      </c>
      <c r="R1618" s="138" t="s">
        <v>1019</v>
      </c>
      <c r="S1618" s="41">
        <f>IF(Purchase[[#This Row],[Status]]="Cancelled",0,Purchase[[#This Row],[Qty]])</f>
        <v>3</v>
      </c>
      <c r="T1618" s="146">
        <f>IF(Purchase[[#This Row],[Status]]="Cancelled",0,Purchase[[#This Row],[Total Amount]])</f>
        <v>1316.88</v>
      </c>
      <c r="U1618" s="146">
        <f>SUM(Purchase[Net Amount])</f>
        <v>814985438.68000126</v>
      </c>
    </row>
    <row r="1619" spans="1:21" ht="19.5" thickBot="1" x14ac:dyDescent="0.3">
      <c r="A1619" s="136" t="s">
        <v>2673</v>
      </c>
      <c r="B1619" s="137">
        <v>45736</v>
      </c>
      <c r="C1619" s="138" t="s">
        <v>609</v>
      </c>
      <c r="D1619" s="138" t="str">
        <f>VLOOKUP(Purchase[[#This Row],[Supplier ID]],Supplier[#All],2,0)</f>
        <v>Star Suppliers</v>
      </c>
      <c r="E1619" s="138">
        <f>VLOOKUP(Purchase[[#This Row],[Supplier ID]],Supplier[#All],3,0)</f>
        <v>9689542492</v>
      </c>
      <c r="F1619" s="138" t="str">
        <f>VLOOKUP(Purchase[[#This Row],[Supplier ID]],Supplier[#All],4,0)</f>
        <v>Kanpur</v>
      </c>
      <c r="G1619" s="138" t="str">
        <f>VLOOKUP(Purchase[[#This Row],[Supplier ID]],Supplier[#All],5,0)</f>
        <v>UP</v>
      </c>
      <c r="H1619" s="138" t="str">
        <f>VLOOKUP(Purchase[[#This Row],[Supplier ID]],Supplier[#All],6,0)</f>
        <v>GST2154521T054</v>
      </c>
      <c r="I1619" s="138" t="s">
        <v>7</v>
      </c>
      <c r="J1619" s="139">
        <v>38</v>
      </c>
      <c r="K1619" s="143">
        <f>VLOOKUP(Purchase[[#This Row],[Product ID]],Product[#All],6,0)</f>
        <v>27080</v>
      </c>
      <c r="L1619" s="143">
        <f>Purchase[[#This Row],[Purchase Rate]]*Purchase[[#This Row],[Qty]]</f>
        <v>1029040</v>
      </c>
      <c r="M1619" s="140">
        <v>0</v>
      </c>
      <c r="N1619" s="143">
        <v>0</v>
      </c>
      <c r="O1619" s="140">
        <v>0.18</v>
      </c>
      <c r="P1619" s="145">
        <f>(Purchase[[#This Row],[Gross Amount]]-Purchase[[#This Row],[Disct %]])*Purchase[[#This Row],[GST %]]</f>
        <v>185227.19999999998</v>
      </c>
      <c r="Q1619" s="145">
        <f>Purchase[[#This Row],[Gross Amount]]-Purchase[[#This Row],[Disct Amnt]]+Purchase[[#This Row],[GST Amount]]</f>
        <v>1214267.2</v>
      </c>
      <c r="R1619" s="138" t="s">
        <v>1019</v>
      </c>
      <c r="S1619" s="41">
        <f>IF(Purchase[[#This Row],[Status]]="Cancelled",0,Purchase[[#This Row],[Qty]])</f>
        <v>38</v>
      </c>
      <c r="T1619" s="146">
        <f>IF(Purchase[[#This Row],[Status]]="Cancelled",0,Purchase[[#This Row],[Total Amount]])</f>
        <v>1214267.2</v>
      </c>
      <c r="U1619" s="146">
        <f>SUM(Purchase[Net Amount])</f>
        <v>814985438.68000126</v>
      </c>
    </row>
    <row r="1620" spans="1:21" ht="19.5" thickBot="1" x14ac:dyDescent="0.3">
      <c r="A1620" s="136" t="s">
        <v>2674</v>
      </c>
      <c r="B1620" s="137">
        <v>45736</v>
      </c>
      <c r="C1620" s="138" t="s">
        <v>573</v>
      </c>
      <c r="D1620" s="138" t="str">
        <f>VLOOKUP(Purchase[[#This Row],[Supplier ID]],Supplier[#All],2,0)</f>
        <v>Shree Traders</v>
      </c>
      <c r="E1620" s="138">
        <f>VLOOKUP(Purchase[[#This Row],[Supplier ID]],Supplier[#All],3,0)</f>
        <v>9689542458</v>
      </c>
      <c r="F1620" s="138" t="str">
        <f>VLOOKUP(Purchase[[#This Row],[Supplier ID]],Supplier[#All],4,0)</f>
        <v>Korba</v>
      </c>
      <c r="G1620" s="138" t="str">
        <f>VLOOKUP(Purchase[[#This Row],[Supplier ID]],Supplier[#All],5,0)</f>
        <v>CG</v>
      </c>
      <c r="H1620" s="138" t="str">
        <f>VLOOKUP(Purchase[[#This Row],[Supplier ID]],Supplier[#All],6,0)</f>
        <v>GST2154521T020</v>
      </c>
      <c r="I1620" s="138" t="s">
        <v>378</v>
      </c>
      <c r="J1620" s="139">
        <v>3</v>
      </c>
      <c r="K1620" s="143">
        <f>VLOOKUP(Purchase[[#This Row],[Product ID]],Product[#All],6,0)</f>
        <v>3476</v>
      </c>
      <c r="L1620" s="143">
        <f>Purchase[[#This Row],[Purchase Rate]]*Purchase[[#This Row],[Qty]]</f>
        <v>10428</v>
      </c>
      <c r="M1620" s="140">
        <v>0</v>
      </c>
      <c r="N1620" s="143">
        <v>0</v>
      </c>
      <c r="O1620" s="140">
        <v>0.18</v>
      </c>
      <c r="P1620" s="145">
        <f>(Purchase[[#This Row],[Gross Amount]]-Purchase[[#This Row],[Disct %]])*Purchase[[#This Row],[GST %]]</f>
        <v>1877.04</v>
      </c>
      <c r="Q1620" s="145">
        <f>Purchase[[#This Row],[Gross Amount]]-Purchase[[#This Row],[Disct Amnt]]+Purchase[[#This Row],[GST Amount]]</f>
        <v>12305.04</v>
      </c>
      <c r="R1620" s="138" t="s">
        <v>1019</v>
      </c>
      <c r="S1620" s="41">
        <f>IF(Purchase[[#This Row],[Status]]="Cancelled",0,Purchase[[#This Row],[Qty]])</f>
        <v>3</v>
      </c>
      <c r="T1620" s="146">
        <f>IF(Purchase[[#This Row],[Status]]="Cancelled",0,Purchase[[#This Row],[Total Amount]])</f>
        <v>12305.04</v>
      </c>
      <c r="U1620" s="146">
        <f>SUM(Purchase[Net Amount])</f>
        <v>814985438.68000126</v>
      </c>
    </row>
    <row r="1621" spans="1:21" ht="19.5" thickBot="1" x14ac:dyDescent="0.3">
      <c r="A1621" s="136" t="s">
        <v>2675</v>
      </c>
      <c r="B1621" s="137">
        <v>45736</v>
      </c>
      <c r="C1621" s="138" t="s">
        <v>565</v>
      </c>
      <c r="D1621" s="138" t="str">
        <f>VLOOKUP(Purchase[[#This Row],[Supplier ID]],Supplier[#All],2,0)</f>
        <v>Global Suppliers</v>
      </c>
      <c r="E1621" s="138">
        <f>VLOOKUP(Purchase[[#This Row],[Supplier ID]],Supplier[#All],3,0)</f>
        <v>9689542459</v>
      </c>
      <c r="F1621" s="138" t="str">
        <f>VLOOKUP(Purchase[[#This Row],[Supplier ID]],Supplier[#All],4,0)</f>
        <v>Indore</v>
      </c>
      <c r="G1621" s="138" t="str">
        <f>VLOOKUP(Purchase[[#This Row],[Supplier ID]],Supplier[#All],5,0)</f>
        <v>MP</v>
      </c>
      <c r="H1621" s="138" t="str">
        <f>VLOOKUP(Purchase[[#This Row],[Supplier ID]],Supplier[#All],6,0)</f>
        <v>GST2154521T013</v>
      </c>
      <c r="I1621" s="138" t="s">
        <v>361</v>
      </c>
      <c r="J1621" s="139">
        <v>24</v>
      </c>
      <c r="K1621" s="143">
        <f>VLOOKUP(Purchase[[#This Row],[Product ID]],Product[#All],6,0)</f>
        <v>20576</v>
      </c>
      <c r="L1621" s="143">
        <f>Purchase[[#This Row],[Purchase Rate]]*Purchase[[#This Row],[Qty]]</f>
        <v>493824</v>
      </c>
      <c r="M1621" s="140">
        <v>0</v>
      </c>
      <c r="N1621" s="143">
        <v>0</v>
      </c>
      <c r="O1621" s="140">
        <v>0.18</v>
      </c>
      <c r="P1621" s="145">
        <f>(Purchase[[#This Row],[Gross Amount]]-Purchase[[#This Row],[Disct %]])*Purchase[[#This Row],[GST %]]</f>
        <v>88888.319999999992</v>
      </c>
      <c r="Q1621" s="145">
        <f>Purchase[[#This Row],[Gross Amount]]-Purchase[[#This Row],[Disct Amnt]]+Purchase[[#This Row],[GST Amount]]</f>
        <v>582712.31999999995</v>
      </c>
      <c r="R1621" s="138" t="s">
        <v>1019</v>
      </c>
      <c r="S1621" s="41">
        <f>IF(Purchase[[#This Row],[Status]]="Cancelled",0,Purchase[[#This Row],[Qty]])</f>
        <v>24</v>
      </c>
      <c r="T1621" s="146">
        <f>IF(Purchase[[#This Row],[Status]]="Cancelled",0,Purchase[[#This Row],[Total Amount]])</f>
        <v>582712.31999999995</v>
      </c>
      <c r="U1621" s="146">
        <f>SUM(Purchase[Net Amount])</f>
        <v>814985438.68000126</v>
      </c>
    </row>
    <row r="1622" spans="1:21" ht="19.5" thickBot="1" x14ac:dyDescent="0.3">
      <c r="A1622" s="136" t="s">
        <v>2676</v>
      </c>
      <c r="B1622" s="137">
        <v>45736</v>
      </c>
      <c r="C1622" s="138" t="s">
        <v>570</v>
      </c>
      <c r="D1622" s="138" t="str">
        <f>VLOOKUP(Purchase[[#This Row],[Supplier ID]],Supplier[#All],2,0)</f>
        <v>Prime Traders</v>
      </c>
      <c r="E1622" s="138">
        <f>VLOOKUP(Purchase[[#This Row],[Supplier ID]],Supplier[#All],3,0)</f>
        <v>9689542456</v>
      </c>
      <c r="F1622" s="138" t="str">
        <f>VLOOKUP(Purchase[[#This Row],[Supplier ID]],Supplier[#All],4,0)</f>
        <v>Indore</v>
      </c>
      <c r="G1622" s="138" t="str">
        <f>VLOOKUP(Purchase[[#This Row],[Supplier ID]],Supplier[#All],5,0)</f>
        <v>MP</v>
      </c>
      <c r="H1622" s="138" t="str">
        <f>VLOOKUP(Purchase[[#This Row],[Supplier ID]],Supplier[#All],6,0)</f>
        <v>GST2154521T018</v>
      </c>
      <c r="I1622" s="138" t="s">
        <v>78</v>
      </c>
      <c r="J1622" s="139">
        <v>7</v>
      </c>
      <c r="K1622" s="143">
        <f>VLOOKUP(Purchase[[#This Row],[Product ID]],Product[#All],6,0)</f>
        <v>13714</v>
      </c>
      <c r="L1622" s="143">
        <f>Purchase[[#This Row],[Purchase Rate]]*Purchase[[#This Row],[Qty]]</f>
        <v>95998</v>
      </c>
      <c r="M1622" s="140">
        <v>0</v>
      </c>
      <c r="N1622" s="143">
        <v>0</v>
      </c>
      <c r="O1622" s="140">
        <v>0.18</v>
      </c>
      <c r="P1622" s="145">
        <f>(Purchase[[#This Row],[Gross Amount]]-Purchase[[#This Row],[Disct %]])*Purchase[[#This Row],[GST %]]</f>
        <v>17279.64</v>
      </c>
      <c r="Q1622" s="145">
        <f>Purchase[[#This Row],[Gross Amount]]-Purchase[[#This Row],[Disct Amnt]]+Purchase[[#This Row],[GST Amount]]</f>
        <v>113277.64</v>
      </c>
      <c r="R1622" s="138" t="s">
        <v>1019</v>
      </c>
      <c r="S1622" s="41">
        <f>IF(Purchase[[#This Row],[Status]]="Cancelled",0,Purchase[[#This Row],[Qty]])</f>
        <v>7</v>
      </c>
      <c r="T1622" s="146">
        <f>IF(Purchase[[#This Row],[Status]]="Cancelled",0,Purchase[[#This Row],[Total Amount]])</f>
        <v>113277.64</v>
      </c>
      <c r="U1622" s="146">
        <f>SUM(Purchase[Net Amount])</f>
        <v>814985438.68000126</v>
      </c>
    </row>
    <row r="1623" spans="1:21" ht="19.5" thickBot="1" x14ac:dyDescent="0.3">
      <c r="A1623" s="136" t="s">
        <v>2677</v>
      </c>
      <c r="B1623" s="137">
        <v>45736</v>
      </c>
      <c r="C1623" s="138" t="s">
        <v>601</v>
      </c>
      <c r="D1623" s="138" t="str">
        <f>VLOOKUP(Purchase[[#This Row],[Supplier ID]],Supplier[#All],2,0)</f>
        <v>Maa Distributors</v>
      </c>
      <c r="E1623" s="138">
        <f>VLOOKUP(Purchase[[#This Row],[Supplier ID]],Supplier[#All],3,0)</f>
        <v>9689542484</v>
      </c>
      <c r="F1623" s="138" t="str">
        <f>VLOOKUP(Purchase[[#This Row],[Supplier ID]],Supplier[#All],4,0)</f>
        <v>Indore</v>
      </c>
      <c r="G1623" s="138" t="str">
        <f>VLOOKUP(Purchase[[#This Row],[Supplier ID]],Supplier[#All],5,0)</f>
        <v>MP</v>
      </c>
      <c r="H1623" s="138" t="str">
        <f>VLOOKUP(Purchase[[#This Row],[Supplier ID]],Supplier[#All],6,0)</f>
        <v>GST2154521T046</v>
      </c>
      <c r="I1623" s="138" t="s">
        <v>474</v>
      </c>
      <c r="J1623" s="139">
        <v>21</v>
      </c>
      <c r="K1623" s="143">
        <f>VLOOKUP(Purchase[[#This Row],[Product ID]],Product[#All],6,0)</f>
        <v>1027</v>
      </c>
      <c r="L1623" s="143">
        <f>Purchase[[#This Row],[Purchase Rate]]*Purchase[[#This Row],[Qty]]</f>
        <v>21567</v>
      </c>
      <c r="M1623" s="140">
        <v>0</v>
      </c>
      <c r="N1623" s="143">
        <v>0</v>
      </c>
      <c r="O1623" s="140">
        <v>0.18</v>
      </c>
      <c r="P1623" s="145">
        <f>(Purchase[[#This Row],[Gross Amount]]-Purchase[[#This Row],[Disct %]])*Purchase[[#This Row],[GST %]]</f>
        <v>3882.06</v>
      </c>
      <c r="Q1623" s="145">
        <f>Purchase[[#This Row],[Gross Amount]]-Purchase[[#This Row],[Disct Amnt]]+Purchase[[#This Row],[GST Amount]]</f>
        <v>25449.06</v>
      </c>
      <c r="R1623" s="138" t="s">
        <v>1019</v>
      </c>
      <c r="S1623" s="41">
        <f>IF(Purchase[[#This Row],[Status]]="Cancelled",0,Purchase[[#This Row],[Qty]])</f>
        <v>21</v>
      </c>
      <c r="T1623" s="146">
        <f>IF(Purchase[[#This Row],[Status]]="Cancelled",0,Purchase[[#This Row],[Total Amount]])</f>
        <v>25449.06</v>
      </c>
      <c r="U1623" s="146">
        <f>SUM(Purchase[Net Amount])</f>
        <v>814985438.68000126</v>
      </c>
    </row>
    <row r="1624" spans="1:21" ht="19.5" thickBot="1" x14ac:dyDescent="0.3">
      <c r="A1624" s="136" t="s">
        <v>2678</v>
      </c>
      <c r="B1624" s="137">
        <v>45736</v>
      </c>
      <c r="C1624" s="138" t="s">
        <v>615</v>
      </c>
      <c r="D1624" s="138" t="str">
        <f>VLOOKUP(Purchase[[#This Row],[Supplier ID]],Supplier[#All],2,0)</f>
        <v>NATIONAL ELECTRONICS</v>
      </c>
      <c r="E1624" s="138">
        <f>VLOOKUP(Purchase[[#This Row],[Supplier ID]],Supplier[#All],3,0)</f>
        <v>9689542498</v>
      </c>
      <c r="F1624" s="138" t="str">
        <f>VLOOKUP(Purchase[[#This Row],[Supplier ID]],Supplier[#All],4,0)</f>
        <v>Kanpur</v>
      </c>
      <c r="G1624" s="138" t="str">
        <f>VLOOKUP(Purchase[[#This Row],[Supplier ID]],Supplier[#All],5,0)</f>
        <v>UP</v>
      </c>
      <c r="H1624" s="138" t="str">
        <f>VLOOKUP(Purchase[[#This Row],[Supplier ID]],Supplier[#All],6,0)</f>
        <v>GST2154521T060</v>
      </c>
      <c r="I1624" s="138" t="s">
        <v>161</v>
      </c>
      <c r="J1624" s="139">
        <v>11</v>
      </c>
      <c r="K1624" s="143">
        <f>VLOOKUP(Purchase[[#This Row],[Product ID]],Product[#All],6,0)</f>
        <v>1064</v>
      </c>
      <c r="L1624" s="143">
        <f>Purchase[[#This Row],[Purchase Rate]]*Purchase[[#This Row],[Qty]]</f>
        <v>11704</v>
      </c>
      <c r="M1624" s="140">
        <v>0</v>
      </c>
      <c r="N1624" s="143">
        <v>0</v>
      </c>
      <c r="O1624" s="140">
        <v>0.18</v>
      </c>
      <c r="P1624" s="145">
        <f>(Purchase[[#This Row],[Gross Amount]]-Purchase[[#This Row],[Disct %]])*Purchase[[#This Row],[GST %]]</f>
        <v>2106.7199999999998</v>
      </c>
      <c r="Q1624" s="145">
        <f>Purchase[[#This Row],[Gross Amount]]-Purchase[[#This Row],[Disct Amnt]]+Purchase[[#This Row],[GST Amount]]</f>
        <v>13810.72</v>
      </c>
      <c r="R1624" s="138" t="s">
        <v>1019</v>
      </c>
      <c r="S1624" s="41">
        <f>IF(Purchase[[#This Row],[Status]]="Cancelled",0,Purchase[[#This Row],[Qty]])</f>
        <v>11</v>
      </c>
      <c r="T1624" s="146">
        <f>IF(Purchase[[#This Row],[Status]]="Cancelled",0,Purchase[[#This Row],[Total Amount]])</f>
        <v>13810.72</v>
      </c>
      <c r="U1624" s="146">
        <f>SUM(Purchase[Net Amount])</f>
        <v>814985438.68000126</v>
      </c>
    </row>
    <row r="1625" spans="1:21" ht="19.5" thickBot="1" x14ac:dyDescent="0.3">
      <c r="A1625" s="136" t="s">
        <v>2679</v>
      </c>
      <c r="B1625" s="137">
        <v>45736</v>
      </c>
      <c r="C1625" s="138" t="s">
        <v>585</v>
      </c>
      <c r="D1625" s="138" t="str">
        <f>VLOOKUP(Purchase[[#This Row],[Supplier ID]],Supplier[#All],2,0)</f>
        <v>Tech Computers</v>
      </c>
      <c r="E1625" s="138">
        <f>VLOOKUP(Purchase[[#This Row],[Supplier ID]],Supplier[#All],3,0)</f>
        <v>9689542469</v>
      </c>
      <c r="F1625" s="138" t="str">
        <f>VLOOKUP(Purchase[[#This Row],[Supplier ID]],Supplier[#All],4,0)</f>
        <v>Korba</v>
      </c>
      <c r="G1625" s="138" t="str">
        <f>VLOOKUP(Purchase[[#This Row],[Supplier ID]],Supplier[#All],5,0)</f>
        <v>CG</v>
      </c>
      <c r="H1625" s="138" t="str">
        <f>VLOOKUP(Purchase[[#This Row],[Supplier ID]],Supplier[#All],6,0)</f>
        <v>GST2154521T031</v>
      </c>
      <c r="I1625" s="138" t="s">
        <v>172</v>
      </c>
      <c r="J1625" s="139">
        <v>8</v>
      </c>
      <c r="K1625" s="143">
        <f>VLOOKUP(Purchase[[#This Row],[Product ID]],Product[#All],6,0)</f>
        <v>6047</v>
      </c>
      <c r="L1625" s="143">
        <f>Purchase[[#This Row],[Purchase Rate]]*Purchase[[#This Row],[Qty]]</f>
        <v>48376</v>
      </c>
      <c r="M1625" s="140">
        <v>0</v>
      </c>
      <c r="N1625" s="143">
        <v>0</v>
      </c>
      <c r="O1625" s="140">
        <v>0.18</v>
      </c>
      <c r="P1625" s="145">
        <f>(Purchase[[#This Row],[Gross Amount]]-Purchase[[#This Row],[Disct %]])*Purchase[[#This Row],[GST %]]</f>
        <v>8707.68</v>
      </c>
      <c r="Q1625" s="145">
        <f>Purchase[[#This Row],[Gross Amount]]-Purchase[[#This Row],[Disct Amnt]]+Purchase[[#This Row],[GST Amount]]</f>
        <v>57083.68</v>
      </c>
      <c r="R1625" s="138" t="s">
        <v>1019</v>
      </c>
      <c r="S1625" s="41">
        <f>IF(Purchase[[#This Row],[Status]]="Cancelled",0,Purchase[[#This Row],[Qty]])</f>
        <v>8</v>
      </c>
      <c r="T1625" s="146">
        <f>IF(Purchase[[#This Row],[Status]]="Cancelled",0,Purchase[[#This Row],[Total Amount]])</f>
        <v>57083.68</v>
      </c>
      <c r="U1625" s="146">
        <f>SUM(Purchase[Net Amount])</f>
        <v>814985438.68000126</v>
      </c>
    </row>
    <row r="1626" spans="1:21" ht="19.5" thickBot="1" x14ac:dyDescent="0.3">
      <c r="A1626" s="136" t="s">
        <v>2680</v>
      </c>
      <c r="B1626" s="137">
        <v>45736</v>
      </c>
      <c r="C1626" s="138" t="s">
        <v>600</v>
      </c>
      <c r="D1626" s="138" t="str">
        <f>VLOOKUP(Purchase[[#This Row],[Supplier ID]],Supplier[#All],2,0)</f>
        <v>Prime Suppliers</v>
      </c>
      <c r="E1626" s="138">
        <f>VLOOKUP(Purchase[[#This Row],[Supplier ID]],Supplier[#All],3,0)</f>
        <v>9689542483</v>
      </c>
      <c r="F1626" s="138" t="str">
        <f>VLOOKUP(Purchase[[#This Row],[Supplier ID]],Supplier[#All],4,0)</f>
        <v>Korba</v>
      </c>
      <c r="G1626" s="138" t="str">
        <f>VLOOKUP(Purchase[[#This Row],[Supplier ID]],Supplier[#All],5,0)</f>
        <v>CG</v>
      </c>
      <c r="H1626" s="138" t="str">
        <f>VLOOKUP(Purchase[[#This Row],[Supplier ID]],Supplier[#All],6,0)</f>
        <v>GST2154521T045</v>
      </c>
      <c r="I1626" s="138" t="s">
        <v>163</v>
      </c>
      <c r="J1626" s="139">
        <v>34</v>
      </c>
      <c r="K1626" s="143">
        <f>VLOOKUP(Purchase[[#This Row],[Product ID]],Product[#All],6,0)</f>
        <v>13893</v>
      </c>
      <c r="L1626" s="143">
        <f>Purchase[[#This Row],[Purchase Rate]]*Purchase[[#This Row],[Qty]]</f>
        <v>472362</v>
      </c>
      <c r="M1626" s="140">
        <v>0</v>
      </c>
      <c r="N1626" s="143">
        <v>0</v>
      </c>
      <c r="O1626" s="140">
        <v>0.18</v>
      </c>
      <c r="P1626" s="145">
        <f>(Purchase[[#This Row],[Gross Amount]]-Purchase[[#This Row],[Disct %]])*Purchase[[#This Row],[GST %]]</f>
        <v>85025.16</v>
      </c>
      <c r="Q1626" s="145">
        <f>Purchase[[#This Row],[Gross Amount]]-Purchase[[#This Row],[Disct Amnt]]+Purchase[[#This Row],[GST Amount]]</f>
        <v>557387.16</v>
      </c>
      <c r="R1626" s="138" t="s">
        <v>1019</v>
      </c>
      <c r="S1626" s="41">
        <f>IF(Purchase[[#This Row],[Status]]="Cancelled",0,Purchase[[#This Row],[Qty]])</f>
        <v>34</v>
      </c>
      <c r="T1626" s="146">
        <f>IF(Purchase[[#This Row],[Status]]="Cancelled",0,Purchase[[#This Row],[Total Amount]])</f>
        <v>557387.16</v>
      </c>
      <c r="U1626" s="146">
        <f>SUM(Purchase[Net Amount])</f>
        <v>814985438.68000126</v>
      </c>
    </row>
    <row r="1627" spans="1:21" ht="19.5" thickBot="1" x14ac:dyDescent="0.3">
      <c r="A1627" s="136" t="s">
        <v>2681</v>
      </c>
      <c r="B1627" s="137">
        <v>45736</v>
      </c>
      <c r="C1627" s="138" t="s">
        <v>609</v>
      </c>
      <c r="D1627" s="138" t="str">
        <f>VLOOKUP(Purchase[[#This Row],[Supplier ID]],Supplier[#All],2,0)</f>
        <v>Star Suppliers</v>
      </c>
      <c r="E1627" s="138">
        <f>VLOOKUP(Purchase[[#This Row],[Supplier ID]],Supplier[#All],3,0)</f>
        <v>9689542492</v>
      </c>
      <c r="F1627" s="138" t="str">
        <f>VLOOKUP(Purchase[[#This Row],[Supplier ID]],Supplier[#All],4,0)</f>
        <v>Kanpur</v>
      </c>
      <c r="G1627" s="138" t="str">
        <f>VLOOKUP(Purchase[[#This Row],[Supplier ID]],Supplier[#All],5,0)</f>
        <v>UP</v>
      </c>
      <c r="H1627" s="138" t="str">
        <f>VLOOKUP(Purchase[[#This Row],[Supplier ID]],Supplier[#All],6,0)</f>
        <v>GST2154521T054</v>
      </c>
      <c r="I1627" s="138" t="s">
        <v>414</v>
      </c>
      <c r="J1627" s="139">
        <v>31</v>
      </c>
      <c r="K1627" s="143">
        <f>VLOOKUP(Purchase[[#This Row],[Product ID]],Product[#All],6,0)</f>
        <v>1695</v>
      </c>
      <c r="L1627" s="143">
        <f>Purchase[[#This Row],[Purchase Rate]]*Purchase[[#This Row],[Qty]]</f>
        <v>52545</v>
      </c>
      <c r="M1627" s="140">
        <v>0</v>
      </c>
      <c r="N1627" s="143">
        <v>0</v>
      </c>
      <c r="O1627" s="140">
        <v>0.18</v>
      </c>
      <c r="P1627" s="145">
        <f>(Purchase[[#This Row],[Gross Amount]]-Purchase[[#This Row],[Disct %]])*Purchase[[#This Row],[GST %]]</f>
        <v>9458.1</v>
      </c>
      <c r="Q1627" s="145">
        <f>Purchase[[#This Row],[Gross Amount]]-Purchase[[#This Row],[Disct Amnt]]+Purchase[[#This Row],[GST Amount]]</f>
        <v>62003.1</v>
      </c>
      <c r="R1627" s="138" t="s">
        <v>1019</v>
      </c>
      <c r="S1627" s="41">
        <f>IF(Purchase[[#This Row],[Status]]="Cancelled",0,Purchase[[#This Row],[Qty]])</f>
        <v>31</v>
      </c>
      <c r="T1627" s="146">
        <f>IF(Purchase[[#This Row],[Status]]="Cancelled",0,Purchase[[#This Row],[Total Amount]])</f>
        <v>62003.1</v>
      </c>
      <c r="U1627" s="146">
        <f>SUM(Purchase[Net Amount])</f>
        <v>814985438.68000126</v>
      </c>
    </row>
    <row r="1628" spans="1:21" ht="19.5" thickBot="1" x14ac:dyDescent="0.3">
      <c r="A1628" s="136" t="s">
        <v>2682</v>
      </c>
      <c r="B1628" s="137">
        <v>45736</v>
      </c>
      <c r="C1628" s="138" t="s">
        <v>599</v>
      </c>
      <c r="D1628" s="138" t="str">
        <f>VLOOKUP(Purchase[[#This Row],[Supplier ID]],Supplier[#All],2,0)</f>
        <v>National Distributors</v>
      </c>
      <c r="E1628" s="138">
        <f>VLOOKUP(Purchase[[#This Row],[Supplier ID]],Supplier[#All],3,0)</f>
        <v>9689542482</v>
      </c>
      <c r="F1628" s="138" t="str">
        <f>VLOOKUP(Purchase[[#This Row],[Supplier ID]],Supplier[#All],4,0)</f>
        <v>Kanpur</v>
      </c>
      <c r="G1628" s="138" t="str">
        <f>VLOOKUP(Purchase[[#This Row],[Supplier ID]],Supplier[#All],5,0)</f>
        <v>UP</v>
      </c>
      <c r="H1628" s="138" t="str">
        <f>VLOOKUP(Purchase[[#This Row],[Supplier ID]],Supplier[#All],6,0)</f>
        <v>GST2154521T044</v>
      </c>
      <c r="I1628" s="138" t="s">
        <v>469</v>
      </c>
      <c r="J1628" s="139">
        <v>13</v>
      </c>
      <c r="K1628" s="143">
        <f>VLOOKUP(Purchase[[#This Row],[Product ID]],Product[#All],6,0)</f>
        <v>5378</v>
      </c>
      <c r="L1628" s="143">
        <f>Purchase[[#This Row],[Purchase Rate]]*Purchase[[#This Row],[Qty]]</f>
        <v>69914</v>
      </c>
      <c r="M1628" s="140">
        <v>0</v>
      </c>
      <c r="N1628" s="143">
        <v>0</v>
      </c>
      <c r="O1628" s="140">
        <v>0.18</v>
      </c>
      <c r="P1628" s="145">
        <f>(Purchase[[#This Row],[Gross Amount]]-Purchase[[#This Row],[Disct %]])*Purchase[[#This Row],[GST %]]</f>
        <v>12584.52</v>
      </c>
      <c r="Q1628" s="145">
        <f>Purchase[[#This Row],[Gross Amount]]-Purchase[[#This Row],[Disct Amnt]]+Purchase[[#This Row],[GST Amount]]</f>
        <v>82498.52</v>
      </c>
      <c r="R1628" s="138" t="s">
        <v>1019</v>
      </c>
      <c r="S1628" s="41">
        <f>IF(Purchase[[#This Row],[Status]]="Cancelled",0,Purchase[[#This Row],[Qty]])</f>
        <v>13</v>
      </c>
      <c r="T1628" s="146">
        <f>IF(Purchase[[#This Row],[Status]]="Cancelled",0,Purchase[[#This Row],[Total Amount]])</f>
        <v>82498.52</v>
      </c>
      <c r="U1628" s="146">
        <f>SUM(Purchase[Net Amount])</f>
        <v>814985438.68000126</v>
      </c>
    </row>
    <row r="1629" spans="1:21" ht="19.5" thickBot="1" x14ac:dyDescent="0.3">
      <c r="A1629" s="136" t="s">
        <v>2683</v>
      </c>
      <c r="B1629" s="137">
        <v>45736</v>
      </c>
      <c r="C1629" s="138" t="s">
        <v>588</v>
      </c>
      <c r="D1629" s="138" t="str">
        <f>VLOOKUP(Purchase[[#This Row],[Supplier ID]],Supplier[#All],2,0)</f>
        <v>Star Electronics</v>
      </c>
      <c r="E1629" s="138">
        <f>VLOOKUP(Purchase[[#This Row],[Supplier ID]],Supplier[#All],3,0)</f>
        <v>9689542472</v>
      </c>
      <c r="F1629" s="138" t="str">
        <f>VLOOKUP(Purchase[[#This Row],[Supplier ID]],Supplier[#All],4,0)</f>
        <v>Korba</v>
      </c>
      <c r="G1629" s="138" t="str">
        <f>VLOOKUP(Purchase[[#This Row],[Supplier ID]],Supplier[#All],5,0)</f>
        <v>CG</v>
      </c>
      <c r="H1629" s="138" t="str">
        <f>VLOOKUP(Purchase[[#This Row],[Supplier ID]],Supplier[#All],6,0)</f>
        <v>GST2154521T034</v>
      </c>
      <c r="I1629" s="138" t="s">
        <v>534</v>
      </c>
      <c r="J1629" s="139">
        <v>32</v>
      </c>
      <c r="K1629" s="143">
        <f>VLOOKUP(Purchase[[#This Row],[Product ID]],Product[#All],6,0)</f>
        <v>31624</v>
      </c>
      <c r="L1629" s="143">
        <f>Purchase[[#This Row],[Purchase Rate]]*Purchase[[#This Row],[Qty]]</f>
        <v>1011968</v>
      </c>
      <c r="M1629" s="140">
        <v>0</v>
      </c>
      <c r="N1629" s="143">
        <v>0</v>
      </c>
      <c r="O1629" s="140">
        <v>0.18</v>
      </c>
      <c r="P1629" s="145">
        <f>(Purchase[[#This Row],[Gross Amount]]-Purchase[[#This Row],[Disct %]])*Purchase[[#This Row],[GST %]]</f>
        <v>182154.23999999999</v>
      </c>
      <c r="Q1629" s="145">
        <f>Purchase[[#This Row],[Gross Amount]]-Purchase[[#This Row],[Disct Amnt]]+Purchase[[#This Row],[GST Amount]]</f>
        <v>1194122.24</v>
      </c>
      <c r="R1629" s="138" t="s">
        <v>1019</v>
      </c>
      <c r="S1629" s="41">
        <f>IF(Purchase[[#This Row],[Status]]="Cancelled",0,Purchase[[#This Row],[Qty]])</f>
        <v>32</v>
      </c>
      <c r="T1629" s="146">
        <f>IF(Purchase[[#This Row],[Status]]="Cancelled",0,Purchase[[#This Row],[Total Amount]])</f>
        <v>1194122.24</v>
      </c>
      <c r="U1629" s="146">
        <f>SUM(Purchase[Net Amount])</f>
        <v>814985438.68000126</v>
      </c>
    </row>
    <row r="1630" spans="1:21" ht="19.5" thickBot="1" x14ac:dyDescent="0.3">
      <c r="A1630" s="136" t="s">
        <v>2684</v>
      </c>
      <c r="B1630" s="137">
        <v>45736</v>
      </c>
      <c r="C1630" s="138" t="s">
        <v>599</v>
      </c>
      <c r="D1630" s="138" t="str">
        <f>VLOOKUP(Purchase[[#This Row],[Supplier ID]],Supplier[#All],2,0)</f>
        <v>National Distributors</v>
      </c>
      <c r="E1630" s="138">
        <f>VLOOKUP(Purchase[[#This Row],[Supplier ID]],Supplier[#All],3,0)</f>
        <v>9689542482</v>
      </c>
      <c r="F1630" s="138" t="str">
        <f>VLOOKUP(Purchase[[#This Row],[Supplier ID]],Supplier[#All],4,0)</f>
        <v>Kanpur</v>
      </c>
      <c r="G1630" s="138" t="str">
        <f>VLOOKUP(Purchase[[#This Row],[Supplier ID]],Supplier[#All],5,0)</f>
        <v>UP</v>
      </c>
      <c r="H1630" s="138" t="str">
        <f>VLOOKUP(Purchase[[#This Row],[Supplier ID]],Supplier[#All],6,0)</f>
        <v>GST2154521T044</v>
      </c>
      <c r="I1630" s="138" t="s">
        <v>30</v>
      </c>
      <c r="J1630" s="139">
        <v>21</v>
      </c>
      <c r="K1630" s="143">
        <f>VLOOKUP(Purchase[[#This Row],[Product ID]],Product[#All],6,0)</f>
        <v>13487</v>
      </c>
      <c r="L1630" s="143">
        <f>Purchase[[#This Row],[Purchase Rate]]*Purchase[[#This Row],[Qty]]</f>
        <v>283227</v>
      </c>
      <c r="M1630" s="140">
        <v>0</v>
      </c>
      <c r="N1630" s="143">
        <v>0</v>
      </c>
      <c r="O1630" s="140">
        <v>0.18</v>
      </c>
      <c r="P1630" s="145">
        <f>(Purchase[[#This Row],[Gross Amount]]-Purchase[[#This Row],[Disct %]])*Purchase[[#This Row],[GST %]]</f>
        <v>50980.86</v>
      </c>
      <c r="Q1630" s="145">
        <f>Purchase[[#This Row],[Gross Amount]]-Purchase[[#This Row],[Disct Amnt]]+Purchase[[#This Row],[GST Amount]]</f>
        <v>334207.86</v>
      </c>
      <c r="R1630" s="138" t="s">
        <v>1019</v>
      </c>
      <c r="S1630" s="41">
        <f>IF(Purchase[[#This Row],[Status]]="Cancelled",0,Purchase[[#This Row],[Qty]])</f>
        <v>21</v>
      </c>
      <c r="T1630" s="146">
        <f>IF(Purchase[[#This Row],[Status]]="Cancelled",0,Purchase[[#This Row],[Total Amount]])</f>
        <v>334207.86</v>
      </c>
      <c r="U1630" s="146">
        <f>SUM(Purchase[Net Amount])</f>
        <v>814985438.68000126</v>
      </c>
    </row>
    <row r="1631" spans="1:21" ht="19.5" thickBot="1" x14ac:dyDescent="0.3">
      <c r="A1631" s="136" t="s">
        <v>2685</v>
      </c>
      <c r="B1631" s="137">
        <v>45737</v>
      </c>
      <c r="C1631" s="138" t="s">
        <v>585</v>
      </c>
      <c r="D1631" s="138" t="str">
        <f>VLOOKUP(Purchase[[#This Row],[Supplier ID]],Supplier[#All],2,0)</f>
        <v>Tech Computers</v>
      </c>
      <c r="E1631" s="138">
        <f>VLOOKUP(Purchase[[#This Row],[Supplier ID]],Supplier[#All],3,0)</f>
        <v>9689542469</v>
      </c>
      <c r="F1631" s="138" t="str">
        <f>VLOOKUP(Purchase[[#This Row],[Supplier ID]],Supplier[#All],4,0)</f>
        <v>Korba</v>
      </c>
      <c r="G1631" s="138" t="str">
        <f>VLOOKUP(Purchase[[#This Row],[Supplier ID]],Supplier[#All],5,0)</f>
        <v>CG</v>
      </c>
      <c r="H1631" s="138" t="str">
        <f>VLOOKUP(Purchase[[#This Row],[Supplier ID]],Supplier[#All],6,0)</f>
        <v>GST2154521T031</v>
      </c>
      <c r="I1631" s="138" t="s">
        <v>144</v>
      </c>
      <c r="J1631" s="139">
        <v>3</v>
      </c>
      <c r="K1631" s="143">
        <f>VLOOKUP(Purchase[[#This Row],[Product ID]],Product[#All],6,0)</f>
        <v>6307</v>
      </c>
      <c r="L1631" s="143">
        <f>Purchase[[#This Row],[Purchase Rate]]*Purchase[[#This Row],[Qty]]</f>
        <v>18921</v>
      </c>
      <c r="M1631" s="140">
        <v>0</v>
      </c>
      <c r="N1631" s="143">
        <v>0</v>
      </c>
      <c r="O1631" s="140">
        <v>0.18</v>
      </c>
      <c r="P1631" s="145">
        <f>(Purchase[[#This Row],[Gross Amount]]-Purchase[[#This Row],[Disct %]])*Purchase[[#This Row],[GST %]]</f>
        <v>3405.7799999999997</v>
      </c>
      <c r="Q1631" s="145">
        <f>Purchase[[#This Row],[Gross Amount]]-Purchase[[#This Row],[Disct Amnt]]+Purchase[[#This Row],[GST Amount]]</f>
        <v>22326.78</v>
      </c>
      <c r="R1631" s="138" t="s">
        <v>1019</v>
      </c>
      <c r="S1631" s="41">
        <f>IF(Purchase[[#This Row],[Status]]="Cancelled",0,Purchase[[#This Row],[Qty]])</f>
        <v>3</v>
      </c>
      <c r="T1631" s="146">
        <f>IF(Purchase[[#This Row],[Status]]="Cancelled",0,Purchase[[#This Row],[Total Amount]])</f>
        <v>22326.78</v>
      </c>
      <c r="U1631" s="146">
        <f>SUM(Purchase[Net Amount])</f>
        <v>814985438.68000126</v>
      </c>
    </row>
    <row r="1632" spans="1:21" ht="19.5" thickBot="1" x14ac:dyDescent="0.3">
      <c r="A1632" s="136" t="s">
        <v>2686</v>
      </c>
      <c r="B1632" s="137">
        <v>45737</v>
      </c>
      <c r="C1632" s="138" t="s">
        <v>568</v>
      </c>
      <c r="D1632" s="138" t="str">
        <f>VLOOKUP(Purchase[[#This Row],[Supplier ID]],Supplier[#All],2,0)</f>
        <v>Maa Computers</v>
      </c>
      <c r="E1632" s="138">
        <f>VLOOKUP(Purchase[[#This Row],[Supplier ID]],Supplier[#All],3,0)</f>
        <v>9689542454</v>
      </c>
      <c r="F1632" s="138" t="str">
        <f>VLOOKUP(Purchase[[#This Row],[Supplier ID]],Supplier[#All],4,0)</f>
        <v>Korba</v>
      </c>
      <c r="G1632" s="138" t="str">
        <f>VLOOKUP(Purchase[[#This Row],[Supplier ID]],Supplier[#All],5,0)</f>
        <v>CG</v>
      </c>
      <c r="H1632" s="138" t="str">
        <f>VLOOKUP(Purchase[[#This Row],[Supplier ID]],Supplier[#All],6,0)</f>
        <v>GST2154521T016</v>
      </c>
      <c r="I1632" s="138" t="s">
        <v>113</v>
      </c>
      <c r="J1632" s="139">
        <v>28</v>
      </c>
      <c r="K1632" s="143">
        <f>VLOOKUP(Purchase[[#This Row],[Product ID]],Product[#All],6,0)</f>
        <v>72093</v>
      </c>
      <c r="L1632" s="143">
        <f>Purchase[[#This Row],[Purchase Rate]]*Purchase[[#This Row],[Qty]]</f>
        <v>2018604</v>
      </c>
      <c r="M1632" s="140">
        <v>0</v>
      </c>
      <c r="N1632" s="143">
        <v>0</v>
      </c>
      <c r="O1632" s="140">
        <v>0.18</v>
      </c>
      <c r="P1632" s="145">
        <f>(Purchase[[#This Row],[Gross Amount]]-Purchase[[#This Row],[Disct %]])*Purchase[[#This Row],[GST %]]</f>
        <v>363348.72</v>
      </c>
      <c r="Q1632" s="145">
        <f>Purchase[[#This Row],[Gross Amount]]-Purchase[[#This Row],[Disct Amnt]]+Purchase[[#This Row],[GST Amount]]</f>
        <v>2381952.7199999997</v>
      </c>
      <c r="R1632" s="138" t="s">
        <v>1019</v>
      </c>
      <c r="S1632" s="41">
        <f>IF(Purchase[[#This Row],[Status]]="Cancelled",0,Purchase[[#This Row],[Qty]])</f>
        <v>28</v>
      </c>
      <c r="T1632" s="146">
        <f>IF(Purchase[[#This Row],[Status]]="Cancelled",0,Purchase[[#This Row],[Total Amount]])</f>
        <v>2381952.7199999997</v>
      </c>
      <c r="U1632" s="146">
        <f>SUM(Purchase[Net Amount])</f>
        <v>814985438.68000126</v>
      </c>
    </row>
    <row r="1633" spans="1:21" ht="19.5" thickBot="1" x14ac:dyDescent="0.3">
      <c r="A1633" s="136" t="s">
        <v>2687</v>
      </c>
      <c r="B1633" s="137">
        <v>45737</v>
      </c>
      <c r="C1633" s="138" t="s">
        <v>616</v>
      </c>
      <c r="D1633" s="138" t="str">
        <f>VLOOKUP(Purchase[[#This Row],[Supplier ID]],Supplier[#All],2,0)</f>
        <v>Global Suppliers</v>
      </c>
      <c r="E1633" s="138">
        <f>VLOOKUP(Purchase[[#This Row],[Supplier ID]],Supplier[#All],3,0)</f>
        <v>9689542499</v>
      </c>
      <c r="F1633" s="138" t="str">
        <f>VLOOKUP(Purchase[[#This Row],[Supplier ID]],Supplier[#All],4,0)</f>
        <v>Kanpur</v>
      </c>
      <c r="G1633" s="138" t="str">
        <f>VLOOKUP(Purchase[[#This Row],[Supplier ID]],Supplier[#All],5,0)</f>
        <v>UP</v>
      </c>
      <c r="H1633" s="138" t="str">
        <f>VLOOKUP(Purchase[[#This Row],[Supplier ID]],Supplier[#All],6,0)</f>
        <v>GST2154521T061</v>
      </c>
      <c r="I1633" s="138" t="s">
        <v>511</v>
      </c>
      <c r="J1633" s="139">
        <v>23</v>
      </c>
      <c r="K1633" s="143">
        <f>VLOOKUP(Purchase[[#This Row],[Product ID]],Product[#All],6,0)</f>
        <v>1027</v>
      </c>
      <c r="L1633" s="143">
        <f>Purchase[[#This Row],[Purchase Rate]]*Purchase[[#This Row],[Qty]]</f>
        <v>23621</v>
      </c>
      <c r="M1633" s="140">
        <v>0</v>
      </c>
      <c r="N1633" s="143">
        <v>0</v>
      </c>
      <c r="O1633" s="140">
        <v>0.18</v>
      </c>
      <c r="P1633" s="145">
        <f>(Purchase[[#This Row],[Gross Amount]]-Purchase[[#This Row],[Disct %]])*Purchase[[#This Row],[GST %]]</f>
        <v>4251.78</v>
      </c>
      <c r="Q1633" s="145">
        <f>Purchase[[#This Row],[Gross Amount]]-Purchase[[#This Row],[Disct Amnt]]+Purchase[[#This Row],[GST Amount]]</f>
        <v>27872.78</v>
      </c>
      <c r="R1633" s="138" t="s">
        <v>1019</v>
      </c>
      <c r="S1633" s="41">
        <f>IF(Purchase[[#This Row],[Status]]="Cancelled",0,Purchase[[#This Row],[Qty]])</f>
        <v>23</v>
      </c>
      <c r="T1633" s="146">
        <f>IF(Purchase[[#This Row],[Status]]="Cancelled",0,Purchase[[#This Row],[Total Amount]])</f>
        <v>27872.78</v>
      </c>
      <c r="U1633" s="146">
        <f>SUM(Purchase[Net Amount])</f>
        <v>814985438.68000126</v>
      </c>
    </row>
    <row r="1634" spans="1:21" ht="19.5" thickBot="1" x14ac:dyDescent="0.3">
      <c r="A1634" s="136" t="s">
        <v>2688</v>
      </c>
      <c r="B1634" s="137">
        <v>45737</v>
      </c>
      <c r="C1634" s="138" t="s">
        <v>614</v>
      </c>
      <c r="D1634" s="138" t="str">
        <f>VLOOKUP(Purchase[[#This Row],[Supplier ID]],Supplier[#All],2,0)</f>
        <v>National Electronics</v>
      </c>
      <c r="E1634" s="138">
        <f>VLOOKUP(Purchase[[#This Row],[Supplier ID]],Supplier[#All],3,0)</f>
        <v>9689542497</v>
      </c>
      <c r="F1634" s="138" t="str">
        <f>VLOOKUP(Purchase[[#This Row],[Supplier ID]],Supplier[#All],4,0)</f>
        <v>Kanpur</v>
      </c>
      <c r="G1634" s="138" t="str">
        <f>VLOOKUP(Purchase[[#This Row],[Supplier ID]],Supplier[#All],5,0)</f>
        <v>UP</v>
      </c>
      <c r="H1634" s="138" t="str">
        <f>VLOOKUP(Purchase[[#This Row],[Supplier ID]],Supplier[#All],6,0)</f>
        <v>GST2154521T059</v>
      </c>
      <c r="I1634" s="138" t="s">
        <v>79</v>
      </c>
      <c r="J1634" s="139">
        <v>4</v>
      </c>
      <c r="K1634" s="143">
        <f>VLOOKUP(Purchase[[#This Row],[Product ID]],Product[#All],6,0)</f>
        <v>26386</v>
      </c>
      <c r="L1634" s="143">
        <f>Purchase[[#This Row],[Purchase Rate]]*Purchase[[#This Row],[Qty]]</f>
        <v>105544</v>
      </c>
      <c r="M1634" s="140">
        <v>0</v>
      </c>
      <c r="N1634" s="143">
        <v>0</v>
      </c>
      <c r="O1634" s="140">
        <v>0.18</v>
      </c>
      <c r="P1634" s="145">
        <f>(Purchase[[#This Row],[Gross Amount]]-Purchase[[#This Row],[Disct %]])*Purchase[[#This Row],[GST %]]</f>
        <v>18997.919999999998</v>
      </c>
      <c r="Q1634" s="145">
        <f>Purchase[[#This Row],[Gross Amount]]-Purchase[[#This Row],[Disct Amnt]]+Purchase[[#This Row],[GST Amount]]</f>
        <v>124541.92</v>
      </c>
      <c r="R1634" s="138" t="s">
        <v>1019</v>
      </c>
      <c r="S1634" s="41">
        <f>IF(Purchase[[#This Row],[Status]]="Cancelled",0,Purchase[[#This Row],[Qty]])</f>
        <v>4</v>
      </c>
      <c r="T1634" s="146">
        <f>IF(Purchase[[#This Row],[Status]]="Cancelled",0,Purchase[[#This Row],[Total Amount]])</f>
        <v>124541.92</v>
      </c>
      <c r="U1634" s="146">
        <f>SUM(Purchase[Net Amount])</f>
        <v>814985438.68000126</v>
      </c>
    </row>
    <row r="1635" spans="1:21" ht="19.5" thickBot="1" x14ac:dyDescent="0.3">
      <c r="A1635" s="136" t="s">
        <v>2689</v>
      </c>
      <c r="B1635" s="137">
        <v>45737</v>
      </c>
      <c r="C1635" s="138" t="s">
        <v>569</v>
      </c>
      <c r="D1635" s="138" t="str">
        <f>VLOOKUP(Purchase[[#This Row],[Supplier ID]],Supplier[#All],2,0)</f>
        <v>Tech Electronics</v>
      </c>
      <c r="E1635" s="138">
        <f>VLOOKUP(Purchase[[#This Row],[Supplier ID]],Supplier[#All],3,0)</f>
        <v>9689542455</v>
      </c>
      <c r="F1635" s="138" t="str">
        <f>VLOOKUP(Purchase[[#This Row],[Supplier ID]],Supplier[#All],4,0)</f>
        <v>Korba</v>
      </c>
      <c r="G1635" s="138" t="str">
        <f>VLOOKUP(Purchase[[#This Row],[Supplier ID]],Supplier[#All],5,0)</f>
        <v>CG</v>
      </c>
      <c r="H1635" s="138" t="str">
        <f>VLOOKUP(Purchase[[#This Row],[Supplier ID]],Supplier[#All],6,0)</f>
        <v>GST2154521T017</v>
      </c>
      <c r="I1635" s="138" t="s">
        <v>292</v>
      </c>
      <c r="J1635" s="139">
        <v>2</v>
      </c>
      <c r="K1635" s="143">
        <f>VLOOKUP(Purchase[[#This Row],[Product ID]],Product[#All],6,0)</f>
        <v>5549</v>
      </c>
      <c r="L1635" s="143">
        <f>Purchase[[#This Row],[Purchase Rate]]*Purchase[[#This Row],[Qty]]</f>
        <v>11098</v>
      </c>
      <c r="M1635" s="140">
        <v>0</v>
      </c>
      <c r="N1635" s="143">
        <v>0</v>
      </c>
      <c r="O1635" s="140">
        <v>0.18</v>
      </c>
      <c r="P1635" s="145">
        <f>(Purchase[[#This Row],[Gross Amount]]-Purchase[[#This Row],[Disct %]])*Purchase[[#This Row],[GST %]]</f>
        <v>1997.6399999999999</v>
      </c>
      <c r="Q1635" s="145">
        <f>Purchase[[#This Row],[Gross Amount]]-Purchase[[#This Row],[Disct Amnt]]+Purchase[[#This Row],[GST Amount]]</f>
        <v>13095.64</v>
      </c>
      <c r="R1635" s="138" t="s">
        <v>1019</v>
      </c>
      <c r="S1635" s="41">
        <f>IF(Purchase[[#This Row],[Status]]="Cancelled",0,Purchase[[#This Row],[Qty]])</f>
        <v>2</v>
      </c>
      <c r="T1635" s="146">
        <f>IF(Purchase[[#This Row],[Status]]="Cancelled",0,Purchase[[#This Row],[Total Amount]])</f>
        <v>13095.64</v>
      </c>
      <c r="U1635" s="146">
        <f>SUM(Purchase[Net Amount])</f>
        <v>814985438.68000126</v>
      </c>
    </row>
    <row r="1636" spans="1:21" ht="19.5" thickBot="1" x14ac:dyDescent="0.3">
      <c r="A1636" s="136" t="s">
        <v>2690</v>
      </c>
      <c r="B1636" s="137">
        <v>45737</v>
      </c>
      <c r="C1636" s="138" t="s">
        <v>608</v>
      </c>
      <c r="D1636" s="138" t="str">
        <f>VLOOKUP(Purchase[[#This Row],[Supplier ID]],Supplier[#All],2,0)</f>
        <v>Global Suppliers</v>
      </c>
      <c r="E1636" s="138">
        <f>VLOOKUP(Purchase[[#This Row],[Supplier ID]],Supplier[#All],3,0)</f>
        <v>9689542499</v>
      </c>
      <c r="F1636" s="138" t="str">
        <f>VLOOKUP(Purchase[[#This Row],[Supplier ID]],Supplier[#All],4,0)</f>
        <v>Korba</v>
      </c>
      <c r="G1636" s="138" t="str">
        <f>VLOOKUP(Purchase[[#This Row],[Supplier ID]],Supplier[#All],5,0)</f>
        <v>CG</v>
      </c>
      <c r="H1636" s="138" t="str">
        <f>VLOOKUP(Purchase[[#This Row],[Supplier ID]],Supplier[#All],6,0)</f>
        <v>GST2154521T053</v>
      </c>
      <c r="I1636" s="138" t="s">
        <v>363</v>
      </c>
      <c r="J1636" s="139">
        <v>25</v>
      </c>
      <c r="K1636" s="143">
        <f>VLOOKUP(Purchase[[#This Row],[Product ID]],Product[#All],6,0)</f>
        <v>30731</v>
      </c>
      <c r="L1636" s="143">
        <f>Purchase[[#This Row],[Purchase Rate]]*Purchase[[#This Row],[Qty]]</f>
        <v>768275</v>
      </c>
      <c r="M1636" s="140">
        <v>0</v>
      </c>
      <c r="N1636" s="143">
        <v>0</v>
      </c>
      <c r="O1636" s="140">
        <v>0.18</v>
      </c>
      <c r="P1636" s="145">
        <f>(Purchase[[#This Row],[Gross Amount]]-Purchase[[#This Row],[Disct %]])*Purchase[[#This Row],[GST %]]</f>
        <v>138289.5</v>
      </c>
      <c r="Q1636" s="145">
        <f>Purchase[[#This Row],[Gross Amount]]-Purchase[[#This Row],[Disct Amnt]]+Purchase[[#This Row],[GST Amount]]</f>
        <v>906564.5</v>
      </c>
      <c r="R1636" s="138" t="s">
        <v>1019</v>
      </c>
      <c r="S1636" s="41">
        <f>IF(Purchase[[#This Row],[Status]]="Cancelled",0,Purchase[[#This Row],[Qty]])</f>
        <v>25</v>
      </c>
      <c r="T1636" s="146">
        <f>IF(Purchase[[#This Row],[Status]]="Cancelled",0,Purchase[[#This Row],[Total Amount]])</f>
        <v>906564.5</v>
      </c>
      <c r="U1636" s="146">
        <f>SUM(Purchase[Net Amount])</f>
        <v>814985438.68000126</v>
      </c>
    </row>
    <row r="1637" spans="1:21" ht="19.5" thickBot="1" x14ac:dyDescent="0.3">
      <c r="A1637" s="136" t="s">
        <v>2691</v>
      </c>
      <c r="B1637" s="137">
        <v>45737</v>
      </c>
      <c r="C1637" s="138" t="s">
        <v>589</v>
      </c>
      <c r="D1637" s="138" t="str">
        <f>VLOOKUP(Purchase[[#This Row],[Supplier ID]],Supplier[#All],2,0)</f>
        <v>Maa Computers</v>
      </c>
      <c r="E1637" s="138">
        <f>VLOOKUP(Purchase[[#This Row],[Supplier ID]],Supplier[#All],3,0)</f>
        <v>9689542473</v>
      </c>
      <c r="F1637" s="138" t="str">
        <f>VLOOKUP(Purchase[[#This Row],[Supplier ID]],Supplier[#All],4,0)</f>
        <v>Kanpur</v>
      </c>
      <c r="G1637" s="138" t="str">
        <f>VLOOKUP(Purchase[[#This Row],[Supplier ID]],Supplier[#All],5,0)</f>
        <v>UP</v>
      </c>
      <c r="H1637" s="138" t="str">
        <f>VLOOKUP(Purchase[[#This Row],[Supplier ID]],Supplier[#All],6,0)</f>
        <v>GST2154521T035</v>
      </c>
      <c r="I1637" s="138" t="s">
        <v>28</v>
      </c>
      <c r="J1637" s="139">
        <v>27</v>
      </c>
      <c r="K1637" s="143">
        <f>VLOOKUP(Purchase[[#This Row],[Product ID]],Product[#All],6,0)</f>
        <v>68618</v>
      </c>
      <c r="L1637" s="143">
        <f>Purchase[[#This Row],[Purchase Rate]]*Purchase[[#This Row],[Qty]]</f>
        <v>1852686</v>
      </c>
      <c r="M1637" s="140">
        <v>0</v>
      </c>
      <c r="N1637" s="143">
        <v>0</v>
      </c>
      <c r="O1637" s="140">
        <v>0.18</v>
      </c>
      <c r="P1637" s="145">
        <f>(Purchase[[#This Row],[Gross Amount]]-Purchase[[#This Row],[Disct %]])*Purchase[[#This Row],[GST %]]</f>
        <v>333483.48</v>
      </c>
      <c r="Q1637" s="145">
        <f>Purchase[[#This Row],[Gross Amount]]-Purchase[[#This Row],[Disct Amnt]]+Purchase[[#This Row],[GST Amount]]</f>
        <v>2186169.48</v>
      </c>
      <c r="R1637" s="138" t="s">
        <v>1019</v>
      </c>
      <c r="S1637" s="41">
        <f>IF(Purchase[[#This Row],[Status]]="Cancelled",0,Purchase[[#This Row],[Qty]])</f>
        <v>27</v>
      </c>
      <c r="T1637" s="146">
        <f>IF(Purchase[[#This Row],[Status]]="Cancelled",0,Purchase[[#This Row],[Total Amount]])</f>
        <v>2186169.48</v>
      </c>
      <c r="U1637" s="146">
        <f>SUM(Purchase[Net Amount])</f>
        <v>814985438.68000126</v>
      </c>
    </row>
    <row r="1638" spans="1:21" ht="19.5" thickBot="1" x14ac:dyDescent="0.3">
      <c r="A1638" s="136" t="s">
        <v>2692</v>
      </c>
      <c r="B1638" s="137">
        <v>45737</v>
      </c>
      <c r="C1638" s="138" t="s">
        <v>589</v>
      </c>
      <c r="D1638" s="138" t="str">
        <f>VLOOKUP(Purchase[[#This Row],[Supplier ID]],Supplier[#All],2,0)</f>
        <v>Maa Computers</v>
      </c>
      <c r="E1638" s="138">
        <f>VLOOKUP(Purchase[[#This Row],[Supplier ID]],Supplier[#All],3,0)</f>
        <v>9689542473</v>
      </c>
      <c r="F1638" s="138" t="str">
        <f>VLOOKUP(Purchase[[#This Row],[Supplier ID]],Supplier[#All],4,0)</f>
        <v>Kanpur</v>
      </c>
      <c r="G1638" s="138" t="str">
        <f>VLOOKUP(Purchase[[#This Row],[Supplier ID]],Supplier[#All],5,0)</f>
        <v>UP</v>
      </c>
      <c r="H1638" s="138" t="str">
        <f>VLOOKUP(Purchase[[#This Row],[Supplier ID]],Supplier[#All],6,0)</f>
        <v>GST2154521T035</v>
      </c>
      <c r="I1638" s="138" t="s">
        <v>370</v>
      </c>
      <c r="J1638" s="139">
        <v>27</v>
      </c>
      <c r="K1638" s="143">
        <f>VLOOKUP(Purchase[[#This Row],[Product ID]],Product[#All],6,0)</f>
        <v>19276</v>
      </c>
      <c r="L1638" s="143">
        <f>Purchase[[#This Row],[Purchase Rate]]*Purchase[[#This Row],[Qty]]</f>
        <v>520452</v>
      </c>
      <c r="M1638" s="140">
        <v>0</v>
      </c>
      <c r="N1638" s="143">
        <v>0</v>
      </c>
      <c r="O1638" s="140">
        <v>0.18</v>
      </c>
      <c r="P1638" s="145">
        <f>(Purchase[[#This Row],[Gross Amount]]-Purchase[[#This Row],[Disct %]])*Purchase[[#This Row],[GST %]]</f>
        <v>93681.36</v>
      </c>
      <c r="Q1638" s="145">
        <f>Purchase[[#This Row],[Gross Amount]]-Purchase[[#This Row],[Disct Amnt]]+Purchase[[#This Row],[GST Amount]]</f>
        <v>614133.36</v>
      </c>
      <c r="R1638" s="138" t="s">
        <v>1019</v>
      </c>
      <c r="S1638" s="41">
        <f>IF(Purchase[[#This Row],[Status]]="Cancelled",0,Purchase[[#This Row],[Qty]])</f>
        <v>27</v>
      </c>
      <c r="T1638" s="146">
        <f>IF(Purchase[[#This Row],[Status]]="Cancelled",0,Purchase[[#This Row],[Total Amount]])</f>
        <v>614133.36</v>
      </c>
      <c r="U1638" s="146">
        <f>SUM(Purchase[Net Amount])</f>
        <v>814985438.68000126</v>
      </c>
    </row>
    <row r="1639" spans="1:21" ht="19.5" thickBot="1" x14ac:dyDescent="0.3">
      <c r="A1639" s="136" t="s">
        <v>2693</v>
      </c>
      <c r="B1639" s="137">
        <v>45737</v>
      </c>
      <c r="C1639" s="138" t="s">
        <v>597</v>
      </c>
      <c r="D1639" s="138" t="str">
        <f>VLOOKUP(Purchase[[#This Row],[Supplier ID]],Supplier[#All],2,0)</f>
        <v>Tech Traders</v>
      </c>
      <c r="E1639" s="138">
        <f>VLOOKUP(Purchase[[#This Row],[Supplier ID]],Supplier[#All],3,0)</f>
        <v>9689542480</v>
      </c>
      <c r="F1639" s="138" t="str">
        <f>VLOOKUP(Purchase[[#This Row],[Supplier ID]],Supplier[#All],4,0)</f>
        <v>Kanpur</v>
      </c>
      <c r="G1639" s="138" t="str">
        <f>VLOOKUP(Purchase[[#This Row],[Supplier ID]],Supplier[#All],5,0)</f>
        <v>UP</v>
      </c>
      <c r="H1639" s="138" t="str">
        <f>VLOOKUP(Purchase[[#This Row],[Supplier ID]],Supplier[#All],6,0)</f>
        <v>GST2154521T042</v>
      </c>
      <c r="I1639" s="138" t="s">
        <v>192</v>
      </c>
      <c r="J1639" s="139">
        <v>33</v>
      </c>
      <c r="K1639" s="143">
        <f>VLOOKUP(Purchase[[#This Row],[Product ID]],Product[#All],6,0)</f>
        <v>50201</v>
      </c>
      <c r="L1639" s="143">
        <f>Purchase[[#This Row],[Purchase Rate]]*Purchase[[#This Row],[Qty]]</f>
        <v>1656633</v>
      </c>
      <c r="M1639" s="140">
        <v>0</v>
      </c>
      <c r="N1639" s="143">
        <v>0</v>
      </c>
      <c r="O1639" s="140">
        <v>0.18</v>
      </c>
      <c r="P1639" s="145">
        <f>(Purchase[[#This Row],[Gross Amount]]-Purchase[[#This Row],[Disct %]])*Purchase[[#This Row],[GST %]]</f>
        <v>298193.94</v>
      </c>
      <c r="Q1639" s="145">
        <f>Purchase[[#This Row],[Gross Amount]]-Purchase[[#This Row],[Disct Amnt]]+Purchase[[#This Row],[GST Amount]]</f>
        <v>1954826.94</v>
      </c>
      <c r="R1639" s="138" t="s">
        <v>1019</v>
      </c>
      <c r="S1639" s="41">
        <f>IF(Purchase[[#This Row],[Status]]="Cancelled",0,Purchase[[#This Row],[Qty]])</f>
        <v>33</v>
      </c>
      <c r="T1639" s="146">
        <f>IF(Purchase[[#This Row],[Status]]="Cancelled",0,Purchase[[#This Row],[Total Amount]])</f>
        <v>1954826.94</v>
      </c>
      <c r="U1639" s="146">
        <f>SUM(Purchase[Net Amount])</f>
        <v>814985438.68000126</v>
      </c>
    </row>
    <row r="1640" spans="1:21" ht="19.5" thickBot="1" x14ac:dyDescent="0.3">
      <c r="A1640" s="136" t="s">
        <v>2694</v>
      </c>
      <c r="B1640" s="137">
        <v>45737</v>
      </c>
      <c r="C1640" s="138" t="s">
        <v>573</v>
      </c>
      <c r="D1640" s="138" t="str">
        <f>VLOOKUP(Purchase[[#This Row],[Supplier ID]],Supplier[#All],2,0)</f>
        <v>Shree Traders</v>
      </c>
      <c r="E1640" s="138">
        <f>VLOOKUP(Purchase[[#This Row],[Supplier ID]],Supplier[#All],3,0)</f>
        <v>9689542458</v>
      </c>
      <c r="F1640" s="138" t="str">
        <f>VLOOKUP(Purchase[[#This Row],[Supplier ID]],Supplier[#All],4,0)</f>
        <v>Korba</v>
      </c>
      <c r="G1640" s="138" t="str">
        <f>VLOOKUP(Purchase[[#This Row],[Supplier ID]],Supplier[#All],5,0)</f>
        <v>CG</v>
      </c>
      <c r="H1640" s="138" t="str">
        <f>VLOOKUP(Purchase[[#This Row],[Supplier ID]],Supplier[#All],6,0)</f>
        <v>GST2154521T020</v>
      </c>
      <c r="I1640" s="138" t="s">
        <v>539</v>
      </c>
      <c r="J1640" s="139">
        <v>36</v>
      </c>
      <c r="K1640" s="143">
        <f>VLOOKUP(Purchase[[#This Row],[Product ID]],Product[#All],6,0)</f>
        <v>21269</v>
      </c>
      <c r="L1640" s="143">
        <f>Purchase[[#This Row],[Purchase Rate]]*Purchase[[#This Row],[Qty]]</f>
        <v>765684</v>
      </c>
      <c r="M1640" s="140">
        <v>0</v>
      </c>
      <c r="N1640" s="143">
        <v>0</v>
      </c>
      <c r="O1640" s="140">
        <v>0.18</v>
      </c>
      <c r="P1640" s="145">
        <f>(Purchase[[#This Row],[Gross Amount]]-Purchase[[#This Row],[Disct %]])*Purchase[[#This Row],[GST %]]</f>
        <v>137823.12</v>
      </c>
      <c r="Q1640" s="145">
        <f>Purchase[[#This Row],[Gross Amount]]-Purchase[[#This Row],[Disct Amnt]]+Purchase[[#This Row],[GST Amount]]</f>
        <v>903507.12</v>
      </c>
      <c r="R1640" s="138" t="s">
        <v>1019</v>
      </c>
      <c r="S1640" s="41">
        <f>IF(Purchase[[#This Row],[Status]]="Cancelled",0,Purchase[[#This Row],[Qty]])</f>
        <v>36</v>
      </c>
      <c r="T1640" s="146">
        <f>IF(Purchase[[#This Row],[Status]]="Cancelled",0,Purchase[[#This Row],[Total Amount]])</f>
        <v>903507.12</v>
      </c>
      <c r="U1640" s="146">
        <f>SUM(Purchase[Net Amount])</f>
        <v>814985438.68000126</v>
      </c>
    </row>
    <row r="1641" spans="1:21" ht="19.5" thickBot="1" x14ac:dyDescent="0.3">
      <c r="A1641" s="136" t="s">
        <v>2695</v>
      </c>
      <c r="B1641" s="137">
        <v>45737</v>
      </c>
      <c r="C1641" s="138" t="s">
        <v>581</v>
      </c>
      <c r="D1641" s="138" t="str">
        <f>VLOOKUP(Purchase[[#This Row],[Supplier ID]],Supplier[#All],2,0)</f>
        <v>Prime Electronics</v>
      </c>
      <c r="E1641" s="138">
        <f>VLOOKUP(Purchase[[#This Row],[Supplier ID]],Supplier[#All],3,0)</f>
        <v>9689542465</v>
      </c>
      <c r="F1641" s="138" t="str">
        <f>VLOOKUP(Purchase[[#This Row],[Supplier ID]],Supplier[#All],4,0)</f>
        <v>Korba</v>
      </c>
      <c r="G1641" s="138" t="str">
        <f>VLOOKUP(Purchase[[#This Row],[Supplier ID]],Supplier[#All],5,0)</f>
        <v>CG</v>
      </c>
      <c r="H1641" s="138" t="str">
        <f>VLOOKUP(Purchase[[#This Row],[Supplier ID]],Supplier[#All],6,0)</f>
        <v>GST2154521T027</v>
      </c>
      <c r="I1641" s="138" t="s">
        <v>223</v>
      </c>
      <c r="J1641" s="139">
        <v>2</v>
      </c>
      <c r="K1641" s="143">
        <f>VLOOKUP(Purchase[[#This Row],[Product ID]],Product[#All],6,0)</f>
        <v>8461</v>
      </c>
      <c r="L1641" s="143">
        <f>Purchase[[#This Row],[Purchase Rate]]*Purchase[[#This Row],[Qty]]</f>
        <v>16922</v>
      </c>
      <c r="M1641" s="140">
        <v>0</v>
      </c>
      <c r="N1641" s="143">
        <v>0</v>
      </c>
      <c r="O1641" s="140">
        <v>0.18</v>
      </c>
      <c r="P1641" s="145">
        <f>(Purchase[[#This Row],[Gross Amount]]-Purchase[[#This Row],[Disct %]])*Purchase[[#This Row],[GST %]]</f>
        <v>3045.96</v>
      </c>
      <c r="Q1641" s="145">
        <f>Purchase[[#This Row],[Gross Amount]]-Purchase[[#This Row],[Disct Amnt]]+Purchase[[#This Row],[GST Amount]]</f>
        <v>19967.96</v>
      </c>
      <c r="R1641" s="138" t="s">
        <v>1019</v>
      </c>
      <c r="S1641" s="41">
        <f>IF(Purchase[[#This Row],[Status]]="Cancelled",0,Purchase[[#This Row],[Qty]])</f>
        <v>2</v>
      </c>
      <c r="T1641" s="146">
        <f>IF(Purchase[[#This Row],[Status]]="Cancelled",0,Purchase[[#This Row],[Total Amount]])</f>
        <v>19967.96</v>
      </c>
      <c r="U1641" s="146">
        <f>SUM(Purchase[Net Amount])</f>
        <v>814985438.68000126</v>
      </c>
    </row>
    <row r="1642" spans="1:21" ht="19.5" thickBot="1" x14ac:dyDescent="0.3">
      <c r="A1642" s="136" t="s">
        <v>2696</v>
      </c>
      <c r="B1642" s="137">
        <v>45737</v>
      </c>
      <c r="C1642" s="138" t="s">
        <v>593</v>
      </c>
      <c r="D1642" s="138" t="str">
        <f>VLOOKUP(Purchase[[#This Row],[Supplier ID]],Supplier[#All],2,0)</f>
        <v>Global Suppliers</v>
      </c>
      <c r="E1642" s="138">
        <f>VLOOKUP(Purchase[[#This Row],[Supplier ID]],Supplier[#All],3,0)</f>
        <v>9689542476</v>
      </c>
      <c r="F1642" s="138" t="str">
        <f>VLOOKUP(Purchase[[#This Row],[Supplier ID]],Supplier[#All],4,0)</f>
        <v>Korba</v>
      </c>
      <c r="G1642" s="138" t="str">
        <f>VLOOKUP(Purchase[[#This Row],[Supplier ID]],Supplier[#All],5,0)</f>
        <v>CG</v>
      </c>
      <c r="H1642" s="138" t="str">
        <f>VLOOKUP(Purchase[[#This Row],[Supplier ID]],Supplier[#All],6,0)</f>
        <v>GST2154521T038</v>
      </c>
      <c r="I1642" s="138" t="s">
        <v>535</v>
      </c>
      <c r="J1642" s="139">
        <v>35</v>
      </c>
      <c r="K1642" s="143">
        <f>VLOOKUP(Purchase[[#This Row],[Product ID]],Product[#All],6,0)</f>
        <v>679</v>
      </c>
      <c r="L1642" s="143">
        <f>Purchase[[#This Row],[Purchase Rate]]*Purchase[[#This Row],[Qty]]</f>
        <v>23765</v>
      </c>
      <c r="M1642" s="140">
        <v>0</v>
      </c>
      <c r="N1642" s="143">
        <v>0</v>
      </c>
      <c r="O1642" s="140">
        <v>0.18</v>
      </c>
      <c r="P1642" s="145">
        <f>(Purchase[[#This Row],[Gross Amount]]-Purchase[[#This Row],[Disct %]])*Purchase[[#This Row],[GST %]]</f>
        <v>4277.7</v>
      </c>
      <c r="Q1642" s="145">
        <f>Purchase[[#This Row],[Gross Amount]]-Purchase[[#This Row],[Disct Amnt]]+Purchase[[#This Row],[GST Amount]]</f>
        <v>28042.7</v>
      </c>
      <c r="R1642" s="138" t="s">
        <v>1019</v>
      </c>
      <c r="S1642" s="41">
        <f>IF(Purchase[[#This Row],[Status]]="Cancelled",0,Purchase[[#This Row],[Qty]])</f>
        <v>35</v>
      </c>
      <c r="T1642" s="146">
        <f>IF(Purchase[[#This Row],[Status]]="Cancelled",0,Purchase[[#This Row],[Total Amount]])</f>
        <v>28042.7</v>
      </c>
      <c r="U1642" s="146">
        <f>SUM(Purchase[Net Amount])</f>
        <v>814985438.68000126</v>
      </c>
    </row>
    <row r="1643" spans="1:21" ht="19.5" thickBot="1" x14ac:dyDescent="0.3">
      <c r="A1643" s="136" t="s">
        <v>2697</v>
      </c>
      <c r="B1643" s="137">
        <v>45737</v>
      </c>
      <c r="C1643" s="138" t="s">
        <v>614</v>
      </c>
      <c r="D1643" s="138" t="str">
        <f>VLOOKUP(Purchase[[#This Row],[Supplier ID]],Supplier[#All],2,0)</f>
        <v>National Electronics</v>
      </c>
      <c r="E1643" s="138">
        <f>VLOOKUP(Purchase[[#This Row],[Supplier ID]],Supplier[#All],3,0)</f>
        <v>9689542497</v>
      </c>
      <c r="F1643" s="138" t="str">
        <f>VLOOKUP(Purchase[[#This Row],[Supplier ID]],Supplier[#All],4,0)</f>
        <v>Kanpur</v>
      </c>
      <c r="G1643" s="138" t="str">
        <f>VLOOKUP(Purchase[[#This Row],[Supplier ID]],Supplier[#All],5,0)</f>
        <v>UP</v>
      </c>
      <c r="H1643" s="138" t="str">
        <f>VLOOKUP(Purchase[[#This Row],[Supplier ID]],Supplier[#All],6,0)</f>
        <v>GST2154521T059</v>
      </c>
      <c r="I1643" s="138" t="s">
        <v>258</v>
      </c>
      <c r="J1643" s="139">
        <v>20</v>
      </c>
      <c r="K1643" s="143">
        <f>VLOOKUP(Purchase[[#This Row],[Product ID]],Product[#All],6,0)</f>
        <v>1957</v>
      </c>
      <c r="L1643" s="143">
        <f>Purchase[[#This Row],[Purchase Rate]]*Purchase[[#This Row],[Qty]]</f>
        <v>39140</v>
      </c>
      <c r="M1643" s="140">
        <v>0</v>
      </c>
      <c r="N1643" s="143">
        <v>0</v>
      </c>
      <c r="O1643" s="140">
        <v>0.18</v>
      </c>
      <c r="P1643" s="145">
        <f>(Purchase[[#This Row],[Gross Amount]]-Purchase[[#This Row],[Disct %]])*Purchase[[#This Row],[GST %]]</f>
        <v>7045.2</v>
      </c>
      <c r="Q1643" s="145">
        <f>Purchase[[#This Row],[Gross Amount]]-Purchase[[#This Row],[Disct Amnt]]+Purchase[[#This Row],[GST Amount]]</f>
        <v>46185.2</v>
      </c>
      <c r="R1643" s="138" t="s">
        <v>1019</v>
      </c>
      <c r="S1643" s="41">
        <f>IF(Purchase[[#This Row],[Status]]="Cancelled",0,Purchase[[#This Row],[Qty]])</f>
        <v>20</v>
      </c>
      <c r="T1643" s="146">
        <f>IF(Purchase[[#This Row],[Status]]="Cancelled",0,Purchase[[#This Row],[Total Amount]])</f>
        <v>46185.2</v>
      </c>
      <c r="U1643" s="146">
        <f>SUM(Purchase[Net Amount])</f>
        <v>814985438.68000126</v>
      </c>
    </row>
    <row r="1644" spans="1:21" ht="19.5" thickBot="1" x14ac:dyDescent="0.3">
      <c r="A1644" s="136" t="s">
        <v>2698</v>
      </c>
      <c r="B1644" s="137">
        <v>45737</v>
      </c>
      <c r="C1644" s="138" t="s">
        <v>611</v>
      </c>
      <c r="D1644" s="138" t="str">
        <f>VLOOKUP(Purchase[[#This Row],[Supplier ID]],Supplier[#All],2,0)</f>
        <v>National Distributors</v>
      </c>
      <c r="E1644" s="138">
        <f>VLOOKUP(Purchase[[#This Row],[Supplier ID]],Supplier[#All],3,0)</f>
        <v>9689542494</v>
      </c>
      <c r="F1644" s="138" t="str">
        <f>VLOOKUP(Purchase[[#This Row],[Supplier ID]],Supplier[#All],4,0)</f>
        <v>Korba</v>
      </c>
      <c r="G1644" s="138" t="str">
        <f>VLOOKUP(Purchase[[#This Row],[Supplier ID]],Supplier[#All],5,0)</f>
        <v>CG</v>
      </c>
      <c r="H1644" s="138" t="str">
        <f>VLOOKUP(Purchase[[#This Row],[Supplier ID]],Supplier[#All],6,0)</f>
        <v>GST2154521T056</v>
      </c>
      <c r="I1644" s="138" t="s">
        <v>318</v>
      </c>
      <c r="J1644" s="139">
        <v>11</v>
      </c>
      <c r="K1644" s="143">
        <f>VLOOKUP(Purchase[[#This Row],[Product ID]],Product[#All],6,0)</f>
        <v>24445</v>
      </c>
      <c r="L1644" s="143">
        <f>Purchase[[#This Row],[Purchase Rate]]*Purchase[[#This Row],[Qty]]</f>
        <v>268895</v>
      </c>
      <c r="M1644" s="140">
        <v>0</v>
      </c>
      <c r="N1644" s="143">
        <v>0</v>
      </c>
      <c r="O1644" s="140">
        <v>0.18</v>
      </c>
      <c r="P1644" s="145">
        <f>(Purchase[[#This Row],[Gross Amount]]-Purchase[[#This Row],[Disct %]])*Purchase[[#This Row],[GST %]]</f>
        <v>48401.1</v>
      </c>
      <c r="Q1644" s="145">
        <f>Purchase[[#This Row],[Gross Amount]]-Purchase[[#This Row],[Disct Amnt]]+Purchase[[#This Row],[GST Amount]]</f>
        <v>317296.09999999998</v>
      </c>
      <c r="R1644" s="138" t="s">
        <v>1019</v>
      </c>
      <c r="S1644" s="41">
        <f>IF(Purchase[[#This Row],[Status]]="Cancelled",0,Purchase[[#This Row],[Qty]])</f>
        <v>11</v>
      </c>
      <c r="T1644" s="146">
        <f>IF(Purchase[[#This Row],[Status]]="Cancelled",0,Purchase[[#This Row],[Total Amount]])</f>
        <v>317296.09999999998</v>
      </c>
      <c r="U1644" s="146">
        <f>SUM(Purchase[Net Amount])</f>
        <v>814985438.68000126</v>
      </c>
    </row>
    <row r="1645" spans="1:21" ht="19.5" thickBot="1" x14ac:dyDescent="0.3">
      <c r="A1645" s="136" t="s">
        <v>2699</v>
      </c>
      <c r="B1645" s="137">
        <v>45737</v>
      </c>
      <c r="C1645" s="138" t="s">
        <v>564</v>
      </c>
      <c r="D1645" s="138" t="str">
        <f>VLOOKUP(Purchase[[#This Row],[Supplier ID]],Supplier[#All],2,0)</f>
        <v xml:space="preserve">Star Electronics </v>
      </c>
      <c r="E1645" s="138">
        <f>VLOOKUP(Purchase[[#This Row],[Supplier ID]],Supplier[#All],3,0)</f>
        <v>9689542450</v>
      </c>
      <c r="F1645" s="138" t="str">
        <f>VLOOKUP(Purchase[[#This Row],[Supplier ID]],Supplier[#All],4,0)</f>
        <v>Korba</v>
      </c>
      <c r="G1645" s="138" t="str">
        <f>VLOOKUP(Purchase[[#This Row],[Supplier ID]],Supplier[#All],5,0)</f>
        <v>CG</v>
      </c>
      <c r="H1645" s="138" t="str">
        <f>VLOOKUP(Purchase[[#This Row],[Supplier ID]],Supplier[#All],6,0)</f>
        <v>GST2154521T012</v>
      </c>
      <c r="I1645" s="138" t="s">
        <v>274</v>
      </c>
      <c r="J1645" s="139">
        <v>10</v>
      </c>
      <c r="K1645" s="143">
        <f>VLOOKUP(Purchase[[#This Row],[Product ID]],Product[#All],6,0)</f>
        <v>48641</v>
      </c>
      <c r="L1645" s="143">
        <f>Purchase[[#This Row],[Purchase Rate]]*Purchase[[#This Row],[Qty]]</f>
        <v>486410</v>
      </c>
      <c r="M1645" s="140">
        <v>0</v>
      </c>
      <c r="N1645" s="143">
        <v>0</v>
      </c>
      <c r="O1645" s="140">
        <v>0.18</v>
      </c>
      <c r="P1645" s="145">
        <f>(Purchase[[#This Row],[Gross Amount]]-Purchase[[#This Row],[Disct %]])*Purchase[[#This Row],[GST %]]</f>
        <v>87553.8</v>
      </c>
      <c r="Q1645" s="145">
        <f>Purchase[[#This Row],[Gross Amount]]-Purchase[[#This Row],[Disct Amnt]]+Purchase[[#This Row],[GST Amount]]</f>
        <v>573963.80000000005</v>
      </c>
      <c r="R1645" s="138" t="s">
        <v>1019</v>
      </c>
      <c r="S1645" s="41">
        <f>IF(Purchase[[#This Row],[Status]]="Cancelled",0,Purchase[[#This Row],[Qty]])</f>
        <v>10</v>
      </c>
      <c r="T1645" s="146">
        <f>IF(Purchase[[#This Row],[Status]]="Cancelled",0,Purchase[[#This Row],[Total Amount]])</f>
        <v>573963.80000000005</v>
      </c>
      <c r="U1645" s="146">
        <f>SUM(Purchase[Net Amount])</f>
        <v>814985438.68000126</v>
      </c>
    </row>
    <row r="1646" spans="1:21" ht="19.5" thickBot="1" x14ac:dyDescent="0.3">
      <c r="A1646" s="136" t="s">
        <v>2700</v>
      </c>
      <c r="B1646" s="137">
        <v>45737</v>
      </c>
      <c r="C1646" s="138" t="s">
        <v>607</v>
      </c>
      <c r="D1646" s="138" t="str">
        <f>VLOOKUP(Purchase[[#This Row],[Supplier ID]],Supplier[#All],2,0)</f>
        <v>Global Distributors</v>
      </c>
      <c r="E1646" s="138">
        <f>VLOOKUP(Purchase[[#This Row],[Supplier ID]],Supplier[#All],3,0)</f>
        <v>9689542490</v>
      </c>
      <c r="F1646" s="138" t="str">
        <f>VLOOKUP(Purchase[[#This Row],[Supplier ID]],Supplier[#All],4,0)</f>
        <v>Kanpur</v>
      </c>
      <c r="G1646" s="138" t="str">
        <f>VLOOKUP(Purchase[[#This Row],[Supplier ID]],Supplier[#All],5,0)</f>
        <v>UP</v>
      </c>
      <c r="H1646" s="138" t="str">
        <f>VLOOKUP(Purchase[[#This Row],[Supplier ID]],Supplier[#All],6,0)</f>
        <v>GST2154521T052</v>
      </c>
      <c r="I1646" s="138" t="s">
        <v>15</v>
      </c>
      <c r="J1646" s="139">
        <v>40</v>
      </c>
      <c r="K1646" s="143">
        <f>VLOOKUP(Purchase[[#This Row],[Product ID]],Product[#All],6,0)</f>
        <v>3688</v>
      </c>
      <c r="L1646" s="143">
        <f>Purchase[[#This Row],[Purchase Rate]]*Purchase[[#This Row],[Qty]]</f>
        <v>147520</v>
      </c>
      <c r="M1646" s="140">
        <v>0</v>
      </c>
      <c r="N1646" s="143">
        <v>0</v>
      </c>
      <c r="O1646" s="140">
        <v>0.18</v>
      </c>
      <c r="P1646" s="145">
        <f>(Purchase[[#This Row],[Gross Amount]]-Purchase[[#This Row],[Disct %]])*Purchase[[#This Row],[GST %]]</f>
        <v>26553.599999999999</v>
      </c>
      <c r="Q1646" s="145">
        <f>Purchase[[#This Row],[Gross Amount]]-Purchase[[#This Row],[Disct Amnt]]+Purchase[[#This Row],[GST Amount]]</f>
        <v>174073.60000000001</v>
      </c>
      <c r="R1646" s="138" t="s">
        <v>1019</v>
      </c>
      <c r="S1646" s="41">
        <f>IF(Purchase[[#This Row],[Status]]="Cancelled",0,Purchase[[#This Row],[Qty]])</f>
        <v>40</v>
      </c>
      <c r="T1646" s="146">
        <f>IF(Purchase[[#This Row],[Status]]="Cancelled",0,Purchase[[#This Row],[Total Amount]])</f>
        <v>174073.60000000001</v>
      </c>
      <c r="U1646" s="146">
        <f>SUM(Purchase[Net Amount])</f>
        <v>814985438.68000126</v>
      </c>
    </row>
    <row r="1647" spans="1:21" ht="19.5" thickBot="1" x14ac:dyDescent="0.3">
      <c r="A1647" s="136" t="s">
        <v>2701</v>
      </c>
      <c r="B1647" s="137">
        <v>45737</v>
      </c>
      <c r="C1647" s="138" t="s">
        <v>588</v>
      </c>
      <c r="D1647" s="138" t="str">
        <f>VLOOKUP(Purchase[[#This Row],[Supplier ID]],Supplier[#All],2,0)</f>
        <v>Star Electronics</v>
      </c>
      <c r="E1647" s="138">
        <f>VLOOKUP(Purchase[[#This Row],[Supplier ID]],Supplier[#All],3,0)</f>
        <v>9689542472</v>
      </c>
      <c r="F1647" s="138" t="str">
        <f>VLOOKUP(Purchase[[#This Row],[Supplier ID]],Supplier[#All],4,0)</f>
        <v>Korba</v>
      </c>
      <c r="G1647" s="138" t="str">
        <f>VLOOKUP(Purchase[[#This Row],[Supplier ID]],Supplier[#All],5,0)</f>
        <v>CG</v>
      </c>
      <c r="H1647" s="138" t="str">
        <f>VLOOKUP(Purchase[[#This Row],[Supplier ID]],Supplier[#All],6,0)</f>
        <v>GST2154521T034</v>
      </c>
      <c r="I1647" s="138" t="s">
        <v>131</v>
      </c>
      <c r="J1647" s="139">
        <v>36</v>
      </c>
      <c r="K1647" s="143">
        <f>VLOOKUP(Purchase[[#This Row],[Product ID]],Product[#All],6,0)</f>
        <v>2019</v>
      </c>
      <c r="L1647" s="143">
        <f>Purchase[[#This Row],[Purchase Rate]]*Purchase[[#This Row],[Qty]]</f>
        <v>72684</v>
      </c>
      <c r="M1647" s="140">
        <v>0</v>
      </c>
      <c r="N1647" s="143">
        <v>0</v>
      </c>
      <c r="O1647" s="140">
        <v>0.18</v>
      </c>
      <c r="P1647" s="145">
        <f>(Purchase[[#This Row],[Gross Amount]]-Purchase[[#This Row],[Disct %]])*Purchase[[#This Row],[GST %]]</f>
        <v>13083.119999999999</v>
      </c>
      <c r="Q1647" s="145">
        <f>Purchase[[#This Row],[Gross Amount]]-Purchase[[#This Row],[Disct Amnt]]+Purchase[[#This Row],[GST Amount]]</f>
        <v>85767.12</v>
      </c>
      <c r="R1647" s="138" t="s">
        <v>1019</v>
      </c>
      <c r="S1647" s="41">
        <f>IF(Purchase[[#This Row],[Status]]="Cancelled",0,Purchase[[#This Row],[Qty]])</f>
        <v>36</v>
      </c>
      <c r="T1647" s="146">
        <f>IF(Purchase[[#This Row],[Status]]="Cancelled",0,Purchase[[#This Row],[Total Amount]])</f>
        <v>85767.12</v>
      </c>
      <c r="U1647" s="146">
        <f>SUM(Purchase[Net Amount])</f>
        <v>814985438.68000126</v>
      </c>
    </row>
    <row r="1648" spans="1:21" ht="19.5" thickBot="1" x14ac:dyDescent="0.3">
      <c r="A1648" s="136" t="s">
        <v>2702</v>
      </c>
      <c r="B1648" s="137">
        <v>45737</v>
      </c>
      <c r="C1648" s="138" t="s">
        <v>594</v>
      </c>
      <c r="D1648" s="138" t="str">
        <f>VLOOKUP(Purchase[[#This Row],[Supplier ID]],Supplier[#All],2,0)</f>
        <v>Shree Suppliers</v>
      </c>
      <c r="E1648" s="138">
        <f>VLOOKUP(Purchase[[#This Row],[Supplier ID]],Supplier[#All],3,0)</f>
        <v>9689542477</v>
      </c>
      <c r="F1648" s="138" t="str">
        <f>VLOOKUP(Purchase[[#This Row],[Supplier ID]],Supplier[#All],4,0)</f>
        <v>Indore</v>
      </c>
      <c r="G1648" s="138" t="str">
        <f>VLOOKUP(Purchase[[#This Row],[Supplier ID]],Supplier[#All],5,0)</f>
        <v>MP</v>
      </c>
      <c r="H1648" s="138" t="str">
        <f>VLOOKUP(Purchase[[#This Row],[Supplier ID]],Supplier[#All],6,0)</f>
        <v>GST2154521T039</v>
      </c>
      <c r="I1648" s="138" t="s">
        <v>10</v>
      </c>
      <c r="J1648" s="139">
        <v>13</v>
      </c>
      <c r="K1648" s="143">
        <f>VLOOKUP(Purchase[[#This Row],[Product ID]],Product[#All],6,0)</f>
        <v>15190</v>
      </c>
      <c r="L1648" s="143">
        <f>Purchase[[#This Row],[Purchase Rate]]*Purchase[[#This Row],[Qty]]</f>
        <v>197470</v>
      </c>
      <c r="M1648" s="140">
        <v>0</v>
      </c>
      <c r="N1648" s="143">
        <v>0</v>
      </c>
      <c r="O1648" s="140">
        <v>0.18</v>
      </c>
      <c r="P1648" s="145">
        <f>(Purchase[[#This Row],[Gross Amount]]-Purchase[[#This Row],[Disct %]])*Purchase[[#This Row],[GST %]]</f>
        <v>35544.6</v>
      </c>
      <c r="Q1648" s="145">
        <f>Purchase[[#This Row],[Gross Amount]]-Purchase[[#This Row],[Disct Amnt]]+Purchase[[#This Row],[GST Amount]]</f>
        <v>233014.6</v>
      </c>
      <c r="R1648" s="138" t="s">
        <v>1019</v>
      </c>
      <c r="S1648" s="41">
        <f>IF(Purchase[[#This Row],[Status]]="Cancelled",0,Purchase[[#This Row],[Qty]])</f>
        <v>13</v>
      </c>
      <c r="T1648" s="146">
        <f>IF(Purchase[[#This Row],[Status]]="Cancelled",0,Purchase[[#This Row],[Total Amount]])</f>
        <v>233014.6</v>
      </c>
      <c r="U1648" s="146">
        <f>SUM(Purchase[Net Amount])</f>
        <v>814985438.68000126</v>
      </c>
    </row>
    <row r="1649" spans="1:21" ht="19.5" thickBot="1" x14ac:dyDescent="0.3">
      <c r="A1649" s="136" t="s">
        <v>2703</v>
      </c>
      <c r="B1649" s="137">
        <v>45737</v>
      </c>
      <c r="C1649" s="138" t="s">
        <v>567</v>
      </c>
      <c r="D1649" s="138" t="str">
        <f>VLOOKUP(Purchase[[#This Row],[Supplier ID]],Supplier[#All],2,0)</f>
        <v>National Distributors</v>
      </c>
      <c r="E1649" s="138">
        <f>VLOOKUP(Purchase[[#This Row],[Supplier ID]],Supplier[#All],3,0)</f>
        <v>9689542453</v>
      </c>
      <c r="F1649" s="138" t="str">
        <f>VLOOKUP(Purchase[[#This Row],[Supplier ID]],Supplier[#All],4,0)</f>
        <v>Korba</v>
      </c>
      <c r="G1649" s="138" t="str">
        <f>VLOOKUP(Purchase[[#This Row],[Supplier ID]],Supplier[#All],5,0)</f>
        <v>CG</v>
      </c>
      <c r="H1649" s="138" t="str">
        <f>VLOOKUP(Purchase[[#This Row],[Supplier ID]],Supplier[#All],6,0)</f>
        <v>GST2154521T015</v>
      </c>
      <c r="I1649" s="138" t="s">
        <v>478</v>
      </c>
      <c r="J1649" s="139">
        <v>24</v>
      </c>
      <c r="K1649" s="143">
        <f>VLOOKUP(Purchase[[#This Row],[Product ID]],Product[#All],6,0)</f>
        <v>4866</v>
      </c>
      <c r="L1649" s="143">
        <f>Purchase[[#This Row],[Purchase Rate]]*Purchase[[#This Row],[Qty]]</f>
        <v>116784</v>
      </c>
      <c r="M1649" s="140">
        <v>0</v>
      </c>
      <c r="N1649" s="143">
        <v>0</v>
      </c>
      <c r="O1649" s="140">
        <v>0.18</v>
      </c>
      <c r="P1649" s="145">
        <f>(Purchase[[#This Row],[Gross Amount]]-Purchase[[#This Row],[Disct %]])*Purchase[[#This Row],[GST %]]</f>
        <v>21021.119999999999</v>
      </c>
      <c r="Q1649" s="145">
        <f>Purchase[[#This Row],[Gross Amount]]-Purchase[[#This Row],[Disct Amnt]]+Purchase[[#This Row],[GST Amount]]</f>
        <v>137805.12</v>
      </c>
      <c r="R1649" s="138" t="s">
        <v>1019</v>
      </c>
      <c r="S1649" s="41">
        <f>IF(Purchase[[#This Row],[Status]]="Cancelled",0,Purchase[[#This Row],[Qty]])</f>
        <v>24</v>
      </c>
      <c r="T1649" s="146">
        <f>IF(Purchase[[#This Row],[Status]]="Cancelled",0,Purchase[[#This Row],[Total Amount]])</f>
        <v>137805.12</v>
      </c>
      <c r="U1649" s="146">
        <f>SUM(Purchase[Net Amount])</f>
        <v>814985438.68000126</v>
      </c>
    </row>
    <row r="1650" spans="1:21" ht="19.5" thickBot="1" x14ac:dyDescent="0.3">
      <c r="A1650" s="136" t="s">
        <v>2704</v>
      </c>
      <c r="B1650" s="137">
        <v>45737</v>
      </c>
      <c r="C1650" s="138" t="s">
        <v>602</v>
      </c>
      <c r="D1650" s="138" t="str">
        <f>VLOOKUP(Purchase[[#This Row],[Supplier ID]],Supplier[#All],2,0)</f>
        <v>Maa Computers</v>
      </c>
      <c r="E1650" s="138">
        <f>VLOOKUP(Purchase[[#This Row],[Supplier ID]],Supplier[#All],3,0)</f>
        <v>9689542485</v>
      </c>
      <c r="F1650" s="138" t="str">
        <f>VLOOKUP(Purchase[[#This Row],[Supplier ID]],Supplier[#All],4,0)</f>
        <v>Korba</v>
      </c>
      <c r="G1650" s="138" t="str">
        <f>VLOOKUP(Purchase[[#This Row],[Supplier ID]],Supplier[#All],5,0)</f>
        <v>CG</v>
      </c>
      <c r="H1650" s="138" t="str">
        <f>VLOOKUP(Purchase[[#This Row],[Supplier ID]],Supplier[#All],6,0)</f>
        <v>GST2154521T047</v>
      </c>
      <c r="I1650" s="138" t="s">
        <v>152</v>
      </c>
      <c r="J1650" s="139">
        <v>25</v>
      </c>
      <c r="K1650" s="143">
        <f>VLOOKUP(Purchase[[#This Row],[Product ID]],Product[#All],6,0)</f>
        <v>29602</v>
      </c>
      <c r="L1650" s="143">
        <f>Purchase[[#This Row],[Purchase Rate]]*Purchase[[#This Row],[Qty]]</f>
        <v>740050</v>
      </c>
      <c r="M1650" s="140">
        <v>0</v>
      </c>
      <c r="N1650" s="143">
        <v>0</v>
      </c>
      <c r="O1650" s="140">
        <v>0.18</v>
      </c>
      <c r="P1650" s="145">
        <f>(Purchase[[#This Row],[Gross Amount]]-Purchase[[#This Row],[Disct %]])*Purchase[[#This Row],[GST %]]</f>
        <v>133209</v>
      </c>
      <c r="Q1650" s="145">
        <f>Purchase[[#This Row],[Gross Amount]]-Purchase[[#This Row],[Disct Amnt]]+Purchase[[#This Row],[GST Amount]]</f>
        <v>873259</v>
      </c>
      <c r="R1650" s="138" t="s">
        <v>1019</v>
      </c>
      <c r="S1650" s="41">
        <f>IF(Purchase[[#This Row],[Status]]="Cancelled",0,Purchase[[#This Row],[Qty]])</f>
        <v>25</v>
      </c>
      <c r="T1650" s="146">
        <f>IF(Purchase[[#This Row],[Status]]="Cancelled",0,Purchase[[#This Row],[Total Amount]])</f>
        <v>873259</v>
      </c>
      <c r="U1650" s="146">
        <f>SUM(Purchase[Net Amount])</f>
        <v>814985438.68000126</v>
      </c>
    </row>
    <row r="1651" spans="1:21" ht="19.5" thickBot="1" x14ac:dyDescent="0.3">
      <c r="A1651" s="136" t="s">
        <v>2705</v>
      </c>
      <c r="B1651" s="137">
        <v>45737</v>
      </c>
      <c r="C1651" s="138" t="s">
        <v>565</v>
      </c>
      <c r="D1651" s="138" t="str">
        <f>VLOOKUP(Purchase[[#This Row],[Supplier ID]],Supplier[#All],2,0)</f>
        <v>Global Suppliers</v>
      </c>
      <c r="E1651" s="138">
        <f>VLOOKUP(Purchase[[#This Row],[Supplier ID]],Supplier[#All],3,0)</f>
        <v>9689542459</v>
      </c>
      <c r="F1651" s="138" t="str">
        <f>VLOOKUP(Purchase[[#This Row],[Supplier ID]],Supplier[#All],4,0)</f>
        <v>Indore</v>
      </c>
      <c r="G1651" s="138" t="str">
        <f>VLOOKUP(Purchase[[#This Row],[Supplier ID]],Supplier[#All],5,0)</f>
        <v>MP</v>
      </c>
      <c r="H1651" s="138" t="str">
        <f>VLOOKUP(Purchase[[#This Row],[Supplier ID]],Supplier[#All],6,0)</f>
        <v>GST2154521T013</v>
      </c>
      <c r="I1651" s="138" t="s">
        <v>113</v>
      </c>
      <c r="J1651" s="139">
        <v>31</v>
      </c>
      <c r="K1651" s="143">
        <f>VLOOKUP(Purchase[[#This Row],[Product ID]],Product[#All],6,0)</f>
        <v>72093</v>
      </c>
      <c r="L1651" s="143">
        <f>Purchase[[#This Row],[Purchase Rate]]*Purchase[[#This Row],[Qty]]</f>
        <v>2234883</v>
      </c>
      <c r="M1651" s="140">
        <v>0</v>
      </c>
      <c r="N1651" s="143">
        <v>0</v>
      </c>
      <c r="O1651" s="140">
        <v>0.18</v>
      </c>
      <c r="P1651" s="145">
        <f>(Purchase[[#This Row],[Gross Amount]]-Purchase[[#This Row],[Disct %]])*Purchase[[#This Row],[GST %]]</f>
        <v>402278.94</v>
      </c>
      <c r="Q1651" s="145">
        <f>Purchase[[#This Row],[Gross Amount]]-Purchase[[#This Row],[Disct Amnt]]+Purchase[[#This Row],[GST Amount]]</f>
        <v>2637161.94</v>
      </c>
      <c r="R1651" s="138" t="s">
        <v>1019</v>
      </c>
      <c r="S1651" s="41">
        <f>IF(Purchase[[#This Row],[Status]]="Cancelled",0,Purchase[[#This Row],[Qty]])</f>
        <v>31</v>
      </c>
      <c r="T1651" s="146">
        <f>IF(Purchase[[#This Row],[Status]]="Cancelled",0,Purchase[[#This Row],[Total Amount]])</f>
        <v>2637161.94</v>
      </c>
      <c r="U1651" s="146">
        <f>SUM(Purchase[Net Amount])</f>
        <v>814985438.68000126</v>
      </c>
    </row>
    <row r="1652" spans="1:21" ht="19.5" thickBot="1" x14ac:dyDescent="0.3">
      <c r="A1652" s="136" t="s">
        <v>2706</v>
      </c>
      <c r="B1652" s="137">
        <v>45738</v>
      </c>
      <c r="C1652" s="138" t="s">
        <v>578</v>
      </c>
      <c r="D1652" s="138" t="str">
        <f>VLOOKUP(Purchase[[#This Row],[Supplier ID]],Supplier[#All],2,0)</f>
        <v>Shree Computers</v>
      </c>
      <c r="E1652" s="138">
        <f>VLOOKUP(Purchase[[#This Row],[Supplier ID]],Supplier[#All],3,0)</f>
        <v>9689542462</v>
      </c>
      <c r="F1652" s="138" t="str">
        <f>VLOOKUP(Purchase[[#This Row],[Supplier ID]],Supplier[#All],4,0)</f>
        <v>Korba</v>
      </c>
      <c r="G1652" s="138" t="str">
        <f>VLOOKUP(Purchase[[#This Row],[Supplier ID]],Supplier[#All],5,0)</f>
        <v>CG</v>
      </c>
      <c r="H1652" s="138" t="str">
        <f>VLOOKUP(Purchase[[#This Row],[Supplier ID]],Supplier[#All],6,0)</f>
        <v>GST2154521T024</v>
      </c>
      <c r="I1652" s="138" t="s">
        <v>220</v>
      </c>
      <c r="J1652" s="139">
        <v>16</v>
      </c>
      <c r="K1652" s="143">
        <f>VLOOKUP(Purchase[[#This Row],[Product ID]],Product[#All],6,0)</f>
        <v>34163</v>
      </c>
      <c r="L1652" s="143">
        <f>Purchase[[#This Row],[Purchase Rate]]*Purchase[[#This Row],[Qty]]</f>
        <v>546608</v>
      </c>
      <c r="M1652" s="140">
        <v>0</v>
      </c>
      <c r="N1652" s="143">
        <v>0</v>
      </c>
      <c r="O1652" s="140">
        <v>0.18</v>
      </c>
      <c r="P1652" s="145">
        <f>(Purchase[[#This Row],[Gross Amount]]-Purchase[[#This Row],[Disct %]])*Purchase[[#This Row],[GST %]]</f>
        <v>98389.440000000002</v>
      </c>
      <c r="Q1652" s="145">
        <f>Purchase[[#This Row],[Gross Amount]]-Purchase[[#This Row],[Disct Amnt]]+Purchase[[#This Row],[GST Amount]]</f>
        <v>644997.43999999994</v>
      </c>
      <c r="R1652" s="138" t="s">
        <v>1019</v>
      </c>
      <c r="S1652" s="41">
        <f>IF(Purchase[[#This Row],[Status]]="Cancelled",0,Purchase[[#This Row],[Qty]])</f>
        <v>16</v>
      </c>
      <c r="T1652" s="146">
        <f>IF(Purchase[[#This Row],[Status]]="Cancelled",0,Purchase[[#This Row],[Total Amount]])</f>
        <v>644997.43999999994</v>
      </c>
      <c r="U1652" s="146">
        <f>SUM(Purchase[Net Amount])</f>
        <v>814985438.68000126</v>
      </c>
    </row>
    <row r="1653" spans="1:21" ht="19.5" thickBot="1" x14ac:dyDescent="0.3">
      <c r="A1653" s="136" t="s">
        <v>2707</v>
      </c>
      <c r="B1653" s="137">
        <v>45738</v>
      </c>
      <c r="C1653" s="138" t="s">
        <v>575</v>
      </c>
      <c r="D1653" s="138" t="str">
        <f>VLOOKUP(Purchase[[#This Row],[Supplier ID]],Supplier[#All],2,0)</f>
        <v>Global Computers</v>
      </c>
      <c r="E1653" s="138">
        <f>VLOOKUP(Purchase[[#This Row],[Supplier ID]],Supplier[#All],3,0)</f>
        <v>9689542459</v>
      </c>
      <c r="F1653" s="138" t="str">
        <f>VLOOKUP(Purchase[[#This Row],[Supplier ID]],Supplier[#All],4,0)</f>
        <v>Indore</v>
      </c>
      <c r="G1653" s="138" t="str">
        <f>VLOOKUP(Purchase[[#This Row],[Supplier ID]],Supplier[#All],5,0)</f>
        <v>MP</v>
      </c>
      <c r="H1653" s="138" t="str">
        <f>VLOOKUP(Purchase[[#This Row],[Supplier ID]],Supplier[#All],6,0)</f>
        <v>GST2154521T021</v>
      </c>
      <c r="I1653" s="138" t="s">
        <v>322</v>
      </c>
      <c r="J1653" s="139">
        <v>12</v>
      </c>
      <c r="K1653" s="143">
        <f>VLOOKUP(Purchase[[#This Row],[Product ID]],Product[#All],6,0)</f>
        <v>8005</v>
      </c>
      <c r="L1653" s="143">
        <f>Purchase[[#This Row],[Purchase Rate]]*Purchase[[#This Row],[Qty]]</f>
        <v>96060</v>
      </c>
      <c r="M1653" s="140">
        <v>0</v>
      </c>
      <c r="N1653" s="143">
        <v>0</v>
      </c>
      <c r="O1653" s="140">
        <v>0.18</v>
      </c>
      <c r="P1653" s="145">
        <f>(Purchase[[#This Row],[Gross Amount]]-Purchase[[#This Row],[Disct %]])*Purchase[[#This Row],[GST %]]</f>
        <v>17290.8</v>
      </c>
      <c r="Q1653" s="145">
        <f>Purchase[[#This Row],[Gross Amount]]-Purchase[[#This Row],[Disct Amnt]]+Purchase[[#This Row],[GST Amount]]</f>
        <v>113350.8</v>
      </c>
      <c r="R1653" s="138" t="s">
        <v>1019</v>
      </c>
      <c r="S1653" s="41">
        <f>IF(Purchase[[#This Row],[Status]]="Cancelled",0,Purchase[[#This Row],[Qty]])</f>
        <v>12</v>
      </c>
      <c r="T1653" s="146">
        <f>IF(Purchase[[#This Row],[Status]]="Cancelled",0,Purchase[[#This Row],[Total Amount]])</f>
        <v>113350.8</v>
      </c>
      <c r="U1653" s="146">
        <f>SUM(Purchase[Net Amount])</f>
        <v>814985438.68000126</v>
      </c>
    </row>
    <row r="1654" spans="1:21" ht="19.5" thickBot="1" x14ac:dyDescent="0.3">
      <c r="A1654" s="136" t="s">
        <v>2708</v>
      </c>
      <c r="B1654" s="137">
        <v>45738</v>
      </c>
      <c r="C1654" s="138" t="s">
        <v>585</v>
      </c>
      <c r="D1654" s="138" t="str">
        <f>VLOOKUP(Purchase[[#This Row],[Supplier ID]],Supplier[#All],2,0)</f>
        <v>Tech Computers</v>
      </c>
      <c r="E1654" s="138">
        <f>VLOOKUP(Purchase[[#This Row],[Supplier ID]],Supplier[#All],3,0)</f>
        <v>9689542469</v>
      </c>
      <c r="F1654" s="138" t="str">
        <f>VLOOKUP(Purchase[[#This Row],[Supplier ID]],Supplier[#All],4,0)</f>
        <v>Korba</v>
      </c>
      <c r="G1654" s="138" t="str">
        <f>VLOOKUP(Purchase[[#This Row],[Supplier ID]],Supplier[#All],5,0)</f>
        <v>CG</v>
      </c>
      <c r="H1654" s="138" t="str">
        <f>VLOOKUP(Purchase[[#This Row],[Supplier ID]],Supplier[#All],6,0)</f>
        <v>GST2154521T031</v>
      </c>
      <c r="I1654" s="138" t="s">
        <v>277</v>
      </c>
      <c r="J1654" s="139">
        <v>39</v>
      </c>
      <c r="K1654" s="143">
        <f>VLOOKUP(Purchase[[#This Row],[Product ID]],Product[#All],6,0)</f>
        <v>3844</v>
      </c>
      <c r="L1654" s="143">
        <f>Purchase[[#This Row],[Purchase Rate]]*Purchase[[#This Row],[Qty]]</f>
        <v>149916</v>
      </c>
      <c r="M1654" s="140">
        <v>0</v>
      </c>
      <c r="N1654" s="143">
        <v>0</v>
      </c>
      <c r="O1654" s="140">
        <v>0.18</v>
      </c>
      <c r="P1654" s="145">
        <f>(Purchase[[#This Row],[Gross Amount]]-Purchase[[#This Row],[Disct %]])*Purchase[[#This Row],[GST %]]</f>
        <v>26984.879999999997</v>
      </c>
      <c r="Q1654" s="145">
        <f>Purchase[[#This Row],[Gross Amount]]-Purchase[[#This Row],[Disct Amnt]]+Purchase[[#This Row],[GST Amount]]</f>
        <v>176900.88</v>
      </c>
      <c r="R1654" s="138" t="s">
        <v>1019</v>
      </c>
      <c r="S1654" s="41">
        <f>IF(Purchase[[#This Row],[Status]]="Cancelled",0,Purchase[[#This Row],[Qty]])</f>
        <v>39</v>
      </c>
      <c r="T1654" s="146">
        <f>IF(Purchase[[#This Row],[Status]]="Cancelled",0,Purchase[[#This Row],[Total Amount]])</f>
        <v>176900.88</v>
      </c>
      <c r="U1654" s="146">
        <f>SUM(Purchase[Net Amount])</f>
        <v>814985438.68000126</v>
      </c>
    </row>
    <row r="1655" spans="1:21" ht="19.5" thickBot="1" x14ac:dyDescent="0.3">
      <c r="A1655" s="136" t="s">
        <v>2709</v>
      </c>
      <c r="B1655" s="137">
        <v>45738</v>
      </c>
      <c r="C1655" s="138" t="s">
        <v>599</v>
      </c>
      <c r="D1655" s="138" t="str">
        <f>VLOOKUP(Purchase[[#This Row],[Supplier ID]],Supplier[#All],2,0)</f>
        <v>National Distributors</v>
      </c>
      <c r="E1655" s="138">
        <f>VLOOKUP(Purchase[[#This Row],[Supplier ID]],Supplier[#All],3,0)</f>
        <v>9689542482</v>
      </c>
      <c r="F1655" s="138" t="str">
        <f>VLOOKUP(Purchase[[#This Row],[Supplier ID]],Supplier[#All],4,0)</f>
        <v>Kanpur</v>
      </c>
      <c r="G1655" s="138" t="str">
        <f>VLOOKUP(Purchase[[#This Row],[Supplier ID]],Supplier[#All],5,0)</f>
        <v>UP</v>
      </c>
      <c r="H1655" s="138" t="str">
        <f>VLOOKUP(Purchase[[#This Row],[Supplier ID]],Supplier[#All],6,0)</f>
        <v>GST2154521T044</v>
      </c>
      <c r="I1655" s="138" t="s">
        <v>511</v>
      </c>
      <c r="J1655" s="139">
        <v>20</v>
      </c>
      <c r="K1655" s="143">
        <f>VLOOKUP(Purchase[[#This Row],[Product ID]],Product[#All],6,0)</f>
        <v>1027</v>
      </c>
      <c r="L1655" s="143">
        <f>Purchase[[#This Row],[Purchase Rate]]*Purchase[[#This Row],[Qty]]</f>
        <v>20540</v>
      </c>
      <c r="M1655" s="140">
        <v>0</v>
      </c>
      <c r="N1655" s="143">
        <v>0</v>
      </c>
      <c r="O1655" s="140">
        <v>0.18</v>
      </c>
      <c r="P1655" s="145">
        <f>(Purchase[[#This Row],[Gross Amount]]-Purchase[[#This Row],[Disct %]])*Purchase[[#This Row],[GST %]]</f>
        <v>3697.2</v>
      </c>
      <c r="Q1655" s="145">
        <f>Purchase[[#This Row],[Gross Amount]]-Purchase[[#This Row],[Disct Amnt]]+Purchase[[#This Row],[GST Amount]]</f>
        <v>24237.200000000001</v>
      </c>
      <c r="R1655" s="138" t="s">
        <v>1019</v>
      </c>
      <c r="S1655" s="41">
        <f>IF(Purchase[[#This Row],[Status]]="Cancelled",0,Purchase[[#This Row],[Qty]])</f>
        <v>20</v>
      </c>
      <c r="T1655" s="146">
        <f>IF(Purchase[[#This Row],[Status]]="Cancelled",0,Purchase[[#This Row],[Total Amount]])</f>
        <v>24237.200000000001</v>
      </c>
      <c r="U1655" s="146">
        <f>SUM(Purchase[Net Amount])</f>
        <v>814985438.68000126</v>
      </c>
    </row>
    <row r="1656" spans="1:21" ht="19.5" thickBot="1" x14ac:dyDescent="0.3">
      <c r="A1656" s="136" t="s">
        <v>2710</v>
      </c>
      <c r="B1656" s="137">
        <v>45738</v>
      </c>
      <c r="C1656" s="138" t="s">
        <v>602</v>
      </c>
      <c r="D1656" s="138" t="str">
        <f>VLOOKUP(Purchase[[#This Row],[Supplier ID]],Supplier[#All],2,0)</f>
        <v>Maa Computers</v>
      </c>
      <c r="E1656" s="138">
        <f>VLOOKUP(Purchase[[#This Row],[Supplier ID]],Supplier[#All],3,0)</f>
        <v>9689542485</v>
      </c>
      <c r="F1656" s="138" t="str">
        <f>VLOOKUP(Purchase[[#This Row],[Supplier ID]],Supplier[#All],4,0)</f>
        <v>Korba</v>
      </c>
      <c r="G1656" s="138" t="str">
        <f>VLOOKUP(Purchase[[#This Row],[Supplier ID]],Supplier[#All],5,0)</f>
        <v>CG</v>
      </c>
      <c r="H1656" s="138" t="str">
        <f>VLOOKUP(Purchase[[#This Row],[Supplier ID]],Supplier[#All],6,0)</f>
        <v>GST2154521T047</v>
      </c>
      <c r="I1656" s="138" t="s">
        <v>177</v>
      </c>
      <c r="J1656" s="139">
        <v>36</v>
      </c>
      <c r="K1656" s="143">
        <f>VLOOKUP(Purchase[[#This Row],[Product ID]],Product[#All],6,0)</f>
        <v>45329</v>
      </c>
      <c r="L1656" s="143">
        <f>Purchase[[#This Row],[Purchase Rate]]*Purchase[[#This Row],[Qty]]</f>
        <v>1631844</v>
      </c>
      <c r="M1656" s="140">
        <v>0</v>
      </c>
      <c r="N1656" s="143">
        <v>0</v>
      </c>
      <c r="O1656" s="140">
        <v>0.18</v>
      </c>
      <c r="P1656" s="145">
        <f>(Purchase[[#This Row],[Gross Amount]]-Purchase[[#This Row],[Disct %]])*Purchase[[#This Row],[GST %]]</f>
        <v>293731.92</v>
      </c>
      <c r="Q1656" s="145">
        <f>Purchase[[#This Row],[Gross Amount]]-Purchase[[#This Row],[Disct Amnt]]+Purchase[[#This Row],[GST Amount]]</f>
        <v>1925575.92</v>
      </c>
      <c r="R1656" s="138" t="s">
        <v>1019</v>
      </c>
      <c r="S1656" s="41">
        <f>IF(Purchase[[#This Row],[Status]]="Cancelled",0,Purchase[[#This Row],[Qty]])</f>
        <v>36</v>
      </c>
      <c r="T1656" s="146">
        <f>IF(Purchase[[#This Row],[Status]]="Cancelled",0,Purchase[[#This Row],[Total Amount]])</f>
        <v>1925575.92</v>
      </c>
      <c r="U1656" s="146">
        <f>SUM(Purchase[Net Amount])</f>
        <v>814985438.68000126</v>
      </c>
    </row>
    <row r="1657" spans="1:21" ht="19.5" thickBot="1" x14ac:dyDescent="0.3">
      <c r="A1657" s="136" t="s">
        <v>2711</v>
      </c>
      <c r="B1657" s="137">
        <v>45738</v>
      </c>
      <c r="C1657" s="138" t="s">
        <v>600</v>
      </c>
      <c r="D1657" s="138" t="str">
        <f>VLOOKUP(Purchase[[#This Row],[Supplier ID]],Supplier[#All],2,0)</f>
        <v>Prime Suppliers</v>
      </c>
      <c r="E1657" s="138">
        <f>VLOOKUP(Purchase[[#This Row],[Supplier ID]],Supplier[#All],3,0)</f>
        <v>9689542483</v>
      </c>
      <c r="F1657" s="138" t="str">
        <f>VLOOKUP(Purchase[[#This Row],[Supplier ID]],Supplier[#All],4,0)</f>
        <v>Korba</v>
      </c>
      <c r="G1657" s="138" t="str">
        <f>VLOOKUP(Purchase[[#This Row],[Supplier ID]],Supplier[#All],5,0)</f>
        <v>CG</v>
      </c>
      <c r="H1657" s="138" t="str">
        <f>VLOOKUP(Purchase[[#This Row],[Supplier ID]],Supplier[#All],6,0)</f>
        <v>GST2154521T045</v>
      </c>
      <c r="I1657" s="138" t="s">
        <v>87</v>
      </c>
      <c r="J1657" s="139">
        <v>35</v>
      </c>
      <c r="K1657" s="143">
        <f>VLOOKUP(Purchase[[#This Row],[Product ID]],Product[#All],6,0)</f>
        <v>822</v>
      </c>
      <c r="L1657" s="143">
        <f>Purchase[[#This Row],[Purchase Rate]]*Purchase[[#This Row],[Qty]]</f>
        <v>28770</v>
      </c>
      <c r="M1657" s="140">
        <v>0</v>
      </c>
      <c r="N1657" s="143">
        <v>0</v>
      </c>
      <c r="O1657" s="140">
        <v>0.18</v>
      </c>
      <c r="P1657" s="145">
        <f>(Purchase[[#This Row],[Gross Amount]]-Purchase[[#This Row],[Disct %]])*Purchase[[#This Row],[GST %]]</f>
        <v>5178.5999999999995</v>
      </c>
      <c r="Q1657" s="145">
        <f>Purchase[[#This Row],[Gross Amount]]-Purchase[[#This Row],[Disct Amnt]]+Purchase[[#This Row],[GST Amount]]</f>
        <v>33948.6</v>
      </c>
      <c r="R1657" s="138" t="s">
        <v>1019</v>
      </c>
      <c r="S1657" s="41">
        <f>IF(Purchase[[#This Row],[Status]]="Cancelled",0,Purchase[[#This Row],[Qty]])</f>
        <v>35</v>
      </c>
      <c r="T1657" s="146">
        <f>IF(Purchase[[#This Row],[Status]]="Cancelled",0,Purchase[[#This Row],[Total Amount]])</f>
        <v>33948.6</v>
      </c>
      <c r="U1657" s="146">
        <f>SUM(Purchase[Net Amount])</f>
        <v>814985438.68000126</v>
      </c>
    </row>
    <row r="1658" spans="1:21" ht="19.5" thickBot="1" x14ac:dyDescent="0.3">
      <c r="A1658" s="136" t="s">
        <v>2712</v>
      </c>
      <c r="B1658" s="137">
        <v>45738</v>
      </c>
      <c r="C1658" s="138" t="s">
        <v>595</v>
      </c>
      <c r="D1658" s="138" t="str">
        <f>VLOOKUP(Purchase[[#This Row],[Supplier ID]],Supplier[#All],2,0)</f>
        <v>Star Computers</v>
      </c>
      <c r="E1658" s="138">
        <f>VLOOKUP(Purchase[[#This Row],[Supplier ID]],Supplier[#All],3,0)</f>
        <v>9689542478</v>
      </c>
      <c r="F1658" s="138" t="str">
        <f>VLOOKUP(Purchase[[#This Row],[Supplier ID]],Supplier[#All],4,0)</f>
        <v>Kanpur</v>
      </c>
      <c r="G1658" s="138" t="str">
        <f>VLOOKUP(Purchase[[#This Row],[Supplier ID]],Supplier[#All],5,0)</f>
        <v>UP</v>
      </c>
      <c r="H1658" s="138" t="str">
        <f>VLOOKUP(Purchase[[#This Row],[Supplier ID]],Supplier[#All],6,0)</f>
        <v>GST2154521T040</v>
      </c>
      <c r="I1658" s="138" t="s">
        <v>431</v>
      </c>
      <c r="J1658" s="139">
        <v>15</v>
      </c>
      <c r="K1658" s="143">
        <f>VLOOKUP(Purchase[[#This Row],[Product ID]],Product[#All],6,0)</f>
        <v>14391</v>
      </c>
      <c r="L1658" s="143">
        <f>Purchase[[#This Row],[Purchase Rate]]*Purchase[[#This Row],[Qty]]</f>
        <v>215865</v>
      </c>
      <c r="M1658" s="140">
        <v>0</v>
      </c>
      <c r="N1658" s="143">
        <v>0</v>
      </c>
      <c r="O1658" s="140">
        <v>0.18</v>
      </c>
      <c r="P1658" s="145">
        <f>(Purchase[[#This Row],[Gross Amount]]-Purchase[[#This Row],[Disct %]])*Purchase[[#This Row],[GST %]]</f>
        <v>38855.699999999997</v>
      </c>
      <c r="Q1658" s="145">
        <f>Purchase[[#This Row],[Gross Amount]]-Purchase[[#This Row],[Disct Amnt]]+Purchase[[#This Row],[GST Amount]]</f>
        <v>254720.7</v>
      </c>
      <c r="R1658" s="138" t="s">
        <v>1019</v>
      </c>
      <c r="S1658" s="41">
        <f>IF(Purchase[[#This Row],[Status]]="Cancelled",0,Purchase[[#This Row],[Qty]])</f>
        <v>15</v>
      </c>
      <c r="T1658" s="146">
        <f>IF(Purchase[[#This Row],[Status]]="Cancelled",0,Purchase[[#This Row],[Total Amount]])</f>
        <v>254720.7</v>
      </c>
      <c r="U1658" s="146">
        <f>SUM(Purchase[Net Amount])</f>
        <v>814985438.68000126</v>
      </c>
    </row>
    <row r="1659" spans="1:21" ht="19.5" thickBot="1" x14ac:dyDescent="0.3">
      <c r="A1659" s="136" t="s">
        <v>2713</v>
      </c>
      <c r="B1659" s="137">
        <v>45738</v>
      </c>
      <c r="C1659" s="138" t="s">
        <v>578</v>
      </c>
      <c r="D1659" s="138" t="str">
        <f>VLOOKUP(Purchase[[#This Row],[Supplier ID]],Supplier[#All],2,0)</f>
        <v>Shree Computers</v>
      </c>
      <c r="E1659" s="138">
        <f>VLOOKUP(Purchase[[#This Row],[Supplier ID]],Supplier[#All],3,0)</f>
        <v>9689542462</v>
      </c>
      <c r="F1659" s="138" t="str">
        <f>VLOOKUP(Purchase[[#This Row],[Supplier ID]],Supplier[#All],4,0)</f>
        <v>Korba</v>
      </c>
      <c r="G1659" s="138" t="str">
        <f>VLOOKUP(Purchase[[#This Row],[Supplier ID]],Supplier[#All],5,0)</f>
        <v>CG</v>
      </c>
      <c r="H1659" s="138" t="str">
        <f>VLOOKUP(Purchase[[#This Row],[Supplier ID]],Supplier[#All],6,0)</f>
        <v>GST2154521T024</v>
      </c>
      <c r="I1659" s="138" t="s">
        <v>351</v>
      </c>
      <c r="J1659" s="139">
        <v>23</v>
      </c>
      <c r="K1659" s="143">
        <f>VLOOKUP(Purchase[[#This Row],[Product ID]],Product[#All],6,0)</f>
        <v>1797</v>
      </c>
      <c r="L1659" s="143">
        <f>Purchase[[#This Row],[Purchase Rate]]*Purchase[[#This Row],[Qty]]</f>
        <v>41331</v>
      </c>
      <c r="M1659" s="140">
        <v>0</v>
      </c>
      <c r="N1659" s="143">
        <v>0</v>
      </c>
      <c r="O1659" s="140">
        <v>0.18</v>
      </c>
      <c r="P1659" s="145">
        <f>(Purchase[[#This Row],[Gross Amount]]-Purchase[[#This Row],[Disct %]])*Purchase[[#This Row],[GST %]]</f>
        <v>7439.58</v>
      </c>
      <c r="Q1659" s="145">
        <f>Purchase[[#This Row],[Gross Amount]]-Purchase[[#This Row],[Disct Amnt]]+Purchase[[#This Row],[GST Amount]]</f>
        <v>48770.58</v>
      </c>
      <c r="R1659" s="138" t="s">
        <v>1019</v>
      </c>
      <c r="S1659" s="41">
        <f>IF(Purchase[[#This Row],[Status]]="Cancelled",0,Purchase[[#This Row],[Qty]])</f>
        <v>23</v>
      </c>
      <c r="T1659" s="146">
        <f>IF(Purchase[[#This Row],[Status]]="Cancelled",0,Purchase[[#This Row],[Total Amount]])</f>
        <v>48770.58</v>
      </c>
      <c r="U1659" s="146">
        <f>SUM(Purchase[Net Amount])</f>
        <v>814985438.68000126</v>
      </c>
    </row>
    <row r="1660" spans="1:21" ht="19.5" thickBot="1" x14ac:dyDescent="0.3">
      <c r="A1660" s="136" t="s">
        <v>2714</v>
      </c>
      <c r="B1660" s="137">
        <v>45738</v>
      </c>
      <c r="C1660" s="138" t="s">
        <v>601</v>
      </c>
      <c r="D1660" s="138" t="str">
        <f>VLOOKUP(Purchase[[#This Row],[Supplier ID]],Supplier[#All],2,0)</f>
        <v>Maa Distributors</v>
      </c>
      <c r="E1660" s="138">
        <f>VLOOKUP(Purchase[[#This Row],[Supplier ID]],Supplier[#All],3,0)</f>
        <v>9689542484</v>
      </c>
      <c r="F1660" s="138" t="str">
        <f>VLOOKUP(Purchase[[#This Row],[Supplier ID]],Supplier[#All],4,0)</f>
        <v>Indore</v>
      </c>
      <c r="G1660" s="138" t="str">
        <f>VLOOKUP(Purchase[[#This Row],[Supplier ID]],Supplier[#All],5,0)</f>
        <v>MP</v>
      </c>
      <c r="H1660" s="138" t="str">
        <f>VLOOKUP(Purchase[[#This Row],[Supplier ID]],Supplier[#All],6,0)</f>
        <v>GST2154521T046</v>
      </c>
      <c r="I1660" s="138" t="s">
        <v>355</v>
      </c>
      <c r="J1660" s="139">
        <v>35</v>
      </c>
      <c r="K1660" s="143">
        <f>VLOOKUP(Purchase[[#This Row],[Product ID]],Product[#All],6,0)</f>
        <v>3223</v>
      </c>
      <c r="L1660" s="143">
        <f>Purchase[[#This Row],[Purchase Rate]]*Purchase[[#This Row],[Qty]]</f>
        <v>112805</v>
      </c>
      <c r="M1660" s="140">
        <v>0</v>
      </c>
      <c r="N1660" s="143">
        <v>0</v>
      </c>
      <c r="O1660" s="140">
        <v>0.18</v>
      </c>
      <c r="P1660" s="145">
        <f>(Purchase[[#This Row],[Gross Amount]]-Purchase[[#This Row],[Disct %]])*Purchase[[#This Row],[GST %]]</f>
        <v>20304.899999999998</v>
      </c>
      <c r="Q1660" s="145">
        <f>Purchase[[#This Row],[Gross Amount]]-Purchase[[#This Row],[Disct Amnt]]+Purchase[[#This Row],[GST Amount]]</f>
        <v>133109.9</v>
      </c>
      <c r="R1660" s="138" t="s">
        <v>1019</v>
      </c>
      <c r="S1660" s="41">
        <f>IF(Purchase[[#This Row],[Status]]="Cancelled",0,Purchase[[#This Row],[Qty]])</f>
        <v>35</v>
      </c>
      <c r="T1660" s="146">
        <f>IF(Purchase[[#This Row],[Status]]="Cancelled",0,Purchase[[#This Row],[Total Amount]])</f>
        <v>133109.9</v>
      </c>
      <c r="U1660" s="146">
        <f>SUM(Purchase[Net Amount])</f>
        <v>814985438.68000126</v>
      </c>
    </row>
    <row r="1661" spans="1:21" ht="19.5" thickBot="1" x14ac:dyDescent="0.3">
      <c r="A1661" s="136" t="s">
        <v>2715</v>
      </c>
      <c r="B1661" s="137">
        <v>45739</v>
      </c>
      <c r="C1661" s="138" t="s">
        <v>565</v>
      </c>
      <c r="D1661" s="138" t="str">
        <f>VLOOKUP(Purchase[[#This Row],[Supplier ID]],Supplier[#All],2,0)</f>
        <v>Global Suppliers</v>
      </c>
      <c r="E1661" s="138">
        <f>VLOOKUP(Purchase[[#This Row],[Supplier ID]],Supplier[#All],3,0)</f>
        <v>9689542459</v>
      </c>
      <c r="F1661" s="138" t="str">
        <f>VLOOKUP(Purchase[[#This Row],[Supplier ID]],Supplier[#All],4,0)</f>
        <v>Indore</v>
      </c>
      <c r="G1661" s="138" t="str">
        <f>VLOOKUP(Purchase[[#This Row],[Supplier ID]],Supplier[#All],5,0)</f>
        <v>MP</v>
      </c>
      <c r="H1661" s="138" t="str">
        <f>VLOOKUP(Purchase[[#This Row],[Supplier ID]],Supplier[#All],6,0)</f>
        <v>GST2154521T013</v>
      </c>
      <c r="I1661" s="138" t="s">
        <v>307</v>
      </c>
      <c r="J1661" s="139">
        <v>34</v>
      </c>
      <c r="K1661" s="143">
        <f>VLOOKUP(Purchase[[#This Row],[Product ID]],Product[#All],6,0)</f>
        <v>39890</v>
      </c>
      <c r="L1661" s="143">
        <f>Purchase[[#This Row],[Purchase Rate]]*Purchase[[#This Row],[Qty]]</f>
        <v>1356260</v>
      </c>
      <c r="M1661" s="140">
        <v>0</v>
      </c>
      <c r="N1661" s="143">
        <v>0</v>
      </c>
      <c r="O1661" s="140">
        <v>0.18</v>
      </c>
      <c r="P1661" s="145">
        <f>(Purchase[[#This Row],[Gross Amount]]-Purchase[[#This Row],[Disct %]])*Purchase[[#This Row],[GST %]]</f>
        <v>244126.8</v>
      </c>
      <c r="Q1661" s="145">
        <f>Purchase[[#This Row],[Gross Amount]]-Purchase[[#This Row],[Disct Amnt]]+Purchase[[#This Row],[GST Amount]]</f>
        <v>1600386.8</v>
      </c>
      <c r="R1661" s="138" t="s">
        <v>1019</v>
      </c>
      <c r="S1661" s="41">
        <f>IF(Purchase[[#This Row],[Status]]="Cancelled",0,Purchase[[#This Row],[Qty]])</f>
        <v>34</v>
      </c>
      <c r="T1661" s="146">
        <f>IF(Purchase[[#This Row],[Status]]="Cancelled",0,Purchase[[#This Row],[Total Amount]])</f>
        <v>1600386.8</v>
      </c>
      <c r="U1661" s="146">
        <f>SUM(Purchase[Net Amount])</f>
        <v>814985438.68000126</v>
      </c>
    </row>
    <row r="1662" spans="1:21" ht="19.5" thickBot="1" x14ac:dyDescent="0.3">
      <c r="A1662" s="136" t="s">
        <v>2716</v>
      </c>
      <c r="B1662" s="137">
        <v>45739</v>
      </c>
      <c r="C1662" s="138" t="s">
        <v>565</v>
      </c>
      <c r="D1662" s="138" t="str">
        <f>VLOOKUP(Purchase[[#This Row],[Supplier ID]],Supplier[#All],2,0)</f>
        <v>Global Suppliers</v>
      </c>
      <c r="E1662" s="138">
        <f>VLOOKUP(Purchase[[#This Row],[Supplier ID]],Supplier[#All],3,0)</f>
        <v>9689542459</v>
      </c>
      <c r="F1662" s="138" t="str">
        <f>VLOOKUP(Purchase[[#This Row],[Supplier ID]],Supplier[#All],4,0)</f>
        <v>Indore</v>
      </c>
      <c r="G1662" s="138" t="str">
        <f>VLOOKUP(Purchase[[#This Row],[Supplier ID]],Supplier[#All],5,0)</f>
        <v>MP</v>
      </c>
      <c r="H1662" s="138" t="str">
        <f>VLOOKUP(Purchase[[#This Row],[Supplier ID]],Supplier[#All],6,0)</f>
        <v>GST2154521T013</v>
      </c>
      <c r="I1662" s="138" t="s">
        <v>93</v>
      </c>
      <c r="J1662" s="139">
        <v>30</v>
      </c>
      <c r="K1662" s="143">
        <f>VLOOKUP(Purchase[[#This Row],[Product ID]],Product[#All],6,0)</f>
        <v>1436</v>
      </c>
      <c r="L1662" s="143">
        <f>Purchase[[#This Row],[Purchase Rate]]*Purchase[[#This Row],[Qty]]</f>
        <v>43080</v>
      </c>
      <c r="M1662" s="140">
        <v>0</v>
      </c>
      <c r="N1662" s="143">
        <v>0</v>
      </c>
      <c r="O1662" s="140">
        <v>0.18</v>
      </c>
      <c r="P1662" s="145">
        <f>(Purchase[[#This Row],[Gross Amount]]-Purchase[[#This Row],[Disct %]])*Purchase[[#This Row],[GST %]]</f>
        <v>7754.4</v>
      </c>
      <c r="Q1662" s="145">
        <f>Purchase[[#This Row],[Gross Amount]]-Purchase[[#This Row],[Disct Amnt]]+Purchase[[#This Row],[GST Amount]]</f>
        <v>50834.400000000001</v>
      </c>
      <c r="R1662" s="138" t="s">
        <v>1019</v>
      </c>
      <c r="S1662" s="41">
        <f>IF(Purchase[[#This Row],[Status]]="Cancelled",0,Purchase[[#This Row],[Qty]])</f>
        <v>30</v>
      </c>
      <c r="T1662" s="146">
        <f>IF(Purchase[[#This Row],[Status]]="Cancelled",0,Purchase[[#This Row],[Total Amount]])</f>
        <v>50834.400000000001</v>
      </c>
      <c r="U1662" s="146">
        <f>SUM(Purchase[Net Amount])</f>
        <v>814985438.68000126</v>
      </c>
    </row>
    <row r="1663" spans="1:21" ht="19.5" thickBot="1" x14ac:dyDescent="0.3">
      <c r="A1663" s="136" t="s">
        <v>2717</v>
      </c>
      <c r="B1663" s="137">
        <v>45739</v>
      </c>
      <c r="C1663" s="138" t="s">
        <v>603</v>
      </c>
      <c r="D1663" s="138" t="str">
        <f>VLOOKUP(Purchase[[#This Row],[Supplier ID]],Supplier[#All],2,0)</f>
        <v>Tech Computers</v>
      </c>
      <c r="E1663" s="138">
        <f>VLOOKUP(Purchase[[#This Row],[Supplier ID]],Supplier[#All],3,0)</f>
        <v>9689542486</v>
      </c>
      <c r="F1663" s="138" t="str">
        <f>VLOOKUP(Purchase[[#This Row],[Supplier ID]],Supplier[#All],4,0)</f>
        <v>Indore</v>
      </c>
      <c r="G1663" s="138" t="str">
        <f>VLOOKUP(Purchase[[#This Row],[Supplier ID]],Supplier[#All],5,0)</f>
        <v>MP</v>
      </c>
      <c r="H1663" s="138" t="str">
        <f>VLOOKUP(Purchase[[#This Row],[Supplier ID]],Supplier[#All],6,0)</f>
        <v>GST2154521T048</v>
      </c>
      <c r="I1663" s="138" t="s">
        <v>385</v>
      </c>
      <c r="J1663" s="139">
        <v>28</v>
      </c>
      <c r="K1663" s="143">
        <f>VLOOKUP(Purchase[[#This Row],[Product ID]],Product[#All],6,0)</f>
        <v>1060</v>
      </c>
      <c r="L1663" s="143">
        <f>Purchase[[#This Row],[Purchase Rate]]*Purchase[[#This Row],[Qty]]</f>
        <v>29680</v>
      </c>
      <c r="M1663" s="140">
        <v>0</v>
      </c>
      <c r="N1663" s="143">
        <v>0</v>
      </c>
      <c r="O1663" s="140">
        <v>0.18</v>
      </c>
      <c r="P1663" s="145">
        <f>(Purchase[[#This Row],[Gross Amount]]-Purchase[[#This Row],[Disct %]])*Purchase[[#This Row],[GST %]]</f>
        <v>5342.4</v>
      </c>
      <c r="Q1663" s="145">
        <f>Purchase[[#This Row],[Gross Amount]]-Purchase[[#This Row],[Disct Amnt]]+Purchase[[#This Row],[GST Amount]]</f>
        <v>35022.400000000001</v>
      </c>
      <c r="R1663" s="138" t="s">
        <v>1019</v>
      </c>
      <c r="S1663" s="41">
        <f>IF(Purchase[[#This Row],[Status]]="Cancelled",0,Purchase[[#This Row],[Qty]])</f>
        <v>28</v>
      </c>
      <c r="T1663" s="146">
        <f>IF(Purchase[[#This Row],[Status]]="Cancelled",0,Purchase[[#This Row],[Total Amount]])</f>
        <v>35022.400000000001</v>
      </c>
      <c r="U1663" s="146">
        <f>SUM(Purchase[Net Amount])</f>
        <v>814985438.68000126</v>
      </c>
    </row>
    <row r="1664" spans="1:21" ht="19.5" thickBot="1" x14ac:dyDescent="0.3">
      <c r="A1664" s="136" t="s">
        <v>2718</v>
      </c>
      <c r="B1664" s="137">
        <v>45739</v>
      </c>
      <c r="C1664" s="138" t="s">
        <v>565</v>
      </c>
      <c r="D1664" s="138" t="str">
        <f>VLOOKUP(Purchase[[#This Row],[Supplier ID]],Supplier[#All],2,0)</f>
        <v>Global Suppliers</v>
      </c>
      <c r="E1664" s="138">
        <f>VLOOKUP(Purchase[[#This Row],[Supplier ID]],Supplier[#All],3,0)</f>
        <v>9689542459</v>
      </c>
      <c r="F1664" s="138" t="str">
        <f>VLOOKUP(Purchase[[#This Row],[Supplier ID]],Supplier[#All],4,0)</f>
        <v>Indore</v>
      </c>
      <c r="G1664" s="138" t="str">
        <f>VLOOKUP(Purchase[[#This Row],[Supplier ID]],Supplier[#All],5,0)</f>
        <v>MP</v>
      </c>
      <c r="H1664" s="138" t="str">
        <f>VLOOKUP(Purchase[[#This Row],[Supplier ID]],Supplier[#All],6,0)</f>
        <v>GST2154521T013</v>
      </c>
      <c r="I1664" s="138" t="s">
        <v>120</v>
      </c>
      <c r="J1664" s="139">
        <v>4</v>
      </c>
      <c r="K1664" s="143">
        <f>VLOOKUP(Purchase[[#This Row],[Product ID]],Product[#All],6,0)</f>
        <v>5465</v>
      </c>
      <c r="L1664" s="143">
        <f>Purchase[[#This Row],[Purchase Rate]]*Purchase[[#This Row],[Qty]]</f>
        <v>21860</v>
      </c>
      <c r="M1664" s="140">
        <v>0</v>
      </c>
      <c r="N1664" s="143">
        <v>0</v>
      </c>
      <c r="O1664" s="140">
        <v>0.18</v>
      </c>
      <c r="P1664" s="145">
        <f>(Purchase[[#This Row],[Gross Amount]]-Purchase[[#This Row],[Disct %]])*Purchase[[#This Row],[GST %]]</f>
        <v>3934.7999999999997</v>
      </c>
      <c r="Q1664" s="145">
        <f>Purchase[[#This Row],[Gross Amount]]-Purchase[[#This Row],[Disct Amnt]]+Purchase[[#This Row],[GST Amount]]</f>
        <v>25794.799999999999</v>
      </c>
      <c r="R1664" s="138" t="s">
        <v>1019</v>
      </c>
      <c r="S1664" s="41">
        <f>IF(Purchase[[#This Row],[Status]]="Cancelled",0,Purchase[[#This Row],[Qty]])</f>
        <v>4</v>
      </c>
      <c r="T1664" s="146">
        <f>IF(Purchase[[#This Row],[Status]]="Cancelled",0,Purchase[[#This Row],[Total Amount]])</f>
        <v>25794.799999999999</v>
      </c>
      <c r="U1664" s="146">
        <f>SUM(Purchase[Net Amount])</f>
        <v>814985438.68000126</v>
      </c>
    </row>
    <row r="1665" spans="1:21" ht="19.5" thickBot="1" x14ac:dyDescent="0.3">
      <c r="A1665" s="136" t="s">
        <v>2719</v>
      </c>
      <c r="B1665" s="137">
        <v>45739</v>
      </c>
      <c r="C1665" s="138" t="s">
        <v>594</v>
      </c>
      <c r="D1665" s="138" t="str">
        <f>VLOOKUP(Purchase[[#This Row],[Supplier ID]],Supplier[#All],2,0)</f>
        <v>Shree Suppliers</v>
      </c>
      <c r="E1665" s="138">
        <f>VLOOKUP(Purchase[[#This Row],[Supplier ID]],Supplier[#All],3,0)</f>
        <v>9689542477</v>
      </c>
      <c r="F1665" s="138" t="str">
        <f>VLOOKUP(Purchase[[#This Row],[Supplier ID]],Supplier[#All],4,0)</f>
        <v>Indore</v>
      </c>
      <c r="G1665" s="138" t="str">
        <f>VLOOKUP(Purchase[[#This Row],[Supplier ID]],Supplier[#All],5,0)</f>
        <v>MP</v>
      </c>
      <c r="H1665" s="138" t="str">
        <f>VLOOKUP(Purchase[[#This Row],[Supplier ID]],Supplier[#All],6,0)</f>
        <v>GST2154521T039</v>
      </c>
      <c r="I1665" s="138" t="s">
        <v>390</v>
      </c>
      <c r="J1665" s="139">
        <v>36</v>
      </c>
      <c r="K1665" s="143">
        <f>VLOOKUP(Purchase[[#This Row],[Product ID]],Product[#All],6,0)</f>
        <v>3799</v>
      </c>
      <c r="L1665" s="143">
        <f>Purchase[[#This Row],[Purchase Rate]]*Purchase[[#This Row],[Qty]]</f>
        <v>136764</v>
      </c>
      <c r="M1665" s="140">
        <v>0</v>
      </c>
      <c r="N1665" s="143">
        <v>0</v>
      </c>
      <c r="O1665" s="140">
        <v>0.18</v>
      </c>
      <c r="P1665" s="145">
        <f>(Purchase[[#This Row],[Gross Amount]]-Purchase[[#This Row],[Disct %]])*Purchase[[#This Row],[GST %]]</f>
        <v>24617.52</v>
      </c>
      <c r="Q1665" s="145">
        <f>Purchase[[#This Row],[Gross Amount]]-Purchase[[#This Row],[Disct Amnt]]+Purchase[[#This Row],[GST Amount]]</f>
        <v>161381.51999999999</v>
      </c>
      <c r="R1665" s="138" t="s">
        <v>1019</v>
      </c>
      <c r="S1665" s="41">
        <f>IF(Purchase[[#This Row],[Status]]="Cancelled",0,Purchase[[#This Row],[Qty]])</f>
        <v>36</v>
      </c>
      <c r="T1665" s="146">
        <f>IF(Purchase[[#This Row],[Status]]="Cancelled",0,Purchase[[#This Row],[Total Amount]])</f>
        <v>161381.51999999999</v>
      </c>
      <c r="U1665" s="146">
        <f>SUM(Purchase[Net Amount])</f>
        <v>814985438.68000126</v>
      </c>
    </row>
    <row r="1666" spans="1:21" ht="19.5" thickBot="1" x14ac:dyDescent="0.3">
      <c r="A1666" s="136" t="s">
        <v>2720</v>
      </c>
      <c r="B1666" s="137">
        <v>45739</v>
      </c>
      <c r="C1666" s="138" t="s">
        <v>610</v>
      </c>
      <c r="D1666" s="138" t="str">
        <f>VLOOKUP(Purchase[[#This Row],[Supplier ID]],Supplier[#All],2,0)</f>
        <v>Shree Electronics</v>
      </c>
      <c r="E1666" s="138">
        <f>VLOOKUP(Purchase[[#This Row],[Supplier ID]],Supplier[#All],3,0)</f>
        <v>9689542493</v>
      </c>
      <c r="F1666" s="138" t="str">
        <f>VLOOKUP(Purchase[[#This Row],[Supplier ID]],Supplier[#All],4,0)</f>
        <v>Kanpur</v>
      </c>
      <c r="G1666" s="138" t="str">
        <f>VLOOKUP(Purchase[[#This Row],[Supplier ID]],Supplier[#All],5,0)</f>
        <v>UP</v>
      </c>
      <c r="H1666" s="138" t="str">
        <f>VLOOKUP(Purchase[[#This Row],[Supplier ID]],Supplier[#All],6,0)</f>
        <v>GST2154521T055</v>
      </c>
      <c r="I1666" s="138" t="s">
        <v>383</v>
      </c>
      <c r="J1666" s="139">
        <v>24</v>
      </c>
      <c r="K1666" s="143">
        <f>VLOOKUP(Purchase[[#This Row],[Product ID]],Product[#All],6,0)</f>
        <v>2478</v>
      </c>
      <c r="L1666" s="143">
        <f>Purchase[[#This Row],[Purchase Rate]]*Purchase[[#This Row],[Qty]]</f>
        <v>59472</v>
      </c>
      <c r="M1666" s="140">
        <v>0</v>
      </c>
      <c r="N1666" s="143">
        <v>0</v>
      </c>
      <c r="O1666" s="140">
        <v>0.18</v>
      </c>
      <c r="P1666" s="145">
        <f>(Purchase[[#This Row],[Gross Amount]]-Purchase[[#This Row],[Disct %]])*Purchase[[#This Row],[GST %]]</f>
        <v>10704.96</v>
      </c>
      <c r="Q1666" s="145">
        <f>Purchase[[#This Row],[Gross Amount]]-Purchase[[#This Row],[Disct Amnt]]+Purchase[[#This Row],[GST Amount]]</f>
        <v>70176.959999999992</v>
      </c>
      <c r="R1666" s="138" t="s">
        <v>1019</v>
      </c>
      <c r="S1666" s="41">
        <f>IF(Purchase[[#This Row],[Status]]="Cancelled",0,Purchase[[#This Row],[Qty]])</f>
        <v>24</v>
      </c>
      <c r="T1666" s="146">
        <f>IF(Purchase[[#This Row],[Status]]="Cancelled",0,Purchase[[#This Row],[Total Amount]])</f>
        <v>70176.959999999992</v>
      </c>
      <c r="U1666" s="146">
        <f>SUM(Purchase[Net Amount])</f>
        <v>814985438.68000126</v>
      </c>
    </row>
    <row r="1667" spans="1:21" ht="19.5" thickBot="1" x14ac:dyDescent="0.3">
      <c r="A1667" s="136" t="s">
        <v>2721</v>
      </c>
      <c r="B1667" s="137">
        <v>45739</v>
      </c>
      <c r="C1667" s="138" t="s">
        <v>603</v>
      </c>
      <c r="D1667" s="138" t="str">
        <f>VLOOKUP(Purchase[[#This Row],[Supplier ID]],Supplier[#All],2,0)</f>
        <v>Tech Computers</v>
      </c>
      <c r="E1667" s="138">
        <f>VLOOKUP(Purchase[[#This Row],[Supplier ID]],Supplier[#All],3,0)</f>
        <v>9689542486</v>
      </c>
      <c r="F1667" s="138" t="str">
        <f>VLOOKUP(Purchase[[#This Row],[Supplier ID]],Supplier[#All],4,0)</f>
        <v>Indore</v>
      </c>
      <c r="G1667" s="138" t="str">
        <f>VLOOKUP(Purchase[[#This Row],[Supplier ID]],Supplier[#All],5,0)</f>
        <v>MP</v>
      </c>
      <c r="H1667" s="138" t="str">
        <f>VLOOKUP(Purchase[[#This Row],[Supplier ID]],Supplier[#All],6,0)</f>
        <v>GST2154521T048</v>
      </c>
      <c r="I1667" s="138" t="s">
        <v>453</v>
      </c>
      <c r="J1667" s="139">
        <v>19</v>
      </c>
      <c r="K1667" s="143">
        <f>VLOOKUP(Purchase[[#This Row],[Product ID]],Product[#All],6,0)</f>
        <v>2343</v>
      </c>
      <c r="L1667" s="143">
        <f>Purchase[[#This Row],[Purchase Rate]]*Purchase[[#This Row],[Qty]]</f>
        <v>44517</v>
      </c>
      <c r="M1667" s="140">
        <v>0</v>
      </c>
      <c r="N1667" s="143">
        <v>0</v>
      </c>
      <c r="O1667" s="140">
        <v>0.18</v>
      </c>
      <c r="P1667" s="145">
        <f>(Purchase[[#This Row],[Gross Amount]]-Purchase[[#This Row],[Disct %]])*Purchase[[#This Row],[GST %]]</f>
        <v>8013.0599999999995</v>
      </c>
      <c r="Q1667" s="145">
        <f>Purchase[[#This Row],[Gross Amount]]-Purchase[[#This Row],[Disct Amnt]]+Purchase[[#This Row],[GST Amount]]</f>
        <v>52530.06</v>
      </c>
      <c r="R1667" s="138" t="s">
        <v>1019</v>
      </c>
      <c r="S1667" s="41">
        <f>IF(Purchase[[#This Row],[Status]]="Cancelled",0,Purchase[[#This Row],[Qty]])</f>
        <v>19</v>
      </c>
      <c r="T1667" s="146">
        <f>IF(Purchase[[#This Row],[Status]]="Cancelled",0,Purchase[[#This Row],[Total Amount]])</f>
        <v>52530.06</v>
      </c>
      <c r="U1667" s="146">
        <f>SUM(Purchase[Net Amount])</f>
        <v>814985438.68000126</v>
      </c>
    </row>
    <row r="1668" spans="1:21" ht="19.5" thickBot="1" x14ac:dyDescent="0.3">
      <c r="A1668" s="136" t="s">
        <v>2722</v>
      </c>
      <c r="B1668" s="137">
        <v>45739</v>
      </c>
      <c r="C1668" s="138" t="s">
        <v>614</v>
      </c>
      <c r="D1668" s="138" t="str">
        <f>VLOOKUP(Purchase[[#This Row],[Supplier ID]],Supplier[#All],2,0)</f>
        <v>National Electronics</v>
      </c>
      <c r="E1668" s="138">
        <f>VLOOKUP(Purchase[[#This Row],[Supplier ID]],Supplier[#All],3,0)</f>
        <v>9689542497</v>
      </c>
      <c r="F1668" s="138" t="str">
        <f>VLOOKUP(Purchase[[#This Row],[Supplier ID]],Supplier[#All],4,0)</f>
        <v>Kanpur</v>
      </c>
      <c r="G1668" s="138" t="str">
        <f>VLOOKUP(Purchase[[#This Row],[Supplier ID]],Supplier[#All],5,0)</f>
        <v>UP</v>
      </c>
      <c r="H1668" s="138" t="str">
        <f>VLOOKUP(Purchase[[#This Row],[Supplier ID]],Supplier[#All],6,0)</f>
        <v>GST2154521T059</v>
      </c>
      <c r="I1668" s="138" t="s">
        <v>472</v>
      </c>
      <c r="J1668" s="139">
        <v>30</v>
      </c>
      <c r="K1668" s="143">
        <f>VLOOKUP(Purchase[[#This Row],[Product ID]],Product[#All],6,0)</f>
        <v>5430</v>
      </c>
      <c r="L1668" s="143">
        <f>Purchase[[#This Row],[Purchase Rate]]*Purchase[[#This Row],[Qty]]</f>
        <v>162900</v>
      </c>
      <c r="M1668" s="140">
        <v>0</v>
      </c>
      <c r="N1668" s="143">
        <v>0</v>
      </c>
      <c r="O1668" s="140">
        <v>0.18</v>
      </c>
      <c r="P1668" s="145">
        <f>(Purchase[[#This Row],[Gross Amount]]-Purchase[[#This Row],[Disct %]])*Purchase[[#This Row],[GST %]]</f>
        <v>29322</v>
      </c>
      <c r="Q1668" s="145">
        <f>Purchase[[#This Row],[Gross Amount]]-Purchase[[#This Row],[Disct Amnt]]+Purchase[[#This Row],[GST Amount]]</f>
        <v>192222</v>
      </c>
      <c r="R1668" s="138" t="s">
        <v>1019</v>
      </c>
      <c r="S1668" s="41">
        <f>IF(Purchase[[#This Row],[Status]]="Cancelled",0,Purchase[[#This Row],[Qty]])</f>
        <v>30</v>
      </c>
      <c r="T1668" s="146">
        <f>IF(Purchase[[#This Row],[Status]]="Cancelled",0,Purchase[[#This Row],[Total Amount]])</f>
        <v>192222</v>
      </c>
      <c r="U1668" s="146">
        <f>SUM(Purchase[Net Amount])</f>
        <v>814985438.68000126</v>
      </c>
    </row>
    <row r="1669" spans="1:21" ht="19.5" thickBot="1" x14ac:dyDescent="0.3">
      <c r="A1669" s="136" t="s">
        <v>2723</v>
      </c>
      <c r="B1669" s="137">
        <v>45739</v>
      </c>
      <c r="C1669" s="138" t="s">
        <v>606</v>
      </c>
      <c r="D1669" s="138" t="str">
        <f>VLOOKUP(Purchase[[#This Row],[Supplier ID]],Supplier[#All],2,0)</f>
        <v>Prime Traders</v>
      </c>
      <c r="E1669" s="138">
        <f>VLOOKUP(Purchase[[#This Row],[Supplier ID]],Supplier[#All],3,0)</f>
        <v>9689542489</v>
      </c>
      <c r="F1669" s="138" t="str">
        <f>VLOOKUP(Purchase[[#This Row],[Supplier ID]],Supplier[#All],4,0)</f>
        <v>Indore</v>
      </c>
      <c r="G1669" s="138" t="str">
        <f>VLOOKUP(Purchase[[#This Row],[Supplier ID]],Supplier[#All],5,0)</f>
        <v>MP</v>
      </c>
      <c r="H1669" s="138" t="str">
        <f>VLOOKUP(Purchase[[#This Row],[Supplier ID]],Supplier[#All],6,0)</f>
        <v>GST2154521T051</v>
      </c>
      <c r="I1669" s="138" t="s">
        <v>195</v>
      </c>
      <c r="J1669" s="139">
        <v>22</v>
      </c>
      <c r="K1669" s="143">
        <f>VLOOKUP(Purchase[[#This Row],[Product ID]],Product[#All],6,0)</f>
        <v>38353</v>
      </c>
      <c r="L1669" s="143">
        <f>Purchase[[#This Row],[Purchase Rate]]*Purchase[[#This Row],[Qty]]</f>
        <v>843766</v>
      </c>
      <c r="M1669" s="140">
        <v>0</v>
      </c>
      <c r="N1669" s="143">
        <v>0</v>
      </c>
      <c r="O1669" s="140">
        <v>0.18</v>
      </c>
      <c r="P1669" s="145">
        <f>(Purchase[[#This Row],[Gross Amount]]-Purchase[[#This Row],[Disct %]])*Purchase[[#This Row],[GST %]]</f>
        <v>151877.88</v>
      </c>
      <c r="Q1669" s="145">
        <f>Purchase[[#This Row],[Gross Amount]]-Purchase[[#This Row],[Disct Amnt]]+Purchase[[#This Row],[GST Amount]]</f>
        <v>995643.88</v>
      </c>
      <c r="R1669" s="138" t="s">
        <v>1019</v>
      </c>
      <c r="S1669" s="41">
        <f>IF(Purchase[[#This Row],[Status]]="Cancelled",0,Purchase[[#This Row],[Qty]])</f>
        <v>22</v>
      </c>
      <c r="T1669" s="146">
        <f>IF(Purchase[[#This Row],[Status]]="Cancelled",0,Purchase[[#This Row],[Total Amount]])</f>
        <v>995643.88</v>
      </c>
      <c r="U1669" s="146">
        <f>SUM(Purchase[Net Amount])</f>
        <v>814985438.68000126</v>
      </c>
    </row>
    <row r="1670" spans="1:21" ht="19.5" thickBot="1" x14ac:dyDescent="0.3">
      <c r="A1670" s="136" t="s">
        <v>2724</v>
      </c>
      <c r="B1670" s="137">
        <v>45739</v>
      </c>
      <c r="C1670" s="138" t="s">
        <v>581</v>
      </c>
      <c r="D1670" s="138" t="str">
        <f>VLOOKUP(Purchase[[#This Row],[Supplier ID]],Supplier[#All],2,0)</f>
        <v>Prime Electronics</v>
      </c>
      <c r="E1670" s="138">
        <f>VLOOKUP(Purchase[[#This Row],[Supplier ID]],Supplier[#All],3,0)</f>
        <v>9689542465</v>
      </c>
      <c r="F1670" s="138" t="str">
        <f>VLOOKUP(Purchase[[#This Row],[Supplier ID]],Supplier[#All],4,0)</f>
        <v>Korba</v>
      </c>
      <c r="G1670" s="138" t="str">
        <f>VLOOKUP(Purchase[[#This Row],[Supplier ID]],Supplier[#All],5,0)</f>
        <v>CG</v>
      </c>
      <c r="H1670" s="138" t="str">
        <f>VLOOKUP(Purchase[[#This Row],[Supplier ID]],Supplier[#All],6,0)</f>
        <v>GST2154521T027</v>
      </c>
      <c r="I1670" s="138" t="s">
        <v>525</v>
      </c>
      <c r="J1670" s="139">
        <v>7</v>
      </c>
      <c r="K1670" s="143">
        <f>VLOOKUP(Purchase[[#This Row],[Product ID]],Product[#All],6,0)</f>
        <v>1570</v>
      </c>
      <c r="L1670" s="143">
        <f>Purchase[[#This Row],[Purchase Rate]]*Purchase[[#This Row],[Qty]]</f>
        <v>10990</v>
      </c>
      <c r="M1670" s="140">
        <v>0</v>
      </c>
      <c r="N1670" s="143">
        <v>0</v>
      </c>
      <c r="O1670" s="140">
        <v>0.18</v>
      </c>
      <c r="P1670" s="145">
        <f>(Purchase[[#This Row],[Gross Amount]]-Purchase[[#This Row],[Disct %]])*Purchase[[#This Row],[GST %]]</f>
        <v>1978.1999999999998</v>
      </c>
      <c r="Q1670" s="145">
        <f>Purchase[[#This Row],[Gross Amount]]-Purchase[[#This Row],[Disct Amnt]]+Purchase[[#This Row],[GST Amount]]</f>
        <v>12968.2</v>
      </c>
      <c r="R1670" s="138" t="s">
        <v>1019</v>
      </c>
      <c r="S1670" s="41">
        <f>IF(Purchase[[#This Row],[Status]]="Cancelled",0,Purchase[[#This Row],[Qty]])</f>
        <v>7</v>
      </c>
      <c r="T1670" s="146">
        <f>IF(Purchase[[#This Row],[Status]]="Cancelled",0,Purchase[[#This Row],[Total Amount]])</f>
        <v>12968.2</v>
      </c>
      <c r="U1670" s="146">
        <f>SUM(Purchase[Net Amount])</f>
        <v>814985438.68000126</v>
      </c>
    </row>
    <row r="1671" spans="1:21" ht="19.5" thickBot="1" x14ac:dyDescent="0.3">
      <c r="A1671" s="136" t="s">
        <v>2725</v>
      </c>
      <c r="B1671" s="137">
        <v>45739</v>
      </c>
      <c r="C1671" s="138" t="s">
        <v>573</v>
      </c>
      <c r="D1671" s="138" t="str">
        <f>VLOOKUP(Purchase[[#This Row],[Supplier ID]],Supplier[#All],2,0)</f>
        <v>Shree Traders</v>
      </c>
      <c r="E1671" s="138">
        <f>VLOOKUP(Purchase[[#This Row],[Supplier ID]],Supplier[#All],3,0)</f>
        <v>9689542458</v>
      </c>
      <c r="F1671" s="138" t="str">
        <f>VLOOKUP(Purchase[[#This Row],[Supplier ID]],Supplier[#All],4,0)</f>
        <v>Korba</v>
      </c>
      <c r="G1671" s="138" t="str">
        <f>VLOOKUP(Purchase[[#This Row],[Supplier ID]],Supplier[#All],5,0)</f>
        <v>CG</v>
      </c>
      <c r="H1671" s="138" t="str">
        <f>VLOOKUP(Purchase[[#This Row],[Supplier ID]],Supplier[#All],6,0)</f>
        <v>GST2154521T020</v>
      </c>
      <c r="I1671" s="138" t="s">
        <v>76</v>
      </c>
      <c r="J1671" s="139">
        <v>23</v>
      </c>
      <c r="K1671" s="143">
        <f>VLOOKUP(Purchase[[#This Row],[Product ID]],Product[#All],6,0)</f>
        <v>1400</v>
      </c>
      <c r="L1671" s="143">
        <f>Purchase[[#This Row],[Purchase Rate]]*Purchase[[#This Row],[Qty]]</f>
        <v>32200</v>
      </c>
      <c r="M1671" s="140">
        <v>0</v>
      </c>
      <c r="N1671" s="143">
        <v>0</v>
      </c>
      <c r="O1671" s="140">
        <v>0.18</v>
      </c>
      <c r="P1671" s="145">
        <f>(Purchase[[#This Row],[Gross Amount]]-Purchase[[#This Row],[Disct %]])*Purchase[[#This Row],[GST %]]</f>
        <v>5796</v>
      </c>
      <c r="Q1671" s="145">
        <f>Purchase[[#This Row],[Gross Amount]]-Purchase[[#This Row],[Disct Amnt]]+Purchase[[#This Row],[GST Amount]]</f>
        <v>37996</v>
      </c>
      <c r="R1671" s="138" t="s">
        <v>1019</v>
      </c>
      <c r="S1671" s="41">
        <f>IF(Purchase[[#This Row],[Status]]="Cancelled",0,Purchase[[#This Row],[Qty]])</f>
        <v>23</v>
      </c>
      <c r="T1671" s="146">
        <f>IF(Purchase[[#This Row],[Status]]="Cancelled",0,Purchase[[#This Row],[Total Amount]])</f>
        <v>37996</v>
      </c>
      <c r="U1671" s="146">
        <f>SUM(Purchase[Net Amount])</f>
        <v>814985438.68000126</v>
      </c>
    </row>
    <row r="1672" spans="1:21" ht="19.5" thickBot="1" x14ac:dyDescent="0.3">
      <c r="A1672" s="136" t="s">
        <v>2726</v>
      </c>
      <c r="B1672" s="137">
        <v>45739</v>
      </c>
      <c r="C1672" s="138" t="s">
        <v>597</v>
      </c>
      <c r="D1672" s="138" t="str">
        <f>VLOOKUP(Purchase[[#This Row],[Supplier ID]],Supplier[#All],2,0)</f>
        <v>Tech Traders</v>
      </c>
      <c r="E1672" s="138">
        <f>VLOOKUP(Purchase[[#This Row],[Supplier ID]],Supplier[#All],3,0)</f>
        <v>9689542480</v>
      </c>
      <c r="F1672" s="138" t="str">
        <f>VLOOKUP(Purchase[[#This Row],[Supplier ID]],Supplier[#All],4,0)</f>
        <v>Kanpur</v>
      </c>
      <c r="G1672" s="138" t="str">
        <f>VLOOKUP(Purchase[[#This Row],[Supplier ID]],Supplier[#All],5,0)</f>
        <v>UP</v>
      </c>
      <c r="H1672" s="138" t="str">
        <f>VLOOKUP(Purchase[[#This Row],[Supplier ID]],Supplier[#All],6,0)</f>
        <v>GST2154521T042</v>
      </c>
      <c r="I1672" s="138" t="s">
        <v>171</v>
      </c>
      <c r="J1672" s="139">
        <v>34</v>
      </c>
      <c r="K1672" s="143">
        <f>VLOOKUP(Purchase[[#This Row],[Product ID]],Product[#All],6,0)</f>
        <v>3469</v>
      </c>
      <c r="L1672" s="143">
        <f>Purchase[[#This Row],[Purchase Rate]]*Purchase[[#This Row],[Qty]]</f>
        <v>117946</v>
      </c>
      <c r="M1672" s="140">
        <v>0</v>
      </c>
      <c r="N1672" s="143">
        <v>0</v>
      </c>
      <c r="O1672" s="140">
        <v>0.18</v>
      </c>
      <c r="P1672" s="145">
        <f>(Purchase[[#This Row],[Gross Amount]]-Purchase[[#This Row],[Disct %]])*Purchase[[#This Row],[GST %]]</f>
        <v>21230.28</v>
      </c>
      <c r="Q1672" s="145">
        <f>Purchase[[#This Row],[Gross Amount]]-Purchase[[#This Row],[Disct Amnt]]+Purchase[[#This Row],[GST Amount]]</f>
        <v>139176.28</v>
      </c>
      <c r="R1672" s="138" t="s">
        <v>1019</v>
      </c>
      <c r="S1672" s="41">
        <f>IF(Purchase[[#This Row],[Status]]="Cancelled",0,Purchase[[#This Row],[Qty]])</f>
        <v>34</v>
      </c>
      <c r="T1672" s="146">
        <f>IF(Purchase[[#This Row],[Status]]="Cancelled",0,Purchase[[#This Row],[Total Amount]])</f>
        <v>139176.28</v>
      </c>
      <c r="U1672" s="146">
        <f>SUM(Purchase[Net Amount])</f>
        <v>814985438.68000126</v>
      </c>
    </row>
    <row r="1673" spans="1:21" ht="19.5" thickBot="1" x14ac:dyDescent="0.3">
      <c r="A1673" s="136" t="s">
        <v>2727</v>
      </c>
      <c r="B1673" s="137">
        <v>45739</v>
      </c>
      <c r="C1673" s="138" t="s">
        <v>593</v>
      </c>
      <c r="D1673" s="138" t="str">
        <f>VLOOKUP(Purchase[[#This Row],[Supplier ID]],Supplier[#All],2,0)</f>
        <v>Global Suppliers</v>
      </c>
      <c r="E1673" s="138">
        <f>VLOOKUP(Purchase[[#This Row],[Supplier ID]],Supplier[#All],3,0)</f>
        <v>9689542476</v>
      </c>
      <c r="F1673" s="138" t="str">
        <f>VLOOKUP(Purchase[[#This Row],[Supplier ID]],Supplier[#All],4,0)</f>
        <v>Korba</v>
      </c>
      <c r="G1673" s="138" t="str">
        <f>VLOOKUP(Purchase[[#This Row],[Supplier ID]],Supplier[#All],5,0)</f>
        <v>CG</v>
      </c>
      <c r="H1673" s="138" t="str">
        <f>VLOOKUP(Purchase[[#This Row],[Supplier ID]],Supplier[#All],6,0)</f>
        <v>GST2154521T038</v>
      </c>
      <c r="I1673" s="138" t="s">
        <v>244</v>
      </c>
      <c r="J1673" s="139">
        <v>24</v>
      </c>
      <c r="K1673" s="143">
        <f>VLOOKUP(Purchase[[#This Row],[Product ID]],Product[#All],6,0)</f>
        <v>3205</v>
      </c>
      <c r="L1673" s="143">
        <f>Purchase[[#This Row],[Purchase Rate]]*Purchase[[#This Row],[Qty]]</f>
        <v>76920</v>
      </c>
      <c r="M1673" s="140">
        <v>0</v>
      </c>
      <c r="N1673" s="143">
        <v>0</v>
      </c>
      <c r="O1673" s="140">
        <v>0.18</v>
      </c>
      <c r="P1673" s="145">
        <f>(Purchase[[#This Row],[Gross Amount]]-Purchase[[#This Row],[Disct %]])*Purchase[[#This Row],[GST %]]</f>
        <v>13845.6</v>
      </c>
      <c r="Q1673" s="145">
        <f>Purchase[[#This Row],[Gross Amount]]-Purchase[[#This Row],[Disct Amnt]]+Purchase[[#This Row],[GST Amount]]</f>
        <v>90765.6</v>
      </c>
      <c r="R1673" s="138" t="s">
        <v>1019</v>
      </c>
      <c r="S1673" s="41">
        <f>IF(Purchase[[#This Row],[Status]]="Cancelled",0,Purchase[[#This Row],[Qty]])</f>
        <v>24</v>
      </c>
      <c r="T1673" s="146">
        <f>IF(Purchase[[#This Row],[Status]]="Cancelled",0,Purchase[[#This Row],[Total Amount]])</f>
        <v>90765.6</v>
      </c>
      <c r="U1673" s="146">
        <f>SUM(Purchase[Net Amount])</f>
        <v>814985438.68000126</v>
      </c>
    </row>
    <row r="1674" spans="1:21" ht="19.5" thickBot="1" x14ac:dyDescent="0.3">
      <c r="A1674" s="136" t="s">
        <v>2728</v>
      </c>
      <c r="B1674" s="137">
        <v>45739</v>
      </c>
      <c r="C1674" s="138" t="s">
        <v>590</v>
      </c>
      <c r="D1674" s="138" t="str">
        <f>VLOOKUP(Purchase[[#This Row],[Supplier ID]],Supplier[#All],2,0)</f>
        <v>Star Distributors</v>
      </c>
      <c r="E1674" s="138">
        <f>VLOOKUP(Purchase[[#This Row],[Supplier ID]],Supplier[#All],3,0)</f>
        <v>9689542474</v>
      </c>
      <c r="F1674" s="138" t="str">
        <f>VLOOKUP(Purchase[[#This Row],[Supplier ID]],Supplier[#All],4,0)</f>
        <v>Kanpur</v>
      </c>
      <c r="G1674" s="138" t="str">
        <f>VLOOKUP(Purchase[[#This Row],[Supplier ID]],Supplier[#All],5,0)</f>
        <v>UP</v>
      </c>
      <c r="H1674" s="138" t="str">
        <f>VLOOKUP(Purchase[[#This Row],[Supplier ID]],Supplier[#All],6,0)</f>
        <v>GST2154521T036</v>
      </c>
      <c r="I1674" s="138" t="s">
        <v>194</v>
      </c>
      <c r="J1674" s="139">
        <v>21</v>
      </c>
      <c r="K1674" s="143">
        <f>VLOOKUP(Purchase[[#This Row],[Product ID]],Product[#All],6,0)</f>
        <v>5498</v>
      </c>
      <c r="L1674" s="143">
        <f>Purchase[[#This Row],[Purchase Rate]]*Purchase[[#This Row],[Qty]]</f>
        <v>115458</v>
      </c>
      <c r="M1674" s="140">
        <v>0</v>
      </c>
      <c r="N1674" s="143">
        <v>0</v>
      </c>
      <c r="O1674" s="140">
        <v>0.18</v>
      </c>
      <c r="P1674" s="145">
        <f>(Purchase[[#This Row],[Gross Amount]]-Purchase[[#This Row],[Disct %]])*Purchase[[#This Row],[GST %]]</f>
        <v>20782.439999999999</v>
      </c>
      <c r="Q1674" s="145">
        <f>Purchase[[#This Row],[Gross Amount]]-Purchase[[#This Row],[Disct Amnt]]+Purchase[[#This Row],[GST Amount]]</f>
        <v>136240.44</v>
      </c>
      <c r="R1674" s="138" t="s">
        <v>1019</v>
      </c>
      <c r="S1674" s="41">
        <f>IF(Purchase[[#This Row],[Status]]="Cancelled",0,Purchase[[#This Row],[Qty]])</f>
        <v>21</v>
      </c>
      <c r="T1674" s="146">
        <f>IF(Purchase[[#This Row],[Status]]="Cancelled",0,Purchase[[#This Row],[Total Amount]])</f>
        <v>136240.44</v>
      </c>
      <c r="U1674" s="146">
        <f>SUM(Purchase[Net Amount])</f>
        <v>814985438.68000126</v>
      </c>
    </row>
    <row r="1675" spans="1:21" ht="19.5" thickBot="1" x14ac:dyDescent="0.3">
      <c r="A1675" s="136" t="s">
        <v>2729</v>
      </c>
      <c r="B1675" s="137">
        <v>45739</v>
      </c>
      <c r="C1675" s="138" t="s">
        <v>589</v>
      </c>
      <c r="D1675" s="138" t="str">
        <f>VLOOKUP(Purchase[[#This Row],[Supplier ID]],Supplier[#All],2,0)</f>
        <v>Maa Computers</v>
      </c>
      <c r="E1675" s="138">
        <f>VLOOKUP(Purchase[[#This Row],[Supplier ID]],Supplier[#All],3,0)</f>
        <v>9689542473</v>
      </c>
      <c r="F1675" s="138" t="str">
        <f>VLOOKUP(Purchase[[#This Row],[Supplier ID]],Supplier[#All],4,0)</f>
        <v>Kanpur</v>
      </c>
      <c r="G1675" s="138" t="str">
        <f>VLOOKUP(Purchase[[#This Row],[Supplier ID]],Supplier[#All],5,0)</f>
        <v>UP</v>
      </c>
      <c r="H1675" s="138" t="str">
        <f>VLOOKUP(Purchase[[#This Row],[Supplier ID]],Supplier[#All],6,0)</f>
        <v>GST2154521T035</v>
      </c>
      <c r="I1675" s="138" t="s">
        <v>504</v>
      </c>
      <c r="J1675" s="139">
        <v>40</v>
      </c>
      <c r="K1675" s="143">
        <f>VLOOKUP(Purchase[[#This Row],[Product ID]],Product[#All],6,0)</f>
        <v>3172</v>
      </c>
      <c r="L1675" s="143">
        <f>Purchase[[#This Row],[Purchase Rate]]*Purchase[[#This Row],[Qty]]</f>
        <v>126880</v>
      </c>
      <c r="M1675" s="140">
        <v>0</v>
      </c>
      <c r="N1675" s="143">
        <v>0</v>
      </c>
      <c r="O1675" s="140">
        <v>0.18</v>
      </c>
      <c r="P1675" s="145">
        <f>(Purchase[[#This Row],[Gross Amount]]-Purchase[[#This Row],[Disct %]])*Purchase[[#This Row],[GST %]]</f>
        <v>22838.399999999998</v>
      </c>
      <c r="Q1675" s="145">
        <f>Purchase[[#This Row],[Gross Amount]]-Purchase[[#This Row],[Disct Amnt]]+Purchase[[#This Row],[GST Amount]]</f>
        <v>149718.39999999999</v>
      </c>
      <c r="R1675" s="138" t="s">
        <v>1040</v>
      </c>
      <c r="S1675" s="41">
        <f>IF(Purchase[[#This Row],[Status]]="Cancelled",0,Purchase[[#This Row],[Qty]])</f>
        <v>0</v>
      </c>
      <c r="T1675" s="146">
        <f>IF(Purchase[[#This Row],[Status]]="Cancelled",0,Purchase[[#This Row],[Total Amount]])</f>
        <v>0</v>
      </c>
      <c r="U1675" s="146">
        <f>SUM(Purchase[Net Amount])</f>
        <v>814985438.68000126</v>
      </c>
    </row>
    <row r="1676" spans="1:21" ht="19.5" thickBot="1" x14ac:dyDescent="0.3">
      <c r="A1676" s="136" t="s">
        <v>2730</v>
      </c>
      <c r="B1676" s="137">
        <v>45739</v>
      </c>
      <c r="C1676" s="138" t="s">
        <v>595</v>
      </c>
      <c r="D1676" s="138" t="str">
        <f>VLOOKUP(Purchase[[#This Row],[Supplier ID]],Supplier[#All],2,0)</f>
        <v>Star Computers</v>
      </c>
      <c r="E1676" s="138">
        <f>VLOOKUP(Purchase[[#This Row],[Supplier ID]],Supplier[#All],3,0)</f>
        <v>9689542478</v>
      </c>
      <c r="F1676" s="138" t="str">
        <f>VLOOKUP(Purchase[[#This Row],[Supplier ID]],Supplier[#All],4,0)</f>
        <v>Kanpur</v>
      </c>
      <c r="G1676" s="138" t="str">
        <f>VLOOKUP(Purchase[[#This Row],[Supplier ID]],Supplier[#All],5,0)</f>
        <v>UP</v>
      </c>
      <c r="H1676" s="138" t="str">
        <f>VLOOKUP(Purchase[[#This Row],[Supplier ID]],Supplier[#All],6,0)</f>
        <v>GST2154521T040</v>
      </c>
      <c r="I1676" s="138" t="s">
        <v>474</v>
      </c>
      <c r="J1676" s="139">
        <v>18</v>
      </c>
      <c r="K1676" s="143">
        <f>VLOOKUP(Purchase[[#This Row],[Product ID]],Product[#All],6,0)</f>
        <v>1027</v>
      </c>
      <c r="L1676" s="143">
        <f>Purchase[[#This Row],[Purchase Rate]]*Purchase[[#This Row],[Qty]]</f>
        <v>18486</v>
      </c>
      <c r="M1676" s="140">
        <v>0</v>
      </c>
      <c r="N1676" s="143">
        <v>0</v>
      </c>
      <c r="O1676" s="140">
        <v>0.18</v>
      </c>
      <c r="P1676" s="145">
        <f>(Purchase[[#This Row],[Gross Amount]]-Purchase[[#This Row],[Disct %]])*Purchase[[#This Row],[GST %]]</f>
        <v>3327.48</v>
      </c>
      <c r="Q1676" s="145">
        <f>Purchase[[#This Row],[Gross Amount]]-Purchase[[#This Row],[Disct Amnt]]+Purchase[[#This Row],[GST Amount]]</f>
        <v>21813.48</v>
      </c>
      <c r="R1676" s="138" t="s">
        <v>1019</v>
      </c>
      <c r="S1676" s="41">
        <f>IF(Purchase[[#This Row],[Status]]="Cancelled",0,Purchase[[#This Row],[Qty]])</f>
        <v>18</v>
      </c>
      <c r="T1676" s="146">
        <f>IF(Purchase[[#This Row],[Status]]="Cancelled",0,Purchase[[#This Row],[Total Amount]])</f>
        <v>21813.48</v>
      </c>
      <c r="U1676" s="146">
        <f>SUM(Purchase[Net Amount])</f>
        <v>814985438.68000126</v>
      </c>
    </row>
    <row r="1677" spans="1:21" ht="19.5" thickBot="1" x14ac:dyDescent="0.3">
      <c r="A1677" s="136" t="s">
        <v>2731</v>
      </c>
      <c r="B1677" s="137">
        <v>45739</v>
      </c>
      <c r="C1677" s="138" t="s">
        <v>573</v>
      </c>
      <c r="D1677" s="138" t="str">
        <f>VLOOKUP(Purchase[[#This Row],[Supplier ID]],Supplier[#All],2,0)</f>
        <v>Shree Traders</v>
      </c>
      <c r="E1677" s="138">
        <f>VLOOKUP(Purchase[[#This Row],[Supplier ID]],Supplier[#All],3,0)</f>
        <v>9689542458</v>
      </c>
      <c r="F1677" s="138" t="str">
        <f>VLOOKUP(Purchase[[#This Row],[Supplier ID]],Supplier[#All],4,0)</f>
        <v>Korba</v>
      </c>
      <c r="G1677" s="138" t="str">
        <f>VLOOKUP(Purchase[[#This Row],[Supplier ID]],Supplier[#All],5,0)</f>
        <v>CG</v>
      </c>
      <c r="H1677" s="138" t="str">
        <f>VLOOKUP(Purchase[[#This Row],[Supplier ID]],Supplier[#All],6,0)</f>
        <v>GST2154521T020</v>
      </c>
      <c r="I1677" s="138" t="s">
        <v>539</v>
      </c>
      <c r="J1677" s="139">
        <v>33</v>
      </c>
      <c r="K1677" s="143">
        <f>VLOOKUP(Purchase[[#This Row],[Product ID]],Product[#All],6,0)</f>
        <v>21269</v>
      </c>
      <c r="L1677" s="143">
        <f>Purchase[[#This Row],[Purchase Rate]]*Purchase[[#This Row],[Qty]]</f>
        <v>701877</v>
      </c>
      <c r="M1677" s="140">
        <v>0</v>
      </c>
      <c r="N1677" s="143">
        <v>0</v>
      </c>
      <c r="O1677" s="140">
        <v>0.18</v>
      </c>
      <c r="P1677" s="145">
        <f>(Purchase[[#This Row],[Gross Amount]]-Purchase[[#This Row],[Disct %]])*Purchase[[#This Row],[GST %]]</f>
        <v>126337.86</v>
      </c>
      <c r="Q1677" s="145">
        <f>Purchase[[#This Row],[Gross Amount]]-Purchase[[#This Row],[Disct Amnt]]+Purchase[[#This Row],[GST Amount]]</f>
        <v>828214.86</v>
      </c>
      <c r="R1677" s="138" t="s">
        <v>1019</v>
      </c>
      <c r="S1677" s="41">
        <f>IF(Purchase[[#This Row],[Status]]="Cancelled",0,Purchase[[#This Row],[Qty]])</f>
        <v>33</v>
      </c>
      <c r="T1677" s="146">
        <f>IF(Purchase[[#This Row],[Status]]="Cancelled",0,Purchase[[#This Row],[Total Amount]])</f>
        <v>828214.86</v>
      </c>
      <c r="U1677" s="146">
        <f>SUM(Purchase[Net Amount])</f>
        <v>814985438.68000126</v>
      </c>
    </row>
    <row r="1678" spans="1:21" ht="19.5" thickBot="1" x14ac:dyDescent="0.3">
      <c r="A1678" s="136" t="s">
        <v>2732</v>
      </c>
      <c r="B1678" s="137">
        <v>45740</v>
      </c>
      <c r="C1678" s="138" t="s">
        <v>602</v>
      </c>
      <c r="D1678" s="138" t="str">
        <f>VLOOKUP(Purchase[[#This Row],[Supplier ID]],Supplier[#All],2,0)</f>
        <v>Maa Computers</v>
      </c>
      <c r="E1678" s="138">
        <f>VLOOKUP(Purchase[[#This Row],[Supplier ID]],Supplier[#All],3,0)</f>
        <v>9689542485</v>
      </c>
      <c r="F1678" s="138" t="str">
        <f>VLOOKUP(Purchase[[#This Row],[Supplier ID]],Supplier[#All],4,0)</f>
        <v>Korba</v>
      </c>
      <c r="G1678" s="138" t="str">
        <f>VLOOKUP(Purchase[[#This Row],[Supplier ID]],Supplier[#All],5,0)</f>
        <v>CG</v>
      </c>
      <c r="H1678" s="138" t="str">
        <f>VLOOKUP(Purchase[[#This Row],[Supplier ID]],Supplier[#All],6,0)</f>
        <v>GST2154521T047</v>
      </c>
      <c r="I1678" s="138" t="s">
        <v>511</v>
      </c>
      <c r="J1678" s="139">
        <v>24</v>
      </c>
      <c r="K1678" s="143">
        <f>VLOOKUP(Purchase[[#This Row],[Product ID]],Product[#All],6,0)</f>
        <v>1027</v>
      </c>
      <c r="L1678" s="143">
        <f>Purchase[[#This Row],[Purchase Rate]]*Purchase[[#This Row],[Qty]]</f>
        <v>24648</v>
      </c>
      <c r="M1678" s="140">
        <v>0</v>
      </c>
      <c r="N1678" s="143">
        <v>0</v>
      </c>
      <c r="O1678" s="140">
        <v>0.18</v>
      </c>
      <c r="P1678" s="145">
        <f>(Purchase[[#This Row],[Gross Amount]]-Purchase[[#This Row],[Disct %]])*Purchase[[#This Row],[GST %]]</f>
        <v>4436.6399999999994</v>
      </c>
      <c r="Q1678" s="145">
        <f>Purchase[[#This Row],[Gross Amount]]-Purchase[[#This Row],[Disct Amnt]]+Purchase[[#This Row],[GST Amount]]</f>
        <v>29084.639999999999</v>
      </c>
      <c r="R1678" s="138" t="s">
        <v>1019</v>
      </c>
      <c r="S1678" s="41">
        <f>IF(Purchase[[#This Row],[Status]]="Cancelled",0,Purchase[[#This Row],[Qty]])</f>
        <v>24</v>
      </c>
      <c r="T1678" s="146">
        <f>IF(Purchase[[#This Row],[Status]]="Cancelled",0,Purchase[[#This Row],[Total Amount]])</f>
        <v>29084.639999999999</v>
      </c>
      <c r="U1678" s="146">
        <f>SUM(Purchase[Net Amount])</f>
        <v>814985438.68000126</v>
      </c>
    </row>
    <row r="1679" spans="1:21" ht="19.5" thickBot="1" x14ac:dyDescent="0.3">
      <c r="A1679" s="136" t="s">
        <v>2733</v>
      </c>
      <c r="B1679" s="137">
        <v>45740</v>
      </c>
      <c r="C1679" s="138" t="s">
        <v>577</v>
      </c>
      <c r="D1679" s="138" t="str">
        <f>VLOOKUP(Purchase[[#This Row],[Supplier ID]],Supplier[#All],2,0)</f>
        <v>National Electronics</v>
      </c>
      <c r="E1679" s="138">
        <f>VLOOKUP(Purchase[[#This Row],[Supplier ID]],Supplier[#All],3,0)</f>
        <v>9689542469</v>
      </c>
      <c r="F1679" s="138" t="str">
        <f>VLOOKUP(Purchase[[#This Row],[Supplier ID]],Supplier[#All],4,0)</f>
        <v>Korba</v>
      </c>
      <c r="G1679" s="138" t="str">
        <f>VLOOKUP(Purchase[[#This Row],[Supplier ID]],Supplier[#All],5,0)</f>
        <v>CG</v>
      </c>
      <c r="H1679" s="138" t="str">
        <f>VLOOKUP(Purchase[[#This Row],[Supplier ID]],Supplier[#All],6,0)</f>
        <v>GST2154521T023</v>
      </c>
      <c r="I1679" s="138" t="s">
        <v>265</v>
      </c>
      <c r="J1679" s="139">
        <v>27</v>
      </c>
      <c r="K1679" s="143">
        <f>VLOOKUP(Purchase[[#This Row],[Product ID]],Product[#All],6,0)</f>
        <v>28871</v>
      </c>
      <c r="L1679" s="143">
        <f>Purchase[[#This Row],[Purchase Rate]]*Purchase[[#This Row],[Qty]]</f>
        <v>779517</v>
      </c>
      <c r="M1679" s="140">
        <v>0</v>
      </c>
      <c r="N1679" s="143">
        <v>0</v>
      </c>
      <c r="O1679" s="140">
        <v>0.18</v>
      </c>
      <c r="P1679" s="145">
        <f>(Purchase[[#This Row],[Gross Amount]]-Purchase[[#This Row],[Disct %]])*Purchase[[#This Row],[GST %]]</f>
        <v>140313.06</v>
      </c>
      <c r="Q1679" s="145">
        <f>Purchase[[#This Row],[Gross Amount]]-Purchase[[#This Row],[Disct Amnt]]+Purchase[[#This Row],[GST Amount]]</f>
        <v>919830.06</v>
      </c>
      <c r="R1679" s="138" t="s">
        <v>1019</v>
      </c>
      <c r="S1679" s="41">
        <f>IF(Purchase[[#This Row],[Status]]="Cancelled",0,Purchase[[#This Row],[Qty]])</f>
        <v>27</v>
      </c>
      <c r="T1679" s="146">
        <f>IF(Purchase[[#This Row],[Status]]="Cancelled",0,Purchase[[#This Row],[Total Amount]])</f>
        <v>919830.06</v>
      </c>
      <c r="U1679" s="146">
        <f>SUM(Purchase[Net Amount])</f>
        <v>814985438.68000126</v>
      </c>
    </row>
    <row r="1680" spans="1:21" ht="19.5" thickBot="1" x14ac:dyDescent="0.3">
      <c r="A1680" s="136" t="s">
        <v>2734</v>
      </c>
      <c r="B1680" s="137">
        <v>45740</v>
      </c>
      <c r="C1680" s="138" t="s">
        <v>607</v>
      </c>
      <c r="D1680" s="138" t="str">
        <f>VLOOKUP(Purchase[[#This Row],[Supplier ID]],Supplier[#All],2,0)</f>
        <v>Global Distributors</v>
      </c>
      <c r="E1680" s="138">
        <f>VLOOKUP(Purchase[[#This Row],[Supplier ID]],Supplier[#All],3,0)</f>
        <v>9689542490</v>
      </c>
      <c r="F1680" s="138" t="str">
        <f>VLOOKUP(Purchase[[#This Row],[Supplier ID]],Supplier[#All],4,0)</f>
        <v>Kanpur</v>
      </c>
      <c r="G1680" s="138" t="str">
        <f>VLOOKUP(Purchase[[#This Row],[Supplier ID]],Supplier[#All],5,0)</f>
        <v>UP</v>
      </c>
      <c r="H1680" s="138" t="str">
        <f>VLOOKUP(Purchase[[#This Row],[Supplier ID]],Supplier[#All],6,0)</f>
        <v>GST2154521T052</v>
      </c>
      <c r="I1680" s="138" t="s">
        <v>370</v>
      </c>
      <c r="J1680" s="139">
        <v>14</v>
      </c>
      <c r="K1680" s="143">
        <f>VLOOKUP(Purchase[[#This Row],[Product ID]],Product[#All],6,0)</f>
        <v>19276</v>
      </c>
      <c r="L1680" s="143">
        <f>Purchase[[#This Row],[Purchase Rate]]*Purchase[[#This Row],[Qty]]</f>
        <v>269864</v>
      </c>
      <c r="M1680" s="140">
        <v>0</v>
      </c>
      <c r="N1680" s="143">
        <v>0</v>
      </c>
      <c r="O1680" s="140">
        <v>0.18</v>
      </c>
      <c r="P1680" s="145">
        <f>(Purchase[[#This Row],[Gross Amount]]-Purchase[[#This Row],[Disct %]])*Purchase[[#This Row],[GST %]]</f>
        <v>48575.519999999997</v>
      </c>
      <c r="Q1680" s="145">
        <f>Purchase[[#This Row],[Gross Amount]]-Purchase[[#This Row],[Disct Amnt]]+Purchase[[#This Row],[GST Amount]]</f>
        <v>318439.52</v>
      </c>
      <c r="R1680" s="138" t="s">
        <v>1019</v>
      </c>
      <c r="S1680" s="41">
        <f>IF(Purchase[[#This Row],[Status]]="Cancelled",0,Purchase[[#This Row],[Qty]])</f>
        <v>14</v>
      </c>
      <c r="T1680" s="146">
        <f>IF(Purchase[[#This Row],[Status]]="Cancelled",0,Purchase[[#This Row],[Total Amount]])</f>
        <v>318439.52</v>
      </c>
      <c r="U1680" s="146">
        <f>SUM(Purchase[Net Amount])</f>
        <v>814985438.68000126</v>
      </c>
    </row>
    <row r="1681" spans="1:21" ht="19.5" thickBot="1" x14ac:dyDescent="0.3">
      <c r="A1681" s="136" t="s">
        <v>2735</v>
      </c>
      <c r="B1681" s="137">
        <v>45740</v>
      </c>
      <c r="C1681" s="138" t="s">
        <v>595</v>
      </c>
      <c r="D1681" s="138" t="str">
        <f>VLOOKUP(Purchase[[#This Row],[Supplier ID]],Supplier[#All],2,0)</f>
        <v>Star Computers</v>
      </c>
      <c r="E1681" s="138">
        <f>VLOOKUP(Purchase[[#This Row],[Supplier ID]],Supplier[#All],3,0)</f>
        <v>9689542478</v>
      </c>
      <c r="F1681" s="138" t="str">
        <f>VLOOKUP(Purchase[[#This Row],[Supplier ID]],Supplier[#All],4,0)</f>
        <v>Kanpur</v>
      </c>
      <c r="G1681" s="138" t="str">
        <f>VLOOKUP(Purchase[[#This Row],[Supplier ID]],Supplier[#All],5,0)</f>
        <v>UP</v>
      </c>
      <c r="H1681" s="138" t="str">
        <f>VLOOKUP(Purchase[[#This Row],[Supplier ID]],Supplier[#All],6,0)</f>
        <v>GST2154521T040</v>
      </c>
      <c r="I1681" s="138" t="s">
        <v>327</v>
      </c>
      <c r="J1681" s="139">
        <v>5</v>
      </c>
      <c r="K1681" s="143">
        <f>VLOOKUP(Purchase[[#This Row],[Product ID]],Product[#All],6,0)</f>
        <v>14383</v>
      </c>
      <c r="L1681" s="143">
        <f>Purchase[[#This Row],[Purchase Rate]]*Purchase[[#This Row],[Qty]]</f>
        <v>71915</v>
      </c>
      <c r="M1681" s="140">
        <v>0</v>
      </c>
      <c r="N1681" s="143">
        <v>0</v>
      </c>
      <c r="O1681" s="140">
        <v>0.18</v>
      </c>
      <c r="P1681" s="145">
        <f>(Purchase[[#This Row],[Gross Amount]]-Purchase[[#This Row],[Disct %]])*Purchase[[#This Row],[GST %]]</f>
        <v>12944.699999999999</v>
      </c>
      <c r="Q1681" s="145">
        <f>Purchase[[#This Row],[Gross Amount]]-Purchase[[#This Row],[Disct Amnt]]+Purchase[[#This Row],[GST Amount]]</f>
        <v>84859.7</v>
      </c>
      <c r="R1681" s="138" t="s">
        <v>1019</v>
      </c>
      <c r="S1681" s="41">
        <f>IF(Purchase[[#This Row],[Status]]="Cancelled",0,Purchase[[#This Row],[Qty]])</f>
        <v>5</v>
      </c>
      <c r="T1681" s="146">
        <f>IF(Purchase[[#This Row],[Status]]="Cancelled",0,Purchase[[#This Row],[Total Amount]])</f>
        <v>84859.7</v>
      </c>
      <c r="U1681" s="146">
        <f>SUM(Purchase[Net Amount])</f>
        <v>814985438.68000126</v>
      </c>
    </row>
    <row r="1682" spans="1:21" ht="19.5" thickBot="1" x14ac:dyDescent="0.3">
      <c r="A1682" s="136" t="s">
        <v>2736</v>
      </c>
      <c r="B1682" s="137">
        <v>45740</v>
      </c>
      <c r="C1682" s="138" t="s">
        <v>608</v>
      </c>
      <c r="D1682" s="138" t="str">
        <f>VLOOKUP(Purchase[[#This Row],[Supplier ID]],Supplier[#All],2,0)</f>
        <v>Global Suppliers</v>
      </c>
      <c r="E1682" s="138">
        <f>VLOOKUP(Purchase[[#This Row],[Supplier ID]],Supplier[#All],3,0)</f>
        <v>9689542499</v>
      </c>
      <c r="F1682" s="138" t="str">
        <f>VLOOKUP(Purchase[[#This Row],[Supplier ID]],Supplier[#All],4,0)</f>
        <v>Korba</v>
      </c>
      <c r="G1682" s="138" t="str">
        <f>VLOOKUP(Purchase[[#This Row],[Supplier ID]],Supplier[#All],5,0)</f>
        <v>CG</v>
      </c>
      <c r="H1682" s="138" t="str">
        <f>VLOOKUP(Purchase[[#This Row],[Supplier ID]],Supplier[#All],6,0)</f>
        <v>GST2154521T053</v>
      </c>
      <c r="I1682" s="138" t="s">
        <v>495</v>
      </c>
      <c r="J1682" s="139">
        <v>36</v>
      </c>
      <c r="K1682" s="143">
        <f>VLOOKUP(Purchase[[#This Row],[Product ID]],Product[#All],6,0)</f>
        <v>54252</v>
      </c>
      <c r="L1682" s="143">
        <f>Purchase[[#This Row],[Purchase Rate]]*Purchase[[#This Row],[Qty]]</f>
        <v>1953072</v>
      </c>
      <c r="M1682" s="140">
        <v>0</v>
      </c>
      <c r="N1682" s="143">
        <v>0</v>
      </c>
      <c r="O1682" s="140">
        <v>0.18</v>
      </c>
      <c r="P1682" s="145">
        <f>(Purchase[[#This Row],[Gross Amount]]-Purchase[[#This Row],[Disct %]])*Purchase[[#This Row],[GST %]]</f>
        <v>351552.95999999996</v>
      </c>
      <c r="Q1682" s="145">
        <f>Purchase[[#This Row],[Gross Amount]]-Purchase[[#This Row],[Disct Amnt]]+Purchase[[#This Row],[GST Amount]]</f>
        <v>2304624.96</v>
      </c>
      <c r="R1682" s="138" t="s">
        <v>1019</v>
      </c>
      <c r="S1682" s="41">
        <f>IF(Purchase[[#This Row],[Status]]="Cancelled",0,Purchase[[#This Row],[Qty]])</f>
        <v>36</v>
      </c>
      <c r="T1682" s="146">
        <f>IF(Purchase[[#This Row],[Status]]="Cancelled",0,Purchase[[#This Row],[Total Amount]])</f>
        <v>2304624.96</v>
      </c>
      <c r="U1682" s="146">
        <f>SUM(Purchase[Net Amount])</f>
        <v>814985438.68000126</v>
      </c>
    </row>
    <row r="1683" spans="1:21" ht="19.5" thickBot="1" x14ac:dyDescent="0.3">
      <c r="A1683" s="136" t="s">
        <v>2737</v>
      </c>
      <c r="B1683" s="137">
        <v>45740</v>
      </c>
      <c r="C1683" s="138" t="s">
        <v>567</v>
      </c>
      <c r="D1683" s="138" t="str">
        <f>VLOOKUP(Purchase[[#This Row],[Supplier ID]],Supplier[#All],2,0)</f>
        <v>National Distributors</v>
      </c>
      <c r="E1683" s="138">
        <f>VLOOKUP(Purchase[[#This Row],[Supplier ID]],Supplier[#All],3,0)</f>
        <v>9689542453</v>
      </c>
      <c r="F1683" s="138" t="str">
        <f>VLOOKUP(Purchase[[#This Row],[Supplier ID]],Supplier[#All],4,0)</f>
        <v>Korba</v>
      </c>
      <c r="G1683" s="138" t="str">
        <f>VLOOKUP(Purchase[[#This Row],[Supplier ID]],Supplier[#All],5,0)</f>
        <v>CG</v>
      </c>
      <c r="H1683" s="138" t="str">
        <f>VLOOKUP(Purchase[[#This Row],[Supplier ID]],Supplier[#All],6,0)</f>
        <v>GST2154521T015</v>
      </c>
      <c r="I1683" s="138" t="s">
        <v>291</v>
      </c>
      <c r="J1683" s="139">
        <v>21</v>
      </c>
      <c r="K1683" s="143">
        <f>VLOOKUP(Purchase[[#This Row],[Product ID]],Product[#All],6,0)</f>
        <v>9494</v>
      </c>
      <c r="L1683" s="143">
        <f>Purchase[[#This Row],[Purchase Rate]]*Purchase[[#This Row],[Qty]]</f>
        <v>199374</v>
      </c>
      <c r="M1683" s="140">
        <v>0</v>
      </c>
      <c r="N1683" s="143">
        <v>0</v>
      </c>
      <c r="O1683" s="140">
        <v>0.18</v>
      </c>
      <c r="P1683" s="145">
        <f>(Purchase[[#This Row],[Gross Amount]]-Purchase[[#This Row],[Disct %]])*Purchase[[#This Row],[GST %]]</f>
        <v>35887.32</v>
      </c>
      <c r="Q1683" s="145">
        <f>Purchase[[#This Row],[Gross Amount]]-Purchase[[#This Row],[Disct Amnt]]+Purchase[[#This Row],[GST Amount]]</f>
        <v>235261.32</v>
      </c>
      <c r="R1683" s="138" t="s">
        <v>1019</v>
      </c>
      <c r="S1683" s="41">
        <f>IF(Purchase[[#This Row],[Status]]="Cancelled",0,Purchase[[#This Row],[Qty]])</f>
        <v>21</v>
      </c>
      <c r="T1683" s="146">
        <f>IF(Purchase[[#This Row],[Status]]="Cancelled",0,Purchase[[#This Row],[Total Amount]])</f>
        <v>235261.32</v>
      </c>
      <c r="U1683" s="146">
        <f>SUM(Purchase[Net Amount])</f>
        <v>814985438.68000126</v>
      </c>
    </row>
    <row r="1684" spans="1:21" ht="19.5" thickBot="1" x14ac:dyDescent="0.3">
      <c r="A1684" s="136" t="s">
        <v>2738</v>
      </c>
      <c r="B1684" s="137">
        <v>45740</v>
      </c>
      <c r="C1684" s="138" t="s">
        <v>584</v>
      </c>
      <c r="D1684" s="138" t="str">
        <f>VLOOKUP(Purchase[[#This Row],[Supplier ID]],Supplier[#All],2,0)</f>
        <v>Prime Computers</v>
      </c>
      <c r="E1684" s="138">
        <f>VLOOKUP(Purchase[[#This Row],[Supplier ID]],Supplier[#All],3,0)</f>
        <v>9689542468</v>
      </c>
      <c r="F1684" s="138" t="str">
        <f>VLOOKUP(Purchase[[#This Row],[Supplier ID]],Supplier[#All],4,0)</f>
        <v>Kanpur</v>
      </c>
      <c r="G1684" s="138" t="str">
        <f>VLOOKUP(Purchase[[#This Row],[Supplier ID]],Supplier[#All],5,0)</f>
        <v>UP</v>
      </c>
      <c r="H1684" s="138" t="str">
        <f>VLOOKUP(Purchase[[#This Row],[Supplier ID]],Supplier[#All],6,0)</f>
        <v>GST2154521T030</v>
      </c>
      <c r="I1684" s="138" t="s">
        <v>482</v>
      </c>
      <c r="J1684" s="139">
        <v>15</v>
      </c>
      <c r="K1684" s="143">
        <f>VLOOKUP(Purchase[[#This Row],[Product ID]],Product[#All],6,0)</f>
        <v>611</v>
      </c>
      <c r="L1684" s="143">
        <f>Purchase[[#This Row],[Purchase Rate]]*Purchase[[#This Row],[Qty]]</f>
        <v>9165</v>
      </c>
      <c r="M1684" s="140">
        <v>0</v>
      </c>
      <c r="N1684" s="143">
        <v>0</v>
      </c>
      <c r="O1684" s="140">
        <v>0.18</v>
      </c>
      <c r="P1684" s="145">
        <f>(Purchase[[#This Row],[Gross Amount]]-Purchase[[#This Row],[Disct %]])*Purchase[[#This Row],[GST %]]</f>
        <v>1649.7</v>
      </c>
      <c r="Q1684" s="145">
        <f>Purchase[[#This Row],[Gross Amount]]-Purchase[[#This Row],[Disct Amnt]]+Purchase[[#This Row],[GST Amount]]</f>
        <v>10814.7</v>
      </c>
      <c r="R1684" s="138" t="s">
        <v>1019</v>
      </c>
      <c r="S1684" s="41">
        <f>IF(Purchase[[#This Row],[Status]]="Cancelled",0,Purchase[[#This Row],[Qty]])</f>
        <v>15</v>
      </c>
      <c r="T1684" s="146">
        <f>IF(Purchase[[#This Row],[Status]]="Cancelled",0,Purchase[[#This Row],[Total Amount]])</f>
        <v>10814.7</v>
      </c>
      <c r="U1684" s="146">
        <f>SUM(Purchase[Net Amount])</f>
        <v>814985438.68000126</v>
      </c>
    </row>
    <row r="1685" spans="1:21" ht="19.5" thickBot="1" x14ac:dyDescent="0.3">
      <c r="A1685" s="136" t="s">
        <v>2739</v>
      </c>
      <c r="B1685" s="137">
        <v>45740</v>
      </c>
      <c r="C1685" s="138" t="s">
        <v>575</v>
      </c>
      <c r="D1685" s="138" t="str">
        <f>VLOOKUP(Purchase[[#This Row],[Supplier ID]],Supplier[#All],2,0)</f>
        <v>Global Computers</v>
      </c>
      <c r="E1685" s="138">
        <f>VLOOKUP(Purchase[[#This Row],[Supplier ID]],Supplier[#All],3,0)</f>
        <v>9689542459</v>
      </c>
      <c r="F1685" s="138" t="str">
        <f>VLOOKUP(Purchase[[#This Row],[Supplier ID]],Supplier[#All],4,0)</f>
        <v>Indore</v>
      </c>
      <c r="G1685" s="138" t="str">
        <f>VLOOKUP(Purchase[[#This Row],[Supplier ID]],Supplier[#All],5,0)</f>
        <v>MP</v>
      </c>
      <c r="H1685" s="138" t="str">
        <f>VLOOKUP(Purchase[[#This Row],[Supplier ID]],Supplier[#All],6,0)</f>
        <v>GST2154521T021</v>
      </c>
      <c r="I1685" s="138" t="s">
        <v>194</v>
      </c>
      <c r="J1685" s="139">
        <v>37</v>
      </c>
      <c r="K1685" s="143">
        <f>VLOOKUP(Purchase[[#This Row],[Product ID]],Product[#All],6,0)</f>
        <v>5498</v>
      </c>
      <c r="L1685" s="143">
        <f>Purchase[[#This Row],[Purchase Rate]]*Purchase[[#This Row],[Qty]]</f>
        <v>203426</v>
      </c>
      <c r="M1685" s="140">
        <v>0</v>
      </c>
      <c r="N1685" s="143">
        <v>0</v>
      </c>
      <c r="O1685" s="140">
        <v>0.18</v>
      </c>
      <c r="P1685" s="145">
        <f>(Purchase[[#This Row],[Gross Amount]]-Purchase[[#This Row],[Disct %]])*Purchase[[#This Row],[GST %]]</f>
        <v>36616.68</v>
      </c>
      <c r="Q1685" s="145">
        <f>Purchase[[#This Row],[Gross Amount]]-Purchase[[#This Row],[Disct Amnt]]+Purchase[[#This Row],[GST Amount]]</f>
        <v>240042.68</v>
      </c>
      <c r="R1685" s="138" t="s">
        <v>1040</v>
      </c>
      <c r="S1685" s="41">
        <f>IF(Purchase[[#This Row],[Status]]="Cancelled",0,Purchase[[#This Row],[Qty]])</f>
        <v>0</v>
      </c>
      <c r="T1685" s="146">
        <f>IF(Purchase[[#This Row],[Status]]="Cancelled",0,Purchase[[#This Row],[Total Amount]])</f>
        <v>0</v>
      </c>
      <c r="U1685" s="146">
        <f>SUM(Purchase[Net Amount])</f>
        <v>814985438.68000126</v>
      </c>
    </row>
    <row r="1686" spans="1:21" ht="19.5" thickBot="1" x14ac:dyDescent="0.3">
      <c r="A1686" s="136" t="s">
        <v>2740</v>
      </c>
      <c r="B1686" s="137">
        <v>45740</v>
      </c>
      <c r="C1686" s="138" t="s">
        <v>600</v>
      </c>
      <c r="D1686" s="138" t="str">
        <f>VLOOKUP(Purchase[[#This Row],[Supplier ID]],Supplier[#All],2,0)</f>
        <v>Prime Suppliers</v>
      </c>
      <c r="E1686" s="138">
        <f>VLOOKUP(Purchase[[#This Row],[Supplier ID]],Supplier[#All],3,0)</f>
        <v>9689542483</v>
      </c>
      <c r="F1686" s="138" t="str">
        <f>VLOOKUP(Purchase[[#This Row],[Supplier ID]],Supplier[#All],4,0)</f>
        <v>Korba</v>
      </c>
      <c r="G1686" s="138" t="str">
        <f>VLOOKUP(Purchase[[#This Row],[Supplier ID]],Supplier[#All],5,0)</f>
        <v>CG</v>
      </c>
      <c r="H1686" s="138" t="str">
        <f>VLOOKUP(Purchase[[#This Row],[Supplier ID]],Supplier[#All],6,0)</f>
        <v>GST2154521T045</v>
      </c>
      <c r="I1686" s="138" t="s">
        <v>238</v>
      </c>
      <c r="J1686" s="139">
        <v>36</v>
      </c>
      <c r="K1686" s="143">
        <f>VLOOKUP(Purchase[[#This Row],[Product ID]],Product[#All],6,0)</f>
        <v>6619</v>
      </c>
      <c r="L1686" s="143">
        <f>Purchase[[#This Row],[Purchase Rate]]*Purchase[[#This Row],[Qty]]</f>
        <v>238284</v>
      </c>
      <c r="M1686" s="140">
        <v>0</v>
      </c>
      <c r="N1686" s="143">
        <v>0</v>
      </c>
      <c r="O1686" s="140">
        <v>0.18</v>
      </c>
      <c r="P1686" s="145">
        <f>(Purchase[[#This Row],[Gross Amount]]-Purchase[[#This Row],[Disct %]])*Purchase[[#This Row],[GST %]]</f>
        <v>42891.119999999995</v>
      </c>
      <c r="Q1686" s="145">
        <f>Purchase[[#This Row],[Gross Amount]]-Purchase[[#This Row],[Disct Amnt]]+Purchase[[#This Row],[GST Amount]]</f>
        <v>281175.12</v>
      </c>
      <c r="R1686" s="138" t="s">
        <v>1019</v>
      </c>
      <c r="S1686" s="41">
        <f>IF(Purchase[[#This Row],[Status]]="Cancelled",0,Purchase[[#This Row],[Qty]])</f>
        <v>36</v>
      </c>
      <c r="T1686" s="146">
        <f>IF(Purchase[[#This Row],[Status]]="Cancelled",0,Purchase[[#This Row],[Total Amount]])</f>
        <v>281175.12</v>
      </c>
      <c r="U1686" s="146">
        <f>SUM(Purchase[Net Amount])</f>
        <v>814985438.68000126</v>
      </c>
    </row>
    <row r="1687" spans="1:21" ht="19.5" thickBot="1" x14ac:dyDescent="0.3">
      <c r="A1687" s="136" t="s">
        <v>2741</v>
      </c>
      <c r="B1687" s="137">
        <v>45740</v>
      </c>
      <c r="C1687" s="138" t="s">
        <v>612</v>
      </c>
      <c r="D1687" s="138" t="str">
        <f>VLOOKUP(Purchase[[#This Row],[Supplier ID]],Supplier[#All],2,0)</f>
        <v>National Computers</v>
      </c>
      <c r="E1687" s="138">
        <f>VLOOKUP(Purchase[[#This Row],[Supplier ID]],Supplier[#All],3,0)</f>
        <v>9689542495</v>
      </c>
      <c r="F1687" s="138" t="str">
        <f>VLOOKUP(Purchase[[#This Row],[Supplier ID]],Supplier[#All],4,0)</f>
        <v>Indore</v>
      </c>
      <c r="G1687" s="138" t="str">
        <f>VLOOKUP(Purchase[[#This Row],[Supplier ID]],Supplier[#All],5,0)</f>
        <v>MP</v>
      </c>
      <c r="H1687" s="138" t="str">
        <f>VLOOKUP(Purchase[[#This Row],[Supplier ID]],Supplier[#All],6,0)</f>
        <v>GST2154521T057</v>
      </c>
      <c r="I1687" s="138" t="s">
        <v>357</v>
      </c>
      <c r="J1687" s="139">
        <v>2</v>
      </c>
      <c r="K1687" s="143">
        <f>VLOOKUP(Purchase[[#This Row],[Product ID]],Product[#All],6,0)</f>
        <v>7550</v>
      </c>
      <c r="L1687" s="143">
        <f>Purchase[[#This Row],[Purchase Rate]]*Purchase[[#This Row],[Qty]]</f>
        <v>15100</v>
      </c>
      <c r="M1687" s="140">
        <v>0</v>
      </c>
      <c r="N1687" s="143">
        <v>0</v>
      </c>
      <c r="O1687" s="140">
        <v>0.18</v>
      </c>
      <c r="P1687" s="145">
        <f>(Purchase[[#This Row],[Gross Amount]]-Purchase[[#This Row],[Disct %]])*Purchase[[#This Row],[GST %]]</f>
        <v>2718</v>
      </c>
      <c r="Q1687" s="145">
        <f>Purchase[[#This Row],[Gross Amount]]-Purchase[[#This Row],[Disct Amnt]]+Purchase[[#This Row],[GST Amount]]</f>
        <v>17818</v>
      </c>
      <c r="R1687" s="138" t="s">
        <v>1019</v>
      </c>
      <c r="S1687" s="41">
        <f>IF(Purchase[[#This Row],[Status]]="Cancelled",0,Purchase[[#This Row],[Qty]])</f>
        <v>2</v>
      </c>
      <c r="T1687" s="146">
        <f>IF(Purchase[[#This Row],[Status]]="Cancelled",0,Purchase[[#This Row],[Total Amount]])</f>
        <v>17818</v>
      </c>
      <c r="U1687" s="146">
        <f>SUM(Purchase[Net Amount])</f>
        <v>814985438.68000126</v>
      </c>
    </row>
    <row r="1688" spans="1:21" ht="19.5" thickBot="1" x14ac:dyDescent="0.3">
      <c r="A1688" s="136" t="s">
        <v>2742</v>
      </c>
      <c r="B1688" s="137">
        <v>45740</v>
      </c>
      <c r="C1688" s="138" t="s">
        <v>606</v>
      </c>
      <c r="D1688" s="138" t="str">
        <f>VLOOKUP(Purchase[[#This Row],[Supplier ID]],Supplier[#All],2,0)</f>
        <v>Prime Traders</v>
      </c>
      <c r="E1688" s="138">
        <f>VLOOKUP(Purchase[[#This Row],[Supplier ID]],Supplier[#All],3,0)</f>
        <v>9689542489</v>
      </c>
      <c r="F1688" s="138" t="str">
        <f>VLOOKUP(Purchase[[#This Row],[Supplier ID]],Supplier[#All],4,0)</f>
        <v>Indore</v>
      </c>
      <c r="G1688" s="138" t="str">
        <f>VLOOKUP(Purchase[[#This Row],[Supplier ID]],Supplier[#All],5,0)</f>
        <v>MP</v>
      </c>
      <c r="H1688" s="138" t="str">
        <f>VLOOKUP(Purchase[[#This Row],[Supplier ID]],Supplier[#All],6,0)</f>
        <v>GST2154521T051</v>
      </c>
      <c r="I1688" s="138" t="s">
        <v>99</v>
      </c>
      <c r="J1688" s="139">
        <v>7</v>
      </c>
      <c r="K1688" s="143">
        <f>VLOOKUP(Purchase[[#This Row],[Product ID]],Product[#All],6,0)</f>
        <v>26896</v>
      </c>
      <c r="L1688" s="143">
        <f>Purchase[[#This Row],[Purchase Rate]]*Purchase[[#This Row],[Qty]]</f>
        <v>188272</v>
      </c>
      <c r="M1688" s="140">
        <v>0</v>
      </c>
      <c r="N1688" s="143">
        <v>0</v>
      </c>
      <c r="O1688" s="140">
        <v>0.18</v>
      </c>
      <c r="P1688" s="145">
        <f>(Purchase[[#This Row],[Gross Amount]]-Purchase[[#This Row],[Disct %]])*Purchase[[#This Row],[GST %]]</f>
        <v>33888.959999999999</v>
      </c>
      <c r="Q1688" s="145">
        <f>Purchase[[#This Row],[Gross Amount]]-Purchase[[#This Row],[Disct Amnt]]+Purchase[[#This Row],[GST Amount]]</f>
        <v>222160.96</v>
      </c>
      <c r="R1688" s="138" t="s">
        <v>1019</v>
      </c>
      <c r="S1688" s="41">
        <f>IF(Purchase[[#This Row],[Status]]="Cancelled",0,Purchase[[#This Row],[Qty]])</f>
        <v>7</v>
      </c>
      <c r="T1688" s="146">
        <f>IF(Purchase[[#This Row],[Status]]="Cancelled",0,Purchase[[#This Row],[Total Amount]])</f>
        <v>222160.96</v>
      </c>
      <c r="U1688" s="146">
        <f>SUM(Purchase[Net Amount])</f>
        <v>814985438.68000126</v>
      </c>
    </row>
    <row r="1689" spans="1:21" ht="19.5" thickBot="1" x14ac:dyDescent="0.3">
      <c r="A1689" s="136" t="s">
        <v>2743</v>
      </c>
      <c r="B1689" s="137">
        <v>45740</v>
      </c>
      <c r="C1689" s="138" t="s">
        <v>614</v>
      </c>
      <c r="D1689" s="138" t="str">
        <f>VLOOKUP(Purchase[[#This Row],[Supplier ID]],Supplier[#All],2,0)</f>
        <v>National Electronics</v>
      </c>
      <c r="E1689" s="138">
        <f>VLOOKUP(Purchase[[#This Row],[Supplier ID]],Supplier[#All],3,0)</f>
        <v>9689542497</v>
      </c>
      <c r="F1689" s="138" t="str">
        <f>VLOOKUP(Purchase[[#This Row],[Supplier ID]],Supplier[#All],4,0)</f>
        <v>Kanpur</v>
      </c>
      <c r="G1689" s="138" t="str">
        <f>VLOOKUP(Purchase[[#This Row],[Supplier ID]],Supplier[#All],5,0)</f>
        <v>UP</v>
      </c>
      <c r="H1689" s="138" t="str">
        <f>VLOOKUP(Purchase[[#This Row],[Supplier ID]],Supplier[#All],6,0)</f>
        <v>GST2154521T059</v>
      </c>
      <c r="I1689" s="138" t="s">
        <v>214</v>
      </c>
      <c r="J1689" s="139">
        <v>25</v>
      </c>
      <c r="K1689" s="143">
        <f>VLOOKUP(Purchase[[#This Row],[Product ID]],Product[#All],6,0)</f>
        <v>8627</v>
      </c>
      <c r="L1689" s="143">
        <f>Purchase[[#This Row],[Purchase Rate]]*Purchase[[#This Row],[Qty]]</f>
        <v>215675</v>
      </c>
      <c r="M1689" s="140">
        <v>0</v>
      </c>
      <c r="N1689" s="143">
        <v>0</v>
      </c>
      <c r="O1689" s="140">
        <v>0.18</v>
      </c>
      <c r="P1689" s="145">
        <f>(Purchase[[#This Row],[Gross Amount]]-Purchase[[#This Row],[Disct %]])*Purchase[[#This Row],[GST %]]</f>
        <v>38821.5</v>
      </c>
      <c r="Q1689" s="145">
        <f>Purchase[[#This Row],[Gross Amount]]-Purchase[[#This Row],[Disct Amnt]]+Purchase[[#This Row],[GST Amount]]</f>
        <v>254496.5</v>
      </c>
      <c r="R1689" s="138" t="s">
        <v>1019</v>
      </c>
      <c r="S1689" s="41">
        <f>IF(Purchase[[#This Row],[Status]]="Cancelled",0,Purchase[[#This Row],[Qty]])</f>
        <v>25</v>
      </c>
      <c r="T1689" s="146">
        <f>IF(Purchase[[#This Row],[Status]]="Cancelled",0,Purchase[[#This Row],[Total Amount]])</f>
        <v>254496.5</v>
      </c>
      <c r="U1689" s="146">
        <f>SUM(Purchase[Net Amount])</f>
        <v>814985438.68000126</v>
      </c>
    </row>
    <row r="1690" spans="1:21" ht="19.5" thickBot="1" x14ac:dyDescent="0.3">
      <c r="A1690" s="136" t="s">
        <v>2744</v>
      </c>
      <c r="B1690" s="137">
        <v>45740</v>
      </c>
      <c r="C1690" s="138" t="s">
        <v>590</v>
      </c>
      <c r="D1690" s="138" t="str">
        <f>VLOOKUP(Purchase[[#This Row],[Supplier ID]],Supplier[#All],2,0)</f>
        <v>Star Distributors</v>
      </c>
      <c r="E1690" s="138">
        <f>VLOOKUP(Purchase[[#This Row],[Supplier ID]],Supplier[#All],3,0)</f>
        <v>9689542474</v>
      </c>
      <c r="F1690" s="138" t="str">
        <f>VLOOKUP(Purchase[[#This Row],[Supplier ID]],Supplier[#All],4,0)</f>
        <v>Kanpur</v>
      </c>
      <c r="G1690" s="138" t="str">
        <f>VLOOKUP(Purchase[[#This Row],[Supplier ID]],Supplier[#All],5,0)</f>
        <v>UP</v>
      </c>
      <c r="H1690" s="138" t="str">
        <f>VLOOKUP(Purchase[[#This Row],[Supplier ID]],Supplier[#All],6,0)</f>
        <v>GST2154521T036</v>
      </c>
      <c r="I1690" s="138" t="s">
        <v>237</v>
      </c>
      <c r="J1690" s="139">
        <v>24</v>
      </c>
      <c r="K1690" s="143">
        <f>VLOOKUP(Purchase[[#This Row],[Product ID]],Product[#All],6,0)</f>
        <v>4240</v>
      </c>
      <c r="L1690" s="143">
        <f>Purchase[[#This Row],[Purchase Rate]]*Purchase[[#This Row],[Qty]]</f>
        <v>101760</v>
      </c>
      <c r="M1690" s="140">
        <v>0</v>
      </c>
      <c r="N1690" s="143">
        <v>0</v>
      </c>
      <c r="O1690" s="140">
        <v>0.18</v>
      </c>
      <c r="P1690" s="145">
        <f>(Purchase[[#This Row],[Gross Amount]]-Purchase[[#This Row],[Disct %]])*Purchase[[#This Row],[GST %]]</f>
        <v>18316.8</v>
      </c>
      <c r="Q1690" s="145">
        <f>Purchase[[#This Row],[Gross Amount]]-Purchase[[#This Row],[Disct Amnt]]+Purchase[[#This Row],[GST Amount]]</f>
        <v>120076.8</v>
      </c>
      <c r="R1690" s="138" t="s">
        <v>1019</v>
      </c>
      <c r="S1690" s="41">
        <f>IF(Purchase[[#This Row],[Status]]="Cancelled",0,Purchase[[#This Row],[Qty]])</f>
        <v>24</v>
      </c>
      <c r="T1690" s="146">
        <f>IF(Purchase[[#This Row],[Status]]="Cancelled",0,Purchase[[#This Row],[Total Amount]])</f>
        <v>120076.8</v>
      </c>
      <c r="U1690" s="146">
        <f>SUM(Purchase[Net Amount])</f>
        <v>814985438.68000126</v>
      </c>
    </row>
    <row r="1691" spans="1:21" ht="19.5" thickBot="1" x14ac:dyDescent="0.3">
      <c r="A1691" s="136" t="s">
        <v>2745</v>
      </c>
      <c r="B1691" s="137">
        <v>45741</v>
      </c>
      <c r="C1691" s="138" t="s">
        <v>614</v>
      </c>
      <c r="D1691" s="138" t="str">
        <f>VLOOKUP(Purchase[[#This Row],[Supplier ID]],Supplier[#All],2,0)</f>
        <v>National Electronics</v>
      </c>
      <c r="E1691" s="138">
        <f>VLOOKUP(Purchase[[#This Row],[Supplier ID]],Supplier[#All],3,0)</f>
        <v>9689542497</v>
      </c>
      <c r="F1691" s="138" t="str">
        <f>VLOOKUP(Purchase[[#This Row],[Supplier ID]],Supplier[#All],4,0)</f>
        <v>Kanpur</v>
      </c>
      <c r="G1691" s="138" t="str">
        <f>VLOOKUP(Purchase[[#This Row],[Supplier ID]],Supplier[#All],5,0)</f>
        <v>UP</v>
      </c>
      <c r="H1691" s="138" t="str">
        <f>VLOOKUP(Purchase[[#This Row],[Supplier ID]],Supplier[#All],6,0)</f>
        <v>GST2154521T059</v>
      </c>
      <c r="I1691" s="138" t="s">
        <v>362</v>
      </c>
      <c r="J1691" s="139">
        <v>8</v>
      </c>
      <c r="K1691" s="143">
        <f>VLOOKUP(Purchase[[#This Row],[Product ID]],Product[#All],6,0)</f>
        <v>3403</v>
      </c>
      <c r="L1691" s="143">
        <f>Purchase[[#This Row],[Purchase Rate]]*Purchase[[#This Row],[Qty]]</f>
        <v>27224</v>
      </c>
      <c r="M1691" s="140">
        <v>0</v>
      </c>
      <c r="N1691" s="143">
        <v>0</v>
      </c>
      <c r="O1691" s="140">
        <v>0.18</v>
      </c>
      <c r="P1691" s="145">
        <f>(Purchase[[#This Row],[Gross Amount]]-Purchase[[#This Row],[Disct %]])*Purchase[[#This Row],[GST %]]</f>
        <v>4900.32</v>
      </c>
      <c r="Q1691" s="145">
        <f>Purchase[[#This Row],[Gross Amount]]-Purchase[[#This Row],[Disct Amnt]]+Purchase[[#This Row],[GST Amount]]</f>
        <v>32124.32</v>
      </c>
      <c r="R1691" s="138" t="s">
        <v>1019</v>
      </c>
      <c r="S1691" s="41">
        <f>IF(Purchase[[#This Row],[Status]]="Cancelled",0,Purchase[[#This Row],[Qty]])</f>
        <v>8</v>
      </c>
      <c r="T1691" s="146">
        <f>IF(Purchase[[#This Row],[Status]]="Cancelled",0,Purchase[[#This Row],[Total Amount]])</f>
        <v>32124.32</v>
      </c>
      <c r="U1691" s="146">
        <f>SUM(Purchase[Net Amount])</f>
        <v>814985438.68000126</v>
      </c>
    </row>
    <row r="1692" spans="1:21" ht="19.5" thickBot="1" x14ac:dyDescent="0.3">
      <c r="A1692" s="136" t="s">
        <v>2746</v>
      </c>
      <c r="B1692" s="137">
        <v>45741</v>
      </c>
      <c r="C1692" s="138" t="s">
        <v>600</v>
      </c>
      <c r="D1692" s="138" t="str">
        <f>VLOOKUP(Purchase[[#This Row],[Supplier ID]],Supplier[#All],2,0)</f>
        <v>Prime Suppliers</v>
      </c>
      <c r="E1692" s="138">
        <f>VLOOKUP(Purchase[[#This Row],[Supplier ID]],Supplier[#All],3,0)</f>
        <v>9689542483</v>
      </c>
      <c r="F1692" s="138" t="str">
        <f>VLOOKUP(Purchase[[#This Row],[Supplier ID]],Supplier[#All],4,0)</f>
        <v>Korba</v>
      </c>
      <c r="G1692" s="138" t="str">
        <f>VLOOKUP(Purchase[[#This Row],[Supplier ID]],Supplier[#All],5,0)</f>
        <v>CG</v>
      </c>
      <c r="H1692" s="138" t="str">
        <f>VLOOKUP(Purchase[[#This Row],[Supplier ID]],Supplier[#All],6,0)</f>
        <v>GST2154521T045</v>
      </c>
      <c r="I1692" s="138" t="s">
        <v>251</v>
      </c>
      <c r="J1692" s="139">
        <v>39</v>
      </c>
      <c r="K1692" s="143">
        <f>VLOOKUP(Purchase[[#This Row],[Product ID]],Product[#All],6,0)</f>
        <v>2536</v>
      </c>
      <c r="L1692" s="143">
        <f>Purchase[[#This Row],[Purchase Rate]]*Purchase[[#This Row],[Qty]]</f>
        <v>98904</v>
      </c>
      <c r="M1692" s="140">
        <v>0</v>
      </c>
      <c r="N1692" s="143">
        <v>0</v>
      </c>
      <c r="O1692" s="140">
        <v>0.18</v>
      </c>
      <c r="P1692" s="145">
        <f>(Purchase[[#This Row],[Gross Amount]]-Purchase[[#This Row],[Disct %]])*Purchase[[#This Row],[GST %]]</f>
        <v>17802.719999999998</v>
      </c>
      <c r="Q1692" s="145">
        <f>Purchase[[#This Row],[Gross Amount]]-Purchase[[#This Row],[Disct Amnt]]+Purchase[[#This Row],[GST Amount]]</f>
        <v>116706.72</v>
      </c>
      <c r="R1692" s="138" t="s">
        <v>1019</v>
      </c>
      <c r="S1692" s="41">
        <f>IF(Purchase[[#This Row],[Status]]="Cancelled",0,Purchase[[#This Row],[Qty]])</f>
        <v>39</v>
      </c>
      <c r="T1692" s="146">
        <f>IF(Purchase[[#This Row],[Status]]="Cancelled",0,Purchase[[#This Row],[Total Amount]])</f>
        <v>116706.72</v>
      </c>
      <c r="U1692" s="146">
        <f>SUM(Purchase[Net Amount])</f>
        <v>814985438.68000126</v>
      </c>
    </row>
    <row r="1693" spans="1:21" ht="19.5" thickBot="1" x14ac:dyDescent="0.3">
      <c r="A1693" s="136" t="s">
        <v>2747</v>
      </c>
      <c r="B1693" s="137">
        <v>45741</v>
      </c>
      <c r="C1693" s="138" t="s">
        <v>594</v>
      </c>
      <c r="D1693" s="138" t="str">
        <f>VLOOKUP(Purchase[[#This Row],[Supplier ID]],Supplier[#All],2,0)</f>
        <v>Shree Suppliers</v>
      </c>
      <c r="E1693" s="138">
        <f>VLOOKUP(Purchase[[#This Row],[Supplier ID]],Supplier[#All],3,0)</f>
        <v>9689542477</v>
      </c>
      <c r="F1693" s="138" t="str">
        <f>VLOOKUP(Purchase[[#This Row],[Supplier ID]],Supplier[#All],4,0)</f>
        <v>Indore</v>
      </c>
      <c r="G1693" s="138" t="str">
        <f>VLOOKUP(Purchase[[#This Row],[Supplier ID]],Supplier[#All],5,0)</f>
        <v>MP</v>
      </c>
      <c r="H1693" s="138" t="str">
        <f>VLOOKUP(Purchase[[#This Row],[Supplier ID]],Supplier[#All],6,0)</f>
        <v>GST2154521T039</v>
      </c>
      <c r="I1693" s="138" t="s">
        <v>470</v>
      </c>
      <c r="J1693" s="139">
        <v>38</v>
      </c>
      <c r="K1693" s="143">
        <f>VLOOKUP(Purchase[[#This Row],[Product ID]],Product[#All],6,0)</f>
        <v>30694</v>
      </c>
      <c r="L1693" s="143">
        <f>Purchase[[#This Row],[Purchase Rate]]*Purchase[[#This Row],[Qty]]</f>
        <v>1166372</v>
      </c>
      <c r="M1693" s="140">
        <v>0</v>
      </c>
      <c r="N1693" s="143">
        <v>0</v>
      </c>
      <c r="O1693" s="140">
        <v>0.18</v>
      </c>
      <c r="P1693" s="145">
        <f>(Purchase[[#This Row],[Gross Amount]]-Purchase[[#This Row],[Disct %]])*Purchase[[#This Row],[GST %]]</f>
        <v>209946.96</v>
      </c>
      <c r="Q1693" s="145">
        <f>Purchase[[#This Row],[Gross Amount]]-Purchase[[#This Row],[Disct Amnt]]+Purchase[[#This Row],[GST Amount]]</f>
        <v>1376318.96</v>
      </c>
      <c r="R1693" s="138" t="s">
        <v>1019</v>
      </c>
      <c r="S1693" s="41">
        <f>IF(Purchase[[#This Row],[Status]]="Cancelled",0,Purchase[[#This Row],[Qty]])</f>
        <v>38</v>
      </c>
      <c r="T1693" s="146">
        <f>IF(Purchase[[#This Row],[Status]]="Cancelled",0,Purchase[[#This Row],[Total Amount]])</f>
        <v>1376318.96</v>
      </c>
      <c r="U1693" s="146">
        <f>SUM(Purchase[Net Amount])</f>
        <v>814985438.68000126</v>
      </c>
    </row>
    <row r="1694" spans="1:21" ht="19.5" thickBot="1" x14ac:dyDescent="0.3">
      <c r="A1694" s="136" t="s">
        <v>2748</v>
      </c>
      <c r="B1694" s="137">
        <v>45741</v>
      </c>
      <c r="C1694" s="138" t="s">
        <v>604</v>
      </c>
      <c r="D1694" s="138" t="str">
        <f>VLOOKUP(Purchase[[#This Row],[Supplier ID]],Supplier[#All],2,0)</f>
        <v>Prime Traders</v>
      </c>
      <c r="E1694" s="138">
        <f>VLOOKUP(Purchase[[#This Row],[Supplier ID]],Supplier[#All],3,0)</f>
        <v>9689542487</v>
      </c>
      <c r="F1694" s="138" t="str">
        <f>VLOOKUP(Purchase[[#This Row],[Supplier ID]],Supplier[#All],4,0)</f>
        <v>Indore</v>
      </c>
      <c r="G1694" s="138" t="str">
        <f>VLOOKUP(Purchase[[#This Row],[Supplier ID]],Supplier[#All],5,0)</f>
        <v>MP</v>
      </c>
      <c r="H1694" s="138" t="str">
        <f>VLOOKUP(Purchase[[#This Row],[Supplier ID]],Supplier[#All],6,0)</f>
        <v>GST2154521T049</v>
      </c>
      <c r="I1694" s="138" t="s">
        <v>35</v>
      </c>
      <c r="J1694" s="139">
        <v>9</v>
      </c>
      <c r="K1694" s="143">
        <f>VLOOKUP(Purchase[[#This Row],[Product ID]],Product[#All],6,0)</f>
        <v>2905</v>
      </c>
      <c r="L1694" s="143">
        <f>Purchase[[#This Row],[Purchase Rate]]*Purchase[[#This Row],[Qty]]</f>
        <v>26145</v>
      </c>
      <c r="M1694" s="140">
        <v>0</v>
      </c>
      <c r="N1694" s="143">
        <v>0</v>
      </c>
      <c r="O1694" s="140">
        <v>0.18</v>
      </c>
      <c r="P1694" s="145">
        <f>(Purchase[[#This Row],[Gross Amount]]-Purchase[[#This Row],[Disct %]])*Purchase[[#This Row],[GST %]]</f>
        <v>4706.0999999999995</v>
      </c>
      <c r="Q1694" s="145">
        <f>Purchase[[#This Row],[Gross Amount]]-Purchase[[#This Row],[Disct Amnt]]+Purchase[[#This Row],[GST Amount]]</f>
        <v>30851.1</v>
      </c>
      <c r="R1694" s="138" t="s">
        <v>1019</v>
      </c>
      <c r="S1694" s="41">
        <f>IF(Purchase[[#This Row],[Status]]="Cancelled",0,Purchase[[#This Row],[Qty]])</f>
        <v>9</v>
      </c>
      <c r="T1694" s="146">
        <f>IF(Purchase[[#This Row],[Status]]="Cancelled",0,Purchase[[#This Row],[Total Amount]])</f>
        <v>30851.1</v>
      </c>
      <c r="U1694" s="146">
        <f>SUM(Purchase[Net Amount])</f>
        <v>814985438.68000126</v>
      </c>
    </row>
    <row r="1695" spans="1:21" ht="19.5" thickBot="1" x14ac:dyDescent="0.3">
      <c r="A1695" s="136" t="s">
        <v>2749</v>
      </c>
      <c r="B1695" s="137">
        <v>45741</v>
      </c>
      <c r="C1695" s="138" t="s">
        <v>606</v>
      </c>
      <c r="D1695" s="138" t="str">
        <f>VLOOKUP(Purchase[[#This Row],[Supplier ID]],Supplier[#All],2,0)</f>
        <v>Prime Traders</v>
      </c>
      <c r="E1695" s="138">
        <f>VLOOKUP(Purchase[[#This Row],[Supplier ID]],Supplier[#All],3,0)</f>
        <v>9689542489</v>
      </c>
      <c r="F1695" s="138" t="str">
        <f>VLOOKUP(Purchase[[#This Row],[Supplier ID]],Supplier[#All],4,0)</f>
        <v>Indore</v>
      </c>
      <c r="G1695" s="138" t="str">
        <f>VLOOKUP(Purchase[[#This Row],[Supplier ID]],Supplier[#All],5,0)</f>
        <v>MP</v>
      </c>
      <c r="H1695" s="138" t="str">
        <f>VLOOKUP(Purchase[[#This Row],[Supplier ID]],Supplier[#All],6,0)</f>
        <v>GST2154521T051</v>
      </c>
      <c r="I1695" s="138" t="s">
        <v>287</v>
      </c>
      <c r="J1695" s="139">
        <v>11</v>
      </c>
      <c r="K1695" s="143">
        <f>VLOOKUP(Purchase[[#This Row],[Product ID]],Product[#All],6,0)</f>
        <v>1803</v>
      </c>
      <c r="L1695" s="143">
        <f>Purchase[[#This Row],[Purchase Rate]]*Purchase[[#This Row],[Qty]]</f>
        <v>19833</v>
      </c>
      <c r="M1695" s="140">
        <v>0</v>
      </c>
      <c r="N1695" s="143">
        <v>0</v>
      </c>
      <c r="O1695" s="140">
        <v>0.18</v>
      </c>
      <c r="P1695" s="145">
        <f>(Purchase[[#This Row],[Gross Amount]]-Purchase[[#This Row],[Disct %]])*Purchase[[#This Row],[GST %]]</f>
        <v>3569.94</v>
      </c>
      <c r="Q1695" s="145">
        <f>Purchase[[#This Row],[Gross Amount]]-Purchase[[#This Row],[Disct Amnt]]+Purchase[[#This Row],[GST Amount]]</f>
        <v>23402.94</v>
      </c>
      <c r="R1695" s="138" t="s">
        <v>1019</v>
      </c>
      <c r="S1695" s="41">
        <f>IF(Purchase[[#This Row],[Status]]="Cancelled",0,Purchase[[#This Row],[Qty]])</f>
        <v>11</v>
      </c>
      <c r="T1695" s="146">
        <f>IF(Purchase[[#This Row],[Status]]="Cancelled",0,Purchase[[#This Row],[Total Amount]])</f>
        <v>23402.94</v>
      </c>
      <c r="U1695" s="146">
        <f>SUM(Purchase[Net Amount])</f>
        <v>814985438.68000126</v>
      </c>
    </row>
    <row r="1696" spans="1:21" ht="19.5" thickBot="1" x14ac:dyDescent="0.3">
      <c r="A1696" s="136" t="s">
        <v>2750</v>
      </c>
      <c r="B1696" s="137">
        <v>45741</v>
      </c>
      <c r="C1696" s="138" t="s">
        <v>606</v>
      </c>
      <c r="D1696" s="138" t="str">
        <f>VLOOKUP(Purchase[[#This Row],[Supplier ID]],Supplier[#All],2,0)</f>
        <v>Prime Traders</v>
      </c>
      <c r="E1696" s="138">
        <f>VLOOKUP(Purchase[[#This Row],[Supplier ID]],Supplier[#All],3,0)</f>
        <v>9689542489</v>
      </c>
      <c r="F1696" s="138" t="str">
        <f>VLOOKUP(Purchase[[#This Row],[Supplier ID]],Supplier[#All],4,0)</f>
        <v>Indore</v>
      </c>
      <c r="G1696" s="138" t="str">
        <f>VLOOKUP(Purchase[[#This Row],[Supplier ID]],Supplier[#All],5,0)</f>
        <v>MP</v>
      </c>
      <c r="H1696" s="138" t="str">
        <f>VLOOKUP(Purchase[[#This Row],[Supplier ID]],Supplier[#All],6,0)</f>
        <v>GST2154521T051</v>
      </c>
      <c r="I1696" s="138" t="s">
        <v>479</v>
      </c>
      <c r="J1696" s="139">
        <v>6</v>
      </c>
      <c r="K1696" s="143">
        <f>VLOOKUP(Purchase[[#This Row],[Product ID]],Product[#All],6,0)</f>
        <v>4548</v>
      </c>
      <c r="L1696" s="143">
        <f>Purchase[[#This Row],[Purchase Rate]]*Purchase[[#This Row],[Qty]]</f>
        <v>27288</v>
      </c>
      <c r="M1696" s="140">
        <v>0</v>
      </c>
      <c r="N1696" s="143">
        <v>0</v>
      </c>
      <c r="O1696" s="140">
        <v>0.18</v>
      </c>
      <c r="P1696" s="145">
        <f>(Purchase[[#This Row],[Gross Amount]]-Purchase[[#This Row],[Disct %]])*Purchase[[#This Row],[GST %]]</f>
        <v>4911.84</v>
      </c>
      <c r="Q1696" s="145">
        <f>Purchase[[#This Row],[Gross Amount]]-Purchase[[#This Row],[Disct Amnt]]+Purchase[[#This Row],[GST Amount]]</f>
        <v>32199.84</v>
      </c>
      <c r="R1696" s="138" t="s">
        <v>1019</v>
      </c>
      <c r="S1696" s="41">
        <f>IF(Purchase[[#This Row],[Status]]="Cancelled",0,Purchase[[#This Row],[Qty]])</f>
        <v>6</v>
      </c>
      <c r="T1696" s="146">
        <f>IF(Purchase[[#This Row],[Status]]="Cancelled",0,Purchase[[#This Row],[Total Amount]])</f>
        <v>32199.84</v>
      </c>
      <c r="U1696" s="146">
        <f>SUM(Purchase[Net Amount])</f>
        <v>814985438.68000126</v>
      </c>
    </row>
    <row r="1697" spans="1:21" ht="19.5" thickBot="1" x14ac:dyDescent="0.3">
      <c r="A1697" s="136" t="s">
        <v>2751</v>
      </c>
      <c r="B1697" s="137">
        <v>45741</v>
      </c>
      <c r="C1697" s="138" t="s">
        <v>2752</v>
      </c>
      <c r="D1697" s="138" t="str">
        <f>VLOOKUP(Purchase[[#This Row],[Supplier ID]],Supplier[#All],2,0)</f>
        <v>Tech Suppliers</v>
      </c>
      <c r="E1697" s="138">
        <f>VLOOKUP(Purchase[[#This Row],[Supplier ID]],Supplier[#All],3,0)</f>
        <v>9689542457</v>
      </c>
      <c r="F1697" s="138" t="str">
        <f>VLOOKUP(Purchase[[#This Row],[Supplier ID]],Supplier[#All],4,0)</f>
        <v>Korba</v>
      </c>
      <c r="G1697" s="138" t="str">
        <f>VLOOKUP(Purchase[[#This Row],[Supplier ID]],Supplier[#All],5,0)</f>
        <v>CG</v>
      </c>
      <c r="H1697" s="138" t="str">
        <f>VLOOKUP(Purchase[[#This Row],[Supplier ID]],Supplier[#All],6,0)</f>
        <v>GST2154521T019</v>
      </c>
      <c r="I1697" s="138" t="s">
        <v>554</v>
      </c>
      <c r="J1697" s="139">
        <v>4</v>
      </c>
      <c r="K1697" s="143">
        <f>VLOOKUP(Purchase[[#This Row],[Product ID]],Product[#All],6,0)</f>
        <v>4950</v>
      </c>
      <c r="L1697" s="143">
        <f>Purchase[[#This Row],[Purchase Rate]]*Purchase[[#This Row],[Qty]]</f>
        <v>19800</v>
      </c>
      <c r="M1697" s="140">
        <v>0</v>
      </c>
      <c r="N1697" s="143">
        <v>0</v>
      </c>
      <c r="O1697" s="140">
        <v>0.18</v>
      </c>
      <c r="P1697" s="145">
        <f>(Purchase[[#This Row],[Gross Amount]]-Purchase[[#This Row],[Disct %]])*Purchase[[#This Row],[GST %]]</f>
        <v>3564</v>
      </c>
      <c r="Q1697" s="145">
        <f>Purchase[[#This Row],[Gross Amount]]-Purchase[[#This Row],[Disct Amnt]]+Purchase[[#This Row],[GST Amount]]</f>
        <v>23364</v>
      </c>
      <c r="R1697" s="138" t="s">
        <v>1019</v>
      </c>
      <c r="S1697" s="41">
        <f>IF(Purchase[[#This Row],[Status]]="Cancelled",0,Purchase[[#This Row],[Qty]])</f>
        <v>4</v>
      </c>
      <c r="T1697" s="146">
        <f>IF(Purchase[[#This Row],[Status]]="Cancelled",0,Purchase[[#This Row],[Total Amount]])</f>
        <v>23364</v>
      </c>
      <c r="U1697" s="146">
        <f>SUM(Purchase[Net Amount])</f>
        <v>814985438.68000126</v>
      </c>
    </row>
    <row r="1698" spans="1:21" ht="19.5" thickBot="1" x14ac:dyDescent="0.3">
      <c r="A1698" s="136" t="s">
        <v>2753</v>
      </c>
      <c r="B1698" s="137">
        <v>45741</v>
      </c>
      <c r="C1698" s="138" t="s">
        <v>602</v>
      </c>
      <c r="D1698" s="138" t="str">
        <f>VLOOKUP(Purchase[[#This Row],[Supplier ID]],Supplier[#All],2,0)</f>
        <v>Maa Computers</v>
      </c>
      <c r="E1698" s="138">
        <f>VLOOKUP(Purchase[[#This Row],[Supplier ID]],Supplier[#All],3,0)</f>
        <v>9689542485</v>
      </c>
      <c r="F1698" s="138" t="str">
        <f>VLOOKUP(Purchase[[#This Row],[Supplier ID]],Supplier[#All],4,0)</f>
        <v>Korba</v>
      </c>
      <c r="G1698" s="138" t="str">
        <f>VLOOKUP(Purchase[[#This Row],[Supplier ID]],Supplier[#All],5,0)</f>
        <v>CG</v>
      </c>
      <c r="H1698" s="138" t="str">
        <f>VLOOKUP(Purchase[[#This Row],[Supplier ID]],Supplier[#All],6,0)</f>
        <v>GST2154521T047</v>
      </c>
      <c r="I1698" s="138" t="s">
        <v>67</v>
      </c>
      <c r="J1698" s="139">
        <v>33</v>
      </c>
      <c r="K1698" s="143">
        <f>VLOOKUP(Purchase[[#This Row],[Product ID]],Product[#All],6,0)</f>
        <v>2409</v>
      </c>
      <c r="L1698" s="143">
        <f>Purchase[[#This Row],[Purchase Rate]]*Purchase[[#This Row],[Qty]]</f>
        <v>79497</v>
      </c>
      <c r="M1698" s="140">
        <v>0</v>
      </c>
      <c r="N1698" s="143">
        <v>0</v>
      </c>
      <c r="O1698" s="140">
        <v>0.18</v>
      </c>
      <c r="P1698" s="145">
        <f>(Purchase[[#This Row],[Gross Amount]]-Purchase[[#This Row],[Disct %]])*Purchase[[#This Row],[GST %]]</f>
        <v>14309.46</v>
      </c>
      <c r="Q1698" s="145">
        <f>Purchase[[#This Row],[Gross Amount]]-Purchase[[#This Row],[Disct Amnt]]+Purchase[[#This Row],[GST Amount]]</f>
        <v>93806.459999999992</v>
      </c>
      <c r="R1698" s="138" t="s">
        <v>1019</v>
      </c>
      <c r="S1698" s="41">
        <f>IF(Purchase[[#This Row],[Status]]="Cancelled",0,Purchase[[#This Row],[Qty]])</f>
        <v>33</v>
      </c>
      <c r="T1698" s="146">
        <f>IF(Purchase[[#This Row],[Status]]="Cancelled",0,Purchase[[#This Row],[Total Amount]])</f>
        <v>93806.459999999992</v>
      </c>
      <c r="U1698" s="146">
        <f>SUM(Purchase[Net Amount])</f>
        <v>814985438.68000126</v>
      </c>
    </row>
    <row r="1699" spans="1:21" ht="19.5" thickBot="1" x14ac:dyDescent="0.3">
      <c r="A1699" s="136" t="s">
        <v>2754</v>
      </c>
      <c r="B1699" s="137">
        <v>45741</v>
      </c>
      <c r="C1699" s="138" t="s">
        <v>570</v>
      </c>
      <c r="D1699" s="138" t="str">
        <f>VLOOKUP(Purchase[[#This Row],[Supplier ID]],Supplier[#All],2,0)</f>
        <v>Prime Traders</v>
      </c>
      <c r="E1699" s="138">
        <f>VLOOKUP(Purchase[[#This Row],[Supplier ID]],Supplier[#All],3,0)</f>
        <v>9689542456</v>
      </c>
      <c r="F1699" s="138" t="str">
        <f>VLOOKUP(Purchase[[#This Row],[Supplier ID]],Supplier[#All],4,0)</f>
        <v>Indore</v>
      </c>
      <c r="G1699" s="138" t="str">
        <f>VLOOKUP(Purchase[[#This Row],[Supplier ID]],Supplier[#All],5,0)</f>
        <v>MP</v>
      </c>
      <c r="H1699" s="138" t="str">
        <f>VLOOKUP(Purchase[[#This Row],[Supplier ID]],Supplier[#All],6,0)</f>
        <v>GST2154521T018</v>
      </c>
      <c r="I1699" s="138" t="s">
        <v>269</v>
      </c>
      <c r="J1699" s="139">
        <v>4</v>
      </c>
      <c r="K1699" s="143">
        <f>VLOOKUP(Purchase[[#This Row],[Product ID]],Product[#All],6,0)</f>
        <v>8657</v>
      </c>
      <c r="L1699" s="143">
        <f>Purchase[[#This Row],[Purchase Rate]]*Purchase[[#This Row],[Qty]]</f>
        <v>34628</v>
      </c>
      <c r="M1699" s="140">
        <v>0</v>
      </c>
      <c r="N1699" s="143">
        <v>0</v>
      </c>
      <c r="O1699" s="140">
        <v>0.18</v>
      </c>
      <c r="P1699" s="145">
        <f>(Purchase[[#This Row],[Gross Amount]]-Purchase[[#This Row],[Disct %]])*Purchase[[#This Row],[GST %]]</f>
        <v>6233.04</v>
      </c>
      <c r="Q1699" s="145">
        <f>Purchase[[#This Row],[Gross Amount]]-Purchase[[#This Row],[Disct Amnt]]+Purchase[[#This Row],[GST Amount]]</f>
        <v>40861.040000000001</v>
      </c>
      <c r="R1699" s="138" t="s">
        <v>1019</v>
      </c>
      <c r="S1699" s="41">
        <f>IF(Purchase[[#This Row],[Status]]="Cancelled",0,Purchase[[#This Row],[Qty]])</f>
        <v>4</v>
      </c>
      <c r="T1699" s="146">
        <f>IF(Purchase[[#This Row],[Status]]="Cancelled",0,Purchase[[#This Row],[Total Amount]])</f>
        <v>40861.040000000001</v>
      </c>
      <c r="U1699" s="146">
        <f>SUM(Purchase[Net Amount])</f>
        <v>814985438.68000126</v>
      </c>
    </row>
    <row r="1700" spans="1:21" ht="19.5" thickBot="1" x14ac:dyDescent="0.3">
      <c r="A1700" s="136" t="s">
        <v>2755</v>
      </c>
      <c r="B1700" s="137">
        <v>45741</v>
      </c>
      <c r="C1700" s="138" t="s">
        <v>570</v>
      </c>
      <c r="D1700" s="138" t="str">
        <f>VLOOKUP(Purchase[[#This Row],[Supplier ID]],Supplier[#All],2,0)</f>
        <v>Prime Traders</v>
      </c>
      <c r="E1700" s="138">
        <f>VLOOKUP(Purchase[[#This Row],[Supplier ID]],Supplier[#All],3,0)</f>
        <v>9689542456</v>
      </c>
      <c r="F1700" s="138" t="str">
        <f>VLOOKUP(Purchase[[#This Row],[Supplier ID]],Supplier[#All],4,0)</f>
        <v>Indore</v>
      </c>
      <c r="G1700" s="138" t="str">
        <f>VLOOKUP(Purchase[[#This Row],[Supplier ID]],Supplier[#All],5,0)</f>
        <v>MP</v>
      </c>
      <c r="H1700" s="138" t="str">
        <f>VLOOKUP(Purchase[[#This Row],[Supplier ID]],Supplier[#All],6,0)</f>
        <v>GST2154521T018</v>
      </c>
      <c r="I1700" s="138" t="s">
        <v>384</v>
      </c>
      <c r="J1700" s="139">
        <v>10</v>
      </c>
      <c r="K1700" s="143">
        <f>VLOOKUP(Purchase[[#This Row],[Product ID]],Product[#All],6,0)</f>
        <v>12176</v>
      </c>
      <c r="L1700" s="143">
        <f>Purchase[[#This Row],[Purchase Rate]]*Purchase[[#This Row],[Qty]]</f>
        <v>121760</v>
      </c>
      <c r="M1700" s="140">
        <v>0</v>
      </c>
      <c r="N1700" s="143">
        <v>0</v>
      </c>
      <c r="O1700" s="140">
        <v>0.18</v>
      </c>
      <c r="P1700" s="145">
        <f>(Purchase[[#This Row],[Gross Amount]]-Purchase[[#This Row],[Disct %]])*Purchase[[#This Row],[GST %]]</f>
        <v>21916.799999999999</v>
      </c>
      <c r="Q1700" s="145">
        <f>Purchase[[#This Row],[Gross Amount]]-Purchase[[#This Row],[Disct Amnt]]+Purchase[[#This Row],[GST Amount]]</f>
        <v>143676.79999999999</v>
      </c>
      <c r="R1700" s="138" t="s">
        <v>1019</v>
      </c>
      <c r="S1700" s="41">
        <f>IF(Purchase[[#This Row],[Status]]="Cancelled",0,Purchase[[#This Row],[Qty]])</f>
        <v>10</v>
      </c>
      <c r="T1700" s="146">
        <f>IF(Purchase[[#This Row],[Status]]="Cancelled",0,Purchase[[#This Row],[Total Amount]])</f>
        <v>143676.79999999999</v>
      </c>
      <c r="U1700" s="146">
        <f>SUM(Purchase[Net Amount])</f>
        <v>814985438.68000126</v>
      </c>
    </row>
    <row r="1701" spans="1:21" ht="19.5" thickBot="1" x14ac:dyDescent="0.3">
      <c r="A1701" s="136" t="s">
        <v>2756</v>
      </c>
      <c r="B1701" s="137">
        <v>45741</v>
      </c>
      <c r="C1701" s="138" t="s">
        <v>596</v>
      </c>
      <c r="D1701" s="138" t="str">
        <f>VLOOKUP(Purchase[[#This Row],[Supplier ID]],Supplier[#All],2,0)</f>
        <v>star traders</v>
      </c>
      <c r="E1701" s="138">
        <f>VLOOKUP(Purchase[[#This Row],[Supplier ID]],Supplier[#All],3,0)</f>
        <v>9689542479</v>
      </c>
      <c r="F1701" s="138" t="str">
        <f>VLOOKUP(Purchase[[#This Row],[Supplier ID]],Supplier[#All],4,0)</f>
        <v>Korba</v>
      </c>
      <c r="G1701" s="138" t="str">
        <f>VLOOKUP(Purchase[[#This Row],[Supplier ID]],Supplier[#All],5,0)</f>
        <v>CG</v>
      </c>
      <c r="H1701" s="138" t="str">
        <f>VLOOKUP(Purchase[[#This Row],[Supplier ID]],Supplier[#All],6,0)</f>
        <v>GST2154521T041</v>
      </c>
      <c r="I1701" s="138" t="s">
        <v>277</v>
      </c>
      <c r="J1701" s="139">
        <v>29</v>
      </c>
      <c r="K1701" s="143">
        <f>VLOOKUP(Purchase[[#This Row],[Product ID]],Product[#All],6,0)</f>
        <v>3844</v>
      </c>
      <c r="L1701" s="143">
        <f>Purchase[[#This Row],[Purchase Rate]]*Purchase[[#This Row],[Qty]]</f>
        <v>111476</v>
      </c>
      <c r="M1701" s="140">
        <v>0</v>
      </c>
      <c r="N1701" s="143">
        <v>0</v>
      </c>
      <c r="O1701" s="140">
        <v>0.18</v>
      </c>
      <c r="P1701" s="145">
        <f>(Purchase[[#This Row],[Gross Amount]]-Purchase[[#This Row],[Disct %]])*Purchase[[#This Row],[GST %]]</f>
        <v>20065.68</v>
      </c>
      <c r="Q1701" s="145">
        <f>Purchase[[#This Row],[Gross Amount]]-Purchase[[#This Row],[Disct Amnt]]+Purchase[[#This Row],[GST Amount]]</f>
        <v>131541.68</v>
      </c>
      <c r="R1701" s="138" t="s">
        <v>1019</v>
      </c>
      <c r="S1701" s="41">
        <f>IF(Purchase[[#This Row],[Status]]="Cancelled",0,Purchase[[#This Row],[Qty]])</f>
        <v>29</v>
      </c>
      <c r="T1701" s="146">
        <f>IF(Purchase[[#This Row],[Status]]="Cancelled",0,Purchase[[#This Row],[Total Amount]])</f>
        <v>131541.68</v>
      </c>
      <c r="U1701" s="146">
        <f>SUM(Purchase[Net Amount])</f>
        <v>814985438.68000126</v>
      </c>
    </row>
    <row r="1702" spans="1:21" ht="19.5" thickBot="1" x14ac:dyDescent="0.3">
      <c r="A1702" s="136" t="s">
        <v>2757</v>
      </c>
      <c r="B1702" s="137">
        <v>45741</v>
      </c>
      <c r="C1702" s="138" t="s">
        <v>575</v>
      </c>
      <c r="D1702" s="138" t="str">
        <f>VLOOKUP(Purchase[[#This Row],[Supplier ID]],Supplier[#All],2,0)</f>
        <v>Global Computers</v>
      </c>
      <c r="E1702" s="138">
        <f>VLOOKUP(Purchase[[#This Row],[Supplier ID]],Supplier[#All],3,0)</f>
        <v>9689542459</v>
      </c>
      <c r="F1702" s="138" t="str">
        <f>VLOOKUP(Purchase[[#This Row],[Supplier ID]],Supplier[#All],4,0)</f>
        <v>Indore</v>
      </c>
      <c r="G1702" s="138" t="str">
        <f>VLOOKUP(Purchase[[#This Row],[Supplier ID]],Supplier[#All],5,0)</f>
        <v>MP</v>
      </c>
      <c r="H1702" s="138" t="str">
        <f>VLOOKUP(Purchase[[#This Row],[Supplier ID]],Supplier[#All],6,0)</f>
        <v>GST2154521T021</v>
      </c>
      <c r="I1702" s="138" t="s">
        <v>383</v>
      </c>
      <c r="J1702" s="139">
        <v>22</v>
      </c>
      <c r="K1702" s="143">
        <f>VLOOKUP(Purchase[[#This Row],[Product ID]],Product[#All],6,0)</f>
        <v>2478</v>
      </c>
      <c r="L1702" s="143">
        <f>Purchase[[#This Row],[Purchase Rate]]*Purchase[[#This Row],[Qty]]</f>
        <v>54516</v>
      </c>
      <c r="M1702" s="140">
        <v>0</v>
      </c>
      <c r="N1702" s="143">
        <v>0</v>
      </c>
      <c r="O1702" s="140">
        <v>0.18</v>
      </c>
      <c r="P1702" s="145">
        <f>(Purchase[[#This Row],[Gross Amount]]-Purchase[[#This Row],[Disct %]])*Purchase[[#This Row],[GST %]]</f>
        <v>9812.8799999999992</v>
      </c>
      <c r="Q1702" s="145">
        <f>Purchase[[#This Row],[Gross Amount]]-Purchase[[#This Row],[Disct Amnt]]+Purchase[[#This Row],[GST Amount]]</f>
        <v>64328.88</v>
      </c>
      <c r="R1702" s="138" t="s">
        <v>1019</v>
      </c>
      <c r="S1702" s="41">
        <f>IF(Purchase[[#This Row],[Status]]="Cancelled",0,Purchase[[#This Row],[Qty]])</f>
        <v>22</v>
      </c>
      <c r="T1702" s="146">
        <f>IF(Purchase[[#This Row],[Status]]="Cancelled",0,Purchase[[#This Row],[Total Amount]])</f>
        <v>64328.88</v>
      </c>
      <c r="U1702" s="146">
        <f>SUM(Purchase[Net Amount])</f>
        <v>814985438.68000126</v>
      </c>
    </row>
    <row r="1703" spans="1:21" ht="19.5" thickBot="1" x14ac:dyDescent="0.3">
      <c r="A1703" s="136" t="s">
        <v>2758</v>
      </c>
      <c r="B1703" s="137">
        <v>45741</v>
      </c>
      <c r="C1703" s="138" t="s">
        <v>573</v>
      </c>
      <c r="D1703" s="138" t="str">
        <f>VLOOKUP(Purchase[[#This Row],[Supplier ID]],Supplier[#All],2,0)</f>
        <v>Shree Traders</v>
      </c>
      <c r="E1703" s="138">
        <f>VLOOKUP(Purchase[[#This Row],[Supplier ID]],Supplier[#All],3,0)</f>
        <v>9689542458</v>
      </c>
      <c r="F1703" s="138" t="str">
        <f>VLOOKUP(Purchase[[#This Row],[Supplier ID]],Supplier[#All],4,0)</f>
        <v>Korba</v>
      </c>
      <c r="G1703" s="138" t="str">
        <f>VLOOKUP(Purchase[[#This Row],[Supplier ID]],Supplier[#All],5,0)</f>
        <v>CG</v>
      </c>
      <c r="H1703" s="138" t="str">
        <f>VLOOKUP(Purchase[[#This Row],[Supplier ID]],Supplier[#All],6,0)</f>
        <v>GST2154521T020</v>
      </c>
      <c r="I1703" s="138" t="s">
        <v>315</v>
      </c>
      <c r="J1703" s="139">
        <v>30</v>
      </c>
      <c r="K1703" s="143">
        <f>VLOOKUP(Purchase[[#This Row],[Product ID]],Product[#All],6,0)</f>
        <v>2069</v>
      </c>
      <c r="L1703" s="143">
        <f>Purchase[[#This Row],[Purchase Rate]]*Purchase[[#This Row],[Qty]]</f>
        <v>62070</v>
      </c>
      <c r="M1703" s="140">
        <v>0</v>
      </c>
      <c r="N1703" s="143">
        <v>0</v>
      </c>
      <c r="O1703" s="140">
        <v>0.18</v>
      </c>
      <c r="P1703" s="145">
        <f>(Purchase[[#This Row],[Gross Amount]]-Purchase[[#This Row],[Disct %]])*Purchase[[#This Row],[GST %]]</f>
        <v>11172.6</v>
      </c>
      <c r="Q1703" s="145">
        <f>Purchase[[#This Row],[Gross Amount]]-Purchase[[#This Row],[Disct Amnt]]+Purchase[[#This Row],[GST Amount]]</f>
        <v>73242.600000000006</v>
      </c>
      <c r="R1703" s="138" t="s">
        <v>1019</v>
      </c>
      <c r="S1703" s="41">
        <f>IF(Purchase[[#This Row],[Status]]="Cancelled",0,Purchase[[#This Row],[Qty]])</f>
        <v>30</v>
      </c>
      <c r="T1703" s="146">
        <f>IF(Purchase[[#This Row],[Status]]="Cancelled",0,Purchase[[#This Row],[Total Amount]])</f>
        <v>73242.600000000006</v>
      </c>
      <c r="U1703" s="146">
        <f>SUM(Purchase[Net Amount])</f>
        <v>814985438.68000126</v>
      </c>
    </row>
    <row r="1704" spans="1:21" ht="19.5" thickBot="1" x14ac:dyDescent="0.3">
      <c r="A1704" s="136" t="s">
        <v>2759</v>
      </c>
      <c r="B1704" s="137">
        <v>45741</v>
      </c>
      <c r="C1704" s="138" t="s">
        <v>569</v>
      </c>
      <c r="D1704" s="138" t="str">
        <f>VLOOKUP(Purchase[[#This Row],[Supplier ID]],Supplier[#All],2,0)</f>
        <v>Tech Electronics</v>
      </c>
      <c r="E1704" s="138">
        <f>VLOOKUP(Purchase[[#This Row],[Supplier ID]],Supplier[#All],3,0)</f>
        <v>9689542455</v>
      </c>
      <c r="F1704" s="138" t="str">
        <f>VLOOKUP(Purchase[[#This Row],[Supplier ID]],Supplier[#All],4,0)</f>
        <v>Korba</v>
      </c>
      <c r="G1704" s="138" t="str">
        <f>VLOOKUP(Purchase[[#This Row],[Supplier ID]],Supplier[#All],5,0)</f>
        <v>CG</v>
      </c>
      <c r="H1704" s="138" t="str">
        <f>VLOOKUP(Purchase[[#This Row],[Supplier ID]],Supplier[#All],6,0)</f>
        <v>GST2154521T017</v>
      </c>
      <c r="I1704" s="138" t="s">
        <v>75</v>
      </c>
      <c r="J1704" s="139">
        <v>2</v>
      </c>
      <c r="K1704" s="143">
        <f>VLOOKUP(Purchase[[#This Row],[Product ID]],Product[#All],6,0)</f>
        <v>27287</v>
      </c>
      <c r="L1704" s="143">
        <f>Purchase[[#This Row],[Purchase Rate]]*Purchase[[#This Row],[Qty]]</f>
        <v>54574</v>
      </c>
      <c r="M1704" s="140">
        <v>0</v>
      </c>
      <c r="N1704" s="143">
        <v>0</v>
      </c>
      <c r="O1704" s="140">
        <v>0.18</v>
      </c>
      <c r="P1704" s="145">
        <f>(Purchase[[#This Row],[Gross Amount]]-Purchase[[#This Row],[Disct %]])*Purchase[[#This Row],[GST %]]</f>
        <v>9823.32</v>
      </c>
      <c r="Q1704" s="145">
        <f>Purchase[[#This Row],[Gross Amount]]-Purchase[[#This Row],[Disct Amnt]]+Purchase[[#This Row],[GST Amount]]</f>
        <v>64397.32</v>
      </c>
      <c r="R1704" s="138" t="s">
        <v>1040</v>
      </c>
      <c r="S1704" s="41">
        <f>IF(Purchase[[#This Row],[Status]]="Cancelled",0,Purchase[[#This Row],[Qty]])</f>
        <v>0</v>
      </c>
      <c r="T1704" s="146">
        <f>IF(Purchase[[#This Row],[Status]]="Cancelled",0,Purchase[[#This Row],[Total Amount]])</f>
        <v>0</v>
      </c>
      <c r="U1704" s="146">
        <f>SUM(Purchase[Net Amount])</f>
        <v>814985438.68000126</v>
      </c>
    </row>
    <row r="1705" spans="1:21" ht="19.5" thickBot="1" x14ac:dyDescent="0.3">
      <c r="A1705" s="136" t="s">
        <v>2760</v>
      </c>
      <c r="B1705" s="137">
        <v>45741</v>
      </c>
      <c r="C1705" s="138" t="s">
        <v>595</v>
      </c>
      <c r="D1705" s="138" t="str">
        <f>VLOOKUP(Purchase[[#This Row],[Supplier ID]],Supplier[#All],2,0)</f>
        <v>Star Computers</v>
      </c>
      <c r="E1705" s="138">
        <f>VLOOKUP(Purchase[[#This Row],[Supplier ID]],Supplier[#All],3,0)</f>
        <v>9689542478</v>
      </c>
      <c r="F1705" s="138" t="str">
        <f>VLOOKUP(Purchase[[#This Row],[Supplier ID]],Supplier[#All],4,0)</f>
        <v>Kanpur</v>
      </c>
      <c r="G1705" s="138" t="str">
        <f>VLOOKUP(Purchase[[#This Row],[Supplier ID]],Supplier[#All],5,0)</f>
        <v>UP</v>
      </c>
      <c r="H1705" s="138" t="str">
        <f>VLOOKUP(Purchase[[#This Row],[Supplier ID]],Supplier[#All],6,0)</f>
        <v>GST2154521T040</v>
      </c>
      <c r="I1705" s="138" t="s">
        <v>260</v>
      </c>
      <c r="J1705" s="139">
        <v>37</v>
      </c>
      <c r="K1705" s="143">
        <f>VLOOKUP(Purchase[[#This Row],[Product ID]],Product[#All],6,0)</f>
        <v>4751</v>
      </c>
      <c r="L1705" s="143">
        <f>Purchase[[#This Row],[Purchase Rate]]*Purchase[[#This Row],[Qty]]</f>
        <v>175787</v>
      </c>
      <c r="M1705" s="140">
        <v>0</v>
      </c>
      <c r="N1705" s="143">
        <v>0</v>
      </c>
      <c r="O1705" s="140">
        <v>0.18</v>
      </c>
      <c r="P1705" s="145">
        <f>(Purchase[[#This Row],[Gross Amount]]-Purchase[[#This Row],[Disct %]])*Purchase[[#This Row],[GST %]]</f>
        <v>31641.66</v>
      </c>
      <c r="Q1705" s="145">
        <f>Purchase[[#This Row],[Gross Amount]]-Purchase[[#This Row],[Disct Amnt]]+Purchase[[#This Row],[GST Amount]]</f>
        <v>207428.66</v>
      </c>
      <c r="R1705" s="138" t="s">
        <v>1019</v>
      </c>
      <c r="S1705" s="41">
        <f>IF(Purchase[[#This Row],[Status]]="Cancelled",0,Purchase[[#This Row],[Qty]])</f>
        <v>37</v>
      </c>
      <c r="T1705" s="146">
        <f>IF(Purchase[[#This Row],[Status]]="Cancelled",0,Purchase[[#This Row],[Total Amount]])</f>
        <v>207428.66</v>
      </c>
      <c r="U1705" s="146">
        <f>SUM(Purchase[Net Amount])</f>
        <v>814985438.68000126</v>
      </c>
    </row>
    <row r="1706" spans="1:21" ht="19.5" thickBot="1" x14ac:dyDescent="0.3">
      <c r="A1706" s="136" t="s">
        <v>2761</v>
      </c>
      <c r="B1706" s="137">
        <v>45741</v>
      </c>
      <c r="C1706" s="138" t="s">
        <v>599</v>
      </c>
      <c r="D1706" s="138" t="str">
        <f>VLOOKUP(Purchase[[#This Row],[Supplier ID]],Supplier[#All],2,0)</f>
        <v>National Distributors</v>
      </c>
      <c r="E1706" s="138">
        <f>VLOOKUP(Purchase[[#This Row],[Supplier ID]],Supplier[#All],3,0)</f>
        <v>9689542482</v>
      </c>
      <c r="F1706" s="138" t="str">
        <f>VLOOKUP(Purchase[[#This Row],[Supplier ID]],Supplier[#All],4,0)</f>
        <v>Kanpur</v>
      </c>
      <c r="G1706" s="138" t="str">
        <f>VLOOKUP(Purchase[[#This Row],[Supplier ID]],Supplier[#All],5,0)</f>
        <v>UP</v>
      </c>
      <c r="H1706" s="138" t="str">
        <f>VLOOKUP(Purchase[[#This Row],[Supplier ID]],Supplier[#All],6,0)</f>
        <v>GST2154521T044</v>
      </c>
      <c r="I1706" s="138" t="s">
        <v>531</v>
      </c>
      <c r="J1706" s="139">
        <v>7</v>
      </c>
      <c r="K1706" s="143">
        <f>VLOOKUP(Purchase[[#This Row],[Product ID]],Product[#All],6,0)</f>
        <v>5489</v>
      </c>
      <c r="L1706" s="143">
        <f>Purchase[[#This Row],[Purchase Rate]]*Purchase[[#This Row],[Qty]]</f>
        <v>38423</v>
      </c>
      <c r="M1706" s="140">
        <v>0</v>
      </c>
      <c r="N1706" s="143">
        <v>0</v>
      </c>
      <c r="O1706" s="140">
        <v>0.18</v>
      </c>
      <c r="P1706" s="145">
        <f>(Purchase[[#This Row],[Gross Amount]]-Purchase[[#This Row],[Disct %]])*Purchase[[#This Row],[GST %]]</f>
        <v>6916.1399999999994</v>
      </c>
      <c r="Q1706" s="145">
        <f>Purchase[[#This Row],[Gross Amount]]-Purchase[[#This Row],[Disct Amnt]]+Purchase[[#This Row],[GST Amount]]</f>
        <v>45339.14</v>
      </c>
      <c r="R1706" s="138" t="s">
        <v>1019</v>
      </c>
      <c r="S1706" s="41">
        <f>IF(Purchase[[#This Row],[Status]]="Cancelled",0,Purchase[[#This Row],[Qty]])</f>
        <v>7</v>
      </c>
      <c r="T1706" s="146">
        <f>IF(Purchase[[#This Row],[Status]]="Cancelled",0,Purchase[[#This Row],[Total Amount]])</f>
        <v>45339.14</v>
      </c>
      <c r="U1706" s="146">
        <f>SUM(Purchase[Net Amount])</f>
        <v>814985438.68000126</v>
      </c>
    </row>
    <row r="1707" spans="1:21" ht="19.5" thickBot="1" x14ac:dyDescent="0.3">
      <c r="A1707" s="136" t="s">
        <v>2762</v>
      </c>
      <c r="B1707" s="137">
        <v>45741</v>
      </c>
      <c r="C1707" s="138" t="s">
        <v>585</v>
      </c>
      <c r="D1707" s="138" t="str">
        <f>VLOOKUP(Purchase[[#This Row],[Supplier ID]],Supplier[#All],2,0)</f>
        <v>Tech Computers</v>
      </c>
      <c r="E1707" s="138">
        <f>VLOOKUP(Purchase[[#This Row],[Supplier ID]],Supplier[#All],3,0)</f>
        <v>9689542469</v>
      </c>
      <c r="F1707" s="138" t="str">
        <f>VLOOKUP(Purchase[[#This Row],[Supplier ID]],Supplier[#All],4,0)</f>
        <v>Korba</v>
      </c>
      <c r="G1707" s="138" t="str">
        <f>VLOOKUP(Purchase[[#This Row],[Supplier ID]],Supplier[#All],5,0)</f>
        <v>CG</v>
      </c>
      <c r="H1707" s="138" t="str">
        <f>VLOOKUP(Purchase[[#This Row],[Supplier ID]],Supplier[#All],6,0)</f>
        <v>GST2154521T031</v>
      </c>
      <c r="I1707" s="138" t="s">
        <v>144</v>
      </c>
      <c r="J1707" s="139">
        <v>12</v>
      </c>
      <c r="K1707" s="143">
        <f>VLOOKUP(Purchase[[#This Row],[Product ID]],Product[#All],6,0)</f>
        <v>6307</v>
      </c>
      <c r="L1707" s="143">
        <f>Purchase[[#This Row],[Purchase Rate]]*Purchase[[#This Row],[Qty]]</f>
        <v>75684</v>
      </c>
      <c r="M1707" s="140">
        <v>0</v>
      </c>
      <c r="N1707" s="143">
        <v>0</v>
      </c>
      <c r="O1707" s="140">
        <v>0.18</v>
      </c>
      <c r="P1707" s="145">
        <f>(Purchase[[#This Row],[Gross Amount]]-Purchase[[#This Row],[Disct %]])*Purchase[[#This Row],[GST %]]</f>
        <v>13623.119999999999</v>
      </c>
      <c r="Q1707" s="145">
        <f>Purchase[[#This Row],[Gross Amount]]-Purchase[[#This Row],[Disct Amnt]]+Purchase[[#This Row],[GST Amount]]</f>
        <v>89307.12</v>
      </c>
      <c r="R1707" s="138" t="s">
        <v>1019</v>
      </c>
      <c r="S1707" s="41">
        <f>IF(Purchase[[#This Row],[Status]]="Cancelled",0,Purchase[[#This Row],[Qty]])</f>
        <v>12</v>
      </c>
      <c r="T1707" s="146">
        <f>IF(Purchase[[#This Row],[Status]]="Cancelled",0,Purchase[[#This Row],[Total Amount]])</f>
        <v>89307.12</v>
      </c>
      <c r="U1707" s="146">
        <f>SUM(Purchase[Net Amount])</f>
        <v>814985438.68000126</v>
      </c>
    </row>
    <row r="1708" spans="1:21" ht="19.5" thickBot="1" x14ac:dyDescent="0.3">
      <c r="A1708" s="136" t="s">
        <v>2763</v>
      </c>
      <c r="B1708" s="137">
        <v>45741</v>
      </c>
      <c r="C1708" s="138" t="s">
        <v>573</v>
      </c>
      <c r="D1708" s="138" t="str">
        <f>VLOOKUP(Purchase[[#This Row],[Supplier ID]],Supplier[#All],2,0)</f>
        <v>Shree Traders</v>
      </c>
      <c r="E1708" s="138">
        <f>VLOOKUP(Purchase[[#This Row],[Supplier ID]],Supplier[#All],3,0)</f>
        <v>9689542458</v>
      </c>
      <c r="F1708" s="138" t="str">
        <f>VLOOKUP(Purchase[[#This Row],[Supplier ID]],Supplier[#All],4,0)</f>
        <v>Korba</v>
      </c>
      <c r="G1708" s="138" t="str">
        <f>VLOOKUP(Purchase[[#This Row],[Supplier ID]],Supplier[#All],5,0)</f>
        <v>CG</v>
      </c>
      <c r="H1708" s="138" t="str">
        <f>VLOOKUP(Purchase[[#This Row],[Supplier ID]],Supplier[#All],6,0)</f>
        <v>GST2154521T020</v>
      </c>
      <c r="I1708" s="138" t="s">
        <v>314</v>
      </c>
      <c r="J1708" s="139">
        <v>9</v>
      </c>
      <c r="K1708" s="143">
        <f>VLOOKUP(Purchase[[#This Row],[Product ID]],Product[#All],6,0)</f>
        <v>53060</v>
      </c>
      <c r="L1708" s="143">
        <f>Purchase[[#This Row],[Purchase Rate]]*Purchase[[#This Row],[Qty]]</f>
        <v>477540</v>
      </c>
      <c r="M1708" s="140">
        <v>0</v>
      </c>
      <c r="N1708" s="143">
        <v>0</v>
      </c>
      <c r="O1708" s="140">
        <v>0.18</v>
      </c>
      <c r="P1708" s="145">
        <f>(Purchase[[#This Row],[Gross Amount]]-Purchase[[#This Row],[Disct %]])*Purchase[[#This Row],[GST %]]</f>
        <v>85957.2</v>
      </c>
      <c r="Q1708" s="145">
        <f>Purchase[[#This Row],[Gross Amount]]-Purchase[[#This Row],[Disct Amnt]]+Purchase[[#This Row],[GST Amount]]</f>
        <v>563497.19999999995</v>
      </c>
      <c r="R1708" s="138" t="s">
        <v>1040</v>
      </c>
      <c r="S1708" s="41">
        <f>IF(Purchase[[#This Row],[Status]]="Cancelled",0,Purchase[[#This Row],[Qty]])</f>
        <v>0</v>
      </c>
      <c r="T1708" s="146">
        <f>IF(Purchase[[#This Row],[Status]]="Cancelled",0,Purchase[[#This Row],[Total Amount]])</f>
        <v>0</v>
      </c>
      <c r="U1708" s="146">
        <f>SUM(Purchase[Net Amount])</f>
        <v>814985438.68000126</v>
      </c>
    </row>
    <row r="1709" spans="1:21" ht="19.5" thickBot="1" x14ac:dyDescent="0.3">
      <c r="A1709" s="136" t="s">
        <v>2764</v>
      </c>
      <c r="B1709" s="137">
        <v>45741</v>
      </c>
      <c r="C1709" s="138" t="s">
        <v>585</v>
      </c>
      <c r="D1709" s="138" t="str">
        <f>VLOOKUP(Purchase[[#This Row],[Supplier ID]],Supplier[#All],2,0)</f>
        <v>Tech Computers</v>
      </c>
      <c r="E1709" s="138">
        <f>VLOOKUP(Purchase[[#This Row],[Supplier ID]],Supplier[#All],3,0)</f>
        <v>9689542469</v>
      </c>
      <c r="F1709" s="138" t="str">
        <f>VLOOKUP(Purchase[[#This Row],[Supplier ID]],Supplier[#All],4,0)</f>
        <v>Korba</v>
      </c>
      <c r="G1709" s="138" t="str">
        <f>VLOOKUP(Purchase[[#This Row],[Supplier ID]],Supplier[#All],5,0)</f>
        <v>CG</v>
      </c>
      <c r="H1709" s="138" t="str">
        <f>VLOOKUP(Purchase[[#This Row],[Supplier ID]],Supplier[#All],6,0)</f>
        <v>GST2154521T031</v>
      </c>
      <c r="I1709" s="138" t="s">
        <v>236</v>
      </c>
      <c r="J1709" s="139">
        <v>26</v>
      </c>
      <c r="K1709" s="143">
        <f>VLOOKUP(Purchase[[#This Row],[Product ID]],Product[#All],6,0)</f>
        <v>42438</v>
      </c>
      <c r="L1709" s="143">
        <f>Purchase[[#This Row],[Purchase Rate]]*Purchase[[#This Row],[Qty]]</f>
        <v>1103388</v>
      </c>
      <c r="M1709" s="140">
        <v>0</v>
      </c>
      <c r="N1709" s="143">
        <v>0</v>
      </c>
      <c r="O1709" s="140">
        <v>0.18</v>
      </c>
      <c r="P1709" s="145">
        <f>(Purchase[[#This Row],[Gross Amount]]-Purchase[[#This Row],[Disct %]])*Purchase[[#This Row],[GST %]]</f>
        <v>198609.84</v>
      </c>
      <c r="Q1709" s="145">
        <f>Purchase[[#This Row],[Gross Amount]]-Purchase[[#This Row],[Disct Amnt]]+Purchase[[#This Row],[GST Amount]]</f>
        <v>1301997.8400000001</v>
      </c>
      <c r="R1709" s="138" t="s">
        <v>1019</v>
      </c>
      <c r="S1709" s="41">
        <f>IF(Purchase[[#This Row],[Status]]="Cancelled",0,Purchase[[#This Row],[Qty]])</f>
        <v>26</v>
      </c>
      <c r="T1709" s="146">
        <f>IF(Purchase[[#This Row],[Status]]="Cancelled",0,Purchase[[#This Row],[Total Amount]])</f>
        <v>1301997.8400000001</v>
      </c>
      <c r="U1709" s="146">
        <f>SUM(Purchase[Net Amount])</f>
        <v>814985438.68000126</v>
      </c>
    </row>
    <row r="1710" spans="1:21" ht="19.5" thickBot="1" x14ac:dyDescent="0.3">
      <c r="A1710" s="136" t="s">
        <v>2765</v>
      </c>
      <c r="B1710" s="137">
        <v>45741</v>
      </c>
      <c r="C1710" s="138" t="s">
        <v>604</v>
      </c>
      <c r="D1710" s="138" t="str">
        <f>VLOOKUP(Purchase[[#This Row],[Supplier ID]],Supplier[#All],2,0)</f>
        <v>Prime Traders</v>
      </c>
      <c r="E1710" s="138">
        <f>VLOOKUP(Purchase[[#This Row],[Supplier ID]],Supplier[#All],3,0)</f>
        <v>9689542487</v>
      </c>
      <c r="F1710" s="138" t="str">
        <f>VLOOKUP(Purchase[[#This Row],[Supplier ID]],Supplier[#All],4,0)</f>
        <v>Indore</v>
      </c>
      <c r="G1710" s="138" t="str">
        <f>VLOOKUP(Purchase[[#This Row],[Supplier ID]],Supplier[#All],5,0)</f>
        <v>MP</v>
      </c>
      <c r="H1710" s="138" t="str">
        <f>VLOOKUP(Purchase[[#This Row],[Supplier ID]],Supplier[#All],6,0)</f>
        <v>GST2154521T049</v>
      </c>
      <c r="I1710" s="138" t="s">
        <v>10</v>
      </c>
      <c r="J1710" s="139">
        <v>15</v>
      </c>
      <c r="K1710" s="143">
        <f>VLOOKUP(Purchase[[#This Row],[Product ID]],Product[#All],6,0)</f>
        <v>15190</v>
      </c>
      <c r="L1710" s="143">
        <f>Purchase[[#This Row],[Purchase Rate]]*Purchase[[#This Row],[Qty]]</f>
        <v>227850</v>
      </c>
      <c r="M1710" s="140">
        <v>0</v>
      </c>
      <c r="N1710" s="143">
        <v>0</v>
      </c>
      <c r="O1710" s="140">
        <v>0.18</v>
      </c>
      <c r="P1710" s="145">
        <f>(Purchase[[#This Row],[Gross Amount]]-Purchase[[#This Row],[Disct %]])*Purchase[[#This Row],[GST %]]</f>
        <v>41013</v>
      </c>
      <c r="Q1710" s="145">
        <f>Purchase[[#This Row],[Gross Amount]]-Purchase[[#This Row],[Disct Amnt]]+Purchase[[#This Row],[GST Amount]]</f>
        <v>268863</v>
      </c>
      <c r="R1710" s="138" t="s">
        <v>1019</v>
      </c>
      <c r="S1710" s="41">
        <f>IF(Purchase[[#This Row],[Status]]="Cancelled",0,Purchase[[#This Row],[Qty]])</f>
        <v>15</v>
      </c>
      <c r="T1710" s="146">
        <f>IF(Purchase[[#This Row],[Status]]="Cancelled",0,Purchase[[#This Row],[Total Amount]])</f>
        <v>268863</v>
      </c>
      <c r="U1710" s="146">
        <f>SUM(Purchase[Net Amount])</f>
        <v>814985438.68000126</v>
      </c>
    </row>
    <row r="1711" spans="1:21" ht="19.5" thickBot="1" x14ac:dyDescent="0.3">
      <c r="A1711" s="136" t="s">
        <v>2766</v>
      </c>
      <c r="B1711" s="137">
        <v>45741</v>
      </c>
      <c r="C1711" s="138" t="s">
        <v>611</v>
      </c>
      <c r="D1711" s="138" t="str">
        <f>VLOOKUP(Purchase[[#This Row],[Supplier ID]],Supplier[#All],2,0)</f>
        <v>National Distributors</v>
      </c>
      <c r="E1711" s="138">
        <f>VLOOKUP(Purchase[[#This Row],[Supplier ID]],Supplier[#All],3,0)</f>
        <v>9689542494</v>
      </c>
      <c r="F1711" s="138" t="str">
        <f>VLOOKUP(Purchase[[#This Row],[Supplier ID]],Supplier[#All],4,0)</f>
        <v>Korba</v>
      </c>
      <c r="G1711" s="138" t="str">
        <f>VLOOKUP(Purchase[[#This Row],[Supplier ID]],Supplier[#All],5,0)</f>
        <v>CG</v>
      </c>
      <c r="H1711" s="138" t="str">
        <f>VLOOKUP(Purchase[[#This Row],[Supplier ID]],Supplier[#All],6,0)</f>
        <v>GST2154521T056</v>
      </c>
      <c r="I1711" s="138" t="s">
        <v>502</v>
      </c>
      <c r="J1711" s="139">
        <v>30</v>
      </c>
      <c r="K1711" s="143">
        <f>VLOOKUP(Purchase[[#This Row],[Product ID]],Product[#All],6,0)</f>
        <v>24343</v>
      </c>
      <c r="L1711" s="143">
        <f>Purchase[[#This Row],[Purchase Rate]]*Purchase[[#This Row],[Qty]]</f>
        <v>730290</v>
      </c>
      <c r="M1711" s="140">
        <v>0</v>
      </c>
      <c r="N1711" s="143">
        <v>0</v>
      </c>
      <c r="O1711" s="140">
        <v>0.18</v>
      </c>
      <c r="P1711" s="145">
        <f>(Purchase[[#This Row],[Gross Amount]]-Purchase[[#This Row],[Disct %]])*Purchase[[#This Row],[GST %]]</f>
        <v>131452.19999999998</v>
      </c>
      <c r="Q1711" s="145">
        <f>Purchase[[#This Row],[Gross Amount]]-Purchase[[#This Row],[Disct Amnt]]+Purchase[[#This Row],[GST Amount]]</f>
        <v>861742.2</v>
      </c>
      <c r="R1711" s="138" t="s">
        <v>1019</v>
      </c>
      <c r="S1711" s="41">
        <f>IF(Purchase[[#This Row],[Status]]="Cancelled",0,Purchase[[#This Row],[Qty]])</f>
        <v>30</v>
      </c>
      <c r="T1711" s="146">
        <f>IF(Purchase[[#This Row],[Status]]="Cancelled",0,Purchase[[#This Row],[Total Amount]])</f>
        <v>861742.2</v>
      </c>
      <c r="U1711" s="146">
        <f>SUM(Purchase[Net Amount])</f>
        <v>814985438.68000126</v>
      </c>
    </row>
    <row r="1712" spans="1:21" ht="19.5" thickBot="1" x14ac:dyDescent="0.3">
      <c r="A1712" s="136" t="s">
        <v>2767</v>
      </c>
      <c r="B1712" s="137">
        <v>45741</v>
      </c>
      <c r="C1712" s="138" t="s">
        <v>615</v>
      </c>
      <c r="D1712" s="138" t="str">
        <f>VLOOKUP(Purchase[[#This Row],[Supplier ID]],Supplier[#All],2,0)</f>
        <v>NATIONAL ELECTRONICS</v>
      </c>
      <c r="E1712" s="138">
        <f>VLOOKUP(Purchase[[#This Row],[Supplier ID]],Supplier[#All],3,0)</f>
        <v>9689542498</v>
      </c>
      <c r="F1712" s="138" t="str">
        <f>VLOOKUP(Purchase[[#This Row],[Supplier ID]],Supplier[#All],4,0)</f>
        <v>Kanpur</v>
      </c>
      <c r="G1712" s="138" t="str">
        <f>VLOOKUP(Purchase[[#This Row],[Supplier ID]],Supplier[#All],5,0)</f>
        <v>UP</v>
      </c>
      <c r="H1712" s="138" t="str">
        <f>VLOOKUP(Purchase[[#This Row],[Supplier ID]],Supplier[#All],6,0)</f>
        <v>GST2154521T060</v>
      </c>
      <c r="I1712" s="138" t="s">
        <v>315</v>
      </c>
      <c r="J1712" s="139">
        <v>39</v>
      </c>
      <c r="K1712" s="143">
        <f>VLOOKUP(Purchase[[#This Row],[Product ID]],Product[#All],6,0)</f>
        <v>2069</v>
      </c>
      <c r="L1712" s="143">
        <f>Purchase[[#This Row],[Purchase Rate]]*Purchase[[#This Row],[Qty]]</f>
        <v>80691</v>
      </c>
      <c r="M1712" s="140">
        <v>0</v>
      </c>
      <c r="N1712" s="143">
        <v>0</v>
      </c>
      <c r="O1712" s="140">
        <v>0.18</v>
      </c>
      <c r="P1712" s="145">
        <f>(Purchase[[#This Row],[Gross Amount]]-Purchase[[#This Row],[Disct %]])*Purchase[[#This Row],[GST %]]</f>
        <v>14524.38</v>
      </c>
      <c r="Q1712" s="145">
        <f>Purchase[[#This Row],[Gross Amount]]-Purchase[[#This Row],[Disct Amnt]]+Purchase[[#This Row],[GST Amount]]</f>
        <v>95215.38</v>
      </c>
      <c r="R1712" s="138" t="s">
        <v>1019</v>
      </c>
      <c r="S1712" s="41">
        <f>IF(Purchase[[#This Row],[Status]]="Cancelled",0,Purchase[[#This Row],[Qty]])</f>
        <v>39</v>
      </c>
      <c r="T1712" s="146">
        <f>IF(Purchase[[#This Row],[Status]]="Cancelled",0,Purchase[[#This Row],[Total Amount]])</f>
        <v>95215.38</v>
      </c>
      <c r="U1712" s="146">
        <f>SUM(Purchase[Net Amount])</f>
        <v>814985438.68000126</v>
      </c>
    </row>
    <row r="1713" spans="1:21" ht="19.5" thickBot="1" x14ac:dyDescent="0.3">
      <c r="A1713" s="136" t="s">
        <v>2768</v>
      </c>
      <c r="B1713" s="137">
        <v>45742</v>
      </c>
      <c r="C1713" s="138" t="s">
        <v>581</v>
      </c>
      <c r="D1713" s="138" t="str">
        <f>VLOOKUP(Purchase[[#This Row],[Supplier ID]],Supplier[#All],2,0)</f>
        <v>Prime Electronics</v>
      </c>
      <c r="E1713" s="138">
        <f>VLOOKUP(Purchase[[#This Row],[Supplier ID]],Supplier[#All],3,0)</f>
        <v>9689542465</v>
      </c>
      <c r="F1713" s="138" t="str">
        <f>VLOOKUP(Purchase[[#This Row],[Supplier ID]],Supplier[#All],4,0)</f>
        <v>Korba</v>
      </c>
      <c r="G1713" s="138" t="str">
        <f>VLOOKUP(Purchase[[#This Row],[Supplier ID]],Supplier[#All],5,0)</f>
        <v>CG</v>
      </c>
      <c r="H1713" s="138" t="str">
        <f>VLOOKUP(Purchase[[#This Row],[Supplier ID]],Supplier[#All],6,0)</f>
        <v>GST2154521T027</v>
      </c>
      <c r="I1713" s="138" t="s">
        <v>7</v>
      </c>
      <c r="J1713" s="139">
        <v>32</v>
      </c>
      <c r="K1713" s="143">
        <f>VLOOKUP(Purchase[[#This Row],[Product ID]],Product[#All],6,0)</f>
        <v>27080</v>
      </c>
      <c r="L1713" s="143">
        <f>Purchase[[#This Row],[Purchase Rate]]*Purchase[[#This Row],[Qty]]</f>
        <v>866560</v>
      </c>
      <c r="M1713" s="140">
        <v>0</v>
      </c>
      <c r="N1713" s="143">
        <v>0</v>
      </c>
      <c r="O1713" s="140">
        <v>0.18</v>
      </c>
      <c r="P1713" s="145">
        <f>(Purchase[[#This Row],[Gross Amount]]-Purchase[[#This Row],[Disct %]])*Purchase[[#This Row],[GST %]]</f>
        <v>155980.79999999999</v>
      </c>
      <c r="Q1713" s="145">
        <f>Purchase[[#This Row],[Gross Amount]]-Purchase[[#This Row],[Disct Amnt]]+Purchase[[#This Row],[GST Amount]]</f>
        <v>1022540.8</v>
      </c>
      <c r="R1713" s="138" t="s">
        <v>1019</v>
      </c>
      <c r="S1713" s="41">
        <f>IF(Purchase[[#This Row],[Status]]="Cancelled",0,Purchase[[#This Row],[Qty]])</f>
        <v>32</v>
      </c>
      <c r="T1713" s="146">
        <f>IF(Purchase[[#This Row],[Status]]="Cancelled",0,Purchase[[#This Row],[Total Amount]])</f>
        <v>1022540.8</v>
      </c>
      <c r="U1713" s="146">
        <f>SUM(Purchase[Net Amount])</f>
        <v>814985438.68000126</v>
      </c>
    </row>
    <row r="1714" spans="1:21" ht="19.5" thickBot="1" x14ac:dyDescent="0.3">
      <c r="A1714" s="136" t="s">
        <v>2769</v>
      </c>
      <c r="B1714" s="137">
        <v>45742</v>
      </c>
      <c r="C1714" s="138" t="s">
        <v>565</v>
      </c>
      <c r="D1714" s="138" t="str">
        <f>VLOOKUP(Purchase[[#This Row],[Supplier ID]],Supplier[#All],2,0)</f>
        <v>Global Suppliers</v>
      </c>
      <c r="E1714" s="138">
        <f>VLOOKUP(Purchase[[#This Row],[Supplier ID]],Supplier[#All],3,0)</f>
        <v>9689542459</v>
      </c>
      <c r="F1714" s="138" t="str">
        <f>VLOOKUP(Purchase[[#This Row],[Supplier ID]],Supplier[#All],4,0)</f>
        <v>Indore</v>
      </c>
      <c r="G1714" s="138" t="str">
        <f>VLOOKUP(Purchase[[#This Row],[Supplier ID]],Supplier[#All],5,0)</f>
        <v>MP</v>
      </c>
      <c r="H1714" s="138" t="str">
        <f>VLOOKUP(Purchase[[#This Row],[Supplier ID]],Supplier[#All],6,0)</f>
        <v>GST2154521T013</v>
      </c>
      <c r="I1714" s="138" t="s">
        <v>397</v>
      </c>
      <c r="J1714" s="139">
        <v>7</v>
      </c>
      <c r="K1714" s="143">
        <f>VLOOKUP(Purchase[[#This Row],[Product ID]],Product[#All],6,0)</f>
        <v>60817</v>
      </c>
      <c r="L1714" s="143">
        <f>Purchase[[#This Row],[Purchase Rate]]*Purchase[[#This Row],[Qty]]</f>
        <v>425719</v>
      </c>
      <c r="M1714" s="140">
        <v>0</v>
      </c>
      <c r="N1714" s="143">
        <v>0</v>
      </c>
      <c r="O1714" s="140">
        <v>0.18</v>
      </c>
      <c r="P1714" s="145">
        <f>(Purchase[[#This Row],[Gross Amount]]-Purchase[[#This Row],[Disct %]])*Purchase[[#This Row],[GST %]]</f>
        <v>76629.42</v>
      </c>
      <c r="Q1714" s="145">
        <f>Purchase[[#This Row],[Gross Amount]]-Purchase[[#This Row],[Disct Amnt]]+Purchase[[#This Row],[GST Amount]]</f>
        <v>502348.42</v>
      </c>
      <c r="R1714" s="138" t="s">
        <v>1019</v>
      </c>
      <c r="S1714" s="41">
        <f>IF(Purchase[[#This Row],[Status]]="Cancelled",0,Purchase[[#This Row],[Qty]])</f>
        <v>7</v>
      </c>
      <c r="T1714" s="146">
        <f>IF(Purchase[[#This Row],[Status]]="Cancelled",0,Purchase[[#This Row],[Total Amount]])</f>
        <v>502348.42</v>
      </c>
      <c r="U1714" s="146">
        <f>SUM(Purchase[Net Amount])</f>
        <v>814985438.68000126</v>
      </c>
    </row>
    <row r="1715" spans="1:21" ht="19.5" thickBot="1" x14ac:dyDescent="0.3">
      <c r="A1715" s="136" t="s">
        <v>2770</v>
      </c>
      <c r="B1715" s="137">
        <v>45742</v>
      </c>
      <c r="C1715" s="138" t="s">
        <v>569</v>
      </c>
      <c r="D1715" s="138" t="str">
        <f>VLOOKUP(Purchase[[#This Row],[Supplier ID]],Supplier[#All],2,0)</f>
        <v>Tech Electronics</v>
      </c>
      <c r="E1715" s="138">
        <f>VLOOKUP(Purchase[[#This Row],[Supplier ID]],Supplier[#All],3,0)</f>
        <v>9689542455</v>
      </c>
      <c r="F1715" s="138" t="str">
        <f>VLOOKUP(Purchase[[#This Row],[Supplier ID]],Supplier[#All],4,0)</f>
        <v>Korba</v>
      </c>
      <c r="G1715" s="138" t="str">
        <f>VLOOKUP(Purchase[[#This Row],[Supplier ID]],Supplier[#All],5,0)</f>
        <v>CG</v>
      </c>
      <c r="H1715" s="138" t="str">
        <f>VLOOKUP(Purchase[[#This Row],[Supplier ID]],Supplier[#All],6,0)</f>
        <v>GST2154521T017</v>
      </c>
      <c r="I1715" s="138" t="s">
        <v>444</v>
      </c>
      <c r="J1715" s="139">
        <v>28</v>
      </c>
      <c r="K1715" s="143">
        <f>VLOOKUP(Purchase[[#This Row],[Product ID]],Product[#All],6,0)</f>
        <v>47242</v>
      </c>
      <c r="L1715" s="143">
        <f>Purchase[[#This Row],[Purchase Rate]]*Purchase[[#This Row],[Qty]]</f>
        <v>1322776</v>
      </c>
      <c r="M1715" s="140">
        <v>0</v>
      </c>
      <c r="N1715" s="143">
        <v>0</v>
      </c>
      <c r="O1715" s="140">
        <v>0.18</v>
      </c>
      <c r="P1715" s="145">
        <f>(Purchase[[#This Row],[Gross Amount]]-Purchase[[#This Row],[Disct %]])*Purchase[[#This Row],[GST %]]</f>
        <v>238099.68</v>
      </c>
      <c r="Q1715" s="145">
        <f>Purchase[[#This Row],[Gross Amount]]-Purchase[[#This Row],[Disct Amnt]]+Purchase[[#This Row],[GST Amount]]</f>
        <v>1560875.68</v>
      </c>
      <c r="R1715" s="138" t="s">
        <v>1019</v>
      </c>
      <c r="S1715" s="41">
        <f>IF(Purchase[[#This Row],[Status]]="Cancelled",0,Purchase[[#This Row],[Qty]])</f>
        <v>28</v>
      </c>
      <c r="T1715" s="146">
        <f>IF(Purchase[[#This Row],[Status]]="Cancelled",0,Purchase[[#This Row],[Total Amount]])</f>
        <v>1560875.68</v>
      </c>
      <c r="U1715" s="146">
        <f>SUM(Purchase[Net Amount])</f>
        <v>814985438.68000126</v>
      </c>
    </row>
    <row r="1716" spans="1:21" ht="19.5" thickBot="1" x14ac:dyDescent="0.3">
      <c r="A1716" s="136" t="s">
        <v>2771</v>
      </c>
      <c r="B1716" s="137">
        <v>45742</v>
      </c>
      <c r="C1716" s="138" t="s">
        <v>567</v>
      </c>
      <c r="D1716" s="138" t="str">
        <f>VLOOKUP(Purchase[[#This Row],[Supplier ID]],Supplier[#All],2,0)</f>
        <v>National Distributors</v>
      </c>
      <c r="E1716" s="138">
        <f>VLOOKUP(Purchase[[#This Row],[Supplier ID]],Supplier[#All],3,0)</f>
        <v>9689542453</v>
      </c>
      <c r="F1716" s="138" t="str">
        <f>VLOOKUP(Purchase[[#This Row],[Supplier ID]],Supplier[#All],4,0)</f>
        <v>Korba</v>
      </c>
      <c r="G1716" s="138" t="str">
        <f>VLOOKUP(Purchase[[#This Row],[Supplier ID]],Supplier[#All],5,0)</f>
        <v>CG</v>
      </c>
      <c r="H1716" s="138" t="str">
        <f>VLOOKUP(Purchase[[#This Row],[Supplier ID]],Supplier[#All],6,0)</f>
        <v>GST2154521T015</v>
      </c>
      <c r="I1716" s="138" t="s">
        <v>480</v>
      </c>
      <c r="J1716" s="139">
        <v>17</v>
      </c>
      <c r="K1716" s="143">
        <f>VLOOKUP(Purchase[[#This Row],[Product ID]],Product[#All],6,0)</f>
        <v>1370</v>
      </c>
      <c r="L1716" s="143">
        <f>Purchase[[#This Row],[Purchase Rate]]*Purchase[[#This Row],[Qty]]</f>
        <v>23290</v>
      </c>
      <c r="M1716" s="140">
        <v>0</v>
      </c>
      <c r="N1716" s="143">
        <v>0</v>
      </c>
      <c r="O1716" s="140">
        <v>0.18</v>
      </c>
      <c r="P1716" s="145">
        <f>(Purchase[[#This Row],[Gross Amount]]-Purchase[[#This Row],[Disct %]])*Purchase[[#This Row],[GST %]]</f>
        <v>4192.2</v>
      </c>
      <c r="Q1716" s="145">
        <f>Purchase[[#This Row],[Gross Amount]]-Purchase[[#This Row],[Disct Amnt]]+Purchase[[#This Row],[GST Amount]]</f>
        <v>27482.2</v>
      </c>
      <c r="R1716" s="138" t="s">
        <v>1040</v>
      </c>
      <c r="S1716" s="41">
        <f>IF(Purchase[[#This Row],[Status]]="Cancelled",0,Purchase[[#This Row],[Qty]])</f>
        <v>0</v>
      </c>
      <c r="T1716" s="146">
        <f>IF(Purchase[[#This Row],[Status]]="Cancelled",0,Purchase[[#This Row],[Total Amount]])</f>
        <v>0</v>
      </c>
      <c r="U1716" s="146">
        <f>SUM(Purchase[Net Amount])</f>
        <v>814985438.68000126</v>
      </c>
    </row>
    <row r="1717" spans="1:21" ht="19.5" thickBot="1" x14ac:dyDescent="0.3">
      <c r="A1717" s="136" t="s">
        <v>2772</v>
      </c>
      <c r="B1717" s="137">
        <v>45742</v>
      </c>
      <c r="C1717" s="138" t="s">
        <v>575</v>
      </c>
      <c r="D1717" s="138" t="str">
        <f>VLOOKUP(Purchase[[#This Row],[Supplier ID]],Supplier[#All],2,0)</f>
        <v>Global Computers</v>
      </c>
      <c r="E1717" s="138">
        <f>VLOOKUP(Purchase[[#This Row],[Supplier ID]],Supplier[#All],3,0)</f>
        <v>9689542459</v>
      </c>
      <c r="F1717" s="138" t="str">
        <f>VLOOKUP(Purchase[[#This Row],[Supplier ID]],Supplier[#All],4,0)</f>
        <v>Indore</v>
      </c>
      <c r="G1717" s="138" t="str">
        <f>VLOOKUP(Purchase[[#This Row],[Supplier ID]],Supplier[#All],5,0)</f>
        <v>MP</v>
      </c>
      <c r="H1717" s="138" t="str">
        <f>VLOOKUP(Purchase[[#This Row],[Supplier ID]],Supplier[#All],6,0)</f>
        <v>GST2154521T021</v>
      </c>
      <c r="I1717" s="138" t="s">
        <v>506</v>
      </c>
      <c r="J1717" s="139">
        <v>39</v>
      </c>
      <c r="K1717" s="143">
        <f>VLOOKUP(Purchase[[#This Row],[Product ID]],Product[#All],6,0)</f>
        <v>36215</v>
      </c>
      <c r="L1717" s="143">
        <f>Purchase[[#This Row],[Purchase Rate]]*Purchase[[#This Row],[Qty]]</f>
        <v>1412385</v>
      </c>
      <c r="M1717" s="140">
        <v>0</v>
      </c>
      <c r="N1717" s="143">
        <v>0</v>
      </c>
      <c r="O1717" s="140">
        <v>0.18</v>
      </c>
      <c r="P1717" s="145">
        <f>(Purchase[[#This Row],[Gross Amount]]-Purchase[[#This Row],[Disct %]])*Purchase[[#This Row],[GST %]]</f>
        <v>254229.3</v>
      </c>
      <c r="Q1717" s="145">
        <f>Purchase[[#This Row],[Gross Amount]]-Purchase[[#This Row],[Disct Amnt]]+Purchase[[#This Row],[GST Amount]]</f>
        <v>1666614.3</v>
      </c>
      <c r="R1717" s="138" t="s">
        <v>1019</v>
      </c>
      <c r="S1717" s="41">
        <f>IF(Purchase[[#This Row],[Status]]="Cancelled",0,Purchase[[#This Row],[Qty]])</f>
        <v>39</v>
      </c>
      <c r="T1717" s="146">
        <f>IF(Purchase[[#This Row],[Status]]="Cancelled",0,Purchase[[#This Row],[Total Amount]])</f>
        <v>1666614.3</v>
      </c>
      <c r="U1717" s="146">
        <f>SUM(Purchase[Net Amount])</f>
        <v>814985438.68000126</v>
      </c>
    </row>
    <row r="1718" spans="1:21" ht="19.5" thickBot="1" x14ac:dyDescent="0.3">
      <c r="A1718" s="136" t="s">
        <v>2773</v>
      </c>
      <c r="B1718" s="137">
        <v>45742</v>
      </c>
      <c r="C1718" s="138" t="s">
        <v>597</v>
      </c>
      <c r="D1718" s="138" t="str">
        <f>VLOOKUP(Purchase[[#This Row],[Supplier ID]],Supplier[#All],2,0)</f>
        <v>Tech Traders</v>
      </c>
      <c r="E1718" s="138">
        <f>VLOOKUP(Purchase[[#This Row],[Supplier ID]],Supplier[#All],3,0)</f>
        <v>9689542480</v>
      </c>
      <c r="F1718" s="138" t="str">
        <f>VLOOKUP(Purchase[[#This Row],[Supplier ID]],Supplier[#All],4,0)</f>
        <v>Kanpur</v>
      </c>
      <c r="G1718" s="138" t="str">
        <f>VLOOKUP(Purchase[[#This Row],[Supplier ID]],Supplier[#All],5,0)</f>
        <v>UP</v>
      </c>
      <c r="H1718" s="138" t="str">
        <f>VLOOKUP(Purchase[[#This Row],[Supplier ID]],Supplier[#All],6,0)</f>
        <v>GST2154521T042</v>
      </c>
      <c r="I1718" s="138" t="s">
        <v>53</v>
      </c>
      <c r="J1718" s="139">
        <v>21</v>
      </c>
      <c r="K1718" s="143">
        <f>VLOOKUP(Purchase[[#This Row],[Product ID]],Product[#All],6,0)</f>
        <v>11269</v>
      </c>
      <c r="L1718" s="143">
        <f>Purchase[[#This Row],[Purchase Rate]]*Purchase[[#This Row],[Qty]]</f>
        <v>236649</v>
      </c>
      <c r="M1718" s="140">
        <v>0</v>
      </c>
      <c r="N1718" s="143">
        <v>0</v>
      </c>
      <c r="O1718" s="140">
        <v>0.18</v>
      </c>
      <c r="P1718" s="145">
        <f>(Purchase[[#This Row],[Gross Amount]]-Purchase[[#This Row],[Disct %]])*Purchase[[#This Row],[GST %]]</f>
        <v>42596.82</v>
      </c>
      <c r="Q1718" s="145">
        <f>Purchase[[#This Row],[Gross Amount]]-Purchase[[#This Row],[Disct Amnt]]+Purchase[[#This Row],[GST Amount]]</f>
        <v>279245.82</v>
      </c>
      <c r="R1718" s="138" t="s">
        <v>1019</v>
      </c>
      <c r="S1718" s="41">
        <f>IF(Purchase[[#This Row],[Status]]="Cancelled",0,Purchase[[#This Row],[Qty]])</f>
        <v>21</v>
      </c>
      <c r="T1718" s="146">
        <f>IF(Purchase[[#This Row],[Status]]="Cancelled",0,Purchase[[#This Row],[Total Amount]])</f>
        <v>279245.82</v>
      </c>
      <c r="U1718" s="146">
        <f>SUM(Purchase[Net Amount])</f>
        <v>814985438.68000126</v>
      </c>
    </row>
    <row r="1719" spans="1:21" ht="19.5" thickBot="1" x14ac:dyDescent="0.3">
      <c r="A1719" s="136" t="s">
        <v>2774</v>
      </c>
      <c r="B1719" s="137">
        <v>45742</v>
      </c>
      <c r="C1719" s="138" t="s">
        <v>591</v>
      </c>
      <c r="D1719" s="138" t="str">
        <f>VLOOKUP(Purchase[[#This Row],[Supplier ID]],Supplier[#All],2,0)</f>
        <v>Shree Computers</v>
      </c>
      <c r="E1719" s="138">
        <f>VLOOKUP(Purchase[[#This Row],[Supplier ID]],Supplier[#All],3,0)</f>
        <v>9689542475</v>
      </c>
      <c r="F1719" s="138" t="str">
        <f>VLOOKUP(Purchase[[#This Row],[Supplier ID]],Supplier[#All],4,0)</f>
        <v>Indore</v>
      </c>
      <c r="G1719" s="138" t="str">
        <f>VLOOKUP(Purchase[[#This Row],[Supplier ID]],Supplier[#All],5,0)</f>
        <v>MP</v>
      </c>
      <c r="H1719" s="138" t="str">
        <f>VLOOKUP(Purchase[[#This Row],[Supplier ID]],Supplier[#All],6,0)</f>
        <v>GST2154521T037</v>
      </c>
      <c r="I1719" s="138" t="s">
        <v>269</v>
      </c>
      <c r="J1719" s="139">
        <v>4</v>
      </c>
      <c r="K1719" s="143">
        <f>VLOOKUP(Purchase[[#This Row],[Product ID]],Product[#All],6,0)</f>
        <v>8657</v>
      </c>
      <c r="L1719" s="143">
        <f>Purchase[[#This Row],[Purchase Rate]]*Purchase[[#This Row],[Qty]]</f>
        <v>34628</v>
      </c>
      <c r="M1719" s="140">
        <v>0</v>
      </c>
      <c r="N1719" s="143">
        <v>0</v>
      </c>
      <c r="O1719" s="140">
        <v>0.18</v>
      </c>
      <c r="P1719" s="145">
        <f>(Purchase[[#This Row],[Gross Amount]]-Purchase[[#This Row],[Disct %]])*Purchase[[#This Row],[GST %]]</f>
        <v>6233.04</v>
      </c>
      <c r="Q1719" s="145">
        <f>Purchase[[#This Row],[Gross Amount]]-Purchase[[#This Row],[Disct Amnt]]+Purchase[[#This Row],[GST Amount]]</f>
        <v>40861.040000000001</v>
      </c>
      <c r="R1719" s="138" t="s">
        <v>1019</v>
      </c>
      <c r="S1719" s="41">
        <f>IF(Purchase[[#This Row],[Status]]="Cancelled",0,Purchase[[#This Row],[Qty]])</f>
        <v>4</v>
      </c>
      <c r="T1719" s="146">
        <f>IF(Purchase[[#This Row],[Status]]="Cancelled",0,Purchase[[#This Row],[Total Amount]])</f>
        <v>40861.040000000001</v>
      </c>
      <c r="U1719" s="146">
        <f>SUM(Purchase[Net Amount])</f>
        <v>814985438.68000126</v>
      </c>
    </row>
    <row r="1720" spans="1:21" ht="19.5" thickBot="1" x14ac:dyDescent="0.3">
      <c r="A1720" s="136" t="s">
        <v>2775</v>
      </c>
      <c r="B1720" s="137">
        <v>45742</v>
      </c>
      <c r="C1720" s="138" t="s">
        <v>613</v>
      </c>
      <c r="D1720" s="138" t="str">
        <f>VLOOKUP(Purchase[[#This Row],[Supplier ID]],Supplier[#All],2,0)</f>
        <v>National Traders</v>
      </c>
      <c r="E1720" s="138">
        <f>VLOOKUP(Purchase[[#This Row],[Supplier ID]],Supplier[#All],3,0)</f>
        <v>9689542496</v>
      </c>
      <c r="F1720" s="138" t="str">
        <f>VLOOKUP(Purchase[[#This Row],[Supplier ID]],Supplier[#All],4,0)</f>
        <v>Indore</v>
      </c>
      <c r="G1720" s="138" t="str">
        <f>VLOOKUP(Purchase[[#This Row],[Supplier ID]],Supplier[#All],5,0)</f>
        <v>MP</v>
      </c>
      <c r="H1720" s="138" t="str">
        <f>VLOOKUP(Purchase[[#This Row],[Supplier ID]],Supplier[#All],6,0)</f>
        <v>GST2154521T058</v>
      </c>
      <c r="I1720" s="138" t="s">
        <v>57</v>
      </c>
      <c r="J1720" s="139">
        <v>27</v>
      </c>
      <c r="K1720" s="143">
        <f>VLOOKUP(Purchase[[#This Row],[Product ID]],Product[#All],6,0)</f>
        <v>45619</v>
      </c>
      <c r="L1720" s="143">
        <f>Purchase[[#This Row],[Purchase Rate]]*Purchase[[#This Row],[Qty]]</f>
        <v>1231713</v>
      </c>
      <c r="M1720" s="140">
        <v>0</v>
      </c>
      <c r="N1720" s="143">
        <v>0</v>
      </c>
      <c r="O1720" s="140">
        <v>0.18</v>
      </c>
      <c r="P1720" s="145">
        <f>(Purchase[[#This Row],[Gross Amount]]-Purchase[[#This Row],[Disct %]])*Purchase[[#This Row],[GST %]]</f>
        <v>221708.34</v>
      </c>
      <c r="Q1720" s="145">
        <f>Purchase[[#This Row],[Gross Amount]]-Purchase[[#This Row],[Disct Amnt]]+Purchase[[#This Row],[GST Amount]]</f>
        <v>1453421.34</v>
      </c>
      <c r="R1720" s="138" t="s">
        <v>1019</v>
      </c>
      <c r="S1720" s="41">
        <f>IF(Purchase[[#This Row],[Status]]="Cancelled",0,Purchase[[#This Row],[Qty]])</f>
        <v>27</v>
      </c>
      <c r="T1720" s="146">
        <f>IF(Purchase[[#This Row],[Status]]="Cancelled",0,Purchase[[#This Row],[Total Amount]])</f>
        <v>1453421.34</v>
      </c>
      <c r="U1720" s="146">
        <f>SUM(Purchase[Net Amount])</f>
        <v>814985438.68000126</v>
      </c>
    </row>
    <row r="1721" spans="1:21" ht="19.5" thickBot="1" x14ac:dyDescent="0.3">
      <c r="A1721" s="136" t="s">
        <v>2776</v>
      </c>
      <c r="B1721" s="137">
        <v>45742</v>
      </c>
      <c r="C1721" s="138" t="s">
        <v>1098</v>
      </c>
      <c r="D1721" s="138" t="str">
        <f>VLOOKUP(Purchase[[#This Row],[Supplier ID]],Supplier[#All],2,0)</f>
        <v>maa distributors</v>
      </c>
      <c r="E1721" s="138">
        <f>VLOOKUP(Purchase[[#This Row],[Supplier ID]],Supplier[#All],3,0)</f>
        <v>9689542479</v>
      </c>
      <c r="F1721" s="138" t="str">
        <f>VLOOKUP(Purchase[[#This Row],[Supplier ID]],Supplier[#All],4,0)</f>
        <v>Indore</v>
      </c>
      <c r="G1721" s="138" t="str">
        <f>VLOOKUP(Purchase[[#This Row],[Supplier ID]],Supplier[#All],5,0)</f>
        <v>MP</v>
      </c>
      <c r="H1721" s="138" t="str">
        <f>VLOOKUP(Purchase[[#This Row],[Supplier ID]],Supplier[#All],6,0)</f>
        <v>GST2154521T033</v>
      </c>
      <c r="I1721" s="138" t="s">
        <v>422</v>
      </c>
      <c r="J1721" s="139">
        <v>31</v>
      </c>
      <c r="K1721" s="143">
        <f>VLOOKUP(Purchase[[#This Row],[Product ID]],Product[#All],6,0)</f>
        <v>5548</v>
      </c>
      <c r="L1721" s="143">
        <f>Purchase[[#This Row],[Purchase Rate]]*Purchase[[#This Row],[Qty]]</f>
        <v>171988</v>
      </c>
      <c r="M1721" s="140">
        <v>0</v>
      </c>
      <c r="N1721" s="143">
        <v>0</v>
      </c>
      <c r="O1721" s="140">
        <v>0.18</v>
      </c>
      <c r="P1721" s="145">
        <f>(Purchase[[#This Row],[Gross Amount]]-Purchase[[#This Row],[Disct %]])*Purchase[[#This Row],[GST %]]</f>
        <v>30957.84</v>
      </c>
      <c r="Q1721" s="145">
        <f>Purchase[[#This Row],[Gross Amount]]-Purchase[[#This Row],[Disct Amnt]]+Purchase[[#This Row],[GST Amount]]</f>
        <v>202945.84</v>
      </c>
      <c r="R1721" s="138" t="s">
        <v>1019</v>
      </c>
      <c r="S1721" s="41">
        <f>IF(Purchase[[#This Row],[Status]]="Cancelled",0,Purchase[[#This Row],[Qty]])</f>
        <v>31</v>
      </c>
      <c r="T1721" s="146">
        <f>IF(Purchase[[#This Row],[Status]]="Cancelled",0,Purchase[[#This Row],[Total Amount]])</f>
        <v>202945.84</v>
      </c>
      <c r="U1721" s="146">
        <f>SUM(Purchase[Net Amount])</f>
        <v>814985438.68000126</v>
      </c>
    </row>
    <row r="1722" spans="1:21" ht="19.5" thickBot="1" x14ac:dyDescent="0.3">
      <c r="A1722" s="136" t="s">
        <v>2777</v>
      </c>
      <c r="B1722" s="137">
        <v>45742</v>
      </c>
      <c r="C1722" s="138" t="s">
        <v>564</v>
      </c>
      <c r="D1722" s="138" t="str">
        <f>VLOOKUP(Purchase[[#This Row],[Supplier ID]],Supplier[#All],2,0)</f>
        <v xml:space="preserve">Star Electronics </v>
      </c>
      <c r="E1722" s="138">
        <f>VLOOKUP(Purchase[[#This Row],[Supplier ID]],Supplier[#All],3,0)</f>
        <v>9689542450</v>
      </c>
      <c r="F1722" s="138" t="str">
        <f>VLOOKUP(Purchase[[#This Row],[Supplier ID]],Supplier[#All],4,0)</f>
        <v>Korba</v>
      </c>
      <c r="G1722" s="138" t="str">
        <f>VLOOKUP(Purchase[[#This Row],[Supplier ID]],Supplier[#All],5,0)</f>
        <v>CG</v>
      </c>
      <c r="H1722" s="138" t="str">
        <f>VLOOKUP(Purchase[[#This Row],[Supplier ID]],Supplier[#All],6,0)</f>
        <v>GST2154521T012</v>
      </c>
      <c r="I1722" s="138" t="s">
        <v>423</v>
      </c>
      <c r="J1722" s="139">
        <v>9</v>
      </c>
      <c r="K1722" s="143">
        <f>VLOOKUP(Purchase[[#This Row],[Product ID]],Product[#All],6,0)</f>
        <v>33151</v>
      </c>
      <c r="L1722" s="143">
        <f>Purchase[[#This Row],[Purchase Rate]]*Purchase[[#This Row],[Qty]]</f>
        <v>298359</v>
      </c>
      <c r="M1722" s="140">
        <v>0</v>
      </c>
      <c r="N1722" s="143">
        <v>0</v>
      </c>
      <c r="O1722" s="140">
        <v>0.18</v>
      </c>
      <c r="P1722" s="145">
        <f>(Purchase[[#This Row],[Gross Amount]]-Purchase[[#This Row],[Disct %]])*Purchase[[#This Row],[GST %]]</f>
        <v>53704.619999999995</v>
      </c>
      <c r="Q1722" s="145">
        <f>Purchase[[#This Row],[Gross Amount]]-Purchase[[#This Row],[Disct Amnt]]+Purchase[[#This Row],[GST Amount]]</f>
        <v>352063.62</v>
      </c>
      <c r="R1722" s="138" t="s">
        <v>1019</v>
      </c>
      <c r="S1722" s="41">
        <f>IF(Purchase[[#This Row],[Status]]="Cancelled",0,Purchase[[#This Row],[Qty]])</f>
        <v>9</v>
      </c>
      <c r="T1722" s="146">
        <f>IF(Purchase[[#This Row],[Status]]="Cancelled",0,Purchase[[#This Row],[Total Amount]])</f>
        <v>352063.62</v>
      </c>
      <c r="U1722" s="146">
        <f>SUM(Purchase[Net Amount])</f>
        <v>814985438.68000126</v>
      </c>
    </row>
    <row r="1723" spans="1:21" ht="19.5" thickBot="1" x14ac:dyDescent="0.3">
      <c r="A1723" s="136" t="s">
        <v>2778</v>
      </c>
      <c r="B1723" s="137">
        <v>45742</v>
      </c>
      <c r="C1723" s="138" t="s">
        <v>613</v>
      </c>
      <c r="D1723" s="138" t="str">
        <f>VLOOKUP(Purchase[[#This Row],[Supplier ID]],Supplier[#All],2,0)</f>
        <v>National Traders</v>
      </c>
      <c r="E1723" s="138">
        <f>VLOOKUP(Purchase[[#This Row],[Supplier ID]],Supplier[#All],3,0)</f>
        <v>9689542496</v>
      </c>
      <c r="F1723" s="138" t="str">
        <f>VLOOKUP(Purchase[[#This Row],[Supplier ID]],Supplier[#All],4,0)</f>
        <v>Indore</v>
      </c>
      <c r="G1723" s="138" t="str">
        <f>VLOOKUP(Purchase[[#This Row],[Supplier ID]],Supplier[#All],5,0)</f>
        <v>MP</v>
      </c>
      <c r="H1723" s="138" t="str">
        <f>VLOOKUP(Purchase[[#This Row],[Supplier ID]],Supplier[#All],6,0)</f>
        <v>GST2154521T058</v>
      </c>
      <c r="I1723" s="138" t="s">
        <v>282</v>
      </c>
      <c r="J1723" s="139">
        <v>18</v>
      </c>
      <c r="K1723" s="143">
        <f>VLOOKUP(Purchase[[#This Row],[Product ID]],Product[#All],6,0)</f>
        <v>675</v>
      </c>
      <c r="L1723" s="143">
        <f>Purchase[[#This Row],[Purchase Rate]]*Purchase[[#This Row],[Qty]]</f>
        <v>12150</v>
      </c>
      <c r="M1723" s="140">
        <v>0</v>
      </c>
      <c r="N1723" s="143">
        <v>0</v>
      </c>
      <c r="O1723" s="140">
        <v>0.18</v>
      </c>
      <c r="P1723" s="145">
        <f>(Purchase[[#This Row],[Gross Amount]]-Purchase[[#This Row],[Disct %]])*Purchase[[#This Row],[GST %]]</f>
        <v>2187</v>
      </c>
      <c r="Q1723" s="145">
        <f>Purchase[[#This Row],[Gross Amount]]-Purchase[[#This Row],[Disct Amnt]]+Purchase[[#This Row],[GST Amount]]</f>
        <v>14337</v>
      </c>
      <c r="R1723" s="138" t="s">
        <v>1019</v>
      </c>
      <c r="S1723" s="41">
        <f>IF(Purchase[[#This Row],[Status]]="Cancelled",0,Purchase[[#This Row],[Qty]])</f>
        <v>18</v>
      </c>
      <c r="T1723" s="146">
        <f>IF(Purchase[[#This Row],[Status]]="Cancelled",0,Purchase[[#This Row],[Total Amount]])</f>
        <v>14337</v>
      </c>
      <c r="U1723" s="146">
        <f>SUM(Purchase[Net Amount])</f>
        <v>814985438.68000126</v>
      </c>
    </row>
    <row r="1724" spans="1:21" ht="19.5" thickBot="1" x14ac:dyDescent="0.3">
      <c r="A1724" s="136" t="s">
        <v>2779</v>
      </c>
      <c r="B1724" s="137">
        <v>45742</v>
      </c>
      <c r="C1724" s="138" t="s">
        <v>595</v>
      </c>
      <c r="D1724" s="138" t="str">
        <f>VLOOKUP(Purchase[[#This Row],[Supplier ID]],Supplier[#All],2,0)</f>
        <v>Star Computers</v>
      </c>
      <c r="E1724" s="138">
        <f>VLOOKUP(Purchase[[#This Row],[Supplier ID]],Supplier[#All],3,0)</f>
        <v>9689542478</v>
      </c>
      <c r="F1724" s="138" t="str">
        <f>VLOOKUP(Purchase[[#This Row],[Supplier ID]],Supplier[#All],4,0)</f>
        <v>Kanpur</v>
      </c>
      <c r="G1724" s="138" t="str">
        <f>VLOOKUP(Purchase[[#This Row],[Supplier ID]],Supplier[#All],5,0)</f>
        <v>UP</v>
      </c>
      <c r="H1724" s="138" t="str">
        <f>VLOOKUP(Purchase[[#This Row],[Supplier ID]],Supplier[#All],6,0)</f>
        <v>GST2154521T040</v>
      </c>
      <c r="I1724" s="138" t="s">
        <v>175</v>
      </c>
      <c r="J1724" s="139">
        <v>6</v>
      </c>
      <c r="K1724" s="143">
        <f>VLOOKUP(Purchase[[#This Row],[Product ID]],Product[#All],6,0)</f>
        <v>1594</v>
      </c>
      <c r="L1724" s="143">
        <f>Purchase[[#This Row],[Purchase Rate]]*Purchase[[#This Row],[Qty]]</f>
        <v>9564</v>
      </c>
      <c r="M1724" s="140">
        <v>0</v>
      </c>
      <c r="N1724" s="143">
        <v>0</v>
      </c>
      <c r="O1724" s="140">
        <v>0.18</v>
      </c>
      <c r="P1724" s="145">
        <f>(Purchase[[#This Row],[Gross Amount]]-Purchase[[#This Row],[Disct %]])*Purchase[[#This Row],[GST %]]</f>
        <v>1721.52</v>
      </c>
      <c r="Q1724" s="145">
        <f>Purchase[[#This Row],[Gross Amount]]-Purchase[[#This Row],[Disct Amnt]]+Purchase[[#This Row],[GST Amount]]</f>
        <v>11285.52</v>
      </c>
      <c r="R1724" s="138" t="s">
        <v>1019</v>
      </c>
      <c r="S1724" s="41">
        <f>IF(Purchase[[#This Row],[Status]]="Cancelled",0,Purchase[[#This Row],[Qty]])</f>
        <v>6</v>
      </c>
      <c r="T1724" s="146">
        <f>IF(Purchase[[#This Row],[Status]]="Cancelled",0,Purchase[[#This Row],[Total Amount]])</f>
        <v>11285.52</v>
      </c>
      <c r="U1724" s="146">
        <f>SUM(Purchase[Net Amount])</f>
        <v>814985438.68000126</v>
      </c>
    </row>
    <row r="1725" spans="1:21" ht="19.5" thickBot="1" x14ac:dyDescent="0.3">
      <c r="A1725" s="136" t="s">
        <v>2780</v>
      </c>
      <c r="B1725" s="137">
        <v>45742</v>
      </c>
      <c r="C1725" s="138" t="s">
        <v>565</v>
      </c>
      <c r="D1725" s="138" t="str">
        <f>VLOOKUP(Purchase[[#This Row],[Supplier ID]],Supplier[#All],2,0)</f>
        <v>Global Suppliers</v>
      </c>
      <c r="E1725" s="138">
        <f>VLOOKUP(Purchase[[#This Row],[Supplier ID]],Supplier[#All],3,0)</f>
        <v>9689542459</v>
      </c>
      <c r="F1725" s="138" t="str">
        <f>VLOOKUP(Purchase[[#This Row],[Supplier ID]],Supplier[#All],4,0)</f>
        <v>Indore</v>
      </c>
      <c r="G1725" s="138" t="str">
        <f>VLOOKUP(Purchase[[#This Row],[Supplier ID]],Supplier[#All],5,0)</f>
        <v>MP</v>
      </c>
      <c r="H1725" s="138" t="str">
        <f>VLOOKUP(Purchase[[#This Row],[Supplier ID]],Supplier[#All],6,0)</f>
        <v>GST2154521T013</v>
      </c>
      <c r="I1725" s="138" t="s">
        <v>523</v>
      </c>
      <c r="J1725" s="139">
        <v>36</v>
      </c>
      <c r="K1725" s="143">
        <f>VLOOKUP(Purchase[[#This Row],[Product ID]],Product[#All],6,0)</f>
        <v>1062</v>
      </c>
      <c r="L1725" s="143">
        <f>Purchase[[#This Row],[Purchase Rate]]*Purchase[[#This Row],[Qty]]</f>
        <v>38232</v>
      </c>
      <c r="M1725" s="140">
        <v>0</v>
      </c>
      <c r="N1725" s="143">
        <v>0</v>
      </c>
      <c r="O1725" s="140">
        <v>0.18</v>
      </c>
      <c r="P1725" s="145">
        <f>(Purchase[[#This Row],[Gross Amount]]-Purchase[[#This Row],[Disct %]])*Purchase[[#This Row],[GST %]]</f>
        <v>6881.7599999999993</v>
      </c>
      <c r="Q1725" s="145">
        <f>Purchase[[#This Row],[Gross Amount]]-Purchase[[#This Row],[Disct Amnt]]+Purchase[[#This Row],[GST Amount]]</f>
        <v>45113.760000000002</v>
      </c>
      <c r="R1725" s="138" t="s">
        <v>1040</v>
      </c>
      <c r="S1725" s="41">
        <f>IF(Purchase[[#This Row],[Status]]="Cancelled",0,Purchase[[#This Row],[Qty]])</f>
        <v>0</v>
      </c>
      <c r="T1725" s="146">
        <f>IF(Purchase[[#This Row],[Status]]="Cancelled",0,Purchase[[#This Row],[Total Amount]])</f>
        <v>0</v>
      </c>
      <c r="U1725" s="146">
        <f>SUM(Purchase[Net Amount])</f>
        <v>814985438.68000126</v>
      </c>
    </row>
    <row r="1726" spans="1:21" ht="19.5" thickBot="1" x14ac:dyDescent="0.3">
      <c r="A1726" s="136" t="s">
        <v>2781</v>
      </c>
      <c r="B1726" s="137">
        <v>45742</v>
      </c>
      <c r="C1726" s="138" t="s">
        <v>597</v>
      </c>
      <c r="D1726" s="138" t="str">
        <f>VLOOKUP(Purchase[[#This Row],[Supplier ID]],Supplier[#All],2,0)</f>
        <v>Tech Traders</v>
      </c>
      <c r="E1726" s="138">
        <f>VLOOKUP(Purchase[[#This Row],[Supplier ID]],Supplier[#All],3,0)</f>
        <v>9689542480</v>
      </c>
      <c r="F1726" s="138" t="str">
        <f>VLOOKUP(Purchase[[#This Row],[Supplier ID]],Supplier[#All],4,0)</f>
        <v>Kanpur</v>
      </c>
      <c r="G1726" s="138" t="str">
        <f>VLOOKUP(Purchase[[#This Row],[Supplier ID]],Supplier[#All],5,0)</f>
        <v>UP</v>
      </c>
      <c r="H1726" s="138" t="str">
        <f>VLOOKUP(Purchase[[#This Row],[Supplier ID]],Supplier[#All],6,0)</f>
        <v>GST2154521T042</v>
      </c>
      <c r="I1726" s="138" t="s">
        <v>321</v>
      </c>
      <c r="J1726" s="139">
        <v>37</v>
      </c>
      <c r="K1726" s="143">
        <f>VLOOKUP(Purchase[[#This Row],[Product ID]],Product[#All],6,0)</f>
        <v>5707</v>
      </c>
      <c r="L1726" s="143">
        <f>Purchase[[#This Row],[Purchase Rate]]*Purchase[[#This Row],[Qty]]</f>
        <v>211159</v>
      </c>
      <c r="M1726" s="140">
        <v>0</v>
      </c>
      <c r="N1726" s="143">
        <v>0</v>
      </c>
      <c r="O1726" s="140">
        <v>0.18</v>
      </c>
      <c r="P1726" s="145">
        <f>(Purchase[[#This Row],[Gross Amount]]-Purchase[[#This Row],[Disct %]])*Purchase[[#This Row],[GST %]]</f>
        <v>38008.619999999995</v>
      </c>
      <c r="Q1726" s="145">
        <f>Purchase[[#This Row],[Gross Amount]]-Purchase[[#This Row],[Disct Amnt]]+Purchase[[#This Row],[GST Amount]]</f>
        <v>249167.62</v>
      </c>
      <c r="R1726" s="138" t="s">
        <v>1019</v>
      </c>
      <c r="S1726" s="41">
        <f>IF(Purchase[[#This Row],[Status]]="Cancelled",0,Purchase[[#This Row],[Qty]])</f>
        <v>37</v>
      </c>
      <c r="T1726" s="146">
        <f>IF(Purchase[[#This Row],[Status]]="Cancelled",0,Purchase[[#This Row],[Total Amount]])</f>
        <v>249167.62</v>
      </c>
      <c r="U1726" s="146">
        <f>SUM(Purchase[Net Amount])</f>
        <v>814985438.68000126</v>
      </c>
    </row>
    <row r="1727" spans="1:21" ht="19.5" thickBot="1" x14ac:dyDescent="0.3">
      <c r="A1727" s="136" t="s">
        <v>2782</v>
      </c>
      <c r="B1727" s="137">
        <v>45742</v>
      </c>
      <c r="C1727" s="138" t="s">
        <v>607</v>
      </c>
      <c r="D1727" s="138" t="str">
        <f>VLOOKUP(Purchase[[#This Row],[Supplier ID]],Supplier[#All],2,0)</f>
        <v>Global Distributors</v>
      </c>
      <c r="E1727" s="138">
        <f>VLOOKUP(Purchase[[#This Row],[Supplier ID]],Supplier[#All],3,0)</f>
        <v>9689542490</v>
      </c>
      <c r="F1727" s="138" t="str">
        <f>VLOOKUP(Purchase[[#This Row],[Supplier ID]],Supplier[#All],4,0)</f>
        <v>Kanpur</v>
      </c>
      <c r="G1727" s="138" t="str">
        <f>VLOOKUP(Purchase[[#This Row],[Supplier ID]],Supplier[#All],5,0)</f>
        <v>UP</v>
      </c>
      <c r="H1727" s="138" t="str">
        <f>VLOOKUP(Purchase[[#This Row],[Supplier ID]],Supplier[#All],6,0)</f>
        <v>GST2154521T052</v>
      </c>
      <c r="I1727" s="138" t="s">
        <v>317</v>
      </c>
      <c r="J1727" s="139">
        <v>29</v>
      </c>
      <c r="K1727" s="143">
        <f>VLOOKUP(Purchase[[#This Row],[Product ID]],Product[#All],6,0)</f>
        <v>850</v>
      </c>
      <c r="L1727" s="143">
        <f>Purchase[[#This Row],[Purchase Rate]]*Purchase[[#This Row],[Qty]]</f>
        <v>24650</v>
      </c>
      <c r="M1727" s="140">
        <v>0</v>
      </c>
      <c r="N1727" s="143">
        <v>0</v>
      </c>
      <c r="O1727" s="140">
        <v>0.18</v>
      </c>
      <c r="P1727" s="145">
        <f>(Purchase[[#This Row],[Gross Amount]]-Purchase[[#This Row],[Disct %]])*Purchase[[#This Row],[GST %]]</f>
        <v>4437</v>
      </c>
      <c r="Q1727" s="145">
        <f>Purchase[[#This Row],[Gross Amount]]-Purchase[[#This Row],[Disct Amnt]]+Purchase[[#This Row],[GST Amount]]</f>
        <v>29087</v>
      </c>
      <c r="R1727" s="138" t="s">
        <v>1019</v>
      </c>
      <c r="S1727" s="41">
        <f>IF(Purchase[[#This Row],[Status]]="Cancelled",0,Purchase[[#This Row],[Qty]])</f>
        <v>29</v>
      </c>
      <c r="T1727" s="146">
        <f>IF(Purchase[[#This Row],[Status]]="Cancelled",0,Purchase[[#This Row],[Total Amount]])</f>
        <v>29087</v>
      </c>
      <c r="U1727" s="146">
        <f>SUM(Purchase[Net Amount])</f>
        <v>814985438.68000126</v>
      </c>
    </row>
    <row r="1728" spans="1:21" ht="19.5" thickBot="1" x14ac:dyDescent="0.3">
      <c r="A1728" s="136" t="s">
        <v>2783</v>
      </c>
      <c r="B1728" s="137">
        <v>45742</v>
      </c>
      <c r="C1728" s="138" t="s">
        <v>582</v>
      </c>
      <c r="D1728" s="138" t="str">
        <f>VLOOKUP(Purchase[[#This Row],[Supplier ID]],Supplier[#All],2,0)</f>
        <v>Tech Distributors</v>
      </c>
      <c r="E1728" s="138">
        <f>VLOOKUP(Purchase[[#This Row],[Supplier ID]],Supplier[#All],3,0)</f>
        <v>9689542466</v>
      </c>
      <c r="F1728" s="138" t="str">
        <f>VLOOKUP(Purchase[[#This Row],[Supplier ID]],Supplier[#All],4,0)</f>
        <v>Indore</v>
      </c>
      <c r="G1728" s="138" t="str">
        <f>VLOOKUP(Purchase[[#This Row],[Supplier ID]],Supplier[#All],5,0)</f>
        <v>MP</v>
      </c>
      <c r="H1728" s="138" t="str">
        <f>VLOOKUP(Purchase[[#This Row],[Supplier ID]],Supplier[#All],6,0)</f>
        <v>GST2154521T028</v>
      </c>
      <c r="I1728" s="138" t="s">
        <v>111</v>
      </c>
      <c r="J1728" s="139">
        <v>38</v>
      </c>
      <c r="K1728" s="143">
        <f>VLOOKUP(Purchase[[#This Row],[Product ID]],Product[#All],6,0)</f>
        <v>13173</v>
      </c>
      <c r="L1728" s="143">
        <f>Purchase[[#This Row],[Purchase Rate]]*Purchase[[#This Row],[Qty]]</f>
        <v>500574</v>
      </c>
      <c r="M1728" s="140">
        <v>0</v>
      </c>
      <c r="N1728" s="143">
        <v>0</v>
      </c>
      <c r="O1728" s="140">
        <v>0.18</v>
      </c>
      <c r="P1728" s="145">
        <f>(Purchase[[#This Row],[Gross Amount]]-Purchase[[#This Row],[Disct %]])*Purchase[[#This Row],[GST %]]</f>
        <v>90103.319999999992</v>
      </c>
      <c r="Q1728" s="145">
        <f>Purchase[[#This Row],[Gross Amount]]-Purchase[[#This Row],[Disct Amnt]]+Purchase[[#This Row],[GST Amount]]</f>
        <v>590677.31999999995</v>
      </c>
      <c r="R1728" s="138" t="s">
        <v>1019</v>
      </c>
      <c r="S1728" s="41">
        <f>IF(Purchase[[#This Row],[Status]]="Cancelled",0,Purchase[[#This Row],[Qty]])</f>
        <v>38</v>
      </c>
      <c r="T1728" s="146">
        <f>IF(Purchase[[#This Row],[Status]]="Cancelled",0,Purchase[[#This Row],[Total Amount]])</f>
        <v>590677.31999999995</v>
      </c>
      <c r="U1728" s="146">
        <f>SUM(Purchase[Net Amount])</f>
        <v>814985438.68000126</v>
      </c>
    </row>
    <row r="1729" spans="1:21" ht="19.5" thickBot="1" x14ac:dyDescent="0.3">
      <c r="A1729" s="136" t="s">
        <v>2784</v>
      </c>
      <c r="B1729" s="137">
        <v>45742</v>
      </c>
      <c r="C1729" s="138" t="s">
        <v>1225</v>
      </c>
      <c r="D1729" s="138" t="str">
        <f>VLOOKUP(Purchase[[#This Row],[Supplier ID]],Supplier[#All],2,0)</f>
        <v>Star Distributors</v>
      </c>
      <c r="E1729" s="138">
        <f>VLOOKUP(Purchase[[#This Row],[Supplier ID]],Supplier[#All],3,0)</f>
        <v>9689542474</v>
      </c>
      <c r="F1729" s="138" t="str">
        <f>VLOOKUP(Purchase[[#This Row],[Supplier ID]],Supplier[#All],4,0)</f>
        <v>Kanpur</v>
      </c>
      <c r="G1729" s="138" t="str">
        <f>VLOOKUP(Purchase[[#This Row],[Supplier ID]],Supplier[#All],5,0)</f>
        <v>UP</v>
      </c>
      <c r="H1729" s="138" t="str">
        <f>VLOOKUP(Purchase[[#This Row],[Supplier ID]],Supplier[#All],6,0)</f>
        <v>GST2154521T036</v>
      </c>
      <c r="I1729" s="138" t="s">
        <v>298</v>
      </c>
      <c r="J1729" s="139">
        <v>21</v>
      </c>
      <c r="K1729" s="143">
        <f>VLOOKUP(Purchase[[#This Row],[Product ID]],Product[#All],6,0)</f>
        <v>19959</v>
      </c>
      <c r="L1729" s="143">
        <f>Purchase[[#This Row],[Purchase Rate]]*Purchase[[#This Row],[Qty]]</f>
        <v>419139</v>
      </c>
      <c r="M1729" s="140">
        <v>0</v>
      </c>
      <c r="N1729" s="143">
        <v>0</v>
      </c>
      <c r="O1729" s="140">
        <v>0.18</v>
      </c>
      <c r="P1729" s="145">
        <f>(Purchase[[#This Row],[Gross Amount]]-Purchase[[#This Row],[Disct %]])*Purchase[[#This Row],[GST %]]</f>
        <v>75445.02</v>
      </c>
      <c r="Q1729" s="145">
        <f>Purchase[[#This Row],[Gross Amount]]-Purchase[[#This Row],[Disct Amnt]]+Purchase[[#This Row],[GST Amount]]</f>
        <v>494584.02</v>
      </c>
      <c r="R1729" s="138" t="s">
        <v>1019</v>
      </c>
      <c r="S1729" s="41">
        <f>IF(Purchase[[#This Row],[Status]]="Cancelled",0,Purchase[[#This Row],[Qty]])</f>
        <v>21</v>
      </c>
      <c r="T1729" s="146">
        <f>IF(Purchase[[#This Row],[Status]]="Cancelled",0,Purchase[[#This Row],[Total Amount]])</f>
        <v>494584.02</v>
      </c>
      <c r="U1729" s="146">
        <f>SUM(Purchase[Net Amount])</f>
        <v>814985438.68000126</v>
      </c>
    </row>
    <row r="1730" spans="1:21" ht="19.5" thickBot="1" x14ac:dyDescent="0.3">
      <c r="A1730" s="136" t="s">
        <v>2785</v>
      </c>
      <c r="B1730" s="137">
        <v>45743</v>
      </c>
      <c r="C1730" s="138" t="s">
        <v>577</v>
      </c>
      <c r="D1730" s="138" t="str">
        <f>VLOOKUP(Purchase[[#This Row],[Supplier ID]],Supplier[#All],2,0)</f>
        <v>National Electronics</v>
      </c>
      <c r="E1730" s="138">
        <f>VLOOKUP(Purchase[[#This Row],[Supplier ID]],Supplier[#All],3,0)</f>
        <v>9689542469</v>
      </c>
      <c r="F1730" s="138" t="str">
        <f>VLOOKUP(Purchase[[#This Row],[Supplier ID]],Supplier[#All],4,0)</f>
        <v>Korba</v>
      </c>
      <c r="G1730" s="138" t="str">
        <f>VLOOKUP(Purchase[[#This Row],[Supplier ID]],Supplier[#All],5,0)</f>
        <v>CG</v>
      </c>
      <c r="H1730" s="138" t="str">
        <f>VLOOKUP(Purchase[[#This Row],[Supplier ID]],Supplier[#All],6,0)</f>
        <v>GST2154521T023</v>
      </c>
      <c r="I1730" s="138" t="s">
        <v>115</v>
      </c>
      <c r="J1730" s="139">
        <v>12</v>
      </c>
      <c r="K1730" s="143">
        <f>VLOOKUP(Purchase[[#This Row],[Product ID]],Product[#All],6,0)</f>
        <v>1444</v>
      </c>
      <c r="L1730" s="143">
        <f>Purchase[[#This Row],[Purchase Rate]]*Purchase[[#This Row],[Qty]]</f>
        <v>17328</v>
      </c>
      <c r="M1730" s="140">
        <v>0</v>
      </c>
      <c r="N1730" s="143">
        <v>0</v>
      </c>
      <c r="O1730" s="140">
        <v>0.18</v>
      </c>
      <c r="P1730" s="145">
        <f>(Purchase[[#This Row],[Gross Amount]]-Purchase[[#This Row],[Disct %]])*Purchase[[#This Row],[GST %]]</f>
        <v>3119.04</v>
      </c>
      <c r="Q1730" s="145">
        <f>Purchase[[#This Row],[Gross Amount]]-Purchase[[#This Row],[Disct Amnt]]+Purchase[[#This Row],[GST Amount]]</f>
        <v>20447.04</v>
      </c>
      <c r="R1730" s="138" t="s">
        <v>1019</v>
      </c>
      <c r="S1730" s="41">
        <f>IF(Purchase[[#This Row],[Status]]="Cancelled",0,Purchase[[#This Row],[Qty]])</f>
        <v>12</v>
      </c>
      <c r="T1730" s="146">
        <f>IF(Purchase[[#This Row],[Status]]="Cancelled",0,Purchase[[#This Row],[Total Amount]])</f>
        <v>20447.04</v>
      </c>
      <c r="U1730" s="146">
        <f>SUM(Purchase[Net Amount])</f>
        <v>814985438.68000126</v>
      </c>
    </row>
    <row r="1731" spans="1:21" ht="19.5" thickBot="1" x14ac:dyDescent="0.3">
      <c r="A1731" s="136" t="s">
        <v>2786</v>
      </c>
      <c r="B1731" s="137">
        <v>45743</v>
      </c>
      <c r="C1731" s="138" t="s">
        <v>579</v>
      </c>
      <c r="D1731" s="138" t="str">
        <f>VLOOKUP(Purchase[[#This Row],[Supplier ID]],Supplier[#All],2,0)</f>
        <v>Tech Traders</v>
      </c>
      <c r="E1731" s="138">
        <f>VLOOKUP(Purchase[[#This Row],[Supplier ID]],Supplier[#All],3,0)</f>
        <v>9689542463</v>
      </c>
      <c r="F1731" s="138" t="str">
        <f>VLOOKUP(Purchase[[#This Row],[Supplier ID]],Supplier[#All],4,0)</f>
        <v>Kanpur</v>
      </c>
      <c r="G1731" s="138" t="str">
        <f>VLOOKUP(Purchase[[#This Row],[Supplier ID]],Supplier[#All],5,0)</f>
        <v>UP</v>
      </c>
      <c r="H1731" s="138" t="str">
        <f>VLOOKUP(Purchase[[#This Row],[Supplier ID]],Supplier[#All],6,0)</f>
        <v>GST2154521T025</v>
      </c>
      <c r="I1731" s="138" t="s">
        <v>353</v>
      </c>
      <c r="J1731" s="139">
        <v>39</v>
      </c>
      <c r="K1731" s="143">
        <f>VLOOKUP(Purchase[[#This Row],[Product ID]],Product[#All],6,0)</f>
        <v>51991</v>
      </c>
      <c r="L1731" s="143">
        <f>Purchase[[#This Row],[Purchase Rate]]*Purchase[[#This Row],[Qty]]</f>
        <v>2027649</v>
      </c>
      <c r="M1731" s="140">
        <v>0</v>
      </c>
      <c r="N1731" s="143">
        <v>0</v>
      </c>
      <c r="O1731" s="140">
        <v>0.18</v>
      </c>
      <c r="P1731" s="145">
        <f>(Purchase[[#This Row],[Gross Amount]]-Purchase[[#This Row],[Disct %]])*Purchase[[#This Row],[GST %]]</f>
        <v>364976.82</v>
      </c>
      <c r="Q1731" s="145">
        <f>Purchase[[#This Row],[Gross Amount]]-Purchase[[#This Row],[Disct Amnt]]+Purchase[[#This Row],[GST Amount]]</f>
        <v>2392625.8199999998</v>
      </c>
      <c r="R1731" s="138" t="s">
        <v>1019</v>
      </c>
      <c r="S1731" s="41">
        <f>IF(Purchase[[#This Row],[Status]]="Cancelled",0,Purchase[[#This Row],[Qty]])</f>
        <v>39</v>
      </c>
      <c r="T1731" s="146">
        <f>IF(Purchase[[#This Row],[Status]]="Cancelled",0,Purchase[[#This Row],[Total Amount]])</f>
        <v>2392625.8199999998</v>
      </c>
      <c r="U1731" s="146">
        <f>SUM(Purchase[Net Amount])</f>
        <v>814985438.68000126</v>
      </c>
    </row>
    <row r="1732" spans="1:21" ht="19.5" thickBot="1" x14ac:dyDescent="0.3">
      <c r="A1732" s="136" t="s">
        <v>2787</v>
      </c>
      <c r="B1732" s="137">
        <v>45743</v>
      </c>
      <c r="C1732" s="138" t="s">
        <v>578</v>
      </c>
      <c r="D1732" s="138" t="str">
        <f>VLOOKUP(Purchase[[#This Row],[Supplier ID]],Supplier[#All],2,0)</f>
        <v>Shree Computers</v>
      </c>
      <c r="E1732" s="138">
        <f>VLOOKUP(Purchase[[#This Row],[Supplier ID]],Supplier[#All],3,0)</f>
        <v>9689542462</v>
      </c>
      <c r="F1732" s="138" t="str">
        <f>VLOOKUP(Purchase[[#This Row],[Supplier ID]],Supplier[#All],4,0)</f>
        <v>Korba</v>
      </c>
      <c r="G1732" s="138" t="str">
        <f>VLOOKUP(Purchase[[#This Row],[Supplier ID]],Supplier[#All],5,0)</f>
        <v>CG</v>
      </c>
      <c r="H1732" s="138" t="str">
        <f>VLOOKUP(Purchase[[#This Row],[Supplier ID]],Supplier[#All],6,0)</f>
        <v>GST2154521T024</v>
      </c>
      <c r="I1732" s="138" t="s">
        <v>512</v>
      </c>
      <c r="J1732" s="139">
        <v>6</v>
      </c>
      <c r="K1732" s="143">
        <f>VLOOKUP(Purchase[[#This Row],[Product ID]],Product[#All],6,0)</f>
        <v>4495</v>
      </c>
      <c r="L1732" s="143">
        <f>Purchase[[#This Row],[Purchase Rate]]*Purchase[[#This Row],[Qty]]</f>
        <v>26970</v>
      </c>
      <c r="M1732" s="140">
        <v>0</v>
      </c>
      <c r="N1732" s="143">
        <v>0</v>
      </c>
      <c r="O1732" s="140">
        <v>0.18</v>
      </c>
      <c r="P1732" s="145">
        <f>(Purchase[[#This Row],[Gross Amount]]-Purchase[[#This Row],[Disct %]])*Purchase[[#This Row],[GST %]]</f>
        <v>4854.5999999999995</v>
      </c>
      <c r="Q1732" s="145">
        <f>Purchase[[#This Row],[Gross Amount]]-Purchase[[#This Row],[Disct Amnt]]+Purchase[[#This Row],[GST Amount]]</f>
        <v>31824.6</v>
      </c>
      <c r="R1732" s="138" t="s">
        <v>1019</v>
      </c>
      <c r="S1732" s="41">
        <f>IF(Purchase[[#This Row],[Status]]="Cancelled",0,Purchase[[#This Row],[Qty]])</f>
        <v>6</v>
      </c>
      <c r="T1732" s="146">
        <f>IF(Purchase[[#This Row],[Status]]="Cancelled",0,Purchase[[#This Row],[Total Amount]])</f>
        <v>31824.6</v>
      </c>
      <c r="U1732" s="146">
        <f>SUM(Purchase[Net Amount])</f>
        <v>814985438.68000126</v>
      </c>
    </row>
    <row r="1733" spans="1:21" ht="19.5" thickBot="1" x14ac:dyDescent="0.3">
      <c r="A1733" s="136" t="s">
        <v>2788</v>
      </c>
      <c r="B1733" s="137">
        <v>45743</v>
      </c>
      <c r="C1733" s="138" t="s">
        <v>608</v>
      </c>
      <c r="D1733" s="138" t="str">
        <f>VLOOKUP(Purchase[[#This Row],[Supplier ID]],Supplier[#All],2,0)</f>
        <v>Global Suppliers</v>
      </c>
      <c r="E1733" s="138">
        <f>VLOOKUP(Purchase[[#This Row],[Supplier ID]],Supplier[#All],3,0)</f>
        <v>9689542499</v>
      </c>
      <c r="F1733" s="138" t="str">
        <f>VLOOKUP(Purchase[[#This Row],[Supplier ID]],Supplier[#All],4,0)</f>
        <v>Korba</v>
      </c>
      <c r="G1733" s="138" t="str">
        <f>VLOOKUP(Purchase[[#This Row],[Supplier ID]],Supplier[#All],5,0)</f>
        <v>CG</v>
      </c>
      <c r="H1733" s="138" t="str">
        <f>VLOOKUP(Purchase[[#This Row],[Supplier ID]],Supplier[#All],6,0)</f>
        <v>GST2154521T053</v>
      </c>
      <c r="I1733" s="138" t="s">
        <v>436</v>
      </c>
      <c r="J1733" s="139">
        <v>39</v>
      </c>
      <c r="K1733" s="143">
        <f>VLOOKUP(Purchase[[#This Row],[Product ID]],Product[#All],6,0)</f>
        <v>732</v>
      </c>
      <c r="L1733" s="143">
        <f>Purchase[[#This Row],[Purchase Rate]]*Purchase[[#This Row],[Qty]]</f>
        <v>28548</v>
      </c>
      <c r="M1733" s="140">
        <v>0</v>
      </c>
      <c r="N1733" s="143">
        <v>0</v>
      </c>
      <c r="O1733" s="140">
        <v>0.18</v>
      </c>
      <c r="P1733" s="145">
        <f>(Purchase[[#This Row],[Gross Amount]]-Purchase[[#This Row],[Disct %]])*Purchase[[#This Row],[GST %]]</f>
        <v>5138.6399999999994</v>
      </c>
      <c r="Q1733" s="145">
        <f>Purchase[[#This Row],[Gross Amount]]-Purchase[[#This Row],[Disct Amnt]]+Purchase[[#This Row],[GST Amount]]</f>
        <v>33686.639999999999</v>
      </c>
      <c r="R1733" s="138" t="s">
        <v>1019</v>
      </c>
      <c r="S1733" s="41">
        <f>IF(Purchase[[#This Row],[Status]]="Cancelled",0,Purchase[[#This Row],[Qty]])</f>
        <v>39</v>
      </c>
      <c r="T1733" s="146">
        <f>IF(Purchase[[#This Row],[Status]]="Cancelled",0,Purchase[[#This Row],[Total Amount]])</f>
        <v>33686.639999999999</v>
      </c>
      <c r="U1733" s="146">
        <f>SUM(Purchase[Net Amount])</f>
        <v>814985438.68000126</v>
      </c>
    </row>
    <row r="1734" spans="1:21" ht="19.5" thickBot="1" x14ac:dyDescent="0.3">
      <c r="A1734" s="136" t="s">
        <v>2789</v>
      </c>
      <c r="B1734" s="137">
        <v>45743</v>
      </c>
      <c r="C1734" s="138" t="s">
        <v>596</v>
      </c>
      <c r="D1734" s="138" t="str">
        <f>VLOOKUP(Purchase[[#This Row],[Supplier ID]],Supplier[#All],2,0)</f>
        <v>star traders</v>
      </c>
      <c r="E1734" s="138">
        <f>VLOOKUP(Purchase[[#This Row],[Supplier ID]],Supplier[#All],3,0)</f>
        <v>9689542479</v>
      </c>
      <c r="F1734" s="138" t="str">
        <f>VLOOKUP(Purchase[[#This Row],[Supplier ID]],Supplier[#All],4,0)</f>
        <v>Korba</v>
      </c>
      <c r="G1734" s="138" t="str">
        <f>VLOOKUP(Purchase[[#This Row],[Supplier ID]],Supplier[#All],5,0)</f>
        <v>CG</v>
      </c>
      <c r="H1734" s="138" t="str">
        <f>VLOOKUP(Purchase[[#This Row],[Supplier ID]],Supplier[#All],6,0)</f>
        <v>GST2154521T041</v>
      </c>
      <c r="I1734" s="138" t="s">
        <v>52</v>
      </c>
      <c r="J1734" s="139">
        <v>11</v>
      </c>
      <c r="K1734" s="143">
        <f>VLOOKUP(Purchase[[#This Row],[Product ID]],Product[#All],6,0)</f>
        <v>3643</v>
      </c>
      <c r="L1734" s="143">
        <f>Purchase[[#This Row],[Purchase Rate]]*Purchase[[#This Row],[Qty]]</f>
        <v>40073</v>
      </c>
      <c r="M1734" s="140">
        <v>0</v>
      </c>
      <c r="N1734" s="143">
        <v>0</v>
      </c>
      <c r="O1734" s="140">
        <v>0.18</v>
      </c>
      <c r="P1734" s="145">
        <f>(Purchase[[#This Row],[Gross Amount]]-Purchase[[#This Row],[Disct %]])*Purchase[[#This Row],[GST %]]</f>
        <v>7213.1399999999994</v>
      </c>
      <c r="Q1734" s="145">
        <f>Purchase[[#This Row],[Gross Amount]]-Purchase[[#This Row],[Disct Amnt]]+Purchase[[#This Row],[GST Amount]]</f>
        <v>47286.14</v>
      </c>
      <c r="R1734" s="138" t="s">
        <v>1019</v>
      </c>
      <c r="S1734" s="41">
        <f>IF(Purchase[[#This Row],[Status]]="Cancelled",0,Purchase[[#This Row],[Qty]])</f>
        <v>11</v>
      </c>
      <c r="T1734" s="146">
        <f>IF(Purchase[[#This Row],[Status]]="Cancelled",0,Purchase[[#This Row],[Total Amount]])</f>
        <v>47286.14</v>
      </c>
      <c r="U1734" s="146">
        <f>SUM(Purchase[Net Amount])</f>
        <v>814985438.68000126</v>
      </c>
    </row>
    <row r="1735" spans="1:21" ht="19.5" thickBot="1" x14ac:dyDescent="0.3">
      <c r="A1735" s="136" t="s">
        <v>2790</v>
      </c>
      <c r="B1735" s="137">
        <v>45743</v>
      </c>
      <c r="C1735" s="138" t="s">
        <v>603</v>
      </c>
      <c r="D1735" s="138" t="str">
        <f>VLOOKUP(Purchase[[#This Row],[Supplier ID]],Supplier[#All],2,0)</f>
        <v>Tech Computers</v>
      </c>
      <c r="E1735" s="138">
        <f>VLOOKUP(Purchase[[#This Row],[Supplier ID]],Supplier[#All],3,0)</f>
        <v>9689542486</v>
      </c>
      <c r="F1735" s="138" t="str">
        <f>VLOOKUP(Purchase[[#This Row],[Supplier ID]],Supplier[#All],4,0)</f>
        <v>Indore</v>
      </c>
      <c r="G1735" s="138" t="str">
        <f>VLOOKUP(Purchase[[#This Row],[Supplier ID]],Supplier[#All],5,0)</f>
        <v>MP</v>
      </c>
      <c r="H1735" s="138" t="str">
        <f>VLOOKUP(Purchase[[#This Row],[Supplier ID]],Supplier[#All],6,0)</f>
        <v>GST2154521T048</v>
      </c>
      <c r="I1735" s="138" t="s">
        <v>98</v>
      </c>
      <c r="J1735" s="139">
        <v>36</v>
      </c>
      <c r="K1735" s="143">
        <f>VLOOKUP(Purchase[[#This Row],[Product ID]],Product[#All],6,0)</f>
        <v>1125</v>
      </c>
      <c r="L1735" s="143">
        <f>Purchase[[#This Row],[Purchase Rate]]*Purchase[[#This Row],[Qty]]</f>
        <v>40500</v>
      </c>
      <c r="M1735" s="140">
        <v>0</v>
      </c>
      <c r="N1735" s="143">
        <v>0</v>
      </c>
      <c r="O1735" s="140">
        <v>0.18</v>
      </c>
      <c r="P1735" s="145">
        <f>(Purchase[[#This Row],[Gross Amount]]-Purchase[[#This Row],[Disct %]])*Purchase[[#This Row],[GST %]]</f>
        <v>7290</v>
      </c>
      <c r="Q1735" s="145">
        <f>Purchase[[#This Row],[Gross Amount]]-Purchase[[#This Row],[Disct Amnt]]+Purchase[[#This Row],[GST Amount]]</f>
        <v>47790</v>
      </c>
      <c r="R1735" s="138" t="s">
        <v>1019</v>
      </c>
      <c r="S1735" s="41">
        <f>IF(Purchase[[#This Row],[Status]]="Cancelled",0,Purchase[[#This Row],[Qty]])</f>
        <v>36</v>
      </c>
      <c r="T1735" s="146">
        <f>IF(Purchase[[#This Row],[Status]]="Cancelled",0,Purchase[[#This Row],[Total Amount]])</f>
        <v>47790</v>
      </c>
      <c r="U1735" s="146">
        <f>SUM(Purchase[Net Amount])</f>
        <v>814985438.68000126</v>
      </c>
    </row>
    <row r="1736" spans="1:21" ht="19.5" thickBot="1" x14ac:dyDescent="0.3">
      <c r="A1736" s="136" t="s">
        <v>2791</v>
      </c>
      <c r="B1736" s="137">
        <v>45743</v>
      </c>
      <c r="C1736" s="138" t="s">
        <v>603</v>
      </c>
      <c r="D1736" s="138" t="str">
        <f>VLOOKUP(Purchase[[#This Row],[Supplier ID]],Supplier[#All],2,0)</f>
        <v>Tech Computers</v>
      </c>
      <c r="E1736" s="138">
        <f>VLOOKUP(Purchase[[#This Row],[Supplier ID]],Supplier[#All],3,0)</f>
        <v>9689542486</v>
      </c>
      <c r="F1736" s="138" t="str">
        <f>VLOOKUP(Purchase[[#This Row],[Supplier ID]],Supplier[#All],4,0)</f>
        <v>Indore</v>
      </c>
      <c r="G1736" s="138" t="str">
        <f>VLOOKUP(Purchase[[#This Row],[Supplier ID]],Supplier[#All],5,0)</f>
        <v>MP</v>
      </c>
      <c r="H1736" s="138" t="str">
        <f>VLOOKUP(Purchase[[#This Row],[Supplier ID]],Supplier[#All],6,0)</f>
        <v>GST2154521T048</v>
      </c>
      <c r="I1736" s="138" t="s">
        <v>538</v>
      </c>
      <c r="J1736" s="139">
        <v>17</v>
      </c>
      <c r="K1736" s="143">
        <f>VLOOKUP(Purchase[[#This Row],[Product ID]],Product[#All],6,0)</f>
        <v>36513</v>
      </c>
      <c r="L1736" s="143">
        <f>Purchase[[#This Row],[Purchase Rate]]*Purchase[[#This Row],[Qty]]</f>
        <v>620721</v>
      </c>
      <c r="M1736" s="140">
        <v>0</v>
      </c>
      <c r="N1736" s="143">
        <v>0</v>
      </c>
      <c r="O1736" s="140">
        <v>0.18</v>
      </c>
      <c r="P1736" s="145">
        <f>(Purchase[[#This Row],[Gross Amount]]-Purchase[[#This Row],[Disct %]])*Purchase[[#This Row],[GST %]]</f>
        <v>111729.78</v>
      </c>
      <c r="Q1736" s="145">
        <f>Purchase[[#This Row],[Gross Amount]]-Purchase[[#This Row],[Disct Amnt]]+Purchase[[#This Row],[GST Amount]]</f>
        <v>732450.78</v>
      </c>
      <c r="R1736" s="138" t="s">
        <v>1019</v>
      </c>
      <c r="S1736" s="41">
        <f>IF(Purchase[[#This Row],[Status]]="Cancelled",0,Purchase[[#This Row],[Qty]])</f>
        <v>17</v>
      </c>
      <c r="T1736" s="146">
        <f>IF(Purchase[[#This Row],[Status]]="Cancelled",0,Purchase[[#This Row],[Total Amount]])</f>
        <v>732450.78</v>
      </c>
      <c r="U1736" s="146">
        <f>SUM(Purchase[Net Amount])</f>
        <v>814985438.68000126</v>
      </c>
    </row>
    <row r="1737" spans="1:21" ht="19.5" thickBot="1" x14ac:dyDescent="0.3">
      <c r="A1737" s="136" t="s">
        <v>2792</v>
      </c>
      <c r="B1737" s="137">
        <v>45743</v>
      </c>
      <c r="C1737" s="138" t="s">
        <v>579</v>
      </c>
      <c r="D1737" s="138" t="str">
        <f>VLOOKUP(Purchase[[#This Row],[Supplier ID]],Supplier[#All],2,0)</f>
        <v>Tech Traders</v>
      </c>
      <c r="E1737" s="138">
        <f>VLOOKUP(Purchase[[#This Row],[Supplier ID]],Supplier[#All],3,0)</f>
        <v>9689542463</v>
      </c>
      <c r="F1737" s="138" t="str">
        <f>VLOOKUP(Purchase[[#This Row],[Supplier ID]],Supplier[#All],4,0)</f>
        <v>Kanpur</v>
      </c>
      <c r="G1737" s="138" t="str">
        <f>VLOOKUP(Purchase[[#This Row],[Supplier ID]],Supplier[#All],5,0)</f>
        <v>UP</v>
      </c>
      <c r="H1737" s="138" t="str">
        <f>VLOOKUP(Purchase[[#This Row],[Supplier ID]],Supplier[#All],6,0)</f>
        <v>GST2154521T025</v>
      </c>
      <c r="I1737" s="138" t="s">
        <v>18</v>
      </c>
      <c r="J1737" s="139">
        <v>34</v>
      </c>
      <c r="K1737" s="143">
        <f>VLOOKUP(Purchase[[#This Row],[Product ID]],Product[#All],6,0)</f>
        <v>701</v>
      </c>
      <c r="L1737" s="143">
        <f>Purchase[[#This Row],[Purchase Rate]]*Purchase[[#This Row],[Qty]]</f>
        <v>23834</v>
      </c>
      <c r="M1737" s="140">
        <v>0</v>
      </c>
      <c r="N1737" s="143">
        <v>0</v>
      </c>
      <c r="O1737" s="140">
        <v>0.18</v>
      </c>
      <c r="P1737" s="145">
        <f>(Purchase[[#This Row],[Gross Amount]]-Purchase[[#This Row],[Disct %]])*Purchase[[#This Row],[GST %]]</f>
        <v>4290.12</v>
      </c>
      <c r="Q1737" s="145">
        <f>Purchase[[#This Row],[Gross Amount]]-Purchase[[#This Row],[Disct Amnt]]+Purchase[[#This Row],[GST Amount]]</f>
        <v>28124.12</v>
      </c>
      <c r="R1737" s="138" t="s">
        <v>1019</v>
      </c>
      <c r="S1737" s="41">
        <f>IF(Purchase[[#This Row],[Status]]="Cancelled",0,Purchase[[#This Row],[Qty]])</f>
        <v>34</v>
      </c>
      <c r="T1737" s="146">
        <f>IF(Purchase[[#This Row],[Status]]="Cancelled",0,Purchase[[#This Row],[Total Amount]])</f>
        <v>28124.12</v>
      </c>
      <c r="U1737" s="146">
        <f>SUM(Purchase[Net Amount])</f>
        <v>814985438.68000126</v>
      </c>
    </row>
    <row r="1738" spans="1:21" ht="19.5" thickBot="1" x14ac:dyDescent="0.3">
      <c r="A1738" s="136" t="s">
        <v>2793</v>
      </c>
      <c r="B1738" s="137">
        <v>45743</v>
      </c>
      <c r="C1738" s="138" t="s">
        <v>585</v>
      </c>
      <c r="D1738" s="138" t="str">
        <f>VLOOKUP(Purchase[[#This Row],[Supplier ID]],Supplier[#All],2,0)</f>
        <v>Tech Computers</v>
      </c>
      <c r="E1738" s="138">
        <f>VLOOKUP(Purchase[[#This Row],[Supplier ID]],Supplier[#All],3,0)</f>
        <v>9689542469</v>
      </c>
      <c r="F1738" s="138" t="str">
        <f>VLOOKUP(Purchase[[#This Row],[Supplier ID]],Supplier[#All],4,0)</f>
        <v>Korba</v>
      </c>
      <c r="G1738" s="138" t="str">
        <f>VLOOKUP(Purchase[[#This Row],[Supplier ID]],Supplier[#All],5,0)</f>
        <v>CG</v>
      </c>
      <c r="H1738" s="138" t="str">
        <f>VLOOKUP(Purchase[[#This Row],[Supplier ID]],Supplier[#All],6,0)</f>
        <v>GST2154521T031</v>
      </c>
      <c r="I1738" s="138" t="s">
        <v>368</v>
      </c>
      <c r="J1738" s="139">
        <v>16</v>
      </c>
      <c r="K1738" s="143">
        <f>VLOOKUP(Purchase[[#This Row],[Product ID]],Product[#All],6,0)</f>
        <v>1031</v>
      </c>
      <c r="L1738" s="143">
        <f>Purchase[[#This Row],[Purchase Rate]]*Purchase[[#This Row],[Qty]]</f>
        <v>16496</v>
      </c>
      <c r="M1738" s="140">
        <v>0</v>
      </c>
      <c r="N1738" s="143">
        <v>0</v>
      </c>
      <c r="O1738" s="140">
        <v>0.18</v>
      </c>
      <c r="P1738" s="145">
        <f>(Purchase[[#This Row],[Gross Amount]]-Purchase[[#This Row],[Disct %]])*Purchase[[#This Row],[GST %]]</f>
        <v>2969.2799999999997</v>
      </c>
      <c r="Q1738" s="145">
        <f>Purchase[[#This Row],[Gross Amount]]-Purchase[[#This Row],[Disct Amnt]]+Purchase[[#This Row],[GST Amount]]</f>
        <v>19465.28</v>
      </c>
      <c r="R1738" s="138" t="s">
        <v>1019</v>
      </c>
      <c r="S1738" s="41">
        <f>IF(Purchase[[#This Row],[Status]]="Cancelled",0,Purchase[[#This Row],[Qty]])</f>
        <v>16</v>
      </c>
      <c r="T1738" s="146">
        <f>IF(Purchase[[#This Row],[Status]]="Cancelled",0,Purchase[[#This Row],[Total Amount]])</f>
        <v>19465.28</v>
      </c>
      <c r="U1738" s="146">
        <f>SUM(Purchase[Net Amount])</f>
        <v>814985438.68000126</v>
      </c>
    </row>
    <row r="1739" spans="1:21" ht="19.5" thickBot="1" x14ac:dyDescent="0.3">
      <c r="A1739" s="136" t="s">
        <v>2794</v>
      </c>
      <c r="B1739" s="137">
        <v>45743</v>
      </c>
      <c r="C1739" s="138" t="s">
        <v>585</v>
      </c>
      <c r="D1739" s="138" t="str">
        <f>VLOOKUP(Purchase[[#This Row],[Supplier ID]],Supplier[#All],2,0)</f>
        <v>Tech Computers</v>
      </c>
      <c r="E1739" s="138">
        <f>VLOOKUP(Purchase[[#This Row],[Supplier ID]],Supplier[#All],3,0)</f>
        <v>9689542469</v>
      </c>
      <c r="F1739" s="138" t="str">
        <f>VLOOKUP(Purchase[[#This Row],[Supplier ID]],Supplier[#All],4,0)</f>
        <v>Korba</v>
      </c>
      <c r="G1739" s="138" t="str">
        <f>VLOOKUP(Purchase[[#This Row],[Supplier ID]],Supplier[#All],5,0)</f>
        <v>CG</v>
      </c>
      <c r="H1739" s="138" t="str">
        <f>VLOOKUP(Purchase[[#This Row],[Supplier ID]],Supplier[#All],6,0)</f>
        <v>GST2154521T031</v>
      </c>
      <c r="I1739" s="138" t="s">
        <v>95</v>
      </c>
      <c r="J1739" s="139">
        <v>9</v>
      </c>
      <c r="K1739" s="143">
        <f>VLOOKUP(Purchase[[#This Row],[Product ID]],Product[#All],6,0)</f>
        <v>5781</v>
      </c>
      <c r="L1739" s="143">
        <f>Purchase[[#This Row],[Purchase Rate]]*Purchase[[#This Row],[Qty]]</f>
        <v>52029</v>
      </c>
      <c r="M1739" s="140">
        <v>0</v>
      </c>
      <c r="N1739" s="143">
        <v>0</v>
      </c>
      <c r="O1739" s="140">
        <v>0.18</v>
      </c>
      <c r="P1739" s="145">
        <f>(Purchase[[#This Row],[Gross Amount]]-Purchase[[#This Row],[Disct %]])*Purchase[[#This Row],[GST %]]</f>
        <v>9365.2199999999993</v>
      </c>
      <c r="Q1739" s="145">
        <f>Purchase[[#This Row],[Gross Amount]]-Purchase[[#This Row],[Disct Amnt]]+Purchase[[#This Row],[GST Amount]]</f>
        <v>61394.22</v>
      </c>
      <c r="R1739" s="138" t="s">
        <v>1019</v>
      </c>
      <c r="S1739" s="41">
        <f>IF(Purchase[[#This Row],[Status]]="Cancelled",0,Purchase[[#This Row],[Qty]])</f>
        <v>9</v>
      </c>
      <c r="T1739" s="146">
        <f>IF(Purchase[[#This Row],[Status]]="Cancelled",0,Purchase[[#This Row],[Total Amount]])</f>
        <v>61394.22</v>
      </c>
      <c r="U1739" s="146">
        <f>SUM(Purchase[Net Amount])</f>
        <v>814985438.68000126</v>
      </c>
    </row>
    <row r="1740" spans="1:21" ht="19.5" thickBot="1" x14ac:dyDescent="0.3">
      <c r="A1740" s="136" t="s">
        <v>2795</v>
      </c>
      <c r="B1740" s="137">
        <v>45743</v>
      </c>
      <c r="C1740" s="138" t="s">
        <v>613</v>
      </c>
      <c r="D1740" s="138" t="str">
        <f>VLOOKUP(Purchase[[#This Row],[Supplier ID]],Supplier[#All],2,0)</f>
        <v>National Traders</v>
      </c>
      <c r="E1740" s="138">
        <f>VLOOKUP(Purchase[[#This Row],[Supplier ID]],Supplier[#All],3,0)</f>
        <v>9689542496</v>
      </c>
      <c r="F1740" s="138" t="str">
        <f>VLOOKUP(Purchase[[#This Row],[Supplier ID]],Supplier[#All],4,0)</f>
        <v>Indore</v>
      </c>
      <c r="G1740" s="138" t="str">
        <f>VLOOKUP(Purchase[[#This Row],[Supplier ID]],Supplier[#All],5,0)</f>
        <v>MP</v>
      </c>
      <c r="H1740" s="138" t="str">
        <f>VLOOKUP(Purchase[[#This Row],[Supplier ID]],Supplier[#All],6,0)</f>
        <v>GST2154521T058</v>
      </c>
      <c r="I1740" s="138" t="s">
        <v>460</v>
      </c>
      <c r="J1740" s="139">
        <v>39</v>
      </c>
      <c r="K1740" s="143">
        <f>VLOOKUP(Purchase[[#This Row],[Product ID]],Product[#All],6,0)</f>
        <v>2470</v>
      </c>
      <c r="L1740" s="143">
        <f>Purchase[[#This Row],[Purchase Rate]]*Purchase[[#This Row],[Qty]]</f>
        <v>96330</v>
      </c>
      <c r="M1740" s="140">
        <v>0</v>
      </c>
      <c r="N1740" s="143">
        <v>0</v>
      </c>
      <c r="O1740" s="140">
        <v>0.18</v>
      </c>
      <c r="P1740" s="145">
        <f>(Purchase[[#This Row],[Gross Amount]]-Purchase[[#This Row],[Disct %]])*Purchase[[#This Row],[GST %]]</f>
        <v>17339.399999999998</v>
      </c>
      <c r="Q1740" s="145">
        <f>Purchase[[#This Row],[Gross Amount]]-Purchase[[#This Row],[Disct Amnt]]+Purchase[[#This Row],[GST Amount]]</f>
        <v>113669.4</v>
      </c>
      <c r="R1740" s="138" t="s">
        <v>1019</v>
      </c>
      <c r="S1740" s="41">
        <f>IF(Purchase[[#This Row],[Status]]="Cancelled",0,Purchase[[#This Row],[Qty]])</f>
        <v>39</v>
      </c>
      <c r="T1740" s="146">
        <f>IF(Purchase[[#This Row],[Status]]="Cancelled",0,Purchase[[#This Row],[Total Amount]])</f>
        <v>113669.4</v>
      </c>
      <c r="U1740" s="146">
        <f>SUM(Purchase[Net Amount])</f>
        <v>814985438.68000126</v>
      </c>
    </row>
    <row r="1741" spans="1:21" ht="19.5" thickBot="1" x14ac:dyDescent="0.3">
      <c r="A1741" s="136" t="s">
        <v>2796</v>
      </c>
      <c r="B1741" s="137">
        <v>45743</v>
      </c>
      <c r="C1741" s="138" t="s">
        <v>589</v>
      </c>
      <c r="D1741" s="138" t="str">
        <f>VLOOKUP(Purchase[[#This Row],[Supplier ID]],Supplier[#All],2,0)</f>
        <v>Maa Computers</v>
      </c>
      <c r="E1741" s="138">
        <f>VLOOKUP(Purchase[[#This Row],[Supplier ID]],Supplier[#All],3,0)</f>
        <v>9689542473</v>
      </c>
      <c r="F1741" s="138" t="str">
        <f>VLOOKUP(Purchase[[#This Row],[Supplier ID]],Supplier[#All],4,0)</f>
        <v>Kanpur</v>
      </c>
      <c r="G1741" s="138" t="str">
        <f>VLOOKUP(Purchase[[#This Row],[Supplier ID]],Supplier[#All],5,0)</f>
        <v>UP</v>
      </c>
      <c r="H1741" s="138" t="str">
        <f>VLOOKUP(Purchase[[#This Row],[Supplier ID]],Supplier[#All],6,0)</f>
        <v>GST2154521T035</v>
      </c>
      <c r="I1741" s="138" t="s">
        <v>504</v>
      </c>
      <c r="J1741" s="139">
        <v>31</v>
      </c>
      <c r="K1741" s="143">
        <f>VLOOKUP(Purchase[[#This Row],[Product ID]],Product[#All],6,0)</f>
        <v>3172</v>
      </c>
      <c r="L1741" s="143">
        <f>Purchase[[#This Row],[Purchase Rate]]*Purchase[[#This Row],[Qty]]</f>
        <v>98332</v>
      </c>
      <c r="M1741" s="140">
        <v>0</v>
      </c>
      <c r="N1741" s="143">
        <v>0</v>
      </c>
      <c r="O1741" s="140">
        <v>0.18</v>
      </c>
      <c r="P1741" s="145">
        <f>(Purchase[[#This Row],[Gross Amount]]-Purchase[[#This Row],[Disct %]])*Purchase[[#This Row],[GST %]]</f>
        <v>17699.759999999998</v>
      </c>
      <c r="Q1741" s="145">
        <f>Purchase[[#This Row],[Gross Amount]]-Purchase[[#This Row],[Disct Amnt]]+Purchase[[#This Row],[GST Amount]]</f>
        <v>116031.76</v>
      </c>
      <c r="R1741" s="138" t="s">
        <v>1019</v>
      </c>
      <c r="S1741" s="41">
        <f>IF(Purchase[[#This Row],[Status]]="Cancelled",0,Purchase[[#This Row],[Qty]])</f>
        <v>31</v>
      </c>
      <c r="T1741" s="146">
        <f>IF(Purchase[[#This Row],[Status]]="Cancelled",0,Purchase[[#This Row],[Total Amount]])</f>
        <v>116031.76</v>
      </c>
      <c r="U1741" s="146">
        <f>SUM(Purchase[Net Amount])</f>
        <v>814985438.68000126</v>
      </c>
    </row>
    <row r="1742" spans="1:21" ht="19.5" thickBot="1" x14ac:dyDescent="0.3">
      <c r="A1742" s="136" t="s">
        <v>2797</v>
      </c>
      <c r="B1742" s="137">
        <v>45743</v>
      </c>
      <c r="C1742" s="138" t="s">
        <v>584</v>
      </c>
      <c r="D1742" s="138" t="str">
        <f>VLOOKUP(Purchase[[#This Row],[Supplier ID]],Supplier[#All],2,0)</f>
        <v>Prime Computers</v>
      </c>
      <c r="E1742" s="138">
        <f>VLOOKUP(Purchase[[#This Row],[Supplier ID]],Supplier[#All],3,0)</f>
        <v>9689542468</v>
      </c>
      <c r="F1742" s="138" t="str">
        <f>VLOOKUP(Purchase[[#This Row],[Supplier ID]],Supplier[#All],4,0)</f>
        <v>Kanpur</v>
      </c>
      <c r="G1742" s="138" t="str">
        <f>VLOOKUP(Purchase[[#This Row],[Supplier ID]],Supplier[#All],5,0)</f>
        <v>UP</v>
      </c>
      <c r="H1742" s="138" t="str">
        <f>VLOOKUP(Purchase[[#This Row],[Supplier ID]],Supplier[#All],6,0)</f>
        <v>GST2154521T030</v>
      </c>
      <c r="I1742" s="138" t="s">
        <v>361</v>
      </c>
      <c r="J1742" s="139">
        <v>17</v>
      </c>
      <c r="K1742" s="143">
        <f>VLOOKUP(Purchase[[#This Row],[Product ID]],Product[#All],6,0)</f>
        <v>20576</v>
      </c>
      <c r="L1742" s="143">
        <f>Purchase[[#This Row],[Purchase Rate]]*Purchase[[#This Row],[Qty]]</f>
        <v>349792</v>
      </c>
      <c r="M1742" s="140">
        <v>0</v>
      </c>
      <c r="N1742" s="143">
        <v>0</v>
      </c>
      <c r="O1742" s="140">
        <v>0.18</v>
      </c>
      <c r="P1742" s="145">
        <f>(Purchase[[#This Row],[Gross Amount]]-Purchase[[#This Row],[Disct %]])*Purchase[[#This Row],[GST %]]</f>
        <v>62962.559999999998</v>
      </c>
      <c r="Q1742" s="145">
        <f>Purchase[[#This Row],[Gross Amount]]-Purchase[[#This Row],[Disct Amnt]]+Purchase[[#This Row],[GST Amount]]</f>
        <v>412754.56</v>
      </c>
      <c r="R1742" s="138" t="s">
        <v>1019</v>
      </c>
      <c r="S1742" s="41">
        <f>IF(Purchase[[#This Row],[Status]]="Cancelled",0,Purchase[[#This Row],[Qty]])</f>
        <v>17</v>
      </c>
      <c r="T1742" s="146">
        <f>IF(Purchase[[#This Row],[Status]]="Cancelled",0,Purchase[[#This Row],[Total Amount]])</f>
        <v>412754.56</v>
      </c>
      <c r="U1742" s="146">
        <f>SUM(Purchase[Net Amount])</f>
        <v>814985438.68000126</v>
      </c>
    </row>
    <row r="1743" spans="1:21" ht="19.5" thickBot="1" x14ac:dyDescent="0.3">
      <c r="A1743" s="136" t="s">
        <v>2798</v>
      </c>
      <c r="B1743" s="137">
        <v>45743</v>
      </c>
      <c r="C1743" s="138" t="s">
        <v>611</v>
      </c>
      <c r="D1743" s="138" t="str">
        <f>VLOOKUP(Purchase[[#This Row],[Supplier ID]],Supplier[#All],2,0)</f>
        <v>National Distributors</v>
      </c>
      <c r="E1743" s="138">
        <f>VLOOKUP(Purchase[[#This Row],[Supplier ID]],Supplier[#All],3,0)</f>
        <v>9689542494</v>
      </c>
      <c r="F1743" s="138" t="str">
        <f>VLOOKUP(Purchase[[#This Row],[Supplier ID]],Supplier[#All],4,0)</f>
        <v>Korba</v>
      </c>
      <c r="G1743" s="138" t="str">
        <f>VLOOKUP(Purchase[[#This Row],[Supplier ID]],Supplier[#All],5,0)</f>
        <v>CG</v>
      </c>
      <c r="H1743" s="138" t="str">
        <f>VLOOKUP(Purchase[[#This Row],[Supplier ID]],Supplier[#All],6,0)</f>
        <v>GST2154521T056</v>
      </c>
      <c r="I1743" s="138" t="s">
        <v>18</v>
      </c>
      <c r="J1743" s="139">
        <v>11</v>
      </c>
      <c r="K1743" s="143">
        <f>VLOOKUP(Purchase[[#This Row],[Product ID]],Product[#All],6,0)</f>
        <v>701</v>
      </c>
      <c r="L1743" s="143">
        <f>Purchase[[#This Row],[Purchase Rate]]*Purchase[[#This Row],[Qty]]</f>
        <v>7711</v>
      </c>
      <c r="M1743" s="140">
        <v>0</v>
      </c>
      <c r="N1743" s="143">
        <v>0</v>
      </c>
      <c r="O1743" s="140">
        <v>0.18</v>
      </c>
      <c r="P1743" s="145">
        <f>(Purchase[[#This Row],[Gross Amount]]-Purchase[[#This Row],[Disct %]])*Purchase[[#This Row],[GST %]]</f>
        <v>1387.98</v>
      </c>
      <c r="Q1743" s="145">
        <f>Purchase[[#This Row],[Gross Amount]]-Purchase[[#This Row],[Disct Amnt]]+Purchase[[#This Row],[GST Amount]]</f>
        <v>9098.98</v>
      </c>
      <c r="R1743" s="138" t="s">
        <v>1019</v>
      </c>
      <c r="S1743" s="41">
        <f>IF(Purchase[[#This Row],[Status]]="Cancelled",0,Purchase[[#This Row],[Qty]])</f>
        <v>11</v>
      </c>
      <c r="T1743" s="146">
        <f>IF(Purchase[[#This Row],[Status]]="Cancelled",0,Purchase[[#This Row],[Total Amount]])</f>
        <v>9098.98</v>
      </c>
      <c r="U1743" s="146">
        <f>SUM(Purchase[Net Amount])</f>
        <v>814985438.68000126</v>
      </c>
    </row>
    <row r="1744" spans="1:21" ht="19.5" thickBot="1" x14ac:dyDescent="0.3">
      <c r="A1744" s="136" t="s">
        <v>2799</v>
      </c>
      <c r="B1744" s="137">
        <v>45743</v>
      </c>
      <c r="C1744" s="138" t="s">
        <v>607</v>
      </c>
      <c r="D1744" s="138" t="str">
        <f>VLOOKUP(Purchase[[#This Row],[Supplier ID]],Supplier[#All],2,0)</f>
        <v>Global Distributors</v>
      </c>
      <c r="E1744" s="138">
        <f>VLOOKUP(Purchase[[#This Row],[Supplier ID]],Supplier[#All],3,0)</f>
        <v>9689542490</v>
      </c>
      <c r="F1744" s="138" t="str">
        <f>VLOOKUP(Purchase[[#This Row],[Supplier ID]],Supplier[#All],4,0)</f>
        <v>Kanpur</v>
      </c>
      <c r="G1744" s="138" t="str">
        <f>VLOOKUP(Purchase[[#This Row],[Supplier ID]],Supplier[#All],5,0)</f>
        <v>UP</v>
      </c>
      <c r="H1744" s="138" t="str">
        <f>VLOOKUP(Purchase[[#This Row],[Supplier ID]],Supplier[#All],6,0)</f>
        <v>GST2154521T052</v>
      </c>
      <c r="I1744" s="138" t="s">
        <v>217</v>
      </c>
      <c r="J1744" s="139">
        <v>37</v>
      </c>
      <c r="K1744" s="143">
        <f>VLOOKUP(Purchase[[#This Row],[Product ID]],Product[#All],6,0)</f>
        <v>1840</v>
      </c>
      <c r="L1744" s="143">
        <f>Purchase[[#This Row],[Purchase Rate]]*Purchase[[#This Row],[Qty]]</f>
        <v>68080</v>
      </c>
      <c r="M1744" s="140">
        <v>0</v>
      </c>
      <c r="N1744" s="143">
        <v>0</v>
      </c>
      <c r="O1744" s="140">
        <v>0.18</v>
      </c>
      <c r="P1744" s="145">
        <f>(Purchase[[#This Row],[Gross Amount]]-Purchase[[#This Row],[Disct %]])*Purchase[[#This Row],[GST %]]</f>
        <v>12254.4</v>
      </c>
      <c r="Q1744" s="145">
        <f>Purchase[[#This Row],[Gross Amount]]-Purchase[[#This Row],[Disct Amnt]]+Purchase[[#This Row],[GST Amount]]</f>
        <v>80334.399999999994</v>
      </c>
      <c r="R1744" s="138" t="s">
        <v>1040</v>
      </c>
      <c r="S1744" s="41">
        <f>IF(Purchase[[#This Row],[Status]]="Cancelled",0,Purchase[[#This Row],[Qty]])</f>
        <v>0</v>
      </c>
      <c r="T1744" s="146">
        <f>IF(Purchase[[#This Row],[Status]]="Cancelled",0,Purchase[[#This Row],[Total Amount]])</f>
        <v>0</v>
      </c>
      <c r="U1744" s="146">
        <f>SUM(Purchase[Net Amount])</f>
        <v>814985438.68000126</v>
      </c>
    </row>
    <row r="1745" spans="1:21" ht="19.5" thickBot="1" x14ac:dyDescent="0.3">
      <c r="A1745" s="136" t="s">
        <v>2800</v>
      </c>
      <c r="B1745" s="137">
        <v>45743</v>
      </c>
      <c r="C1745" s="138" t="s">
        <v>585</v>
      </c>
      <c r="D1745" s="138" t="str">
        <f>VLOOKUP(Purchase[[#This Row],[Supplier ID]],Supplier[#All],2,0)</f>
        <v>Tech Computers</v>
      </c>
      <c r="E1745" s="138">
        <f>VLOOKUP(Purchase[[#This Row],[Supplier ID]],Supplier[#All],3,0)</f>
        <v>9689542469</v>
      </c>
      <c r="F1745" s="138" t="str">
        <f>VLOOKUP(Purchase[[#This Row],[Supplier ID]],Supplier[#All],4,0)</f>
        <v>Korba</v>
      </c>
      <c r="G1745" s="138" t="str">
        <f>VLOOKUP(Purchase[[#This Row],[Supplier ID]],Supplier[#All],5,0)</f>
        <v>CG</v>
      </c>
      <c r="H1745" s="138" t="str">
        <f>VLOOKUP(Purchase[[#This Row],[Supplier ID]],Supplier[#All],6,0)</f>
        <v>GST2154521T031</v>
      </c>
      <c r="I1745" s="138" t="s">
        <v>155</v>
      </c>
      <c r="J1745" s="139">
        <v>3</v>
      </c>
      <c r="K1745" s="143">
        <f>VLOOKUP(Purchase[[#This Row],[Product ID]],Product[#All],6,0)</f>
        <v>2996</v>
      </c>
      <c r="L1745" s="143">
        <f>Purchase[[#This Row],[Purchase Rate]]*Purchase[[#This Row],[Qty]]</f>
        <v>8988</v>
      </c>
      <c r="M1745" s="140">
        <v>0</v>
      </c>
      <c r="N1745" s="143">
        <v>0</v>
      </c>
      <c r="O1745" s="140">
        <v>0.18</v>
      </c>
      <c r="P1745" s="145">
        <f>(Purchase[[#This Row],[Gross Amount]]-Purchase[[#This Row],[Disct %]])*Purchase[[#This Row],[GST %]]</f>
        <v>1617.84</v>
      </c>
      <c r="Q1745" s="145">
        <f>Purchase[[#This Row],[Gross Amount]]-Purchase[[#This Row],[Disct Amnt]]+Purchase[[#This Row],[GST Amount]]</f>
        <v>10605.84</v>
      </c>
      <c r="R1745" s="138" t="s">
        <v>1019</v>
      </c>
      <c r="S1745" s="41">
        <f>IF(Purchase[[#This Row],[Status]]="Cancelled",0,Purchase[[#This Row],[Qty]])</f>
        <v>3</v>
      </c>
      <c r="T1745" s="146">
        <f>IF(Purchase[[#This Row],[Status]]="Cancelled",0,Purchase[[#This Row],[Total Amount]])</f>
        <v>10605.84</v>
      </c>
      <c r="U1745" s="146">
        <f>SUM(Purchase[Net Amount])</f>
        <v>814985438.68000126</v>
      </c>
    </row>
    <row r="1746" spans="1:21" ht="19.5" thickBot="1" x14ac:dyDescent="0.3">
      <c r="A1746" s="136" t="s">
        <v>2801</v>
      </c>
      <c r="B1746" s="137">
        <v>45743</v>
      </c>
      <c r="C1746" s="138" t="s">
        <v>612</v>
      </c>
      <c r="D1746" s="138" t="str">
        <f>VLOOKUP(Purchase[[#This Row],[Supplier ID]],Supplier[#All],2,0)</f>
        <v>National Computers</v>
      </c>
      <c r="E1746" s="138">
        <f>VLOOKUP(Purchase[[#This Row],[Supplier ID]],Supplier[#All],3,0)</f>
        <v>9689542495</v>
      </c>
      <c r="F1746" s="138" t="str">
        <f>VLOOKUP(Purchase[[#This Row],[Supplier ID]],Supplier[#All],4,0)</f>
        <v>Indore</v>
      </c>
      <c r="G1746" s="138" t="str">
        <f>VLOOKUP(Purchase[[#This Row],[Supplier ID]],Supplier[#All],5,0)</f>
        <v>MP</v>
      </c>
      <c r="H1746" s="138" t="str">
        <f>VLOOKUP(Purchase[[#This Row],[Supplier ID]],Supplier[#All],6,0)</f>
        <v>GST2154521T057</v>
      </c>
      <c r="I1746" s="138" t="s">
        <v>314</v>
      </c>
      <c r="J1746" s="139">
        <v>24</v>
      </c>
      <c r="K1746" s="143">
        <f>VLOOKUP(Purchase[[#This Row],[Product ID]],Product[#All],6,0)</f>
        <v>53060</v>
      </c>
      <c r="L1746" s="143">
        <f>Purchase[[#This Row],[Purchase Rate]]*Purchase[[#This Row],[Qty]]</f>
        <v>1273440</v>
      </c>
      <c r="M1746" s="140">
        <v>0</v>
      </c>
      <c r="N1746" s="143">
        <v>0</v>
      </c>
      <c r="O1746" s="140">
        <v>0.18</v>
      </c>
      <c r="P1746" s="145">
        <f>(Purchase[[#This Row],[Gross Amount]]-Purchase[[#This Row],[Disct %]])*Purchase[[#This Row],[GST %]]</f>
        <v>229219.19999999998</v>
      </c>
      <c r="Q1746" s="145">
        <f>Purchase[[#This Row],[Gross Amount]]-Purchase[[#This Row],[Disct Amnt]]+Purchase[[#This Row],[GST Amount]]</f>
        <v>1502659.2</v>
      </c>
      <c r="R1746" s="138" t="s">
        <v>1019</v>
      </c>
      <c r="S1746" s="41">
        <f>IF(Purchase[[#This Row],[Status]]="Cancelled",0,Purchase[[#This Row],[Qty]])</f>
        <v>24</v>
      </c>
      <c r="T1746" s="146">
        <f>IF(Purchase[[#This Row],[Status]]="Cancelled",0,Purchase[[#This Row],[Total Amount]])</f>
        <v>1502659.2</v>
      </c>
      <c r="U1746" s="146">
        <f>SUM(Purchase[Net Amount])</f>
        <v>814985438.68000126</v>
      </c>
    </row>
    <row r="1747" spans="1:21" ht="19.5" thickBot="1" x14ac:dyDescent="0.3">
      <c r="A1747" s="136" t="s">
        <v>2802</v>
      </c>
      <c r="B1747" s="137">
        <v>45744</v>
      </c>
      <c r="C1747" s="138" t="s">
        <v>568</v>
      </c>
      <c r="D1747" s="138" t="str">
        <f>VLOOKUP(Purchase[[#This Row],[Supplier ID]],Supplier[#All],2,0)</f>
        <v>Maa Computers</v>
      </c>
      <c r="E1747" s="138">
        <f>VLOOKUP(Purchase[[#This Row],[Supplier ID]],Supplier[#All],3,0)</f>
        <v>9689542454</v>
      </c>
      <c r="F1747" s="138" t="str">
        <f>VLOOKUP(Purchase[[#This Row],[Supplier ID]],Supplier[#All],4,0)</f>
        <v>Korba</v>
      </c>
      <c r="G1747" s="138" t="str">
        <f>VLOOKUP(Purchase[[#This Row],[Supplier ID]],Supplier[#All],5,0)</f>
        <v>CG</v>
      </c>
      <c r="H1747" s="138" t="str">
        <f>VLOOKUP(Purchase[[#This Row],[Supplier ID]],Supplier[#All],6,0)</f>
        <v>GST2154521T016</v>
      </c>
      <c r="I1747" s="138" t="s">
        <v>26</v>
      </c>
      <c r="J1747" s="139">
        <v>7</v>
      </c>
      <c r="K1747" s="143">
        <f>VLOOKUP(Purchase[[#This Row],[Product ID]],Product[#All],6,0)</f>
        <v>18890</v>
      </c>
      <c r="L1747" s="143">
        <f>Purchase[[#This Row],[Purchase Rate]]*Purchase[[#This Row],[Qty]]</f>
        <v>132230</v>
      </c>
      <c r="M1747" s="140">
        <v>0</v>
      </c>
      <c r="N1747" s="143">
        <v>0</v>
      </c>
      <c r="O1747" s="140">
        <v>0.18</v>
      </c>
      <c r="P1747" s="145">
        <f>(Purchase[[#This Row],[Gross Amount]]-Purchase[[#This Row],[Disct %]])*Purchase[[#This Row],[GST %]]</f>
        <v>23801.399999999998</v>
      </c>
      <c r="Q1747" s="145">
        <f>Purchase[[#This Row],[Gross Amount]]-Purchase[[#This Row],[Disct Amnt]]+Purchase[[#This Row],[GST Amount]]</f>
        <v>156031.4</v>
      </c>
      <c r="R1747" s="138" t="s">
        <v>1019</v>
      </c>
      <c r="S1747" s="41">
        <f>IF(Purchase[[#This Row],[Status]]="Cancelled",0,Purchase[[#This Row],[Qty]])</f>
        <v>7</v>
      </c>
      <c r="T1747" s="146">
        <f>IF(Purchase[[#This Row],[Status]]="Cancelled",0,Purchase[[#This Row],[Total Amount]])</f>
        <v>156031.4</v>
      </c>
      <c r="U1747" s="146">
        <f>SUM(Purchase[Net Amount])</f>
        <v>814985438.68000126</v>
      </c>
    </row>
    <row r="1748" spans="1:21" ht="19.5" thickBot="1" x14ac:dyDescent="0.3">
      <c r="A1748" s="136" t="s">
        <v>2803</v>
      </c>
      <c r="B1748" s="137">
        <v>45744</v>
      </c>
      <c r="C1748" s="138" t="s">
        <v>1451</v>
      </c>
      <c r="D1748" s="138" t="str">
        <f>VLOOKUP(Purchase[[#This Row],[Supplier ID]],Supplier[#All],2,0)</f>
        <v>Global Suppliers</v>
      </c>
      <c r="E1748" s="138">
        <f>VLOOKUP(Purchase[[#This Row],[Supplier ID]],Supplier[#All],3,0)</f>
        <v>9689542499</v>
      </c>
      <c r="F1748" s="138" t="str">
        <f>VLOOKUP(Purchase[[#This Row],[Supplier ID]],Supplier[#All],4,0)</f>
        <v>Korba</v>
      </c>
      <c r="G1748" s="138" t="str">
        <f>VLOOKUP(Purchase[[#This Row],[Supplier ID]],Supplier[#All],5,0)</f>
        <v>CG</v>
      </c>
      <c r="H1748" s="138" t="str">
        <f>VLOOKUP(Purchase[[#This Row],[Supplier ID]],Supplier[#All],6,0)</f>
        <v>GST2154521T053</v>
      </c>
      <c r="I1748" s="138" t="s">
        <v>23</v>
      </c>
      <c r="J1748" s="139">
        <v>22</v>
      </c>
      <c r="K1748" s="143">
        <f>VLOOKUP(Purchase[[#This Row],[Product ID]],Product[#All],6,0)</f>
        <v>4851</v>
      </c>
      <c r="L1748" s="143">
        <f>Purchase[[#This Row],[Purchase Rate]]*Purchase[[#This Row],[Qty]]</f>
        <v>106722</v>
      </c>
      <c r="M1748" s="140">
        <v>0</v>
      </c>
      <c r="N1748" s="143">
        <v>0</v>
      </c>
      <c r="O1748" s="140">
        <v>0.18</v>
      </c>
      <c r="P1748" s="145">
        <f>(Purchase[[#This Row],[Gross Amount]]-Purchase[[#This Row],[Disct %]])*Purchase[[#This Row],[GST %]]</f>
        <v>19209.96</v>
      </c>
      <c r="Q1748" s="145">
        <f>Purchase[[#This Row],[Gross Amount]]-Purchase[[#This Row],[Disct Amnt]]+Purchase[[#This Row],[GST Amount]]</f>
        <v>125931.95999999999</v>
      </c>
      <c r="R1748" s="138" t="s">
        <v>1019</v>
      </c>
      <c r="S1748" s="41">
        <f>IF(Purchase[[#This Row],[Status]]="Cancelled",0,Purchase[[#This Row],[Qty]])</f>
        <v>22</v>
      </c>
      <c r="T1748" s="146">
        <f>IF(Purchase[[#This Row],[Status]]="Cancelled",0,Purchase[[#This Row],[Total Amount]])</f>
        <v>125931.95999999999</v>
      </c>
      <c r="U1748" s="146">
        <f>SUM(Purchase[Net Amount])</f>
        <v>814985438.68000126</v>
      </c>
    </row>
    <row r="1749" spans="1:21" ht="19.5" thickBot="1" x14ac:dyDescent="0.3">
      <c r="A1749" s="136" t="s">
        <v>2804</v>
      </c>
      <c r="B1749" s="137">
        <v>45744</v>
      </c>
      <c r="C1749" s="138" t="s">
        <v>614</v>
      </c>
      <c r="D1749" s="138" t="str">
        <f>VLOOKUP(Purchase[[#This Row],[Supplier ID]],Supplier[#All],2,0)</f>
        <v>National Electronics</v>
      </c>
      <c r="E1749" s="138">
        <f>VLOOKUP(Purchase[[#This Row],[Supplier ID]],Supplier[#All],3,0)</f>
        <v>9689542497</v>
      </c>
      <c r="F1749" s="138" t="str">
        <f>VLOOKUP(Purchase[[#This Row],[Supplier ID]],Supplier[#All],4,0)</f>
        <v>Kanpur</v>
      </c>
      <c r="G1749" s="138" t="str">
        <f>VLOOKUP(Purchase[[#This Row],[Supplier ID]],Supplier[#All],5,0)</f>
        <v>UP</v>
      </c>
      <c r="H1749" s="138" t="str">
        <f>VLOOKUP(Purchase[[#This Row],[Supplier ID]],Supplier[#All],6,0)</f>
        <v>GST2154521T059</v>
      </c>
      <c r="I1749" s="138" t="s">
        <v>182</v>
      </c>
      <c r="J1749" s="139">
        <v>24</v>
      </c>
      <c r="K1749" s="143">
        <f>VLOOKUP(Purchase[[#This Row],[Product ID]],Product[#All],6,0)</f>
        <v>8348</v>
      </c>
      <c r="L1749" s="143">
        <f>Purchase[[#This Row],[Purchase Rate]]*Purchase[[#This Row],[Qty]]</f>
        <v>200352</v>
      </c>
      <c r="M1749" s="140">
        <v>0</v>
      </c>
      <c r="N1749" s="143">
        <v>0</v>
      </c>
      <c r="O1749" s="140">
        <v>0.18</v>
      </c>
      <c r="P1749" s="145">
        <f>(Purchase[[#This Row],[Gross Amount]]-Purchase[[#This Row],[Disct %]])*Purchase[[#This Row],[GST %]]</f>
        <v>36063.360000000001</v>
      </c>
      <c r="Q1749" s="145">
        <f>Purchase[[#This Row],[Gross Amount]]-Purchase[[#This Row],[Disct Amnt]]+Purchase[[#This Row],[GST Amount]]</f>
        <v>236415.35999999999</v>
      </c>
      <c r="R1749" s="138" t="s">
        <v>1019</v>
      </c>
      <c r="S1749" s="41">
        <f>IF(Purchase[[#This Row],[Status]]="Cancelled",0,Purchase[[#This Row],[Qty]])</f>
        <v>24</v>
      </c>
      <c r="T1749" s="146">
        <f>IF(Purchase[[#This Row],[Status]]="Cancelled",0,Purchase[[#This Row],[Total Amount]])</f>
        <v>236415.35999999999</v>
      </c>
      <c r="U1749" s="146">
        <f>SUM(Purchase[Net Amount])</f>
        <v>814985438.68000126</v>
      </c>
    </row>
    <row r="1750" spans="1:21" ht="19.5" thickBot="1" x14ac:dyDescent="0.3">
      <c r="A1750" s="136" t="s">
        <v>2805</v>
      </c>
      <c r="B1750" s="137">
        <v>45744</v>
      </c>
      <c r="C1750" s="138" t="s">
        <v>604</v>
      </c>
      <c r="D1750" s="138" t="str">
        <f>VLOOKUP(Purchase[[#This Row],[Supplier ID]],Supplier[#All],2,0)</f>
        <v>Prime Traders</v>
      </c>
      <c r="E1750" s="138">
        <f>VLOOKUP(Purchase[[#This Row],[Supplier ID]],Supplier[#All],3,0)</f>
        <v>9689542487</v>
      </c>
      <c r="F1750" s="138" t="str">
        <f>VLOOKUP(Purchase[[#This Row],[Supplier ID]],Supplier[#All],4,0)</f>
        <v>Indore</v>
      </c>
      <c r="G1750" s="138" t="str">
        <f>VLOOKUP(Purchase[[#This Row],[Supplier ID]],Supplier[#All],5,0)</f>
        <v>MP</v>
      </c>
      <c r="H1750" s="138" t="str">
        <f>VLOOKUP(Purchase[[#This Row],[Supplier ID]],Supplier[#All],6,0)</f>
        <v>GST2154521T049</v>
      </c>
      <c r="I1750" s="138" t="s">
        <v>525</v>
      </c>
      <c r="J1750" s="139">
        <v>10</v>
      </c>
      <c r="K1750" s="143">
        <f>VLOOKUP(Purchase[[#This Row],[Product ID]],Product[#All],6,0)</f>
        <v>1570</v>
      </c>
      <c r="L1750" s="143">
        <f>Purchase[[#This Row],[Purchase Rate]]*Purchase[[#This Row],[Qty]]</f>
        <v>15700</v>
      </c>
      <c r="M1750" s="140">
        <v>0</v>
      </c>
      <c r="N1750" s="143">
        <v>0</v>
      </c>
      <c r="O1750" s="140">
        <v>0.18</v>
      </c>
      <c r="P1750" s="145">
        <f>(Purchase[[#This Row],[Gross Amount]]-Purchase[[#This Row],[Disct %]])*Purchase[[#This Row],[GST %]]</f>
        <v>2826</v>
      </c>
      <c r="Q1750" s="145">
        <f>Purchase[[#This Row],[Gross Amount]]-Purchase[[#This Row],[Disct Amnt]]+Purchase[[#This Row],[GST Amount]]</f>
        <v>18526</v>
      </c>
      <c r="R1750" s="138" t="s">
        <v>1019</v>
      </c>
      <c r="S1750" s="41">
        <f>IF(Purchase[[#This Row],[Status]]="Cancelled",0,Purchase[[#This Row],[Qty]])</f>
        <v>10</v>
      </c>
      <c r="T1750" s="146">
        <f>IF(Purchase[[#This Row],[Status]]="Cancelled",0,Purchase[[#This Row],[Total Amount]])</f>
        <v>18526</v>
      </c>
      <c r="U1750" s="146">
        <f>SUM(Purchase[Net Amount])</f>
        <v>814985438.68000126</v>
      </c>
    </row>
    <row r="1751" spans="1:21" ht="19.5" thickBot="1" x14ac:dyDescent="0.3">
      <c r="A1751" s="136" t="s">
        <v>2806</v>
      </c>
      <c r="B1751" s="137">
        <v>45744</v>
      </c>
      <c r="C1751" s="138" t="s">
        <v>565</v>
      </c>
      <c r="D1751" s="138" t="str">
        <f>VLOOKUP(Purchase[[#This Row],[Supplier ID]],Supplier[#All],2,0)</f>
        <v>Global Suppliers</v>
      </c>
      <c r="E1751" s="138">
        <f>VLOOKUP(Purchase[[#This Row],[Supplier ID]],Supplier[#All],3,0)</f>
        <v>9689542459</v>
      </c>
      <c r="F1751" s="138" t="str">
        <f>VLOOKUP(Purchase[[#This Row],[Supplier ID]],Supplier[#All],4,0)</f>
        <v>Indore</v>
      </c>
      <c r="G1751" s="138" t="str">
        <f>VLOOKUP(Purchase[[#This Row],[Supplier ID]],Supplier[#All],5,0)</f>
        <v>MP</v>
      </c>
      <c r="H1751" s="138" t="str">
        <f>VLOOKUP(Purchase[[#This Row],[Supplier ID]],Supplier[#All],6,0)</f>
        <v>GST2154521T013</v>
      </c>
      <c r="I1751" s="138" t="s">
        <v>52</v>
      </c>
      <c r="J1751" s="139">
        <v>8</v>
      </c>
      <c r="K1751" s="143">
        <f>VLOOKUP(Purchase[[#This Row],[Product ID]],Product[#All],6,0)</f>
        <v>3643</v>
      </c>
      <c r="L1751" s="143">
        <f>Purchase[[#This Row],[Purchase Rate]]*Purchase[[#This Row],[Qty]]</f>
        <v>29144</v>
      </c>
      <c r="M1751" s="140">
        <v>0</v>
      </c>
      <c r="N1751" s="143">
        <v>0</v>
      </c>
      <c r="O1751" s="140">
        <v>0.18</v>
      </c>
      <c r="P1751" s="145">
        <f>(Purchase[[#This Row],[Gross Amount]]-Purchase[[#This Row],[Disct %]])*Purchase[[#This Row],[GST %]]</f>
        <v>5245.92</v>
      </c>
      <c r="Q1751" s="145">
        <f>Purchase[[#This Row],[Gross Amount]]-Purchase[[#This Row],[Disct Amnt]]+Purchase[[#This Row],[GST Amount]]</f>
        <v>34389.919999999998</v>
      </c>
      <c r="R1751" s="138" t="s">
        <v>1019</v>
      </c>
      <c r="S1751" s="41">
        <f>IF(Purchase[[#This Row],[Status]]="Cancelled",0,Purchase[[#This Row],[Qty]])</f>
        <v>8</v>
      </c>
      <c r="T1751" s="146">
        <f>IF(Purchase[[#This Row],[Status]]="Cancelled",0,Purchase[[#This Row],[Total Amount]])</f>
        <v>34389.919999999998</v>
      </c>
      <c r="U1751" s="146">
        <f>SUM(Purchase[Net Amount])</f>
        <v>814985438.68000126</v>
      </c>
    </row>
    <row r="1752" spans="1:21" ht="19.5" thickBot="1" x14ac:dyDescent="0.3">
      <c r="A1752" s="136" t="s">
        <v>2807</v>
      </c>
      <c r="B1752" s="137">
        <v>45744</v>
      </c>
      <c r="C1752" s="138" t="s">
        <v>599</v>
      </c>
      <c r="D1752" s="138" t="str">
        <f>VLOOKUP(Purchase[[#This Row],[Supplier ID]],Supplier[#All],2,0)</f>
        <v>National Distributors</v>
      </c>
      <c r="E1752" s="138">
        <f>VLOOKUP(Purchase[[#This Row],[Supplier ID]],Supplier[#All],3,0)</f>
        <v>9689542482</v>
      </c>
      <c r="F1752" s="138" t="str">
        <f>VLOOKUP(Purchase[[#This Row],[Supplier ID]],Supplier[#All],4,0)</f>
        <v>Kanpur</v>
      </c>
      <c r="G1752" s="138" t="str">
        <f>VLOOKUP(Purchase[[#This Row],[Supplier ID]],Supplier[#All],5,0)</f>
        <v>UP</v>
      </c>
      <c r="H1752" s="138" t="str">
        <f>VLOOKUP(Purchase[[#This Row],[Supplier ID]],Supplier[#All],6,0)</f>
        <v>GST2154521T044</v>
      </c>
      <c r="I1752" s="138" t="s">
        <v>245</v>
      </c>
      <c r="J1752" s="139">
        <v>32</v>
      </c>
      <c r="K1752" s="143">
        <f>VLOOKUP(Purchase[[#This Row],[Product ID]],Product[#All],6,0)</f>
        <v>9305</v>
      </c>
      <c r="L1752" s="143">
        <f>Purchase[[#This Row],[Purchase Rate]]*Purchase[[#This Row],[Qty]]</f>
        <v>297760</v>
      </c>
      <c r="M1752" s="140">
        <v>0</v>
      </c>
      <c r="N1752" s="143">
        <v>0</v>
      </c>
      <c r="O1752" s="140">
        <v>0.18</v>
      </c>
      <c r="P1752" s="145">
        <f>(Purchase[[#This Row],[Gross Amount]]-Purchase[[#This Row],[Disct %]])*Purchase[[#This Row],[GST %]]</f>
        <v>53596.799999999996</v>
      </c>
      <c r="Q1752" s="145">
        <f>Purchase[[#This Row],[Gross Amount]]-Purchase[[#This Row],[Disct Amnt]]+Purchase[[#This Row],[GST Amount]]</f>
        <v>351356.8</v>
      </c>
      <c r="R1752" s="138" t="s">
        <v>1019</v>
      </c>
      <c r="S1752" s="41">
        <f>IF(Purchase[[#This Row],[Status]]="Cancelled",0,Purchase[[#This Row],[Qty]])</f>
        <v>32</v>
      </c>
      <c r="T1752" s="146">
        <f>IF(Purchase[[#This Row],[Status]]="Cancelled",0,Purchase[[#This Row],[Total Amount]])</f>
        <v>351356.8</v>
      </c>
      <c r="U1752" s="146">
        <f>SUM(Purchase[Net Amount])</f>
        <v>814985438.68000126</v>
      </c>
    </row>
    <row r="1753" spans="1:21" ht="19.5" thickBot="1" x14ac:dyDescent="0.3">
      <c r="A1753" s="136" t="s">
        <v>2808</v>
      </c>
      <c r="B1753" s="137">
        <v>45744</v>
      </c>
      <c r="C1753" s="138" t="s">
        <v>612</v>
      </c>
      <c r="D1753" s="138" t="str">
        <f>VLOOKUP(Purchase[[#This Row],[Supplier ID]],Supplier[#All],2,0)</f>
        <v>National Computers</v>
      </c>
      <c r="E1753" s="138">
        <f>VLOOKUP(Purchase[[#This Row],[Supplier ID]],Supplier[#All],3,0)</f>
        <v>9689542495</v>
      </c>
      <c r="F1753" s="138" t="str">
        <f>VLOOKUP(Purchase[[#This Row],[Supplier ID]],Supplier[#All],4,0)</f>
        <v>Indore</v>
      </c>
      <c r="G1753" s="138" t="str">
        <f>VLOOKUP(Purchase[[#This Row],[Supplier ID]],Supplier[#All],5,0)</f>
        <v>MP</v>
      </c>
      <c r="H1753" s="138" t="str">
        <f>VLOOKUP(Purchase[[#This Row],[Supplier ID]],Supplier[#All],6,0)</f>
        <v>GST2154521T057</v>
      </c>
      <c r="I1753" s="138" t="s">
        <v>469</v>
      </c>
      <c r="J1753" s="139">
        <v>8</v>
      </c>
      <c r="K1753" s="143">
        <f>VLOOKUP(Purchase[[#This Row],[Product ID]],Product[#All],6,0)</f>
        <v>5378</v>
      </c>
      <c r="L1753" s="143">
        <f>Purchase[[#This Row],[Purchase Rate]]*Purchase[[#This Row],[Qty]]</f>
        <v>43024</v>
      </c>
      <c r="M1753" s="140">
        <v>0</v>
      </c>
      <c r="N1753" s="143">
        <v>0</v>
      </c>
      <c r="O1753" s="140">
        <v>0.18</v>
      </c>
      <c r="P1753" s="145">
        <f>(Purchase[[#This Row],[Gross Amount]]-Purchase[[#This Row],[Disct %]])*Purchase[[#This Row],[GST %]]</f>
        <v>7744.32</v>
      </c>
      <c r="Q1753" s="145">
        <f>Purchase[[#This Row],[Gross Amount]]-Purchase[[#This Row],[Disct Amnt]]+Purchase[[#This Row],[GST Amount]]</f>
        <v>50768.32</v>
      </c>
      <c r="R1753" s="138" t="s">
        <v>1019</v>
      </c>
      <c r="S1753" s="41">
        <f>IF(Purchase[[#This Row],[Status]]="Cancelled",0,Purchase[[#This Row],[Qty]])</f>
        <v>8</v>
      </c>
      <c r="T1753" s="146">
        <f>IF(Purchase[[#This Row],[Status]]="Cancelled",0,Purchase[[#This Row],[Total Amount]])</f>
        <v>50768.32</v>
      </c>
      <c r="U1753" s="146">
        <f>SUM(Purchase[Net Amount])</f>
        <v>814985438.68000126</v>
      </c>
    </row>
    <row r="1754" spans="1:21" ht="19.5" thickBot="1" x14ac:dyDescent="0.3">
      <c r="A1754" s="136" t="s">
        <v>2809</v>
      </c>
      <c r="B1754" s="137">
        <v>45744</v>
      </c>
      <c r="C1754" s="138" t="s">
        <v>600</v>
      </c>
      <c r="D1754" s="138" t="str">
        <f>VLOOKUP(Purchase[[#This Row],[Supplier ID]],Supplier[#All],2,0)</f>
        <v>Prime Suppliers</v>
      </c>
      <c r="E1754" s="138">
        <f>VLOOKUP(Purchase[[#This Row],[Supplier ID]],Supplier[#All],3,0)</f>
        <v>9689542483</v>
      </c>
      <c r="F1754" s="138" t="str">
        <f>VLOOKUP(Purchase[[#This Row],[Supplier ID]],Supplier[#All],4,0)</f>
        <v>Korba</v>
      </c>
      <c r="G1754" s="138" t="str">
        <f>VLOOKUP(Purchase[[#This Row],[Supplier ID]],Supplier[#All],5,0)</f>
        <v>CG</v>
      </c>
      <c r="H1754" s="138" t="str">
        <f>VLOOKUP(Purchase[[#This Row],[Supplier ID]],Supplier[#All],6,0)</f>
        <v>GST2154521T045</v>
      </c>
      <c r="I1754" s="138" t="s">
        <v>546</v>
      </c>
      <c r="J1754" s="139">
        <v>3</v>
      </c>
      <c r="K1754" s="143">
        <f>VLOOKUP(Purchase[[#This Row],[Product ID]],Product[#All],6,0)</f>
        <v>12628</v>
      </c>
      <c r="L1754" s="143">
        <f>Purchase[[#This Row],[Purchase Rate]]*Purchase[[#This Row],[Qty]]</f>
        <v>37884</v>
      </c>
      <c r="M1754" s="140">
        <v>0</v>
      </c>
      <c r="N1754" s="143">
        <v>0</v>
      </c>
      <c r="O1754" s="140">
        <v>0.18</v>
      </c>
      <c r="P1754" s="145">
        <f>(Purchase[[#This Row],[Gross Amount]]-Purchase[[#This Row],[Disct %]])*Purchase[[#This Row],[GST %]]</f>
        <v>6819.12</v>
      </c>
      <c r="Q1754" s="145">
        <f>Purchase[[#This Row],[Gross Amount]]-Purchase[[#This Row],[Disct Amnt]]+Purchase[[#This Row],[GST Amount]]</f>
        <v>44703.12</v>
      </c>
      <c r="R1754" s="138" t="s">
        <v>1019</v>
      </c>
      <c r="S1754" s="41">
        <f>IF(Purchase[[#This Row],[Status]]="Cancelled",0,Purchase[[#This Row],[Qty]])</f>
        <v>3</v>
      </c>
      <c r="T1754" s="146">
        <f>IF(Purchase[[#This Row],[Status]]="Cancelled",0,Purchase[[#This Row],[Total Amount]])</f>
        <v>44703.12</v>
      </c>
      <c r="U1754" s="146">
        <f>SUM(Purchase[Net Amount])</f>
        <v>814985438.68000126</v>
      </c>
    </row>
    <row r="1755" spans="1:21" ht="19.5" thickBot="1" x14ac:dyDescent="0.3">
      <c r="A1755" s="136" t="s">
        <v>2810</v>
      </c>
      <c r="B1755" s="137">
        <v>45744</v>
      </c>
      <c r="C1755" s="138" t="s">
        <v>593</v>
      </c>
      <c r="D1755" s="138" t="str">
        <f>VLOOKUP(Purchase[[#This Row],[Supplier ID]],Supplier[#All],2,0)</f>
        <v>Global Suppliers</v>
      </c>
      <c r="E1755" s="138">
        <f>VLOOKUP(Purchase[[#This Row],[Supplier ID]],Supplier[#All],3,0)</f>
        <v>9689542476</v>
      </c>
      <c r="F1755" s="138" t="str">
        <f>VLOOKUP(Purchase[[#This Row],[Supplier ID]],Supplier[#All],4,0)</f>
        <v>Korba</v>
      </c>
      <c r="G1755" s="138" t="str">
        <f>VLOOKUP(Purchase[[#This Row],[Supplier ID]],Supplier[#All],5,0)</f>
        <v>CG</v>
      </c>
      <c r="H1755" s="138" t="str">
        <f>VLOOKUP(Purchase[[#This Row],[Supplier ID]],Supplier[#All],6,0)</f>
        <v>GST2154521T038</v>
      </c>
      <c r="I1755" s="138" t="s">
        <v>58</v>
      </c>
      <c r="J1755" s="139">
        <v>6</v>
      </c>
      <c r="K1755" s="143">
        <f>VLOOKUP(Purchase[[#This Row],[Product ID]],Product[#All],6,0)</f>
        <v>41929</v>
      </c>
      <c r="L1755" s="143">
        <f>Purchase[[#This Row],[Purchase Rate]]*Purchase[[#This Row],[Qty]]</f>
        <v>251574</v>
      </c>
      <c r="M1755" s="140">
        <v>0</v>
      </c>
      <c r="N1755" s="143">
        <v>0</v>
      </c>
      <c r="O1755" s="140">
        <v>0.18</v>
      </c>
      <c r="P1755" s="145">
        <f>(Purchase[[#This Row],[Gross Amount]]-Purchase[[#This Row],[Disct %]])*Purchase[[#This Row],[GST %]]</f>
        <v>45283.32</v>
      </c>
      <c r="Q1755" s="145">
        <f>Purchase[[#This Row],[Gross Amount]]-Purchase[[#This Row],[Disct Amnt]]+Purchase[[#This Row],[GST Amount]]</f>
        <v>296857.32</v>
      </c>
      <c r="R1755" s="138" t="s">
        <v>1019</v>
      </c>
      <c r="S1755" s="41">
        <f>IF(Purchase[[#This Row],[Status]]="Cancelled",0,Purchase[[#This Row],[Qty]])</f>
        <v>6</v>
      </c>
      <c r="T1755" s="146">
        <f>IF(Purchase[[#This Row],[Status]]="Cancelled",0,Purchase[[#This Row],[Total Amount]])</f>
        <v>296857.32</v>
      </c>
      <c r="U1755" s="146">
        <f>SUM(Purchase[Net Amount])</f>
        <v>814985438.68000126</v>
      </c>
    </row>
    <row r="1756" spans="1:21" ht="19.5" thickBot="1" x14ac:dyDescent="0.3">
      <c r="A1756" s="136" t="s">
        <v>2811</v>
      </c>
      <c r="B1756" s="137">
        <v>45744</v>
      </c>
      <c r="C1756" s="138" t="s">
        <v>601</v>
      </c>
      <c r="D1756" s="138" t="str">
        <f>VLOOKUP(Purchase[[#This Row],[Supplier ID]],Supplier[#All],2,0)</f>
        <v>Maa Distributors</v>
      </c>
      <c r="E1756" s="138">
        <f>VLOOKUP(Purchase[[#This Row],[Supplier ID]],Supplier[#All],3,0)</f>
        <v>9689542484</v>
      </c>
      <c r="F1756" s="138" t="str">
        <f>VLOOKUP(Purchase[[#This Row],[Supplier ID]],Supplier[#All],4,0)</f>
        <v>Indore</v>
      </c>
      <c r="G1756" s="138" t="str">
        <f>VLOOKUP(Purchase[[#This Row],[Supplier ID]],Supplier[#All],5,0)</f>
        <v>MP</v>
      </c>
      <c r="H1756" s="138" t="str">
        <f>VLOOKUP(Purchase[[#This Row],[Supplier ID]],Supplier[#All],6,0)</f>
        <v>GST2154521T046</v>
      </c>
      <c r="I1756" s="138" t="s">
        <v>501</v>
      </c>
      <c r="J1756" s="139">
        <v>36</v>
      </c>
      <c r="K1756" s="143">
        <f>VLOOKUP(Purchase[[#This Row],[Product ID]],Product[#All],6,0)</f>
        <v>3547</v>
      </c>
      <c r="L1756" s="143">
        <f>Purchase[[#This Row],[Purchase Rate]]*Purchase[[#This Row],[Qty]]</f>
        <v>127692</v>
      </c>
      <c r="M1756" s="140">
        <v>0</v>
      </c>
      <c r="N1756" s="143">
        <v>0</v>
      </c>
      <c r="O1756" s="140">
        <v>0.18</v>
      </c>
      <c r="P1756" s="145">
        <f>(Purchase[[#This Row],[Gross Amount]]-Purchase[[#This Row],[Disct %]])*Purchase[[#This Row],[GST %]]</f>
        <v>22984.559999999998</v>
      </c>
      <c r="Q1756" s="145">
        <f>Purchase[[#This Row],[Gross Amount]]-Purchase[[#This Row],[Disct Amnt]]+Purchase[[#This Row],[GST Amount]]</f>
        <v>150676.56</v>
      </c>
      <c r="R1756" s="138" t="s">
        <v>1019</v>
      </c>
      <c r="S1756" s="41">
        <f>IF(Purchase[[#This Row],[Status]]="Cancelled",0,Purchase[[#This Row],[Qty]])</f>
        <v>36</v>
      </c>
      <c r="T1756" s="146">
        <f>IF(Purchase[[#This Row],[Status]]="Cancelled",0,Purchase[[#This Row],[Total Amount]])</f>
        <v>150676.56</v>
      </c>
      <c r="U1756" s="146">
        <f>SUM(Purchase[Net Amount])</f>
        <v>814985438.68000126</v>
      </c>
    </row>
    <row r="1757" spans="1:21" ht="19.5" thickBot="1" x14ac:dyDescent="0.3">
      <c r="A1757" s="136" t="s">
        <v>2812</v>
      </c>
      <c r="B1757" s="137">
        <v>45744</v>
      </c>
      <c r="C1757" s="138" t="s">
        <v>579</v>
      </c>
      <c r="D1757" s="138" t="str">
        <f>VLOOKUP(Purchase[[#This Row],[Supplier ID]],Supplier[#All],2,0)</f>
        <v>Tech Traders</v>
      </c>
      <c r="E1757" s="138">
        <f>VLOOKUP(Purchase[[#This Row],[Supplier ID]],Supplier[#All],3,0)</f>
        <v>9689542463</v>
      </c>
      <c r="F1757" s="138" t="str">
        <f>VLOOKUP(Purchase[[#This Row],[Supplier ID]],Supplier[#All],4,0)</f>
        <v>Kanpur</v>
      </c>
      <c r="G1757" s="138" t="str">
        <f>VLOOKUP(Purchase[[#This Row],[Supplier ID]],Supplier[#All],5,0)</f>
        <v>UP</v>
      </c>
      <c r="H1757" s="138" t="str">
        <f>VLOOKUP(Purchase[[#This Row],[Supplier ID]],Supplier[#All],6,0)</f>
        <v>GST2154521T025</v>
      </c>
      <c r="I1757" s="138" t="s">
        <v>447</v>
      </c>
      <c r="J1757" s="139">
        <v>38</v>
      </c>
      <c r="K1757" s="143">
        <f>VLOOKUP(Purchase[[#This Row],[Product ID]],Product[#All],6,0)</f>
        <v>2460</v>
      </c>
      <c r="L1757" s="143">
        <f>Purchase[[#This Row],[Purchase Rate]]*Purchase[[#This Row],[Qty]]</f>
        <v>93480</v>
      </c>
      <c r="M1757" s="140">
        <v>0</v>
      </c>
      <c r="N1757" s="143">
        <v>0</v>
      </c>
      <c r="O1757" s="140">
        <v>0.18</v>
      </c>
      <c r="P1757" s="145">
        <f>(Purchase[[#This Row],[Gross Amount]]-Purchase[[#This Row],[Disct %]])*Purchase[[#This Row],[GST %]]</f>
        <v>16826.399999999998</v>
      </c>
      <c r="Q1757" s="145">
        <f>Purchase[[#This Row],[Gross Amount]]-Purchase[[#This Row],[Disct Amnt]]+Purchase[[#This Row],[GST Amount]]</f>
        <v>110306.4</v>
      </c>
      <c r="R1757" s="138" t="s">
        <v>1019</v>
      </c>
      <c r="S1757" s="41">
        <f>IF(Purchase[[#This Row],[Status]]="Cancelled",0,Purchase[[#This Row],[Qty]])</f>
        <v>38</v>
      </c>
      <c r="T1757" s="146">
        <f>IF(Purchase[[#This Row],[Status]]="Cancelled",0,Purchase[[#This Row],[Total Amount]])</f>
        <v>110306.4</v>
      </c>
      <c r="U1757" s="146">
        <f>SUM(Purchase[Net Amount])</f>
        <v>814985438.68000126</v>
      </c>
    </row>
    <row r="1758" spans="1:21" ht="19.5" thickBot="1" x14ac:dyDescent="0.3">
      <c r="A1758" s="136" t="s">
        <v>2813</v>
      </c>
      <c r="B1758" s="137">
        <v>45744</v>
      </c>
      <c r="C1758" s="138" t="s">
        <v>577</v>
      </c>
      <c r="D1758" s="138" t="str">
        <f>VLOOKUP(Purchase[[#This Row],[Supplier ID]],Supplier[#All],2,0)</f>
        <v>National Electronics</v>
      </c>
      <c r="E1758" s="138">
        <f>VLOOKUP(Purchase[[#This Row],[Supplier ID]],Supplier[#All],3,0)</f>
        <v>9689542469</v>
      </c>
      <c r="F1758" s="138" t="str">
        <f>VLOOKUP(Purchase[[#This Row],[Supplier ID]],Supplier[#All],4,0)</f>
        <v>Korba</v>
      </c>
      <c r="G1758" s="138" t="str">
        <f>VLOOKUP(Purchase[[#This Row],[Supplier ID]],Supplier[#All],5,0)</f>
        <v>CG</v>
      </c>
      <c r="H1758" s="138" t="str">
        <f>VLOOKUP(Purchase[[#This Row],[Supplier ID]],Supplier[#All],6,0)</f>
        <v>GST2154521T023</v>
      </c>
      <c r="I1758" s="138" t="s">
        <v>402</v>
      </c>
      <c r="J1758" s="139">
        <v>3</v>
      </c>
      <c r="K1758" s="143">
        <f>VLOOKUP(Purchase[[#This Row],[Product ID]],Product[#All],6,0)</f>
        <v>2925</v>
      </c>
      <c r="L1758" s="143">
        <f>Purchase[[#This Row],[Purchase Rate]]*Purchase[[#This Row],[Qty]]</f>
        <v>8775</v>
      </c>
      <c r="M1758" s="140">
        <v>0</v>
      </c>
      <c r="N1758" s="143">
        <v>0</v>
      </c>
      <c r="O1758" s="140">
        <v>0.18</v>
      </c>
      <c r="P1758" s="145">
        <f>(Purchase[[#This Row],[Gross Amount]]-Purchase[[#This Row],[Disct %]])*Purchase[[#This Row],[GST %]]</f>
        <v>1579.5</v>
      </c>
      <c r="Q1758" s="145">
        <f>Purchase[[#This Row],[Gross Amount]]-Purchase[[#This Row],[Disct Amnt]]+Purchase[[#This Row],[GST Amount]]</f>
        <v>10354.5</v>
      </c>
      <c r="R1758" s="138" t="s">
        <v>1019</v>
      </c>
      <c r="S1758" s="41">
        <f>IF(Purchase[[#This Row],[Status]]="Cancelled",0,Purchase[[#This Row],[Qty]])</f>
        <v>3</v>
      </c>
      <c r="T1758" s="146">
        <f>IF(Purchase[[#This Row],[Status]]="Cancelled",0,Purchase[[#This Row],[Total Amount]])</f>
        <v>10354.5</v>
      </c>
      <c r="U1758" s="146">
        <f>SUM(Purchase[Net Amount])</f>
        <v>814985438.68000126</v>
      </c>
    </row>
    <row r="1759" spans="1:21" ht="19.5" thickBot="1" x14ac:dyDescent="0.3">
      <c r="A1759" s="136" t="s">
        <v>2814</v>
      </c>
      <c r="B1759" s="137">
        <v>45744</v>
      </c>
      <c r="C1759" s="138" t="s">
        <v>613</v>
      </c>
      <c r="D1759" s="138" t="str">
        <f>VLOOKUP(Purchase[[#This Row],[Supplier ID]],Supplier[#All],2,0)</f>
        <v>National Traders</v>
      </c>
      <c r="E1759" s="138">
        <f>VLOOKUP(Purchase[[#This Row],[Supplier ID]],Supplier[#All],3,0)</f>
        <v>9689542496</v>
      </c>
      <c r="F1759" s="138" t="str">
        <f>VLOOKUP(Purchase[[#This Row],[Supplier ID]],Supplier[#All],4,0)</f>
        <v>Indore</v>
      </c>
      <c r="G1759" s="138" t="str">
        <f>VLOOKUP(Purchase[[#This Row],[Supplier ID]],Supplier[#All],5,0)</f>
        <v>MP</v>
      </c>
      <c r="H1759" s="138" t="str">
        <f>VLOOKUP(Purchase[[#This Row],[Supplier ID]],Supplier[#All],6,0)</f>
        <v>GST2154521T058</v>
      </c>
      <c r="I1759" s="138" t="s">
        <v>155</v>
      </c>
      <c r="J1759" s="139">
        <v>31</v>
      </c>
      <c r="K1759" s="143">
        <f>VLOOKUP(Purchase[[#This Row],[Product ID]],Product[#All],6,0)</f>
        <v>2996</v>
      </c>
      <c r="L1759" s="143">
        <f>Purchase[[#This Row],[Purchase Rate]]*Purchase[[#This Row],[Qty]]</f>
        <v>92876</v>
      </c>
      <c r="M1759" s="140">
        <v>0</v>
      </c>
      <c r="N1759" s="143">
        <v>0</v>
      </c>
      <c r="O1759" s="140">
        <v>0.18</v>
      </c>
      <c r="P1759" s="145">
        <f>(Purchase[[#This Row],[Gross Amount]]-Purchase[[#This Row],[Disct %]])*Purchase[[#This Row],[GST %]]</f>
        <v>16717.68</v>
      </c>
      <c r="Q1759" s="145">
        <f>Purchase[[#This Row],[Gross Amount]]-Purchase[[#This Row],[Disct Amnt]]+Purchase[[#This Row],[GST Amount]]</f>
        <v>109593.68</v>
      </c>
      <c r="R1759" s="138" t="s">
        <v>1019</v>
      </c>
      <c r="S1759" s="41">
        <f>IF(Purchase[[#This Row],[Status]]="Cancelled",0,Purchase[[#This Row],[Qty]])</f>
        <v>31</v>
      </c>
      <c r="T1759" s="146">
        <f>IF(Purchase[[#This Row],[Status]]="Cancelled",0,Purchase[[#This Row],[Total Amount]])</f>
        <v>109593.68</v>
      </c>
      <c r="U1759" s="146">
        <f>SUM(Purchase[Net Amount])</f>
        <v>814985438.68000126</v>
      </c>
    </row>
    <row r="1760" spans="1:21" ht="19.5" thickBot="1" x14ac:dyDescent="0.3">
      <c r="A1760" s="136" t="s">
        <v>2815</v>
      </c>
      <c r="B1760" s="137">
        <v>45744</v>
      </c>
      <c r="C1760" s="138" t="s">
        <v>602</v>
      </c>
      <c r="D1760" s="138" t="str">
        <f>VLOOKUP(Purchase[[#This Row],[Supplier ID]],Supplier[#All],2,0)</f>
        <v>Maa Computers</v>
      </c>
      <c r="E1760" s="138">
        <f>VLOOKUP(Purchase[[#This Row],[Supplier ID]],Supplier[#All],3,0)</f>
        <v>9689542485</v>
      </c>
      <c r="F1760" s="138" t="str">
        <f>VLOOKUP(Purchase[[#This Row],[Supplier ID]],Supplier[#All],4,0)</f>
        <v>Korba</v>
      </c>
      <c r="G1760" s="138" t="str">
        <f>VLOOKUP(Purchase[[#This Row],[Supplier ID]],Supplier[#All],5,0)</f>
        <v>CG</v>
      </c>
      <c r="H1760" s="138" t="str">
        <f>VLOOKUP(Purchase[[#This Row],[Supplier ID]],Supplier[#All],6,0)</f>
        <v>GST2154521T047</v>
      </c>
      <c r="I1760" s="138" t="s">
        <v>518</v>
      </c>
      <c r="J1760" s="139">
        <v>21</v>
      </c>
      <c r="K1760" s="143">
        <f>VLOOKUP(Purchase[[#This Row],[Product ID]],Product[#All],6,0)</f>
        <v>18538</v>
      </c>
      <c r="L1760" s="143">
        <f>Purchase[[#This Row],[Purchase Rate]]*Purchase[[#This Row],[Qty]]</f>
        <v>389298</v>
      </c>
      <c r="M1760" s="140">
        <v>0</v>
      </c>
      <c r="N1760" s="143">
        <v>0</v>
      </c>
      <c r="O1760" s="140">
        <v>0.18</v>
      </c>
      <c r="P1760" s="145">
        <f>(Purchase[[#This Row],[Gross Amount]]-Purchase[[#This Row],[Disct %]])*Purchase[[#This Row],[GST %]]</f>
        <v>70073.64</v>
      </c>
      <c r="Q1760" s="145">
        <f>Purchase[[#This Row],[Gross Amount]]-Purchase[[#This Row],[Disct Amnt]]+Purchase[[#This Row],[GST Amount]]</f>
        <v>459371.64</v>
      </c>
      <c r="R1760" s="138" t="s">
        <v>1019</v>
      </c>
      <c r="S1760" s="41">
        <f>IF(Purchase[[#This Row],[Status]]="Cancelled",0,Purchase[[#This Row],[Qty]])</f>
        <v>21</v>
      </c>
      <c r="T1760" s="146">
        <f>IF(Purchase[[#This Row],[Status]]="Cancelled",0,Purchase[[#This Row],[Total Amount]])</f>
        <v>459371.64</v>
      </c>
      <c r="U1760" s="146">
        <f>SUM(Purchase[Net Amount])</f>
        <v>814985438.68000126</v>
      </c>
    </row>
    <row r="1761" spans="1:21" ht="19.5" thickBot="1" x14ac:dyDescent="0.3">
      <c r="A1761" s="136" t="s">
        <v>2816</v>
      </c>
      <c r="B1761" s="137">
        <v>45744</v>
      </c>
      <c r="C1761" s="138" t="s">
        <v>579</v>
      </c>
      <c r="D1761" s="138" t="str">
        <f>VLOOKUP(Purchase[[#This Row],[Supplier ID]],Supplier[#All],2,0)</f>
        <v>Tech Traders</v>
      </c>
      <c r="E1761" s="138">
        <f>VLOOKUP(Purchase[[#This Row],[Supplier ID]],Supplier[#All],3,0)</f>
        <v>9689542463</v>
      </c>
      <c r="F1761" s="138" t="str">
        <f>VLOOKUP(Purchase[[#This Row],[Supplier ID]],Supplier[#All],4,0)</f>
        <v>Kanpur</v>
      </c>
      <c r="G1761" s="138" t="str">
        <f>VLOOKUP(Purchase[[#This Row],[Supplier ID]],Supplier[#All],5,0)</f>
        <v>UP</v>
      </c>
      <c r="H1761" s="138" t="str">
        <f>VLOOKUP(Purchase[[#This Row],[Supplier ID]],Supplier[#All],6,0)</f>
        <v>GST2154521T025</v>
      </c>
      <c r="I1761" s="138" t="s">
        <v>382</v>
      </c>
      <c r="J1761" s="139">
        <v>4</v>
      </c>
      <c r="K1761" s="143">
        <f>VLOOKUP(Purchase[[#This Row],[Product ID]],Product[#All],6,0)</f>
        <v>27552</v>
      </c>
      <c r="L1761" s="143">
        <f>Purchase[[#This Row],[Purchase Rate]]*Purchase[[#This Row],[Qty]]</f>
        <v>110208</v>
      </c>
      <c r="M1761" s="140">
        <v>0</v>
      </c>
      <c r="N1761" s="143">
        <v>0</v>
      </c>
      <c r="O1761" s="140">
        <v>0.18</v>
      </c>
      <c r="P1761" s="145">
        <f>(Purchase[[#This Row],[Gross Amount]]-Purchase[[#This Row],[Disct %]])*Purchase[[#This Row],[GST %]]</f>
        <v>19837.439999999999</v>
      </c>
      <c r="Q1761" s="145">
        <f>Purchase[[#This Row],[Gross Amount]]-Purchase[[#This Row],[Disct Amnt]]+Purchase[[#This Row],[GST Amount]]</f>
        <v>130045.44</v>
      </c>
      <c r="R1761" s="138" t="s">
        <v>1019</v>
      </c>
      <c r="S1761" s="41">
        <f>IF(Purchase[[#This Row],[Status]]="Cancelled",0,Purchase[[#This Row],[Qty]])</f>
        <v>4</v>
      </c>
      <c r="T1761" s="146">
        <f>IF(Purchase[[#This Row],[Status]]="Cancelled",0,Purchase[[#This Row],[Total Amount]])</f>
        <v>130045.44</v>
      </c>
      <c r="U1761" s="146">
        <f>SUM(Purchase[Net Amount])</f>
        <v>814985438.68000126</v>
      </c>
    </row>
    <row r="1762" spans="1:21" ht="19.5" thickBot="1" x14ac:dyDescent="0.3">
      <c r="A1762" s="136" t="s">
        <v>2817</v>
      </c>
      <c r="B1762" s="137">
        <v>45744</v>
      </c>
      <c r="C1762" s="138" t="s">
        <v>602</v>
      </c>
      <c r="D1762" s="138" t="str">
        <f>VLOOKUP(Purchase[[#This Row],[Supplier ID]],Supplier[#All],2,0)</f>
        <v>Maa Computers</v>
      </c>
      <c r="E1762" s="138">
        <f>VLOOKUP(Purchase[[#This Row],[Supplier ID]],Supplier[#All],3,0)</f>
        <v>9689542485</v>
      </c>
      <c r="F1762" s="138" t="str">
        <f>VLOOKUP(Purchase[[#This Row],[Supplier ID]],Supplier[#All],4,0)</f>
        <v>Korba</v>
      </c>
      <c r="G1762" s="138" t="str">
        <f>VLOOKUP(Purchase[[#This Row],[Supplier ID]],Supplier[#All],5,0)</f>
        <v>CG</v>
      </c>
      <c r="H1762" s="138" t="str">
        <f>VLOOKUP(Purchase[[#This Row],[Supplier ID]],Supplier[#All],6,0)</f>
        <v>GST2154521T047</v>
      </c>
      <c r="I1762" s="138" t="s">
        <v>416</v>
      </c>
      <c r="J1762" s="139">
        <v>8</v>
      </c>
      <c r="K1762" s="143">
        <f>VLOOKUP(Purchase[[#This Row],[Product ID]],Product[#All],6,0)</f>
        <v>726</v>
      </c>
      <c r="L1762" s="143">
        <f>Purchase[[#This Row],[Purchase Rate]]*Purchase[[#This Row],[Qty]]</f>
        <v>5808</v>
      </c>
      <c r="M1762" s="140">
        <v>0</v>
      </c>
      <c r="N1762" s="143">
        <v>0</v>
      </c>
      <c r="O1762" s="140">
        <v>0.18</v>
      </c>
      <c r="P1762" s="145">
        <f>(Purchase[[#This Row],[Gross Amount]]-Purchase[[#This Row],[Disct %]])*Purchase[[#This Row],[GST %]]</f>
        <v>1045.44</v>
      </c>
      <c r="Q1762" s="145">
        <f>Purchase[[#This Row],[Gross Amount]]-Purchase[[#This Row],[Disct Amnt]]+Purchase[[#This Row],[GST Amount]]</f>
        <v>6853.4400000000005</v>
      </c>
      <c r="R1762" s="138" t="s">
        <v>1019</v>
      </c>
      <c r="S1762" s="41">
        <f>IF(Purchase[[#This Row],[Status]]="Cancelled",0,Purchase[[#This Row],[Qty]])</f>
        <v>8</v>
      </c>
      <c r="T1762" s="146">
        <f>IF(Purchase[[#This Row],[Status]]="Cancelled",0,Purchase[[#This Row],[Total Amount]])</f>
        <v>6853.4400000000005</v>
      </c>
      <c r="U1762" s="146">
        <f>SUM(Purchase[Net Amount])</f>
        <v>814985438.68000126</v>
      </c>
    </row>
    <row r="1763" spans="1:21" ht="19.5" thickBot="1" x14ac:dyDescent="0.3">
      <c r="A1763" s="136" t="s">
        <v>2818</v>
      </c>
      <c r="B1763" s="137">
        <v>45744</v>
      </c>
      <c r="C1763" s="138" t="s">
        <v>607</v>
      </c>
      <c r="D1763" s="138" t="str">
        <f>VLOOKUP(Purchase[[#This Row],[Supplier ID]],Supplier[#All],2,0)</f>
        <v>Global Distributors</v>
      </c>
      <c r="E1763" s="138">
        <f>VLOOKUP(Purchase[[#This Row],[Supplier ID]],Supplier[#All],3,0)</f>
        <v>9689542490</v>
      </c>
      <c r="F1763" s="138" t="str">
        <f>VLOOKUP(Purchase[[#This Row],[Supplier ID]],Supplier[#All],4,0)</f>
        <v>Kanpur</v>
      </c>
      <c r="G1763" s="138" t="str">
        <f>VLOOKUP(Purchase[[#This Row],[Supplier ID]],Supplier[#All],5,0)</f>
        <v>UP</v>
      </c>
      <c r="H1763" s="138" t="str">
        <f>VLOOKUP(Purchase[[#This Row],[Supplier ID]],Supplier[#All],6,0)</f>
        <v>GST2154521T052</v>
      </c>
      <c r="I1763" s="138" t="s">
        <v>118</v>
      </c>
      <c r="J1763" s="139">
        <v>15</v>
      </c>
      <c r="K1763" s="143">
        <f>VLOOKUP(Purchase[[#This Row],[Product ID]],Product[#All],6,0)</f>
        <v>3406</v>
      </c>
      <c r="L1763" s="143">
        <f>Purchase[[#This Row],[Purchase Rate]]*Purchase[[#This Row],[Qty]]</f>
        <v>51090</v>
      </c>
      <c r="M1763" s="140">
        <v>0</v>
      </c>
      <c r="N1763" s="143">
        <v>0</v>
      </c>
      <c r="O1763" s="140">
        <v>0.18</v>
      </c>
      <c r="P1763" s="145">
        <f>(Purchase[[#This Row],[Gross Amount]]-Purchase[[#This Row],[Disct %]])*Purchase[[#This Row],[GST %]]</f>
        <v>9196.1999999999989</v>
      </c>
      <c r="Q1763" s="145">
        <f>Purchase[[#This Row],[Gross Amount]]-Purchase[[#This Row],[Disct Amnt]]+Purchase[[#This Row],[GST Amount]]</f>
        <v>60286.2</v>
      </c>
      <c r="R1763" s="138" t="s">
        <v>1019</v>
      </c>
      <c r="S1763" s="41">
        <f>IF(Purchase[[#This Row],[Status]]="Cancelled",0,Purchase[[#This Row],[Qty]])</f>
        <v>15</v>
      </c>
      <c r="T1763" s="146">
        <f>IF(Purchase[[#This Row],[Status]]="Cancelled",0,Purchase[[#This Row],[Total Amount]])</f>
        <v>60286.2</v>
      </c>
      <c r="U1763" s="146">
        <f>SUM(Purchase[Net Amount])</f>
        <v>814985438.68000126</v>
      </c>
    </row>
    <row r="1764" spans="1:21" ht="19.5" thickBot="1" x14ac:dyDescent="0.3">
      <c r="A1764" s="136" t="s">
        <v>2819</v>
      </c>
      <c r="B1764" s="137">
        <v>45744</v>
      </c>
      <c r="C1764" s="138" t="s">
        <v>575</v>
      </c>
      <c r="D1764" s="138" t="str">
        <f>VLOOKUP(Purchase[[#This Row],[Supplier ID]],Supplier[#All],2,0)</f>
        <v>Global Computers</v>
      </c>
      <c r="E1764" s="138">
        <f>VLOOKUP(Purchase[[#This Row],[Supplier ID]],Supplier[#All],3,0)</f>
        <v>9689542459</v>
      </c>
      <c r="F1764" s="138" t="str">
        <f>VLOOKUP(Purchase[[#This Row],[Supplier ID]],Supplier[#All],4,0)</f>
        <v>Indore</v>
      </c>
      <c r="G1764" s="138" t="str">
        <f>VLOOKUP(Purchase[[#This Row],[Supplier ID]],Supplier[#All],5,0)</f>
        <v>MP</v>
      </c>
      <c r="H1764" s="138" t="str">
        <f>VLOOKUP(Purchase[[#This Row],[Supplier ID]],Supplier[#All],6,0)</f>
        <v>GST2154521T021</v>
      </c>
      <c r="I1764" s="138" t="s">
        <v>372</v>
      </c>
      <c r="J1764" s="139">
        <v>18</v>
      </c>
      <c r="K1764" s="143">
        <f>VLOOKUP(Purchase[[#This Row],[Product ID]],Product[#All],6,0)</f>
        <v>441</v>
      </c>
      <c r="L1764" s="143">
        <f>Purchase[[#This Row],[Purchase Rate]]*Purchase[[#This Row],[Qty]]</f>
        <v>7938</v>
      </c>
      <c r="M1764" s="140">
        <v>0</v>
      </c>
      <c r="N1764" s="143">
        <v>0</v>
      </c>
      <c r="O1764" s="140">
        <v>0.18</v>
      </c>
      <c r="P1764" s="145">
        <f>(Purchase[[#This Row],[Gross Amount]]-Purchase[[#This Row],[Disct %]])*Purchase[[#This Row],[GST %]]</f>
        <v>1428.84</v>
      </c>
      <c r="Q1764" s="145">
        <f>Purchase[[#This Row],[Gross Amount]]-Purchase[[#This Row],[Disct Amnt]]+Purchase[[#This Row],[GST Amount]]</f>
        <v>9366.84</v>
      </c>
      <c r="R1764" s="138" t="s">
        <v>1019</v>
      </c>
      <c r="S1764" s="41">
        <f>IF(Purchase[[#This Row],[Status]]="Cancelled",0,Purchase[[#This Row],[Qty]])</f>
        <v>18</v>
      </c>
      <c r="T1764" s="146">
        <f>IF(Purchase[[#This Row],[Status]]="Cancelled",0,Purchase[[#This Row],[Total Amount]])</f>
        <v>9366.84</v>
      </c>
      <c r="U1764" s="146">
        <f>SUM(Purchase[Net Amount])</f>
        <v>814985438.68000126</v>
      </c>
    </row>
    <row r="1765" spans="1:21" ht="19.5" thickBot="1" x14ac:dyDescent="0.3">
      <c r="A1765" s="136" t="s">
        <v>2820</v>
      </c>
      <c r="B1765" s="137">
        <v>45744</v>
      </c>
      <c r="C1765" s="138" t="s">
        <v>593</v>
      </c>
      <c r="D1765" s="138" t="str">
        <f>VLOOKUP(Purchase[[#This Row],[Supplier ID]],Supplier[#All],2,0)</f>
        <v>Global Suppliers</v>
      </c>
      <c r="E1765" s="138">
        <f>VLOOKUP(Purchase[[#This Row],[Supplier ID]],Supplier[#All],3,0)</f>
        <v>9689542476</v>
      </c>
      <c r="F1765" s="138" t="str">
        <f>VLOOKUP(Purchase[[#This Row],[Supplier ID]],Supplier[#All],4,0)</f>
        <v>Korba</v>
      </c>
      <c r="G1765" s="138" t="str">
        <f>VLOOKUP(Purchase[[#This Row],[Supplier ID]],Supplier[#All],5,0)</f>
        <v>CG</v>
      </c>
      <c r="H1765" s="138" t="str">
        <f>VLOOKUP(Purchase[[#This Row],[Supplier ID]],Supplier[#All],6,0)</f>
        <v>GST2154521T038</v>
      </c>
      <c r="I1765" s="138" t="s">
        <v>151</v>
      </c>
      <c r="J1765" s="139">
        <v>15</v>
      </c>
      <c r="K1765" s="143">
        <f>VLOOKUP(Purchase[[#This Row],[Product ID]],Product[#All],6,0)</f>
        <v>5716</v>
      </c>
      <c r="L1765" s="143">
        <f>Purchase[[#This Row],[Purchase Rate]]*Purchase[[#This Row],[Qty]]</f>
        <v>85740</v>
      </c>
      <c r="M1765" s="140">
        <v>0</v>
      </c>
      <c r="N1765" s="143">
        <v>0</v>
      </c>
      <c r="O1765" s="140">
        <v>0.18</v>
      </c>
      <c r="P1765" s="145">
        <f>(Purchase[[#This Row],[Gross Amount]]-Purchase[[#This Row],[Disct %]])*Purchase[[#This Row],[GST %]]</f>
        <v>15433.199999999999</v>
      </c>
      <c r="Q1765" s="145">
        <f>Purchase[[#This Row],[Gross Amount]]-Purchase[[#This Row],[Disct Amnt]]+Purchase[[#This Row],[GST Amount]]</f>
        <v>101173.2</v>
      </c>
      <c r="R1765" s="138" t="s">
        <v>1019</v>
      </c>
      <c r="S1765" s="41">
        <f>IF(Purchase[[#This Row],[Status]]="Cancelled",0,Purchase[[#This Row],[Qty]])</f>
        <v>15</v>
      </c>
      <c r="T1765" s="146">
        <f>IF(Purchase[[#This Row],[Status]]="Cancelled",0,Purchase[[#This Row],[Total Amount]])</f>
        <v>101173.2</v>
      </c>
      <c r="U1765" s="146">
        <f>SUM(Purchase[Net Amount])</f>
        <v>814985438.68000126</v>
      </c>
    </row>
    <row r="1766" spans="1:21" ht="19.5" thickBot="1" x14ac:dyDescent="0.3">
      <c r="A1766" s="136" t="s">
        <v>2821</v>
      </c>
      <c r="B1766" s="137">
        <v>45744</v>
      </c>
      <c r="C1766" s="138" t="s">
        <v>607</v>
      </c>
      <c r="D1766" s="138" t="str">
        <f>VLOOKUP(Purchase[[#This Row],[Supplier ID]],Supplier[#All],2,0)</f>
        <v>Global Distributors</v>
      </c>
      <c r="E1766" s="138">
        <f>VLOOKUP(Purchase[[#This Row],[Supplier ID]],Supplier[#All],3,0)</f>
        <v>9689542490</v>
      </c>
      <c r="F1766" s="138" t="str">
        <f>VLOOKUP(Purchase[[#This Row],[Supplier ID]],Supplier[#All],4,0)</f>
        <v>Kanpur</v>
      </c>
      <c r="G1766" s="138" t="str">
        <f>VLOOKUP(Purchase[[#This Row],[Supplier ID]],Supplier[#All],5,0)</f>
        <v>UP</v>
      </c>
      <c r="H1766" s="138" t="str">
        <f>VLOOKUP(Purchase[[#This Row],[Supplier ID]],Supplier[#All],6,0)</f>
        <v>GST2154521T052</v>
      </c>
      <c r="I1766" s="138" t="s">
        <v>116</v>
      </c>
      <c r="J1766" s="139">
        <v>28</v>
      </c>
      <c r="K1766" s="143">
        <f>VLOOKUP(Purchase[[#This Row],[Product ID]],Product[#All],6,0)</f>
        <v>33377</v>
      </c>
      <c r="L1766" s="143">
        <f>Purchase[[#This Row],[Purchase Rate]]*Purchase[[#This Row],[Qty]]</f>
        <v>934556</v>
      </c>
      <c r="M1766" s="140">
        <v>0</v>
      </c>
      <c r="N1766" s="143">
        <v>0</v>
      </c>
      <c r="O1766" s="140">
        <v>0.18</v>
      </c>
      <c r="P1766" s="145">
        <f>(Purchase[[#This Row],[Gross Amount]]-Purchase[[#This Row],[Disct %]])*Purchase[[#This Row],[GST %]]</f>
        <v>168220.08</v>
      </c>
      <c r="Q1766" s="145">
        <f>Purchase[[#This Row],[Gross Amount]]-Purchase[[#This Row],[Disct Amnt]]+Purchase[[#This Row],[GST Amount]]</f>
        <v>1102776.08</v>
      </c>
      <c r="R1766" s="138" t="s">
        <v>1019</v>
      </c>
      <c r="S1766" s="41">
        <f>IF(Purchase[[#This Row],[Status]]="Cancelled",0,Purchase[[#This Row],[Qty]])</f>
        <v>28</v>
      </c>
      <c r="T1766" s="146">
        <f>IF(Purchase[[#This Row],[Status]]="Cancelled",0,Purchase[[#This Row],[Total Amount]])</f>
        <v>1102776.08</v>
      </c>
      <c r="U1766" s="146">
        <f>SUM(Purchase[Net Amount])</f>
        <v>814985438.68000126</v>
      </c>
    </row>
    <row r="1767" spans="1:21" ht="19.5" thickBot="1" x14ac:dyDescent="0.3">
      <c r="A1767" s="136" t="s">
        <v>2822</v>
      </c>
      <c r="B1767" s="137">
        <v>45744</v>
      </c>
      <c r="C1767" s="138" t="s">
        <v>593</v>
      </c>
      <c r="D1767" s="138" t="str">
        <f>VLOOKUP(Purchase[[#This Row],[Supplier ID]],Supplier[#All],2,0)</f>
        <v>Global Suppliers</v>
      </c>
      <c r="E1767" s="138">
        <f>VLOOKUP(Purchase[[#This Row],[Supplier ID]],Supplier[#All],3,0)</f>
        <v>9689542476</v>
      </c>
      <c r="F1767" s="138" t="str">
        <f>VLOOKUP(Purchase[[#This Row],[Supplier ID]],Supplier[#All],4,0)</f>
        <v>Korba</v>
      </c>
      <c r="G1767" s="138" t="str">
        <f>VLOOKUP(Purchase[[#This Row],[Supplier ID]],Supplier[#All],5,0)</f>
        <v>CG</v>
      </c>
      <c r="H1767" s="138" t="str">
        <f>VLOOKUP(Purchase[[#This Row],[Supplier ID]],Supplier[#All],6,0)</f>
        <v>GST2154521T038</v>
      </c>
      <c r="I1767" s="138" t="s">
        <v>535</v>
      </c>
      <c r="J1767" s="139">
        <v>13</v>
      </c>
      <c r="K1767" s="143">
        <f>VLOOKUP(Purchase[[#This Row],[Product ID]],Product[#All],6,0)</f>
        <v>679</v>
      </c>
      <c r="L1767" s="143">
        <f>Purchase[[#This Row],[Purchase Rate]]*Purchase[[#This Row],[Qty]]</f>
        <v>8827</v>
      </c>
      <c r="M1767" s="140">
        <v>0</v>
      </c>
      <c r="N1767" s="143">
        <v>0</v>
      </c>
      <c r="O1767" s="140">
        <v>0.18</v>
      </c>
      <c r="P1767" s="145">
        <f>(Purchase[[#This Row],[Gross Amount]]-Purchase[[#This Row],[Disct %]])*Purchase[[#This Row],[GST %]]</f>
        <v>1588.86</v>
      </c>
      <c r="Q1767" s="145">
        <f>Purchase[[#This Row],[Gross Amount]]-Purchase[[#This Row],[Disct Amnt]]+Purchase[[#This Row],[GST Amount]]</f>
        <v>10415.86</v>
      </c>
      <c r="R1767" s="138" t="s">
        <v>1019</v>
      </c>
      <c r="S1767" s="41">
        <f>IF(Purchase[[#This Row],[Status]]="Cancelled",0,Purchase[[#This Row],[Qty]])</f>
        <v>13</v>
      </c>
      <c r="T1767" s="146">
        <f>IF(Purchase[[#This Row],[Status]]="Cancelled",0,Purchase[[#This Row],[Total Amount]])</f>
        <v>10415.86</v>
      </c>
      <c r="U1767" s="146">
        <f>SUM(Purchase[Net Amount])</f>
        <v>814985438.68000126</v>
      </c>
    </row>
    <row r="1768" spans="1:21" ht="19.5" thickBot="1" x14ac:dyDescent="0.3">
      <c r="A1768" s="136" t="s">
        <v>2823</v>
      </c>
      <c r="B1768" s="137">
        <v>45744</v>
      </c>
      <c r="C1768" s="138" t="s">
        <v>608</v>
      </c>
      <c r="D1768" s="138" t="str">
        <f>VLOOKUP(Purchase[[#This Row],[Supplier ID]],Supplier[#All],2,0)</f>
        <v>Global Suppliers</v>
      </c>
      <c r="E1768" s="138">
        <f>VLOOKUP(Purchase[[#This Row],[Supplier ID]],Supplier[#All],3,0)</f>
        <v>9689542499</v>
      </c>
      <c r="F1768" s="138" t="str">
        <f>VLOOKUP(Purchase[[#This Row],[Supplier ID]],Supplier[#All],4,0)</f>
        <v>Korba</v>
      </c>
      <c r="G1768" s="138" t="str">
        <f>VLOOKUP(Purchase[[#This Row],[Supplier ID]],Supplier[#All],5,0)</f>
        <v>CG</v>
      </c>
      <c r="H1768" s="138" t="str">
        <f>VLOOKUP(Purchase[[#This Row],[Supplier ID]],Supplier[#All],6,0)</f>
        <v>GST2154521T053</v>
      </c>
      <c r="I1768" s="138" t="s">
        <v>263</v>
      </c>
      <c r="J1768" s="139">
        <v>2</v>
      </c>
      <c r="K1768" s="143">
        <f>VLOOKUP(Purchase[[#This Row],[Product ID]],Product[#All],6,0)</f>
        <v>619</v>
      </c>
      <c r="L1768" s="143">
        <f>Purchase[[#This Row],[Purchase Rate]]*Purchase[[#This Row],[Qty]]</f>
        <v>1238</v>
      </c>
      <c r="M1768" s="140">
        <v>0</v>
      </c>
      <c r="N1768" s="143">
        <v>0</v>
      </c>
      <c r="O1768" s="140">
        <v>0.18</v>
      </c>
      <c r="P1768" s="145">
        <f>(Purchase[[#This Row],[Gross Amount]]-Purchase[[#This Row],[Disct %]])*Purchase[[#This Row],[GST %]]</f>
        <v>222.84</v>
      </c>
      <c r="Q1768" s="145">
        <f>Purchase[[#This Row],[Gross Amount]]-Purchase[[#This Row],[Disct Amnt]]+Purchase[[#This Row],[GST Amount]]</f>
        <v>1460.84</v>
      </c>
      <c r="R1768" s="138" t="s">
        <v>1019</v>
      </c>
      <c r="S1768" s="41">
        <f>IF(Purchase[[#This Row],[Status]]="Cancelled",0,Purchase[[#This Row],[Qty]])</f>
        <v>2</v>
      </c>
      <c r="T1768" s="146">
        <f>IF(Purchase[[#This Row],[Status]]="Cancelled",0,Purchase[[#This Row],[Total Amount]])</f>
        <v>1460.84</v>
      </c>
      <c r="U1768" s="146">
        <f>SUM(Purchase[Net Amount])</f>
        <v>814985438.68000126</v>
      </c>
    </row>
    <row r="1769" spans="1:21" ht="19.5" thickBot="1" x14ac:dyDescent="0.3">
      <c r="A1769" s="136" t="s">
        <v>2824</v>
      </c>
      <c r="B1769" s="137">
        <v>45745</v>
      </c>
      <c r="C1769" s="138" t="s">
        <v>569</v>
      </c>
      <c r="D1769" s="138" t="str">
        <f>VLOOKUP(Purchase[[#This Row],[Supplier ID]],Supplier[#All],2,0)</f>
        <v>Tech Electronics</v>
      </c>
      <c r="E1769" s="138">
        <f>VLOOKUP(Purchase[[#This Row],[Supplier ID]],Supplier[#All],3,0)</f>
        <v>9689542455</v>
      </c>
      <c r="F1769" s="138" t="str">
        <f>VLOOKUP(Purchase[[#This Row],[Supplier ID]],Supplier[#All],4,0)</f>
        <v>Korba</v>
      </c>
      <c r="G1769" s="138" t="str">
        <f>VLOOKUP(Purchase[[#This Row],[Supplier ID]],Supplier[#All],5,0)</f>
        <v>CG</v>
      </c>
      <c r="H1769" s="138" t="str">
        <f>VLOOKUP(Purchase[[#This Row],[Supplier ID]],Supplier[#All],6,0)</f>
        <v>GST2154521T017</v>
      </c>
      <c r="I1769" s="138" t="s">
        <v>285</v>
      </c>
      <c r="J1769" s="139">
        <v>4</v>
      </c>
      <c r="K1769" s="143">
        <f>VLOOKUP(Purchase[[#This Row],[Product ID]],Product[#All],6,0)</f>
        <v>1732</v>
      </c>
      <c r="L1769" s="143">
        <f>Purchase[[#This Row],[Purchase Rate]]*Purchase[[#This Row],[Qty]]</f>
        <v>6928</v>
      </c>
      <c r="M1769" s="140">
        <v>0</v>
      </c>
      <c r="N1769" s="143">
        <v>0</v>
      </c>
      <c r="O1769" s="140">
        <v>0.18</v>
      </c>
      <c r="P1769" s="145">
        <f>(Purchase[[#This Row],[Gross Amount]]-Purchase[[#This Row],[Disct %]])*Purchase[[#This Row],[GST %]]</f>
        <v>1247.04</v>
      </c>
      <c r="Q1769" s="145">
        <f>Purchase[[#This Row],[Gross Amount]]-Purchase[[#This Row],[Disct Amnt]]+Purchase[[#This Row],[GST Amount]]</f>
        <v>8175.04</v>
      </c>
      <c r="R1769" s="138" t="s">
        <v>1019</v>
      </c>
      <c r="S1769" s="41">
        <f>IF(Purchase[[#This Row],[Status]]="Cancelled",0,Purchase[[#This Row],[Qty]])</f>
        <v>4</v>
      </c>
      <c r="T1769" s="146">
        <f>IF(Purchase[[#This Row],[Status]]="Cancelled",0,Purchase[[#This Row],[Total Amount]])</f>
        <v>8175.04</v>
      </c>
      <c r="U1769" s="146">
        <f>SUM(Purchase[Net Amount])</f>
        <v>814985438.68000126</v>
      </c>
    </row>
    <row r="1770" spans="1:21" ht="19.5" thickBot="1" x14ac:dyDescent="0.3">
      <c r="A1770" s="136" t="s">
        <v>2825</v>
      </c>
      <c r="B1770" s="137">
        <v>45745</v>
      </c>
      <c r="C1770" s="138" t="s">
        <v>596</v>
      </c>
      <c r="D1770" s="138" t="str">
        <f>VLOOKUP(Purchase[[#This Row],[Supplier ID]],Supplier[#All],2,0)</f>
        <v>star traders</v>
      </c>
      <c r="E1770" s="138">
        <f>VLOOKUP(Purchase[[#This Row],[Supplier ID]],Supplier[#All],3,0)</f>
        <v>9689542479</v>
      </c>
      <c r="F1770" s="138" t="str">
        <f>VLOOKUP(Purchase[[#This Row],[Supplier ID]],Supplier[#All],4,0)</f>
        <v>Korba</v>
      </c>
      <c r="G1770" s="138" t="str">
        <f>VLOOKUP(Purchase[[#This Row],[Supplier ID]],Supplier[#All],5,0)</f>
        <v>CG</v>
      </c>
      <c r="H1770" s="138" t="str">
        <f>VLOOKUP(Purchase[[#This Row],[Supplier ID]],Supplier[#All],6,0)</f>
        <v>GST2154521T041</v>
      </c>
      <c r="I1770" s="138" t="s">
        <v>257</v>
      </c>
      <c r="J1770" s="139">
        <v>18</v>
      </c>
      <c r="K1770" s="143">
        <f>VLOOKUP(Purchase[[#This Row],[Product ID]],Product[#All],6,0)</f>
        <v>13056</v>
      </c>
      <c r="L1770" s="143">
        <f>Purchase[[#This Row],[Purchase Rate]]*Purchase[[#This Row],[Qty]]</f>
        <v>235008</v>
      </c>
      <c r="M1770" s="140">
        <v>0</v>
      </c>
      <c r="N1770" s="143">
        <v>0</v>
      </c>
      <c r="O1770" s="140">
        <v>0.18</v>
      </c>
      <c r="P1770" s="145">
        <f>(Purchase[[#This Row],[Gross Amount]]-Purchase[[#This Row],[Disct %]])*Purchase[[#This Row],[GST %]]</f>
        <v>42301.439999999995</v>
      </c>
      <c r="Q1770" s="145">
        <f>Purchase[[#This Row],[Gross Amount]]-Purchase[[#This Row],[Disct Amnt]]+Purchase[[#This Row],[GST Amount]]</f>
        <v>277309.44</v>
      </c>
      <c r="R1770" s="138" t="s">
        <v>1019</v>
      </c>
      <c r="S1770" s="41">
        <f>IF(Purchase[[#This Row],[Status]]="Cancelled",0,Purchase[[#This Row],[Qty]])</f>
        <v>18</v>
      </c>
      <c r="T1770" s="146">
        <f>IF(Purchase[[#This Row],[Status]]="Cancelled",0,Purchase[[#This Row],[Total Amount]])</f>
        <v>277309.44</v>
      </c>
      <c r="U1770" s="146">
        <f>SUM(Purchase[Net Amount])</f>
        <v>814985438.68000126</v>
      </c>
    </row>
    <row r="1771" spans="1:21" ht="19.5" thickBot="1" x14ac:dyDescent="0.3">
      <c r="A1771" s="136" t="s">
        <v>2826</v>
      </c>
      <c r="B1771" s="137">
        <v>45745</v>
      </c>
      <c r="C1771" s="138" t="s">
        <v>566</v>
      </c>
      <c r="D1771" s="138" t="str">
        <f>VLOOKUP(Purchase[[#This Row],[Supplier ID]],Supplier[#All],2,0)</f>
        <v>Maa Computers</v>
      </c>
      <c r="E1771" s="138">
        <f>VLOOKUP(Purchase[[#This Row],[Supplier ID]],Supplier[#All],3,0)</f>
        <v>9689542452</v>
      </c>
      <c r="F1771" s="138" t="str">
        <f>VLOOKUP(Purchase[[#This Row],[Supplier ID]],Supplier[#All],4,0)</f>
        <v>Kanpur</v>
      </c>
      <c r="G1771" s="138" t="str">
        <f>VLOOKUP(Purchase[[#This Row],[Supplier ID]],Supplier[#All],5,0)</f>
        <v>UP</v>
      </c>
      <c r="H1771" s="138" t="str">
        <f>VLOOKUP(Purchase[[#This Row],[Supplier ID]],Supplier[#All],6,0)</f>
        <v>GST2154521T014</v>
      </c>
      <c r="I1771" s="138" t="s">
        <v>67</v>
      </c>
      <c r="J1771" s="139">
        <v>29</v>
      </c>
      <c r="K1771" s="143">
        <f>VLOOKUP(Purchase[[#This Row],[Product ID]],Product[#All],6,0)</f>
        <v>2409</v>
      </c>
      <c r="L1771" s="143">
        <f>Purchase[[#This Row],[Purchase Rate]]*Purchase[[#This Row],[Qty]]</f>
        <v>69861</v>
      </c>
      <c r="M1771" s="140">
        <v>0</v>
      </c>
      <c r="N1771" s="143">
        <v>0</v>
      </c>
      <c r="O1771" s="140">
        <v>0.18</v>
      </c>
      <c r="P1771" s="145">
        <f>(Purchase[[#This Row],[Gross Amount]]-Purchase[[#This Row],[Disct %]])*Purchase[[#This Row],[GST %]]</f>
        <v>12574.98</v>
      </c>
      <c r="Q1771" s="145">
        <f>Purchase[[#This Row],[Gross Amount]]-Purchase[[#This Row],[Disct Amnt]]+Purchase[[#This Row],[GST Amount]]</f>
        <v>82435.98</v>
      </c>
      <c r="R1771" s="138" t="s">
        <v>1019</v>
      </c>
      <c r="S1771" s="41">
        <f>IF(Purchase[[#This Row],[Status]]="Cancelled",0,Purchase[[#This Row],[Qty]])</f>
        <v>29</v>
      </c>
      <c r="T1771" s="146">
        <f>IF(Purchase[[#This Row],[Status]]="Cancelled",0,Purchase[[#This Row],[Total Amount]])</f>
        <v>82435.98</v>
      </c>
      <c r="U1771" s="146">
        <f>SUM(Purchase[Net Amount])</f>
        <v>814985438.68000126</v>
      </c>
    </row>
    <row r="1772" spans="1:21" ht="19.5" thickBot="1" x14ac:dyDescent="0.3">
      <c r="A1772" s="136" t="s">
        <v>2827</v>
      </c>
      <c r="B1772" s="137">
        <v>45745</v>
      </c>
      <c r="C1772" s="138" t="s">
        <v>564</v>
      </c>
      <c r="D1772" s="138" t="str">
        <f>VLOOKUP(Purchase[[#This Row],[Supplier ID]],Supplier[#All],2,0)</f>
        <v xml:space="preserve">Star Electronics </v>
      </c>
      <c r="E1772" s="138">
        <f>VLOOKUP(Purchase[[#This Row],[Supplier ID]],Supplier[#All],3,0)</f>
        <v>9689542450</v>
      </c>
      <c r="F1772" s="138" t="str">
        <f>VLOOKUP(Purchase[[#This Row],[Supplier ID]],Supplier[#All],4,0)</f>
        <v>Korba</v>
      </c>
      <c r="G1772" s="138" t="str">
        <f>VLOOKUP(Purchase[[#This Row],[Supplier ID]],Supplier[#All],5,0)</f>
        <v>CG</v>
      </c>
      <c r="H1772" s="138" t="str">
        <f>VLOOKUP(Purchase[[#This Row],[Supplier ID]],Supplier[#All],6,0)</f>
        <v>GST2154521T012</v>
      </c>
      <c r="I1772" s="138" t="s">
        <v>312</v>
      </c>
      <c r="J1772" s="139">
        <v>19</v>
      </c>
      <c r="K1772" s="143">
        <f>VLOOKUP(Purchase[[#This Row],[Product ID]],Product[#All],6,0)</f>
        <v>51220</v>
      </c>
      <c r="L1772" s="143">
        <f>Purchase[[#This Row],[Purchase Rate]]*Purchase[[#This Row],[Qty]]</f>
        <v>973180</v>
      </c>
      <c r="M1772" s="140">
        <v>0</v>
      </c>
      <c r="N1772" s="143">
        <v>0</v>
      </c>
      <c r="O1772" s="140">
        <v>0.18</v>
      </c>
      <c r="P1772" s="145">
        <f>(Purchase[[#This Row],[Gross Amount]]-Purchase[[#This Row],[Disct %]])*Purchase[[#This Row],[GST %]]</f>
        <v>175172.4</v>
      </c>
      <c r="Q1772" s="145">
        <f>Purchase[[#This Row],[Gross Amount]]-Purchase[[#This Row],[Disct Amnt]]+Purchase[[#This Row],[GST Amount]]</f>
        <v>1148352.3999999999</v>
      </c>
      <c r="R1772" s="138" t="s">
        <v>1019</v>
      </c>
      <c r="S1772" s="41">
        <f>IF(Purchase[[#This Row],[Status]]="Cancelled",0,Purchase[[#This Row],[Qty]])</f>
        <v>19</v>
      </c>
      <c r="T1772" s="146">
        <f>IF(Purchase[[#This Row],[Status]]="Cancelled",0,Purchase[[#This Row],[Total Amount]])</f>
        <v>1148352.3999999999</v>
      </c>
      <c r="U1772" s="146">
        <f>SUM(Purchase[Net Amount])</f>
        <v>814985438.68000126</v>
      </c>
    </row>
    <row r="1773" spans="1:21" ht="19.5" thickBot="1" x14ac:dyDescent="0.3">
      <c r="A1773" s="136" t="s">
        <v>2828</v>
      </c>
      <c r="B1773" s="137">
        <v>45745</v>
      </c>
      <c r="C1773" s="138" t="s">
        <v>566</v>
      </c>
      <c r="D1773" s="138" t="str">
        <f>VLOOKUP(Purchase[[#This Row],[Supplier ID]],Supplier[#All],2,0)</f>
        <v>Maa Computers</v>
      </c>
      <c r="E1773" s="138">
        <f>VLOOKUP(Purchase[[#This Row],[Supplier ID]],Supplier[#All],3,0)</f>
        <v>9689542452</v>
      </c>
      <c r="F1773" s="138" t="str">
        <f>VLOOKUP(Purchase[[#This Row],[Supplier ID]],Supplier[#All],4,0)</f>
        <v>Kanpur</v>
      </c>
      <c r="G1773" s="138" t="str">
        <f>VLOOKUP(Purchase[[#This Row],[Supplier ID]],Supplier[#All],5,0)</f>
        <v>UP</v>
      </c>
      <c r="H1773" s="138" t="str">
        <f>VLOOKUP(Purchase[[#This Row],[Supplier ID]],Supplier[#All],6,0)</f>
        <v>GST2154521T014</v>
      </c>
      <c r="I1773" s="138" t="s">
        <v>219</v>
      </c>
      <c r="J1773" s="139">
        <v>7</v>
      </c>
      <c r="K1773" s="143">
        <f>VLOOKUP(Purchase[[#This Row],[Product ID]],Product[#All],6,0)</f>
        <v>18401</v>
      </c>
      <c r="L1773" s="143">
        <f>Purchase[[#This Row],[Purchase Rate]]*Purchase[[#This Row],[Qty]]</f>
        <v>128807</v>
      </c>
      <c r="M1773" s="140">
        <v>0</v>
      </c>
      <c r="N1773" s="143">
        <v>0</v>
      </c>
      <c r="O1773" s="140">
        <v>0.18</v>
      </c>
      <c r="P1773" s="145">
        <f>(Purchase[[#This Row],[Gross Amount]]-Purchase[[#This Row],[Disct %]])*Purchase[[#This Row],[GST %]]</f>
        <v>23185.26</v>
      </c>
      <c r="Q1773" s="145">
        <f>Purchase[[#This Row],[Gross Amount]]-Purchase[[#This Row],[Disct Amnt]]+Purchase[[#This Row],[GST Amount]]</f>
        <v>151992.26</v>
      </c>
      <c r="R1773" s="138" t="s">
        <v>1019</v>
      </c>
      <c r="S1773" s="41">
        <f>IF(Purchase[[#This Row],[Status]]="Cancelled",0,Purchase[[#This Row],[Qty]])</f>
        <v>7</v>
      </c>
      <c r="T1773" s="146">
        <f>IF(Purchase[[#This Row],[Status]]="Cancelled",0,Purchase[[#This Row],[Total Amount]])</f>
        <v>151992.26</v>
      </c>
      <c r="U1773" s="146">
        <f>SUM(Purchase[Net Amount])</f>
        <v>814985438.68000126</v>
      </c>
    </row>
    <row r="1774" spans="1:21" ht="19.5" thickBot="1" x14ac:dyDescent="0.3">
      <c r="A1774" s="136" t="s">
        <v>2829</v>
      </c>
      <c r="B1774" s="137">
        <v>45745</v>
      </c>
      <c r="C1774" s="138" t="s">
        <v>565</v>
      </c>
      <c r="D1774" s="138" t="str">
        <f>VLOOKUP(Purchase[[#This Row],[Supplier ID]],Supplier[#All],2,0)</f>
        <v>Global Suppliers</v>
      </c>
      <c r="E1774" s="138">
        <f>VLOOKUP(Purchase[[#This Row],[Supplier ID]],Supplier[#All],3,0)</f>
        <v>9689542459</v>
      </c>
      <c r="F1774" s="138" t="str">
        <f>VLOOKUP(Purchase[[#This Row],[Supplier ID]],Supplier[#All],4,0)</f>
        <v>Indore</v>
      </c>
      <c r="G1774" s="138" t="str">
        <f>VLOOKUP(Purchase[[#This Row],[Supplier ID]],Supplier[#All],5,0)</f>
        <v>MP</v>
      </c>
      <c r="H1774" s="138" t="str">
        <f>VLOOKUP(Purchase[[#This Row],[Supplier ID]],Supplier[#All],6,0)</f>
        <v>GST2154521T013</v>
      </c>
      <c r="I1774" s="138" t="s">
        <v>217</v>
      </c>
      <c r="J1774" s="139">
        <v>30</v>
      </c>
      <c r="K1774" s="143">
        <f>VLOOKUP(Purchase[[#This Row],[Product ID]],Product[#All],6,0)</f>
        <v>1840</v>
      </c>
      <c r="L1774" s="143">
        <f>Purchase[[#This Row],[Purchase Rate]]*Purchase[[#This Row],[Qty]]</f>
        <v>55200</v>
      </c>
      <c r="M1774" s="140">
        <v>0</v>
      </c>
      <c r="N1774" s="143">
        <v>0</v>
      </c>
      <c r="O1774" s="140">
        <v>0.18</v>
      </c>
      <c r="P1774" s="145">
        <f>(Purchase[[#This Row],[Gross Amount]]-Purchase[[#This Row],[Disct %]])*Purchase[[#This Row],[GST %]]</f>
        <v>9936</v>
      </c>
      <c r="Q1774" s="145">
        <f>Purchase[[#This Row],[Gross Amount]]-Purchase[[#This Row],[Disct Amnt]]+Purchase[[#This Row],[GST Amount]]</f>
        <v>65136</v>
      </c>
      <c r="R1774" s="138" t="s">
        <v>1019</v>
      </c>
      <c r="S1774" s="41">
        <f>IF(Purchase[[#This Row],[Status]]="Cancelled",0,Purchase[[#This Row],[Qty]])</f>
        <v>30</v>
      </c>
      <c r="T1774" s="146">
        <f>IF(Purchase[[#This Row],[Status]]="Cancelled",0,Purchase[[#This Row],[Total Amount]])</f>
        <v>65136</v>
      </c>
      <c r="U1774" s="146">
        <f>SUM(Purchase[Net Amount])</f>
        <v>814985438.68000126</v>
      </c>
    </row>
    <row r="1775" spans="1:21" ht="19.5" thickBot="1" x14ac:dyDescent="0.3">
      <c r="A1775" s="136" t="s">
        <v>2830</v>
      </c>
      <c r="B1775" s="137">
        <v>45745</v>
      </c>
      <c r="C1775" s="138" t="s">
        <v>598</v>
      </c>
      <c r="D1775" s="138" t="str">
        <f>VLOOKUP(Purchase[[#This Row],[Supplier ID]],Supplier[#All],2,0)</f>
        <v>National Distributors</v>
      </c>
      <c r="E1775" s="138">
        <f>VLOOKUP(Purchase[[#This Row],[Supplier ID]],Supplier[#All],3,0)</f>
        <v>9689542489</v>
      </c>
      <c r="F1775" s="138" t="str">
        <f>VLOOKUP(Purchase[[#This Row],[Supplier ID]],Supplier[#All],4,0)</f>
        <v>Indore</v>
      </c>
      <c r="G1775" s="138" t="str">
        <f>VLOOKUP(Purchase[[#This Row],[Supplier ID]],Supplier[#All],5,0)</f>
        <v>MP</v>
      </c>
      <c r="H1775" s="138" t="str">
        <f>VLOOKUP(Purchase[[#This Row],[Supplier ID]],Supplier[#All],6,0)</f>
        <v>GST2154521T043</v>
      </c>
      <c r="I1775" s="138" t="s">
        <v>410</v>
      </c>
      <c r="J1775" s="139">
        <v>29</v>
      </c>
      <c r="K1775" s="143">
        <f>VLOOKUP(Purchase[[#This Row],[Product ID]],Product[#All],6,0)</f>
        <v>9953</v>
      </c>
      <c r="L1775" s="143">
        <f>Purchase[[#This Row],[Purchase Rate]]*Purchase[[#This Row],[Qty]]</f>
        <v>288637</v>
      </c>
      <c r="M1775" s="140">
        <v>0</v>
      </c>
      <c r="N1775" s="143">
        <v>0</v>
      </c>
      <c r="O1775" s="140">
        <v>0.18</v>
      </c>
      <c r="P1775" s="145">
        <f>(Purchase[[#This Row],[Gross Amount]]-Purchase[[#This Row],[Disct %]])*Purchase[[#This Row],[GST %]]</f>
        <v>51954.659999999996</v>
      </c>
      <c r="Q1775" s="145">
        <f>Purchase[[#This Row],[Gross Amount]]-Purchase[[#This Row],[Disct Amnt]]+Purchase[[#This Row],[GST Amount]]</f>
        <v>340591.66</v>
      </c>
      <c r="R1775" s="138" t="s">
        <v>1019</v>
      </c>
      <c r="S1775" s="41">
        <f>IF(Purchase[[#This Row],[Status]]="Cancelled",0,Purchase[[#This Row],[Qty]])</f>
        <v>29</v>
      </c>
      <c r="T1775" s="146">
        <f>IF(Purchase[[#This Row],[Status]]="Cancelled",0,Purchase[[#This Row],[Total Amount]])</f>
        <v>340591.66</v>
      </c>
      <c r="U1775" s="146">
        <f>SUM(Purchase[Net Amount])</f>
        <v>814985438.68000126</v>
      </c>
    </row>
    <row r="1776" spans="1:21" ht="19.5" thickBot="1" x14ac:dyDescent="0.3">
      <c r="A1776" s="136" t="s">
        <v>2831</v>
      </c>
      <c r="B1776" s="137">
        <v>45745</v>
      </c>
      <c r="C1776" s="138" t="s">
        <v>591</v>
      </c>
      <c r="D1776" s="138" t="str">
        <f>VLOOKUP(Purchase[[#This Row],[Supplier ID]],Supplier[#All],2,0)</f>
        <v>Shree Computers</v>
      </c>
      <c r="E1776" s="138">
        <f>VLOOKUP(Purchase[[#This Row],[Supplier ID]],Supplier[#All],3,0)</f>
        <v>9689542475</v>
      </c>
      <c r="F1776" s="138" t="str">
        <f>VLOOKUP(Purchase[[#This Row],[Supplier ID]],Supplier[#All],4,0)</f>
        <v>Indore</v>
      </c>
      <c r="G1776" s="138" t="str">
        <f>VLOOKUP(Purchase[[#This Row],[Supplier ID]],Supplier[#All],5,0)</f>
        <v>MP</v>
      </c>
      <c r="H1776" s="138" t="str">
        <f>VLOOKUP(Purchase[[#This Row],[Supplier ID]],Supplier[#All],6,0)</f>
        <v>GST2154521T037</v>
      </c>
      <c r="I1776" s="138" t="s">
        <v>346</v>
      </c>
      <c r="J1776" s="139">
        <v>22</v>
      </c>
      <c r="K1776" s="143">
        <f>VLOOKUP(Purchase[[#This Row],[Product ID]],Product[#All],6,0)</f>
        <v>77190</v>
      </c>
      <c r="L1776" s="143">
        <f>Purchase[[#This Row],[Purchase Rate]]*Purchase[[#This Row],[Qty]]</f>
        <v>1698180</v>
      </c>
      <c r="M1776" s="140">
        <v>0</v>
      </c>
      <c r="N1776" s="143">
        <v>0</v>
      </c>
      <c r="O1776" s="140">
        <v>0.18</v>
      </c>
      <c r="P1776" s="145">
        <f>(Purchase[[#This Row],[Gross Amount]]-Purchase[[#This Row],[Disct %]])*Purchase[[#This Row],[GST %]]</f>
        <v>305672.39999999997</v>
      </c>
      <c r="Q1776" s="145">
        <f>Purchase[[#This Row],[Gross Amount]]-Purchase[[#This Row],[Disct Amnt]]+Purchase[[#This Row],[GST Amount]]</f>
        <v>2003852.4</v>
      </c>
      <c r="R1776" s="138" t="s">
        <v>1019</v>
      </c>
      <c r="S1776" s="41">
        <f>IF(Purchase[[#This Row],[Status]]="Cancelled",0,Purchase[[#This Row],[Qty]])</f>
        <v>22</v>
      </c>
      <c r="T1776" s="146">
        <f>IF(Purchase[[#This Row],[Status]]="Cancelled",0,Purchase[[#This Row],[Total Amount]])</f>
        <v>2003852.4</v>
      </c>
      <c r="U1776" s="146">
        <f>SUM(Purchase[Net Amount])</f>
        <v>814985438.68000126</v>
      </c>
    </row>
    <row r="1777" spans="1:21" ht="19.5" thickBot="1" x14ac:dyDescent="0.3">
      <c r="A1777" s="136" t="s">
        <v>2832</v>
      </c>
      <c r="B1777" s="137">
        <v>45745</v>
      </c>
      <c r="C1777" s="138" t="s">
        <v>598</v>
      </c>
      <c r="D1777" s="138" t="str">
        <f>VLOOKUP(Purchase[[#This Row],[Supplier ID]],Supplier[#All],2,0)</f>
        <v>National Distributors</v>
      </c>
      <c r="E1777" s="138">
        <f>VLOOKUP(Purchase[[#This Row],[Supplier ID]],Supplier[#All],3,0)</f>
        <v>9689542489</v>
      </c>
      <c r="F1777" s="138" t="str">
        <f>VLOOKUP(Purchase[[#This Row],[Supplier ID]],Supplier[#All],4,0)</f>
        <v>Indore</v>
      </c>
      <c r="G1777" s="138" t="str">
        <f>VLOOKUP(Purchase[[#This Row],[Supplier ID]],Supplier[#All],5,0)</f>
        <v>MP</v>
      </c>
      <c r="H1777" s="138" t="str">
        <f>VLOOKUP(Purchase[[#This Row],[Supplier ID]],Supplier[#All],6,0)</f>
        <v>GST2154521T043</v>
      </c>
      <c r="I1777" s="138" t="s">
        <v>483</v>
      </c>
      <c r="J1777" s="139">
        <v>13</v>
      </c>
      <c r="K1777" s="143">
        <f>VLOOKUP(Purchase[[#This Row],[Product ID]],Product[#All],6,0)</f>
        <v>7184</v>
      </c>
      <c r="L1777" s="143">
        <f>Purchase[[#This Row],[Purchase Rate]]*Purchase[[#This Row],[Qty]]</f>
        <v>93392</v>
      </c>
      <c r="M1777" s="140">
        <v>0</v>
      </c>
      <c r="N1777" s="143">
        <v>0</v>
      </c>
      <c r="O1777" s="140">
        <v>0.18</v>
      </c>
      <c r="P1777" s="145">
        <f>(Purchase[[#This Row],[Gross Amount]]-Purchase[[#This Row],[Disct %]])*Purchase[[#This Row],[GST %]]</f>
        <v>16810.559999999998</v>
      </c>
      <c r="Q1777" s="145">
        <f>Purchase[[#This Row],[Gross Amount]]-Purchase[[#This Row],[Disct Amnt]]+Purchase[[#This Row],[GST Amount]]</f>
        <v>110202.56</v>
      </c>
      <c r="R1777" s="138" t="s">
        <v>1019</v>
      </c>
      <c r="S1777" s="41">
        <f>IF(Purchase[[#This Row],[Status]]="Cancelled",0,Purchase[[#This Row],[Qty]])</f>
        <v>13</v>
      </c>
      <c r="T1777" s="146">
        <f>IF(Purchase[[#This Row],[Status]]="Cancelled",0,Purchase[[#This Row],[Total Amount]])</f>
        <v>110202.56</v>
      </c>
      <c r="U1777" s="146">
        <f>SUM(Purchase[Net Amount])</f>
        <v>814985438.68000126</v>
      </c>
    </row>
    <row r="1778" spans="1:21" ht="19.5" thickBot="1" x14ac:dyDescent="0.3">
      <c r="A1778" s="136" t="s">
        <v>2833</v>
      </c>
      <c r="B1778" s="137">
        <v>45745</v>
      </c>
      <c r="C1778" s="138" t="s">
        <v>615</v>
      </c>
      <c r="D1778" s="138" t="str">
        <f>VLOOKUP(Purchase[[#This Row],[Supplier ID]],Supplier[#All],2,0)</f>
        <v>NATIONAL ELECTRONICS</v>
      </c>
      <c r="E1778" s="138">
        <f>VLOOKUP(Purchase[[#This Row],[Supplier ID]],Supplier[#All],3,0)</f>
        <v>9689542498</v>
      </c>
      <c r="F1778" s="138" t="str">
        <f>VLOOKUP(Purchase[[#This Row],[Supplier ID]],Supplier[#All],4,0)</f>
        <v>Kanpur</v>
      </c>
      <c r="G1778" s="138" t="str">
        <f>VLOOKUP(Purchase[[#This Row],[Supplier ID]],Supplier[#All],5,0)</f>
        <v>UP</v>
      </c>
      <c r="H1778" s="138" t="str">
        <f>VLOOKUP(Purchase[[#This Row],[Supplier ID]],Supplier[#All],6,0)</f>
        <v>GST2154521T060</v>
      </c>
      <c r="I1778" s="138" t="s">
        <v>491</v>
      </c>
      <c r="J1778" s="139">
        <v>23</v>
      </c>
      <c r="K1778" s="143">
        <f>VLOOKUP(Purchase[[#This Row],[Product ID]],Product[#All],6,0)</f>
        <v>1938</v>
      </c>
      <c r="L1778" s="143">
        <f>Purchase[[#This Row],[Purchase Rate]]*Purchase[[#This Row],[Qty]]</f>
        <v>44574</v>
      </c>
      <c r="M1778" s="140">
        <v>0</v>
      </c>
      <c r="N1778" s="143">
        <v>0</v>
      </c>
      <c r="O1778" s="140">
        <v>0.18</v>
      </c>
      <c r="P1778" s="145">
        <f>(Purchase[[#This Row],[Gross Amount]]-Purchase[[#This Row],[Disct %]])*Purchase[[#This Row],[GST %]]</f>
        <v>8023.32</v>
      </c>
      <c r="Q1778" s="145">
        <f>Purchase[[#This Row],[Gross Amount]]-Purchase[[#This Row],[Disct Amnt]]+Purchase[[#This Row],[GST Amount]]</f>
        <v>52597.32</v>
      </c>
      <c r="R1778" s="138" t="s">
        <v>1019</v>
      </c>
      <c r="S1778" s="41">
        <f>IF(Purchase[[#This Row],[Status]]="Cancelled",0,Purchase[[#This Row],[Qty]])</f>
        <v>23</v>
      </c>
      <c r="T1778" s="146">
        <f>IF(Purchase[[#This Row],[Status]]="Cancelled",0,Purchase[[#This Row],[Total Amount]])</f>
        <v>52597.32</v>
      </c>
      <c r="U1778" s="146">
        <f>SUM(Purchase[Net Amount])</f>
        <v>814985438.68000126</v>
      </c>
    </row>
    <row r="1779" spans="1:21" ht="19.5" thickBot="1" x14ac:dyDescent="0.3">
      <c r="A1779" s="136" t="s">
        <v>2834</v>
      </c>
      <c r="B1779" s="137">
        <v>45745</v>
      </c>
      <c r="C1779" s="138" t="s">
        <v>594</v>
      </c>
      <c r="D1779" s="138" t="str">
        <f>VLOOKUP(Purchase[[#This Row],[Supplier ID]],Supplier[#All],2,0)</f>
        <v>Shree Suppliers</v>
      </c>
      <c r="E1779" s="138">
        <f>VLOOKUP(Purchase[[#This Row],[Supplier ID]],Supplier[#All],3,0)</f>
        <v>9689542477</v>
      </c>
      <c r="F1779" s="138" t="str">
        <f>VLOOKUP(Purchase[[#This Row],[Supplier ID]],Supplier[#All],4,0)</f>
        <v>Indore</v>
      </c>
      <c r="G1779" s="138" t="str">
        <f>VLOOKUP(Purchase[[#This Row],[Supplier ID]],Supplier[#All],5,0)</f>
        <v>MP</v>
      </c>
      <c r="H1779" s="138" t="str">
        <f>VLOOKUP(Purchase[[#This Row],[Supplier ID]],Supplier[#All],6,0)</f>
        <v>GST2154521T039</v>
      </c>
      <c r="I1779" s="138" t="s">
        <v>487</v>
      </c>
      <c r="J1779" s="139">
        <v>3</v>
      </c>
      <c r="K1779" s="143">
        <f>VLOOKUP(Purchase[[#This Row],[Product ID]],Product[#All],6,0)</f>
        <v>558</v>
      </c>
      <c r="L1779" s="143">
        <f>Purchase[[#This Row],[Purchase Rate]]*Purchase[[#This Row],[Qty]]</f>
        <v>1674</v>
      </c>
      <c r="M1779" s="140">
        <v>0</v>
      </c>
      <c r="N1779" s="143">
        <v>0</v>
      </c>
      <c r="O1779" s="140">
        <v>0.18</v>
      </c>
      <c r="P1779" s="145">
        <f>(Purchase[[#This Row],[Gross Amount]]-Purchase[[#This Row],[Disct %]])*Purchase[[#This Row],[GST %]]</f>
        <v>301.32</v>
      </c>
      <c r="Q1779" s="145">
        <f>Purchase[[#This Row],[Gross Amount]]-Purchase[[#This Row],[Disct Amnt]]+Purchase[[#This Row],[GST Amount]]</f>
        <v>1975.32</v>
      </c>
      <c r="R1779" s="138" t="s">
        <v>1019</v>
      </c>
      <c r="S1779" s="41">
        <f>IF(Purchase[[#This Row],[Status]]="Cancelled",0,Purchase[[#This Row],[Qty]])</f>
        <v>3</v>
      </c>
      <c r="T1779" s="146">
        <f>IF(Purchase[[#This Row],[Status]]="Cancelled",0,Purchase[[#This Row],[Total Amount]])</f>
        <v>1975.32</v>
      </c>
      <c r="U1779" s="146">
        <f>SUM(Purchase[Net Amount])</f>
        <v>814985438.68000126</v>
      </c>
    </row>
    <row r="1780" spans="1:21" ht="19.5" thickBot="1" x14ac:dyDescent="0.3">
      <c r="A1780" s="136" t="s">
        <v>2835</v>
      </c>
      <c r="B1780" s="137">
        <v>45745</v>
      </c>
      <c r="C1780" s="138" t="s">
        <v>587</v>
      </c>
      <c r="D1780" s="138" t="str">
        <f>VLOOKUP(Purchase[[#This Row],[Supplier ID]],Supplier[#All],2,0)</f>
        <v>maa distributors</v>
      </c>
      <c r="E1780" s="138">
        <f>VLOOKUP(Purchase[[#This Row],[Supplier ID]],Supplier[#All],3,0)</f>
        <v>9689542479</v>
      </c>
      <c r="F1780" s="138" t="str">
        <f>VLOOKUP(Purchase[[#This Row],[Supplier ID]],Supplier[#All],4,0)</f>
        <v>Indore</v>
      </c>
      <c r="G1780" s="138" t="str">
        <f>VLOOKUP(Purchase[[#This Row],[Supplier ID]],Supplier[#All],5,0)</f>
        <v>MP</v>
      </c>
      <c r="H1780" s="138" t="str">
        <f>VLOOKUP(Purchase[[#This Row],[Supplier ID]],Supplier[#All],6,0)</f>
        <v>GST2154521T033</v>
      </c>
      <c r="I1780" s="138" t="s">
        <v>33</v>
      </c>
      <c r="J1780" s="139">
        <v>10</v>
      </c>
      <c r="K1780" s="143">
        <f>VLOOKUP(Purchase[[#This Row],[Product ID]],Product[#All],6,0)</f>
        <v>8458</v>
      </c>
      <c r="L1780" s="143">
        <f>Purchase[[#This Row],[Purchase Rate]]*Purchase[[#This Row],[Qty]]</f>
        <v>84580</v>
      </c>
      <c r="M1780" s="140">
        <v>0</v>
      </c>
      <c r="N1780" s="143">
        <v>0</v>
      </c>
      <c r="O1780" s="140">
        <v>0.18</v>
      </c>
      <c r="P1780" s="145">
        <f>(Purchase[[#This Row],[Gross Amount]]-Purchase[[#This Row],[Disct %]])*Purchase[[#This Row],[GST %]]</f>
        <v>15224.4</v>
      </c>
      <c r="Q1780" s="145">
        <f>Purchase[[#This Row],[Gross Amount]]-Purchase[[#This Row],[Disct Amnt]]+Purchase[[#This Row],[GST Amount]]</f>
        <v>99804.4</v>
      </c>
      <c r="R1780" s="138" t="s">
        <v>1019</v>
      </c>
      <c r="S1780" s="41">
        <f>IF(Purchase[[#This Row],[Status]]="Cancelled",0,Purchase[[#This Row],[Qty]])</f>
        <v>10</v>
      </c>
      <c r="T1780" s="146">
        <f>IF(Purchase[[#This Row],[Status]]="Cancelled",0,Purchase[[#This Row],[Total Amount]])</f>
        <v>99804.4</v>
      </c>
      <c r="U1780" s="146">
        <f>SUM(Purchase[Net Amount])</f>
        <v>814985438.68000126</v>
      </c>
    </row>
    <row r="1781" spans="1:21" ht="19.5" thickBot="1" x14ac:dyDescent="0.3">
      <c r="A1781" s="136" t="s">
        <v>2836</v>
      </c>
      <c r="B1781" s="137">
        <v>45745</v>
      </c>
      <c r="C1781" s="138" t="s">
        <v>596</v>
      </c>
      <c r="D1781" s="138" t="str">
        <f>VLOOKUP(Purchase[[#This Row],[Supplier ID]],Supplier[#All],2,0)</f>
        <v>star traders</v>
      </c>
      <c r="E1781" s="138">
        <f>VLOOKUP(Purchase[[#This Row],[Supplier ID]],Supplier[#All],3,0)</f>
        <v>9689542479</v>
      </c>
      <c r="F1781" s="138" t="str">
        <f>VLOOKUP(Purchase[[#This Row],[Supplier ID]],Supplier[#All],4,0)</f>
        <v>Korba</v>
      </c>
      <c r="G1781" s="138" t="str">
        <f>VLOOKUP(Purchase[[#This Row],[Supplier ID]],Supplier[#All],5,0)</f>
        <v>CG</v>
      </c>
      <c r="H1781" s="138" t="str">
        <f>VLOOKUP(Purchase[[#This Row],[Supplier ID]],Supplier[#All],6,0)</f>
        <v>GST2154521T041</v>
      </c>
      <c r="I1781" s="138" t="s">
        <v>309</v>
      </c>
      <c r="J1781" s="139">
        <v>31</v>
      </c>
      <c r="K1781" s="143">
        <f>VLOOKUP(Purchase[[#This Row],[Product ID]],Product[#All],6,0)</f>
        <v>1051</v>
      </c>
      <c r="L1781" s="143">
        <f>Purchase[[#This Row],[Purchase Rate]]*Purchase[[#This Row],[Qty]]</f>
        <v>32581</v>
      </c>
      <c r="M1781" s="140">
        <v>0</v>
      </c>
      <c r="N1781" s="143">
        <v>0</v>
      </c>
      <c r="O1781" s="140">
        <v>0.18</v>
      </c>
      <c r="P1781" s="145">
        <f>(Purchase[[#This Row],[Gross Amount]]-Purchase[[#This Row],[Disct %]])*Purchase[[#This Row],[GST %]]</f>
        <v>5864.58</v>
      </c>
      <c r="Q1781" s="145">
        <f>Purchase[[#This Row],[Gross Amount]]-Purchase[[#This Row],[Disct Amnt]]+Purchase[[#This Row],[GST Amount]]</f>
        <v>38445.58</v>
      </c>
      <c r="R1781" s="138" t="s">
        <v>1019</v>
      </c>
      <c r="S1781" s="41">
        <f>IF(Purchase[[#This Row],[Status]]="Cancelled",0,Purchase[[#This Row],[Qty]])</f>
        <v>31</v>
      </c>
      <c r="T1781" s="146">
        <f>IF(Purchase[[#This Row],[Status]]="Cancelled",0,Purchase[[#This Row],[Total Amount]])</f>
        <v>38445.58</v>
      </c>
      <c r="U1781" s="146">
        <f>SUM(Purchase[Net Amount])</f>
        <v>814985438.68000126</v>
      </c>
    </row>
    <row r="1782" spans="1:21" ht="19.5" thickBot="1" x14ac:dyDescent="0.3">
      <c r="A1782" s="136" t="s">
        <v>2837</v>
      </c>
      <c r="B1782" s="137">
        <v>45745</v>
      </c>
      <c r="C1782" s="138" t="s">
        <v>598</v>
      </c>
      <c r="D1782" s="138" t="str">
        <f>VLOOKUP(Purchase[[#This Row],[Supplier ID]],Supplier[#All],2,0)</f>
        <v>National Distributors</v>
      </c>
      <c r="E1782" s="138">
        <f>VLOOKUP(Purchase[[#This Row],[Supplier ID]],Supplier[#All],3,0)</f>
        <v>9689542489</v>
      </c>
      <c r="F1782" s="138" t="str">
        <f>VLOOKUP(Purchase[[#This Row],[Supplier ID]],Supplier[#All],4,0)</f>
        <v>Indore</v>
      </c>
      <c r="G1782" s="138" t="str">
        <f>VLOOKUP(Purchase[[#This Row],[Supplier ID]],Supplier[#All],5,0)</f>
        <v>MP</v>
      </c>
      <c r="H1782" s="138" t="str">
        <f>VLOOKUP(Purchase[[#This Row],[Supplier ID]],Supplier[#All],6,0)</f>
        <v>GST2154521T043</v>
      </c>
      <c r="I1782" s="138" t="s">
        <v>86</v>
      </c>
      <c r="J1782" s="139">
        <v>6</v>
      </c>
      <c r="K1782" s="143">
        <f>VLOOKUP(Purchase[[#This Row],[Product ID]],Product[#All],6,0)</f>
        <v>11919</v>
      </c>
      <c r="L1782" s="143">
        <f>Purchase[[#This Row],[Purchase Rate]]*Purchase[[#This Row],[Qty]]</f>
        <v>71514</v>
      </c>
      <c r="M1782" s="140">
        <v>0</v>
      </c>
      <c r="N1782" s="143">
        <v>0</v>
      </c>
      <c r="O1782" s="140">
        <v>0.18</v>
      </c>
      <c r="P1782" s="145">
        <f>(Purchase[[#This Row],[Gross Amount]]-Purchase[[#This Row],[Disct %]])*Purchase[[#This Row],[GST %]]</f>
        <v>12872.519999999999</v>
      </c>
      <c r="Q1782" s="145">
        <f>Purchase[[#This Row],[Gross Amount]]-Purchase[[#This Row],[Disct Amnt]]+Purchase[[#This Row],[GST Amount]]</f>
        <v>84386.52</v>
      </c>
      <c r="R1782" s="138" t="s">
        <v>1040</v>
      </c>
      <c r="S1782" s="41">
        <f>IF(Purchase[[#This Row],[Status]]="Cancelled",0,Purchase[[#This Row],[Qty]])</f>
        <v>0</v>
      </c>
      <c r="T1782" s="146">
        <f>IF(Purchase[[#This Row],[Status]]="Cancelled",0,Purchase[[#This Row],[Total Amount]])</f>
        <v>0</v>
      </c>
      <c r="U1782" s="146">
        <f>SUM(Purchase[Net Amount])</f>
        <v>814985438.68000126</v>
      </c>
    </row>
    <row r="1783" spans="1:21" ht="19.5" thickBot="1" x14ac:dyDescent="0.3">
      <c r="A1783" s="136" t="s">
        <v>2838</v>
      </c>
      <c r="B1783" s="137">
        <v>45745</v>
      </c>
      <c r="C1783" s="138" t="s">
        <v>608</v>
      </c>
      <c r="D1783" s="138" t="str">
        <f>VLOOKUP(Purchase[[#This Row],[Supplier ID]],Supplier[#All],2,0)</f>
        <v>Global Suppliers</v>
      </c>
      <c r="E1783" s="138">
        <f>VLOOKUP(Purchase[[#This Row],[Supplier ID]],Supplier[#All],3,0)</f>
        <v>9689542499</v>
      </c>
      <c r="F1783" s="138" t="str">
        <f>VLOOKUP(Purchase[[#This Row],[Supplier ID]],Supplier[#All],4,0)</f>
        <v>Korba</v>
      </c>
      <c r="G1783" s="138" t="str">
        <f>VLOOKUP(Purchase[[#This Row],[Supplier ID]],Supplier[#All],5,0)</f>
        <v>CG</v>
      </c>
      <c r="H1783" s="138" t="str">
        <f>VLOOKUP(Purchase[[#This Row],[Supplier ID]],Supplier[#All],6,0)</f>
        <v>GST2154521T053</v>
      </c>
      <c r="I1783" s="138" t="s">
        <v>92</v>
      </c>
      <c r="J1783" s="139">
        <v>3</v>
      </c>
      <c r="K1783" s="143">
        <f>VLOOKUP(Purchase[[#This Row],[Product ID]],Product[#All],6,0)</f>
        <v>5110</v>
      </c>
      <c r="L1783" s="143">
        <f>Purchase[[#This Row],[Purchase Rate]]*Purchase[[#This Row],[Qty]]</f>
        <v>15330</v>
      </c>
      <c r="M1783" s="140">
        <v>0</v>
      </c>
      <c r="N1783" s="143">
        <v>0</v>
      </c>
      <c r="O1783" s="140">
        <v>0.18</v>
      </c>
      <c r="P1783" s="145">
        <f>(Purchase[[#This Row],[Gross Amount]]-Purchase[[#This Row],[Disct %]])*Purchase[[#This Row],[GST %]]</f>
        <v>2759.4</v>
      </c>
      <c r="Q1783" s="145">
        <f>Purchase[[#This Row],[Gross Amount]]-Purchase[[#This Row],[Disct Amnt]]+Purchase[[#This Row],[GST Amount]]</f>
        <v>18089.400000000001</v>
      </c>
      <c r="R1783" s="138" t="s">
        <v>1019</v>
      </c>
      <c r="S1783" s="41">
        <f>IF(Purchase[[#This Row],[Status]]="Cancelled",0,Purchase[[#This Row],[Qty]])</f>
        <v>3</v>
      </c>
      <c r="T1783" s="146">
        <f>IF(Purchase[[#This Row],[Status]]="Cancelled",0,Purchase[[#This Row],[Total Amount]])</f>
        <v>18089.400000000001</v>
      </c>
      <c r="U1783" s="146">
        <f>SUM(Purchase[Net Amount])</f>
        <v>814985438.68000126</v>
      </c>
    </row>
    <row r="1784" spans="1:21" ht="19.5" thickBot="1" x14ac:dyDescent="0.3">
      <c r="A1784" s="136" t="s">
        <v>2839</v>
      </c>
      <c r="B1784" s="137">
        <v>45745</v>
      </c>
      <c r="C1784" s="138" t="s">
        <v>579</v>
      </c>
      <c r="D1784" s="138" t="str">
        <f>VLOOKUP(Purchase[[#This Row],[Supplier ID]],Supplier[#All],2,0)</f>
        <v>Tech Traders</v>
      </c>
      <c r="E1784" s="138">
        <f>VLOOKUP(Purchase[[#This Row],[Supplier ID]],Supplier[#All],3,0)</f>
        <v>9689542463</v>
      </c>
      <c r="F1784" s="138" t="str">
        <f>VLOOKUP(Purchase[[#This Row],[Supplier ID]],Supplier[#All],4,0)</f>
        <v>Kanpur</v>
      </c>
      <c r="G1784" s="138" t="str">
        <f>VLOOKUP(Purchase[[#This Row],[Supplier ID]],Supplier[#All],5,0)</f>
        <v>UP</v>
      </c>
      <c r="H1784" s="138" t="str">
        <f>VLOOKUP(Purchase[[#This Row],[Supplier ID]],Supplier[#All],6,0)</f>
        <v>GST2154521T025</v>
      </c>
      <c r="I1784" s="138" t="s">
        <v>115</v>
      </c>
      <c r="J1784" s="139">
        <v>29</v>
      </c>
      <c r="K1784" s="143">
        <f>VLOOKUP(Purchase[[#This Row],[Product ID]],Product[#All],6,0)</f>
        <v>1444</v>
      </c>
      <c r="L1784" s="143">
        <f>Purchase[[#This Row],[Purchase Rate]]*Purchase[[#This Row],[Qty]]</f>
        <v>41876</v>
      </c>
      <c r="M1784" s="140">
        <v>0</v>
      </c>
      <c r="N1784" s="143">
        <v>0</v>
      </c>
      <c r="O1784" s="140">
        <v>0.18</v>
      </c>
      <c r="P1784" s="145">
        <f>(Purchase[[#This Row],[Gross Amount]]-Purchase[[#This Row],[Disct %]])*Purchase[[#This Row],[GST %]]</f>
        <v>7537.6799999999994</v>
      </c>
      <c r="Q1784" s="145">
        <f>Purchase[[#This Row],[Gross Amount]]-Purchase[[#This Row],[Disct Amnt]]+Purchase[[#This Row],[GST Amount]]</f>
        <v>49413.68</v>
      </c>
      <c r="R1784" s="138" t="s">
        <v>1019</v>
      </c>
      <c r="S1784" s="41">
        <f>IF(Purchase[[#This Row],[Status]]="Cancelled",0,Purchase[[#This Row],[Qty]])</f>
        <v>29</v>
      </c>
      <c r="T1784" s="146">
        <f>IF(Purchase[[#This Row],[Status]]="Cancelled",0,Purchase[[#This Row],[Total Amount]])</f>
        <v>49413.68</v>
      </c>
      <c r="U1784" s="146">
        <f>SUM(Purchase[Net Amount])</f>
        <v>814985438.68000126</v>
      </c>
    </row>
    <row r="1785" spans="1:21" ht="19.5" thickBot="1" x14ac:dyDescent="0.3">
      <c r="A1785" s="136" t="s">
        <v>2840</v>
      </c>
      <c r="B1785" s="137">
        <v>45745</v>
      </c>
      <c r="C1785" s="138" t="s">
        <v>571</v>
      </c>
      <c r="D1785" s="138" t="str">
        <f>VLOOKUP(Purchase[[#This Row],[Supplier ID]],Supplier[#All],2,0)</f>
        <v>Tech Suppliers</v>
      </c>
      <c r="E1785" s="138">
        <f>VLOOKUP(Purchase[[#This Row],[Supplier ID]],Supplier[#All],3,0)</f>
        <v>9689542457</v>
      </c>
      <c r="F1785" s="138" t="str">
        <f>VLOOKUP(Purchase[[#This Row],[Supplier ID]],Supplier[#All],4,0)</f>
        <v>Korba</v>
      </c>
      <c r="G1785" s="138" t="str">
        <f>VLOOKUP(Purchase[[#This Row],[Supplier ID]],Supplier[#All],5,0)</f>
        <v>CG</v>
      </c>
      <c r="H1785" s="138" t="str">
        <f>VLOOKUP(Purchase[[#This Row],[Supplier ID]],Supplier[#All],6,0)</f>
        <v>GST2154521T019</v>
      </c>
      <c r="I1785" s="138" t="s">
        <v>385</v>
      </c>
      <c r="J1785" s="139">
        <v>28</v>
      </c>
      <c r="K1785" s="143">
        <f>VLOOKUP(Purchase[[#This Row],[Product ID]],Product[#All],6,0)</f>
        <v>1060</v>
      </c>
      <c r="L1785" s="143">
        <f>Purchase[[#This Row],[Purchase Rate]]*Purchase[[#This Row],[Qty]]</f>
        <v>29680</v>
      </c>
      <c r="M1785" s="140">
        <v>0</v>
      </c>
      <c r="N1785" s="143">
        <v>0</v>
      </c>
      <c r="O1785" s="140">
        <v>0.18</v>
      </c>
      <c r="P1785" s="145">
        <f>(Purchase[[#This Row],[Gross Amount]]-Purchase[[#This Row],[Disct %]])*Purchase[[#This Row],[GST %]]</f>
        <v>5342.4</v>
      </c>
      <c r="Q1785" s="145">
        <f>Purchase[[#This Row],[Gross Amount]]-Purchase[[#This Row],[Disct Amnt]]+Purchase[[#This Row],[GST Amount]]</f>
        <v>35022.400000000001</v>
      </c>
      <c r="R1785" s="138" t="s">
        <v>1019</v>
      </c>
      <c r="S1785" s="41">
        <f>IF(Purchase[[#This Row],[Status]]="Cancelled",0,Purchase[[#This Row],[Qty]])</f>
        <v>28</v>
      </c>
      <c r="T1785" s="146">
        <f>IF(Purchase[[#This Row],[Status]]="Cancelled",0,Purchase[[#This Row],[Total Amount]])</f>
        <v>35022.400000000001</v>
      </c>
      <c r="U1785" s="146">
        <f>SUM(Purchase[Net Amount])</f>
        <v>814985438.68000126</v>
      </c>
    </row>
    <row r="1786" spans="1:21" ht="19.5" thickBot="1" x14ac:dyDescent="0.3">
      <c r="A1786" s="136" t="s">
        <v>2841</v>
      </c>
      <c r="B1786" s="137">
        <v>45745</v>
      </c>
      <c r="C1786" s="138" t="s">
        <v>603</v>
      </c>
      <c r="D1786" s="138" t="str">
        <f>VLOOKUP(Purchase[[#This Row],[Supplier ID]],Supplier[#All],2,0)</f>
        <v>Tech Computers</v>
      </c>
      <c r="E1786" s="138">
        <f>VLOOKUP(Purchase[[#This Row],[Supplier ID]],Supplier[#All],3,0)</f>
        <v>9689542486</v>
      </c>
      <c r="F1786" s="138" t="str">
        <f>VLOOKUP(Purchase[[#This Row],[Supplier ID]],Supplier[#All],4,0)</f>
        <v>Indore</v>
      </c>
      <c r="G1786" s="138" t="str">
        <f>VLOOKUP(Purchase[[#This Row],[Supplier ID]],Supplier[#All],5,0)</f>
        <v>MP</v>
      </c>
      <c r="H1786" s="138" t="str">
        <f>VLOOKUP(Purchase[[#This Row],[Supplier ID]],Supplier[#All],6,0)</f>
        <v>GST2154521T048</v>
      </c>
      <c r="I1786" s="138" t="s">
        <v>155</v>
      </c>
      <c r="J1786" s="139">
        <v>40</v>
      </c>
      <c r="K1786" s="143">
        <f>VLOOKUP(Purchase[[#This Row],[Product ID]],Product[#All],6,0)</f>
        <v>2996</v>
      </c>
      <c r="L1786" s="143">
        <f>Purchase[[#This Row],[Purchase Rate]]*Purchase[[#This Row],[Qty]]</f>
        <v>119840</v>
      </c>
      <c r="M1786" s="140">
        <v>0</v>
      </c>
      <c r="N1786" s="143">
        <v>0</v>
      </c>
      <c r="O1786" s="140">
        <v>0.18</v>
      </c>
      <c r="P1786" s="145">
        <f>(Purchase[[#This Row],[Gross Amount]]-Purchase[[#This Row],[Disct %]])*Purchase[[#This Row],[GST %]]</f>
        <v>21571.200000000001</v>
      </c>
      <c r="Q1786" s="145">
        <f>Purchase[[#This Row],[Gross Amount]]-Purchase[[#This Row],[Disct Amnt]]+Purchase[[#This Row],[GST Amount]]</f>
        <v>141411.20000000001</v>
      </c>
      <c r="R1786" s="138" t="s">
        <v>1019</v>
      </c>
      <c r="S1786" s="41">
        <f>IF(Purchase[[#This Row],[Status]]="Cancelled",0,Purchase[[#This Row],[Qty]])</f>
        <v>40</v>
      </c>
      <c r="T1786" s="146">
        <f>IF(Purchase[[#This Row],[Status]]="Cancelled",0,Purchase[[#This Row],[Total Amount]])</f>
        <v>141411.20000000001</v>
      </c>
      <c r="U1786" s="146">
        <f>SUM(Purchase[Net Amount])</f>
        <v>814985438.68000126</v>
      </c>
    </row>
    <row r="1787" spans="1:21" ht="19.5" thickBot="1" x14ac:dyDescent="0.3">
      <c r="A1787" s="136" t="s">
        <v>2842</v>
      </c>
      <c r="B1787" s="137">
        <v>45745</v>
      </c>
      <c r="C1787" s="138" t="s">
        <v>598</v>
      </c>
      <c r="D1787" s="138" t="str">
        <f>VLOOKUP(Purchase[[#This Row],[Supplier ID]],Supplier[#All],2,0)</f>
        <v>National Distributors</v>
      </c>
      <c r="E1787" s="138">
        <f>VLOOKUP(Purchase[[#This Row],[Supplier ID]],Supplier[#All],3,0)</f>
        <v>9689542489</v>
      </c>
      <c r="F1787" s="138" t="str">
        <f>VLOOKUP(Purchase[[#This Row],[Supplier ID]],Supplier[#All],4,0)</f>
        <v>Indore</v>
      </c>
      <c r="G1787" s="138" t="str">
        <f>VLOOKUP(Purchase[[#This Row],[Supplier ID]],Supplier[#All],5,0)</f>
        <v>MP</v>
      </c>
      <c r="H1787" s="138" t="str">
        <f>VLOOKUP(Purchase[[#This Row],[Supplier ID]],Supplier[#All],6,0)</f>
        <v>GST2154521T043</v>
      </c>
      <c r="I1787" s="138" t="s">
        <v>386</v>
      </c>
      <c r="J1787" s="139">
        <v>26</v>
      </c>
      <c r="K1787" s="143">
        <f>VLOOKUP(Purchase[[#This Row],[Product ID]],Product[#All],6,0)</f>
        <v>534</v>
      </c>
      <c r="L1787" s="143">
        <f>Purchase[[#This Row],[Purchase Rate]]*Purchase[[#This Row],[Qty]]</f>
        <v>13884</v>
      </c>
      <c r="M1787" s="140">
        <v>0</v>
      </c>
      <c r="N1787" s="143">
        <v>0</v>
      </c>
      <c r="O1787" s="140">
        <v>0.18</v>
      </c>
      <c r="P1787" s="145">
        <f>(Purchase[[#This Row],[Gross Amount]]-Purchase[[#This Row],[Disct %]])*Purchase[[#This Row],[GST %]]</f>
        <v>2499.12</v>
      </c>
      <c r="Q1787" s="145">
        <f>Purchase[[#This Row],[Gross Amount]]-Purchase[[#This Row],[Disct Amnt]]+Purchase[[#This Row],[GST Amount]]</f>
        <v>16383.119999999999</v>
      </c>
      <c r="R1787" s="138" t="s">
        <v>1019</v>
      </c>
      <c r="S1787" s="41">
        <f>IF(Purchase[[#This Row],[Status]]="Cancelled",0,Purchase[[#This Row],[Qty]])</f>
        <v>26</v>
      </c>
      <c r="T1787" s="146">
        <f>IF(Purchase[[#This Row],[Status]]="Cancelled",0,Purchase[[#This Row],[Total Amount]])</f>
        <v>16383.119999999999</v>
      </c>
      <c r="U1787" s="146">
        <f>SUM(Purchase[Net Amount])</f>
        <v>814985438.68000126</v>
      </c>
    </row>
    <row r="1788" spans="1:21" ht="19.5" thickBot="1" x14ac:dyDescent="0.3">
      <c r="A1788" s="136" t="s">
        <v>2843</v>
      </c>
      <c r="B1788" s="137">
        <v>45745</v>
      </c>
      <c r="C1788" s="138" t="s">
        <v>603</v>
      </c>
      <c r="D1788" s="138" t="str">
        <f>VLOOKUP(Purchase[[#This Row],[Supplier ID]],Supplier[#All],2,0)</f>
        <v>Tech Computers</v>
      </c>
      <c r="E1788" s="138">
        <f>VLOOKUP(Purchase[[#This Row],[Supplier ID]],Supplier[#All],3,0)</f>
        <v>9689542486</v>
      </c>
      <c r="F1788" s="138" t="str">
        <f>VLOOKUP(Purchase[[#This Row],[Supplier ID]],Supplier[#All],4,0)</f>
        <v>Indore</v>
      </c>
      <c r="G1788" s="138" t="str">
        <f>VLOOKUP(Purchase[[#This Row],[Supplier ID]],Supplier[#All],5,0)</f>
        <v>MP</v>
      </c>
      <c r="H1788" s="138" t="str">
        <f>VLOOKUP(Purchase[[#This Row],[Supplier ID]],Supplier[#All],6,0)</f>
        <v>GST2154521T048</v>
      </c>
      <c r="I1788" s="138" t="s">
        <v>389</v>
      </c>
      <c r="J1788" s="139">
        <v>23</v>
      </c>
      <c r="K1788" s="143">
        <f>VLOOKUP(Purchase[[#This Row],[Product ID]],Product[#All],6,0)</f>
        <v>9003</v>
      </c>
      <c r="L1788" s="143">
        <f>Purchase[[#This Row],[Purchase Rate]]*Purchase[[#This Row],[Qty]]</f>
        <v>207069</v>
      </c>
      <c r="M1788" s="140">
        <v>0</v>
      </c>
      <c r="N1788" s="143">
        <v>0</v>
      </c>
      <c r="O1788" s="140">
        <v>0.18</v>
      </c>
      <c r="P1788" s="145">
        <f>(Purchase[[#This Row],[Gross Amount]]-Purchase[[#This Row],[Disct %]])*Purchase[[#This Row],[GST %]]</f>
        <v>37272.42</v>
      </c>
      <c r="Q1788" s="145">
        <f>Purchase[[#This Row],[Gross Amount]]-Purchase[[#This Row],[Disct Amnt]]+Purchase[[#This Row],[GST Amount]]</f>
        <v>244341.41999999998</v>
      </c>
      <c r="R1788" s="138" t="s">
        <v>1019</v>
      </c>
      <c r="S1788" s="41">
        <f>IF(Purchase[[#This Row],[Status]]="Cancelled",0,Purchase[[#This Row],[Qty]])</f>
        <v>23</v>
      </c>
      <c r="T1788" s="146">
        <f>IF(Purchase[[#This Row],[Status]]="Cancelled",0,Purchase[[#This Row],[Total Amount]])</f>
        <v>244341.41999999998</v>
      </c>
      <c r="U1788" s="146">
        <f>SUM(Purchase[Net Amount])</f>
        <v>814985438.68000126</v>
      </c>
    </row>
    <row r="1789" spans="1:21" ht="19.5" thickBot="1" x14ac:dyDescent="0.3">
      <c r="A1789" s="136" t="s">
        <v>2844</v>
      </c>
      <c r="B1789" s="137">
        <v>45745</v>
      </c>
      <c r="C1789" s="138" t="s">
        <v>607</v>
      </c>
      <c r="D1789" s="138" t="str">
        <f>VLOOKUP(Purchase[[#This Row],[Supplier ID]],Supplier[#All],2,0)</f>
        <v>Global Distributors</v>
      </c>
      <c r="E1789" s="138">
        <f>VLOOKUP(Purchase[[#This Row],[Supplier ID]],Supplier[#All],3,0)</f>
        <v>9689542490</v>
      </c>
      <c r="F1789" s="138" t="str">
        <f>VLOOKUP(Purchase[[#This Row],[Supplier ID]],Supplier[#All],4,0)</f>
        <v>Kanpur</v>
      </c>
      <c r="G1789" s="138" t="str">
        <f>VLOOKUP(Purchase[[#This Row],[Supplier ID]],Supplier[#All],5,0)</f>
        <v>UP</v>
      </c>
      <c r="H1789" s="138" t="str">
        <f>VLOOKUP(Purchase[[#This Row],[Supplier ID]],Supplier[#All],6,0)</f>
        <v>GST2154521T052</v>
      </c>
      <c r="I1789" s="138" t="s">
        <v>358</v>
      </c>
      <c r="J1789" s="139">
        <v>13</v>
      </c>
      <c r="K1789" s="143">
        <f>VLOOKUP(Purchase[[#This Row],[Product ID]],Product[#All],6,0)</f>
        <v>3087</v>
      </c>
      <c r="L1789" s="143">
        <f>Purchase[[#This Row],[Purchase Rate]]*Purchase[[#This Row],[Qty]]</f>
        <v>40131</v>
      </c>
      <c r="M1789" s="140">
        <v>0</v>
      </c>
      <c r="N1789" s="143">
        <v>0</v>
      </c>
      <c r="O1789" s="140">
        <v>0.18</v>
      </c>
      <c r="P1789" s="145">
        <f>(Purchase[[#This Row],[Gross Amount]]-Purchase[[#This Row],[Disct %]])*Purchase[[#This Row],[GST %]]</f>
        <v>7223.58</v>
      </c>
      <c r="Q1789" s="145">
        <f>Purchase[[#This Row],[Gross Amount]]-Purchase[[#This Row],[Disct Amnt]]+Purchase[[#This Row],[GST Amount]]</f>
        <v>47354.58</v>
      </c>
      <c r="R1789" s="138" t="s">
        <v>1019</v>
      </c>
      <c r="S1789" s="41">
        <f>IF(Purchase[[#This Row],[Status]]="Cancelled",0,Purchase[[#This Row],[Qty]])</f>
        <v>13</v>
      </c>
      <c r="T1789" s="146">
        <f>IF(Purchase[[#This Row],[Status]]="Cancelled",0,Purchase[[#This Row],[Total Amount]])</f>
        <v>47354.58</v>
      </c>
      <c r="U1789" s="146">
        <f>SUM(Purchase[Net Amount])</f>
        <v>814985438.68000126</v>
      </c>
    </row>
    <row r="1790" spans="1:21" ht="19.5" thickBot="1" x14ac:dyDescent="0.3">
      <c r="A1790" s="136" t="s">
        <v>2845</v>
      </c>
      <c r="B1790" s="137">
        <v>45745</v>
      </c>
      <c r="C1790" s="138" t="s">
        <v>595</v>
      </c>
      <c r="D1790" s="138" t="str">
        <f>VLOOKUP(Purchase[[#This Row],[Supplier ID]],Supplier[#All],2,0)</f>
        <v>Star Computers</v>
      </c>
      <c r="E1790" s="138">
        <f>VLOOKUP(Purchase[[#This Row],[Supplier ID]],Supplier[#All],3,0)</f>
        <v>9689542478</v>
      </c>
      <c r="F1790" s="138" t="str">
        <f>VLOOKUP(Purchase[[#This Row],[Supplier ID]],Supplier[#All],4,0)</f>
        <v>Kanpur</v>
      </c>
      <c r="G1790" s="138" t="str">
        <f>VLOOKUP(Purchase[[#This Row],[Supplier ID]],Supplier[#All],5,0)</f>
        <v>UP</v>
      </c>
      <c r="H1790" s="138" t="str">
        <f>VLOOKUP(Purchase[[#This Row],[Supplier ID]],Supplier[#All],6,0)</f>
        <v>GST2154521T040</v>
      </c>
      <c r="I1790" s="138" t="s">
        <v>335</v>
      </c>
      <c r="J1790" s="139">
        <v>8</v>
      </c>
      <c r="K1790" s="143">
        <f>VLOOKUP(Purchase[[#This Row],[Product ID]],Product[#All],6,0)</f>
        <v>3570</v>
      </c>
      <c r="L1790" s="143">
        <f>Purchase[[#This Row],[Purchase Rate]]*Purchase[[#This Row],[Qty]]</f>
        <v>28560</v>
      </c>
      <c r="M1790" s="140">
        <v>0</v>
      </c>
      <c r="N1790" s="143">
        <v>0</v>
      </c>
      <c r="O1790" s="140">
        <v>0.18</v>
      </c>
      <c r="P1790" s="145">
        <f>(Purchase[[#This Row],[Gross Amount]]-Purchase[[#This Row],[Disct %]])*Purchase[[#This Row],[GST %]]</f>
        <v>5140.8</v>
      </c>
      <c r="Q1790" s="145">
        <f>Purchase[[#This Row],[Gross Amount]]-Purchase[[#This Row],[Disct Amnt]]+Purchase[[#This Row],[GST Amount]]</f>
        <v>33700.800000000003</v>
      </c>
      <c r="R1790" s="138" t="s">
        <v>1019</v>
      </c>
      <c r="S1790" s="41">
        <f>IF(Purchase[[#This Row],[Status]]="Cancelled",0,Purchase[[#This Row],[Qty]])</f>
        <v>8</v>
      </c>
      <c r="T1790" s="146">
        <f>IF(Purchase[[#This Row],[Status]]="Cancelled",0,Purchase[[#This Row],[Total Amount]])</f>
        <v>33700.800000000003</v>
      </c>
      <c r="U1790" s="146">
        <f>SUM(Purchase[Net Amount])</f>
        <v>814985438.68000126</v>
      </c>
    </row>
    <row r="1791" spans="1:21" ht="19.5" thickBot="1" x14ac:dyDescent="0.3">
      <c r="A1791" s="136" t="s">
        <v>2846</v>
      </c>
      <c r="B1791" s="137">
        <v>45745</v>
      </c>
      <c r="C1791" s="138" t="s">
        <v>604</v>
      </c>
      <c r="D1791" s="138" t="str">
        <f>VLOOKUP(Purchase[[#This Row],[Supplier ID]],Supplier[#All],2,0)</f>
        <v>Prime Traders</v>
      </c>
      <c r="E1791" s="138">
        <f>VLOOKUP(Purchase[[#This Row],[Supplier ID]],Supplier[#All],3,0)</f>
        <v>9689542487</v>
      </c>
      <c r="F1791" s="138" t="str">
        <f>VLOOKUP(Purchase[[#This Row],[Supplier ID]],Supplier[#All],4,0)</f>
        <v>Indore</v>
      </c>
      <c r="G1791" s="138" t="str">
        <f>VLOOKUP(Purchase[[#This Row],[Supplier ID]],Supplier[#All],5,0)</f>
        <v>MP</v>
      </c>
      <c r="H1791" s="138" t="str">
        <f>VLOOKUP(Purchase[[#This Row],[Supplier ID]],Supplier[#All],6,0)</f>
        <v>GST2154521T049</v>
      </c>
      <c r="I1791" s="138" t="s">
        <v>411</v>
      </c>
      <c r="J1791" s="139">
        <v>26</v>
      </c>
      <c r="K1791" s="143">
        <f>VLOOKUP(Purchase[[#This Row],[Product ID]],Product[#All],6,0)</f>
        <v>2088</v>
      </c>
      <c r="L1791" s="143">
        <f>Purchase[[#This Row],[Purchase Rate]]*Purchase[[#This Row],[Qty]]</f>
        <v>54288</v>
      </c>
      <c r="M1791" s="140">
        <v>0</v>
      </c>
      <c r="N1791" s="143">
        <v>0</v>
      </c>
      <c r="O1791" s="140">
        <v>0.18</v>
      </c>
      <c r="P1791" s="145">
        <f>(Purchase[[#This Row],[Gross Amount]]-Purchase[[#This Row],[Disct %]])*Purchase[[#This Row],[GST %]]</f>
        <v>9771.84</v>
      </c>
      <c r="Q1791" s="145">
        <f>Purchase[[#This Row],[Gross Amount]]-Purchase[[#This Row],[Disct Amnt]]+Purchase[[#This Row],[GST Amount]]</f>
        <v>64059.839999999997</v>
      </c>
      <c r="R1791" s="138" t="s">
        <v>1019</v>
      </c>
      <c r="S1791" s="41">
        <f>IF(Purchase[[#This Row],[Status]]="Cancelled",0,Purchase[[#This Row],[Qty]])</f>
        <v>26</v>
      </c>
      <c r="T1791" s="146">
        <f>IF(Purchase[[#This Row],[Status]]="Cancelled",0,Purchase[[#This Row],[Total Amount]])</f>
        <v>64059.839999999997</v>
      </c>
      <c r="U1791" s="146">
        <f>SUM(Purchase[Net Amount])</f>
        <v>814985438.68000126</v>
      </c>
    </row>
    <row r="1792" spans="1:21" ht="19.5" thickBot="1" x14ac:dyDescent="0.3">
      <c r="A1792" s="136" t="s">
        <v>2847</v>
      </c>
      <c r="B1792" s="137">
        <v>45745</v>
      </c>
      <c r="C1792" s="138" t="s">
        <v>573</v>
      </c>
      <c r="D1792" s="138" t="str">
        <f>VLOOKUP(Purchase[[#This Row],[Supplier ID]],Supplier[#All],2,0)</f>
        <v>Shree Traders</v>
      </c>
      <c r="E1792" s="138">
        <f>VLOOKUP(Purchase[[#This Row],[Supplier ID]],Supplier[#All],3,0)</f>
        <v>9689542458</v>
      </c>
      <c r="F1792" s="138" t="str">
        <f>VLOOKUP(Purchase[[#This Row],[Supplier ID]],Supplier[#All],4,0)</f>
        <v>Korba</v>
      </c>
      <c r="G1792" s="138" t="str">
        <f>VLOOKUP(Purchase[[#This Row],[Supplier ID]],Supplier[#All],5,0)</f>
        <v>CG</v>
      </c>
      <c r="H1792" s="138" t="str">
        <f>VLOOKUP(Purchase[[#This Row],[Supplier ID]],Supplier[#All],6,0)</f>
        <v>GST2154521T020</v>
      </c>
      <c r="I1792" s="138" t="s">
        <v>233</v>
      </c>
      <c r="J1792" s="139">
        <v>40</v>
      </c>
      <c r="K1792" s="143">
        <f>VLOOKUP(Purchase[[#This Row],[Product ID]],Product[#All],6,0)</f>
        <v>710</v>
      </c>
      <c r="L1792" s="143">
        <f>Purchase[[#This Row],[Purchase Rate]]*Purchase[[#This Row],[Qty]]</f>
        <v>28400</v>
      </c>
      <c r="M1792" s="140">
        <v>0</v>
      </c>
      <c r="N1792" s="143">
        <v>0</v>
      </c>
      <c r="O1792" s="140">
        <v>0.18</v>
      </c>
      <c r="P1792" s="145">
        <f>(Purchase[[#This Row],[Gross Amount]]-Purchase[[#This Row],[Disct %]])*Purchase[[#This Row],[GST %]]</f>
        <v>5112</v>
      </c>
      <c r="Q1792" s="145">
        <f>Purchase[[#This Row],[Gross Amount]]-Purchase[[#This Row],[Disct Amnt]]+Purchase[[#This Row],[GST Amount]]</f>
        <v>33512</v>
      </c>
      <c r="R1792" s="138" t="s">
        <v>1019</v>
      </c>
      <c r="S1792" s="41">
        <f>IF(Purchase[[#This Row],[Status]]="Cancelled",0,Purchase[[#This Row],[Qty]])</f>
        <v>40</v>
      </c>
      <c r="T1792" s="146">
        <f>IF(Purchase[[#This Row],[Status]]="Cancelled",0,Purchase[[#This Row],[Total Amount]])</f>
        <v>33512</v>
      </c>
      <c r="U1792" s="146">
        <f>SUM(Purchase[Net Amount])</f>
        <v>814985438.68000126</v>
      </c>
    </row>
    <row r="1793" spans="1:21" ht="19.5" thickBot="1" x14ac:dyDescent="0.3">
      <c r="A1793" s="136" t="s">
        <v>2848</v>
      </c>
      <c r="B1793" s="137">
        <v>45745</v>
      </c>
      <c r="C1793" s="138" t="s">
        <v>577</v>
      </c>
      <c r="D1793" s="138" t="str">
        <f>VLOOKUP(Purchase[[#This Row],[Supplier ID]],Supplier[#All],2,0)</f>
        <v>National Electronics</v>
      </c>
      <c r="E1793" s="138">
        <f>VLOOKUP(Purchase[[#This Row],[Supplier ID]],Supplier[#All],3,0)</f>
        <v>9689542469</v>
      </c>
      <c r="F1793" s="138" t="str">
        <f>VLOOKUP(Purchase[[#This Row],[Supplier ID]],Supplier[#All],4,0)</f>
        <v>Korba</v>
      </c>
      <c r="G1793" s="138" t="str">
        <f>VLOOKUP(Purchase[[#This Row],[Supplier ID]],Supplier[#All],5,0)</f>
        <v>CG</v>
      </c>
      <c r="H1793" s="138" t="str">
        <f>VLOOKUP(Purchase[[#This Row],[Supplier ID]],Supplier[#All],6,0)</f>
        <v>GST2154521T023</v>
      </c>
      <c r="I1793" s="138" t="s">
        <v>475</v>
      </c>
      <c r="J1793" s="139">
        <v>34</v>
      </c>
      <c r="K1793" s="143">
        <f>VLOOKUP(Purchase[[#This Row],[Product ID]],Product[#All],6,0)</f>
        <v>1253</v>
      </c>
      <c r="L1793" s="143">
        <f>Purchase[[#This Row],[Purchase Rate]]*Purchase[[#This Row],[Qty]]</f>
        <v>42602</v>
      </c>
      <c r="M1793" s="140">
        <v>0</v>
      </c>
      <c r="N1793" s="143">
        <v>0</v>
      </c>
      <c r="O1793" s="140">
        <v>0.18</v>
      </c>
      <c r="P1793" s="145">
        <f>(Purchase[[#This Row],[Gross Amount]]-Purchase[[#This Row],[Disct %]])*Purchase[[#This Row],[GST %]]</f>
        <v>7668.36</v>
      </c>
      <c r="Q1793" s="145">
        <f>Purchase[[#This Row],[Gross Amount]]-Purchase[[#This Row],[Disct Amnt]]+Purchase[[#This Row],[GST Amount]]</f>
        <v>50270.36</v>
      </c>
      <c r="R1793" s="138" t="s">
        <v>1019</v>
      </c>
      <c r="S1793" s="41">
        <f>IF(Purchase[[#This Row],[Status]]="Cancelled",0,Purchase[[#This Row],[Qty]])</f>
        <v>34</v>
      </c>
      <c r="T1793" s="146">
        <f>IF(Purchase[[#This Row],[Status]]="Cancelled",0,Purchase[[#This Row],[Total Amount]])</f>
        <v>50270.36</v>
      </c>
      <c r="U1793" s="146">
        <f>SUM(Purchase[Net Amount])</f>
        <v>814985438.68000126</v>
      </c>
    </row>
    <row r="1794" spans="1:21" ht="19.5" thickBot="1" x14ac:dyDescent="0.3">
      <c r="A1794" s="136" t="s">
        <v>2849</v>
      </c>
      <c r="B1794" s="137">
        <v>45745</v>
      </c>
      <c r="C1794" s="138" t="s">
        <v>587</v>
      </c>
      <c r="D1794" s="138" t="str">
        <f>VLOOKUP(Purchase[[#This Row],[Supplier ID]],Supplier[#All],2,0)</f>
        <v>maa distributors</v>
      </c>
      <c r="E1794" s="138">
        <f>VLOOKUP(Purchase[[#This Row],[Supplier ID]],Supplier[#All],3,0)</f>
        <v>9689542479</v>
      </c>
      <c r="F1794" s="138" t="str">
        <f>VLOOKUP(Purchase[[#This Row],[Supplier ID]],Supplier[#All],4,0)</f>
        <v>Indore</v>
      </c>
      <c r="G1794" s="138" t="str">
        <f>VLOOKUP(Purchase[[#This Row],[Supplier ID]],Supplier[#All],5,0)</f>
        <v>MP</v>
      </c>
      <c r="H1794" s="138" t="str">
        <f>VLOOKUP(Purchase[[#This Row],[Supplier ID]],Supplier[#All],6,0)</f>
        <v>GST2154521T033</v>
      </c>
      <c r="I1794" s="138" t="s">
        <v>263</v>
      </c>
      <c r="J1794" s="139">
        <v>6</v>
      </c>
      <c r="K1794" s="143">
        <f>VLOOKUP(Purchase[[#This Row],[Product ID]],Product[#All],6,0)</f>
        <v>619</v>
      </c>
      <c r="L1794" s="143">
        <f>Purchase[[#This Row],[Purchase Rate]]*Purchase[[#This Row],[Qty]]</f>
        <v>3714</v>
      </c>
      <c r="M1794" s="140">
        <v>0</v>
      </c>
      <c r="N1794" s="143">
        <v>0</v>
      </c>
      <c r="O1794" s="140">
        <v>0.18</v>
      </c>
      <c r="P1794" s="145">
        <f>(Purchase[[#This Row],[Gross Amount]]-Purchase[[#This Row],[Disct %]])*Purchase[[#This Row],[GST %]]</f>
        <v>668.52</v>
      </c>
      <c r="Q1794" s="145">
        <f>Purchase[[#This Row],[Gross Amount]]-Purchase[[#This Row],[Disct Amnt]]+Purchase[[#This Row],[GST Amount]]</f>
        <v>4382.5200000000004</v>
      </c>
      <c r="R1794" s="138" t="s">
        <v>1019</v>
      </c>
      <c r="S1794" s="41">
        <f>IF(Purchase[[#This Row],[Status]]="Cancelled",0,Purchase[[#This Row],[Qty]])</f>
        <v>6</v>
      </c>
      <c r="T1794" s="146">
        <f>IF(Purchase[[#This Row],[Status]]="Cancelled",0,Purchase[[#This Row],[Total Amount]])</f>
        <v>4382.5200000000004</v>
      </c>
      <c r="U1794" s="146">
        <f>SUM(Purchase[Net Amount])</f>
        <v>814985438.68000126</v>
      </c>
    </row>
    <row r="1795" spans="1:21" ht="19.5" thickBot="1" x14ac:dyDescent="0.3">
      <c r="A1795" s="136" t="s">
        <v>2850</v>
      </c>
      <c r="B1795" s="137">
        <v>45745</v>
      </c>
      <c r="C1795" s="138" t="s">
        <v>616</v>
      </c>
      <c r="D1795" s="138" t="str">
        <f>VLOOKUP(Purchase[[#This Row],[Supplier ID]],Supplier[#All],2,0)</f>
        <v>Global Suppliers</v>
      </c>
      <c r="E1795" s="138">
        <f>VLOOKUP(Purchase[[#This Row],[Supplier ID]],Supplier[#All],3,0)</f>
        <v>9689542499</v>
      </c>
      <c r="F1795" s="138" t="str">
        <f>VLOOKUP(Purchase[[#This Row],[Supplier ID]],Supplier[#All],4,0)</f>
        <v>Kanpur</v>
      </c>
      <c r="G1795" s="138" t="str">
        <f>VLOOKUP(Purchase[[#This Row],[Supplier ID]],Supplier[#All],5,0)</f>
        <v>UP</v>
      </c>
      <c r="H1795" s="138" t="str">
        <f>VLOOKUP(Purchase[[#This Row],[Supplier ID]],Supplier[#All],6,0)</f>
        <v>GST2154521T061</v>
      </c>
      <c r="I1795" s="138" t="s">
        <v>189</v>
      </c>
      <c r="J1795" s="139">
        <v>14</v>
      </c>
      <c r="K1795" s="143">
        <f>VLOOKUP(Purchase[[#This Row],[Product ID]],Product[#All],6,0)</f>
        <v>1280</v>
      </c>
      <c r="L1795" s="143">
        <f>Purchase[[#This Row],[Purchase Rate]]*Purchase[[#This Row],[Qty]]</f>
        <v>17920</v>
      </c>
      <c r="M1795" s="140">
        <v>0</v>
      </c>
      <c r="N1795" s="143">
        <v>0</v>
      </c>
      <c r="O1795" s="140">
        <v>0.18</v>
      </c>
      <c r="P1795" s="145">
        <f>(Purchase[[#This Row],[Gross Amount]]-Purchase[[#This Row],[Disct %]])*Purchase[[#This Row],[GST %]]</f>
        <v>3225.6</v>
      </c>
      <c r="Q1795" s="145">
        <f>Purchase[[#This Row],[Gross Amount]]-Purchase[[#This Row],[Disct Amnt]]+Purchase[[#This Row],[GST Amount]]</f>
        <v>21145.599999999999</v>
      </c>
      <c r="R1795" s="138" t="s">
        <v>1019</v>
      </c>
      <c r="S1795" s="41">
        <f>IF(Purchase[[#This Row],[Status]]="Cancelled",0,Purchase[[#This Row],[Qty]])</f>
        <v>14</v>
      </c>
      <c r="T1795" s="146">
        <f>IF(Purchase[[#This Row],[Status]]="Cancelled",0,Purchase[[#This Row],[Total Amount]])</f>
        <v>21145.599999999999</v>
      </c>
      <c r="U1795" s="146">
        <f>SUM(Purchase[Net Amount])</f>
        <v>814985438.68000126</v>
      </c>
    </row>
    <row r="1796" spans="1:21" ht="19.5" thickBot="1" x14ac:dyDescent="0.3">
      <c r="A1796" s="136" t="s">
        <v>2851</v>
      </c>
      <c r="B1796" s="137">
        <v>45746</v>
      </c>
      <c r="C1796" s="138" t="s">
        <v>611</v>
      </c>
      <c r="D1796" s="138" t="str">
        <f>VLOOKUP(Purchase[[#This Row],[Supplier ID]],Supplier[#All],2,0)</f>
        <v>National Distributors</v>
      </c>
      <c r="E1796" s="138">
        <f>VLOOKUP(Purchase[[#This Row],[Supplier ID]],Supplier[#All],3,0)</f>
        <v>9689542494</v>
      </c>
      <c r="F1796" s="138" t="str">
        <f>VLOOKUP(Purchase[[#This Row],[Supplier ID]],Supplier[#All],4,0)</f>
        <v>Korba</v>
      </c>
      <c r="G1796" s="138" t="str">
        <f>VLOOKUP(Purchase[[#This Row],[Supplier ID]],Supplier[#All],5,0)</f>
        <v>CG</v>
      </c>
      <c r="H1796" s="138" t="str">
        <f>VLOOKUP(Purchase[[#This Row],[Supplier ID]],Supplier[#All],6,0)</f>
        <v>GST2154521T056</v>
      </c>
      <c r="I1796" s="138" t="s">
        <v>350</v>
      </c>
      <c r="J1796" s="139">
        <v>39</v>
      </c>
      <c r="K1796" s="143">
        <f>VLOOKUP(Purchase[[#This Row],[Product ID]],Product[#All],6,0)</f>
        <v>14913</v>
      </c>
      <c r="L1796" s="143">
        <f>Purchase[[#This Row],[Purchase Rate]]*Purchase[[#This Row],[Qty]]</f>
        <v>581607</v>
      </c>
      <c r="M1796" s="140">
        <v>0</v>
      </c>
      <c r="N1796" s="143">
        <v>0</v>
      </c>
      <c r="O1796" s="140">
        <v>0.18</v>
      </c>
      <c r="P1796" s="145">
        <f>(Purchase[[#This Row],[Gross Amount]]-Purchase[[#This Row],[Disct %]])*Purchase[[#This Row],[GST %]]</f>
        <v>104689.26</v>
      </c>
      <c r="Q1796" s="145">
        <f>Purchase[[#This Row],[Gross Amount]]-Purchase[[#This Row],[Disct Amnt]]+Purchase[[#This Row],[GST Amount]]</f>
        <v>686296.26</v>
      </c>
      <c r="R1796" s="138" t="s">
        <v>1019</v>
      </c>
      <c r="S1796" s="41">
        <f>IF(Purchase[[#This Row],[Status]]="Cancelled",0,Purchase[[#This Row],[Qty]])</f>
        <v>39</v>
      </c>
      <c r="T1796" s="146">
        <f>IF(Purchase[[#This Row],[Status]]="Cancelled",0,Purchase[[#This Row],[Total Amount]])</f>
        <v>686296.26</v>
      </c>
      <c r="U1796" s="146">
        <f>SUM(Purchase[Net Amount])</f>
        <v>814985438.68000126</v>
      </c>
    </row>
    <row r="1797" spans="1:21" ht="19.5" thickBot="1" x14ac:dyDescent="0.3">
      <c r="A1797" s="136" t="s">
        <v>2852</v>
      </c>
      <c r="B1797" s="137">
        <v>45746</v>
      </c>
      <c r="C1797" s="138" t="s">
        <v>570</v>
      </c>
      <c r="D1797" s="138" t="str">
        <f>VLOOKUP(Purchase[[#This Row],[Supplier ID]],Supplier[#All],2,0)</f>
        <v>Prime Traders</v>
      </c>
      <c r="E1797" s="138">
        <f>VLOOKUP(Purchase[[#This Row],[Supplier ID]],Supplier[#All],3,0)</f>
        <v>9689542456</v>
      </c>
      <c r="F1797" s="138" t="str">
        <f>VLOOKUP(Purchase[[#This Row],[Supplier ID]],Supplier[#All],4,0)</f>
        <v>Indore</v>
      </c>
      <c r="G1797" s="138" t="str">
        <f>VLOOKUP(Purchase[[#This Row],[Supplier ID]],Supplier[#All],5,0)</f>
        <v>MP</v>
      </c>
      <c r="H1797" s="138" t="str">
        <f>VLOOKUP(Purchase[[#This Row],[Supplier ID]],Supplier[#All],6,0)</f>
        <v>GST2154521T018</v>
      </c>
      <c r="I1797" s="138" t="s">
        <v>349</v>
      </c>
      <c r="J1797" s="139">
        <v>17</v>
      </c>
      <c r="K1797" s="143">
        <f>VLOOKUP(Purchase[[#This Row],[Product ID]],Product[#All],6,0)</f>
        <v>8796</v>
      </c>
      <c r="L1797" s="143">
        <f>Purchase[[#This Row],[Purchase Rate]]*Purchase[[#This Row],[Qty]]</f>
        <v>149532</v>
      </c>
      <c r="M1797" s="140">
        <v>0</v>
      </c>
      <c r="N1797" s="143">
        <v>0</v>
      </c>
      <c r="O1797" s="140">
        <v>0.18</v>
      </c>
      <c r="P1797" s="145">
        <f>(Purchase[[#This Row],[Gross Amount]]-Purchase[[#This Row],[Disct %]])*Purchase[[#This Row],[GST %]]</f>
        <v>26915.759999999998</v>
      </c>
      <c r="Q1797" s="145">
        <f>Purchase[[#This Row],[Gross Amount]]-Purchase[[#This Row],[Disct Amnt]]+Purchase[[#This Row],[GST Amount]]</f>
        <v>176447.76</v>
      </c>
      <c r="R1797" s="138" t="s">
        <v>1019</v>
      </c>
      <c r="S1797" s="41">
        <f>IF(Purchase[[#This Row],[Status]]="Cancelled",0,Purchase[[#This Row],[Qty]])</f>
        <v>17</v>
      </c>
      <c r="T1797" s="146">
        <f>IF(Purchase[[#This Row],[Status]]="Cancelled",0,Purchase[[#This Row],[Total Amount]])</f>
        <v>176447.76</v>
      </c>
      <c r="U1797" s="146">
        <f>SUM(Purchase[Net Amount])</f>
        <v>814985438.68000126</v>
      </c>
    </row>
    <row r="1798" spans="1:21" ht="19.5" thickBot="1" x14ac:dyDescent="0.3">
      <c r="A1798" s="136" t="s">
        <v>2853</v>
      </c>
      <c r="B1798" s="137">
        <v>45746</v>
      </c>
      <c r="C1798" s="138" t="s">
        <v>615</v>
      </c>
      <c r="D1798" s="138" t="str">
        <f>VLOOKUP(Purchase[[#This Row],[Supplier ID]],Supplier[#All],2,0)</f>
        <v>NATIONAL ELECTRONICS</v>
      </c>
      <c r="E1798" s="138">
        <f>VLOOKUP(Purchase[[#This Row],[Supplier ID]],Supplier[#All],3,0)</f>
        <v>9689542498</v>
      </c>
      <c r="F1798" s="138" t="str">
        <f>VLOOKUP(Purchase[[#This Row],[Supplier ID]],Supplier[#All],4,0)</f>
        <v>Kanpur</v>
      </c>
      <c r="G1798" s="138" t="str">
        <f>VLOOKUP(Purchase[[#This Row],[Supplier ID]],Supplier[#All],5,0)</f>
        <v>UP</v>
      </c>
      <c r="H1798" s="138" t="str">
        <f>VLOOKUP(Purchase[[#This Row],[Supplier ID]],Supplier[#All],6,0)</f>
        <v>GST2154521T060</v>
      </c>
      <c r="I1798" s="138" t="s">
        <v>442</v>
      </c>
      <c r="J1798" s="139">
        <v>29</v>
      </c>
      <c r="K1798" s="143">
        <f>VLOOKUP(Purchase[[#This Row],[Product ID]],Product[#All],6,0)</f>
        <v>3149</v>
      </c>
      <c r="L1798" s="143">
        <f>Purchase[[#This Row],[Purchase Rate]]*Purchase[[#This Row],[Qty]]</f>
        <v>91321</v>
      </c>
      <c r="M1798" s="140">
        <v>0</v>
      </c>
      <c r="N1798" s="143">
        <v>0</v>
      </c>
      <c r="O1798" s="140">
        <v>0.18</v>
      </c>
      <c r="P1798" s="145">
        <f>(Purchase[[#This Row],[Gross Amount]]-Purchase[[#This Row],[Disct %]])*Purchase[[#This Row],[GST %]]</f>
        <v>16437.78</v>
      </c>
      <c r="Q1798" s="145">
        <f>Purchase[[#This Row],[Gross Amount]]-Purchase[[#This Row],[Disct Amnt]]+Purchase[[#This Row],[GST Amount]]</f>
        <v>107758.78</v>
      </c>
      <c r="R1798" s="138" t="s">
        <v>1019</v>
      </c>
      <c r="S1798" s="41">
        <f>IF(Purchase[[#This Row],[Status]]="Cancelled",0,Purchase[[#This Row],[Qty]])</f>
        <v>29</v>
      </c>
      <c r="T1798" s="146">
        <f>IF(Purchase[[#This Row],[Status]]="Cancelled",0,Purchase[[#This Row],[Total Amount]])</f>
        <v>107758.78</v>
      </c>
      <c r="U1798" s="146">
        <f>SUM(Purchase[Net Amount])</f>
        <v>814985438.68000126</v>
      </c>
    </row>
    <row r="1799" spans="1:21" ht="19.5" thickBot="1" x14ac:dyDescent="0.3">
      <c r="A1799" s="136" t="s">
        <v>2854</v>
      </c>
      <c r="B1799" s="137">
        <v>45746</v>
      </c>
      <c r="C1799" s="138" t="s">
        <v>594</v>
      </c>
      <c r="D1799" s="138" t="str">
        <f>VLOOKUP(Purchase[[#This Row],[Supplier ID]],Supplier[#All],2,0)</f>
        <v>Shree Suppliers</v>
      </c>
      <c r="E1799" s="138">
        <f>VLOOKUP(Purchase[[#This Row],[Supplier ID]],Supplier[#All],3,0)</f>
        <v>9689542477</v>
      </c>
      <c r="F1799" s="138" t="str">
        <f>VLOOKUP(Purchase[[#This Row],[Supplier ID]],Supplier[#All],4,0)</f>
        <v>Indore</v>
      </c>
      <c r="G1799" s="138" t="str">
        <f>VLOOKUP(Purchase[[#This Row],[Supplier ID]],Supplier[#All],5,0)</f>
        <v>MP</v>
      </c>
      <c r="H1799" s="138" t="str">
        <f>VLOOKUP(Purchase[[#This Row],[Supplier ID]],Supplier[#All],6,0)</f>
        <v>GST2154521T039</v>
      </c>
      <c r="I1799" s="138" t="s">
        <v>162</v>
      </c>
      <c r="J1799" s="139">
        <v>12</v>
      </c>
      <c r="K1799" s="143">
        <f>VLOOKUP(Purchase[[#This Row],[Product ID]],Product[#All],6,0)</f>
        <v>724</v>
      </c>
      <c r="L1799" s="143">
        <f>Purchase[[#This Row],[Purchase Rate]]*Purchase[[#This Row],[Qty]]</f>
        <v>8688</v>
      </c>
      <c r="M1799" s="140">
        <v>0</v>
      </c>
      <c r="N1799" s="143">
        <v>0</v>
      </c>
      <c r="O1799" s="140">
        <v>0.18</v>
      </c>
      <c r="P1799" s="145">
        <f>(Purchase[[#This Row],[Gross Amount]]-Purchase[[#This Row],[Disct %]])*Purchase[[#This Row],[GST %]]</f>
        <v>1563.84</v>
      </c>
      <c r="Q1799" s="145">
        <f>Purchase[[#This Row],[Gross Amount]]-Purchase[[#This Row],[Disct Amnt]]+Purchase[[#This Row],[GST Amount]]</f>
        <v>10251.84</v>
      </c>
      <c r="R1799" s="138" t="s">
        <v>1019</v>
      </c>
      <c r="S1799" s="41">
        <f>IF(Purchase[[#This Row],[Status]]="Cancelled",0,Purchase[[#This Row],[Qty]])</f>
        <v>12</v>
      </c>
      <c r="T1799" s="146">
        <f>IF(Purchase[[#This Row],[Status]]="Cancelled",0,Purchase[[#This Row],[Total Amount]])</f>
        <v>10251.84</v>
      </c>
      <c r="U1799" s="146">
        <f>SUM(Purchase[Net Amount])</f>
        <v>814985438.68000126</v>
      </c>
    </row>
    <row r="1800" spans="1:21" ht="19.5" thickBot="1" x14ac:dyDescent="0.3">
      <c r="A1800" s="136" t="s">
        <v>2855</v>
      </c>
      <c r="B1800" s="137">
        <v>45746</v>
      </c>
      <c r="C1800" s="138" t="s">
        <v>585</v>
      </c>
      <c r="D1800" s="138" t="str">
        <f>VLOOKUP(Purchase[[#This Row],[Supplier ID]],Supplier[#All],2,0)</f>
        <v>Tech Computers</v>
      </c>
      <c r="E1800" s="138">
        <f>VLOOKUP(Purchase[[#This Row],[Supplier ID]],Supplier[#All],3,0)</f>
        <v>9689542469</v>
      </c>
      <c r="F1800" s="138" t="str">
        <f>VLOOKUP(Purchase[[#This Row],[Supplier ID]],Supplier[#All],4,0)</f>
        <v>Korba</v>
      </c>
      <c r="G1800" s="138" t="str">
        <f>VLOOKUP(Purchase[[#This Row],[Supplier ID]],Supplier[#All],5,0)</f>
        <v>CG</v>
      </c>
      <c r="H1800" s="138" t="str">
        <f>VLOOKUP(Purchase[[#This Row],[Supplier ID]],Supplier[#All],6,0)</f>
        <v>GST2154521T031</v>
      </c>
      <c r="I1800" s="138" t="s">
        <v>458</v>
      </c>
      <c r="J1800" s="139">
        <v>23</v>
      </c>
      <c r="K1800" s="143">
        <f>VLOOKUP(Purchase[[#This Row],[Product ID]],Product[#All],6,0)</f>
        <v>5242</v>
      </c>
      <c r="L1800" s="143">
        <f>Purchase[[#This Row],[Purchase Rate]]*Purchase[[#This Row],[Qty]]</f>
        <v>120566</v>
      </c>
      <c r="M1800" s="140">
        <v>0</v>
      </c>
      <c r="N1800" s="143">
        <v>0</v>
      </c>
      <c r="O1800" s="140">
        <v>0.18</v>
      </c>
      <c r="P1800" s="145">
        <f>(Purchase[[#This Row],[Gross Amount]]-Purchase[[#This Row],[Disct %]])*Purchase[[#This Row],[GST %]]</f>
        <v>21701.879999999997</v>
      </c>
      <c r="Q1800" s="145">
        <f>Purchase[[#This Row],[Gross Amount]]-Purchase[[#This Row],[Disct Amnt]]+Purchase[[#This Row],[GST Amount]]</f>
        <v>142267.88</v>
      </c>
      <c r="R1800" s="138" t="s">
        <v>1019</v>
      </c>
      <c r="S1800" s="41">
        <f>IF(Purchase[[#This Row],[Status]]="Cancelled",0,Purchase[[#This Row],[Qty]])</f>
        <v>23</v>
      </c>
      <c r="T1800" s="146">
        <f>IF(Purchase[[#This Row],[Status]]="Cancelled",0,Purchase[[#This Row],[Total Amount]])</f>
        <v>142267.88</v>
      </c>
      <c r="U1800" s="146">
        <f>SUM(Purchase[Net Amount])</f>
        <v>814985438.68000126</v>
      </c>
    </row>
    <row r="1801" spans="1:21" ht="19.5" thickBot="1" x14ac:dyDescent="0.3">
      <c r="A1801" s="136" t="s">
        <v>2856</v>
      </c>
      <c r="B1801" s="137">
        <v>45746</v>
      </c>
      <c r="C1801" s="138" t="s">
        <v>610</v>
      </c>
      <c r="D1801" s="138" t="str">
        <f>VLOOKUP(Purchase[[#This Row],[Supplier ID]],Supplier[#All],2,0)</f>
        <v>Shree Electronics</v>
      </c>
      <c r="E1801" s="138">
        <f>VLOOKUP(Purchase[[#This Row],[Supplier ID]],Supplier[#All],3,0)</f>
        <v>9689542493</v>
      </c>
      <c r="F1801" s="138" t="str">
        <f>VLOOKUP(Purchase[[#This Row],[Supplier ID]],Supplier[#All],4,0)</f>
        <v>Kanpur</v>
      </c>
      <c r="G1801" s="138" t="str">
        <f>VLOOKUP(Purchase[[#This Row],[Supplier ID]],Supplier[#All],5,0)</f>
        <v>UP</v>
      </c>
      <c r="H1801" s="138" t="str">
        <f>VLOOKUP(Purchase[[#This Row],[Supplier ID]],Supplier[#All],6,0)</f>
        <v>GST2154521T055</v>
      </c>
      <c r="I1801" s="138" t="s">
        <v>107</v>
      </c>
      <c r="J1801" s="139">
        <v>32</v>
      </c>
      <c r="K1801" s="143">
        <f>VLOOKUP(Purchase[[#This Row],[Product ID]],Product[#All],6,0)</f>
        <v>11599</v>
      </c>
      <c r="L1801" s="143">
        <f>Purchase[[#This Row],[Purchase Rate]]*Purchase[[#This Row],[Qty]]</f>
        <v>371168</v>
      </c>
      <c r="M1801" s="140">
        <v>0</v>
      </c>
      <c r="N1801" s="143">
        <v>0</v>
      </c>
      <c r="O1801" s="140">
        <v>0.18</v>
      </c>
      <c r="P1801" s="145">
        <f>(Purchase[[#This Row],[Gross Amount]]-Purchase[[#This Row],[Disct %]])*Purchase[[#This Row],[GST %]]</f>
        <v>66810.239999999991</v>
      </c>
      <c r="Q1801" s="145">
        <f>Purchase[[#This Row],[Gross Amount]]-Purchase[[#This Row],[Disct Amnt]]+Purchase[[#This Row],[GST Amount]]</f>
        <v>437978.24</v>
      </c>
      <c r="R1801" s="138" t="s">
        <v>1019</v>
      </c>
      <c r="S1801" s="41">
        <f>IF(Purchase[[#This Row],[Status]]="Cancelled",0,Purchase[[#This Row],[Qty]])</f>
        <v>32</v>
      </c>
      <c r="T1801" s="146">
        <f>IF(Purchase[[#This Row],[Status]]="Cancelled",0,Purchase[[#This Row],[Total Amount]])</f>
        <v>437978.24</v>
      </c>
      <c r="U1801" s="146">
        <f>SUM(Purchase[Net Amount])</f>
        <v>814985438.68000126</v>
      </c>
    </row>
    <row r="1802" spans="1:21" ht="19.5" thickBot="1" x14ac:dyDescent="0.3">
      <c r="A1802" s="136" t="s">
        <v>2857</v>
      </c>
      <c r="B1802" s="137">
        <v>45746</v>
      </c>
      <c r="C1802" s="138" t="s">
        <v>587</v>
      </c>
      <c r="D1802" s="138" t="str">
        <f>VLOOKUP(Purchase[[#This Row],[Supplier ID]],Supplier[#All],2,0)</f>
        <v>maa distributors</v>
      </c>
      <c r="E1802" s="138">
        <f>VLOOKUP(Purchase[[#This Row],[Supplier ID]],Supplier[#All],3,0)</f>
        <v>9689542479</v>
      </c>
      <c r="F1802" s="138" t="str">
        <f>VLOOKUP(Purchase[[#This Row],[Supplier ID]],Supplier[#All],4,0)</f>
        <v>Indore</v>
      </c>
      <c r="G1802" s="138" t="str">
        <f>VLOOKUP(Purchase[[#This Row],[Supplier ID]],Supplier[#All],5,0)</f>
        <v>MP</v>
      </c>
      <c r="H1802" s="138" t="str">
        <f>VLOOKUP(Purchase[[#This Row],[Supplier ID]],Supplier[#All],6,0)</f>
        <v>GST2154521T033</v>
      </c>
      <c r="I1802" s="138" t="s">
        <v>346</v>
      </c>
      <c r="J1802" s="139">
        <v>29</v>
      </c>
      <c r="K1802" s="143">
        <f>VLOOKUP(Purchase[[#This Row],[Product ID]],Product[#All],6,0)</f>
        <v>77190</v>
      </c>
      <c r="L1802" s="143">
        <f>Purchase[[#This Row],[Purchase Rate]]*Purchase[[#This Row],[Qty]]</f>
        <v>2238510</v>
      </c>
      <c r="M1802" s="140">
        <v>0</v>
      </c>
      <c r="N1802" s="143">
        <v>0</v>
      </c>
      <c r="O1802" s="140">
        <v>0.18</v>
      </c>
      <c r="P1802" s="145">
        <f>(Purchase[[#This Row],[Gross Amount]]-Purchase[[#This Row],[Disct %]])*Purchase[[#This Row],[GST %]]</f>
        <v>402931.8</v>
      </c>
      <c r="Q1802" s="145">
        <f>Purchase[[#This Row],[Gross Amount]]-Purchase[[#This Row],[Disct Amnt]]+Purchase[[#This Row],[GST Amount]]</f>
        <v>2641441.7999999998</v>
      </c>
      <c r="R1802" s="138" t="s">
        <v>1019</v>
      </c>
      <c r="S1802" s="41">
        <f>IF(Purchase[[#This Row],[Status]]="Cancelled",0,Purchase[[#This Row],[Qty]])</f>
        <v>29</v>
      </c>
      <c r="T1802" s="146">
        <f>IF(Purchase[[#This Row],[Status]]="Cancelled",0,Purchase[[#This Row],[Total Amount]])</f>
        <v>2641441.7999999998</v>
      </c>
      <c r="U1802" s="146">
        <f>SUM(Purchase[Net Amount])</f>
        <v>814985438.68000126</v>
      </c>
    </row>
    <row r="1803" spans="1:21" ht="19.5" thickBot="1" x14ac:dyDescent="0.3">
      <c r="A1803" s="136" t="s">
        <v>2858</v>
      </c>
      <c r="B1803" s="137">
        <v>45746</v>
      </c>
      <c r="C1803" s="138" t="s">
        <v>578</v>
      </c>
      <c r="D1803" s="138" t="str">
        <f>VLOOKUP(Purchase[[#This Row],[Supplier ID]],Supplier[#All],2,0)</f>
        <v>Shree Computers</v>
      </c>
      <c r="E1803" s="138">
        <f>VLOOKUP(Purchase[[#This Row],[Supplier ID]],Supplier[#All],3,0)</f>
        <v>9689542462</v>
      </c>
      <c r="F1803" s="138" t="str">
        <f>VLOOKUP(Purchase[[#This Row],[Supplier ID]],Supplier[#All],4,0)</f>
        <v>Korba</v>
      </c>
      <c r="G1803" s="138" t="str">
        <f>VLOOKUP(Purchase[[#This Row],[Supplier ID]],Supplier[#All],5,0)</f>
        <v>CG</v>
      </c>
      <c r="H1803" s="138" t="str">
        <f>VLOOKUP(Purchase[[#This Row],[Supplier ID]],Supplier[#All],6,0)</f>
        <v>GST2154521T024</v>
      </c>
      <c r="I1803" s="138" t="s">
        <v>501</v>
      </c>
      <c r="J1803" s="139">
        <v>32</v>
      </c>
      <c r="K1803" s="143">
        <f>VLOOKUP(Purchase[[#This Row],[Product ID]],Product[#All],6,0)</f>
        <v>3547</v>
      </c>
      <c r="L1803" s="143">
        <f>Purchase[[#This Row],[Purchase Rate]]*Purchase[[#This Row],[Qty]]</f>
        <v>113504</v>
      </c>
      <c r="M1803" s="140">
        <v>0</v>
      </c>
      <c r="N1803" s="143">
        <v>0</v>
      </c>
      <c r="O1803" s="140">
        <v>0.18</v>
      </c>
      <c r="P1803" s="145">
        <f>(Purchase[[#This Row],[Gross Amount]]-Purchase[[#This Row],[Disct %]])*Purchase[[#This Row],[GST %]]</f>
        <v>20430.719999999998</v>
      </c>
      <c r="Q1803" s="145">
        <f>Purchase[[#This Row],[Gross Amount]]-Purchase[[#This Row],[Disct Amnt]]+Purchase[[#This Row],[GST Amount]]</f>
        <v>133934.72</v>
      </c>
      <c r="R1803" s="138" t="s">
        <v>1019</v>
      </c>
      <c r="S1803" s="41">
        <f>IF(Purchase[[#This Row],[Status]]="Cancelled",0,Purchase[[#This Row],[Qty]])</f>
        <v>32</v>
      </c>
      <c r="T1803" s="146">
        <f>IF(Purchase[[#This Row],[Status]]="Cancelled",0,Purchase[[#This Row],[Total Amount]])</f>
        <v>133934.72</v>
      </c>
      <c r="U1803" s="146">
        <f>SUM(Purchase[Net Amount])</f>
        <v>814985438.68000126</v>
      </c>
    </row>
    <row r="1804" spans="1:21" ht="19.5" thickBot="1" x14ac:dyDescent="0.3">
      <c r="A1804" s="136" t="s">
        <v>2859</v>
      </c>
      <c r="B1804" s="137">
        <v>45746</v>
      </c>
      <c r="C1804" s="138" t="s">
        <v>613</v>
      </c>
      <c r="D1804" s="138" t="str">
        <f>VLOOKUP(Purchase[[#This Row],[Supplier ID]],Supplier[#All],2,0)</f>
        <v>National Traders</v>
      </c>
      <c r="E1804" s="138">
        <f>VLOOKUP(Purchase[[#This Row],[Supplier ID]],Supplier[#All],3,0)</f>
        <v>9689542496</v>
      </c>
      <c r="F1804" s="138" t="str">
        <f>VLOOKUP(Purchase[[#This Row],[Supplier ID]],Supplier[#All],4,0)</f>
        <v>Indore</v>
      </c>
      <c r="G1804" s="138" t="str">
        <f>VLOOKUP(Purchase[[#This Row],[Supplier ID]],Supplier[#All],5,0)</f>
        <v>MP</v>
      </c>
      <c r="H1804" s="138" t="str">
        <f>VLOOKUP(Purchase[[#This Row],[Supplier ID]],Supplier[#All],6,0)</f>
        <v>GST2154521T058</v>
      </c>
      <c r="I1804" s="138" t="s">
        <v>286</v>
      </c>
      <c r="J1804" s="139">
        <v>8</v>
      </c>
      <c r="K1804" s="143">
        <f>VLOOKUP(Purchase[[#This Row],[Product ID]],Product[#All],6,0)</f>
        <v>51772</v>
      </c>
      <c r="L1804" s="143">
        <f>Purchase[[#This Row],[Purchase Rate]]*Purchase[[#This Row],[Qty]]</f>
        <v>414176</v>
      </c>
      <c r="M1804" s="140">
        <v>0</v>
      </c>
      <c r="N1804" s="143">
        <v>0</v>
      </c>
      <c r="O1804" s="140">
        <v>0.18</v>
      </c>
      <c r="P1804" s="145">
        <f>(Purchase[[#This Row],[Gross Amount]]-Purchase[[#This Row],[Disct %]])*Purchase[[#This Row],[GST %]]</f>
        <v>74551.679999999993</v>
      </c>
      <c r="Q1804" s="145">
        <f>Purchase[[#This Row],[Gross Amount]]-Purchase[[#This Row],[Disct Amnt]]+Purchase[[#This Row],[GST Amount]]</f>
        <v>488727.68</v>
      </c>
      <c r="R1804" s="138" t="s">
        <v>1019</v>
      </c>
      <c r="S1804" s="41">
        <f>IF(Purchase[[#This Row],[Status]]="Cancelled",0,Purchase[[#This Row],[Qty]])</f>
        <v>8</v>
      </c>
      <c r="T1804" s="146">
        <f>IF(Purchase[[#This Row],[Status]]="Cancelled",0,Purchase[[#This Row],[Total Amount]])</f>
        <v>488727.68</v>
      </c>
      <c r="U1804" s="146">
        <f>SUM(Purchase[Net Amount])</f>
        <v>814985438.68000126</v>
      </c>
    </row>
    <row r="1805" spans="1:21" ht="19.5" thickBot="1" x14ac:dyDescent="0.3">
      <c r="A1805" s="136" t="s">
        <v>2860</v>
      </c>
      <c r="B1805" s="137">
        <v>45746</v>
      </c>
      <c r="C1805" s="138" t="s">
        <v>588</v>
      </c>
      <c r="D1805" s="138" t="str">
        <f>VLOOKUP(Purchase[[#This Row],[Supplier ID]],Supplier[#All],2,0)</f>
        <v>Star Electronics</v>
      </c>
      <c r="E1805" s="138">
        <f>VLOOKUP(Purchase[[#This Row],[Supplier ID]],Supplier[#All],3,0)</f>
        <v>9689542472</v>
      </c>
      <c r="F1805" s="138" t="str">
        <f>VLOOKUP(Purchase[[#This Row],[Supplier ID]],Supplier[#All],4,0)</f>
        <v>Korba</v>
      </c>
      <c r="G1805" s="138" t="str">
        <f>VLOOKUP(Purchase[[#This Row],[Supplier ID]],Supplier[#All],5,0)</f>
        <v>CG</v>
      </c>
      <c r="H1805" s="138" t="str">
        <f>VLOOKUP(Purchase[[#This Row],[Supplier ID]],Supplier[#All],6,0)</f>
        <v>GST2154521T034</v>
      </c>
      <c r="I1805" s="138" t="s">
        <v>187</v>
      </c>
      <c r="J1805" s="139">
        <v>21</v>
      </c>
      <c r="K1805" s="143">
        <f>VLOOKUP(Purchase[[#This Row],[Product ID]],Product[#All],6,0)</f>
        <v>712</v>
      </c>
      <c r="L1805" s="143">
        <f>Purchase[[#This Row],[Purchase Rate]]*Purchase[[#This Row],[Qty]]</f>
        <v>14952</v>
      </c>
      <c r="M1805" s="140">
        <v>0</v>
      </c>
      <c r="N1805" s="143">
        <v>0</v>
      </c>
      <c r="O1805" s="140">
        <v>0.18</v>
      </c>
      <c r="P1805" s="145">
        <f>(Purchase[[#This Row],[Gross Amount]]-Purchase[[#This Row],[Disct %]])*Purchase[[#This Row],[GST %]]</f>
        <v>2691.36</v>
      </c>
      <c r="Q1805" s="145">
        <f>Purchase[[#This Row],[Gross Amount]]-Purchase[[#This Row],[Disct Amnt]]+Purchase[[#This Row],[GST Amount]]</f>
        <v>17643.36</v>
      </c>
      <c r="R1805" s="138" t="s">
        <v>1019</v>
      </c>
      <c r="S1805" s="41">
        <f>IF(Purchase[[#This Row],[Status]]="Cancelled",0,Purchase[[#This Row],[Qty]])</f>
        <v>21</v>
      </c>
      <c r="T1805" s="146">
        <f>IF(Purchase[[#This Row],[Status]]="Cancelled",0,Purchase[[#This Row],[Total Amount]])</f>
        <v>17643.36</v>
      </c>
      <c r="U1805" s="146">
        <f>SUM(Purchase[Net Amount])</f>
        <v>814985438.68000126</v>
      </c>
    </row>
    <row r="1806" spans="1:21" ht="19.5" thickBot="1" x14ac:dyDescent="0.3">
      <c r="A1806" s="136" t="s">
        <v>2861</v>
      </c>
      <c r="B1806" s="137">
        <v>45746</v>
      </c>
      <c r="C1806" s="138" t="s">
        <v>612</v>
      </c>
      <c r="D1806" s="138" t="str">
        <f>VLOOKUP(Purchase[[#This Row],[Supplier ID]],Supplier[#All],2,0)</f>
        <v>National Computers</v>
      </c>
      <c r="E1806" s="138">
        <f>VLOOKUP(Purchase[[#This Row],[Supplier ID]],Supplier[#All],3,0)</f>
        <v>9689542495</v>
      </c>
      <c r="F1806" s="138" t="str">
        <f>VLOOKUP(Purchase[[#This Row],[Supplier ID]],Supplier[#All],4,0)</f>
        <v>Indore</v>
      </c>
      <c r="G1806" s="138" t="str">
        <f>VLOOKUP(Purchase[[#This Row],[Supplier ID]],Supplier[#All],5,0)</f>
        <v>MP</v>
      </c>
      <c r="H1806" s="138" t="str">
        <f>VLOOKUP(Purchase[[#This Row],[Supplier ID]],Supplier[#All],6,0)</f>
        <v>GST2154521T057</v>
      </c>
      <c r="I1806" s="138" t="s">
        <v>319</v>
      </c>
      <c r="J1806" s="139">
        <v>18</v>
      </c>
      <c r="K1806" s="143">
        <f>VLOOKUP(Purchase[[#This Row],[Product ID]],Product[#All],6,0)</f>
        <v>8807</v>
      </c>
      <c r="L1806" s="143">
        <f>Purchase[[#This Row],[Purchase Rate]]*Purchase[[#This Row],[Qty]]</f>
        <v>158526</v>
      </c>
      <c r="M1806" s="140">
        <v>0</v>
      </c>
      <c r="N1806" s="143">
        <v>0</v>
      </c>
      <c r="O1806" s="140">
        <v>0.18</v>
      </c>
      <c r="P1806" s="145">
        <f>(Purchase[[#This Row],[Gross Amount]]-Purchase[[#This Row],[Disct %]])*Purchase[[#This Row],[GST %]]</f>
        <v>28534.68</v>
      </c>
      <c r="Q1806" s="145">
        <f>Purchase[[#This Row],[Gross Amount]]-Purchase[[#This Row],[Disct Amnt]]+Purchase[[#This Row],[GST Amount]]</f>
        <v>187060.68</v>
      </c>
      <c r="R1806" s="138" t="s">
        <v>1019</v>
      </c>
      <c r="S1806" s="41">
        <f>IF(Purchase[[#This Row],[Status]]="Cancelled",0,Purchase[[#This Row],[Qty]])</f>
        <v>18</v>
      </c>
      <c r="T1806" s="146">
        <f>IF(Purchase[[#This Row],[Status]]="Cancelled",0,Purchase[[#This Row],[Total Amount]])</f>
        <v>187060.68</v>
      </c>
      <c r="U1806" s="146">
        <f>SUM(Purchase[Net Amount])</f>
        <v>814985438.68000126</v>
      </c>
    </row>
    <row r="1807" spans="1:21" ht="19.5" thickBot="1" x14ac:dyDescent="0.3">
      <c r="A1807" s="136" t="s">
        <v>2862</v>
      </c>
      <c r="B1807" s="137">
        <v>45746</v>
      </c>
      <c r="C1807" s="138" t="s">
        <v>580</v>
      </c>
      <c r="D1807" s="138" t="str">
        <f>VLOOKUP(Purchase[[#This Row],[Supplier ID]],Supplier[#All],2,0)</f>
        <v>Star Distributors</v>
      </c>
      <c r="E1807" s="138">
        <f>VLOOKUP(Purchase[[#This Row],[Supplier ID]],Supplier[#All],3,0)</f>
        <v>9689542464</v>
      </c>
      <c r="F1807" s="138" t="str">
        <f>VLOOKUP(Purchase[[#This Row],[Supplier ID]],Supplier[#All],4,0)</f>
        <v>Indore</v>
      </c>
      <c r="G1807" s="138" t="str">
        <f>VLOOKUP(Purchase[[#This Row],[Supplier ID]],Supplier[#All],5,0)</f>
        <v>MP</v>
      </c>
      <c r="H1807" s="138" t="str">
        <f>VLOOKUP(Purchase[[#This Row],[Supplier ID]],Supplier[#All],6,0)</f>
        <v>GST2154521T026</v>
      </c>
      <c r="I1807" s="138" t="s">
        <v>320</v>
      </c>
      <c r="J1807" s="139">
        <v>7</v>
      </c>
      <c r="K1807" s="143">
        <f>VLOOKUP(Purchase[[#This Row],[Product ID]],Product[#All],6,0)</f>
        <v>10004</v>
      </c>
      <c r="L1807" s="143">
        <f>Purchase[[#This Row],[Purchase Rate]]*Purchase[[#This Row],[Qty]]</f>
        <v>70028</v>
      </c>
      <c r="M1807" s="140">
        <v>0</v>
      </c>
      <c r="N1807" s="143">
        <v>0</v>
      </c>
      <c r="O1807" s="140">
        <v>0.18</v>
      </c>
      <c r="P1807" s="145">
        <f>(Purchase[[#This Row],[Gross Amount]]-Purchase[[#This Row],[Disct %]])*Purchase[[#This Row],[GST %]]</f>
        <v>12605.039999999999</v>
      </c>
      <c r="Q1807" s="145">
        <f>Purchase[[#This Row],[Gross Amount]]-Purchase[[#This Row],[Disct Amnt]]+Purchase[[#This Row],[GST Amount]]</f>
        <v>82633.039999999994</v>
      </c>
      <c r="R1807" s="138" t="s">
        <v>1019</v>
      </c>
      <c r="S1807" s="41">
        <f>IF(Purchase[[#This Row],[Status]]="Cancelled",0,Purchase[[#This Row],[Qty]])</f>
        <v>7</v>
      </c>
      <c r="T1807" s="146">
        <f>IF(Purchase[[#This Row],[Status]]="Cancelled",0,Purchase[[#This Row],[Total Amount]])</f>
        <v>82633.039999999994</v>
      </c>
      <c r="U1807" s="146">
        <f>SUM(Purchase[Net Amount])</f>
        <v>814985438.68000126</v>
      </c>
    </row>
    <row r="1808" spans="1:21" ht="19.5" thickBot="1" x14ac:dyDescent="0.3">
      <c r="A1808" s="136" t="s">
        <v>2863</v>
      </c>
      <c r="B1808" s="137">
        <v>45746</v>
      </c>
      <c r="C1808" s="138" t="s">
        <v>568</v>
      </c>
      <c r="D1808" s="138" t="str">
        <f>VLOOKUP(Purchase[[#This Row],[Supplier ID]],Supplier[#All],2,0)</f>
        <v>Maa Computers</v>
      </c>
      <c r="E1808" s="138">
        <f>VLOOKUP(Purchase[[#This Row],[Supplier ID]],Supplier[#All],3,0)</f>
        <v>9689542454</v>
      </c>
      <c r="F1808" s="138" t="str">
        <f>VLOOKUP(Purchase[[#This Row],[Supplier ID]],Supplier[#All],4,0)</f>
        <v>Korba</v>
      </c>
      <c r="G1808" s="138" t="str">
        <f>VLOOKUP(Purchase[[#This Row],[Supplier ID]],Supplier[#All],5,0)</f>
        <v>CG</v>
      </c>
      <c r="H1808" s="138" t="str">
        <f>VLOOKUP(Purchase[[#This Row],[Supplier ID]],Supplier[#All],6,0)</f>
        <v>GST2154521T016</v>
      </c>
      <c r="I1808" s="138" t="s">
        <v>59</v>
      </c>
      <c r="J1808" s="139">
        <v>6</v>
      </c>
      <c r="K1808" s="143">
        <f>VLOOKUP(Purchase[[#This Row],[Product ID]],Product[#All],6,0)</f>
        <v>928</v>
      </c>
      <c r="L1808" s="143">
        <f>Purchase[[#This Row],[Purchase Rate]]*Purchase[[#This Row],[Qty]]</f>
        <v>5568</v>
      </c>
      <c r="M1808" s="140">
        <v>0</v>
      </c>
      <c r="N1808" s="143">
        <v>0</v>
      </c>
      <c r="O1808" s="140">
        <v>0.18</v>
      </c>
      <c r="P1808" s="145">
        <f>(Purchase[[#This Row],[Gross Amount]]-Purchase[[#This Row],[Disct %]])*Purchase[[#This Row],[GST %]]</f>
        <v>1002.24</v>
      </c>
      <c r="Q1808" s="145">
        <f>Purchase[[#This Row],[Gross Amount]]-Purchase[[#This Row],[Disct Amnt]]+Purchase[[#This Row],[GST Amount]]</f>
        <v>6570.24</v>
      </c>
      <c r="R1808" s="138" t="s">
        <v>1019</v>
      </c>
      <c r="S1808" s="41">
        <f>IF(Purchase[[#This Row],[Status]]="Cancelled",0,Purchase[[#This Row],[Qty]])</f>
        <v>6</v>
      </c>
      <c r="T1808" s="146">
        <f>IF(Purchase[[#This Row],[Status]]="Cancelled",0,Purchase[[#This Row],[Total Amount]])</f>
        <v>6570.24</v>
      </c>
      <c r="U1808" s="146">
        <f>SUM(Purchase[Net Amount])</f>
        <v>814985438.68000126</v>
      </c>
    </row>
    <row r="1809" spans="1:21" ht="19.5" thickBot="1" x14ac:dyDescent="0.3">
      <c r="A1809" s="136" t="s">
        <v>2864</v>
      </c>
      <c r="B1809" s="137">
        <v>45746</v>
      </c>
      <c r="C1809" s="138" t="s">
        <v>603</v>
      </c>
      <c r="D1809" s="138" t="str">
        <f>VLOOKUP(Purchase[[#This Row],[Supplier ID]],Supplier[#All],2,0)</f>
        <v>Tech Computers</v>
      </c>
      <c r="E1809" s="138">
        <f>VLOOKUP(Purchase[[#This Row],[Supplier ID]],Supplier[#All],3,0)</f>
        <v>9689542486</v>
      </c>
      <c r="F1809" s="138" t="str">
        <f>VLOOKUP(Purchase[[#This Row],[Supplier ID]],Supplier[#All],4,0)</f>
        <v>Indore</v>
      </c>
      <c r="G1809" s="138" t="str">
        <f>VLOOKUP(Purchase[[#This Row],[Supplier ID]],Supplier[#All],5,0)</f>
        <v>MP</v>
      </c>
      <c r="H1809" s="138" t="str">
        <f>VLOOKUP(Purchase[[#This Row],[Supplier ID]],Supplier[#All],6,0)</f>
        <v>GST2154521T048</v>
      </c>
      <c r="I1809" s="138" t="s">
        <v>271</v>
      </c>
      <c r="J1809" s="139">
        <v>3</v>
      </c>
      <c r="K1809" s="143">
        <f>VLOOKUP(Purchase[[#This Row],[Product ID]],Product[#All],6,0)</f>
        <v>353</v>
      </c>
      <c r="L1809" s="143">
        <f>Purchase[[#This Row],[Purchase Rate]]*Purchase[[#This Row],[Qty]]</f>
        <v>1059</v>
      </c>
      <c r="M1809" s="140">
        <v>0</v>
      </c>
      <c r="N1809" s="143">
        <v>0</v>
      </c>
      <c r="O1809" s="140">
        <v>0.18</v>
      </c>
      <c r="P1809" s="145">
        <f>(Purchase[[#This Row],[Gross Amount]]-Purchase[[#This Row],[Disct %]])*Purchase[[#This Row],[GST %]]</f>
        <v>190.62</v>
      </c>
      <c r="Q1809" s="145">
        <f>Purchase[[#This Row],[Gross Amount]]-Purchase[[#This Row],[Disct Amnt]]+Purchase[[#This Row],[GST Amount]]</f>
        <v>1249.6199999999999</v>
      </c>
      <c r="R1809" s="138" t="s">
        <v>1019</v>
      </c>
      <c r="S1809" s="41">
        <f>IF(Purchase[[#This Row],[Status]]="Cancelled",0,Purchase[[#This Row],[Qty]])</f>
        <v>3</v>
      </c>
      <c r="T1809" s="146">
        <f>IF(Purchase[[#This Row],[Status]]="Cancelled",0,Purchase[[#This Row],[Total Amount]])</f>
        <v>1249.6199999999999</v>
      </c>
      <c r="U1809" s="146">
        <f>SUM(Purchase[Net Amount])</f>
        <v>814985438.68000126</v>
      </c>
    </row>
    <row r="1810" spans="1:21" ht="19.5" thickBot="1" x14ac:dyDescent="0.3">
      <c r="A1810" s="136" t="s">
        <v>2865</v>
      </c>
      <c r="B1810" s="137">
        <v>45746</v>
      </c>
      <c r="C1810" s="138" t="s">
        <v>567</v>
      </c>
      <c r="D1810" s="138" t="str">
        <f>VLOOKUP(Purchase[[#This Row],[Supplier ID]],Supplier[#All],2,0)</f>
        <v>National Distributors</v>
      </c>
      <c r="E1810" s="138">
        <f>VLOOKUP(Purchase[[#This Row],[Supplier ID]],Supplier[#All],3,0)</f>
        <v>9689542453</v>
      </c>
      <c r="F1810" s="138" t="str">
        <f>VLOOKUP(Purchase[[#This Row],[Supplier ID]],Supplier[#All],4,0)</f>
        <v>Korba</v>
      </c>
      <c r="G1810" s="138" t="str">
        <f>VLOOKUP(Purchase[[#This Row],[Supplier ID]],Supplier[#All],5,0)</f>
        <v>CG</v>
      </c>
      <c r="H1810" s="138" t="str">
        <f>VLOOKUP(Purchase[[#This Row],[Supplier ID]],Supplier[#All],6,0)</f>
        <v>GST2154521T015</v>
      </c>
      <c r="I1810" s="138" t="s">
        <v>62</v>
      </c>
      <c r="J1810" s="139">
        <v>8</v>
      </c>
      <c r="K1810" s="143">
        <f>VLOOKUP(Purchase[[#This Row],[Product ID]],Product[#All],6,0)</f>
        <v>5977</v>
      </c>
      <c r="L1810" s="143">
        <f>Purchase[[#This Row],[Purchase Rate]]*Purchase[[#This Row],[Qty]]</f>
        <v>47816</v>
      </c>
      <c r="M1810" s="140">
        <v>0</v>
      </c>
      <c r="N1810" s="143">
        <v>0</v>
      </c>
      <c r="O1810" s="140">
        <v>0.18</v>
      </c>
      <c r="P1810" s="145">
        <f>(Purchase[[#This Row],[Gross Amount]]-Purchase[[#This Row],[Disct %]])*Purchase[[#This Row],[GST %]]</f>
        <v>8606.8799999999992</v>
      </c>
      <c r="Q1810" s="145">
        <f>Purchase[[#This Row],[Gross Amount]]-Purchase[[#This Row],[Disct Amnt]]+Purchase[[#This Row],[GST Amount]]</f>
        <v>56422.879999999997</v>
      </c>
      <c r="R1810" s="138" t="s">
        <v>1019</v>
      </c>
      <c r="S1810" s="41">
        <f>IF(Purchase[[#This Row],[Status]]="Cancelled",0,Purchase[[#This Row],[Qty]])</f>
        <v>8</v>
      </c>
      <c r="T1810" s="146">
        <f>IF(Purchase[[#This Row],[Status]]="Cancelled",0,Purchase[[#This Row],[Total Amount]])</f>
        <v>56422.879999999997</v>
      </c>
      <c r="U1810" s="146">
        <f>SUM(Purchase[Net Amount])</f>
        <v>814985438.68000126</v>
      </c>
    </row>
    <row r="1811" spans="1:21" ht="19.5" thickBot="1" x14ac:dyDescent="0.3">
      <c r="A1811" s="136" t="s">
        <v>2866</v>
      </c>
      <c r="B1811" s="137">
        <v>45746</v>
      </c>
      <c r="C1811" s="138" t="s">
        <v>584</v>
      </c>
      <c r="D1811" s="138" t="str">
        <f>VLOOKUP(Purchase[[#This Row],[Supplier ID]],Supplier[#All],2,0)</f>
        <v>Prime Computers</v>
      </c>
      <c r="E1811" s="138">
        <f>VLOOKUP(Purchase[[#This Row],[Supplier ID]],Supplier[#All],3,0)</f>
        <v>9689542468</v>
      </c>
      <c r="F1811" s="138" t="str">
        <f>VLOOKUP(Purchase[[#This Row],[Supplier ID]],Supplier[#All],4,0)</f>
        <v>Kanpur</v>
      </c>
      <c r="G1811" s="138" t="str">
        <f>VLOOKUP(Purchase[[#This Row],[Supplier ID]],Supplier[#All],5,0)</f>
        <v>UP</v>
      </c>
      <c r="H1811" s="138" t="str">
        <f>VLOOKUP(Purchase[[#This Row],[Supplier ID]],Supplier[#All],6,0)</f>
        <v>GST2154521T030</v>
      </c>
      <c r="I1811" s="138" t="s">
        <v>106</v>
      </c>
      <c r="J1811" s="139">
        <v>13</v>
      </c>
      <c r="K1811" s="143">
        <f>VLOOKUP(Purchase[[#This Row],[Product ID]],Product[#All],6,0)</f>
        <v>6729</v>
      </c>
      <c r="L1811" s="143">
        <f>Purchase[[#This Row],[Purchase Rate]]*Purchase[[#This Row],[Qty]]</f>
        <v>87477</v>
      </c>
      <c r="M1811" s="140">
        <v>0</v>
      </c>
      <c r="N1811" s="143">
        <v>0</v>
      </c>
      <c r="O1811" s="140">
        <v>0.18</v>
      </c>
      <c r="P1811" s="145">
        <f>(Purchase[[#This Row],[Gross Amount]]-Purchase[[#This Row],[Disct %]])*Purchase[[#This Row],[GST %]]</f>
        <v>15745.859999999999</v>
      </c>
      <c r="Q1811" s="145">
        <f>Purchase[[#This Row],[Gross Amount]]-Purchase[[#This Row],[Disct Amnt]]+Purchase[[#This Row],[GST Amount]]</f>
        <v>103222.86</v>
      </c>
      <c r="R1811" s="138" t="s">
        <v>1019</v>
      </c>
      <c r="S1811" s="41">
        <f>IF(Purchase[[#This Row],[Status]]="Cancelled",0,Purchase[[#This Row],[Qty]])</f>
        <v>13</v>
      </c>
      <c r="T1811" s="146">
        <f>IF(Purchase[[#This Row],[Status]]="Cancelled",0,Purchase[[#This Row],[Total Amount]])</f>
        <v>103222.86</v>
      </c>
      <c r="U1811" s="146">
        <f>SUM(Purchase[Net Amount])</f>
        <v>814985438.68000126</v>
      </c>
    </row>
    <row r="1812" spans="1:21" ht="19.5" thickBot="1" x14ac:dyDescent="0.3">
      <c r="A1812" s="136" t="s">
        <v>2867</v>
      </c>
      <c r="B1812" s="137">
        <v>45746</v>
      </c>
      <c r="C1812" s="138" t="s">
        <v>598</v>
      </c>
      <c r="D1812" s="138" t="str">
        <f>VLOOKUP(Purchase[[#This Row],[Supplier ID]],Supplier[#All],2,0)</f>
        <v>National Distributors</v>
      </c>
      <c r="E1812" s="138">
        <f>VLOOKUP(Purchase[[#This Row],[Supplier ID]],Supplier[#All],3,0)</f>
        <v>9689542489</v>
      </c>
      <c r="F1812" s="138" t="str">
        <f>VLOOKUP(Purchase[[#This Row],[Supplier ID]],Supplier[#All],4,0)</f>
        <v>Indore</v>
      </c>
      <c r="G1812" s="138" t="str">
        <f>VLOOKUP(Purchase[[#This Row],[Supplier ID]],Supplier[#All],5,0)</f>
        <v>MP</v>
      </c>
      <c r="H1812" s="138" t="str">
        <f>VLOOKUP(Purchase[[#This Row],[Supplier ID]],Supplier[#All],6,0)</f>
        <v>GST2154521T043</v>
      </c>
      <c r="I1812" s="138" t="s">
        <v>65</v>
      </c>
      <c r="J1812" s="139">
        <v>31</v>
      </c>
      <c r="K1812" s="143">
        <f>VLOOKUP(Purchase[[#This Row],[Product ID]],Product[#All],6,0)</f>
        <v>1758</v>
      </c>
      <c r="L1812" s="143">
        <f>Purchase[[#This Row],[Purchase Rate]]*Purchase[[#This Row],[Qty]]</f>
        <v>54498</v>
      </c>
      <c r="M1812" s="140">
        <v>0</v>
      </c>
      <c r="N1812" s="143">
        <v>0</v>
      </c>
      <c r="O1812" s="140">
        <v>0.18</v>
      </c>
      <c r="P1812" s="145">
        <f>(Purchase[[#This Row],[Gross Amount]]-Purchase[[#This Row],[Disct %]])*Purchase[[#This Row],[GST %]]</f>
        <v>9809.64</v>
      </c>
      <c r="Q1812" s="145">
        <f>Purchase[[#This Row],[Gross Amount]]-Purchase[[#This Row],[Disct Amnt]]+Purchase[[#This Row],[GST Amount]]</f>
        <v>64307.64</v>
      </c>
      <c r="R1812" s="138" t="s">
        <v>1019</v>
      </c>
      <c r="S1812" s="41">
        <f>IF(Purchase[[#This Row],[Status]]="Cancelled",0,Purchase[[#This Row],[Qty]])</f>
        <v>31</v>
      </c>
      <c r="T1812" s="146">
        <f>IF(Purchase[[#This Row],[Status]]="Cancelled",0,Purchase[[#This Row],[Total Amount]])</f>
        <v>64307.64</v>
      </c>
      <c r="U1812" s="146">
        <f>SUM(Purchase[Net Amount])</f>
        <v>814985438.68000126</v>
      </c>
    </row>
    <row r="1813" spans="1:21" ht="19.5" thickBot="1" x14ac:dyDescent="0.3">
      <c r="A1813" s="136" t="s">
        <v>2868</v>
      </c>
      <c r="B1813" s="137">
        <v>45746</v>
      </c>
      <c r="C1813" s="138" t="s">
        <v>596</v>
      </c>
      <c r="D1813" s="138" t="str">
        <f>VLOOKUP(Purchase[[#This Row],[Supplier ID]],Supplier[#All],2,0)</f>
        <v>star traders</v>
      </c>
      <c r="E1813" s="138">
        <f>VLOOKUP(Purchase[[#This Row],[Supplier ID]],Supplier[#All],3,0)</f>
        <v>9689542479</v>
      </c>
      <c r="F1813" s="138" t="str">
        <f>VLOOKUP(Purchase[[#This Row],[Supplier ID]],Supplier[#All],4,0)</f>
        <v>Korba</v>
      </c>
      <c r="G1813" s="138" t="str">
        <f>VLOOKUP(Purchase[[#This Row],[Supplier ID]],Supplier[#All],5,0)</f>
        <v>CG</v>
      </c>
      <c r="H1813" s="138" t="str">
        <f>VLOOKUP(Purchase[[#This Row],[Supplier ID]],Supplier[#All],6,0)</f>
        <v>GST2154521T041</v>
      </c>
      <c r="I1813" s="138" t="s">
        <v>68</v>
      </c>
      <c r="J1813" s="139">
        <v>18</v>
      </c>
      <c r="K1813" s="143">
        <f>VLOOKUP(Purchase[[#This Row],[Product ID]],Product[#All],6,0)</f>
        <v>17186</v>
      </c>
      <c r="L1813" s="143">
        <f>Purchase[[#This Row],[Purchase Rate]]*Purchase[[#This Row],[Qty]]</f>
        <v>309348</v>
      </c>
      <c r="M1813" s="140">
        <v>0</v>
      </c>
      <c r="N1813" s="143">
        <v>0</v>
      </c>
      <c r="O1813" s="140">
        <v>0.18</v>
      </c>
      <c r="P1813" s="145">
        <f>(Purchase[[#This Row],[Gross Amount]]-Purchase[[#This Row],[Disct %]])*Purchase[[#This Row],[GST %]]</f>
        <v>55682.64</v>
      </c>
      <c r="Q1813" s="145">
        <f>Purchase[[#This Row],[Gross Amount]]-Purchase[[#This Row],[Disct Amnt]]+Purchase[[#This Row],[GST Amount]]</f>
        <v>365030.64</v>
      </c>
      <c r="R1813" s="138" t="s">
        <v>1019</v>
      </c>
      <c r="S1813" s="41">
        <f>IF(Purchase[[#This Row],[Status]]="Cancelled",0,Purchase[[#This Row],[Qty]])</f>
        <v>18</v>
      </c>
      <c r="T1813" s="146">
        <f>IF(Purchase[[#This Row],[Status]]="Cancelled",0,Purchase[[#This Row],[Total Amount]])</f>
        <v>365030.64</v>
      </c>
      <c r="U1813" s="146">
        <f>SUM(Purchase[Net Amount])</f>
        <v>814985438.68000126</v>
      </c>
    </row>
    <row r="1814" spans="1:21" ht="19.5" thickBot="1" x14ac:dyDescent="0.3">
      <c r="A1814" s="136" t="s">
        <v>2869</v>
      </c>
      <c r="B1814" s="137">
        <v>45746</v>
      </c>
      <c r="C1814" s="138" t="s">
        <v>583</v>
      </c>
      <c r="D1814" s="138" t="str">
        <f>VLOOKUP(Purchase[[#This Row],[Supplier ID]],Supplier[#All],2,0)</f>
        <v>Shree Distributors</v>
      </c>
      <c r="E1814" s="138">
        <f>VLOOKUP(Purchase[[#This Row],[Supplier ID]],Supplier[#All],3,0)</f>
        <v>9689542467</v>
      </c>
      <c r="F1814" s="138" t="str">
        <f>VLOOKUP(Purchase[[#This Row],[Supplier ID]],Supplier[#All],4,0)</f>
        <v>Indore</v>
      </c>
      <c r="G1814" s="138" t="str">
        <f>VLOOKUP(Purchase[[#This Row],[Supplier ID]],Supplier[#All],5,0)</f>
        <v>MP</v>
      </c>
      <c r="H1814" s="138" t="str">
        <f>VLOOKUP(Purchase[[#This Row],[Supplier ID]],Supplier[#All],6,0)</f>
        <v>GST2154521T029</v>
      </c>
      <c r="I1814" s="138" t="s">
        <v>412</v>
      </c>
      <c r="J1814" s="139">
        <v>14</v>
      </c>
      <c r="K1814" s="143">
        <f>VLOOKUP(Purchase[[#This Row],[Product ID]],Product[#All],6,0)</f>
        <v>23332</v>
      </c>
      <c r="L1814" s="143">
        <f>Purchase[[#This Row],[Purchase Rate]]*Purchase[[#This Row],[Qty]]</f>
        <v>326648</v>
      </c>
      <c r="M1814" s="140">
        <v>0</v>
      </c>
      <c r="N1814" s="143">
        <v>0</v>
      </c>
      <c r="O1814" s="140">
        <v>0.18</v>
      </c>
      <c r="P1814" s="145">
        <f>(Purchase[[#This Row],[Gross Amount]]-Purchase[[#This Row],[Disct %]])*Purchase[[#This Row],[GST %]]</f>
        <v>58796.639999999999</v>
      </c>
      <c r="Q1814" s="145">
        <f>Purchase[[#This Row],[Gross Amount]]-Purchase[[#This Row],[Disct Amnt]]+Purchase[[#This Row],[GST Amount]]</f>
        <v>385444.64</v>
      </c>
      <c r="R1814" s="138" t="s">
        <v>1019</v>
      </c>
      <c r="S1814" s="41">
        <f>IF(Purchase[[#This Row],[Status]]="Cancelled",0,Purchase[[#This Row],[Qty]])</f>
        <v>14</v>
      </c>
      <c r="T1814" s="146">
        <f>IF(Purchase[[#This Row],[Status]]="Cancelled",0,Purchase[[#This Row],[Total Amount]])</f>
        <v>385444.64</v>
      </c>
      <c r="U1814" s="146">
        <f>SUM(Purchase[Net Amount])</f>
        <v>814985438.68000126</v>
      </c>
    </row>
    <row r="1815" spans="1:21" ht="19.5" thickBot="1" x14ac:dyDescent="0.3">
      <c r="A1815" s="136" t="s">
        <v>2870</v>
      </c>
      <c r="B1815" s="137">
        <v>45746</v>
      </c>
      <c r="C1815" s="138" t="s">
        <v>609</v>
      </c>
      <c r="D1815" s="138" t="str">
        <f>VLOOKUP(Purchase[[#This Row],[Supplier ID]],Supplier[#All],2,0)</f>
        <v>Star Suppliers</v>
      </c>
      <c r="E1815" s="138">
        <f>VLOOKUP(Purchase[[#This Row],[Supplier ID]],Supplier[#All],3,0)</f>
        <v>9689542492</v>
      </c>
      <c r="F1815" s="138" t="str">
        <f>VLOOKUP(Purchase[[#This Row],[Supplier ID]],Supplier[#All],4,0)</f>
        <v>Kanpur</v>
      </c>
      <c r="G1815" s="138" t="str">
        <f>VLOOKUP(Purchase[[#This Row],[Supplier ID]],Supplier[#All],5,0)</f>
        <v>UP</v>
      </c>
      <c r="H1815" s="138" t="str">
        <f>VLOOKUP(Purchase[[#This Row],[Supplier ID]],Supplier[#All],6,0)</f>
        <v>GST2154521T054</v>
      </c>
      <c r="I1815" s="138" t="s">
        <v>469</v>
      </c>
      <c r="J1815" s="139">
        <v>13</v>
      </c>
      <c r="K1815" s="143">
        <f>VLOOKUP(Purchase[[#This Row],[Product ID]],Product[#All],6,0)</f>
        <v>5378</v>
      </c>
      <c r="L1815" s="143">
        <f>Purchase[[#This Row],[Purchase Rate]]*Purchase[[#This Row],[Qty]]</f>
        <v>69914</v>
      </c>
      <c r="M1815" s="140">
        <v>0</v>
      </c>
      <c r="N1815" s="143">
        <v>0</v>
      </c>
      <c r="O1815" s="140">
        <v>0.18</v>
      </c>
      <c r="P1815" s="145">
        <f>(Purchase[[#This Row],[Gross Amount]]-Purchase[[#This Row],[Disct %]])*Purchase[[#This Row],[GST %]]</f>
        <v>12584.52</v>
      </c>
      <c r="Q1815" s="145">
        <f>Purchase[[#This Row],[Gross Amount]]-Purchase[[#This Row],[Disct Amnt]]+Purchase[[#This Row],[GST Amount]]</f>
        <v>82498.52</v>
      </c>
      <c r="R1815" s="138" t="s">
        <v>1019</v>
      </c>
      <c r="S1815" s="41">
        <f>IF(Purchase[[#This Row],[Status]]="Cancelled",0,Purchase[[#This Row],[Qty]])</f>
        <v>13</v>
      </c>
      <c r="T1815" s="146">
        <f>IF(Purchase[[#This Row],[Status]]="Cancelled",0,Purchase[[#This Row],[Total Amount]])</f>
        <v>82498.52</v>
      </c>
      <c r="U1815" s="146">
        <f>SUM(Purchase[Net Amount])</f>
        <v>814985438.68000126</v>
      </c>
    </row>
    <row r="1816" spans="1:21" ht="19.5" thickBot="1" x14ac:dyDescent="0.3">
      <c r="A1816" s="136" t="s">
        <v>2871</v>
      </c>
      <c r="B1816" s="137">
        <v>45746</v>
      </c>
      <c r="C1816" s="138" t="s">
        <v>575</v>
      </c>
      <c r="D1816" s="138" t="str">
        <f>VLOOKUP(Purchase[[#This Row],[Supplier ID]],Supplier[#All],2,0)</f>
        <v>Global Computers</v>
      </c>
      <c r="E1816" s="138">
        <f>VLOOKUP(Purchase[[#This Row],[Supplier ID]],Supplier[#All],3,0)</f>
        <v>9689542459</v>
      </c>
      <c r="F1816" s="138" t="str">
        <f>VLOOKUP(Purchase[[#This Row],[Supplier ID]],Supplier[#All],4,0)</f>
        <v>Indore</v>
      </c>
      <c r="G1816" s="138" t="str">
        <f>VLOOKUP(Purchase[[#This Row],[Supplier ID]],Supplier[#All],5,0)</f>
        <v>MP</v>
      </c>
      <c r="H1816" s="138" t="str">
        <f>VLOOKUP(Purchase[[#This Row],[Supplier ID]],Supplier[#All],6,0)</f>
        <v>GST2154521T021</v>
      </c>
      <c r="I1816" s="138" t="s">
        <v>356</v>
      </c>
      <c r="J1816" s="139">
        <v>4</v>
      </c>
      <c r="K1816" s="143">
        <f>VLOOKUP(Purchase[[#This Row],[Product ID]],Product[#All],6,0)</f>
        <v>6914</v>
      </c>
      <c r="L1816" s="143">
        <f>Purchase[[#This Row],[Purchase Rate]]*Purchase[[#This Row],[Qty]]</f>
        <v>27656</v>
      </c>
      <c r="M1816" s="140">
        <v>0</v>
      </c>
      <c r="N1816" s="143">
        <v>0</v>
      </c>
      <c r="O1816" s="140">
        <v>0.18</v>
      </c>
      <c r="P1816" s="145">
        <f>(Purchase[[#This Row],[Gross Amount]]-Purchase[[#This Row],[Disct %]])*Purchase[[#This Row],[GST %]]</f>
        <v>4978.08</v>
      </c>
      <c r="Q1816" s="145">
        <f>Purchase[[#This Row],[Gross Amount]]-Purchase[[#This Row],[Disct Amnt]]+Purchase[[#This Row],[GST Amount]]</f>
        <v>32634.080000000002</v>
      </c>
      <c r="R1816" s="138" t="s">
        <v>1019</v>
      </c>
      <c r="S1816" s="41">
        <f>IF(Purchase[[#This Row],[Status]]="Cancelled",0,Purchase[[#This Row],[Qty]])</f>
        <v>4</v>
      </c>
      <c r="T1816" s="146">
        <f>IF(Purchase[[#This Row],[Status]]="Cancelled",0,Purchase[[#This Row],[Total Amount]])</f>
        <v>32634.080000000002</v>
      </c>
      <c r="U1816" s="146">
        <f>SUM(Purchase[Net Amount])</f>
        <v>814985438.68000126</v>
      </c>
    </row>
    <row r="1817" spans="1:21" ht="19.5" thickBot="1" x14ac:dyDescent="0.3">
      <c r="A1817" s="136" t="s">
        <v>2872</v>
      </c>
      <c r="B1817" s="137">
        <v>45746</v>
      </c>
      <c r="C1817" s="138" t="s">
        <v>581</v>
      </c>
      <c r="D1817" s="138" t="str">
        <f>VLOOKUP(Purchase[[#This Row],[Supplier ID]],Supplier[#All],2,0)</f>
        <v>Prime Electronics</v>
      </c>
      <c r="E1817" s="138">
        <f>VLOOKUP(Purchase[[#This Row],[Supplier ID]],Supplier[#All],3,0)</f>
        <v>9689542465</v>
      </c>
      <c r="F1817" s="138" t="str">
        <f>VLOOKUP(Purchase[[#This Row],[Supplier ID]],Supplier[#All],4,0)</f>
        <v>Korba</v>
      </c>
      <c r="G1817" s="138" t="str">
        <f>VLOOKUP(Purchase[[#This Row],[Supplier ID]],Supplier[#All],5,0)</f>
        <v>CG</v>
      </c>
      <c r="H1817" s="138" t="str">
        <f>VLOOKUP(Purchase[[#This Row],[Supplier ID]],Supplier[#All],6,0)</f>
        <v>GST2154521T027</v>
      </c>
      <c r="I1817" s="138" t="s">
        <v>384</v>
      </c>
      <c r="J1817" s="139">
        <v>34</v>
      </c>
      <c r="K1817" s="143">
        <f>VLOOKUP(Purchase[[#This Row],[Product ID]],Product[#All],6,0)</f>
        <v>12176</v>
      </c>
      <c r="L1817" s="143">
        <f>Purchase[[#This Row],[Purchase Rate]]*Purchase[[#This Row],[Qty]]</f>
        <v>413984</v>
      </c>
      <c r="M1817" s="140">
        <v>0</v>
      </c>
      <c r="N1817" s="143">
        <v>0</v>
      </c>
      <c r="O1817" s="140">
        <v>0.18</v>
      </c>
      <c r="P1817" s="145">
        <f>(Purchase[[#This Row],[Gross Amount]]-Purchase[[#This Row],[Disct %]])*Purchase[[#This Row],[GST %]]</f>
        <v>74517.119999999995</v>
      </c>
      <c r="Q1817" s="145">
        <f>Purchase[[#This Row],[Gross Amount]]-Purchase[[#This Row],[Disct Amnt]]+Purchase[[#This Row],[GST Amount]]</f>
        <v>488501.12</v>
      </c>
      <c r="R1817" s="138" t="s">
        <v>1019</v>
      </c>
      <c r="S1817" s="41">
        <f>IF(Purchase[[#This Row],[Status]]="Cancelled",0,Purchase[[#This Row],[Qty]])</f>
        <v>34</v>
      </c>
      <c r="T1817" s="146">
        <f>IF(Purchase[[#This Row],[Status]]="Cancelled",0,Purchase[[#This Row],[Total Amount]])</f>
        <v>488501.12</v>
      </c>
      <c r="U1817" s="146">
        <f>SUM(Purchase[Net Amount])</f>
        <v>814985438.68000126</v>
      </c>
    </row>
    <row r="1818" spans="1:21" ht="19.5" thickBot="1" x14ac:dyDescent="0.3">
      <c r="A1818" s="136" t="s">
        <v>2873</v>
      </c>
      <c r="B1818" s="137">
        <v>45746</v>
      </c>
      <c r="C1818" s="138" t="s">
        <v>2752</v>
      </c>
      <c r="D1818" s="138" t="str">
        <f>VLOOKUP(Purchase[[#This Row],[Supplier ID]],Supplier[#All],2,0)</f>
        <v>Tech Suppliers</v>
      </c>
      <c r="E1818" s="138">
        <f>VLOOKUP(Purchase[[#This Row],[Supplier ID]],Supplier[#All],3,0)</f>
        <v>9689542457</v>
      </c>
      <c r="F1818" s="138" t="str">
        <f>VLOOKUP(Purchase[[#This Row],[Supplier ID]],Supplier[#All],4,0)</f>
        <v>Korba</v>
      </c>
      <c r="G1818" s="138" t="str">
        <f>VLOOKUP(Purchase[[#This Row],[Supplier ID]],Supplier[#All],5,0)</f>
        <v>CG</v>
      </c>
      <c r="H1818" s="138" t="str">
        <f>VLOOKUP(Purchase[[#This Row],[Supplier ID]],Supplier[#All],6,0)</f>
        <v>GST2154521T019</v>
      </c>
      <c r="I1818" s="138" t="s">
        <v>156</v>
      </c>
      <c r="J1818" s="139">
        <v>22</v>
      </c>
      <c r="K1818" s="143">
        <f>VLOOKUP(Purchase[[#This Row],[Product ID]],Product[#All],6,0)</f>
        <v>2558</v>
      </c>
      <c r="L1818" s="143">
        <f>Purchase[[#This Row],[Purchase Rate]]*Purchase[[#This Row],[Qty]]</f>
        <v>56276</v>
      </c>
      <c r="M1818" s="140">
        <v>0</v>
      </c>
      <c r="N1818" s="143">
        <v>0</v>
      </c>
      <c r="O1818" s="140">
        <v>0.18</v>
      </c>
      <c r="P1818" s="145">
        <f>(Purchase[[#This Row],[Gross Amount]]-Purchase[[#This Row],[Disct %]])*Purchase[[#This Row],[GST %]]</f>
        <v>10129.68</v>
      </c>
      <c r="Q1818" s="145">
        <f>Purchase[[#This Row],[Gross Amount]]-Purchase[[#This Row],[Disct Amnt]]+Purchase[[#This Row],[GST Amount]]</f>
        <v>66405.679999999993</v>
      </c>
      <c r="R1818" s="138" t="s">
        <v>1019</v>
      </c>
      <c r="S1818" s="41">
        <f>IF(Purchase[[#This Row],[Status]]="Cancelled",0,Purchase[[#This Row],[Qty]])</f>
        <v>22</v>
      </c>
      <c r="T1818" s="146">
        <f>IF(Purchase[[#This Row],[Status]]="Cancelled",0,Purchase[[#This Row],[Total Amount]])</f>
        <v>66405.679999999993</v>
      </c>
      <c r="U1818" s="146">
        <f>SUM(Purchase[Net Amount])</f>
        <v>814985438.68000126</v>
      </c>
    </row>
    <row r="1819" spans="1:21" ht="19.5" thickBot="1" x14ac:dyDescent="0.3">
      <c r="A1819" s="136" t="s">
        <v>2874</v>
      </c>
      <c r="B1819" s="137">
        <v>45746</v>
      </c>
      <c r="C1819" s="138" t="s">
        <v>595</v>
      </c>
      <c r="D1819" s="138" t="str">
        <f>VLOOKUP(Purchase[[#This Row],[Supplier ID]],Supplier[#All],2,0)</f>
        <v>Star Computers</v>
      </c>
      <c r="E1819" s="138">
        <f>VLOOKUP(Purchase[[#This Row],[Supplier ID]],Supplier[#All],3,0)</f>
        <v>9689542478</v>
      </c>
      <c r="F1819" s="138" t="str">
        <f>VLOOKUP(Purchase[[#This Row],[Supplier ID]],Supplier[#All],4,0)</f>
        <v>Kanpur</v>
      </c>
      <c r="G1819" s="138" t="str">
        <f>VLOOKUP(Purchase[[#This Row],[Supplier ID]],Supplier[#All],5,0)</f>
        <v>UP</v>
      </c>
      <c r="H1819" s="138" t="str">
        <f>VLOOKUP(Purchase[[#This Row],[Supplier ID]],Supplier[#All],6,0)</f>
        <v>GST2154521T040</v>
      </c>
      <c r="I1819" s="138" t="s">
        <v>49</v>
      </c>
      <c r="J1819" s="139">
        <v>30</v>
      </c>
      <c r="K1819" s="143">
        <f>VLOOKUP(Purchase[[#This Row],[Product ID]],Product[#All],6,0)</f>
        <v>798</v>
      </c>
      <c r="L1819" s="143">
        <f>Purchase[[#This Row],[Purchase Rate]]*Purchase[[#This Row],[Qty]]</f>
        <v>23940</v>
      </c>
      <c r="M1819" s="140">
        <v>0</v>
      </c>
      <c r="N1819" s="143">
        <v>0</v>
      </c>
      <c r="O1819" s="140">
        <v>0.18</v>
      </c>
      <c r="P1819" s="145">
        <f>(Purchase[[#This Row],[Gross Amount]]-Purchase[[#This Row],[Disct %]])*Purchase[[#This Row],[GST %]]</f>
        <v>4309.2</v>
      </c>
      <c r="Q1819" s="145">
        <f>Purchase[[#This Row],[Gross Amount]]-Purchase[[#This Row],[Disct Amnt]]+Purchase[[#This Row],[GST Amount]]</f>
        <v>28249.200000000001</v>
      </c>
      <c r="R1819" s="138" t="s">
        <v>1019</v>
      </c>
      <c r="S1819" s="41">
        <f>IF(Purchase[[#This Row],[Status]]="Cancelled",0,Purchase[[#This Row],[Qty]])</f>
        <v>30</v>
      </c>
      <c r="T1819" s="146">
        <f>IF(Purchase[[#This Row],[Status]]="Cancelled",0,Purchase[[#This Row],[Total Amount]])</f>
        <v>28249.200000000001</v>
      </c>
      <c r="U1819" s="146">
        <f>SUM(Purchase[Net Amount])</f>
        <v>814985438.68000126</v>
      </c>
    </row>
    <row r="1820" spans="1:21" ht="19.5" thickBot="1" x14ac:dyDescent="0.3">
      <c r="A1820" s="136" t="s">
        <v>2875</v>
      </c>
      <c r="B1820" s="137">
        <v>45746</v>
      </c>
      <c r="C1820" s="138" t="s">
        <v>2876</v>
      </c>
      <c r="D1820" s="138" t="str">
        <f>VLOOKUP(Purchase[[#This Row],[Supplier ID]],Supplier[#All],2,0)</f>
        <v>Star Suppliers</v>
      </c>
      <c r="E1820" s="138">
        <f>VLOOKUP(Purchase[[#This Row],[Supplier ID]],Supplier[#All],3,0)</f>
        <v>9689542492</v>
      </c>
      <c r="F1820" s="138" t="str">
        <f>VLOOKUP(Purchase[[#This Row],[Supplier ID]],Supplier[#All],4,0)</f>
        <v>Kanpur</v>
      </c>
      <c r="G1820" s="138" t="str">
        <f>VLOOKUP(Purchase[[#This Row],[Supplier ID]],Supplier[#All],5,0)</f>
        <v>UP</v>
      </c>
      <c r="H1820" s="138" t="str">
        <f>VLOOKUP(Purchase[[#This Row],[Supplier ID]],Supplier[#All],6,0)</f>
        <v>GST2154521T054</v>
      </c>
      <c r="I1820" s="138" t="s">
        <v>190</v>
      </c>
      <c r="J1820" s="139">
        <v>29</v>
      </c>
      <c r="K1820" s="143">
        <f>VLOOKUP(Purchase[[#This Row],[Product ID]],Product[#All],6,0)</f>
        <v>15766</v>
      </c>
      <c r="L1820" s="143">
        <f>Purchase[[#This Row],[Purchase Rate]]*Purchase[[#This Row],[Qty]]</f>
        <v>457214</v>
      </c>
      <c r="M1820" s="140">
        <v>0</v>
      </c>
      <c r="N1820" s="143">
        <v>0</v>
      </c>
      <c r="O1820" s="140">
        <v>0.18</v>
      </c>
      <c r="P1820" s="145">
        <f>(Purchase[[#This Row],[Gross Amount]]-Purchase[[#This Row],[Disct %]])*Purchase[[#This Row],[GST %]]</f>
        <v>82298.52</v>
      </c>
      <c r="Q1820" s="145">
        <f>Purchase[[#This Row],[Gross Amount]]-Purchase[[#This Row],[Disct Amnt]]+Purchase[[#This Row],[GST Amount]]</f>
        <v>539512.52</v>
      </c>
      <c r="R1820" s="138" t="s">
        <v>1040</v>
      </c>
      <c r="S1820" s="41">
        <f>IF(Purchase[[#This Row],[Status]]="Cancelled",0,Purchase[[#This Row],[Qty]])</f>
        <v>0</v>
      </c>
      <c r="T1820" s="146">
        <f>IF(Purchase[[#This Row],[Status]]="Cancelled",0,Purchase[[#This Row],[Total Amount]])</f>
        <v>0</v>
      </c>
      <c r="U1820" s="146">
        <f>SUM(Purchase[Net Amount])</f>
        <v>814985438.68000126</v>
      </c>
    </row>
    <row r="1821" spans="1:21" ht="19.5" thickBot="1" x14ac:dyDescent="0.3">
      <c r="A1821" s="136" t="s">
        <v>2877</v>
      </c>
      <c r="B1821" s="137">
        <v>45746</v>
      </c>
      <c r="C1821" s="138" t="s">
        <v>586</v>
      </c>
      <c r="D1821" s="138" t="str">
        <f>VLOOKUP(Purchase[[#This Row],[Supplier ID]],Supplier[#All],2,0)</f>
        <v>Maa Traders</v>
      </c>
      <c r="E1821" s="138">
        <f>VLOOKUP(Purchase[[#This Row],[Supplier ID]],Supplier[#All],3,0)</f>
        <v>9689542470</v>
      </c>
      <c r="F1821" s="138" t="str">
        <f>VLOOKUP(Purchase[[#This Row],[Supplier ID]],Supplier[#All],4,0)</f>
        <v>Kanpur</v>
      </c>
      <c r="G1821" s="138" t="str">
        <f>VLOOKUP(Purchase[[#This Row],[Supplier ID]],Supplier[#All],5,0)</f>
        <v>UP</v>
      </c>
      <c r="H1821" s="138" t="str">
        <f>VLOOKUP(Purchase[[#This Row],[Supplier ID]],Supplier[#All],6,0)</f>
        <v>GST2154521T032</v>
      </c>
      <c r="I1821" s="138" t="s">
        <v>298</v>
      </c>
      <c r="J1821" s="139">
        <v>7</v>
      </c>
      <c r="K1821" s="143">
        <f>VLOOKUP(Purchase[[#This Row],[Product ID]],Product[#All],6,0)</f>
        <v>19959</v>
      </c>
      <c r="L1821" s="143">
        <f>Purchase[[#This Row],[Purchase Rate]]*Purchase[[#This Row],[Qty]]</f>
        <v>139713</v>
      </c>
      <c r="M1821" s="140">
        <v>0</v>
      </c>
      <c r="N1821" s="143">
        <v>0</v>
      </c>
      <c r="O1821" s="140">
        <v>0.18</v>
      </c>
      <c r="P1821" s="145">
        <f>(Purchase[[#This Row],[Gross Amount]]-Purchase[[#This Row],[Disct %]])*Purchase[[#This Row],[GST %]]</f>
        <v>25148.34</v>
      </c>
      <c r="Q1821" s="145">
        <f>Purchase[[#This Row],[Gross Amount]]-Purchase[[#This Row],[Disct Amnt]]+Purchase[[#This Row],[GST Amount]]</f>
        <v>164861.34</v>
      </c>
      <c r="R1821" s="138" t="s">
        <v>1019</v>
      </c>
      <c r="S1821" s="41">
        <f>IF(Purchase[[#This Row],[Status]]="Cancelled",0,Purchase[[#This Row],[Qty]])</f>
        <v>7</v>
      </c>
      <c r="T1821" s="146">
        <f>IF(Purchase[[#This Row],[Status]]="Cancelled",0,Purchase[[#This Row],[Total Amount]])</f>
        <v>164861.34</v>
      </c>
      <c r="U1821" s="146">
        <f>SUM(Purchase[Net Amount])</f>
        <v>814985438.68000126</v>
      </c>
    </row>
    <row r="1822" spans="1:21" ht="19.5" thickBot="1" x14ac:dyDescent="0.3">
      <c r="A1822" s="136" t="s">
        <v>2878</v>
      </c>
      <c r="B1822" s="137">
        <v>45746</v>
      </c>
      <c r="C1822" s="138" t="s">
        <v>595</v>
      </c>
      <c r="D1822" s="138" t="str">
        <f>VLOOKUP(Purchase[[#This Row],[Supplier ID]],Supplier[#All],2,0)</f>
        <v>Star Computers</v>
      </c>
      <c r="E1822" s="138">
        <f>VLOOKUP(Purchase[[#This Row],[Supplier ID]],Supplier[#All],3,0)</f>
        <v>9689542478</v>
      </c>
      <c r="F1822" s="138" t="str">
        <f>VLOOKUP(Purchase[[#This Row],[Supplier ID]],Supplier[#All],4,0)</f>
        <v>Kanpur</v>
      </c>
      <c r="G1822" s="138" t="str">
        <f>VLOOKUP(Purchase[[#This Row],[Supplier ID]],Supplier[#All],5,0)</f>
        <v>UP</v>
      </c>
      <c r="H1822" s="138" t="str">
        <f>VLOOKUP(Purchase[[#This Row],[Supplier ID]],Supplier[#All],6,0)</f>
        <v>GST2154521T040</v>
      </c>
      <c r="I1822" s="138" t="s">
        <v>216</v>
      </c>
      <c r="J1822" s="139">
        <v>13</v>
      </c>
      <c r="K1822" s="143">
        <f>VLOOKUP(Purchase[[#This Row],[Product ID]],Product[#All],6,0)</f>
        <v>950</v>
      </c>
      <c r="L1822" s="143">
        <f>Purchase[[#This Row],[Purchase Rate]]*Purchase[[#This Row],[Qty]]</f>
        <v>12350</v>
      </c>
      <c r="M1822" s="140">
        <v>0</v>
      </c>
      <c r="N1822" s="143">
        <v>0</v>
      </c>
      <c r="O1822" s="140">
        <v>0.18</v>
      </c>
      <c r="P1822" s="145">
        <f>(Purchase[[#This Row],[Gross Amount]]-Purchase[[#This Row],[Disct %]])*Purchase[[#This Row],[GST %]]</f>
        <v>2223</v>
      </c>
      <c r="Q1822" s="145">
        <f>Purchase[[#This Row],[Gross Amount]]-Purchase[[#This Row],[Disct Amnt]]+Purchase[[#This Row],[GST Amount]]</f>
        <v>14573</v>
      </c>
      <c r="R1822" s="138" t="s">
        <v>1019</v>
      </c>
      <c r="S1822" s="41">
        <f>IF(Purchase[[#This Row],[Status]]="Cancelled",0,Purchase[[#This Row],[Qty]])</f>
        <v>13</v>
      </c>
      <c r="T1822" s="146">
        <f>IF(Purchase[[#This Row],[Status]]="Cancelled",0,Purchase[[#This Row],[Total Amount]])</f>
        <v>14573</v>
      </c>
      <c r="U1822" s="146">
        <f>SUM(Purchase[Net Amount])</f>
        <v>814985438.68000126</v>
      </c>
    </row>
    <row r="1823" spans="1:21" ht="19.5" thickBot="1" x14ac:dyDescent="0.3">
      <c r="A1823" s="136" t="s">
        <v>2879</v>
      </c>
      <c r="B1823" s="137">
        <v>45747</v>
      </c>
      <c r="C1823" s="138" t="s">
        <v>569</v>
      </c>
      <c r="D1823" s="138" t="str">
        <f>VLOOKUP(Purchase[[#This Row],[Supplier ID]],Supplier[#All],2,0)</f>
        <v>Tech Electronics</v>
      </c>
      <c r="E1823" s="138">
        <f>VLOOKUP(Purchase[[#This Row],[Supplier ID]],Supplier[#All],3,0)</f>
        <v>9689542455</v>
      </c>
      <c r="F1823" s="138" t="str">
        <f>VLOOKUP(Purchase[[#This Row],[Supplier ID]],Supplier[#All],4,0)</f>
        <v>Korba</v>
      </c>
      <c r="G1823" s="138" t="str">
        <f>VLOOKUP(Purchase[[#This Row],[Supplier ID]],Supplier[#All],5,0)</f>
        <v>CG</v>
      </c>
      <c r="H1823" s="138" t="str">
        <f>VLOOKUP(Purchase[[#This Row],[Supplier ID]],Supplier[#All],6,0)</f>
        <v>GST2154521T017</v>
      </c>
      <c r="I1823" s="138" t="s">
        <v>179</v>
      </c>
      <c r="J1823" s="139">
        <v>12</v>
      </c>
      <c r="K1823" s="143">
        <f>VLOOKUP(Purchase[[#This Row],[Product ID]],Product[#All],6,0)</f>
        <v>1180</v>
      </c>
      <c r="L1823" s="143">
        <f>Purchase[[#This Row],[Purchase Rate]]*Purchase[[#This Row],[Qty]]</f>
        <v>14160</v>
      </c>
      <c r="M1823" s="140">
        <v>0</v>
      </c>
      <c r="N1823" s="143">
        <v>0</v>
      </c>
      <c r="O1823" s="140">
        <v>0.18</v>
      </c>
      <c r="P1823" s="145">
        <f>(Purchase[[#This Row],[Gross Amount]]-Purchase[[#This Row],[Disct %]])*Purchase[[#This Row],[GST %]]</f>
        <v>2548.7999999999997</v>
      </c>
      <c r="Q1823" s="145">
        <f>Purchase[[#This Row],[Gross Amount]]-Purchase[[#This Row],[Disct Amnt]]+Purchase[[#This Row],[GST Amount]]</f>
        <v>16708.8</v>
      </c>
      <c r="R1823" s="138" t="s">
        <v>1019</v>
      </c>
      <c r="S1823" s="41">
        <f>IF(Purchase[[#This Row],[Status]]="Cancelled",0,Purchase[[#This Row],[Qty]])</f>
        <v>12</v>
      </c>
      <c r="T1823" s="146">
        <f>IF(Purchase[[#This Row],[Status]]="Cancelled",0,Purchase[[#This Row],[Total Amount]])</f>
        <v>16708.8</v>
      </c>
      <c r="U1823" s="146">
        <f>SUM(Purchase[Net Amount])</f>
        <v>814985438.68000126</v>
      </c>
    </row>
    <row r="1824" spans="1:21" ht="19.5" thickBot="1" x14ac:dyDescent="0.3">
      <c r="A1824" s="136" t="s">
        <v>2880</v>
      </c>
      <c r="B1824" s="137">
        <v>45747</v>
      </c>
      <c r="C1824" s="138" t="s">
        <v>588</v>
      </c>
      <c r="D1824" s="138" t="str">
        <f>VLOOKUP(Purchase[[#This Row],[Supplier ID]],Supplier[#All],2,0)</f>
        <v>Star Electronics</v>
      </c>
      <c r="E1824" s="138">
        <f>VLOOKUP(Purchase[[#This Row],[Supplier ID]],Supplier[#All],3,0)</f>
        <v>9689542472</v>
      </c>
      <c r="F1824" s="138" t="str">
        <f>VLOOKUP(Purchase[[#This Row],[Supplier ID]],Supplier[#All],4,0)</f>
        <v>Korba</v>
      </c>
      <c r="G1824" s="138" t="str">
        <f>VLOOKUP(Purchase[[#This Row],[Supplier ID]],Supplier[#All],5,0)</f>
        <v>CG</v>
      </c>
      <c r="H1824" s="138" t="str">
        <f>VLOOKUP(Purchase[[#This Row],[Supplier ID]],Supplier[#All],6,0)</f>
        <v>GST2154521T034</v>
      </c>
      <c r="I1824" s="138" t="s">
        <v>442</v>
      </c>
      <c r="J1824" s="139">
        <v>5</v>
      </c>
      <c r="K1824" s="143">
        <f>VLOOKUP(Purchase[[#This Row],[Product ID]],Product[#All],6,0)</f>
        <v>3149</v>
      </c>
      <c r="L1824" s="143">
        <f>Purchase[[#This Row],[Purchase Rate]]*Purchase[[#This Row],[Qty]]</f>
        <v>15745</v>
      </c>
      <c r="M1824" s="140">
        <v>0</v>
      </c>
      <c r="N1824" s="143">
        <v>0</v>
      </c>
      <c r="O1824" s="140">
        <v>0.18</v>
      </c>
      <c r="P1824" s="145">
        <f>(Purchase[[#This Row],[Gross Amount]]-Purchase[[#This Row],[Disct %]])*Purchase[[#This Row],[GST %]]</f>
        <v>2834.1</v>
      </c>
      <c r="Q1824" s="145">
        <f>Purchase[[#This Row],[Gross Amount]]-Purchase[[#This Row],[Disct Amnt]]+Purchase[[#This Row],[GST Amount]]</f>
        <v>18579.099999999999</v>
      </c>
      <c r="R1824" s="138" t="s">
        <v>1019</v>
      </c>
      <c r="S1824" s="41">
        <f>IF(Purchase[[#This Row],[Status]]="Cancelled",0,Purchase[[#This Row],[Qty]])</f>
        <v>5</v>
      </c>
      <c r="T1824" s="146">
        <f>IF(Purchase[[#This Row],[Status]]="Cancelled",0,Purchase[[#This Row],[Total Amount]])</f>
        <v>18579.099999999999</v>
      </c>
      <c r="U1824" s="146">
        <f>SUM(Purchase[Net Amount])</f>
        <v>814985438.68000126</v>
      </c>
    </row>
    <row r="1825" spans="1:21" ht="19.5" thickBot="1" x14ac:dyDescent="0.3">
      <c r="A1825" s="136" t="s">
        <v>2881</v>
      </c>
      <c r="B1825" s="137">
        <v>45747</v>
      </c>
      <c r="C1825" s="138" t="s">
        <v>577</v>
      </c>
      <c r="D1825" s="138" t="str">
        <f>VLOOKUP(Purchase[[#This Row],[Supplier ID]],Supplier[#All],2,0)</f>
        <v>National Electronics</v>
      </c>
      <c r="E1825" s="138">
        <f>VLOOKUP(Purchase[[#This Row],[Supplier ID]],Supplier[#All],3,0)</f>
        <v>9689542469</v>
      </c>
      <c r="F1825" s="138" t="str">
        <f>VLOOKUP(Purchase[[#This Row],[Supplier ID]],Supplier[#All],4,0)</f>
        <v>Korba</v>
      </c>
      <c r="G1825" s="138" t="str">
        <f>VLOOKUP(Purchase[[#This Row],[Supplier ID]],Supplier[#All],5,0)</f>
        <v>CG</v>
      </c>
      <c r="H1825" s="138" t="str">
        <f>VLOOKUP(Purchase[[#This Row],[Supplier ID]],Supplier[#All],6,0)</f>
        <v>GST2154521T023</v>
      </c>
      <c r="I1825" s="138" t="s">
        <v>421</v>
      </c>
      <c r="J1825" s="139">
        <v>40</v>
      </c>
      <c r="K1825" s="143">
        <f>VLOOKUP(Purchase[[#This Row],[Product ID]],Product[#All],6,0)</f>
        <v>233</v>
      </c>
      <c r="L1825" s="143">
        <f>Purchase[[#This Row],[Purchase Rate]]*Purchase[[#This Row],[Qty]]</f>
        <v>9320</v>
      </c>
      <c r="M1825" s="140">
        <v>0</v>
      </c>
      <c r="N1825" s="143">
        <v>0</v>
      </c>
      <c r="O1825" s="140">
        <v>0.18</v>
      </c>
      <c r="P1825" s="145">
        <f>(Purchase[[#This Row],[Gross Amount]]-Purchase[[#This Row],[Disct %]])*Purchase[[#This Row],[GST %]]</f>
        <v>1677.6</v>
      </c>
      <c r="Q1825" s="145">
        <f>Purchase[[#This Row],[Gross Amount]]-Purchase[[#This Row],[Disct Amnt]]+Purchase[[#This Row],[GST Amount]]</f>
        <v>10997.6</v>
      </c>
      <c r="R1825" s="138" t="s">
        <v>1019</v>
      </c>
      <c r="S1825" s="41">
        <f>IF(Purchase[[#This Row],[Status]]="Cancelled",0,Purchase[[#This Row],[Qty]])</f>
        <v>40</v>
      </c>
      <c r="T1825" s="146">
        <f>IF(Purchase[[#This Row],[Status]]="Cancelled",0,Purchase[[#This Row],[Total Amount]])</f>
        <v>10997.6</v>
      </c>
      <c r="U1825" s="146">
        <f>SUM(Purchase[Net Amount])</f>
        <v>814985438.68000126</v>
      </c>
    </row>
    <row r="1826" spans="1:21" ht="19.5" thickBot="1" x14ac:dyDescent="0.3">
      <c r="A1826" s="136" t="s">
        <v>2882</v>
      </c>
      <c r="B1826" s="137">
        <v>45747</v>
      </c>
      <c r="C1826" s="138" t="s">
        <v>610</v>
      </c>
      <c r="D1826" s="138" t="str">
        <f>VLOOKUP(Purchase[[#This Row],[Supplier ID]],Supplier[#All],2,0)</f>
        <v>Shree Electronics</v>
      </c>
      <c r="E1826" s="138">
        <f>VLOOKUP(Purchase[[#This Row],[Supplier ID]],Supplier[#All],3,0)</f>
        <v>9689542493</v>
      </c>
      <c r="F1826" s="138" t="str">
        <f>VLOOKUP(Purchase[[#This Row],[Supplier ID]],Supplier[#All],4,0)</f>
        <v>Kanpur</v>
      </c>
      <c r="G1826" s="138" t="str">
        <f>VLOOKUP(Purchase[[#This Row],[Supplier ID]],Supplier[#All],5,0)</f>
        <v>UP</v>
      </c>
      <c r="H1826" s="138" t="str">
        <f>VLOOKUP(Purchase[[#This Row],[Supplier ID]],Supplier[#All],6,0)</f>
        <v>GST2154521T055</v>
      </c>
      <c r="I1826" s="138" t="s">
        <v>116</v>
      </c>
      <c r="J1826" s="139">
        <v>11</v>
      </c>
      <c r="K1826" s="143">
        <f>VLOOKUP(Purchase[[#This Row],[Product ID]],Product[#All],6,0)</f>
        <v>33377</v>
      </c>
      <c r="L1826" s="143">
        <f>Purchase[[#This Row],[Purchase Rate]]*Purchase[[#This Row],[Qty]]</f>
        <v>367147</v>
      </c>
      <c r="M1826" s="140">
        <v>0</v>
      </c>
      <c r="N1826" s="143">
        <v>0</v>
      </c>
      <c r="O1826" s="140">
        <v>0.18</v>
      </c>
      <c r="P1826" s="145">
        <f>(Purchase[[#This Row],[Gross Amount]]-Purchase[[#This Row],[Disct %]])*Purchase[[#This Row],[GST %]]</f>
        <v>66086.459999999992</v>
      </c>
      <c r="Q1826" s="145">
        <f>Purchase[[#This Row],[Gross Amount]]-Purchase[[#This Row],[Disct Amnt]]+Purchase[[#This Row],[GST Amount]]</f>
        <v>433233.45999999996</v>
      </c>
      <c r="R1826" s="138" t="s">
        <v>1019</v>
      </c>
      <c r="S1826" s="41">
        <f>IF(Purchase[[#This Row],[Status]]="Cancelled",0,Purchase[[#This Row],[Qty]])</f>
        <v>11</v>
      </c>
      <c r="T1826" s="146">
        <f>IF(Purchase[[#This Row],[Status]]="Cancelled",0,Purchase[[#This Row],[Total Amount]])</f>
        <v>433233.45999999996</v>
      </c>
      <c r="U1826" s="146">
        <f>SUM(Purchase[Net Amount])</f>
        <v>814985438.68000126</v>
      </c>
    </row>
    <row r="1827" spans="1:21" ht="19.5" thickBot="1" x14ac:dyDescent="0.3">
      <c r="A1827" s="136" t="s">
        <v>2883</v>
      </c>
      <c r="B1827" s="137">
        <v>45747</v>
      </c>
      <c r="C1827" s="138" t="s">
        <v>604</v>
      </c>
      <c r="D1827" s="138" t="str">
        <f>VLOOKUP(Purchase[[#This Row],[Supplier ID]],Supplier[#All],2,0)</f>
        <v>Prime Traders</v>
      </c>
      <c r="E1827" s="138">
        <f>VLOOKUP(Purchase[[#This Row],[Supplier ID]],Supplier[#All],3,0)</f>
        <v>9689542487</v>
      </c>
      <c r="F1827" s="138" t="str">
        <f>VLOOKUP(Purchase[[#This Row],[Supplier ID]],Supplier[#All],4,0)</f>
        <v>Indore</v>
      </c>
      <c r="G1827" s="138" t="str">
        <f>VLOOKUP(Purchase[[#This Row],[Supplier ID]],Supplier[#All],5,0)</f>
        <v>MP</v>
      </c>
      <c r="H1827" s="138" t="str">
        <f>VLOOKUP(Purchase[[#This Row],[Supplier ID]],Supplier[#All],6,0)</f>
        <v>GST2154521T049</v>
      </c>
      <c r="I1827" s="138" t="s">
        <v>259</v>
      </c>
      <c r="J1827" s="139">
        <v>36</v>
      </c>
      <c r="K1827" s="143">
        <f>VLOOKUP(Purchase[[#This Row],[Product ID]],Product[#All],6,0)</f>
        <v>23039</v>
      </c>
      <c r="L1827" s="143">
        <f>Purchase[[#This Row],[Purchase Rate]]*Purchase[[#This Row],[Qty]]</f>
        <v>829404</v>
      </c>
      <c r="M1827" s="140">
        <v>0</v>
      </c>
      <c r="N1827" s="143">
        <v>0</v>
      </c>
      <c r="O1827" s="140">
        <v>0.18</v>
      </c>
      <c r="P1827" s="145">
        <f>(Purchase[[#This Row],[Gross Amount]]-Purchase[[#This Row],[Disct %]])*Purchase[[#This Row],[GST %]]</f>
        <v>149292.72</v>
      </c>
      <c r="Q1827" s="145">
        <f>Purchase[[#This Row],[Gross Amount]]-Purchase[[#This Row],[Disct Amnt]]+Purchase[[#This Row],[GST Amount]]</f>
        <v>978696.72</v>
      </c>
      <c r="R1827" s="138" t="s">
        <v>1019</v>
      </c>
      <c r="S1827" s="41">
        <f>IF(Purchase[[#This Row],[Status]]="Cancelled",0,Purchase[[#This Row],[Qty]])</f>
        <v>36</v>
      </c>
      <c r="T1827" s="146">
        <f>IF(Purchase[[#This Row],[Status]]="Cancelled",0,Purchase[[#This Row],[Total Amount]])</f>
        <v>978696.72</v>
      </c>
      <c r="U1827" s="146">
        <f>SUM(Purchase[Net Amount])</f>
        <v>814985438.68000126</v>
      </c>
    </row>
    <row r="1828" spans="1:21" ht="19.5" thickBot="1" x14ac:dyDescent="0.3">
      <c r="A1828" s="136" t="s">
        <v>2884</v>
      </c>
      <c r="B1828" s="137">
        <v>45747</v>
      </c>
      <c r="C1828" s="138" t="s">
        <v>582</v>
      </c>
      <c r="D1828" s="138" t="str">
        <f>VLOOKUP(Purchase[[#This Row],[Supplier ID]],Supplier[#All],2,0)</f>
        <v>Tech Distributors</v>
      </c>
      <c r="E1828" s="138">
        <f>VLOOKUP(Purchase[[#This Row],[Supplier ID]],Supplier[#All],3,0)</f>
        <v>9689542466</v>
      </c>
      <c r="F1828" s="138" t="str">
        <f>VLOOKUP(Purchase[[#This Row],[Supplier ID]],Supplier[#All],4,0)</f>
        <v>Indore</v>
      </c>
      <c r="G1828" s="138" t="str">
        <f>VLOOKUP(Purchase[[#This Row],[Supplier ID]],Supplier[#All],5,0)</f>
        <v>MP</v>
      </c>
      <c r="H1828" s="138" t="str">
        <f>VLOOKUP(Purchase[[#This Row],[Supplier ID]],Supplier[#All],6,0)</f>
        <v>GST2154521T028</v>
      </c>
      <c r="I1828" s="138" t="s">
        <v>116</v>
      </c>
      <c r="J1828" s="139">
        <v>21</v>
      </c>
      <c r="K1828" s="143">
        <f>VLOOKUP(Purchase[[#This Row],[Product ID]],Product[#All],6,0)</f>
        <v>33377</v>
      </c>
      <c r="L1828" s="143">
        <f>Purchase[[#This Row],[Purchase Rate]]*Purchase[[#This Row],[Qty]]</f>
        <v>700917</v>
      </c>
      <c r="M1828" s="140">
        <v>0</v>
      </c>
      <c r="N1828" s="143">
        <v>0</v>
      </c>
      <c r="O1828" s="140">
        <v>0.18</v>
      </c>
      <c r="P1828" s="145">
        <f>(Purchase[[#This Row],[Gross Amount]]-Purchase[[#This Row],[Disct %]])*Purchase[[#This Row],[GST %]]</f>
        <v>126165.06</v>
      </c>
      <c r="Q1828" s="145">
        <f>Purchase[[#This Row],[Gross Amount]]-Purchase[[#This Row],[Disct Amnt]]+Purchase[[#This Row],[GST Amount]]</f>
        <v>827082.06</v>
      </c>
      <c r="R1828" s="138" t="s">
        <v>1019</v>
      </c>
      <c r="S1828" s="41">
        <f>IF(Purchase[[#This Row],[Status]]="Cancelled",0,Purchase[[#This Row],[Qty]])</f>
        <v>21</v>
      </c>
      <c r="T1828" s="146">
        <f>IF(Purchase[[#This Row],[Status]]="Cancelled",0,Purchase[[#This Row],[Total Amount]])</f>
        <v>827082.06</v>
      </c>
      <c r="U1828" s="146">
        <f>SUM(Purchase[Net Amount])</f>
        <v>814985438.68000126</v>
      </c>
    </row>
    <row r="1829" spans="1:21" ht="19.5" thickBot="1" x14ac:dyDescent="0.3">
      <c r="A1829" s="136" t="s">
        <v>2885</v>
      </c>
      <c r="B1829" s="137">
        <v>45747</v>
      </c>
      <c r="C1829" s="138" t="s">
        <v>583</v>
      </c>
      <c r="D1829" s="138" t="str">
        <f>VLOOKUP(Purchase[[#This Row],[Supplier ID]],Supplier[#All],2,0)</f>
        <v>Shree Distributors</v>
      </c>
      <c r="E1829" s="138">
        <f>VLOOKUP(Purchase[[#This Row],[Supplier ID]],Supplier[#All],3,0)</f>
        <v>9689542467</v>
      </c>
      <c r="F1829" s="138" t="str">
        <f>VLOOKUP(Purchase[[#This Row],[Supplier ID]],Supplier[#All],4,0)</f>
        <v>Indore</v>
      </c>
      <c r="G1829" s="138" t="str">
        <f>VLOOKUP(Purchase[[#This Row],[Supplier ID]],Supplier[#All],5,0)</f>
        <v>MP</v>
      </c>
      <c r="H1829" s="138" t="str">
        <f>VLOOKUP(Purchase[[#This Row],[Supplier ID]],Supplier[#All],6,0)</f>
        <v>GST2154521T029</v>
      </c>
      <c r="I1829" s="138" t="s">
        <v>443</v>
      </c>
      <c r="J1829" s="139">
        <v>36</v>
      </c>
      <c r="K1829" s="143">
        <f>VLOOKUP(Purchase[[#This Row],[Product ID]],Product[#All],6,0)</f>
        <v>3342</v>
      </c>
      <c r="L1829" s="143">
        <f>Purchase[[#This Row],[Purchase Rate]]*Purchase[[#This Row],[Qty]]</f>
        <v>120312</v>
      </c>
      <c r="M1829" s="140">
        <v>0</v>
      </c>
      <c r="N1829" s="143">
        <v>0</v>
      </c>
      <c r="O1829" s="140">
        <v>0.18</v>
      </c>
      <c r="P1829" s="145">
        <f>(Purchase[[#This Row],[Gross Amount]]-Purchase[[#This Row],[Disct %]])*Purchase[[#This Row],[GST %]]</f>
        <v>21656.16</v>
      </c>
      <c r="Q1829" s="145">
        <f>Purchase[[#This Row],[Gross Amount]]-Purchase[[#This Row],[Disct Amnt]]+Purchase[[#This Row],[GST Amount]]</f>
        <v>141968.16</v>
      </c>
      <c r="R1829" s="138" t="s">
        <v>1019</v>
      </c>
      <c r="S1829" s="41">
        <f>IF(Purchase[[#This Row],[Status]]="Cancelled",0,Purchase[[#This Row],[Qty]])</f>
        <v>36</v>
      </c>
      <c r="T1829" s="146">
        <f>IF(Purchase[[#This Row],[Status]]="Cancelled",0,Purchase[[#This Row],[Total Amount]])</f>
        <v>141968.16</v>
      </c>
      <c r="U1829" s="146">
        <f>SUM(Purchase[Net Amount])</f>
        <v>814985438.68000126</v>
      </c>
    </row>
    <row r="1830" spans="1:21" ht="19.5" thickBot="1" x14ac:dyDescent="0.3">
      <c r="A1830" s="136" t="s">
        <v>2886</v>
      </c>
      <c r="B1830" s="137">
        <v>45747</v>
      </c>
      <c r="C1830" s="138" t="s">
        <v>581</v>
      </c>
      <c r="D1830" s="138" t="str">
        <f>VLOOKUP(Purchase[[#This Row],[Supplier ID]],Supplier[#All],2,0)</f>
        <v>Prime Electronics</v>
      </c>
      <c r="E1830" s="138">
        <f>VLOOKUP(Purchase[[#This Row],[Supplier ID]],Supplier[#All],3,0)</f>
        <v>9689542465</v>
      </c>
      <c r="F1830" s="138" t="str">
        <f>VLOOKUP(Purchase[[#This Row],[Supplier ID]],Supplier[#All],4,0)</f>
        <v>Korba</v>
      </c>
      <c r="G1830" s="138" t="str">
        <f>VLOOKUP(Purchase[[#This Row],[Supplier ID]],Supplier[#All],5,0)</f>
        <v>CG</v>
      </c>
      <c r="H1830" s="138" t="str">
        <f>VLOOKUP(Purchase[[#This Row],[Supplier ID]],Supplier[#All],6,0)</f>
        <v>GST2154521T027</v>
      </c>
      <c r="I1830" s="138" t="s">
        <v>81</v>
      </c>
      <c r="J1830" s="139">
        <v>3</v>
      </c>
      <c r="K1830" s="143">
        <f>VLOOKUP(Purchase[[#This Row],[Product ID]],Product[#All],6,0)</f>
        <v>52393</v>
      </c>
      <c r="L1830" s="143">
        <f>Purchase[[#This Row],[Purchase Rate]]*Purchase[[#This Row],[Qty]]</f>
        <v>157179</v>
      </c>
      <c r="M1830" s="140">
        <v>0</v>
      </c>
      <c r="N1830" s="143">
        <v>0</v>
      </c>
      <c r="O1830" s="140">
        <v>0.18</v>
      </c>
      <c r="P1830" s="145">
        <f>(Purchase[[#This Row],[Gross Amount]]-Purchase[[#This Row],[Disct %]])*Purchase[[#This Row],[GST %]]</f>
        <v>28292.219999999998</v>
      </c>
      <c r="Q1830" s="145">
        <f>Purchase[[#This Row],[Gross Amount]]-Purchase[[#This Row],[Disct Amnt]]+Purchase[[#This Row],[GST Amount]]</f>
        <v>185471.22</v>
      </c>
      <c r="R1830" s="138" t="s">
        <v>1019</v>
      </c>
      <c r="S1830" s="41">
        <f>IF(Purchase[[#This Row],[Status]]="Cancelled",0,Purchase[[#This Row],[Qty]])</f>
        <v>3</v>
      </c>
      <c r="T1830" s="146">
        <f>IF(Purchase[[#This Row],[Status]]="Cancelled",0,Purchase[[#This Row],[Total Amount]])</f>
        <v>185471.22</v>
      </c>
      <c r="U1830" s="146">
        <f>SUM(Purchase[Net Amount])</f>
        <v>814985438.68000126</v>
      </c>
    </row>
    <row r="1831" spans="1:21" ht="19.5" thickBot="1" x14ac:dyDescent="0.3">
      <c r="A1831" s="136" t="s">
        <v>2887</v>
      </c>
      <c r="B1831" s="137">
        <v>45747</v>
      </c>
      <c r="C1831" s="138" t="s">
        <v>615</v>
      </c>
      <c r="D1831" s="138" t="str">
        <f>VLOOKUP(Purchase[[#This Row],[Supplier ID]],Supplier[#All],2,0)</f>
        <v>NATIONAL ELECTRONICS</v>
      </c>
      <c r="E1831" s="138">
        <f>VLOOKUP(Purchase[[#This Row],[Supplier ID]],Supplier[#All],3,0)</f>
        <v>9689542498</v>
      </c>
      <c r="F1831" s="138" t="str">
        <f>VLOOKUP(Purchase[[#This Row],[Supplier ID]],Supplier[#All],4,0)</f>
        <v>Kanpur</v>
      </c>
      <c r="G1831" s="138" t="str">
        <f>VLOOKUP(Purchase[[#This Row],[Supplier ID]],Supplier[#All],5,0)</f>
        <v>UP</v>
      </c>
      <c r="H1831" s="138" t="str">
        <f>VLOOKUP(Purchase[[#This Row],[Supplier ID]],Supplier[#All],6,0)</f>
        <v>GST2154521T060</v>
      </c>
      <c r="I1831" s="138" t="s">
        <v>91</v>
      </c>
      <c r="J1831" s="139">
        <v>24</v>
      </c>
      <c r="K1831" s="143">
        <f>VLOOKUP(Purchase[[#This Row],[Product ID]],Product[#All],6,0)</f>
        <v>3315</v>
      </c>
      <c r="L1831" s="143">
        <f>Purchase[[#This Row],[Purchase Rate]]*Purchase[[#This Row],[Qty]]</f>
        <v>79560</v>
      </c>
      <c r="M1831" s="140">
        <v>0</v>
      </c>
      <c r="N1831" s="143">
        <v>0</v>
      </c>
      <c r="O1831" s="140">
        <v>0.18</v>
      </c>
      <c r="P1831" s="145">
        <f>(Purchase[[#This Row],[Gross Amount]]-Purchase[[#This Row],[Disct %]])*Purchase[[#This Row],[GST %]]</f>
        <v>14320.8</v>
      </c>
      <c r="Q1831" s="145">
        <f>Purchase[[#This Row],[Gross Amount]]-Purchase[[#This Row],[Disct Amnt]]+Purchase[[#This Row],[GST Amount]]</f>
        <v>93880.8</v>
      </c>
      <c r="R1831" s="138" t="s">
        <v>1019</v>
      </c>
      <c r="S1831" s="41">
        <f>IF(Purchase[[#This Row],[Status]]="Cancelled",0,Purchase[[#This Row],[Qty]])</f>
        <v>24</v>
      </c>
      <c r="T1831" s="146">
        <f>IF(Purchase[[#This Row],[Status]]="Cancelled",0,Purchase[[#This Row],[Total Amount]])</f>
        <v>93880.8</v>
      </c>
      <c r="U1831" s="146">
        <f>SUM(Purchase[Net Amount])</f>
        <v>814985438.68000126</v>
      </c>
    </row>
    <row r="1832" spans="1:21" ht="19.5" thickBot="1" x14ac:dyDescent="0.3">
      <c r="A1832" s="136" t="s">
        <v>2888</v>
      </c>
      <c r="B1832" s="137">
        <v>45747</v>
      </c>
      <c r="C1832" s="138" t="s">
        <v>589</v>
      </c>
      <c r="D1832" s="138" t="str">
        <f>VLOOKUP(Purchase[[#This Row],[Supplier ID]],Supplier[#All],2,0)</f>
        <v>Maa Computers</v>
      </c>
      <c r="E1832" s="138">
        <f>VLOOKUP(Purchase[[#This Row],[Supplier ID]],Supplier[#All],3,0)</f>
        <v>9689542473</v>
      </c>
      <c r="F1832" s="138" t="str">
        <f>VLOOKUP(Purchase[[#This Row],[Supplier ID]],Supplier[#All],4,0)</f>
        <v>Kanpur</v>
      </c>
      <c r="G1832" s="138" t="str">
        <f>VLOOKUP(Purchase[[#This Row],[Supplier ID]],Supplier[#All],5,0)</f>
        <v>UP</v>
      </c>
      <c r="H1832" s="138" t="str">
        <f>VLOOKUP(Purchase[[#This Row],[Supplier ID]],Supplier[#All],6,0)</f>
        <v>GST2154521T035</v>
      </c>
      <c r="I1832" s="138" t="s">
        <v>469</v>
      </c>
      <c r="J1832" s="139">
        <v>3</v>
      </c>
      <c r="K1832" s="143">
        <f>VLOOKUP(Purchase[[#This Row],[Product ID]],Product[#All],6,0)</f>
        <v>5378</v>
      </c>
      <c r="L1832" s="143">
        <f>Purchase[[#This Row],[Purchase Rate]]*Purchase[[#This Row],[Qty]]</f>
        <v>16134</v>
      </c>
      <c r="M1832" s="140">
        <v>0</v>
      </c>
      <c r="N1832" s="143">
        <v>0</v>
      </c>
      <c r="O1832" s="140">
        <v>0.18</v>
      </c>
      <c r="P1832" s="145">
        <f>(Purchase[[#This Row],[Gross Amount]]-Purchase[[#This Row],[Disct %]])*Purchase[[#This Row],[GST %]]</f>
        <v>2904.12</v>
      </c>
      <c r="Q1832" s="145">
        <f>Purchase[[#This Row],[Gross Amount]]-Purchase[[#This Row],[Disct Amnt]]+Purchase[[#This Row],[GST Amount]]</f>
        <v>19038.12</v>
      </c>
      <c r="R1832" s="138" t="s">
        <v>1019</v>
      </c>
      <c r="S1832" s="41">
        <f>IF(Purchase[[#This Row],[Status]]="Cancelled",0,Purchase[[#This Row],[Qty]])</f>
        <v>3</v>
      </c>
      <c r="T1832" s="146">
        <f>IF(Purchase[[#This Row],[Status]]="Cancelled",0,Purchase[[#This Row],[Total Amount]])</f>
        <v>19038.12</v>
      </c>
      <c r="U1832" s="146">
        <f>SUM(Purchase[Net Amount])</f>
        <v>814985438.68000126</v>
      </c>
    </row>
    <row r="1833" spans="1:21" ht="19.5" thickBot="1" x14ac:dyDescent="0.3">
      <c r="A1833" s="136" t="s">
        <v>2889</v>
      </c>
      <c r="B1833" s="137">
        <v>45747</v>
      </c>
      <c r="C1833" s="138" t="s">
        <v>566</v>
      </c>
      <c r="D1833" s="138" t="str">
        <f>VLOOKUP(Purchase[[#This Row],[Supplier ID]],Supplier[#All],2,0)</f>
        <v>Maa Computers</v>
      </c>
      <c r="E1833" s="138">
        <f>VLOOKUP(Purchase[[#This Row],[Supplier ID]],Supplier[#All],3,0)</f>
        <v>9689542452</v>
      </c>
      <c r="F1833" s="138" t="str">
        <f>VLOOKUP(Purchase[[#This Row],[Supplier ID]],Supplier[#All],4,0)</f>
        <v>Kanpur</v>
      </c>
      <c r="G1833" s="138" t="str">
        <f>VLOOKUP(Purchase[[#This Row],[Supplier ID]],Supplier[#All],5,0)</f>
        <v>UP</v>
      </c>
      <c r="H1833" s="138" t="str">
        <f>VLOOKUP(Purchase[[#This Row],[Supplier ID]],Supplier[#All],6,0)</f>
        <v>GST2154521T014</v>
      </c>
      <c r="I1833" s="138" t="s">
        <v>501</v>
      </c>
      <c r="J1833" s="139">
        <v>7</v>
      </c>
      <c r="K1833" s="143">
        <f>VLOOKUP(Purchase[[#This Row],[Product ID]],Product[#All],6,0)</f>
        <v>3547</v>
      </c>
      <c r="L1833" s="143">
        <f>Purchase[[#This Row],[Purchase Rate]]*Purchase[[#This Row],[Qty]]</f>
        <v>24829</v>
      </c>
      <c r="M1833" s="140">
        <v>0</v>
      </c>
      <c r="N1833" s="143">
        <v>0</v>
      </c>
      <c r="O1833" s="140">
        <v>0.18</v>
      </c>
      <c r="P1833" s="145">
        <f>(Purchase[[#This Row],[Gross Amount]]-Purchase[[#This Row],[Disct %]])*Purchase[[#This Row],[GST %]]</f>
        <v>4469.22</v>
      </c>
      <c r="Q1833" s="145">
        <f>Purchase[[#This Row],[Gross Amount]]-Purchase[[#This Row],[Disct Amnt]]+Purchase[[#This Row],[GST Amount]]</f>
        <v>29298.22</v>
      </c>
      <c r="R1833" s="138" t="s">
        <v>1019</v>
      </c>
      <c r="S1833" s="41">
        <f>IF(Purchase[[#This Row],[Status]]="Cancelled",0,Purchase[[#This Row],[Qty]])</f>
        <v>7</v>
      </c>
      <c r="T1833" s="146">
        <f>IF(Purchase[[#This Row],[Status]]="Cancelled",0,Purchase[[#This Row],[Total Amount]])</f>
        <v>29298.22</v>
      </c>
      <c r="U1833" s="146">
        <f>SUM(Purchase[Net Amount])</f>
        <v>814985438.68000126</v>
      </c>
    </row>
    <row r="1834" spans="1:21" ht="19.5" thickBot="1" x14ac:dyDescent="0.3">
      <c r="A1834" s="136" t="s">
        <v>2890</v>
      </c>
      <c r="B1834" s="137">
        <v>45747</v>
      </c>
      <c r="C1834" s="138" t="s">
        <v>612</v>
      </c>
      <c r="D1834" s="138" t="str">
        <f>VLOOKUP(Purchase[[#This Row],[Supplier ID]],Supplier[#All],2,0)</f>
        <v>National Computers</v>
      </c>
      <c r="E1834" s="138">
        <f>VLOOKUP(Purchase[[#This Row],[Supplier ID]],Supplier[#All],3,0)</f>
        <v>9689542495</v>
      </c>
      <c r="F1834" s="138" t="str">
        <f>VLOOKUP(Purchase[[#This Row],[Supplier ID]],Supplier[#All],4,0)</f>
        <v>Indore</v>
      </c>
      <c r="G1834" s="138" t="str">
        <f>VLOOKUP(Purchase[[#This Row],[Supplier ID]],Supplier[#All],5,0)</f>
        <v>MP</v>
      </c>
      <c r="H1834" s="138" t="str">
        <f>VLOOKUP(Purchase[[#This Row],[Supplier ID]],Supplier[#All],6,0)</f>
        <v>GST2154521T057</v>
      </c>
      <c r="I1834" s="138" t="s">
        <v>317</v>
      </c>
      <c r="J1834" s="139">
        <v>29</v>
      </c>
      <c r="K1834" s="143">
        <f>VLOOKUP(Purchase[[#This Row],[Product ID]],Product[#All],6,0)</f>
        <v>850</v>
      </c>
      <c r="L1834" s="143">
        <f>Purchase[[#This Row],[Purchase Rate]]*Purchase[[#This Row],[Qty]]</f>
        <v>24650</v>
      </c>
      <c r="M1834" s="140">
        <v>0</v>
      </c>
      <c r="N1834" s="143">
        <v>0</v>
      </c>
      <c r="O1834" s="140">
        <v>0.18</v>
      </c>
      <c r="P1834" s="145">
        <f>(Purchase[[#This Row],[Gross Amount]]-Purchase[[#This Row],[Disct %]])*Purchase[[#This Row],[GST %]]</f>
        <v>4437</v>
      </c>
      <c r="Q1834" s="145">
        <f>Purchase[[#This Row],[Gross Amount]]-Purchase[[#This Row],[Disct Amnt]]+Purchase[[#This Row],[GST Amount]]</f>
        <v>29087</v>
      </c>
      <c r="R1834" s="138" t="s">
        <v>1019</v>
      </c>
      <c r="S1834" s="41">
        <f>IF(Purchase[[#This Row],[Status]]="Cancelled",0,Purchase[[#This Row],[Qty]])</f>
        <v>29</v>
      </c>
      <c r="T1834" s="146">
        <f>IF(Purchase[[#This Row],[Status]]="Cancelled",0,Purchase[[#This Row],[Total Amount]])</f>
        <v>29087</v>
      </c>
      <c r="U1834" s="146">
        <f>SUM(Purchase[Net Amount])</f>
        <v>814985438.68000126</v>
      </c>
    </row>
    <row r="1835" spans="1:21" ht="19.5" thickBot="1" x14ac:dyDescent="0.3">
      <c r="A1835" s="136" t="s">
        <v>2891</v>
      </c>
      <c r="B1835" s="137">
        <v>45747</v>
      </c>
      <c r="C1835" s="138" t="s">
        <v>608</v>
      </c>
      <c r="D1835" s="138" t="str">
        <f>VLOOKUP(Purchase[[#This Row],[Supplier ID]],Supplier[#All],2,0)</f>
        <v>Global Suppliers</v>
      </c>
      <c r="E1835" s="138">
        <f>VLOOKUP(Purchase[[#This Row],[Supplier ID]],Supplier[#All],3,0)</f>
        <v>9689542499</v>
      </c>
      <c r="F1835" s="138" t="str">
        <f>VLOOKUP(Purchase[[#This Row],[Supplier ID]],Supplier[#All],4,0)</f>
        <v>Korba</v>
      </c>
      <c r="G1835" s="138" t="str">
        <f>VLOOKUP(Purchase[[#This Row],[Supplier ID]],Supplier[#All],5,0)</f>
        <v>CG</v>
      </c>
      <c r="H1835" s="138" t="str">
        <f>VLOOKUP(Purchase[[#This Row],[Supplier ID]],Supplier[#All],6,0)</f>
        <v>GST2154521T053</v>
      </c>
      <c r="I1835" s="138" t="s">
        <v>288</v>
      </c>
      <c r="J1835" s="139">
        <v>3</v>
      </c>
      <c r="K1835" s="143">
        <f>VLOOKUP(Purchase[[#This Row],[Product ID]],Product[#All],6,0)</f>
        <v>33378</v>
      </c>
      <c r="L1835" s="143">
        <f>Purchase[[#This Row],[Purchase Rate]]*Purchase[[#This Row],[Qty]]</f>
        <v>100134</v>
      </c>
      <c r="M1835" s="140">
        <v>0</v>
      </c>
      <c r="N1835" s="143">
        <v>0</v>
      </c>
      <c r="O1835" s="140">
        <v>0.18</v>
      </c>
      <c r="P1835" s="145">
        <f>(Purchase[[#This Row],[Gross Amount]]-Purchase[[#This Row],[Disct %]])*Purchase[[#This Row],[GST %]]</f>
        <v>18024.12</v>
      </c>
      <c r="Q1835" s="145">
        <f>Purchase[[#This Row],[Gross Amount]]-Purchase[[#This Row],[Disct Amnt]]+Purchase[[#This Row],[GST Amount]]</f>
        <v>118158.12</v>
      </c>
      <c r="R1835" s="138" t="s">
        <v>1019</v>
      </c>
      <c r="S1835" s="41">
        <f>IF(Purchase[[#This Row],[Status]]="Cancelled",0,Purchase[[#This Row],[Qty]])</f>
        <v>3</v>
      </c>
      <c r="T1835" s="146">
        <f>IF(Purchase[[#This Row],[Status]]="Cancelled",0,Purchase[[#This Row],[Total Amount]])</f>
        <v>118158.12</v>
      </c>
      <c r="U1835" s="146">
        <f>SUM(Purchase[Net Amount])</f>
        <v>814985438.68000126</v>
      </c>
    </row>
    <row r="1836" spans="1:21" ht="19.5" thickBot="1" x14ac:dyDescent="0.3">
      <c r="A1836" s="136" t="s">
        <v>2892</v>
      </c>
      <c r="B1836" s="137">
        <v>45747</v>
      </c>
      <c r="C1836" s="138" t="s">
        <v>600</v>
      </c>
      <c r="D1836" s="138" t="str">
        <f>VLOOKUP(Purchase[[#This Row],[Supplier ID]],Supplier[#All],2,0)</f>
        <v>Prime Suppliers</v>
      </c>
      <c r="E1836" s="138">
        <f>VLOOKUP(Purchase[[#This Row],[Supplier ID]],Supplier[#All],3,0)</f>
        <v>9689542483</v>
      </c>
      <c r="F1836" s="138" t="str">
        <f>VLOOKUP(Purchase[[#This Row],[Supplier ID]],Supplier[#All],4,0)</f>
        <v>Korba</v>
      </c>
      <c r="G1836" s="138" t="str">
        <f>VLOOKUP(Purchase[[#This Row],[Supplier ID]],Supplier[#All],5,0)</f>
        <v>CG</v>
      </c>
      <c r="H1836" s="138" t="str">
        <f>VLOOKUP(Purchase[[#This Row],[Supplier ID]],Supplier[#All],6,0)</f>
        <v>GST2154521T045</v>
      </c>
      <c r="I1836" s="138" t="s">
        <v>522</v>
      </c>
      <c r="J1836" s="139">
        <v>38</v>
      </c>
      <c r="K1836" s="143">
        <f>VLOOKUP(Purchase[[#This Row],[Product ID]],Product[#All],6,0)</f>
        <v>2356</v>
      </c>
      <c r="L1836" s="143">
        <f>Purchase[[#This Row],[Purchase Rate]]*Purchase[[#This Row],[Qty]]</f>
        <v>89528</v>
      </c>
      <c r="M1836" s="140">
        <v>0</v>
      </c>
      <c r="N1836" s="143">
        <v>0</v>
      </c>
      <c r="O1836" s="140">
        <v>0.18</v>
      </c>
      <c r="P1836" s="145">
        <f>(Purchase[[#This Row],[Gross Amount]]-Purchase[[#This Row],[Disct %]])*Purchase[[#This Row],[GST %]]</f>
        <v>16115.039999999999</v>
      </c>
      <c r="Q1836" s="145">
        <f>Purchase[[#This Row],[Gross Amount]]-Purchase[[#This Row],[Disct Amnt]]+Purchase[[#This Row],[GST Amount]]</f>
        <v>105643.04</v>
      </c>
      <c r="R1836" s="138" t="s">
        <v>1019</v>
      </c>
      <c r="S1836" s="41">
        <f>IF(Purchase[[#This Row],[Status]]="Cancelled",0,Purchase[[#This Row],[Qty]])</f>
        <v>38</v>
      </c>
      <c r="T1836" s="146">
        <f>IF(Purchase[[#This Row],[Status]]="Cancelled",0,Purchase[[#This Row],[Total Amount]])</f>
        <v>105643.04</v>
      </c>
      <c r="U1836" s="146">
        <f>SUM(Purchase[Net Amount])</f>
        <v>814985438.68000126</v>
      </c>
    </row>
    <row r="1837" spans="1:21" ht="19.5" thickBot="1" x14ac:dyDescent="0.3">
      <c r="A1837" s="136" t="s">
        <v>2893</v>
      </c>
      <c r="B1837" s="137">
        <v>45747</v>
      </c>
      <c r="C1837" s="138" t="s">
        <v>590</v>
      </c>
      <c r="D1837" s="138" t="str">
        <f>VLOOKUP(Purchase[[#This Row],[Supplier ID]],Supplier[#All],2,0)</f>
        <v>Star Distributors</v>
      </c>
      <c r="E1837" s="138">
        <f>VLOOKUP(Purchase[[#This Row],[Supplier ID]],Supplier[#All],3,0)</f>
        <v>9689542474</v>
      </c>
      <c r="F1837" s="138" t="str">
        <f>VLOOKUP(Purchase[[#This Row],[Supplier ID]],Supplier[#All],4,0)</f>
        <v>Kanpur</v>
      </c>
      <c r="G1837" s="138" t="str">
        <f>VLOOKUP(Purchase[[#This Row],[Supplier ID]],Supplier[#All],5,0)</f>
        <v>UP</v>
      </c>
      <c r="H1837" s="138" t="str">
        <f>VLOOKUP(Purchase[[#This Row],[Supplier ID]],Supplier[#All],6,0)</f>
        <v>GST2154521T036</v>
      </c>
      <c r="I1837" s="138" t="s">
        <v>206</v>
      </c>
      <c r="J1837" s="139">
        <v>21</v>
      </c>
      <c r="K1837" s="143">
        <f>VLOOKUP(Purchase[[#This Row],[Product ID]],Product[#All],6,0)</f>
        <v>1892</v>
      </c>
      <c r="L1837" s="143">
        <f>Purchase[[#This Row],[Purchase Rate]]*Purchase[[#This Row],[Qty]]</f>
        <v>39732</v>
      </c>
      <c r="M1837" s="140">
        <v>0</v>
      </c>
      <c r="N1837" s="143">
        <v>0</v>
      </c>
      <c r="O1837" s="140">
        <v>0.18</v>
      </c>
      <c r="P1837" s="145">
        <f>(Purchase[[#This Row],[Gross Amount]]-Purchase[[#This Row],[Disct %]])*Purchase[[#This Row],[GST %]]</f>
        <v>7151.7599999999993</v>
      </c>
      <c r="Q1837" s="145">
        <f>Purchase[[#This Row],[Gross Amount]]-Purchase[[#This Row],[Disct Amnt]]+Purchase[[#This Row],[GST Amount]]</f>
        <v>46883.76</v>
      </c>
      <c r="R1837" s="138" t="s">
        <v>1019</v>
      </c>
      <c r="S1837" s="41">
        <f>IF(Purchase[[#This Row],[Status]]="Cancelled",0,Purchase[[#This Row],[Qty]])</f>
        <v>21</v>
      </c>
      <c r="T1837" s="146">
        <f>IF(Purchase[[#This Row],[Status]]="Cancelled",0,Purchase[[#This Row],[Total Amount]])</f>
        <v>46883.76</v>
      </c>
      <c r="U1837" s="146">
        <f>SUM(Purchase[Net Amount])</f>
        <v>814985438.68000126</v>
      </c>
    </row>
    <row r="1838" spans="1:21" ht="19.5" thickBot="1" x14ac:dyDescent="0.3">
      <c r="A1838" s="136" t="s">
        <v>2894</v>
      </c>
      <c r="B1838" s="137">
        <v>45747</v>
      </c>
      <c r="C1838" s="138" t="s">
        <v>584</v>
      </c>
      <c r="D1838" s="138" t="str">
        <f>VLOOKUP(Purchase[[#This Row],[Supplier ID]],Supplier[#All],2,0)</f>
        <v>Prime Computers</v>
      </c>
      <c r="E1838" s="138">
        <f>VLOOKUP(Purchase[[#This Row],[Supplier ID]],Supplier[#All],3,0)</f>
        <v>9689542468</v>
      </c>
      <c r="F1838" s="138" t="str">
        <f>VLOOKUP(Purchase[[#This Row],[Supplier ID]],Supplier[#All],4,0)</f>
        <v>Kanpur</v>
      </c>
      <c r="G1838" s="138" t="str">
        <f>VLOOKUP(Purchase[[#This Row],[Supplier ID]],Supplier[#All],5,0)</f>
        <v>UP</v>
      </c>
      <c r="H1838" s="138" t="str">
        <f>VLOOKUP(Purchase[[#This Row],[Supplier ID]],Supplier[#All],6,0)</f>
        <v>GST2154521T030</v>
      </c>
      <c r="I1838" s="138" t="s">
        <v>377</v>
      </c>
      <c r="J1838" s="139">
        <v>19</v>
      </c>
      <c r="K1838" s="143">
        <f>VLOOKUP(Purchase[[#This Row],[Product ID]],Product[#All],6,0)</f>
        <v>54386</v>
      </c>
      <c r="L1838" s="143">
        <f>Purchase[[#This Row],[Purchase Rate]]*Purchase[[#This Row],[Qty]]</f>
        <v>1033334</v>
      </c>
      <c r="M1838" s="140">
        <v>0</v>
      </c>
      <c r="N1838" s="143">
        <v>0</v>
      </c>
      <c r="O1838" s="140">
        <v>0.18</v>
      </c>
      <c r="P1838" s="145">
        <f>(Purchase[[#This Row],[Gross Amount]]-Purchase[[#This Row],[Disct %]])*Purchase[[#This Row],[GST %]]</f>
        <v>186000.12</v>
      </c>
      <c r="Q1838" s="145">
        <f>Purchase[[#This Row],[Gross Amount]]-Purchase[[#This Row],[Disct Amnt]]+Purchase[[#This Row],[GST Amount]]</f>
        <v>1219334.1200000001</v>
      </c>
      <c r="R1838" s="138" t="s">
        <v>1019</v>
      </c>
      <c r="S1838" s="41">
        <f>IF(Purchase[[#This Row],[Status]]="Cancelled",0,Purchase[[#This Row],[Qty]])</f>
        <v>19</v>
      </c>
      <c r="T1838" s="146">
        <f>IF(Purchase[[#This Row],[Status]]="Cancelled",0,Purchase[[#This Row],[Total Amount]])</f>
        <v>1219334.1200000001</v>
      </c>
      <c r="U1838" s="146">
        <f>SUM(Purchase[Net Amount])</f>
        <v>814985438.68000126</v>
      </c>
    </row>
    <row r="1839" spans="1:21" ht="19.5" thickBot="1" x14ac:dyDescent="0.3">
      <c r="A1839" s="136" t="s">
        <v>2895</v>
      </c>
      <c r="B1839" s="137">
        <v>45747</v>
      </c>
      <c r="C1839" s="138" t="s">
        <v>598</v>
      </c>
      <c r="D1839" s="138" t="str">
        <f>VLOOKUP(Purchase[[#This Row],[Supplier ID]],Supplier[#All],2,0)</f>
        <v>National Distributors</v>
      </c>
      <c r="E1839" s="138">
        <f>VLOOKUP(Purchase[[#This Row],[Supplier ID]],Supplier[#All],3,0)</f>
        <v>9689542489</v>
      </c>
      <c r="F1839" s="138" t="str">
        <f>VLOOKUP(Purchase[[#This Row],[Supplier ID]],Supplier[#All],4,0)</f>
        <v>Indore</v>
      </c>
      <c r="G1839" s="138" t="str">
        <f>VLOOKUP(Purchase[[#This Row],[Supplier ID]],Supplier[#All],5,0)</f>
        <v>MP</v>
      </c>
      <c r="H1839" s="138" t="str">
        <f>VLOOKUP(Purchase[[#This Row],[Supplier ID]],Supplier[#All],6,0)</f>
        <v>GST2154521T043</v>
      </c>
      <c r="I1839" s="138" t="s">
        <v>292</v>
      </c>
      <c r="J1839" s="139">
        <v>15</v>
      </c>
      <c r="K1839" s="143">
        <f>VLOOKUP(Purchase[[#This Row],[Product ID]],Product[#All],6,0)</f>
        <v>5549</v>
      </c>
      <c r="L1839" s="143">
        <f>Purchase[[#This Row],[Purchase Rate]]*Purchase[[#This Row],[Qty]]</f>
        <v>83235</v>
      </c>
      <c r="M1839" s="140">
        <v>0</v>
      </c>
      <c r="N1839" s="143">
        <v>0</v>
      </c>
      <c r="O1839" s="140">
        <v>0.18</v>
      </c>
      <c r="P1839" s="145">
        <f>(Purchase[[#This Row],[Gross Amount]]-Purchase[[#This Row],[Disct %]])*Purchase[[#This Row],[GST %]]</f>
        <v>14982.3</v>
      </c>
      <c r="Q1839" s="145">
        <f>Purchase[[#This Row],[Gross Amount]]-Purchase[[#This Row],[Disct Amnt]]+Purchase[[#This Row],[GST Amount]]</f>
        <v>98217.3</v>
      </c>
      <c r="R1839" s="138" t="s">
        <v>1019</v>
      </c>
      <c r="S1839" s="41">
        <f>IF(Purchase[[#This Row],[Status]]="Cancelled",0,Purchase[[#This Row],[Qty]])</f>
        <v>15</v>
      </c>
      <c r="T1839" s="146">
        <f>IF(Purchase[[#This Row],[Status]]="Cancelled",0,Purchase[[#This Row],[Total Amount]])</f>
        <v>98217.3</v>
      </c>
      <c r="U1839" s="146">
        <f>SUM(Purchase[Net Amount])</f>
        <v>814985438.68000126</v>
      </c>
    </row>
    <row r="1840" spans="1:21" ht="19.5" thickBot="1" x14ac:dyDescent="0.3">
      <c r="A1840" s="136" t="s">
        <v>2896</v>
      </c>
      <c r="B1840" s="137">
        <v>45747</v>
      </c>
      <c r="C1840" s="138" t="s">
        <v>615</v>
      </c>
      <c r="D1840" s="138" t="str">
        <f>VLOOKUP(Purchase[[#This Row],[Supplier ID]],Supplier[#All],2,0)</f>
        <v>NATIONAL ELECTRONICS</v>
      </c>
      <c r="E1840" s="138">
        <f>VLOOKUP(Purchase[[#This Row],[Supplier ID]],Supplier[#All],3,0)</f>
        <v>9689542498</v>
      </c>
      <c r="F1840" s="138" t="str">
        <f>VLOOKUP(Purchase[[#This Row],[Supplier ID]],Supplier[#All],4,0)</f>
        <v>Kanpur</v>
      </c>
      <c r="G1840" s="138" t="str">
        <f>VLOOKUP(Purchase[[#This Row],[Supplier ID]],Supplier[#All],5,0)</f>
        <v>UP</v>
      </c>
      <c r="H1840" s="138" t="str">
        <f>VLOOKUP(Purchase[[#This Row],[Supplier ID]],Supplier[#All],6,0)</f>
        <v>GST2154521T060</v>
      </c>
      <c r="I1840" s="138" t="s">
        <v>523</v>
      </c>
      <c r="J1840" s="139">
        <v>20</v>
      </c>
      <c r="K1840" s="143">
        <f>VLOOKUP(Purchase[[#This Row],[Product ID]],Product[#All],6,0)</f>
        <v>1062</v>
      </c>
      <c r="L1840" s="143">
        <f>Purchase[[#This Row],[Purchase Rate]]*Purchase[[#This Row],[Qty]]</f>
        <v>21240</v>
      </c>
      <c r="M1840" s="140">
        <v>0</v>
      </c>
      <c r="N1840" s="143">
        <v>0</v>
      </c>
      <c r="O1840" s="140">
        <v>0.18</v>
      </c>
      <c r="P1840" s="145">
        <f>(Purchase[[#This Row],[Gross Amount]]-Purchase[[#This Row],[Disct %]])*Purchase[[#This Row],[GST %]]</f>
        <v>3823.2</v>
      </c>
      <c r="Q1840" s="145">
        <f>Purchase[[#This Row],[Gross Amount]]-Purchase[[#This Row],[Disct Amnt]]+Purchase[[#This Row],[GST Amount]]</f>
        <v>25063.200000000001</v>
      </c>
      <c r="R1840" s="138" t="s">
        <v>1019</v>
      </c>
      <c r="S1840" s="41">
        <f>IF(Purchase[[#This Row],[Status]]="Cancelled",0,Purchase[[#This Row],[Qty]])</f>
        <v>20</v>
      </c>
      <c r="T1840" s="146">
        <f>IF(Purchase[[#This Row],[Status]]="Cancelled",0,Purchase[[#This Row],[Total Amount]])</f>
        <v>25063.200000000001</v>
      </c>
      <c r="U1840" s="146">
        <f>SUM(Purchase[Net Amount])</f>
        <v>814985438.68000126</v>
      </c>
    </row>
    <row r="1841" spans="1:21" ht="19.5" thickBot="1" x14ac:dyDescent="0.3">
      <c r="A1841" s="136" t="s">
        <v>2897</v>
      </c>
      <c r="B1841" s="137">
        <v>45747</v>
      </c>
      <c r="C1841" s="138" t="s">
        <v>585</v>
      </c>
      <c r="D1841" s="138" t="str">
        <f>VLOOKUP(Purchase[[#This Row],[Supplier ID]],Supplier[#All],2,0)</f>
        <v>Tech Computers</v>
      </c>
      <c r="E1841" s="138">
        <f>VLOOKUP(Purchase[[#This Row],[Supplier ID]],Supplier[#All],3,0)</f>
        <v>9689542469</v>
      </c>
      <c r="F1841" s="138" t="str">
        <f>VLOOKUP(Purchase[[#This Row],[Supplier ID]],Supplier[#All],4,0)</f>
        <v>Korba</v>
      </c>
      <c r="G1841" s="138" t="str">
        <f>VLOOKUP(Purchase[[#This Row],[Supplier ID]],Supplier[#All],5,0)</f>
        <v>CG</v>
      </c>
      <c r="H1841" s="138" t="str">
        <f>VLOOKUP(Purchase[[#This Row],[Supplier ID]],Supplier[#All],6,0)</f>
        <v>GST2154521T031</v>
      </c>
      <c r="I1841" s="138" t="s">
        <v>126</v>
      </c>
      <c r="J1841" s="139">
        <v>31</v>
      </c>
      <c r="K1841" s="143">
        <f>VLOOKUP(Purchase[[#This Row],[Product ID]],Product[#All],6,0)</f>
        <v>19380</v>
      </c>
      <c r="L1841" s="143">
        <f>Purchase[[#This Row],[Purchase Rate]]*Purchase[[#This Row],[Qty]]</f>
        <v>600780</v>
      </c>
      <c r="M1841" s="140">
        <v>0</v>
      </c>
      <c r="N1841" s="143">
        <v>0</v>
      </c>
      <c r="O1841" s="140">
        <v>0.18</v>
      </c>
      <c r="P1841" s="145">
        <f>(Purchase[[#This Row],[Gross Amount]]-Purchase[[#This Row],[Disct %]])*Purchase[[#This Row],[GST %]]</f>
        <v>108140.4</v>
      </c>
      <c r="Q1841" s="145">
        <f>Purchase[[#This Row],[Gross Amount]]-Purchase[[#This Row],[Disct Amnt]]+Purchase[[#This Row],[GST Amount]]</f>
        <v>708920.4</v>
      </c>
      <c r="R1841" s="138" t="s">
        <v>1019</v>
      </c>
      <c r="S1841" s="41">
        <f>IF(Purchase[[#This Row],[Status]]="Cancelled",0,Purchase[[#This Row],[Qty]])</f>
        <v>31</v>
      </c>
      <c r="T1841" s="146">
        <f>IF(Purchase[[#This Row],[Status]]="Cancelled",0,Purchase[[#This Row],[Total Amount]])</f>
        <v>708920.4</v>
      </c>
      <c r="U1841" s="146">
        <f>SUM(Purchase[Net Amount])</f>
        <v>814985438.68000126</v>
      </c>
    </row>
    <row r="1842" spans="1:21" ht="19.5" thickBot="1" x14ac:dyDescent="0.3">
      <c r="A1842" s="136" t="s">
        <v>2898</v>
      </c>
      <c r="B1842" s="137">
        <v>45747</v>
      </c>
      <c r="C1842" s="138" t="s">
        <v>612</v>
      </c>
      <c r="D1842" s="138" t="str">
        <f>VLOOKUP(Purchase[[#This Row],[Supplier ID]],Supplier[#All],2,0)</f>
        <v>National Computers</v>
      </c>
      <c r="E1842" s="138">
        <f>VLOOKUP(Purchase[[#This Row],[Supplier ID]],Supplier[#All],3,0)</f>
        <v>9689542495</v>
      </c>
      <c r="F1842" s="138" t="str">
        <f>VLOOKUP(Purchase[[#This Row],[Supplier ID]],Supplier[#All],4,0)</f>
        <v>Indore</v>
      </c>
      <c r="G1842" s="138" t="str">
        <f>VLOOKUP(Purchase[[#This Row],[Supplier ID]],Supplier[#All],5,0)</f>
        <v>MP</v>
      </c>
      <c r="H1842" s="138" t="str">
        <f>VLOOKUP(Purchase[[#This Row],[Supplier ID]],Supplier[#All],6,0)</f>
        <v>GST2154521T057</v>
      </c>
      <c r="I1842" s="138" t="s">
        <v>82</v>
      </c>
      <c r="J1842" s="139">
        <v>22</v>
      </c>
      <c r="K1842" s="143">
        <f>VLOOKUP(Purchase[[#This Row],[Product ID]],Product[#All],6,0)</f>
        <v>4177</v>
      </c>
      <c r="L1842" s="143">
        <f>Purchase[[#This Row],[Purchase Rate]]*Purchase[[#This Row],[Qty]]</f>
        <v>91894</v>
      </c>
      <c r="M1842" s="140">
        <v>0</v>
      </c>
      <c r="N1842" s="143">
        <v>0</v>
      </c>
      <c r="O1842" s="140">
        <v>0.18</v>
      </c>
      <c r="P1842" s="145">
        <f>(Purchase[[#This Row],[Gross Amount]]-Purchase[[#This Row],[Disct %]])*Purchase[[#This Row],[GST %]]</f>
        <v>16540.919999999998</v>
      </c>
      <c r="Q1842" s="145">
        <f>Purchase[[#This Row],[Gross Amount]]-Purchase[[#This Row],[Disct Amnt]]+Purchase[[#This Row],[GST Amount]]</f>
        <v>108434.92</v>
      </c>
      <c r="R1842" s="138" t="s">
        <v>1019</v>
      </c>
      <c r="S1842" s="41">
        <f>IF(Purchase[[#This Row],[Status]]="Cancelled",0,Purchase[[#This Row],[Qty]])</f>
        <v>22</v>
      </c>
      <c r="T1842" s="146">
        <f>IF(Purchase[[#This Row],[Status]]="Cancelled",0,Purchase[[#This Row],[Total Amount]])</f>
        <v>108434.92</v>
      </c>
      <c r="U1842" s="146">
        <f>SUM(Purchase[Net Amount])</f>
        <v>814985438.68000126</v>
      </c>
    </row>
    <row r="1843" spans="1:21" ht="19.5" thickBot="1" x14ac:dyDescent="0.3">
      <c r="A1843" s="136" t="s">
        <v>2899</v>
      </c>
      <c r="B1843" s="137">
        <v>45747</v>
      </c>
      <c r="C1843" s="138" t="s">
        <v>566</v>
      </c>
      <c r="D1843" s="138" t="str">
        <f>VLOOKUP(Purchase[[#This Row],[Supplier ID]],Supplier[#All],2,0)</f>
        <v>Maa Computers</v>
      </c>
      <c r="E1843" s="138">
        <f>VLOOKUP(Purchase[[#This Row],[Supplier ID]],Supplier[#All],3,0)</f>
        <v>9689542452</v>
      </c>
      <c r="F1843" s="138" t="str">
        <f>VLOOKUP(Purchase[[#This Row],[Supplier ID]],Supplier[#All],4,0)</f>
        <v>Kanpur</v>
      </c>
      <c r="G1843" s="138" t="str">
        <f>VLOOKUP(Purchase[[#This Row],[Supplier ID]],Supplier[#All],5,0)</f>
        <v>UP</v>
      </c>
      <c r="H1843" s="138" t="str">
        <f>VLOOKUP(Purchase[[#This Row],[Supplier ID]],Supplier[#All],6,0)</f>
        <v>GST2154521T014</v>
      </c>
      <c r="I1843" s="138" t="s">
        <v>477</v>
      </c>
      <c r="J1843" s="139">
        <v>14</v>
      </c>
      <c r="K1843" s="143">
        <f>VLOOKUP(Purchase[[#This Row],[Product ID]],Product[#All],6,0)</f>
        <v>13876</v>
      </c>
      <c r="L1843" s="143">
        <f>Purchase[[#This Row],[Purchase Rate]]*Purchase[[#This Row],[Qty]]</f>
        <v>194264</v>
      </c>
      <c r="M1843" s="140">
        <v>0</v>
      </c>
      <c r="N1843" s="143">
        <v>0</v>
      </c>
      <c r="O1843" s="140">
        <v>0.18</v>
      </c>
      <c r="P1843" s="145">
        <f>(Purchase[[#This Row],[Gross Amount]]-Purchase[[#This Row],[Disct %]])*Purchase[[#This Row],[GST %]]</f>
        <v>34967.519999999997</v>
      </c>
      <c r="Q1843" s="145">
        <f>Purchase[[#This Row],[Gross Amount]]-Purchase[[#This Row],[Disct Amnt]]+Purchase[[#This Row],[GST Amount]]</f>
        <v>229231.52</v>
      </c>
      <c r="R1843" s="138" t="s">
        <v>1040</v>
      </c>
      <c r="S1843" s="41">
        <f>IF(Purchase[[#This Row],[Status]]="Cancelled",0,Purchase[[#This Row],[Qty]])</f>
        <v>0</v>
      </c>
      <c r="T1843" s="146">
        <f>IF(Purchase[[#This Row],[Status]]="Cancelled",0,Purchase[[#This Row],[Total Amount]])</f>
        <v>0</v>
      </c>
      <c r="U1843" s="146">
        <f>SUM(Purchase[Net Amount])</f>
        <v>814985438.68000126</v>
      </c>
    </row>
    <row r="1844" spans="1:21" ht="19.5" thickBot="1" x14ac:dyDescent="0.3">
      <c r="A1844" s="136" t="s">
        <v>2900</v>
      </c>
      <c r="B1844" s="137">
        <v>45748</v>
      </c>
      <c r="C1844" s="138" t="s">
        <v>611</v>
      </c>
      <c r="D1844" s="138" t="str">
        <f>VLOOKUP(Purchase[[#This Row],[Supplier ID]],Supplier[#All],2,0)</f>
        <v>National Distributors</v>
      </c>
      <c r="E1844" s="138">
        <f>VLOOKUP(Purchase[[#This Row],[Supplier ID]],Supplier[#All],3,0)</f>
        <v>9689542494</v>
      </c>
      <c r="F1844" s="138" t="str">
        <f>VLOOKUP(Purchase[[#This Row],[Supplier ID]],Supplier[#All],4,0)</f>
        <v>Korba</v>
      </c>
      <c r="G1844" s="138" t="str">
        <f>VLOOKUP(Purchase[[#This Row],[Supplier ID]],Supplier[#All],5,0)</f>
        <v>CG</v>
      </c>
      <c r="H1844" s="138" t="str">
        <f>VLOOKUP(Purchase[[#This Row],[Supplier ID]],Supplier[#All],6,0)</f>
        <v>GST2154521T056</v>
      </c>
      <c r="I1844" s="138" t="s">
        <v>185</v>
      </c>
      <c r="J1844" s="139">
        <v>28</v>
      </c>
      <c r="K1844" s="143">
        <f>VLOOKUP(Purchase[[#This Row],[Product ID]],Product[#All],6,0)</f>
        <v>3862</v>
      </c>
      <c r="L1844" s="143">
        <f>Purchase[[#This Row],[Purchase Rate]]*Purchase[[#This Row],[Qty]]</f>
        <v>108136</v>
      </c>
      <c r="M1844" s="140">
        <v>0</v>
      </c>
      <c r="N1844" s="143">
        <v>0</v>
      </c>
      <c r="O1844" s="140">
        <v>0.18</v>
      </c>
      <c r="P1844" s="145">
        <f>(Purchase[[#This Row],[Gross Amount]]-Purchase[[#This Row],[Disct %]])*Purchase[[#This Row],[GST %]]</f>
        <v>19464.48</v>
      </c>
      <c r="Q1844" s="145">
        <f>Purchase[[#This Row],[Gross Amount]]-Purchase[[#This Row],[Disct Amnt]]+Purchase[[#This Row],[GST Amount]]</f>
        <v>127600.48</v>
      </c>
      <c r="R1844" s="138" t="s">
        <v>1019</v>
      </c>
      <c r="S1844" s="41">
        <f>IF(Purchase[[#This Row],[Status]]="Cancelled",0,Purchase[[#This Row],[Qty]])</f>
        <v>28</v>
      </c>
      <c r="T1844" s="146">
        <f>IF(Purchase[[#This Row],[Status]]="Cancelled",0,Purchase[[#This Row],[Total Amount]])</f>
        <v>127600.48</v>
      </c>
      <c r="U1844" s="146">
        <f>SUM(Purchase[Net Amount])</f>
        <v>814985438.68000126</v>
      </c>
    </row>
    <row r="1845" spans="1:21" ht="19.5" thickBot="1" x14ac:dyDescent="0.3">
      <c r="A1845" s="136" t="s">
        <v>2901</v>
      </c>
      <c r="B1845" s="137">
        <v>45748</v>
      </c>
      <c r="C1845" s="138" t="s">
        <v>599</v>
      </c>
      <c r="D1845" s="138" t="str">
        <f>VLOOKUP(Purchase[[#This Row],[Supplier ID]],Supplier[#All],2,0)</f>
        <v>National Distributors</v>
      </c>
      <c r="E1845" s="138">
        <f>VLOOKUP(Purchase[[#This Row],[Supplier ID]],Supplier[#All],3,0)</f>
        <v>9689542482</v>
      </c>
      <c r="F1845" s="138" t="str">
        <f>VLOOKUP(Purchase[[#This Row],[Supplier ID]],Supplier[#All],4,0)</f>
        <v>Kanpur</v>
      </c>
      <c r="G1845" s="138" t="str">
        <f>VLOOKUP(Purchase[[#This Row],[Supplier ID]],Supplier[#All],5,0)</f>
        <v>UP</v>
      </c>
      <c r="H1845" s="138" t="str">
        <f>VLOOKUP(Purchase[[#This Row],[Supplier ID]],Supplier[#All],6,0)</f>
        <v>GST2154521T044</v>
      </c>
      <c r="I1845" s="138" t="s">
        <v>214</v>
      </c>
      <c r="J1845" s="139">
        <v>40</v>
      </c>
      <c r="K1845" s="143">
        <f>VLOOKUP(Purchase[[#This Row],[Product ID]],Product[#All],6,0)</f>
        <v>8627</v>
      </c>
      <c r="L1845" s="143">
        <f>Purchase[[#This Row],[Purchase Rate]]*Purchase[[#This Row],[Qty]]</f>
        <v>345080</v>
      </c>
      <c r="M1845" s="140">
        <v>0</v>
      </c>
      <c r="N1845" s="143">
        <v>0</v>
      </c>
      <c r="O1845" s="140">
        <v>0.18</v>
      </c>
      <c r="P1845" s="145">
        <f>(Purchase[[#This Row],[Gross Amount]]-Purchase[[#This Row],[Disct %]])*Purchase[[#This Row],[GST %]]</f>
        <v>62114.399999999994</v>
      </c>
      <c r="Q1845" s="145">
        <f>Purchase[[#This Row],[Gross Amount]]-Purchase[[#This Row],[Disct Amnt]]+Purchase[[#This Row],[GST Amount]]</f>
        <v>407194.4</v>
      </c>
      <c r="R1845" s="138" t="s">
        <v>1019</v>
      </c>
      <c r="S1845" s="41">
        <f>IF(Purchase[[#This Row],[Status]]="Cancelled",0,Purchase[[#This Row],[Qty]])</f>
        <v>40</v>
      </c>
      <c r="T1845" s="146">
        <f>IF(Purchase[[#This Row],[Status]]="Cancelled",0,Purchase[[#This Row],[Total Amount]])</f>
        <v>407194.4</v>
      </c>
      <c r="U1845" s="146">
        <f>SUM(Purchase[Net Amount])</f>
        <v>814985438.68000126</v>
      </c>
    </row>
    <row r="1846" spans="1:21" ht="19.5" thickBot="1" x14ac:dyDescent="0.3">
      <c r="A1846" s="136" t="s">
        <v>2902</v>
      </c>
      <c r="B1846" s="137">
        <v>45748</v>
      </c>
      <c r="C1846" s="138" t="s">
        <v>570</v>
      </c>
      <c r="D1846" s="138" t="str">
        <f>VLOOKUP(Purchase[[#This Row],[Supplier ID]],Supplier[#All],2,0)</f>
        <v>Prime Traders</v>
      </c>
      <c r="E1846" s="138">
        <f>VLOOKUP(Purchase[[#This Row],[Supplier ID]],Supplier[#All],3,0)</f>
        <v>9689542456</v>
      </c>
      <c r="F1846" s="138" t="str">
        <f>VLOOKUP(Purchase[[#This Row],[Supplier ID]],Supplier[#All],4,0)</f>
        <v>Indore</v>
      </c>
      <c r="G1846" s="138" t="str">
        <f>VLOOKUP(Purchase[[#This Row],[Supplier ID]],Supplier[#All],5,0)</f>
        <v>MP</v>
      </c>
      <c r="H1846" s="138" t="str">
        <f>VLOOKUP(Purchase[[#This Row],[Supplier ID]],Supplier[#All],6,0)</f>
        <v>GST2154521T018</v>
      </c>
      <c r="I1846" s="138" t="s">
        <v>470</v>
      </c>
      <c r="J1846" s="139">
        <v>34</v>
      </c>
      <c r="K1846" s="143">
        <f>VLOOKUP(Purchase[[#This Row],[Product ID]],Product[#All],6,0)</f>
        <v>30694</v>
      </c>
      <c r="L1846" s="143">
        <f>Purchase[[#This Row],[Purchase Rate]]*Purchase[[#This Row],[Qty]]</f>
        <v>1043596</v>
      </c>
      <c r="M1846" s="140">
        <v>0</v>
      </c>
      <c r="N1846" s="143">
        <v>0</v>
      </c>
      <c r="O1846" s="140">
        <v>0.18</v>
      </c>
      <c r="P1846" s="145">
        <f>(Purchase[[#This Row],[Gross Amount]]-Purchase[[#This Row],[Disct %]])*Purchase[[#This Row],[GST %]]</f>
        <v>187847.28</v>
      </c>
      <c r="Q1846" s="145">
        <f>Purchase[[#This Row],[Gross Amount]]-Purchase[[#This Row],[Disct Amnt]]+Purchase[[#This Row],[GST Amount]]</f>
        <v>1231443.28</v>
      </c>
      <c r="R1846" s="138" t="s">
        <v>1019</v>
      </c>
      <c r="S1846" s="41">
        <f>IF(Purchase[[#This Row],[Status]]="Cancelled",0,Purchase[[#This Row],[Qty]])</f>
        <v>34</v>
      </c>
      <c r="T1846" s="146">
        <f>IF(Purchase[[#This Row],[Status]]="Cancelled",0,Purchase[[#This Row],[Total Amount]])</f>
        <v>1231443.28</v>
      </c>
      <c r="U1846" s="146">
        <f>SUM(Purchase[Net Amount])</f>
        <v>814985438.68000126</v>
      </c>
    </row>
    <row r="1847" spans="1:21" ht="19.5" thickBot="1" x14ac:dyDescent="0.3">
      <c r="A1847" s="136" t="s">
        <v>2903</v>
      </c>
      <c r="B1847" s="137">
        <v>45748</v>
      </c>
      <c r="C1847" s="138" t="s">
        <v>1527</v>
      </c>
      <c r="D1847" s="138" t="str">
        <f>VLOOKUP(Purchase[[#This Row],[Supplier ID]],Supplier[#All],2,0)</f>
        <v>National Traders</v>
      </c>
      <c r="E1847" s="138">
        <f>VLOOKUP(Purchase[[#This Row],[Supplier ID]],Supplier[#All],3,0)</f>
        <v>9689542496</v>
      </c>
      <c r="F1847" s="138" t="str">
        <f>VLOOKUP(Purchase[[#This Row],[Supplier ID]],Supplier[#All],4,0)</f>
        <v>Indore</v>
      </c>
      <c r="G1847" s="138" t="str">
        <f>VLOOKUP(Purchase[[#This Row],[Supplier ID]],Supplier[#All],5,0)</f>
        <v>MP</v>
      </c>
      <c r="H1847" s="138" t="str">
        <f>VLOOKUP(Purchase[[#This Row],[Supplier ID]],Supplier[#All],6,0)</f>
        <v>GST2154521T058</v>
      </c>
      <c r="I1847" s="138" t="s">
        <v>187</v>
      </c>
      <c r="J1847" s="139">
        <v>19</v>
      </c>
      <c r="K1847" s="143">
        <f>VLOOKUP(Purchase[[#This Row],[Product ID]],Product[#All],6,0)</f>
        <v>712</v>
      </c>
      <c r="L1847" s="143">
        <f>Purchase[[#This Row],[Purchase Rate]]*Purchase[[#This Row],[Qty]]</f>
        <v>13528</v>
      </c>
      <c r="M1847" s="140">
        <v>0</v>
      </c>
      <c r="N1847" s="143">
        <v>0</v>
      </c>
      <c r="O1847" s="140">
        <v>0.18</v>
      </c>
      <c r="P1847" s="145">
        <f>(Purchase[[#This Row],[Gross Amount]]-Purchase[[#This Row],[Disct %]])*Purchase[[#This Row],[GST %]]</f>
        <v>2435.04</v>
      </c>
      <c r="Q1847" s="145">
        <f>Purchase[[#This Row],[Gross Amount]]-Purchase[[#This Row],[Disct Amnt]]+Purchase[[#This Row],[GST Amount]]</f>
        <v>15963.04</v>
      </c>
      <c r="R1847" s="138" t="s">
        <v>1019</v>
      </c>
      <c r="S1847" s="41">
        <f>IF(Purchase[[#This Row],[Status]]="Cancelled",0,Purchase[[#This Row],[Qty]])</f>
        <v>19</v>
      </c>
      <c r="T1847" s="146">
        <f>IF(Purchase[[#This Row],[Status]]="Cancelled",0,Purchase[[#This Row],[Total Amount]])</f>
        <v>15963.04</v>
      </c>
      <c r="U1847" s="146">
        <f>SUM(Purchase[Net Amount])</f>
        <v>814985438.68000126</v>
      </c>
    </row>
    <row r="1848" spans="1:21" ht="19.5" thickBot="1" x14ac:dyDescent="0.3">
      <c r="A1848" s="136" t="s">
        <v>2904</v>
      </c>
      <c r="B1848" s="137">
        <v>45748</v>
      </c>
      <c r="C1848" s="138" t="s">
        <v>602</v>
      </c>
      <c r="D1848" s="138" t="str">
        <f>VLOOKUP(Purchase[[#This Row],[Supplier ID]],Supplier[#All],2,0)</f>
        <v>Maa Computers</v>
      </c>
      <c r="E1848" s="138">
        <f>VLOOKUP(Purchase[[#This Row],[Supplier ID]],Supplier[#All],3,0)</f>
        <v>9689542485</v>
      </c>
      <c r="F1848" s="138" t="str">
        <f>VLOOKUP(Purchase[[#This Row],[Supplier ID]],Supplier[#All],4,0)</f>
        <v>Korba</v>
      </c>
      <c r="G1848" s="138" t="str">
        <f>VLOOKUP(Purchase[[#This Row],[Supplier ID]],Supplier[#All],5,0)</f>
        <v>CG</v>
      </c>
      <c r="H1848" s="138" t="str">
        <f>VLOOKUP(Purchase[[#This Row],[Supplier ID]],Supplier[#All],6,0)</f>
        <v>GST2154521T047</v>
      </c>
      <c r="I1848" s="138" t="s">
        <v>262</v>
      </c>
      <c r="J1848" s="139">
        <v>28</v>
      </c>
      <c r="K1848" s="143">
        <f>VLOOKUP(Purchase[[#This Row],[Product ID]],Product[#All],6,0)</f>
        <v>2712</v>
      </c>
      <c r="L1848" s="143">
        <f>Purchase[[#This Row],[Purchase Rate]]*Purchase[[#This Row],[Qty]]</f>
        <v>75936</v>
      </c>
      <c r="M1848" s="140">
        <v>0</v>
      </c>
      <c r="N1848" s="143">
        <v>0</v>
      </c>
      <c r="O1848" s="140">
        <v>0.18</v>
      </c>
      <c r="P1848" s="145">
        <f>(Purchase[[#This Row],[Gross Amount]]-Purchase[[#This Row],[Disct %]])*Purchase[[#This Row],[GST %]]</f>
        <v>13668.48</v>
      </c>
      <c r="Q1848" s="145">
        <f>Purchase[[#This Row],[Gross Amount]]-Purchase[[#This Row],[Disct Amnt]]+Purchase[[#This Row],[GST Amount]]</f>
        <v>89604.479999999996</v>
      </c>
      <c r="R1848" s="138" t="s">
        <v>1019</v>
      </c>
      <c r="S1848" s="41">
        <f>IF(Purchase[[#This Row],[Status]]="Cancelled",0,Purchase[[#This Row],[Qty]])</f>
        <v>28</v>
      </c>
      <c r="T1848" s="146">
        <f>IF(Purchase[[#This Row],[Status]]="Cancelled",0,Purchase[[#This Row],[Total Amount]])</f>
        <v>89604.479999999996</v>
      </c>
      <c r="U1848" s="146">
        <f>SUM(Purchase[Net Amount])</f>
        <v>814985438.68000126</v>
      </c>
    </row>
    <row r="1849" spans="1:21" ht="19.5" thickBot="1" x14ac:dyDescent="0.3">
      <c r="A1849" s="136" t="s">
        <v>2905</v>
      </c>
      <c r="B1849" s="137">
        <v>45748</v>
      </c>
      <c r="C1849" s="138" t="s">
        <v>612</v>
      </c>
      <c r="D1849" s="138" t="str">
        <f>VLOOKUP(Purchase[[#This Row],[Supplier ID]],Supplier[#All],2,0)</f>
        <v>National Computers</v>
      </c>
      <c r="E1849" s="138">
        <f>VLOOKUP(Purchase[[#This Row],[Supplier ID]],Supplier[#All],3,0)</f>
        <v>9689542495</v>
      </c>
      <c r="F1849" s="138" t="str">
        <f>VLOOKUP(Purchase[[#This Row],[Supplier ID]],Supplier[#All],4,0)</f>
        <v>Indore</v>
      </c>
      <c r="G1849" s="138" t="str">
        <f>VLOOKUP(Purchase[[#This Row],[Supplier ID]],Supplier[#All],5,0)</f>
        <v>MP</v>
      </c>
      <c r="H1849" s="138" t="str">
        <f>VLOOKUP(Purchase[[#This Row],[Supplier ID]],Supplier[#All],6,0)</f>
        <v>GST2154521T057</v>
      </c>
      <c r="I1849" s="138" t="s">
        <v>208</v>
      </c>
      <c r="J1849" s="139">
        <v>24</v>
      </c>
      <c r="K1849" s="143">
        <f>VLOOKUP(Purchase[[#This Row],[Product ID]],Product[#All],6,0)</f>
        <v>58903</v>
      </c>
      <c r="L1849" s="143">
        <f>Purchase[[#This Row],[Purchase Rate]]*Purchase[[#This Row],[Qty]]</f>
        <v>1413672</v>
      </c>
      <c r="M1849" s="140">
        <v>0</v>
      </c>
      <c r="N1849" s="143">
        <v>0</v>
      </c>
      <c r="O1849" s="140">
        <v>0.18</v>
      </c>
      <c r="P1849" s="145">
        <f>(Purchase[[#This Row],[Gross Amount]]-Purchase[[#This Row],[Disct %]])*Purchase[[#This Row],[GST %]]</f>
        <v>254460.96</v>
      </c>
      <c r="Q1849" s="145">
        <f>Purchase[[#This Row],[Gross Amount]]-Purchase[[#This Row],[Disct Amnt]]+Purchase[[#This Row],[GST Amount]]</f>
        <v>1668132.96</v>
      </c>
      <c r="R1849" s="138" t="s">
        <v>1019</v>
      </c>
      <c r="S1849" s="41">
        <f>IF(Purchase[[#This Row],[Status]]="Cancelled",0,Purchase[[#This Row],[Qty]])</f>
        <v>24</v>
      </c>
      <c r="T1849" s="146">
        <f>IF(Purchase[[#This Row],[Status]]="Cancelled",0,Purchase[[#This Row],[Total Amount]])</f>
        <v>1668132.96</v>
      </c>
      <c r="U1849" s="146">
        <f>SUM(Purchase[Net Amount])</f>
        <v>814985438.68000126</v>
      </c>
    </row>
    <row r="1850" spans="1:21" ht="19.5" thickBot="1" x14ac:dyDescent="0.3">
      <c r="A1850" s="136" t="s">
        <v>2906</v>
      </c>
      <c r="B1850" s="137">
        <v>45748</v>
      </c>
      <c r="C1850" s="138" t="s">
        <v>567</v>
      </c>
      <c r="D1850" s="138" t="str">
        <f>VLOOKUP(Purchase[[#This Row],[Supplier ID]],Supplier[#All],2,0)</f>
        <v>National Distributors</v>
      </c>
      <c r="E1850" s="138">
        <f>VLOOKUP(Purchase[[#This Row],[Supplier ID]],Supplier[#All],3,0)</f>
        <v>9689542453</v>
      </c>
      <c r="F1850" s="138" t="str">
        <f>VLOOKUP(Purchase[[#This Row],[Supplier ID]],Supplier[#All],4,0)</f>
        <v>Korba</v>
      </c>
      <c r="G1850" s="138" t="str">
        <f>VLOOKUP(Purchase[[#This Row],[Supplier ID]],Supplier[#All],5,0)</f>
        <v>CG</v>
      </c>
      <c r="H1850" s="138" t="str">
        <f>VLOOKUP(Purchase[[#This Row],[Supplier ID]],Supplier[#All],6,0)</f>
        <v>GST2154521T015</v>
      </c>
      <c r="I1850" s="138" t="s">
        <v>207</v>
      </c>
      <c r="J1850" s="139">
        <v>32</v>
      </c>
      <c r="K1850" s="143">
        <f>VLOOKUP(Purchase[[#This Row],[Product ID]],Product[#All],6,0)</f>
        <v>1218</v>
      </c>
      <c r="L1850" s="143">
        <f>Purchase[[#This Row],[Purchase Rate]]*Purchase[[#This Row],[Qty]]</f>
        <v>38976</v>
      </c>
      <c r="M1850" s="140">
        <v>0</v>
      </c>
      <c r="N1850" s="143">
        <v>0</v>
      </c>
      <c r="O1850" s="140">
        <v>0.18</v>
      </c>
      <c r="P1850" s="145">
        <f>(Purchase[[#This Row],[Gross Amount]]-Purchase[[#This Row],[Disct %]])*Purchase[[#This Row],[GST %]]</f>
        <v>7015.6799999999994</v>
      </c>
      <c r="Q1850" s="145">
        <f>Purchase[[#This Row],[Gross Amount]]-Purchase[[#This Row],[Disct Amnt]]+Purchase[[#This Row],[GST Amount]]</f>
        <v>45991.68</v>
      </c>
      <c r="R1850" s="138" t="s">
        <v>1019</v>
      </c>
      <c r="S1850" s="41">
        <f>IF(Purchase[[#This Row],[Status]]="Cancelled",0,Purchase[[#This Row],[Qty]])</f>
        <v>32</v>
      </c>
      <c r="T1850" s="146">
        <f>IF(Purchase[[#This Row],[Status]]="Cancelled",0,Purchase[[#This Row],[Total Amount]])</f>
        <v>45991.68</v>
      </c>
      <c r="U1850" s="146">
        <f>SUM(Purchase[Net Amount])</f>
        <v>814985438.68000126</v>
      </c>
    </row>
    <row r="1851" spans="1:21" ht="19.5" thickBot="1" x14ac:dyDescent="0.3">
      <c r="A1851" s="136" t="s">
        <v>2907</v>
      </c>
      <c r="B1851" s="137">
        <v>45748</v>
      </c>
      <c r="C1851" s="138" t="s">
        <v>2383</v>
      </c>
      <c r="D1851" s="138" t="str">
        <f>VLOOKUP(Purchase[[#This Row],[Supplier ID]],Supplier[#All],2,0)</f>
        <v>Tech Traders</v>
      </c>
      <c r="E1851" s="138">
        <f>VLOOKUP(Purchase[[#This Row],[Supplier ID]],Supplier[#All],3,0)</f>
        <v>9689542480</v>
      </c>
      <c r="F1851" s="138" t="str">
        <f>VLOOKUP(Purchase[[#This Row],[Supplier ID]],Supplier[#All],4,0)</f>
        <v>Kanpur</v>
      </c>
      <c r="G1851" s="138" t="str">
        <f>VLOOKUP(Purchase[[#This Row],[Supplier ID]],Supplier[#All],5,0)</f>
        <v>UP</v>
      </c>
      <c r="H1851" s="138" t="str">
        <f>VLOOKUP(Purchase[[#This Row],[Supplier ID]],Supplier[#All],6,0)</f>
        <v>GST2154521T042</v>
      </c>
      <c r="I1851" s="138" t="s">
        <v>515</v>
      </c>
      <c r="J1851" s="139">
        <v>21</v>
      </c>
      <c r="K1851" s="143">
        <f>VLOOKUP(Purchase[[#This Row],[Product ID]],Product[#All],6,0)</f>
        <v>2141</v>
      </c>
      <c r="L1851" s="143">
        <f>Purchase[[#This Row],[Purchase Rate]]*Purchase[[#This Row],[Qty]]</f>
        <v>44961</v>
      </c>
      <c r="M1851" s="140">
        <v>0</v>
      </c>
      <c r="N1851" s="143">
        <v>0</v>
      </c>
      <c r="O1851" s="140">
        <v>0.18</v>
      </c>
      <c r="P1851" s="145">
        <f>(Purchase[[#This Row],[Gross Amount]]-Purchase[[#This Row],[Disct %]])*Purchase[[#This Row],[GST %]]</f>
        <v>8092.98</v>
      </c>
      <c r="Q1851" s="145">
        <f>Purchase[[#This Row],[Gross Amount]]-Purchase[[#This Row],[Disct Amnt]]+Purchase[[#This Row],[GST Amount]]</f>
        <v>53053.979999999996</v>
      </c>
      <c r="R1851" s="138" t="s">
        <v>1019</v>
      </c>
      <c r="S1851" s="41">
        <f>IF(Purchase[[#This Row],[Status]]="Cancelled",0,Purchase[[#This Row],[Qty]])</f>
        <v>21</v>
      </c>
      <c r="T1851" s="146">
        <f>IF(Purchase[[#This Row],[Status]]="Cancelled",0,Purchase[[#This Row],[Total Amount]])</f>
        <v>53053.979999999996</v>
      </c>
      <c r="U1851" s="146">
        <f>SUM(Purchase[Net Amount])</f>
        <v>814985438.68000126</v>
      </c>
    </row>
    <row r="1852" spans="1:21" ht="19.5" thickBot="1" x14ac:dyDescent="0.3">
      <c r="A1852" s="136" t="s">
        <v>2908</v>
      </c>
      <c r="B1852" s="137">
        <v>45748</v>
      </c>
      <c r="C1852" s="138" t="s">
        <v>589</v>
      </c>
      <c r="D1852" s="138" t="str">
        <f>VLOOKUP(Purchase[[#This Row],[Supplier ID]],Supplier[#All],2,0)</f>
        <v>Maa Computers</v>
      </c>
      <c r="E1852" s="138">
        <f>VLOOKUP(Purchase[[#This Row],[Supplier ID]],Supplier[#All],3,0)</f>
        <v>9689542473</v>
      </c>
      <c r="F1852" s="138" t="str">
        <f>VLOOKUP(Purchase[[#This Row],[Supplier ID]],Supplier[#All],4,0)</f>
        <v>Kanpur</v>
      </c>
      <c r="G1852" s="138" t="str">
        <f>VLOOKUP(Purchase[[#This Row],[Supplier ID]],Supplier[#All],5,0)</f>
        <v>UP</v>
      </c>
      <c r="H1852" s="138" t="str">
        <f>VLOOKUP(Purchase[[#This Row],[Supplier ID]],Supplier[#All],6,0)</f>
        <v>GST2154521T035</v>
      </c>
      <c r="I1852" s="138" t="s">
        <v>135</v>
      </c>
      <c r="J1852" s="139">
        <v>29</v>
      </c>
      <c r="K1852" s="143">
        <f>VLOOKUP(Purchase[[#This Row],[Product ID]],Product[#All],6,0)</f>
        <v>2681</v>
      </c>
      <c r="L1852" s="143">
        <f>Purchase[[#This Row],[Purchase Rate]]*Purchase[[#This Row],[Qty]]</f>
        <v>77749</v>
      </c>
      <c r="M1852" s="140">
        <v>0</v>
      </c>
      <c r="N1852" s="143">
        <v>0</v>
      </c>
      <c r="O1852" s="140">
        <v>0.18</v>
      </c>
      <c r="P1852" s="145">
        <f>(Purchase[[#This Row],[Gross Amount]]-Purchase[[#This Row],[Disct %]])*Purchase[[#This Row],[GST %]]</f>
        <v>13994.82</v>
      </c>
      <c r="Q1852" s="145">
        <f>Purchase[[#This Row],[Gross Amount]]-Purchase[[#This Row],[Disct Amnt]]+Purchase[[#This Row],[GST Amount]]</f>
        <v>91743.82</v>
      </c>
      <c r="R1852" s="138" t="s">
        <v>1019</v>
      </c>
      <c r="S1852" s="41">
        <f>IF(Purchase[[#This Row],[Status]]="Cancelled",0,Purchase[[#This Row],[Qty]])</f>
        <v>29</v>
      </c>
      <c r="T1852" s="146">
        <f>IF(Purchase[[#This Row],[Status]]="Cancelled",0,Purchase[[#This Row],[Total Amount]])</f>
        <v>91743.82</v>
      </c>
      <c r="U1852" s="146">
        <f>SUM(Purchase[Net Amount])</f>
        <v>814985438.68000126</v>
      </c>
    </row>
    <row r="1853" spans="1:21" ht="19.5" thickBot="1" x14ac:dyDescent="0.3">
      <c r="A1853" s="136" t="s">
        <v>2909</v>
      </c>
      <c r="B1853" s="137">
        <v>45748</v>
      </c>
      <c r="C1853" s="138" t="s">
        <v>582</v>
      </c>
      <c r="D1853" s="138" t="str">
        <f>VLOOKUP(Purchase[[#This Row],[Supplier ID]],Supplier[#All],2,0)</f>
        <v>Tech Distributors</v>
      </c>
      <c r="E1853" s="138">
        <f>VLOOKUP(Purchase[[#This Row],[Supplier ID]],Supplier[#All],3,0)</f>
        <v>9689542466</v>
      </c>
      <c r="F1853" s="138" t="str">
        <f>VLOOKUP(Purchase[[#This Row],[Supplier ID]],Supplier[#All],4,0)</f>
        <v>Indore</v>
      </c>
      <c r="G1853" s="138" t="str">
        <f>VLOOKUP(Purchase[[#This Row],[Supplier ID]],Supplier[#All],5,0)</f>
        <v>MP</v>
      </c>
      <c r="H1853" s="138" t="str">
        <f>VLOOKUP(Purchase[[#This Row],[Supplier ID]],Supplier[#All],6,0)</f>
        <v>GST2154521T028</v>
      </c>
      <c r="I1853" s="138" t="s">
        <v>477</v>
      </c>
      <c r="J1853" s="139">
        <v>19</v>
      </c>
      <c r="K1853" s="143">
        <f>VLOOKUP(Purchase[[#This Row],[Product ID]],Product[#All],6,0)</f>
        <v>13876</v>
      </c>
      <c r="L1853" s="143">
        <f>Purchase[[#This Row],[Purchase Rate]]*Purchase[[#This Row],[Qty]]</f>
        <v>263644</v>
      </c>
      <c r="M1853" s="140">
        <v>0</v>
      </c>
      <c r="N1853" s="143">
        <v>0</v>
      </c>
      <c r="O1853" s="140">
        <v>0.18</v>
      </c>
      <c r="P1853" s="145">
        <f>(Purchase[[#This Row],[Gross Amount]]-Purchase[[#This Row],[Disct %]])*Purchase[[#This Row],[GST %]]</f>
        <v>47455.92</v>
      </c>
      <c r="Q1853" s="145">
        <f>Purchase[[#This Row],[Gross Amount]]-Purchase[[#This Row],[Disct Amnt]]+Purchase[[#This Row],[GST Amount]]</f>
        <v>311099.92</v>
      </c>
      <c r="R1853" s="138" t="s">
        <v>1019</v>
      </c>
      <c r="S1853" s="41">
        <f>IF(Purchase[[#This Row],[Status]]="Cancelled",0,Purchase[[#This Row],[Qty]])</f>
        <v>19</v>
      </c>
      <c r="T1853" s="146">
        <f>IF(Purchase[[#This Row],[Status]]="Cancelled",0,Purchase[[#This Row],[Total Amount]])</f>
        <v>311099.92</v>
      </c>
      <c r="U1853" s="146">
        <f>SUM(Purchase[Net Amount])</f>
        <v>814985438.68000126</v>
      </c>
    </row>
    <row r="1854" spans="1:21" ht="19.5" thickBot="1" x14ac:dyDescent="0.3">
      <c r="A1854" s="136" t="s">
        <v>2910</v>
      </c>
      <c r="B1854" s="137">
        <v>45748</v>
      </c>
      <c r="C1854" s="138" t="s">
        <v>564</v>
      </c>
      <c r="D1854" s="138" t="str">
        <f>VLOOKUP(Purchase[[#This Row],[Supplier ID]],Supplier[#All],2,0)</f>
        <v xml:space="preserve">Star Electronics </v>
      </c>
      <c r="E1854" s="138">
        <f>VLOOKUP(Purchase[[#This Row],[Supplier ID]],Supplier[#All],3,0)</f>
        <v>9689542450</v>
      </c>
      <c r="F1854" s="138" t="str">
        <f>VLOOKUP(Purchase[[#This Row],[Supplier ID]],Supplier[#All],4,0)</f>
        <v>Korba</v>
      </c>
      <c r="G1854" s="138" t="str">
        <f>VLOOKUP(Purchase[[#This Row],[Supplier ID]],Supplier[#All],5,0)</f>
        <v>CG</v>
      </c>
      <c r="H1854" s="138" t="str">
        <f>VLOOKUP(Purchase[[#This Row],[Supplier ID]],Supplier[#All],6,0)</f>
        <v>GST2154521T012</v>
      </c>
      <c r="I1854" s="138" t="s">
        <v>304</v>
      </c>
      <c r="J1854" s="139">
        <v>17</v>
      </c>
      <c r="K1854" s="143">
        <f>VLOOKUP(Purchase[[#This Row],[Product ID]],Product[#All],6,0)</f>
        <v>2572</v>
      </c>
      <c r="L1854" s="143">
        <f>Purchase[[#This Row],[Purchase Rate]]*Purchase[[#This Row],[Qty]]</f>
        <v>43724</v>
      </c>
      <c r="M1854" s="140">
        <v>0</v>
      </c>
      <c r="N1854" s="143">
        <v>0</v>
      </c>
      <c r="O1854" s="140">
        <v>0.18</v>
      </c>
      <c r="P1854" s="145">
        <f>(Purchase[[#This Row],[Gross Amount]]-Purchase[[#This Row],[Disct %]])*Purchase[[#This Row],[GST %]]</f>
        <v>7870.32</v>
      </c>
      <c r="Q1854" s="145">
        <f>Purchase[[#This Row],[Gross Amount]]-Purchase[[#This Row],[Disct Amnt]]+Purchase[[#This Row],[GST Amount]]</f>
        <v>51594.32</v>
      </c>
      <c r="R1854" s="138" t="s">
        <v>1019</v>
      </c>
      <c r="S1854" s="41">
        <f>IF(Purchase[[#This Row],[Status]]="Cancelled",0,Purchase[[#This Row],[Qty]])</f>
        <v>17</v>
      </c>
      <c r="T1854" s="146">
        <f>IF(Purchase[[#This Row],[Status]]="Cancelled",0,Purchase[[#This Row],[Total Amount]])</f>
        <v>51594.32</v>
      </c>
      <c r="U1854" s="146">
        <f>SUM(Purchase[Net Amount])</f>
        <v>814985438.68000126</v>
      </c>
    </row>
    <row r="1855" spans="1:21" ht="19.5" thickBot="1" x14ac:dyDescent="0.3">
      <c r="A1855" s="136" t="s">
        <v>2911</v>
      </c>
      <c r="B1855" s="137">
        <v>45748</v>
      </c>
      <c r="C1855" s="138" t="s">
        <v>583</v>
      </c>
      <c r="D1855" s="138" t="str">
        <f>VLOOKUP(Purchase[[#This Row],[Supplier ID]],Supplier[#All],2,0)</f>
        <v>Shree Distributors</v>
      </c>
      <c r="E1855" s="138">
        <f>VLOOKUP(Purchase[[#This Row],[Supplier ID]],Supplier[#All],3,0)</f>
        <v>9689542467</v>
      </c>
      <c r="F1855" s="138" t="str">
        <f>VLOOKUP(Purchase[[#This Row],[Supplier ID]],Supplier[#All],4,0)</f>
        <v>Indore</v>
      </c>
      <c r="G1855" s="138" t="str">
        <f>VLOOKUP(Purchase[[#This Row],[Supplier ID]],Supplier[#All],5,0)</f>
        <v>MP</v>
      </c>
      <c r="H1855" s="138" t="str">
        <f>VLOOKUP(Purchase[[#This Row],[Supplier ID]],Supplier[#All],6,0)</f>
        <v>GST2154521T029</v>
      </c>
      <c r="I1855" s="138" t="s">
        <v>12</v>
      </c>
      <c r="J1855" s="139">
        <v>14</v>
      </c>
      <c r="K1855" s="143">
        <f>VLOOKUP(Purchase[[#This Row],[Product ID]],Product[#All],6,0)</f>
        <v>1698</v>
      </c>
      <c r="L1855" s="143">
        <f>Purchase[[#This Row],[Purchase Rate]]*Purchase[[#This Row],[Qty]]</f>
        <v>23772</v>
      </c>
      <c r="M1855" s="140">
        <v>0</v>
      </c>
      <c r="N1855" s="143">
        <v>0</v>
      </c>
      <c r="O1855" s="140">
        <v>0.18</v>
      </c>
      <c r="P1855" s="145">
        <f>(Purchase[[#This Row],[Gross Amount]]-Purchase[[#This Row],[Disct %]])*Purchase[[#This Row],[GST %]]</f>
        <v>4278.96</v>
      </c>
      <c r="Q1855" s="145">
        <f>Purchase[[#This Row],[Gross Amount]]-Purchase[[#This Row],[Disct Amnt]]+Purchase[[#This Row],[GST Amount]]</f>
        <v>28050.959999999999</v>
      </c>
      <c r="R1855" s="138" t="s">
        <v>1019</v>
      </c>
      <c r="S1855" s="41">
        <f>IF(Purchase[[#This Row],[Status]]="Cancelled",0,Purchase[[#This Row],[Qty]])</f>
        <v>14</v>
      </c>
      <c r="T1855" s="146">
        <f>IF(Purchase[[#This Row],[Status]]="Cancelled",0,Purchase[[#This Row],[Total Amount]])</f>
        <v>28050.959999999999</v>
      </c>
      <c r="U1855" s="146">
        <f>SUM(Purchase[Net Amount])</f>
        <v>814985438.68000126</v>
      </c>
    </row>
    <row r="1856" spans="1:21" ht="19.5" thickBot="1" x14ac:dyDescent="0.3">
      <c r="A1856" s="136" t="s">
        <v>2912</v>
      </c>
      <c r="B1856" s="137">
        <v>45748</v>
      </c>
      <c r="C1856" s="138" t="s">
        <v>580</v>
      </c>
      <c r="D1856" s="138" t="str">
        <f>VLOOKUP(Purchase[[#This Row],[Supplier ID]],Supplier[#All],2,0)</f>
        <v>Star Distributors</v>
      </c>
      <c r="E1856" s="138">
        <f>VLOOKUP(Purchase[[#This Row],[Supplier ID]],Supplier[#All],3,0)</f>
        <v>9689542464</v>
      </c>
      <c r="F1856" s="138" t="str">
        <f>VLOOKUP(Purchase[[#This Row],[Supplier ID]],Supplier[#All],4,0)</f>
        <v>Indore</v>
      </c>
      <c r="G1856" s="138" t="str">
        <f>VLOOKUP(Purchase[[#This Row],[Supplier ID]],Supplier[#All],5,0)</f>
        <v>MP</v>
      </c>
      <c r="H1856" s="138" t="str">
        <f>VLOOKUP(Purchase[[#This Row],[Supplier ID]],Supplier[#All],6,0)</f>
        <v>GST2154521T026</v>
      </c>
      <c r="I1856" s="138" t="s">
        <v>147</v>
      </c>
      <c r="J1856" s="139">
        <v>2</v>
      </c>
      <c r="K1856" s="143">
        <f>VLOOKUP(Purchase[[#This Row],[Product ID]],Product[#All],6,0)</f>
        <v>3935</v>
      </c>
      <c r="L1856" s="143">
        <f>Purchase[[#This Row],[Purchase Rate]]*Purchase[[#This Row],[Qty]]</f>
        <v>7870</v>
      </c>
      <c r="M1856" s="140">
        <v>0</v>
      </c>
      <c r="N1856" s="143">
        <v>0</v>
      </c>
      <c r="O1856" s="140">
        <v>0.18</v>
      </c>
      <c r="P1856" s="145">
        <f>(Purchase[[#This Row],[Gross Amount]]-Purchase[[#This Row],[Disct %]])*Purchase[[#This Row],[GST %]]</f>
        <v>1416.6</v>
      </c>
      <c r="Q1856" s="145">
        <f>Purchase[[#This Row],[Gross Amount]]-Purchase[[#This Row],[Disct Amnt]]+Purchase[[#This Row],[GST Amount]]</f>
        <v>9286.6</v>
      </c>
      <c r="R1856" s="138" t="s">
        <v>1019</v>
      </c>
      <c r="S1856" s="41">
        <f>IF(Purchase[[#This Row],[Status]]="Cancelled",0,Purchase[[#This Row],[Qty]])</f>
        <v>2</v>
      </c>
      <c r="T1856" s="146">
        <f>IF(Purchase[[#This Row],[Status]]="Cancelled",0,Purchase[[#This Row],[Total Amount]])</f>
        <v>9286.6</v>
      </c>
      <c r="U1856" s="146">
        <f>SUM(Purchase[Net Amount])</f>
        <v>814985438.68000126</v>
      </c>
    </row>
    <row r="1857" spans="1:21" ht="19.5" thickBot="1" x14ac:dyDescent="0.3">
      <c r="A1857" s="136" t="s">
        <v>2913</v>
      </c>
      <c r="B1857" s="137">
        <v>45748</v>
      </c>
      <c r="C1857" s="138" t="s">
        <v>567</v>
      </c>
      <c r="D1857" s="138" t="str">
        <f>VLOOKUP(Purchase[[#This Row],[Supplier ID]],Supplier[#All],2,0)</f>
        <v>National Distributors</v>
      </c>
      <c r="E1857" s="138">
        <f>VLOOKUP(Purchase[[#This Row],[Supplier ID]],Supplier[#All],3,0)</f>
        <v>9689542453</v>
      </c>
      <c r="F1857" s="138" t="str">
        <f>VLOOKUP(Purchase[[#This Row],[Supplier ID]],Supplier[#All],4,0)</f>
        <v>Korba</v>
      </c>
      <c r="G1857" s="138" t="str">
        <f>VLOOKUP(Purchase[[#This Row],[Supplier ID]],Supplier[#All],5,0)</f>
        <v>CG</v>
      </c>
      <c r="H1857" s="138" t="str">
        <f>VLOOKUP(Purchase[[#This Row],[Supplier ID]],Supplier[#All],6,0)</f>
        <v>GST2154521T015</v>
      </c>
      <c r="I1857" s="138" t="s">
        <v>522</v>
      </c>
      <c r="J1857" s="139">
        <v>36</v>
      </c>
      <c r="K1857" s="143">
        <f>VLOOKUP(Purchase[[#This Row],[Product ID]],Product[#All],6,0)</f>
        <v>2356</v>
      </c>
      <c r="L1857" s="143">
        <f>Purchase[[#This Row],[Purchase Rate]]*Purchase[[#This Row],[Qty]]</f>
        <v>84816</v>
      </c>
      <c r="M1857" s="140">
        <v>0</v>
      </c>
      <c r="N1857" s="143">
        <v>0</v>
      </c>
      <c r="O1857" s="140">
        <v>0.18</v>
      </c>
      <c r="P1857" s="145">
        <f>(Purchase[[#This Row],[Gross Amount]]-Purchase[[#This Row],[Disct %]])*Purchase[[#This Row],[GST %]]</f>
        <v>15266.88</v>
      </c>
      <c r="Q1857" s="145">
        <f>Purchase[[#This Row],[Gross Amount]]-Purchase[[#This Row],[Disct Amnt]]+Purchase[[#This Row],[GST Amount]]</f>
        <v>100082.88</v>
      </c>
      <c r="R1857" s="138" t="s">
        <v>1019</v>
      </c>
      <c r="S1857" s="41">
        <f>IF(Purchase[[#This Row],[Status]]="Cancelled",0,Purchase[[#This Row],[Qty]])</f>
        <v>36</v>
      </c>
      <c r="T1857" s="146">
        <f>IF(Purchase[[#This Row],[Status]]="Cancelled",0,Purchase[[#This Row],[Total Amount]])</f>
        <v>100082.88</v>
      </c>
      <c r="U1857" s="146">
        <f>SUM(Purchase[Net Amount])</f>
        <v>814985438.68000126</v>
      </c>
    </row>
    <row r="1858" spans="1:21" ht="19.5" thickBot="1" x14ac:dyDescent="0.3">
      <c r="A1858" s="136" t="s">
        <v>2914</v>
      </c>
      <c r="B1858" s="137">
        <v>45748</v>
      </c>
      <c r="C1858" s="138" t="s">
        <v>612</v>
      </c>
      <c r="D1858" s="138" t="str">
        <f>VLOOKUP(Purchase[[#This Row],[Supplier ID]],Supplier[#All],2,0)</f>
        <v>National Computers</v>
      </c>
      <c r="E1858" s="138">
        <f>VLOOKUP(Purchase[[#This Row],[Supplier ID]],Supplier[#All],3,0)</f>
        <v>9689542495</v>
      </c>
      <c r="F1858" s="138" t="str">
        <f>VLOOKUP(Purchase[[#This Row],[Supplier ID]],Supplier[#All],4,0)</f>
        <v>Indore</v>
      </c>
      <c r="G1858" s="138" t="str">
        <f>VLOOKUP(Purchase[[#This Row],[Supplier ID]],Supplier[#All],5,0)</f>
        <v>MP</v>
      </c>
      <c r="H1858" s="138" t="str">
        <f>VLOOKUP(Purchase[[#This Row],[Supplier ID]],Supplier[#All],6,0)</f>
        <v>GST2154521T057</v>
      </c>
      <c r="I1858" s="138" t="s">
        <v>285</v>
      </c>
      <c r="J1858" s="139">
        <v>17</v>
      </c>
      <c r="K1858" s="143">
        <f>VLOOKUP(Purchase[[#This Row],[Product ID]],Product[#All],6,0)</f>
        <v>1732</v>
      </c>
      <c r="L1858" s="143">
        <f>Purchase[[#This Row],[Purchase Rate]]*Purchase[[#This Row],[Qty]]</f>
        <v>29444</v>
      </c>
      <c r="M1858" s="140">
        <v>0</v>
      </c>
      <c r="N1858" s="143">
        <v>0</v>
      </c>
      <c r="O1858" s="140">
        <v>0.18</v>
      </c>
      <c r="P1858" s="145">
        <f>(Purchase[[#This Row],[Gross Amount]]-Purchase[[#This Row],[Disct %]])*Purchase[[#This Row],[GST %]]</f>
        <v>5299.92</v>
      </c>
      <c r="Q1858" s="145">
        <f>Purchase[[#This Row],[Gross Amount]]-Purchase[[#This Row],[Disct Amnt]]+Purchase[[#This Row],[GST Amount]]</f>
        <v>34743.919999999998</v>
      </c>
      <c r="R1858" s="138" t="s">
        <v>1019</v>
      </c>
      <c r="S1858" s="41">
        <f>IF(Purchase[[#This Row],[Status]]="Cancelled",0,Purchase[[#This Row],[Qty]])</f>
        <v>17</v>
      </c>
      <c r="T1858" s="146">
        <f>IF(Purchase[[#This Row],[Status]]="Cancelled",0,Purchase[[#This Row],[Total Amount]])</f>
        <v>34743.919999999998</v>
      </c>
      <c r="U1858" s="146">
        <f>SUM(Purchase[Net Amount])</f>
        <v>814985438.68000126</v>
      </c>
    </row>
    <row r="1859" spans="1:21" ht="19.5" thickBot="1" x14ac:dyDescent="0.3">
      <c r="A1859" s="136" t="s">
        <v>2915</v>
      </c>
      <c r="B1859" s="137">
        <v>45748</v>
      </c>
      <c r="C1859" s="138" t="s">
        <v>612</v>
      </c>
      <c r="D1859" s="138" t="str">
        <f>VLOOKUP(Purchase[[#This Row],[Supplier ID]],Supplier[#All],2,0)</f>
        <v>National Computers</v>
      </c>
      <c r="E1859" s="138">
        <f>VLOOKUP(Purchase[[#This Row],[Supplier ID]],Supplier[#All],3,0)</f>
        <v>9689542495</v>
      </c>
      <c r="F1859" s="138" t="str">
        <f>VLOOKUP(Purchase[[#This Row],[Supplier ID]],Supplier[#All],4,0)</f>
        <v>Indore</v>
      </c>
      <c r="G1859" s="138" t="str">
        <f>VLOOKUP(Purchase[[#This Row],[Supplier ID]],Supplier[#All],5,0)</f>
        <v>MP</v>
      </c>
      <c r="H1859" s="138" t="str">
        <f>VLOOKUP(Purchase[[#This Row],[Supplier ID]],Supplier[#All],6,0)</f>
        <v>GST2154521T057</v>
      </c>
      <c r="I1859" s="138" t="s">
        <v>434</v>
      </c>
      <c r="J1859" s="139">
        <v>28</v>
      </c>
      <c r="K1859" s="143">
        <f>VLOOKUP(Purchase[[#This Row],[Product ID]],Product[#All],6,0)</f>
        <v>6372</v>
      </c>
      <c r="L1859" s="143">
        <f>Purchase[[#This Row],[Purchase Rate]]*Purchase[[#This Row],[Qty]]</f>
        <v>178416</v>
      </c>
      <c r="M1859" s="140">
        <v>0</v>
      </c>
      <c r="N1859" s="143">
        <v>0</v>
      </c>
      <c r="O1859" s="140">
        <v>0.18</v>
      </c>
      <c r="P1859" s="145">
        <f>(Purchase[[#This Row],[Gross Amount]]-Purchase[[#This Row],[Disct %]])*Purchase[[#This Row],[GST %]]</f>
        <v>32114.879999999997</v>
      </c>
      <c r="Q1859" s="145">
        <f>Purchase[[#This Row],[Gross Amount]]-Purchase[[#This Row],[Disct Amnt]]+Purchase[[#This Row],[GST Amount]]</f>
        <v>210530.88</v>
      </c>
      <c r="R1859" s="138" t="s">
        <v>1019</v>
      </c>
      <c r="S1859" s="41">
        <f>IF(Purchase[[#This Row],[Status]]="Cancelled",0,Purchase[[#This Row],[Qty]])</f>
        <v>28</v>
      </c>
      <c r="T1859" s="146">
        <f>IF(Purchase[[#This Row],[Status]]="Cancelled",0,Purchase[[#This Row],[Total Amount]])</f>
        <v>210530.88</v>
      </c>
      <c r="U1859" s="146">
        <f>SUM(Purchase[Net Amount])</f>
        <v>814985438.68000126</v>
      </c>
    </row>
    <row r="1860" spans="1:21" ht="19.5" thickBot="1" x14ac:dyDescent="0.3">
      <c r="A1860" s="136" t="s">
        <v>2916</v>
      </c>
      <c r="B1860" s="137">
        <v>45748</v>
      </c>
      <c r="C1860" s="138" t="s">
        <v>571</v>
      </c>
      <c r="D1860" s="138" t="str">
        <f>VLOOKUP(Purchase[[#This Row],[Supplier ID]],Supplier[#All],2,0)</f>
        <v>Tech Suppliers</v>
      </c>
      <c r="E1860" s="138">
        <f>VLOOKUP(Purchase[[#This Row],[Supplier ID]],Supplier[#All],3,0)</f>
        <v>9689542457</v>
      </c>
      <c r="F1860" s="138" t="str">
        <f>VLOOKUP(Purchase[[#This Row],[Supplier ID]],Supplier[#All],4,0)</f>
        <v>Korba</v>
      </c>
      <c r="G1860" s="138" t="str">
        <f>VLOOKUP(Purchase[[#This Row],[Supplier ID]],Supplier[#All],5,0)</f>
        <v>CG</v>
      </c>
      <c r="H1860" s="138" t="str">
        <f>VLOOKUP(Purchase[[#This Row],[Supplier ID]],Supplier[#All],6,0)</f>
        <v>GST2154521T019</v>
      </c>
      <c r="I1860" s="138" t="s">
        <v>516</v>
      </c>
      <c r="J1860" s="139">
        <v>22</v>
      </c>
      <c r="K1860" s="143">
        <f>VLOOKUP(Purchase[[#This Row],[Product ID]],Product[#All],6,0)</f>
        <v>2042</v>
      </c>
      <c r="L1860" s="143">
        <f>Purchase[[#This Row],[Purchase Rate]]*Purchase[[#This Row],[Qty]]</f>
        <v>44924</v>
      </c>
      <c r="M1860" s="140">
        <v>0</v>
      </c>
      <c r="N1860" s="143">
        <v>0</v>
      </c>
      <c r="O1860" s="140">
        <v>0.18</v>
      </c>
      <c r="P1860" s="145">
        <f>(Purchase[[#This Row],[Gross Amount]]-Purchase[[#This Row],[Disct %]])*Purchase[[#This Row],[GST %]]</f>
        <v>8086.32</v>
      </c>
      <c r="Q1860" s="145">
        <f>Purchase[[#This Row],[Gross Amount]]-Purchase[[#This Row],[Disct Amnt]]+Purchase[[#This Row],[GST Amount]]</f>
        <v>53010.32</v>
      </c>
      <c r="R1860" s="138" t="s">
        <v>1019</v>
      </c>
      <c r="S1860" s="41">
        <f>IF(Purchase[[#This Row],[Status]]="Cancelled",0,Purchase[[#This Row],[Qty]])</f>
        <v>22</v>
      </c>
      <c r="T1860" s="146">
        <f>IF(Purchase[[#This Row],[Status]]="Cancelled",0,Purchase[[#This Row],[Total Amount]])</f>
        <v>53010.32</v>
      </c>
      <c r="U1860" s="146">
        <f>SUM(Purchase[Net Amount])</f>
        <v>814985438.68000126</v>
      </c>
    </row>
    <row r="1861" spans="1:21" ht="19.5" thickBot="1" x14ac:dyDescent="0.3">
      <c r="A1861" s="136" t="s">
        <v>2917</v>
      </c>
      <c r="B1861" s="137">
        <v>45748</v>
      </c>
      <c r="C1861" s="138" t="s">
        <v>594</v>
      </c>
      <c r="D1861" s="138" t="str">
        <f>VLOOKUP(Purchase[[#This Row],[Supplier ID]],Supplier[#All],2,0)</f>
        <v>Shree Suppliers</v>
      </c>
      <c r="E1861" s="138">
        <f>VLOOKUP(Purchase[[#This Row],[Supplier ID]],Supplier[#All],3,0)</f>
        <v>9689542477</v>
      </c>
      <c r="F1861" s="138" t="str">
        <f>VLOOKUP(Purchase[[#This Row],[Supplier ID]],Supplier[#All],4,0)</f>
        <v>Indore</v>
      </c>
      <c r="G1861" s="138" t="str">
        <f>VLOOKUP(Purchase[[#This Row],[Supplier ID]],Supplier[#All],5,0)</f>
        <v>MP</v>
      </c>
      <c r="H1861" s="138" t="str">
        <f>VLOOKUP(Purchase[[#This Row],[Supplier ID]],Supplier[#All],6,0)</f>
        <v>GST2154521T039</v>
      </c>
      <c r="I1861" s="138" t="s">
        <v>10</v>
      </c>
      <c r="J1861" s="139">
        <v>8</v>
      </c>
      <c r="K1861" s="143">
        <f>VLOOKUP(Purchase[[#This Row],[Product ID]],Product[#All],6,0)</f>
        <v>15190</v>
      </c>
      <c r="L1861" s="143">
        <f>Purchase[[#This Row],[Purchase Rate]]*Purchase[[#This Row],[Qty]]</f>
        <v>121520</v>
      </c>
      <c r="M1861" s="140">
        <v>0</v>
      </c>
      <c r="N1861" s="143">
        <v>0</v>
      </c>
      <c r="O1861" s="140">
        <v>0.18</v>
      </c>
      <c r="P1861" s="145">
        <f>(Purchase[[#This Row],[Gross Amount]]-Purchase[[#This Row],[Disct %]])*Purchase[[#This Row],[GST %]]</f>
        <v>21873.599999999999</v>
      </c>
      <c r="Q1861" s="145">
        <f>Purchase[[#This Row],[Gross Amount]]-Purchase[[#This Row],[Disct Amnt]]+Purchase[[#This Row],[GST Amount]]</f>
        <v>143393.60000000001</v>
      </c>
      <c r="R1861" s="138" t="s">
        <v>1019</v>
      </c>
      <c r="S1861" s="41">
        <f>IF(Purchase[[#This Row],[Status]]="Cancelled",0,Purchase[[#This Row],[Qty]])</f>
        <v>8</v>
      </c>
      <c r="T1861" s="146">
        <f>IF(Purchase[[#This Row],[Status]]="Cancelled",0,Purchase[[#This Row],[Total Amount]])</f>
        <v>143393.60000000001</v>
      </c>
      <c r="U1861" s="146">
        <f>SUM(Purchase[Net Amount])</f>
        <v>814985438.68000126</v>
      </c>
    </row>
    <row r="1862" spans="1:21" ht="19.5" thickBot="1" x14ac:dyDescent="0.3">
      <c r="A1862" s="136" t="s">
        <v>2918</v>
      </c>
      <c r="B1862" s="137">
        <v>45748</v>
      </c>
      <c r="C1862" s="138" t="s">
        <v>584</v>
      </c>
      <c r="D1862" s="138" t="str">
        <f>VLOOKUP(Purchase[[#This Row],[Supplier ID]],Supplier[#All],2,0)</f>
        <v>Prime Computers</v>
      </c>
      <c r="E1862" s="138">
        <f>VLOOKUP(Purchase[[#This Row],[Supplier ID]],Supplier[#All],3,0)</f>
        <v>9689542468</v>
      </c>
      <c r="F1862" s="138" t="str">
        <f>VLOOKUP(Purchase[[#This Row],[Supplier ID]],Supplier[#All],4,0)</f>
        <v>Kanpur</v>
      </c>
      <c r="G1862" s="138" t="str">
        <f>VLOOKUP(Purchase[[#This Row],[Supplier ID]],Supplier[#All],5,0)</f>
        <v>UP</v>
      </c>
      <c r="H1862" s="138" t="str">
        <f>VLOOKUP(Purchase[[#This Row],[Supplier ID]],Supplier[#All],6,0)</f>
        <v>GST2154521T030</v>
      </c>
      <c r="I1862" s="138" t="s">
        <v>537</v>
      </c>
      <c r="J1862" s="139">
        <v>31</v>
      </c>
      <c r="K1862" s="143">
        <f>VLOOKUP(Purchase[[#This Row],[Product ID]],Product[#All],6,0)</f>
        <v>73748</v>
      </c>
      <c r="L1862" s="143">
        <f>Purchase[[#This Row],[Purchase Rate]]*Purchase[[#This Row],[Qty]]</f>
        <v>2286188</v>
      </c>
      <c r="M1862" s="140">
        <v>0</v>
      </c>
      <c r="N1862" s="143">
        <v>0</v>
      </c>
      <c r="O1862" s="140">
        <v>0.18</v>
      </c>
      <c r="P1862" s="145">
        <f>(Purchase[[#This Row],[Gross Amount]]-Purchase[[#This Row],[Disct %]])*Purchase[[#This Row],[GST %]]</f>
        <v>411513.83999999997</v>
      </c>
      <c r="Q1862" s="145">
        <f>Purchase[[#This Row],[Gross Amount]]-Purchase[[#This Row],[Disct Amnt]]+Purchase[[#This Row],[GST Amount]]</f>
        <v>2697701.84</v>
      </c>
      <c r="R1862" s="138" t="s">
        <v>1019</v>
      </c>
      <c r="S1862" s="41">
        <f>IF(Purchase[[#This Row],[Status]]="Cancelled",0,Purchase[[#This Row],[Qty]])</f>
        <v>31</v>
      </c>
      <c r="T1862" s="146">
        <f>IF(Purchase[[#This Row],[Status]]="Cancelled",0,Purchase[[#This Row],[Total Amount]])</f>
        <v>2697701.84</v>
      </c>
      <c r="U1862" s="146">
        <f>SUM(Purchase[Net Amount])</f>
        <v>814985438.68000126</v>
      </c>
    </row>
    <row r="1863" spans="1:21" ht="19.5" thickBot="1" x14ac:dyDescent="0.3">
      <c r="A1863" s="136" t="s">
        <v>2919</v>
      </c>
      <c r="B1863" s="137">
        <v>45748</v>
      </c>
      <c r="C1863" s="138" t="s">
        <v>582</v>
      </c>
      <c r="D1863" s="138" t="str">
        <f>VLOOKUP(Purchase[[#This Row],[Supplier ID]],Supplier[#All],2,0)</f>
        <v>Tech Distributors</v>
      </c>
      <c r="E1863" s="138">
        <f>VLOOKUP(Purchase[[#This Row],[Supplier ID]],Supplier[#All],3,0)</f>
        <v>9689542466</v>
      </c>
      <c r="F1863" s="138" t="str">
        <f>VLOOKUP(Purchase[[#This Row],[Supplier ID]],Supplier[#All],4,0)</f>
        <v>Indore</v>
      </c>
      <c r="G1863" s="138" t="str">
        <f>VLOOKUP(Purchase[[#This Row],[Supplier ID]],Supplier[#All],5,0)</f>
        <v>MP</v>
      </c>
      <c r="H1863" s="138" t="str">
        <f>VLOOKUP(Purchase[[#This Row],[Supplier ID]],Supplier[#All],6,0)</f>
        <v>GST2154521T028</v>
      </c>
      <c r="I1863" s="138" t="s">
        <v>458</v>
      </c>
      <c r="J1863" s="139">
        <v>40</v>
      </c>
      <c r="K1863" s="143">
        <f>VLOOKUP(Purchase[[#This Row],[Product ID]],Product[#All],6,0)</f>
        <v>5242</v>
      </c>
      <c r="L1863" s="143">
        <f>Purchase[[#This Row],[Purchase Rate]]*Purchase[[#This Row],[Qty]]</f>
        <v>209680</v>
      </c>
      <c r="M1863" s="140">
        <v>0</v>
      </c>
      <c r="N1863" s="143">
        <v>0</v>
      </c>
      <c r="O1863" s="140">
        <v>0.18</v>
      </c>
      <c r="P1863" s="145">
        <f>(Purchase[[#This Row],[Gross Amount]]-Purchase[[#This Row],[Disct %]])*Purchase[[#This Row],[GST %]]</f>
        <v>37742.400000000001</v>
      </c>
      <c r="Q1863" s="145">
        <f>Purchase[[#This Row],[Gross Amount]]-Purchase[[#This Row],[Disct Amnt]]+Purchase[[#This Row],[GST Amount]]</f>
        <v>247422.4</v>
      </c>
      <c r="R1863" s="138" t="s">
        <v>1019</v>
      </c>
      <c r="S1863" s="41">
        <f>IF(Purchase[[#This Row],[Status]]="Cancelled",0,Purchase[[#This Row],[Qty]])</f>
        <v>40</v>
      </c>
      <c r="T1863" s="146">
        <f>IF(Purchase[[#This Row],[Status]]="Cancelled",0,Purchase[[#This Row],[Total Amount]])</f>
        <v>247422.4</v>
      </c>
      <c r="U1863" s="146">
        <f>SUM(Purchase[Net Amount])</f>
        <v>814985438.68000126</v>
      </c>
    </row>
    <row r="1864" spans="1:21" ht="19.5" thickBot="1" x14ac:dyDescent="0.3">
      <c r="A1864" s="136" t="s">
        <v>2920</v>
      </c>
      <c r="B1864" s="137">
        <v>45749</v>
      </c>
      <c r="C1864" s="138" t="s">
        <v>570</v>
      </c>
      <c r="D1864" s="138" t="str">
        <f>VLOOKUP(Purchase[[#This Row],[Supplier ID]],Supplier[#All],2,0)</f>
        <v>Prime Traders</v>
      </c>
      <c r="E1864" s="138">
        <f>VLOOKUP(Purchase[[#This Row],[Supplier ID]],Supplier[#All],3,0)</f>
        <v>9689542456</v>
      </c>
      <c r="F1864" s="138" t="str">
        <f>VLOOKUP(Purchase[[#This Row],[Supplier ID]],Supplier[#All],4,0)</f>
        <v>Indore</v>
      </c>
      <c r="G1864" s="138" t="str">
        <f>VLOOKUP(Purchase[[#This Row],[Supplier ID]],Supplier[#All],5,0)</f>
        <v>MP</v>
      </c>
      <c r="H1864" s="138" t="str">
        <f>VLOOKUP(Purchase[[#This Row],[Supplier ID]],Supplier[#All],6,0)</f>
        <v>GST2154521T018</v>
      </c>
      <c r="I1864" s="138" t="s">
        <v>495</v>
      </c>
      <c r="J1864" s="139">
        <v>30</v>
      </c>
      <c r="K1864" s="143">
        <f>VLOOKUP(Purchase[[#This Row],[Product ID]],Product[#All],6,0)</f>
        <v>54252</v>
      </c>
      <c r="L1864" s="143">
        <f>Purchase[[#This Row],[Purchase Rate]]*Purchase[[#This Row],[Qty]]</f>
        <v>1627560</v>
      </c>
      <c r="M1864" s="140">
        <v>0</v>
      </c>
      <c r="N1864" s="143">
        <v>0</v>
      </c>
      <c r="O1864" s="140">
        <v>0.18</v>
      </c>
      <c r="P1864" s="145">
        <f>(Purchase[[#This Row],[Gross Amount]]-Purchase[[#This Row],[Disct %]])*Purchase[[#This Row],[GST %]]</f>
        <v>292960.8</v>
      </c>
      <c r="Q1864" s="145">
        <f>Purchase[[#This Row],[Gross Amount]]-Purchase[[#This Row],[Disct Amnt]]+Purchase[[#This Row],[GST Amount]]</f>
        <v>1920520.8</v>
      </c>
      <c r="R1864" s="138" t="s">
        <v>1019</v>
      </c>
      <c r="S1864" s="41">
        <f>IF(Purchase[[#This Row],[Status]]="Cancelled",0,Purchase[[#This Row],[Qty]])</f>
        <v>30</v>
      </c>
      <c r="T1864" s="146">
        <f>IF(Purchase[[#This Row],[Status]]="Cancelled",0,Purchase[[#This Row],[Total Amount]])</f>
        <v>1920520.8</v>
      </c>
      <c r="U1864" s="146">
        <f>SUM(Purchase[Net Amount])</f>
        <v>814985438.68000126</v>
      </c>
    </row>
    <row r="1865" spans="1:21" ht="19.5" thickBot="1" x14ac:dyDescent="0.3">
      <c r="A1865" s="136" t="s">
        <v>2921</v>
      </c>
      <c r="B1865" s="137">
        <v>45749</v>
      </c>
      <c r="C1865" s="138" t="s">
        <v>591</v>
      </c>
      <c r="D1865" s="138" t="str">
        <f>VLOOKUP(Purchase[[#This Row],[Supplier ID]],Supplier[#All],2,0)</f>
        <v>Shree Computers</v>
      </c>
      <c r="E1865" s="138">
        <f>VLOOKUP(Purchase[[#This Row],[Supplier ID]],Supplier[#All],3,0)</f>
        <v>9689542475</v>
      </c>
      <c r="F1865" s="138" t="str">
        <f>VLOOKUP(Purchase[[#This Row],[Supplier ID]],Supplier[#All],4,0)</f>
        <v>Indore</v>
      </c>
      <c r="G1865" s="138" t="str">
        <f>VLOOKUP(Purchase[[#This Row],[Supplier ID]],Supplier[#All],5,0)</f>
        <v>MP</v>
      </c>
      <c r="H1865" s="138" t="str">
        <f>VLOOKUP(Purchase[[#This Row],[Supplier ID]],Supplier[#All],6,0)</f>
        <v>GST2154521T037</v>
      </c>
      <c r="I1865" s="138" t="s">
        <v>494</v>
      </c>
      <c r="J1865" s="139">
        <v>21</v>
      </c>
      <c r="K1865" s="143">
        <f>VLOOKUP(Purchase[[#This Row],[Product ID]],Product[#All],6,0)</f>
        <v>549</v>
      </c>
      <c r="L1865" s="143">
        <f>Purchase[[#This Row],[Purchase Rate]]*Purchase[[#This Row],[Qty]]</f>
        <v>11529</v>
      </c>
      <c r="M1865" s="140">
        <v>0</v>
      </c>
      <c r="N1865" s="143">
        <v>0</v>
      </c>
      <c r="O1865" s="140">
        <v>0.18</v>
      </c>
      <c r="P1865" s="145">
        <f>(Purchase[[#This Row],[Gross Amount]]-Purchase[[#This Row],[Disct %]])*Purchase[[#This Row],[GST %]]</f>
        <v>2075.2199999999998</v>
      </c>
      <c r="Q1865" s="145">
        <f>Purchase[[#This Row],[Gross Amount]]-Purchase[[#This Row],[Disct Amnt]]+Purchase[[#This Row],[GST Amount]]</f>
        <v>13604.22</v>
      </c>
      <c r="R1865" s="138" t="s">
        <v>1019</v>
      </c>
      <c r="S1865" s="41">
        <f>IF(Purchase[[#This Row],[Status]]="Cancelled",0,Purchase[[#This Row],[Qty]])</f>
        <v>21</v>
      </c>
      <c r="T1865" s="146">
        <f>IF(Purchase[[#This Row],[Status]]="Cancelled",0,Purchase[[#This Row],[Total Amount]])</f>
        <v>13604.22</v>
      </c>
      <c r="U1865" s="146">
        <f>SUM(Purchase[Net Amount])</f>
        <v>814985438.68000126</v>
      </c>
    </row>
    <row r="1866" spans="1:21" ht="19.5" thickBot="1" x14ac:dyDescent="0.3">
      <c r="A1866" s="136" t="s">
        <v>2922</v>
      </c>
      <c r="B1866" s="137">
        <v>45749</v>
      </c>
      <c r="C1866" s="138" t="s">
        <v>584</v>
      </c>
      <c r="D1866" s="138" t="str">
        <f>VLOOKUP(Purchase[[#This Row],[Supplier ID]],Supplier[#All],2,0)</f>
        <v>Prime Computers</v>
      </c>
      <c r="E1866" s="138">
        <f>VLOOKUP(Purchase[[#This Row],[Supplier ID]],Supplier[#All],3,0)</f>
        <v>9689542468</v>
      </c>
      <c r="F1866" s="138" t="str">
        <f>VLOOKUP(Purchase[[#This Row],[Supplier ID]],Supplier[#All],4,0)</f>
        <v>Kanpur</v>
      </c>
      <c r="G1866" s="138" t="str">
        <f>VLOOKUP(Purchase[[#This Row],[Supplier ID]],Supplier[#All],5,0)</f>
        <v>UP</v>
      </c>
      <c r="H1866" s="138" t="str">
        <f>VLOOKUP(Purchase[[#This Row],[Supplier ID]],Supplier[#All],6,0)</f>
        <v>GST2154521T030</v>
      </c>
      <c r="I1866" s="138" t="s">
        <v>222</v>
      </c>
      <c r="J1866" s="139">
        <v>11</v>
      </c>
      <c r="K1866" s="143">
        <f>VLOOKUP(Purchase[[#This Row],[Product ID]],Product[#All],6,0)</f>
        <v>6513</v>
      </c>
      <c r="L1866" s="143">
        <f>Purchase[[#This Row],[Purchase Rate]]*Purchase[[#This Row],[Qty]]</f>
        <v>71643</v>
      </c>
      <c r="M1866" s="140">
        <v>0</v>
      </c>
      <c r="N1866" s="143">
        <v>0</v>
      </c>
      <c r="O1866" s="140">
        <v>0.18</v>
      </c>
      <c r="P1866" s="145">
        <f>(Purchase[[#This Row],[Gross Amount]]-Purchase[[#This Row],[Disct %]])*Purchase[[#This Row],[GST %]]</f>
        <v>12895.74</v>
      </c>
      <c r="Q1866" s="145">
        <f>Purchase[[#This Row],[Gross Amount]]-Purchase[[#This Row],[Disct Amnt]]+Purchase[[#This Row],[GST Amount]]</f>
        <v>84538.74</v>
      </c>
      <c r="R1866" s="138" t="s">
        <v>1019</v>
      </c>
      <c r="S1866" s="41">
        <f>IF(Purchase[[#This Row],[Status]]="Cancelled",0,Purchase[[#This Row],[Qty]])</f>
        <v>11</v>
      </c>
      <c r="T1866" s="146">
        <f>IF(Purchase[[#This Row],[Status]]="Cancelled",0,Purchase[[#This Row],[Total Amount]])</f>
        <v>84538.74</v>
      </c>
      <c r="U1866" s="146">
        <f>SUM(Purchase[Net Amount])</f>
        <v>814985438.68000126</v>
      </c>
    </row>
    <row r="1867" spans="1:21" ht="19.5" thickBot="1" x14ac:dyDescent="0.3">
      <c r="A1867" s="136" t="s">
        <v>2923</v>
      </c>
      <c r="B1867" s="137">
        <v>45749</v>
      </c>
      <c r="C1867" s="138" t="s">
        <v>566</v>
      </c>
      <c r="D1867" s="138" t="str">
        <f>VLOOKUP(Purchase[[#This Row],[Supplier ID]],Supplier[#All],2,0)</f>
        <v>Maa Computers</v>
      </c>
      <c r="E1867" s="138">
        <f>VLOOKUP(Purchase[[#This Row],[Supplier ID]],Supplier[#All],3,0)</f>
        <v>9689542452</v>
      </c>
      <c r="F1867" s="138" t="str">
        <f>VLOOKUP(Purchase[[#This Row],[Supplier ID]],Supplier[#All],4,0)</f>
        <v>Kanpur</v>
      </c>
      <c r="G1867" s="138" t="str">
        <f>VLOOKUP(Purchase[[#This Row],[Supplier ID]],Supplier[#All],5,0)</f>
        <v>UP</v>
      </c>
      <c r="H1867" s="138" t="str">
        <f>VLOOKUP(Purchase[[#This Row],[Supplier ID]],Supplier[#All],6,0)</f>
        <v>GST2154521T014</v>
      </c>
      <c r="I1867" s="138" t="s">
        <v>505</v>
      </c>
      <c r="J1867" s="139">
        <v>39</v>
      </c>
      <c r="K1867" s="143">
        <f>VLOOKUP(Purchase[[#This Row],[Product ID]],Product[#All],6,0)</f>
        <v>10762</v>
      </c>
      <c r="L1867" s="143">
        <f>Purchase[[#This Row],[Purchase Rate]]*Purchase[[#This Row],[Qty]]</f>
        <v>419718</v>
      </c>
      <c r="M1867" s="140">
        <v>0</v>
      </c>
      <c r="N1867" s="143">
        <v>0</v>
      </c>
      <c r="O1867" s="140">
        <v>0.18</v>
      </c>
      <c r="P1867" s="145">
        <f>(Purchase[[#This Row],[Gross Amount]]-Purchase[[#This Row],[Disct %]])*Purchase[[#This Row],[GST %]]</f>
        <v>75549.239999999991</v>
      </c>
      <c r="Q1867" s="145">
        <f>Purchase[[#This Row],[Gross Amount]]-Purchase[[#This Row],[Disct Amnt]]+Purchase[[#This Row],[GST Amount]]</f>
        <v>495267.24</v>
      </c>
      <c r="R1867" s="138" t="s">
        <v>1019</v>
      </c>
      <c r="S1867" s="41">
        <f>IF(Purchase[[#This Row],[Status]]="Cancelled",0,Purchase[[#This Row],[Qty]])</f>
        <v>39</v>
      </c>
      <c r="T1867" s="146">
        <f>IF(Purchase[[#This Row],[Status]]="Cancelled",0,Purchase[[#This Row],[Total Amount]])</f>
        <v>495267.24</v>
      </c>
      <c r="U1867" s="146">
        <f>SUM(Purchase[Net Amount])</f>
        <v>814985438.68000126</v>
      </c>
    </row>
    <row r="1868" spans="1:21" ht="19.5" thickBot="1" x14ac:dyDescent="0.3">
      <c r="A1868" s="136" t="s">
        <v>2924</v>
      </c>
      <c r="B1868" s="137">
        <v>45749</v>
      </c>
      <c r="C1868" s="138" t="s">
        <v>585</v>
      </c>
      <c r="D1868" s="138" t="str">
        <f>VLOOKUP(Purchase[[#This Row],[Supplier ID]],Supplier[#All],2,0)</f>
        <v>Tech Computers</v>
      </c>
      <c r="E1868" s="138">
        <f>VLOOKUP(Purchase[[#This Row],[Supplier ID]],Supplier[#All],3,0)</f>
        <v>9689542469</v>
      </c>
      <c r="F1868" s="138" t="str">
        <f>VLOOKUP(Purchase[[#This Row],[Supplier ID]],Supplier[#All],4,0)</f>
        <v>Korba</v>
      </c>
      <c r="G1868" s="138" t="str">
        <f>VLOOKUP(Purchase[[#This Row],[Supplier ID]],Supplier[#All],5,0)</f>
        <v>CG</v>
      </c>
      <c r="H1868" s="138" t="str">
        <f>VLOOKUP(Purchase[[#This Row],[Supplier ID]],Supplier[#All],6,0)</f>
        <v>GST2154521T031</v>
      </c>
      <c r="I1868" s="138" t="s">
        <v>292</v>
      </c>
      <c r="J1868" s="139">
        <v>36</v>
      </c>
      <c r="K1868" s="143">
        <f>VLOOKUP(Purchase[[#This Row],[Product ID]],Product[#All],6,0)</f>
        <v>5549</v>
      </c>
      <c r="L1868" s="143">
        <f>Purchase[[#This Row],[Purchase Rate]]*Purchase[[#This Row],[Qty]]</f>
        <v>199764</v>
      </c>
      <c r="M1868" s="140">
        <v>0</v>
      </c>
      <c r="N1868" s="143">
        <v>0</v>
      </c>
      <c r="O1868" s="140">
        <v>0.18</v>
      </c>
      <c r="P1868" s="145">
        <f>(Purchase[[#This Row],[Gross Amount]]-Purchase[[#This Row],[Disct %]])*Purchase[[#This Row],[GST %]]</f>
        <v>35957.519999999997</v>
      </c>
      <c r="Q1868" s="145">
        <f>Purchase[[#This Row],[Gross Amount]]-Purchase[[#This Row],[Disct Amnt]]+Purchase[[#This Row],[GST Amount]]</f>
        <v>235721.52</v>
      </c>
      <c r="R1868" s="138" t="s">
        <v>1019</v>
      </c>
      <c r="S1868" s="41">
        <f>IF(Purchase[[#This Row],[Status]]="Cancelled",0,Purchase[[#This Row],[Qty]])</f>
        <v>36</v>
      </c>
      <c r="T1868" s="146">
        <f>IF(Purchase[[#This Row],[Status]]="Cancelled",0,Purchase[[#This Row],[Total Amount]])</f>
        <v>235721.52</v>
      </c>
      <c r="U1868" s="146">
        <f>SUM(Purchase[Net Amount])</f>
        <v>814985438.68000126</v>
      </c>
    </row>
    <row r="1869" spans="1:21" ht="19.5" thickBot="1" x14ac:dyDescent="0.3">
      <c r="A1869" s="136" t="s">
        <v>2925</v>
      </c>
      <c r="B1869" s="137">
        <v>45749</v>
      </c>
      <c r="C1869" s="138" t="s">
        <v>594</v>
      </c>
      <c r="D1869" s="138" t="str">
        <f>VLOOKUP(Purchase[[#This Row],[Supplier ID]],Supplier[#All],2,0)</f>
        <v>Shree Suppliers</v>
      </c>
      <c r="E1869" s="138">
        <f>VLOOKUP(Purchase[[#This Row],[Supplier ID]],Supplier[#All],3,0)</f>
        <v>9689542477</v>
      </c>
      <c r="F1869" s="138" t="str">
        <f>VLOOKUP(Purchase[[#This Row],[Supplier ID]],Supplier[#All],4,0)</f>
        <v>Indore</v>
      </c>
      <c r="G1869" s="138" t="str">
        <f>VLOOKUP(Purchase[[#This Row],[Supplier ID]],Supplier[#All],5,0)</f>
        <v>MP</v>
      </c>
      <c r="H1869" s="138" t="str">
        <f>VLOOKUP(Purchase[[#This Row],[Supplier ID]],Supplier[#All],6,0)</f>
        <v>GST2154521T039</v>
      </c>
      <c r="I1869" s="138" t="s">
        <v>442</v>
      </c>
      <c r="J1869" s="139">
        <v>35</v>
      </c>
      <c r="K1869" s="143">
        <f>VLOOKUP(Purchase[[#This Row],[Product ID]],Product[#All],6,0)</f>
        <v>3149</v>
      </c>
      <c r="L1869" s="143">
        <f>Purchase[[#This Row],[Purchase Rate]]*Purchase[[#This Row],[Qty]]</f>
        <v>110215</v>
      </c>
      <c r="M1869" s="140">
        <v>0</v>
      </c>
      <c r="N1869" s="143">
        <v>0</v>
      </c>
      <c r="O1869" s="140">
        <v>0.18</v>
      </c>
      <c r="P1869" s="145">
        <f>(Purchase[[#This Row],[Gross Amount]]-Purchase[[#This Row],[Disct %]])*Purchase[[#This Row],[GST %]]</f>
        <v>19838.7</v>
      </c>
      <c r="Q1869" s="145">
        <f>Purchase[[#This Row],[Gross Amount]]-Purchase[[#This Row],[Disct Amnt]]+Purchase[[#This Row],[GST Amount]]</f>
        <v>130053.7</v>
      </c>
      <c r="R1869" s="138" t="s">
        <v>1019</v>
      </c>
      <c r="S1869" s="41">
        <f>IF(Purchase[[#This Row],[Status]]="Cancelled",0,Purchase[[#This Row],[Qty]])</f>
        <v>35</v>
      </c>
      <c r="T1869" s="146">
        <f>IF(Purchase[[#This Row],[Status]]="Cancelled",0,Purchase[[#This Row],[Total Amount]])</f>
        <v>130053.7</v>
      </c>
      <c r="U1869" s="146">
        <f>SUM(Purchase[Net Amount])</f>
        <v>814985438.68000126</v>
      </c>
    </row>
    <row r="1870" spans="1:21" ht="19.5" thickBot="1" x14ac:dyDescent="0.3">
      <c r="A1870" s="136" t="s">
        <v>2926</v>
      </c>
      <c r="B1870" s="137">
        <v>45749</v>
      </c>
      <c r="C1870" s="138" t="s">
        <v>586</v>
      </c>
      <c r="D1870" s="138" t="str">
        <f>VLOOKUP(Purchase[[#This Row],[Supplier ID]],Supplier[#All],2,0)</f>
        <v>Maa Traders</v>
      </c>
      <c r="E1870" s="138">
        <f>VLOOKUP(Purchase[[#This Row],[Supplier ID]],Supplier[#All],3,0)</f>
        <v>9689542470</v>
      </c>
      <c r="F1870" s="138" t="str">
        <f>VLOOKUP(Purchase[[#This Row],[Supplier ID]],Supplier[#All],4,0)</f>
        <v>Kanpur</v>
      </c>
      <c r="G1870" s="138" t="str">
        <f>VLOOKUP(Purchase[[#This Row],[Supplier ID]],Supplier[#All],5,0)</f>
        <v>UP</v>
      </c>
      <c r="H1870" s="138" t="str">
        <f>VLOOKUP(Purchase[[#This Row],[Supplier ID]],Supplier[#All],6,0)</f>
        <v>GST2154521T032</v>
      </c>
      <c r="I1870" s="138" t="s">
        <v>377</v>
      </c>
      <c r="J1870" s="139">
        <v>5</v>
      </c>
      <c r="K1870" s="143">
        <f>VLOOKUP(Purchase[[#This Row],[Product ID]],Product[#All],6,0)</f>
        <v>54386</v>
      </c>
      <c r="L1870" s="143">
        <f>Purchase[[#This Row],[Purchase Rate]]*Purchase[[#This Row],[Qty]]</f>
        <v>271930</v>
      </c>
      <c r="M1870" s="140">
        <v>0</v>
      </c>
      <c r="N1870" s="143">
        <v>0</v>
      </c>
      <c r="O1870" s="140">
        <v>0.18</v>
      </c>
      <c r="P1870" s="145">
        <f>(Purchase[[#This Row],[Gross Amount]]-Purchase[[#This Row],[Disct %]])*Purchase[[#This Row],[GST %]]</f>
        <v>48947.4</v>
      </c>
      <c r="Q1870" s="145">
        <f>Purchase[[#This Row],[Gross Amount]]-Purchase[[#This Row],[Disct Amnt]]+Purchase[[#This Row],[GST Amount]]</f>
        <v>320877.40000000002</v>
      </c>
      <c r="R1870" s="138" t="s">
        <v>1019</v>
      </c>
      <c r="S1870" s="41">
        <f>IF(Purchase[[#This Row],[Status]]="Cancelled",0,Purchase[[#This Row],[Qty]])</f>
        <v>5</v>
      </c>
      <c r="T1870" s="146">
        <f>IF(Purchase[[#This Row],[Status]]="Cancelled",0,Purchase[[#This Row],[Total Amount]])</f>
        <v>320877.40000000002</v>
      </c>
      <c r="U1870" s="146">
        <f>SUM(Purchase[Net Amount])</f>
        <v>814985438.68000126</v>
      </c>
    </row>
    <row r="1871" spans="1:21" ht="19.5" thickBot="1" x14ac:dyDescent="0.3">
      <c r="A1871" s="136" t="s">
        <v>2927</v>
      </c>
      <c r="B1871" s="137">
        <v>45749</v>
      </c>
      <c r="C1871" s="138" t="s">
        <v>586</v>
      </c>
      <c r="D1871" s="138" t="str">
        <f>VLOOKUP(Purchase[[#This Row],[Supplier ID]],Supplier[#All],2,0)</f>
        <v>Maa Traders</v>
      </c>
      <c r="E1871" s="138">
        <f>VLOOKUP(Purchase[[#This Row],[Supplier ID]],Supplier[#All],3,0)</f>
        <v>9689542470</v>
      </c>
      <c r="F1871" s="138" t="str">
        <f>VLOOKUP(Purchase[[#This Row],[Supplier ID]],Supplier[#All],4,0)</f>
        <v>Kanpur</v>
      </c>
      <c r="G1871" s="138" t="str">
        <f>VLOOKUP(Purchase[[#This Row],[Supplier ID]],Supplier[#All],5,0)</f>
        <v>UP</v>
      </c>
      <c r="H1871" s="138" t="str">
        <f>VLOOKUP(Purchase[[#This Row],[Supplier ID]],Supplier[#All],6,0)</f>
        <v>GST2154521T032</v>
      </c>
      <c r="I1871" s="138" t="s">
        <v>321</v>
      </c>
      <c r="J1871" s="139">
        <v>25</v>
      </c>
      <c r="K1871" s="143">
        <f>VLOOKUP(Purchase[[#This Row],[Product ID]],Product[#All],6,0)</f>
        <v>5707</v>
      </c>
      <c r="L1871" s="143">
        <f>Purchase[[#This Row],[Purchase Rate]]*Purchase[[#This Row],[Qty]]</f>
        <v>142675</v>
      </c>
      <c r="M1871" s="140">
        <v>0</v>
      </c>
      <c r="N1871" s="143">
        <v>0</v>
      </c>
      <c r="O1871" s="140">
        <v>0.18</v>
      </c>
      <c r="P1871" s="145">
        <f>(Purchase[[#This Row],[Gross Amount]]-Purchase[[#This Row],[Disct %]])*Purchase[[#This Row],[GST %]]</f>
        <v>25681.5</v>
      </c>
      <c r="Q1871" s="145">
        <f>Purchase[[#This Row],[Gross Amount]]-Purchase[[#This Row],[Disct Amnt]]+Purchase[[#This Row],[GST Amount]]</f>
        <v>168356.5</v>
      </c>
      <c r="R1871" s="138" t="s">
        <v>1019</v>
      </c>
      <c r="S1871" s="41">
        <f>IF(Purchase[[#This Row],[Status]]="Cancelled",0,Purchase[[#This Row],[Qty]])</f>
        <v>25</v>
      </c>
      <c r="T1871" s="146">
        <f>IF(Purchase[[#This Row],[Status]]="Cancelled",0,Purchase[[#This Row],[Total Amount]])</f>
        <v>168356.5</v>
      </c>
      <c r="U1871" s="146">
        <f>SUM(Purchase[Net Amount])</f>
        <v>814985438.68000126</v>
      </c>
    </row>
    <row r="1872" spans="1:21" ht="19.5" thickBot="1" x14ac:dyDescent="0.3">
      <c r="A1872" s="136" t="s">
        <v>2928</v>
      </c>
      <c r="B1872" s="137">
        <v>45749</v>
      </c>
      <c r="C1872" s="138" t="s">
        <v>575</v>
      </c>
      <c r="D1872" s="138" t="str">
        <f>VLOOKUP(Purchase[[#This Row],[Supplier ID]],Supplier[#All],2,0)</f>
        <v>Global Computers</v>
      </c>
      <c r="E1872" s="138">
        <f>VLOOKUP(Purchase[[#This Row],[Supplier ID]],Supplier[#All],3,0)</f>
        <v>9689542459</v>
      </c>
      <c r="F1872" s="138" t="str">
        <f>VLOOKUP(Purchase[[#This Row],[Supplier ID]],Supplier[#All],4,0)</f>
        <v>Indore</v>
      </c>
      <c r="G1872" s="138" t="str">
        <f>VLOOKUP(Purchase[[#This Row],[Supplier ID]],Supplier[#All],5,0)</f>
        <v>MP</v>
      </c>
      <c r="H1872" s="138" t="str">
        <f>VLOOKUP(Purchase[[#This Row],[Supplier ID]],Supplier[#All],6,0)</f>
        <v>GST2154521T021</v>
      </c>
      <c r="I1872" s="138" t="s">
        <v>491</v>
      </c>
      <c r="J1872" s="139">
        <v>25</v>
      </c>
      <c r="K1872" s="143">
        <f>VLOOKUP(Purchase[[#This Row],[Product ID]],Product[#All],6,0)</f>
        <v>1938</v>
      </c>
      <c r="L1872" s="143">
        <f>Purchase[[#This Row],[Purchase Rate]]*Purchase[[#This Row],[Qty]]</f>
        <v>48450</v>
      </c>
      <c r="M1872" s="140">
        <v>0</v>
      </c>
      <c r="N1872" s="143">
        <v>0</v>
      </c>
      <c r="O1872" s="140">
        <v>0.18</v>
      </c>
      <c r="P1872" s="145">
        <f>(Purchase[[#This Row],[Gross Amount]]-Purchase[[#This Row],[Disct %]])*Purchase[[#This Row],[GST %]]</f>
        <v>8721</v>
      </c>
      <c r="Q1872" s="145">
        <f>Purchase[[#This Row],[Gross Amount]]-Purchase[[#This Row],[Disct Amnt]]+Purchase[[#This Row],[GST Amount]]</f>
        <v>57171</v>
      </c>
      <c r="R1872" s="138" t="s">
        <v>1019</v>
      </c>
      <c r="S1872" s="41">
        <f>IF(Purchase[[#This Row],[Status]]="Cancelled",0,Purchase[[#This Row],[Qty]])</f>
        <v>25</v>
      </c>
      <c r="T1872" s="146">
        <f>IF(Purchase[[#This Row],[Status]]="Cancelled",0,Purchase[[#This Row],[Total Amount]])</f>
        <v>57171</v>
      </c>
      <c r="U1872" s="146">
        <f>SUM(Purchase[Net Amount])</f>
        <v>814985438.68000126</v>
      </c>
    </row>
    <row r="1873" spans="1:21" ht="19.5" thickBot="1" x14ac:dyDescent="0.3">
      <c r="A1873" s="136" t="s">
        <v>2929</v>
      </c>
      <c r="B1873" s="137">
        <v>45749</v>
      </c>
      <c r="C1873" s="138" t="s">
        <v>576</v>
      </c>
      <c r="D1873" s="138" t="str">
        <f>VLOOKUP(Purchase[[#This Row],[Supplier ID]],Supplier[#All],2,0)</f>
        <v>Maa Distributors</v>
      </c>
      <c r="E1873" s="138">
        <f>VLOOKUP(Purchase[[#This Row],[Supplier ID]],Supplier[#All],3,0)</f>
        <v>9689542460</v>
      </c>
      <c r="F1873" s="138" t="str">
        <f>VLOOKUP(Purchase[[#This Row],[Supplier ID]],Supplier[#All],4,0)</f>
        <v>Korba</v>
      </c>
      <c r="G1873" s="138" t="str">
        <f>VLOOKUP(Purchase[[#This Row],[Supplier ID]],Supplier[#All],5,0)</f>
        <v>CG</v>
      </c>
      <c r="H1873" s="138" t="str">
        <f>VLOOKUP(Purchase[[#This Row],[Supplier ID]],Supplier[#All],6,0)</f>
        <v>GST2154521T022</v>
      </c>
      <c r="I1873" s="138" t="s">
        <v>389</v>
      </c>
      <c r="J1873" s="139">
        <v>35</v>
      </c>
      <c r="K1873" s="143">
        <f>VLOOKUP(Purchase[[#This Row],[Product ID]],Product[#All],6,0)</f>
        <v>9003</v>
      </c>
      <c r="L1873" s="143">
        <f>Purchase[[#This Row],[Purchase Rate]]*Purchase[[#This Row],[Qty]]</f>
        <v>315105</v>
      </c>
      <c r="M1873" s="140">
        <v>0</v>
      </c>
      <c r="N1873" s="143">
        <v>0</v>
      </c>
      <c r="O1873" s="140">
        <v>0.18</v>
      </c>
      <c r="P1873" s="145">
        <f>(Purchase[[#This Row],[Gross Amount]]-Purchase[[#This Row],[Disct %]])*Purchase[[#This Row],[GST %]]</f>
        <v>56718.9</v>
      </c>
      <c r="Q1873" s="145">
        <f>Purchase[[#This Row],[Gross Amount]]-Purchase[[#This Row],[Disct Amnt]]+Purchase[[#This Row],[GST Amount]]</f>
        <v>371823.9</v>
      </c>
      <c r="R1873" s="138" t="s">
        <v>1019</v>
      </c>
      <c r="S1873" s="41">
        <f>IF(Purchase[[#This Row],[Status]]="Cancelled",0,Purchase[[#This Row],[Qty]])</f>
        <v>35</v>
      </c>
      <c r="T1873" s="146">
        <f>IF(Purchase[[#This Row],[Status]]="Cancelled",0,Purchase[[#This Row],[Total Amount]])</f>
        <v>371823.9</v>
      </c>
      <c r="U1873" s="146">
        <f>SUM(Purchase[Net Amount])</f>
        <v>814985438.68000126</v>
      </c>
    </row>
    <row r="1874" spans="1:21" ht="19.5" thickBot="1" x14ac:dyDescent="0.3">
      <c r="A1874" s="136" t="s">
        <v>2930</v>
      </c>
      <c r="B1874" s="137">
        <v>45749</v>
      </c>
      <c r="C1874" s="138" t="s">
        <v>564</v>
      </c>
      <c r="D1874" s="138" t="str">
        <f>VLOOKUP(Purchase[[#This Row],[Supplier ID]],Supplier[#All],2,0)</f>
        <v xml:space="preserve">Star Electronics </v>
      </c>
      <c r="E1874" s="138">
        <f>VLOOKUP(Purchase[[#This Row],[Supplier ID]],Supplier[#All],3,0)</f>
        <v>9689542450</v>
      </c>
      <c r="F1874" s="138" t="str">
        <f>VLOOKUP(Purchase[[#This Row],[Supplier ID]],Supplier[#All],4,0)</f>
        <v>Korba</v>
      </c>
      <c r="G1874" s="138" t="str">
        <f>VLOOKUP(Purchase[[#This Row],[Supplier ID]],Supplier[#All],5,0)</f>
        <v>CG</v>
      </c>
      <c r="H1874" s="138" t="str">
        <f>VLOOKUP(Purchase[[#This Row],[Supplier ID]],Supplier[#All],6,0)</f>
        <v>GST2154521T012</v>
      </c>
      <c r="I1874" s="138" t="s">
        <v>132</v>
      </c>
      <c r="J1874" s="139">
        <v>23</v>
      </c>
      <c r="K1874" s="143">
        <f>VLOOKUP(Purchase[[#This Row],[Product ID]],Product[#All],6,0)</f>
        <v>6397</v>
      </c>
      <c r="L1874" s="143">
        <f>Purchase[[#This Row],[Purchase Rate]]*Purchase[[#This Row],[Qty]]</f>
        <v>147131</v>
      </c>
      <c r="M1874" s="140">
        <v>0</v>
      </c>
      <c r="N1874" s="143">
        <v>0</v>
      </c>
      <c r="O1874" s="140">
        <v>0.18</v>
      </c>
      <c r="P1874" s="145">
        <f>(Purchase[[#This Row],[Gross Amount]]-Purchase[[#This Row],[Disct %]])*Purchase[[#This Row],[GST %]]</f>
        <v>26483.579999999998</v>
      </c>
      <c r="Q1874" s="145">
        <f>Purchase[[#This Row],[Gross Amount]]-Purchase[[#This Row],[Disct Amnt]]+Purchase[[#This Row],[GST Amount]]</f>
        <v>173614.58</v>
      </c>
      <c r="R1874" s="138" t="s">
        <v>1019</v>
      </c>
      <c r="S1874" s="41">
        <f>IF(Purchase[[#This Row],[Status]]="Cancelled",0,Purchase[[#This Row],[Qty]])</f>
        <v>23</v>
      </c>
      <c r="T1874" s="146">
        <f>IF(Purchase[[#This Row],[Status]]="Cancelled",0,Purchase[[#This Row],[Total Amount]])</f>
        <v>173614.58</v>
      </c>
      <c r="U1874" s="146">
        <f>SUM(Purchase[Net Amount])</f>
        <v>814985438.68000126</v>
      </c>
    </row>
    <row r="1875" spans="1:21" ht="19.5" thickBot="1" x14ac:dyDescent="0.3">
      <c r="A1875" s="136" t="s">
        <v>2931</v>
      </c>
      <c r="B1875" s="137">
        <v>45749</v>
      </c>
      <c r="C1875" s="138" t="s">
        <v>607</v>
      </c>
      <c r="D1875" s="138" t="str">
        <f>VLOOKUP(Purchase[[#This Row],[Supplier ID]],Supplier[#All],2,0)</f>
        <v>Global Distributors</v>
      </c>
      <c r="E1875" s="138">
        <f>VLOOKUP(Purchase[[#This Row],[Supplier ID]],Supplier[#All],3,0)</f>
        <v>9689542490</v>
      </c>
      <c r="F1875" s="138" t="str">
        <f>VLOOKUP(Purchase[[#This Row],[Supplier ID]],Supplier[#All],4,0)</f>
        <v>Kanpur</v>
      </c>
      <c r="G1875" s="138" t="str">
        <f>VLOOKUP(Purchase[[#This Row],[Supplier ID]],Supplier[#All],5,0)</f>
        <v>UP</v>
      </c>
      <c r="H1875" s="138" t="str">
        <f>VLOOKUP(Purchase[[#This Row],[Supplier ID]],Supplier[#All],6,0)</f>
        <v>GST2154521T052</v>
      </c>
      <c r="I1875" s="138" t="s">
        <v>167</v>
      </c>
      <c r="J1875" s="139">
        <v>24</v>
      </c>
      <c r="K1875" s="143">
        <f>VLOOKUP(Purchase[[#This Row],[Product ID]],Product[#All],6,0)</f>
        <v>2161</v>
      </c>
      <c r="L1875" s="143">
        <f>Purchase[[#This Row],[Purchase Rate]]*Purchase[[#This Row],[Qty]]</f>
        <v>51864</v>
      </c>
      <c r="M1875" s="140">
        <v>0</v>
      </c>
      <c r="N1875" s="143">
        <v>0</v>
      </c>
      <c r="O1875" s="140">
        <v>0.18</v>
      </c>
      <c r="P1875" s="145">
        <f>(Purchase[[#This Row],[Gross Amount]]-Purchase[[#This Row],[Disct %]])*Purchase[[#This Row],[GST %]]</f>
        <v>9335.52</v>
      </c>
      <c r="Q1875" s="145">
        <f>Purchase[[#This Row],[Gross Amount]]-Purchase[[#This Row],[Disct Amnt]]+Purchase[[#This Row],[GST Amount]]</f>
        <v>61199.520000000004</v>
      </c>
      <c r="R1875" s="138" t="s">
        <v>1019</v>
      </c>
      <c r="S1875" s="41">
        <f>IF(Purchase[[#This Row],[Status]]="Cancelled",0,Purchase[[#This Row],[Qty]])</f>
        <v>24</v>
      </c>
      <c r="T1875" s="146">
        <f>IF(Purchase[[#This Row],[Status]]="Cancelled",0,Purchase[[#This Row],[Total Amount]])</f>
        <v>61199.520000000004</v>
      </c>
      <c r="U1875" s="146">
        <f>SUM(Purchase[Net Amount])</f>
        <v>814985438.68000126</v>
      </c>
    </row>
    <row r="1876" spans="1:21" ht="19.5" thickBot="1" x14ac:dyDescent="0.3">
      <c r="A1876" s="136" t="s">
        <v>2932</v>
      </c>
      <c r="B1876" s="137">
        <v>45749</v>
      </c>
      <c r="C1876" s="138" t="s">
        <v>597</v>
      </c>
      <c r="D1876" s="138" t="str">
        <f>VLOOKUP(Purchase[[#This Row],[Supplier ID]],Supplier[#All],2,0)</f>
        <v>Tech Traders</v>
      </c>
      <c r="E1876" s="138">
        <f>VLOOKUP(Purchase[[#This Row],[Supplier ID]],Supplier[#All],3,0)</f>
        <v>9689542480</v>
      </c>
      <c r="F1876" s="138" t="str">
        <f>VLOOKUP(Purchase[[#This Row],[Supplier ID]],Supplier[#All],4,0)</f>
        <v>Kanpur</v>
      </c>
      <c r="G1876" s="138" t="str">
        <f>VLOOKUP(Purchase[[#This Row],[Supplier ID]],Supplier[#All],5,0)</f>
        <v>UP</v>
      </c>
      <c r="H1876" s="138" t="str">
        <f>VLOOKUP(Purchase[[#This Row],[Supplier ID]],Supplier[#All],6,0)</f>
        <v>GST2154521T042</v>
      </c>
      <c r="I1876" s="138" t="s">
        <v>545</v>
      </c>
      <c r="J1876" s="139">
        <v>19</v>
      </c>
      <c r="K1876" s="143">
        <f>VLOOKUP(Purchase[[#This Row],[Product ID]],Product[#All],6,0)</f>
        <v>5298</v>
      </c>
      <c r="L1876" s="143">
        <f>Purchase[[#This Row],[Purchase Rate]]*Purchase[[#This Row],[Qty]]</f>
        <v>100662</v>
      </c>
      <c r="M1876" s="140">
        <v>0</v>
      </c>
      <c r="N1876" s="143">
        <v>0</v>
      </c>
      <c r="O1876" s="140">
        <v>0.18</v>
      </c>
      <c r="P1876" s="145">
        <f>(Purchase[[#This Row],[Gross Amount]]-Purchase[[#This Row],[Disct %]])*Purchase[[#This Row],[GST %]]</f>
        <v>18119.16</v>
      </c>
      <c r="Q1876" s="145">
        <f>Purchase[[#This Row],[Gross Amount]]-Purchase[[#This Row],[Disct Amnt]]+Purchase[[#This Row],[GST Amount]]</f>
        <v>118781.16</v>
      </c>
      <c r="R1876" s="138" t="s">
        <v>1019</v>
      </c>
      <c r="S1876" s="41">
        <f>IF(Purchase[[#This Row],[Status]]="Cancelled",0,Purchase[[#This Row],[Qty]])</f>
        <v>19</v>
      </c>
      <c r="T1876" s="146">
        <f>IF(Purchase[[#This Row],[Status]]="Cancelled",0,Purchase[[#This Row],[Total Amount]])</f>
        <v>118781.16</v>
      </c>
      <c r="U1876" s="146">
        <f>SUM(Purchase[Net Amount])</f>
        <v>814985438.68000126</v>
      </c>
    </row>
    <row r="1877" spans="1:21" ht="19.5" thickBot="1" x14ac:dyDescent="0.3">
      <c r="A1877" s="136" t="s">
        <v>2933</v>
      </c>
      <c r="B1877" s="137">
        <v>45749</v>
      </c>
      <c r="C1877" s="138" t="s">
        <v>613</v>
      </c>
      <c r="D1877" s="138" t="str">
        <f>VLOOKUP(Purchase[[#This Row],[Supplier ID]],Supplier[#All],2,0)</f>
        <v>National Traders</v>
      </c>
      <c r="E1877" s="138">
        <f>VLOOKUP(Purchase[[#This Row],[Supplier ID]],Supplier[#All],3,0)</f>
        <v>9689542496</v>
      </c>
      <c r="F1877" s="138" t="str">
        <f>VLOOKUP(Purchase[[#This Row],[Supplier ID]],Supplier[#All],4,0)</f>
        <v>Indore</v>
      </c>
      <c r="G1877" s="138" t="str">
        <f>VLOOKUP(Purchase[[#This Row],[Supplier ID]],Supplier[#All],5,0)</f>
        <v>MP</v>
      </c>
      <c r="H1877" s="138" t="str">
        <f>VLOOKUP(Purchase[[#This Row],[Supplier ID]],Supplier[#All],6,0)</f>
        <v>GST2154521T058</v>
      </c>
      <c r="I1877" s="138" t="s">
        <v>274</v>
      </c>
      <c r="J1877" s="139">
        <v>9</v>
      </c>
      <c r="K1877" s="143">
        <f>VLOOKUP(Purchase[[#This Row],[Product ID]],Product[#All],6,0)</f>
        <v>48641</v>
      </c>
      <c r="L1877" s="143">
        <f>Purchase[[#This Row],[Purchase Rate]]*Purchase[[#This Row],[Qty]]</f>
        <v>437769</v>
      </c>
      <c r="M1877" s="140">
        <v>0</v>
      </c>
      <c r="N1877" s="143">
        <v>0</v>
      </c>
      <c r="O1877" s="140">
        <v>0.18</v>
      </c>
      <c r="P1877" s="145">
        <f>(Purchase[[#This Row],[Gross Amount]]-Purchase[[#This Row],[Disct %]])*Purchase[[#This Row],[GST %]]</f>
        <v>78798.42</v>
      </c>
      <c r="Q1877" s="145">
        <f>Purchase[[#This Row],[Gross Amount]]-Purchase[[#This Row],[Disct Amnt]]+Purchase[[#This Row],[GST Amount]]</f>
        <v>516567.42</v>
      </c>
      <c r="R1877" s="138" t="s">
        <v>1019</v>
      </c>
      <c r="S1877" s="41">
        <f>IF(Purchase[[#This Row],[Status]]="Cancelled",0,Purchase[[#This Row],[Qty]])</f>
        <v>9</v>
      </c>
      <c r="T1877" s="146">
        <f>IF(Purchase[[#This Row],[Status]]="Cancelled",0,Purchase[[#This Row],[Total Amount]])</f>
        <v>516567.42</v>
      </c>
      <c r="U1877" s="146">
        <f>SUM(Purchase[Net Amount])</f>
        <v>814985438.68000126</v>
      </c>
    </row>
    <row r="1878" spans="1:21" ht="19.5" thickBot="1" x14ac:dyDescent="0.3">
      <c r="A1878" s="136" t="s">
        <v>2934</v>
      </c>
      <c r="B1878" s="137">
        <v>45749</v>
      </c>
      <c r="C1878" s="138" t="s">
        <v>2065</v>
      </c>
      <c r="D1878" s="138" t="str">
        <f>VLOOKUP(Purchase[[#This Row],[Supplier ID]],Supplier[#All],2,0)</f>
        <v>Maa Computers</v>
      </c>
      <c r="E1878" s="138">
        <f>VLOOKUP(Purchase[[#This Row],[Supplier ID]],Supplier[#All],3,0)</f>
        <v>9689542485</v>
      </c>
      <c r="F1878" s="138" t="str">
        <f>VLOOKUP(Purchase[[#This Row],[Supplier ID]],Supplier[#All],4,0)</f>
        <v>Korba</v>
      </c>
      <c r="G1878" s="138" t="str">
        <f>VLOOKUP(Purchase[[#This Row],[Supplier ID]],Supplier[#All],5,0)</f>
        <v>CG</v>
      </c>
      <c r="H1878" s="138" t="str">
        <f>VLOOKUP(Purchase[[#This Row],[Supplier ID]],Supplier[#All],6,0)</f>
        <v>GST2154521T047</v>
      </c>
      <c r="I1878" s="138" t="s">
        <v>229</v>
      </c>
      <c r="J1878" s="139">
        <v>15</v>
      </c>
      <c r="K1878" s="143">
        <f>VLOOKUP(Purchase[[#This Row],[Product ID]],Product[#All],6,0)</f>
        <v>2697</v>
      </c>
      <c r="L1878" s="143">
        <f>Purchase[[#This Row],[Purchase Rate]]*Purchase[[#This Row],[Qty]]</f>
        <v>40455</v>
      </c>
      <c r="M1878" s="140">
        <v>0</v>
      </c>
      <c r="N1878" s="143">
        <v>0</v>
      </c>
      <c r="O1878" s="140">
        <v>0.18</v>
      </c>
      <c r="P1878" s="145">
        <f>(Purchase[[#This Row],[Gross Amount]]-Purchase[[#This Row],[Disct %]])*Purchase[[#This Row],[GST %]]</f>
        <v>7281.9</v>
      </c>
      <c r="Q1878" s="145">
        <f>Purchase[[#This Row],[Gross Amount]]-Purchase[[#This Row],[Disct Amnt]]+Purchase[[#This Row],[GST Amount]]</f>
        <v>47736.9</v>
      </c>
      <c r="R1878" s="138" t="s">
        <v>1019</v>
      </c>
      <c r="S1878" s="41">
        <f>IF(Purchase[[#This Row],[Status]]="Cancelled",0,Purchase[[#This Row],[Qty]])</f>
        <v>15</v>
      </c>
      <c r="T1878" s="146">
        <f>IF(Purchase[[#This Row],[Status]]="Cancelled",0,Purchase[[#This Row],[Total Amount]])</f>
        <v>47736.9</v>
      </c>
      <c r="U1878" s="146">
        <f>SUM(Purchase[Net Amount])</f>
        <v>814985438.68000126</v>
      </c>
    </row>
    <row r="1879" spans="1:21" ht="19.5" thickBot="1" x14ac:dyDescent="0.3">
      <c r="A1879" s="136" t="s">
        <v>2935</v>
      </c>
      <c r="B1879" s="137">
        <v>45749</v>
      </c>
      <c r="C1879" s="138" t="s">
        <v>611</v>
      </c>
      <c r="D1879" s="138" t="str">
        <f>VLOOKUP(Purchase[[#This Row],[Supplier ID]],Supplier[#All],2,0)</f>
        <v>National Distributors</v>
      </c>
      <c r="E1879" s="138">
        <f>VLOOKUP(Purchase[[#This Row],[Supplier ID]],Supplier[#All],3,0)</f>
        <v>9689542494</v>
      </c>
      <c r="F1879" s="138" t="str">
        <f>VLOOKUP(Purchase[[#This Row],[Supplier ID]],Supplier[#All],4,0)</f>
        <v>Korba</v>
      </c>
      <c r="G1879" s="138" t="str">
        <f>VLOOKUP(Purchase[[#This Row],[Supplier ID]],Supplier[#All],5,0)</f>
        <v>CG</v>
      </c>
      <c r="H1879" s="138" t="str">
        <f>VLOOKUP(Purchase[[#This Row],[Supplier ID]],Supplier[#All],6,0)</f>
        <v>GST2154521T056</v>
      </c>
      <c r="I1879" s="138" t="s">
        <v>124</v>
      </c>
      <c r="J1879" s="139">
        <v>26</v>
      </c>
      <c r="K1879" s="143">
        <f>VLOOKUP(Purchase[[#This Row],[Product ID]],Product[#All],6,0)</f>
        <v>12974</v>
      </c>
      <c r="L1879" s="143">
        <f>Purchase[[#This Row],[Purchase Rate]]*Purchase[[#This Row],[Qty]]</f>
        <v>337324</v>
      </c>
      <c r="M1879" s="140">
        <v>0</v>
      </c>
      <c r="N1879" s="143">
        <v>0</v>
      </c>
      <c r="O1879" s="140">
        <v>0.18</v>
      </c>
      <c r="P1879" s="145">
        <f>(Purchase[[#This Row],[Gross Amount]]-Purchase[[#This Row],[Disct %]])*Purchase[[#This Row],[GST %]]</f>
        <v>60718.32</v>
      </c>
      <c r="Q1879" s="145">
        <f>Purchase[[#This Row],[Gross Amount]]-Purchase[[#This Row],[Disct Amnt]]+Purchase[[#This Row],[GST Amount]]</f>
        <v>398042.32</v>
      </c>
      <c r="R1879" s="138" t="s">
        <v>1019</v>
      </c>
      <c r="S1879" s="41">
        <f>IF(Purchase[[#This Row],[Status]]="Cancelled",0,Purchase[[#This Row],[Qty]])</f>
        <v>26</v>
      </c>
      <c r="T1879" s="146">
        <f>IF(Purchase[[#This Row],[Status]]="Cancelled",0,Purchase[[#This Row],[Total Amount]])</f>
        <v>398042.32</v>
      </c>
      <c r="U1879" s="146">
        <f>SUM(Purchase[Net Amount])</f>
        <v>814985438.68000126</v>
      </c>
    </row>
    <row r="1880" spans="1:21" ht="19.5" thickBot="1" x14ac:dyDescent="0.3">
      <c r="A1880" s="136" t="s">
        <v>2936</v>
      </c>
      <c r="B1880" s="137">
        <v>45749</v>
      </c>
      <c r="C1880" s="138" t="s">
        <v>590</v>
      </c>
      <c r="D1880" s="138" t="str">
        <f>VLOOKUP(Purchase[[#This Row],[Supplier ID]],Supplier[#All],2,0)</f>
        <v>Star Distributors</v>
      </c>
      <c r="E1880" s="138">
        <f>VLOOKUP(Purchase[[#This Row],[Supplier ID]],Supplier[#All],3,0)</f>
        <v>9689542474</v>
      </c>
      <c r="F1880" s="138" t="str">
        <f>VLOOKUP(Purchase[[#This Row],[Supplier ID]],Supplier[#All],4,0)</f>
        <v>Kanpur</v>
      </c>
      <c r="G1880" s="138" t="str">
        <f>VLOOKUP(Purchase[[#This Row],[Supplier ID]],Supplier[#All],5,0)</f>
        <v>UP</v>
      </c>
      <c r="H1880" s="138" t="str">
        <f>VLOOKUP(Purchase[[#This Row],[Supplier ID]],Supplier[#All],6,0)</f>
        <v>GST2154521T036</v>
      </c>
      <c r="I1880" s="138" t="s">
        <v>177</v>
      </c>
      <c r="J1880" s="139">
        <v>40</v>
      </c>
      <c r="K1880" s="143">
        <f>VLOOKUP(Purchase[[#This Row],[Product ID]],Product[#All],6,0)</f>
        <v>45329</v>
      </c>
      <c r="L1880" s="143">
        <f>Purchase[[#This Row],[Purchase Rate]]*Purchase[[#This Row],[Qty]]</f>
        <v>1813160</v>
      </c>
      <c r="M1880" s="140">
        <v>0</v>
      </c>
      <c r="N1880" s="143">
        <v>0</v>
      </c>
      <c r="O1880" s="140">
        <v>0.18</v>
      </c>
      <c r="P1880" s="145">
        <f>(Purchase[[#This Row],[Gross Amount]]-Purchase[[#This Row],[Disct %]])*Purchase[[#This Row],[GST %]]</f>
        <v>326368.8</v>
      </c>
      <c r="Q1880" s="145">
        <f>Purchase[[#This Row],[Gross Amount]]-Purchase[[#This Row],[Disct Amnt]]+Purchase[[#This Row],[GST Amount]]</f>
        <v>2139528.7999999998</v>
      </c>
      <c r="R1880" s="138" t="s">
        <v>1019</v>
      </c>
      <c r="S1880" s="41">
        <f>IF(Purchase[[#This Row],[Status]]="Cancelled",0,Purchase[[#This Row],[Qty]])</f>
        <v>40</v>
      </c>
      <c r="T1880" s="146">
        <f>IF(Purchase[[#This Row],[Status]]="Cancelled",0,Purchase[[#This Row],[Total Amount]])</f>
        <v>2139528.7999999998</v>
      </c>
      <c r="U1880" s="146">
        <f>SUM(Purchase[Net Amount])</f>
        <v>814985438.68000126</v>
      </c>
    </row>
    <row r="1881" spans="1:21" ht="19.5" thickBot="1" x14ac:dyDescent="0.3">
      <c r="A1881" s="136" t="s">
        <v>2937</v>
      </c>
      <c r="B1881" s="137">
        <v>45749</v>
      </c>
      <c r="C1881" s="138" t="s">
        <v>581</v>
      </c>
      <c r="D1881" s="138" t="str">
        <f>VLOOKUP(Purchase[[#This Row],[Supplier ID]],Supplier[#All],2,0)</f>
        <v>Prime Electronics</v>
      </c>
      <c r="E1881" s="138">
        <f>VLOOKUP(Purchase[[#This Row],[Supplier ID]],Supplier[#All],3,0)</f>
        <v>9689542465</v>
      </c>
      <c r="F1881" s="138" t="str">
        <f>VLOOKUP(Purchase[[#This Row],[Supplier ID]],Supplier[#All],4,0)</f>
        <v>Korba</v>
      </c>
      <c r="G1881" s="138" t="str">
        <f>VLOOKUP(Purchase[[#This Row],[Supplier ID]],Supplier[#All],5,0)</f>
        <v>CG</v>
      </c>
      <c r="H1881" s="138" t="str">
        <f>VLOOKUP(Purchase[[#This Row],[Supplier ID]],Supplier[#All],6,0)</f>
        <v>GST2154521T027</v>
      </c>
      <c r="I1881" s="138" t="s">
        <v>530</v>
      </c>
      <c r="J1881" s="139">
        <v>35</v>
      </c>
      <c r="K1881" s="143">
        <f>VLOOKUP(Purchase[[#This Row],[Product ID]],Product[#All],6,0)</f>
        <v>26588</v>
      </c>
      <c r="L1881" s="143">
        <f>Purchase[[#This Row],[Purchase Rate]]*Purchase[[#This Row],[Qty]]</f>
        <v>930580</v>
      </c>
      <c r="M1881" s="140">
        <v>0</v>
      </c>
      <c r="N1881" s="143">
        <v>0</v>
      </c>
      <c r="O1881" s="140">
        <v>0.18</v>
      </c>
      <c r="P1881" s="145">
        <f>(Purchase[[#This Row],[Gross Amount]]-Purchase[[#This Row],[Disct %]])*Purchase[[#This Row],[GST %]]</f>
        <v>167504.4</v>
      </c>
      <c r="Q1881" s="145">
        <f>Purchase[[#This Row],[Gross Amount]]-Purchase[[#This Row],[Disct Amnt]]+Purchase[[#This Row],[GST Amount]]</f>
        <v>1098084.3999999999</v>
      </c>
      <c r="R1881" s="138" t="s">
        <v>1019</v>
      </c>
      <c r="S1881" s="41">
        <f>IF(Purchase[[#This Row],[Status]]="Cancelled",0,Purchase[[#This Row],[Qty]])</f>
        <v>35</v>
      </c>
      <c r="T1881" s="146">
        <f>IF(Purchase[[#This Row],[Status]]="Cancelled",0,Purchase[[#This Row],[Total Amount]])</f>
        <v>1098084.3999999999</v>
      </c>
      <c r="U1881" s="146">
        <f>SUM(Purchase[Net Amount])</f>
        <v>814985438.68000126</v>
      </c>
    </row>
    <row r="1882" spans="1:21" ht="19.5" thickBot="1" x14ac:dyDescent="0.3">
      <c r="A1882" s="136" t="s">
        <v>2938</v>
      </c>
      <c r="B1882" s="137">
        <v>45749</v>
      </c>
      <c r="C1882" s="138" t="s">
        <v>580</v>
      </c>
      <c r="D1882" s="138" t="str">
        <f>VLOOKUP(Purchase[[#This Row],[Supplier ID]],Supplier[#All],2,0)</f>
        <v>Star Distributors</v>
      </c>
      <c r="E1882" s="138">
        <f>VLOOKUP(Purchase[[#This Row],[Supplier ID]],Supplier[#All],3,0)</f>
        <v>9689542464</v>
      </c>
      <c r="F1882" s="138" t="str">
        <f>VLOOKUP(Purchase[[#This Row],[Supplier ID]],Supplier[#All],4,0)</f>
        <v>Indore</v>
      </c>
      <c r="G1882" s="138" t="str">
        <f>VLOOKUP(Purchase[[#This Row],[Supplier ID]],Supplier[#All],5,0)</f>
        <v>MP</v>
      </c>
      <c r="H1882" s="138" t="str">
        <f>VLOOKUP(Purchase[[#This Row],[Supplier ID]],Supplier[#All],6,0)</f>
        <v>GST2154521T026</v>
      </c>
      <c r="I1882" s="138" t="s">
        <v>154</v>
      </c>
      <c r="J1882" s="139">
        <v>10</v>
      </c>
      <c r="K1882" s="143">
        <f>VLOOKUP(Purchase[[#This Row],[Product ID]],Product[#All],6,0)</f>
        <v>39768</v>
      </c>
      <c r="L1882" s="143">
        <f>Purchase[[#This Row],[Purchase Rate]]*Purchase[[#This Row],[Qty]]</f>
        <v>397680</v>
      </c>
      <c r="M1882" s="140">
        <v>0</v>
      </c>
      <c r="N1882" s="143">
        <v>0</v>
      </c>
      <c r="O1882" s="140">
        <v>0.18</v>
      </c>
      <c r="P1882" s="145">
        <f>(Purchase[[#This Row],[Gross Amount]]-Purchase[[#This Row],[Disct %]])*Purchase[[#This Row],[GST %]]</f>
        <v>71582.399999999994</v>
      </c>
      <c r="Q1882" s="145">
        <f>Purchase[[#This Row],[Gross Amount]]-Purchase[[#This Row],[Disct Amnt]]+Purchase[[#This Row],[GST Amount]]</f>
        <v>469262.4</v>
      </c>
      <c r="R1882" s="138" t="s">
        <v>1019</v>
      </c>
      <c r="S1882" s="41">
        <f>IF(Purchase[[#This Row],[Status]]="Cancelled",0,Purchase[[#This Row],[Qty]])</f>
        <v>10</v>
      </c>
      <c r="T1882" s="146">
        <f>IF(Purchase[[#This Row],[Status]]="Cancelled",0,Purchase[[#This Row],[Total Amount]])</f>
        <v>469262.4</v>
      </c>
      <c r="U1882" s="146">
        <f>SUM(Purchase[Net Amount])</f>
        <v>814985438.68000126</v>
      </c>
    </row>
    <row r="1883" spans="1:21" ht="19.5" thickBot="1" x14ac:dyDescent="0.3">
      <c r="A1883" s="136" t="s">
        <v>2939</v>
      </c>
      <c r="B1883" s="137">
        <v>45749</v>
      </c>
      <c r="C1883" s="138" t="s">
        <v>583</v>
      </c>
      <c r="D1883" s="138" t="str">
        <f>VLOOKUP(Purchase[[#This Row],[Supplier ID]],Supplier[#All],2,0)</f>
        <v>Shree Distributors</v>
      </c>
      <c r="E1883" s="138">
        <f>VLOOKUP(Purchase[[#This Row],[Supplier ID]],Supplier[#All],3,0)</f>
        <v>9689542467</v>
      </c>
      <c r="F1883" s="138" t="str">
        <f>VLOOKUP(Purchase[[#This Row],[Supplier ID]],Supplier[#All],4,0)</f>
        <v>Indore</v>
      </c>
      <c r="G1883" s="138" t="str">
        <f>VLOOKUP(Purchase[[#This Row],[Supplier ID]],Supplier[#All],5,0)</f>
        <v>MP</v>
      </c>
      <c r="H1883" s="138" t="str">
        <f>VLOOKUP(Purchase[[#This Row],[Supplier ID]],Supplier[#All],6,0)</f>
        <v>GST2154521T029</v>
      </c>
      <c r="I1883" s="138" t="s">
        <v>177</v>
      </c>
      <c r="J1883" s="139">
        <v>35</v>
      </c>
      <c r="K1883" s="143">
        <f>VLOOKUP(Purchase[[#This Row],[Product ID]],Product[#All],6,0)</f>
        <v>45329</v>
      </c>
      <c r="L1883" s="143">
        <f>Purchase[[#This Row],[Purchase Rate]]*Purchase[[#This Row],[Qty]]</f>
        <v>1586515</v>
      </c>
      <c r="M1883" s="140">
        <v>0</v>
      </c>
      <c r="N1883" s="143">
        <v>0</v>
      </c>
      <c r="O1883" s="140">
        <v>0.18</v>
      </c>
      <c r="P1883" s="145">
        <f>(Purchase[[#This Row],[Gross Amount]]-Purchase[[#This Row],[Disct %]])*Purchase[[#This Row],[GST %]]</f>
        <v>285572.7</v>
      </c>
      <c r="Q1883" s="145">
        <f>Purchase[[#This Row],[Gross Amount]]-Purchase[[#This Row],[Disct Amnt]]+Purchase[[#This Row],[GST Amount]]</f>
        <v>1872087.7</v>
      </c>
      <c r="R1883" s="138" t="s">
        <v>1019</v>
      </c>
      <c r="S1883" s="41">
        <f>IF(Purchase[[#This Row],[Status]]="Cancelled",0,Purchase[[#This Row],[Qty]])</f>
        <v>35</v>
      </c>
      <c r="T1883" s="146">
        <f>IF(Purchase[[#This Row],[Status]]="Cancelled",0,Purchase[[#This Row],[Total Amount]])</f>
        <v>1872087.7</v>
      </c>
      <c r="U1883" s="146">
        <f>SUM(Purchase[Net Amount])</f>
        <v>814985438.68000126</v>
      </c>
    </row>
    <row r="1884" spans="1:21" ht="19.5" thickBot="1" x14ac:dyDescent="0.3">
      <c r="A1884" s="136" t="s">
        <v>2940</v>
      </c>
      <c r="B1884" s="137">
        <v>45749</v>
      </c>
      <c r="C1884" s="138" t="s">
        <v>573</v>
      </c>
      <c r="D1884" s="138" t="str">
        <f>VLOOKUP(Purchase[[#This Row],[Supplier ID]],Supplier[#All],2,0)</f>
        <v>Shree Traders</v>
      </c>
      <c r="E1884" s="138">
        <f>VLOOKUP(Purchase[[#This Row],[Supplier ID]],Supplier[#All],3,0)</f>
        <v>9689542458</v>
      </c>
      <c r="F1884" s="138" t="str">
        <f>VLOOKUP(Purchase[[#This Row],[Supplier ID]],Supplier[#All],4,0)</f>
        <v>Korba</v>
      </c>
      <c r="G1884" s="138" t="str">
        <f>VLOOKUP(Purchase[[#This Row],[Supplier ID]],Supplier[#All],5,0)</f>
        <v>CG</v>
      </c>
      <c r="H1884" s="138" t="str">
        <f>VLOOKUP(Purchase[[#This Row],[Supplier ID]],Supplier[#All],6,0)</f>
        <v>GST2154521T020</v>
      </c>
      <c r="I1884" s="138" t="s">
        <v>287</v>
      </c>
      <c r="J1884" s="139">
        <v>27</v>
      </c>
      <c r="K1884" s="143">
        <f>VLOOKUP(Purchase[[#This Row],[Product ID]],Product[#All],6,0)</f>
        <v>1803</v>
      </c>
      <c r="L1884" s="143">
        <f>Purchase[[#This Row],[Purchase Rate]]*Purchase[[#This Row],[Qty]]</f>
        <v>48681</v>
      </c>
      <c r="M1884" s="140">
        <v>0</v>
      </c>
      <c r="N1884" s="143">
        <v>0</v>
      </c>
      <c r="O1884" s="140">
        <v>0.18</v>
      </c>
      <c r="P1884" s="145">
        <f>(Purchase[[#This Row],[Gross Amount]]-Purchase[[#This Row],[Disct %]])*Purchase[[#This Row],[GST %]]</f>
        <v>8762.58</v>
      </c>
      <c r="Q1884" s="145">
        <f>Purchase[[#This Row],[Gross Amount]]-Purchase[[#This Row],[Disct Amnt]]+Purchase[[#This Row],[GST Amount]]</f>
        <v>57443.58</v>
      </c>
      <c r="R1884" s="138" t="s">
        <v>1019</v>
      </c>
      <c r="S1884" s="41">
        <f>IF(Purchase[[#This Row],[Status]]="Cancelled",0,Purchase[[#This Row],[Qty]])</f>
        <v>27</v>
      </c>
      <c r="T1884" s="146">
        <f>IF(Purchase[[#This Row],[Status]]="Cancelled",0,Purchase[[#This Row],[Total Amount]])</f>
        <v>57443.58</v>
      </c>
      <c r="U1884" s="146">
        <f>SUM(Purchase[Net Amount])</f>
        <v>814985438.68000126</v>
      </c>
    </row>
    <row r="1885" spans="1:21" ht="19.5" thickBot="1" x14ac:dyDescent="0.3">
      <c r="A1885" s="136" t="s">
        <v>2941</v>
      </c>
      <c r="B1885" s="137">
        <v>45749</v>
      </c>
      <c r="C1885" s="138" t="s">
        <v>583</v>
      </c>
      <c r="D1885" s="138" t="str">
        <f>VLOOKUP(Purchase[[#This Row],[Supplier ID]],Supplier[#All],2,0)</f>
        <v>Shree Distributors</v>
      </c>
      <c r="E1885" s="138">
        <f>VLOOKUP(Purchase[[#This Row],[Supplier ID]],Supplier[#All],3,0)</f>
        <v>9689542467</v>
      </c>
      <c r="F1885" s="138" t="str">
        <f>VLOOKUP(Purchase[[#This Row],[Supplier ID]],Supplier[#All],4,0)</f>
        <v>Indore</v>
      </c>
      <c r="G1885" s="138" t="str">
        <f>VLOOKUP(Purchase[[#This Row],[Supplier ID]],Supplier[#All],5,0)</f>
        <v>MP</v>
      </c>
      <c r="H1885" s="138" t="str">
        <f>VLOOKUP(Purchase[[#This Row],[Supplier ID]],Supplier[#All],6,0)</f>
        <v>GST2154521T029</v>
      </c>
      <c r="I1885" s="138" t="s">
        <v>357</v>
      </c>
      <c r="J1885" s="139">
        <v>35</v>
      </c>
      <c r="K1885" s="143">
        <f>VLOOKUP(Purchase[[#This Row],[Product ID]],Product[#All],6,0)</f>
        <v>7550</v>
      </c>
      <c r="L1885" s="143">
        <f>Purchase[[#This Row],[Purchase Rate]]*Purchase[[#This Row],[Qty]]</f>
        <v>264250</v>
      </c>
      <c r="M1885" s="140">
        <v>0</v>
      </c>
      <c r="N1885" s="143">
        <v>0</v>
      </c>
      <c r="O1885" s="140">
        <v>0.18</v>
      </c>
      <c r="P1885" s="145">
        <f>(Purchase[[#This Row],[Gross Amount]]-Purchase[[#This Row],[Disct %]])*Purchase[[#This Row],[GST %]]</f>
        <v>47565</v>
      </c>
      <c r="Q1885" s="145">
        <f>Purchase[[#This Row],[Gross Amount]]-Purchase[[#This Row],[Disct Amnt]]+Purchase[[#This Row],[GST Amount]]</f>
        <v>311815</v>
      </c>
      <c r="R1885" s="138" t="s">
        <v>1019</v>
      </c>
      <c r="S1885" s="41">
        <f>IF(Purchase[[#This Row],[Status]]="Cancelled",0,Purchase[[#This Row],[Qty]])</f>
        <v>35</v>
      </c>
      <c r="T1885" s="146">
        <f>IF(Purchase[[#This Row],[Status]]="Cancelled",0,Purchase[[#This Row],[Total Amount]])</f>
        <v>311815</v>
      </c>
      <c r="U1885" s="146">
        <f>SUM(Purchase[Net Amount])</f>
        <v>814985438.68000126</v>
      </c>
    </row>
    <row r="1886" spans="1:21" ht="19.5" thickBot="1" x14ac:dyDescent="0.3">
      <c r="A1886" s="136" t="s">
        <v>2942</v>
      </c>
      <c r="B1886" s="137">
        <v>45749</v>
      </c>
      <c r="C1886" s="138" t="s">
        <v>600</v>
      </c>
      <c r="D1886" s="138" t="str">
        <f>VLOOKUP(Purchase[[#This Row],[Supplier ID]],Supplier[#All],2,0)</f>
        <v>Prime Suppliers</v>
      </c>
      <c r="E1886" s="138">
        <f>VLOOKUP(Purchase[[#This Row],[Supplier ID]],Supplier[#All],3,0)</f>
        <v>9689542483</v>
      </c>
      <c r="F1886" s="138" t="str">
        <f>VLOOKUP(Purchase[[#This Row],[Supplier ID]],Supplier[#All],4,0)</f>
        <v>Korba</v>
      </c>
      <c r="G1886" s="138" t="str">
        <f>VLOOKUP(Purchase[[#This Row],[Supplier ID]],Supplier[#All],5,0)</f>
        <v>CG</v>
      </c>
      <c r="H1886" s="138" t="str">
        <f>VLOOKUP(Purchase[[#This Row],[Supplier ID]],Supplier[#All],6,0)</f>
        <v>GST2154521T045</v>
      </c>
      <c r="I1886" s="138" t="s">
        <v>79</v>
      </c>
      <c r="J1886" s="139">
        <v>17</v>
      </c>
      <c r="K1886" s="143">
        <f>VLOOKUP(Purchase[[#This Row],[Product ID]],Product[#All],6,0)</f>
        <v>26386</v>
      </c>
      <c r="L1886" s="143">
        <f>Purchase[[#This Row],[Purchase Rate]]*Purchase[[#This Row],[Qty]]</f>
        <v>448562</v>
      </c>
      <c r="M1886" s="140">
        <v>0</v>
      </c>
      <c r="N1886" s="143">
        <v>0</v>
      </c>
      <c r="O1886" s="140">
        <v>0.18</v>
      </c>
      <c r="P1886" s="145">
        <f>(Purchase[[#This Row],[Gross Amount]]-Purchase[[#This Row],[Disct %]])*Purchase[[#This Row],[GST %]]</f>
        <v>80741.16</v>
      </c>
      <c r="Q1886" s="145">
        <f>Purchase[[#This Row],[Gross Amount]]-Purchase[[#This Row],[Disct Amnt]]+Purchase[[#This Row],[GST Amount]]</f>
        <v>529303.16</v>
      </c>
      <c r="R1886" s="138" t="s">
        <v>1019</v>
      </c>
      <c r="S1886" s="41">
        <f>IF(Purchase[[#This Row],[Status]]="Cancelled",0,Purchase[[#This Row],[Qty]])</f>
        <v>17</v>
      </c>
      <c r="T1886" s="146">
        <f>IF(Purchase[[#This Row],[Status]]="Cancelled",0,Purchase[[#This Row],[Total Amount]])</f>
        <v>529303.16</v>
      </c>
      <c r="U1886" s="146">
        <f>SUM(Purchase[Net Amount])</f>
        <v>814985438.68000126</v>
      </c>
    </row>
    <row r="1887" spans="1:21" ht="19.5" thickBot="1" x14ac:dyDescent="0.3">
      <c r="A1887" s="136" t="s">
        <v>2943</v>
      </c>
      <c r="B1887" s="137">
        <v>45750</v>
      </c>
      <c r="C1887" s="138" t="s">
        <v>614</v>
      </c>
      <c r="D1887" s="138" t="str">
        <f>VLOOKUP(Purchase[[#This Row],[Supplier ID]],Supplier[#All],2,0)</f>
        <v>National Electronics</v>
      </c>
      <c r="E1887" s="138">
        <f>VLOOKUP(Purchase[[#This Row],[Supplier ID]],Supplier[#All],3,0)</f>
        <v>9689542497</v>
      </c>
      <c r="F1887" s="138" t="str">
        <f>VLOOKUP(Purchase[[#This Row],[Supplier ID]],Supplier[#All],4,0)</f>
        <v>Kanpur</v>
      </c>
      <c r="G1887" s="138" t="str">
        <f>VLOOKUP(Purchase[[#This Row],[Supplier ID]],Supplier[#All],5,0)</f>
        <v>UP</v>
      </c>
      <c r="H1887" s="138" t="str">
        <f>VLOOKUP(Purchase[[#This Row],[Supplier ID]],Supplier[#All],6,0)</f>
        <v>GST2154521T059</v>
      </c>
      <c r="I1887" s="138" t="s">
        <v>291</v>
      </c>
      <c r="J1887" s="139">
        <v>34</v>
      </c>
      <c r="K1887" s="143">
        <f>VLOOKUP(Purchase[[#This Row],[Product ID]],Product[#All],6,0)</f>
        <v>9494</v>
      </c>
      <c r="L1887" s="143">
        <f>Purchase[[#This Row],[Purchase Rate]]*Purchase[[#This Row],[Qty]]</f>
        <v>322796</v>
      </c>
      <c r="M1887" s="140">
        <v>0</v>
      </c>
      <c r="N1887" s="143">
        <v>0</v>
      </c>
      <c r="O1887" s="140">
        <v>0.18</v>
      </c>
      <c r="P1887" s="145">
        <f>(Purchase[[#This Row],[Gross Amount]]-Purchase[[#This Row],[Disct %]])*Purchase[[#This Row],[GST %]]</f>
        <v>58103.28</v>
      </c>
      <c r="Q1887" s="145">
        <f>Purchase[[#This Row],[Gross Amount]]-Purchase[[#This Row],[Disct Amnt]]+Purchase[[#This Row],[GST Amount]]</f>
        <v>380899.28</v>
      </c>
      <c r="R1887" s="138" t="s">
        <v>1019</v>
      </c>
      <c r="S1887" s="41">
        <f>IF(Purchase[[#This Row],[Status]]="Cancelled",0,Purchase[[#This Row],[Qty]])</f>
        <v>34</v>
      </c>
      <c r="T1887" s="146">
        <f>IF(Purchase[[#This Row],[Status]]="Cancelled",0,Purchase[[#This Row],[Total Amount]])</f>
        <v>380899.28</v>
      </c>
      <c r="U1887" s="146">
        <f>SUM(Purchase[Net Amount])</f>
        <v>814985438.68000126</v>
      </c>
    </row>
    <row r="1888" spans="1:21" ht="19.5" thickBot="1" x14ac:dyDescent="0.3">
      <c r="A1888" s="136" t="s">
        <v>2944</v>
      </c>
      <c r="B1888" s="137">
        <v>45750</v>
      </c>
      <c r="C1888" s="138" t="s">
        <v>611</v>
      </c>
      <c r="D1888" s="138" t="str">
        <f>VLOOKUP(Purchase[[#This Row],[Supplier ID]],Supplier[#All],2,0)</f>
        <v>National Distributors</v>
      </c>
      <c r="E1888" s="138">
        <f>VLOOKUP(Purchase[[#This Row],[Supplier ID]],Supplier[#All],3,0)</f>
        <v>9689542494</v>
      </c>
      <c r="F1888" s="138" t="str">
        <f>VLOOKUP(Purchase[[#This Row],[Supplier ID]],Supplier[#All],4,0)</f>
        <v>Korba</v>
      </c>
      <c r="G1888" s="138" t="str">
        <f>VLOOKUP(Purchase[[#This Row],[Supplier ID]],Supplier[#All],5,0)</f>
        <v>CG</v>
      </c>
      <c r="H1888" s="138" t="str">
        <f>VLOOKUP(Purchase[[#This Row],[Supplier ID]],Supplier[#All],6,0)</f>
        <v>GST2154521T056</v>
      </c>
      <c r="I1888" s="138" t="s">
        <v>77</v>
      </c>
      <c r="J1888" s="139">
        <v>17</v>
      </c>
      <c r="K1888" s="143">
        <f>VLOOKUP(Purchase[[#This Row],[Product ID]],Product[#All],6,0)</f>
        <v>2282</v>
      </c>
      <c r="L1888" s="143">
        <f>Purchase[[#This Row],[Purchase Rate]]*Purchase[[#This Row],[Qty]]</f>
        <v>38794</v>
      </c>
      <c r="M1888" s="140">
        <v>0</v>
      </c>
      <c r="N1888" s="143">
        <v>0</v>
      </c>
      <c r="O1888" s="140">
        <v>0.18</v>
      </c>
      <c r="P1888" s="145">
        <f>(Purchase[[#This Row],[Gross Amount]]-Purchase[[#This Row],[Disct %]])*Purchase[[#This Row],[GST %]]</f>
        <v>6982.92</v>
      </c>
      <c r="Q1888" s="145">
        <f>Purchase[[#This Row],[Gross Amount]]-Purchase[[#This Row],[Disct Amnt]]+Purchase[[#This Row],[GST Amount]]</f>
        <v>45776.92</v>
      </c>
      <c r="R1888" s="138" t="s">
        <v>1019</v>
      </c>
      <c r="S1888" s="41">
        <f>IF(Purchase[[#This Row],[Status]]="Cancelled",0,Purchase[[#This Row],[Qty]])</f>
        <v>17</v>
      </c>
      <c r="T1888" s="146">
        <f>IF(Purchase[[#This Row],[Status]]="Cancelled",0,Purchase[[#This Row],[Total Amount]])</f>
        <v>45776.92</v>
      </c>
      <c r="U1888" s="146">
        <f>SUM(Purchase[Net Amount])</f>
        <v>814985438.68000126</v>
      </c>
    </row>
    <row r="1889" spans="1:21" ht="19.5" thickBot="1" x14ac:dyDescent="0.3">
      <c r="A1889" s="136" t="s">
        <v>2945</v>
      </c>
      <c r="B1889" s="137">
        <v>45750</v>
      </c>
      <c r="C1889" s="138" t="s">
        <v>585</v>
      </c>
      <c r="D1889" s="138" t="str">
        <f>VLOOKUP(Purchase[[#This Row],[Supplier ID]],Supplier[#All],2,0)</f>
        <v>Tech Computers</v>
      </c>
      <c r="E1889" s="138">
        <f>VLOOKUP(Purchase[[#This Row],[Supplier ID]],Supplier[#All],3,0)</f>
        <v>9689542469</v>
      </c>
      <c r="F1889" s="138" t="str">
        <f>VLOOKUP(Purchase[[#This Row],[Supplier ID]],Supplier[#All],4,0)</f>
        <v>Korba</v>
      </c>
      <c r="G1889" s="138" t="str">
        <f>VLOOKUP(Purchase[[#This Row],[Supplier ID]],Supplier[#All],5,0)</f>
        <v>CG</v>
      </c>
      <c r="H1889" s="138" t="str">
        <f>VLOOKUP(Purchase[[#This Row],[Supplier ID]],Supplier[#All],6,0)</f>
        <v>GST2154521T031</v>
      </c>
      <c r="I1889" s="138" t="s">
        <v>198</v>
      </c>
      <c r="J1889" s="139">
        <v>8</v>
      </c>
      <c r="K1889" s="143">
        <f>VLOOKUP(Purchase[[#This Row],[Product ID]],Product[#All],6,0)</f>
        <v>1905</v>
      </c>
      <c r="L1889" s="143">
        <f>Purchase[[#This Row],[Purchase Rate]]*Purchase[[#This Row],[Qty]]</f>
        <v>15240</v>
      </c>
      <c r="M1889" s="140">
        <v>0</v>
      </c>
      <c r="N1889" s="143">
        <v>0</v>
      </c>
      <c r="O1889" s="140">
        <v>0.18</v>
      </c>
      <c r="P1889" s="145">
        <f>(Purchase[[#This Row],[Gross Amount]]-Purchase[[#This Row],[Disct %]])*Purchase[[#This Row],[GST %]]</f>
        <v>2743.2</v>
      </c>
      <c r="Q1889" s="145">
        <f>Purchase[[#This Row],[Gross Amount]]-Purchase[[#This Row],[Disct Amnt]]+Purchase[[#This Row],[GST Amount]]</f>
        <v>17983.2</v>
      </c>
      <c r="R1889" s="138" t="s">
        <v>1019</v>
      </c>
      <c r="S1889" s="41">
        <f>IF(Purchase[[#This Row],[Status]]="Cancelled",0,Purchase[[#This Row],[Qty]])</f>
        <v>8</v>
      </c>
      <c r="T1889" s="146">
        <f>IF(Purchase[[#This Row],[Status]]="Cancelled",0,Purchase[[#This Row],[Total Amount]])</f>
        <v>17983.2</v>
      </c>
      <c r="U1889" s="146">
        <f>SUM(Purchase[Net Amount])</f>
        <v>814985438.68000126</v>
      </c>
    </row>
    <row r="1890" spans="1:21" ht="19.5" thickBot="1" x14ac:dyDescent="0.3">
      <c r="A1890" s="136" t="s">
        <v>2946</v>
      </c>
      <c r="B1890" s="137">
        <v>45750</v>
      </c>
      <c r="C1890" s="138" t="s">
        <v>578</v>
      </c>
      <c r="D1890" s="138" t="str">
        <f>VLOOKUP(Purchase[[#This Row],[Supplier ID]],Supplier[#All],2,0)</f>
        <v>Shree Computers</v>
      </c>
      <c r="E1890" s="138">
        <f>VLOOKUP(Purchase[[#This Row],[Supplier ID]],Supplier[#All],3,0)</f>
        <v>9689542462</v>
      </c>
      <c r="F1890" s="138" t="str">
        <f>VLOOKUP(Purchase[[#This Row],[Supplier ID]],Supplier[#All],4,0)</f>
        <v>Korba</v>
      </c>
      <c r="G1890" s="138" t="str">
        <f>VLOOKUP(Purchase[[#This Row],[Supplier ID]],Supplier[#All],5,0)</f>
        <v>CG</v>
      </c>
      <c r="H1890" s="138" t="str">
        <f>VLOOKUP(Purchase[[#This Row],[Supplier ID]],Supplier[#All],6,0)</f>
        <v>GST2154521T024</v>
      </c>
      <c r="I1890" s="138" t="s">
        <v>364</v>
      </c>
      <c r="J1890" s="139">
        <v>38</v>
      </c>
      <c r="K1890" s="143">
        <f>VLOOKUP(Purchase[[#This Row],[Product ID]],Product[#All],6,0)</f>
        <v>36391</v>
      </c>
      <c r="L1890" s="143">
        <f>Purchase[[#This Row],[Purchase Rate]]*Purchase[[#This Row],[Qty]]</f>
        <v>1382858</v>
      </c>
      <c r="M1890" s="140">
        <v>0</v>
      </c>
      <c r="N1890" s="143">
        <v>0</v>
      </c>
      <c r="O1890" s="140">
        <v>0.18</v>
      </c>
      <c r="P1890" s="145">
        <f>(Purchase[[#This Row],[Gross Amount]]-Purchase[[#This Row],[Disct %]])*Purchase[[#This Row],[GST %]]</f>
        <v>248914.44</v>
      </c>
      <c r="Q1890" s="145">
        <f>Purchase[[#This Row],[Gross Amount]]-Purchase[[#This Row],[Disct Amnt]]+Purchase[[#This Row],[GST Amount]]</f>
        <v>1631772.44</v>
      </c>
      <c r="R1890" s="138" t="s">
        <v>1019</v>
      </c>
      <c r="S1890" s="41">
        <f>IF(Purchase[[#This Row],[Status]]="Cancelled",0,Purchase[[#This Row],[Qty]])</f>
        <v>38</v>
      </c>
      <c r="T1890" s="146">
        <f>IF(Purchase[[#This Row],[Status]]="Cancelled",0,Purchase[[#This Row],[Total Amount]])</f>
        <v>1631772.44</v>
      </c>
      <c r="U1890" s="146">
        <f>SUM(Purchase[Net Amount])</f>
        <v>814985438.68000126</v>
      </c>
    </row>
    <row r="1891" spans="1:21" ht="19.5" thickBot="1" x14ac:dyDescent="0.3">
      <c r="A1891" s="136" t="s">
        <v>2947</v>
      </c>
      <c r="B1891" s="137">
        <v>45750</v>
      </c>
      <c r="C1891" s="138" t="s">
        <v>567</v>
      </c>
      <c r="D1891" s="138" t="str">
        <f>VLOOKUP(Purchase[[#This Row],[Supplier ID]],Supplier[#All],2,0)</f>
        <v>National Distributors</v>
      </c>
      <c r="E1891" s="138">
        <f>VLOOKUP(Purchase[[#This Row],[Supplier ID]],Supplier[#All],3,0)</f>
        <v>9689542453</v>
      </c>
      <c r="F1891" s="138" t="str">
        <f>VLOOKUP(Purchase[[#This Row],[Supplier ID]],Supplier[#All],4,0)</f>
        <v>Korba</v>
      </c>
      <c r="G1891" s="138" t="str">
        <f>VLOOKUP(Purchase[[#This Row],[Supplier ID]],Supplier[#All],5,0)</f>
        <v>CG</v>
      </c>
      <c r="H1891" s="138" t="str">
        <f>VLOOKUP(Purchase[[#This Row],[Supplier ID]],Supplier[#All],6,0)</f>
        <v>GST2154521T015</v>
      </c>
      <c r="I1891" s="138" t="s">
        <v>303</v>
      </c>
      <c r="J1891" s="139">
        <v>36</v>
      </c>
      <c r="K1891" s="143">
        <f>VLOOKUP(Purchase[[#This Row],[Product ID]],Product[#All],6,0)</f>
        <v>6214</v>
      </c>
      <c r="L1891" s="143">
        <f>Purchase[[#This Row],[Purchase Rate]]*Purchase[[#This Row],[Qty]]</f>
        <v>223704</v>
      </c>
      <c r="M1891" s="140">
        <v>0</v>
      </c>
      <c r="N1891" s="143">
        <v>0</v>
      </c>
      <c r="O1891" s="140">
        <v>0.18</v>
      </c>
      <c r="P1891" s="145">
        <f>(Purchase[[#This Row],[Gross Amount]]-Purchase[[#This Row],[Disct %]])*Purchase[[#This Row],[GST %]]</f>
        <v>40266.720000000001</v>
      </c>
      <c r="Q1891" s="145">
        <f>Purchase[[#This Row],[Gross Amount]]-Purchase[[#This Row],[Disct Amnt]]+Purchase[[#This Row],[GST Amount]]</f>
        <v>263970.71999999997</v>
      </c>
      <c r="R1891" s="138" t="s">
        <v>1019</v>
      </c>
      <c r="S1891" s="41">
        <f>IF(Purchase[[#This Row],[Status]]="Cancelled",0,Purchase[[#This Row],[Qty]])</f>
        <v>36</v>
      </c>
      <c r="T1891" s="146">
        <f>IF(Purchase[[#This Row],[Status]]="Cancelled",0,Purchase[[#This Row],[Total Amount]])</f>
        <v>263970.71999999997</v>
      </c>
      <c r="U1891" s="146">
        <f>SUM(Purchase[Net Amount])</f>
        <v>814985438.68000126</v>
      </c>
    </row>
    <row r="1892" spans="1:21" ht="19.5" thickBot="1" x14ac:dyDescent="0.3">
      <c r="A1892" s="136" t="s">
        <v>2948</v>
      </c>
      <c r="B1892" s="137">
        <v>45750</v>
      </c>
      <c r="C1892" s="138" t="s">
        <v>603</v>
      </c>
      <c r="D1892" s="138" t="str">
        <f>VLOOKUP(Purchase[[#This Row],[Supplier ID]],Supplier[#All],2,0)</f>
        <v>Tech Computers</v>
      </c>
      <c r="E1892" s="138">
        <f>VLOOKUP(Purchase[[#This Row],[Supplier ID]],Supplier[#All],3,0)</f>
        <v>9689542486</v>
      </c>
      <c r="F1892" s="138" t="str">
        <f>VLOOKUP(Purchase[[#This Row],[Supplier ID]],Supplier[#All],4,0)</f>
        <v>Indore</v>
      </c>
      <c r="G1892" s="138" t="str">
        <f>VLOOKUP(Purchase[[#This Row],[Supplier ID]],Supplier[#All],5,0)</f>
        <v>MP</v>
      </c>
      <c r="H1892" s="138" t="str">
        <f>VLOOKUP(Purchase[[#This Row],[Supplier ID]],Supplier[#All],6,0)</f>
        <v>GST2154521T048</v>
      </c>
      <c r="I1892" s="138" t="s">
        <v>132</v>
      </c>
      <c r="J1892" s="139">
        <v>28</v>
      </c>
      <c r="K1892" s="143">
        <f>VLOOKUP(Purchase[[#This Row],[Product ID]],Product[#All],6,0)</f>
        <v>6397</v>
      </c>
      <c r="L1892" s="143">
        <f>Purchase[[#This Row],[Purchase Rate]]*Purchase[[#This Row],[Qty]]</f>
        <v>179116</v>
      </c>
      <c r="M1892" s="140">
        <v>0</v>
      </c>
      <c r="N1892" s="143">
        <v>0</v>
      </c>
      <c r="O1892" s="140">
        <v>0.18</v>
      </c>
      <c r="P1892" s="145">
        <f>(Purchase[[#This Row],[Gross Amount]]-Purchase[[#This Row],[Disct %]])*Purchase[[#This Row],[GST %]]</f>
        <v>32240.879999999997</v>
      </c>
      <c r="Q1892" s="145">
        <f>Purchase[[#This Row],[Gross Amount]]-Purchase[[#This Row],[Disct Amnt]]+Purchase[[#This Row],[GST Amount]]</f>
        <v>211356.88</v>
      </c>
      <c r="R1892" s="138" t="s">
        <v>1019</v>
      </c>
      <c r="S1892" s="41">
        <f>IF(Purchase[[#This Row],[Status]]="Cancelled",0,Purchase[[#This Row],[Qty]])</f>
        <v>28</v>
      </c>
      <c r="T1892" s="146">
        <f>IF(Purchase[[#This Row],[Status]]="Cancelled",0,Purchase[[#This Row],[Total Amount]])</f>
        <v>211356.88</v>
      </c>
      <c r="U1892" s="146">
        <f>SUM(Purchase[Net Amount])</f>
        <v>814985438.68000126</v>
      </c>
    </row>
    <row r="1893" spans="1:21" ht="19.5" thickBot="1" x14ac:dyDescent="0.3">
      <c r="A1893" s="136" t="s">
        <v>2949</v>
      </c>
      <c r="B1893" s="137">
        <v>45750</v>
      </c>
      <c r="C1893" s="138" t="s">
        <v>567</v>
      </c>
      <c r="D1893" s="138" t="str">
        <f>VLOOKUP(Purchase[[#This Row],[Supplier ID]],Supplier[#All],2,0)</f>
        <v>National Distributors</v>
      </c>
      <c r="E1893" s="138">
        <f>VLOOKUP(Purchase[[#This Row],[Supplier ID]],Supplier[#All],3,0)</f>
        <v>9689542453</v>
      </c>
      <c r="F1893" s="138" t="str">
        <f>VLOOKUP(Purchase[[#This Row],[Supplier ID]],Supplier[#All],4,0)</f>
        <v>Korba</v>
      </c>
      <c r="G1893" s="138" t="str">
        <f>VLOOKUP(Purchase[[#This Row],[Supplier ID]],Supplier[#All],5,0)</f>
        <v>CG</v>
      </c>
      <c r="H1893" s="138" t="str">
        <f>VLOOKUP(Purchase[[#This Row],[Supplier ID]],Supplier[#All],6,0)</f>
        <v>GST2154521T015</v>
      </c>
      <c r="I1893" s="138" t="s">
        <v>238</v>
      </c>
      <c r="J1893" s="139">
        <v>33</v>
      </c>
      <c r="K1893" s="143">
        <f>VLOOKUP(Purchase[[#This Row],[Product ID]],Product[#All],6,0)</f>
        <v>6619</v>
      </c>
      <c r="L1893" s="143">
        <f>Purchase[[#This Row],[Purchase Rate]]*Purchase[[#This Row],[Qty]]</f>
        <v>218427</v>
      </c>
      <c r="M1893" s="140">
        <v>0</v>
      </c>
      <c r="N1893" s="143">
        <v>0</v>
      </c>
      <c r="O1893" s="140">
        <v>0.18</v>
      </c>
      <c r="P1893" s="145">
        <f>(Purchase[[#This Row],[Gross Amount]]-Purchase[[#This Row],[Disct %]])*Purchase[[#This Row],[GST %]]</f>
        <v>39316.86</v>
      </c>
      <c r="Q1893" s="145">
        <f>Purchase[[#This Row],[Gross Amount]]-Purchase[[#This Row],[Disct Amnt]]+Purchase[[#This Row],[GST Amount]]</f>
        <v>257743.86</v>
      </c>
      <c r="R1893" s="138" t="s">
        <v>1019</v>
      </c>
      <c r="S1893" s="41">
        <f>IF(Purchase[[#This Row],[Status]]="Cancelled",0,Purchase[[#This Row],[Qty]])</f>
        <v>33</v>
      </c>
      <c r="T1893" s="146">
        <f>IF(Purchase[[#This Row],[Status]]="Cancelled",0,Purchase[[#This Row],[Total Amount]])</f>
        <v>257743.86</v>
      </c>
      <c r="U1893" s="146">
        <f>SUM(Purchase[Net Amount])</f>
        <v>814985438.68000126</v>
      </c>
    </row>
    <row r="1894" spans="1:21" ht="19.5" thickBot="1" x14ac:dyDescent="0.3">
      <c r="A1894" s="136" t="s">
        <v>2950</v>
      </c>
      <c r="B1894" s="137">
        <v>45750</v>
      </c>
      <c r="C1894" s="138" t="s">
        <v>567</v>
      </c>
      <c r="D1894" s="138" t="str">
        <f>VLOOKUP(Purchase[[#This Row],[Supplier ID]],Supplier[#All],2,0)</f>
        <v>National Distributors</v>
      </c>
      <c r="E1894" s="138">
        <f>VLOOKUP(Purchase[[#This Row],[Supplier ID]],Supplier[#All],3,0)</f>
        <v>9689542453</v>
      </c>
      <c r="F1894" s="138" t="str">
        <f>VLOOKUP(Purchase[[#This Row],[Supplier ID]],Supplier[#All],4,0)</f>
        <v>Korba</v>
      </c>
      <c r="G1894" s="138" t="str">
        <f>VLOOKUP(Purchase[[#This Row],[Supplier ID]],Supplier[#All],5,0)</f>
        <v>CG</v>
      </c>
      <c r="H1894" s="138" t="str">
        <f>VLOOKUP(Purchase[[#This Row],[Supplier ID]],Supplier[#All],6,0)</f>
        <v>GST2154521T015</v>
      </c>
      <c r="I1894" s="138" t="s">
        <v>161</v>
      </c>
      <c r="J1894" s="139">
        <v>22</v>
      </c>
      <c r="K1894" s="143">
        <f>VLOOKUP(Purchase[[#This Row],[Product ID]],Product[#All],6,0)</f>
        <v>1064</v>
      </c>
      <c r="L1894" s="143">
        <f>Purchase[[#This Row],[Purchase Rate]]*Purchase[[#This Row],[Qty]]</f>
        <v>23408</v>
      </c>
      <c r="M1894" s="140">
        <v>0</v>
      </c>
      <c r="N1894" s="143">
        <v>0</v>
      </c>
      <c r="O1894" s="140">
        <v>0.18</v>
      </c>
      <c r="P1894" s="145">
        <f>(Purchase[[#This Row],[Gross Amount]]-Purchase[[#This Row],[Disct %]])*Purchase[[#This Row],[GST %]]</f>
        <v>4213.4399999999996</v>
      </c>
      <c r="Q1894" s="145">
        <f>Purchase[[#This Row],[Gross Amount]]-Purchase[[#This Row],[Disct Amnt]]+Purchase[[#This Row],[GST Amount]]</f>
        <v>27621.439999999999</v>
      </c>
      <c r="R1894" s="138" t="s">
        <v>1019</v>
      </c>
      <c r="S1894" s="41">
        <f>IF(Purchase[[#This Row],[Status]]="Cancelled",0,Purchase[[#This Row],[Qty]])</f>
        <v>22</v>
      </c>
      <c r="T1894" s="146">
        <f>IF(Purchase[[#This Row],[Status]]="Cancelled",0,Purchase[[#This Row],[Total Amount]])</f>
        <v>27621.439999999999</v>
      </c>
      <c r="U1894" s="146">
        <f>SUM(Purchase[Net Amount])</f>
        <v>814985438.68000126</v>
      </c>
    </row>
    <row r="1895" spans="1:21" ht="19.5" thickBot="1" x14ac:dyDescent="0.3">
      <c r="A1895" s="136" t="s">
        <v>2951</v>
      </c>
      <c r="B1895" s="137">
        <v>45750</v>
      </c>
      <c r="C1895" s="138" t="s">
        <v>571</v>
      </c>
      <c r="D1895" s="138" t="str">
        <f>VLOOKUP(Purchase[[#This Row],[Supplier ID]],Supplier[#All],2,0)</f>
        <v>Tech Suppliers</v>
      </c>
      <c r="E1895" s="138">
        <f>VLOOKUP(Purchase[[#This Row],[Supplier ID]],Supplier[#All],3,0)</f>
        <v>9689542457</v>
      </c>
      <c r="F1895" s="138" t="str">
        <f>VLOOKUP(Purchase[[#This Row],[Supplier ID]],Supplier[#All],4,0)</f>
        <v>Korba</v>
      </c>
      <c r="G1895" s="138" t="str">
        <f>VLOOKUP(Purchase[[#This Row],[Supplier ID]],Supplier[#All],5,0)</f>
        <v>CG</v>
      </c>
      <c r="H1895" s="138" t="str">
        <f>VLOOKUP(Purchase[[#This Row],[Supplier ID]],Supplier[#All],6,0)</f>
        <v>GST2154521T019</v>
      </c>
      <c r="I1895" s="138" t="s">
        <v>409</v>
      </c>
      <c r="J1895" s="139">
        <v>19</v>
      </c>
      <c r="K1895" s="143">
        <f>VLOOKUP(Purchase[[#This Row],[Product ID]],Product[#All],6,0)</f>
        <v>644</v>
      </c>
      <c r="L1895" s="143">
        <f>Purchase[[#This Row],[Purchase Rate]]*Purchase[[#This Row],[Qty]]</f>
        <v>12236</v>
      </c>
      <c r="M1895" s="140">
        <v>0</v>
      </c>
      <c r="N1895" s="143">
        <v>0</v>
      </c>
      <c r="O1895" s="140">
        <v>0.18</v>
      </c>
      <c r="P1895" s="145">
        <f>(Purchase[[#This Row],[Gross Amount]]-Purchase[[#This Row],[Disct %]])*Purchase[[#This Row],[GST %]]</f>
        <v>2202.48</v>
      </c>
      <c r="Q1895" s="145">
        <f>Purchase[[#This Row],[Gross Amount]]-Purchase[[#This Row],[Disct Amnt]]+Purchase[[#This Row],[GST Amount]]</f>
        <v>14438.48</v>
      </c>
      <c r="R1895" s="138" t="s">
        <v>1019</v>
      </c>
      <c r="S1895" s="41">
        <f>IF(Purchase[[#This Row],[Status]]="Cancelled",0,Purchase[[#This Row],[Qty]])</f>
        <v>19</v>
      </c>
      <c r="T1895" s="146">
        <f>IF(Purchase[[#This Row],[Status]]="Cancelled",0,Purchase[[#This Row],[Total Amount]])</f>
        <v>14438.48</v>
      </c>
      <c r="U1895" s="146">
        <f>SUM(Purchase[Net Amount])</f>
        <v>814985438.68000126</v>
      </c>
    </row>
    <row r="1896" spans="1:21" ht="19.5" thickBot="1" x14ac:dyDescent="0.3">
      <c r="A1896" s="136" t="s">
        <v>2952</v>
      </c>
      <c r="B1896" s="137">
        <v>45750</v>
      </c>
      <c r="C1896" s="138" t="s">
        <v>583</v>
      </c>
      <c r="D1896" s="138" t="str">
        <f>VLOOKUP(Purchase[[#This Row],[Supplier ID]],Supplier[#All],2,0)</f>
        <v>Shree Distributors</v>
      </c>
      <c r="E1896" s="138">
        <f>VLOOKUP(Purchase[[#This Row],[Supplier ID]],Supplier[#All],3,0)</f>
        <v>9689542467</v>
      </c>
      <c r="F1896" s="138" t="str">
        <f>VLOOKUP(Purchase[[#This Row],[Supplier ID]],Supplier[#All],4,0)</f>
        <v>Indore</v>
      </c>
      <c r="G1896" s="138" t="str">
        <f>VLOOKUP(Purchase[[#This Row],[Supplier ID]],Supplier[#All],5,0)</f>
        <v>MP</v>
      </c>
      <c r="H1896" s="138" t="str">
        <f>VLOOKUP(Purchase[[#This Row],[Supplier ID]],Supplier[#All],6,0)</f>
        <v>GST2154521T029</v>
      </c>
      <c r="I1896" s="138" t="s">
        <v>366</v>
      </c>
      <c r="J1896" s="139">
        <v>13</v>
      </c>
      <c r="K1896" s="143">
        <f>VLOOKUP(Purchase[[#This Row],[Product ID]],Product[#All],6,0)</f>
        <v>3896</v>
      </c>
      <c r="L1896" s="143">
        <f>Purchase[[#This Row],[Purchase Rate]]*Purchase[[#This Row],[Qty]]</f>
        <v>50648</v>
      </c>
      <c r="M1896" s="140">
        <v>0</v>
      </c>
      <c r="N1896" s="143">
        <v>0</v>
      </c>
      <c r="O1896" s="140">
        <v>0.18</v>
      </c>
      <c r="P1896" s="145">
        <f>(Purchase[[#This Row],[Gross Amount]]-Purchase[[#This Row],[Disct %]])*Purchase[[#This Row],[GST %]]</f>
        <v>9116.64</v>
      </c>
      <c r="Q1896" s="145">
        <f>Purchase[[#This Row],[Gross Amount]]-Purchase[[#This Row],[Disct Amnt]]+Purchase[[#This Row],[GST Amount]]</f>
        <v>59764.639999999999</v>
      </c>
      <c r="R1896" s="138" t="s">
        <v>1019</v>
      </c>
      <c r="S1896" s="41">
        <f>IF(Purchase[[#This Row],[Status]]="Cancelled",0,Purchase[[#This Row],[Qty]])</f>
        <v>13</v>
      </c>
      <c r="T1896" s="146">
        <f>IF(Purchase[[#This Row],[Status]]="Cancelled",0,Purchase[[#This Row],[Total Amount]])</f>
        <v>59764.639999999999</v>
      </c>
      <c r="U1896" s="146">
        <f>SUM(Purchase[Net Amount])</f>
        <v>814985438.68000126</v>
      </c>
    </row>
    <row r="1897" spans="1:21" ht="19.5" thickBot="1" x14ac:dyDescent="0.3">
      <c r="A1897" s="136" t="s">
        <v>2953</v>
      </c>
      <c r="B1897" s="137">
        <v>45750</v>
      </c>
      <c r="C1897" s="138" t="s">
        <v>587</v>
      </c>
      <c r="D1897" s="138" t="str">
        <f>VLOOKUP(Purchase[[#This Row],[Supplier ID]],Supplier[#All],2,0)</f>
        <v>maa distributors</v>
      </c>
      <c r="E1897" s="138">
        <f>VLOOKUP(Purchase[[#This Row],[Supplier ID]],Supplier[#All],3,0)</f>
        <v>9689542479</v>
      </c>
      <c r="F1897" s="138" t="str">
        <f>VLOOKUP(Purchase[[#This Row],[Supplier ID]],Supplier[#All],4,0)</f>
        <v>Indore</v>
      </c>
      <c r="G1897" s="138" t="str">
        <f>VLOOKUP(Purchase[[#This Row],[Supplier ID]],Supplier[#All],5,0)</f>
        <v>MP</v>
      </c>
      <c r="H1897" s="138" t="str">
        <f>VLOOKUP(Purchase[[#This Row],[Supplier ID]],Supplier[#All],6,0)</f>
        <v>GST2154521T033</v>
      </c>
      <c r="I1897" s="138" t="s">
        <v>302</v>
      </c>
      <c r="J1897" s="139">
        <v>31</v>
      </c>
      <c r="K1897" s="143">
        <f>VLOOKUP(Purchase[[#This Row],[Product ID]],Product[#All],6,0)</f>
        <v>2021</v>
      </c>
      <c r="L1897" s="143">
        <f>Purchase[[#This Row],[Purchase Rate]]*Purchase[[#This Row],[Qty]]</f>
        <v>62651</v>
      </c>
      <c r="M1897" s="140">
        <v>0</v>
      </c>
      <c r="N1897" s="143">
        <v>0</v>
      </c>
      <c r="O1897" s="140">
        <v>0.18</v>
      </c>
      <c r="P1897" s="145">
        <f>(Purchase[[#This Row],[Gross Amount]]-Purchase[[#This Row],[Disct %]])*Purchase[[#This Row],[GST %]]</f>
        <v>11277.18</v>
      </c>
      <c r="Q1897" s="145">
        <f>Purchase[[#This Row],[Gross Amount]]-Purchase[[#This Row],[Disct Amnt]]+Purchase[[#This Row],[GST Amount]]</f>
        <v>73928.179999999993</v>
      </c>
      <c r="R1897" s="138" t="s">
        <v>1019</v>
      </c>
      <c r="S1897" s="41">
        <f>IF(Purchase[[#This Row],[Status]]="Cancelled",0,Purchase[[#This Row],[Qty]])</f>
        <v>31</v>
      </c>
      <c r="T1897" s="146">
        <f>IF(Purchase[[#This Row],[Status]]="Cancelled",0,Purchase[[#This Row],[Total Amount]])</f>
        <v>73928.179999999993</v>
      </c>
      <c r="U1897" s="146">
        <f>SUM(Purchase[Net Amount])</f>
        <v>814985438.68000126</v>
      </c>
    </row>
    <row r="1898" spans="1:21" ht="19.5" thickBot="1" x14ac:dyDescent="0.3">
      <c r="A1898" s="136" t="s">
        <v>2954</v>
      </c>
      <c r="B1898" s="137">
        <v>45750</v>
      </c>
      <c r="C1898" s="138" t="s">
        <v>594</v>
      </c>
      <c r="D1898" s="138" t="str">
        <f>VLOOKUP(Purchase[[#This Row],[Supplier ID]],Supplier[#All],2,0)</f>
        <v>Shree Suppliers</v>
      </c>
      <c r="E1898" s="138">
        <f>VLOOKUP(Purchase[[#This Row],[Supplier ID]],Supplier[#All],3,0)</f>
        <v>9689542477</v>
      </c>
      <c r="F1898" s="138" t="str">
        <f>VLOOKUP(Purchase[[#This Row],[Supplier ID]],Supplier[#All],4,0)</f>
        <v>Indore</v>
      </c>
      <c r="G1898" s="138" t="str">
        <f>VLOOKUP(Purchase[[#This Row],[Supplier ID]],Supplier[#All],5,0)</f>
        <v>MP</v>
      </c>
      <c r="H1898" s="138" t="str">
        <f>VLOOKUP(Purchase[[#This Row],[Supplier ID]],Supplier[#All],6,0)</f>
        <v>GST2154521T039</v>
      </c>
      <c r="I1898" s="138" t="s">
        <v>262</v>
      </c>
      <c r="J1898" s="139">
        <v>14</v>
      </c>
      <c r="K1898" s="143">
        <f>VLOOKUP(Purchase[[#This Row],[Product ID]],Product[#All],6,0)</f>
        <v>2712</v>
      </c>
      <c r="L1898" s="143">
        <f>Purchase[[#This Row],[Purchase Rate]]*Purchase[[#This Row],[Qty]]</f>
        <v>37968</v>
      </c>
      <c r="M1898" s="140">
        <v>0</v>
      </c>
      <c r="N1898" s="143">
        <v>0</v>
      </c>
      <c r="O1898" s="140">
        <v>0.18</v>
      </c>
      <c r="P1898" s="145">
        <f>(Purchase[[#This Row],[Gross Amount]]-Purchase[[#This Row],[Disct %]])*Purchase[[#This Row],[GST %]]</f>
        <v>6834.24</v>
      </c>
      <c r="Q1898" s="145">
        <f>Purchase[[#This Row],[Gross Amount]]-Purchase[[#This Row],[Disct Amnt]]+Purchase[[#This Row],[GST Amount]]</f>
        <v>44802.239999999998</v>
      </c>
      <c r="R1898" s="138" t="s">
        <v>1019</v>
      </c>
      <c r="S1898" s="41">
        <f>IF(Purchase[[#This Row],[Status]]="Cancelled",0,Purchase[[#This Row],[Qty]])</f>
        <v>14</v>
      </c>
      <c r="T1898" s="146">
        <f>IF(Purchase[[#This Row],[Status]]="Cancelled",0,Purchase[[#This Row],[Total Amount]])</f>
        <v>44802.239999999998</v>
      </c>
      <c r="U1898" s="146">
        <f>SUM(Purchase[Net Amount])</f>
        <v>814985438.68000126</v>
      </c>
    </row>
    <row r="1899" spans="1:21" ht="19.5" thickBot="1" x14ac:dyDescent="0.3">
      <c r="A1899" s="136" t="s">
        <v>2955</v>
      </c>
      <c r="B1899" s="137">
        <v>45750</v>
      </c>
      <c r="C1899" s="138" t="s">
        <v>596</v>
      </c>
      <c r="D1899" s="138" t="str">
        <f>VLOOKUP(Purchase[[#This Row],[Supplier ID]],Supplier[#All],2,0)</f>
        <v>star traders</v>
      </c>
      <c r="E1899" s="138">
        <f>VLOOKUP(Purchase[[#This Row],[Supplier ID]],Supplier[#All],3,0)</f>
        <v>9689542479</v>
      </c>
      <c r="F1899" s="138" t="str">
        <f>VLOOKUP(Purchase[[#This Row],[Supplier ID]],Supplier[#All],4,0)</f>
        <v>Korba</v>
      </c>
      <c r="G1899" s="138" t="str">
        <f>VLOOKUP(Purchase[[#This Row],[Supplier ID]],Supplier[#All],5,0)</f>
        <v>CG</v>
      </c>
      <c r="H1899" s="138" t="str">
        <f>VLOOKUP(Purchase[[#This Row],[Supplier ID]],Supplier[#All],6,0)</f>
        <v>GST2154521T041</v>
      </c>
      <c r="I1899" s="138" t="s">
        <v>104</v>
      </c>
      <c r="J1899" s="139">
        <v>11</v>
      </c>
      <c r="K1899" s="143">
        <f>VLOOKUP(Purchase[[#This Row],[Product ID]],Product[#All],6,0)</f>
        <v>39369</v>
      </c>
      <c r="L1899" s="143">
        <f>Purchase[[#This Row],[Purchase Rate]]*Purchase[[#This Row],[Qty]]</f>
        <v>433059</v>
      </c>
      <c r="M1899" s="140">
        <v>0</v>
      </c>
      <c r="N1899" s="143">
        <v>0</v>
      </c>
      <c r="O1899" s="140">
        <v>0.18</v>
      </c>
      <c r="P1899" s="145">
        <f>(Purchase[[#This Row],[Gross Amount]]-Purchase[[#This Row],[Disct %]])*Purchase[[#This Row],[GST %]]</f>
        <v>77950.62</v>
      </c>
      <c r="Q1899" s="145">
        <f>Purchase[[#This Row],[Gross Amount]]-Purchase[[#This Row],[Disct Amnt]]+Purchase[[#This Row],[GST Amount]]</f>
        <v>511009.62</v>
      </c>
      <c r="R1899" s="138" t="s">
        <v>1019</v>
      </c>
      <c r="S1899" s="41">
        <f>IF(Purchase[[#This Row],[Status]]="Cancelled",0,Purchase[[#This Row],[Qty]])</f>
        <v>11</v>
      </c>
      <c r="T1899" s="146">
        <f>IF(Purchase[[#This Row],[Status]]="Cancelled",0,Purchase[[#This Row],[Total Amount]])</f>
        <v>511009.62</v>
      </c>
      <c r="U1899" s="146">
        <f>SUM(Purchase[Net Amount])</f>
        <v>814985438.68000126</v>
      </c>
    </row>
    <row r="1900" spans="1:21" ht="19.5" thickBot="1" x14ac:dyDescent="0.3">
      <c r="A1900" s="136" t="s">
        <v>2956</v>
      </c>
      <c r="B1900" s="137">
        <v>45750</v>
      </c>
      <c r="C1900" s="138" t="s">
        <v>615</v>
      </c>
      <c r="D1900" s="138" t="str">
        <f>VLOOKUP(Purchase[[#This Row],[Supplier ID]],Supplier[#All],2,0)</f>
        <v>NATIONAL ELECTRONICS</v>
      </c>
      <c r="E1900" s="138">
        <f>VLOOKUP(Purchase[[#This Row],[Supplier ID]],Supplier[#All],3,0)</f>
        <v>9689542498</v>
      </c>
      <c r="F1900" s="138" t="str">
        <f>VLOOKUP(Purchase[[#This Row],[Supplier ID]],Supplier[#All],4,0)</f>
        <v>Kanpur</v>
      </c>
      <c r="G1900" s="138" t="str">
        <f>VLOOKUP(Purchase[[#This Row],[Supplier ID]],Supplier[#All],5,0)</f>
        <v>UP</v>
      </c>
      <c r="H1900" s="138" t="str">
        <f>VLOOKUP(Purchase[[#This Row],[Supplier ID]],Supplier[#All],6,0)</f>
        <v>GST2154521T060</v>
      </c>
      <c r="I1900" s="138" t="s">
        <v>525</v>
      </c>
      <c r="J1900" s="139">
        <v>24</v>
      </c>
      <c r="K1900" s="143">
        <f>VLOOKUP(Purchase[[#This Row],[Product ID]],Product[#All],6,0)</f>
        <v>1570</v>
      </c>
      <c r="L1900" s="143">
        <f>Purchase[[#This Row],[Purchase Rate]]*Purchase[[#This Row],[Qty]]</f>
        <v>37680</v>
      </c>
      <c r="M1900" s="140">
        <v>0</v>
      </c>
      <c r="N1900" s="143">
        <v>0</v>
      </c>
      <c r="O1900" s="140">
        <v>0.18</v>
      </c>
      <c r="P1900" s="145">
        <f>(Purchase[[#This Row],[Gross Amount]]-Purchase[[#This Row],[Disct %]])*Purchase[[#This Row],[GST %]]</f>
        <v>6782.4</v>
      </c>
      <c r="Q1900" s="145">
        <f>Purchase[[#This Row],[Gross Amount]]-Purchase[[#This Row],[Disct Amnt]]+Purchase[[#This Row],[GST Amount]]</f>
        <v>44462.400000000001</v>
      </c>
      <c r="R1900" s="138" t="s">
        <v>1019</v>
      </c>
      <c r="S1900" s="41">
        <f>IF(Purchase[[#This Row],[Status]]="Cancelled",0,Purchase[[#This Row],[Qty]])</f>
        <v>24</v>
      </c>
      <c r="T1900" s="146">
        <f>IF(Purchase[[#This Row],[Status]]="Cancelled",0,Purchase[[#This Row],[Total Amount]])</f>
        <v>44462.400000000001</v>
      </c>
      <c r="U1900" s="146">
        <f>SUM(Purchase[Net Amount])</f>
        <v>814985438.68000126</v>
      </c>
    </row>
    <row r="1901" spans="1:21" ht="19.5" thickBot="1" x14ac:dyDescent="0.3">
      <c r="A1901" s="136" t="s">
        <v>2957</v>
      </c>
      <c r="B1901" s="137">
        <v>45750</v>
      </c>
      <c r="C1901" s="138" t="s">
        <v>573</v>
      </c>
      <c r="D1901" s="138" t="str">
        <f>VLOOKUP(Purchase[[#This Row],[Supplier ID]],Supplier[#All],2,0)</f>
        <v>Shree Traders</v>
      </c>
      <c r="E1901" s="138">
        <f>VLOOKUP(Purchase[[#This Row],[Supplier ID]],Supplier[#All],3,0)</f>
        <v>9689542458</v>
      </c>
      <c r="F1901" s="138" t="str">
        <f>VLOOKUP(Purchase[[#This Row],[Supplier ID]],Supplier[#All],4,0)</f>
        <v>Korba</v>
      </c>
      <c r="G1901" s="138" t="str">
        <f>VLOOKUP(Purchase[[#This Row],[Supplier ID]],Supplier[#All],5,0)</f>
        <v>CG</v>
      </c>
      <c r="H1901" s="138" t="str">
        <f>VLOOKUP(Purchase[[#This Row],[Supplier ID]],Supplier[#All],6,0)</f>
        <v>GST2154521T020</v>
      </c>
      <c r="I1901" s="138" t="s">
        <v>455</v>
      </c>
      <c r="J1901" s="139">
        <v>26</v>
      </c>
      <c r="K1901" s="143">
        <f>VLOOKUP(Purchase[[#This Row],[Product ID]],Product[#All],6,0)</f>
        <v>11737</v>
      </c>
      <c r="L1901" s="143">
        <f>Purchase[[#This Row],[Purchase Rate]]*Purchase[[#This Row],[Qty]]</f>
        <v>305162</v>
      </c>
      <c r="M1901" s="140">
        <v>0</v>
      </c>
      <c r="N1901" s="143">
        <v>0</v>
      </c>
      <c r="O1901" s="140">
        <v>0.18</v>
      </c>
      <c r="P1901" s="145">
        <f>(Purchase[[#This Row],[Gross Amount]]-Purchase[[#This Row],[Disct %]])*Purchase[[#This Row],[GST %]]</f>
        <v>54929.159999999996</v>
      </c>
      <c r="Q1901" s="145">
        <f>Purchase[[#This Row],[Gross Amount]]-Purchase[[#This Row],[Disct Amnt]]+Purchase[[#This Row],[GST Amount]]</f>
        <v>360091.16</v>
      </c>
      <c r="R1901" s="138" t="s">
        <v>1019</v>
      </c>
      <c r="S1901" s="41">
        <f>IF(Purchase[[#This Row],[Status]]="Cancelled",0,Purchase[[#This Row],[Qty]])</f>
        <v>26</v>
      </c>
      <c r="T1901" s="146">
        <f>IF(Purchase[[#This Row],[Status]]="Cancelled",0,Purchase[[#This Row],[Total Amount]])</f>
        <v>360091.16</v>
      </c>
      <c r="U1901" s="146">
        <f>SUM(Purchase[Net Amount])</f>
        <v>814985438.68000126</v>
      </c>
    </row>
    <row r="1902" spans="1:21" ht="19.5" thickBot="1" x14ac:dyDescent="0.3">
      <c r="A1902" s="136" t="s">
        <v>2958</v>
      </c>
      <c r="B1902" s="137">
        <v>45751</v>
      </c>
      <c r="C1902" s="138" t="s">
        <v>605</v>
      </c>
      <c r="D1902" s="138" t="str">
        <f>VLOOKUP(Purchase[[#This Row],[Supplier ID]],Supplier[#All],2,0)</f>
        <v>Star Traders</v>
      </c>
      <c r="E1902" s="138">
        <f>VLOOKUP(Purchase[[#This Row],[Supplier ID]],Supplier[#All],3,0)</f>
        <v>9689542488</v>
      </c>
      <c r="F1902" s="138" t="str">
        <f>VLOOKUP(Purchase[[#This Row],[Supplier ID]],Supplier[#All],4,0)</f>
        <v>Indore</v>
      </c>
      <c r="G1902" s="138" t="str">
        <f>VLOOKUP(Purchase[[#This Row],[Supplier ID]],Supplier[#All],5,0)</f>
        <v>MP</v>
      </c>
      <c r="H1902" s="138" t="str">
        <f>VLOOKUP(Purchase[[#This Row],[Supplier ID]],Supplier[#All],6,0)</f>
        <v>GST2154521T050</v>
      </c>
      <c r="I1902" s="138" t="s">
        <v>408</v>
      </c>
      <c r="J1902" s="139">
        <v>40</v>
      </c>
      <c r="K1902" s="143">
        <f>VLOOKUP(Purchase[[#This Row],[Product ID]],Product[#All],6,0)</f>
        <v>79437</v>
      </c>
      <c r="L1902" s="143">
        <f>Purchase[[#This Row],[Purchase Rate]]*Purchase[[#This Row],[Qty]]</f>
        <v>3177480</v>
      </c>
      <c r="M1902" s="140">
        <v>0</v>
      </c>
      <c r="N1902" s="143">
        <v>0</v>
      </c>
      <c r="O1902" s="140">
        <v>0.18</v>
      </c>
      <c r="P1902" s="145">
        <f>(Purchase[[#This Row],[Gross Amount]]-Purchase[[#This Row],[Disct %]])*Purchase[[#This Row],[GST %]]</f>
        <v>571946.4</v>
      </c>
      <c r="Q1902" s="145">
        <f>Purchase[[#This Row],[Gross Amount]]-Purchase[[#This Row],[Disct Amnt]]+Purchase[[#This Row],[GST Amount]]</f>
        <v>3749426.4</v>
      </c>
      <c r="R1902" s="138" t="s">
        <v>1019</v>
      </c>
      <c r="S1902" s="41">
        <f>IF(Purchase[[#This Row],[Status]]="Cancelled",0,Purchase[[#This Row],[Qty]])</f>
        <v>40</v>
      </c>
      <c r="T1902" s="146">
        <f>IF(Purchase[[#This Row],[Status]]="Cancelled",0,Purchase[[#This Row],[Total Amount]])</f>
        <v>3749426.4</v>
      </c>
      <c r="U1902" s="146">
        <f>SUM(Purchase[Net Amount])</f>
        <v>814985438.68000126</v>
      </c>
    </row>
    <row r="1903" spans="1:21" ht="19.5" thickBot="1" x14ac:dyDescent="0.3">
      <c r="A1903" s="136" t="s">
        <v>2959</v>
      </c>
      <c r="B1903" s="137">
        <v>45751</v>
      </c>
      <c r="C1903" s="138" t="s">
        <v>607</v>
      </c>
      <c r="D1903" s="138" t="str">
        <f>VLOOKUP(Purchase[[#This Row],[Supplier ID]],Supplier[#All],2,0)</f>
        <v>Global Distributors</v>
      </c>
      <c r="E1903" s="138">
        <f>VLOOKUP(Purchase[[#This Row],[Supplier ID]],Supplier[#All],3,0)</f>
        <v>9689542490</v>
      </c>
      <c r="F1903" s="138" t="str">
        <f>VLOOKUP(Purchase[[#This Row],[Supplier ID]],Supplier[#All],4,0)</f>
        <v>Kanpur</v>
      </c>
      <c r="G1903" s="138" t="str">
        <f>VLOOKUP(Purchase[[#This Row],[Supplier ID]],Supplier[#All],5,0)</f>
        <v>UP</v>
      </c>
      <c r="H1903" s="138" t="str">
        <f>VLOOKUP(Purchase[[#This Row],[Supplier ID]],Supplier[#All],6,0)</f>
        <v>GST2154521T052</v>
      </c>
      <c r="I1903" s="138" t="s">
        <v>489</v>
      </c>
      <c r="J1903" s="139">
        <v>23</v>
      </c>
      <c r="K1903" s="143">
        <f>VLOOKUP(Purchase[[#This Row],[Product ID]],Product[#All],6,0)</f>
        <v>6471</v>
      </c>
      <c r="L1903" s="143">
        <f>Purchase[[#This Row],[Purchase Rate]]*Purchase[[#This Row],[Qty]]</f>
        <v>148833</v>
      </c>
      <c r="M1903" s="140">
        <v>0</v>
      </c>
      <c r="N1903" s="143">
        <v>0</v>
      </c>
      <c r="O1903" s="140">
        <v>0.18</v>
      </c>
      <c r="P1903" s="145">
        <f>(Purchase[[#This Row],[Gross Amount]]-Purchase[[#This Row],[Disct %]])*Purchase[[#This Row],[GST %]]</f>
        <v>26789.94</v>
      </c>
      <c r="Q1903" s="145">
        <f>Purchase[[#This Row],[Gross Amount]]-Purchase[[#This Row],[Disct Amnt]]+Purchase[[#This Row],[GST Amount]]</f>
        <v>175622.94</v>
      </c>
      <c r="R1903" s="138" t="s">
        <v>1019</v>
      </c>
      <c r="S1903" s="41">
        <f>IF(Purchase[[#This Row],[Status]]="Cancelled",0,Purchase[[#This Row],[Qty]])</f>
        <v>23</v>
      </c>
      <c r="T1903" s="146">
        <f>IF(Purchase[[#This Row],[Status]]="Cancelled",0,Purchase[[#This Row],[Total Amount]])</f>
        <v>175622.94</v>
      </c>
      <c r="U1903" s="146">
        <f>SUM(Purchase[Net Amount])</f>
        <v>814985438.68000126</v>
      </c>
    </row>
    <row r="1904" spans="1:21" ht="19.5" thickBot="1" x14ac:dyDescent="0.3">
      <c r="A1904" s="136" t="s">
        <v>2960</v>
      </c>
      <c r="B1904" s="137">
        <v>45751</v>
      </c>
      <c r="C1904" s="138" t="s">
        <v>593</v>
      </c>
      <c r="D1904" s="138" t="str">
        <f>VLOOKUP(Purchase[[#This Row],[Supplier ID]],Supplier[#All],2,0)</f>
        <v>Global Suppliers</v>
      </c>
      <c r="E1904" s="138">
        <f>VLOOKUP(Purchase[[#This Row],[Supplier ID]],Supplier[#All],3,0)</f>
        <v>9689542476</v>
      </c>
      <c r="F1904" s="138" t="str">
        <f>VLOOKUP(Purchase[[#This Row],[Supplier ID]],Supplier[#All],4,0)</f>
        <v>Korba</v>
      </c>
      <c r="G1904" s="138" t="str">
        <f>VLOOKUP(Purchase[[#This Row],[Supplier ID]],Supplier[#All],5,0)</f>
        <v>CG</v>
      </c>
      <c r="H1904" s="138" t="str">
        <f>VLOOKUP(Purchase[[#This Row],[Supplier ID]],Supplier[#All],6,0)</f>
        <v>GST2154521T038</v>
      </c>
      <c r="I1904" s="138" t="s">
        <v>204</v>
      </c>
      <c r="J1904" s="139">
        <v>34</v>
      </c>
      <c r="K1904" s="143">
        <f>VLOOKUP(Purchase[[#This Row],[Product ID]],Product[#All],6,0)</f>
        <v>33533</v>
      </c>
      <c r="L1904" s="143">
        <f>Purchase[[#This Row],[Purchase Rate]]*Purchase[[#This Row],[Qty]]</f>
        <v>1140122</v>
      </c>
      <c r="M1904" s="140">
        <v>0</v>
      </c>
      <c r="N1904" s="143">
        <v>0</v>
      </c>
      <c r="O1904" s="140">
        <v>0.18</v>
      </c>
      <c r="P1904" s="145">
        <f>(Purchase[[#This Row],[Gross Amount]]-Purchase[[#This Row],[Disct %]])*Purchase[[#This Row],[GST %]]</f>
        <v>205221.96</v>
      </c>
      <c r="Q1904" s="145">
        <f>Purchase[[#This Row],[Gross Amount]]-Purchase[[#This Row],[Disct Amnt]]+Purchase[[#This Row],[GST Amount]]</f>
        <v>1345343.96</v>
      </c>
      <c r="R1904" s="138" t="s">
        <v>1019</v>
      </c>
      <c r="S1904" s="41">
        <f>IF(Purchase[[#This Row],[Status]]="Cancelled",0,Purchase[[#This Row],[Qty]])</f>
        <v>34</v>
      </c>
      <c r="T1904" s="146">
        <f>IF(Purchase[[#This Row],[Status]]="Cancelled",0,Purchase[[#This Row],[Total Amount]])</f>
        <v>1345343.96</v>
      </c>
      <c r="U1904" s="146">
        <f>SUM(Purchase[Net Amount])</f>
        <v>814985438.68000126</v>
      </c>
    </row>
    <row r="1905" spans="1:21" ht="19.5" thickBot="1" x14ac:dyDescent="0.3">
      <c r="A1905" s="136" t="s">
        <v>2961</v>
      </c>
      <c r="B1905" s="137">
        <v>45751</v>
      </c>
      <c r="C1905" s="138" t="s">
        <v>595</v>
      </c>
      <c r="D1905" s="138" t="str">
        <f>VLOOKUP(Purchase[[#This Row],[Supplier ID]],Supplier[#All],2,0)</f>
        <v>Star Computers</v>
      </c>
      <c r="E1905" s="138">
        <f>VLOOKUP(Purchase[[#This Row],[Supplier ID]],Supplier[#All],3,0)</f>
        <v>9689542478</v>
      </c>
      <c r="F1905" s="138" t="str">
        <f>VLOOKUP(Purchase[[#This Row],[Supplier ID]],Supplier[#All],4,0)</f>
        <v>Kanpur</v>
      </c>
      <c r="G1905" s="138" t="str">
        <f>VLOOKUP(Purchase[[#This Row],[Supplier ID]],Supplier[#All],5,0)</f>
        <v>UP</v>
      </c>
      <c r="H1905" s="138" t="str">
        <f>VLOOKUP(Purchase[[#This Row],[Supplier ID]],Supplier[#All],6,0)</f>
        <v>GST2154521T040</v>
      </c>
      <c r="I1905" s="138" t="s">
        <v>250</v>
      </c>
      <c r="J1905" s="139">
        <v>16</v>
      </c>
      <c r="K1905" s="143">
        <f>VLOOKUP(Purchase[[#This Row],[Product ID]],Product[#All],6,0)</f>
        <v>10586</v>
      </c>
      <c r="L1905" s="143">
        <f>Purchase[[#This Row],[Purchase Rate]]*Purchase[[#This Row],[Qty]]</f>
        <v>169376</v>
      </c>
      <c r="M1905" s="140">
        <v>0</v>
      </c>
      <c r="N1905" s="143">
        <v>0</v>
      </c>
      <c r="O1905" s="140">
        <v>0.18</v>
      </c>
      <c r="P1905" s="145">
        <f>(Purchase[[#This Row],[Gross Amount]]-Purchase[[#This Row],[Disct %]])*Purchase[[#This Row],[GST %]]</f>
        <v>30487.68</v>
      </c>
      <c r="Q1905" s="145">
        <f>Purchase[[#This Row],[Gross Amount]]-Purchase[[#This Row],[Disct Amnt]]+Purchase[[#This Row],[GST Amount]]</f>
        <v>199863.67999999999</v>
      </c>
      <c r="R1905" s="138" t="s">
        <v>1019</v>
      </c>
      <c r="S1905" s="41">
        <f>IF(Purchase[[#This Row],[Status]]="Cancelled",0,Purchase[[#This Row],[Qty]])</f>
        <v>16</v>
      </c>
      <c r="T1905" s="146">
        <f>IF(Purchase[[#This Row],[Status]]="Cancelled",0,Purchase[[#This Row],[Total Amount]])</f>
        <v>199863.67999999999</v>
      </c>
      <c r="U1905" s="146">
        <f>SUM(Purchase[Net Amount])</f>
        <v>814985438.68000126</v>
      </c>
    </row>
    <row r="1906" spans="1:21" ht="19.5" thickBot="1" x14ac:dyDescent="0.3">
      <c r="A1906" s="136" t="s">
        <v>2962</v>
      </c>
      <c r="B1906" s="137">
        <v>45751</v>
      </c>
      <c r="C1906" s="138" t="s">
        <v>591</v>
      </c>
      <c r="D1906" s="138" t="str">
        <f>VLOOKUP(Purchase[[#This Row],[Supplier ID]],Supplier[#All],2,0)</f>
        <v>Shree Computers</v>
      </c>
      <c r="E1906" s="138">
        <f>VLOOKUP(Purchase[[#This Row],[Supplier ID]],Supplier[#All],3,0)</f>
        <v>9689542475</v>
      </c>
      <c r="F1906" s="138" t="str">
        <f>VLOOKUP(Purchase[[#This Row],[Supplier ID]],Supplier[#All],4,0)</f>
        <v>Indore</v>
      </c>
      <c r="G1906" s="138" t="str">
        <f>VLOOKUP(Purchase[[#This Row],[Supplier ID]],Supplier[#All],5,0)</f>
        <v>MP</v>
      </c>
      <c r="H1906" s="138" t="str">
        <f>VLOOKUP(Purchase[[#This Row],[Supplier ID]],Supplier[#All],6,0)</f>
        <v>GST2154521T037</v>
      </c>
      <c r="I1906" s="138" t="s">
        <v>423</v>
      </c>
      <c r="J1906" s="139">
        <v>9</v>
      </c>
      <c r="K1906" s="143">
        <f>VLOOKUP(Purchase[[#This Row],[Product ID]],Product[#All],6,0)</f>
        <v>33151</v>
      </c>
      <c r="L1906" s="143">
        <f>Purchase[[#This Row],[Purchase Rate]]*Purchase[[#This Row],[Qty]]</f>
        <v>298359</v>
      </c>
      <c r="M1906" s="140">
        <v>0</v>
      </c>
      <c r="N1906" s="143">
        <v>0</v>
      </c>
      <c r="O1906" s="140">
        <v>0.18</v>
      </c>
      <c r="P1906" s="145">
        <f>(Purchase[[#This Row],[Gross Amount]]-Purchase[[#This Row],[Disct %]])*Purchase[[#This Row],[GST %]]</f>
        <v>53704.619999999995</v>
      </c>
      <c r="Q1906" s="145">
        <f>Purchase[[#This Row],[Gross Amount]]-Purchase[[#This Row],[Disct Amnt]]+Purchase[[#This Row],[GST Amount]]</f>
        <v>352063.62</v>
      </c>
      <c r="R1906" s="138" t="s">
        <v>1019</v>
      </c>
      <c r="S1906" s="41">
        <f>IF(Purchase[[#This Row],[Status]]="Cancelled",0,Purchase[[#This Row],[Qty]])</f>
        <v>9</v>
      </c>
      <c r="T1906" s="146">
        <f>IF(Purchase[[#This Row],[Status]]="Cancelled",0,Purchase[[#This Row],[Total Amount]])</f>
        <v>352063.62</v>
      </c>
      <c r="U1906" s="146">
        <f>SUM(Purchase[Net Amount])</f>
        <v>814985438.68000126</v>
      </c>
    </row>
    <row r="1907" spans="1:21" ht="19.5" thickBot="1" x14ac:dyDescent="0.3">
      <c r="A1907" s="136" t="s">
        <v>2963</v>
      </c>
      <c r="B1907" s="137">
        <v>45751</v>
      </c>
      <c r="C1907" s="138" t="s">
        <v>609</v>
      </c>
      <c r="D1907" s="138" t="str">
        <f>VLOOKUP(Purchase[[#This Row],[Supplier ID]],Supplier[#All],2,0)</f>
        <v>Star Suppliers</v>
      </c>
      <c r="E1907" s="138">
        <f>VLOOKUP(Purchase[[#This Row],[Supplier ID]],Supplier[#All],3,0)</f>
        <v>9689542492</v>
      </c>
      <c r="F1907" s="138" t="str">
        <f>VLOOKUP(Purchase[[#This Row],[Supplier ID]],Supplier[#All],4,0)</f>
        <v>Kanpur</v>
      </c>
      <c r="G1907" s="138" t="str">
        <f>VLOOKUP(Purchase[[#This Row],[Supplier ID]],Supplier[#All],5,0)</f>
        <v>UP</v>
      </c>
      <c r="H1907" s="138" t="str">
        <f>VLOOKUP(Purchase[[#This Row],[Supplier ID]],Supplier[#All],6,0)</f>
        <v>GST2154521T054</v>
      </c>
      <c r="I1907" s="138" t="s">
        <v>541</v>
      </c>
      <c r="J1907" s="139">
        <v>7</v>
      </c>
      <c r="K1907" s="143">
        <f>VLOOKUP(Purchase[[#This Row],[Product ID]],Product[#All],6,0)</f>
        <v>7106</v>
      </c>
      <c r="L1907" s="143">
        <f>Purchase[[#This Row],[Purchase Rate]]*Purchase[[#This Row],[Qty]]</f>
        <v>49742</v>
      </c>
      <c r="M1907" s="140">
        <v>0</v>
      </c>
      <c r="N1907" s="143">
        <v>0</v>
      </c>
      <c r="O1907" s="140">
        <v>0.18</v>
      </c>
      <c r="P1907" s="145">
        <f>(Purchase[[#This Row],[Gross Amount]]-Purchase[[#This Row],[Disct %]])*Purchase[[#This Row],[GST %]]</f>
        <v>8953.56</v>
      </c>
      <c r="Q1907" s="145">
        <f>Purchase[[#This Row],[Gross Amount]]-Purchase[[#This Row],[Disct Amnt]]+Purchase[[#This Row],[GST Amount]]</f>
        <v>58695.56</v>
      </c>
      <c r="R1907" s="138" t="s">
        <v>1019</v>
      </c>
      <c r="S1907" s="41">
        <f>IF(Purchase[[#This Row],[Status]]="Cancelled",0,Purchase[[#This Row],[Qty]])</f>
        <v>7</v>
      </c>
      <c r="T1907" s="146">
        <f>IF(Purchase[[#This Row],[Status]]="Cancelled",0,Purchase[[#This Row],[Total Amount]])</f>
        <v>58695.56</v>
      </c>
      <c r="U1907" s="146">
        <f>SUM(Purchase[Net Amount])</f>
        <v>814985438.68000126</v>
      </c>
    </row>
    <row r="1908" spans="1:21" ht="19.5" thickBot="1" x14ac:dyDescent="0.3">
      <c r="A1908" s="136" t="s">
        <v>2964</v>
      </c>
      <c r="B1908" s="137">
        <v>45751</v>
      </c>
      <c r="C1908" s="138" t="s">
        <v>586</v>
      </c>
      <c r="D1908" s="138" t="str">
        <f>VLOOKUP(Purchase[[#This Row],[Supplier ID]],Supplier[#All],2,0)</f>
        <v>Maa Traders</v>
      </c>
      <c r="E1908" s="138">
        <f>VLOOKUP(Purchase[[#This Row],[Supplier ID]],Supplier[#All],3,0)</f>
        <v>9689542470</v>
      </c>
      <c r="F1908" s="138" t="str">
        <f>VLOOKUP(Purchase[[#This Row],[Supplier ID]],Supplier[#All],4,0)</f>
        <v>Kanpur</v>
      </c>
      <c r="G1908" s="138" t="str">
        <f>VLOOKUP(Purchase[[#This Row],[Supplier ID]],Supplier[#All],5,0)</f>
        <v>UP</v>
      </c>
      <c r="H1908" s="138" t="str">
        <f>VLOOKUP(Purchase[[#This Row],[Supplier ID]],Supplier[#All],6,0)</f>
        <v>GST2154521T032</v>
      </c>
      <c r="I1908" s="138" t="s">
        <v>283</v>
      </c>
      <c r="J1908" s="139">
        <v>21</v>
      </c>
      <c r="K1908" s="143">
        <f>VLOOKUP(Purchase[[#This Row],[Product ID]],Product[#All],6,0)</f>
        <v>28087</v>
      </c>
      <c r="L1908" s="143">
        <f>Purchase[[#This Row],[Purchase Rate]]*Purchase[[#This Row],[Qty]]</f>
        <v>589827</v>
      </c>
      <c r="M1908" s="140">
        <v>0</v>
      </c>
      <c r="N1908" s="143">
        <v>0</v>
      </c>
      <c r="O1908" s="140">
        <v>0.18</v>
      </c>
      <c r="P1908" s="145">
        <f>(Purchase[[#This Row],[Gross Amount]]-Purchase[[#This Row],[Disct %]])*Purchase[[#This Row],[GST %]]</f>
        <v>106168.86</v>
      </c>
      <c r="Q1908" s="145">
        <f>Purchase[[#This Row],[Gross Amount]]-Purchase[[#This Row],[Disct Amnt]]+Purchase[[#This Row],[GST Amount]]</f>
        <v>695995.86</v>
      </c>
      <c r="R1908" s="138" t="s">
        <v>1019</v>
      </c>
      <c r="S1908" s="41">
        <f>IF(Purchase[[#This Row],[Status]]="Cancelled",0,Purchase[[#This Row],[Qty]])</f>
        <v>21</v>
      </c>
      <c r="T1908" s="146">
        <f>IF(Purchase[[#This Row],[Status]]="Cancelled",0,Purchase[[#This Row],[Total Amount]])</f>
        <v>695995.86</v>
      </c>
      <c r="U1908" s="146">
        <f>SUM(Purchase[Net Amount])</f>
        <v>814985438.68000126</v>
      </c>
    </row>
    <row r="1909" spans="1:21" ht="19.5" thickBot="1" x14ac:dyDescent="0.3">
      <c r="A1909" s="136" t="s">
        <v>2965</v>
      </c>
      <c r="B1909" s="137">
        <v>45751</v>
      </c>
      <c r="C1909" s="138" t="s">
        <v>605</v>
      </c>
      <c r="D1909" s="138" t="str">
        <f>VLOOKUP(Purchase[[#This Row],[Supplier ID]],Supplier[#All],2,0)</f>
        <v>Star Traders</v>
      </c>
      <c r="E1909" s="138">
        <f>VLOOKUP(Purchase[[#This Row],[Supplier ID]],Supplier[#All],3,0)</f>
        <v>9689542488</v>
      </c>
      <c r="F1909" s="138" t="str">
        <f>VLOOKUP(Purchase[[#This Row],[Supplier ID]],Supplier[#All],4,0)</f>
        <v>Indore</v>
      </c>
      <c r="G1909" s="138" t="str">
        <f>VLOOKUP(Purchase[[#This Row],[Supplier ID]],Supplier[#All],5,0)</f>
        <v>MP</v>
      </c>
      <c r="H1909" s="138" t="str">
        <f>VLOOKUP(Purchase[[#This Row],[Supplier ID]],Supplier[#All],6,0)</f>
        <v>GST2154521T050</v>
      </c>
      <c r="I1909" s="138" t="s">
        <v>123</v>
      </c>
      <c r="J1909" s="139">
        <v>11</v>
      </c>
      <c r="K1909" s="143">
        <f>VLOOKUP(Purchase[[#This Row],[Product ID]],Product[#All],6,0)</f>
        <v>2142</v>
      </c>
      <c r="L1909" s="143">
        <f>Purchase[[#This Row],[Purchase Rate]]*Purchase[[#This Row],[Qty]]</f>
        <v>23562</v>
      </c>
      <c r="M1909" s="140">
        <v>0</v>
      </c>
      <c r="N1909" s="143">
        <v>0</v>
      </c>
      <c r="O1909" s="140">
        <v>0.18</v>
      </c>
      <c r="P1909" s="145">
        <f>(Purchase[[#This Row],[Gross Amount]]-Purchase[[#This Row],[Disct %]])*Purchase[[#This Row],[GST %]]</f>
        <v>4241.16</v>
      </c>
      <c r="Q1909" s="145">
        <f>Purchase[[#This Row],[Gross Amount]]-Purchase[[#This Row],[Disct Amnt]]+Purchase[[#This Row],[GST Amount]]</f>
        <v>27803.16</v>
      </c>
      <c r="R1909" s="138" t="s">
        <v>1019</v>
      </c>
      <c r="S1909" s="41">
        <f>IF(Purchase[[#This Row],[Status]]="Cancelled",0,Purchase[[#This Row],[Qty]])</f>
        <v>11</v>
      </c>
      <c r="T1909" s="146">
        <f>IF(Purchase[[#This Row],[Status]]="Cancelled",0,Purchase[[#This Row],[Total Amount]])</f>
        <v>27803.16</v>
      </c>
      <c r="U1909" s="146">
        <f>SUM(Purchase[Net Amount])</f>
        <v>814985438.68000126</v>
      </c>
    </row>
    <row r="1910" spans="1:21" ht="19.5" thickBot="1" x14ac:dyDescent="0.3">
      <c r="A1910" s="136" t="s">
        <v>2966</v>
      </c>
      <c r="B1910" s="137">
        <v>45751</v>
      </c>
      <c r="C1910" s="138" t="s">
        <v>573</v>
      </c>
      <c r="D1910" s="138" t="str">
        <f>VLOOKUP(Purchase[[#This Row],[Supplier ID]],Supplier[#All],2,0)</f>
        <v>Shree Traders</v>
      </c>
      <c r="E1910" s="138">
        <f>VLOOKUP(Purchase[[#This Row],[Supplier ID]],Supplier[#All],3,0)</f>
        <v>9689542458</v>
      </c>
      <c r="F1910" s="138" t="str">
        <f>VLOOKUP(Purchase[[#This Row],[Supplier ID]],Supplier[#All],4,0)</f>
        <v>Korba</v>
      </c>
      <c r="G1910" s="138" t="str">
        <f>VLOOKUP(Purchase[[#This Row],[Supplier ID]],Supplier[#All],5,0)</f>
        <v>CG</v>
      </c>
      <c r="H1910" s="138" t="str">
        <f>VLOOKUP(Purchase[[#This Row],[Supplier ID]],Supplier[#All],6,0)</f>
        <v>GST2154521T020</v>
      </c>
      <c r="I1910" s="138" t="s">
        <v>181</v>
      </c>
      <c r="J1910" s="139">
        <v>15</v>
      </c>
      <c r="K1910" s="143">
        <f>VLOOKUP(Purchase[[#This Row],[Product ID]],Product[#All],6,0)</f>
        <v>4751</v>
      </c>
      <c r="L1910" s="143">
        <f>Purchase[[#This Row],[Purchase Rate]]*Purchase[[#This Row],[Qty]]</f>
        <v>71265</v>
      </c>
      <c r="M1910" s="140">
        <v>0</v>
      </c>
      <c r="N1910" s="143">
        <v>0</v>
      </c>
      <c r="O1910" s="140">
        <v>0.18</v>
      </c>
      <c r="P1910" s="145">
        <f>(Purchase[[#This Row],[Gross Amount]]-Purchase[[#This Row],[Disct %]])*Purchase[[#This Row],[GST %]]</f>
        <v>12827.699999999999</v>
      </c>
      <c r="Q1910" s="145">
        <f>Purchase[[#This Row],[Gross Amount]]-Purchase[[#This Row],[Disct Amnt]]+Purchase[[#This Row],[GST Amount]]</f>
        <v>84092.7</v>
      </c>
      <c r="R1910" s="138" t="s">
        <v>1019</v>
      </c>
      <c r="S1910" s="41">
        <f>IF(Purchase[[#This Row],[Status]]="Cancelled",0,Purchase[[#This Row],[Qty]])</f>
        <v>15</v>
      </c>
      <c r="T1910" s="146">
        <f>IF(Purchase[[#This Row],[Status]]="Cancelled",0,Purchase[[#This Row],[Total Amount]])</f>
        <v>84092.7</v>
      </c>
      <c r="U1910" s="146">
        <f>SUM(Purchase[Net Amount])</f>
        <v>814985438.68000126</v>
      </c>
    </row>
    <row r="1911" spans="1:21" ht="19.5" thickBot="1" x14ac:dyDescent="0.3">
      <c r="A1911" s="136" t="s">
        <v>2967</v>
      </c>
      <c r="B1911" s="137">
        <v>45751</v>
      </c>
      <c r="C1911" s="138" t="s">
        <v>565</v>
      </c>
      <c r="D1911" s="138" t="str">
        <f>VLOOKUP(Purchase[[#This Row],[Supplier ID]],Supplier[#All],2,0)</f>
        <v>Global Suppliers</v>
      </c>
      <c r="E1911" s="138">
        <f>VLOOKUP(Purchase[[#This Row],[Supplier ID]],Supplier[#All],3,0)</f>
        <v>9689542459</v>
      </c>
      <c r="F1911" s="138" t="str">
        <f>VLOOKUP(Purchase[[#This Row],[Supplier ID]],Supplier[#All],4,0)</f>
        <v>Indore</v>
      </c>
      <c r="G1911" s="138" t="str">
        <f>VLOOKUP(Purchase[[#This Row],[Supplier ID]],Supplier[#All],5,0)</f>
        <v>MP</v>
      </c>
      <c r="H1911" s="138" t="str">
        <f>VLOOKUP(Purchase[[#This Row],[Supplier ID]],Supplier[#All],6,0)</f>
        <v>GST2154521T013</v>
      </c>
      <c r="I1911" s="138" t="s">
        <v>226</v>
      </c>
      <c r="J1911" s="139">
        <v>15</v>
      </c>
      <c r="K1911" s="143">
        <f>VLOOKUP(Purchase[[#This Row],[Product ID]],Product[#All],6,0)</f>
        <v>3821</v>
      </c>
      <c r="L1911" s="143">
        <f>Purchase[[#This Row],[Purchase Rate]]*Purchase[[#This Row],[Qty]]</f>
        <v>57315</v>
      </c>
      <c r="M1911" s="140">
        <v>0</v>
      </c>
      <c r="N1911" s="143">
        <v>0</v>
      </c>
      <c r="O1911" s="140">
        <v>0.18</v>
      </c>
      <c r="P1911" s="145">
        <f>(Purchase[[#This Row],[Gross Amount]]-Purchase[[#This Row],[Disct %]])*Purchase[[#This Row],[GST %]]</f>
        <v>10316.699999999999</v>
      </c>
      <c r="Q1911" s="145">
        <f>Purchase[[#This Row],[Gross Amount]]-Purchase[[#This Row],[Disct Amnt]]+Purchase[[#This Row],[GST Amount]]</f>
        <v>67631.7</v>
      </c>
      <c r="R1911" s="138" t="s">
        <v>1019</v>
      </c>
      <c r="S1911" s="41">
        <f>IF(Purchase[[#This Row],[Status]]="Cancelled",0,Purchase[[#This Row],[Qty]])</f>
        <v>15</v>
      </c>
      <c r="T1911" s="146">
        <f>IF(Purchase[[#This Row],[Status]]="Cancelled",0,Purchase[[#This Row],[Total Amount]])</f>
        <v>67631.7</v>
      </c>
      <c r="U1911" s="146">
        <f>SUM(Purchase[Net Amount])</f>
        <v>814985438.68000126</v>
      </c>
    </row>
    <row r="1912" spans="1:21" ht="19.5" thickBot="1" x14ac:dyDescent="0.3">
      <c r="A1912" s="136" t="s">
        <v>2968</v>
      </c>
      <c r="B1912" s="137">
        <v>45751</v>
      </c>
      <c r="C1912" s="138" t="s">
        <v>612</v>
      </c>
      <c r="D1912" s="138" t="str">
        <f>VLOOKUP(Purchase[[#This Row],[Supplier ID]],Supplier[#All],2,0)</f>
        <v>National Computers</v>
      </c>
      <c r="E1912" s="138">
        <f>VLOOKUP(Purchase[[#This Row],[Supplier ID]],Supplier[#All],3,0)</f>
        <v>9689542495</v>
      </c>
      <c r="F1912" s="138" t="str">
        <f>VLOOKUP(Purchase[[#This Row],[Supplier ID]],Supplier[#All],4,0)</f>
        <v>Indore</v>
      </c>
      <c r="G1912" s="138" t="str">
        <f>VLOOKUP(Purchase[[#This Row],[Supplier ID]],Supplier[#All],5,0)</f>
        <v>MP</v>
      </c>
      <c r="H1912" s="138" t="str">
        <f>VLOOKUP(Purchase[[#This Row],[Supplier ID]],Supplier[#All],6,0)</f>
        <v>GST2154521T057</v>
      </c>
      <c r="I1912" s="138" t="s">
        <v>408</v>
      </c>
      <c r="J1912" s="139">
        <v>33</v>
      </c>
      <c r="K1912" s="143">
        <f>VLOOKUP(Purchase[[#This Row],[Product ID]],Product[#All],6,0)</f>
        <v>79437</v>
      </c>
      <c r="L1912" s="143">
        <f>Purchase[[#This Row],[Purchase Rate]]*Purchase[[#This Row],[Qty]]</f>
        <v>2621421</v>
      </c>
      <c r="M1912" s="140">
        <v>0</v>
      </c>
      <c r="N1912" s="143">
        <v>0</v>
      </c>
      <c r="O1912" s="140">
        <v>0.18</v>
      </c>
      <c r="P1912" s="145">
        <f>(Purchase[[#This Row],[Gross Amount]]-Purchase[[#This Row],[Disct %]])*Purchase[[#This Row],[GST %]]</f>
        <v>471855.77999999997</v>
      </c>
      <c r="Q1912" s="145">
        <f>Purchase[[#This Row],[Gross Amount]]-Purchase[[#This Row],[Disct Amnt]]+Purchase[[#This Row],[GST Amount]]</f>
        <v>3093276.78</v>
      </c>
      <c r="R1912" s="138" t="s">
        <v>1019</v>
      </c>
      <c r="S1912" s="41">
        <f>IF(Purchase[[#This Row],[Status]]="Cancelled",0,Purchase[[#This Row],[Qty]])</f>
        <v>33</v>
      </c>
      <c r="T1912" s="146">
        <f>IF(Purchase[[#This Row],[Status]]="Cancelled",0,Purchase[[#This Row],[Total Amount]])</f>
        <v>3093276.78</v>
      </c>
      <c r="U1912" s="146">
        <f>SUM(Purchase[Net Amount])</f>
        <v>814985438.68000126</v>
      </c>
    </row>
    <row r="1913" spans="1:21" ht="19.5" thickBot="1" x14ac:dyDescent="0.3">
      <c r="A1913" s="136" t="s">
        <v>2969</v>
      </c>
      <c r="B1913" s="137">
        <v>45751</v>
      </c>
      <c r="C1913" s="138" t="s">
        <v>604</v>
      </c>
      <c r="D1913" s="138" t="str">
        <f>VLOOKUP(Purchase[[#This Row],[Supplier ID]],Supplier[#All],2,0)</f>
        <v>Prime Traders</v>
      </c>
      <c r="E1913" s="138">
        <f>VLOOKUP(Purchase[[#This Row],[Supplier ID]],Supplier[#All],3,0)</f>
        <v>9689542487</v>
      </c>
      <c r="F1913" s="138" t="str">
        <f>VLOOKUP(Purchase[[#This Row],[Supplier ID]],Supplier[#All],4,0)</f>
        <v>Indore</v>
      </c>
      <c r="G1913" s="138" t="str">
        <f>VLOOKUP(Purchase[[#This Row],[Supplier ID]],Supplier[#All],5,0)</f>
        <v>MP</v>
      </c>
      <c r="H1913" s="138" t="str">
        <f>VLOOKUP(Purchase[[#This Row],[Supplier ID]],Supplier[#All],6,0)</f>
        <v>GST2154521T049</v>
      </c>
      <c r="I1913" s="138" t="s">
        <v>403</v>
      </c>
      <c r="J1913" s="139">
        <v>12</v>
      </c>
      <c r="K1913" s="143">
        <f>VLOOKUP(Purchase[[#This Row],[Product ID]],Product[#All],6,0)</f>
        <v>13869</v>
      </c>
      <c r="L1913" s="143">
        <f>Purchase[[#This Row],[Purchase Rate]]*Purchase[[#This Row],[Qty]]</f>
        <v>166428</v>
      </c>
      <c r="M1913" s="140">
        <v>0</v>
      </c>
      <c r="N1913" s="143">
        <v>0</v>
      </c>
      <c r="O1913" s="140">
        <v>0.18</v>
      </c>
      <c r="P1913" s="145">
        <f>(Purchase[[#This Row],[Gross Amount]]-Purchase[[#This Row],[Disct %]])*Purchase[[#This Row],[GST %]]</f>
        <v>29957.039999999997</v>
      </c>
      <c r="Q1913" s="145">
        <f>Purchase[[#This Row],[Gross Amount]]-Purchase[[#This Row],[Disct Amnt]]+Purchase[[#This Row],[GST Amount]]</f>
        <v>196385.04</v>
      </c>
      <c r="R1913" s="138" t="s">
        <v>1019</v>
      </c>
      <c r="S1913" s="41">
        <f>IF(Purchase[[#This Row],[Status]]="Cancelled",0,Purchase[[#This Row],[Qty]])</f>
        <v>12</v>
      </c>
      <c r="T1913" s="146">
        <f>IF(Purchase[[#This Row],[Status]]="Cancelled",0,Purchase[[#This Row],[Total Amount]])</f>
        <v>196385.04</v>
      </c>
      <c r="U1913" s="146">
        <f>SUM(Purchase[Net Amount])</f>
        <v>814985438.68000126</v>
      </c>
    </row>
    <row r="1914" spans="1:21" ht="19.5" thickBot="1" x14ac:dyDescent="0.3">
      <c r="A1914" s="136" t="s">
        <v>2970</v>
      </c>
      <c r="B1914" s="137">
        <v>45751</v>
      </c>
      <c r="C1914" s="138" t="s">
        <v>565</v>
      </c>
      <c r="D1914" s="138" t="str">
        <f>VLOOKUP(Purchase[[#This Row],[Supplier ID]],Supplier[#All],2,0)</f>
        <v>Global Suppliers</v>
      </c>
      <c r="E1914" s="138">
        <f>VLOOKUP(Purchase[[#This Row],[Supplier ID]],Supplier[#All],3,0)</f>
        <v>9689542459</v>
      </c>
      <c r="F1914" s="138" t="str">
        <f>VLOOKUP(Purchase[[#This Row],[Supplier ID]],Supplier[#All],4,0)</f>
        <v>Indore</v>
      </c>
      <c r="G1914" s="138" t="str">
        <f>VLOOKUP(Purchase[[#This Row],[Supplier ID]],Supplier[#All],5,0)</f>
        <v>MP</v>
      </c>
      <c r="H1914" s="138" t="str">
        <f>VLOOKUP(Purchase[[#This Row],[Supplier ID]],Supplier[#All],6,0)</f>
        <v>GST2154521T013</v>
      </c>
      <c r="I1914" s="138" t="s">
        <v>368</v>
      </c>
      <c r="J1914" s="139">
        <v>28</v>
      </c>
      <c r="K1914" s="143">
        <f>VLOOKUP(Purchase[[#This Row],[Product ID]],Product[#All],6,0)</f>
        <v>1031</v>
      </c>
      <c r="L1914" s="143">
        <f>Purchase[[#This Row],[Purchase Rate]]*Purchase[[#This Row],[Qty]]</f>
        <v>28868</v>
      </c>
      <c r="M1914" s="140">
        <v>0</v>
      </c>
      <c r="N1914" s="143">
        <v>0</v>
      </c>
      <c r="O1914" s="140">
        <v>0.18</v>
      </c>
      <c r="P1914" s="145">
        <f>(Purchase[[#This Row],[Gross Amount]]-Purchase[[#This Row],[Disct %]])*Purchase[[#This Row],[GST %]]</f>
        <v>5196.24</v>
      </c>
      <c r="Q1914" s="145">
        <f>Purchase[[#This Row],[Gross Amount]]-Purchase[[#This Row],[Disct Amnt]]+Purchase[[#This Row],[GST Amount]]</f>
        <v>34064.239999999998</v>
      </c>
      <c r="R1914" s="138" t="s">
        <v>1019</v>
      </c>
      <c r="S1914" s="41">
        <f>IF(Purchase[[#This Row],[Status]]="Cancelled",0,Purchase[[#This Row],[Qty]])</f>
        <v>28</v>
      </c>
      <c r="T1914" s="146">
        <f>IF(Purchase[[#This Row],[Status]]="Cancelled",0,Purchase[[#This Row],[Total Amount]])</f>
        <v>34064.239999999998</v>
      </c>
      <c r="U1914" s="146">
        <f>SUM(Purchase[Net Amount])</f>
        <v>814985438.68000126</v>
      </c>
    </row>
    <row r="1915" spans="1:21" ht="19.5" thickBot="1" x14ac:dyDescent="0.3">
      <c r="A1915" s="136" t="s">
        <v>2971</v>
      </c>
      <c r="B1915" s="137">
        <v>45751</v>
      </c>
      <c r="C1915" s="138" t="s">
        <v>570</v>
      </c>
      <c r="D1915" s="138" t="str">
        <f>VLOOKUP(Purchase[[#This Row],[Supplier ID]],Supplier[#All],2,0)</f>
        <v>Prime Traders</v>
      </c>
      <c r="E1915" s="138">
        <f>VLOOKUP(Purchase[[#This Row],[Supplier ID]],Supplier[#All],3,0)</f>
        <v>9689542456</v>
      </c>
      <c r="F1915" s="138" t="str">
        <f>VLOOKUP(Purchase[[#This Row],[Supplier ID]],Supplier[#All],4,0)</f>
        <v>Indore</v>
      </c>
      <c r="G1915" s="138" t="str">
        <f>VLOOKUP(Purchase[[#This Row],[Supplier ID]],Supplier[#All],5,0)</f>
        <v>MP</v>
      </c>
      <c r="H1915" s="138" t="str">
        <f>VLOOKUP(Purchase[[#This Row],[Supplier ID]],Supplier[#All],6,0)</f>
        <v>GST2154521T018</v>
      </c>
      <c r="I1915" s="138" t="s">
        <v>41</v>
      </c>
      <c r="J1915" s="139">
        <v>18</v>
      </c>
      <c r="K1915" s="143">
        <f>VLOOKUP(Purchase[[#This Row],[Product ID]],Product[#All],6,0)</f>
        <v>58660</v>
      </c>
      <c r="L1915" s="143">
        <f>Purchase[[#This Row],[Purchase Rate]]*Purchase[[#This Row],[Qty]]</f>
        <v>1055880</v>
      </c>
      <c r="M1915" s="140">
        <v>0</v>
      </c>
      <c r="N1915" s="143">
        <v>0</v>
      </c>
      <c r="O1915" s="140">
        <v>0.18</v>
      </c>
      <c r="P1915" s="145">
        <f>(Purchase[[#This Row],[Gross Amount]]-Purchase[[#This Row],[Disct %]])*Purchase[[#This Row],[GST %]]</f>
        <v>190058.4</v>
      </c>
      <c r="Q1915" s="145">
        <f>Purchase[[#This Row],[Gross Amount]]-Purchase[[#This Row],[Disct Amnt]]+Purchase[[#This Row],[GST Amount]]</f>
        <v>1245938.3999999999</v>
      </c>
      <c r="R1915" s="138" t="s">
        <v>1019</v>
      </c>
      <c r="S1915" s="41">
        <f>IF(Purchase[[#This Row],[Status]]="Cancelled",0,Purchase[[#This Row],[Qty]])</f>
        <v>18</v>
      </c>
      <c r="T1915" s="146">
        <f>IF(Purchase[[#This Row],[Status]]="Cancelled",0,Purchase[[#This Row],[Total Amount]])</f>
        <v>1245938.3999999999</v>
      </c>
      <c r="U1915" s="146">
        <f>SUM(Purchase[Net Amount])</f>
        <v>814985438.68000126</v>
      </c>
    </row>
    <row r="1916" spans="1:21" ht="19.5" thickBot="1" x14ac:dyDescent="0.3">
      <c r="A1916" s="136" t="s">
        <v>2972</v>
      </c>
      <c r="B1916" s="137">
        <v>45751</v>
      </c>
      <c r="C1916" s="138" t="s">
        <v>607</v>
      </c>
      <c r="D1916" s="138" t="str">
        <f>VLOOKUP(Purchase[[#This Row],[Supplier ID]],Supplier[#All],2,0)</f>
        <v>Global Distributors</v>
      </c>
      <c r="E1916" s="138">
        <f>VLOOKUP(Purchase[[#This Row],[Supplier ID]],Supplier[#All],3,0)</f>
        <v>9689542490</v>
      </c>
      <c r="F1916" s="138" t="str">
        <f>VLOOKUP(Purchase[[#This Row],[Supplier ID]],Supplier[#All],4,0)</f>
        <v>Kanpur</v>
      </c>
      <c r="G1916" s="138" t="str">
        <f>VLOOKUP(Purchase[[#This Row],[Supplier ID]],Supplier[#All],5,0)</f>
        <v>UP</v>
      </c>
      <c r="H1916" s="138" t="str">
        <f>VLOOKUP(Purchase[[#This Row],[Supplier ID]],Supplier[#All],6,0)</f>
        <v>GST2154521T052</v>
      </c>
      <c r="I1916" s="138" t="s">
        <v>238</v>
      </c>
      <c r="J1916" s="139">
        <v>36</v>
      </c>
      <c r="K1916" s="143">
        <f>VLOOKUP(Purchase[[#This Row],[Product ID]],Product[#All],6,0)</f>
        <v>6619</v>
      </c>
      <c r="L1916" s="143">
        <f>Purchase[[#This Row],[Purchase Rate]]*Purchase[[#This Row],[Qty]]</f>
        <v>238284</v>
      </c>
      <c r="M1916" s="140">
        <v>0</v>
      </c>
      <c r="N1916" s="143">
        <v>0</v>
      </c>
      <c r="O1916" s="140">
        <v>0.18</v>
      </c>
      <c r="P1916" s="145">
        <f>(Purchase[[#This Row],[Gross Amount]]-Purchase[[#This Row],[Disct %]])*Purchase[[#This Row],[GST %]]</f>
        <v>42891.119999999995</v>
      </c>
      <c r="Q1916" s="145">
        <f>Purchase[[#This Row],[Gross Amount]]-Purchase[[#This Row],[Disct Amnt]]+Purchase[[#This Row],[GST Amount]]</f>
        <v>281175.12</v>
      </c>
      <c r="R1916" s="138" t="s">
        <v>1019</v>
      </c>
      <c r="S1916" s="41">
        <f>IF(Purchase[[#This Row],[Status]]="Cancelled",0,Purchase[[#This Row],[Qty]])</f>
        <v>36</v>
      </c>
      <c r="T1916" s="146">
        <f>IF(Purchase[[#This Row],[Status]]="Cancelled",0,Purchase[[#This Row],[Total Amount]])</f>
        <v>281175.12</v>
      </c>
      <c r="U1916" s="146">
        <f>SUM(Purchase[Net Amount])</f>
        <v>814985438.68000126</v>
      </c>
    </row>
    <row r="1917" spans="1:21" ht="19.5" thickBot="1" x14ac:dyDescent="0.3">
      <c r="A1917" s="136" t="s">
        <v>2973</v>
      </c>
      <c r="B1917" s="137">
        <v>45751</v>
      </c>
      <c r="C1917" s="138" t="s">
        <v>613</v>
      </c>
      <c r="D1917" s="138" t="str">
        <f>VLOOKUP(Purchase[[#This Row],[Supplier ID]],Supplier[#All],2,0)</f>
        <v>National Traders</v>
      </c>
      <c r="E1917" s="138">
        <f>VLOOKUP(Purchase[[#This Row],[Supplier ID]],Supplier[#All],3,0)</f>
        <v>9689542496</v>
      </c>
      <c r="F1917" s="138" t="str">
        <f>VLOOKUP(Purchase[[#This Row],[Supplier ID]],Supplier[#All],4,0)</f>
        <v>Indore</v>
      </c>
      <c r="G1917" s="138" t="str">
        <f>VLOOKUP(Purchase[[#This Row],[Supplier ID]],Supplier[#All],5,0)</f>
        <v>MP</v>
      </c>
      <c r="H1917" s="138" t="str">
        <f>VLOOKUP(Purchase[[#This Row],[Supplier ID]],Supplier[#All],6,0)</f>
        <v>GST2154521T058</v>
      </c>
      <c r="I1917" s="138" t="s">
        <v>521</v>
      </c>
      <c r="J1917" s="139">
        <v>3</v>
      </c>
      <c r="K1917" s="143">
        <f>VLOOKUP(Purchase[[#This Row],[Product ID]],Product[#All],6,0)</f>
        <v>2442</v>
      </c>
      <c r="L1917" s="143">
        <f>Purchase[[#This Row],[Purchase Rate]]*Purchase[[#This Row],[Qty]]</f>
        <v>7326</v>
      </c>
      <c r="M1917" s="140">
        <v>0</v>
      </c>
      <c r="N1917" s="143">
        <v>0</v>
      </c>
      <c r="O1917" s="140">
        <v>0.18</v>
      </c>
      <c r="P1917" s="145">
        <f>(Purchase[[#This Row],[Gross Amount]]-Purchase[[#This Row],[Disct %]])*Purchase[[#This Row],[GST %]]</f>
        <v>1318.68</v>
      </c>
      <c r="Q1917" s="145">
        <f>Purchase[[#This Row],[Gross Amount]]-Purchase[[#This Row],[Disct Amnt]]+Purchase[[#This Row],[GST Amount]]</f>
        <v>8644.68</v>
      </c>
      <c r="R1917" s="138" t="s">
        <v>1019</v>
      </c>
      <c r="S1917" s="41">
        <f>IF(Purchase[[#This Row],[Status]]="Cancelled",0,Purchase[[#This Row],[Qty]])</f>
        <v>3</v>
      </c>
      <c r="T1917" s="146">
        <f>IF(Purchase[[#This Row],[Status]]="Cancelled",0,Purchase[[#This Row],[Total Amount]])</f>
        <v>8644.68</v>
      </c>
      <c r="U1917" s="146">
        <f>SUM(Purchase[Net Amount])</f>
        <v>814985438.68000126</v>
      </c>
    </row>
    <row r="1918" spans="1:21" ht="19.5" thickBot="1" x14ac:dyDescent="0.3">
      <c r="A1918" s="136" t="s">
        <v>2974</v>
      </c>
      <c r="B1918" s="137">
        <v>45751</v>
      </c>
      <c r="C1918" s="138" t="s">
        <v>568</v>
      </c>
      <c r="D1918" s="138" t="str">
        <f>VLOOKUP(Purchase[[#This Row],[Supplier ID]],Supplier[#All],2,0)</f>
        <v>Maa Computers</v>
      </c>
      <c r="E1918" s="138">
        <f>VLOOKUP(Purchase[[#This Row],[Supplier ID]],Supplier[#All],3,0)</f>
        <v>9689542454</v>
      </c>
      <c r="F1918" s="138" t="str">
        <f>VLOOKUP(Purchase[[#This Row],[Supplier ID]],Supplier[#All],4,0)</f>
        <v>Korba</v>
      </c>
      <c r="G1918" s="138" t="str">
        <f>VLOOKUP(Purchase[[#This Row],[Supplier ID]],Supplier[#All],5,0)</f>
        <v>CG</v>
      </c>
      <c r="H1918" s="138" t="str">
        <f>VLOOKUP(Purchase[[#This Row],[Supplier ID]],Supplier[#All],6,0)</f>
        <v>GST2154521T016</v>
      </c>
      <c r="I1918" s="138" t="s">
        <v>139</v>
      </c>
      <c r="J1918" s="139">
        <v>35</v>
      </c>
      <c r="K1918" s="143">
        <f>VLOOKUP(Purchase[[#This Row],[Product ID]],Product[#All],6,0)</f>
        <v>21311</v>
      </c>
      <c r="L1918" s="143">
        <f>Purchase[[#This Row],[Purchase Rate]]*Purchase[[#This Row],[Qty]]</f>
        <v>745885</v>
      </c>
      <c r="M1918" s="140">
        <v>0</v>
      </c>
      <c r="N1918" s="143">
        <v>0</v>
      </c>
      <c r="O1918" s="140">
        <v>0.18</v>
      </c>
      <c r="P1918" s="145">
        <f>(Purchase[[#This Row],[Gross Amount]]-Purchase[[#This Row],[Disct %]])*Purchase[[#This Row],[GST %]]</f>
        <v>134259.29999999999</v>
      </c>
      <c r="Q1918" s="145">
        <f>Purchase[[#This Row],[Gross Amount]]-Purchase[[#This Row],[Disct Amnt]]+Purchase[[#This Row],[GST Amount]]</f>
        <v>880144.3</v>
      </c>
      <c r="R1918" s="138" t="s">
        <v>1019</v>
      </c>
      <c r="S1918" s="41">
        <f>IF(Purchase[[#This Row],[Status]]="Cancelled",0,Purchase[[#This Row],[Qty]])</f>
        <v>35</v>
      </c>
      <c r="T1918" s="146">
        <f>IF(Purchase[[#This Row],[Status]]="Cancelled",0,Purchase[[#This Row],[Total Amount]])</f>
        <v>880144.3</v>
      </c>
      <c r="U1918" s="146">
        <f>SUM(Purchase[Net Amount])</f>
        <v>814985438.68000126</v>
      </c>
    </row>
    <row r="1919" spans="1:21" ht="19.5" thickBot="1" x14ac:dyDescent="0.3">
      <c r="A1919" s="136" t="s">
        <v>2975</v>
      </c>
      <c r="B1919" s="137">
        <v>45751</v>
      </c>
      <c r="C1919" s="138" t="s">
        <v>603</v>
      </c>
      <c r="D1919" s="138" t="str">
        <f>VLOOKUP(Purchase[[#This Row],[Supplier ID]],Supplier[#All],2,0)</f>
        <v>Tech Computers</v>
      </c>
      <c r="E1919" s="138">
        <f>VLOOKUP(Purchase[[#This Row],[Supplier ID]],Supplier[#All],3,0)</f>
        <v>9689542486</v>
      </c>
      <c r="F1919" s="138" t="str">
        <f>VLOOKUP(Purchase[[#This Row],[Supplier ID]],Supplier[#All],4,0)</f>
        <v>Indore</v>
      </c>
      <c r="G1919" s="138" t="str">
        <f>VLOOKUP(Purchase[[#This Row],[Supplier ID]],Supplier[#All],5,0)</f>
        <v>MP</v>
      </c>
      <c r="H1919" s="138" t="str">
        <f>VLOOKUP(Purchase[[#This Row],[Supplier ID]],Supplier[#All],6,0)</f>
        <v>GST2154521T048</v>
      </c>
      <c r="I1919" s="138" t="s">
        <v>227</v>
      </c>
      <c r="J1919" s="139">
        <v>37</v>
      </c>
      <c r="K1919" s="143">
        <f>VLOOKUP(Purchase[[#This Row],[Product ID]],Product[#All],6,0)</f>
        <v>11911</v>
      </c>
      <c r="L1919" s="143">
        <f>Purchase[[#This Row],[Purchase Rate]]*Purchase[[#This Row],[Qty]]</f>
        <v>440707</v>
      </c>
      <c r="M1919" s="140">
        <v>0</v>
      </c>
      <c r="N1919" s="143">
        <v>0</v>
      </c>
      <c r="O1919" s="140">
        <v>0.18</v>
      </c>
      <c r="P1919" s="145">
        <f>(Purchase[[#This Row],[Gross Amount]]-Purchase[[#This Row],[Disct %]])*Purchase[[#This Row],[GST %]]</f>
        <v>79327.259999999995</v>
      </c>
      <c r="Q1919" s="145">
        <f>Purchase[[#This Row],[Gross Amount]]-Purchase[[#This Row],[Disct Amnt]]+Purchase[[#This Row],[GST Amount]]</f>
        <v>520034.26</v>
      </c>
      <c r="R1919" s="138" t="s">
        <v>1019</v>
      </c>
      <c r="S1919" s="41">
        <f>IF(Purchase[[#This Row],[Status]]="Cancelled",0,Purchase[[#This Row],[Qty]])</f>
        <v>37</v>
      </c>
      <c r="T1919" s="146">
        <f>IF(Purchase[[#This Row],[Status]]="Cancelled",0,Purchase[[#This Row],[Total Amount]])</f>
        <v>520034.26</v>
      </c>
      <c r="U1919" s="146">
        <f>SUM(Purchase[Net Amount])</f>
        <v>814985438.68000126</v>
      </c>
    </row>
    <row r="1920" spans="1:21" ht="19.5" thickBot="1" x14ac:dyDescent="0.3">
      <c r="A1920" s="136" t="s">
        <v>2976</v>
      </c>
      <c r="B1920" s="137">
        <v>45751</v>
      </c>
      <c r="C1920" s="138" t="s">
        <v>573</v>
      </c>
      <c r="D1920" s="138" t="str">
        <f>VLOOKUP(Purchase[[#This Row],[Supplier ID]],Supplier[#All],2,0)</f>
        <v>Shree Traders</v>
      </c>
      <c r="E1920" s="138">
        <f>VLOOKUP(Purchase[[#This Row],[Supplier ID]],Supplier[#All],3,0)</f>
        <v>9689542458</v>
      </c>
      <c r="F1920" s="138" t="str">
        <f>VLOOKUP(Purchase[[#This Row],[Supplier ID]],Supplier[#All],4,0)</f>
        <v>Korba</v>
      </c>
      <c r="G1920" s="138" t="str">
        <f>VLOOKUP(Purchase[[#This Row],[Supplier ID]],Supplier[#All],5,0)</f>
        <v>CG</v>
      </c>
      <c r="H1920" s="138" t="str">
        <f>VLOOKUP(Purchase[[#This Row],[Supplier ID]],Supplier[#All],6,0)</f>
        <v>GST2154521T020</v>
      </c>
      <c r="I1920" s="138" t="s">
        <v>347</v>
      </c>
      <c r="J1920" s="139">
        <v>3</v>
      </c>
      <c r="K1920" s="143">
        <f>VLOOKUP(Purchase[[#This Row],[Product ID]],Product[#All],6,0)</f>
        <v>598</v>
      </c>
      <c r="L1920" s="143">
        <f>Purchase[[#This Row],[Purchase Rate]]*Purchase[[#This Row],[Qty]]</f>
        <v>1794</v>
      </c>
      <c r="M1920" s="140">
        <v>0</v>
      </c>
      <c r="N1920" s="143">
        <v>0</v>
      </c>
      <c r="O1920" s="140">
        <v>0.18</v>
      </c>
      <c r="P1920" s="145">
        <f>(Purchase[[#This Row],[Gross Amount]]-Purchase[[#This Row],[Disct %]])*Purchase[[#This Row],[GST %]]</f>
        <v>322.92</v>
      </c>
      <c r="Q1920" s="145">
        <f>Purchase[[#This Row],[Gross Amount]]-Purchase[[#This Row],[Disct Amnt]]+Purchase[[#This Row],[GST Amount]]</f>
        <v>2116.92</v>
      </c>
      <c r="R1920" s="138" t="s">
        <v>1019</v>
      </c>
      <c r="S1920" s="41">
        <f>IF(Purchase[[#This Row],[Status]]="Cancelled",0,Purchase[[#This Row],[Qty]])</f>
        <v>3</v>
      </c>
      <c r="T1920" s="146">
        <f>IF(Purchase[[#This Row],[Status]]="Cancelled",0,Purchase[[#This Row],[Total Amount]])</f>
        <v>2116.92</v>
      </c>
      <c r="U1920" s="146">
        <f>SUM(Purchase[Net Amount])</f>
        <v>814985438.68000126</v>
      </c>
    </row>
    <row r="1921" spans="1:21" ht="19.5" thickBot="1" x14ac:dyDescent="0.3">
      <c r="A1921" s="136" t="s">
        <v>2977</v>
      </c>
      <c r="B1921" s="137">
        <v>45751</v>
      </c>
      <c r="C1921" s="138" t="s">
        <v>588</v>
      </c>
      <c r="D1921" s="138" t="str">
        <f>VLOOKUP(Purchase[[#This Row],[Supplier ID]],Supplier[#All],2,0)</f>
        <v>Star Electronics</v>
      </c>
      <c r="E1921" s="138">
        <f>VLOOKUP(Purchase[[#This Row],[Supplier ID]],Supplier[#All],3,0)</f>
        <v>9689542472</v>
      </c>
      <c r="F1921" s="138" t="str">
        <f>VLOOKUP(Purchase[[#This Row],[Supplier ID]],Supplier[#All],4,0)</f>
        <v>Korba</v>
      </c>
      <c r="G1921" s="138" t="str">
        <f>VLOOKUP(Purchase[[#This Row],[Supplier ID]],Supplier[#All],5,0)</f>
        <v>CG</v>
      </c>
      <c r="H1921" s="138" t="str">
        <f>VLOOKUP(Purchase[[#This Row],[Supplier ID]],Supplier[#All],6,0)</f>
        <v>GST2154521T034</v>
      </c>
      <c r="I1921" s="138" t="s">
        <v>46</v>
      </c>
      <c r="J1921" s="139">
        <v>18</v>
      </c>
      <c r="K1921" s="143">
        <f>VLOOKUP(Purchase[[#This Row],[Product ID]],Product[#All],6,0)</f>
        <v>30419</v>
      </c>
      <c r="L1921" s="143">
        <f>Purchase[[#This Row],[Purchase Rate]]*Purchase[[#This Row],[Qty]]</f>
        <v>547542</v>
      </c>
      <c r="M1921" s="140">
        <v>0</v>
      </c>
      <c r="N1921" s="143">
        <v>0</v>
      </c>
      <c r="O1921" s="140">
        <v>0.18</v>
      </c>
      <c r="P1921" s="145">
        <f>(Purchase[[#This Row],[Gross Amount]]-Purchase[[#This Row],[Disct %]])*Purchase[[#This Row],[GST %]]</f>
        <v>98557.56</v>
      </c>
      <c r="Q1921" s="145">
        <f>Purchase[[#This Row],[Gross Amount]]-Purchase[[#This Row],[Disct Amnt]]+Purchase[[#This Row],[GST Amount]]</f>
        <v>646099.56000000006</v>
      </c>
      <c r="R1921" s="138" t="s">
        <v>1019</v>
      </c>
      <c r="S1921" s="41">
        <f>IF(Purchase[[#This Row],[Status]]="Cancelled",0,Purchase[[#This Row],[Qty]])</f>
        <v>18</v>
      </c>
      <c r="T1921" s="146">
        <f>IF(Purchase[[#This Row],[Status]]="Cancelled",0,Purchase[[#This Row],[Total Amount]])</f>
        <v>646099.56000000006</v>
      </c>
      <c r="U1921" s="146">
        <f>SUM(Purchase[Net Amount])</f>
        <v>814985438.68000126</v>
      </c>
    </row>
    <row r="1922" spans="1:21" ht="19.5" thickBot="1" x14ac:dyDescent="0.3">
      <c r="A1922" s="136" t="s">
        <v>2978</v>
      </c>
      <c r="B1922" s="137">
        <v>45751</v>
      </c>
      <c r="C1922" s="138" t="s">
        <v>569</v>
      </c>
      <c r="D1922" s="138" t="str">
        <f>VLOOKUP(Purchase[[#This Row],[Supplier ID]],Supplier[#All],2,0)</f>
        <v>Tech Electronics</v>
      </c>
      <c r="E1922" s="138">
        <f>VLOOKUP(Purchase[[#This Row],[Supplier ID]],Supplier[#All],3,0)</f>
        <v>9689542455</v>
      </c>
      <c r="F1922" s="138" t="str">
        <f>VLOOKUP(Purchase[[#This Row],[Supplier ID]],Supplier[#All],4,0)</f>
        <v>Korba</v>
      </c>
      <c r="G1922" s="138" t="str">
        <f>VLOOKUP(Purchase[[#This Row],[Supplier ID]],Supplier[#All],5,0)</f>
        <v>CG</v>
      </c>
      <c r="H1922" s="138" t="str">
        <f>VLOOKUP(Purchase[[#This Row],[Supplier ID]],Supplier[#All],6,0)</f>
        <v>GST2154521T017</v>
      </c>
      <c r="I1922" s="138" t="s">
        <v>185</v>
      </c>
      <c r="J1922" s="139">
        <v>40</v>
      </c>
      <c r="K1922" s="143">
        <f>VLOOKUP(Purchase[[#This Row],[Product ID]],Product[#All],6,0)</f>
        <v>3862</v>
      </c>
      <c r="L1922" s="143">
        <f>Purchase[[#This Row],[Purchase Rate]]*Purchase[[#This Row],[Qty]]</f>
        <v>154480</v>
      </c>
      <c r="M1922" s="140">
        <v>0</v>
      </c>
      <c r="N1922" s="143">
        <v>0</v>
      </c>
      <c r="O1922" s="140">
        <v>0.18</v>
      </c>
      <c r="P1922" s="145">
        <f>(Purchase[[#This Row],[Gross Amount]]-Purchase[[#This Row],[Disct %]])*Purchase[[#This Row],[GST %]]</f>
        <v>27806.399999999998</v>
      </c>
      <c r="Q1922" s="145">
        <f>Purchase[[#This Row],[Gross Amount]]-Purchase[[#This Row],[Disct Amnt]]+Purchase[[#This Row],[GST Amount]]</f>
        <v>182286.4</v>
      </c>
      <c r="R1922" s="138" t="s">
        <v>1019</v>
      </c>
      <c r="S1922" s="41">
        <f>IF(Purchase[[#This Row],[Status]]="Cancelled",0,Purchase[[#This Row],[Qty]])</f>
        <v>40</v>
      </c>
      <c r="T1922" s="146">
        <f>IF(Purchase[[#This Row],[Status]]="Cancelled",0,Purchase[[#This Row],[Total Amount]])</f>
        <v>182286.4</v>
      </c>
      <c r="U1922" s="146">
        <f>SUM(Purchase[Net Amount])</f>
        <v>814985438.68000126</v>
      </c>
    </row>
    <row r="1923" spans="1:21" ht="19.5" thickBot="1" x14ac:dyDescent="0.3">
      <c r="A1923" s="136" t="s">
        <v>2979</v>
      </c>
      <c r="B1923" s="137">
        <v>45752</v>
      </c>
      <c r="C1923" s="138" t="s">
        <v>582</v>
      </c>
      <c r="D1923" s="138" t="str">
        <f>VLOOKUP(Purchase[[#This Row],[Supplier ID]],Supplier[#All],2,0)</f>
        <v>Tech Distributors</v>
      </c>
      <c r="E1923" s="138">
        <f>VLOOKUP(Purchase[[#This Row],[Supplier ID]],Supplier[#All],3,0)</f>
        <v>9689542466</v>
      </c>
      <c r="F1923" s="138" t="str">
        <f>VLOOKUP(Purchase[[#This Row],[Supplier ID]],Supplier[#All],4,0)</f>
        <v>Indore</v>
      </c>
      <c r="G1923" s="138" t="str">
        <f>VLOOKUP(Purchase[[#This Row],[Supplier ID]],Supplier[#All],5,0)</f>
        <v>MP</v>
      </c>
      <c r="H1923" s="138" t="str">
        <f>VLOOKUP(Purchase[[#This Row],[Supplier ID]],Supplier[#All],6,0)</f>
        <v>GST2154521T028</v>
      </c>
      <c r="I1923" s="138" t="s">
        <v>389</v>
      </c>
      <c r="J1923" s="139">
        <v>8</v>
      </c>
      <c r="K1923" s="143">
        <f>VLOOKUP(Purchase[[#This Row],[Product ID]],Product[#All],6,0)</f>
        <v>9003</v>
      </c>
      <c r="L1923" s="143">
        <f>Purchase[[#This Row],[Purchase Rate]]*Purchase[[#This Row],[Qty]]</f>
        <v>72024</v>
      </c>
      <c r="M1923" s="140">
        <v>0</v>
      </c>
      <c r="N1923" s="143">
        <v>0</v>
      </c>
      <c r="O1923" s="140">
        <v>0.18</v>
      </c>
      <c r="P1923" s="145">
        <f>(Purchase[[#This Row],[Gross Amount]]-Purchase[[#This Row],[Disct %]])*Purchase[[#This Row],[GST %]]</f>
        <v>12964.32</v>
      </c>
      <c r="Q1923" s="145">
        <f>Purchase[[#This Row],[Gross Amount]]-Purchase[[#This Row],[Disct Amnt]]+Purchase[[#This Row],[GST Amount]]</f>
        <v>84988.32</v>
      </c>
      <c r="R1923" s="138" t="s">
        <v>1019</v>
      </c>
      <c r="S1923" s="41">
        <f>IF(Purchase[[#This Row],[Status]]="Cancelled",0,Purchase[[#This Row],[Qty]])</f>
        <v>8</v>
      </c>
      <c r="T1923" s="146">
        <f>IF(Purchase[[#This Row],[Status]]="Cancelled",0,Purchase[[#This Row],[Total Amount]])</f>
        <v>84988.32</v>
      </c>
      <c r="U1923" s="146">
        <f>SUM(Purchase[Net Amount])</f>
        <v>814985438.68000126</v>
      </c>
    </row>
    <row r="1924" spans="1:21" ht="19.5" thickBot="1" x14ac:dyDescent="0.3">
      <c r="A1924" s="136" t="s">
        <v>2980</v>
      </c>
      <c r="B1924" s="137">
        <v>45752</v>
      </c>
      <c r="C1924" s="138" t="s">
        <v>580</v>
      </c>
      <c r="D1924" s="138" t="str">
        <f>VLOOKUP(Purchase[[#This Row],[Supplier ID]],Supplier[#All],2,0)</f>
        <v>Star Distributors</v>
      </c>
      <c r="E1924" s="138">
        <f>VLOOKUP(Purchase[[#This Row],[Supplier ID]],Supplier[#All],3,0)</f>
        <v>9689542464</v>
      </c>
      <c r="F1924" s="138" t="str">
        <f>VLOOKUP(Purchase[[#This Row],[Supplier ID]],Supplier[#All],4,0)</f>
        <v>Indore</v>
      </c>
      <c r="G1924" s="138" t="str">
        <f>VLOOKUP(Purchase[[#This Row],[Supplier ID]],Supplier[#All],5,0)</f>
        <v>MP</v>
      </c>
      <c r="H1924" s="138" t="str">
        <f>VLOOKUP(Purchase[[#This Row],[Supplier ID]],Supplier[#All],6,0)</f>
        <v>GST2154521T026</v>
      </c>
      <c r="I1924" s="138" t="s">
        <v>194</v>
      </c>
      <c r="J1924" s="139">
        <v>31</v>
      </c>
      <c r="K1924" s="143">
        <f>VLOOKUP(Purchase[[#This Row],[Product ID]],Product[#All],6,0)</f>
        <v>5498</v>
      </c>
      <c r="L1924" s="143">
        <f>Purchase[[#This Row],[Purchase Rate]]*Purchase[[#This Row],[Qty]]</f>
        <v>170438</v>
      </c>
      <c r="M1924" s="140">
        <v>0</v>
      </c>
      <c r="N1924" s="143">
        <v>0</v>
      </c>
      <c r="O1924" s="140">
        <v>0.18</v>
      </c>
      <c r="P1924" s="145">
        <f>(Purchase[[#This Row],[Gross Amount]]-Purchase[[#This Row],[Disct %]])*Purchase[[#This Row],[GST %]]</f>
        <v>30678.84</v>
      </c>
      <c r="Q1924" s="145">
        <f>Purchase[[#This Row],[Gross Amount]]-Purchase[[#This Row],[Disct Amnt]]+Purchase[[#This Row],[GST Amount]]</f>
        <v>201116.84</v>
      </c>
      <c r="R1924" s="138" t="s">
        <v>1019</v>
      </c>
      <c r="S1924" s="41">
        <f>IF(Purchase[[#This Row],[Status]]="Cancelled",0,Purchase[[#This Row],[Qty]])</f>
        <v>31</v>
      </c>
      <c r="T1924" s="146">
        <f>IF(Purchase[[#This Row],[Status]]="Cancelled",0,Purchase[[#This Row],[Total Amount]])</f>
        <v>201116.84</v>
      </c>
      <c r="U1924" s="146">
        <f>SUM(Purchase[Net Amount])</f>
        <v>814985438.68000126</v>
      </c>
    </row>
    <row r="1925" spans="1:21" ht="19.5" thickBot="1" x14ac:dyDescent="0.3">
      <c r="A1925" s="136" t="s">
        <v>2981</v>
      </c>
      <c r="B1925" s="137">
        <v>45752</v>
      </c>
      <c r="C1925" s="138" t="s">
        <v>597</v>
      </c>
      <c r="D1925" s="138" t="str">
        <f>VLOOKUP(Purchase[[#This Row],[Supplier ID]],Supplier[#All],2,0)</f>
        <v>Tech Traders</v>
      </c>
      <c r="E1925" s="138">
        <f>VLOOKUP(Purchase[[#This Row],[Supplier ID]],Supplier[#All],3,0)</f>
        <v>9689542480</v>
      </c>
      <c r="F1925" s="138" t="str">
        <f>VLOOKUP(Purchase[[#This Row],[Supplier ID]],Supplier[#All],4,0)</f>
        <v>Kanpur</v>
      </c>
      <c r="G1925" s="138" t="str">
        <f>VLOOKUP(Purchase[[#This Row],[Supplier ID]],Supplier[#All],5,0)</f>
        <v>UP</v>
      </c>
      <c r="H1925" s="138" t="str">
        <f>VLOOKUP(Purchase[[#This Row],[Supplier ID]],Supplier[#All],6,0)</f>
        <v>GST2154521T042</v>
      </c>
      <c r="I1925" s="138" t="s">
        <v>115</v>
      </c>
      <c r="J1925" s="139">
        <v>36</v>
      </c>
      <c r="K1925" s="143">
        <f>VLOOKUP(Purchase[[#This Row],[Product ID]],Product[#All],6,0)</f>
        <v>1444</v>
      </c>
      <c r="L1925" s="143">
        <f>Purchase[[#This Row],[Purchase Rate]]*Purchase[[#This Row],[Qty]]</f>
        <v>51984</v>
      </c>
      <c r="M1925" s="140">
        <v>0</v>
      </c>
      <c r="N1925" s="143">
        <v>0</v>
      </c>
      <c r="O1925" s="140">
        <v>0.18</v>
      </c>
      <c r="P1925" s="145">
        <f>(Purchase[[#This Row],[Gross Amount]]-Purchase[[#This Row],[Disct %]])*Purchase[[#This Row],[GST %]]</f>
        <v>9357.119999999999</v>
      </c>
      <c r="Q1925" s="145">
        <f>Purchase[[#This Row],[Gross Amount]]-Purchase[[#This Row],[Disct Amnt]]+Purchase[[#This Row],[GST Amount]]</f>
        <v>61341.119999999995</v>
      </c>
      <c r="R1925" s="138" t="s">
        <v>1019</v>
      </c>
      <c r="S1925" s="41">
        <f>IF(Purchase[[#This Row],[Status]]="Cancelled",0,Purchase[[#This Row],[Qty]])</f>
        <v>36</v>
      </c>
      <c r="T1925" s="146">
        <f>IF(Purchase[[#This Row],[Status]]="Cancelled",0,Purchase[[#This Row],[Total Amount]])</f>
        <v>61341.119999999995</v>
      </c>
      <c r="U1925" s="146">
        <f>SUM(Purchase[Net Amount])</f>
        <v>814985438.68000126</v>
      </c>
    </row>
    <row r="1926" spans="1:21" ht="19.5" thickBot="1" x14ac:dyDescent="0.3">
      <c r="A1926" s="136" t="s">
        <v>2982</v>
      </c>
      <c r="B1926" s="137">
        <v>45752</v>
      </c>
      <c r="C1926" s="138" t="s">
        <v>597</v>
      </c>
      <c r="D1926" s="138" t="str">
        <f>VLOOKUP(Purchase[[#This Row],[Supplier ID]],Supplier[#All],2,0)</f>
        <v>Tech Traders</v>
      </c>
      <c r="E1926" s="138">
        <f>VLOOKUP(Purchase[[#This Row],[Supplier ID]],Supplier[#All],3,0)</f>
        <v>9689542480</v>
      </c>
      <c r="F1926" s="138" t="str">
        <f>VLOOKUP(Purchase[[#This Row],[Supplier ID]],Supplier[#All],4,0)</f>
        <v>Kanpur</v>
      </c>
      <c r="G1926" s="138" t="str">
        <f>VLOOKUP(Purchase[[#This Row],[Supplier ID]],Supplier[#All],5,0)</f>
        <v>UP</v>
      </c>
      <c r="H1926" s="138" t="str">
        <f>VLOOKUP(Purchase[[#This Row],[Supplier ID]],Supplier[#All],6,0)</f>
        <v>GST2154521T042</v>
      </c>
      <c r="I1926" s="138" t="s">
        <v>395</v>
      </c>
      <c r="J1926" s="139">
        <v>32</v>
      </c>
      <c r="K1926" s="143">
        <f>VLOOKUP(Purchase[[#This Row],[Product ID]],Product[#All],6,0)</f>
        <v>4422</v>
      </c>
      <c r="L1926" s="143">
        <f>Purchase[[#This Row],[Purchase Rate]]*Purchase[[#This Row],[Qty]]</f>
        <v>141504</v>
      </c>
      <c r="M1926" s="140">
        <v>0</v>
      </c>
      <c r="N1926" s="143">
        <v>0</v>
      </c>
      <c r="O1926" s="140">
        <v>0.18</v>
      </c>
      <c r="P1926" s="145">
        <f>(Purchase[[#This Row],[Gross Amount]]-Purchase[[#This Row],[Disct %]])*Purchase[[#This Row],[GST %]]</f>
        <v>25470.719999999998</v>
      </c>
      <c r="Q1926" s="145">
        <f>Purchase[[#This Row],[Gross Amount]]-Purchase[[#This Row],[Disct Amnt]]+Purchase[[#This Row],[GST Amount]]</f>
        <v>166974.72</v>
      </c>
      <c r="R1926" s="138" t="s">
        <v>1019</v>
      </c>
      <c r="S1926" s="41">
        <f>IF(Purchase[[#This Row],[Status]]="Cancelled",0,Purchase[[#This Row],[Qty]])</f>
        <v>32</v>
      </c>
      <c r="T1926" s="146">
        <f>IF(Purchase[[#This Row],[Status]]="Cancelled",0,Purchase[[#This Row],[Total Amount]])</f>
        <v>166974.72</v>
      </c>
      <c r="U1926" s="146">
        <f>SUM(Purchase[Net Amount])</f>
        <v>814985438.68000126</v>
      </c>
    </row>
    <row r="1927" spans="1:21" ht="19.5" thickBot="1" x14ac:dyDescent="0.3">
      <c r="A1927" s="136" t="s">
        <v>2983</v>
      </c>
      <c r="B1927" s="137">
        <v>45752</v>
      </c>
      <c r="C1927" s="138" t="s">
        <v>593</v>
      </c>
      <c r="D1927" s="138" t="str">
        <f>VLOOKUP(Purchase[[#This Row],[Supplier ID]],Supplier[#All],2,0)</f>
        <v>Global Suppliers</v>
      </c>
      <c r="E1927" s="138">
        <f>VLOOKUP(Purchase[[#This Row],[Supplier ID]],Supplier[#All],3,0)</f>
        <v>9689542476</v>
      </c>
      <c r="F1927" s="138" t="str">
        <f>VLOOKUP(Purchase[[#This Row],[Supplier ID]],Supplier[#All],4,0)</f>
        <v>Korba</v>
      </c>
      <c r="G1927" s="138" t="str">
        <f>VLOOKUP(Purchase[[#This Row],[Supplier ID]],Supplier[#All],5,0)</f>
        <v>CG</v>
      </c>
      <c r="H1927" s="138" t="str">
        <f>VLOOKUP(Purchase[[#This Row],[Supplier ID]],Supplier[#All],6,0)</f>
        <v>GST2154521T038</v>
      </c>
      <c r="I1927" s="138" t="s">
        <v>277</v>
      </c>
      <c r="J1927" s="139">
        <v>39</v>
      </c>
      <c r="K1927" s="143">
        <f>VLOOKUP(Purchase[[#This Row],[Product ID]],Product[#All],6,0)</f>
        <v>3844</v>
      </c>
      <c r="L1927" s="143">
        <f>Purchase[[#This Row],[Purchase Rate]]*Purchase[[#This Row],[Qty]]</f>
        <v>149916</v>
      </c>
      <c r="M1927" s="140">
        <v>0</v>
      </c>
      <c r="N1927" s="143">
        <v>0</v>
      </c>
      <c r="O1927" s="140">
        <v>0.18</v>
      </c>
      <c r="P1927" s="145">
        <f>(Purchase[[#This Row],[Gross Amount]]-Purchase[[#This Row],[Disct %]])*Purchase[[#This Row],[GST %]]</f>
        <v>26984.879999999997</v>
      </c>
      <c r="Q1927" s="145">
        <f>Purchase[[#This Row],[Gross Amount]]-Purchase[[#This Row],[Disct Amnt]]+Purchase[[#This Row],[GST Amount]]</f>
        <v>176900.88</v>
      </c>
      <c r="R1927" s="138" t="s">
        <v>1019</v>
      </c>
      <c r="S1927" s="41">
        <f>IF(Purchase[[#This Row],[Status]]="Cancelled",0,Purchase[[#This Row],[Qty]])</f>
        <v>39</v>
      </c>
      <c r="T1927" s="146">
        <f>IF(Purchase[[#This Row],[Status]]="Cancelled",0,Purchase[[#This Row],[Total Amount]])</f>
        <v>176900.88</v>
      </c>
      <c r="U1927" s="146">
        <f>SUM(Purchase[Net Amount])</f>
        <v>814985438.68000126</v>
      </c>
    </row>
    <row r="1928" spans="1:21" ht="19.5" thickBot="1" x14ac:dyDescent="0.3">
      <c r="A1928" s="136" t="s">
        <v>2984</v>
      </c>
      <c r="B1928" s="137">
        <v>45752</v>
      </c>
      <c r="C1928" s="138" t="s">
        <v>610</v>
      </c>
      <c r="D1928" s="138" t="str">
        <f>VLOOKUP(Purchase[[#This Row],[Supplier ID]],Supplier[#All],2,0)</f>
        <v>Shree Electronics</v>
      </c>
      <c r="E1928" s="138">
        <f>VLOOKUP(Purchase[[#This Row],[Supplier ID]],Supplier[#All],3,0)</f>
        <v>9689542493</v>
      </c>
      <c r="F1928" s="138" t="str">
        <f>VLOOKUP(Purchase[[#This Row],[Supplier ID]],Supplier[#All],4,0)</f>
        <v>Kanpur</v>
      </c>
      <c r="G1928" s="138" t="str">
        <f>VLOOKUP(Purchase[[#This Row],[Supplier ID]],Supplier[#All],5,0)</f>
        <v>UP</v>
      </c>
      <c r="H1928" s="138" t="str">
        <f>VLOOKUP(Purchase[[#This Row],[Supplier ID]],Supplier[#All],6,0)</f>
        <v>GST2154521T055</v>
      </c>
      <c r="I1928" s="138" t="s">
        <v>137</v>
      </c>
      <c r="J1928" s="139">
        <v>4</v>
      </c>
      <c r="K1928" s="143">
        <f>VLOOKUP(Purchase[[#This Row],[Product ID]],Product[#All],6,0)</f>
        <v>6071</v>
      </c>
      <c r="L1928" s="143">
        <f>Purchase[[#This Row],[Purchase Rate]]*Purchase[[#This Row],[Qty]]</f>
        <v>24284</v>
      </c>
      <c r="M1928" s="140">
        <v>0</v>
      </c>
      <c r="N1928" s="143">
        <v>0</v>
      </c>
      <c r="O1928" s="140">
        <v>0.18</v>
      </c>
      <c r="P1928" s="145">
        <f>(Purchase[[#This Row],[Gross Amount]]-Purchase[[#This Row],[Disct %]])*Purchase[[#This Row],[GST %]]</f>
        <v>4371.12</v>
      </c>
      <c r="Q1928" s="145">
        <f>Purchase[[#This Row],[Gross Amount]]-Purchase[[#This Row],[Disct Amnt]]+Purchase[[#This Row],[GST Amount]]</f>
        <v>28655.119999999999</v>
      </c>
      <c r="R1928" s="138" t="s">
        <v>1019</v>
      </c>
      <c r="S1928" s="41">
        <f>IF(Purchase[[#This Row],[Status]]="Cancelled",0,Purchase[[#This Row],[Qty]])</f>
        <v>4</v>
      </c>
      <c r="T1928" s="146">
        <f>IF(Purchase[[#This Row],[Status]]="Cancelled",0,Purchase[[#This Row],[Total Amount]])</f>
        <v>28655.119999999999</v>
      </c>
      <c r="U1928" s="146">
        <f>SUM(Purchase[Net Amount])</f>
        <v>814985438.68000126</v>
      </c>
    </row>
    <row r="1929" spans="1:21" ht="19.5" thickBot="1" x14ac:dyDescent="0.3">
      <c r="A1929" s="136" t="s">
        <v>2985</v>
      </c>
      <c r="B1929" s="137">
        <v>45752</v>
      </c>
      <c r="C1929" s="138" t="s">
        <v>565</v>
      </c>
      <c r="D1929" s="138" t="str">
        <f>VLOOKUP(Purchase[[#This Row],[Supplier ID]],Supplier[#All],2,0)</f>
        <v>Global Suppliers</v>
      </c>
      <c r="E1929" s="138">
        <f>VLOOKUP(Purchase[[#This Row],[Supplier ID]],Supplier[#All],3,0)</f>
        <v>9689542459</v>
      </c>
      <c r="F1929" s="138" t="str">
        <f>VLOOKUP(Purchase[[#This Row],[Supplier ID]],Supplier[#All],4,0)</f>
        <v>Indore</v>
      </c>
      <c r="G1929" s="138" t="str">
        <f>VLOOKUP(Purchase[[#This Row],[Supplier ID]],Supplier[#All],5,0)</f>
        <v>MP</v>
      </c>
      <c r="H1929" s="138" t="str">
        <f>VLOOKUP(Purchase[[#This Row],[Supplier ID]],Supplier[#All],6,0)</f>
        <v>GST2154521T013</v>
      </c>
      <c r="I1929" s="138" t="s">
        <v>332</v>
      </c>
      <c r="J1929" s="139">
        <v>34</v>
      </c>
      <c r="K1929" s="143">
        <f>VLOOKUP(Purchase[[#This Row],[Product ID]],Product[#All],6,0)</f>
        <v>21908</v>
      </c>
      <c r="L1929" s="143">
        <f>Purchase[[#This Row],[Purchase Rate]]*Purchase[[#This Row],[Qty]]</f>
        <v>744872</v>
      </c>
      <c r="M1929" s="140">
        <v>0</v>
      </c>
      <c r="N1929" s="143">
        <v>0</v>
      </c>
      <c r="O1929" s="140">
        <v>0.18</v>
      </c>
      <c r="P1929" s="145">
        <f>(Purchase[[#This Row],[Gross Amount]]-Purchase[[#This Row],[Disct %]])*Purchase[[#This Row],[GST %]]</f>
        <v>134076.96</v>
      </c>
      <c r="Q1929" s="145">
        <f>Purchase[[#This Row],[Gross Amount]]-Purchase[[#This Row],[Disct Amnt]]+Purchase[[#This Row],[GST Amount]]</f>
        <v>878948.96</v>
      </c>
      <c r="R1929" s="138" t="s">
        <v>1019</v>
      </c>
      <c r="S1929" s="41">
        <f>IF(Purchase[[#This Row],[Status]]="Cancelled",0,Purchase[[#This Row],[Qty]])</f>
        <v>34</v>
      </c>
      <c r="T1929" s="146">
        <f>IF(Purchase[[#This Row],[Status]]="Cancelled",0,Purchase[[#This Row],[Total Amount]])</f>
        <v>878948.96</v>
      </c>
      <c r="U1929" s="146">
        <f>SUM(Purchase[Net Amount])</f>
        <v>814985438.68000126</v>
      </c>
    </row>
    <row r="1930" spans="1:21" ht="19.5" thickBot="1" x14ac:dyDescent="0.3">
      <c r="A1930" s="136" t="s">
        <v>2986</v>
      </c>
      <c r="B1930" s="137">
        <v>45752</v>
      </c>
      <c r="C1930" s="138" t="s">
        <v>565</v>
      </c>
      <c r="D1930" s="138" t="str">
        <f>VLOOKUP(Purchase[[#This Row],[Supplier ID]],Supplier[#All],2,0)</f>
        <v>Global Suppliers</v>
      </c>
      <c r="E1930" s="138">
        <f>VLOOKUP(Purchase[[#This Row],[Supplier ID]],Supplier[#All],3,0)</f>
        <v>9689542459</v>
      </c>
      <c r="F1930" s="138" t="str">
        <f>VLOOKUP(Purchase[[#This Row],[Supplier ID]],Supplier[#All],4,0)</f>
        <v>Indore</v>
      </c>
      <c r="G1930" s="138" t="str">
        <f>VLOOKUP(Purchase[[#This Row],[Supplier ID]],Supplier[#All],5,0)</f>
        <v>MP</v>
      </c>
      <c r="H1930" s="138" t="str">
        <f>VLOOKUP(Purchase[[#This Row],[Supplier ID]],Supplier[#All],6,0)</f>
        <v>GST2154521T013</v>
      </c>
      <c r="I1930" s="138" t="s">
        <v>404</v>
      </c>
      <c r="J1930" s="139">
        <v>2</v>
      </c>
      <c r="K1930" s="143">
        <f>VLOOKUP(Purchase[[#This Row],[Product ID]],Product[#All],6,0)</f>
        <v>2655</v>
      </c>
      <c r="L1930" s="143">
        <f>Purchase[[#This Row],[Purchase Rate]]*Purchase[[#This Row],[Qty]]</f>
        <v>5310</v>
      </c>
      <c r="M1930" s="140">
        <v>0</v>
      </c>
      <c r="N1930" s="143">
        <v>0</v>
      </c>
      <c r="O1930" s="140">
        <v>0.18</v>
      </c>
      <c r="P1930" s="145">
        <f>(Purchase[[#This Row],[Gross Amount]]-Purchase[[#This Row],[Disct %]])*Purchase[[#This Row],[GST %]]</f>
        <v>955.8</v>
      </c>
      <c r="Q1930" s="145">
        <f>Purchase[[#This Row],[Gross Amount]]-Purchase[[#This Row],[Disct Amnt]]+Purchase[[#This Row],[GST Amount]]</f>
        <v>6265.8</v>
      </c>
      <c r="R1930" s="138" t="s">
        <v>1019</v>
      </c>
      <c r="S1930" s="41">
        <f>IF(Purchase[[#This Row],[Status]]="Cancelled",0,Purchase[[#This Row],[Qty]])</f>
        <v>2</v>
      </c>
      <c r="T1930" s="146">
        <f>IF(Purchase[[#This Row],[Status]]="Cancelled",0,Purchase[[#This Row],[Total Amount]])</f>
        <v>6265.8</v>
      </c>
      <c r="U1930" s="146">
        <f>SUM(Purchase[Net Amount])</f>
        <v>814985438.68000126</v>
      </c>
    </row>
    <row r="1931" spans="1:21" ht="19.5" thickBot="1" x14ac:dyDescent="0.3">
      <c r="A1931" s="136" t="s">
        <v>2987</v>
      </c>
      <c r="B1931" s="137">
        <v>45752</v>
      </c>
      <c r="C1931" s="138" t="s">
        <v>584</v>
      </c>
      <c r="D1931" s="138" t="str">
        <f>VLOOKUP(Purchase[[#This Row],[Supplier ID]],Supplier[#All],2,0)</f>
        <v>Prime Computers</v>
      </c>
      <c r="E1931" s="138">
        <f>VLOOKUP(Purchase[[#This Row],[Supplier ID]],Supplier[#All],3,0)</f>
        <v>9689542468</v>
      </c>
      <c r="F1931" s="138" t="str">
        <f>VLOOKUP(Purchase[[#This Row],[Supplier ID]],Supplier[#All],4,0)</f>
        <v>Kanpur</v>
      </c>
      <c r="G1931" s="138" t="str">
        <f>VLOOKUP(Purchase[[#This Row],[Supplier ID]],Supplier[#All],5,0)</f>
        <v>UP</v>
      </c>
      <c r="H1931" s="138" t="str">
        <f>VLOOKUP(Purchase[[#This Row],[Supplier ID]],Supplier[#All],6,0)</f>
        <v>GST2154521T030</v>
      </c>
      <c r="I1931" s="138" t="s">
        <v>291</v>
      </c>
      <c r="J1931" s="139">
        <v>9</v>
      </c>
      <c r="K1931" s="143">
        <f>VLOOKUP(Purchase[[#This Row],[Product ID]],Product[#All],6,0)</f>
        <v>9494</v>
      </c>
      <c r="L1931" s="143">
        <f>Purchase[[#This Row],[Purchase Rate]]*Purchase[[#This Row],[Qty]]</f>
        <v>85446</v>
      </c>
      <c r="M1931" s="140">
        <v>0</v>
      </c>
      <c r="N1931" s="143">
        <v>0</v>
      </c>
      <c r="O1931" s="140">
        <v>0.18</v>
      </c>
      <c r="P1931" s="145">
        <f>(Purchase[[#This Row],[Gross Amount]]-Purchase[[#This Row],[Disct %]])*Purchase[[#This Row],[GST %]]</f>
        <v>15380.279999999999</v>
      </c>
      <c r="Q1931" s="145">
        <f>Purchase[[#This Row],[Gross Amount]]-Purchase[[#This Row],[Disct Amnt]]+Purchase[[#This Row],[GST Amount]]</f>
        <v>100826.28</v>
      </c>
      <c r="R1931" s="138" t="s">
        <v>1019</v>
      </c>
      <c r="S1931" s="41">
        <f>IF(Purchase[[#This Row],[Status]]="Cancelled",0,Purchase[[#This Row],[Qty]])</f>
        <v>9</v>
      </c>
      <c r="T1931" s="146">
        <f>IF(Purchase[[#This Row],[Status]]="Cancelled",0,Purchase[[#This Row],[Total Amount]])</f>
        <v>100826.28</v>
      </c>
      <c r="U1931" s="146">
        <f>SUM(Purchase[Net Amount])</f>
        <v>814985438.68000126</v>
      </c>
    </row>
    <row r="1932" spans="1:21" ht="19.5" thickBot="1" x14ac:dyDescent="0.3">
      <c r="A1932" s="136" t="s">
        <v>2988</v>
      </c>
      <c r="B1932" s="137">
        <v>45752</v>
      </c>
      <c r="C1932" s="138" t="s">
        <v>566</v>
      </c>
      <c r="D1932" s="138" t="str">
        <f>VLOOKUP(Purchase[[#This Row],[Supplier ID]],Supplier[#All],2,0)</f>
        <v>Maa Computers</v>
      </c>
      <c r="E1932" s="138">
        <f>VLOOKUP(Purchase[[#This Row],[Supplier ID]],Supplier[#All],3,0)</f>
        <v>9689542452</v>
      </c>
      <c r="F1932" s="138" t="str">
        <f>VLOOKUP(Purchase[[#This Row],[Supplier ID]],Supplier[#All],4,0)</f>
        <v>Kanpur</v>
      </c>
      <c r="G1932" s="138" t="str">
        <f>VLOOKUP(Purchase[[#This Row],[Supplier ID]],Supplier[#All],5,0)</f>
        <v>UP</v>
      </c>
      <c r="H1932" s="138" t="str">
        <f>VLOOKUP(Purchase[[#This Row],[Supplier ID]],Supplier[#All],6,0)</f>
        <v>GST2154521T014</v>
      </c>
      <c r="I1932" s="138" t="s">
        <v>530</v>
      </c>
      <c r="J1932" s="139">
        <v>20</v>
      </c>
      <c r="K1932" s="143">
        <f>VLOOKUP(Purchase[[#This Row],[Product ID]],Product[#All],6,0)</f>
        <v>26588</v>
      </c>
      <c r="L1932" s="143">
        <f>Purchase[[#This Row],[Purchase Rate]]*Purchase[[#This Row],[Qty]]</f>
        <v>531760</v>
      </c>
      <c r="M1932" s="140">
        <v>0</v>
      </c>
      <c r="N1932" s="143">
        <v>0</v>
      </c>
      <c r="O1932" s="140">
        <v>0.18</v>
      </c>
      <c r="P1932" s="145">
        <f>(Purchase[[#This Row],[Gross Amount]]-Purchase[[#This Row],[Disct %]])*Purchase[[#This Row],[GST %]]</f>
        <v>95716.800000000003</v>
      </c>
      <c r="Q1932" s="145">
        <f>Purchase[[#This Row],[Gross Amount]]-Purchase[[#This Row],[Disct Amnt]]+Purchase[[#This Row],[GST Amount]]</f>
        <v>627476.80000000005</v>
      </c>
      <c r="R1932" s="138" t="s">
        <v>1019</v>
      </c>
      <c r="S1932" s="41">
        <f>IF(Purchase[[#This Row],[Status]]="Cancelled",0,Purchase[[#This Row],[Qty]])</f>
        <v>20</v>
      </c>
      <c r="T1932" s="146">
        <f>IF(Purchase[[#This Row],[Status]]="Cancelled",0,Purchase[[#This Row],[Total Amount]])</f>
        <v>627476.80000000005</v>
      </c>
      <c r="U1932" s="146">
        <f>SUM(Purchase[Net Amount])</f>
        <v>814985438.68000126</v>
      </c>
    </row>
    <row r="1933" spans="1:21" ht="19.5" thickBot="1" x14ac:dyDescent="0.3">
      <c r="A1933" s="136" t="s">
        <v>2989</v>
      </c>
      <c r="B1933" s="137">
        <v>45752</v>
      </c>
      <c r="C1933" s="138" t="s">
        <v>1855</v>
      </c>
      <c r="D1933" s="138" t="str">
        <f>VLOOKUP(Purchase[[#This Row],[Supplier ID]],Supplier[#All],2,0)</f>
        <v>Shree Computers</v>
      </c>
      <c r="E1933" s="138">
        <f>VLOOKUP(Purchase[[#This Row],[Supplier ID]],Supplier[#All],3,0)</f>
        <v>9689542475</v>
      </c>
      <c r="F1933" s="138" t="str">
        <f>VLOOKUP(Purchase[[#This Row],[Supplier ID]],Supplier[#All],4,0)</f>
        <v>Indore</v>
      </c>
      <c r="G1933" s="138" t="str">
        <f>VLOOKUP(Purchase[[#This Row],[Supplier ID]],Supplier[#All],5,0)</f>
        <v>MP</v>
      </c>
      <c r="H1933" s="138" t="str">
        <f>VLOOKUP(Purchase[[#This Row],[Supplier ID]],Supplier[#All],6,0)</f>
        <v>GST2154521T037</v>
      </c>
      <c r="I1933" s="138" t="s">
        <v>182</v>
      </c>
      <c r="J1933" s="139">
        <v>7</v>
      </c>
      <c r="K1933" s="143">
        <f>VLOOKUP(Purchase[[#This Row],[Product ID]],Product[#All],6,0)</f>
        <v>8348</v>
      </c>
      <c r="L1933" s="143">
        <f>Purchase[[#This Row],[Purchase Rate]]*Purchase[[#This Row],[Qty]]</f>
        <v>58436</v>
      </c>
      <c r="M1933" s="140">
        <v>0</v>
      </c>
      <c r="N1933" s="143">
        <v>0</v>
      </c>
      <c r="O1933" s="140">
        <v>0.18</v>
      </c>
      <c r="P1933" s="145">
        <f>(Purchase[[#This Row],[Gross Amount]]-Purchase[[#This Row],[Disct %]])*Purchase[[#This Row],[GST %]]</f>
        <v>10518.48</v>
      </c>
      <c r="Q1933" s="145">
        <f>Purchase[[#This Row],[Gross Amount]]-Purchase[[#This Row],[Disct Amnt]]+Purchase[[#This Row],[GST Amount]]</f>
        <v>68954.48</v>
      </c>
      <c r="R1933" s="138" t="s">
        <v>1019</v>
      </c>
      <c r="S1933" s="41">
        <f>IF(Purchase[[#This Row],[Status]]="Cancelled",0,Purchase[[#This Row],[Qty]])</f>
        <v>7</v>
      </c>
      <c r="T1933" s="146">
        <f>IF(Purchase[[#This Row],[Status]]="Cancelled",0,Purchase[[#This Row],[Total Amount]])</f>
        <v>68954.48</v>
      </c>
      <c r="U1933" s="146">
        <f>SUM(Purchase[Net Amount])</f>
        <v>814985438.68000126</v>
      </c>
    </row>
    <row r="1934" spans="1:21" ht="19.5" thickBot="1" x14ac:dyDescent="0.3">
      <c r="A1934" s="136" t="s">
        <v>2990</v>
      </c>
      <c r="B1934" s="137">
        <v>45752</v>
      </c>
      <c r="C1934" s="138" t="s">
        <v>573</v>
      </c>
      <c r="D1934" s="138" t="str">
        <f>VLOOKUP(Purchase[[#This Row],[Supplier ID]],Supplier[#All],2,0)</f>
        <v>Shree Traders</v>
      </c>
      <c r="E1934" s="138">
        <f>VLOOKUP(Purchase[[#This Row],[Supplier ID]],Supplier[#All],3,0)</f>
        <v>9689542458</v>
      </c>
      <c r="F1934" s="138" t="str">
        <f>VLOOKUP(Purchase[[#This Row],[Supplier ID]],Supplier[#All],4,0)</f>
        <v>Korba</v>
      </c>
      <c r="G1934" s="138" t="str">
        <f>VLOOKUP(Purchase[[#This Row],[Supplier ID]],Supplier[#All],5,0)</f>
        <v>CG</v>
      </c>
      <c r="H1934" s="138" t="str">
        <f>VLOOKUP(Purchase[[#This Row],[Supplier ID]],Supplier[#All],6,0)</f>
        <v>GST2154521T020</v>
      </c>
      <c r="I1934" s="138" t="s">
        <v>358</v>
      </c>
      <c r="J1934" s="139">
        <v>3</v>
      </c>
      <c r="K1934" s="143">
        <f>VLOOKUP(Purchase[[#This Row],[Product ID]],Product[#All],6,0)</f>
        <v>3087</v>
      </c>
      <c r="L1934" s="143">
        <f>Purchase[[#This Row],[Purchase Rate]]*Purchase[[#This Row],[Qty]]</f>
        <v>9261</v>
      </c>
      <c r="M1934" s="140">
        <v>0</v>
      </c>
      <c r="N1934" s="143">
        <v>0</v>
      </c>
      <c r="O1934" s="140">
        <v>0.18</v>
      </c>
      <c r="P1934" s="145">
        <f>(Purchase[[#This Row],[Gross Amount]]-Purchase[[#This Row],[Disct %]])*Purchase[[#This Row],[GST %]]</f>
        <v>1666.98</v>
      </c>
      <c r="Q1934" s="145">
        <f>Purchase[[#This Row],[Gross Amount]]-Purchase[[#This Row],[Disct Amnt]]+Purchase[[#This Row],[GST Amount]]</f>
        <v>10927.98</v>
      </c>
      <c r="R1934" s="138" t="s">
        <v>1019</v>
      </c>
      <c r="S1934" s="41">
        <f>IF(Purchase[[#This Row],[Status]]="Cancelled",0,Purchase[[#This Row],[Qty]])</f>
        <v>3</v>
      </c>
      <c r="T1934" s="146">
        <f>IF(Purchase[[#This Row],[Status]]="Cancelled",0,Purchase[[#This Row],[Total Amount]])</f>
        <v>10927.98</v>
      </c>
      <c r="U1934" s="146">
        <f>SUM(Purchase[Net Amount])</f>
        <v>814985438.68000126</v>
      </c>
    </row>
    <row r="1935" spans="1:21" ht="19.5" thickBot="1" x14ac:dyDescent="0.3">
      <c r="A1935" s="136" t="s">
        <v>2991</v>
      </c>
      <c r="B1935" s="137">
        <v>45752</v>
      </c>
      <c r="C1935" s="138" t="s">
        <v>615</v>
      </c>
      <c r="D1935" s="138" t="str">
        <f>VLOOKUP(Purchase[[#This Row],[Supplier ID]],Supplier[#All],2,0)</f>
        <v>NATIONAL ELECTRONICS</v>
      </c>
      <c r="E1935" s="138">
        <f>VLOOKUP(Purchase[[#This Row],[Supplier ID]],Supplier[#All],3,0)</f>
        <v>9689542498</v>
      </c>
      <c r="F1935" s="138" t="str">
        <f>VLOOKUP(Purchase[[#This Row],[Supplier ID]],Supplier[#All],4,0)</f>
        <v>Kanpur</v>
      </c>
      <c r="G1935" s="138" t="str">
        <f>VLOOKUP(Purchase[[#This Row],[Supplier ID]],Supplier[#All],5,0)</f>
        <v>UP</v>
      </c>
      <c r="H1935" s="138" t="str">
        <f>VLOOKUP(Purchase[[#This Row],[Supplier ID]],Supplier[#All],6,0)</f>
        <v>GST2154521T060</v>
      </c>
      <c r="I1935" s="138" t="s">
        <v>171</v>
      </c>
      <c r="J1935" s="139">
        <v>28</v>
      </c>
      <c r="K1935" s="143">
        <f>VLOOKUP(Purchase[[#This Row],[Product ID]],Product[#All],6,0)</f>
        <v>3469</v>
      </c>
      <c r="L1935" s="143">
        <f>Purchase[[#This Row],[Purchase Rate]]*Purchase[[#This Row],[Qty]]</f>
        <v>97132</v>
      </c>
      <c r="M1935" s="140">
        <v>0</v>
      </c>
      <c r="N1935" s="143">
        <v>0</v>
      </c>
      <c r="O1935" s="140">
        <v>0.18</v>
      </c>
      <c r="P1935" s="145">
        <f>(Purchase[[#This Row],[Gross Amount]]-Purchase[[#This Row],[Disct %]])*Purchase[[#This Row],[GST %]]</f>
        <v>17483.759999999998</v>
      </c>
      <c r="Q1935" s="145">
        <f>Purchase[[#This Row],[Gross Amount]]-Purchase[[#This Row],[Disct Amnt]]+Purchase[[#This Row],[GST Amount]]</f>
        <v>114615.76</v>
      </c>
      <c r="R1935" s="138" t="s">
        <v>1019</v>
      </c>
      <c r="S1935" s="41">
        <f>IF(Purchase[[#This Row],[Status]]="Cancelled",0,Purchase[[#This Row],[Qty]])</f>
        <v>28</v>
      </c>
      <c r="T1935" s="146">
        <f>IF(Purchase[[#This Row],[Status]]="Cancelled",0,Purchase[[#This Row],[Total Amount]])</f>
        <v>114615.76</v>
      </c>
      <c r="U1935" s="146">
        <f>SUM(Purchase[Net Amount])</f>
        <v>814985438.68000126</v>
      </c>
    </row>
    <row r="1936" spans="1:21" ht="19.5" thickBot="1" x14ac:dyDescent="0.3">
      <c r="A1936" s="136" t="s">
        <v>2992</v>
      </c>
      <c r="B1936" s="137">
        <v>45752</v>
      </c>
      <c r="C1936" s="138" t="s">
        <v>597</v>
      </c>
      <c r="D1936" s="138" t="str">
        <f>VLOOKUP(Purchase[[#This Row],[Supplier ID]],Supplier[#All],2,0)</f>
        <v>Tech Traders</v>
      </c>
      <c r="E1936" s="138">
        <f>VLOOKUP(Purchase[[#This Row],[Supplier ID]],Supplier[#All],3,0)</f>
        <v>9689542480</v>
      </c>
      <c r="F1936" s="138" t="str">
        <f>VLOOKUP(Purchase[[#This Row],[Supplier ID]],Supplier[#All],4,0)</f>
        <v>Kanpur</v>
      </c>
      <c r="G1936" s="138" t="str">
        <f>VLOOKUP(Purchase[[#This Row],[Supplier ID]],Supplier[#All],5,0)</f>
        <v>UP</v>
      </c>
      <c r="H1936" s="138" t="str">
        <f>VLOOKUP(Purchase[[#This Row],[Supplier ID]],Supplier[#All],6,0)</f>
        <v>GST2154521T042</v>
      </c>
      <c r="I1936" s="138" t="s">
        <v>78</v>
      </c>
      <c r="J1936" s="139">
        <v>3</v>
      </c>
      <c r="K1936" s="143">
        <f>VLOOKUP(Purchase[[#This Row],[Product ID]],Product[#All],6,0)</f>
        <v>13714</v>
      </c>
      <c r="L1936" s="143">
        <f>Purchase[[#This Row],[Purchase Rate]]*Purchase[[#This Row],[Qty]]</f>
        <v>41142</v>
      </c>
      <c r="M1936" s="140">
        <v>0</v>
      </c>
      <c r="N1936" s="143">
        <v>0</v>
      </c>
      <c r="O1936" s="140">
        <v>0.18</v>
      </c>
      <c r="P1936" s="145">
        <f>(Purchase[[#This Row],[Gross Amount]]-Purchase[[#This Row],[Disct %]])*Purchase[[#This Row],[GST %]]</f>
        <v>7405.5599999999995</v>
      </c>
      <c r="Q1936" s="145">
        <f>Purchase[[#This Row],[Gross Amount]]-Purchase[[#This Row],[Disct Amnt]]+Purchase[[#This Row],[GST Amount]]</f>
        <v>48547.56</v>
      </c>
      <c r="R1936" s="138" t="s">
        <v>1019</v>
      </c>
      <c r="S1936" s="41">
        <f>IF(Purchase[[#This Row],[Status]]="Cancelled",0,Purchase[[#This Row],[Qty]])</f>
        <v>3</v>
      </c>
      <c r="T1936" s="146">
        <f>IF(Purchase[[#This Row],[Status]]="Cancelled",0,Purchase[[#This Row],[Total Amount]])</f>
        <v>48547.56</v>
      </c>
      <c r="U1936" s="146">
        <f>SUM(Purchase[Net Amount])</f>
        <v>814985438.68000126</v>
      </c>
    </row>
    <row r="1937" spans="1:21" ht="19.5" thickBot="1" x14ac:dyDescent="0.3">
      <c r="A1937" s="136" t="s">
        <v>2993</v>
      </c>
      <c r="B1937" s="137">
        <v>45752</v>
      </c>
      <c r="C1937" s="138" t="s">
        <v>579</v>
      </c>
      <c r="D1937" s="138" t="str">
        <f>VLOOKUP(Purchase[[#This Row],[Supplier ID]],Supplier[#All],2,0)</f>
        <v>Tech Traders</v>
      </c>
      <c r="E1937" s="138">
        <f>VLOOKUP(Purchase[[#This Row],[Supplier ID]],Supplier[#All],3,0)</f>
        <v>9689542463</v>
      </c>
      <c r="F1937" s="138" t="str">
        <f>VLOOKUP(Purchase[[#This Row],[Supplier ID]],Supplier[#All],4,0)</f>
        <v>Kanpur</v>
      </c>
      <c r="G1937" s="138" t="str">
        <f>VLOOKUP(Purchase[[#This Row],[Supplier ID]],Supplier[#All],5,0)</f>
        <v>UP</v>
      </c>
      <c r="H1937" s="138" t="str">
        <f>VLOOKUP(Purchase[[#This Row],[Supplier ID]],Supplier[#All],6,0)</f>
        <v>GST2154521T025</v>
      </c>
      <c r="I1937" s="138" t="s">
        <v>435</v>
      </c>
      <c r="J1937" s="139">
        <v>3</v>
      </c>
      <c r="K1937" s="143">
        <f>VLOOKUP(Purchase[[#This Row],[Product ID]],Product[#All],6,0)</f>
        <v>7192</v>
      </c>
      <c r="L1937" s="143">
        <f>Purchase[[#This Row],[Purchase Rate]]*Purchase[[#This Row],[Qty]]</f>
        <v>21576</v>
      </c>
      <c r="M1937" s="140">
        <v>0</v>
      </c>
      <c r="N1937" s="143">
        <v>0</v>
      </c>
      <c r="O1937" s="140">
        <v>0.18</v>
      </c>
      <c r="P1937" s="145">
        <f>(Purchase[[#This Row],[Gross Amount]]-Purchase[[#This Row],[Disct %]])*Purchase[[#This Row],[GST %]]</f>
        <v>3883.68</v>
      </c>
      <c r="Q1937" s="145">
        <f>Purchase[[#This Row],[Gross Amount]]-Purchase[[#This Row],[Disct Amnt]]+Purchase[[#This Row],[GST Amount]]</f>
        <v>25459.68</v>
      </c>
      <c r="R1937" s="138" t="s">
        <v>1019</v>
      </c>
      <c r="S1937" s="41">
        <f>IF(Purchase[[#This Row],[Status]]="Cancelled",0,Purchase[[#This Row],[Qty]])</f>
        <v>3</v>
      </c>
      <c r="T1937" s="146">
        <f>IF(Purchase[[#This Row],[Status]]="Cancelled",0,Purchase[[#This Row],[Total Amount]])</f>
        <v>25459.68</v>
      </c>
      <c r="U1937" s="146">
        <f>SUM(Purchase[Net Amount])</f>
        <v>814985438.68000126</v>
      </c>
    </row>
    <row r="1938" spans="1:21" ht="19.5" thickBot="1" x14ac:dyDescent="0.3">
      <c r="A1938" s="136" t="s">
        <v>2994</v>
      </c>
      <c r="B1938" s="137">
        <v>45752</v>
      </c>
      <c r="C1938" s="138" t="s">
        <v>579</v>
      </c>
      <c r="D1938" s="138" t="str">
        <f>VLOOKUP(Purchase[[#This Row],[Supplier ID]],Supplier[#All],2,0)</f>
        <v>Tech Traders</v>
      </c>
      <c r="E1938" s="138">
        <f>VLOOKUP(Purchase[[#This Row],[Supplier ID]],Supplier[#All],3,0)</f>
        <v>9689542463</v>
      </c>
      <c r="F1938" s="138" t="str">
        <f>VLOOKUP(Purchase[[#This Row],[Supplier ID]],Supplier[#All],4,0)</f>
        <v>Kanpur</v>
      </c>
      <c r="G1938" s="138" t="str">
        <f>VLOOKUP(Purchase[[#This Row],[Supplier ID]],Supplier[#All],5,0)</f>
        <v>UP</v>
      </c>
      <c r="H1938" s="138" t="str">
        <f>VLOOKUP(Purchase[[#This Row],[Supplier ID]],Supplier[#All],6,0)</f>
        <v>GST2154521T025</v>
      </c>
      <c r="I1938" s="138" t="s">
        <v>332</v>
      </c>
      <c r="J1938" s="139">
        <v>16</v>
      </c>
      <c r="K1938" s="143">
        <f>VLOOKUP(Purchase[[#This Row],[Product ID]],Product[#All],6,0)</f>
        <v>21908</v>
      </c>
      <c r="L1938" s="143">
        <f>Purchase[[#This Row],[Purchase Rate]]*Purchase[[#This Row],[Qty]]</f>
        <v>350528</v>
      </c>
      <c r="M1938" s="140">
        <v>0</v>
      </c>
      <c r="N1938" s="143">
        <v>0</v>
      </c>
      <c r="O1938" s="140">
        <v>0.18</v>
      </c>
      <c r="P1938" s="145">
        <f>(Purchase[[#This Row],[Gross Amount]]-Purchase[[#This Row],[Disct %]])*Purchase[[#This Row],[GST %]]</f>
        <v>63095.040000000001</v>
      </c>
      <c r="Q1938" s="145">
        <f>Purchase[[#This Row],[Gross Amount]]-Purchase[[#This Row],[Disct Amnt]]+Purchase[[#This Row],[GST Amount]]</f>
        <v>413623.03999999998</v>
      </c>
      <c r="R1938" s="138" t="s">
        <v>1019</v>
      </c>
      <c r="S1938" s="41">
        <f>IF(Purchase[[#This Row],[Status]]="Cancelled",0,Purchase[[#This Row],[Qty]])</f>
        <v>16</v>
      </c>
      <c r="T1938" s="146">
        <f>IF(Purchase[[#This Row],[Status]]="Cancelled",0,Purchase[[#This Row],[Total Amount]])</f>
        <v>413623.03999999998</v>
      </c>
      <c r="U1938" s="146">
        <f>SUM(Purchase[Net Amount])</f>
        <v>814985438.68000126</v>
      </c>
    </row>
    <row r="1939" spans="1:21" ht="19.5" thickBot="1" x14ac:dyDescent="0.3">
      <c r="A1939" s="136" t="s">
        <v>2995</v>
      </c>
      <c r="B1939" s="137">
        <v>45752</v>
      </c>
      <c r="C1939" s="138" t="s">
        <v>597</v>
      </c>
      <c r="D1939" s="138" t="str">
        <f>VLOOKUP(Purchase[[#This Row],[Supplier ID]],Supplier[#All],2,0)</f>
        <v>Tech Traders</v>
      </c>
      <c r="E1939" s="138">
        <f>VLOOKUP(Purchase[[#This Row],[Supplier ID]],Supplier[#All],3,0)</f>
        <v>9689542480</v>
      </c>
      <c r="F1939" s="138" t="str">
        <f>VLOOKUP(Purchase[[#This Row],[Supplier ID]],Supplier[#All],4,0)</f>
        <v>Kanpur</v>
      </c>
      <c r="G1939" s="138" t="str">
        <f>VLOOKUP(Purchase[[#This Row],[Supplier ID]],Supplier[#All],5,0)</f>
        <v>UP</v>
      </c>
      <c r="H1939" s="138" t="str">
        <f>VLOOKUP(Purchase[[#This Row],[Supplier ID]],Supplier[#All],6,0)</f>
        <v>GST2154521T042</v>
      </c>
      <c r="I1939" s="138" t="s">
        <v>391</v>
      </c>
      <c r="J1939" s="139">
        <v>32</v>
      </c>
      <c r="K1939" s="143">
        <f>VLOOKUP(Purchase[[#This Row],[Product ID]],Product[#All],6,0)</f>
        <v>8047</v>
      </c>
      <c r="L1939" s="143">
        <f>Purchase[[#This Row],[Purchase Rate]]*Purchase[[#This Row],[Qty]]</f>
        <v>257504</v>
      </c>
      <c r="M1939" s="140">
        <v>0</v>
      </c>
      <c r="N1939" s="143">
        <v>0</v>
      </c>
      <c r="O1939" s="140">
        <v>0.18</v>
      </c>
      <c r="P1939" s="145">
        <f>(Purchase[[#This Row],[Gross Amount]]-Purchase[[#This Row],[Disct %]])*Purchase[[#This Row],[GST %]]</f>
        <v>46350.720000000001</v>
      </c>
      <c r="Q1939" s="145">
        <f>Purchase[[#This Row],[Gross Amount]]-Purchase[[#This Row],[Disct Amnt]]+Purchase[[#This Row],[GST Amount]]</f>
        <v>303854.71999999997</v>
      </c>
      <c r="R1939" s="138" t="s">
        <v>1019</v>
      </c>
      <c r="S1939" s="41">
        <f>IF(Purchase[[#This Row],[Status]]="Cancelled",0,Purchase[[#This Row],[Qty]])</f>
        <v>32</v>
      </c>
      <c r="T1939" s="146">
        <f>IF(Purchase[[#This Row],[Status]]="Cancelled",0,Purchase[[#This Row],[Total Amount]])</f>
        <v>303854.71999999997</v>
      </c>
      <c r="U1939" s="146">
        <f>SUM(Purchase[Net Amount])</f>
        <v>814985438.68000126</v>
      </c>
    </row>
    <row r="1940" spans="1:21" ht="19.5" thickBot="1" x14ac:dyDescent="0.3">
      <c r="A1940" s="136" t="s">
        <v>2996</v>
      </c>
      <c r="B1940" s="137">
        <v>45752</v>
      </c>
      <c r="C1940" s="138" t="s">
        <v>593</v>
      </c>
      <c r="D1940" s="138" t="str">
        <f>VLOOKUP(Purchase[[#This Row],[Supplier ID]],Supplier[#All],2,0)</f>
        <v>Global Suppliers</v>
      </c>
      <c r="E1940" s="138">
        <f>VLOOKUP(Purchase[[#This Row],[Supplier ID]],Supplier[#All],3,0)</f>
        <v>9689542476</v>
      </c>
      <c r="F1940" s="138" t="str">
        <f>VLOOKUP(Purchase[[#This Row],[Supplier ID]],Supplier[#All],4,0)</f>
        <v>Korba</v>
      </c>
      <c r="G1940" s="138" t="str">
        <f>VLOOKUP(Purchase[[#This Row],[Supplier ID]],Supplier[#All],5,0)</f>
        <v>CG</v>
      </c>
      <c r="H1940" s="138" t="str">
        <f>VLOOKUP(Purchase[[#This Row],[Supplier ID]],Supplier[#All],6,0)</f>
        <v>GST2154521T038</v>
      </c>
      <c r="I1940" s="138" t="s">
        <v>327</v>
      </c>
      <c r="J1940" s="139">
        <v>34</v>
      </c>
      <c r="K1940" s="143">
        <f>VLOOKUP(Purchase[[#This Row],[Product ID]],Product[#All],6,0)</f>
        <v>14383</v>
      </c>
      <c r="L1940" s="143">
        <f>Purchase[[#This Row],[Purchase Rate]]*Purchase[[#This Row],[Qty]]</f>
        <v>489022</v>
      </c>
      <c r="M1940" s="140">
        <v>0</v>
      </c>
      <c r="N1940" s="143">
        <v>0</v>
      </c>
      <c r="O1940" s="140">
        <v>0.18</v>
      </c>
      <c r="P1940" s="145">
        <f>(Purchase[[#This Row],[Gross Amount]]-Purchase[[#This Row],[Disct %]])*Purchase[[#This Row],[GST %]]</f>
        <v>88023.959999999992</v>
      </c>
      <c r="Q1940" s="145">
        <f>Purchase[[#This Row],[Gross Amount]]-Purchase[[#This Row],[Disct Amnt]]+Purchase[[#This Row],[GST Amount]]</f>
        <v>577045.96</v>
      </c>
      <c r="R1940" s="138" t="s">
        <v>1019</v>
      </c>
      <c r="S1940" s="41">
        <f>IF(Purchase[[#This Row],[Status]]="Cancelled",0,Purchase[[#This Row],[Qty]])</f>
        <v>34</v>
      </c>
      <c r="T1940" s="146">
        <f>IF(Purchase[[#This Row],[Status]]="Cancelled",0,Purchase[[#This Row],[Total Amount]])</f>
        <v>577045.96</v>
      </c>
      <c r="U1940" s="146">
        <f>SUM(Purchase[Net Amount])</f>
        <v>814985438.68000126</v>
      </c>
    </row>
    <row r="1941" spans="1:21" ht="19.5" thickBot="1" x14ac:dyDescent="0.3">
      <c r="A1941" s="136" t="s">
        <v>2997</v>
      </c>
      <c r="B1941" s="137">
        <v>45752</v>
      </c>
      <c r="C1941" s="138" t="s">
        <v>584</v>
      </c>
      <c r="D1941" s="138" t="str">
        <f>VLOOKUP(Purchase[[#This Row],[Supplier ID]],Supplier[#All],2,0)</f>
        <v>Prime Computers</v>
      </c>
      <c r="E1941" s="138">
        <f>VLOOKUP(Purchase[[#This Row],[Supplier ID]],Supplier[#All],3,0)</f>
        <v>9689542468</v>
      </c>
      <c r="F1941" s="138" t="str">
        <f>VLOOKUP(Purchase[[#This Row],[Supplier ID]],Supplier[#All],4,0)</f>
        <v>Kanpur</v>
      </c>
      <c r="G1941" s="138" t="str">
        <f>VLOOKUP(Purchase[[#This Row],[Supplier ID]],Supplier[#All],5,0)</f>
        <v>UP</v>
      </c>
      <c r="H1941" s="138" t="str">
        <f>VLOOKUP(Purchase[[#This Row],[Supplier ID]],Supplier[#All],6,0)</f>
        <v>GST2154521T030</v>
      </c>
      <c r="I1941" s="138" t="s">
        <v>506</v>
      </c>
      <c r="J1941" s="139">
        <v>36</v>
      </c>
      <c r="K1941" s="143">
        <f>VLOOKUP(Purchase[[#This Row],[Product ID]],Product[#All],6,0)</f>
        <v>36215</v>
      </c>
      <c r="L1941" s="143">
        <f>Purchase[[#This Row],[Purchase Rate]]*Purchase[[#This Row],[Qty]]</f>
        <v>1303740</v>
      </c>
      <c r="M1941" s="140">
        <v>0</v>
      </c>
      <c r="N1941" s="143">
        <v>0</v>
      </c>
      <c r="O1941" s="140">
        <v>0.18</v>
      </c>
      <c r="P1941" s="145">
        <f>(Purchase[[#This Row],[Gross Amount]]-Purchase[[#This Row],[Disct %]])*Purchase[[#This Row],[GST %]]</f>
        <v>234673.19999999998</v>
      </c>
      <c r="Q1941" s="145">
        <f>Purchase[[#This Row],[Gross Amount]]-Purchase[[#This Row],[Disct Amnt]]+Purchase[[#This Row],[GST Amount]]</f>
        <v>1538413.2</v>
      </c>
      <c r="R1941" s="138" t="s">
        <v>1019</v>
      </c>
      <c r="S1941" s="41">
        <f>IF(Purchase[[#This Row],[Status]]="Cancelled",0,Purchase[[#This Row],[Qty]])</f>
        <v>36</v>
      </c>
      <c r="T1941" s="146">
        <f>IF(Purchase[[#This Row],[Status]]="Cancelled",0,Purchase[[#This Row],[Total Amount]])</f>
        <v>1538413.2</v>
      </c>
      <c r="U1941" s="146">
        <f>SUM(Purchase[Net Amount])</f>
        <v>814985438.68000126</v>
      </c>
    </row>
    <row r="1942" spans="1:21" ht="19.5" thickBot="1" x14ac:dyDescent="0.3">
      <c r="A1942" s="136" t="s">
        <v>2998</v>
      </c>
      <c r="B1942" s="137">
        <v>45752</v>
      </c>
      <c r="C1942" s="138" t="s">
        <v>584</v>
      </c>
      <c r="D1942" s="138" t="str">
        <f>VLOOKUP(Purchase[[#This Row],[Supplier ID]],Supplier[#All],2,0)</f>
        <v>Prime Computers</v>
      </c>
      <c r="E1942" s="138">
        <f>VLOOKUP(Purchase[[#This Row],[Supplier ID]],Supplier[#All],3,0)</f>
        <v>9689542468</v>
      </c>
      <c r="F1942" s="138" t="str">
        <f>VLOOKUP(Purchase[[#This Row],[Supplier ID]],Supplier[#All],4,0)</f>
        <v>Kanpur</v>
      </c>
      <c r="G1942" s="138" t="str">
        <f>VLOOKUP(Purchase[[#This Row],[Supplier ID]],Supplier[#All],5,0)</f>
        <v>UP</v>
      </c>
      <c r="H1942" s="138" t="str">
        <f>VLOOKUP(Purchase[[#This Row],[Supplier ID]],Supplier[#All],6,0)</f>
        <v>GST2154521T030</v>
      </c>
      <c r="I1942" s="138" t="s">
        <v>409</v>
      </c>
      <c r="J1942" s="139">
        <v>19</v>
      </c>
      <c r="K1942" s="143">
        <f>VLOOKUP(Purchase[[#This Row],[Product ID]],Product[#All],6,0)</f>
        <v>644</v>
      </c>
      <c r="L1942" s="143">
        <f>Purchase[[#This Row],[Purchase Rate]]*Purchase[[#This Row],[Qty]]</f>
        <v>12236</v>
      </c>
      <c r="M1942" s="140">
        <v>0</v>
      </c>
      <c r="N1942" s="143">
        <v>0</v>
      </c>
      <c r="O1942" s="140">
        <v>0.18</v>
      </c>
      <c r="P1942" s="145">
        <f>(Purchase[[#This Row],[Gross Amount]]-Purchase[[#This Row],[Disct %]])*Purchase[[#This Row],[GST %]]</f>
        <v>2202.48</v>
      </c>
      <c r="Q1942" s="145">
        <f>Purchase[[#This Row],[Gross Amount]]-Purchase[[#This Row],[Disct Amnt]]+Purchase[[#This Row],[GST Amount]]</f>
        <v>14438.48</v>
      </c>
      <c r="R1942" s="138" t="s">
        <v>1019</v>
      </c>
      <c r="S1942" s="41">
        <f>IF(Purchase[[#This Row],[Status]]="Cancelled",0,Purchase[[#This Row],[Qty]])</f>
        <v>19</v>
      </c>
      <c r="T1942" s="146">
        <f>IF(Purchase[[#This Row],[Status]]="Cancelled",0,Purchase[[#This Row],[Total Amount]])</f>
        <v>14438.48</v>
      </c>
      <c r="U1942" s="146">
        <f>SUM(Purchase[Net Amount])</f>
        <v>814985438.68000126</v>
      </c>
    </row>
    <row r="1943" spans="1:21" ht="19.5" thickBot="1" x14ac:dyDescent="0.3">
      <c r="A1943" s="136" t="s">
        <v>2999</v>
      </c>
      <c r="B1943" s="137">
        <v>45752</v>
      </c>
      <c r="C1943" s="138" t="s">
        <v>578</v>
      </c>
      <c r="D1943" s="138" t="str">
        <f>VLOOKUP(Purchase[[#This Row],[Supplier ID]],Supplier[#All],2,0)</f>
        <v>Shree Computers</v>
      </c>
      <c r="E1943" s="138">
        <f>VLOOKUP(Purchase[[#This Row],[Supplier ID]],Supplier[#All],3,0)</f>
        <v>9689542462</v>
      </c>
      <c r="F1943" s="138" t="str">
        <f>VLOOKUP(Purchase[[#This Row],[Supplier ID]],Supplier[#All],4,0)</f>
        <v>Korba</v>
      </c>
      <c r="G1943" s="138" t="str">
        <f>VLOOKUP(Purchase[[#This Row],[Supplier ID]],Supplier[#All],5,0)</f>
        <v>CG</v>
      </c>
      <c r="H1943" s="138" t="str">
        <f>VLOOKUP(Purchase[[#This Row],[Supplier ID]],Supplier[#All],6,0)</f>
        <v>GST2154521T024</v>
      </c>
      <c r="I1943" s="138" t="s">
        <v>525</v>
      </c>
      <c r="J1943" s="139">
        <v>5</v>
      </c>
      <c r="K1943" s="143">
        <f>VLOOKUP(Purchase[[#This Row],[Product ID]],Product[#All],6,0)</f>
        <v>1570</v>
      </c>
      <c r="L1943" s="143">
        <f>Purchase[[#This Row],[Purchase Rate]]*Purchase[[#This Row],[Qty]]</f>
        <v>7850</v>
      </c>
      <c r="M1943" s="140">
        <v>0</v>
      </c>
      <c r="N1943" s="143">
        <v>0</v>
      </c>
      <c r="O1943" s="140">
        <v>0.18</v>
      </c>
      <c r="P1943" s="145">
        <f>(Purchase[[#This Row],[Gross Amount]]-Purchase[[#This Row],[Disct %]])*Purchase[[#This Row],[GST %]]</f>
        <v>1413</v>
      </c>
      <c r="Q1943" s="145">
        <f>Purchase[[#This Row],[Gross Amount]]-Purchase[[#This Row],[Disct Amnt]]+Purchase[[#This Row],[GST Amount]]</f>
        <v>9263</v>
      </c>
      <c r="R1943" s="138" t="s">
        <v>1019</v>
      </c>
      <c r="S1943" s="41">
        <f>IF(Purchase[[#This Row],[Status]]="Cancelled",0,Purchase[[#This Row],[Qty]])</f>
        <v>5</v>
      </c>
      <c r="T1943" s="146">
        <f>IF(Purchase[[#This Row],[Status]]="Cancelled",0,Purchase[[#This Row],[Total Amount]])</f>
        <v>9263</v>
      </c>
      <c r="U1943" s="146">
        <f>SUM(Purchase[Net Amount])</f>
        <v>814985438.68000126</v>
      </c>
    </row>
    <row r="1944" spans="1:21" ht="19.5" thickBot="1" x14ac:dyDescent="0.3">
      <c r="A1944" s="136" t="s">
        <v>3000</v>
      </c>
      <c r="B1944" s="137">
        <v>45753</v>
      </c>
      <c r="C1944" s="138" t="s">
        <v>589</v>
      </c>
      <c r="D1944" s="138" t="str">
        <f>VLOOKUP(Purchase[[#This Row],[Supplier ID]],Supplier[#All],2,0)</f>
        <v>Maa Computers</v>
      </c>
      <c r="E1944" s="138">
        <f>VLOOKUP(Purchase[[#This Row],[Supplier ID]],Supplier[#All],3,0)</f>
        <v>9689542473</v>
      </c>
      <c r="F1944" s="138" t="str">
        <f>VLOOKUP(Purchase[[#This Row],[Supplier ID]],Supplier[#All],4,0)</f>
        <v>Kanpur</v>
      </c>
      <c r="G1944" s="138" t="str">
        <f>VLOOKUP(Purchase[[#This Row],[Supplier ID]],Supplier[#All],5,0)</f>
        <v>UP</v>
      </c>
      <c r="H1944" s="138" t="str">
        <f>VLOOKUP(Purchase[[#This Row],[Supplier ID]],Supplier[#All],6,0)</f>
        <v>GST2154521T035</v>
      </c>
      <c r="I1944" s="138" t="s">
        <v>380</v>
      </c>
      <c r="J1944" s="139">
        <v>13</v>
      </c>
      <c r="K1944" s="143">
        <f>VLOOKUP(Purchase[[#This Row],[Product ID]],Product[#All],6,0)</f>
        <v>72229</v>
      </c>
      <c r="L1944" s="143">
        <f>Purchase[[#This Row],[Purchase Rate]]*Purchase[[#This Row],[Qty]]</f>
        <v>938977</v>
      </c>
      <c r="M1944" s="140">
        <v>0</v>
      </c>
      <c r="N1944" s="143">
        <v>0</v>
      </c>
      <c r="O1944" s="140">
        <v>0.18</v>
      </c>
      <c r="P1944" s="145">
        <f>(Purchase[[#This Row],[Gross Amount]]-Purchase[[#This Row],[Disct %]])*Purchase[[#This Row],[GST %]]</f>
        <v>169015.86</v>
      </c>
      <c r="Q1944" s="145">
        <f>Purchase[[#This Row],[Gross Amount]]-Purchase[[#This Row],[Disct Amnt]]+Purchase[[#This Row],[GST Amount]]</f>
        <v>1107992.8599999999</v>
      </c>
      <c r="R1944" s="138" t="s">
        <v>1019</v>
      </c>
      <c r="S1944" s="41">
        <f>IF(Purchase[[#This Row],[Status]]="Cancelled",0,Purchase[[#This Row],[Qty]])</f>
        <v>13</v>
      </c>
      <c r="T1944" s="146">
        <f>IF(Purchase[[#This Row],[Status]]="Cancelled",0,Purchase[[#This Row],[Total Amount]])</f>
        <v>1107992.8599999999</v>
      </c>
      <c r="U1944" s="146">
        <f>SUM(Purchase[Net Amount])</f>
        <v>814985438.68000126</v>
      </c>
    </row>
    <row r="1945" spans="1:21" ht="19.5" thickBot="1" x14ac:dyDescent="0.3">
      <c r="A1945" s="136" t="s">
        <v>3001</v>
      </c>
      <c r="B1945" s="137">
        <v>45753</v>
      </c>
      <c r="C1945" s="138" t="s">
        <v>594</v>
      </c>
      <c r="D1945" s="138" t="str">
        <f>VLOOKUP(Purchase[[#This Row],[Supplier ID]],Supplier[#All],2,0)</f>
        <v>Shree Suppliers</v>
      </c>
      <c r="E1945" s="138">
        <f>VLOOKUP(Purchase[[#This Row],[Supplier ID]],Supplier[#All],3,0)</f>
        <v>9689542477</v>
      </c>
      <c r="F1945" s="138" t="str">
        <f>VLOOKUP(Purchase[[#This Row],[Supplier ID]],Supplier[#All],4,0)</f>
        <v>Indore</v>
      </c>
      <c r="G1945" s="138" t="str">
        <f>VLOOKUP(Purchase[[#This Row],[Supplier ID]],Supplier[#All],5,0)</f>
        <v>MP</v>
      </c>
      <c r="H1945" s="138" t="str">
        <f>VLOOKUP(Purchase[[#This Row],[Supplier ID]],Supplier[#All],6,0)</f>
        <v>GST2154521T039</v>
      </c>
      <c r="I1945" s="138" t="s">
        <v>305</v>
      </c>
      <c r="J1945" s="139">
        <v>13</v>
      </c>
      <c r="K1945" s="143">
        <f>VLOOKUP(Purchase[[#This Row],[Product ID]],Product[#All],6,0)</f>
        <v>2156</v>
      </c>
      <c r="L1945" s="143">
        <f>Purchase[[#This Row],[Purchase Rate]]*Purchase[[#This Row],[Qty]]</f>
        <v>28028</v>
      </c>
      <c r="M1945" s="140">
        <v>0</v>
      </c>
      <c r="N1945" s="143">
        <v>0</v>
      </c>
      <c r="O1945" s="140">
        <v>0.18</v>
      </c>
      <c r="P1945" s="145">
        <f>(Purchase[[#This Row],[Gross Amount]]-Purchase[[#This Row],[Disct %]])*Purchase[[#This Row],[GST %]]</f>
        <v>5045.04</v>
      </c>
      <c r="Q1945" s="145">
        <f>Purchase[[#This Row],[Gross Amount]]-Purchase[[#This Row],[Disct Amnt]]+Purchase[[#This Row],[GST Amount]]</f>
        <v>33073.040000000001</v>
      </c>
      <c r="R1945" s="138" t="s">
        <v>1019</v>
      </c>
      <c r="S1945" s="41">
        <f>IF(Purchase[[#This Row],[Status]]="Cancelled",0,Purchase[[#This Row],[Qty]])</f>
        <v>13</v>
      </c>
      <c r="T1945" s="146">
        <f>IF(Purchase[[#This Row],[Status]]="Cancelled",0,Purchase[[#This Row],[Total Amount]])</f>
        <v>33073.040000000001</v>
      </c>
      <c r="U1945" s="146">
        <f>SUM(Purchase[Net Amount])</f>
        <v>814985438.68000126</v>
      </c>
    </row>
    <row r="1946" spans="1:21" ht="19.5" thickBot="1" x14ac:dyDescent="0.3">
      <c r="A1946" s="136" t="s">
        <v>3002</v>
      </c>
      <c r="B1946" s="137">
        <v>45753</v>
      </c>
      <c r="C1946" s="138" t="s">
        <v>612</v>
      </c>
      <c r="D1946" s="138" t="str">
        <f>VLOOKUP(Purchase[[#This Row],[Supplier ID]],Supplier[#All],2,0)</f>
        <v>National Computers</v>
      </c>
      <c r="E1946" s="138">
        <f>VLOOKUP(Purchase[[#This Row],[Supplier ID]],Supplier[#All],3,0)</f>
        <v>9689542495</v>
      </c>
      <c r="F1946" s="138" t="str">
        <f>VLOOKUP(Purchase[[#This Row],[Supplier ID]],Supplier[#All],4,0)</f>
        <v>Indore</v>
      </c>
      <c r="G1946" s="138" t="str">
        <f>VLOOKUP(Purchase[[#This Row],[Supplier ID]],Supplier[#All],5,0)</f>
        <v>MP</v>
      </c>
      <c r="H1946" s="138" t="str">
        <f>VLOOKUP(Purchase[[#This Row],[Supplier ID]],Supplier[#All],6,0)</f>
        <v>GST2154521T057</v>
      </c>
      <c r="I1946" s="138" t="s">
        <v>89</v>
      </c>
      <c r="J1946" s="139">
        <v>4</v>
      </c>
      <c r="K1946" s="143">
        <f>VLOOKUP(Purchase[[#This Row],[Product ID]],Product[#All],6,0)</f>
        <v>341</v>
      </c>
      <c r="L1946" s="143">
        <f>Purchase[[#This Row],[Purchase Rate]]*Purchase[[#This Row],[Qty]]</f>
        <v>1364</v>
      </c>
      <c r="M1946" s="140">
        <v>0</v>
      </c>
      <c r="N1946" s="143">
        <v>0</v>
      </c>
      <c r="O1946" s="140">
        <v>0.18</v>
      </c>
      <c r="P1946" s="145">
        <f>(Purchase[[#This Row],[Gross Amount]]-Purchase[[#This Row],[Disct %]])*Purchase[[#This Row],[GST %]]</f>
        <v>245.51999999999998</v>
      </c>
      <c r="Q1946" s="145">
        <f>Purchase[[#This Row],[Gross Amount]]-Purchase[[#This Row],[Disct Amnt]]+Purchase[[#This Row],[GST Amount]]</f>
        <v>1609.52</v>
      </c>
      <c r="R1946" s="138" t="s">
        <v>1019</v>
      </c>
      <c r="S1946" s="41">
        <f>IF(Purchase[[#This Row],[Status]]="Cancelled",0,Purchase[[#This Row],[Qty]])</f>
        <v>4</v>
      </c>
      <c r="T1946" s="146">
        <f>IF(Purchase[[#This Row],[Status]]="Cancelled",0,Purchase[[#This Row],[Total Amount]])</f>
        <v>1609.52</v>
      </c>
      <c r="U1946" s="146">
        <f>SUM(Purchase[Net Amount])</f>
        <v>814985438.68000126</v>
      </c>
    </row>
    <row r="1947" spans="1:21" ht="19.5" thickBot="1" x14ac:dyDescent="0.3">
      <c r="A1947" s="136" t="s">
        <v>3003</v>
      </c>
      <c r="B1947" s="137">
        <v>45753</v>
      </c>
      <c r="C1947" s="138" t="s">
        <v>576</v>
      </c>
      <c r="D1947" s="138" t="str">
        <f>VLOOKUP(Purchase[[#This Row],[Supplier ID]],Supplier[#All],2,0)</f>
        <v>Maa Distributors</v>
      </c>
      <c r="E1947" s="138">
        <f>VLOOKUP(Purchase[[#This Row],[Supplier ID]],Supplier[#All],3,0)</f>
        <v>9689542460</v>
      </c>
      <c r="F1947" s="138" t="str">
        <f>VLOOKUP(Purchase[[#This Row],[Supplier ID]],Supplier[#All],4,0)</f>
        <v>Korba</v>
      </c>
      <c r="G1947" s="138" t="str">
        <f>VLOOKUP(Purchase[[#This Row],[Supplier ID]],Supplier[#All],5,0)</f>
        <v>CG</v>
      </c>
      <c r="H1947" s="138" t="str">
        <f>VLOOKUP(Purchase[[#This Row],[Supplier ID]],Supplier[#All],6,0)</f>
        <v>GST2154521T022</v>
      </c>
      <c r="I1947" s="138" t="s">
        <v>231</v>
      </c>
      <c r="J1947" s="139">
        <v>3</v>
      </c>
      <c r="K1947" s="143">
        <f>VLOOKUP(Purchase[[#This Row],[Product ID]],Product[#All],6,0)</f>
        <v>1862</v>
      </c>
      <c r="L1947" s="143">
        <f>Purchase[[#This Row],[Purchase Rate]]*Purchase[[#This Row],[Qty]]</f>
        <v>5586</v>
      </c>
      <c r="M1947" s="140">
        <v>0</v>
      </c>
      <c r="N1947" s="143">
        <v>0</v>
      </c>
      <c r="O1947" s="140">
        <v>0.18</v>
      </c>
      <c r="P1947" s="145">
        <f>(Purchase[[#This Row],[Gross Amount]]-Purchase[[#This Row],[Disct %]])*Purchase[[#This Row],[GST %]]</f>
        <v>1005.48</v>
      </c>
      <c r="Q1947" s="145">
        <f>Purchase[[#This Row],[Gross Amount]]-Purchase[[#This Row],[Disct Amnt]]+Purchase[[#This Row],[GST Amount]]</f>
        <v>6591.48</v>
      </c>
      <c r="R1947" s="138" t="s">
        <v>1019</v>
      </c>
      <c r="S1947" s="41">
        <f>IF(Purchase[[#This Row],[Status]]="Cancelled",0,Purchase[[#This Row],[Qty]])</f>
        <v>3</v>
      </c>
      <c r="T1947" s="146">
        <f>IF(Purchase[[#This Row],[Status]]="Cancelled",0,Purchase[[#This Row],[Total Amount]])</f>
        <v>6591.48</v>
      </c>
      <c r="U1947" s="146">
        <f>SUM(Purchase[Net Amount])</f>
        <v>814985438.68000126</v>
      </c>
    </row>
    <row r="1948" spans="1:21" ht="19.5" thickBot="1" x14ac:dyDescent="0.3">
      <c r="A1948" s="136" t="s">
        <v>3004</v>
      </c>
      <c r="B1948" s="137">
        <v>45753</v>
      </c>
      <c r="C1948" s="138" t="s">
        <v>603</v>
      </c>
      <c r="D1948" s="138" t="str">
        <f>VLOOKUP(Purchase[[#This Row],[Supplier ID]],Supplier[#All],2,0)</f>
        <v>Tech Computers</v>
      </c>
      <c r="E1948" s="138">
        <f>VLOOKUP(Purchase[[#This Row],[Supplier ID]],Supplier[#All],3,0)</f>
        <v>9689542486</v>
      </c>
      <c r="F1948" s="138" t="str">
        <f>VLOOKUP(Purchase[[#This Row],[Supplier ID]],Supplier[#All],4,0)</f>
        <v>Indore</v>
      </c>
      <c r="G1948" s="138" t="str">
        <f>VLOOKUP(Purchase[[#This Row],[Supplier ID]],Supplier[#All],5,0)</f>
        <v>MP</v>
      </c>
      <c r="H1948" s="138" t="str">
        <f>VLOOKUP(Purchase[[#This Row],[Supplier ID]],Supplier[#All],6,0)</f>
        <v>GST2154521T048</v>
      </c>
      <c r="I1948" s="138" t="s">
        <v>516</v>
      </c>
      <c r="J1948" s="139">
        <v>9</v>
      </c>
      <c r="K1948" s="143">
        <f>VLOOKUP(Purchase[[#This Row],[Product ID]],Product[#All],6,0)</f>
        <v>2042</v>
      </c>
      <c r="L1948" s="143">
        <f>Purchase[[#This Row],[Purchase Rate]]*Purchase[[#This Row],[Qty]]</f>
        <v>18378</v>
      </c>
      <c r="M1948" s="140">
        <v>0</v>
      </c>
      <c r="N1948" s="143">
        <v>0</v>
      </c>
      <c r="O1948" s="140">
        <v>0.18</v>
      </c>
      <c r="P1948" s="145">
        <f>(Purchase[[#This Row],[Gross Amount]]-Purchase[[#This Row],[Disct %]])*Purchase[[#This Row],[GST %]]</f>
        <v>3308.04</v>
      </c>
      <c r="Q1948" s="145">
        <f>Purchase[[#This Row],[Gross Amount]]-Purchase[[#This Row],[Disct Amnt]]+Purchase[[#This Row],[GST Amount]]</f>
        <v>21686.04</v>
      </c>
      <c r="R1948" s="138" t="s">
        <v>1019</v>
      </c>
      <c r="S1948" s="41">
        <f>IF(Purchase[[#This Row],[Status]]="Cancelled",0,Purchase[[#This Row],[Qty]])</f>
        <v>9</v>
      </c>
      <c r="T1948" s="146">
        <f>IF(Purchase[[#This Row],[Status]]="Cancelled",0,Purchase[[#This Row],[Total Amount]])</f>
        <v>21686.04</v>
      </c>
      <c r="U1948" s="146">
        <f>SUM(Purchase[Net Amount])</f>
        <v>814985438.68000126</v>
      </c>
    </row>
    <row r="1949" spans="1:21" ht="19.5" thickBot="1" x14ac:dyDescent="0.3">
      <c r="A1949" s="136" t="s">
        <v>3005</v>
      </c>
      <c r="B1949" s="137">
        <v>45753</v>
      </c>
      <c r="C1949" s="138" t="s">
        <v>571</v>
      </c>
      <c r="D1949" s="138" t="str">
        <f>VLOOKUP(Purchase[[#This Row],[Supplier ID]],Supplier[#All],2,0)</f>
        <v>Tech Suppliers</v>
      </c>
      <c r="E1949" s="138">
        <f>VLOOKUP(Purchase[[#This Row],[Supplier ID]],Supplier[#All],3,0)</f>
        <v>9689542457</v>
      </c>
      <c r="F1949" s="138" t="str">
        <f>VLOOKUP(Purchase[[#This Row],[Supplier ID]],Supplier[#All],4,0)</f>
        <v>Korba</v>
      </c>
      <c r="G1949" s="138" t="str">
        <f>VLOOKUP(Purchase[[#This Row],[Supplier ID]],Supplier[#All],5,0)</f>
        <v>CG</v>
      </c>
      <c r="H1949" s="138" t="str">
        <f>VLOOKUP(Purchase[[#This Row],[Supplier ID]],Supplier[#All],6,0)</f>
        <v>GST2154521T019</v>
      </c>
      <c r="I1949" s="138" t="s">
        <v>175</v>
      </c>
      <c r="J1949" s="139">
        <v>2</v>
      </c>
      <c r="K1949" s="143">
        <f>VLOOKUP(Purchase[[#This Row],[Product ID]],Product[#All],6,0)</f>
        <v>1594</v>
      </c>
      <c r="L1949" s="143">
        <f>Purchase[[#This Row],[Purchase Rate]]*Purchase[[#This Row],[Qty]]</f>
        <v>3188</v>
      </c>
      <c r="M1949" s="140">
        <v>0</v>
      </c>
      <c r="N1949" s="143">
        <v>0</v>
      </c>
      <c r="O1949" s="140">
        <v>0.18</v>
      </c>
      <c r="P1949" s="145">
        <f>(Purchase[[#This Row],[Gross Amount]]-Purchase[[#This Row],[Disct %]])*Purchase[[#This Row],[GST %]]</f>
        <v>573.84</v>
      </c>
      <c r="Q1949" s="145">
        <f>Purchase[[#This Row],[Gross Amount]]-Purchase[[#This Row],[Disct Amnt]]+Purchase[[#This Row],[GST Amount]]</f>
        <v>3761.84</v>
      </c>
      <c r="R1949" s="138" t="s">
        <v>1019</v>
      </c>
      <c r="S1949" s="41">
        <f>IF(Purchase[[#This Row],[Status]]="Cancelled",0,Purchase[[#This Row],[Qty]])</f>
        <v>2</v>
      </c>
      <c r="T1949" s="146">
        <f>IF(Purchase[[#This Row],[Status]]="Cancelled",0,Purchase[[#This Row],[Total Amount]])</f>
        <v>3761.84</v>
      </c>
      <c r="U1949" s="146">
        <f>SUM(Purchase[Net Amount])</f>
        <v>814985438.68000126</v>
      </c>
    </row>
    <row r="1950" spans="1:21" ht="19.5" thickBot="1" x14ac:dyDescent="0.3">
      <c r="A1950" s="136" t="s">
        <v>3006</v>
      </c>
      <c r="B1950" s="137">
        <v>45753</v>
      </c>
      <c r="C1950" s="138" t="s">
        <v>599</v>
      </c>
      <c r="D1950" s="138" t="str">
        <f>VLOOKUP(Purchase[[#This Row],[Supplier ID]],Supplier[#All],2,0)</f>
        <v>National Distributors</v>
      </c>
      <c r="E1950" s="138">
        <f>VLOOKUP(Purchase[[#This Row],[Supplier ID]],Supplier[#All],3,0)</f>
        <v>9689542482</v>
      </c>
      <c r="F1950" s="138" t="str">
        <f>VLOOKUP(Purchase[[#This Row],[Supplier ID]],Supplier[#All],4,0)</f>
        <v>Kanpur</v>
      </c>
      <c r="G1950" s="138" t="str">
        <f>VLOOKUP(Purchase[[#This Row],[Supplier ID]],Supplier[#All],5,0)</f>
        <v>UP</v>
      </c>
      <c r="H1950" s="138" t="str">
        <f>VLOOKUP(Purchase[[#This Row],[Supplier ID]],Supplier[#All],6,0)</f>
        <v>GST2154521T044</v>
      </c>
      <c r="I1950" s="138" t="s">
        <v>386</v>
      </c>
      <c r="J1950" s="139">
        <v>6</v>
      </c>
      <c r="K1950" s="143">
        <f>VLOOKUP(Purchase[[#This Row],[Product ID]],Product[#All],6,0)</f>
        <v>534</v>
      </c>
      <c r="L1950" s="143">
        <f>Purchase[[#This Row],[Purchase Rate]]*Purchase[[#This Row],[Qty]]</f>
        <v>3204</v>
      </c>
      <c r="M1950" s="140">
        <v>0</v>
      </c>
      <c r="N1950" s="143">
        <v>0</v>
      </c>
      <c r="O1950" s="140">
        <v>0.18</v>
      </c>
      <c r="P1950" s="145">
        <f>(Purchase[[#This Row],[Gross Amount]]-Purchase[[#This Row],[Disct %]])*Purchase[[#This Row],[GST %]]</f>
        <v>576.72</v>
      </c>
      <c r="Q1950" s="145">
        <f>Purchase[[#This Row],[Gross Amount]]-Purchase[[#This Row],[Disct Amnt]]+Purchase[[#This Row],[GST Amount]]</f>
        <v>3780.7200000000003</v>
      </c>
      <c r="R1950" s="138" t="s">
        <v>1019</v>
      </c>
      <c r="S1950" s="41">
        <f>IF(Purchase[[#This Row],[Status]]="Cancelled",0,Purchase[[#This Row],[Qty]])</f>
        <v>6</v>
      </c>
      <c r="T1950" s="146">
        <f>IF(Purchase[[#This Row],[Status]]="Cancelled",0,Purchase[[#This Row],[Total Amount]])</f>
        <v>3780.7200000000003</v>
      </c>
      <c r="U1950" s="146">
        <f>SUM(Purchase[Net Amount])</f>
        <v>814985438.68000126</v>
      </c>
    </row>
    <row r="1951" spans="1:21" ht="19.5" thickBot="1" x14ac:dyDescent="0.3">
      <c r="A1951" s="136" t="s">
        <v>3007</v>
      </c>
      <c r="B1951" s="137">
        <v>45753</v>
      </c>
      <c r="C1951" s="138" t="s">
        <v>582</v>
      </c>
      <c r="D1951" s="138" t="str">
        <f>VLOOKUP(Purchase[[#This Row],[Supplier ID]],Supplier[#All],2,0)</f>
        <v>Tech Distributors</v>
      </c>
      <c r="E1951" s="138">
        <f>VLOOKUP(Purchase[[#This Row],[Supplier ID]],Supplier[#All],3,0)</f>
        <v>9689542466</v>
      </c>
      <c r="F1951" s="138" t="str">
        <f>VLOOKUP(Purchase[[#This Row],[Supplier ID]],Supplier[#All],4,0)</f>
        <v>Indore</v>
      </c>
      <c r="G1951" s="138" t="str">
        <f>VLOOKUP(Purchase[[#This Row],[Supplier ID]],Supplier[#All],5,0)</f>
        <v>MP</v>
      </c>
      <c r="H1951" s="138" t="str">
        <f>VLOOKUP(Purchase[[#This Row],[Supplier ID]],Supplier[#All],6,0)</f>
        <v>GST2154521T028</v>
      </c>
      <c r="I1951" s="138" t="s">
        <v>274</v>
      </c>
      <c r="J1951" s="139">
        <v>11</v>
      </c>
      <c r="K1951" s="143">
        <f>VLOOKUP(Purchase[[#This Row],[Product ID]],Product[#All],6,0)</f>
        <v>48641</v>
      </c>
      <c r="L1951" s="143">
        <f>Purchase[[#This Row],[Purchase Rate]]*Purchase[[#This Row],[Qty]]</f>
        <v>535051</v>
      </c>
      <c r="M1951" s="140">
        <v>0</v>
      </c>
      <c r="N1951" s="143">
        <v>0</v>
      </c>
      <c r="O1951" s="140">
        <v>0.18</v>
      </c>
      <c r="P1951" s="145">
        <f>(Purchase[[#This Row],[Gross Amount]]-Purchase[[#This Row],[Disct %]])*Purchase[[#This Row],[GST %]]</f>
        <v>96309.18</v>
      </c>
      <c r="Q1951" s="145">
        <f>Purchase[[#This Row],[Gross Amount]]-Purchase[[#This Row],[Disct Amnt]]+Purchase[[#This Row],[GST Amount]]</f>
        <v>631360.17999999993</v>
      </c>
      <c r="R1951" s="138" t="s">
        <v>1019</v>
      </c>
      <c r="S1951" s="41">
        <f>IF(Purchase[[#This Row],[Status]]="Cancelled",0,Purchase[[#This Row],[Qty]])</f>
        <v>11</v>
      </c>
      <c r="T1951" s="146">
        <f>IF(Purchase[[#This Row],[Status]]="Cancelled",0,Purchase[[#This Row],[Total Amount]])</f>
        <v>631360.17999999993</v>
      </c>
      <c r="U1951" s="146">
        <f>SUM(Purchase[Net Amount])</f>
        <v>814985438.68000126</v>
      </c>
    </row>
    <row r="1952" spans="1:21" ht="19.5" thickBot="1" x14ac:dyDescent="0.3">
      <c r="A1952" s="136" t="s">
        <v>3008</v>
      </c>
      <c r="B1952" s="137">
        <v>45753</v>
      </c>
      <c r="C1952" s="138" t="s">
        <v>593</v>
      </c>
      <c r="D1952" s="138" t="str">
        <f>VLOOKUP(Purchase[[#This Row],[Supplier ID]],Supplier[#All],2,0)</f>
        <v>Global Suppliers</v>
      </c>
      <c r="E1952" s="138">
        <f>VLOOKUP(Purchase[[#This Row],[Supplier ID]],Supplier[#All],3,0)</f>
        <v>9689542476</v>
      </c>
      <c r="F1952" s="138" t="str">
        <f>VLOOKUP(Purchase[[#This Row],[Supplier ID]],Supplier[#All],4,0)</f>
        <v>Korba</v>
      </c>
      <c r="G1952" s="138" t="str">
        <f>VLOOKUP(Purchase[[#This Row],[Supplier ID]],Supplier[#All],5,0)</f>
        <v>CG</v>
      </c>
      <c r="H1952" s="138" t="str">
        <f>VLOOKUP(Purchase[[#This Row],[Supplier ID]],Supplier[#All],6,0)</f>
        <v>GST2154521T038</v>
      </c>
      <c r="I1952" s="138" t="s">
        <v>23</v>
      </c>
      <c r="J1952" s="139">
        <v>29</v>
      </c>
      <c r="K1952" s="143">
        <f>VLOOKUP(Purchase[[#This Row],[Product ID]],Product[#All],6,0)</f>
        <v>4851</v>
      </c>
      <c r="L1952" s="143">
        <f>Purchase[[#This Row],[Purchase Rate]]*Purchase[[#This Row],[Qty]]</f>
        <v>140679</v>
      </c>
      <c r="M1952" s="140">
        <v>0</v>
      </c>
      <c r="N1952" s="143">
        <v>0</v>
      </c>
      <c r="O1952" s="140">
        <v>0.18</v>
      </c>
      <c r="P1952" s="145">
        <f>(Purchase[[#This Row],[Gross Amount]]-Purchase[[#This Row],[Disct %]])*Purchase[[#This Row],[GST %]]</f>
        <v>25322.219999999998</v>
      </c>
      <c r="Q1952" s="145">
        <f>Purchase[[#This Row],[Gross Amount]]-Purchase[[#This Row],[Disct Amnt]]+Purchase[[#This Row],[GST Amount]]</f>
        <v>166001.22</v>
      </c>
      <c r="R1952" s="138" t="s">
        <v>1019</v>
      </c>
      <c r="S1952" s="41">
        <f>IF(Purchase[[#This Row],[Status]]="Cancelled",0,Purchase[[#This Row],[Qty]])</f>
        <v>29</v>
      </c>
      <c r="T1952" s="146">
        <f>IF(Purchase[[#This Row],[Status]]="Cancelled",0,Purchase[[#This Row],[Total Amount]])</f>
        <v>166001.22</v>
      </c>
      <c r="U1952" s="146">
        <f>SUM(Purchase[Net Amount])</f>
        <v>814985438.68000126</v>
      </c>
    </row>
    <row r="1953" spans="1:21" ht="19.5" thickBot="1" x14ac:dyDescent="0.3">
      <c r="A1953" s="136" t="s">
        <v>3009</v>
      </c>
      <c r="B1953" s="137">
        <v>45753</v>
      </c>
      <c r="C1953" s="138" t="s">
        <v>590</v>
      </c>
      <c r="D1953" s="138" t="str">
        <f>VLOOKUP(Purchase[[#This Row],[Supplier ID]],Supplier[#All],2,0)</f>
        <v>Star Distributors</v>
      </c>
      <c r="E1953" s="138">
        <f>VLOOKUP(Purchase[[#This Row],[Supplier ID]],Supplier[#All],3,0)</f>
        <v>9689542474</v>
      </c>
      <c r="F1953" s="138" t="str">
        <f>VLOOKUP(Purchase[[#This Row],[Supplier ID]],Supplier[#All],4,0)</f>
        <v>Kanpur</v>
      </c>
      <c r="G1953" s="138" t="str">
        <f>VLOOKUP(Purchase[[#This Row],[Supplier ID]],Supplier[#All],5,0)</f>
        <v>UP</v>
      </c>
      <c r="H1953" s="138" t="str">
        <f>VLOOKUP(Purchase[[#This Row],[Supplier ID]],Supplier[#All],6,0)</f>
        <v>GST2154521T036</v>
      </c>
      <c r="I1953" s="138" t="s">
        <v>349</v>
      </c>
      <c r="J1953" s="139">
        <v>30</v>
      </c>
      <c r="K1953" s="143">
        <f>VLOOKUP(Purchase[[#This Row],[Product ID]],Product[#All],6,0)</f>
        <v>8796</v>
      </c>
      <c r="L1953" s="143">
        <f>Purchase[[#This Row],[Purchase Rate]]*Purchase[[#This Row],[Qty]]</f>
        <v>263880</v>
      </c>
      <c r="M1953" s="140">
        <v>0</v>
      </c>
      <c r="N1953" s="143">
        <v>0</v>
      </c>
      <c r="O1953" s="140">
        <v>0.18</v>
      </c>
      <c r="P1953" s="145">
        <f>(Purchase[[#This Row],[Gross Amount]]-Purchase[[#This Row],[Disct %]])*Purchase[[#This Row],[GST %]]</f>
        <v>47498.400000000001</v>
      </c>
      <c r="Q1953" s="145">
        <f>Purchase[[#This Row],[Gross Amount]]-Purchase[[#This Row],[Disct Amnt]]+Purchase[[#This Row],[GST Amount]]</f>
        <v>311378.40000000002</v>
      </c>
      <c r="R1953" s="138" t="s">
        <v>1019</v>
      </c>
      <c r="S1953" s="41">
        <f>IF(Purchase[[#This Row],[Status]]="Cancelled",0,Purchase[[#This Row],[Qty]])</f>
        <v>30</v>
      </c>
      <c r="T1953" s="146">
        <f>IF(Purchase[[#This Row],[Status]]="Cancelled",0,Purchase[[#This Row],[Total Amount]])</f>
        <v>311378.40000000002</v>
      </c>
      <c r="U1953" s="146">
        <f>SUM(Purchase[Net Amount])</f>
        <v>814985438.68000126</v>
      </c>
    </row>
    <row r="1954" spans="1:21" ht="19.5" thickBot="1" x14ac:dyDescent="0.3">
      <c r="A1954" s="136" t="s">
        <v>3010</v>
      </c>
      <c r="B1954" s="137">
        <v>45753</v>
      </c>
      <c r="C1954" s="138" t="s">
        <v>565</v>
      </c>
      <c r="D1954" s="138" t="str">
        <f>VLOOKUP(Purchase[[#This Row],[Supplier ID]],Supplier[#All],2,0)</f>
        <v>Global Suppliers</v>
      </c>
      <c r="E1954" s="138">
        <f>VLOOKUP(Purchase[[#This Row],[Supplier ID]],Supplier[#All],3,0)</f>
        <v>9689542459</v>
      </c>
      <c r="F1954" s="138" t="str">
        <f>VLOOKUP(Purchase[[#This Row],[Supplier ID]],Supplier[#All],4,0)</f>
        <v>Indore</v>
      </c>
      <c r="G1954" s="138" t="str">
        <f>VLOOKUP(Purchase[[#This Row],[Supplier ID]],Supplier[#All],5,0)</f>
        <v>MP</v>
      </c>
      <c r="H1954" s="138" t="str">
        <f>VLOOKUP(Purchase[[#This Row],[Supplier ID]],Supplier[#All],6,0)</f>
        <v>GST2154521T013</v>
      </c>
      <c r="I1954" s="138" t="s">
        <v>251</v>
      </c>
      <c r="J1954" s="139">
        <v>38</v>
      </c>
      <c r="K1954" s="143">
        <f>VLOOKUP(Purchase[[#This Row],[Product ID]],Product[#All],6,0)</f>
        <v>2536</v>
      </c>
      <c r="L1954" s="143">
        <f>Purchase[[#This Row],[Purchase Rate]]*Purchase[[#This Row],[Qty]]</f>
        <v>96368</v>
      </c>
      <c r="M1954" s="140">
        <v>0</v>
      </c>
      <c r="N1954" s="143">
        <v>0</v>
      </c>
      <c r="O1954" s="140">
        <v>0.18</v>
      </c>
      <c r="P1954" s="145">
        <f>(Purchase[[#This Row],[Gross Amount]]-Purchase[[#This Row],[Disct %]])*Purchase[[#This Row],[GST %]]</f>
        <v>17346.239999999998</v>
      </c>
      <c r="Q1954" s="145">
        <f>Purchase[[#This Row],[Gross Amount]]-Purchase[[#This Row],[Disct Amnt]]+Purchase[[#This Row],[GST Amount]]</f>
        <v>113714.23999999999</v>
      </c>
      <c r="R1954" s="138" t="s">
        <v>1019</v>
      </c>
      <c r="S1954" s="41">
        <f>IF(Purchase[[#This Row],[Status]]="Cancelled",0,Purchase[[#This Row],[Qty]])</f>
        <v>38</v>
      </c>
      <c r="T1954" s="146">
        <f>IF(Purchase[[#This Row],[Status]]="Cancelled",0,Purchase[[#This Row],[Total Amount]])</f>
        <v>113714.23999999999</v>
      </c>
      <c r="U1954" s="146">
        <f>SUM(Purchase[Net Amount])</f>
        <v>814985438.68000126</v>
      </c>
    </row>
    <row r="1955" spans="1:21" ht="19.5" thickBot="1" x14ac:dyDescent="0.3">
      <c r="A1955" s="136" t="s">
        <v>3011</v>
      </c>
      <c r="B1955" s="137">
        <v>45753</v>
      </c>
      <c r="C1955" s="138" t="s">
        <v>597</v>
      </c>
      <c r="D1955" s="138" t="str">
        <f>VLOOKUP(Purchase[[#This Row],[Supplier ID]],Supplier[#All],2,0)</f>
        <v>Tech Traders</v>
      </c>
      <c r="E1955" s="138">
        <f>VLOOKUP(Purchase[[#This Row],[Supplier ID]],Supplier[#All],3,0)</f>
        <v>9689542480</v>
      </c>
      <c r="F1955" s="138" t="str">
        <f>VLOOKUP(Purchase[[#This Row],[Supplier ID]],Supplier[#All],4,0)</f>
        <v>Kanpur</v>
      </c>
      <c r="G1955" s="138" t="str">
        <f>VLOOKUP(Purchase[[#This Row],[Supplier ID]],Supplier[#All],5,0)</f>
        <v>UP</v>
      </c>
      <c r="H1955" s="138" t="str">
        <f>VLOOKUP(Purchase[[#This Row],[Supplier ID]],Supplier[#All],6,0)</f>
        <v>GST2154521T042</v>
      </c>
      <c r="I1955" s="138" t="s">
        <v>81</v>
      </c>
      <c r="J1955" s="139">
        <v>9</v>
      </c>
      <c r="K1955" s="143">
        <f>VLOOKUP(Purchase[[#This Row],[Product ID]],Product[#All],6,0)</f>
        <v>52393</v>
      </c>
      <c r="L1955" s="143">
        <f>Purchase[[#This Row],[Purchase Rate]]*Purchase[[#This Row],[Qty]]</f>
        <v>471537</v>
      </c>
      <c r="M1955" s="140">
        <v>0</v>
      </c>
      <c r="N1955" s="143">
        <v>0</v>
      </c>
      <c r="O1955" s="140">
        <v>0.18</v>
      </c>
      <c r="P1955" s="145">
        <f>(Purchase[[#This Row],[Gross Amount]]-Purchase[[#This Row],[Disct %]])*Purchase[[#This Row],[GST %]]</f>
        <v>84876.66</v>
      </c>
      <c r="Q1955" s="145">
        <f>Purchase[[#This Row],[Gross Amount]]-Purchase[[#This Row],[Disct Amnt]]+Purchase[[#This Row],[GST Amount]]</f>
        <v>556413.66</v>
      </c>
      <c r="R1955" s="138" t="s">
        <v>1019</v>
      </c>
      <c r="S1955" s="41">
        <f>IF(Purchase[[#This Row],[Status]]="Cancelled",0,Purchase[[#This Row],[Qty]])</f>
        <v>9</v>
      </c>
      <c r="T1955" s="146">
        <f>IF(Purchase[[#This Row],[Status]]="Cancelled",0,Purchase[[#This Row],[Total Amount]])</f>
        <v>556413.66</v>
      </c>
      <c r="U1955" s="146">
        <f>SUM(Purchase[Net Amount])</f>
        <v>814985438.68000126</v>
      </c>
    </row>
    <row r="1956" spans="1:21" ht="19.5" thickBot="1" x14ac:dyDescent="0.3">
      <c r="A1956" s="136" t="s">
        <v>3012</v>
      </c>
      <c r="B1956" s="137">
        <v>45753</v>
      </c>
      <c r="C1956" s="138" t="s">
        <v>597</v>
      </c>
      <c r="D1956" s="138" t="str">
        <f>VLOOKUP(Purchase[[#This Row],[Supplier ID]],Supplier[#All],2,0)</f>
        <v>Tech Traders</v>
      </c>
      <c r="E1956" s="138">
        <f>VLOOKUP(Purchase[[#This Row],[Supplier ID]],Supplier[#All],3,0)</f>
        <v>9689542480</v>
      </c>
      <c r="F1956" s="138" t="str">
        <f>VLOOKUP(Purchase[[#This Row],[Supplier ID]],Supplier[#All],4,0)</f>
        <v>Kanpur</v>
      </c>
      <c r="G1956" s="138" t="str">
        <f>VLOOKUP(Purchase[[#This Row],[Supplier ID]],Supplier[#All],5,0)</f>
        <v>UP</v>
      </c>
      <c r="H1956" s="138" t="str">
        <f>VLOOKUP(Purchase[[#This Row],[Supplier ID]],Supplier[#All],6,0)</f>
        <v>GST2154521T042</v>
      </c>
      <c r="I1956" s="138" t="s">
        <v>293</v>
      </c>
      <c r="J1956" s="139">
        <v>7</v>
      </c>
      <c r="K1956" s="143">
        <f>VLOOKUP(Purchase[[#This Row],[Product ID]],Product[#All],6,0)</f>
        <v>7511</v>
      </c>
      <c r="L1956" s="143">
        <f>Purchase[[#This Row],[Purchase Rate]]*Purchase[[#This Row],[Qty]]</f>
        <v>52577</v>
      </c>
      <c r="M1956" s="140">
        <v>0</v>
      </c>
      <c r="N1956" s="143">
        <v>0</v>
      </c>
      <c r="O1956" s="140">
        <v>0.18</v>
      </c>
      <c r="P1956" s="145">
        <f>(Purchase[[#This Row],[Gross Amount]]-Purchase[[#This Row],[Disct %]])*Purchase[[#This Row],[GST %]]</f>
        <v>9463.8599999999988</v>
      </c>
      <c r="Q1956" s="145">
        <f>Purchase[[#This Row],[Gross Amount]]-Purchase[[#This Row],[Disct Amnt]]+Purchase[[#This Row],[GST Amount]]</f>
        <v>62040.86</v>
      </c>
      <c r="R1956" s="138" t="s">
        <v>1019</v>
      </c>
      <c r="S1956" s="41">
        <f>IF(Purchase[[#This Row],[Status]]="Cancelled",0,Purchase[[#This Row],[Qty]])</f>
        <v>7</v>
      </c>
      <c r="T1956" s="146">
        <f>IF(Purchase[[#This Row],[Status]]="Cancelled",0,Purchase[[#This Row],[Total Amount]])</f>
        <v>62040.86</v>
      </c>
      <c r="U1956" s="146">
        <f>SUM(Purchase[Net Amount])</f>
        <v>814985438.68000126</v>
      </c>
    </row>
    <row r="1957" spans="1:21" ht="19.5" thickBot="1" x14ac:dyDescent="0.3">
      <c r="A1957" s="136" t="s">
        <v>3013</v>
      </c>
      <c r="B1957" s="137">
        <v>45753</v>
      </c>
      <c r="C1957" s="138" t="s">
        <v>596</v>
      </c>
      <c r="D1957" s="138" t="str">
        <f>VLOOKUP(Purchase[[#This Row],[Supplier ID]],Supplier[#All],2,0)</f>
        <v>star traders</v>
      </c>
      <c r="E1957" s="138">
        <f>VLOOKUP(Purchase[[#This Row],[Supplier ID]],Supplier[#All],3,0)</f>
        <v>9689542479</v>
      </c>
      <c r="F1957" s="138" t="str">
        <f>VLOOKUP(Purchase[[#This Row],[Supplier ID]],Supplier[#All],4,0)</f>
        <v>Korba</v>
      </c>
      <c r="G1957" s="138" t="str">
        <f>VLOOKUP(Purchase[[#This Row],[Supplier ID]],Supplier[#All],5,0)</f>
        <v>CG</v>
      </c>
      <c r="H1957" s="138" t="str">
        <f>VLOOKUP(Purchase[[#This Row],[Supplier ID]],Supplier[#All],6,0)</f>
        <v>GST2154521T041</v>
      </c>
      <c r="I1957" s="138" t="s">
        <v>450</v>
      </c>
      <c r="J1957" s="139">
        <v>4</v>
      </c>
      <c r="K1957" s="143">
        <f>VLOOKUP(Purchase[[#This Row],[Product ID]],Product[#All],6,0)</f>
        <v>1034</v>
      </c>
      <c r="L1957" s="143">
        <f>Purchase[[#This Row],[Purchase Rate]]*Purchase[[#This Row],[Qty]]</f>
        <v>4136</v>
      </c>
      <c r="M1957" s="140">
        <v>0</v>
      </c>
      <c r="N1957" s="143">
        <v>0</v>
      </c>
      <c r="O1957" s="140">
        <v>0.18</v>
      </c>
      <c r="P1957" s="145">
        <f>(Purchase[[#This Row],[Gross Amount]]-Purchase[[#This Row],[Disct %]])*Purchase[[#This Row],[GST %]]</f>
        <v>744.48</v>
      </c>
      <c r="Q1957" s="145">
        <f>Purchase[[#This Row],[Gross Amount]]-Purchase[[#This Row],[Disct Amnt]]+Purchase[[#This Row],[GST Amount]]</f>
        <v>4880.4799999999996</v>
      </c>
      <c r="R1957" s="138" t="s">
        <v>1019</v>
      </c>
      <c r="S1957" s="41">
        <f>IF(Purchase[[#This Row],[Status]]="Cancelled",0,Purchase[[#This Row],[Qty]])</f>
        <v>4</v>
      </c>
      <c r="T1957" s="146">
        <f>IF(Purchase[[#This Row],[Status]]="Cancelled",0,Purchase[[#This Row],[Total Amount]])</f>
        <v>4880.4799999999996</v>
      </c>
      <c r="U1957" s="146">
        <f>SUM(Purchase[Net Amount])</f>
        <v>814985438.68000126</v>
      </c>
    </row>
    <row r="1958" spans="1:21" ht="19.5" thickBot="1" x14ac:dyDescent="0.3">
      <c r="A1958" s="136" t="s">
        <v>3014</v>
      </c>
      <c r="B1958" s="137">
        <v>45753</v>
      </c>
      <c r="C1958" s="138" t="s">
        <v>598</v>
      </c>
      <c r="D1958" s="138" t="str">
        <f>VLOOKUP(Purchase[[#This Row],[Supplier ID]],Supplier[#All],2,0)</f>
        <v>National Distributors</v>
      </c>
      <c r="E1958" s="138">
        <f>VLOOKUP(Purchase[[#This Row],[Supplier ID]],Supplier[#All],3,0)</f>
        <v>9689542489</v>
      </c>
      <c r="F1958" s="138" t="str">
        <f>VLOOKUP(Purchase[[#This Row],[Supplier ID]],Supplier[#All],4,0)</f>
        <v>Indore</v>
      </c>
      <c r="G1958" s="138" t="str">
        <f>VLOOKUP(Purchase[[#This Row],[Supplier ID]],Supplier[#All],5,0)</f>
        <v>MP</v>
      </c>
      <c r="H1958" s="138" t="str">
        <f>VLOOKUP(Purchase[[#This Row],[Supplier ID]],Supplier[#All],6,0)</f>
        <v>GST2154521T043</v>
      </c>
      <c r="I1958" s="138" t="s">
        <v>324</v>
      </c>
      <c r="J1958" s="139">
        <v>3</v>
      </c>
      <c r="K1958" s="143">
        <f>VLOOKUP(Purchase[[#This Row],[Product ID]],Product[#All],6,0)</f>
        <v>3690</v>
      </c>
      <c r="L1958" s="143">
        <f>Purchase[[#This Row],[Purchase Rate]]*Purchase[[#This Row],[Qty]]</f>
        <v>11070</v>
      </c>
      <c r="M1958" s="140">
        <v>0</v>
      </c>
      <c r="N1958" s="143">
        <v>0</v>
      </c>
      <c r="O1958" s="140">
        <v>0.18</v>
      </c>
      <c r="P1958" s="145">
        <f>(Purchase[[#This Row],[Gross Amount]]-Purchase[[#This Row],[Disct %]])*Purchase[[#This Row],[GST %]]</f>
        <v>1992.6</v>
      </c>
      <c r="Q1958" s="145">
        <f>Purchase[[#This Row],[Gross Amount]]-Purchase[[#This Row],[Disct Amnt]]+Purchase[[#This Row],[GST Amount]]</f>
        <v>13062.6</v>
      </c>
      <c r="R1958" s="138" t="s">
        <v>1019</v>
      </c>
      <c r="S1958" s="41">
        <f>IF(Purchase[[#This Row],[Status]]="Cancelled",0,Purchase[[#This Row],[Qty]])</f>
        <v>3</v>
      </c>
      <c r="T1958" s="146">
        <f>IF(Purchase[[#This Row],[Status]]="Cancelled",0,Purchase[[#This Row],[Total Amount]])</f>
        <v>13062.6</v>
      </c>
      <c r="U1958" s="146">
        <f>SUM(Purchase[Net Amount])</f>
        <v>814985438.68000126</v>
      </c>
    </row>
    <row r="1959" spans="1:21" ht="19.5" thickBot="1" x14ac:dyDescent="0.3">
      <c r="A1959" s="136" t="s">
        <v>3015</v>
      </c>
      <c r="B1959" s="137">
        <v>45753</v>
      </c>
      <c r="C1959" s="138" t="s">
        <v>612</v>
      </c>
      <c r="D1959" s="138" t="str">
        <f>VLOOKUP(Purchase[[#This Row],[Supplier ID]],Supplier[#All],2,0)</f>
        <v>National Computers</v>
      </c>
      <c r="E1959" s="138">
        <f>VLOOKUP(Purchase[[#This Row],[Supplier ID]],Supplier[#All],3,0)</f>
        <v>9689542495</v>
      </c>
      <c r="F1959" s="138" t="str">
        <f>VLOOKUP(Purchase[[#This Row],[Supplier ID]],Supplier[#All],4,0)</f>
        <v>Indore</v>
      </c>
      <c r="G1959" s="138" t="str">
        <f>VLOOKUP(Purchase[[#This Row],[Supplier ID]],Supplier[#All],5,0)</f>
        <v>MP</v>
      </c>
      <c r="H1959" s="138" t="str">
        <f>VLOOKUP(Purchase[[#This Row],[Supplier ID]],Supplier[#All],6,0)</f>
        <v>GST2154521T057</v>
      </c>
      <c r="I1959" s="138" t="s">
        <v>208</v>
      </c>
      <c r="J1959" s="139">
        <v>5</v>
      </c>
      <c r="K1959" s="143">
        <f>VLOOKUP(Purchase[[#This Row],[Product ID]],Product[#All],6,0)</f>
        <v>58903</v>
      </c>
      <c r="L1959" s="143">
        <f>Purchase[[#This Row],[Purchase Rate]]*Purchase[[#This Row],[Qty]]</f>
        <v>294515</v>
      </c>
      <c r="M1959" s="140">
        <v>0</v>
      </c>
      <c r="N1959" s="143">
        <v>0</v>
      </c>
      <c r="O1959" s="140">
        <v>0.18</v>
      </c>
      <c r="P1959" s="145">
        <f>(Purchase[[#This Row],[Gross Amount]]-Purchase[[#This Row],[Disct %]])*Purchase[[#This Row],[GST %]]</f>
        <v>53012.7</v>
      </c>
      <c r="Q1959" s="145">
        <f>Purchase[[#This Row],[Gross Amount]]-Purchase[[#This Row],[Disct Amnt]]+Purchase[[#This Row],[GST Amount]]</f>
        <v>347527.7</v>
      </c>
      <c r="R1959" s="138" t="s">
        <v>1019</v>
      </c>
      <c r="S1959" s="41">
        <f>IF(Purchase[[#This Row],[Status]]="Cancelled",0,Purchase[[#This Row],[Qty]])</f>
        <v>5</v>
      </c>
      <c r="T1959" s="146">
        <f>IF(Purchase[[#This Row],[Status]]="Cancelled",0,Purchase[[#This Row],[Total Amount]])</f>
        <v>347527.7</v>
      </c>
      <c r="U1959" s="146">
        <f>SUM(Purchase[Net Amount])</f>
        <v>814985438.68000126</v>
      </c>
    </row>
    <row r="1960" spans="1:21" ht="19.5" thickBot="1" x14ac:dyDescent="0.3">
      <c r="A1960" s="136" t="s">
        <v>3016</v>
      </c>
      <c r="B1960" s="137">
        <v>45753</v>
      </c>
      <c r="C1960" s="138" t="s">
        <v>585</v>
      </c>
      <c r="D1960" s="138" t="str">
        <f>VLOOKUP(Purchase[[#This Row],[Supplier ID]],Supplier[#All],2,0)</f>
        <v>Tech Computers</v>
      </c>
      <c r="E1960" s="138">
        <f>VLOOKUP(Purchase[[#This Row],[Supplier ID]],Supplier[#All],3,0)</f>
        <v>9689542469</v>
      </c>
      <c r="F1960" s="138" t="str">
        <f>VLOOKUP(Purchase[[#This Row],[Supplier ID]],Supplier[#All],4,0)</f>
        <v>Korba</v>
      </c>
      <c r="G1960" s="138" t="str">
        <f>VLOOKUP(Purchase[[#This Row],[Supplier ID]],Supplier[#All],5,0)</f>
        <v>CG</v>
      </c>
      <c r="H1960" s="138" t="str">
        <f>VLOOKUP(Purchase[[#This Row],[Supplier ID]],Supplier[#All],6,0)</f>
        <v>GST2154521T031</v>
      </c>
      <c r="I1960" s="138" t="s">
        <v>161</v>
      </c>
      <c r="J1960" s="139">
        <v>12</v>
      </c>
      <c r="K1960" s="143">
        <f>VLOOKUP(Purchase[[#This Row],[Product ID]],Product[#All],6,0)</f>
        <v>1064</v>
      </c>
      <c r="L1960" s="143">
        <f>Purchase[[#This Row],[Purchase Rate]]*Purchase[[#This Row],[Qty]]</f>
        <v>12768</v>
      </c>
      <c r="M1960" s="140">
        <v>0</v>
      </c>
      <c r="N1960" s="143">
        <v>0</v>
      </c>
      <c r="O1960" s="140">
        <v>0.18</v>
      </c>
      <c r="P1960" s="145">
        <f>(Purchase[[#This Row],[Gross Amount]]-Purchase[[#This Row],[Disct %]])*Purchase[[#This Row],[GST %]]</f>
        <v>2298.2399999999998</v>
      </c>
      <c r="Q1960" s="145">
        <f>Purchase[[#This Row],[Gross Amount]]-Purchase[[#This Row],[Disct Amnt]]+Purchase[[#This Row],[GST Amount]]</f>
        <v>15066.24</v>
      </c>
      <c r="R1960" s="138" t="s">
        <v>1019</v>
      </c>
      <c r="S1960" s="41">
        <f>IF(Purchase[[#This Row],[Status]]="Cancelled",0,Purchase[[#This Row],[Qty]])</f>
        <v>12</v>
      </c>
      <c r="T1960" s="146">
        <f>IF(Purchase[[#This Row],[Status]]="Cancelled",0,Purchase[[#This Row],[Total Amount]])</f>
        <v>15066.24</v>
      </c>
      <c r="U1960" s="146">
        <f>SUM(Purchase[Net Amount])</f>
        <v>814985438.68000126</v>
      </c>
    </row>
    <row r="1961" spans="1:21" ht="19.5" thickBot="1" x14ac:dyDescent="0.3">
      <c r="A1961" s="136" t="s">
        <v>3017</v>
      </c>
      <c r="B1961" s="137">
        <v>45753</v>
      </c>
      <c r="C1961" s="138" t="s">
        <v>614</v>
      </c>
      <c r="D1961" s="138" t="str">
        <f>VLOOKUP(Purchase[[#This Row],[Supplier ID]],Supplier[#All],2,0)</f>
        <v>National Electronics</v>
      </c>
      <c r="E1961" s="138">
        <f>VLOOKUP(Purchase[[#This Row],[Supplier ID]],Supplier[#All],3,0)</f>
        <v>9689542497</v>
      </c>
      <c r="F1961" s="138" t="str">
        <f>VLOOKUP(Purchase[[#This Row],[Supplier ID]],Supplier[#All],4,0)</f>
        <v>Kanpur</v>
      </c>
      <c r="G1961" s="138" t="str">
        <f>VLOOKUP(Purchase[[#This Row],[Supplier ID]],Supplier[#All],5,0)</f>
        <v>UP</v>
      </c>
      <c r="H1961" s="138" t="str">
        <f>VLOOKUP(Purchase[[#This Row],[Supplier ID]],Supplier[#All],6,0)</f>
        <v>GST2154521T059</v>
      </c>
      <c r="I1961" s="138" t="s">
        <v>111</v>
      </c>
      <c r="J1961" s="139">
        <v>19</v>
      </c>
      <c r="K1961" s="143">
        <f>VLOOKUP(Purchase[[#This Row],[Product ID]],Product[#All],6,0)</f>
        <v>13173</v>
      </c>
      <c r="L1961" s="143">
        <f>Purchase[[#This Row],[Purchase Rate]]*Purchase[[#This Row],[Qty]]</f>
        <v>250287</v>
      </c>
      <c r="M1961" s="140">
        <v>0</v>
      </c>
      <c r="N1961" s="143">
        <v>0</v>
      </c>
      <c r="O1961" s="140">
        <v>0.18</v>
      </c>
      <c r="P1961" s="145">
        <f>(Purchase[[#This Row],[Gross Amount]]-Purchase[[#This Row],[Disct %]])*Purchase[[#This Row],[GST %]]</f>
        <v>45051.659999999996</v>
      </c>
      <c r="Q1961" s="145">
        <f>Purchase[[#This Row],[Gross Amount]]-Purchase[[#This Row],[Disct Amnt]]+Purchase[[#This Row],[GST Amount]]</f>
        <v>295338.65999999997</v>
      </c>
      <c r="R1961" s="138" t="s">
        <v>1019</v>
      </c>
      <c r="S1961" s="41">
        <f>IF(Purchase[[#This Row],[Status]]="Cancelled",0,Purchase[[#This Row],[Qty]])</f>
        <v>19</v>
      </c>
      <c r="T1961" s="146">
        <f>IF(Purchase[[#This Row],[Status]]="Cancelled",0,Purchase[[#This Row],[Total Amount]])</f>
        <v>295338.65999999997</v>
      </c>
      <c r="U1961" s="146">
        <f>SUM(Purchase[Net Amount])</f>
        <v>814985438.68000126</v>
      </c>
    </row>
    <row r="1962" spans="1:21" ht="19.5" thickBot="1" x14ac:dyDescent="0.3">
      <c r="A1962" s="136" t="s">
        <v>3018</v>
      </c>
      <c r="B1962" s="137">
        <v>45754</v>
      </c>
      <c r="C1962" s="138" t="s">
        <v>573</v>
      </c>
      <c r="D1962" s="138" t="str">
        <f>VLOOKUP(Purchase[[#This Row],[Supplier ID]],Supplier[#All],2,0)</f>
        <v>Shree Traders</v>
      </c>
      <c r="E1962" s="138">
        <f>VLOOKUP(Purchase[[#This Row],[Supplier ID]],Supplier[#All],3,0)</f>
        <v>9689542458</v>
      </c>
      <c r="F1962" s="138" t="str">
        <f>VLOOKUP(Purchase[[#This Row],[Supplier ID]],Supplier[#All],4,0)</f>
        <v>Korba</v>
      </c>
      <c r="G1962" s="138" t="str">
        <f>VLOOKUP(Purchase[[#This Row],[Supplier ID]],Supplier[#All],5,0)</f>
        <v>CG</v>
      </c>
      <c r="H1962" s="138" t="str">
        <f>VLOOKUP(Purchase[[#This Row],[Supplier ID]],Supplier[#All],6,0)</f>
        <v>GST2154521T020</v>
      </c>
      <c r="I1962" s="138" t="s">
        <v>167</v>
      </c>
      <c r="J1962" s="139">
        <v>39</v>
      </c>
      <c r="K1962" s="143">
        <f>VLOOKUP(Purchase[[#This Row],[Product ID]],Product[#All],6,0)</f>
        <v>2161</v>
      </c>
      <c r="L1962" s="143">
        <f>Purchase[[#This Row],[Purchase Rate]]*Purchase[[#This Row],[Qty]]</f>
        <v>84279</v>
      </c>
      <c r="M1962" s="140">
        <v>0</v>
      </c>
      <c r="N1962" s="143">
        <v>0</v>
      </c>
      <c r="O1962" s="140">
        <v>0.18</v>
      </c>
      <c r="P1962" s="145">
        <f>(Purchase[[#This Row],[Gross Amount]]-Purchase[[#This Row],[Disct %]])*Purchase[[#This Row],[GST %]]</f>
        <v>15170.22</v>
      </c>
      <c r="Q1962" s="145">
        <f>Purchase[[#This Row],[Gross Amount]]-Purchase[[#This Row],[Disct Amnt]]+Purchase[[#This Row],[GST Amount]]</f>
        <v>99449.22</v>
      </c>
      <c r="R1962" s="138" t="s">
        <v>1019</v>
      </c>
      <c r="S1962" s="41">
        <f>IF(Purchase[[#This Row],[Status]]="Cancelled",0,Purchase[[#This Row],[Qty]])</f>
        <v>39</v>
      </c>
      <c r="T1962" s="146">
        <f>IF(Purchase[[#This Row],[Status]]="Cancelled",0,Purchase[[#This Row],[Total Amount]])</f>
        <v>99449.22</v>
      </c>
      <c r="U1962" s="146">
        <f>SUM(Purchase[Net Amount])</f>
        <v>814985438.68000126</v>
      </c>
    </row>
    <row r="1963" spans="1:21" ht="19.5" thickBot="1" x14ac:dyDescent="0.3">
      <c r="A1963" s="136" t="s">
        <v>3019</v>
      </c>
      <c r="B1963" s="137">
        <v>45754</v>
      </c>
      <c r="C1963" s="138" t="s">
        <v>597</v>
      </c>
      <c r="D1963" s="138" t="str">
        <f>VLOOKUP(Purchase[[#This Row],[Supplier ID]],Supplier[#All],2,0)</f>
        <v>Tech Traders</v>
      </c>
      <c r="E1963" s="138">
        <f>VLOOKUP(Purchase[[#This Row],[Supplier ID]],Supplier[#All],3,0)</f>
        <v>9689542480</v>
      </c>
      <c r="F1963" s="138" t="str">
        <f>VLOOKUP(Purchase[[#This Row],[Supplier ID]],Supplier[#All],4,0)</f>
        <v>Kanpur</v>
      </c>
      <c r="G1963" s="138" t="str">
        <f>VLOOKUP(Purchase[[#This Row],[Supplier ID]],Supplier[#All],5,0)</f>
        <v>UP</v>
      </c>
      <c r="H1963" s="138" t="str">
        <f>VLOOKUP(Purchase[[#This Row],[Supplier ID]],Supplier[#All],6,0)</f>
        <v>GST2154521T042</v>
      </c>
      <c r="I1963" s="138" t="s">
        <v>252</v>
      </c>
      <c r="J1963" s="139">
        <v>15</v>
      </c>
      <c r="K1963" s="143">
        <f>VLOOKUP(Purchase[[#This Row],[Product ID]],Product[#All],6,0)</f>
        <v>47932</v>
      </c>
      <c r="L1963" s="143">
        <f>Purchase[[#This Row],[Purchase Rate]]*Purchase[[#This Row],[Qty]]</f>
        <v>718980</v>
      </c>
      <c r="M1963" s="140">
        <v>0</v>
      </c>
      <c r="N1963" s="143">
        <v>0</v>
      </c>
      <c r="O1963" s="140">
        <v>0.18</v>
      </c>
      <c r="P1963" s="145">
        <f>(Purchase[[#This Row],[Gross Amount]]-Purchase[[#This Row],[Disct %]])*Purchase[[#This Row],[GST %]]</f>
        <v>129416.4</v>
      </c>
      <c r="Q1963" s="145">
        <f>Purchase[[#This Row],[Gross Amount]]-Purchase[[#This Row],[Disct Amnt]]+Purchase[[#This Row],[GST Amount]]</f>
        <v>848396.4</v>
      </c>
      <c r="R1963" s="138" t="s">
        <v>1019</v>
      </c>
      <c r="S1963" s="41">
        <f>IF(Purchase[[#This Row],[Status]]="Cancelled",0,Purchase[[#This Row],[Qty]])</f>
        <v>15</v>
      </c>
      <c r="T1963" s="146">
        <f>IF(Purchase[[#This Row],[Status]]="Cancelled",0,Purchase[[#This Row],[Total Amount]])</f>
        <v>848396.4</v>
      </c>
      <c r="U1963" s="146">
        <f>SUM(Purchase[Net Amount])</f>
        <v>814985438.68000126</v>
      </c>
    </row>
    <row r="1964" spans="1:21" ht="19.5" thickBot="1" x14ac:dyDescent="0.3">
      <c r="A1964" s="136" t="s">
        <v>3020</v>
      </c>
      <c r="B1964" s="137">
        <v>45754</v>
      </c>
      <c r="C1964" s="138" t="s">
        <v>604</v>
      </c>
      <c r="D1964" s="138" t="str">
        <f>VLOOKUP(Purchase[[#This Row],[Supplier ID]],Supplier[#All],2,0)</f>
        <v>Prime Traders</v>
      </c>
      <c r="E1964" s="138">
        <f>VLOOKUP(Purchase[[#This Row],[Supplier ID]],Supplier[#All],3,0)</f>
        <v>9689542487</v>
      </c>
      <c r="F1964" s="138" t="str">
        <f>VLOOKUP(Purchase[[#This Row],[Supplier ID]],Supplier[#All],4,0)</f>
        <v>Indore</v>
      </c>
      <c r="G1964" s="138" t="str">
        <f>VLOOKUP(Purchase[[#This Row],[Supplier ID]],Supplier[#All],5,0)</f>
        <v>MP</v>
      </c>
      <c r="H1964" s="138" t="str">
        <f>VLOOKUP(Purchase[[#This Row],[Supplier ID]],Supplier[#All],6,0)</f>
        <v>GST2154521T049</v>
      </c>
      <c r="I1964" s="138" t="s">
        <v>425</v>
      </c>
      <c r="J1964" s="139">
        <v>13</v>
      </c>
      <c r="K1964" s="143">
        <f>VLOOKUP(Purchase[[#This Row],[Product ID]],Product[#All],6,0)</f>
        <v>6244</v>
      </c>
      <c r="L1964" s="143">
        <f>Purchase[[#This Row],[Purchase Rate]]*Purchase[[#This Row],[Qty]]</f>
        <v>81172</v>
      </c>
      <c r="M1964" s="140">
        <v>0</v>
      </c>
      <c r="N1964" s="143">
        <v>0</v>
      </c>
      <c r="O1964" s="140">
        <v>0.18</v>
      </c>
      <c r="P1964" s="145">
        <f>(Purchase[[#This Row],[Gross Amount]]-Purchase[[#This Row],[Disct %]])*Purchase[[#This Row],[GST %]]</f>
        <v>14610.96</v>
      </c>
      <c r="Q1964" s="145">
        <f>Purchase[[#This Row],[Gross Amount]]-Purchase[[#This Row],[Disct Amnt]]+Purchase[[#This Row],[GST Amount]]</f>
        <v>95782.959999999992</v>
      </c>
      <c r="R1964" s="138" t="s">
        <v>1019</v>
      </c>
      <c r="S1964" s="41">
        <f>IF(Purchase[[#This Row],[Status]]="Cancelled",0,Purchase[[#This Row],[Qty]])</f>
        <v>13</v>
      </c>
      <c r="T1964" s="146">
        <f>IF(Purchase[[#This Row],[Status]]="Cancelled",0,Purchase[[#This Row],[Total Amount]])</f>
        <v>95782.959999999992</v>
      </c>
      <c r="U1964" s="146">
        <f>SUM(Purchase[Net Amount])</f>
        <v>814985438.68000126</v>
      </c>
    </row>
    <row r="1965" spans="1:21" ht="19.5" thickBot="1" x14ac:dyDescent="0.3">
      <c r="A1965" s="136" t="s">
        <v>3021</v>
      </c>
      <c r="B1965" s="137">
        <v>45754</v>
      </c>
      <c r="C1965" s="138" t="s">
        <v>579</v>
      </c>
      <c r="D1965" s="138" t="str">
        <f>VLOOKUP(Purchase[[#This Row],[Supplier ID]],Supplier[#All],2,0)</f>
        <v>Tech Traders</v>
      </c>
      <c r="E1965" s="138">
        <f>VLOOKUP(Purchase[[#This Row],[Supplier ID]],Supplier[#All],3,0)</f>
        <v>9689542463</v>
      </c>
      <c r="F1965" s="138" t="str">
        <f>VLOOKUP(Purchase[[#This Row],[Supplier ID]],Supplier[#All],4,0)</f>
        <v>Kanpur</v>
      </c>
      <c r="G1965" s="138" t="str">
        <f>VLOOKUP(Purchase[[#This Row],[Supplier ID]],Supplier[#All],5,0)</f>
        <v>UP</v>
      </c>
      <c r="H1965" s="138" t="str">
        <f>VLOOKUP(Purchase[[#This Row],[Supplier ID]],Supplier[#All],6,0)</f>
        <v>GST2154521T025</v>
      </c>
      <c r="I1965" s="138" t="s">
        <v>548</v>
      </c>
      <c r="J1965" s="139">
        <v>35</v>
      </c>
      <c r="K1965" s="143">
        <f>VLOOKUP(Purchase[[#This Row],[Product ID]],Product[#All],6,0)</f>
        <v>2026</v>
      </c>
      <c r="L1965" s="143">
        <f>Purchase[[#This Row],[Purchase Rate]]*Purchase[[#This Row],[Qty]]</f>
        <v>70910</v>
      </c>
      <c r="M1965" s="140">
        <v>0</v>
      </c>
      <c r="N1965" s="143">
        <v>0</v>
      </c>
      <c r="O1965" s="140">
        <v>0.18</v>
      </c>
      <c r="P1965" s="145">
        <f>(Purchase[[#This Row],[Gross Amount]]-Purchase[[#This Row],[Disct %]])*Purchase[[#This Row],[GST %]]</f>
        <v>12763.8</v>
      </c>
      <c r="Q1965" s="145">
        <f>Purchase[[#This Row],[Gross Amount]]-Purchase[[#This Row],[Disct Amnt]]+Purchase[[#This Row],[GST Amount]]</f>
        <v>83673.8</v>
      </c>
      <c r="R1965" s="138" t="s">
        <v>1019</v>
      </c>
      <c r="S1965" s="41">
        <f>IF(Purchase[[#This Row],[Status]]="Cancelled",0,Purchase[[#This Row],[Qty]])</f>
        <v>35</v>
      </c>
      <c r="T1965" s="146">
        <f>IF(Purchase[[#This Row],[Status]]="Cancelled",0,Purchase[[#This Row],[Total Amount]])</f>
        <v>83673.8</v>
      </c>
      <c r="U1965" s="146">
        <f>SUM(Purchase[Net Amount])</f>
        <v>814985438.68000126</v>
      </c>
    </row>
    <row r="1966" spans="1:21" ht="19.5" thickBot="1" x14ac:dyDescent="0.3">
      <c r="A1966" s="136" t="s">
        <v>3022</v>
      </c>
      <c r="B1966" s="137">
        <v>45754</v>
      </c>
      <c r="C1966" s="138" t="s">
        <v>587</v>
      </c>
      <c r="D1966" s="138" t="str">
        <f>VLOOKUP(Purchase[[#This Row],[Supplier ID]],Supplier[#All],2,0)</f>
        <v>maa distributors</v>
      </c>
      <c r="E1966" s="138">
        <f>VLOOKUP(Purchase[[#This Row],[Supplier ID]],Supplier[#All],3,0)</f>
        <v>9689542479</v>
      </c>
      <c r="F1966" s="138" t="str">
        <f>VLOOKUP(Purchase[[#This Row],[Supplier ID]],Supplier[#All],4,0)</f>
        <v>Indore</v>
      </c>
      <c r="G1966" s="138" t="str">
        <f>VLOOKUP(Purchase[[#This Row],[Supplier ID]],Supplier[#All],5,0)</f>
        <v>MP</v>
      </c>
      <c r="H1966" s="138" t="str">
        <f>VLOOKUP(Purchase[[#This Row],[Supplier ID]],Supplier[#All],6,0)</f>
        <v>GST2154521T033</v>
      </c>
      <c r="I1966" s="138" t="s">
        <v>272</v>
      </c>
      <c r="J1966" s="139">
        <v>26</v>
      </c>
      <c r="K1966" s="143">
        <f>VLOOKUP(Purchase[[#This Row],[Product ID]],Product[#All],6,0)</f>
        <v>8385</v>
      </c>
      <c r="L1966" s="143">
        <f>Purchase[[#This Row],[Purchase Rate]]*Purchase[[#This Row],[Qty]]</f>
        <v>218010</v>
      </c>
      <c r="M1966" s="140">
        <v>0</v>
      </c>
      <c r="N1966" s="143">
        <v>0</v>
      </c>
      <c r="O1966" s="140">
        <v>0.18</v>
      </c>
      <c r="P1966" s="145">
        <f>(Purchase[[#This Row],[Gross Amount]]-Purchase[[#This Row],[Disct %]])*Purchase[[#This Row],[GST %]]</f>
        <v>39241.799999999996</v>
      </c>
      <c r="Q1966" s="145">
        <f>Purchase[[#This Row],[Gross Amount]]-Purchase[[#This Row],[Disct Amnt]]+Purchase[[#This Row],[GST Amount]]</f>
        <v>257251.8</v>
      </c>
      <c r="R1966" s="138" t="s">
        <v>1019</v>
      </c>
      <c r="S1966" s="41">
        <f>IF(Purchase[[#This Row],[Status]]="Cancelled",0,Purchase[[#This Row],[Qty]])</f>
        <v>26</v>
      </c>
      <c r="T1966" s="146">
        <f>IF(Purchase[[#This Row],[Status]]="Cancelled",0,Purchase[[#This Row],[Total Amount]])</f>
        <v>257251.8</v>
      </c>
      <c r="U1966" s="146">
        <f>SUM(Purchase[Net Amount])</f>
        <v>814985438.68000126</v>
      </c>
    </row>
    <row r="1967" spans="1:21" ht="19.5" thickBot="1" x14ac:dyDescent="0.3">
      <c r="A1967" s="136" t="s">
        <v>3023</v>
      </c>
      <c r="B1967" s="137">
        <v>45754</v>
      </c>
      <c r="C1967" s="138" t="s">
        <v>583</v>
      </c>
      <c r="D1967" s="138" t="str">
        <f>VLOOKUP(Purchase[[#This Row],[Supplier ID]],Supplier[#All],2,0)</f>
        <v>Shree Distributors</v>
      </c>
      <c r="E1967" s="138">
        <f>VLOOKUP(Purchase[[#This Row],[Supplier ID]],Supplier[#All],3,0)</f>
        <v>9689542467</v>
      </c>
      <c r="F1967" s="138" t="str">
        <f>VLOOKUP(Purchase[[#This Row],[Supplier ID]],Supplier[#All],4,0)</f>
        <v>Indore</v>
      </c>
      <c r="G1967" s="138" t="str">
        <f>VLOOKUP(Purchase[[#This Row],[Supplier ID]],Supplier[#All],5,0)</f>
        <v>MP</v>
      </c>
      <c r="H1967" s="138" t="str">
        <f>VLOOKUP(Purchase[[#This Row],[Supplier ID]],Supplier[#All],6,0)</f>
        <v>GST2154521T029</v>
      </c>
      <c r="I1967" s="138" t="s">
        <v>404</v>
      </c>
      <c r="J1967" s="139">
        <v>20</v>
      </c>
      <c r="K1967" s="143">
        <f>VLOOKUP(Purchase[[#This Row],[Product ID]],Product[#All],6,0)</f>
        <v>2655</v>
      </c>
      <c r="L1967" s="143">
        <f>Purchase[[#This Row],[Purchase Rate]]*Purchase[[#This Row],[Qty]]</f>
        <v>53100</v>
      </c>
      <c r="M1967" s="140">
        <v>0</v>
      </c>
      <c r="N1967" s="143">
        <v>0</v>
      </c>
      <c r="O1967" s="140">
        <v>0.18</v>
      </c>
      <c r="P1967" s="145">
        <f>(Purchase[[#This Row],[Gross Amount]]-Purchase[[#This Row],[Disct %]])*Purchase[[#This Row],[GST %]]</f>
        <v>9558</v>
      </c>
      <c r="Q1967" s="145">
        <f>Purchase[[#This Row],[Gross Amount]]-Purchase[[#This Row],[Disct Amnt]]+Purchase[[#This Row],[GST Amount]]</f>
        <v>62658</v>
      </c>
      <c r="R1967" s="138" t="s">
        <v>1019</v>
      </c>
      <c r="S1967" s="41">
        <f>IF(Purchase[[#This Row],[Status]]="Cancelled",0,Purchase[[#This Row],[Qty]])</f>
        <v>20</v>
      </c>
      <c r="T1967" s="146">
        <f>IF(Purchase[[#This Row],[Status]]="Cancelled",0,Purchase[[#This Row],[Total Amount]])</f>
        <v>62658</v>
      </c>
      <c r="U1967" s="146">
        <f>SUM(Purchase[Net Amount])</f>
        <v>814985438.68000126</v>
      </c>
    </row>
    <row r="1968" spans="1:21" ht="19.5" thickBot="1" x14ac:dyDescent="0.3">
      <c r="A1968" s="136" t="s">
        <v>3024</v>
      </c>
      <c r="B1968" s="137">
        <v>45754</v>
      </c>
      <c r="C1968" s="138" t="s">
        <v>575</v>
      </c>
      <c r="D1968" s="138" t="str">
        <f>VLOOKUP(Purchase[[#This Row],[Supplier ID]],Supplier[#All],2,0)</f>
        <v>Global Computers</v>
      </c>
      <c r="E1968" s="138">
        <f>VLOOKUP(Purchase[[#This Row],[Supplier ID]],Supplier[#All],3,0)</f>
        <v>9689542459</v>
      </c>
      <c r="F1968" s="138" t="str">
        <f>VLOOKUP(Purchase[[#This Row],[Supplier ID]],Supplier[#All],4,0)</f>
        <v>Indore</v>
      </c>
      <c r="G1968" s="138" t="str">
        <f>VLOOKUP(Purchase[[#This Row],[Supplier ID]],Supplier[#All],5,0)</f>
        <v>MP</v>
      </c>
      <c r="H1968" s="138" t="str">
        <f>VLOOKUP(Purchase[[#This Row],[Supplier ID]],Supplier[#All],6,0)</f>
        <v>GST2154521T021</v>
      </c>
      <c r="I1968" s="138" t="s">
        <v>200</v>
      </c>
      <c r="J1968" s="139">
        <v>2</v>
      </c>
      <c r="K1968" s="143">
        <f>VLOOKUP(Purchase[[#This Row],[Product ID]],Product[#All],6,0)</f>
        <v>4331</v>
      </c>
      <c r="L1968" s="143">
        <f>Purchase[[#This Row],[Purchase Rate]]*Purchase[[#This Row],[Qty]]</f>
        <v>8662</v>
      </c>
      <c r="M1968" s="140">
        <v>0</v>
      </c>
      <c r="N1968" s="143">
        <v>0</v>
      </c>
      <c r="O1968" s="140">
        <v>0.18</v>
      </c>
      <c r="P1968" s="145">
        <f>(Purchase[[#This Row],[Gross Amount]]-Purchase[[#This Row],[Disct %]])*Purchase[[#This Row],[GST %]]</f>
        <v>1559.1599999999999</v>
      </c>
      <c r="Q1968" s="145">
        <f>Purchase[[#This Row],[Gross Amount]]-Purchase[[#This Row],[Disct Amnt]]+Purchase[[#This Row],[GST Amount]]</f>
        <v>10221.16</v>
      </c>
      <c r="R1968" s="138" t="s">
        <v>1019</v>
      </c>
      <c r="S1968" s="41">
        <f>IF(Purchase[[#This Row],[Status]]="Cancelled",0,Purchase[[#This Row],[Qty]])</f>
        <v>2</v>
      </c>
      <c r="T1968" s="146">
        <f>IF(Purchase[[#This Row],[Status]]="Cancelled",0,Purchase[[#This Row],[Total Amount]])</f>
        <v>10221.16</v>
      </c>
      <c r="U1968" s="146">
        <f>SUM(Purchase[Net Amount])</f>
        <v>814985438.68000126</v>
      </c>
    </row>
    <row r="1969" spans="1:21" ht="19.5" thickBot="1" x14ac:dyDescent="0.3">
      <c r="A1969" s="136" t="s">
        <v>3025</v>
      </c>
      <c r="B1969" s="137">
        <v>45754</v>
      </c>
      <c r="C1969" s="138" t="s">
        <v>608</v>
      </c>
      <c r="D1969" s="138" t="str">
        <f>VLOOKUP(Purchase[[#This Row],[Supplier ID]],Supplier[#All],2,0)</f>
        <v>Global Suppliers</v>
      </c>
      <c r="E1969" s="138">
        <f>VLOOKUP(Purchase[[#This Row],[Supplier ID]],Supplier[#All],3,0)</f>
        <v>9689542499</v>
      </c>
      <c r="F1969" s="138" t="str">
        <f>VLOOKUP(Purchase[[#This Row],[Supplier ID]],Supplier[#All],4,0)</f>
        <v>Korba</v>
      </c>
      <c r="G1969" s="138" t="str">
        <f>VLOOKUP(Purchase[[#This Row],[Supplier ID]],Supplier[#All],5,0)</f>
        <v>CG</v>
      </c>
      <c r="H1969" s="138" t="str">
        <f>VLOOKUP(Purchase[[#This Row],[Supplier ID]],Supplier[#All],6,0)</f>
        <v>GST2154521T053</v>
      </c>
      <c r="I1969" s="138" t="s">
        <v>267</v>
      </c>
      <c r="J1969" s="139">
        <v>8</v>
      </c>
      <c r="K1969" s="143">
        <f>VLOOKUP(Purchase[[#This Row],[Product ID]],Product[#All],6,0)</f>
        <v>1912</v>
      </c>
      <c r="L1969" s="143">
        <f>Purchase[[#This Row],[Purchase Rate]]*Purchase[[#This Row],[Qty]]</f>
        <v>15296</v>
      </c>
      <c r="M1969" s="140">
        <v>0</v>
      </c>
      <c r="N1969" s="143">
        <v>0</v>
      </c>
      <c r="O1969" s="140">
        <v>0.18</v>
      </c>
      <c r="P1969" s="145">
        <f>(Purchase[[#This Row],[Gross Amount]]-Purchase[[#This Row],[Disct %]])*Purchase[[#This Row],[GST %]]</f>
        <v>2753.2799999999997</v>
      </c>
      <c r="Q1969" s="145">
        <f>Purchase[[#This Row],[Gross Amount]]-Purchase[[#This Row],[Disct Amnt]]+Purchase[[#This Row],[GST Amount]]</f>
        <v>18049.28</v>
      </c>
      <c r="R1969" s="138" t="s">
        <v>1019</v>
      </c>
      <c r="S1969" s="41">
        <f>IF(Purchase[[#This Row],[Status]]="Cancelled",0,Purchase[[#This Row],[Qty]])</f>
        <v>8</v>
      </c>
      <c r="T1969" s="146">
        <f>IF(Purchase[[#This Row],[Status]]="Cancelled",0,Purchase[[#This Row],[Total Amount]])</f>
        <v>18049.28</v>
      </c>
      <c r="U1969" s="146">
        <f>SUM(Purchase[Net Amount])</f>
        <v>814985438.68000126</v>
      </c>
    </row>
    <row r="1970" spans="1:21" ht="19.5" thickBot="1" x14ac:dyDescent="0.3">
      <c r="A1970" s="136" t="s">
        <v>3026</v>
      </c>
      <c r="B1970" s="137">
        <v>45754</v>
      </c>
      <c r="C1970" s="138" t="s">
        <v>590</v>
      </c>
      <c r="D1970" s="138" t="str">
        <f>VLOOKUP(Purchase[[#This Row],[Supplier ID]],Supplier[#All],2,0)</f>
        <v>Star Distributors</v>
      </c>
      <c r="E1970" s="138">
        <f>VLOOKUP(Purchase[[#This Row],[Supplier ID]],Supplier[#All],3,0)</f>
        <v>9689542474</v>
      </c>
      <c r="F1970" s="138" t="str">
        <f>VLOOKUP(Purchase[[#This Row],[Supplier ID]],Supplier[#All],4,0)</f>
        <v>Kanpur</v>
      </c>
      <c r="G1970" s="138" t="str">
        <f>VLOOKUP(Purchase[[#This Row],[Supplier ID]],Supplier[#All],5,0)</f>
        <v>UP</v>
      </c>
      <c r="H1970" s="138" t="str">
        <f>VLOOKUP(Purchase[[#This Row],[Supplier ID]],Supplier[#All],6,0)</f>
        <v>GST2154521T036</v>
      </c>
      <c r="I1970" s="138" t="s">
        <v>308</v>
      </c>
      <c r="J1970" s="139">
        <v>40</v>
      </c>
      <c r="K1970" s="143">
        <f>VLOOKUP(Purchase[[#This Row],[Product ID]],Product[#All],6,0)</f>
        <v>3398</v>
      </c>
      <c r="L1970" s="143">
        <f>Purchase[[#This Row],[Purchase Rate]]*Purchase[[#This Row],[Qty]]</f>
        <v>135920</v>
      </c>
      <c r="M1970" s="140">
        <v>0</v>
      </c>
      <c r="N1970" s="143">
        <v>0</v>
      </c>
      <c r="O1970" s="140">
        <v>0.18</v>
      </c>
      <c r="P1970" s="145">
        <f>(Purchase[[#This Row],[Gross Amount]]-Purchase[[#This Row],[Disct %]])*Purchase[[#This Row],[GST %]]</f>
        <v>24465.599999999999</v>
      </c>
      <c r="Q1970" s="145">
        <f>Purchase[[#This Row],[Gross Amount]]-Purchase[[#This Row],[Disct Amnt]]+Purchase[[#This Row],[GST Amount]]</f>
        <v>160385.60000000001</v>
      </c>
      <c r="R1970" s="138" t="s">
        <v>1019</v>
      </c>
      <c r="S1970" s="41">
        <f>IF(Purchase[[#This Row],[Status]]="Cancelled",0,Purchase[[#This Row],[Qty]])</f>
        <v>40</v>
      </c>
      <c r="T1970" s="146">
        <f>IF(Purchase[[#This Row],[Status]]="Cancelled",0,Purchase[[#This Row],[Total Amount]])</f>
        <v>160385.60000000001</v>
      </c>
      <c r="U1970" s="146">
        <f>SUM(Purchase[Net Amount])</f>
        <v>814985438.68000126</v>
      </c>
    </row>
    <row r="1971" spans="1:21" ht="19.5" thickBot="1" x14ac:dyDescent="0.3">
      <c r="A1971" s="136" t="s">
        <v>3027</v>
      </c>
      <c r="B1971" s="137">
        <v>45754</v>
      </c>
      <c r="C1971" s="138" t="s">
        <v>581</v>
      </c>
      <c r="D1971" s="138" t="str">
        <f>VLOOKUP(Purchase[[#This Row],[Supplier ID]],Supplier[#All],2,0)</f>
        <v>Prime Electronics</v>
      </c>
      <c r="E1971" s="138">
        <f>VLOOKUP(Purchase[[#This Row],[Supplier ID]],Supplier[#All],3,0)</f>
        <v>9689542465</v>
      </c>
      <c r="F1971" s="138" t="str">
        <f>VLOOKUP(Purchase[[#This Row],[Supplier ID]],Supplier[#All],4,0)</f>
        <v>Korba</v>
      </c>
      <c r="G1971" s="138" t="str">
        <f>VLOOKUP(Purchase[[#This Row],[Supplier ID]],Supplier[#All],5,0)</f>
        <v>CG</v>
      </c>
      <c r="H1971" s="138" t="str">
        <f>VLOOKUP(Purchase[[#This Row],[Supplier ID]],Supplier[#All],6,0)</f>
        <v>GST2154521T027</v>
      </c>
      <c r="I1971" s="138" t="s">
        <v>480</v>
      </c>
      <c r="J1971" s="139">
        <v>17</v>
      </c>
      <c r="K1971" s="143">
        <f>VLOOKUP(Purchase[[#This Row],[Product ID]],Product[#All],6,0)</f>
        <v>1370</v>
      </c>
      <c r="L1971" s="143">
        <f>Purchase[[#This Row],[Purchase Rate]]*Purchase[[#This Row],[Qty]]</f>
        <v>23290</v>
      </c>
      <c r="M1971" s="140">
        <v>0</v>
      </c>
      <c r="N1971" s="143">
        <v>0</v>
      </c>
      <c r="O1971" s="140">
        <v>0.18</v>
      </c>
      <c r="P1971" s="145">
        <f>(Purchase[[#This Row],[Gross Amount]]-Purchase[[#This Row],[Disct %]])*Purchase[[#This Row],[GST %]]</f>
        <v>4192.2</v>
      </c>
      <c r="Q1971" s="145">
        <f>Purchase[[#This Row],[Gross Amount]]-Purchase[[#This Row],[Disct Amnt]]+Purchase[[#This Row],[GST Amount]]</f>
        <v>27482.2</v>
      </c>
      <c r="R1971" s="138" t="s">
        <v>1019</v>
      </c>
      <c r="S1971" s="41">
        <f>IF(Purchase[[#This Row],[Status]]="Cancelled",0,Purchase[[#This Row],[Qty]])</f>
        <v>17</v>
      </c>
      <c r="T1971" s="146">
        <f>IF(Purchase[[#This Row],[Status]]="Cancelled",0,Purchase[[#This Row],[Total Amount]])</f>
        <v>27482.2</v>
      </c>
      <c r="U1971" s="146">
        <f>SUM(Purchase[Net Amount])</f>
        <v>814985438.68000126</v>
      </c>
    </row>
    <row r="1972" spans="1:21" ht="19.5" thickBot="1" x14ac:dyDescent="0.3">
      <c r="A1972" s="136" t="s">
        <v>3028</v>
      </c>
      <c r="B1972" s="137">
        <v>45754</v>
      </c>
      <c r="C1972" s="138" t="s">
        <v>609</v>
      </c>
      <c r="D1972" s="138" t="str">
        <f>VLOOKUP(Purchase[[#This Row],[Supplier ID]],Supplier[#All],2,0)</f>
        <v>Star Suppliers</v>
      </c>
      <c r="E1972" s="138">
        <f>VLOOKUP(Purchase[[#This Row],[Supplier ID]],Supplier[#All],3,0)</f>
        <v>9689542492</v>
      </c>
      <c r="F1972" s="138" t="str">
        <f>VLOOKUP(Purchase[[#This Row],[Supplier ID]],Supplier[#All],4,0)</f>
        <v>Kanpur</v>
      </c>
      <c r="G1972" s="138" t="str">
        <f>VLOOKUP(Purchase[[#This Row],[Supplier ID]],Supplier[#All],5,0)</f>
        <v>UP</v>
      </c>
      <c r="H1972" s="138" t="str">
        <f>VLOOKUP(Purchase[[#This Row],[Supplier ID]],Supplier[#All],6,0)</f>
        <v>GST2154521T054</v>
      </c>
      <c r="I1972" s="138" t="s">
        <v>126</v>
      </c>
      <c r="J1972" s="139">
        <v>8</v>
      </c>
      <c r="K1972" s="143">
        <f>VLOOKUP(Purchase[[#This Row],[Product ID]],Product[#All],6,0)</f>
        <v>19380</v>
      </c>
      <c r="L1972" s="143">
        <f>Purchase[[#This Row],[Purchase Rate]]*Purchase[[#This Row],[Qty]]</f>
        <v>155040</v>
      </c>
      <c r="M1972" s="140">
        <v>0</v>
      </c>
      <c r="N1972" s="143">
        <v>0</v>
      </c>
      <c r="O1972" s="140">
        <v>0.18</v>
      </c>
      <c r="P1972" s="145">
        <f>(Purchase[[#This Row],[Gross Amount]]-Purchase[[#This Row],[Disct %]])*Purchase[[#This Row],[GST %]]</f>
        <v>27907.200000000001</v>
      </c>
      <c r="Q1972" s="145">
        <f>Purchase[[#This Row],[Gross Amount]]-Purchase[[#This Row],[Disct Amnt]]+Purchase[[#This Row],[GST Amount]]</f>
        <v>182947.20000000001</v>
      </c>
      <c r="R1972" s="138" t="s">
        <v>1019</v>
      </c>
      <c r="S1972" s="41">
        <f>IF(Purchase[[#This Row],[Status]]="Cancelled",0,Purchase[[#This Row],[Qty]])</f>
        <v>8</v>
      </c>
      <c r="T1972" s="146">
        <f>IF(Purchase[[#This Row],[Status]]="Cancelled",0,Purchase[[#This Row],[Total Amount]])</f>
        <v>182947.20000000001</v>
      </c>
      <c r="U1972" s="146">
        <f>SUM(Purchase[Net Amount])</f>
        <v>814985438.68000126</v>
      </c>
    </row>
    <row r="1973" spans="1:21" ht="19.5" thickBot="1" x14ac:dyDescent="0.3">
      <c r="A1973" s="136" t="s">
        <v>3029</v>
      </c>
      <c r="B1973" s="137">
        <v>45754</v>
      </c>
      <c r="C1973" s="138" t="s">
        <v>577</v>
      </c>
      <c r="D1973" s="138" t="str">
        <f>VLOOKUP(Purchase[[#This Row],[Supplier ID]],Supplier[#All],2,0)</f>
        <v>National Electronics</v>
      </c>
      <c r="E1973" s="138">
        <f>VLOOKUP(Purchase[[#This Row],[Supplier ID]],Supplier[#All],3,0)</f>
        <v>9689542469</v>
      </c>
      <c r="F1973" s="138" t="str">
        <f>VLOOKUP(Purchase[[#This Row],[Supplier ID]],Supplier[#All],4,0)</f>
        <v>Korba</v>
      </c>
      <c r="G1973" s="138" t="str">
        <f>VLOOKUP(Purchase[[#This Row],[Supplier ID]],Supplier[#All],5,0)</f>
        <v>CG</v>
      </c>
      <c r="H1973" s="138" t="str">
        <f>VLOOKUP(Purchase[[#This Row],[Supplier ID]],Supplier[#All],6,0)</f>
        <v>GST2154521T023</v>
      </c>
      <c r="I1973" s="138" t="s">
        <v>423</v>
      </c>
      <c r="J1973" s="139">
        <v>22</v>
      </c>
      <c r="K1973" s="143">
        <f>VLOOKUP(Purchase[[#This Row],[Product ID]],Product[#All],6,0)</f>
        <v>33151</v>
      </c>
      <c r="L1973" s="143">
        <f>Purchase[[#This Row],[Purchase Rate]]*Purchase[[#This Row],[Qty]]</f>
        <v>729322</v>
      </c>
      <c r="M1973" s="140">
        <v>0</v>
      </c>
      <c r="N1973" s="143">
        <v>0</v>
      </c>
      <c r="O1973" s="140">
        <v>0.18</v>
      </c>
      <c r="P1973" s="145">
        <f>(Purchase[[#This Row],[Gross Amount]]-Purchase[[#This Row],[Disct %]])*Purchase[[#This Row],[GST %]]</f>
        <v>131277.96</v>
      </c>
      <c r="Q1973" s="145">
        <f>Purchase[[#This Row],[Gross Amount]]-Purchase[[#This Row],[Disct Amnt]]+Purchase[[#This Row],[GST Amount]]</f>
        <v>860599.96</v>
      </c>
      <c r="R1973" s="138" t="s">
        <v>1019</v>
      </c>
      <c r="S1973" s="41">
        <f>IF(Purchase[[#This Row],[Status]]="Cancelled",0,Purchase[[#This Row],[Qty]])</f>
        <v>22</v>
      </c>
      <c r="T1973" s="146">
        <f>IF(Purchase[[#This Row],[Status]]="Cancelled",0,Purchase[[#This Row],[Total Amount]])</f>
        <v>860599.96</v>
      </c>
      <c r="U1973" s="146">
        <f>SUM(Purchase[Net Amount])</f>
        <v>814985438.68000126</v>
      </c>
    </row>
    <row r="1974" spans="1:21" ht="19.5" thickBot="1" x14ac:dyDescent="0.3">
      <c r="A1974" s="136" t="s">
        <v>3030</v>
      </c>
      <c r="B1974" s="137">
        <v>45754</v>
      </c>
      <c r="C1974" s="138" t="s">
        <v>602</v>
      </c>
      <c r="D1974" s="138" t="str">
        <f>VLOOKUP(Purchase[[#This Row],[Supplier ID]],Supplier[#All],2,0)</f>
        <v>Maa Computers</v>
      </c>
      <c r="E1974" s="138">
        <f>VLOOKUP(Purchase[[#This Row],[Supplier ID]],Supplier[#All],3,0)</f>
        <v>9689542485</v>
      </c>
      <c r="F1974" s="138" t="str">
        <f>VLOOKUP(Purchase[[#This Row],[Supplier ID]],Supplier[#All],4,0)</f>
        <v>Korba</v>
      </c>
      <c r="G1974" s="138" t="str">
        <f>VLOOKUP(Purchase[[#This Row],[Supplier ID]],Supplier[#All],5,0)</f>
        <v>CG</v>
      </c>
      <c r="H1974" s="138" t="str">
        <f>VLOOKUP(Purchase[[#This Row],[Supplier ID]],Supplier[#All],6,0)</f>
        <v>GST2154521T047</v>
      </c>
      <c r="I1974" s="138" t="s">
        <v>322</v>
      </c>
      <c r="J1974" s="139">
        <v>11</v>
      </c>
      <c r="K1974" s="143">
        <f>VLOOKUP(Purchase[[#This Row],[Product ID]],Product[#All],6,0)</f>
        <v>8005</v>
      </c>
      <c r="L1974" s="143">
        <f>Purchase[[#This Row],[Purchase Rate]]*Purchase[[#This Row],[Qty]]</f>
        <v>88055</v>
      </c>
      <c r="M1974" s="140">
        <v>0</v>
      </c>
      <c r="N1974" s="143">
        <v>0</v>
      </c>
      <c r="O1974" s="140">
        <v>0.18</v>
      </c>
      <c r="P1974" s="145">
        <f>(Purchase[[#This Row],[Gross Amount]]-Purchase[[#This Row],[Disct %]])*Purchase[[#This Row],[GST %]]</f>
        <v>15849.9</v>
      </c>
      <c r="Q1974" s="145">
        <f>Purchase[[#This Row],[Gross Amount]]-Purchase[[#This Row],[Disct Amnt]]+Purchase[[#This Row],[GST Amount]]</f>
        <v>103904.9</v>
      </c>
      <c r="R1974" s="138" t="s">
        <v>1040</v>
      </c>
      <c r="S1974" s="41">
        <f>IF(Purchase[[#This Row],[Status]]="Cancelled",0,Purchase[[#This Row],[Qty]])</f>
        <v>0</v>
      </c>
      <c r="T1974" s="146">
        <f>IF(Purchase[[#This Row],[Status]]="Cancelled",0,Purchase[[#This Row],[Total Amount]])</f>
        <v>0</v>
      </c>
      <c r="U1974" s="146">
        <f>SUM(Purchase[Net Amount])</f>
        <v>814985438.68000126</v>
      </c>
    </row>
    <row r="1975" spans="1:21" ht="19.5" thickBot="1" x14ac:dyDescent="0.3">
      <c r="A1975" s="136" t="s">
        <v>3031</v>
      </c>
      <c r="B1975" s="137">
        <v>45754</v>
      </c>
      <c r="C1975" s="138" t="s">
        <v>599</v>
      </c>
      <c r="D1975" s="138" t="str">
        <f>VLOOKUP(Purchase[[#This Row],[Supplier ID]],Supplier[#All],2,0)</f>
        <v>National Distributors</v>
      </c>
      <c r="E1975" s="138">
        <f>VLOOKUP(Purchase[[#This Row],[Supplier ID]],Supplier[#All],3,0)</f>
        <v>9689542482</v>
      </c>
      <c r="F1975" s="138" t="str">
        <f>VLOOKUP(Purchase[[#This Row],[Supplier ID]],Supplier[#All],4,0)</f>
        <v>Kanpur</v>
      </c>
      <c r="G1975" s="138" t="str">
        <f>VLOOKUP(Purchase[[#This Row],[Supplier ID]],Supplier[#All],5,0)</f>
        <v>UP</v>
      </c>
      <c r="H1975" s="138" t="str">
        <f>VLOOKUP(Purchase[[#This Row],[Supplier ID]],Supplier[#All],6,0)</f>
        <v>GST2154521T044</v>
      </c>
      <c r="I1975" s="138" t="s">
        <v>479</v>
      </c>
      <c r="J1975" s="139">
        <v>20</v>
      </c>
      <c r="K1975" s="143">
        <f>VLOOKUP(Purchase[[#This Row],[Product ID]],Product[#All],6,0)</f>
        <v>4548</v>
      </c>
      <c r="L1975" s="143">
        <f>Purchase[[#This Row],[Purchase Rate]]*Purchase[[#This Row],[Qty]]</f>
        <v>90960</v>
      </c>
      <c r="M1975" s="140">
        <v>0</v>
      </c>
      <c r="N1975" s="143">
        <v>0</v>
      </c>
      <c r="O1975" s="140">
        <v>0.18</v>
      </c>
      <c r="P1975" s="145">
        <f>(Purchase[[#This Row],[Gross Amount]]-Purchase[[#This Row],[Disct %]])*Purchase[[#This Row],[GST %]]</f>
        <v>16372.8</v>
      </c>
      <c r="Q1975" s="145">
        <f>Purchase[[#This Row],[Gross Amount]]-Purchase[[#This Row],[Disct Amnt]]+Purchase[[#This Row],[GST Amount]]</f>
        <v>107332.8</v>
      </c>
      <c r="R1975" s="138" t="s">
        <v>1019</v>
      </c>
      <c r="S1975" s="41">
        <f>IF(Purchase[[#This Row],[Status]]="Cancelled",0,Purchase[[#This Row],[Qty]])</f>
        <v>20</v>
      </c>
      <c r="T1975" s="146">
        <f>IF(Purchase[[#This Row],[Status]]="Cancelled",0,Purchase[[#This Row],[Total Amount]])</f>
        <v>107332.8</v>
      </c>
      <c r="U1975" s="146">
        <f>SUM(Purchase[Net Amount])</f>
        <v>814985438.68000126</v>
      </c>
    </row>
    <row r="1976" spans="1:21" ht="19.5" thickBot="1" x14ac:dyDescent="0.3">
      <c r="A1976" s="136" t="s">
        <v>3032</v>
      </c>
      <c r="B1976" s="137">
        <v>45754</v>
      </c>
      <c r="C1976" s="138" t="s">
        <v>588</v>
      </c>
      <c r="D1976" s="138" t="str">
        <f>VLOOKUP(Purchase[[#This Row],[Supplier ID]],Supplier[#All],2,0)</f>
        <v>Star Electronics</v>
      </c>
      <c r="E1976" s="138">
        <f>VLOOKUP(Purchase[[#This Row],[Supplier ID]],Supplier[#All],3,0)</f>
        <v>9689542472</v>
      </c>
      <c r="F1976" s="138" t="str">
        <f>VLOOKUP(Purchase[[#This Row],[Supplier ID]],Supplier[#All],4,0)</f>
        <v>Korba</v>
      </c>
      <c r="G1976" s="138" t="str">
        <f>VLOOKUP(Purchase[[#This Row],[Supplier ID]],Supplier[#All],5,0)</f>
        <v>CG</v>
      </c>
      <c r="H1976" s="138" t="str">
        <f>VLOOKUP(Purchase[[#This Row],[Supplier ID]],Supplier[#All],6,0)</f>
        <v>GST2154521T034</v>
      </c>
      <c r="I1976" s="138" t="s">
        <v>136</v>
      </c>
      <c r="J1976" s="139">
        <v>4</v>
      </c>
      <c r="K1976" s="143">
        <f>VLOOKUP(Purchase[[#This Row],[Product ID]],Product[#All],6,0)</f>
        <v>29405</v>
      </c>
      <c r="L1976" s="143">
        <f>Purchase[[#This Row],[Purchase Rate]]*Purchase[[#This Row],[Qty]]</f>
        <v>117620</v>
      </c>
      <c r="M1976" s="140">
        <v>0</v>
      </c>
      <c r="N1976" s="143">
        <v>0</v>
      </c>
      <c r="O1976" s="140">
        <v>0.18</v>
      </c>
      <c r="P1976" s="145">
        <f>(Purchase[[#This Row],[Gross Amount]]-Purchase[[#This Row],[Disct %]])*Purchase[[#This Row],[GST %]]</f>
        <v>21171.599999999999</v>
      </c>
      <c r="Q1976" s="145">
        <f>Purchase[[#This Row],[Gross Amount]]-Purchase[[#This Row],[Disct Amnt]]+Purchase[[#This Row],[GST Amount]]</f>
        <v>138791.6</v>
      </c>
      <c r="R1976" s="138" t="s">
        <v>1040</v>
      </c>
      <c r="S1976" s="41">
        <f>IF(Purchase[[#This Row],[Status]]="Cancelled",0,Purchase[[#This Row],[Qty]])</f>
        <v>0</v>
      </c>
      <c r="T1976" s="146">
        <f>IF(Purchase[[#This Row],[Status]]="Cancelled",0,Purchase[[#This Row],[Total Amount]])</f>
        <v>0</v>
      </c>
      <c r="U1976" s="146">
        <f>SUM(Purchase[Net Amount])</f>
        <v>814985438.68000126</v>
      </c>
    </row>
    <row r="1977" spans="1:21" ht="19.5" thickBot="1" x14ac:dyDescent="0.3">
      <c r="A1977" s="136" t="s">
        <v>3033</v>
      </c>
      <c r="B1977" s="137">
        <v>45754</v>
      </c>
      <c r="C1977" s="138" t="s">
        <v>570</v>
      </c>
      <c r="D1977" s="138" t="str">
        <f>VLOOKUP(Purchase[[#This Row],[Supplier ID]],Supplier[#All],2,0)</f>
        <v>Prime Traders</v>
      </c>
      <c r="E1977" s="138">
        <f>VLOOKUP(Purchase[[#This Row],[Supplier ID]],Supplier[#All],3,0)</f>
        <v>9689542456</v>
      </c>
      <c r="F1977" s="138" t="str">
        <f>VLOOKUP(Purchase[[#This Row],[Supplier ID]],Supplier[#All],4,0)</f>
        <v>Indore</v>
      </c>
      <c r="G1977" s="138" t="str">
        <f>VLOOKUP(Purchase[[#This Row],[Supplier ID]],Supplier[#All],5,0)</f>
        <v>MP</v>
      </c>
      <c r="H1977" s="138" t="str">
        <f>VLOOKUP(Purchase[[#This Row],[Supplier ID]],Supplier[#All],6,0)</f>
        <v>GST2154521T018</v>
      </c>
      <c r="I1977" s="138" t="s">
        <v>46</v>
      </c>
      <c r="J1977" s="139">
        <v>22</v>
      </c>
      <c r="K1977" s="143">
        <f>VLOOKUP(Purchase[[#This Row],[Product ID]],Product[#All],6,0)</f>
        <v>30419</v>
      </c>
      <c r="L1977" s="143">
        <f>Purchase[[#This Row],[Purchase Rate]]*Purchase[[#This Row],[Qty]]</f>
        <v>669218</v>
      </c>
      <c r="M1977" s="140">
        <v>0</v>
      </c>
      <c r="N1977" s="143">
        <v>0</v>
      </c>
      <c r="O1977" s="140">
        <v>0.18</v>
      </c>
      <c r="P1977" s="145">
        <f>(Purchase[[#This Row],[Gross Amount]]-Purchase[[#This Row],[Disct %]])*Purchase[[#This Row],[GST %]]</f>
        <v>120459.23999999999</v>
      </c>
      <c r="Q1977" s="145">
        <f>Purchase[[#This Row],[Gross Amount]]-Purchase[[#This Row],[Disct Amnt]]+Purchase[[#This Row],[GST Amount]]</f>
        <v>789677.24</v>
      </c>
      <c r="R1977" s="138" t="s">
        <v>1019</v>
      </c>
      <c r="S1977" s="41">
        <f>IF(Purchase[[#This Row],[Status]]="Cancelled",0,Purchase[[#This Row],[Qty]])</f>
        <v>22</v>
      </c>
      <c r="T1977" s="146">
        <f>IF(Purchase[[#This Row],[Status]]="Cancelled",0,Purchase[[#This Row],[Total Amount]])</f>
        <v>789677.24</v>
      </c>
      <c r="U1977" s="146">
        <f>SUM(Purchase[Net Amount])</f>
        <v>814985438.68000126</v>
      </c>
    </row>
    <row r="1978" spans="1:21" ht="19.5" thickBot="1" x14ac:dyDescent="0.3">
      <c r="A1978" s="136" t="s">
        <v>3034</v>
      </c>
      <c r="B1978" s="137">
        <v>45754</v>
      </c>
      <c r="C1978" s="138" t="s">
        <v>611</v>
      </c>
      <c r="D1978" s="138" t="str">
        <f>VLOOKUP(Purchase[[#This Row],[Supplier ID]],Supplier[#All],2,0)</f>
        <v>National Distributors</v>
      </c>
      <c r="E1978" s="138">
        <f>VLOOKUP(Purchase[[#This Row],[Supplier ID]],Supplier[#All],3,0)</f>
        <v>9689542494</v>
      </c>
      <c r="F1978" s="138" t="str">
        <f>VLOOKUP(Purchase[[#This Row],[Supplier ID]],Supplier[#All],4,0)</f>
        <v>Korba</v>
      </c>
      <c r="G1978" s="138" t="str">
        <f>VLOOKUP(Purchase[[#This Row],[Supplier ID]],Supplier[#All],5,0)</f>
        <v>CG</v>
      </c>
      <c r="H1978" s="138" t="str">
        <f>VLOOKUP(Purchase[[#This Row],[Supplier ID]],Supplier[#All],6,0)</f>
        <v>GST2154521T056</v>
      </c>
      <c r="I1978" s="138" t="s">
        <v>251</v>
      </c>
      <c r="J1978" s="139">
        <v>28</v>
      </c>
      <c r="K1978" s="143">
        <f>VLOOKUP(Purchase[[#This Row],[Product ID]],Product[#All],6,0)</f>
        <v>2536</v>
      </c>
      <c r="L1978" s="143">
        <f>Purchase[[#This Row],[Purchase Rate]]*Purchase[[#This Row],[Qty]]</f>
        <v>71008</v>
      </c>
      <c r="M1978" s="140">
        <v>0</v>
      </c>
      <c r="N1978" s="143">
        <v>0</v>
      </c>
      <c r="O1978" s="140">
        <v>0.18</v>
      </c>
      <c r="P1978" s="145">
        <f>(Purchase[[#This Row],[Gross Amount]]-Purchase[[#This Row],[Disct %]])*Purchase[[#This Row],[GST %]]</f>
        <v>12781.439999999999</v>
      </c>
      <c r="Q1978" s="145">
        <f>Purchase[[#This Row],[Gross Amount]]-Purchase[[#This Row],[Disct Amnt]]+Purchase[[#This Row],[GST Amount]]</f>
        <v>83789.440000000002</v>
      </c>
      <c r="R1978" s="138" t="s">
        <v>1019</v>
      </c>
      <c r="S1978" s="41">
        <f>IF(Purchase[[#This Row],[Status]]="Cancelled",0,Purchase[[#This Row],[Qty]])</f>
        <v>28</v>
      </c>
      <c r="T1978" s="146">
        <f>IF(Purchase[[#This Row],[Status]]="Cancelled",0,Purchase[[#This Row],[Total Amount]])</f>
        <v>83789.440000000002</v>
      </c>
      <c r="U1978" s="146">
        <f>SUM(Purchase[Net Amount])</f>
        <v>814985438.68000126</v>
      </c>
    </row>
    <row r="1979" spans="1:21" ht="19.5" thickBot="1" x14ac:dyDescent="0.3">
      <c r="A1979" s="136" t="s">
        <v>3035</v>
      </c>
      <c r="B1979" s="137">
        <v>45754</v>
      </c>
      <c r="C1979" s="138" t="s">
        <v>569</v>
      </c>
      <c r="D1979" s="138" t="str">
        <f>VLOOKUP(Purchase[[#This Row],[Supplier ID]],Supplier[#All],2,0)</f>
        <v>Tech Electronics</v>
      </c>
      <c r="E1979" s="138">
        <f>VLOOKUP(Purchase[[#This Row],[Supplier ID]],Supplier[#All],3,0)</f>
        <v>9689542455</v>
      </c>
      <c r="F1979" s="138" t="str">
        <f>VLOOKUP(Purchase[[#This Row],[Supplier ID]],Supplier[#All],4,0)</f>
        <v>Korba</v>
      </c>
      <c r="G1979" s="138" t="str">
        <f>VLOOKUP(Purchase[[#This Row],[Supplier ID]],Supplier[#All],5,0)</f>
        <v>CG</v>
      </c>
      <c r="H1979" s="138" t="str">
        <f>VLOOKUP(Purchase[[#This Row],[Supplier ID]],Supplier[#All],6,0)</f>
        <v>GST2154521T017</v>
      </c>
      <c r="I1979" s="138" t="s">
        <v>395</v>
      </c>
      <c r="J1979" s="139">
        <v>33</v>
      </c>
      <c r="K1979" s="143">
        <f>VLOOKUP(Purchase[[#This Row],[Product ID]],Product[#All],6,0)</f>
        <v>4422</v>
      </c>
      <c r="L1979" s="143">
        <f>Purchase[[#This Row],[Purchase Rate]]*Purchase[[#This Row],[Qty]]</f>
        <v>145926</v>
      </c>
      <c r="M1979" s="140">
        <v>0</v>
      </c>
      <c r="N1979" s="143">
        <v>0</v>
      </c>
      <c r="O1979" s="140">
        <v>0.18</v>
      </c>
      <c r="P1979" s="145">
        <f>(Purchase[[#This Row],[Gross Amount]]-Purchase[[#This Row],[Disct %]])*Purchase[[#This Row],[GST %]]</f>
        <v>26266.68</v>
      </c>
      <c r="Q1979" s="145">
        <f>Purchase[[#This Row],[Gross Amount]]-Purchase[[#This Row],[Disct Amnt]]+Purchase[[#This Row],[GST Amount]]</f>
        <v>172192.68</v>
      </c>
      <c r="R1979" s="138" t="s">
        <v>1019</v>
      </c>
      <c r="S1979" s="41">
        <f>IF(Purchase[[#This Row],[Status]]="Cancelled",0,Purchase[[#This Row],[Qty]])</f>
        <v>33</v>
      </c>
      <c r="T1979" s="146">
        <f>IF(Purchase[[#This Row],[Status]]="Cancelled",0,Purchase[[#This Row],[Total Amount]])</f>
        <v>172192.68</v>
      </c>
      <c r="U1979" s="146">
        <f>SUM(Purchase[Net Amount])</f>
        <v>814985438.68000126</v>
      </c>
    </row>
    <row r="1980" spans="1:21" ht="19.5" thickBot="1" x14ac:dyDescent="0.3">
      <c r="A1980" s="136" t="s">
        <v>3036</v>
      </c>
      <c r="B1980" s="137">
        <v>45755</v>
      </c>
      <c r="C1980" s="138" t="s">
        <v>578</v>
      </c>
      <c r="D1980" s="138" t="str">
        <f>VLOOKUP(Purchase[[#This Row],[Supplier ID]],Supplier[#All],2,0)</f>
        <v>Shree Computers</v>
      </c>
      <c r="E1980" s="138">
        <f>VLOOKUP(Purchase[[#This Row],[Supplier ID]],Supplier[#All],3,0)</f>
        <v>9689542462</v>
      </c>
      <c r="F1980" s="138" t="str">
        <f>VLOOKUP(Purchase[[#This Row],[Supplier ID]],Supplier[#All],4,0)</f>
        <v>Korba</v>
      </c>
      <c r="G1980" s="138" t="str">
        <f>VLOOKUP(Purchase[[#This Row],[Supplier ID]],Supplier[#All],5,0)</f>
        <v>CG</v>
      </c>
      <c r="H1980" s="138" t="str">
        <f>VLOOKUP(Purchase[[#This Row],[Supplier ID]],Supplier[#All],6,0)</f>
        <v>GST2154521T024</v>
      </c>
      <c r="I1980" s="138" t="s">
        <v>333</v>
      </c>
      <c r="J1980" s="139">
        <v>24</v>
      </c>
      <c r="K1980" s="143">
        <f>VLOOKUP(Purchase[[#This Row],[Product ID]],Product[#All],6,0)</f>
        <v>2540</v>
      </c>
      <c r="L1980" s="143">
        <f>Purchase[[#This Row],[Purchase Rate]]*Purchase[[#This Row],[Qty]]</f>
        <v>60960</v>
      </c>
      <c r="M1980" s="140">
        <v>0</v>
      </c>
      <c r="N1980" s="143">
        <v>0</v>
      </c>
      <c r="O1980" s="140">
        <v>0.18</v>
      </c>
      <c r="P1980" s="145">
        <f>(Purchase[[#This Row],[Gross Amount]]-Purchase[[#This Row],[Disct %]])*Purchase[[#This Row],[GST %]]</f>
        <v>10972.8</v>
      </c>
      <c r="Q1980" s="145">
        <f>Purchase[[#This Row],[Gross Amount]]-Purchase[[#This Row],[Disct Amnt]]+Purchase[[#This Row],[GST Amount]]</f>
        <v>71932.800000000003</v>
      </c>
      <c r="R1980" s="138" t="s">
        <v>1019</v>
      </c>
      <c r="S1980" s="41">
        <f>IF(Purchase[[#This Row],[Status]]="Cancelled",0,Purchase[[#This Row],[Qty]])</f>
        <v>24</v>
      </c>
      <c r="T1980" s="146">
        <f>IF(Purchase[[#This Row],[Status]]="Cancelled",0,Purchase[[#This Row],[Total Amount]])</f>
        <v>71932.800000000003</v>
      </c>
      <c r="U1980" s="146">
        <f>SUM(Purchase[Net Amount])</f>
        <v>814985438.68000126</v>
      </c>
    </row>
    <row r="1981" spans="1:21" ht="19.5" thickBot="1" x14ac:dyDescent="0.3">
      <c r="A1981" s="136" t="s">
        <v>3037</v>
      </c>
      <c r="B1981" s="137">
        <v>45755</v>
      </c>
      <c r="C1981" s="138" t="s">
        <v>566</v>
      </c>
      <c r="D1981" s="138" t="str">
        <f>VLOOKUP(Purchase[[#This Row],[Supplier ID]],Supplier[#All],2,0)</f>
        <v>Maa Computers</v>
      </c>
      <c r="E1981" s="138">
        <f>VLOOKUP(Purchase[[#This Row],[Supplier ID]],Supplier[#All],3,0)</f>
        <v>9689542452</v>
      </c>
      <c r="F1981" s="138" t="str">
        <f>VLOOKUP(Purchase[[#This Row],[Supplier ID]],Supplier[#All],4,0)</f>
        <v>Kanpur</v>
      </c>
      <c r="G1981" s="138" t="str">
        <f>VLOOKUP(Purchase[[#This Row],[Supplier ID]],Supplier[#All],5,0)</f>
        <v>UP</v>
      </c>
      <c r="H1981" s="138" t="str">
        <f>VLOOKUP(Purchase[[#This Row],[Supplier ID]],Supplier[#All],6,0)</f>
        <v>GST2154521T014</v>
      </c>
      <c r="I1981" s="138" t="s">
        <v>367</v>
      </c>
      <c r="J1981" s="139">
        <v>13</v>
      </c>
      <c r="K1981" s="143">
        <f>VLOOKUP(Purchase[[#This Row],[Product ID]],Product[#All],6,0)</f>
        <v>4278</v>
      </c>
      <c r="L1981" s="143">
        <f>Purchase[[#This Row],[Purchase Rate]]*Purchase[[#This Row],[Qty]]</f>
        <v>55614</v>
      </c>
      <c r="M1981" s="140">
        <v>0</v>
      </c>
      <c r="N1981" s="143">
        <v>0</v>
      </c>
      <c r="O1981" s="140">
        <v>0.18</v>
      </c>
      <c r="P1981" s="145">
        <f>(Purchase[[#This Row],[Gross Amount]]-Purchase[[#This Row],[Disct %]])*Purchase[[#This Row],[GST %]]</f>
        <v>10010.52</v>
      </c>
      <c r="Q1981" s="145">
        <f>Purchase[[#This Row],[Gross Amount]]-Purchase[[#This Row],[Disct Amnt]]+Purchase[[#This Row],[GST Amount]]</f>
        <v>65624.52</v>
      </c>
      <c r="R1981" s="138" t="s">
        <v>1040</v>
      </c>
      <c r="S1981" s="41">
        <f>IF(Purchase[[#This Row],[Status]]="Cancelled",0,Purchase[[#This Row],[Qty]])</f>
        <v>0</v>
      </c>
      <c r="T1981" s="146">
        <f>IF(Purchase[[#This Row],[Status]]="Cancelled",0,Purchase[[#This Row],[Total Amount]])</f>
        <v>0</v>
      </c>
      <c r="U1981" s="146">
        <f>SUM(Purchase[Net Amount])</f>
        <v>814985438.68000126</v>
      </c>
    </row>
    <row r="1982" spans="1:21" ht="19.5" thickBot="1" x14ac:dyDescent="0.3">
      <c r="A1982" s="136" t="s">
        <v>3038</v>
      </c>
      <c r="B1982" s="137">
        <v>45755</v>
      </c>
      <c r="C1982" s="138" t="s">
        <v>564</v>
      </c>
      <c r="D1982" s="138" t="str">
        <f>VLOOKUP(Purchase[[#This Row],[Supplier ID]],Supplier[#All],2,0)</f>
        <v xml:space="preserve">Star Electronics </v>
      </c>
      <c r="E1982" s="138">
        <f>VLOOKUP(Purchase[[#This Row],[Supplier ID]],Supplier[#All],3,0)</f>
        <v>9689542450</v>
      </c>
      <c r="F1982" s="138" t="str">
        <f>VLOOKUP(Purchase[[#This Row],[Supplier ID]],Supplier[#All],4,0)</f>
        <v>Korba</v>
      </c>
      <c r="G1982" s="138" t="str">
        <f>VLOOKUP(Purchase[[#This Row],[Supplier ID]],Supplier[#All],5,0)</f>
        <v>CG</v>
      </c>
      <c r="H1982" s="138" t="str">
        <f>VLOOKUP(Purchase[[#This Row],[Supplier ID]],Supplier[#All],6,0)</f>
        <v>GST2154521T012</v>
      </c>
      <c r="I1982" s="138" t="s">
        <v>438</v>
      </c>
      <c r="J1982" s="139">
        <v>21</v>
      </c>
      <c r="K1982" s="143">
        <f>VLOOKUP(Purchase[[#This Row],[Product ID]],Product[#All],6,0)</f>
        <v>1324</v>
      </c>
      <c r="L1982" s="143">
        <f>Purchase[[#This Row],[Purchase Rate]]*Purchase[[#This Row],[Qty]]</f>
        <v>27804</v>
      </c>
      <c r="M1982" s="140">
        <v>0</v>
      </c>
      <c r="N1982" s="143">
        <v>0</v>
      </c>
      <c r="O1982" s="140">
        <v>0.18</v>
      </c>
      <c r="P1982" s="145">
        <f>(Purchase[[#This Row],[Gross Amount]]-Purchase[[#This Row],[Disct %]])*Purchase[[#This Row],[GST %]]</f>
        <v>5004.72</v>
      </c>
      <c r="Q1982" s="145">
        <f>Purchase[[#This Row],[Gross Amount]]-Purchase[[#This Row],[Disct Amnt]]+Purchase[[#This Row],[GST Amount]]</f>
        <v>32808.720000000001</v>
      </c>
      <c r="R1982" s="138" t="s">
        <v>1019</v>
      </c>
      <c r="S1982" s="41">
        <f>IF(Purchase[[#This Row],[Status]]="Cancelled",0,Purchase[[#This Row],[Qty]])</f>
        <v>21</v>
      </c>
      <c r="T1982" s="146">
        <f>IF(Purchase[[#This Row],[Status]]="Cancelled",0,Purchase[[#This Row],[Total Amount]])</f>
        <v>32808.720000000001</v>
      </c>
      <c r="U1982" s="146">
        <f>SUM(Purchase[Net Amount])</f>
        <v>814985438.68000126</v>
      </c>
    </row>
    <row r="1983" spans="1:21" ht="19.5" thickBot="1" x14ac:dyDescent="0.3">
      <c r="A1983" s="136" t="s">
        <v>3039</v>
      </c>
      <c r="B1983" s="137">
        <v>45755</v>
      </c>
      <c r="C1983" s="138" t="s">
        <v>582</v>
      </c>
      <c r="D1983" s="138" t="str">
        <f>VLOOKUP(Purchase[[#This Row],[Supplier ID]],Supplier[#All],2,0)</f>
        <v>Tech Distributors</v>
      </c>
      <c r="E1983" s="138">
        <f>VLOOKUP(Purchase[[#This Row],[Supplier ID]],Supplier[#All],3,0)</f>
        <v>9689542466</v>
      </c>
      <c r="F1983" s="138" t="str">
        <f>VLOOKUP(Purchase[[#This Row],[Supplier ID]],Supplier[#All],4,0)</f>
        <v>Indore</v>
      </c>
      <c r="G1983" s="138" t="str">
        <f>VLOOKUP(Purchase[[#This Row],[Supplier ID]],Supplier[#All],5,0)</f>
        <v>MP</v>
      </c>
      <c r="H1983" s="138" t="str">
        <f>VLOOKUP(Purchase[[#This Row],[Supplier ID]],Supplier[#All],6,0)</f>
        <v>GST2154521T028</v>
      </c>
      <c r="I1983" s="138" t="s">
        <v>416</v>
      </c>
      <c r="J1983" s="139">
        <v>8</v>
      </c>
      <c r="K1983" s="143">
        <f>VLOOKUP(Purchase[[#This Row],[Product ID]],Product[#All],6,0)</f>
        <v>726</v>
      </c>
      <c r="L1983" s="143">
        <f>Purchase[[#This Row],[Purchase Rate]]*Purchase[[#This Row],[Qty]]</f>
        <v>5808</v>
      </c>
      <c r="M1983" s="140">
        <v>0</v>
      </c>
      <c r="N1983" s="143">
        <v>0</v>
      </c>
      <c r="O1983" s="140">
        <v>0.18</v>
      </c>
      <c r="P1983" s="145">
        <f>(Purchase[[#This Row],[Gross Amount]]-Purchase[[#This Row],[Disct %]])*Purchase[[#This Row],[GST %]]</f>
        <v>1045.44</v>
      </c>
      <c r="Q1983" s="145">
        <f>Purchase[[#This Row],[Gross Amount]]-Purchase[[#This Row],[Disct Amnt]]+Purchase[[#This Row],[GST Amount]]</f>
        <v>6853.4400000000005</v>
      </c>
      <c r="R1983" s="138" t="s">
        <v>1019</v>
      </c>
      <c r="S1983" s="41">
        <f>IF(Purchase[[#This Row],[Status]]="Cancelled",0,Purchase[[#This Row],[Qty]])</f>
        <v>8</v>
      </c>
      <c r="T1983" s="146">
        <f>IF(Purchase[[#This Row],[Status]]="Cancelled",0,Purchase[[#This Row],[Total Amount]])</f>
        <v>6853.4400000000005</v>
      </c>
      <c r="U1983" s="146">
        <f>SUM(Purchase[Net Amount])</f>
        <v>814985438.68000126</v>
      </c>
    </row>
    <row r="1984" spans="1:21" ht="19.5" thickBot="1" x14ac:dyDescent="0.3">
      <c r="A1984" s="136" t="s">
        <v>3040</v>
      </c>
      <c r="B1984" s="137">
        <v>45755</v>
      </c>
      <c r="C1984" s="138" t="s">
        <v>615</v>
      </c>
      <c r="D1984" s="138" t="str">
        <f>VLOOKUP(Purchase[[#This Row],[Supplier ID]],Supplier[#All],2,0)</f>
        <v>NATIONAL ELECTRONICS</v>
      </c>
      <c r="E1984" s="138">
        <f>VLOOKUP(Purchase[[#This Row],[Supplier ID]],Supplier[#All],3,0)</f>
        <v>9689542498</v>
      </c>
      <c r="F1984" s="138" t="str">
        <f>VLOOKUP(Purchase[[#This Row],[Supplier ID]],Supplier[#All],4,0)</f>
        <v>Kanpur</v>
      </c>
      <c r="G1984" s="138" t="str">
        <f>VLOOKUP(Purchase[[#This Row],[Supplier ID]],Supplier[#All],5,0)</f>
        <v>UP</v>
      </c>
      <c r="H1984" s="138" t="str">
        <f>VLOOKUP(Purchase[[#This Row],[Supplier ID]],Supplier[#All],6,0)</f>
        <v>GST2154521T060</v>
      </c>
      <c r="I1984" s="138" t="s">
        <v>336</v>
      </c>
      <c r="J1984" s="139">
        <v>13</v>
      </c>
      <c r="K1984" s="143">
        <f>VLOOKUP(Purchase[[#This Row],[Product ID]],Product[#All],6,0)</f>
        <v>1127</v>
      </c>
      <c r="L1984" s="143">
        <f>Purchase[[#This Row],[Purchase Rate]]*Purchase[[#This Row],[Qty]]</f>
        <v>14651</v>
      </c>
      <c r="M1984" s="140">
        <v>0</v>
      </c>
      <c r="N1984" s="143">
        <v>0</v>
      </c>
      <c r="O1984" s="140">
        <v>0.18</v>
      </c>
      <c r="P1984" s="145">
        <f>(Purchase[[#This Row],[Gross Amount]]-Purchase[[#This Row],[Disct %]])*Purchase[[#This Row],[GST %]]</f>
        <v>2637.18</v>
      </c>
      <c r="Q1984" s="145">
        <f>Purchase[[#This Row],[Gross Amount]]-Purchase[[#This Row],[Disct Amnt]]+Purchase[[#This Row],[GST Amount]]</f>
        <v>17288.18</v>
      </c>
      <c r="R1984" s="138" t="s">
        <v>1040</v>
      </c>
      <c r="S1984" s="41">
        <f>IF(Purchase[[#This Row],[Status]]="Cancelled",0,Purchase[[#This Row],[Qty]])</f>
        <v>0</v>
      </c>
      <c r="T1984" s="146">
        <f>IF(Purchase[[#This Row],[Status]]="Cancelled",0,Purchase[[#This Row],[Total Amount]])</f>
        <v>0</v>
      </c>
      <c r="U1984" s="146">
        <f>SUM(Purchase[Net Amount])</f>
        <v>814985438.68000126</v>
      </c>
    </row>
    <row r="1985" spans="1:21" ht="19.5" thickBot="1" x14ac:dyDescent="0.3">
      <c r="A1985" s="136" t="s">
        <v>3041</v>
      </c>
      <c r="B1985" s="137">
        <v>45755</v>
      </c>
      <c r="C1985" s="138" t="s">
        <v>567</v>
      </c>
      <c r="D1985" s="138" t="str">
        <f>VLOOKUP(Purchase[[#This Row],[Supplier ID]],Supplier[#All],2,0)</f>
        <v>National Distributors</v>
      </c>
      <c r="E1985" s="138">
        <f>VLOOKUP(Purchase[[#This Row],[Supplier ID]],Supplier[#All],3,0)</f>
        <v>9689542453</v>
      </c>
      <c r="F1985" s="138" t="str">
        <f>VLOOKUP(Purchase[[#This Row],[Supplier ID]],Supplier[#All],4,0)</f>
        <v>Korba</v>
      </c>
      <c r="G1985" s="138" t="str">
        <f>VLOOKUP(Purchase[[#This Row],[Supplier ID]],Supplier[#All],5,0)</f>
        <v>CG</v>
      </c>
      <c r="H1985" s="138" t="str">
        <f>VLOOKUP(Purchase[[#This Row],[Supplier ID]],Supplier[#All],6,0)</f>
        <v>GST2154521T015</v>
      </c>
      <c r="I1985" s="138" t="s">
        <v>61</v>
      </c>
      <c r="J1985" s="139">
        <v>18</v>
      </c>
      <c r="K1985" s="143">
        <f>VLOOKUP(Purchase[[#This Row],[Product ID]],Product[#All],6,0)</f>
        <v>2704</v>
      </c>
      <c r="L1985" s="143">
        <f>Purchase[[#This Row],[Purchase Rate]]*Purchase[[#This Row],[Qty]]</f>
        <v>48672</v>
      </c>
      <c r="M1985" s="140">
        <v>0</v>
      </c>
      <c r="N1985" s="143">
        <v>0</v>
      </c>
      <c r="O1985" s="140">
        <v>0.18</v>
      </c>
      <c r="P1985" s="145">
        <f>(Purchase[[#This Row],[Gross Amount]]-Purchase[[#This Row],[Disct %]])*Purchase[[#This Row],[GST %]]</f>
        <v>8760.9599999999991</v>
      </c>
      <c r="Q1985" s="145">
        <f>Purchase[[#This Row],[Gross Amount]]-Purchase[[#This Row],[Disct Amnt]]+Purchase[[#This Row],[GST Amount]]</f>
        <v>57432.959999999999</v>
      </c>
      <c r="R1985" s="138" t="s">
        <v>1019</v>
      </c>
      <c r="S1985" s="41">
        <f>IF(Purchase[[#This Row],[Status]]="Cancelled",0,Purchase[[#This Row],[Qty]])</f>
        <v>18</v>
      </c>
      <c r="T1985" s="146">
        <f>IF(Purchase[[#This Row],[Status]]="Cancelled",0,Purchase[[#This Row],[Total Amount]])</f>
        <v>57432.959999999999</v>
      </c>
      <c r="U1985" s="146">
        <f>SUM(Purchase[Net Amount])</f>
        <v>814985438.68000126</v>
      </c>
    </row>
    <row r="1986" spans="1:21" ht="19.5" thickBot="1" x14ac:dyDescent="0.3">
      <c r="A1986" s="136" t="s">
        <v>3042</v>
      </c>
      <c r="B1986" s="137">
        <v>45755</v>
      </c>
      <c r="C1986" s="138" t="s">
        <v>598</v>
      </c>
      <c r="D1986" s="138" t="str">
        <f>VLOOKUP(Purchase[[#This Row],[Supplier ID]],Supplier[#All],2,0)</f>
        <v>National Distributors</v>
      </c>
      <c r="E1986" s="138">
        <f>VLOOKUP(Purchase[[#This Row],[Supplier ID]],Supplier[#All],3,0)</f>
        <v>9689542489</v>
      </c>
      <c r="F1986" s="138" t="str">
        <f>VLOOKUP(Purchase[[#This Row],[Supplier ID]],Supplier[#All],4,0)</f>
        <v>Indore</v>
      </c>
      <c r="G1986" s="138" t="str">
        <f>VLOOKUP(Purchase[[#This Row],[Supplier ID]],Supplier[#All],5,0)</f>
        <v>MP</v>
      </c>
      <c r="H1986" s="138" t="str">
        <f>VLOOKUP(Purchase[[#This Row],[Supplier ID]],Supplier[#All],6,0)</f>
        <v>GST2154521T043</v>
      </c>
      <c r="I1986" s="138" t="s">
        <v>248</v>
      </c>
      <c r="J1986" s="139">
        <v>33</v>
      </c>
      <c r="K1986" s="143">
        <f>VLOOKUP(Purchase[[#This Row],[Product ID]],Product[#All],6,0)</f>
        <v>824</v>
      </c>
      <c r="L1986" s="143">
        <f>Purchase[[#This Row],[Purchase Rate]]*Purchase[[#This Row],[Qty]]</f>
        <v>27192</v>
      </c>
      <c r="M1986" s="140">
        <v>0</v>
      </c>
      <c r="N1986" s="143">
        <v>0</v>
      </c>
      <c r="O1986" s="140">
        <v>0.18</v>
      </c>
      <c r="P1986" s="145">
        <f>(Purchase[[#This Row],[Gross Amount]]-Purchase[[#This Row],[Disct %]])*Purchase[[#This Row],[GST %]]</f>
        <v>4894.5599999999995</v>
      </c>
      <c r="Q1986" s="145">
        <f>Purchase[[#This Row],[Gross Amount]]-Purchase[[#This Row],[Disct Amnt]]+Purchase[[#This Row],[GST Amount]]</f>
        <v>32086.559999999998</v>
      </c>
      <c r="R1986" s="138" t="s">
        <v>1019</v>
      </c>
      <c r="S1986" s="41">
        <f>IF(Purchase[[#This Row],[Status]]="Cancelled",0,Purchase[[#This Row],[Qty]])</f>
        <v>33</v>
      </c>
      <c r="T1986" s="146">
        <f>IF(Purchase[[#This Row],[Status]]="Cancelled",0,Purchase[[#This Row],[Total Amount]])</f>
        <v>32086.559999999998</v>
      </c>
      <c r="U1986" s="146">
        <f>SUM(Purchase[Net Amount])</f>
        <v>814985438.68000126</v>
      </c>
    </row>
    <row r="1987" spans="1:21" ht="19.5" thickBot="1" x14ac:dyDescent="0.3">
      <c r="A1987" s="136" t="s">
        <v>3043</v>
      </c>
      <c r="B1987" s="137">
        <v>45755</v>
      </c>
      <c r="C1987" s="138" t="s">
        <v>607</v>
      </c>
      <c r="D1987" s="138" t="str">
        <f>VLOOKUP(Purchase[[#This Row],[Supplier ID]],Supplier[#All],2,0)</f>
        <v>Global Distributors</v>
      </c>
      <c r="E1987" s="138">
        <f>VLOOKUP(Purchase[[#This Row],[Supplier ID]],Supplier[#All],3,0)</f>
        <v>9689542490</v>
      </c>
      <c r="F1987" s="138" t="str">
        <f>VLOOKUP(Purchase[[#This Row],[Supplier ID]],Supplier[#All],4,0)</f>
        <v>Kanpur</v>
      </c>
      <c r="G1987" s="138" t="str">
        <f>VLOOKUP(Purchase[[#This Row],[Supplier ID]],Supplier[#All],5,0)</f>
        <v>UP</v>
      </c>
      <c r="H1987" s="138" t="str">
        <f>VLOOKUP(Purchase[[#This Row],[Supplier ID]],Supplier[#All],6,0)</f>
        <v>GST2154521T052</v>
      </c>
      <c r="I1987" s="138" t="s">
        <v>18</v>
      </c>
      <c r="J1987" s="139">
        <v>21</v>
      </c>
      <c r="K1987" s="143">
        <f>VLOOKUP(Purchase[[#This Row],[Product ID]],Product[#All],6,0)</f>
        <v>701</v>
      </c>
      <c r="L1987" s="143">
        <f>Purchase[[#This Row],[Purchase Rate]]*Purchase[[#This Row],[Qty]]</f>
        <v>14721</v>
      </c>
      <c r="M1987" s="140">
        <v>0</v>
      </c>
      <c r="N1987" s="143">
        <v>0</v>
      </c>
      <c r="O1987" s="140">
        <v>0.18</v>
      </c>
      <c r="P1987" s="145">
        <f>(Purchase[[#This Row],[Gross Amount]]-Purchase[[#This Row],[Disct %]])*Purchase[[#This Row],[GST %]]</f>
        <v>2649.7799999999997</v>
      </c>
      <c r="Q1987" s="145">
        <f>Purchase[[#This Row],[Gross Amount]]-Purchase[[#This Row],[Disct Amnt]]+Purchase[[#This Row],[GST Amount]]</f>
        <v>17370.78</v>
      </c>
      <c r="R1987" s="138" t="s">
        <v>1019</v>
      </c>
      <c r="S1987" s="41">
        <f>IF(Purchase[[#This Row],[Status]]="Cancelled",0,Purchase[[#This Row],[Qty]])</f>
        <v>21</v>
      </c>
      <c r="T1987" s="146">
        <f>IF(Purchase[[#This Row],[Status]]="Cancelled",0,Purchase[[#This Row],[Total Amount]])</f>
        <v>17370.78</v>
      </c>
      <c r="U1987" s="146">
        <f>SUM(Purchase[Net Amount])</f>
        <v>814985438.68000126</v>
      </c>
    </row>
    <row r="1988" spans="1:21" ht="19.5" thickBot="1" x14ac:dyDescent="0.3">
      <c r="A1988" s="136" t="s">
        <v>3044</v>
      </c>
      <c r="B1988" s="137">
        <v>45755</v>
      </c>
      <c r="C1988" s="138" t="s">
        <v>590</v>
      </c>
      <c r="D1988" s="138" t="str">
        <f>VLOOKUP(Purchase[[#This Row],[Supplier ID]],Supplier[#All],2,0)</f>
        <v>Star Distributors</v>
      </c>
      <c r="E1988" s="138">
        <f>VLOOKUP(Purchase[[#This Row],[Supplier ID]],Supplier[#All],3,0)</f>
        <v>9689542474</v>
      </c>
      <c r="F1988" s="138" t="str">
        <f>VLOOKUP(Purchase[[#This Row],[Supplier ID]],Supplier[#All],4,0)</f>
        <v>Kanpur</v>
      </c>
      <c r="G1988" s="138" t="str">
        <f>VLOOKUP(Purchase[[#This Row],[Supplier ID]],Supplier[#All],5,0)</f>
        <v>UP</v>
      </c>
      <c r="H1988" s="138" t="str">
        <f>VLOOKUP(Purchase[[#This Row],[Supplier ID]],Supplier[#All],6,0)</f>
        <v>GST2154521T036</v>
      </c>
      <c r="I1988" s="138" t="s">
        <v>481</v>
      </c>
      <c r="J1988" s="139">
        <v>2</v>
      </c>
      <c r="K1988" s="143">
        <f>VLOOKUP(Purchase[[#This Row],[Product ID]],Product[#All],6,0)</f>
        <v>29803</v>
      </c>
      <c r="L1988" s="143">
        <f>Purchase[[#This Row],[Purchase Rate]]*Purchase[[#This Row],[Qty]]</f>
        <v>59606</v>
      </c>
      <c r="M1988" s="140">
        <v>0</v>
      </c>
      <c r="N1988" s="143">
        <v>0</v>
      </c>
      <c r="O1988" s="140">
        <v>0.18</v>
      </c>
      <c r="P1988" s="145">
        <f>(Purchase[[#This Row],[Gross Amount]]-Purchase[[#This Row],[Disct %]])*Purchase[[#This Row],[GST %]]</f>
        <v>10729.08</v>
      </c>
      <c r="Q1988" s="145">
        <f>Purchase[[#This Row],[Gross Amount]]-Purchase[[#This Row],[Disct Amnt]]+Purchase[[#This Row],[GST Amount]]</f>
        <v>70335.08</v>
      </c>
      <c r="R1988" s="138" t="s">
        <v>1019</v>
      </c>
      <c r="S1988" s="41">
        <f>IF(Purchase[[#This Row],[Status]]="Cancelled",0,Purchase[[#This Row],[Qty]])</f>
        <v>2</v>
      </c>
      <c r="T1988" s="146">
        <f>IF(Purchase[[#This Row],[Status]]="Cancelled",0,Purchase[[#This Row],[Total Amount]])</f>
        <v>70335.08</v>
      </c>
      <c r="U1988" s="146">
        <f>SUM(Purchase[Net Amount])</f>
        <v>814985438.68000126</v>
      </c>
    </row>
    <row r="1989" spans="1:21" ht="19.5" thickBot="1" x14ac:dyDescent="0.3">
      <c r="A1989" s="136" t="s">
        <v>3045</v>
      </c>
      <c r="B1989" s="137">
        <v>45755</v>
      </c>
      <c r="C1989" s="138" t="s">
        <v>599</v>
      </c>
      <c r="D1989" s="138" t="str">
        <f>VLOOKUP(Purchase[[#This Row],[Supplier ID]],Supplier[#All],2,0)</f>
        <v>National Distributors</v>
      </c>
      <c r="E1989" s="138">
        <f>VLOOKUP(Purchase[[#This Row],[Supplier ID]],Supplier[#All],3,0)</f>
        <v>9689542482</v>
      </c>
      <c r="F1989" s="138" t="str">
        <f>VLOOKUP(Purchase[[#This Row],[Supplier ID]],Supplier[#All],4,0)</f>
        <v>Kanpur</v>
      </c>
      <c r="G1989" s="138" t="str">
        <f>VLOOKUP(Purchase[[#This Row],[Supplier ID]],Supplier[#All],5,0)</f>
        <v>UP</v>
      </c>
      <c r="H1989" s="138" t="str">
        <f>VLOOKUP(Purchase[[#This Row],[Supplier ID]],Supplier[#All],6,0)</f>
        <v>GST2154521T044</v>
      </c>
      <c r="I1989" s="138" t="s">
        <v>431</v>
      </c>
      <c r="J1989" s="139">
        <v>21</v>
      </c>
      <c r="K1989" s="143">
        <f>VLOOKUP(Purchase[[#This Row],[Product ID]],Product[#All],6,0)</f>
        <v>14391</v>
      </c>
      <c r="L1989" s="143">
        <f>Purchase[[#This Row],[Purchase Rate]]*Purchase[[#This Row],[Qty]]</f>
        <v>302211</v>
      </c>
      <c r="M1989" s="140">
        <v>0</v>
      </c>
      <c r="N1989" s="143">
        <v>0</v>
      </c>
      <c r="O1989" s="140">
        <v>0.18</v>
      </c>
      <c r="P1989" s="145">
        <f>(Purchase[[#This Row],[Gross Amount]]-Purchase[[#This Row],[Disct %]])*Purchase[[#This Row],[GST %]]</f>
        <v>54397.979999999996</v>
      </c>
      <c r="Q1989" s="145">
        <f>Purchase[[#This Row],[Gross Amount]]-Purchase[[#This Row],[Disct Amnt]]+Purchase[[#This Row],[GST Amount]]</f>
        <v>356608.98</v>
      </c>
      <c r="R1989" s="138" t="s">
        <v>1019</v>
      </c>
      <c r="S1989" s="41">
        <f>IF(Purchase[[#This Row],[Status]]="Cancelled",0,Purchase[[#This Row],[Qty]])</f>
        <v>21</v>
      </c>
      <c r="T1989" s="146">
        <f>IF(Purchase[[#This Row],[Status]]="Cancelled",0,Purchase[[#This Row],[Total Amount]])</f>
        <v>356608.98</v>
      </c>
      <c r="U1989" s="146">
        <f>SUM(Purchase[Net Amount])</f>
        <v>814985438.68000126</v>
      </c>
    </row>
    <row r="1990" spans="1:21" ht="19.5" thickBot="1" x14ac:dyDescent="0.3">
      <c r="A1990" s="136" t="s">
        <v>3046</v>
      </c>
      <c r="B1990" s="137">
        <v>45755</v>
      </c>
      <c r="C1990" s="138" t="s">
        <v>595</v>
      </c>
      <c r="D1990" s="138" t="str">
        <f>VLOOKUP(Purchase[[#This Row],[Supplier ID]],Supplier[#All],2,0)</f>
        <v>Star Computers</v>
      </c>
      <c r="E1990" s="138">
        <f>VLOOKUP(Purchase[[#This Row],[Supplier ID]],Supplier[#All],3,0)</f>
        <v>9689542478</v>
      </c>
      <c r="F1990" s="138" t="str">
        <f>VLOOKUP(Purchase[[#This Row],[Supplier ID]],Supplier[#All],4,0)</f>
        <v>Kanpur</v>
      </c>
      <c r="G1990" s="138" t="str">
        <f>VLOOKUP(Purchase[[#This Row],[Supplier ID]],Supplier[#All],5,0)</f>
        <v>UP</v>
      </c>
      <c r="H1990" s="138" t="str">
        <f>VLOOKUP(Purchase[[#This Row],[Supplier ID]],Supplier[#All],6,0)</f>
        <v>GST2154521T040</v>
      </c>
      <c r="I1990" s="138" t="s">
        <v>191</v>
      </c>
      <c r="J1990" s="139">
        <v>35</v>
      </c>
      <c r="K1990" s="143">
        <f>VLOOKUP(Purchase[[#This Row],[Product ID]],Product[#All],6,0)</f>
        <v>1533</v>
      </c>
      <c r="L1990" s="143">
        <f>Purchase[[#This Row],[Purchase Rate]]*Purchase[[#This Row],[Qty]]</f>
        <v>53655</v>
      </c>
      <c r="M1990" s="140">
        <v>0</v>
      </c>
      <c r="N1990" s="143">
        <v>0</v>
      </c>
      <c r="O1990" s="140">
        <v>0.18</v>
      </c>
      <c r="P1990" s="145">
        <f>(Purchase[[#This Row],[Gross Amount]]-Purchase[[#This Row],[Disct %]])*Purchase[[#This Row],[GST %]]</f>
        <v>9657.9</v>
      </c>
      <c r="Q1990" s="145">
        <f>Purchase[[#This Row],[Gross Amount]]-Purchase[[#This Row],[Disct Amnt]]+Purchase[[#This Row],[GST Amount]]</f>
        <v>63312.9</v>
      </c>
      <c r="R1990" s="138" t="s">
        <v>1019</v>
      </c>
      <c r="S1990" s="41">
        <f>IF(Purchase[[#This Row],[Status]]="Cancelled",0,Purchase[[#This Row],[Qty]])</f>
        <v>35</v>
      </c>
      <c r="T1990" s="146">
        <f>IF(Purchase[[#This Row],[Status]]="Cancelled",0,Purchase[[#This Row],[Total Amount]])</f>
        <v>63312.9</v>
      </c>
      <c r="U1990" s="146">
        <f>SUM(Purchase[Net Amount])</f>
        <v>814985438.68000126</v>
      </c>
    </row>
    <row r="1991" spans="1:21" ht="19.5" thickBot="1" x14ac:dyDescent="0.3">
      <c r="A1991" s="136" t="s">
        <v>3047</v>
      </c>
      <c r="B1991" s="137">
        <v>45755</v>
      </c>
      <c r="C1991" s="138" t="s">
        <v>597</v>
      </c>
      <c r="D1991" s="138" t="str">
        <f>VLOOKUP(Purchase[[#This Row],[Supplier ID]],Supplier[#All],2,0)</f>
        <v>Tech Traders</v>
      </c>
      <c r="E1991" s="138">
        <f>VLOOKUP(Purchase[[#This Row],[Supplier ID]],Supplier[#All],3,0)</f>
        <v>9689542480</v>
      </c>
      <c r="F1991" s="138" t="str">
        <f>VLOOKUP(Purchase[[#This Row],[Supplier ID]],Supplier[#All],4,0)</f>
        <v>Kanpur</v>
      </c>
      <c r="G1991" s="138" t="str">
        <f>VLOOKUP(Purchase[[#This Row],[Supplier ID]],Supplier[#All],5,0)</f>
        <v>UP</v>
      </c>
      <c r="H1991" s="138" t="str">
        <f>VLOOKUP(Purchase[[#This Row],[Supplier ID]],Supplier[#All],6,0)</f>
        <v>GST2154521T042</v>
      </c>
      <c r="I1991" s="138" t="s">
        <v>551</v>
      </c>
      <c r="J1991" s="139">
        <v>13</v>
      </c>
      <c r="K1991" s="143">
        <f>VLOOKUP(Purchase[[#This Row],[Product ID]],Product[#All],6,0)</f>
        <v>33311</v>
      </c>
      <c r="L1991" s="143">
        <f>Purchase[[#This Row],[Purchase Rate]]*Purchase[[#This Row],[Qty]]</f>
        <v>433043</v>
      </c>
      <c r="M1991" s="140">
        <v>0</v>
      </c>
      <c r="N1991" s="143">
        <v>0</v>
      </c>
      <c r="O1991" s="140">
        <v>0.18</v>
      </c>
      <c r="P1991" s="145">
        <f>(Purchase[[#This Row],[Gross Amount]]-Purchase[[#This Row],[Disct %]])*Purchase[[#This Row],[GST %]]</f>
        <v>77947.739999999991</v>
      </c>
      <c r="Q1991" s="145">
        <f>Purchase[[#This Row],[Gross Amount]]-Purchase[[#This Row],[Disct Amnt]]+Purchase[[#This Row],[GST Amount]]</f>
        <v>510990.74</v>
      </c>
      <c r="R1991" s="138" t="s">
        <v>1019</v>
      </c>
      <c r="S1991" s="41">
        <f>IF(Purchase[[#This Row],[Status]]="Cancelled",0,Purchase[[#This Row],[Qty]])</f>
        <v>13</v>
      </c>
      <c r="T1991" s="146">
        <f>IF(Purchase[[#This Row],[Status]]="Cancelled",0,Purchase[[#This Row],[Total Amount]])</f>
        <v>510990.74</v>
      </c>
      <c r="U1991" s="146">
        <f>SUM(Purchase[Net Amount])</f>
        <v>814985438.68000126</v>
      </c>
    </row>
    <row r="1992" spans="1:21" ht="19.5" thickBot="1" x14ac:dyDescent="0.3">
      <c r="A1992" s="136" t="s">
        <v>3048</v>
      </c>
      <c r="B1992" s="137">
        <v>45755</v>
      </c>
      <c r="C1992" s="138" t="s">
        <v>1398</v>
      </c>
      <c r="D1992" s="138" t="str">
        <f>VLOOKUP(Purchase[[#This Row],[Supplier ID]],Supplier[#All],2,0)</f>
        <v>Tech Traders</v>
      </c>
      <c r="E1992" s="138">
        <f>VLOOKUP(Purchase[[#This Row],[Supplier ID]],Supplier[#All],3,0)</f>
        <v>9689542463</v>
      </c>
      <c r="F1992" s="138" t="str">
        <f>VLOOKUP(Purchase[[#This Row],[Supplier ID]],Supplier[#All],4,0)</f>
        <v>Kanpur</v>
      </c>
      <c r="G1992" s="138" t="str">
        <f>VLOOKUP(Purchase[[#This Row],[Supplier ID]],Supplier[#All],5,0)</f>
        <v>UP</v>
      </c>
      <c r="H1992" s="138" t="str">
        <f>VLOOKUP(Purchase[[#This Row],[Supplier ID]],Supplier[#All],6,0)</f>
        <v>GST2154521T025</v>
      </c>
      <c r="I1992" s="138" t="s">
        <v>51</v>
      </c>
      <c r="J1992" s="139">
        <v>32</v>
      </c>
      <c r="K1992" s="143">
        <f>VLOOKUP(Purchase[[#This Row],[Product ID]],Product[#All],6,0)</f>
        <v>3994</v>
      </c>
      <c r="L1992" s="143">
        <f>Purchase[[#This Row],[Purchase Rate]]*Purchase[[#This Row],[Qty]]</f>
        <v>127808</v>
      </c>
      <c r="M1992" s="140">
        <v>0</v>
      </c>
      <c r="N1992" s="143">
        <v>0</v>
      </c>
      <c r="O1992" s="140">
        <v>0.18</v>
      </c>
      <c r="P1992" s="145">
        <f>(Purchase[[#This Row],[Gross Amount]]-Purchase[[#This Row],[Disct %]])*Purchase[[#This Row],[GST %]]</f>
        <v>23005.439999999999</v>
      </c>
      <c r="Q1992" s="145">
        <f>Purchase[[#This Row],[Gross Amount]]-Purchase[[#This Row],[Disct Amnt]]+Purchase[[#This Row],[GST Amount]]</f>
        <v>150813.44</v>
      </c>
      <c r="R1992" s="138" t="s">
        <v>1019</v>
      </c>
      <c r="S1992" s="41">
        <f>IF(Purchase[[#This Row],[Status]]="Cancelled",0,Purchase[[#This Row],[Qty]])</f>
        <v>32</v>
      </c>
      <c r="T1992" s="146">
        <f>IF(Purchase[[#This Row],[Status]]="Cancelled",0,Purchase[[#This Row],[Total Amount]])</f>
        <v>150813.44</v>
      </c>
      <c r="U1992" s="146">
        <f>SUM(Purchase[Net Amount])</f>
        <v>814985438.68000126</v>
      </c>
    </row>
    <row r="1993" spans="1:21" ht="19.5" thickBot="1" x14ac:dyDescent="0.3">
      <c r="A1993" s="136" t="s">
        <v>3049</v>
      </c>
      <c r="B1993" s="137">
        <v>45755</v>
      </c>
      <c r="C1993" s="138" t="s">
        <v>615</v>
      </c>
      <c r="D1993" s="138" t="str">
        <f>VLOOKUP(Purchase[[#This Row],[Supplier ID]],Supplier[#All],2,0)</f>
        <v>NATIONAL ELECTRONICS</v>
      </c>
      <c r="E1993" s="138">
        <f>VLOOKUP(Purchase[[#This Row],[Supplier ID]],Supplier[#All],3,0)</f>
        <v>9689542498</v>
      </c>
      <c r="F1993" s="138" t="str">
        <f>VLOOKUP(Purchase[[#This Row],[Supplier ID]],Supplier[#All],4,0)</f>
        <v>Kanpur</v>
      </c>
      <c r="G1993" s="138" t="str">
        <f>VLOOKUP(Purchase[[#This Row],[Supplier ID]],Supplier[#All],5,0)</f>
        <v>UP</v>
      </c>
      <c r="H1993" s="138" t="str">
        <f>VLOOKUP(Purchase[[#This Row],[Supplier ID]],Supplier[#All],6,0)</f>
        <v>GST2154521T060</v>
      </c>
      <c r="I1993" s="138" t="s">
        <v>105</v>
      </c>
      <c r="J1993" s="139">
        <v>8</v>
      </c>
      <c r="K1993" s="143">
        <f>VLOOKUP(Purchase[[#This Row],[Product ID]],Product[#All],6,0)</f>
        <v>2728</v>
      </c>
      <c r="L1993" s="143">
        <f>Purchase[[#This Row],[Purchase Rate]]*Purchase[[#This Row],[Qty]]</f>
        <v>21824</v>
      </c>
      <c r="M1993" s="140">
        <v>0</v>
      </c>
      <c r="N1993" s="143">
        <v>0</v>
      </c>
      <c r="O1993" s="140">
        <v>0.18</v>
      </c>
      <c r="P1993" s="145">
        <f>(Purchase[[#This Row],[Gross Amount]]-Purchase[[#This Row],[Disct %]])*Purchase[[#This Row],[GST %]]</f>
        <v>3928.3199999999997</v>
      </c>
      <c r="Q1993" s="145">
        <f>Purchase[[#This Row],[Gross Amount]]-Purchase[[#This Row],[Disct Amnt]]+Purchase[[#This Row],[GST Amount]]</f>
        <v>25752.32</v>
      </c>
      <c r="R1993" s="138" t="s">
        <v>1040</v>
      </c>
      <c r="S1993" s="41">
        <f>IF(Purchase[[#This Row],[Status]]="Cancelled",0,Purchase[[#This Row],[Qty]])</f>
        <v>0</v>
      </c>
      <c r="T1993" s="146">
        <f>IF(Purchase[[#This Row],[Status]]="Cancelled",0,Purchase[[#This Row],[Total Amount]])</f>
        <v>0</v>
      </c>
      <c r="U1993" s="146">
        <f>SUM(Purchase[Net Amount])</f>
        <v>814985438.68000126</v>
      </c>
    </row>
    <row r="1994" spans="1:21" ht="19.5" thickBot="1" x14ac:dyDescent="0.3">
      <c r="A1994" s="136" t="s">
        <v>3050</v>
      </c>
      <c r="B1994" s="137">
        <v>45755</v>
      </c>
      <c r="C1994" s="138" t="s">
        <v>587</v>
      </c>
      <c r="D1994" s="138" t="str">
        <f>VLOOKUP(Purchase[[#This Row],[Supplier ID]],Supplier[#All],2,0)</f>
        <v>maa distributors</v>
      </c>
      <c r="E1994" s="138">
        <f>VLOOKUP(Purchase[[#This Row],[Supplier ID]],Supplier[#All],3,0)</f>
        <v>9689542479</v>
      </c>
      <c r="F1994" s="138" t="str">
        <f>VLOOKUP(Purchase[[#This Row],[Supplier ID]],Supplier[#All],4,0)</f>
        <v>Indore</v>
      </c>
      <c r="G1994" s="138" t="str">
        <f>VLOOKUP(Purchase[[#This Row],[Supplier ID]],Supplier[#All],5,0)</f>
        <v>MP</v>
      </c>
      <c r="H1994" s="138" t="str">
        <f>VLOOKUP(Purchase[[#This Row],[Supplier ID]],Supplier[#All],6,0)</f>
        <v>GST2154521T033</v>
      </c>
      <c r="I1994" s="138" t="s">
        <v>299</v>
      </c>
      <c r="J1994" s="139">
        <v>31</v>
      </c>
      <c r="K1994" s="143">
        <f>VLOOKUP(Purchase[[#This Row],[Product ID]],Product[#All],6,0)</f>
        <v>12050</v>
      </c>
      <c r="L1994" s="143">
        <f>Purchase[[#This Row],[Purchase Rate]]*Purchase[[#This Row],[Qty]]</f>
        <v>373550</v>
      </c>
      <c r="M1994" s="140">
        <v>0</v>
      </c>
      <c r="N1994" s="143">
        <v>0</v>
      </c>
      <c r="O1994" s="140">
        <v>0.18</v>
      </c>
      <c r="P1994" s="145">
        <f>(Purchase[[#This Row],[Gross Amount]]-Purchase[[#This Row],[Disct %]])*Purchase[[#This Row],[GST %]]</f>
        <v>67239</v>
      </c>
      <c r="Q1994" s="145">
        <f>Purchase[[#This Row],[Gross Amount]]-Purchase[[#This Row],[Disct Amnt]]+Purchase[[#This Row],[GST Amount]]</f>
        <v>440789</v>
      </c>
      <c r="R1994" s="138" t="s">
        <v>1019</v>
      </c>
      <c r="S1994" s="41">
        <f>IF(Purchase[[#This Row],[Status]]="Cancelled",0,Purchase[[#This Row],[Qty]])</f>
        <v>31</v>
      </c>
      <c r="T1994" s="146">
        <f>IF(Purchase[[#This Row],[Status]]="Cancelled",0,Purchase[[#This Row],[Total Amount]])</f>
        <v>440789</v>
      </c>
      <c r="U1994" s="146">
        <f>SUM(Purchase[Net Amount])</f>
        <v>814985438.68000126</v>
      </c>
    </row>
    <row r="1995" spans="1:21" ht="19.5" thickBot="1" x14ac:dyDescent="0.3">
      <c r="A1995" s="136" t="s">
        <v>3051</v>
      </c>
      <c r="B1995" s="137">
        <v>45755</v>
      </c>
      <c r="C1995" s="138" t="s">
        <v>611</v>
      </c>
      <c r="D1995" s="138" t="str">
        <f>VLOOKUP(Purchase[[#This Row],[Supplier ID]],Supplier[#All],2,0)</f>
        <v>National Distributors</v>
      </c>
      <c r="E1995" s="138">
        <f>VLOOKUP(Purchase[[#This Row],[Supplier ID]],Supplier[#All],3,0)</f>
        <v>9689542494</v>
      </c>
      <c r="F1995" s="138" t="str">
        <f>VLOOKUP(Purchase[[#This Row],[Supplier ID]],Supplier[#All],4,0)</f>
        <v>Korba</v>
      </c>
      <c r="G1995" s="138" t="str">
        <f>VLOOKUP(Purchase[[#This Row],[Supplier ID]],Supplier[#All],5,0)</f>
        <v>CG</v>
      </c>
      <c r="H1995" s="138" t="str">
        <f>VLOOKUP(Purchase[[#This Row],[Supplier ID]],Supplier[#All],6,0)</f>
        <v>GST2154521T056</v>
      </c>
      <c r="I1995" s="138" t="s">
        <v>439</v>
      </c>
      <c r="J1995" s="139">
        <v>15</v>
      </c>
      <c r="K1995" s="143">
        <f>VLOOKUP(Purchase[[#This Row],[Product ID]],Product[#All],6,0)</f>
        <v>73027</v>
      </c>
      <c r="L1995" s="143">
        <f>Purchase[[#This Row],[Purchase Rate]]*Purchase[[#This Row],[Qty]]</f>
        <v>1095405</v>
      </c>
      <c r="M1995" s="140">
        <v>0</v>
      </c>
      <c r="N1995" s="143">
        <v>0</v>
      </c>
      <c r="O1995" s="140">
        <v>0.18</v>
      </c>
      <c r="P1995" s="145">
        <f>(Purchase[[#This Row],[Gross Amount]]-Purchase[[#This Row],[Disct %]])*Purchase[[#This Row],[GST %]]</f>
        <v>197172.9</v>
      </c>
      <c r="Q1995" s="145">
        <f>Purchase[[#This Row],[Gross Amount]]-Purchase[[#This Row],[Disct Amnt]]+Purchase[[#This Row],[GST Amount]]</f>
        <v>1292577.8999999999</v>
      </c>
      <c r="R1995" s="138" t="s">
        <v>1019</v>
      </c>
      <c r="S1995" s="41">
        <f>IF(Purchase[[#This Row],[Status]]="Cancelled",0,Purchase[[#This Row],[Qty]])</f>
        <v>15</v>
      </c>
      <c r="T1995" s="146">
        <f>IF(Purchase[[#This Row],[Status]]="Cancelled",0,Purchase[[#This Row],[Total Amount]])</f>
        <v>1292577.8999999999</v>
      </c>
      <c r="U1995" s="146">
        <f>SUM(Purchase[Net Amount])</f>
        <v>814985438.68000126</v>
      </c>
    </row>
    <row r="1996" spans="1:21" ht="19.5" thickBot="1" x14ac:dyDescent="0.3">
      <c r="A1996" s="136" t="s">
        <v>3052</v>
      </c>
      <c r="B1996" s="137">
        <v>45756</v>
      </c>
      <c r="C1996" s="138" t="s">
        <v>582</v>
      </c>
      <c r="D1996" s="138" t="str">
        <f>VLOOKUP(Purchase[[#This Row],[Supplier ID]],Supplier[#All],2,0)</f>
        <v>Tech Distributors</v>
      </c>
      <c r="E1996" s="138">
        <f>VLOOKUP(Purchase[[#This Row],[Supplier ID]],Supplier[#All],3,0)</f>
        <v>9689542466</v>
      </c>
      <c r="F1996" s="138" t="str">
        <f>VLOOKUP(Purchase[[#This Row],[Supplier ID]],Supplier[#All],4,0)</f>
        <v>Indore</v>
      </c>
      <c r="G1996" s="138" t="str">
        <f>VLOOKUP(Purchase[[#This Row],[Supplier ID]],Supplier[#All],5,0)</f>
        <v>MP</v>
      </c>
      <c r="H1996" s="138" t="str">
        <f>VLOOKUP(Purchase[[#This Row],[Supplier ID]],Supplier[#All],6,0)</f>
        <v>GST2154521T028</v>
      </c>
      <c r="I1996" s="138" t="s">
        <v>521</v>
      </c>
      <c r="J1996" s="139">
        <v>19</v>
      </c>
      <c r="K1996" s="143">
        <f>VLOOKUP(Purchase[[#This Row],[Product ID]],Product[#All],6,0)</f>
        <v>2442</v>
      </c>
      <c r="L1996" s="143">
        <f>Purchase[[#This Row],[Purchase Rate]]*Purchase[[#This Row],[Qty]]</f>
        <v>46398</v>
      </c>
      <c r="M1996" s="140">
        <v>0</v>
      </c>
      <c r="N1996" s="143">
        <v>0</v>
      </c>
      <c r="O1996" s="140">
        <v>0.18</v>
      </c>
      <c r="P1996" s="145">
        <f>(Purchase[[#This Row],[Gross Amount]]-Purchase[[#This Row],[Disct %]])*Purchase[[#This Row],[GST %]]</f>
        <v>8351.64</v>
      </c>
      <c r="Q1996" s="145">
        <f>Purchase[[#This Row],[Gross Amount]]-Purchase[[#This Row],[Disct Amnt]]+Purchase[[#This Row],[GST Amount]]</f>
        <v>54749.64</v>
      </c>
      <c r="R1996" s="138" t="s">
        <v>1019</v>
      </c>
      <c r="S1996" s="41">
        <f>IF(Purchase[[#This Row],[Status]]="Cancelled",0,Purchase[[#This Row],[Qty]])</f>
        <v>19</v>
      </c>
      <c r="T1996" s="146">
        <f>IF(Purchase[[#This Row],[Status]]="Cancelled",0,Purchase[[#This Row],[Total Amount]])</f>
        <v>54749.64</v>
      </c>
      <c r="U1996" s="146">
        <f>SUM(Purchase[Net Amount])</f>
        <v>814985438.68000126</v>
      </c>
    </row>
    <row r="1997" spans="1:21" ht="19.5" thickBot="1" x14ac:dyDescent="0.3">
      <c r="A1997" s="136" t="s">
        <v>3053</v>
      </c>
      <c r="B1997" s="137">
        <v>45756</v>
      </c>
      <c r="C1997" s="138" t="s">
        <v>615</v>
      </c>
      <c r="D1997" s="138" t="str">
        <f>VLOOKUP(Purchase[[#This Row],[Supplier ID]],Supplier[#All],2,0)</f>
        <v>NATIONAL ELECTRONICS</v>
      </c>
      <c r="E1997" s="138">
        <f>VLOOKUP(Purchase[[#This Row],[Supplier ID]],Supplier[#All],3,0)</f>
        <v>9689542498</v>
      </c>
      <c r="F1997" s="138" t="str">
        <f>VLOOKUP(Purchase[[#This Row],[Supplier ID]],Supplier[#All],4,0)</f>
        <v>Kanpur</v>
      </c>
      <c r="G1997" s="138" t="str">
        <f>VLOOKUP(Purchase[[#This Row],[Supplier ID]],Supplier[#All],5,0)</f>
        <v>UP</v>
      </c>
      <c r="H1997" s="138" t="str">
        <f>VLOOKUP(Purchase[[#This Row],[Supplier ID]],Supplier[#All],6,0)</f>
        <v>GST2154521T060</v>
      </c>
      <c r="I1997" s="138" t="s">
        <v>362</v>
      </c>
      <c r="J1997" s="139">
        <v>25</v>
      </c>
      <c r="K1997" s="143">
        <f>VLOOKUP(Purchase[[#This Row],[Product ID]],Product[#All],6,0)</f>
        <v>3403</v>
      </c>
      <c r="L1997" s="143">
        <f>Purchase[[#This Row],[Purchase Rate]]*Purchase[[#This Row],[Qty]]</f>
        <v>85075</v>
      </c>
      <c r="M1997" s="140">
        <v>0</v>
      </c>
      <c r="N1997" s="143">
        <v>0</v>
      </c>
      <c r="O1997" s="140">
        <v>0.18</v>
      </c>
      <c r="P1997" s="145">
        <f>(Purchase[[#This Row],[Gross Amount]]-Purchase[[#This Row],[Disct %]])*Purchase[[#This Row],[GST %]]</f>
        <v>15313.5</v>
      </c>
      <c r="Q1997" s="145">
        <f>Purchase[[#This Row],[Gross Amount]]-Purchase[[#This Row],[Disct Amnt]]+Purchase[[#This Row],[GST Amount]]</f>
        <v>100388.5</v>
      </c>
      <c r="R1997" s="138" t="s">
        <v>1019</v>
      </c>
      <c r="S1997" s="41">
        <f>IF(Purchase[[#This Row],[Status]]="Cancelled",0,Purchase[[#This Row],[Qty]])</f>
        <v>25</v>
      </c>
      <c r="T1997" s="146">
        <f>IF(Purchase[[#This Row],[Status]]="Cancelled",0,Purchase[[#This Row],[Total Amount]])</f>
        <v>100388.5</v>
      </c>
      <c r="U1997" s="146">
        <f>SUM(Purchase[Net Amount])</f>
        <v>814985438.68000126</v>
      </c>
    </row>
    <row r="1998" spans="1:21" ht="19.5" thickBot="1" x14ac:dyDescent="0.3">
      <c r="A1998" s="136" t="s">
        <v>3054</v>
      </c>
      <c r="B1998" s="137">
        <v>45756</v>
      </c>
      <c r="C1998" s="138" t="s">
        <v>586</v>
      </c>
      <c r="D1998" s="138" t="str">
        <f>VLOOKUP(Purchase[[#This Row],[Supplier ID]],Supplier[#All],2,0)</f>
        <v>Maa Traders</v>
      </c>
      <c r="E1998" s="138">
        <f>VLOOKUP(Purchase[[#This Row],[Supplier ID]],Supplier[#All],3,0)</f>
        <v>9689542470</v>
      </c>
      <c r="F1998" s="138" t="str">
        <f>VLOOKUP(Purchase[[#This Row],[Supplier ID]],Supplier[#All],4,0)</f>
        <v>Kanpur</v>
      </c>
      <c r="G1998" s="138" t="str">
        <f>VLOOKUP(Purchase[[#This Row],[Supplier ID]],Supplier[#All],5,0)</f>
        <v>UP</v>
      </c>
      <c r="H1998" s="138" t="str">
        <f>VLOOKUP(Purchase[[#This Row],[Supplier ID]],Supplier[#All],6,0)</f>
        <v>GST2154521T032</v>
      </c>
      <c r="I1998" s="138" t="s">
        <v>139</v>
      </c>
      <c r="J1998" s="139">
        <v>40</v>
      </c>
      <c r="K1998" s="143">
        <f>VLOOKUP(Purchase[[#This Row],[Product ID]],Product[#All],6,0)</f>
        <v>21311</v>
      </c>
      <c r="L1998" s="143">
        <f>Purchase[[#This Row],[Purchase Rate]]*Purchase[[#This Row],[Qty]]</f>
        <v>852440</v>
      </c>
      <c r="M1998" s="140">
        <v>0</v>
      </c>
      <c r="N1998" s="143">
        <v>0</v>
      </c>
      <c r="O1998" s="140">
        <v>0.18</v>
      </c>
      <c r="P1998" s="145">
        <f>(Purchase[[#This Row],[Gross Amount]]-Purchase[[#This Row],[Disct %]])*Purchase[[#This Row],[GST %]]</f>
        <v>153439.19999999998</v>
      </c>
      <c r="Q1998" s="145">
        <f>Purchase[[#This Row],[Gross Amount]]-Purchase[[#This Row],[Disct Amnt]]+Purchase[[#This Row],[GST Amount]]</f>
        <v>1005879.2</v>
      </c>
      <c r="R1998" s="138" t="s">
        <v>1019</v>
      </c>
      <c r="S1998" s="41">
        <f>IF(Purchase[[#This Row],[Status]]="Cancelled",0,Purchase[[#This Row],[Qty]])</f>
        <v>40</v>
      </c>
      <c r="T1998" s="146">
        <f>IF(Purchase[[#This Row],[Status]]="Cancelled",0,Purchase[[#This Row],[Total Amount]])</f>
        <v>1005879.2</v>
      </c>
      <c r="U1998" s="146">
        <f>SUM(Purchase[Net Amount])</f>
        <v>814985438.68000126</v>
      </c>
    </row>
    <row r="1999" spans="1:21" ht="19.5" thickBot="1" x14ac:dyDescent="0.3">
      <c r="A1999" s="136" t="s">
        <v>3055</v>
      </c>
      <c r="B1999" s="137">
        <v>45756</v>
      </c>
      <c r="C1999" s="138" t="s">
        <v>589</v>
      </c>
      <c r="D1999" s="138" t="str">
        <f>VLOOKUP(Purchase[[#This Row],[Supplier ID]],Supplier[#All],2,0)</f>
        <v>Maa Computers</v>
      </c>
      <c r="E1999" s="138">
        <f>VLOOKUP(Purchase[[#This Row],[Supplier ID]],Supplier[#All],3,0)</f>
        <v>9689542473</v>
      </c>
      <c r="F1999" s="138" t="str">
        <f>VLOOKUP(Purchase[[#This Row],[Supplier ID]],Supplier[#All],4,0)</f>
        <v>Kanpur</v>
      </c>
      <c r="G1999" s="138" t="str">
        <f>VLOOKUP(Purchase[[#This Row],[Supplier ID]],Supplier[#All],5,0)</f>
        <v>UP</v>
      </c>
      <c r="H1999" s="138" t="str">
        <f>VLOOKUP(Purchase[[#This Row],[Supplier ID]],Supplier[#All],6,0)</f>
        <v>GST2154521T035</v>
      </c>
      <c r="I1999" s="138" t="s">
        <v>484</v>
      </c>
      <c r="J1999" s="139">
        <v>35</v>
      </c>
      <c r="K1999" s="143">
        <f>VLOOKUP(Purchase[[#This Row],[Product ID]],Product[#All],6,0)</f>
        <v>53726</v>
      </c>
      <c r="L1999" s="143">
        <f>Purchase[[#This Row],[Purchase Rate]]*Purchase[[#This Row],[Qty]]</f>
        <v>1880410</v>
      </c>
      <c r="M1999" s="140">
        <v>0</v>
      </c>
      <c r="N1999" s="143">
        <v>0</v>
      </c>
      <c r="O1999" s="140">
        <v>0.18</v>
      </c>
      <c r="P1999" s="145">
        <f>(Purchase[[#This Row],[Gross Amount]]-Purchase[[#This Row],[Disct %]])*Purchase[[#This Row],[GST %]]</f>
        <v>338473.8</v>
      </c>
      <c r="Q1999" s="145">
        <f>Purchase[[#This Row],[Gross Amount]]-Purchase[[#This Row],[Disct Amnt]]+Purchase[[#This Row],[GST Amount]]</f>
        <v>2218883.7999999998</v>
      </c>
      <c r="R1999" s="138" t="s">
        <v>1019</v>
      </c>
      <c r="S1999" s="41">
        <f>IF(Purchase[[#This Row],[Status]]="Cancelled",0,Purchase[[#This Row],[Qty]])</f>
        <v>35</v>
      </c>
      <c r="T1999" s="146">
        <f>IF(Purchase[[#This Row],[Status]]="Cancelled",0,Purchase[[#This Row],[Total Amount]])</f>
        <v>2218883.7999999998</v>
      </c>
      <c r="U1999" s="146">
        <f>SUM(Purchase[Net Amount])</f>
        <v>814985438.68000126</v>
      </c>
    </row>
    <row r="2000" spans="1:21" ht="19.5" thickBot="1" x14ac:dyDescent="0.3">
      <c r="A2000" s="136" t="s">
        <v>3056</v>
      </c>
      <c r="B2000" s="137">
        <v>45756</v>
      </c>
      <c r="C2000" s="138" t="s">
        <v>611</v>
      </c>
      <c r="D2000" s="138" t="str">
        <f>VLOOKUP(Purchase[[#This Row],[Supplier ID]],Supplier[#All],2,0)</f>
        <v>National Distributors</v>
      </c>
      <c r="E2000" s="138">
        <f>VLOOKUP(Purchase[[#This Row],[Supplier ID]],Supplier[#All],3,0)</f>
        <v>9689542494</v>
      </c>
      <c r="F2000" s="138" t="str">
        <f>VLOOKUP(Purchase[[#This Row],[Supplier ID]],Supplier[#All],4,0)</f>
        <v>Korba</v>
      </c>
      <c r="G2000" s="138" t="str">
        <f>VLOOKUP(Purchase[[#This Row],[Supplier ID]],Supplier[#All],5,0)</f>
        <v>CG</v>
      </c>
      <c r="H2000" s="138" t="str">
        <f>VLOOKUP(Purchase[[#This Row],[Supplier ID]],Supplier[#All],6,0)</f>
        <v>GST2154521T056</v>
      </c>
      <c r="I2000" s="138" t="s">
        <v>532</v>
      </c>
      <c r="J2000" s="139">
        <v>21</v>
      </c>
      <c r="K2000" s="143">
        <f>VLOOKUP(Purchase[[#This Row],[Product ID]],Product[#All],6,0)</f>
        <v>38940</v>
      </c>
      <c r="L2000" s="143">
        <f>Purchase[[#This Row],[Purchase Rate]]*Purchase[[#This Row],[Qty]]</f>
        <v>817740</v>
      </c>
      <c r="M2000" s="140">
        <v>0</v>
      </c>
      <c r="N2000" s="143">
        <v>0</v>
      </c>
      <c r="O2000" s="140">
        <v>0.18</v>
      </c>
      <c r="P2000" s="145">
        <f>(Purchase[[#This Row],[Gross Amount]]-Purchase[[#This Row],[Disct %]])*Purchase[[#This Row],[GST %]]</f>
        <v>147193.19999999998</v>
      </c>
      <c r="Q2000" s="145">
        <f>Purchase[[#This Row],[Gross Amount]]-Purchase[[#This Row],[Disct Amnt]]+Purchase[[#This Row],[GST Amount]]</f>
        <v>964933.2</v>
      </c>
      <c r="R2000" s="138" t="s">
        <v>1019</v>
      </c>
      <c r="S2000" s="41">
        <f>IF(Purchase[[#This Row],[Status]]="Cancelled",0,Purchase[[#This Row],[Qty]])</f>
        <v>21</v>
      </c>
      <c r="T2000" s="146">
        <f>IF(Purchase[[#This Row],[Status]]="Cancelled",0,Purchase[[#This Row],[Total Amount]])</f>
        <v>964933.2</v>
      </c>
      <c r="U2000" s="146">
        <f>SUM(Purchase[Net Amount])</f>
        <v>814985438.68000126</v>
      </c>
    </row>
    <row r="2001" spans="1:21" ht="19.5" thickBot="1" x14ac:dyDescent="0.3">
      <c r="A2001" s="136" t="s">
        <v>3057</v>
      </c>
      <c r="B2001" s="137">
        <v>45756</v>
      </c>
      <c r="C2001" s="138" t="s">
        <v>1369</v>
      </c>
      <c r="D2001" s="138" t="str">
        <f>VLOOKUP(Purchase[[#This Row],[Supplier ID]],Supplier[#All],2,0)</f>
        <v xml:space="preserve">Star Electronics </v>
      </c>
      <c r="E2001" s="138">
        <f>VLOOKUP(Purchase[[#This Row],[Supplier ID]],Supplier[#All],3,0)</f>
        <v>9689542450</v>
      </c>
      <c r="F2001" s="138" t="str">
        <f>VLOOKUP(Purchase[[#This Row],[Supplier ID]],Supplier[#All],4,0)</f>
        <v>Korba</v>
      </c>
      <c r="G2001" s="138" t="str">
        <f>VLOOKUP(Purchase[[#This Row],[Supplier ID]],Supplier[#All],5,0)</f>
        <v>CG</v>
      </c>
      <c r="H2001" s="138" t="str">
        <f>VLOOKUP(Purchase[[#This Row],[Supplier ID]],Supplier[#All],6,0)</f>
        <v>GST2154521T012</v>
      </c>
      <c r="I2001" s="138" t="s">
        <v>459</v>
      </c>
      <c r="J2001" s="139">
        <v>19</v>
      </c>
      <c r="K2001" s="143">
        <f>VLOOKUP(Purchase[[#This Row],[Product ID]],Product[#All],6,0)</f>
        <v>1347</v>
      </c>
      <c r="L2001" s="143">
        <f>Purchase[[#This Row],[Purchase Rate]]*Purchase[[#This Row],[Qty]]</f>
        <v>25593</v>
      </c>
      <c r="M2001" s="140">
        <v>0</v>
      </c>
      <c r="N2001" s="143">
        <v>0</v>
      </c>
      <c r="O2001" s="140">
        <v>0.18</v>
      </c>
      <c r="P2001" s="145">
        <f>(Purchase[[#This Row],[Gross Amount]]-Purchase[[#This Row],[Disct %]])*Purchase[[#This Row],[GST %]]</f>
        <v>4606.74</v>
      </c>
      <c r="Q2001" s="145">
        <f>Purchase[[#This Row],[Gross Amount]]-Purchase[[#This Row],[Disct Amnt]]+Purchase[[#This Row],[GST Amount]]</f>
        <v>30199.739999999998</v>
      </c>
      <c r="R2001" s="138" t="s">
        <v>1019</v>
      </c>
      <c r="S2001" s="41">
        <f>IF(Purchase[[#This Row],[Status]]="Cancelled",0,Purchase[[#This Row],[Qty]])</f>
        <v>19</v>
      </c>
      <c r="T2001" s="146">
        <f>IF(Purchase[[#This Row],[Status]]="Cancelled",0,Purchase[[#This Row],[Total Amount]])</f>
        <v>30199.739999999998</v>
      </c>
      <c r="U2001" s="146">
        <f>SUM(Purchase[Net Amount])</f>
        <v>814985438.68000126</v>
      </c>
    </row>
    <row r="2002" spans="1:21" ht="19.5" thickBot="1" x14ac:dyDescent="0.3">
      <c r="A2002" s="136" t="s">
        <v>3058</v>
      </c>
      <c r="B2002" s="137">
        <v>45756</v>
      </c>
      <c r="C2002" s="138" t="s">
        <v>575</v>
      </c>
      <c r="D2002" s="138" t="str">
        <f>VLOOKUP(Purchase[[#This Row],[Supplier ID]],Supplier[#All],2,0)</f>
        <v>Global Computers</v>
      </c>
      <c r="E2002" s="138">
        <f>VLOOKUP(Purchase[[#This Row],[Supplier ID]],Supplier[#All],3,0)</f>
        <v>9689542459</v>
      </c>
      <c r="F2002" s="138" t="str">
        <f>VLOOKUP(Purchase[[#This Row],[Supplier ID]],Supplier[#All],4,0)</f>
        <v>Indore</v>
      </c>
      <c r="G2002" s="138" t="str">
        <f>VLOOKUP(Purchase[[#This Row],[Supplier ID]],Supplier[#All],5,0)</f>
        <v>MP</v>
      </c>
      <c r="H2002" s="138" t="str">
        <f>VLOOKUP(Purchase[[#This Row],[Supplier ID]],Supplier[#All],6,0)</f>
        <v>GST2154521T021</v>
      </c>
      <c r="I2002" s="138" t="s">
        <v>451</v>
      </c>
      <c r="J2002" s="139">
        <v>26</v>
      </c>
      <c r="K2002" s="143">
        <f>VLOOKUP(Purchase[[#This Row],[Product ID]],Product[#All],6,0)</f>
        <v>28254</v>
      </c>
      <c r="L2002" s="143">
        <f>Purchase[[#This Row],[Purchase Rate]]*Purchase[[#This Row],[Qty]]</f>
        <v>734604</v>
      </c>
      <c r="M2002" s="140">
        <v>0</v>
      </c>
      <c r="N2002" s="143">
        <v>0</v>
      </c>
      <c r="O2002" s="140">
        <v>0.18</v>
      </c>
      <c r="P2002" s="145">
        <f>(Purchase[[#This Row],[Gross Amount]]-Purchase[[#This Row],[Disct %]])*Purchase[[#This Row],[GST %]]</f>
        <v>132228.72</v>
      </c>
      <c r="Q2002" s="145">
        <f>Purchase[[#This Row],[Gross Amount]]-Purchase[[#This Row],[Disct Amnt]]+Purchase[[#This Row],[GST Amount]]</f>
        <v>866832.72</v>
      </c>
      <c r="R2002" s="138" t="s">
        <v>1019</v>
      </c>
      <c r="S2002" s="41">
        <f>IF(Purchase[[#This Row],[Status]]="Cancelled",0,Purchase[[#This Row],[Qty]])</f>
        <v>26</v>
      </c>
      <c r="T2002" s="146">
        <f>IF(Purchase[[#This Row],[Status]]="Cancelled",0,Purchase[[#This Row],[Total Amount]])</f>
        <v>866832.72</v>
      </c>
      <c r="U2002" s="146">
        <f>SUM(Purchase[Net Amount])</f>
        <v>814985438.68000126</v>
      </c>
    </row>
    <row r="2003" spans="1:21" ht="19.5" thickBot="1" x14ac:dyDescent="0.3">
      <c r="A2003" s="136" t="s">
        <v>3059</v>
      </c>
      <c r="B2003" s="137">
        <v>45756</v>
      </c>
      <c r="C2003" s="138" t="s">
        <v>577</v>
      </c>
      <c r="D2003" s="138" t="str">
        <f>VLOOKUP(Purchase[[#This Row],[Supplier ID]],Supplier[#All],2,0)</f>
        <v>National Electronics</v>
      </c>
      <c r="E2003" s="138">
        <f>VLOOKUP(Purchase[[#This Row],[Supplier ID]],Supplier[#All],3,0)</f>
        <v>9689542469</v>
      </c>
      <c r="F2003" s="138" t="str">
        <f>VLOOKUP(Purchase[[#This Row],[Supplier ID]],Supplier[#All],4,0)</f>
        <v>Korba</v>
      </c>
      <c r="G2003" s="138" t="str">
        <f>VLOOKUP(Purchase[[#This Row],[Supplier ID]],Supplier[#All],5,0)</f>
        <v>CG</v>
      </c>
      <c r="H2003" s="138" t="str">
        <f>VLOOKUP(Purchase[[#This Row],[Supplier ID]],Supplier[#All],6,0)</f>
        <v>GST2154521T023</v>
      </c>
      <c r="I2003" s="138" t="s">
        <v>505</v>
      </c>
      <c r="J2003" s="139">
        <v>23</v>
      </c>
      <c r="K2003" s="143">
        <f>VLOOKUP(Purchase[[#This Row],[Product ID]],Product[#All],6,0)</f>
        <v>10762</v>
      </c>
      <c r="L2003" s="143">
        <f>Purchase[[#This Row],[Purchase Rate]]*Purchase[[#This Row],[Qty]]</f>
        <v>247526</v>
      </c>
      <c r="M2003" s="140">
        <v>0</v>
      </c>
      <c r="N2003" s="143">
        <v>0</v>
      </c>
      <c r="O2003" s="140">
        <v>0.18</v>
      </c>
      <c r="P2003" s="145">
        <f>(Purchase[[#This Row],[Gross Amount]]-Purchase[[#This Row],[Disct %]])*Purchase[[#This Row],[GST %]]</f>
        <v>44554.68</v>
      </c>
      <c r="Q2003" s="145">
        <f>Purchase[[#This Row],[Gross Amount]]-Purchase[[#This Row],[Disct Amnt]]+Purchase[[#This Row],[GST Amount]]</f>
        <v>292080.68</v>
      </c>
      <c r="R2003" s="138" t="s">
        <v>1019</v>
      </c>
      <c r="S2003" s="41">
        <f>IF(Purchase[[#This Row],[Status]]="Cancelled",0,Purchase[[#This Row],[Qty]])</f>
        <v>23</v>
      </c>
      <c r="T2003" s="146">
        <f>IF(Purchase[[#This Row],[Status]]="Cancelled",0,Purchase[[#This Row],[Total Amount]])</f>
        <v>292080.68</v>
      </c>
      <c r="U2003" s="146">
        <f>SUM(Purchase[Net Amount])</f>
        <v>814985438.68000126</v>
      </c>
    </row>
    <row r="2004" spans="1:21" ht="19.5" thickBot="1" x14ac:dyDescent="0.3">
      <c r="A2004" s="136" t="s">
        <v>3060</v>
      </c>
      <c r="B2004" s="137">
        <v>45756</v>
      </c>
      <c r="C2004" s="138" t="s">
        <v>584</v>
      </c>
      <c r="D2004" s="138" t="str">
        <f>VLOOKUP(Purchase[[#This Row],[Supplier ID]],Supplier[#All],2,0)</f>
        <v>Prime Computers</v>
      </c>
      <c r="E2004" s="138">
        <f>VLOOKUP(Purchase[[#This Row],[Supplier ID]],Supplier[#All],3,0)</f>
        <v>9689542468</v>
      </c>
      <c r="F2004" s="138" t="str">
        <f>VLOOKUP(Purchase[[#This Row],[Supplier ID]],Supplier[#All],4,0)</f>
        <v>Kanpur</v>
      </c>
      <c r="G2004" s="138" t="str">
        <f>VLOOKUP(Purchase[[#This Row],[Supplier ID]],Supplier[#All],5,0)</f>
        <v>UP</v>
      </c>
      <c r="H2004" s="138" t="str">
        <f>VLOOKUP(Purchase[[#This Row],[Supplier ID]],Supplier[#All],6,0)</f>
        <v>GST2154521T030</v>
      </c>
      <c r="I2004" s="138" t="s">
        <v>527</v>
      </c>
      <c r="J2004" s="139">
        <v>2</v>
      </c>
      <c r="K2004" s="143">
        <f>VLOOKUP(Purchase[[#This Row],[Product ID]],Product[#All],6,0)</f>
        <v>24419</v>
      </c>
      <c r="L2004" s="143">
        <f>Purchase[[#This Row],[Purchase Rate]]*Purchase[[#This Row],[Qty]]</f>
        <v>48838</v>
      </c>
      <c r="M2004" s="140">
        <v>0</v>
      </c>
      <c r="N2004" s="143">
        <v>0</v>
      </c>
      <c r="O2004" s="140">
        <v>0.18</v>
      </c>
      <c r="P2004" s="145">
        <f>(Purchase[[#This Row],[Gross Amount]]-Purchase[[#This Row],[Disct %]])*Purchase[[#This Row],[GST %]]</f>
        <v>8790.84</v>
      </c>
      <c r="Q2004" s="145">
        <f>Purchase[[#This Row],[Gross Amount]]-Purchase[[#This Row],[Disct Amnt]]+Purchase[[#This Row],[GST Amount]]</f>
        <v>57628.84</v>
      </c>
      <c r="R2004" s="138" t="s">
        <v>1019</v>
      </c>
      <c r="S2004" s="41">
        <f>IF(Purchase[[#This Row],[Status]]="Cancelled",0,Purchase[[#This Row],[Qty]])</f>
        <v>2</v>
      </c>
      <c r="T2004" s="146">
        <f>IF(Purchase[[#This Row],[Status]]="Cancelled",0,Purchase[[#This Row],[Total Amount]])</f>
        <v>57628.84</v>
      </c>
      <c r="U2004" s="146">
        <f>SUM(Purchase[Net Amount])</f>
        <v>814985438.68000126</v>
      </c>
    </row>
    <row r="2005" spans="1:21" ht="19.5" thickBot="1" x14ac:dyDescent="0.3">
      <c r="A2005" s="136" t="s">
        <v>3061</v>
      </c>
      <c r="B2005" s="137">
        <v>45756</v>
      </c>
      <c r="C2005" s="138" t="s">
        <v>588</v>
      </c>
      <c r="D2005" s="138" t="str">
        <f>VLOOKUP(Purchase[[#This Row],[Supplier ID]],Supplier[#All],2,0)</f>
        <v>Star Electronics</v>
      </c>
      <c r="E2005" s="138">
        <f>VLOOKUP(Purchase[[#This Row],[Supplier ID]],Supplier[#All],3,0)</f>
        <v>9689542472</v>
      </c>
      <c r="F2005" s="138" t="str">
        <f>VLOOKUP(Purchase[[#This Row],[Supplier ID]],Supplier[#All],4,0)</f>
        <v>Korba</v>
      </c>
      <c r="G2005" s="138" t="str">
        <f>VLOOKUP(Purchase[[#This Row],[Supplier ID]],Supplier[#All],5,0)</f>
        <v>CG</v>
      </c>
      <c r="H2005" s="138" t="str">
        <f>VLOOKUP(Purchase[[#This Row],[Supplier ID]],Supplier[#All],6,0)</f>
        <v>GST2154521T034</v>
      </c>
      <c r="I2005" s="138" t="s">
        <v>439</v>
      </c>
      <c r="J2005" s="139">
        <v>30</v>
      </c>
      <c r="K2005" s="143">
        <f>VLOOKUP(Purchase[[#This Row],[Product ID]],Product[#All],6,0)</f>
        <v>73027</v>
      </c>
      <c r="L2005" s="143">
        <f>Purchase[[#This Row],[Purchase Rate]]*Purchase[[#This Row],[Qty]]</f>
        <v>2190810</v>
      </c>
      <c r="M2005" s="140">
        <v>0</v>
      </c>
      <c r="N2005" s="143">
        <v>0</v>
      </c>
      <c r="O2005" s="140">
        <v>0.18</v>
      </c>
      <c r="P2005" s="145">
        <f>(Purchase[[#This Row],[Gross Amount]]-Purchase[[#This Row],[Disct %]])*Purchase[[#This Row],[GST %]]</f>
        <v>394345.8</v>
      </c>
      <c r="Q2005" s="145">
        <f>Purchase[[#This Row],[Gross Amount]]-Purchase[[#This Row],[Disct Amnt]]+Purchase[[#This Row],[GST Amount]]</f>
        <v>2585155.7999999998</v>
      </c>
      <c r="R2005" s="138" t="s">
        <v>1019</v>
      </c>
      <c r="S2005" s="41">
        <f>IF(Purchase[[#This Row],[Status]]="Cancelled",0,Purchase[[#This Row],[Qty]])</f>
        <v>30</v>
      </c>
      <c r="T2005" s="146">
        <f>IF(Purchase[[#This Row],[Status]]="Cancelled",0,Purchase[[#This Row],[Total Amount]])</f>
        <v>2585155.7999999998</v>
      </c>
      <c r="U2005" s="146">
        <f>SUM(Purchase[Net Amount])</f>
        <v>814985438.68000126</v>
      </c>
    </row>
    <row r="2006" spans="1:21" ht="19.5" thickBot="1" x14ac:dyDescent="0.3">
      <c r="A2006" s="136" t="s">
        <v>3062</v>
      </c>
      <c r="B2006" s="137">
        <v>45756</v>
      </c>
      <c r="C2006" s="138" t="s">
        <v>597</v>
      </c>
      <c r="D2006" s="138" t="str">
        <f>VLOOKUP(Purchase[[#This Row],[Supplier ID]],Supplier[#All],2,0)</f>
        <v>Tech Traders</v>
      </c>
      <c r="E2006" s="138">
        <f>VLOOKUP(Purchase[[#This Row],[Supplier ID]],Supplier[#All],3,0)</f>
        <v>9689542480</v>
      </c>
      <c r="F2006" s="138" t="str">
        <f>VLOOKUP(Purchase[[#This Row],[Supplier ID]],Supplier[#All],4,0)</f>
        <v>Kanpur</v>
      </c>
      <c r="G2006" s="138" t="str">
        <f>VLOOKUP(Purchase[[#This Row],[Supplier ID]],Supplier[#All],5,0)</f>
        <v>UP</v>
      </c>
      <c r="H2006" s="138" t="str">
        <f>VLOOKUP(Purchase[[#This Row],[Supplier ID]],Supplier[#All],6,0)</f>
        <v>GST2154521T042</v>
      </c>
      <c r="I2006" s="138" t="s">
        <v>412</v>
      </c>
      <c r="J2006" s="139">
        <v>40</v>
      </c>
      <c r="K2006" s="143">
        <f>VLOOKUP(Purchase[[#This Row],[Product ID]],Product[#All],6,0)</f>
        <v>23332</v>
      </c>
      <c r="L2006" s="143">
        <f>Purchase[[#This Row],[Purchase Rate]]*Purchase[[#This Row],[Qty]]</f>
        <v>933280</v>
      </c>
      <c r="M2006" s="140">
        <v>0</v>
      </c>
      <c r="N2006" s="143">
        <v>0</v>
      </c>
      <c r="O2006" s="140">
        <v>0.18</v>
      </c>
      <c r="P2006" s="145">
        <f>(Purchase[[#This Row],[Gross Amount]]-Purchase[[#This Row],[Disct %]])*Purchase[[#This Row],[GST %]]</f>
        <v>167990.39999999999</v>
      </c>
      <c r="Q2006" s="145">
        <f>Purchase[[#This Row],[Gross Amount]]-Purchase[[#This Row],[Disct Amnt]]+Purchase[[#This Row],[GST Amount]]</f>
        <v>1101270.3999999999</v>
      </c>
      <c r="R2006" s="138" t="s">
        <v>1019</v>
      </c>
      <c r="S2006" s="41">
        <f>IF(Purchase[[#This Row],[Status]]="Cancelled",0,Purchase[[#This Row],[Qty]])</f>
        <v>40</v>
      </c>
      <c r="T2006" s="146">
        <f>IF(Purchase[[#This Row],[Status]]="Cancelled",0,Purchase[[#This Row],[Total Amount]])</f>
        <v>1101270.3999999999</v>
      </c>
      <c r="U2006" s="146">
        <f>SUM(Purchase[Net Amount])</f>
        <v>814985438.68000126</v>
      </c>
    </row>
    <row r="2007" spans="1:21" ht="19.5" thickBot="1" x14ac:dyDescent="0.3">
      <c r="A2007" s="136" t="s">
        <v>3063</v>
      </c>
      <c r="B2007" s="137">
        <v>45756</v>
      </c>
      <c r="C2007" s="138" t="s">
        <v>597</v>
      </c>
      <c r="D2007" s="138" t="str">
        <f>VLOOKUP(Purchase[[#This Row],[Supplier ID]],Supplier[#All],2,0)</f>
        <v>Tech Traders</v>
      </c>
      <c r="E2007" s="138">
        <f>VLOOKUP(Purchase[[#This Row],[Supplier ID]],Supplier[#All],3,0)</f>
        <v>9689542480</v>
      </c>
      <c r="F2007" s="138" t="str">
        <f>VLOOKUP(Purchase[[#This Row],[Supplier ID]],Supplier[#All],4,0)</f>
        <v>Kanpur</v>
      </c>
      <c r="G2007" s="138" t="str">
        <f>VLOOKUP(Purchase[[#This Row],[Supplier ID]],Supplier[#All],5,0)</f>
        <v>UP</v>
      </c>
      <c r="H2007" s="138" t="str">
        <f>VLOOKUP(Purchase[[#This Row],[Supplier ID]],Supplier[#All],6,0)</f>
        <v>GST2154521T042</v>
      </c>
      <c r="I2007" s="138" t="s">
        <v>491</v>
      </c>
      <c r="J2007" s="139">
        <v>11</v>
      </c>
      <c r="K2007" s="143">
        <f>VLOOKUP(Purchase[[#This Row],[Product ID]],Product[#All],6,0)</f>
        <v>1938</v>
      </c>
      <c r="L2007" s="143">
        <f>Purchase[[#This Row],[Purchase Rate]]*Purchase[[#This Row],[Qty]]</f>
        <v>21318</v>
      </c>
      <c r="M2007" s="140">
        <v>0</v>
      </c>
      <c r="N2007" s="143">
        <v>0</v>
      </c>
      <c r="O2007" s="140">
        <v>0.18</v>
      </c>
      <c r="P2007" s="145">
        <f>(Purchase[[#This Row],[Gross Amount]]-Purchase[[#This Row],[Disct %]])*Purchase[[#This Row],[GST %]]</f>
        <v>3837.24</v>
      </c>
      <c r="Q2007" s="145">
        <f>Purchase[[#This Row],[Gross Amount]]-Purchase[[#This Row],[Disct Amnt]]+Purchase[[#This Row],[GST Amount]]</f>
        <v>25155.239999999998</v>
      </c>
      <c r="R2007" s="138" t="s">
        <v>1019</v>
      </c>
      <c r="S2007" s="41">
        <f>IF(Purchase[[#This Row],[Status]]="Cancelled",0,Purchase[[#This Row],[Qty]])</f>
        <v>11</v>
      </c>
      <c r="T2007" s="146">
        <f>IF(Purchase[[#This Row],[Status]]="Cancelled",0,Purchase[[#This Row],[Total Amount]])</f>
        <v>25155.239999999998</v>
      </c>
      <c r="U2007" s="146">
        <f>SUM(Purchase[Net Amount])</f>
        <v>814985438.68000126</v>
      </c>
    </row>
    <row r="2008" spans="1:21" ht="19.5" thickBot="1" x14ac:dyDescent="0.3">
      <c r="A2008" s="136" t="s">
        <v>3064</v>
      </c>
      <c r="B2008" s="137">
        <v>45756</v>
      </c>
      <c r="C2008" s="138" t="s">
        <v>570</v>
      </c>
      <c r="D2008" s="138" t="str">
        <f>VLOOKUP(Purchase[[#This Row],[Supplier ID]],Supplier[#All],2,0)</f>
        <v>Prime Traders</v>
      </c>
      <c r="E2008" s="138">
        <f>VLOOKUP(Purchase[[#This Row],[Supplier ID]],Supplier[#All],3,0)</f>
        <v>9689542456</v>
      </c>
      <c r="F2008" s="138" t="str">
        <f>VLOOKUP(Purchase[[#This Row],[Supplier ID]],Supplier[#All],4,0)</f>
        <v>Indore</v>
      </c>
      <c r="G2008" s="138" t="str">
        <f>VLOOKUP(Purchase[[#This Row],[Supplier ID]],Supplier[#All],5,0)</f>
        <v>MP</v>
      </c>
      <c r="H2008" s="138" t="str">
        <f>VLOOKUP(Purchase[[#This Row],[Supplier ID]],Supplier[#All],6,0)</f>
        <v>GST2154521T018</v>
      </c>
      <c r="I2008" s="138" t="s">
        <v>428</v>
      </c>
      <c r="J2008" s="139">
        <v>30</v>
      </c>
      <c r="K2008" s="143">
        <f>VLOOKUP(Purchase[[#This Row],[Product ID]],Product[#All],6,0)</f>
        <v>6736</v>
      </c>
      <c r="L2008" s="143">
        <f>Purchase[[#This Row],[Purchase Rate]]*Purchase[[#This Row],[Qty]]</f>
        <v>202080</v>
      </c>
      <c r="M2008" s="140">
        <v>0</v>
      </c>
      <c r="N2008" s="143">
        <v>0</v>
      </c>
      <c r="O2008" s="140">
        <v>0.18</v>
      </c>
      <c r="P2008" s="145">
        <f>(Purchase[[#This Row],[Gross Amount]]-Purchase[[#This Row],[Disct %]])*Purchase[[#This Row],[GST %]]</f>
        <v>36374.400000000001</v>
      </c>
      <c r="Q2008" s="145">
        <f>Purchase[[#This Row],[Gross Amount]]-Purchase[[#This Row],[Disct Amnt]]+Purchase[[#This Row],[GST Amount]]</f>
        <v>238454.39999999999</v>
      </c>
      <c r="R2008" s="138" t="s">
        <v>1019</v>
      </c>
      <c r="S2008" s="41">
        <f>IF(Purchase[[#This Row],[Status]]="Cancelled",0,Purchase[[#This Row],[Qty]])</f>
        <v>30</v>
      </c>
      <c r="T2008" s="146">
        <f>IF(Purchase[[#This Row],[Status]]="Cancelled",0,Purchase[[#This Row],[Total Amount]])</f>
        <v>238454.39999999999</v>
      </c>
      <c r="U2008" s="146">
        <f>SUM(Purchase[Net Amount])</f>
        <v>814985438.68000126</v>
      </c>
    </row>
    <row r="2009" spans="1:21" ht="19.5" thickBot="1" x14ac:dyDescent="0.3">
      <c r="A2009" s="136" t="s">
        <v>3065</v>
      </c>
      <c r="B2009" s="137">
        <v>45756</v>
      </c>
      <c r="C2009" s="138" t="s">
        <v>609</v>
      </c>
      <c r="D2009" s="138" t="str">
        <f>VLOOKUP(Purchase[[#This Row],[Supplier ID]],Supplier[#All],2,0)</f>
        <v>Star Suppliers</v>
      </c>
      <c r="E2009" s="138">
        <f>VLOOKUP(Purchase[[#This Row],[Supplier ID]],Supplier[#All],3,0)</f>
        <v>9689542492</v>
      </c>
      <c r="F2009" s="138" t="str">
        <f>VLOOKUP(Purchase[[#This Row],[Supplier ID]],Supplier[#All],4,0)</f>
        <v>Kanpur</v>
      </c>
      <c r="G2009" s="138" t="str">
        <f>VLOOKUP(Purchase[[#This Row],[Supplier ID]],Supplier[#All],5,0)</f>
        <v>UP</v>
      </c>
      <c r="H2009" s="138" t="str">
        <f>VLOOKUP(Purchase[[#This Row],[Supplier ID]],Supplier[#All],6,0)</f>
        <v>GST2154521T054</v>
      </c>
      <c r="I2009" s="138" t="s">
        <v>227</v>
      </c>
      <c r="J2009" s="139">
        <v>36</v>
      </c>
      <c r="K2009" s="143">
        <f>VLOOKUP(Purchase[[#This Row],[Product ID]],Product[#All],6,0)</f>
        <v>11911</v>
      </c>
      <c r="L2009" s="143">
        <f>Purchase[[#This Row],[Purchase Rate]]*Purchase[[#This Row],[Qty]]</f>
        <v>428796</v>
      </c>
      <c r="M2009" s="140">
        <v>0</v>
      </c>
      <c r="N2009" s="143">
        <v>0</v>
      </c>
      <c r="O2009" s="140">
        <v>0.18</v>
      </c>
      <c r="P2009" s="145">
        <f>(Purchase[[#This Row],[Gross Amount]]-Purchase[[#This Row],[Disct %]])*Purchase[[#This Row],[GST %]]</f>
        <v>77183.28</v>
      </c>
      <c r="Q2009" s="145">
        <f>Purchase[[#This Row],[Gross Amount]]-Purchase[[#This Row],[Disct Amnt]]+Purchase[[#This Row],[GST Amount]]</f>
        <v>505979.28</v>
      </c>
      <c r="R2009" s="138" t="s">
        <v>1019</v>
      </c>
      <c r="S2009" s="41">
        <f>IF(Purchase[[#This Row],[Status]]="Cancelled",0,Purchase[[#This Row],[Qty]])</f>
        <v>36</v>
      </c>
      <c r="T2009" s="146">
        <f>IF(Purchase[[#This Row],[Status]]="Cancelled",0,Purchase[[#This Row],[Total Amount]])</f>
        <v>505979.28</v>
      </c>
      <c r="U2009" s="146">
        <f>SUM(Purchase[Net Amount])</f>
        <v>814985438.68000126</v>
      </c>
    </row>
    <row r="2010" spans="1:21" ht="19.5" thickBot="1" x14ac:dyDescent="0.3">
      <c r="A2010" s="136" t="s">
        <v>3066</v>
      </c>
      <c r="B2010" s="137">
        <v>45756</v>
      </c>
      <c r="C2010" s="138" t="s">
        <v>580</v>
      </c>
      <c r="D2010" s="138" t="str">
        <f>VLOOKUP(Purchase[[#This Row],[Supplier ID]],Supplier[#All],2,0)</f>
        <v>Star Distributors</v>
      </c>
      <c r="E2010" s="138">
        <f>VLOOKUP(Purchase[[#This Row],[Supplier ID]],Supplier[#All],3,0)</f>
        <v>9689542464</v>
      </c>
      <c r="F2010" s="138" t="str">
        <f>VLOOKUP(Purchase[[#This Row],[Supplier ID]],Supplier[#All],4,0)</f>
        <v>Indore</v>
      </c>
      <c r="G2010" s="138" t="str">
        <f>VLOOKUP(Purchase[[#This Row],[Supplier ID]],Supplier[#All],5,0)</f>
        <v>MP</v>
      </c>
      <c r="H2010" s="138" t="str">
        <f>VLOOKUP(Purchase[[#This Row],[Supplier ID]],Supplier[#All],6,0)</f>
        <v>GST2154521T026</v>
      </c>
      <c r="I2010" s="138" t="s">
        <v>76</v>
      </c>
      <c r="J2010" s="139">
        <v>32</v>
      </c>
      <c r="K2010" s="143">
        <f>VLOOKUP(Purchase[[#This Row],[Product ID]],Product[#All],6,0)</f>
        <v>1400</v>
      </c>
      <c r="L2010" s="143">
        <f>Purchase[[#This Row],[Purchase Rate]]*Purchase[[#This Row],[Qty]]</f>
        <v>44800</v>
      </c>
      <c r="M2010" s="140">
        <v>0</v>
      </c>
      <c r="N2010" s="143">
        <v>0</v>
      </c>
      <c r="O2010" s="140">
        <v>0.18</v>
      </c>
      <c r="P2010" s="145">
        <f>(Purchase[[#This Row],[Gross Amount]]-Purchase[[#This Row],[Disct %]])*Purchase[[#This Row],[GST %]]</f>
        <v>8064</v>
      </c>
      <c r="Q2010" s="145">
        <f>Purchase[[#This Row],[Gross Amount]]-Purchase[[#This Row],[Disct Amnt]]+Purchase[[#This Row],[GST Amount]]</f>
        <v>52864</v>
      </c>
      <c r="R2010" s="138" t="s">
        <v>1019</v>
      </c>
      <c r="S2010" s="41">
        <f>IF(Purchase[[#This Row],[Status]]="Cancelled",0,Purchase[[#This Row],[Qty]])</f>
        <v>32</v>
      </c>
      <c r="T2010" s="146">
        <f>IF(Purchase[[#This Row],[Status]]="Cancelled",0,Purchase[[#This Row],[Total Amount]])</f>
        <v>52864</v>
      </c>
      <c r="U2010" s="146">
        <f>SUM(Purchase[Net Amount])</f>
        <v>814985438.68000126</v>
      </c>
    </row>
    <row r="2011" spans="1:21" ht="19.5" thickBot="1" x14ac:dyDescent="0.3">
      <c r="A2011" s="136" t="s">
        <v>3067</v>
      </c>
      <c r="B2011" s="137">
        <v>45756</v>
      </c>
      <c r="C2011" s="138" t="s">
        <v>613</v>
      </c>
      <c r="D2011" s="138" t="str">
        <f>VLOOKUP(Purchase[[#This Row],[Supplier ID]],Supplier[#All],2,0)</f>
        <v>National Traders</v>
      </c>
      <c r="E2011" s="138">
        <f>VLOOKUP(Purchase[[#This Row],[Supplier ID]],Supplier[#All],3,0)</f>
        <v>9689542496</v>
      </c>
      <c r="F2011" s="138" t="str">
        <f>VLOOKUP(Purchase[[#This Row],[Supplier ID]],Supplier[#All],4,0)</f>
        <v>Indore</v>
      </c>
      <c r="G2011" s="138" t="str">
        <f>VLOOKUP(Purchase[[#This Row],[Supplier ID]],Supplier[#All],5,0)</f>
        <v>MP</v>
      </c>
      <c r="H2011" s="138" t="str">
        <f>VLOOKUP(Purchase[[#This Row],[Supplier ID]],Supplier[#All],6,0)</f>
        <v>GST2154521T058</v>
      </c>
      <c r="I2011" s="138" t="s">
        <v>471</v>
      </c>
      <c r="J2011" s="139">
        <v>11</v>
      </c>
      <c r="K2011" s="143">
        <f>VLOOKUP(Purchase[[#This Row],[Product ID]],Product[#All],6,0)</f>
        <v>8339</v>
      </c>
      <c r="L2011" s="143">
        <f>Purchase[[#This Row],[Purchase Rate]]*Purchase[[#This Row],[Qty]]</f>
        <v>91729</v>
      </c>
      <c r="M2011" s="140">
        <v>0</v>
      </c>
      <c r="N2011" s="143">
        <v>0</v>
      </c>
      <c r="O2011" s="140">
        <v>0.18</v>
      </c>
      <c r="P2011" s="145">
        <f>(Purchase[[#This Row],[Gross Amount]]-Purchase[[#This Row],[Disct %]])*Purchase[[#This Row],[GST %]]</f>
        <v>16511.22</v>
      </c>
      <c r="Q2011" s="145">
        <f>Purchase[[#This Row],[Gross Amount]]-Purchase[[#This Row],[Disct Amnt]]+Purchase[[#This Row],[GST Amount]]</f>
        <v>108240.22</v>
      </c>
      <c r="R2011" s="138" t="s">
        <v>1019</v>
      </c>
      <c r="S2011" s="41">
        <f>IF(Purchase[[#This Row],[Status]]="Cancelled",0,Purchase[[#This Row],[Qty]])</f>
        <v>11</v>
      </c>
      <c r="T2011" s="146">
        <f>IF(Purchase[[#This Row],[Status]]="Cancelled",0,Purchase[[#This Row],[Total Amount]])</f>
        <v>108240.22</v>
      </c>
      <c r="U2011" s="146">
        <f>SUM(Purchase[Net Amount])</f>
        <v>814985438.68000126</v>
      </c>
    </row>
    <row r="2012" spans="1:21" ht="19.5" thickBot="1" x14ac:dyDescent="0.3">
      <c r="A2012" s="136" t="s">
        <v>3068</v>
      </c>
      <c r="B2012" s="137">
        <v>45756</v>
      </c>
      <c r="C2012" s="138" t="s">
        <v>576</v>
      </c>
      <c r="D2012" s="138" t="str">
        <f>VLOOKUP(Purchase[[#This Row],[Supplier ID]],Supplier[#All],2,0)</f>
        <v>Maa Distributors</v>
      </c>
      <c r="E2012" s="138">
        <f>VLOOKUP(Purchase[[#This Row],[Supplier ID]],Supplier[#All],3,0)</f>
        <v>9689542460</v>
      </c>
      <c r="F2012" s="138" t="str">
        <f>VLOOKUP(Purchase[[#This Row],[Supplier ID]],Supplier[#All],4,0)</f>
        <v>Korba</v>
      </c>
      <c r="G2012" s="138" t="str">
        <f>VLOOKUP(Purchase[[#This Row],[Supplier ID]],Supplier[#All],5,0)</f>
        <v>CG</v>
      </c>
      <c r="H2012" s="138" t="str">
        <f>VLOOKUP(Purchase[[#This Row],[Supplier ID]],Supplier[#All],6,0)</f>
        <v>GST2154521T022</v>
      </c>
      <c r="I2012" s="138" t="s">
        <v>363</v>
      </c>
      <c r="J2012" s="139">
        <v>13</v>
      </c>
      <c r="K2012" s="143">
        <f>VLOOKUP(Purchase[[#This Row],[Product ID]],Product[#All],6,0)</f>
        <v>30731</v>
      </c>
      <c r="L2012" s="143">
        <f>Purchase[[#This Row],[Purchase Rate]]*Purchase[[#This Row],[Qty]]</f>
        <v>399503</v>
      </c>
      <c r="M2012" s="140">
        <v>0</v>
      </c>
      <c r="N2012" s="143">
        <v>0</v>
      </c>
      <c r="O2012" s="140">
        <v>0.18</v>
      </c>
      <c r="P2012" s="145">
        <f>(Purchase[[#This Row],[Gross Amount]]-Purchase[[#This Row],[Disct %]])*Purchase[[#This Row],[GST %]]</f>
        <v>71910.539999999994</v>
      </c>
      <c r="Q2012" s="145">
        <f>Purchase[[#This Row],[Gross Amount]]-Purchase[[#This Row],[Disct Amnt]]+Purchase[[#This Row],[GST Amount]]</f>
        <v>471413.54</v>
      </c>
      <c r="R2012" s="138" t="s">
        <v>1019</v>
      </c>
      <c r="S2012" s="41">
        <f>IF(Purchase[[#This Row],[Status]]="Cancelled",0,Purchase[[#This Row],[Qty]])</f>
        <v>13</v>
      </c>
      <c r="T2012" s="146">
        <f>IF(Purchase[[#This Row],[Status]]="Cancelled",0,Purchase[[#This Row],[Total Amount]])</f>
        <v>471413.54</v>
      </c>
      <c r="U2012" s="146">
        <f>SUM(Purchase[Net Amount])</f>
        <v>814985438.68000126</v>
      </c>
    </row>
    <row r="2013" spans="1:21" ht="19.5" thickBot="1" x14ac:dyDescent="0.3">
      <c r="A2013" s="136" t="s">
        <v>3069</v>
      </c>
      <c r="B2013" s="137">
        <v>45756</v>
      </c>
      <c r="C2013" s="138" t="s">
        <v>585</v>
      </c>
      <c r="D2013" s="138" t="str">
        <f>VLOOKUP(Purchase[[#This Row],[Supplier ID]],Supplier[#All],2,0)</f>
        <v>Tech Computers</v>
      </c>
      <c r="E2013" s="138">
        <f>VLOOKUP(Purchase[[#This Row],[Supplier ID]],Supplier[#All],3,0)</f>
        <v>9689542469</v>
      </c>
      <c r="F2013" s="138" t="str">
        <f>VLOOKUP(Purchase[[#This Row],[Supplier ID]],Supplier[#All],4,0)</f>
        <v>Korba</v>
      </c>
      <c r="G2013" s="138" t="str">
        <f>VLOOKUP(Purchase[[#This Row],[Supplier ID]],Supplier[#All],5,0)</f>
        <v>CG</v>
      </c>
      <c r="H2013" s="138" t="str">
        <f>VLOOKUP(Purchase[[#This Row],[Supplier ID]],Supplier[#All],6,0)</f>
        <v>GST2154521T031</v>
      </c>
      <c r="I2013" s="138" t="s">
        <v>23</v>
      </c>
      <c r="J2013" s="139">
        <v>27</v>
      </c>
      <c r="K2013" s="143">
        <f>VLOOKUP(Purchase[[#This Row],[Product ID]],Product[#All],6,0)</f>
        <v>4851</v>
      </c>
      <c r="L2013" s="143">
        <f>Purchase[[#This Row],[Purchase Rate]]*Purchase[[#This Row],[Qty]]</f>
        <v>130977</v>
      </c>
      <c r="M2013" s="140">
        <v>0</v>
      </c>
      <c r="N2013" s="143">
        <v>0</v>
      </c>
      <c r="O2013" s="140">
        <v>0.18</v>
      </c>
      <c r="P2013" s="145">
        <f>(Purchase[[#This Row],[Gross Amount]]-Purchase[[#This Row],[Disct %]])*Purchase[[#This Row],[GST %]]</f>
        <v>23575.86</v>
      </c>
      <c r="Q2013" s="145">
        <f>Purchase[[#This Row],[Gross Amount]]-Purchase[[#This Row],[Disct Amnt]]+Purchase[[#This Row],[GST Amount]]</f>
        <v>154552.85999999999</v>
      </c>
      <c r="R2013" s="138" t="s">
        <v>1019</v>
      </c>
      <c r="S2013" s="41">
        <f>IF(Purchase[[#This Row],[Status]]="Cancelled",0,Purchase[[#This Row],[Qty]])</f>
        <v>27</v>
      </c>
      <c r="T2013" s="146">
        <f>IF(Purchase[[#This Row],[Status]]="Cancelled",0,Purchase[[#This Row],[Total Amount]])</f>
        <v>154552.85999999999</v>
      </c>
      <c r="U2013" s="146">
        <f>SUM(Purchase[Net Amount])</f>
        <v>814985438.68000126</v>
      </c>
    </row>
    <row r="2014" spans="1:21" ht="19.5" thickBot="1" x14ac:dyDescent="0.3">
      <c r="A2014" s="136" t="s">
        <v>3070</v>
      </c>
      <c r="B2014" s="137">
        <v>45756</v>
      </c>
      <c r="C2014" s="138" t="s">
        <v>569</v>
      </c>
      <c r="D2014" s="138" t="str">
        <f>VLOOKUP(Purchase[[#This Row],[Supplier ID]],Supplier[#All],2,0)</f>
        <v>Tech Electronics</v>
      </c>
      <c r="E2014" s="138">
        <f>VLOOKUP(Purchase[[#This Row],[Supplier ID]],Supplier[#All],3,0)</f>
        <v>9689542455</v>
      </c>
      <c r="F2014" s="138" t="str">
        <f>VLOOKUP(Purchase[[#This Row],[Supplier ID]],Supplier[#All],4,0)</f>
        <v>Korba</v>
      </c>
      <c r="G2014" s="138" t="str">
        <f>VLOOKUP(Purchase[[#This Row],[Supplier ID]],Supplier[#All],5,0)</f>
        <v>CG</v>
      </c>
      <c r="H2014" s="138" t="str">
        <f>VLOOKUP(Purchase[[#This Row],[Supplier ID]],Supplier[#All],6,0)</f>
        <v>GST2154521T017</v>
      </c>
      <c r="I2014" s="138" t="s">
        <v>339</v>
      </c>
      <c r="J2014" s="139">
        <v>28</v>
      </c>
      <c r="K2014" s="143">
        <f>VLOOKUP(Purchase[[#This Row],[Product ID]],Product[#All],6,0)</f>
        <v>7087</v>
      </c>
      <c r="L2014" s="143">
        <f>Purchase[[#This Row],[Purchase Rate]]*Purchase[[#This Row],[Qty]]</f>
        <v>198436</v>
      </c>
      <c r="M2014" s="140">
        <v>0</v>
      </c>
      <c r="N2014" s="143">
        <v>0</v>
      </c>
      <c r="O2014" s="140">
        <v>0.18</v>
      </c>
      <c r="P2014" s="145">
        <f>(Purchase[[#This Row],[Gross Amount]]-Purchase[[#This Row],[Disct %]])*Purchase[[#This Row],[GST %]]</f>
        <v>35718.479999999996</v>
      </c>
      <c r="Q2014" s="145">
        <f>Purchase[[#This Row],[Gross Amount]]-Purchase[[#This Row],[Disct Amnt]]+Purchase[[#This Row],[GST Amount]]</f>
        <v>234154.47999999998</v>
      </c>
      <c r="R2014" s="138" t="s">
        <v>1019</v>
      </c>
      <c r="S2014" s="41">
        <f>IF(Purchase[[#This Row],[Status]]="Cancelled",0,Purchase[[#This Row],[Qty]])</f>
        <v>28</v>
      </c>
      <c r="T2014" s="146">
        <f>IF(Purchase[[#This Row],[Status]]="Cancelled",0,Purchase[[#This Row],[Total Amount]])</f>
        <v>234154.47999999998</v>
      </c>
      <c r="U2014" s="146">
        <f>SUM(Purchase[Net Amount])</f>
        <v>814985438.68000126</v>
      </c>
    </row>
    <row r="2015" spans="1:21" ht="19.5" thickBot="1" x14ac:dyDescent="0.3">
      <c r="A2015" s="136" t="s">
        <v>3071</v>
      </c>
      <c r="B2015" s="137">
        <v>45756</v>
      </c>
      <c r="C2015" s="138" t="s">
        <v>612</v>
      </c>
      <c r="D2015" s="138" t="str">
        <f>VLOOKUP(Purchase[[#This Row],[Supplier ID]],Supplier[#All],2,0)</f>
        <v>National Computers</v>
      </c>
      <c r="E2015" s="138">
        <f>VLOOKUP(Purchase[[#This Row],[Supplier ID]],Supplier[#All],3,0)</f>
        <v>9689542495</v>
      </c>
      <c r="F2015" s="138" t="str">
        <f>VLOOKUP(Purchase[[#This Row],[Supplier ID]],Supplier[#All],4,0)</f>
        <v>Indore</v>
      </c>
      <c r="G2015" s="138" t="str">
        <f>VLOOKUP(Purchase[[#This Row],[Supplier ID]],Supplier[#All],5,0)</f>
        <v>MP</v>
      </c>
      <c r="H2015" s="138" t="str">
        <f>VLOOKUP(Purchase[[#This Row],[Supplier ID]],Supplier[#All],6,0)</f>
        <v>GST2154521T057</v>
      </c>
      <c r="I2015" s="138" t="s">
        <v>539</v>
      </c>
      <c r="J2015" s="139">
        <v>15</v>
      </c>
      <c r="K2015" s="143">
        <f>VLOOKUP(Purchase[[#This Row],[Product ID]],Product[#All],6,0)</f>
        <v>21269</v>
      </c>
      <c r="L2015" s="143">
        <f>Purchase[[#This Row],[Purchase Rate]]*Purchase[[#This Row],[Qty]]</f>
        <v>319035</v>
      </c>
      <c r="M2015" s="140">
        <v>0</v>
      </c>
      <c r="N2015" s="143">
        <v>0</v>
      </c>
      <c r="O2015" s="140">
        <v>0.18</v>
      </c>
      <c r="P2015" s="145">
        <f>(Purchase[[#This Row],[Gross Amount]]-Purchase[[#This Row],[Disct %]])*Purchase[[#This Row],[GST %]]</f>
        <v>57426.299999999996</v>
      </c>
      <c r="Q2015" s="145">
        <f>Purchase[[#This Row],[Gross Amount]]-Purchase[[#This Row],[Disct Amnt]]+Purchase[[#This Row],[GST Amount]]</f>
        <v>376461.3</v>
      </c>
      <c r="R2015" s="138" t="s">
        <v>1019</v>
      </c>
      <c r="S2015" s="41">
        <f>IF(Purchase[[#This Row],[Status]]="Cancelled",0,Purchase[[#This Row],[Qty]])</f>
        <v>15</v>
      </c>
      <c r="T2015" s="146">
        <f>IF(Purchase[[#This Row],[Status]]="Cancelled",0,Purchase[[#This Row],[Total Amount]])</f>
        <v>376461.3</v>
      </c>
      <c r="U2015" s="146">
        <f>SUM(Purchase[Net Amount])</f>
        <v>814985438.68000126</v>
      </c>
    </row>
    <row r="2016" spans="1:21" ht="19.5" thickBot="1" x14ac:dyDescent="0.3">
      <c r="A2016" s="136" t="s">
        <v>3072</v>
      </c>
      <c r="B2016" s="137">
        <v>45756</v>
      </c>
      <c r="C2016" s="138" t="s">
        <v>575</v>
      </c>
      <c r="D2016" s="138" t="str">
        <f>VLOOKUP(Purchase[[#This Row],[Supplier ID]],Supplier[#All],2,0)</f>
        <v>Global Computers</v>
      </c>
      <c r="E2016" s="138">
        <f>VLOOKUP(Purchase[[#This Row],[Supplier ID]],Supplier[#All],3,0)</f>
        <v>9689542459</v>
      </c>
      <c r="F2016" s="138" t="str">
        <f>VLOOKUP(Purchase[[#This Row],[Supplier ID]],Supplier[#All],4,0)</f>
        <v>Indore</v>
      </c>
      <c r="G2016" s="138" t="str">
        <f>VLOOKUP(Purchase[[#This Row],[Supplier ID]],Supplier[#All],5,0)</f>
        <v>MP</v>
      </c>
      <c r="H2016" s="138" t="str">
        <f>VLOOKUP(Purchase[[#This Row],[Supplier ID]],Supplier[#All],6,0)</f>
        <v>GST2154521T021</v>
      </c>
      <c r="I2016" s="138" t="s">
        <v>235</v>
      </c>
      <c r="J2016" s="139">
        <v>20</v>
      </c>
      <c r="K2016" s="143">
        <f>VLOOKUP(Purchase[[#This Row],[Product ID]],Product[#All],6,0)</f>
        <v>1096</v>
      </c>
      <c r="L2016" s="143">
        <f>Purchase[[#This Row],[Purchase Rate]]*Purchase[[#This Row],[Qty]]</f>
        <v>21920</v>
      </c>
      <c r="M2016" s="140">
        <v>0</v>
      </c>
      <c r="N2016" s="143">
        <v>0</v>
      </c>
      <c r="O2016" s="140">
        <v>0.18</v>
      </c>
      <c r="P2016" s="145">
        <f>(Purchase[[#This Row],[Gross Amount]]-Purchase[[#This Row],[Disct %]])*Purchase[[#This Row],[GST %]]</f>
        <v>3945.6</v>
      </c>
      <c r="Q2016" s="145">
        <f>Purchase[[#This Row],[Gross Amount]]-Purchase[[#This Row],[Disct Amnt]]+Purchase[[#This Row],[GST Amount]]</f>
        <v>25865.599999999999</v>
      </c>
      <c r="R2016" s="138" t="s">
        <v>1019</v>
      </c>
      <c r="S2016" s="41">
        <f>IF(Purchase[[#This Row],[Status]]="Cancelled",0,Purchase[[#This Row],[Qty]])</f>
        <v>20</v>
      </c>
      <c r="T2016" s="146">
        <f>IF(Purchase[[#This Row],[Status]]="Cancelled",0,Purchase[[#This Row],[Total Amount]])</f>
        <v>25865.599999999999</v>
      </c>
      <c r="U2016" s="146">
        <f>SUM(Purchase[Net Amount])</f>
        <v>814985438.68000126</v>
      </c>
    </row>
    <row r="2017" spans="1:21" ht="19.5" thickBot="1" x14ac:dyDescent="0.3">
      <c r="A2017" s="136" t="s">
        <v>3073</v>
      </c>
      <c r="B2017" s="137">
        <v>45756</v>
      </c>
      <c r="C2017" s="138" t="s">
        <v>586</v>
      </c>
      <c r="D2017" s="138" t="str">
        <f>VLOOKUP(Purchase[[#This Row],[Supplier ID]],Supplier[#All],2,0)</f>
        <v>Maa Traders</v>
      </c>
      <c r="E2017" s="138">
        <f>VLOOKUP(Purchase[[#This Row],[Supplier ID]],Supplier[#All],3,0)</f>
        <v>9689542470</v>
      </c>
      <c r="F2017" s="138" t="str">
        <f>VLOOKUP(Purchase[[#This Row],[Supplier ID]],Supplier[#All],4,0)</f>
        <v>Kanpur</v>
      </c>
      <c r="G2017" s="138" t="str">
        <f>VLOOKUP(Purchase[[#This Row],[Supplier ID]],Supplier[#All],5,0)</f>
        <v>UP</v>
      </c>
      <c r="H2017" s="138" t="str">
        <f>VLOOKUP(Purchase[[#This Row],[Supplier ID]],Supplier[#All],6,0)</f>
        <v>GST2154521T032</v>
      </c>
      <c r="I2017" s="138" t="s">
        <v>189</v>
      </c>
      <c r="J2017" s="139">
        <v>17</v>
      </c>
      <c r="K2017" s="143">
        <f>VLOOKUP(Purchase[[#This Row],[Product ID]],Product[#All],6,0)</f>
        <v>1280</v>
      </c>
      <c r="L2017" s="143">
        <f>Purchase[[#This Row],[Purchase Rate]]*Purchase[[#This Row],[Qty]]</f>
        <v>21760</v>
      </c>
      <c r="M2017" s="140">
        <v>0</v>
      </c>
      <c r="N2017" s="143">
        <v>0</v>
      </c>
      <c r="O2017" s="140">
        <v>0.18</v>
      </c>
      <c r="P2017" s="145">
        <f>(Purchase[[#This Row],[Gross Amount]]-Purchase[[#This Row],[Disct %]])*Purchase[[#This Row],[GST %]]</f>
        <v>3916.7999999999997</v>
      </c>
      <c r="Q2017" s="145">
        <f>Purchase[[#This Row],[Gross Amount]]-Purchase[[#This Row],[Disct Amnt]]+Purchase[[#This Row],[GST Amount]]</f>
        <v>25676.799999999999</v>
      </c>
      <c r="R2017" s="138" t="s">
        <v>1019</v>
      </c>
      <c r="S2017" s="41">
        <f>IF(Purchase[[#This Row],[Status]]="Cancelled",0,Purchase[[#This Row],[Qty]])</f>
        <v>17</v>
      </c>
      <c r="T2017" s="146">
        <f>IF(Purchase[[#This Row],[Status]]="Cancelled",0,Purchase[[#This Row],[Total Amount]])</f>
        <v>25676.799999999999</v>
      </c>
      <c r="U2017" s="146">
        <f>SUM(Purchase[Net Amount])</f>
        <v>814985438.68000126</v>
      </c>
    </row>
    <row r="2018" spans="1:21" ht="19.5" thickBot="1" x14ac:dyDescent="0.3">
      <c r="A2018" s="136" t="s">
        <v>3074</v>
      </c>
      <c r="B2018" s="137">
        <v>45756</v>
      </c>
      <c r="C2018" s="138" t="s">
        <v>578</v>
      </c>
      <c r="D2018" s="138" t="str">
        <f>VLOOKUP(Purchase[[#This Row],[Supplier ID]],Supplier[#All],2,0)</f>
        <v>Shree Computers</v>
      </c>
      <c r="E2018" s="138">
        <f>VLOOKUP(Purchase[[#This Row],[Supplier ID]],Supplier[#All],3,0)</f>
        <v>9689542462</v>
      </c>
      <c r="F2018" s="138" t="str">
        <f>VLOOKUP(Purchase[[#This Row],[Supplier ID]],Supplier[#All],4,0)</f>
        <v>Korba</v>
      </c>
      <c r="G2018" s="138" t="str">
        <f>VLOOKUP(Purchase[[#This Row],[Supplier ID]],Supplier[#All],5,0)</f>
        <v>CG</v>
      </c>
      <c r="H2018" s="138" t="str">
        <f>VLOOKUP(Purchase[[#This Row],[Supplier ID]],Supplier[#All],6,0)</f>
        <v>GST2154521T024</v>
      </c>
      <c r="I2018" s="138" t="s">
        <v>53</v>
      </c>
      <c r="J2018" s="139">
        <v>20</v>
      </c>
      <c r="K2018" s="143">
        <f>VLOOKUP(Purchase[[#This Row],[Product ID]],Product[#All],6,0)</f>
        <v>11269</v>
      </c>
      <c r="L2018" s="143">
        <f>Purchase[[#This Row],[Purchase Rate]]*Purchase[[#This Row],[Qty]]</f>
        <v>225380</v>
      </c>
      <c r="M2018" s="140">
        <v>0</v>
      </c>
      <c r="N2018" s="143">
        <v>0</v>
      </c>
      <c r="O2018" s="140">
        <v>0.18</v>
      </c>
      <c r="P2018" s="145">
        <f>(Purchase[[#This Row],[Gross Amount]]-Purchase[[#This Row],[Disct %]])*Purchase[[#This Row],[GST %]]</f>
        <v>40568.400000000001</v>
      </c>
      <c r="Q2018" s="145">
        <f>Purchase[[#This Row],[Gross Amount]]-Purchase[[#This Row],[Disct Amnt]]+Purchase[[#This Row],[GST Amount]]</f>
        <v>265948.40000000002</v>
      </c>
      <c r="R2018" s="138" t="s">
        <v>1019</v>
      </c>
      <c r="S2018" s="41">
        <f>IF(Purchase[[#This Row],[Status]]="Cancelled",0,Purchase[[#This Row],[Qty]])</f>
        <v>20</v>
      </c>
      <c r="T2018" s="146">
        <f>IF(Purchase[[#This Row],[Status]]="Cancelled",0,Purchase[[#This Row],[Total Amount]])</f>
        <v>265948.40000000002</v>
      </c>
      <c r="U2018" s="146">
        <f>SUM(Purchase[Net Amount])</f>
        <v>814985438.68000126</v>
      </c>
    </row>
    <row r="2019" spans="1:21" ht="19.5" thickBot="1" x14ac:dyDescent="0.3">
      <c r="A2019" s="136" t="s">
        <v>3075</v>
      </c>
      <c r="B2019" s="137">
        <v>45756</v>
      </c>
      <c r="C2019" s="138" t="s">
        <v>596</v>
      </c>
      <c r="D2019" s="138" t="str">
        <f>VLOOKUP(Purchase[[#This Row],[Supplier ID]],Supplier[#All],2,0)</f>
        <v>star traders</v>
      </c>
      <c r="E2019" s="138">
        <f>VLOOKUP(Purchase[[#This Row],[Supplier ID]],Supplier[#All],3,0)</f>
        <v>9689542479</v>
      </c>
      <c r="F2019" s="138" t="str">
        <f>VLOOKUP(Purchase[[#This Row],[Supplier ID]],Supplier[#All],4,0)</f>
        <v>Korba</v>
      </c>
      <c r="G2019" s="138" t="str">
        <f>VLOOKUP(Purchase[[#This Row],[Supplier ID]],Supplier[#All],5,0)</f>
        <v>CG</v>
      </c>
      <c r="H2019" s="138" t="str">
        <f>VLOOKUP(Purchase[[#This Row],[Supplier ID]],Supplier[#All],6,0)</f>
        <v>GST2154521T041</v>
      </c>
      <c r="I2019" s="138" t="s">
        <v>308</v>
      </c>
      <c r="J2019" s="139">
        <v>38</v>
      </c>
      <c r="K2019" s="143">
        <f>VLOOKUP(Purchase[[#This Row],[Product ID]],Product[#All],6,0)</f>
        <v>3398</v>
      </c>
      <c r="L2019" s="143">
        <f>Purchase[[#This Row],[Purchase Rate]]*Purchase[[#This Row],[Qty]]</f>
        <v>129124</v>
      </c>
      <c r="M2019" s="140">
        <v>0</v>
      </c>
      <c r="N2019" s="143">
        <v>0</v>
      </c>
      <c r="O2019" s="140">
        <v>0.18</v>
      </c>
      <c r="P2019" s="145">
        <f>(Purchase[[#This Row],[Gross Amount]]-Purchase[[#This Row],[Disct %]])*Purchase[[#This Row],[GST %]]</f>
        <v>23242.32</v>
      </c>
      <c r="Q2019" s="145">
        <f>Purchase[[#This Row],[Gross Amount]]-Purchase[[#This Row],[Disct Amnt]]+Purchase[[#This Row],[GST Amount]]</f>
        <v>152366.32</v>
      </c>
      <c r="R2019" s="138" t="s">
        <v>1019</v>
      </c>
      <c r="S2019" s="41">
        <f>IF(Purchase[[#This Row],[Status]]="Cancelled",0,Purchase[[#This Row],[Qty]])</f>
        <v>38</v>
      </c>
      <c r="T2019" s="146">
        <f>IF(Purchase[[#This Row],[Status]]="Cancelled",0,Purchase[[#This Row],[Total Amount]])</f>
        <v>152366.32</v>
      </c>
      <c r="U2019" s="146">
        <f>SUM(Purchase[Net Amount])</f>
        <v>814985438.68000126</v>
      </c>
    </row>
    <row r="2020" spans="1:21" ht="19.5" thickBot="1" x14ac:dyDescent="0.3">
      <c r="A2020" s="136" t="s">
        <v>3076</v>
      </c>
      <c r="B2020" s="137">
        <v>45757</v>
      </c>
      <c r="C2020" s="138" t="s">
        <v>607</v>
      </c>
      <c r="D2020" s="138" t="str">
        <f>VLOOKUP(Purchase[[#This Row],[Supplier ID]],Supplier[#All],2,0)</f>
        <v>Global Distributors</v>
      </c>
      <c r="E2020" s="138">
        <f>VLOOKUP(Purchase[[#This Row],[Supplier ID]],Supplier[#All],3,0)</f>
        <v>9689542490</v>
      </c>
      <c r="F2020" s="138" t="str">
        <f>VLOOKUP(Purchase[[#This Row],[Supplier ID]],Supplier[#All],4,0)</f>
        <v>Kanpur</v>
      </c>
      <c r="G2020" s="138" t="str">
        <f>VLOOKUP(Purchase[[#This Row],[Supplier ID]],Supplier[#All],5,0)</f>
        <v>UP</v>
      </c>
      <c r="H2020" s="138" t="str">
        <f>VLOOKUP(Purchase[[#This Row],[Supplier ID]],Supplier[#All],6,0)</f>
        <v>GST2154521T052</v>
      </c>
      <c r="I2020" s="138" t="s">
        <v>231</v>
      </c>
      <c r="J2020" s="139">
        <v>13</v>
      </c>
      <c r="K2020" s="143">
        <f>VLOOKUP(Purchase[[#This Row],[Product ID]],Product[#All],6,0)</f>
        <v>1862</v>
      </c>
      <c r="L2020" s="143">
        <f>Purchase[[#This Row],[Purchase Rate]]*Purchase[[#This Row],[Qty]]</f>
        <v>24206</v>
      </c>
      <c r="M2020" s="140">
        <v>0</v>
      </c>
      <c r="N2020" s="143">
        <v>0</v>
      </c>
      <c r="O2020" s="140">
        <v>0.18</v>
      </c>
      <c r="P2020" s="145">
        <f>(Purchase[[#This Row],[Gross Amount]]-Purchase[[#This Row],[Disct %]])*Purchase[[#This Row],[GST %]]</f>
        <v>4357.08</v>
      </c>
      <c r="Q2020" s="145">
        <f>Purchase[[#This Row],[Gross Amount]]-Purchase[[#This Row],[Disct Amnt]]+Purchase[[#This Row],[GST Amount]]</f>
        <v>28563.08</v>
      </c>
      <c r="R2020" s="138" t="s">
        <v>1019</v>
      </c>
      <c r="S2020" s="41">
        <f>IF(Purchase[[#This Row],[Status]]="Cancelled",0,Purchase[[#This Row],[Qty]])</f>
        <v>13</v>
      </c>
      <c r="T2020" s="146">
        <f>IF(Purchase[[#This Row],[Status]]="Cancelled",0,Purchase[[#This Row],[Total Amount]])</f>
        <v>28563.08</v>
      </c>
      <c r="U2020" s="146">
        <f>SUM(Purchase[Net Amount])</f>
        <v>814985438.68000126</v>
      </c>
    </row>
    <row r="2021" spans="1:21" ht="19.5" thickBot="1" x14ac:dyDescent="0.3">
      <c r="A2021" s="136" t="s">
        <v>3077</v>
      </c>
      <c r="B2021" s="137">
        <v>45757</v>
      </c>
      <c r="C2021" s="138" t="s">
        <v>591</v>
      </c>
      <c r="D2021" s="138" t="str">
        <f>VLOOKUP(Purchase[[#This Row],[Supplier ID]],Supplier[#All],2,0)</f>
        <v>Shree Computers</v>
      </c>
      <c r="E2021" s="138">
        <f>VLOOKUP(Purchase[[#This Row],[Supplier ID]],Supplier[#All],3,0)</f>
        <v>9689542475</v>
      </c>
      <c r="F2021" s="138" t="str">
        <f>VLOOKUP(Purchase[[#This Row],[Supplier ID]],Supplier[#All],4,0)</f>
        <v>Indore</v>
      </c>
      <c r="G2021" s="138" t="str">
        <f>VLOOKUP(Purchase[[#This Row],[Supplier ID]],Supplier[#All],5,0)</f>
        <v>MP</v>
      </c>
      <c r="H2021" s="138" t="str">
        <f>VLOOKUP(Purchase[[#This Row],[Supplier ID]],Supplier[#All],6,0)</f>
        <v>GST2154521T037</v>
      </c>
      <c r="I2021" s="138" t="s">
        <v>107</v>
      </c>
      <c r="J2021" s="139">
        <v>15</v>
      </c>
      <c r="K2021" s="143">
        <f>VLOOKUP(Purchase[[#This Row],[Product ID]],Product[#All],6,0)</f>
        <v>11599</v>
      </c>
      <c r="L2021" s="143">
        <f>Purchase[[#This Row],[Purchase Rate]]*Purchase[[#This Row],[Qty]]</f>
        <v>173985</v>
      </c>
      <c r="M2021" s="140">
        <v>0</v>
      </c>
      <c r="N2021" s="143">
        <v>0</v>
      </c>
      <c r="O2021" s="140">
        <v>0.18</v>
      </c>
      <c r="P2021" s="145">
        <f>(Purchase[[#This Row],[Gross Amount]]-Purchase[[#This Row],[Disct %]])*Purchase[[#This Row],[GST %]]</f>
        <v>31317.3</v>
      </c>
      <c r="Q2021" s="145">
        <f>Purchase[[#This Row],[Gross Amount]]-Purchase[[#This Row],[Disct Amnt]]+Purchase[[#This Row],[GST Amount]]</f>
        <v>205302.3</v>
      </c>
      <c r="R2021" s="138" t="s">
        <v>1019</v>
      </c>
      <c r="S2021" s="41">
        <f>IF(Purchase[[#This Row],[Status]]="Cancelled",0,Purchase[[#This Row],[Qty]])</f>
        <v>15</v>
      </c>
      <c r="T2021" s="146">
        <f>IF(Purchase[[#This Row],[Status]]="Cancelled",0,Purchase[[#This Row],[Total Amount]])</f>
        <v>205302.3</v>
      </c>
      <c r="U2021" s="146">
        <f>SUM(Purchase[Net Amount])</f>
        <v>814985438.68000126</v>
      </c>
    </row>
    <row r="2022" spans="1:21" ht="19.5" thickBot="1" x14ac:dyDescent="0.3">
      <c r="A2022" s="136" t="s">
        <v>3078</v>
      </c>
      <c r="B2022" s="137">
        <v>45757</v>
      </c>
      <c r="C2022" s="138" t="s">
        <v>8748</v>
      </c>
      <c r="D2022" s="138" t="str">
        <f>VLOOKUP(Purchase[[#This Row],[Supplier ID]],Supplier[#All],2,0)</f>
        <v>Global Computers</v>
      </c>
      <c r="E2022" s="138">
        <f>VLOOKUP(Purchase[[#This Row],[Supplier ID]],Supplier[#All],3,0)</f>
        <v>9689542459</v>
      </c>
      <c r="F2022" s="138" t="str">
        <f>VLOOKUP(Purchase[[#This Row],[Supplier ID]],Supplier[#All],4,0)</f>
        <v>Indore</v>
      </c>
      <c r="G2022" s="138" t="str">
        <f>VLOOKUP(Purchase[[#This Row],[Supplier ID]],Supplier[#All],5,0)</f>
        <v>MP</v>
      </c>
      <c r="H2022" s="138" t="str">
        <f>VLOOKUP(Purchase[[#This Row],[Supplier ID]],Supplier[#All],6,0)</f>
        <v>GST2154521T021</v>
      </c>
      <c r="I2022" s="138" t="s">
        <v>449</v>
      </c>
      <c r="J2022" s="139">
        <v>35</v>
      </c>
      <c r="K2022" s="143">
        <f>VLOOKUP(Purchase[[#This Row],[Product ID]],Product[#All],6,0)</f>
        <v>16570</v>
      </c>
      <c r="L2022" s="143">
        <f>Purchase[[#This Row],[Purchase Rate]]*Purchase[[#This Row],[Qty]]</f>
        <v>579950</v>
      </c>
      <c r="M2022" s="140">
        <v>0</v>
      </c>
      <c r="N2022" s="143">
        <v>0</v>
      </c>
      <c r="O2022" s="140">
        <v>0.18</v>
      </c>
      <c r="P2022" s="145">
        <f>(Purchase[[#This Row],[Gross Amount]]-Purchase[[#This Row],[Disct %]])*Purchase[[#This Row],[GST %]]</f>
        <v>104391</v>
      </c>
      <c r="Q2022" s="145">
        <f>Purchase[[#This Row],[Gross Amount]]-Purchase[[#This Row],[Disct Amnt]]+Purchase[[#This Row],[GST Amount]]</f>
        <v>684341</v>
      </c>
      <c r="R2022" s="138" t="s">
        <v>1019</v>
      </c>
      <c r="S2022" s="41">
        <f>IF(Purchase[[#This Row],[Status]]="Cancelled",0,Purchase[[#This Row],[Qty]])</f>
        <v>35</v>
      </c>
      <c r="T2022" s="146">
        <f>IF(Purchase[[#This Row],[Status]]="Cancelled",0,Purchase[[#This Row],[Total Amount]])</f>
        <v>684341</v>
      </c>
      <c r="U2022" s="146">
        <f>SUM(Purchase[Net Amount])</f>
        <v>814985438.68000126</v>
      </c>
    </row>
    <row r="2023" spans="1:21" ht="19.5" thickBot="1" x14ac:dyDescent="0.3">
      <c r="A2023" s="136" t="s">
        <v>3079</v>
      </c>
      <c r="B2023" s="137">
        <v>45757</v>
      </c>
      <c r="C2023" s="138" t="s">
        <v>601</v>
      </c>
      <c r="D2023" s="138" t="str">
        <f>VLOOKUP(Purchase[[#This Row],[Supplier ID]],Supplier[#All],2,0)</f>
        <v>Maa Distributors</v>
      </c>
      <c r="E2023" s="138">
        <f>VLOOKUP(Purchase[[#This Row],[Supplier ID]],Supplier[#All],3,0)</f>
        <v>9689542484</v>
      </c>
      <c r="F2023" s="138" t="str">
        <f>VLOOKUP(Purchase[[#This Row],[Supplier ID]],Supplier[#All],4,0)</f>
        <v>Indore</v>
      </c>
      <c r="G2023" s="138" t="str">
        <f>VLOOKUP(Purchase[[#This Row],[Supplier ID]],Supplier[#All],5,0)</f>
        <v>MP</v>
      </c>
      <c r="H2023" s="138" t="str">
        <f>VLOOKUP(Purchase[[#This Row],[Supplier ID]],Supplier[#All],6,0)</f>
        <v>GST2154521T046</v>
      </c>
      <c r="I2023" s="138" t="s">
        <v>183</v>
      </c>
      <c r="J2023" s="139">
        <v>17</v>
      </c>
      <c r="K2023" s="143">
        <f>VLOOKUP(Purchase[[#This Row],[Product ID]],Product[#All],6,0)</f>
        <v>1270</v>
      </c>
      <c r="L2023" s="143">
        <f>Purchase[[#This Row],[Purchase Rate]]*Purchase[[#This Row],[Qty]]</f>
        <v>21590</v>
      </c>
      <c r="M2023" s="140">
        <v>0</v>
      </c>
      <c r="N2023" s="143">
        <v>0</v>
      </c>
      <c r="O2023" s="140">
        <v>0.18</v>
      </c>
      <c r="P2023" s="145">
        <f>(Purchase[[#This Row],[Gross Amount]]-Purchase[[#This Row],[Disct %]])*Purchase[[#This Row],[GST %]]</f>
        <v>3886.2</v>
      </c>
      <c r="Q2023" s="145">
        <f>Purchase[[#This Row],[Gross Amount]]-Purchase[[#This Row],[Disct Amnt]]+Purchase[[#This Row],[GST Amount]]</f>
        <v>25476.2</v>
      </c>
      <c r="R2023" s="138" t="s">
        <v>1019</v>
      </c>
      <c r="S2023" s="41">
        <f>IF(Purchase[[#This Row],[Status]]="Cancelled",0,Purchase[[#This Row],[Qty]])</f>
        <v>17</v>
      </c>
      <c r="T2023" s="146">
        <f>IF(Purchase[[#This Row],[Status]]="Cancelled",0,Purchase[[#This Row],[Total Amount]])</f>
        <v>25476.2</v>
      </c>
      <c r="U2023" s="146">
        <f>SUM(Purchase[Net Amount])</f>
        <v>814985438.68000126</v>
      </c>
    </row>
    <row r="2024" spans="1:21" ht="19.5" thickBot="1" x14ac:dyDescent="0.3">
      <c r="A2024" s="136" t="s">
        <v>3080</v>
      </c>
      <c r="B2024" s="137">
        <v>45757</v>
      </c>
      <c r="C2024" s="138" t="s">
        <v>575</v>
      </c>
      <c r="D2024" s="138" t="str">
        <f>VLOOKUP(Purchase[[#This Row],[Supplier ID]],Supplier[#All],2,0)</f>
        <v>Global Computers</v>
      </c>
      <c r="E2024" s="138">
        <f>VLOOKUP(Purchase[[#This Row],[Supplier ID]],Supplier[#All],3,0)</f>
        <v>9689542459</v>
      </c>
      <c r="F2024" s="138" t="str">
        <f>VLOOKUP(Purchase[[#This Row],[Supplier ID]],Supplier[#All],4,0)</f>
        <v>Indore</v>
      </c>
      <c r="G2024" s="138" t="str">
        <f>VLOOKUP(Purchase[[#This Row],[Supplier ID]],Supplier[#All],5,0)</f>
        <v>MP</v>
      </c>
      <c r="H2024" s="138" t="str">
        <f>VLOOKUP(Purchase[[#This Row],[Supplier ID]],Supplier[#All],6,0)</f>
        <v>GST2154521T021</v>
      </c>
      <c r="I2024" s="138" t="s">
        <v>300</v>
      </c>
      <c r="J2024" s="139">
        <v>9</v>
      </c>
      <c r="K2024" s="143">
        <f>VLOOKUP(Purchase[[#This Row],[Product ID]],Product[#All],6,0)</f>
        <v>8629</v>
      </c>
      <c r="L2024" s="143">
        <f>Purchase[[#This Row],[Purchase Rate]]*Purchase[[#This Row],[Qty]]</f>
        <v>77661</v>
      </c>
      <c r="M2024" s="140">
        <v>0</v>
      </c>
      <c r="N2024" s="143">
        <v>0</v>
      </c>
      <c r="O2024" s="140">
        <v>0.18</v>
      </c>
      <c r="P2024" s="145">
        <f>(Purchase[[#This Row],[Gross Amount]]-Purchase[[#This Row],[Disct %]])*Purchase[[#This Row],[GST %]]</f>
        <v>13978.98</v>
      </c>
      <c r="Q2024" s="145">
        <f>Purchase[[#This Row],[Gross Amount]]-Purchase[[#This Row],[Disct Amnt]]+Purchase[[#This Row],[GST Amount]]</f>
        <v>91639.98</v>
      </c>
      <c r="R2024" s="138" t="s">
        <v>1019</v>
      </c>
      <c r="S2024" s="41">
        <f>IF(Purchase[[#This Row],[Status]]="Cancelled",0,Purchase[[#This Row],[Qty]])</f>
        <v>9</v>
      </c>
      <c r="T2024" s="146">
        <f>IF(Purchase[[#This Row],[Status]]="Cancelled",0,Purchase[[#This Row],[Total Amount]])</f>
        <v>91639.98</v>
      </c>
      <c r="U2024" s="146">
        <f>SUM(Purchase[Net Amount])</f>
        <v>814985438.68000126</v>
      </c>
    </row>
    <row r="2025" spans="1:21" ht="19.5" thickBot="1" x14ac:dyDescent="0.3">
      <c r="A2025" s="136" t="s">
        <v>3081</v>
      </c>
      <c r="B2025" s="137">
        <v>45757</v>
      </c>
      <c r="C2025" s="138" t="s">
        <v>576</v>
      </c>
      <c r="D2025" s="138" t="str">
        <f>VLOOKUP(Purchase[[#This Row],[Supplier ID]],Supplier[#All],2,0)</f>
        <v>Maa Distributors</v>
      </c>
      <c r="E2025" s="138">
        <f>VLOOKUP(Purchase[[#This Row],[Supplier ID]],Supplier[#All],3,0)</f>
        <v>9689542460</v>
      </c>
      <c r="F2025" s="138" t="str">
        <f>VLOOKUP(Purchase[[#This Row],[Supplier ID]],Supplier[#All],4,0)</f>
        <v>Korba</v>
      </c>
      <c r="G2025" s="138" t="str">
        <f>VLOOKUP(Purchase[[#This Row],[Supplier ID]],Supplier[#All],5,0)</f>
        <v>CG</v>
      </c>
      <c r="H2025" s="138" t="str">
        <f>VLOOKUP(Purchase[[#This Row],[Supplier ID]],Supplier[#All],6,0)</f>
        <v>GST2154521T022</v>
      </c>
      <c r="I2025" s="138" t="s">
        <v>231</v>
      </c>
      <c r="J2025" s="139">
        <v>27</v>
      </c>
      <c r="K2025" s="143">
        <f>VLOOKUP(Purchase[[#This Row],[Product ID]],Product[#All],6,0)</f>
        <v>1862</v>
      </c>
      <c r="L2025" s="143">
        <f>Purchase[[#This Row],[Purchase Rate]]*Purchase[[#This Row],[Qty]]</f>
        <v>50274</v>
      </c>
      <c r="M2025" s="140">
        <v>0</v>
      </c>
      <c r="N2025" s="143">
        <v>0</v>
      </c>
      <c r="O2025" s="140">
        <v>0.18</v>
      </c>
      <c r="P2025" s="145">
        <f>(Purchase[[#This Row],[Gross Amount]]-Purchase[[#This Row],[Disct %]])*Purchase[[#This Row],[GST %]]</f>
        <v>9049.32</v>
      </c>
      <c r="Q2025" s="145">
        <f>Purchase[[#This Row],[Gross Amount]]-Purchase[[#This Row],[Disct Amnt]]+Purchase[[#This Row],[GST Amount]]</f>
        <v>59323.32</v>
      </c>
      <c r="R2025" s="138" t="s">
        <v>1040</v>
      </c>
      <c r="S2025" s="41">
        <f>IF(Purchase[[#This Row],[Status]]="Cancelled",0,Purchase[[#This Row],[Qty]])</f>
        <v>0</v>
      </c>
      <c r="T2025" s="146">
        <f>IF(Purchase[[#This Row],[Status]]="Cancelled",0,Purchase[[#This Row],[Total Amount]])</f>
        <v>0</v>
      </c>
      <c r="U2025" s="146">
        <f>SUM(Purchase[Net Amount])</f>
        <v>814985438.68000126</v>
      </c>
    </row>
    <row r="2026" spans="1:21" ht="19.5" thickBot="1" x14ac:dyDescent="0.3">
      <c r="A2026" s="136" t="s">
        <v>3082</v>
      </c>
      <c r="B2026" s="137">
        <v>45757</v>
      </c>
      <c r="C2026" s="138" t="s">
        <v>587</v>
      </c>
      <c r="D2026" s="138" t="str">
        <f>VLOOKUP(Purchase[[#This Row],[Supplier ID]],Supplier[#All],2,0)</f>
        <v>maa distributors</v>
      </c>
      <c r="E2026" s="138">
        <f>VLOOKUP(Purchase[[#This Row],[Supplier ID]],Supplier[#All],3,0)</f>
        <v>9689542479</v>
      </c>
      <c r="F2026" s="138" t="str">
        <f>VLOOKUP(Purchase[[#This Row],[Supplier ID]],Supplier[#All],4,0)</f>
        <v>Indore</v>
      </c>
      <c r="G2026" s="138" t="str">
        <f>VLOOKUP(Purchase[[#This Row],[Supplier ID]],Supplier[#All],5,0)</f>
        <v>MP</v>
      </c>
      <c r="H2026" s="138" t="str">
        <f>VLOOKUP(Purchase[[#This Row],[Supplier ID]],Supplier[#All],6,0)</f>
        <v>GST2154521T033</v>
      </c>
      <c r="I2026" s="138" t="s">
        <v>349</v>
      </c>
      <c r="J2026" s="139">
        <v>7</v>
      </c>
      <c r="K2026" s="143">
        <f>VLOOKUP(Purchase[[#This Row],[Product ID]],Product[#All],6,0)</f>
        <v>8796</v>
      </c>
      <c r="L2026" s="143">
        <f>Purchase[[#This Row],[Purchase Rate]]*Purchase[[#This Row],[Qty]]</f>
        <v>61572</v>
      </c>
      <c r="M2026" s="140">
        <v>0</v>
      </c>
      <c r="N2026" s="143">
        <v>0</v>
      </c>
      <c r="O2026" s="140">
        <v>0.18</v>
      </c>
      <c r="P2026" s="145">
        <f>(Purchase[[#This Row],[Gross Amount]]-Purchase[[#This Row],[Disct %]])*Purchase[[#This Row],[GST %]]</f>
        <v>11082.96</v>
      </c>
      <c r="Q2026" s="145">
        <f>Purchase[[#This Row],[Gross Amount]]-Purchase[[#This Row],[Disct Amnt]]+Purchase[[#This Row],[GST Amount]]</f>
        <v>72654.959999999992</v>
      </c>
      <c r="R2026" s="138" t="s">
        <v>1019</v>
      </c>
      <c r="S2026" s="41">
        <f>IF(Purchase[[#This Row],[Status]]="Cancelled",0,Purchase[[#This Row],[Qty]])</f>
        <v>7</v>
      </c>
      <c r="T2026" s="146">
        <f>IF(Purchase[[#This Row],[Status]]="Cancelled",0,Purchase[[#This Row],[Total Amount]])</f>
        <v>72654.959999999992</v>
      </c>
      <c r="U2026" s="146">
        <f>SUM(Purchase[Net Amount])</f>
        <v>814985438.68000126</v>
      </c>
    </row>
    <row r="2027" spans="1:21" ht="19.5" thickBot="1" x14ac:dyDescent="0.3">
      <c r="A2027" s="136" t="s">
        <v>3083</v>
      </c>
      <c r="B2027" s="137">
        <v>45757</v>
      </c>
      <c r="C2027" s="138" t="s">
        <v>566</v>
      </c>
      <c r="D2027" s="138" t="str">
        <f>VLOOKUP(Purchase[[#This Row],[Supplier ID]],Supplier[#All],2,0)</f>
        <v>Maa Computers</v>
      </c>
      <c r="E2027" s="138">
        <f>VLOOKUP(Purchase[[#This Row],[Supplier ID]],Supplier[#All],3,0)</f>
        <v>9689542452</v>
      </c>
      <c r="F2027" s="138" t="str">
        <f>VLOOKUP(Purchase[[#This Row],[Supplier ID]],Supplier[#All],4,0)</f>
        <v>Kanpur</v>
      </c>
      <c r="G2027" s="138" t="str">
        <f>VLOOKUP(Purchase[[#This Row],[Supplier ID]],Supplier[#All],5,0)</f>
        <v>UP</v>
      </c>
      <c r="H2027" s="138" t="str">
        <f>VLOOKUP(Purchase[[#This Row],[Supplier ID]],Supplier[#All],6,0)</f>
        <v>GST2154521T014</v>
      </c>
      <c r="I2027" s="138" t="s">
        <v>536</v>
      </c>
      <c r="J2027" s="139">
        <v>16</v>
      </c>
      <c r="K2027" s="143">
        <f>VLOOKUP(Purchase[[#This Row],[Product ID]],Product[#All],6,0)</f>
        <v>961</v>
      </c>
      <c r="L2027" s="143">
        <f>Purchase[[#This Row],[Purchase Rate]]*Purchase[[#This Row],[Qty]]</f>
        <v>15376</v>
      </c>
      <c r="M2027" s="140">
        <v>0</v>
      </c>
      <c r="N2027" s="143">
        <v>0</v>
      </c>
      <c r="O2027" s="140">
        <v>0.18</v>
      </c>
      <c r="P2027" s="145">
        <f>(Purchase[[#This Row],[Gross Amount]]-Purchase[[#This Row],[Disct %]])*Purchase[[#This Row],[GST %]]</f>
        <v>2767.68</v>
      </c>
      <c r="Q2027" s="145">
        <f>Purchase[[#This Row],[Gross Amount]]-Purchase[[#This Row],[Disct Amnt]]+Purchase[[#This Row],[GST Amount]]</f>
        <v>18143.68</v>
      </c>
      <c r="R2027" s="138" t="s">
        <v>1019</v>
      </c>
      <c r="S2027" s="41">
        <f>IF(Purchase[[#This Row],[Status]]="Cancelled",0,Purchase[[#This Row],[Qty]])</f>
        <v>16</v>
      </c>
      <c r="T2027" s="146">
        <f>IF(Purchase[[#This Row],[Status]]="Cancelled",0,Purchase[[#This Row],[Total Amount]])</f>
        <v>18143.68</v>
      </c>
      <c r="U2027" s="146">
        <f>SUM(Purchase[Net Amount])</f>
        <v>814985438.68000126</v>
      </c>
    </row>
    <row r="2028" spans="1:21" ht="19.5" thickBot="1" x14ac:dyDescent="0.3">
      <c r="A2028" s="136" t="s">
        <v>3084</v>
      </c>
      <c r="B2028" s="137">
        <v>45757</v>
      </c>
      <c r="C2028" s="138" t="s">
        <v>570</v>
      </c>
      <c r="D2028" s="138" t="str">
        <f>VLOOKUP(Purchase[[#This Row],[Supplier ID]],Supplier[#All],2,0)</f>
        <v>Prime Traders</v>
      </c>
      <c r="E2028" s="138">
        <f>VLOOKUP(Purchase[[#This Row],[Supplier ID]],Supplier[#All],3,0)</f>
        <v>9689542456</v>
      </c>
      <c r="F2028" s="138" t="str">
        <f>VLOOKUP(Purchase[[#This Row],[Supplier ID]],Supplier[#All],4,0)</f>
        <v>Indore</v>
      </c>
      <c r="G2028" s="138" t="str">
        <f>VLOOKUP(Purchase[[#This Row],[Supplier ID]],Supplier[#All],5,0)</f>
        <v>MP</v>
      </c>
      <c r="H2028" s="138" t="str">
        <f>VLOOKUP(Purchase[[#This Row],[Supplier ID]],Supplier[#All],6,0)</f>
        <v>GST2154521T018</v>
      </c>
      <c r="I2028" s="138" t="s">
        <v>311</v>
      </c>
      <c r="J2028" s="139">
        <v>19</v>
      </c>
      <c r="K2028" s="143">
        <f>VLOOKUP(Purchase[[#This Row],[Product ID]],Product[#All],6,0)</f>
        <v>471</v>
      </c>
      <c r="L2028" s="143">
        <f>Purchase[[#This Row],[Purchase Rate]]*Purchase[[#This Row],[Qty]]</f>
        <v>8949</v>
      </c>
      <c r="M2028" s="140">
        <v>0</v>
      </c>
      <c r="N2028" s="143">
        <v>0</v>
      </c>
      <c r="O2028" s="140">
        <v>0.18</v>
      </c>
      <c r="P2028" s="145">
        <f>(Purchase[[#This Row],[Gross Amount]]-Purchase[[#This Row],[Disct %]])*Purchase[[#This Row],[GST %]]</f>
        <v>1610.82</v>
      </c>
      <c r="Q2028" s="145">
        <f>Purchase[[#This Row],[Gross Amount]]-Purchase[[#This Row],[Disct Amnt]]+Purchase[[#This Row],[GST Amount]]</f>
        <v>10559.82</v>
      </c>
      <c r="R2028" s="138" t="s">
        <v>1019</v>
      </c>
      <c r="S2028" s="41">
        <f>IF(Purchase[[#This Row],[Status]]="Cancelled",0,Purchase[[#This Row],[Qty]])</f>
        <v>19</v>
      </c>
      <c r="T2028" s="146">
        <f>IF(Purchase[[#This Row],[Status]]="Cancelled",0,Purchase[[#This Row],[Total Amount]])</f>
        <v>10559.82</v>
      </c>
      <c r="U2028" s="146">
        <f>SUM(Purchase[Net Amount])</f>
        <v>814985438.68000126</v>
      </c>
    </row>
    <row r="2029" spans="1:21" ht="19.5" thickBot="1" x14ac:dyDescent="0.3">
      <c r="A2029" s="136" t="s">
        <v>3085</v>
      </c>
      <c r="B2029" s="137">
        <v>45757</v>
      </c>
      <c r="C2029" s="138" t="s">
        <v>609</v>
      </c>
      <c r="D2029" s="138" t="str">
        <f>VLOOKUP(Purchase[[#This Row],[Supplier ID]],Supplier[#All],2,0)</f>
        <v>Star Suppliers</v>
      </c>
      <c r="E2029" s="138">
        <f>VLOOKUP(Purchase[[#This Row],[Supplier ID]],Supplier[#All],3,0)</f>
        <v>9689542492</v>
      </c>
      <c r="F2029" s="138" t="str">
        <f>VLOOKUP(Purchase[[#This Row],[Supplier ID]],Supplier[#All],4,0)</f>
        <v>Kanpur</v>
      </c>
      <c r="G2029" s="138" t="str">
        <f>VLOOKUP(Purchase[[#This Row],[Supplier ID]],Supplier[#All],5,0)</f>
        <v>UP</v>
      </c>
      <c r="H2029" s="138" t="str">
        <f>VLOOKUP(Purchase[[#This Row],[Supplier ID]],Supplier[#All],6,0)</f>
        <v>GST2154521T054</v>
      </c>
      <c r="I2029" s="138" t="s">
        <v>326</v>
      </c>
      <c r="J2029" s="139">
        <v>29</v>
      </c>
      <c r="K2029" s="143">
        <f>VLOOKUP(Purchase[[#This Row],[Product ID]],Product[#All],6,0)</f>
        <v>6904</v>
      </c>
      <c r="L2029" s="143">
        <f>Purchase[[#This Row],[Purchase Rate]]*Purchase[[#This Row],[Qty]]</f>
        <v>200216</v>
      </c>
      <c r="M2029" s="140">
        <v>0</v>
      </c>
      <c r="N2029" s="143">
        <v>0</v>
      </c>
      <c r="O2029" s="140">
        <v>0.18</v>
      </c>
      <c r="P2029" s="145">
        <f>(Purchase[[#This Row],[Gross Amount]]-Purchase[[#This Row],[Disct %]])*Purchase[[#This Row],[GST %]]</f>
        <v>36038.879999999997</v>
      </c>
      <c r="Q2029" s="145">
        <f>Purchase[[#This Row],[Gross Amount]]-Purchase[[#This Row],[Disct Amnt]]+Purchase[[#This Row],[GST Amount]]</f>
        <v>236254.88</v>
      </c>
      <c r="R2029" s="138" t="s">
        <v>1040</v>
      </c>
      <c r="S2029" s="41">
        <f>IF(Purchase[[#This Row],[Status]]="Cancelled",0,Purchase[[#This Row],[Qty]])</f>
        <v>0</v>
      </c>
      <c r="T2029" s="146">
        <f>IF(Purchase[[#This Row],[Status]]="Cancelled",0,Purchase[[#This Row],[Total Amount]])</f>
        <v>0</v>
      </c>
      <c r="U2029" s="146">
        <f>SUM(Purchase[Net Amount])</f>
        <v>814985438.68000126</v>
      </c>
    </row>
    <row r="2030" spans="1:21" ht="19.5" thickBot="1" x14ac:dyDescent="0.3">
      <c r="A2030" s="136" t="s">
        <v>3086</v>
      </c>
      <c r="B2030" s="137">
        <v>45757</v>
      </c>
      <c r="C2030" s="138" t="s">
        <v>611</v>
      </c>
      <c r="D2030" s="138" t="str">
        <f>VLOOKUP(Purchase[[#This Row],[Supplier ID]],Supplier[#All],2,0)</f>
        <v>National Distributors</v>
      </c>
      <c r="E2030" s="138">
        <f>VLOOKUP(Purchase[[#This Row],[Supplier ID]],Supplier[#All],3,0)</f>
        <v>9689542494</v>
      </c>
      <c r="F2030" s="138" t="str">
        <f>VLOOKUP(Purchase[[#This Row],[Supplier ID]],Supplier[#All],4,0)</f>
        <v>Korba</v>
      </c>
      <c r="G2030" s="138" t="str">
        <f>VLOOKUP(Purchase[[#This Row],[Supplier ID]],Supplier[#All],5,0)</f>
        <v>CG</v>
      </c>
      <c r="H2030" s="138" t="str">
        <f>VLOOKUP(Purchase[[#This Row],[Supplier ID]],Supplier[#All],6,0)</f>
        <v>GST2154521T056</v>
      </c>
      <c r="I2030" s="138" t="s">
        <v>291</v>
      </c>
      <c r="J2030" s="139">
        <v>28</v>
      </c>
      <c r="K2030" s="143">
        <f>VLOOKUP(Purchase[[#This Row],[Product ID]],Product[#All],6,0)</f>
        <v>9494</v>
      </c>
      <c r="L2030" s="143">
        <f>Purchase[[#This Row],[Purchase Rate]]*Purchase[[#This Row],[Qty]]</f>
        <v>265832</v>
      </c>
      <c r="M2030" s="140">
        <v>0</v>
      </c>
      <c r="N2030" s="143">
        <v>0</v>
      </c>
      <c r="O2030" s="140">
        <v>0.18</v>
      </c>
      <c r="P2030" s="145">
        <f>(Purchase[[#This Row],[Gross Amount]]-Purchase[[#This Row],[Disct %]])*Purchase[[#This Row],[GST %]]</f>
        <v>47849.759999999995</v>
      </c>
      <c r="Q2030" s="145">
        <f>Purchase[[#This Row],[Gross Amount]]-Purchase[[#This Row],[Disct Amnt]]+Purchase[[#This Row],[GST Amount]]</f>
        <v>313681.76</v>
      </c>
      <c r="R2030" s="138" t="s">
        <v>1019</v>
      </c>
      <c r="S2030" s="41">
        <f>IF(Purchase[[#This Row],[Status]]="Cancelled",0,Purchase[[#This Row],[Qty]])</f>
        <v>28</v>
      </c>
      <c r="T2030" s="146">
        <f>IF(Purchase[[#This Row],[Status]]="Cancelled",0,Purchase[[#This Row],[Total Amount]])</f>
        <v>313681.76</v>
      </c>
      <c r="U2030" s="146">
        <f>SUM(Purchase[Net Amount])</f>
        <v>814985438.68000126</v>
      </c>
    </row>
    <row r="2031" spans="1:21" ht="19.5" thickBot="1" x14ac:dyDescent="0.3">
      <c r="A2031" s="136" t="s">
        <v>3087</v>
      </c>
      <c r="B2031" s="137">
        <v>45757</v>
      </c>
      <c r="C2031" s="138" t="s">
        <v>605</v>
      </c>
      <c r="D2031" s="138" t="str">
        <f>VLOOKUP(Purchase[[#This Row],[Supplier ID]],Supplier[#All],2,0)</f>
        <v>Star Traders</v>
      </c>
      <c r="E2031" s="138">
        <f>VLOOKUP(Purchase[[#This Row],[Supplier ID]],Supplier[#All],3,0)</f>
        <v>9689542488</v>
      </c>
      <c r="F2031" s="138" t="str">
        <f>VLOOKUP(Purchase[[#This Row],[Supplier ID]],Supplier[#All],4,0)</f>
        <v>Indore</v>
      </c>
      <c r="G2031" s="138" t="str">
        <f>VLOOKUP(Purchase[[#This Row],[Supplier ID]],Supplier[#All],5,0)</f>
        <v>MP</v>
      </c>
      <c r="H2031" s="138" t="str">
        <f>VLOOKUP(Purchase[[#This Row],[Supplier ID]],Supplier[#All],6,0)</f>
        <v>GST2154521T050</v>
      </c>
      <c r="I2031" s="138" t="s">
        <v>47</v>
      </c>
      <c r="J2031" s="139">
        <v>3</v>
      </c>
      <c r="K2031" s="143">
        <f>VLOOKUP(Purchase[[#This Row],[Product ID]],Product[#All],6,0)</f>
        <v>723</v>
      </c>
      <c r="L2031" s="143">
        <f>Purchase[[#This Row],[Purchase Rate]]*Purchase[[#This Row],[Qty]]</f>
        <v>2169</v>
      </c>
      <c r="M2031" s="140">
        <v>0</v>
      </c>
      <c r="N2031" s="143">
        <v>0</v>
      </c>
      <c r="O2031" s="140">
        <v>0.18</v>
      </c>
      <c r="P2031" s="145">
        <f>(Purchase[[#This Row],[Gross Amount]]-Purchase[[#This Row],[Disct %]])*Purchase[[#This Row],[GST %]]</f>
        <v>390.41999999999996</v>
      </c>
      <c r="Q2031" s="145">
        <f>Purchase[[#This Row],[Gross Amount]]-Purchase[[#This Row],[Disct Amnt]]+Purchase[[#This Row],[GST Amount]]</f>
        <v>2559.42</v>
      </c>
      <c r="R2031" s="138" t="s">
        <v>1019</v>
      </c>
      <c r="S2031" s="41">
        <f>IF(Purchase[[#This Row],[Status]]="Cancelled",0,Purchase[[#This Row],[Qty]])</f>
        <v>3</v>
      </c>
      <c r="T2031" s="146">
        <f>IF(Purchase[[#This Row],[Status]]="Cancelled",0,Purchase[[#This Row],[Total Amount]])</f>
        <v>2559.42</v>
      </c>
      <c r="U2031" s="146">
        <f>SUM(Purchase[Net Amount])</f>
        <v>814985438.68000126</v>
      </c>
    </row>
    <row r="2032" spans="1:21" ht="19.5" thickBot="1" x14ac:dyDescent="0.3">
      <c r="A2032" s="136" t="s">
        <v>3088</v>
      </c>
      <c r="B2032" s="137">
        <v>45757</v>
      </c>
      <c r="C2032" s="138" t="s">
        <v>589</v>
      </c>
      <c r="D2032" s="138" t="str">
        <f>VLOOKUP(Purchase[[#This Row],[Supplier ID]],Supplier[#All],2,0)</f>
        <v>Maa Computers</v>
      </c>
      <c r="E2032" s="138">
        <f>VLOOKUP(Purchase[[#This Row],[Supplier ID]],Supplier[#All],3,0)</f>
        <v>9689542473</v>
      </c>
      <c r="F2032" s="138" t="str">
        <f>VLOOKUP(Purchase[[#This Row],[Supplier ID]],Supplier[#All],4,0)</f>
        <v>Kanpur</v>
      </c>
      <c r="G2032" s="138" t="str">
        <f>VLOOKUP(Purchase[[#This Row],[Supplier ID]],Supplier[#All],5,0)</f>
        <v>UP</v>
      </c>
      <c r="H2032" s="138" t="str">
        <f>VLOOKUP(Purchase[[#This Row],[Supplier ID]],Supplier[#All],6,0)</f>
        <v>GST2154521T035</v>
      </c>
      <c r="I2032" s="138" t="s">
        <v>77</v>
      </c>
      <c r="J2032" s="139">
        <v>36</v>
      </c>
      <c r="K2032" s="143">
        <f>VLOOKUP(Purchase[[#This Row],[Product ID]],Product[#All],6,0)</f>
        <v>2282</v>
      </c>
      <c r="L2032" s="143">
        <f>Purchase[[#This Row],[Purchase Rate]]*Purchase[[#This Row],[Qty]]</f>
        <v>82152</v>
      </c>
      <c r="M2032" s="140">
        <v>0</v>
      </c>
      <c r="N2032" s="143">
        <v>0</v>
      </c>
      <c r="O2032" s="140">
        <v>0.18</v>
      </c>
      <c r="P2032" s="145">
        <f>(Purchase[[#This Row],[Gross Amount]]-Purchase[[#This Row],[Disct %]])*Purchase[[#This Row],[GST %]]</f>
        <v>14787.359999999999</v>
      </c>
      <c r="Q2032" s="145">
        <f>Purchase[[#This Row],[Gross Amount]]-Purchase[[#This Row],[Disct Amnt]]+Purchase[[#This Row],[GST Amount]]</f>
        <v>96939.36</v>
      </c>
      <c r="R2032" s="138" t="s">
        <v>1019</v>
      </c>
      <c r="S2032" s="41">
        <f>IF(Purchase[[#This Row],[Status]]="Cancelled",0,Purchase[[#This Row],[Qty]])</f>
        <v>36</v>
      </c>
      <c r="T2032" s="146">
        <f>IF(Purchase[[#This Row],[Status]]="Cancelled",0,Purchase[[#This Row],[Total Amount]])</f>
        <v>96939.36</v>
      </c>
      <c r="U2032" s="146">
        <f>SUM(Purchase[Net Amount])</f>
        <v>814985438.68000126</v>
      </c>
    </row>
    <row r="2033" spans="1:21" ht="19.5" thickBot="1" x14ac:dyDescent="0.3">
      <c r="A2033" s="136" t="s">
        <v>3089</v>
      </c>
      <c r="B2033" s="137">
        <v>45757</v>
      </c>
      <c r="C2033" s="138" t="s">
        <v>575</v>
      </c>
      <c r="D2033" s="138" t="str">
        <f>VLOOKUP(Purchase[[#This Row],[Supplier ID]],Supplier[#All],2,0)</f>
        <v>Global Computers</v>
      </c>
      <c r="E2033" s="138">
        <f>VLOOKUP(Purchase[[#This Row],[Supplier ID]],Supplier[#All],3,0)</f>
        <v>9689542459</v>
      </c>
      <c r="F2033" s="138" t="str">
        <f>VLOOKUP(Purchase[[#This Row],[Supplier ID]],Supplier[#All],4,0)</f>
        <v>Indore</v>
      </c>
      <c r="G2033" s="138" t="str">
        <f>VLOOKUP(Purchase[[#This Row],[Supplier ID]],Supplier[#All],5,0)</f>
        <v>MP</v>
      </c>
      <c r="H2033" s="138" t="str">
        <f>VLOOKUP(Purchase[[#This Row],[Supplier ID]],Supplier[#All],6,0)</f>
        <v>GST2154521T021</v>
      </c>
      <c r="I2033" s="138" t="s">
        <v>179</v>
      </c>
      <c r="J2033" s="139">
        <v>27</v>
      </c>
      <c r="K2033" s="143">
        <f>VLOOKUP(Purchase[[#This Row],[Product ID]],Product[#All],6,0)</f>
        <v>1180</v>
      </c>
      <c r="L2033" s="143">
        <f>Purchase[[#This Row],[Purchase Rate]]*Purchase[[#This Row],[Qty]]</f>
        <v>31860</v>
      </c>
      <c r="M2033" s="140">
        <v>0</v>
      </c>
      <c r="N2033" s="143">
        <v>0</v>
      </c>
      <c r="O2033" s="140">
        <v>0.18</v>
      </c>
      <c r="P2033" s="145">
        <f>(Purchase[[#This Row],[Gross Amount]]-Purchase[[#This Row],[Disct %]])*Purchase[[#This Row],[GST %]]</f>
        <v>5734.8</v>
      </c>
      <c r="Q2033" s="145">
        <f>Purchase[[#This Row],[Gross Amount]]-Purchase[[#This Row],[Disct Amnt]]+Purchase[[#This Row],[GST Amount]]</f>
        <v>37594.800000000003</v>
      </c>
      <c r="R2033" s="138" t="s">
        <v>1019</v>
      </c>
      <c r="S2033" s="41">
        <f>IF(Purchase[[#This Row],[Status]]="Cancelled",0,Purchase[[#This Row],[Qty]])</f>
        <v>27</v>
      </c>
      <c r="T2033" s="146">
        <f>IF(Purchase[[#This Row],[Status]]="Cancelled",0,Purchase[[#This Row],[Total Amount]])</f>
        <v>37594.800000000003</v>
      </c>
      <c r="U2033" s="146">
        <f>SUM(Purchase[Net Amount])</f>
        <v>814985438.68000126</v>
      </c>
    </row>
    <row r="2034" spans="1:21" ht="19.5" thickBot="1" x14ac:dyDescent="0.3">
      <c r="A2034" s="136" t="s">
        <v>3090</v>
      </c>
      <c r="B2034" s="137">
        <v>45757</v>
      </c>
      <c r="C2034" s="138" t="s">
        <v>613</v>
      </c>
      <c r="D2034" s="138" t="str">
        <f>VLOOKUP(Purchase[[#This Row],[Supplier ID]],Supplier[#All],2,0)</f>
        <v>National Traders</v>
      </c>
      <c r="E2034" s="138">
        <f>VLOOKUP(Purchase[[#This Row],[Supplier ID]],Supplier[#All],3,0)</f>
        <v>9689542496</v>
      </c>
      <c r="F2034" s="138" t="str">
        <f>VLOOKUP(Purchase[[#This Row],[Supplier ID]],Supplier[#All],4,0)</f>
        <v>Indore</v>
      </c>
      <c r="G2034" s="138" t="str">
        <f>VLOOKUP(Purchase[[#This Row],[Supplier ID]],Supplier[#All],5,0)</f>
        <v>MP</v>
      </c>
      <c r="H2034" s="138" t="str">
        <f>VLOOKUP(Purchase[[#This Row],[Supplier ID]],Supplier[#All],6,0)</f>
        <v>GST2154521T058</v>
      </c>
      <c r="I2034" s="138" t="s">
        <v>219</v>
      </c>
      <c r="J2034" s="139">
        <v>40</v>
      </c>
      <c r="K2034" s="143">
        <f>VLOOKUP(Purchase[[#This Row],[Product ID]],Product[#All],6,0)</f>
        <v>18401</v>
      </c>
      <c r="L2034" s="143">
        <f>Purchase[[#This Row],[Purchase Rate]]*Purchase[[#This Row],[Qty]]</f>
        <v>736040</v>
      </c>
      <c r="M2034" s="140">
        <v>0</v>
      </c>
      <c r="N2034" s="143">
        <v>0</v>
      </c>
      <c r="O2034" s="140">
        <v>0.18</v>
      </c>
      <c r="P2034" s="145">
        <f>(Purchase[[#This Row],[Gross Amount]]-Purchase[[#This Row],[Disct %]])*Purchase[[#This Row],[GST %]]</f>
        <v>132487.19999999998</v>
      </c>
      <c r="Q2034" s="145">
        <f>Purchase[[#This Row],[Gross Amount]]-Purchase[[#This Row],[Disct Amnt]]+Purchase[[#This Row],[GST Amount]]</f>
        <v>868527.2</v>
      </c>
      <c r="R2034" s="138" t="s">
        <v>1019</v>
      </c>
      <c r="S2034" s="41">
        <f>IF(Purchase[[#This Row],[Status]]="Cancelled",0,Purchase[[#This Row],[Qty]])</f>
        <v>40</v>
      </c>
      <c r="T2034" s="146">
        <f>IF(Purchase[[#This Row],[Status]]="Cancelled",0,Purchase[[#This Row],[Total Amount]])</f>
        <v>868527.2</v>
      </c>
      <c r="U2034" s="146">
        <f>SUM(Purchase[Net Amount])</f>
        <v>814985438.68000126</v>
      </c>
    </row>
    <row r="2035" spans="1:21" ht="19.5" thickBot="1" x14ac:dyDescent="0.3">
      <c r="A2035" s="136" t="s">
        <v>3091</v>
      </c>
      <c r="B2035" s="137">
        <v>45758</v>
      </c>
      <c r="C2035" s="138" t="s">
        <v>571</v>
      </c>
      <c r="D2035" s="138" t="str">
        <f>VLOOKUP(Purchase[[#This Row],[Supplier ID]],Supplier[#All],2,0)</f>
        <v>Tech Suppliers</v>
      </c>
      <c r="E2035" s="138">
        <f>VLOOKUP(Purchase[[#This Row],[Supplier ID]],Supplier[#All],3,0)</f>
        <v>9689542457</v>
      </c>
      <c r="F2035" s="138" t="str">
        <f>VLOOKUP(Purchase[[#This Row],[Supplier ID]],Supplier[#All],4,0)</f>
        <v>Korba</v>
      </c>
      <c r="G2035" s="138" t="str">
        <f>VLOOKUP(Purchase[[#This Row],[Supplier ID]],Supplier[#All],5,0)</f>
        <v>CG</v>
      </c>
      <c r="H2035" s="138" t="str">
        <f>VLOOKUP(Purchase[[#This Row],[Supplier ID]],Supplier[#All],6,0)</f>
        <v>GST2154521T019</v>
      </c>
      <c r="I2035" s="138" t="s">
        <v>387</v>
      </c>
      <c r="J2035" s="139">
        <v>37</v>
      </c>
      <c r="K2035" s="143">
        <f>VLOOKUP(Purchase[[#This Row],[Product ID]],Product[#All],6,0)</f>
        <v>12111</v>
      </c>
      <c r="L2035" s="143">
        <f>Purchase[[#This Row],[Purchase Rate]]*Purchase[[#This Row],[Qty]]</f>
        <v>448107</v>
      </c>
      <c r="M2035" s="140">
        <v>0</v>
      </c>
      <c r="N2035" s="143">
        <v>0</v>
      </c>
      <c r="O2035" s="140">
        <v>0.18</v>
      </c>
      <c r="P2035" s="145">
        <f>(Purchase[[#This Row],[Gross Amount]]-Purchase[[#This Row],[Disct %]])*Purchase[[#This Row],[GST %]]</f>
        <v>80659.259999999995</v>
      </c>
      <c r="Q2035" s="145">
        <f>Purchase[[#This Row],[Gross Amount]]-Purchase[[#This Row],[Disct Amnt]]+Purchase[[#This Row],[GST Amount]]</f>
        <v>528766.26</v>
      </c>
      <c r="R2035" s="138" t="s">
        <v>1019</v>
      </c>
      <c r="S2035" s="41">
        <f>IF(Purchase[[#This Row],[Status]]="Cancelled",0,Purchase[[#This Row],[Qty]])</f>
        <v>37</v>
      </c>
      <c r="T2035" s="146">
        <f>IF(Purchase[[#This Row],[Status]]="Cancelled",0,Purchase[[#This Row],[Total Amount]])</f>
        <v>528766.26</v>
      </c>
      <c r="U2035" s="146">
        <f>SUM(Purchase[Net Amount])</f>
        <v>814985438.68000126</v>
      </c>
    </row>
    <row r="2036" spans="1:21" ht="19.5" thickBot="1" x14ac:dyDescent="0.3">
      <c r="A2036" s="136" t="s">
        <v>3092</v>
      </c>
      <c r="B2036" s="137">
        <v>45758</v>
      </c>
      <c r="C2036" s="138" t="s">
        <v>599</v>
      </c>
      <c r="D2036" s="138" t="str">
        <f>VLOOKUP(Purchase[[#This Row],[Supplier ID]],Supplier[#All],2,0)</f>
        <v>National Distributors</v>
      </c>
      <c r="E2036" s="138">
        <f>VLOOKUP(Purchase[[#This Row],[Supplier ID]],Supplier[#All],3,0)</f>
        <v>9689542482</v>
      </c>
      <c r="F2036" s="138" t="str">
        <f>VLOOKUP(Purchase[[#This Row],[Supplier ID]],Supplier[#All],4,0)</f>
        <v>Kanpur</v>
      </c>
      <c r="G2036" s="138" t="str">
        <f>VLOOKUP(Purchase[[#This Row],[Supplier ID]],Supplier[#All],5,0)</f>
        <v>UP</v>
      </c>
      <c r="H2036" s="138" t="str">
        <f>VLOOKUP(Purchase[[#This Row],[Supplier ID]],Supplier[#All],6,0)</f>
        <v>GST2154521T044</v>
      </c>
      <c r="I2036" s="138" t="s">
        <v>231</v>
      </c>
      <c r="J2036" s="139">
        <v>3</v>
      </c>
      <c r="K2036" s="143">
        <f>VLOOKUP(Purchase[[#This Row],[Product ID]],Product[#All],6,0)</f>
        <v>1862</v>
      </c>
      <c r="L2036" s="143">
        <f>Purchase[[#This Row],[Purchase Rate]]*Purchase[[#This Row],[Qty]]</f>
        <v>5586</v>
      </c>
      <c r="M2036" s="140">
        <v>0</v>
      </c>
      <c r="N2036" s="143">
        <v>0</v>
      </c>
      <c r="O2036" s="140">
        <v>0.18</v>
      </c>
      <c r="P2036" s="145">
        <f>(Purchase[[#This Row],[Gross Amount]]-Purchase[[#This Row],[Disct %]])*Purchase[[#This Row],[GST %]]</f>
        <v>1005.48</v>
      </c>
      <c r="Q2036" s="145">
        <f>Purchase[[#This Row],[Gross Amount]]-Purchase[[#This Row],[Disct Amnt]]+Purchase[[#This Row],[GST Amount]]</f>
        <v>6591.48</v>
      </c>
      <c r="R2036" s="138" t="s">
        <v>1019</v>
      </c>
      <c r="S2036" s="41">
        <f>IF(Purchase[[#This Row],[Status]]="Cancelled",0,Purchase[[#This Row],[Qty]])</f>
        <v>3</v>
      </c>
      <c r="T2036" s="146">
        <f>IF(Purchase[[#This Row],[Status]]="Cancelled",0,Purchase[[#This Row],[Total Amount]])</f>
        <v>6591.48</v>
      </c>
      <c r="U2036" s="146">
        <f>SUM(Purchase[Net Amount])</f>
        <v>814985438.68000126</v>
      </c>
    </row>
    <row r="2037" spans="1:21" ht="19.5" thickBot="1" x14ac:dyDescent="0.3">
      <c r="A2037" s="136" t="s">
        <v>3093</v>
      </c>
      <c r="B2037" s="137">
        <v>45758</v>
      </c>
      <c r="C2037" s="138" t="s">
        <v>567</v>
      </c>
      <c r="D2037" s="138" t="str">
        <f>VLOOKUP(Purchase[[#This Row],[Supplier ID]],Supplier[#All],2,0)</f>
        <v>National Distributors</v>
      </c>
      <c r="E2037" s="138">
        <f>VLOOKUP(Purchase[[#This Row],[Supplier ID]],Supplier[#All],3,0)</f>
        <v>9689542453</v>
      </c>
      <c r="F2037" s="138" t="str">
        <f>VLOOKUP(Purchase[[#This Row],[Supplier ID]],Supplier[#All],4,0)</f>
        <v>Korba</v>
      </c>
      <c r="G2037" s="138" t="str">
        <f>VLOOKUP(Purchase[[#This Row],[Supplier ID]],Supplier[#All],5,0)</f>
        <v>CG</v>
      </c>
      <c r="H2037" s="138" t="str">
        <f>VLOOKUP(Purchase[[#This Row],[Supplier ID]],Supplier[#All],6,0)</f>
        <v>GST2154521T015</v>
      </c>
      <c r="I2037" s="138" t="s">
        <v>88</v>
      </c>
      <c r="J2037" s="139">
        <v>25</v>
      </c>
      <c r="K2037" s="143">
        <f>VLOOKUP(Purchase[[#This Row],[Product ID]],Product[#All],6,0)</f>
        <v>33605</v>
      </c>
      <c r="L2037" s="143">
        <f>Purchase[[#This Row],[Purchase Rate]]*Purchase[[#This Row],[Qty]]</f>
        <v>840125</v>
      </c>
      <c r="M2037" s="140">
        <v>0</v>
      </c>
      <c r="N2037" s="143">
        <v>0</v>
      </c>
      <c r="O2037" s="140">
        <v>0.18</v>
      </c>
      <c r="P2037" s="145">
        <f>(Purchase[[#This Row],[Gross Amount]]-Purchase[[#This Row],[Disct %]])*Purchase[[#This Row],[GST %]]</f>
        <v>151222.5</v>
      </c>
      <c r="Q2037" s="145">
        <f>Purchase[[#This Row],[Gross Amount]]-Purchase[[#This Row],[Disct Amnt]]+Purchase[[#This Row],[GST Amount]]</f>
        <v>991347.5</v>
      </c>
      <c r="R2037" s="138" t="s">
        <v>1019</v>
      </c>
      <c r="S2037" s="41">
        <f>IF(Purchase[[#This Row],[Status]]="Cancelled",0,Purchase[[#This Row],[Qty]])</f>
        <v>25</v>
      </c>
      <c r="T2037" s="146">
        <f>IF(Purchase[[#This Row],[Status]]="Cancelled",0,Purchase[[#This Row],[Total Amount]])</f>
        <v>991347.5</v>
      </c>
      <c r="U2037" s="146">
        <f>SUM(Purchase[Net Amount])</f>
        <v>814985438.68000126</v>
      </c>
    </row>
    <row r="2038" spans="1:21" ht="19.5" thickBot="1" x14ac:dyDescent="0.3">
      <c r="A2038" s="136" t="s">
        <v>3094</v>
      </c>
      <c r="B2038" s="137">
        <v>45758</v>
      </c>
      <c r="C2038" s="138" t="s">
        <v>595</v>
      </c>
      <c r="D2038" s="138" t="str">
        <f>VLOOKUP(Purchase[[#This Row],[Supplier ID]],Supplier[#All],2,0)</f>
        <v>Star Computers</v>
      </c>
      <c r="E2038" s="138">
        <f>VLOOKUP(Purchase[[#This Row],[Supplier ID]],Supplier[#All],3,0)</f>
        <v>9689542478</v>
      </c>
      <c r="F2038" s="138" t="str">
        <f>VLOOKUP(Purchase[[#This Row],[Supplier ID]],Supplier[#All],4,0)</f>
        <v>Kanpur</v>
      </c>
      <c r="G2038" s="138" t="str">
        <f>VLOOKUP(Purchase[[#This Row],[Supplier ID]],Supplier[#All],5,0)</f>
        <v>UP</v>
      </c>
      <c r="H2038" s="138" t="str">
        <f>VLOOKUP(Purchase[[#This Row],[Supplier ID]],Supplier[#All],6,0)</f>
        <v>GST2154521T040</v>
      </c>
      <c r="I2038" s="138" t="s">
        <v>327</v>
      </c>
      <c r="J2038" s="139">
        <v>29</v>
      </c>
      <c r="K2038" s="143">
        <f>VLOOKUP(Purchase[[#This Row],[Product ID]],Product[#All],6,0)</f>
        <v>14383</v>
      </c>
      <c r="L2038" s="143">
        <f>Purchase[[#This Row],[Purchase Rate]]*Purchase[[#This Row],[Qty]]</f>
        <v>417107</v>
      </c>
      <c r="M2038" s="140">
        <v>0</v>
      </c>
      <c r="N2038" s="143">
        <v>0</v>
      </c>
      <c r="O2038" s="140">
        <v>0.18</v>
      </c>
      <c r="P2038" s="145">
        <f>(Purchase[[#This Row],[Gross Amount]]-Purchase[[#This Row],[Disct %]])*Purchase[[#This Row],[GST %]]</f>
        <v>75079.259999999995</v>
      </c>
      <c r="Q2038" s="145">
        <f>Purchase[[#This Row],[Gross Amount]]-Purchase[[#This Row],[Disct Amnt]]+Purchase[[#This Row],[GST Amount]]</f>
        <v>492186.26</v>
      </c>
      <c r="R2038" s="138" t="s">
        <v>1019</v>
      </c>
      <c r="S2038" s="41">
        <f>IF(Purchase[[#This Row],[Status]]="Cancelled",0,Purchase[[#This Row],[Qty]])</f>
        <v>29</v>
      </c>
      <c r="T2038" s="146">
        <f>IF(Purchase[[#This Row],[Status]]="Cancelled",0,Purchase[[#This Row],[Total Amount]])</f>
        <v>492186.26</v>
      </c>
      <c r="U2038" s="146">
        <f>SUM(Purchase[Net Amount])</f>
        <v>814985438.68000126</v>
      </c>
    </row>
    <row r="2039" spans="1:21" ht="19.5" thickBot="1" x14ac:dyDescent="0.3">
      <c r="A2039" s="136" t="s">
        <v>3095</v>
      </c>
      <c r="B2039" s="137">
        <v>45758</v>
      </c>
      <c r="C2039" s="138" t="s">
        <v>583</v>
      </c>
      <c r="D2039" s="138" t="str">
        <f>VLOOKUP(Purchase[[#This Row],[Supplier ID]],Supplier[#All],2,0)</f>
        <v>Shree Distributors</v>
      </c>
      <c r="E2039" s="138">
        <f>VLOOKUP(Purchase[[#This Row],[Supplier ID]],Supplier[#All],3,0)</f>
        <v>9689542467</v>
      </c>
      <c r="F2039" s="138" t="str">
        <f>VLOOKUP(Purchase[[#This Row],[Supplier ID]],Supplier[#All],4,0)</f>
        <v>Indore</v>
      </c>
      <c r="G2039" s="138" t="str">
        <f>VLOOKUP(Purchase[[#This Row],[Supplier ID]],Supplier[#All],5,0)</f>
        <v>MP</v>
      </c>
      <c r="H2039" s="138" t="str">
        <f>VLOOKUP(Purchase[[#This Row],[Supplier ID]],Supplier[#All],6,0)</f>
        <v>GST2154521T029</v>
      </c>
      <c r="I2039" s="138" t="s">
        <v>201</v>
      </c>
      <c r="J2039" s="139">
        <v>8</v>
      </c>
      <c r="K2039" s="143">
        <f>VLOOKUP(Purchase[[#This Row],[Product ID]],Product[#All],6,0)</f>
        <v>2195</v>
      </c>
      <c r="L2039" s="143">
        <f>Purchase[[#This Row],[Purchase Rate]]*Purchase[[#This Row],[Qty]]</f>
        <v>17560</v>
      </c>
      <c r="M2039" s="140">
        <v>0</v>
      </c>
      <c r="N2039" s="143">
        <v>0</v>
      </c>
      <c r="O2039" s="140">
        <v>0.18</v>
      </c>
      <c r="P2039" s="145">
        <f>(Purchase[[#This Row],[Gross Amount]]-Purchase[[#This Row],[Disct %]])*Purchase[[#This Row],[GST %]]</f>
        <v>3160.7999999999997</v>
      </c>
      <c r="Q2039" s="145">
        <f>Purchase[[#This Row],[Gross Amount]]-Purchase[[#This Row],[Disct Amnt]]+Purchase[[#This Row],[GST Amount]]</f>
        <v>20720.8</v>
      </c>
      <c r="R2039" s="138" t="s">
        <v>1019</v>
      </c>
      <c r="S2039" s="41">
        <f>IF(Purchase[[#This Row],[Status]]="Cancelled",0,Purchase[[#This Row],[Qty]])</f>
        <v>8</v>
      </c>
      <c r="T2039" s="146">
        <f>IF(Purchase[[#This Row],[Status]]="Cancelled",0,Purchase[[#This Row],[Total Amount]])</f>
        <v>20720.8</v>
      </c>
      <c r="U2039" s="146">
        <f>SUM(Purchase[Net Amount])</f>
        <v>814985438.68000126</v>
      </c>
    </row>
    <row r="2040" spans="1:21" ht="19.5" thickBot="1" x14ac:dyDescent="0.3">
      <c r="A2040" s="136" t="s">
        <v>3096</v>
      </c>
      <c r="B2040" s="137">
        <v>45758</v>
      </c>
      <c r="C2040" s="138" t="s">
        <v>604</v>
      </c>
      <c r="D2040" s="138" t="str">
        <f>VLOOKUP(Purchase[[#This Row],[Supplier ID]],Supplier[#All],2,0)</f>
        <v>Prime Traders</v>
      </c>
      <c r="E2040" s="138">
        <f>VLOOKUP(Purchase[[#This Row],[Supplier ID]],Supplier[#All],3,0)</f>
        <v>9689542487</v>
      </c>
      <c r="F2040" s="138" t="str">
        <f>VLOOKUP(Purchase[[#This Row],[Supplier ID]],Supplier[#All],4,0)</f>
        <v>Indore</v>
      </c>
      <c r="G2040" s="138" t="str">
        <f>VLOOKUP(Purchase[[#This Row],[Supplier ID]],Supplier[#All],5,0)</f>
        <v>MP</v>
      </c>
      <c r="H2040" s="138" t="str">
        <f>VLOOKUP(Purchase[[#This Row],[Supplier ID]],Supplier[#All],6,0)</f>
        <v>GST2154521T049</v>
      </c>
      <c r="I2040" s="138" t="s">
        <v>203</v>
      </c>
      <c r="J2040" s="139">
        <v>30</v>
      </c>
      <c r="K2040" s="143">
        <f>VLOOKUP(Purchase[[#This Row],[Product ID]],Product[#All],6,0)</f>
        <v>1713</v>
      </c>
      <c r="L2040" s="143">
        <f>Purchase[[#This Row],[Purchase Rate]]*Purchase[[#This Row],[Qty]]</f>
        <v>51390</v>
      </c>
      <c r="M2040" s="140">
        <v>0</v>
      </c>
      <c r="N2040" s="143">
        <v>0</v>
      </c>
      <c r="O2040" s="140">
        <v>0.18</v>
      </c>
      <c r="P2040" s="145">
        <f>(Purchase[[#This Row],[Gross Amount]]-Purchase[[#This Row],[Disct %]])*Purchase[[#This Row],[GST %]]</f>
        <v>9250.1999999999989</v>
      </c>
      <c r="Q2040" s="145">
        <f>Purchase[[#This Row],[Gross Amount]]-Purchase[[#This Row],[Disct Amnt]]+Purchase[[#This Row],[GST Amount]]</f>
        <v>60640.2</v>
      </c>
      <c r="R2040" s="138" t="s">
        <v>1019</v>
      </c>
      <c r="S2040" s="41">
        <f>IF(Purchase[[#This Row],[Status]]="Cancelled",0,Purchase[[#This Row],[Qty]])</f>
        <v>30</v>
      </c>
      <c r="T2040" s="146">
        <f>IF(Purchase[[#This Row],[Status]]="Cancelled",0,Purchase[[#This Row],[Total Amount]])</f>
        <v>60640.2</v>
      </c>
      <c r="U2040" s="146">
        <f>SUM(Purchase[Net Amount])</f>
        <v>814985438.68000126</v>
      </c>
    </row>
    <row r="2041" spans="1:21" ht="19.5" thickBot="1" x14ac:dyDescent="0.3">
      <c r="A2041" s="136" t="s">
        <v>3097</v>
      </c>
      <c r="B2041" s="137">
        <v>45758</v>
      </c>
      <c r="C2041" s="138" t="s">
        <v>600</v>
      </c>
      <c r="D2041" s="138" t="str">
        <f>VLOOKUP(Purchase[[#This Row],[Supplier ID]],Supplier[#All],2,0)</f>
        <v>Prime Suppliers</v>
      </c>
      <c r="E2041" s="138">
        <f>VLOOKUP(Purchase[[#This Row],[Supplier ID]],Supplier[#All],3,0)</f>
        <v>9689542483</v>
      </c>
      <c r="F2041" s="138" t="str">
        <f>VLOOKUP(Purchase[[#This Row],[Supplier ID]],Supplier[#All],4,0)</f>
        <v>Korba</v>
      </c>
      <c r="G2041" s="138" t="str">
        <f>VLOOKUP(Purchase[[#This Row],[Supplier ID]],Supplier[#All],5,0)</f>
        <v>CG</v>
      </c>
      <c r="H2041" s="138" t="str">
        <f>VLOOKUP(Purchase[[#This Row],[Supplier ID]],Supplier[#All],6,0)</f>
        <v>GST2154521T045</v>
      </c>
      <c r="I2041" s="138" t="s">
        <v>505</v>
      </c>
      <c r="J2041" s="139">
        <v>31</v>
      </c>
      <c r="K2041" s="143">
        <f>VLOOKUP(Purchase[[#This Row],[Product ID]],Product[#All],6,0)</f>
        <v>10762</v>
      </c>
      <c r="L2041" s="143">
        <f>Purchase[[#This Row],[Purchase Rate]]*Purchase[[#This Row],[Qty]]</f>
        <v>333622</v>
      </c>
      <c r="M2041" s="140">
        <v>0</v>
      </c>
      <c r="N2041" s="143">
        <v>0</v>
      </c>
      <c r="O2041" s="140">
        <v>0.18</v>
      </c>
      <c r="P2041" s="145">
        <f>(Purchase[[#This Row],[Gross Amount]]-Purchase[[#This Row],[Disct %]])*Purchase[[#This Row],[GST %]]</f>
        <v>60051.96</v>
      </c>
      <c r="Q2041" s="145">
        <f>Purchase[[#This Row],[Gross Amount]]-Purchase[[#This Row],[Disct Amnt]]+Purchase[[#This Row],[GST Amount]]</f>
        <v>393673.96</v>
      </c>
      <c r="R2041" s="138" t="s">
        <v>1019</v>
      </c>
      <c r="S2041" s="41">
        <f>IF(Purchase[[#This Row],[Status]]="Cancelled",0,Purchase[[#This Row],[Qty]])</f>
        <v>31</v>
      </c>
      <c r="T2041" s="146">
        <f>IF(Purchase[[#This Row],[Status]]="Cancelled",0,Purchase[[#This Row],[Total Amount]])</f>
        <v>393673.96</v>
      </c>
      <c r="U2041" s="146">
        <f>SUM(Purchase[Net Amount])</f>
        <v>814985438.68000126</v>
      </c>
    </row>
    <row r="2042" spans="1:21" ht="19.5" thickBot="1" x14ac:dyDescent="0.3">
      <c r="A2042" s="136" t="s">
        <v>3098</v>
      </c>
      <c r="B2042" s="137">
        <v>45758</v>
      </c>
      <c r="C2042" s="138" t="s">
        <v>595</v>
      </c>
      <c r="D2042" s="138" t="str">
        <f>VLOOKUP(Purchase[[#This Row],[Supplier ID]],Supplier[#All],2,0)</f>
        <v>Star Computers</v>
      </c>
      <c r="E2042" s="138">
        <f>VLOOKUP(Purchase[[#This Row],[Supplier ID]],Supplier[#All],3,0)</f>
        <v>9689542478</v>
      </c>
      <c r="F2042" s="138" t="str">
        <f>VLOOKUP(Purchase[[#This Row],[Supplier ID]],Supplier[#All],4,0)</f>
        <v>Kanpur</v>
      </c>
      <c r="G2042" s="138" t="str">
        <f>VLOOKUP(Purchase[[#This Row],[Supplier ID]],Supplier[#All],5,0)</f>
        <v>UP</v>
      </c>
      <c r="H2042" s="138" t="str">
        <f>VLOOKUP(Purchase[[#This Row],[Supplier ID]],Supplier[#All],6,0)</f>
        <v>GST2154521T040</v>
      </c>
      <c r="I2042" s="138" t="s">
        <v>124</v>
      </c>
      <c r="J2042" s="139">
        <v>33</v>
      </c>
      <c r="K2042" s="143">
        <f>VLOOKUP(Purchase[[#This Row],[Product ID]],Product[#All],6,0)</f>
        <v>12974</v>
      </c>
      <c r="L2042" s="143">
        <f>Purchase[[#This Row],[Purchase Rate]]*Purchase[[#This Row],[Qty]]</f>
        <v>428142</v>
      </c>
      <c r="M2042" s="140">
        <v>0</v>
      </c>
      <c r="N2042" s="143">
        <v>0</v>
      </c>
      <c r="O2042" s="140">
        <v>0.18</v>
      </c>
      <c r="P2042" s="145">
        <f>(Purchase[[#This Row],[Gross Amount]]-Purchase[[#This Row],[Disct %]])*Purchase[[#This Row],[GST %]]</f>
        <v>77065.56</v>
      </c>
      <c r="Q2042" s="145">
        <f>Purchase[[#This Row],[Gross Amount]]-Purchase[[#This Row],[Disct Amnt]]+Purchase[[#This Row],[GST Amount]]</f>
        <v>505207.56</v>
      </c>
      <c r="R2042" s="138" t="s">
        <v>1019</v>
      </c>
      <c r="S2042" s="41">
        <f>IF(Purchase[[#This Row],[Status]]="Cancelled",0,Purchase[[#This Row],[Qty]])</f>
        <v>33</v>
      </c>
      <c r="T2042" s="146">
        <f>IF(Purchase[[#This Row],[Status]]="Cancelled",0,Purchase[[#This Row],[Total Amount]])</f>
        <v>505207.56</v>
      </c>
      <c r="U2042" s="146">
        <f>SUM(Purchase[Net Amount])</f>
        <v>814985438.68000126</v>
      </c>
    </row>
    <row r="2043" spans="1:21" ht="19.5" thickBot="1" x14ac:dyDescent="0.3">
      <c r="A2043" s="136" t="s">
        <v>3099</v>
      </c>
      <c r="B2043" s="137">
        <v>45758</v>
      </c>
      <c r="C2043" s="138" t="s">
        <v>593</v>
      </c>
      <c r="D2043" s="138" t="str">
        <f>VLOOKUP(Purchase[[#This Row],[Supplier ID]],Supplier[#All],2,0)</f>
        <v>Global Suppliers</v>
      </c>
      <c r="E2043" s="138">
        <f>VLOOKUP(Purchase[[#This Row],[Supplier ID]],Supplier[#All],3,0)</f>
        <v>9689542476</v>
      </c>
      <c r="F2043" s="138" t="str">
        <f>VLOOKUP(Purchase[[#This Row],[Supplier ID]],Supplier[#All],4,0)</f>
        <v>Korba</v>
      </c>
      <c r="G2043" s="138" t="str">
        <f>VLOOKUP(Purchase[[#This Row],[Supplier ID]],Supplier[#All],5,0)</f>
        <v>CG</v>
      </c>
      <c r="H2043" s="138" t="str">
        <f>VLOOKUP(Purchase[[#This Row],[Supplier ID]],Supplier[#All],6,0)</f>
        <v>GST2154521T038</v>
      </c>
      <c r="I2043" s="138" t="s">
        <v>292</v>
      </c>
      <c r="J2043" s="139">
        <v>26</v>
      </c>
      <c r="K2043" s="143">
        <f>VLOOKUP(Purchase[[#This Row],[Product ID]],Product[#All],6,0)</f>
        <v>5549</v>
      </c>
      <c r="L2043" s="143">
        <f>Purchase[[#This Row],[Purchase Rate]]*Purchase[[#This Row],[Qty]]</f>
        <v>144274</v>
      </c>
      <c r="M2043" s="140">
        <v>0</v>
      </c>
      <c r="N2043" s="143">
        <v>0</v>
      </c>
      <c r="O2043" s="140">
        <v>0.18</v>
      </c>
      <c r="P2043" s="145">
        <f>(Purchase[[#This Row],[Gross Amount]]-Purchase[[#This Row],[Disct %]])*Purchase[[#This Row],[GST %]]</f>
        <v>25969.32</v>
      </c>
      <c r="Q2043" s="145">
        <f>Purchase[[#This Row],[Gross Amount]]-Purchase[[#This Row],[Disct Amnt]]+Purchase[[#This Row],[GST Amount]]</f>
        <v>170243.32</v>
      </c>
      <c r="R2043" s="138" t="s">
        <v>1019</v>
      </c>
      <c r="S2043" s="41">
        <f>IF(Purchase[[#This Row],[Status]]="Cancelled",0,Purchase[[#This Row],[Qty]])</f>
        <v>26</v>
      </c>
      <c r="T2043" s="146">
        <f>IF(Purchase[[#This Row],[Status]]="Cancelled",0,Purchase[[#This Row],[Total Amount]])</f>
        <v>170243.32</v>
      </c>
      <c r="U2043" s="146">
        <f>SUM(Purchase[Net Amount])</f>
        <v>814985438.68000126</v>
      </c>
    </row>
    <row r="2044" spans="1:21" ht="19.5" thickBot="1" x14ac:dyDescent="0.3">
      <c r="A2044" s="136" t="s">
        <v>3100</v>
      </c>
      <c r="B2044" s="137">
        <v>45758</v>
      </c>
      <c r="C2044" s="138" t="s">
        <v>609</v>
      </c>
      <c r="D2044" s="138" t="str">
        <f>VLOOKUP(Purchase[[#This Row],[Supplier ID]],Supplier[#All],2,0)</f>
        <v>Star Suppliers</v>
      </c>
      <c r="E2044" s="138">
        <f>VLOOKUP(Purchase[[#This Row],[Supplier ID]],Supplier[#All],3,0)</f>
        <v>9689542492</v>
      </c>
      <c r="F2044" s="138" t="str">
        <f>VLOOKUP(Purchase[[#This Row],[Supplier ID]],Supplier[#All],4,0)</f>
        <v>Kanpur</v>
      </c>
      <c r="G2044" s="138" t="str">
        <f>VLOOKUP(Purchase[[#This Row],[Supplier ID]],Supplier[#All],5,0)</f>
        <v>UP</v>
      </c>
      <c r="H2044" s="138" t="str">
        <f>VLOOKUP(Purchase[[#This Row],[Supplier ID]],Supplier[#All],6,0)</f>
        <v>GST2154521T054</v>
      </c>
      <c r="I2044" s="138" t="s">
        <v>228</v>
      </c>
      <c r="J2044" s="139">
        <v>13</v>
      </c>
      <c r="K2044" s="143">
        <f>VLOOKUP(Purchase[[#This Row],[Product ID]],Product[#All],6,0)</f>
        <v>25416</v>
      </c>
      <c r="L2044" s="143">
        <f>Purchase[[#This Row],[Purchase Rate]]*Purchase[[#This Row],[Qty]]</f>
        <v>330408</v>
      </c>
      <c r="M2044" s="140">
        <v>0</v>
      </c>
      <c r="N2044" s="143">
        <v>0</v>
      </c>
      <c r="O2044" s="140">
        <v>0.18</v>
      </c>
      <c r="P2044" s="145">
        <f>(Purchase[[#This Row],[Gross Amount]]-Purchase[[#This Row],[Disct %]])*Purchase[[#This Row],[GST %]]</f>
        <v>59473.439999999995</v>
      </c>
      <c r="Q2044" s="145">
        <f>Purchase[[#This Row],[Gross Amount]]-Purchase[[#This Row],[Disct Amnt]]+Purchase[[#This Row],[GST Amount]]</f>
        <v>389881.44</v>
      </c>
      <c r="R2044" s="138" t="s">
        <v>1019</v>
      </c>
      <c r="S2044" s="41">
        <f>IF(Purchase[[#This Row],[Status]]="Cancelled",0,Purchase[[#This Row],[Qty]])</f>
        <v>13</v>
      </c>
      <c r="T2044" s="146">
        <f>IF(Purchase[[#This Row],[Status]]="Cancelled",0,Purchase[[#This Row],[Total Amount]])</f>
        <v>389881.44</v>
      </c>
      <c r="U2044" s="146">
        <f>SUM(Purchase[Net Amount])</f>
        <v>814985438.68000126</v>
      </c>
    </row>
    <row r="2045" spans="1:21" ht="19.5" thickBot="1" x14ac:dyDescent="0.3">
      <c r="A2045" s="136" t="s">
        <v>3101</v>
      </c>
      <c r="B2045" s="137">
        <v>45758</v>
      </c>
      <c r="C2045" s="138" t="s">
        <v>573</v>
      </c>
      <c r="D2045" s="138" t="str">
        <f>VLOOKUP(Purchase[[#This Row],[Supplier ID]],Supplier[#All],2,0)</f>
        <v>Shree Traders</v>
      </c>
      <c r="E2045" s="138">
        <f>VLOOKUP(Purchase[[#This Row],[Supplier ID]],Supplier[#All],3,0)</f>
        <v>9689542458</v>
      </c>
      <c r="F2045" s="138" t="str">
        <f>VLOOKUP(Purchase[[#This Row],[Supplier ID]],Supplier[#All],4,0)</f>
        <v>Korba</v>
      </c>
      <c r="G2045" s="138" t="str">
        <f>VLOOKUP(Purchase[[#This Row],[Supplier ID]],Supplier[#All],5,0)</f>
        <v>CG</v>
      </c>
      <c r="H2045" s="138" t="str">
        <f>VLOOKUP(Purchase[[#This Row],[Supplier ID]],Supplier[#All],6,0)</f>
        <v>GST2154521T020</v>
      </c>
      <c r="I2045" s="138" t="s">
        <v>334</v>
      </c>
      <c r="J2045" s="139">
        <v>27</v>
      </c>
      <c r="K2045" s="143">
        <f>VLOOKUP(Purchase[[#This Row],[Product ID]],Product[#All],6,0)</f>
        <v>2706</v>
      </c>
      <c r="L2045" s="143">
        <f>Purchase[[#This Row],[Purchase Rate]]*Purchase[[#This Row],[Qty]]</f>
        <v>73062</v>
      </c>
      <c r="M2045" s="140">
        <v>0</v>
      </c>
      <c r="N2045" s="143">
        <v>0</v>
      </c>
      <c r="O2045" s="140">
        <v>0.18</v>
      </c>
      <c r="P2045" s="145">
        <f>(Purchase[[#This Row],[Gross Amount]]-Purchase[[#This Row],[Disct %]])*Purchase[[#This Row],[GST %]]</f>
        <v>13151.16</v>
      </c>
      <c r="Q2045" s="145">
        <f>Purchase[[#This Row],[Gross Amount]]-Purchase[[#This Row],[Disct Amnt]]+Purchase[[#This Row],[GST Amount]]</f>
        <v>86213.16</v>
      </c>
      <c r="R2045" s="138" t="s">
        <v>1019</v>
      </c>
      <c r="S2045" s="41">
        <f>IF(Purchase[[#This Row],[Status]]="Cancelled",0,Purchase[[#This Row],[Qty]])</f>
        <v>27</v>
      </c>
      <c r="T2045" s="146">
        <f>IF(Purchase[[#This Row],[Status]]="Cancelled",0,Purchase[[#This Row],[Total Amount]])</f>
        <v>86213.16</v>
      </c>
      <c r="U2045" s="146">
        <f>SUM(Purchase[Net Amount])</f>
        <v>814985438.68000126</v>
      </c>
    </row>
    <row r="2046" spans="1:21" ht="19.5" thickBot="1" x14ac:dyDescent="0.3">
      <c r="A2046" s="136" t="s">
        <v>3102</v>
      </c>
      <c r="B2046" s="137">
        <v>45758</v>
      </c>
      <c r="C2046" s="138" t="s">
        <v>577</v>
      </c>
      <c r="D2046" s="138" t="str">
        <f>VLOOKUP(Purchase[[#This Row],[Supplier ID]],Supplier[#All],2,0)</f>
        <v>National Electronics</v>
      </c>
      <c r="E2046" s="138">
        <f>VLOOKUP(Purchase[[#This Row],[Supplier ID]],Supplier[#All],3,0)</f>
        <v>9689542469</v>
      </c>
      <c r="F2046" s="138" t="str">
        <f>VLOOKUP(Purchase[[#This Row],[Supplier ID]],Supplier[#All],4,0)</f>
        <v>Korba</v>
      </c>
      <c r="G2046" s="138" t="str">
        <f>VLOOKUP(Purchase[[#This Row],[Supplier ID]],Supplier[#All],5,0)</f>
        <v>CG</v>
      </c>
      <c r="H2046" s="138" t="str">
        <f>VLOOKUP(Purchase[[#This Row],[Supplier ID]],Supplier[#All],6,0)</f>
        <v>GST2154521T023</v>
      </c>
      <c r="I2046" s="138" t="s">
        <v>393</v>
      </c>
      <c r="J2046" s="139">
        <v>10</v>
      </c>
      <c r="K2046" s="143">
        <f>VLOOKUP(Purchase[[#This Row],[Product ID]],Product[#All],6,0)</f>
        <v>2584</v>
      </c>
      <c r="L2046" s="143">
        <f>Purchase[[#This Row],[Purchase Rate]]*Purchase[[#This Row],[Qty]]</f>
        <v>25840</v>
      </c>
      <c r="M2046" s="140">
        <v>0</v>
      </c>
      <c r="N2046" s="143">
        <v>0</v>
      </c>
      <c r="O2046" s="140">
        <v>0.18</v>
      </c>
      <c r="P2046" s="145">
        <f>(Purchase[[#This Row],[Gross Amount]]-Purchase[[#This Row],[Disct %]])*Purchase[[#This Row],[GST %]]</f>
        <v>4651.2</v>
      </c>
      <c r="Q2046" s="145">
        <f>Purchase[[#This Row],[Gross Amount]]-Purchase[[#This Row],[Disct Amnt]]+Purchase[[#This Row],[GST Amount]]</f>
        <v>30491.200000000001</v>
      </c>
      <c r="R2046" s="138" t="s">
        <v>1019</v>
      </c>
      <c r="S2046" s="41">
        <f>IF(Purchase[[#This Row],[Status]]="Cancelled",0,Purchase[[#This Row],[Qty]])</f>
        <v>10</v>
      </c>
      <c r="T2046" s="146">
        <f>IF(Purchase[[#This Row],[Status]]="Cancelled",0,Purchase[[#This Row],[Total Amount]])</f>
        <v>30491.200000000001</v>
      </c>
      <c r="U2046" s="146">
        <f>SUM(Purchase[Net Amount])</f>
        <v>814985438.68000126</v>
      </c>
    </row>
    <row r="2047" spans="1:21" ht="19.5" thickBot="1" x14ac:dyDescent="0.3">
      <c r="A2047" s="136" t="s">
        <v>3103</v>
      </c>
      <c r="B2047" s="137">
        <v>45758</v>
      </c>
      <c r="C2047" s="138" t="s">
        <v>570</v>
      </c>
      <c r="D2047" s="138" t="str">
        <f>VLOOKUP(Purchase[[#This Row],[Supplier ID]],Supplier[#All],2,0)</f>
        <v>Prime Traders</v>
      </c>
      <c r="E2047" s="138">
        <f>VLOOKUP(Purchase[[#This Row],[Supplier ID]],Supplier[#All],3,0)</f>
        <v>9689542456</v>
      </c>
      <c r="F2047" s="138" t="str">
        <f>VLOOKUP(Purchase[[#This Row],[Supplier ID]],Supplier[#All],4,0)</f>
        <v>Indore</v>
      </c>
      <c r="G2047" s="138" t="str">
        <f>VLOOKUP(Purchase[[#This Row],[Supplier ID]],Supplier[#All],5,0)</f>
        <v>MP</v>
      </c>
      <c r="H2047" s="138" t="str">
        <f>VLOOKUP(Purchase[[#This Row],[Supplier ID]],Supplier[#All],6,0)</f>
        <v>GST2154521T018</v>
      </c>
      <c r="I2047" s="138" t="s">
        <v>165</v>
      </c>
      <c r="J2047" s="139">
        <v>26</v>
      </c>
      <c r="K2047" s="143">
        <f>VLOOKUP(Purchase[[#This Row],[Product ID]],Product[#All],6,0)</f>
        <v>6875</v>
      </c>
      <c r="L2047" s="143">
        <f>Purchase[[#This Row],[Purchase Rate]]*Purchase[[#This Row],[Qty]]</f>
        <v>178750</v>
      </c>
      <c r="M2047" s="140">
        <v>0</v>
      </c>
      <c r="N2047" s="143">
        <v>0</v>
      </c>
      <c r="O2047" s="140">
        <v>0.18</v>
      </c>
      <c r="P2047" s="145">
        <f>(Purchase[[#This Row],[Gross Amount]]-Purchase[[#This Row],[Disct %]])*Purchase[[#This Row],[GST %]]</f>
        <v>32175</v>
      </c>
      <c r="Q2047" s="145">
        <f>Purchase[[#This Row],[Gross Amount]]-Purchase[[#This Row],[Disct Amnt]]+Purchase[[#This Row],[GST Amount]]</f>
        <v>210925</v>
      </c>
      <c r="R2047" s="138" t="s">
        <v>1019</v>
      </c>
      <c r="S2047" s="41">
        <f>IF(Purchase[[#This Row],[Status]]="Cancelled",0,Purchase[[#This Row],[Qty]])</f>
        <v>26</v>
      </c>
      <c r="T2047" s="146">
        <f>IF(Purchase[[#This Row],[Status]]="Cancelled",0,Purchase[[#This Row],[Total Amount]])</f>
        <v>210925</v>
      </c>
      <c r="U2047" s="146">
        <f>SUM(Purchase[Net Amount])</f>
        <v>814985438.68000126</v>
      </c>
    </row>
    <row r="2048" spans="1:21" ht="19.5" thickBot="1" x14ac:dyDescent="0.3">
      <c r="A2048" s="136" t="s">
        <v>3104</v>
      </c>
      <c r="B2048" s="137">
        <v>45758</v>
      </c>
      <c r="C2048" s="138" t="s">
        <v>611</v>
      </c>
      <c r="D2048" s="138" t="str">
        <f>VLOOKUP(Purchase[[#This Row],[Supplier ID]],Supplier[#All],2,0)</f>
        <v>National Distributors</v>
      </c>
      <c r="E2048" s="138">
        <f>VLOOKUP(Purchase[[#This Row],[Supplier ID]],Supplier[#All],3,0)</f>
        <v>9689542494</v>
      </c>
      <c r="F2048" s="138" t="str">
        <f>VLOOKUP(Purchase[[#This Row],[Supplier ID]],Supplier[#All],4,0)</f>
        <v>Korba</v>
      </c>
      <c r="G2048" s="138" t="str">
        <f>VLOOKUP(Purchase[[#This Row],[Supplier ID]],Supplier[#All],5,0)</f>
        <v>CG</v>
      </c>
      <c r="H2048" s="138" t="str">
        <f>VLOOKUP(Purchase[[#This Row],[Supplier ID]],Supplier[#All],6,0)</f>
        <v>GST2154521T056</v>
      </c>
      <c r="I2048" s="138" t="s">
        <v>423</v>
      </c>
      <c r="J2048" s="139">
        <v>40</v>
      </c>
      <c r="K2048" s="143">
        <f>VLOOKUP(Purchase[[#This Row],[Product ID]],Product[#All],6,0)</f>
        <v>33151</v>
      </c>
      <c r="L2048" s="143">
        <f>Purchase[[#This Row],[Purchase Rate]]*Purchase[[#This Row],[Qty]]</f>
        <v>1326040</v>
      </c>
      <c r="M2048" s="140">
        <v>0</v>
      </c>
      <c r="N2048" s="143">
        <v>0</v>
      </c>
      <c r="O2048" s="140">
        <v>0.18</v>
      </c>
      <c r="P2048" s="145">
        <f>(Purchase[[#This Row],[Gross Amount]]-Purchase[[#This Row],[Disct %]])*Purchase[[#This Row],[GST %]]</f>
        <v>238687.19999999998</v>
      </c>
      <c r="Q2048" s="145">
        <f>Purchase[[#This Row],[Gross Amount]]-Purchase[[#This Row],[Disct Amnt]]+Purchase[[#This Row],[GST Amount]]</f>
        <v>1564727.2</v>
      </c>
      <c r="R2048" s="138" t="s">
        <v>1019</v>
      </c>
      <c r="S2048" s="41">
        <f>IF(Purchase[[#This Row],[Status]]="Cancelled",0,Purchase[[#This Row],[Qty]])</f>
        <v>40</v>
      </c>
      <c r="T2048" s="146">
        <f>IF(Purchase[[#This Row],[Status]]="Cancelled",0,Purchase[[#This Row],[Total Amount]])</f>
        <v>1564727.2</v>
      </c>
      <c r="U2048" s="146">
        <f>SUM(Purchase[Net Amount])</f>
        <v>814985438.68000126</v>
      </c>
    </row>
    <row r="2049" spans="1:21" ht="19.5" thickBot="1" x14ac:dyDescent="0.3">
      <c r="A2049" s="136" t="s">
        <v>3105</v>
      </c>
      <c r="B2049" s="137">
        <v>45758</v>
      </c>
      <c r="C2049" s="138" t="s">
        <v>1201</v>
      </c>
      <c r="D2049" s="138" t="str">
        <f>VLOOKUP(Purchase[[#This Row],[Supplier ID]],Supplier[#All],2,0)</f>
        <v>Global Suppliers</v>
      </c>
      <c r="E2049" s="138">
        <f>VLOOKUP(Purchase[[#This Row],[Supplier ID]],Supplier[#All],3,0)</f>
        <v>9689542476</v>
      </c>
      <c r="F2049" s="138" t="str">
        <f>VLOOKUP(Purchase[[#This Row],[Supplier ID]],Supplier[#All],4,0)</f>
        <v>Korba</v>
      </c>
      <c r="G2049" s="138" t="str">
        <f>VLOOKUP(Purchase[[#This Row],[Supplier ID]],Supplier[#All],5,0)</f>
        <v>CG</v>
      </c>
      <c r="H2049" s="138" t="str">
        <f>VLOOKUP(Purchase[[#This Row],[Supplier ID]],Supplier[#All],6,0)</f>
        <v>GST2154521T038</v>
      </c>
      <c r="I2049" s="138" t="s">
        <v>121</v>
      </c>
      <c r="J2049" s="139">
        <v>31</v>
      </c>
      <c r="K2049" s="143">
        <f>VLOOKUP(Purchase[[#This Row],[Product ID]],Product[#All],6,0)</f>
        <v>1781</v>
      </c>
      <c r="L2049" s="143">
        <f>Purchase[[#This Row],[Purchase Rate]]*Purchase[[#This Row],[Qty]]</f>
        <v>55211</v>
      </c>
      <c r="M2049" s="140">
        <v>0</v>
      </c>
      <c r="N2049" s="143">
        <v>0</v>
      </c>
      <c r="O2049" s="140">
        <v>0.18</v>
      </c>
      <c r="P2049" s="145">
        <f>(Purchase[[#This Row],[Gross Amount]]-Purchase[[#This Row],[Disct %]])*Purchase[[#This Row],[GST %]]</f>
        <v>9937.98</v>
      </c>
      <c r="Q2049" s="145">
        <f>Purchase[[#This Row],[Gross Amount]]-Purchase[[#This Row],[Disct Amnt]]+Purchase[[#This Row],[GST Amount]]</f>
        <v>65148.979999999996</v>
      </c>
      <c r="R2049" s="138" t="s">
        <v>1019</v>
      </c>
      <c r="S2049" s="41">
        <f>IF(Purchase[[#This Row],[Status]]="Cancelled",0,Purchase[[#This Row],[Qty]])</f>
        <v>31</v>
      </c>
      <c r="T2049" s="146">
        <f>IF(Purchase[[#This Row],[Status]]="Cancelled",0,Purchase[[#This Row],[Total Amount]])</f>
        <v>65148.979999999996</v>
      </c>
      <c r="U2049" s="146">
        <f>SUM(Purchase[Net Amount])</f>
        <v>814985438.68000126</v>
      </c>
    </row>
    <row r="2050" spans="1:21" ht="19.5" thickBot="1" x14ac:dyDescent="0.3">
      <c r="A2050" s="136" t="s">
        <v>3106</v>
      </c>
      <c r="B2050" s="137">
        <v>45758</v>
      </c>
      <c r="C2050" s="138" t="s">
        <v>1611</v>
      </c>
      <c r="D2050" s="138" t="str">
        <f>VLOOKUP(Purchase[[#This Row],[Supplier ID]],Supplier[#All],2,0)</f>
        <v>Maa Computers</v>
      </c>
      <c r="E2050" s="138">
        <f>VLOOKUP(Purchase[[#This Row],[Supplier ID]],Supplier[#All],3,0)</f>
        <v>9689542452</v>
      </c>
      <c r="F2050" s="138" t="str">
        <f>VLOOKUP(Purchase[[#This Row],[Supplier ID]],Supplier[#All],4,0)</f>
        <v>Kanpur</v>
      </c>
      <c r="G2050" s="138" t="str">
        <f>VLOOKUP(Purchase[[#This Row],[Supplier ID]],Supplier[#All],5,0)</f>
        <v>UP</v>
      </c>
      <c r="H2050" s="138" t="str">
        <f>VLOOKUP(Purchase[[#This Row],[Supplier ID]],Supplier[#All],6,0)</f>
        <v>GST2154521T014</v>
      </c>
      <c r="I2050" s="138" t="s">
        <v>419</v>
      </c>
      <c r="J2050" s="139">
        <v>7</v>
      </c>
      <c r="K2050" s="143">
        <f>VLOOKUP(Purchase[[#This Row],[Product ID]],Product[#All],6,0)</f>
        <v>7279</v>
      </c>
      <c r="L2050" s="143">
        <f>Purchase[[#This Row],[Purchase Rate]]*Purchase[[#This Row],[Qty]]</f>
        <v>50953</v>
      </c>
      <c r="M2050" s="140">
        <v>0</v>
      </c>
      <c r="N2050" s="143">
        <v>0</v>
      </c>
      <c r="O2050" s="140">
        <v>0.18</v>
      </c>
      <c r="P2050" s="145">
        <f>(Purchase[[#This Row],[Gross Amount]]-Purchase[[#This Row],[Disct %]])*Purchase[[#This Row],[GST %]]</f>
        <v>9171.5399999999991</v>
      </c>
      <c r="Q2050" s="145">
        <f>Purchase[[#This Row],[Gross Amount]]-Purchase[[#This Row],[Disct Amnt]]+Purchase[[#This Row],[GST Amount]]</f>
        <v>60124.54</v>
      </c>
      <c r="R2050" s="138" t="s">
        <v>1019</v>
      </c>
      <c r="S2050" s="41">
        <f>IF(Purchase[[#This Row],[Status]]="Cancelled",0,Purchase[[#This Row],[Qty]])</f>
        <v>7</v>
      </c>
      <c r="T2050" s="146">
        <f>IF(Purchase[[#This Row],[Status]]="Cancelled",0,Purchase[[#This Row],[Total Amount]])</f>
        <v>60124.54</v>
      </c>
      <c r="U2050" s="146">
        <f>SUM(Purchase[Net Amount])</f>
        <v>814985438.68000126</v>
      </c>
    </row>
    <row r="2051" spans="1:21" ht="19.5" thickBot="1" x14ac:dyDescent="0.3">
      <c r="A2051" s="136" t="s">
        <v>3107</v>
      </c>
      <c r="B2051" s="137">
        <v>45758</v>
      </c>
      <c r="C2051" s="138" t="s">
        <v>575</v>
      </c>
      <c r="D2051" s="138" t="str">
        <f>VLOOKUP(Purchase[[#This Row],[Supplier ID]],Supplier[#All],2,0)</f>
        <v>Global Computers</v>
      </c>
      <c r="E2051" s="138">
        <f>VLOOKUP(Purchase[[#This Row],[Supplier ID]],Supplier[#All],3,0)</f>
        <v>9689542459</v>
      </c>
      <c r="F2051" s="138" t="str">
        <f>VLOOKUP(Purchase[[#This Row],[Supplier ID]],Supplier[#All],4,0)</f>
        <v>Indore</v>
      </c>
      <c r="G2051" s="138" t="str">
        <f>VLOOKUP(Purchase[[#This Row],[Supplier ID]],Supplier[#All],5,0)</f>
        <v>MP</v>
      </c>
      <c r="H2051" s="138" t="str">
        <f>VLOOKUP(Purchase[[#This Row],[Supplier ID]],Supplier[#All],6,0)</f>
        <v>GST2154521T021</v>
      </c>
      <c r="I2051" s="138" t="s">
        <v>378</v>
      </c>
      <c r="J2051" s="139">
        <v>21</v>
      </c>
      <c r="K2051" s="143">
        <f>VLOOKUP(Purchase[[#This Row],[Product ID]],Product[#All],6,0)</f>
        <v>3476</v>
      </c>
      <c r="L2051" s="143">
        <f>Purchase[[#This Row],[Purchase Rate]]*Purchase[[#This Row],[Qty]]</f>
        <v>72996</v>
      </c>
      <c r="M2051" s="140">
        <v>0</v>
      </c>
      <c r="N2051" s="143">
        <v>0</v>
      </c>
      <c r="O2051" s="140">
        <v>0.18</v>
      </c>
      <c r="P2051" s="145">
        <f>(Purchase[[#This Row],[Gross Amount]]-Purchase[[#This Row],[Disct %]])*Purchase[[#This Row],[GST %]]</f>
        <v>13139.279999999999</v>
      </c>
      <c r="Q2051" s="145">
        <f>Purchase[[#This Row],[Gross Amount]]-Purchase[[#This Row],[Disct Amnt]]+Purchase[[#This Row],[GST Amount]]</f>
        <v>86135.28</v>
      </c>
      <c r="R2051" s="138" t="s">
        <v>1019</v>
      </c>
      <c r="S2051" s="41">
        <f>IF(Purchase[[#This Row],[Status]]="Cancelled",0,Purchase[[#This Row],[Qty]])</f>
        <v>21</v>
      </c>
      <c r="T2051" s="146">
        <f>IF(Purchase[[#This Row],[Status]]="Cancelled",0,Purchase[[#This Row],[Total Amount]])</f>
        <v>86135.28</v>
      </c>
      <c r="U2051" s="146">
        <f>SUM(Purchase[Net Amount])</f>
        <v>814985438.68000126</v>
      </c>
    </row>
    <row r="2052" spans="1:21" ht="19.5" thickBot="1" x14ac:dyDescent="0.3">
      <c r="A2052" s="136" t="s">
        <v>3108</v>
      </c>
      <c r="B2052" s="137">
        <v>45759</v>
      </c>
      <c r="C2052" s="138" t="s">
        <v>575</v>
      </c>
      <c r="D2052" s="138" t="str">
        <f>VLOOKUP(Purchase[[#This Row],[Supplier ID]],Supplier[#All],2,0)</f>
        <v>Global Computers</v>
      </c>
      <c r="E2052" s="138">
        <f>VLOOKUP(Purchase[[#This Row],[Supplier ID]],Supplier[#All],3,0)</f>
        <v>9689542459</v>
      </c>
      <c r="F2052" s="138" t="str">
        <f>VLOOKUP(Purchase[[#This Row],[Supplier ID]],Supplier[#All],4,0)</f>
        <v>Indore</v>
      </c>
      <c r="G2052" s="138" t="str">
        <f>VLOOKUP(Purchase[[#This Row],[Supplier ID]],Supplier[#All],5,0)</f>
        <v>MP</v>
      </c>
      <c r="H2052" s="138" t="str">
        <f>VLOOKUP(Purchase[[#This Row],[Supplier ID]],Supplier[#All],6,0)</f>
        <v>GST2154521T021</v>
      </c>
      <c r="I2052" s="138" t="s">
        <v>394</v>
      </c>
      <c r="J2052" s="139">
        <v>15</v>
      </c>
      <c r="K2052" s="143">
        <f>VLOOKUP(Purchase[[#This Row],[Product ID]],Product[#All],6,0)</f>
        <v>1446</v>
      </c>
      <c r="L2052" s="143">
        <f>Purchase[[#This Row],[Purchase Rate]]*Purchase[[#This Row],[Qty]]</f>
        <v>21690</v>
      </c>
      <c r="M2052" s="140">
        <v>0</v>
      </c>
      <c r="N2052" s="143">
        <v>0</v>
      </c>
      <c r="O2052" s="140">
        <v>0.18</v>
      </c>
      <c r="P2052" s="145">
        <f>(Purchase[[#This Row],[Gross Amount]]-Purchase[[#This Row],[Disct %]])*Purchase[[#This Row],[GST %]]</f>
        <v>3904.2</v>
      </c>
      <c r="Q2052" s="145">
        <f>Purchase[[#This Row],[Gross Amount]]-Purchase[[#This Row],[Disct Amnt]]+Purchase[[#This Row],[GST Amount]]</f>
        <v>25594.2</v>
      </c>
      <c r="R2052" s="138" t="s">
        <v>1019</v>
      </c>
      <c r="S2052" s="41">
        <f>IF(Purchase[[#This Row],[Status]]="Cancelled",0,Purchase[[#This Row],[Qty]])</f>
        <v>15</v>
      </c>
      <c r="T2052" s="146">
        <f>IF(Purchase[[#This Row],[Status]]="Cancelled",0,Purchase[[#This Row],[Total Amount]])</f>
        <v>25594.2</v>
      </c>
      <c r="U2052" s="146">
        <f>SUM(Purchase[Net Amount])</f>
        <v>814985438.68000126</v>
      </c>
    </row>
    <row r="2053" spans="1:21" ht="19.5" thickBot="1" x14ac:dyDescent="0.3">
      <c r="A2053" s="136" t="s">
        <v>3109</v>
      </c>
      <c r="B2053" s="137">
        <v>45759</v>
      </c>
      <c r="C2053" s="138" t="s">
        <v>582</v>
      </c>
      <c r="D2053" s="138" t="str">
        <f>VLOOKUP(Purchase[[#This Row],[Supplier ID]],Supplier[#All],2,0)</f>
        <v>Tech Distributors</v>
      </c>
      <c r="E2053" s="138">
        <f>VLOOKUP(Purchase[[#This Row],[Supplier ID]],Supplier[#All],3,0)</f>
        <v>9689542466</v>
      </c>
      <c r="F2053" s="138" t="str">
        <f>VLOOKUP(Purchase[[#This Row],[Supplier ID]],Supplier[#All],4,0)</f>
        <v>Indore</v>
      </c>
      <c r="G2053" s="138" t="str">
        <f>VLOOKUP(Purchase[[#This Row],[Supplier ID]],Supplier[#All],5,0)</f>
        <v>MP</v>
      </c>
      <c r="H2053" s="138" t="str">
        <f>VLOOKUP(Purchase[[#This Row],[Supplier ID]],Supplier[#All],6,0)</f>
        <v>GST2154521T028</v>
      </c>
      <c r="I2053" s="138" t="s">
        <v>513</v>
      </c>
      <c r="J2053" s="139">
        <v>15</v>
      </c>
      <c r="K2053" s="143">
        <f>VLOOKUP(Purchase[[#This Row],[Product ID]],Product[#All],6,0)</f>
        <v>1887</v>
      </c>
      <c r="L2053" s="143">
        <f>Purchase[[#This Row],[Purchase Rate]]*Purchase[[#This Row],[Qty]]</f>
        <v>28305</v>
      </c>
      <c r="M2053" s="140">
        <v>0</v>
      </c>
      <c r="N2053" s="143">
        <v>0</v>
      </c>
      <c r="O2053" s="140">
        <v>0.18</v>
      </c>
      <c r="P2053" s="145">
        <f>(Purchase[[#This Row],[Gross Amount]]-Purchase[[#This Row],[Disct %]])*Purchase[[#This Row],[GST %]]</f>
        <v>5094.8999999999996</v>
      </c>
      <c r="Q2053" s="145">
        <f>Purchase[[#This Row],[Gross Amount]]-Purchase[[#This Row],[Disct Amnt]]+Purchase[[#This Row],[GST Amount]]</f>
        <v>33399.9</v>
      </c>
      <c r="R2053" s="138" t="s">
        <v>1019</v>
      </c>
      <c r="S2053" s="41">
        <f>IF(Purchase[[#This Row],[Status]]="Cancelled",0,Purchase[[#This Row],[Qty]])</f>
        <v>15</v>
      </c>
      <c r="T2053" s="146">
        <f>IF(Purchase[[#This Row],[Status]]="Cancelled",0,Purchase[[#This Row],[Total Amount]])</f>
        <v>33399.9</v>
      </c>
      <c r="U2053" s="146">
        <f>SUM(Purchase[Net Amount])</f>
        <v>814985438.68000126</v>
      </c>
    </row>
    <row r="2054" spans="1:21" ht="19.5" thickBot="1" x14ac:dyDescent="0.3">
      <c r="A2054" s="136" t="s">
        <v>3110</v>
      </c>
      <c r="B2054" s="137">
        <v>45759</v>
      </c>
      <c r="C2054" s="138" t="s">
        <v>585</v>
      </c>
      <c r="D2054" s="138" t="str">
        <f>VLOOKUP(Purchase[[#This Row],[Supplier ID]],Supplier[#All],2,0)</f>
        <v>Tech Computers</v>
      </c>
      <c r="E2054" s="138">
        <f>VLOOKUP(Purchase[[#This Row],[Supplier ID]],Supplier[#All],3,0)</f>
        <v>9689542469</v>
      </c>
      <c r="F2054" s="138" t="str">
        <f>VLOOKUP(Purchase[[#This Row],[Supplier ID]],Supplier[#All],4,0)</f>
        <v>Korba</v>
      </c>
      <c r="G2054" s="138" t="str">
        <f>VLOOKUP(Purchase[[#This Row],[Supplier ID]],Supplier[#All],5,0)</f>
        <v>CG</v>
      </c>
      <c r="H2054" s="138" t="str">
        <f>VLOOKUP(Purchase[[#This Row],[Supplier ID]],Supplier[#All],6,0)</f>
        <v>GST2154521T031</v>
      </c>
      <c r="I2054" s="138" t="s">
        <v>489</v>
      </c>
      <c r="J2054" s="139">
        <v>25</v>
      </c>
      <c r="K2054" s="143">
        <f>VLOOKUP(Purchase[[#This Row],[Product ID]],Product[#All],6,0)</f>
        <v>6471</v>
      </c>
      <c r="L2054" s="143">
        <f>Purchase[[#This Row],[Purchase Rate]]*Purchase[[#This Row],[Qty]]</f>
        <v>161775</v>
      </c>
      <c r="M2054" s="140">
        <v>0</v>
      </c>
      <c r="N2054" s="143">
        <v>0</v>
      </c>
      <c r="O2054" s="140">
        <v>0.18</v>
      </c>
      <c r="P2054" s="145">
        <f>(Purchase[[#This Row],[Gross Amount]]-Purchase[[#This Row],[Disct %]])*Purchase[[#This Row],[GST %]]</f>
        <v>29119.5</v>
      </c>
      <c r="Q2054" s="145">
        <f>Purchase[[#This Row],[Gross Amount]]-Purchase[[#This Row],[Disct Amnt]]+Purchase[[#This Row],[GST Amount]]</f>
        <v>190894.5</v>
      </c>
      <c r="R2054" s="138" t="s">
        <v>1019</v>
      </c>
      <c r="S2054" s="41">
        <f>IF(Purchase[[#This Row],[Status]]="Cancelled",0,Purchase[[#This Row],[Qty]])</f>
        <v>25</v>
      </c>
      <c r="T2054" s="146">
        <f>IF(Purchase[[#This Row],[Status]]="Cancelled",0,Purchase[[#This Row],[Total Amount]])</f>
        <v>190894.5</v>
      </c>
      <c r="U2054" s="146">
        <f>SUM(Purchase[Net Amount])</f>
        <v>814985438.68000126</v>
      </c>
    </row>
    <row r="2055" spans="1:21" ht="19.5" thickBot="1" x14ac:dyDescent="0.3">
      <c r="A2055" s="136" t="s">
        <v>3111</v>
      </c>
      <c r="B2055" s="137">
        <v>45759</v>
      </c>
      <c r="C2055" s="138" t="s">
        <v>606</v>
      </c>
      <c r="D2055" s="138" t="str">
        <f>VLOOKUP(Purchase[[#This Row],[Supplier ID]],Supplier[#All],2,0)</f>
        <v>Prime Traders</v>
      </c>
      <c r="E2055" s="138">
        <f>VLOOKUP(Purchase[[#This Row],[Supplier ID]],Supplier[#All],3,0)</f>
        <v>9689542489</v>
      </c>
      <c r="F2055" s="138" t="str">
        <f>VLOOKUP(Purchase[[#This Row],[Supplier ID]],Supplier[#All],4,0)</f>
        <v>Indore</v>
      </c>
      <c r="G2055" s="138" t="str">
        <f>VLOOKUP(Purchase[[#This Row],[Supplier ID]],Supplier[#All],5,0)</f>
        <v>MP</v>
      </c>
      <c r="H2055" s="138" t="str">
        <f>VLOOKUP(Purchase[[#This Row],[Supplier ID]],Supplier[#All],6,0)</f>
        <v>GST2154521T051</v>
      </c>
      <c r="I2055" s="138" t="s">
        <v>297</v>
      </c>
      <c r="J2055" s="139">
        <v>14</v>
      </c>
      <c r="K2055" s="143">
        <f>VLOOKUP(Purchase[[#This Row],[Product ID]],Product[#All],6,0)</f>
        <v>34985</v>
      </c>
      <c r="L2055" s="143">
        <f>Purchase[[#This Row],[Purchase Rate]]*Purchase[[#This Row],[Qty]]</f>
        <v>489790</v>
      </c>
      <c r="M2055" s="140">
        <v>0</v>
      </c>
      <c r="N2055" s="143">
        <v>0</v>
      </c>
      <c r="O2055" s="140">
        <v>0.18</v>
      </c>
      <c r="P2055" s="145">
        <f>(Purchase[[#This Row],[Gross Amount]]-Purchase[[#This Row],[Disct %]])*Purchase[[#This Row],[GST %]]</f>
        <v>88162.2</v>
      </c>
      <c r="Q2055" s="145">
        <f>Purchase[[#This Row],[Gross Amount]]-Purchase[[#This Row],[Disct Amnt]]+Purchase[[#This Row],[GST Amount]]</f>
        <v>577952.19999999995</v>
      </c>
      <c r="R2055" s="138" t="s">
        <v>1019</v>
      </c>
      <c r="S2055" s="41">
        <f>IF(Purchase[[#This Row],[Status]]="Cancelled",0,Purchase[[#This Row],[Qty]])</f>
        <v>14</v>
      </c>
      <c r="T2055" s="146">
        <f>IF(Purchase[[#This Row],[Status]]="Cancelled",0,Purchase[[#This Row],[Total Amount]])</f>
        <v>577952.19999999995</v>
      </c>
      <c r="U2055" s="146">
        <f>SUM(Purchase[Net Amount])</f>
        <v>814985438.68000126</v>
      </c>
    </row>
    <row r="2056" spans="1:21" ht="19.5" thickBot="1" x14ac:dyDescent="0.3">
      <c r="A2056" s="136" t="s">
        <v>3112</v>
      </c>
      <c r="B2056" s="137">
        <v>45759</v>
      </c>
      <c r="C2056" s="138" t="s">
        <v>588</v>
      </c>
      <c r="D2056" s="138" t="str">
        <f>VLOOKUP(Purchase[[#This Row],[Supplier ID]],Supplier[#All],2,0)</f>
        <v>Star Electronics</v>
      </c>
      <c r="E2056" s="138">
        <f>VLOOKUP(Purchase[[#This Row],[Supplier ID]],Supplier[#All],3,0)</f>
        <v>9689542472</v>
      </c>
      <c r="F2056" s="138" t="str">
        <f>VLOOKUP(Purchase[[#This Row],[Supplier ID]],Supplier[#All],4,0)</f>
        <v>Korba</v>
      </c>
      <c r="G2056" s="138" t="str">
        <f>VLOOKUP(Purchase[[#This Row],[Supplier ID]],Supplier[#All],5,0)</f>
        <v>CG</v>
      </c>
      <c r="H2056" s="138" t="str">
        <f>VLOOKUP(Purchase[[#This Row],[Supplier ID]],Supplier[#All],6,0)</f>
        <v>GST2154521T034</v>
      </c>
      <c r="I2056" s="138" t="s">
        <v>246</v>
      </c>
      <c r="J2056" s="139">
        <v>18</v>
      </c>
      <c r="K2056" s="143">
        <f>VLOOKUP(Purchase[[#This Row],[Product ID]],Product[#All],6,0)</f>
        <v>1375</v>
      </c>
      <c r="L2056" s="143">
        <f>Purchase[[#This Row],[Purchase Rate]]*Purchase[[#This Row],[Qty]]</f>
        <v>24750</v>
      </c>
      <c r="M2056" s="140">
        <v>0</v>
      </c>
      <c r="N2056" s="143">
        <v>0</v>
      </c>
      <c r="O2056" s="140">
        <v>0.18</v>
      </c>
      <c r="P2056" s="145">
        <f>(Purchase[[#This Row],[Gross Amount]]-Purchase[[#This Row],[Disct %]])*Purchase[[#This Row],[GST %]]</f>
        <v>4455</v>
      </c>
      <c r="Q2056" s="145">
        <f>Purchase[[#This Row],[Gross Amount]]-Purchase[[#This Row],[Disct Amnt]]+Purchase[[#This Row],[GST Amount]]</f>
        <v>29205</v>
      </c>
      <c r="R2056" s="138" t="s">
        <v>1019</v>
      </c>
      <c r="S2056" s="41">
        <f>IF(Purchase[[#This Row],[Status]]="Cancelled",0,Purchase[[#This Row],[Qty]])</f>
        <v>18</v>
      </c>
      <c r="T2056" s="146">
        <f>IF(Purchase[[#This Row],[Status]]="Cancelled",0,Purchase[[#This Row],[Total Amount]])</f>
        <v>29205</v>
      </c>
      <c r="U2056" s="146">
        <f>SUM(Purchase[Net Amount])</f>
        <v>814985438.68000126</v>
      </c>
    </row>
    <row r="2057" spans="1:21" ht="19.5" thickBot="1" x14ac:dyDescent="0.3">
      <c r="A2057" s="136" t="s">
        <v>3113</v>
      </c>
      <c r="B2057" s="137">
        <v>45759</v>
      </c>
      <c r="C2057" s="138" t="s">
        <v>580</v>
      </c>
      <c r="D2057" s="138" t="str">
        <f>VLOOKUP(Purchase[[#This Row],[Supplier ID]],Supplier[#All],2,0)</f>
        <v>Star Distributors</v>
      </c>
      <c r="E2057" s="138">
        <f>VLOOKUP(Purchase[[#This Row],[Supplier ID]],Supplier[#All],3,0)</f>
        <v>9689542464</v>
      </c>
      <c r="F2057" s="138" t="str">
        <f>VLOOKUP(Purchase[[#This Row],[Supplier ID]],Supplier[#All],4,0)</f>
        <v>Indore</v>
      </c>
      <c r="G2057" s="138" t="str">
        <f>VLOOKUP(Purchase[[#This Row],[Supplier ID]],Supplier[#All],5,0)</f>
        <v>MP</v>
      </c>
      <c r="H2057" s="138" t="str">
        <f>VLOOKUP(Purchase[[#This Row],[Supplier ID]],Supplier[#All],6,0)</f>
        <v>GST2154521T026</v>
      </c>
      <c r="I2057" s="138" t="s">
        <v>477</v>
      </c>
      <c r="J2057" s="139">
        <v>20</v>
      </c>
      <c r="K2057" s="143">
        <f>VLOOKUP(Purchase[[#This Row],[Product ID]],Product[#All],6,0)</f>
        <v>13876</v>
      </c>
      <c r="L2057" s="143">
        <f>Purchase[[#This Row],[Purchase Rate]]*Purchase[[#This Row],[Qty]]</f>
        <v>277520</v>
      </c>
      <c r="M2057" s="140">
        <v>0</v>
      </c>
      <c r="N2057" s="143">
        <v>0</v>
      </c>
      <c r="O2057" s="140">
        <v>0.18</v>
      </c>
      <c r="P2057" s="145">
        <f>(Purchase[[#This Row],[Gross Amount]]-Purchase[[#This Row],[Disct %]])*Purchase[[#This Row],[GST %]]</f>
        <v>49953.599999999999</v>
      </c>
      <c r="Q2057" s="145">
        <f>Purchase[[#This Row],[Gross Amount]]-Purchase[[#This Row],[Disct Amnt]]+Purchase[[#This Row],[GST Amount]]</f>
        <v>327473.59999999998</v>
      </c>
      <c r="R2057" s="138" t="s">
        <v>1019</v>
      </c>
      <c r="S2057" s="41">
        <f>IF(Purchase[[#This Row],[Status]]="Cancelled",0,Purchase[[#This Row],[Qty]])</f>
        <v>20</v>
      </c>
      <c r="T2057" s="146">
        <f>IF(Purchase[[#This Row],[Status]]="Cancelled",0,Purchase[[#This Row],[Total Amount]])</f>
        <v>327473.59999999998</v>
      </c>
      <c r="U2057" s="146">
        <f>SUM(Purchase[Net Amount])</f>
        <v>814985438.68000126</v>
      </c>
    </row>
    <row r="2058" spans="1:21" ht="19.5" thickBot="1" x14ac:dyDescent="0.3">
      <c r="A2058" s="136" t="s">
        <v>3114</v>
      </c>
      <c r="B2058" s="137">
        <v>45759</v>
      </c>
      <c r="C2058" s="138" t="s">
        <v>590</v>
      </c>
      <c r="D2058" s="138" t="str">
        <f>VLOOKUP(Purchase[[#This Row],[Supplier ID]],Supplier[#All],2,0)</f>
        <v>Star Distributors</v>
      </c>
      <c r="E2058" s="138">
        <f>VLOOKUP(Purchase[[#This Row],[Supplier ID]],Supplier[#All],3,0)</f>
        <v>9689542474</v>
      </c>
      <c r="F2058" s="138" t="str">
        <f>VLOOKUP(Purchase[[#This Row],[Supplier ID]],Supplier[#All],4,0)</f>
        <v>Kanpur</v>
      </c>
      <c r="G2058" s="138" t="str">
        <f>VLOOKUP(Purchase[[#This Row],[Supplier ID]],Supplier[#All],5,0)</f>
        <v>UP</v>
      </c>
      <c r="H2058" s="138" t="str">
        <f>VLOOKUP(Purchase[[#This Row],[Supplier ID]],Supplier[#All],6,0)</f>
        <v>GST2154521T036</v>
      </c>
      <c r="I2058" s="138" t="s">
        <v>405</v>
      </c>
      <c r="J2058" s="139">
        <v>17</v>
      </c>
      <c r="K2058" s="143">
        <f>VLOOKUP(Purchase[[#This Row],[Product ID]],Product[#All],6,0)</f>
        <v>1259</v>
      </c>
      <c r="L2058" s="143">
        <f>Purchase[[#This Row],[Purchase Rate]]*Purchase[[#This Row],[Qty]]</f>
        <v>21403</v>
      </c>
      <c r="M2058" s="140">
        <v>0</v>
      </c>
      <c r="N2058" s="143">
        <v>0</v>
      </c>
      <c r="O2058" s="140">
        <v>0.18</v>
      </c>
      <c r="P2058" s="145">
        <f>(Purchase[[#This Row],[Gross Amount]]-Purchase[[#This Row],[Disct %]])*Purchase[[#This Row],[GST %]]</f>
        <v>3852.54</v>
      </c>
      <c r="Q2058" s="145">
        <f>Purchase[[#This Row],[Gross Amount]]-Purchase[[#This Row],[Disct Amnt]]+Purchase[[#This Row],[GST Amount]]</f>
        <v>25255.54</v>
      </c>
      <c r="R2058" s="138" t="s">
        <v>1019</v>
      </c>
      <c r="S2058" s="41">
        <f>IF(Purchase[[#This Row],[Status]]="Cancelled",0,Purchase[[#This Row],[Qty]])</f>
        <v>17</v>
      </c>
      <c r="T2058" s="146">
        <f>IF(Purchase[[#This Row],[Status]]="Cancelled",0,Purchase[[#This Row],[Total Amount]])</f>
        <v>25255.54</v>
      </c>
      <c r="U2058" s="146">
        <f>SUM(Purchase[Net Amount])</f>
        <v>814985438.68000126</v>
      </c>
    </row>
    <row r="2059" spans="1:21" ht="19.5" thickBot="1" x14ac:dyDescent="0.3">
      <c r="A2059" s="136" t="s">
        <v>3115</v>
      </c>
      <c r="B2059" s="137">
        <v>45759</v>
      </c>
      <c r="C2059" s="138" t="s">
        <v>596</v>
      </c>
      <c r="D2059" s="138" t="str">
        <f>VLOOKUP(Purchase[[#This Row],[Supplier ID]],Supplier[#All],2,0)</f>
        <v>star traders</v>
      </c>
      <c r="E2059" s="138">
        <f>VLOOKUP(Purchase[[#This Row],[Supplier ID]],Supplier[#All],3,0)</f>
        <v>9689542479</v>
      </c>
      <c r="F2059" s="138" t="str">
        <f>VLOOKUP(Purchase[[#This Row],[Supplier ID]],Supplier[#All],4,0)</f>
        <v>Korba</v>
      </c>
      <c r="G2059" s="138" t="str">
        <f>VLOOKUP(Purchase[[#This Row],[Supplier ID]],Supplier[#All],5,0)</f>
        <v>CG</v>
      </c>
      <c r="H2059" s="138" t="str">
        <f>VLOOKUP(Purchase[[#This Row],[Supplier ID]],Supplier[#All],6,0)</f>
        <v>GST2154521T041</v>
      </c>
      <c r="I2059" s="138" t="s">
        <v>488</v>
      </c>
      <c r="J2059" s="139">
        <v>20</v>
      </c>
      <c r="K2059" s="143">
        <f>VLOOKUP(Purchase[[#This Row],[Product ID]],Product[#All],6,0)</f>
        <v>28611</v>
      </c>
      <c r="L2059" s="143">
        <f>Purchase[[#This Row],[Purchase Rate]]*Purchase[[#This Row],[Qty]]</f>
        <v>572220</v>
      </c>
      <c r="M2059" s="140">
        <v>0</v>
      </c>
      <c r="N2059" s="143">
        <v>0</v>
      </c>
      <c r="O2059" s="140">
        <v>0.18</v>
      </c>
      <c r="P2059" s="145">
        <f>(Purchase[[#This Row],[Gross Amount]]-Purchase[[#This Row],[Disct %]])*Purchase[[#This Row],[GST %]]</f>
        <v>102999.59999999999</v>
      </c>
      <c r="Q2059" s="145">
        <f>Purchase[[#This Row],[Gross Amount]]-Purchase[[#This Row],[Disct Amnt]]+Purchase[[#This Row],[GST Amount]]</f>
        <v>675219.6</v>
      </c>
      <c r="R2059" s="138" t="s">
        <v>1019</v>
      </c>
      <c r="S2059" s="41">
        <f>IF(Purchase[[#This Row],[Status]]="Cancelled",0,Purchase[[#This Row],[Qty]])</f>
        <v>20</v>
      </c>
      <c r="T2059" s="146">
        <f>IF(Purchase[[#This Row],[Status]]="Cancelled",0,Purchase[[#This Row],[Total Amount]])</f>
        <v>675219.6</v>
      </c>
      <c r="U2059" s="146">
        <f>SUM(Purchase[Net Amount])</f>
        <v>814985438.68000126</v>
      </c>
    </row>
    <row r="2060" spans="1:21" ht="19.5" thickBot="1" x14ac:dyDescent="0.3">
      <c r="A2060" s="136" t="s">
        <v>3116</v>
      </c>
      <c r="B2060" s="137">
        <v>45759</v>
      </c>
      <c r="C2060" s="138" t="s">
        <v>589</v>
      </c>
      <c r="D2060" s="138" t="str">
        <f>VLOOKUP(Purchase[[#This Row],[Supplier ID]],Supplier[#All],2,0)</f>
        <v>Maa Computers</v>
      </c>
      <c r="E2060" s="138">
        <f>VLOOKUP(Purchase[[#This Row],[Supplier ID]],Supplier[#All],3,0)</f>
        <v>9689542473</v>
      </c>
      <c r="F2060" s="138" t="str">
        <f>VLOOKUP(Purchase[[#This Row],[Supplier ID]],Supplier[#All],4,0)</f>
        <v>Kanpur</v>
      </c>
      <c r="G2060" s="138" t="str">
        <f>VLOOKUP(Purchase[[#This Row],[Supplier ID]],Supplier[#All],5,0)</f>
        <v>UP</v>
      </c>
      <c r="H2060" s="138" t="str">
        <f>VLOOKUP(Purchase[[#This Row],[Supplier ID]],Supplier[#All],6,0)</f>
        <v>GST2154521T035</v>
      </c>
      <c r="I2060" s="138" t="s">
        <v>443</v>
      </c>
      <c r="J2060" s="139">
        <v>3</v>
      </c>
      <c r="K2060" s="143">
        <f>VLOOKUP(Purchase[[#This Row],[Product ID]],Product[#All],6,0)</f>
        <v>3342</v>
      </c>
      <c r="L2060" s="143">
        <f>Purchase[[#This Row],[Purchase Rate]]*Purchase[[#This Row],[Qty]]</f>
        <v>10026</v>
      </c>
      <c r="M2060" s="140">
        <v>0</v>
      </c>
      <c r="N2060" s="143">
        <v>0</v>
      </c>
      <c r="O2060" s="140">
        <v>0.18</v>
      </c>
      <c r="P2060" s="145">
        <f>(Purchase[[#This Row],[Gross Amount]]-Purchase[[#This Row],[Disct %]])*Purchase[[#This Row],[GST %]]</f>
        <v>1804.6799999999998</v>
      </c>
      <c r="Q2060" s="145">
        <f>Purchase[[#This Row],[Gross Amount]]-Purchase[[#This Row],[Disct Amnt]]+Purchase[[#This Row],[GST Amount]]</f>
        <v>11830.68</v>
      </c>
      <c r="R2060" s="138" t="s">
        <v>1019</v>
      </c>
      <c r="S2060" s="41">
        <f>IF(Purchase[[#This Row],[Status]]="Cancelled",0,Purchase[[#This Row],[Qty]])</f>
        <v>3</v>
      </c>
      <c r="T2060" s="146">
        <f>IF(Purchase[[#This Row],[Status]]="Cancelled",0,Purchase[[#This Row],[Total Amount]])</f>
        <v>11830.68</v>
      </c>
      <c r="U2060" s="146">
        <f>SUM(Purchase[Net Amount])</f>
        <v>814985438.68000126</v>
      </c>
    </row>
    <row r="2061" spans="1:21" ht="19.5" thickBot="1" x14ac:dyDescent="0.3">
      <c r="A2061" s="136" t="s">
        <v>3117</v>
      </c>
      <c r="B2061" s="137">
        <v>45759</v>
      </c>
      <c r="C2061" s="138" t="s">
        <v>607</v>
      </c>
      <c r="D2061" s="138" t="str">
        <f>VLOOKUP(Purchase[[#This Row],[Supplier ID]],Supplier[#All],2,0)</f>
        <v>Global Distributors</v>
      </c>
      <c r="E2061" s="138">
        <f>VLOOKUP(Purchase[[#This Row],[Supplier ID]],Supplier[#All],3,0)</f>
        <v>9689542490</v>
      </c>
      <c r="F2061" s="138" t="str">
        <f>VLOOKUP(Purchase[[#This Row],[Supplier ID]],Supplier[#All],4,0)</f>
        <v>Kanpur</v>
      </c>
      <c r="G2061" s="138" t="str">
        <f>VLOOKUP(Purchase[[#This Row],[Supplier ID]],Supplier[#All],5,0)</f>
        <v>UP</v>
      </c>
      <c r="H2061" s="138" t="str">
        <f>VLOOKUP(Purchase[[#This Row],[Supplier ID]],Supplier[#All],6,0)</f>
        <v>GST2154521T052</v>
      </c>
      <c r="I2061" s="138" t="s">
        <v>368</v>
      </c>
      <c r="J2061" s="139">
        <v>3</v>
      </c>
      <c r="K2061" s="143">
        <f>VLOOKUP(Purchase[[#This Row],[Product ID]],Product[#All],6,0)</f>
        <v>1031</v>
      </c>
      <c r="L2061" s="143">
        <f>Purchase[[#This Row],[Purchase Rate]]*Purchase[[#This Row],[Qty]]</f>
        <v>3093</v>
      </c>
      <c r="M2061" s="140">
        <v>0</v>
      </c>
      <c r="N2061" s="143">
        <v>0</v>
      </c>
      <c r="O2061" s="140">
        <v>0.18</v>
      </c>
      <c r="P2061" s="145">
        <f>(Purchase[[#This Row],[Gross Amount]]-Purchase[[#This Row],[Disct %]])*Purchase[[#This Row],[GST %]]</f>
        <v>556.74</v>
      </c>
      <c r="Q2061" s="145">
        <f>Purchase[[#This Row],[Gross Amount]]-Purchase[[#This Row],[Disct Amnt]]+Purchase[[#This Row],[GST Amount]]</f>
        <v>3649.74</v>
      </c>
      <c r="R2061" s="138" t="s">
        <v>1019</v>
      </c>
      <c r="S2061" s="41">
        <f>IF(Purchase[[#This Row],[Status]]="Cancelled",0,Purchase[[#This Row],[Qty]])</f>
        <v>3</v>
      </c>
      <c r="T2061" s="146">
        <f>IF(Purchase[[#This Row],[Status]]="Cancelled",0,Purchase[[#This Row],[Total Amount]])</f>
        <v>3649.74</v>
      </c>
      <c r="U2061" s="146">
        <f>SUM(Purchase[Net Amount])</f>
        <v>814985438.68000126</v>
      </c>
    </row>
    <row r="2062" spans="1:21" ht="19.5" thickBot="1" x14ac:dyDescent="0.3">
      <c r="A2062" s="136" t="s">
        <v>3118</v>
      </c>
      <c r="B2062" s="137">
        <v>45759</v>
      </c>
      <c r="C2062" s="138" t="s">
        <v>610</v>
      </c>
      <c r="D2062" s="138" t="str">
        <f>VLOOKUP(Purchase[[#This Row],[Supplier ID]],Supplier[#All],2,0)</f>
        <v>Shree Electronics</v>
      </c>
      <c r="E2062" s="138">
        <f>VLOOKUP(Purchase[[#This Row],[Supplier ID]],Supplier[#All],3,0)</f>
        <v>9689542493</v>
      </c>
      <c r="F2062" s="138" t="str">
        <f>VLOOKUP(Purchase[[#This Row],[Supplier ID]],Supplier[#All],4,0)</f>
        <v>Kanpur</v>
      </c>
      <c r="G2062" s="138" t="str">
        <f>VLOOKUP(Purchase[[#This Row],[Supplier ID]],Supplier[#All],5,0)</f>
        <v>UP</v>
      </c>
      <c r="H2062" s="138" t="str">
        <f>VLOOKUP(Purchase[[#This Row],[Supplier ID]],Supplier[#All],6,0)</f>
        <v>GST2154521T055</v>
      </c>
      <c r="I2062" s="138" t="s">
        <v>150</v>
      </c>
      <c r="J2062" s="139">
        <v>27</v>
      </c>
      <c r="K2062" s="143">
        <f>VLOOKUP(Purchase[[#This Row],[Product ID]],Product[#All],6,0)</f>
        <v>7322</v>
      </c>
      <c r="L2062" s="143">
        <f>Purchase[[#This Row],[Purchase Rate]]*Purchase[[#This Row],[Qty]]</f>
        <v>197694</v>
      </c>
      <c r="M2062" s="140">
        <v>0</v>
      </c>
      <c r="N2062" s="143">
        <v>0</v>
      </c>
      <c r="O2062" s="140">
        <v>0.18</v>
      </c>
      <c r="P2062" s="145">
        <f>(Purchase[[#This Row],[Gross Amount]]-Purchase[[#This Row],[Disct %]])*Purchase[[#This Row],[GST %]]</f>
        <v>35584.92</v>
      </c>
      <c r="Q2062" s="145">
        <f>Purchase[[#This Row],[Gross Amount]]-Purchase[[#This Row],[Disct Amnt]]+Purchase[[#This Row],[GST Amount]]</f>
        <v>233278.91999999998</v>
      </c>
      <c r="R2062" s="138" t="s">
        <v>1019</v>
      </c>
      <c r="S2062" s="41">
        <f>IF(Purchase[[#This Row],[Status]]="Cancelled",0,Purchase[[#This Row],[Qty]])</f>
        <v>27</v>
      </c>
      <c r="T2062" s="146">
        <f>IF(Purchase[[#This Row],[Status]]="Cancelled",0,Purchase[[#This Row],[Total Amount]])</f>
        <v>233278.91999999998</v>
      </c>
      <c r="U2062" s="146">
        <f>SUM(Purchase[Net Amount])</f>
        <v>814985438.68000126</v>
      </c>
    </row>
    <row r="2063" spans="1:21" ht="19.5" thickBot="1" x14ac:dyDescent="0.3">
      <c r="A2063" s="136" t="s">
        <v>3119</v>
      </c>
      <c r="B2063" s="137">
        <v>45759</v>
      </c>
      <c r="C2063" s="138" t="s">
        <v>595</v>
      </c>
      <c r="D2063" s="138" t="str">
        <f>VLOOKUP(Purchase[[#This Row],[Supplier ID]],Supplier[#All],2,0)</f>
        <v>Star Computers</v>
      </c>
      <c r="E2063" s="138">
        <f>VLOOKUP(Purchase[[#This Row],[Supplier ID]],Supplier[#All],3,0)</f>
        <v>9689542478</v>
      </c>
      <c r="F2063" s="138" t="str">
        <f>VLOOKUP(Purchase[[#This Row],[Supplier ID]],Supplier[#All],4,0)</f>
        <v>Kanpur</v>
      </c>
      <c r="G2063" s="138" t="str">
        <f>VLOOKUP(Purchase[[#This Row],[Supplier ID]],Supplier[#All],5,0)</f>
        <v>UP</v>
      </c>
      <c r="H2063" s="138" t="str">
        <f>VLOOKUP(Purchase[[#This Row],[Supplier ID]],Supplier[#All],6,0)</f>
        <v>GST2154521T040</v>
      </c>
      <c r="I2063" s="138" t="s">
        <v>463</v>
      </c>
      <c r="J2063" s="139">
        <v>36</v>
      </c>
      <c r="K2063" s="143">
        <f>VLOOKUP(Purchase[[#This Row],[Product ID]],Product[#All],6,0)</f>
        <v>8739</v>
      </c>
      <c r="L2063" s="143">
        <f>Purchase[[#This Row],[Purchase Rate]]*Purchase[[#This Row],[Qty]]</f>
        <v>314604</v>
      </c>
      <c r="M2063" s="140">
        <v>0</v>
      </c>
      <c r="N2063" s="143">
        <v>0</v>
      </c>
      <c r="O2063" s="140">
        <v>0.18</v>
      </c>
      <c r="P2063" s="145">
        <f>(Purchase[[#This Row],[Gross Amount]]-Purchase[[#This Row],[Disct %]])*Purchase[[#This Row],[GST %]]</f>
        <v>56628.72</v>
      </c>
      <c r="Q2063" s="145">
        <f>Purchase[[#This Row],[Gross Amount]]-Purchase[[#This Row],[Disct Amnt]]+Purchase[[#This Row],[GST Amount]]</f>
        <v>371232.72</v>
      </c>
      <c r="R2063" s="138" t="s">
        <v>1019</v>
      </c>
      <c r="S2063" s="41">
        <f>IF(Purchase[[#This Row],[Status]]="Cancelled",0,Purchase[[#This Row],[Qty]])</f>
        <v>36</v>
      </c>
      <c r="T2063" s="146">
        <f>IF(Purchase[[#This Row],[Status]]="Cancelled",0,Purchase[[#This Row],[Total Amount]])</f>
        <v>371232.72</v>
      </c>
      <c r="U2063" s="146">
        <f>SUM(Purchase[Net Amount])</f>
        <v>814985438.68000126</v>
      </c>
    </row>
    <row r="2064" spans="1:21" ht="19.5" thickBot="1" x14ac:dyDescent="0.3">
      <c r="A2064" s="136" t="s">
        <v>3120</v>
      </c>
      <c r="B2064" s="137">
        <v>45759</v>
      </c>
      <c r="C2064" s="138" t="s">
        <v>593</v>
      </c>
      <c r="D2064" s="138" t="str">
        <f>VLOOKUP(Purchase[[#This Row],[Supplier ID]],Supplier[#All],2,0)</f>
        <v>Global Suppliers</v>
      </c>
      <c r="E2064" s="138">
        <f>VLOOKUP(Purchase[[#This Row],[Supplier ID]],Supplier[#All],3,0)</f>
        <v>9689542476</v>
      </c>
      <c r="F2064" s="138" t="str">
        <f>VLOOKUP(Purchase[[#This Row],[Supplier ID]],Supplier[#All],4,0)</f>
        <v>Korba</v>
      </c>
      <c r="G2064" s="138" t="str">
        <f>VLOOKUP(Purchase[[#This Row],[Supplier ID]],Supplier[#All],5,0)</f>
        <v>CG</v>
      </c>
      <c r="H2064" s="138" t="str">
        <f>VLOOKUP(Purchase[[#This Row],[Supplier ID]],Supplier[#All],6,0)</f>
        <v>GST2154521T038</v>
      </c>
      <c r="I2064" s="138" t="s">
        <v>256</v>
      </c>
      <c r="J2064" s="139">
        <v>4</v>
      </c>
      <c r="K2064" s="143">
        <f>VLOOKUP(Purchase[[#This Row],[Product ID]],Product[#All],6,0)</f>
        <v>82676</v>
      </c>
      <c r="L2064" s="143">
        <f>Purchase[[#This Row],[Purchase Rate]]*Purchase[[#This Row],[Qty]]</f>
        <v>330704</v>
      </c>
      <c r="M2064" s="140">
        <v>0</v>
      </c>
      <c r="N2064" s="143">
        <v>0</v>
      </c>
      <c r="O2064" s="140">
        <v>0.18</v>
      </c>
      <c r="P2064" s="145">
        <f>(Purchase[[#This Row],[Gross Amount]]-Purchase[[#This Row],[Disct %]])*Purchase[[#This Row],[GST %]]</f>
        <v>59526.720000000001</v>
      </c>
      <c r="Q2064" s="145">
        <f>Purchase[[#This Row],[Gross Amount]]-Purchase[[#This Row],[Disct Amnt]]+Purchase[[#This Row],[GST Amount]]</f>
        <v>390230.72</v>
      </c>
      <c r="R2064" s="138" t="s">
        <v>1019</v>
      </c>
      <c r="S2064" s="41">
        <f>IF(Purchase[[#This Row],[Status]]="Cancelled",0,Purchase[[#This Row],[Qty]])</f>
        <v>4</v>
      </c>
      <c r="T2064" s="146">
        <f>IF(Purchase[[#This Row],[Status]]="Cancelled",0,Purchase[[#This Row],[Total Amount]])</f>
        <v>390230.72</v>
      </c>
      <c r="U2064" s="146">
        <f>SUM(Purchase[Net Amount])</f>
        <v>814985438.68000126</v>
      </c>
    </row>
    <row r="2065" spans="1:21" ht="19.5" thickBot="1" x14ac:dyDescent="0.3">
      <c r="A2065" s="136" t="s">
        <v>3121</v>
      </c>
      <c r="B2065" s="137">
        <v>45759</v>
      </c>
      <c r="C2065" s="138" t="s">
        <v>569</v>
      </c>
      <c r="D2065" s="138" t="str">
        <f>VLOOKUP(Purchase[[#This Row],[Supplier ID]],Supplier[#All],2,0)</f>
        <v>Tech Electronics</v>
      </c>
      <c r="E2065" s="138">
        <f>VLOOKUP(Purchase[[#This Row],[Supplier ID]],Supplier[#All],3,0)</f>
        <v>9689542455</v>
      </c>
      <c r="F2065" s="138" t="str">
        <f>VLOOKUP(Purchase[[#This Row],[Supplier ID]],Supplier[#All],4,0)</f>
        <v>Korba</v>
      </c>
      <c r="G2065" s="138" t="str">
        <f>VLOOKUP(Purchase[[#This Row],[Supplier ID]],Supplier[#All],5,0)</f>
        <v>CG</v>
      </c>
      <c r="H2065" s="138" t="str">
        <f>VLOOKUP(Purchase[[#This Row],[Supplier ID]],Supplier[#All],6,0)</f>
        <v>GST2154521T017</v>
      </c>
      <c r="I2065" s="138" t="s">
        <v>372</v>
      </c>
      <c r="J2065" s="139">
        <v>7</v>
      </c>
      <c r="K2065" s="143">
        <f>VLOOKUP(Purchase[[#This Row],[Product ID]],Product[#All],6,0)</f>
        <v>441</v>
      </c>
      <c r="L2065" s="143">
        <f>Purchase[[#This Row],[Purchase Rate]]*Purchase[[#This Row],[Qty]]</f>
        <v>3087</v>
      </c>
      <c r="M2065" s="140">
        <v>0</v>
      </c>
      <c r="N2065" s="143">
        <v>0</v>
      </c>
      <c r="O2065" s="140">
        <v>0.18</v>
      </c>
      <c r="P2065" s="145">
        <f>(Purchase[[#This Row],[Gross Amount]]-Purchase[[#This Row],[Disct %]])*Purchase[[#This Row],[GST %]]</f>
        <v>555.66</v>
      </c>
      <c r="Q2065" s="145">
        <f>Purchase[[#This Row],[Gross Amount]]-Purchase[[#This Row],[Disct Amnt]]+Purchase[[#This Row],[GST Amount]]</f>
        <v>3642.66</v>
      </c>
      <c r="R2065" s="138" t="s">
        <v>1019</v>
      </c>
      <c r="S2065" s="41">
        <f>IF(Purchase[[#This Row],[Status]]="Cancelled",0,Purchase[[#This Row],[Qty]])</f>
        <v>7</v>
      </c>
      <c r="T2065" s="146">
        <f>IF(Purchase[[#This Row],[Status]]="Cancelled",0,Purchase[[#This Row],[Total Amount]])</f>
        <v>3642.66</v>
      </c>
      <c r="U2065" s="146">
        <f>SUM(Purchase[Net Amount])</f>
        <v>814985438.68000126</v>
      </c>
    </row>
    <row r="2066" spans="1:21" ht="19.5" thickBot="1" x14ac:dyDescent="0.3">
      <c r="A2066" s="136" t="s">
        <v>3122</v>
      </c>
      <c r="B2066" s="137">
        <v>45759</v>
      </c>
      <c r="C2066" s="138" t="s">
        <v>596</v>
      </c>
      <c r="D2066" s="138" t="str">
        <f>VLOOKUP(Purchase[[#This Row],[Supplier ID]],Supplier[#All],2,0)</f>
        <v>star traders</v>
      </c>
      <c r="E2066" s="138">
        <f>VLOOKUP(Purchase[[#This Row],[Supplier ID]],Supplier[#All],3,0)</f>
        <v>9689542479</v>
      </c>
      <c r="F2066" s="138" t="str">
        <f>VLOOKUP(Purchase[[#This Row],[Supplier ID]],Supplier[#All],4,0)</f>
        <v>Korba</v>
      </c>
      <c r="G2066" s="138" t="str">
        <f>VLOOKUP(Purchase[[#This Row],[Supplier ID]],Supplier[#All],5,0)</f>
        <v>CG</v>
      </c>
      <c r="H2066" s="138" t="str">
        <f>VLOOKUP(Purchase[[#This Row],[Supplier ID]],Supplier[#All],6,0)</f>
        <v>GST2154521T041</v>
      </c>
      <c r="I2066" s="138" t="s">
        <v>388</v>
      </c>
      <c r="J2066" s="139">
        <v>2</v>
      </c>
      <c r="K2066" s="143">
        <f>VLOOKUP(Purchase[[#This Row],[Product ID]],Product[#All],6,0)</f>
        <v>57116</v>
      </c>
      <c r="L2066" s="143">
        <f>Purchase[[#This Row],[Purchase Rate]]*Purchase[[#This Row],[Qty]]</f>
        <v>114232</v>
      </c>
      <c r="M2066" s="140">
        <v>0</v>
      </c>
      <c r="N2066" s="143">
        <v>0</v>
      </c>
      <c r="O2066" s="140">
        <v>0.18</v>
      </c>
      <c r="P2066" s="145">
        <f>(Purchase[[#This Row],[Gross Amount]]-Purchase[[#This Row],[Disct %]])*Purchase[[#This Row],[GST %]]</f>
        <v>20561.759999999998</v>
      </c>
      <c r="Q2066" s="145">
        <f>Purchase[[#This Row],[Gross Amount]]-Purchase[[#This Row],[Disct Amnt]]+Purchase[[#This Row],[GST Amount]]</f>
        <v>134793.76</v>
      </c>
      <c r="R2066" s="138" t="s">
        <v>1019</v>
      </c>
      <c r="S2066" s="41">
        <f>IF(Purchase[[#This Row],[Status]]="Cancelled",0,Purchase[[#This Row],[Qty]])</f>
        <v>2</v>
      </c>
      <c r="T2066" s="146">
        <f>IF(Purchase[[#This Row],[Status]]="Cancelled",0,Purchase[[#This Row],[Total Amount]])</f>
        <v>134793.76</v>
      </c>
      <c r="U2066" s="146">
        <f>SUM(Purchase[Net Amount])</f>
        <v>814985438.68000126</v>
      </c>
    </row>
    <row r="2067" spans="1:21" ht="19.5" thickBot="1" x14ac:dyDescent="0.3">
      <c r="A2067" s="136" t="s">
        <v>3123</v>
      </c>
      <c r="B2067" s="137">
        <v>45759</v>
      </c>
      <c r="C2067" s="138" t="s">
        <v>584</v>
      </c>
      <c r="D2067" s="138" t="str">
        <f>VLOOKUP(Purchase[[#This Row],[Supplier ID]],Supplier[#All],2,0)</f>
        <v>Prime Computers</v>
      </c>
      <c r="E2067" s="138">
        <f>VLOOKUP(Purchase[[#This Row],[Supplier ID]],Supplier[#All],3,0)</f>
        <v>9689542468</v>
      </c>
      <c r="F2067" s="138" t="str">
        <f>VLOOKUP(Purchase[[#This Row],[Supplier ID]],Supplier[#All],4,0)</f>
        <v>Kanpur</v>
      </c>
      <c r="G2067" s="138" t="str">
        <f>VLOOKUP(Purchase[[#This Row],[Supplier ID]],Supplier[#All],5,0)</f>
        <v>UP</v>
      </c>
      <c r="H2067" s="138" t="str">
        <f>VLOOKUP(Purchase[[#This Row],[Supplier ID]],Supplier[#All],6,0)</f>
        <v>GST2154521T030</v>
      </c>
      <c r="I2067" s="138" t="s">
        <v>134</v>
      </c>
      <c r="J2067" s="139">
        <v>12</v>
      </c>
      <c r="K2067" s="143">
        <f>VLOOKUP(Purchase[[#This Row],[Product ID]],Product[#All],6,0)</f>
        <v>3192</v>
      </c>
      <c r="L2067" s="143">
        <f>Purchase[[#This Row],[Purchase Rate]]*Purchase[[#This Row],[Qty]]</f>
        <v>38304</v>
      </c>
      <c r="M2067" s="140">
        <v>0</v>
      </c>
      <c r="N2067" s="143">
        <v>0</v>
      </c>
      <c r="O2067" s="140">
        <v>0.18</v>
      </c>
      <c r="P2067" s="145">
        <f>(Purchase[[#This Row],[Gross Amount]]-Purchase[[#This Row],[Disct %]])*Purchase[[#This Row],[GST %]]</f>
        <v>6894.7199999999993</v>
      </c>
      <c r="Q2067" s="145">
        <f>Purchase[[#This Row],[Gross Amount]]-Purchase[[#This Row],[Disct Amnt]]+Purchase[[#This Row],[GST Amount]]</f>
        <v>45198.720000000001</v>
      </c>
      <c r="R2067" s="138" t="s">
        <v>1019</v>
      </c>
      <c r="S2067" s="41">
        <f>IF(Purchase[[#This Row],[Status]]="Cancelled",0,Purchase[[#This Row],[Qty]])</f>
        <v>12</v>
      </c>
      <c r="T2067" s="146">
        <f>IF(Purchase[[#This Row],[Status]]="Cancelled",0,Purchase[[#This Row],[Total Amount]])</f>
        <v>45198.720000000001</v>
      </c>
      <c r="U2067" s="146">
        <f>SUM(Purchase[Net Amount])</f>
        <v>814985438.68000126</v>
      </c>
    </row>
    <row r="2068" spans="1:21" ht="19.5" thickBot="1" x14ac:dyDescent="0.3">
      <c r="A2068" s="136" t="s">
        <v>3124</v>
      </c>
      <c r="B2068" s="137">
        <v>45759</v>
      </c>
      <c r="C2068" s="138" t="s">
        <v>611</v>
      </c>
      <c r="D2068" s="138" t="str">
        <f>VLOOKUP(Purchase[[#This Row],[Supplier ID]],Supplier[#All],2,0)</f>
        <v>National Distributors</v>
      </c>
      <c r="E2068" s="138">
        <f>VLOOKUP(Purchase[[#This Row],[Supplier ID]],Supplier[#All],3,0)</f>
        <v>9689542494</v>
      </c>
      <c r="F2068" s="138" t="str">
        <f>VLOOKUP(Purchase[[#This Row],[Supplier ID]],Supplier[#All],4,0)</f>
        <v>Korba</v>
      </c>
      <c r="G2068" s="138" t="str">
        <f>VLOOKUP(Purchase[[#This Row],[Supplier ID]],Supplier[#All],5,0)</f>
        <v>CG</v>
      </c>
      <c r="H2068" s="138" t="str">
        <f>VLOOKUP(Purchase[[#This Row],[Supplier ID]],Supplier[#All],6,0)</f>
        <v>GST2154521T056</v>
      </c>
      <c r="I2068" s="138" t="s">
        <v>375</v>
      </c>
      <c r="J2068" s="139">
        <v>8</v>
      </c>
      <c r="K2068" s="143">
        <f>VLOOKUP(Purchase[[#This Row],[Product ID]],Product[#All],6,0)</f>
        <v>4429</v>
      </c>
      <c r="L2068" s="143">
        <f>Purchase[[#This Row],[Purchase Rate]]*Purchase[[#This Row],[Qty]]</f>
        <v>35432</v>
      </c>
      <c r="M2068" s="140">
        <v>0</v>
      </c>
      <c r="N2068" s="143">
        <v>0</v>
      </c>
      <c r="O2068" s="140">
        <v>0.18</v>
      </c>
      <c r="P2068" s="145">
        <f>(Purchase[[#This Row],[Gross Amount]]-Purchase[[#This Row],[Disct %]])*Purchase[[#This Row],[GST %]]</f>
        <v>6377.76</v>
      </c>
      <c r="Q2068" s="145">
        <f>Purchase[[#This Row],[Gross Amount]]-Purchase[[#This Row],[Disct Amnt]]+Purchase[[#This Row],[GST Amount]]</f>
        <v>41809.760000000002</v>
      </c>
      <c r="R2068" s="138" t="s">
        <v>1019</v>
      </c>
      <c r="S2068" s="41">
        <f>IF(Purchase[[#This Row],[Status]]="Cancelled",0,Purchase[[#This Row],[Qty]])</f>
        <v>8</v>
      </c>
      <c r="T2068" s="146">
        <f>IF(Purchase[[#This Row],[Status]]="Cancelled",0,Purchase[[#This Row],[Total Amount]])</f>
        <v>41809.760000000002</v>
      </c>
      <c r="U2068" s="146">
        <f>SUM(Purchase[Net Amount])</f>
        <v>814985438.68000126</v>
      </c>
    </row>
    <row r="2069" spans="1:21" ht="19.5" thickBot="1" x14ac:dyDescent="0.3">
      <c r="A2069" s="136" t="s">
        <v>3125</v>
      </c>
      <c r="B2069" s="137">
        <v>45760</v>
      </c>
      <c r="C2069" s="138" t="s">
        <v>602</v>
      </c>
      <c r="D2069" s="138" t="str">
        <f>VLOOKUP(Purchase[[#This Row],[Supplier ID]],Supplier[#All],2,0)</f>
        <v>Maa Computers</v>
      </c>
      <c r="E2069" s="138">
        <f>VLOOKUP(Purchase[[#This Row],[Supplier ID]],Supplier[#All],3,0)</f>
        <v>9689542485</v>
      </c>
      <c r="F2069" s="138" t="str">
        <f>VLOOKUP(Purchase[[#This Row],[Supplier ID]],Supplier[#All],4,0)</f>
        <v>Korba</v>
      </c>
      <c r="G2069" s="138" t="str">
        <f>VLOOKUP(Purchase[[#This Row],[Supplier ID]],Supplier[#All],5,0)</f>
        <v>CG</v>
      </c>
      <c r="H2069" s="138" t="str">
        <f>VLOOKUP(Purchase[[#This Row],[Supplier ID]],Supplier[#All],6,0)</f>
        <v>GST2154521T047</v>
      </c>
      <c r="I2069" s="138" t="s">
        <v>352</v>
      </c>
      <c r="J2069" s="139">
        <v>16</v>
      </c>
      <c r="K2069" s="143">
        <f>VLOOKUP(Purchase[[#This Row],[Product ID]],Product[#All],6,0)</f>
        <v>10783</v>
      </c>
      <c r="L2069" s="143">
        <f>Purchase[[#This Row],[Purchase Rate]]*Purchase[[#This Row],[Qty]]</f>
        <v>172528</v>
      </c>
      <c r="M2069" s="140">
        <v>0</v>
      </c>
      <c r="N2069" s="143">
        <v>0</v>
      </c>
      <c r="O2069" s="140">
        <v>0.18</v>
      </c>
      <c r="P2069" s="145">
        <f>(Purchase[[#This Row],[Gross Amount]]-Purchase[[#This Row],[Disct %]])*Purchase[[#This Row],[GST %]]</f>
        <v>31055.039999999997</v>
      </c>
      <c r="Q2069" s="145">
        <f>Purchase[[#This Row],[Gross Amount]]-Purchase[[#This Row],[Disct Amnt]]+Purchase[[#This Row],[GST Amount]]</f>
        <v>203583.04</v>
      </c>
      <c r="R2069" s="138" t="s">
        <v>1019</v>
      </c>
      <c r="S2069" s="41">
        <f>IF(Purchase[[#This Row],[Status]]="Cancelled",0,Purchase[[#This Row],[Qty]])</f>
        <v>16</v>
      </c>
      <c r="T2069" s="146">
        <f>IF(Purchase[[#This Row],[Status]]="Cancelled",0,Purchase[[#This Row],[Total Amount]])</f>
        <v>203583.04</v>
      </c>
      <c r="U2069" s="146">
        <f>SUM(Purchase[Net Amount])</f>
        <v>814985438.68000126</v>
      </c>
    </row>
    <row r="2070" spans="1:21" ht="19.5" thickBot="1" x14ac:dyDescent="0.3">
      <c r="A2070" s="136" t="s">
        <v>3126</v>
      </c>
      <c r="B2070" s="137">
        <v>45760</v>
      </c>
      <c r="C2070" s="138" t="s">
        <v>565</v>
      </c>
      <c r="D2070" s="138" t="str">
        <f>VLOOKUP(Purchase[[#This Row],[Supplier ID]],Supplier[#All],2,0)</f>
        <v>Global Suppliers</v>
      </c>
      <c r="E2070" s="138">
        <f>VLOOKUP(Purchase[[#This Row],[Supplier ID]],Supplier[#All],3,0)</f>
        <v>9689542459</v>
      </c>
      <c r="F2070" s="138" t="str">
        <f>VLOOKUP(Purchase[[#This Row],[Supplier ID]],Supplier[#All],4,0)</f>
        <v>Indore</v>
      </c>
      <c r="G2070" s="138" t="str">
        <f>VLOOKUP(Purchase[[#This Row],[Supplier ID]],Supplier[#All],5,0)</f>
        <v>MP</v>
      </c>
      <c r="H2070" s="138" t="str">
        <f>VLOOKUP(Purchase[[#This Row],[Supplier ID]],Supplier[#All],6,0)</f>
        <v>GST2154521T013</v>
      </c>
      <c r="I2070" s="138" t="s">
        <v>298</v>
      </c>
      <c r="J2070" s="139">
        <v>6</v>
      </c>
      <c r="K2070" s="143">
        <f>VLOOKUP(Purchase[[#This Row],[Product ID]],Product[#All],6,0)</f>
        <v>19959</v>
      </c>
      <c r="L2070" s="143">
        <f>Purchase[[#This Row],[Purchase Rate]]*Purchase[[#This Row],[Qty]]</f>
        <v>119754</v>
      </c>
      <c r="M2070" s="140">
        <v>0</v>
      </c>
      <c r="N2070" s="143">
        <v>0</v>
      </c>
      <c r="O2070" s="140">
        <v>0.18</v>
      </c>
      <c r="P2070" s="145">
        <f>(Purchase[[#This Row],[Gross Amount]]-Purchase[[#This Row],[Disct %]])*Purchase[[#This Row],[GST %]]</f>
        <v>21555.719999999998</v>
      </c>
      <c r="Q2070" s="145">
        <f>Purchase[[#This Row],[Gross Amount]]-Purchase[[#This Row],[Disct Amnt]]+Purchase[[#This Row],[GST Amount]]</f>
        <v>141309.72</v>
      </c>
      <c r="R2070" s="138" t="s">
        <v>1019</v>
      </c>
      <c r="S2070" s="41">
        <f>IF(Purchase[[#This Row],[Status]]="Cancelled",0,Purchase[[#This Row],[Qty]])</f>
        <v>6</v>
      </c>
      <c r="T2070" s="146">
        <f>IF(Purchase[[#This Row],[Status]]="Cancelled",0,Purchase[[#This Row],[Total Amount]])</f>
        <v>141309.72</v>
      </c>
      <c r="U2070" s="146">
        <f>SUM(Purchase[Net Amount])</f>
        <v>814985438.68000126</v>
      </c>
    </row>
    <row r="2071" spans="1:21" ht="19.5" thickBot="1" x14ac:dyDescent="0.3">
      <c r="A2071" s="136" t="s">
        <v>3127</v>
      </c>
      <c r="B2071" s="137">
        <v>45760</v>
      </c>
      <c r="C2071" s="138" t="s">
        <v>568</v>
      </c>
      <c r="D2071" s="138" t="str">
        <f>VLOOKUP(Purchase[[#This Row],[Supplier ID]],Supplier[#All],2,0)</f>
        <v>Maa Computers</v>
      </c>
      <c r="E2071" s="138">
        <f>VLOOKUP(Purchase[[#This Row],[Supplier ID]],Supplier[#All],3,0)</f>
        <v>9689542454</v>
      </c>
      <c r="F2071" s="138" t="str">
        <f>VLOOKUP(Purchase[[#This Row],[Supplier ID]],Supplier[#All],4,0)</f>
        <v>Korba</v>
      </c>
      <c r="G2071" s="138" t="str">
        <f>VLOOKUP(Purchase[[#This Row],[Supplier ID]],Supplier[#All],5,0)</f>
        <v>CG</v>
      </c>
      <c r="H2071" s="138" t="str">
        <f>VLOOKUP(Purchase[[#This Row],[Supplier ID]],Supplier[#All],6,0)</f>
        <v>GST2154521T016</v>
      </c>
      <c r="I2071" s="138" t="s">
        <v>287</v>
      </c>
      <c r="J2071" s="139">
        <v>25</v>
      </c>
      <c r="K2071" s="143">
        <f>VLOOKUP(Purchase[[#This Row],[Product ID]],Product[#All],6,0)</f>
        <v>1803</v>
      </c>
      <c r="L2071" s="143">
        <f>Purchase[[#This Row],[Purchase Rate]]*Purchase[[#This Row],[Qty]]</f>
        <v>45075</v>
      </c>
      <c r="M2071" s="140">
        <v>0</v>
      </c>
      <c r="N2071" s="143">
        <v>0</v>
      </c>
      <c r="O2071" s="140">
        <v>0.18</v>
      </c>
      <c r="P2071" s="145">
        <f>(Purchase[[#This Row],[Gross Amount]]-Purchase[[#This Row],[Disct %]])*Purchase[[#This Row],[GST %]]</f>
        <v>8113.5</v>
      </c>
      <c r="Q2071" s="145">
        <f>Purchase[[#This Row],[Gross Amount]]-Purchase[[#This Row],[Disct Amnt]]+Purchase[[#This Row],[GST Amount]]</f>
        <v>53188.5</v>
      </c>
      <c r="R2071" s="138" t="s">
        <v>1019</v>
      </c>
      <c r="S2071" s="41">
        <f>IF(Purchase[[#This Row],[Status]]="Cancelled",0,Purchase[[#This Row],[Qty]])</f>
        <v>25</v>
      </c>
      <c r="T2071" s="146">
        <f>IF(Purchase[[#This Row],[Status]]="Cancelled",0,Purchase[[#This Row],[Total Amount]])</f>
        <v>53188.5</v>
      </c>
      <c r="U2071" s="146">
        <f>SUM(Purchase[Net Amount])</f>
        <v>814985438.68000126</v>
      </c>
    </row>
    <row r="2072" spans="1:21" ht="19.5" thickBot="1" x14ac:dyDescent="0.3">
      <c r="A2072" s="136" t="s">
        <v>3128</v>
      </c>
      <c r="B2072" s="137">
        <v>45760</v>
      </c>
      <c r="C2072" s="138" t="s">
        <v>569</v>
      </c>
      <c r="D2072" s="138" t="str">
        <f>VLOOKUP(Purchase[[#This Row],[Supplier ID]],Supplier[#All],2,0)</f>
        <v>Tech Electronics</v>
      </c>
      <c r="E2072" s="138">
        <f>VLOOKUP(Purchase[[#This Row],[Supplier ID]],Supplier[#All],3,0)</f>
        <v>9689542455</v>
      </c>
      <c r="F2072" s="138" t="str">
        <f>VLOOKUP(Purchase[[#This Row],[Supplier ID]],Supplier[#All],4,0)</f>
        <v>Korba</v>
      </c>
      <c r="G2072" s="138" t="str">
        <f>VLOOKUP(Purchase[[#This Row],[Supplier ID]],Supplier[#All],5,0)</f>
        <v>CG</v>
      </c>
      <c r="H2072" s="138" t="str">
        <f>VLOOKUP(Purchase[[#This Row],[Supplier ID]],Supplier[#All],6,0)</f>
        <v>GST2154521T017</v>
      </c>
      <c r="I2072" s="138" t="s">
        <v>173</v>
      </c>
      <c r="J2072" s="139">
        <v>6</v>
      </c>
      <c r="K2072" s="143">
        <f>VLOOKUP(Purchase[[#This Row],[Product ID]],Product[#All],6,0)</f>
        <v>60461</v>
      </c>
      <c r="L2072" s="143">
        <f>Purchase[[#This Row],[Purchase Rate]]*Purchase[[#This Row],[Qty]]</f>
        <v>362766</v>
      </c>
      <c r="M2072" s="140">
        <v>0</v>
      </c>
      <c r="N2072" s="143">
        <v>0</v>
      </c>
      <c r="O2072" s="140">
        <v>0.18</v>
      </c>
      <c r="P2072" s="145">
        <f>(Purchase[[#This Row],[Gross Amount]]-Purchase[[#This Row],[Disct %]])*Purchase[[#This Row],[GST %]]</f>
        <v>65297.88</v>
      </c>
      <c r="Q2072" s="145">
        <f>Purchase[[#This Row],[Gross Amount]]-Purchase[[#This Row],[Disct Amnt]]+Purchase[[#This Row],[GST Amount]]</f>
        <v>428063.88</v>
      </c>
      <c r="R2072" s="138" t="s">
        <v>1019</v>
      </c>
      <c r="S2072" s="41">
        <f>IF(Purchase[[#This Row],[Status]]="Cancelled",0,Purchase[[#This Row],[Qty]])</f>
        <v>6</v>
      </c>
      <c r="T2072" s="146">
        <f>IF(Purchase[[#This Row],[Status]]="Cancelled",0,Purchase[[#This Row],[Total Amount]])</f>
        <v>428063.88</v>
      </c>
      <c r="U2072" s="146">
        <f>SUM(Purchase[Net Amount])</f>
        <v>814985438.68000126</v>
      </c>
    </row>
    <row r="2073" spans="1:21" ht="19.5" thickBot="1" x14ac:dyDescent="0.3">
      <c r="A2073" s="136" t="s">
        <v>3129</v>
      </c>
      <c r="B2073" s="137">
        <v>45760</v>
      </c>
      <c r="C2073" s="138" t="s">
        <v>603</v>
      </c>
      <c r="D2073" s="138" t="str">
        <f>VLOOKUP(Purchase[[#This Row],[Supplier ID]],Supplier[#All],2,0)</f>
        <v>Tech Computers</v>
      </c>
      <c r="E2073" s="138">
        <f>VLOOKUP(Purchase[[#This Row],[Supplier ID]],Supplier[#All],3,0)</f>
        <v>9689542486</v>
      </c>
      <c r="F2073" s="138" t="str">
        <f>VLOOKUP(Purchase[[#This Row],[Supplier ID]],Supplier[#All],4,0)</f>
        <v>Indore</v>
      </c>
      <c r="G2073" s="138" t="str">
        <f>VLOOKUP(Purchase[[#This Row],[Supplier ID]],Supplier[#All],5,0)</f>
        <v>MP</v>
      </c>
      <c r="H2073" s="138" t="str">
        <f>VLOOKUP(Purchase[[#This Row],[Supplier ID]],Supplier[#All],6,0)</f>
        <v>GST2154521T048</v>
      </c>
      <c r="I2073" s="138" t="s">
        <v>128</v>
      </c>
      <c r="J2073" s="139">
        <v>10</v>
      </c>
      <c r="K2073" s="143">
        <f>VLOOKUP(Purchase[[#This Row],[Product ID]],Product[#All],6,0)</f>
        <v>2597</v>
      </c>
      <c r="L2073" s="143">
        <f>Purchase[[#This Row],[Purchase Rate]]*Purchase[[#This Row],[Qty]]</f>
        <v>25970</v>
      </c>
      <c r="M2073" s="140">
        <v>0</v>
      </c>
      <c r="N2073" s="143">
        <v>0</v>
      </c>
      <c r="O2073" s="140">
        <v>0.18</v>
      </c>
      <c r="P2073" s="145">
        <f>(Purchase[[#This Row],[Gross Amount]]-Purchase[[#This Row],[Disct %]])*Purchase[[#This Row],[GST %]]</f>
        <v>4674.5999999999995</v>
      </c>
      <c r="Q2073" s="145">
        <f>Purchase[[#This Row],[Gross Amount]]-Purchase[[#This Row],[Disct Amnt]]+Purchase[[#This Row],[GST Amount]]</f>
        <v>30644.6</v>
      </c>
      <c r="R2073" s="138" t="s">
        <v>1019</v>
      </c>
      <c r="S2073" s="41">
        <f>IF(Purchase[[#This Row],[Status]]="Cancelled",0,Purchase[[#This Row],[Qty]])</f>
        <v>10</v>
      </c>
      <c r="T2073" s="146">
        <f>IF(Purchase[[#This Row],[Status]]="Cancelled",0,Purchase[[#This Row],[Total Amount]])</f>
        <v>30644.6</v>
      </c>
      <c r="U2073" s="146">
        <f>SUM(Purchase[Net Amount])</f>
        <v>814985438.68000126</v>
      </c>
    </row>
    <row r="2074" spans="1:21" ht="19.5" thickBot="1" x14ac:dyDescent="0.3">
      <c r="A2074" s="136" t="s">
        <v>3130</v>
      </c>
      <c r="B2074" s="137">
        <v>45760</v>
      </c>
      <c r="C2074" s="138" t="s">
        <v>605</v>
      </c>
      <c r="D2074" s="138" t="str">
        <f>VLOOKUP(Purchase[[#This Row],[Supplier ID]],Supplier[#All],2,0)</f>
        <v>Star Traders</v>
      </c>
      <c r="E2074" s="138">
        <f>VLOOKUP(Purchase[[#This Row],[Supplier ID]],Supplier[#All],3,0)</f>
        <v>9689542488</v>
      </c>
      <c r="F2074" s="138" t="str">
        <f>VLOOKUP(Purchase[[#This Row],[Supplier ID]],Supplier[#All],4,0)</f>
        <v>Indore</v>
      </c>
      <c r="G2074" s="138" t="str">
        <f>VLOOKUP(Purchase[[#This Row],[Supplier ID]],Supplier[#All],5,0)</f>
        <v>MP</v>
      </c>
      <c r="H2074" s="138" t="str">
        <f>VLOOKUP(Purchase[[#This Row],[Supplier ID]],Supplier[#All],6,0)</f>
        <v>GST2154521T050</v>
      </c>
      <c r="I2074" s="138" t="s">
        <v>68</v>
      </c>
      <c r="J2074" s="139">
        <v>36</v>
      </c>
      <c r="K2074" s="143">
        <f>VLOOKUP(Purchase[[#This Row],[Product ID]],Product[#All],6,0)</f>
        <v>17186</v>
      </c>
      <c r="L2074" s="143">
        <f>Purchase[[#This Row],[Purchase Rate]]*Purchase[[#This Row],[Qty]]</f>
        <v>618696</v>
      </c>
      <c r="M2074" s="140">
        <v>0</v>
      </c>
      <c r="N2074" s="143">
        <v>0</v>
      </c>
      <c r="O2074" s="140">
        <v>0.18</v>
      </c>
      <c r="P2074" s="145">
        <f>(Purchase[[#This Row],[Gross Amount]]-Purchase[[#This Row],[Disct %]])*Purchase[[#This Row],[GST %]]</f>
        <v>111365.28</v>
      </c>
      <c r="Q2074" s="145">
        <f>Purchase[[#This Row],[Gross Amount]]-Purchase[[#This Row],[Disct Amnt]]+Purchase[[#This Row],[GST Amount]]</f>
        <v>730061.28</v>
      </c>
      <c r="R2074" s="138" t="s">
        <v>1019</v>
      </c>
      <c r="S2074" s="41">
        <f>IF(Purchase[[#This Row],[Status]]="Cancelled",0,Purchase[[#This Row],[Qty]])</f>
        <v>36</v>
      </c>
      <c r="T2074" s="146">
        <f>IF(Purchase[[#This Row],[Status]]="Cancelled",0,Purchase[[#This Row],[Total Amount]])</f>
        <v>730061.28</v>
      </c>
      <c r="U2074" s="146">
        <f>SUM(Purchase[Net Amount])</f>
        <v>814985438.68000126</v>
      </c>
    </row>
    <row r="2075" spans="1:21" ht="19.5" thickBot="1" x14ac:dyDescent="0.3">
      <c r="A2075" s="136" t="s">
        <v>3131</v>
      </c>
      <c r="B2075" s="137">
        <v>45760</v>
      </c>
      <c r="C2075" s="138" t="s">
        <v>605</v>
      </c>
      <c r="D2075" s="138" t="str">
        <f>VLOOKUP(Purchase[[#This Row],[Supplier ID]],Supplier[#All],2,0)</f>
        <v>Star Traders</v>
      </c>
      <c r="E2075" s="138">
        <f>VLOOKUP(Purchase[[#This Row],[Supplier ID]],Supplier[#All],3,0)</f>
        <v>9689542488</v>
      </c>
      <c r="F2075" s="138" t="str">
        <f>VLOOKUP(Purchase[[#This Row],[Supplier ID]],Supplier[#All],4,0)</f>
        <v>Indore</v>
      </c>
      <c r="G2075" s="138" t="str">
        <f>VLOOKUP(Purchase[[#This Row],[Supplier ID]],Supplier[#All],5,0)</f>
        <v>MP</v>
      </c>
      <c r="H2075" s="138" t="str">
        <f>VLOOKUP(Purchase[[#This Row],[Supplier ID]],Supplier[#All],6,0)</f>
        <v>GST2154521T050</v>
      </c>
      <c r="I2075" s="138" t="s">
        <v>64</v>
      </c>
      <c r="J2075" s="139">
        <v>30</v>
      </c>
      <c r="K2075" s="143">
        <f>VLOOKUP(Purchase[[#This Row],[Product ID]],Product[#All],6,0)</f>
        <v>771</v>
      </c>
      <c r="L2075" s="143">
        <f>Purchase[[#This Row],[Purchase Rate]]*Purchase[[#This Row],[Qty]]</f>
        <v>23130</v>
      </c>
      <c r="M2075" s="140">
        <v>0</v>
      </c>
      <c r="N2075" s="143">
        <v>0</v>
      </c>
      <c r="O2075" s="140">
        <v>0.18</v>
      </c>
      <c r="P2075" s="145">
        <f>(Purchase[[#This Row],[Gross Amount]]-Purchase[[#This Row],[Disct %]])*Purchase[[#This Row],[GST %]]</f>
        <v>4163.3999999999996</v>
      </c>
      <c r="Q2075" s="145">
        <f>Purchase[[#This Row],[Gross Amount]]-Purchase[[#This Row],[Disct Amnt]]+Purchase[[#This Row],[GST Amount]]</f>
        <v>27293.4</v>
      </c>
      <c r="R2075" s="138" t="s">
        <v>1019</v>
      </c>
      <c r="S2075" s="41">
        <f>IF(Purchase[[#This Row],[Status]]="Cancelled",0,Purchase[[#This Row],[Qty]])</f>
        <v>30</v>
      </c>
      <c r="T2075" s="146">
        <f>IF(Purchase[[#This Row],[Status]]="Cancelled",0,Purchase[[#This Row],[Total Amount]])</f>
        <v>27293.4</v>
      </c>
      <c r="U2075" s="146">
        <f>SUM(Purchase[Net Amount])</f>
        <v>814985438.68000126</v>
      </c>
    </row>
    <row r="2076" spans="1:21" ht="19.5" thickBot="1" x14ac:dyDescent="0.3">
      <c r="A2076" s="136" t="s">
        <v>3132</v>
      </c>
      <c r="B2076" s="137">
        <v>45760</v>
      </c>
      <c r="C2076" s="138" t="s">
        <v>600</v>
      </c>
      <c r="D2076" s="138" t="str">
        <f>VLOOKUP(Purchase[[#This Row],[Supplier ID]],Supplier[#All],2,0)</f>
        <v>Prime Suppliers</v>
      </c>
      <c r="E2076" s="138">
        <f>VLOOKUP(Purchase[[#This Row],[Supplier ID]],Supplier[#All],3,0)</f>
        <v>9689542483</v>
      </c>
      <c r="F2076" s="138" t="str">
        <f>VLOOKUP(Purchase[[#This Row],[Supplier ID]],Supplier[#All],4,0)</f>
        <v>Korba</v>
      </c>
      <c r="G2076" s="138" t="str">
        <f>VLOOKUP(Purchase[[#This Row],[Supplier ID]],Supplier[#All],5,0)</f>
        <v>CG</v>
      </c>
      <c r="H2076" s="138" t="str">
        <f>VLOOKUP(Purchase[[#This Row],[Supplier ID]],Supplier[#All],6,0)</f>
        <v>GST2154521T045</v>
      </c>
      <c r="I2076" s="138" t="s">
        <v>400</v>
      </c>
      <c r="J2076" s="139">
        <v>8</v>
      </c>
      <c r="K2076" s="143">
        <f>VLOOKUP(Purchase[[#This Row],[Product ID]],Product[#All],6,0)</f>
        <v>1065</v>
      </c>
      <c r="L2076" s="143">
        <f>Purchase[[#This Row],[Purchase Rate]]*Purchase[[#This Row],[Qty]]</f>
        <v>8520</v>
      </c>
      <c r="M2076" s="140">
        <v>0</v>
      </c>
      <c r="N2076" s="143">
        <v>0</v>
      </c>
      <c r="O2076" s="140">
        <v>0.18</v>
      </c>
      <c r="P2076" s="145">
        <f>(Purchase[[#This Row],[Gross Amount]]-Purchase[[#This Row],[Disct %]])*Purchase[[#This Row],[GST %]]</f>
        <v>1533.6</v>
      </c>
      <c r="Q2076" s="145">
        <f>Purchase[[#This Row],[Gross Amount]]-Purchase[[#This Row],[Disct Amnt]]+Purchase[[#This Row],[GST Amount]]</f>
        <v>10053.6</v>
      </c>
      <c r="R2076" s="138" t="s">
        <v>1019</v>
      </c>
      <c r="S2076" s="41">
        <f>IF(Purchase[[#This Row],[Status]]="Cancelled",0,Purchase[[#This Row],[Qty]])</f>
        <v>8</v>
      </c>
      <c r="T2076" s="146">
        <f>IF(Purchase[[#This Row],[Status]]="Cancelled",0,Purchase[[#This Row],[Total Amount]])</f>
        <v>10053.6</v>
      </c>
      <c r="U2076" s="146">
        <f>SUM(Purchase[Net Amount])</f>
        <v>814985438.68000126</v>
      </c>
    </row>
    <row r="2077" spans="1:21" ht="19.5" thickBot="1" x14ac:dyDescent="0.3">
      <c r="A2077" s="136" t="s">
        <v>3133</v>
      </c>
      <c r="B2077" s="137">
        <v>45760</v>
      </c>
      <c r="C2077" s="138" t="s">
        <v>612</v>
      </c>
      <c r="D2077" s="138" t="str">
        <f>VLOOKUP(Purchase[[#This Row],[Supplier ID]],Supplier[#All],2,0)</f>
        <v>National Computers</v>
      </c>
      <c r="E2077" s="138">
        <f>VLOOKUP(Purchase[[#This Row],[Supplier ID]],Supplier[#All],3,0)</f>
        <v>9689542495</v>
      </c>
      <c r="F2077" s="138" t="str">
        <f>VLOOKUP(Purchase[[#This Row],[Supplier ID]],Supplier[#All],4,0)</f>
        <v>Indore</v>
      </c>
      <c r="G2077" s="138" t="str">
        <f>VLOOKUP(Purchase[[#This Row],[Supplier ID]],Supplier[#All],5,0)</f>
        <v>MP</v>
      </c>
      <c r="H2077" s="138" t="str">
        <f>VLOOKUP(Purchase[[#This Row],[Supplier ID]],Supplier[#All],6,0)</f>
        <v>GST2154521T057</v>
      </c>
      <c r="I2077" s="138" t="s">
        <v>308</v>
      </c>
      <c r="J2077" s="139">
        <v>3</v>
      </c>
      <c r="K2077" s="143">
        <f>VLOOKUP(Purchase[[#This Row],[Product ID]],Product[#All],6,0)</f>
        <v>3398</v>
      </c>
      <c r="L2077" s="143">
        <f>Purchase[[#This Row],[Purchase Rate]]*Purchase[[#This Row],[Qty]]</f>
        <v>10194</v>
      </c>
      <c r="M2077" s="140">
        <v>0</v>
      </c>
      <c r="N2077" s="143">
        <v>0</v>
      </c>
      <c r="O2077" s="140">
        <v>0.18</v>
      </c>
      <c r="P2077" s="145">
        <f>(Purchase[[#This Row],[Gross Amount]]-Purchase[[#This Row],[Disct %]])*Purchase[[#This Row],[GST %]]</f>
        <v>1834.9199999999998</v>
      </c>
      <c r="Q2077" s="145">
        <f>Purchase[[#This Row],[Gross Amount]]-Purchase[[#This Row],[Disct Amnt]]+Purchase[[#This Row],[GST Amount]]</f>
        <v>12028.92</v>
      </c>
      <c r="R2077" s="138" t="s">
        <v>1019</v>
      </c>
      <c r="S2077" s="41">
        <f>IF(Purchase[[#This Row],[Status]]="Cancelled",0,Purchase[[#This Row],[Qty]])</f>
        <v>3</v>
      </c>
      <c r="T2077" s="146">
        <f>IF(Purchase[[#This Row],[Status]]="Cancelled",0,Purchase[[#This Row],[Total Amount]])</f>
        <v>12028.92</v>
      </c>
      <c r="U2077" s="146">
        <f>SUM(Purchase[Net Amount])</f>
        <v>814985438.68000126</v>
      </c>
    </row>
    <row r="2078" spans="1:21" ht="19.5" thickBot="1" x14ac:dyDescent="0.3">
      <c r="A2078" s="136" t="s">
        <v>3134</v>
      </c>
      <c r="B2078" s="137">
        <v>45760</v>
      </c>
      <c r="C2078" s="138" t="s">
        <v>579</v>
      </c>
      <c r="D2078" s="138" t="str">
        <f>VLOOKUP(Purchase[[#This Row],[Supplier ID]],Supplier[#All],2,0)</f>
        <v>Tech Traders</v>
      </c>
      <c r="E2078" s="138">
        <f>VLOOKUP(Purchase[[#This Row],[Supplier ID]],Supplier[#All],3,0)</f>
        <v>9689542463</v>
      </c>
      <c r="F2078" s="138" t="str">
        <f>VLOOKUP(Purchase[[#This Row],[Supplier ID]],Supplier[#All],4,0)</f>
        <v>Kanpur</v>
      </c>
      <c r="G2078" s="138" t="str">
        <f>VLOOKUP(Purchase[[#This Row],[Supplier ID]],Supplier[#All],5,0)</f>
        <v>UP</v>
      </c>
      <c r="H2078" s="138" t="str">
        <f>VLOOKUP(Purchase[[#This Row],[Supplier ID]],Supplier[#All],6,0)</f>
        <v>GST2154521T025</v>
      </c>
      <c r="I2078" s="138" t="s">
        <v>364</v>
      </c>
      <c r="J2078" s="139">
        <v>11</v>
      </c>
      <c r="K2078" s="143">
        <f>VLOOKUP(Purchase[[#This Row],[Product ID]],Product[#All],6,0)</f>
        <v>36391</v>
      </c>
      <c r="L2078" s="143">
        <f>Purchase[[#This Row],[Purchase Rate]]*Purchase[[#This Row],[Qty]]</f>
        <v>400301</v>
      </c>
      <c r="M2078" s="140">
        <v>0</v>
      </c>
      <c r="N2078" s="143">
        <v>0</v>
      </c>
      <c r="O2078" s="140">
        <v>0.18</v>
      </c>
      <c r="P2078" s="145">
        <f>(Purchase[[#This Row],[Gross Amount]]-Purchase[[#This Row],[Disct %]])*Purchase[[#This Row],[GST %]]</f>
        <v>72054.179999999993</v>
      </c>
      <c r="Q2078" s="145">
        <f>Purchase[[#This Row],[Gross Amount]]-Purchase[[#This Row],[Disct Amnt]]+Purchase[[#This Row],[GST Amount]]</f>
        <v>472355.18</v>
      </c>
      <c r="R2078" s="138" t="s">
        <v>1019</v>
      </c>
      <c r="S2078" s="41">
        <f>IF(Purchase[[#This Row],[Status]]="Cancelled",0,Purchase[[#This Row],[Qty]])</f>
        <v>11</v>
      </c>
      <c r="T2078" s="146">
        <f>IF(Purchase[[#This Row],[Status]]="Cancelled",0,Purchase[[#This Row],[Total Amount]])</f>
        <v>472355.18</v>
      </c>
      <c r="U2078" s="146">
        <f>SUM(Purchase[Net Amount])</f>
        <v>814985438.68000126</v>
      </c>
    </row>
    <row r="2079" spans="1:21" ht="19.5" thickBot="1" x14ac:dyDescent="0.3">
      <c r="A2079" s="136" t="s">
        <v>3135</v>
      </c>
      <c r="B2079" s="137">
        <v>45760</v>
      </c>
      <c r="C2079" s="138" t="s">
        <v>581</v>
      </c>
      <c r="D2079" s="138" t="str">
        <f>VLOOKUP(Purchase[[#This Row],[Supplier ID]],Supplier[#All],2,0)</f>
        <v>Prime Electronics</v>
      </c>
      <c r="E2079" s="138">
        <f>VLOOKUP(Purchase[[#This Row],[Supplier ID]],Supplier[#All],3,0)</f>
        <v>9689542465</v>
      </c>
      <c r="F2079" s="138" t="str">
        <f>VLOOKUP(Purchase[[#This Row],[Supplier ID]],Supplier[#All],4,0)</f>
        <v>Korba</v>
      </c>
      <c r="G2079" s="138" t="str">
        <f>VLOOKUP(Purchase[[#This Row],[Supplier ID]],Supplier[#All],5,0)</f>
        <v>CG</v>
      </c>
      <c r="H2079" s="138" t="str">
        <f>VLOOKUP(Purchase[[#This Row],[Supplier ID]],Supplier[#All],6,0)</f>
        <v>GST2154521T027</v>
      </c>
      <c r="I2079" s="138" t="s">
        <v>533</v>
      </c>
      <c r="J2079" s="139">
        <v>23</v>
      </c>
      <c r="K2079" s="143">
        <f>VLOOKUP(Purchase[[#This Row],[Product ID]],Product[#All],6,0)</f>
        <v>60707</v>
      </c>
      <c r="L2079" s="143">
        <f>Purchase[[#This Row],[Purchase Rate]]*Purchase[[#This Row],[Qty]]</f>
        <v>1396261</v>
      </c>
      <c r="M2079" s="140">
        <v>0</v>
      </c>
      <c r="N2079" s="143">
        <v>0</v>
      </c>
      <c r="O2079" s="140">
        <v>0.18</v>
      </c>
      <c r="P2079" s="145">
        <f>(Purchase[[#This Row],[Gross Amount]]-Purchase[[#This Row],[Disct %]])*Purchase[[#This Row],[GST %]]</f>
        <v>251326.97999999998</v>
      </c>
      <c r="Q2079" s="145">
        <f>Purchase[[#This Row],[Gross Amount]]-Purchase[[#This Row],[Disct Amnt]]+Purchase[[#This Row],[GST Amount]]</f>
        <v>1647587.98</v>
      </c>
      <c r="R2079" s="138" t="s">
        <v>1019</v>
      </c>
      <c r="S2079" s="41">
        <f>IF(Purchase[[#This Row],[Status]]="Cancelled",0,Purchase[[#This Row],[Qty]])</f>
        <v>23</v>
      </c>
      <c r="T2079" s="146">
        <f>IF(Purchase[[#This Row],[Status]]="Cancelled",0,Purchase[[#This Row],[Total Amount]])</f>
        <v>1647587.98</v>
      </c>
      <c r="U2079" s="146">
        <f>SUM(Purchase[Net Amount])</f>
        <v>814985438.68000126</v>
      </c>
    </row>
    <row r="2080" spans="1:21" ht="19.5" thickBot="1" x14ac:dyDescent="0.3">
      <c r="A2080" s="136" t="s">
        <v>3136</v>
      </c>
      <c r="B2080" s="137">
        <v>45760</v>
      </c>
      <c r="C2080" s="138" t="s">
        <v>594</v>
      </c>
      <c r="D2080" s="138" t="str">
        <f>VLOOKUP(Purchase[[#This Row],[Supplier ID]],Supplier[#All],2,0)</f>
        <v>Shree Suppliers</v>
      </c>
      <c r="E2080" s="138">
        <f>VLOOKUP(Purchase[[#This Row],[Supplier ID]],Supplier[#All],3,0)</f>
        <v>9689542477</v>
      </c>
      <c r="F2080" s="138" t="str">
        <f>VLOOKUP(Purchase[[#This Row],[Supplier ID]],Supplier[#All],4,0)</f>
        <v>Indore</v>
      </c>
      <c r="G2080" s="138" t="str">
        <f>VLOOKUP(Purchase[[#This Row],[Supplier ID]],Supplier[#All],5,0)</f>
        <v>MP</v>
      </c>
      <c r="H2080" s="138" t="str">
        <f>VLOOKUP(Purchase[[#This Row],[Supplier ID]],Supplier[#All],6,0)</f>
        <v>GST2154521T039</v>
      </c>
      <c r="I2080" s="138" t="s">
        <v>348</v>
      </c>
      <c r="J2080" s="139">
        <v>3</v>
      </c>
      <c r="K2080" s="143">
        <f>VLOOKUP(Purchase[[#This Row],[Product ID]],Product[#All],6,0)</f>
        <v>5315</v>
      </c>
      <c r="L2080" s="143">
        <f>Purchase[[#This Row],[Purchase Rate]]*Purchase[[#This Row],[Qty]]</f>
        <v>15945</v>
      </c>
      <c r="M2080" s="140">
        <v>0</v>
      </c>
      <c r="N2080" s="143">
        <v>0</v>
      </c>
      <c r="O2080" s="140">
        <v>0.18</v>
      </c>
      <c r="P2080" s="145">
        <f>(Purchase[[#This Row],[Gross Amount]]-Purchase[[#This Row],[Disct %]])*Purchase[[#This Row],[GST %]]</f>
        <v>2870.1</v>
      </c>
      <c r="Q2080" s="145">
        <f>Purchase[[#This Row],[Gross Amount]]-Purchase[[#This Row],[Disct Amnt]]+Purchase[[#This Row],[GST Amount]]</f>
        <v>18815.099999999999</v>
      </c>
      <c r="R2080" s="138" t="s">
        <v>1019</v>
      </c>
      <c r="S2080" s="41">
        <f>IF(Purchase[[#This Row],[Status]]="Cancelled",0,Purchase[[#This Row],[Qty]])</f>
        <v>3</v>
      </c>
      <c r="T2080" s="146">
        <f>IF(Purchase[[#This Row],[Status]]="Cancelled",0,Purchase[[#This Row],[Total Amount]])</f>
        <v>18815.099999999999</v>
      </c>
      <c r="U2080" s="146">
        <f>SUM(Purchase[Net Amount])</f>
        <v>814985438.68000126</v>
      </c>
    </row>
    <row r="2081" spans="1:21" ht="19.5" thickBot="1" x14ac:dyDescent="0.3">
      <c r="A2081" s="136" t="s">
        <v>3137</v>
      </c>
      <c r="B2081" s="137">
        <v>45760</v>
      </c>
      <c r="C2081" s="138" t="s">
        <v>599</v>
      </c>
      <c r="D2081" s="138" t="str">
        <f>VLOOKUP(Purchase[[#This Row],[Supplier ID]],Supplier[#All],2,0)</f>
        <v>National Distributors</v>
      </c>
      <c r="E2081" s="138">
        <f>VLOOKUP(Purchase[[#This Row],[Supplier ID]],Supplier[#All],3,0)</f>
        <v>9689542482</v>
      </c>
      <c r="F2081" s="138" t="str">
        <f>VLOOKUP(Purchase[[#This Row],[Supplier ID]],Supplier[#All],4,0)</f>
        <v>Kanpur</v>
      </c>
      <c r="G2081" s="138" t="str">
        <f>VLOOKUP(Purchase[[#This Row],[Supplier ID]],Supplier[#All],5,0)</f>
        <v>UP</v>
      </c>
      <c r="H2081" s="138" t="str">
        <f>VLOOKUP(Purchase[[#This Row],[Supplier ID]],Supplier[#All],6,0)</f>
        <v>GST2154521T044</v>
      </c>
      <c r="I2081" s="138" t="s">
        <v>326</v>
      </c>
      <c r="J2081" s="139">
        <v>28</v>
      </c>
      <c r="K2081" s="143">
        <f>VLOOKUP(Purchase[[#This Row],[Product ID]],Product[#All],6,0)</f>
        <v>6904</v>
      </c>
      <c r="L2081" s="143">
        <f>Purchase[[#This Row],[Purchase Rate]]*Purchase[[#This Row],[Qty]]</f>
        <v>193312</v>
      </c>
      <c r="M2081" s="140">
        <v>0</v>
      </c>
      <c r="N2081" s="143">
        <v>0</v>
      </c>
      <c r="O2081" s="140">
        <v>0.18</v>
      </c>
      <c r="P2081" s="145">
        <f>(Purchase[[#This Row],[Gross Amount]]-Purchase[[#This Row],[Disct %]])*Purchase[[#This Row],[GST %]]</f>
        <v>34796.159999999996</v>
      </c>
      <c r="Q2081" s="145">
        <f>Purchase[[#This Row],[Gross Amount]]-Purchase[[#This Row],[Disct Amnt]]+Purchase[[#This Row],[GST Amount]]</f>
        <v>228108.16</v>
      </c>
      <c r="R2081" s="138" t="s">
        <v>1019</v>
      </c>
      <c r="S2081" s="41">
        <f>IF(Purchase[[#This Row],[Status]]="Cancelled",0,Purchase[[#This Row],[Qty]])</f>
        <v>28</v>
      </c>
      <c r="T2081" s="146">
        <f>IF(Purchase[[#This Row],[Status]]="Cancelled",0,Purchase[[#This Row],[Total Amount]])</f>
        <v>228108.16</v>
      </c>
      <c r="U2081" s="146">
        <f>SUM(Purchase[Net Amount])</f>
        <v>814985438.68000126</v>
      </c>
    </row>
    <row r="2082" spans="1:21" ht="19.5" thickBot="1" x14ac:dyDescent="0.3">
      <c r="A2082" s="136" t="s">
        <v>3138</v>
      </c>
      <c r="B2082" s="137">
        <v>45760</v>
      </c>
      <c r="C2082" s="138" t="s">
        <v>615</v>
      </c>
      <c r="D2082" s="138" t="str">
        <f>VLOOKUP(Purchase[[#This Row],[Supplier ID]],Supplier[#All],2,0)</f>
        <v>NATIONAL ELECTRONICS</v>
      </c>
      <c r="E2082" s="138">
        <f>VLOOKUP(Purchase[[#This Row],[Supplier ID]],Supplier[#All],3,0)</f>
        <v>9689542498</v>
      </c>
      <c r="F2082" s="138" t="str">
        <f>VLOOKUP(Purchase[[#This Row],[Supplier ID]],Supplier[#All],4,0)</f>
        <v>Kanpur</v>
      </c>
      <c r="G2082" s="138" t="str">
        <f>VLOOKUP(Purchase[[#This Row],[Supplier ID]],Supplier[#All],5,0)</f>
        <v>UP</v>
      </c>
      <c r="H2082" s="138" t="str">
        <f>VLOOKUP(Purchase[[#This Row],[Supplier ID]],Supplier[#All],6,0)</f>
        <v>GST2154521T060</v>
      </c>
      <c r="I2082" s="138" t="s">
        <v>356</v>
      </c>
      <c r="J2082" s="139">
        <v>32</v>
      </c>
      <c r="K2082" s="143">
        <f>VLOOKUP(Purchase[[#This Row],[Product ID]],Product[#All],6,0)</f>
        <v>6914</v>
      </c>
      <c r="L2082" s="143">
        <f>Purchase[[#This Row],[Purchase Rate]]*Purchase[[#This Row],[Qty]]</f>
        <v>221248</v>
      </c>
      <c r="M2082" s="140">
        <v>0</v>
      </c>
      <c r="N2082" s="143">
        <v>0</v>
      </c>
      <c r="O2082" s="140">
        <v>0.18</v>
      </c>
      <c r="P2082" s="145">
        <f>(Purchase[[#This Row],[Gross Amount]]-Purchase[[#This Row],[Disct %]])*Purchase[[#This Row],[GST %]]</f>
        <v>39824.639999999999</v>
      </c>
      <c r="Q2082" s="145">
        <f>Purchase[[#This Row],[Gross Amount]]-Purchase[[#This Row],[Disct Amnt]]+Purchase[[#This Row],[GST Amount]]</f>
        <v>261072.64000000001</v>
      </c>
      <c r="R2082" s="138" t="s">
        <v>1019</v>
      </c>
      <c r="S2082" s="41">
        <f>IF(Purchase[[#This Row],[Status]]="Cancelled",0,Purchase[[#This Row],[Qty]])</f>
        <v>32</v>
      </c>
      <c r="T2082" s="146">
        <f>IF(Purchase[[#This Row],[Status]]="Cancelled",0,Purchase[[#This Row],[Total Amount]])</f>
        <v>261072.64000000001</v>
      </c>
      <c r="U2082" s="146">
        <f>SUM(Purchase[Net Amount])</f>
        <v>814985438.68000126</v>
      </c>
    </row>
    <row r="2083" spans="1:21" ht="19.5" thickBot="1" x14ac:dyDescent="0.3">
      <c r="A2083" s="136" t="s">
        <v>3139</v>
      </c>
      <c r="B2083" s="137">
        <v>45760</v>
      </c>
      <c r="C2083" s="138" t="s">
        <v>600</v>
      </c>
      <c r="D2083" s="138" t="str">
        <f>VLOOKUP(Purchase[[#This Row],[Supplier ID]],Supplier[#All],2,0)</f>
        <v>Prime Suppliers</v>
      </c>
      <c r="E2083" s="138">
        <f>VLOOKUP(Purchase[[#This Row],[Supplier ID]],Supplier[#All],3,0)</f>
        <v>9689542483</v>
      </c>
      <c r="F2083" s="138" t="str">
        <f>VLOOKUP(Purchase[[#This Row],[Supplier ID]],Supplier[#All],4,0)</f>
        <v>Korba</v>
      </c>
      <c r="G2083" s="138" t="str">
        <f>VLOOKUP(Purchase[[#This Row],[Supplier ID]],Supplier[#All],5,0)</f>
        <v>CG</v>
      </c>
      <c r="H2083" s="138" t="str">
        <f>VLOOKUP(Purchase[[#This Row],[Supplier ID]],Supplier[#All],6,0)</f>
        <v>GST2154521T045</v>
      </c>
      <c r="I2083" s="138" t="s">
        <v>190</v>
      </c>
      <c r="J2083" s="139">
        <v>17</v>
      </c>
      <c r="K2083" s="143">
        <f>VLOOKUP(Purchase[[#This Row],[Product ID]],Product[#All],6,0)</f>
        <v>15766</v>
      </c>
      <c r="L2083" s="143">
        <f>Purchase[[#This Row],[Purchase Rate]]*Purchase[[#This Row],[Qty]]</f>
        <v>268022</v>
      </c>
      <c r="M2083" s="140">
        <v>0</v>
      </c>
      <c r="N2083" s="143">
        <v>0</v>
      </c>
      <c r="O2083" s="140">
        <v>0.18</v>
      </c>
      <c r="P2083" s="145">
        <f>(Purchase[[#This Row],[Gross Amount]]-Purchase[[#This Row],[Disct %]])*Purchase[[#This Row],[GST %]]</f>
        <v>48243.96</v>
      </c>
      <c r="Q2083" s="145">
        <f>Purchase[[#This Row],[Gross Amount]]-Purchase[[#This Row],[Disct Amnt]]+Purchase[[#This Row],[GST Amount]]</f>
        <v>316265.96000000002</v>
      </c>
      <c r="R2083" s="138" t="s">
        <v>1019</v>
      </c>
      <c r="S2083" s="41">
        <f>IF(Purchase[[#This Row],[Status]]="Cancelled",0,Purchase[[#This Row],[Qty]])</f>
        <v>17</v>
      </c>
      <c r="T2083" s="146">
        <f>IF(Purchase[[#This Row],[Status]]="Cancelled",0,Purchase[[#This Row],[Total Amount]])</f>
        <v>316265.96000000002</v>
      </c>
      <c r="U2083" s="146">
        <f>SUM(Purchase[Net Amount])</f>
        <v>814985438.68000126</v>
      </c>
    </row>
    <row r="2084" spans="1:21" ht="19.5" thickBot="1" x14ac:dyDescent="0.3">
      <c r="A2084" s="136" t="s">
        <v>3140</v>
      </c>
      <c r="B2084" s="137">
        <v>45760</v>
      </c>
      <c r="C2084" s="138" t="s">
        <v>602</v>
      </c>
      <c r="D2084" s="138" t="str">
        <f>VLOOKUP(Purchase[[#This Row],[Supplier ID]],Supplier[#All],2,0)</f>
        <v>Maa Computers</v>
      </c>
      <c r="E2084" s="138">
        <f>VLOOKUP(Purchase[[#This Row],[Supplier ID]],Supplier[#All],3,0)</f>
        <v>9689542485</v>
      </c>
      <c r="F2084" s="138" t="str">
        <f>VLOOKUP(Purchase[[#This Row],[Supplier ID]],Supplier[#All],4,0)</f>
        <v>Korba</v>
      </c>
      <c r="G2084" s="138" t="str">
        <f>VLOOKUP(Purchase[[#This Row],[Supplier ID]],Supplier[#All],5,0)</f>
        <v>CG</v>
      </c>
      <c r="H2084" s="138" t="str">
        <f>VLOOKUP(Purchase[[#This Row],[Supplier ID]],Supplier[#All],6,0)</f>
        <v>GST2154521T047</v>
      </c>
      <c r="I2084" s="138" t="s">
        <v>188</v>
      </c>
      <c r="J2084" s="139">
        <v>19</v>
      </c>
      <c r="K2084" s="143">
        <f>VLOOKUP(Purchase[[#This Row],[Product ID]],Product[#All],6,0)</f>
        <v>11278</v>
      </c>
      <c r="L2084" s="143">
        <f>Purchase[[#This Row],[Purchase Rate]]*Purchase[[#This Row],[Qty]]</f>
        <v>214282</v>
      </c>
      <c r="M2084" s="140">
        <v>0</v>
      </c>
      <c r="N2084" s="143">
        <v>0</v>
      </c>
      <c r="O2084" s="140">
        <v>0.18</v>
      </c>
      <c r="P2084" s="145">
        <f>(Purchase[[#This Row],[Gross Amount]]-Purchase[[#This Row],[Disct %]])*Purchase[[#This Row],[GST %]]</f>
        <v>38570.76</v>
      </c>
      <c r="Q2084" s="145">
        <f>Purchase[[#This Row],[Gross Amount]]-Purchase[[#This Row],[Disct Amnt]]+Purchase[[#This Row],[GST Amount]]</f>
        <v>252852.76</v>
      </c>
      <c r="R2084" s="138" t="s">
        <v>1019</v>
      </c>
      <c r="S2084" s="41">
        <f>IF(Purchase[[#This Row],[Status]]="Cancelled",0,Purchase[[#This Row],[Qty]])</f>
        <v>19</v>
      </c>
      <c r="T2084" s="146">
        <f>IF(Purchase[[#This Row],[Status]]="Cancelled",0,Purchase[[#This Row],[Total Amount]])</f>
        <v>252852.76</v>
      </c>
      <c r="U2084" s="146">
        <f>SUM(Purchase[Net Amount])</f>
        <v>814985438.68000126</v>
      </c>
    </row>
    <row r="2085" spans="1:21" ht="19.5" thickBot="1" x14ac:dyDescent="0.3">
      <c r="A2085" s="136" t="s">
        <v>3141</v>
      </c>
      <c r="B2085" s="137">
        <v>45760</v>
      </c>
      <c r="C2085" s="138" t="s">
        <v>581</v>
      </c>
      <c r="D2085" s="138" t="str">
        <f>VLOOKUP(Purchase[[#This Row],[Supplier ID]],Supplier[#All],2,0)</f>
        <v>Prime Electronics</v>
      </c>
      <c r="E2085" s="138">
        <f>VLOOKUP(Purchase[[#This Row],[Supplier ID]],Supplier[#All],3,0)</f>
        <v>9689542465</v>
      </c>
      <c r="F2085" s="138" t="str">
        <f>VLOOKUP(Purchase[[#This Row],[Supplier ID]],Supplier[#All],4,0)</f>
        <v>Korba</v>
      </c>
      <c r="G2085" s="138" t="str">
        <f>VLOOKUP(Purchase[[#This Row],[Supplier ID]],Supplier[#All],5,0)</f>
        <v>CG</v>
      </c>
      <c r="H2085" s="138" t="str">
        <f>VLOOKUP(Purchase[[#This Row],[Supplier ID]],Supplier[#All],6,0)</f>
        <v>GST2154521T027</v>
      </c>
      <c r="I2085" s="138" t="s">
        <v>320</v>
      </c>
      <c r="J2085" s="139">
        <v>21</v>
      </c>
      <c r="K2085" s="143">
        <f>VLOOKUP(Purchase[[#This Row],[Product ID]],Product[#All],6,0)</f>
        <v>10004</v>
      </c>
      <c r="L2085" s="143">
        <f>Purchase[[#This Row],[Purchase Rate]]*Purchase[[#This Row],[Qty]]</f>
        <v>210084</v>
      </c>
      <c r="M2085" s="140">
        <v>0</v>
      </c>
      <c r="N2085" s="143">
        <v>0</v>
      </c>
      <c r="O2085" s="140">
        <v>0.18</v>
      </c>
      <c r="P2085" s="145">
        <f>(Purchase[[#This Row],[Gross Amount]]-Purchase[[#This Row],[Disct %]])*Purchase[[#This Row],[GST %]]</f>
        <v>37815.119999999995</v>
      </c>
      <c r="Q2085" s="145">
        <f>Purchase[[#This Row],[Gross Amount]]-Purchase[[#This Row],[Disct Amnt]]+Purchase[[#This Row],[GST Amount]]</f>
        <v>247899.12</v>
      </c>
      <c r="R2085" s="138" t="s">
        <v>1019</v>
      </c>
      <c r="S2085" s="41">
        <f>IF(Purchase[[#This Row],[Status]]="Cancelled",0,Purchase[[#This Row],[Qty]])</f>
        <v>21</v>
      </c>
      <c r="T2085" s="146">
        <f>IF(Purchase[[#This Row],[Status]]="Cancelled",0,Purchase[[#This Row],[Total Amount]])</f>
        <v>247899.12</v>
      </c>
      <c r="U2085" s="146">
        <f>SUM(Purchase[Net Amount])</f>
        <v>814985438.68000126</v>
      </c>
    </row>
    <row r="2086" spans="1:21" ht="19.5" thickBot="1" x14ac:dyDescent="0.3">
      <c r="A2086" s="136" t="s">
        <v>3142</v>
      </c>
      <c r="B2086" s="137">
        <v>45760</v>
      </c>
      <c r="C2086" s="138" t="s">
        <v>578</v>
      </c>
      <c r="D2086" s="138" t="str">
        <f>VLOOKUP(Purchase[[#This Row],[Supplier ID]],Supplier[#All],2,0)</f>
        <v>Shree Computers</v>
      </c>
      <c r="E2086" s="138">
        <f>VLOOKUP(Purchase[[#This Row],[Supplier ID]],Supplier[#All],3,0)</f>
        <v>9689542462</v>
      </c>
      <c r="F2086" s="138" t="str">
        <f>VLOOKUP(Purchase[[#This Row],[Supplier ID]],Supplier[#All],4,0)</f>
        <v>Korba</v>
      </c>
      <c r="G2086" s="138" t="str">
        <f>VLOOKUP(Purchase[[#This Row],[Supplier ID]],Supplier[#All],5,0)</f>
        <v>CG</v>
      </c>
      <c r="H2086" s="138" t="str">
        <f>VLOOKUP(Purchase[[#This Row],[Supplier ID]],Supplier[#All],6,0)</f>
        <v>GST2154521T024</v>
      </c>
      <c r="I2086" s="138" t="s">
        <v>338</v>
      </c>
      <c r="J2086" s="139">
        <v>4</v>
      </c>
      <c r="K2086" s="143">
        <f>VLOOKUP(Purchase[[#This Row],[Product ID]],Product[#All],6,0)</f>
        <v>10799</v>
      </c>
      <c r="L2086" s="143">
        <f>Purchase[[#This Row],[Purchase Rate]]*Purchase[[#This Row],[Qty]]</f>
        <v>43196</v>
      </c>
      <c r="M2086" s="140">
        <v>0</v>
      </c>
      <c r="N2086" s="143">
        <v>0</v>
      </c>
      <c r="O2086" s="140">
        <v>0.18</v>
      </c>
      <c r="P2086" s="145">
        <f>(Purchase[[#This Row],[Gross Amount]]-Purchase[[#This Row],[Disct %]])*Purchase[[#This Row],[GST %]]</f>
        <v>7775.28</v>
      </c>
      <c r="Q2086" s="145">
        <f>Purchase[[#This Row],[Gross Amount]]-Purchase[[#This Row],[Disct Amnt]]+Purchase[[#This Row],[GST Amount]]</f>
        <v>50971.28</v>
      </c>
      <c r="R2086" s="138" t="s">
        <v>1019</v>
      </c>
      <c r="S2086" s="41">
        <f>IF(Purchase[[#This Row],[Status]]="Cancelled",0,Purchase[[#This Row],[Qty]])</f>
        <v>4</v>
      </c>
      <c r="T2086" s="146">
        <f>IF(Purchase[[#This Row],[Status]]="Cancelled",0,Purchase[[#This Row],[Total Amount]])</f>
        <v>50971.28</v>
      </c>
      <c r="U2086" s="146">
        <f>SUM(Purchase[Net Amount])</f>
        <v>814985438.68000126</v>
      </c>
    </row>
    <row r="2087" spans="1:21" ht="19.5" thickBot="1" x14ac:dyDescent="0.3">
      <c r="A2087" s="136" t="s">
        <v>3143</v>
      </c>
      <c r="B2087" s="137">
        <v>45760</v>
      </c>
      <c r="C2087" s="138" t="s">
        <v>571</v>
      </c>
      <c r="D2087" s="138" t="str">
        <f>VLOOKUP(Purchase[[#This Row],[Supplier ID]],Supplier[#All],2,0)</f>
        <v>Tech Suppliers</v>
      </c>
      <c r="E2087" s="138">
        <f>VLOOKUP(Purchase[[#This Row],[Supplier ID]],Supplier[#All],3,0)</f>
        <v>9689542457</v>
      </c>
      <c r="F2087" s="138" t="str">
        <f>VLOOKUP(Purchase[[#This Row],[Supplier ID]],Supplier[#All],4,0)</f>
        <v>Korba</v>
      </c>
      <c r="G2087" s="138" t="str">
        <f>VLOOKUP(Purchase[[#This Row],[Supplier ID]],Supplier[#All],5,0)</f>
        <v>CG</v>
      </c>
      <c r="H2087" s="138" t="str">
        <f>VLOOKUP(Purchase[[#This Row],[Supplier ID]],Supplier[#All],6,0)</f>
        <v>GST2154521T019</v>
      </c>
      <c r="I2087" s="138" t="s">
        <v>96</v>
      </c>
      <c r="J2087" s="139">
        <v>5</v>
      </c>
      <c r="K2087" s="143">
        <f>VLOOKUP(Purchase[[#This Row],[Product ID]],Product[#All],6,0)</f>
        <v>3785</v>
      </c>
      <c r="L2087" s="143">
        <f>Purchase[[#This Row],[Purchase Rate]]*Purchase[[#This Row],[Qty]]</f>
        <v>18925</v>
      </c>
      <c r="M2087" s="140">
        <v>0</v>
      </c>
      <c r="N2087" s="143">
        <v>0</v>
      </c>
      <c r="O2087" s="140">
        <v>0.18</v>
      </c>
      <c r="P2087" s="145">
        <f>(Purchase[[#This Row],[Gross Amount]]-Purchase[[#This Row],[Disct %]])*Purchase[[#This Row],[GST %]]</f>
        <v>3406.5</v>
      </c>
      <c r="Q2087" s="145">
        <f>Purchase[[#This Row],[Gross Amount]]-Purchase[[#This Row],[Disct Amnt]]+Purchase[[#This Row],[GST Amount]]</f>
        <v>22331.5</v>
      </c>
      <c r="R2087" s="138" t="s">
        <v>1019</v>
      </c>
      <c r="S2087" s="41">
        <f>IF(Purchase[[#This Row],[Status]]="Cancelled",0,Purchase[[#This Row],[Qty]])</f>
        <v>5</v>
      </c>
      <c r="T2087" s="146">
        <f>IF(Purchase[[#This Row],[Status]]="Cancelled",0,Purchase[[#This Row],[Total Amount]])</f>
        <v>22331.5</v>
      </c>
      <c r="U2087" s="146">
        <f>SUM(Purchase[Net Amount])</f>
        <v>814985438.68000126</v>
      </c>
    </row>
    <row r="2088" spans="1:21" ht="19.5" thickBot="1" x14ac:dyDescent="0.3">
      <c r="A2088" s="136" t="s">
        <v>3144</v>
      </c>
      <c r="B2088" s="137">
        <v>45760</v>
      </c>
      <c r="C2088" s="138" t="s">
        <v>598</v>
      </c>
      <c r="D2088" s="138" t="str">
        <f>VLOOKUP(Purchase[[#This Row],[Supplier ID]],Supplier[#All],2,0)</f>
        <v>National Distributors</v>
      </c>
      <c r="E2088" s="138">
        <f>VLOOKUP(Purchase[[#This Row],[Supplier ID]],Supplier[#All],3,0)</f>
        <v>9689542489</v>
      </c>
      <c r="F2088" s="138" t="str">
        <f>VLOOKUP(Purchase[[#This Row],[Supplier ID]],Supplier[#All],4,0)</f>
        <v>Indore</v>
      </c>
      <c r="G2088" s="138" t="str">
        <f>VLOOKUP(Purchase[[#This Row],[Supplier ID]],Supplier[#All],5,0)</f>
        <v>MP</v>
      </c>
      <c r="H2088" s="138" t="str">
        <f>VLOOKUP(Purchase[[#This Row],[Supplier ID]],Supplier[#All],6,0)</f>
        <v>GST2154521T043</v>
      </c>
      <c r="I2088" s="138" t="s">
        <v>187</v>
      </c>
      <c r="J2088" s="139">
        <v>3</v>
      </c>
      <c r="K2088" s="143">
        <f>VLOOKUP(Purchase[[#This Row],[Product ID]],Product[#All],6,0)</f>
        <v>712</v>
      </c>
      <c r="L2088" s="143">
        <f>Purchase[[#This Row],[Purchase Rate]]*Purchase[[#This Row],[Qty]]</f>
        <v>2136</v>
      </c>
      <c r="M2088" s="140">
        <v>0</v>
      </c>
      <c r="N2088" s="143">
        <v>0</v>
      </c>
      <c r="O2088" s="140">
        <v>0.18</v>
      </c>
      <c r="P2088" s="145">
        <f>(Purchase[[#This Row],[Gross Amount]]-Purchase[[#This Row],[Disct %]])*Purchase[[#This Row],[GST %]]</f>
        <v>384.47999999999996</v>
      </c>
      <c r="Q2088" s="145">
        <f>Purchase[[#This Row],[Gross Amount]]-Purchase[[#This Row],[Disct Amnt]]+Purchase[[#This Row],[GST Amount]]</f>
        <v>2520.48</v>
      </c>
      <c r="R2088" s="138" t="s">
        <v>1019</v>
      </c>
      <c r="S2088" s="41">
        <f>IF(Purchase[[#This Row],[Status]]="Cancelled",0,Purchase[[#This Row],[Qty]])</f>
        <v>3</v>
      </c>
      <c r="T2088" s="146">
        <f>IF(Purchase[[#This Row],[Status]]="Cancelled",0,Purchase[[#This Row],[Total Amount]])</f>
        <v>2520.48</v>
      </c>
      <c r="U2088" s="146">
        <f>SUM(Purchase[Net Amount])</f>
        <v>814985438.68000126</v>
      </c>
    </row>
    <row r="2089" spans="1:21" ht="19.5" thickBot="1" x14ac:dyDescent="0.3">
      <c r="A2089" s="136" t="s">
        <v>3145</v>
      </c>
      <c r="B2089" s="137">
        <v>45760</v>
      </c>
      <c r="C2089" s="138" t="s">
        <v>581</v>
      </c>
      <c r="D2089" s="138" t="str">
        <f>VLOOKUP(Purchase[[#This Row],[Supplier ID]],Supplier[#All],2,0)</f>
        <v>Prime Electronics</v>
      </c>
      <c r="E2089" s="138">
        <f>VLOOKUP(Purchase[[#This Row],[Supplier ID]],Supplier[#All],3,0)</f>
        <v>9689542465</v>
      </c>
      <c r="F2089" s="138" t="str">
        <f>VLOOKUP(Purchase[[#This Row],[Supplier ID]],Supplier[#All],4,0)</f>
        <v>Korba</v>
      </c>
      <c r="G2089" s="138" t="str">
        <f>VLOOKUP(Purchase[[#This Row],[Supplier ID]],Supplier[#All],5,0)</f>
        <v>CG</v>
      </c>
      <c r="H2089" s="138" t="str">
        <f>VLOOKUP(Purchase[[#This Row],[Supplier ID]],Supplier[#All],6,0)</f>
        <v>GST2154521T027</v>
      </c>
      <c r="I2089" s="138" t="s">
        <v>508</v>
      </c>
      <c r="J2089" s="139">
        <v>3</v>
      </c>
      <c r="K2089" s="143">
        <f>VLOOKUP(Purchase[[#This Row],[Product ID]],Product[#All],6,0)</f>
        <v>2005</v>
      </c>
      <c r="L2089" s="143">
        <f>Purchase[[#This Row],[Purchase Rate]]*Purchase[[#This Row],[Qty]]</f>
        <v>6015</v>
      </c>
      <c r="M2089" s="140">
        <v>0</v>
      </c>
      <c r="N2089" s="143">
        <v>0</v>
      </c>
      <c r="O2089" s="140">
        <v>0.18</v>
      </c>
      <c r="P2089" s="145">
        <f>(Purchase[[#This Row],[Gross Amount]]-Purchase[[#This Row],[Disct %]])*Purchase[[#This Row],[GST %]]</f>
        <v>1082.7</v>
      </c>
      <c r="Q2089" s="145">
        <f>Purchase[[#This Row],[Gross Amount]]-Purchase[[#This Row],[Disct Amnt]]+Purchase[[#This Row],[GST Amount]]</f>
        <v>7097.7</v>
      </c>
      <c r="R2089" s="138" t="s">
        <v>1019</v>
      </c>
      <c r="S2089" s="41">
        <f>IF(Purchase[[#This Row],[Status]]="Cancelled",0,Purchase[[#This Row],[Qty]])</f>
        <v>3</v>
      </c>
      <c r="T2089" s="146">
        <f>IF(Purchase[[#This Row],[Status]]="Cancelled",0,Purchase[[#This Row],[Total Amount]])</f>
        <v>7097.7</v>
      </c>
      <c r="U2089" s="146">
        <f>SUM(Purchase[Net Amount])</f>
        <v>814985438.68000126</v>
      </c>
    </row>
    <row r="2090" spans="1:21" ht="19.5" thickBot="1" x14ac:dyDescent="0.3">
      <c r="A2090" s="136" t="s">
        <v>3146</v>
      </c>
      <c r="B2090" s="137">
        <v>45760</v>
      </c>
      <c r="C2090" s="138" t="s">
        <v>614</v>
      </c>
      <c r="D2090" s="138" t="str">
        <f>VLOOKUP(Purchase[[#This Row],[Supplier ID]],Supplier[#All],2,0)</f>
        <v>National Electronics</v>
      </c>
      <c r="E2090" s="138">
        <f>VLOOKUP(Purchase[[#This Row],[Supplier ID]],Supplier[#All],3,0)</f>
        <v>9689542497</v>
      </c>
      <c r="F2090" s="138" t="str">
        <f>VLOOKUP(Purchase[[#This Row],[Supplier ID]],Supplier[#All],4,0)</f>
        <v>Kanpur</v>
      </c>
      <c r="G2090" s="138" t="str">
        <f>VLOOKUP(Purchase[[#This Row],[Supplier ID]],Supplier[#All],5,0)</f>
        <v>UP</v>
      </c>
      <c r="H2090" s="138" t="str">
        <f>VLOOKUP(Purchase[[#This Row],[Supplier ID]],Supplier[#All],6,0)</f>
        <v>GST2154521T059</v>
      </c>
      <c r="I2090" s="138" t="s">
        <v>76</v>
      </c>
      <c r="J2090" s="139">
        <v>30</v>
      </c>
      <c r="K2090" s="143">
        <f>VLOOKUP(Purchase[[#This Row],[Product ID]],Product[#All],6,0)</f>
        <v>1400</v>
      </c>
      <c r="L2090" s="143">
        <f>Purchase[[#This Row],[Purchase Rate]]*Purchase[[#This Row],[Qty]]</f>
        <v>42000</v>
      </c>
      <c r="M2090" s="140">
        <v>0</v>
      </c>
      <c r="N2090" s="143">
        <v>0</v>
      </c>
      <c r="O2090" s="140">
        <v>0.18</v>
      </c>
      <c r="P2090" s="145">
        <f>(Purchase[[#This Row],[Gross Amount]]-Purchase[[#This Row],[Disct %]])*Purchase[[#This Row],[GST %]]</f>
        <v>7560</v>
      </c>
      <c r="Q2090" s="145">
        <f>Purchase[[#This Row],[Gross Amount]]-Purchase[[#This Row],[Disct Amnt]]+Purchase[[#This Row],[GST Amount]]</f>
        <v>49560</v>
      </c>
      <c r="R2090" s="138" t="s">
        <v>1019</v>
      </c>
      <c r="S2090" s="41">
        <f>IF(Purchase[[#This Row],[Status]]="Cancelled",0,Purchase[[#This Row],[Qty]])</f>
        <v>30</v>
      </c>
      <c r="T2090" s="146">
        <f>IF(Purchase[[#This Row],[Status]]="Cancelled",0,Purchase[[#This Row],[Total Amount]])</f>
        <v>49560</v>
      </c>
      <c r="U2090" s="146">
        <f>SUM(Purchase[Net Amount])</f>
        <v>814985438.68000126</v>
      </c>
    </row>
    <row r="2091" spans="1:21" ht="19.5" thickBot="1" x14ac:dyDescent="0.3">
      <c r="A2091" s="136" t="s">
        <v>3147</v>
      </c>
      <c r="B2091" s="137">
        <v>45760</v>
      </c>
      <c r="C2091" s="138" t="s">
        <v>585</v>
      </c>
      <c r="D2091" s="138" t="str">
        <f>VLOOKUP(Purchase[[#This Row],[Supplier ID]],Supplier[#All],2,0)</f>
        <v>Tech Computers</v>
      </c>
      <c r="E2091" s="138">
        <f>VLOOKUP(Purchase[[#This Row],[Supplier ID]],Supplier[#All],3,0)</f>
        <v>9689542469</v>
      </c>
      <c r="F2091" s="138" t="str">
        <f>VLOOKUP(Purchase[[#This Row],[Supplier ID]],Supplier[#All],4,0)</f>
        <v>Korba</v>
      </c>
      <c r="G2091" s="138" t="str">
        <f>VLOOKUP(Purchase[[#This Row],[Supplier ID]],Supplier[#All],5,0)</f>
        <v>CG</v>
      </c>
      <c r="H2091" s="138" t="str">
        <f>VLOOKUP(Purchase[[#This Row],[Supplier ID]],Supplier[#All],6,0)</f>
        <v>GST2154521T031</v>
      </c>
      <c r="I2091" s="138" t="s">
        <v>291</v>
      </c>
      <c r="J2091" s="139">
        <v>21</v>
      </c>
      <c r="K2091" s="143">
        <f>VLOOKUP(Purchase[[#This Row],[Product ID]],Product[#All],6,0)</f>
        <v>9494</v>
      </c>
      <c r="L2091" s="143">
        <f>Purchase[[#This Row],[Purchase Rate]]*Purchase[[#This Row],[Qty]]</f>
        <v>199374</v>
      </c>
      <c r="M2091" s="140">
        <v>0</v>
      </c>
      <c r="N2091" s="143">
        <v>0</v>
      </c>
      <c r="O2091" s="140">
        <v>0.18</v>
      </c>
      <c r="P2091" s="145">
        <f>(Purchase[[#This Row],[Gross Amount]]-Purchase[[#This Row],[Disct %]])*Purchase[[#This Row],[GST %]]</f>
        <v>35887.32</v>
      </c>
      <c r="Q2091" s="145">
        <f>Purchase[[#This Row],[Gross Amount]]-Purchase[[#This Row],[Disct Amnt]]+Purchase[[#This Row],[GST Amount]]</f>
        <v>235261.32</v>
      </c>
      <c r="R2091" s="138" t="s">
        <v>1019</v>
      </c>
      <c r="S2091" s="41">
        <f>IF(Purchase[[#This Row],[Status]]="Cancelled",0,Purchase[[#This Row],[Qty]])</f>
        <v>21</v>
      </c>
      <c r="T2091" s="146">
        <f>IF(Purchase[[#This Row],[Status]]="Cancelled",0,Purchase[[#This Row],[Total Amount]])</f>
        <v>235261.32</v>
      </c>
      <c r="U2091" s="146">
        <f>SUM(Purchase[Net Amount])</f>
        <v>814985438.68000126</v>
      </c>
    </row>
    <row r="2092" spans="1:21" ht="19.5" thickBot="1" x14ac:dyDescent="0.3">
      <c r="A2092" s="136" t="s">
        <v>3148</v>
      </c>
      <c r="B2092" s="137">
        <v>45761</v>
      </c>
      <c r="C2092" s="138" t="s">
        <v>580</v>
      </c>
      <c r="D2092" s="138" t="str">
        <f>VLOOKUP(Purchase[[#This Row],[Supplier ID]],Supplier[#All],2,0)</f>
        <v>Star Distributors</v>
      </c>
      <c r="E2092" s="138">
        <f>VLOOKUP(Purchase[[#This Row],[Supplier ID]],Supplier[#All],3,0)</f>
        <v>9689542464</v>
      </c>
      <c r="F2092" s="138" t="str">
        <f>VLOOKUP(Purchase[[#This Row],[Supplier ID]],Supplier[#All],4,0)</f>
        <v>Indore</v>
      </c>
      <c r="G2092" s="138" t="str">
        <f>VLOOKUP(Purchase[[#This Row],[Supplier ID]],Supplier[#All],5,0)</f>
        <v>MP</v>
      </c>
      <c r="H2092" s="138" t="str">
        <f>VLOOKUP(Purchase[[#This Row],[Supplier ID]],Supplier[#All],6,0)</f>
        <v>GST2154521T026</v>
      </c>
      <c r="I2092" s="138" t="s">
        <v>170</v>
      </c>
      <c r="J2092" s="139">
        <v>4</v>
      </c>
      <c r="K2092" s="143">
        <f>VLOOKUP(Purchase[[#This Row],[Product ID]],Product[#All],6,0)</f>
        <v>26168</v>
      </c>
      <c r="L2092" s="143">
        <f>Purchase[[#This Row],[Purchase Rate]]*Purchase[[#This Row],[Qty]]</f>
        <v>104672</v>
      </c>
      <c r="M2092" s="140">
        <v>0</v>
      </c>
      <c r="N2092" s="143">
        <v>0</v>
      </c>
      <c r="O2092" s="140">
        <v>0.18</v>
      </c>
      <c r="P2092" s="145">
        <f>(Purchase[[#This Row],[Gross Amount]]-Purchase[[#This Row],[Disct %]])*Purchase[[#This Row],[GST %]]</f>
        <v>18840.96</v>
      </c>
      <c r="Q2092" s="145">
        <f>Purchase[[#This Row],[Gross Amount]]-Purchase[[#This Row],[Disct Amnt]]+Purchase[[#This Row],[GST Amount]]</f>
        <v>123512.95999999999</v>
      </c>
      <c r="R2092" s="138" t="s">
        <v>1019</v>
      </c>
      <c r="S2092" s="41">
        <f>IF(Purchase[[#This Row],[Status]]="Cancelled",0,Purchase[[#This Row],[Qty]])</f>
        <v>4</v>
      </c>
      <c r="T2092" s="146">
        <f>IF(Purchase[[#This Row],[Status]]="Cancelled",0,Purchase[[#This Row],[Total Amount]])</f>
        <v>123512.95999999999</v>
      </c>
      <c r="U2092" s="146">
        <f>SUM(Purchase[Net Amount])</f>
        <v>814985438.68000126</v>
      </c>
    </row>
    <row r="2093" spans="1:21" ht="19.5" thickBot="1" x14ac:dyDescent="0.3">
      <c r="A2093" s="136" t="s">
        <v>3149</v>
      </c>
      <c r="B2093" s="137">
        <v>45761</v>
      </c>
      <c r="C2093" s="138" t="s">
        <v>595</v>
      </c>
      <c r="D2093" s="138" t="str">
        <f>VLOOKUP(Purchase[[#This Row],[Supplier ID]],Supplier[#All],2,0)</f>
        <v>Star Computers</v>
      </c>
      <c r="E2093" s="138">
        <f>VLOOKUP(Purchase[[#This Row],[Supplier ID]],Supplier[#All],3,0)</f>
        <v>9689542478</v>
      </c>
      <c r="F2093" s="138" t="str">
        <f>VLOOKUP(Purchase[[#This Row],[Supplier ID]],Supplier[#All],4,0)</f>
        <v>Kanpur</v>
      </c>
      <c r="G2093" s="138" t="str">
        <f>VLOOKUP(Purchase[[#This Row],[Supplier ID]],Supplier[#All],5,0)</f>
        <v>UP</v>
      </c>
      <c r="H2093" s="138" t="str">
        <f>VLOOKUP(Purchase[[#This Row],[Supplier ID]],Supplier[#All],6,0)</f>
        <v>GST2154521T040</v>
      </c>
      <c r="I2093" s="138" t="s">
        <v>91</v>
      </c>
      <c r="J2093" s="139">
        <v>27</v>
      </c>
      <c r="K2093" s="143">
        <f>VLOOKUP(Purchase[[#This Row],[Product ID]],Product[#All],6,0)</f>
        <v>3315</v>
      </c>
      <c r="L2093" s="143">
        <f>Purchase[[#This Row],[Purchase Rate]]*Purchase[[#This Row],[Qty]]</f>
        <v>89505</v>
      </c>
      <c r="M2093" s="140">
        <v>0</v>
      </c>
      <c r="N2093" s="143">
        <v>0</v>
      </c>
      <c r="O2093" s="140">
        <v>0.18</v>
      </c>
      <c r="P2093" s="145">
        <f>(Purchase[[#This Row],[Gross Amount]]-Purchase[[#This Row],[Disct %]])*Purchase[[#This Row],[GST %]]</f>
        <v>16110.9</v>
      </c>
      <c r="Q2093" s="145">
        <f>Purchase[[#This Row],[Gross Amount]]-Purchase[[#This Row],[Disct Amnt]]+Purchase[[#This Row],[GST Amount]]</f>
        <v>105615.9</v>
      </c>
      <c r="R2093" s="138" t="s">
        <v>1019</v>
      </c>
      <c r="S2093" s="41">
        <f>IF(Purchase[[#This Row],[Status]]="Cancelled",0,Purchase[[#This Row],[Qty]])</f>
        <v>27</v>
      </c>
      <c r="T2093" s="146">
        <f>IF(Purchase[[#This Row],[Status]]="Cancelled",0,Purchase[[#This Row],[Total Amount]])</f>
        <v>105615.9</v>
      </c>
      <c r="U2093" s="146">
        <f>SUM(Purchase[Net Amount])</f>
        <v>814985438.68000126</v>
      </c>
    </row>
    <row r="2094" spans="1:21" ht="19.5" thickBot="1" x14ac:dyDescent="0.3">
      <c r="A2094" s="136" t="s">
        <v>3150</v>
      </c>
      <c r="B2094" s="137">
        <v>45761</v>
      </c>
      <c r="C2094" s="138" t="s">
        <v>604</v>
      </c>
      <c r="D2094" s="138" t="str">
        <f>VLOOKUP(Purchase[[#This Row],[Supplier ID]],Supplier[#All],2,0)</f>
        <v>Prime Traders</v>
      </c>
      <c r="E2094" s="138">
        <f>VLOOKUP(Purchase[[#This Row],[Supplier ID]],Supplier[#All],3,0)</f>
        <v>9689542487</v>
      </c>
      <c r="F2094" s="138" t="str">
        <f>VLOOKUP(Purchase[[#This Row],[Supplier ID]],Supplier[#All],4,0)</f>
        <v>Indore</v>
      </c>
      <c r="G2094" s="138" t="str">
        <f>VLOOKUP(Purchase[[#This Row],[Supplier ID]],Supplier[#All],5,0)</f>
        <v>MP</v>
      </c>
      <c r="H2094" s="138" t="str">
        <f>VLOOKUP(Purchase[[#This Row],[Supplier ID]],Supplier[#All],6,0)</f>
        <v>GST2154521T049</v>
      </c>
      <c r="I2094" s="138" t="s">
        <v>107</v>
      </c>
      <c r="J2094" s="139">
        <v>2</v>
      </c>
      <c r="K2094" s="143">
        <f>VLOOKUP(Purchase[[#This Row],[Product ID]],Product[#All],6,0)</f>
        <v>11599</v>
      </c>
      <c r="L2094" s="143">
        <f>Purchase[[#This Row],[Purchase Rate]]*Purchase[[#This Row],[Qty]]</f>
        <v>23198</v>
      </c>
      <c r="M2094" s="140">
        <v>0</v>
      </c>
      <c r="N2094" s="143">
        <v>0</v>
      </c>
      <c r="O2094" s="140">
        <v>0.18</v>
      </c>
      <c r="P2094" s="145">
        <f>(Purchase[[#This Row],[Gross Amount]]-Purchase[[#This Row],[Disct %]])*Purchase[[#This Row],[GST %]]</f>
        <v>4175.6399999999994</v>
      </c>
      <c r="Q2094" s="145">
        <f>Purchase[[#This Row],[Gross Amount]]-Purchase[[#This Row],[Disct Amnt]]+Purchase[[#This Row],[GST Amount]]</f>
        <v>27373.64</v>
      </c>
      <c r="R2094" s="138" t="s">
        <v>1019</v>
      </c>
      <c r="S2094" s="41">
        <f>IF(Purchase[[#This Row],[Status]]="Cancelled",0,Purchase[[#This Row],[Qty]])</f>
        <v>2</v>
      </c>
      <c r="T2094" s="146">
        <f>IF(Purchase[[#This Row],[Status]]="Cancelled",0,Purchase[[#This Row],[Total Amount]])</f>
        <v>27373.64</v>
      </c>
      <c r="U2094" s="146">
        <f>SUM(Purchase[Net Amount])</f>
        <v>814985438.68000126</v>
      </c>
    </row>
    <row r="2095" spans="1:21" ht="19.5" thickBot="1" x14ac:dyDescent="0.3">
      <c r="A2095" s="136" t="s">
        <v>3151</v>
      </c>
      <c r="B2095" s="137">
        <v>45761</v>
      </c>
      <c r="C2095" s="138" t="s">
        <v>593</v>
      </c>
      <c r="D2095" s="138" t="str">
        <f>VLOOKUP(Purchase[[#This Row],[Supplier ID]],Supplier[#All],2,0)</f>
        <v>Global Suppliers</v>
      </c>
      <c r="E2095" s="138">
        <f>VLOOKUP(Purchase[[#This Row],[Supplier ID]],Supplier[#All],3,0)</f>
        <v>9689542476</v>
      </c>
      <c r="F2095" s="138" t="str">
        <f>VLOOKUP(Purchase[[#This Row],[Supplier ID]],Supplier[#All],4,0)</f>
        <v>Korba</v>
      </c>
      <c r="G2095" s="138" t="str">
        <f>VLOOKUP(Purchase[[#This Row],[Supplier ID]],Supplier[#All],5,0)</f>
        <v>CG</v>
      </c>
      <c r="H2095" s="138" t="str">
        <f>VLOOKUP(Purchase[[#This Row],[Supplier ID]],Supplier[#All],6,0)</f>
        <v>GST2154521T038</v>
      </c>
      <c r="I2095" s="138" t="s">
        <v>532</v>
      </c>
      <c r="J2095" s="139">
        <v>40</v>
      </c>
      <c r="K2095" s="143">
        <f>VLOOKUP(Purchase[[#This Row],[Product ID]],Product[#All],6,0)</f>
        <v>38940</v>
      </c>
      <c r="L2095" s="143">
        <f>Purchase[[#This Row],[Purchase Rate]]*Purchase[[#This Row],[Qty]]</f>
        <v>1557600</v>
      </c>
      <c r="M2095" s="140">
        <v>0</v>
      </c>
      <c r="N2095" s="143">
        <v>0</v>
      </c>
      <c r="O2095" s="140">
        <v>0.18</v>
      </c>
      <c r="P2095" s="145">
        <f>(Purchase[[#This Row],[Gross Amount]]-Purchase[[#This Row],[Disct %]])*Purchase[[#This Row],[GST %]]</f>
        <v>280368</v>
      </c>
      <c r="Q2095" s="145">
        <f>Purchase[[#This Row],[Gross Amount]]-Purchase[[#This Row],[Disct Amnt]]+Purchase[[#This Row],[GST Amount]]</f>
        <v>1837968</v>
      </c>
      <c r="R2095" s="138" t="s">
        <v>1019</v>
      </c>
      <c r="S2095" s="41">
        <f>IF(Purchase[[#This Row],[Status]]="Cancelled",0,Purchase[[#This Row],[Qty]])</f>
        <v>40</v>
      </c>
      <c r="T2095" s="146">
        <f>IF(Purchase[[#This Row],[Status]]="Cancelled",0,Purchase[[#This Row],[Total Amount]])</f>
        <v>1837968</v>
      </c>
      <c r="U2095" s="146">
        <f>SUM(Purchase[Net Amount])</f>
        <v>814985438.68000126</v>
      </c>
    </row>
    <row r="2096" spans="1:21" ht="19.5" thickBot="1" x14ac:dyDescent="0.3">
      <c r="A2096" s="136" t="s">
        <v>3152</v>
      </c>
      <c r="B2096" s="137">
        <v>45761</v>
      </c>
      <c r="C2096" s="138" t="s">
        <v>588</v>
      </c>
      <c r="D2096" s="138" t="str">
        <f>VLOOKUP(Purchase[[#This Row],[Supplier ID]],Supplier[#All],2,0)</f>
        <v>Star Electronics</v>
      </c>
      <c r="E2096" s="138">
        <f>VLOOKUP(Purchase[[#This Row],[Supplier ID]],Supplier[#All],3,0)</f>
        <v>9689542472</v>
      </c>
      <c r="F2096" s="138" t="str">
        <f>VLOOKUP(Purchase[[#This Row],[Supplier ID]],Supplier[#All],4,0)</f>
        <v>Korba</v>
      </c>
      <c r="G2096" s="138" t="str">
        <f>VLOOKUP(Purchase[[#This Row],[Supplier ID]],Supplier[#All],5,0)</f>
        <v>CG</v>
      </c>
      <c r="H2096" s="138" t="str">
        <f>VLOOKUP(Purchase[[#This Row],[Supplier ID]],Supplier[#All],6,0)</f>
        <v>GST2154521T034</v>
      </c>
      <c r="I2096" s="138" t="s">
        <v>135</v>
      </c>
      <c r="J2096" s="139">
        <v>28</v>
      </c>
      <c r="K2096" s="143">
        <f>VLOOKUP(Purchase[[#This Row],[Product ID]],Product[#All],6,0)</f>
        <v>2681</v>
      </c>
      <c r="L2096" s="143">
        <f>Purchase[[#This Row],[Purchase Rate]]*Purchase[[#This Row],[Qty]]</f>
        <v>75068</v>
      </c>
      <c r="M2096" s="140">
        <v>0</v>
      </c>
      <c r="N2096" s="143">
        <v>0</v>
      </c>
      <c r="O2096" s="140">
        <v>0.18</v>
      </c>
      <c r="P2096" s="145">
        <f>(Purchase[[#This Row],[Gross Amount]]-Purchase[[#This Row],[Disct %]])*Purchase[[#This Row],[GST %]]</f>
        <v>13512.24</v>
      </c>
      <c r="Q2096" s="145">
        <f>Purchase[[#This Row],[Gross Amount]]-Purchase[[#This Row],[Disct Amnt]]+Purchase[[#This Row],[GST Amount]]</f>
        <v>88580.24</v>
      </c>
      <c r="R2096" s="138" t="s">
        <v>1019</v>
      </c>
      <c r="S2096" s="41">
        <f>IF(Purchase[[#This Row],[Status]]="Cancelled",0,Purchase[[#This Row],[Qty]])</f>
        <v>28</v>
      </c>
      <c r="T2096" s="146">
        <f>IF(Purchase[[#This Row],[Status]]="Cancelled",0,Purchase[[#This Row],[Total Amount]])</f>
        <v>88580.24</v>
      </c>
      <c r="U2096" s="146">
        <f>SUM(Purchase[Net Amount])</f>
        <v>814985438.68000126</v>
      </c>
    </row>
    <row r="2097" spans="1:21" ht="19.5" thickBot="1" x14ac:dyDescent="0.3">
      <c r="A2097" s="136" t="s">
        <v>3153</v>
      </c>
      <c r="B2097" s="137">
        <v>45761</v>
      </c>
      <c r="C2097" s="138" t="s">
        <v>3539</v>
      </c>
      <c r="D2097" s="138" t="str">
        <f>VLOOKUP(Purchase[[#This Row],[Supplier ID]],Supplier[#All],2,0)</f>
        <v>National Distributors</v>
      </c>
      <c r="E2097" s="138">
        <f>VLOOKUP(Purchase[[#This Row],[Supplier ID]],Supplier[#All],3,0)</f>
        <v>9689542453</v>
      </c>
      <c r="F2097" s="138" t="str">
        <f>VLOOKUP(Purchase[[#This Row],[Supplier ID]],Supplier[#All],4,0)</f>
        <v>Korba</v>
      </c>
      <c r="G2097" s="138" t="str">
        <f>VLOOKUP(Purchase[[#This Row],[Supplier ID]],Supplier[#All],5,0)</f>
        <v>CG</v>
      </c>
      <c r="H2097" s="138" t="str">
        <f>VLOOKUP(Purchase[[#This Row],[Supplier ID]],Supplier[#All],6,0)</f>
        <v>GST2154521T015</v>
      </c>
      <c r="I2097" s="138" t="s">
        <v>116</v>
      </c>
      <c r="J2097" s="139">
        <v>12</v>
      </c>
      <c r="K2097" s="143">
        <f>VLOOKUP(Purchase[[#This Row],[Product ID]],Product[#All],6,0)</f>
        <v>33377</v>
      </c>
      <c r="L2097" s="143">
        <f>Purchase[[#This Row],[Purchase Rate]]*Purchase[[#This Row],[Qty]]</f>
        <v>400524</v>
      </c>
      <c r="M2097" s="140">
        <v>0</v>
      </c>
      <c r="N2097" s="143">
        <v>0</v>
      </c>
      <c r="O2097" s="140">
        <v>0.18</v>
      </c>
      <c r="P2097" s="145">
        <f>(Purchase[[#This Row],[Gross Amount]]-Purchase[[#This Row],[Disct %]])*Purchase[[#This Row],[GST %]]</f>
        <v>72094.319999999992</v>
      </c>
      <c r="Q2097" s="145">
        <f>Purchase[[#This Row],[Gross Amount]]-Purchase[[#This Row],[Disct Amnt]]+Purchase[[#This Row],[GST Amount]]</f>
        <v>472618.32</v>
      </c>
      <c r="R2097" s="138" t="s">
        <v>1019</v>
      </c>
      <c r="S2097" s="41">
        <f>IF(Purchase[[#This Row],[Status]]="Cancelled",0,Purchase[[#This Row],[Qty]])</f>
        <v>12</v>
      </c>
      <c r="T2097" s="146">
        <f>IF(Purchase[[#This Row],[Status]]="Cancelled",0,Purchase[[#This Row],[Total Amount]])</f>
        <v>472618.32</v>
      </c>
      <c r="U2097" s="146">
        <f>SUM(Purchase[Net Amount])</f>
        <v>814985438.68000126</v>
      </c>
    </row>
    <row r="2098" spans="1:21" ht="19.5" thickBot="1" x14ac:dyDescent="0.3">
      <c r="A2098" s="136" t="s">
        <v>3154</v>
      </c>
      <c r="B2098" s="137">
        <v>45761</v>
      </c>
      <c r="C2098" s="138" t="s">
        <v>581</v>
      </c>
      <c r="D2098" s="138" t="str">
        <f>VLOOKUP(Purchase[[#This Row],[Supplier ID]],Supplier[#All],2,0)</f>
        <v>Prime Electronics</v>
      </c>
      <c r="E2098" s="138">
        <f>VLOOKUP(Purchase[[#This Row],[Supplier ID]],Supplier[#All],3,0)</f>
        <v>9689542465</v>
      </c>
      <c r="F2098" s="138" t="str">
        <f>VLOOKUP(Purchase[[#This Row],[Supplier ID]],Supplier[#All],4,0)</f>
        <v>Korba</v>
      </c>
      <c r="G2098" s="138" t="str">
        <f>VLOOKUP(Purchase[[#This Row],[Supplier ID]],Supplier[#All],5,0)</f>
        <v>CG</v>
      </c>
      <c r="H2098" s="138" t="str">
        <f>VLOOKUP(Purchase[[#This Row],[Supplier ID]],Supplier[#All],6,0)</f>
        <v>GST2154521T027</v>
      </c>
      <c r="I2098" s="138" t="s">
        <v>472</v>
      </c>
      <c r="J2098" s="139">
        <v>7</v>
      </c>
      <c r="K2098" s="143">
        <f>VLOOKUP(Purchase[[#This Row],[Product ID]],Product[#All],6,0)</f>
        <v>5430</v>
      </c>
      <c r="L2098" s="143">
        <f>Purchase[[#This Row],[Purchase Rate]]*Purchase[[#This Row],[Qty]]</f>
        <v>38010</v>
      </c>
      <c r="M2098" s="140">
        <v>0</v>
      </c>
      <c r="N2098" s="143">
        <v>0</v>
      </c>
      <c r="O2098" s="140">
        <v>0.18</v>
      </c>
      <c r="P2098" s="145">
        <f>(Purchase[[#This Row],[Gross Amount]]-Purchase[[#This Row],[Disct %]])*Purchase[[#This Row],[GST %]]</f>
        <v>6841.8</v>
      </c>
      <c r="Q2098" s="145">
        <f>Purchase[[#This Row],[Gross Amount]]-Purchase[[#This Row],[Disct Amnt]]+Purchase[[#This Row],[GST Amount]]</f>
        <v>44851.8</v>
      </c>
      <c r="R2098" s="138" t="s">
        <v>1019</v>
      </c>
      <c r="S2098" s="41">
        <f>IF(Purchase[[#This Row],[Status]]="Cancelled",0,Purchase[[#This Row],[Qty]])</f>
        <v>7</v>
      </c>
      <c r="T2098" s="146">
        <f>IF(Purchase[[#This Row],[Status]]="Cancelled",0,Purchase[[#This Row],[Total Amount]])</f>
        <v>44851.8</v>
      </c>
      <c r="U2098" s="146">
        <f>SUM(Purchase[Net Amount])</f>
        <v>814985438.68000126</v>
      </c>
    </row>
    <row r="2099" spans="1:21" ht="19.5" thickBot="1" x14ac:dyDescent="0.3">
      <c r="A2099" s="136" t="s">
        <v>3155</v>
      </c>
      <c r="B2099" s="137">
        <v>45761</v>
      </c>
      <c r="C2099" s="138" t="s">
        <v>582</v>
      </c>
      <c r="D2099" s="138" t="str">
        <f>VLOOKUP(Purchase[[#This Row],[Supplier ID]],Supplier[#All],2,0)</f>
        <v>Tech Distributors</v>
      </c>
      <c r="E2099" s="138">
        <f>VLOOKUP(Purchase[[#This Row],[Supplier ID]],Supplier[#All],3,0)</f>
        <v>9689542466</v>
      </c>
      <c r="F2099" s="138" t="str">
        <f>VLOOKUP(Purchase[[#This Row],[Supplier ID]],Supplier[#All],4,0)</f>
        <v>Indore</v>
      </c>
      <c r="G2099" s="138" t="str">
        <f>VLOOKUP(Purchase[[#This Row],[Supplier ID]],Supplier[#All],5,0)</f>
        <v>MP</v>
      </c>
      <c r="H2099" s="138" t="str">
        <f>VLOOKUP(Purchase[[#This Row],[Supplier ID]],Supplier[#All],6,0)</f>
        <v>GST2154521T028</v>
      </c>
      <c r="I2099" s="138" t="s">
        <v>370</v>
      </c>
      <c r="J2099" s="139">
        <v>15</v>
      </c>
      <c r="K2099" s="143">
        <f>VLOOKUP(Purchase[[#This Row],[Product ID]],Product[#All],6,0)</f>
        <v>19276</v>
      </c>
      <c r="L2099" s="143">
        <f>Purchase[[#This Row],[Purchase Rate]]*Purchase[[#This Row],[Qty]]</f>
        <v>289140</v>
      </c>
      <c r="M2099" s="140">
        <v>0</v>
      </c>
      <c r="N2099" s="143">
        <v>0</v>
      </c>
      <c r="O2099" s="140">
        <v>0.18</v>
      </c>
      <c r="P2099" s="145">
        <f>(Purchase[[#This Row],[Gross Amount]]-Purchase[[#This Row],[Disct %]])*Purchase[[#This Row],[GST %]]</f>
        <v>52045.2</v>
      </c>
      <c r="Q2099" s="145">
        <f>Purchase[[#This Row],[Gross Amount]]-Purchase[[#This Row],[Disct Amnt]]+Purchase[[#This Row],[GST Amount]]</f>
        <v>341185.2</v>
      </c>
      <c r="R2099" s="138" t="s">
        <v>1019</v>
      </c>
      <c r="S2099" s="41">
        <f>IF(Purchase[[#This Row],[Status]]="Cancelled",0,Purchase[[#This Row],[Qty]])</f>
        <v>15</v>
      </c>
      <c r="T2099" s="146">
        <f>IF(Purchase[[#This Row],[Status]]="Cancelled",0,Purchase[[#This Row],[Total Amount]])</f>
        <v>341185.2</v>
      </c>
      <c r="U2099" s="146">
        <f>SUM(Purchase[Net Amount])</f>
        <v>814985438.68000126</v>
      </c>
    </row>
    <row r="2100" spans="1:21" ht="19.5" thickBot="1" x14ac:dyDescent="0.3">
      <c r="A2100" s="136" t="s">
        <v>3156</v>
      </c>
      <c r="B2100" s="137">
        <v>45761</v>
      </c>
      <c r="C2100" s="138" t="s">
        <v>600</v>
      </c>
      <c r="D2100" s="138" t="str">
        <f>VLOOKUP(Purchase[[#This Row],[Supplier ID]],Supplier[#All],2,0)</f>
        <v>Prime Suppliers</v>
      </c>
      <c r="E2100" s="138">
        <f>VLOOKUP(Purchase[[#This Row],[Supplier ID]],Supplier[#All],3,0)</f>
        <v>9689542483</v>
      </c>
      <c r="F2100" s="138" t="str">
        <f>VLOOKUP(Purchase[[#This Row],[Supplier ID]],Supplier[#All],4,0)</f>
        <v>Korba</v>
      </c>
      <c r="G2100" s="138" t="str">
        <f>VLOOKUP(Purchase[[#This Row],[Supplier ID]],Supplier[#All],5,0)</f>
        <v>CG</v>
      </c>
      <c r="H2100" s="138" t="str">
        <f>VLOOKUP(Purchase[[#This Row],[Supplier ID]],Supplier[#All],6,0)</f>
        <v>GST2154521T045</v>
      </c>
      <c r="I2100" s="138" t="s">
        <v>492</v>
      </c>
      <c r="J2100" s="139">
        <v>13</v>
      </c>
      <c r="K2100" s="143">
        <f>VLOOKUP(Purchase[[#This Row],[Product ID]],Product[#All],6,0)</f>
        <v>11090</v>
      </c>
      <c r="L2100" s="143">
        <f>Purchase[[#This Row],[Purchase Rate]]*Purchase[[#This Row],[Qty]]</f>
        <v>144170</v>
      </c>
      <c r="M2100" s="140">
        <v>0</v>
      </c>
      <c r="N2100" s="143">
        <v>0</v>
      </c>
      <c r="O2100" s="140">
        <v>0.18</v>
      </c>
      <c r="P2100" s="145">
        <f>(Purchase[[#This Row],[Gross Amount]]-Purchase[[#This Row],[Disct %]])*Purchase[[#This Row],[GST %]]</f>
        <v>25950.6</v>
      </c>
      <c r="Q2100" s="145">
        <f>Purchase[[#This Row],[Gross Amount]]-Purchase[[#This Row],[Disct Amnt]]+Purchase[[#This Row],[GST Amount]]</f>
        <v>170120.6</v>
      </c>
      <c r="R2100" s="138" t="s">
        <v>1019</v>
      </c>
      <c r="S2100" s="41">
        <f>IF(Purchase[[#This Row],[Status]]="Cancelled",0,Purchase[[#This Row],[Qty]])</f>
        <v>13</v>
      </c>
      <c r="T2100" s="146">
        <f>IF(Purchase[[#This Row],[Status]]="Cancelled",0,Purchase[[#This Row],[Total Amount]])</f>
        <v>170120.6</v>
      </c>
      <c r="U2100" s="146">
        <f>SUM(Purchase[Net Amount])</f>
        <v>814985438.68000126</v>
      </c>
    </row>
    <row r="2101" spans="1:21" ht="19.5" thickBot="1" x14ac:dyDescent="0.3">
      <c r="A2101" s="136" t="s">
        <v>3157</v>
      </c>
      <c r="B2101" s="137">
        <v>45761</v>
      </c>
      <c r="C2101" s="138" t="s">
        <v>608</v>
      </c>
      <c r="D2101" s="138" t="str">
        <f>VLOOKUP(Purchase[[#This Row],[Supplier ID]],Supplier[#All],2,0)</f>
        <v>Global Suppliers</v>
      </c>
      <c r="E2101" s="138">
        <f>VLOOKUP(Purchase[[#This Row],[Supplier ID]],Supplier[#All],3,0)</f>
        <v>9689542499</v>
      </c>
      <c r="F2101" s="138" t="str">
        <f>VLOOKUP(Purchase[[#This Row],[Supplier ID]],Supplier[#All],4,0)</f>
        <v>Korba</v>
      </c>
      <c r="G2101" s="138" t="str">
        <f>VLOOKUP(Purchase[[#This Row],[Supplier ID]],Supplier[#All],5,0)</f>
        <v>CG</v>
      </c>
      <c r="H2101" s="138" t="str">
        <f>VLOOKUP(Purchase[[#This Row],[Supplier ID]],Supplier[#All],6,0)</f>
        <v>GST2154521T053</v>
      </c>
      <c r="I2101" s="138" t="s">
        <v>403</v>
      </c>
      <c r="J2101" s="139">
        <v>31</v>
      </c>
      <c r="K2101" s="143">
        <f>VLOOKUP(Purchase[[#This Row],[Product ID]],Product[#All],6,0)</f>
        <v>13869</v>
      </c>
      <c r="L2101" s="143">
        <f>Purchase[[#This Row],[Purchase Rate]]*Purchase[[#This Row],[Qty]]</f>
        <v>429939</v>
      </c>
      <c r="M2101" s="140">
        <v>0</v>
      </c>
      <c r="N2101" s="143">
        <v>0</v>
      </c>
      <c r="O2101" s="140">
        <v>0.18</v>
      </c>
      <c r="P2101" s="145">
        <f>(Purchase[[#This Row],[Gross Amount]]-Purchase[[#This Row],[Disct %]])*Purchase[[#This Row],[GST %]]</f>
        <v>77389.02</v>
      </c>
      <c r="Q2101" s="145">
        <f>Purchase[[#This Row],[Gross Amount]]-Purchase[[#This Row],[Disct Amnt]]+Purchase[[#This Row],[GST Amount]]</f>
        <v>507328.02</v>
      </c>
      <c r="R2101" s="138" t="s">
        <v>1019</v>
      </c>
      <c r="S2101" s="41">
        <f>IF(Purchase[[#This Row],[Status]]="Cancelled",0,Purchase[[#This Row],[Qty]])</f>
        <v>31</v>
      </c>
      <c r="T2101" s="146">
        <f>IF(Purchase[[#This Row],[Status]]="Cancelled",0,Purchase[[#This Row],[Total Amount]])</f>
        <v>507328.02</v>
      </c>
      <c r="U2101" s="146">
        <f>SUM(Purchase[Net Amount])</f>
        <v>814985438.68000126</v>
      </c>
    </row>
    <row r="2102" spans="1:21" ht="19.5" thickBot="1" x14ac:dyDescent="0.3">
      <c r="A2102" s="136" t="s">
        <v>3158</v>
      </c>
      <c r="B2102" s="137">
        <v>45761</v>
      </c>
      <c r="C2102" s="138" t="s">
        <v>605</v>
      </c>
      <c r="D2102" s="138" t="str">
        <f>VLOOKUP(Purchase[[#This Row],[Supplier ID]],Supplier[#All],2,0)</f>
        <v>Star Traders</v>
      </c>
      <c r="E2102" s="138">
        <f>VLOOKUP(Purchase[[#This Row],[Supplier ID]],Supplier[#All],3,0)</f>
        <v>9689542488</v>
      </c>
      <c r="F2102" s="138" t="str">
        <f>VLOOKUP(Purchase[[#This Row],[Supplier ID]],Supplier[#All],4,0)</f>
        <v>Indore</v>
      </c>
      <c r="G2102" s="138" t="str">
        <f>VLOOKUP(Purchase[[#This Row],[Supplier ID]],Supplier[#All],5,0)</f>
        <v>MP</v>
      </c>
      <c r="H2102" s="138" t="str">
        <f>VLOOKUP(Purchase[[#This Row],[Supplier ID]],Supplier[#All],6,0)</f>
        <v>GST2154521T050</v>
      </c>
      <c r="I2102" s="138" t="s">
        <v>189</v>
      </c>
      <c r="J2102" s="139">
        <v>3</v>
      </c>
      <c r="K2102" s="143">
        <f>VLOOKUP(Purchase[[#This Row],[Product ID]],Product[#All],6,0)</f>
        <v>1280</v>
      </c>
      <c r="L2102" s="143">
        <f>Purchase[[#This Row],[Purchase Rate]]*Purchase[[#This Row],[Qty]]</f>
        <v>3840</v>
      </c>
      <c r="M2102" s="140">
        <v>0</v>
      </c>
      <c r="N2102" s="143">
        <v>0</v>
      </c>
      <c r="O2102" s="140">
        <v>0.18</v>
      </c>
      <c r="P2102" s="145">
        <f>(Purchase[[#This Row],[Gross Amount]]-Purchase[[#This Row],[Disct %]])*Purchase[[#This Row],[GST %]]</f>
        <v>691.19999999999993</v>
      </c>
      <c r="Q2102" s="145">
        <f>Purchase[[#This Row],[Gross Amount]]-Purchase[[#This Row],[Disct Amnt]]+Purchase[[#This Row],[GST Amount]]</f>
        <v>4531.2</v>
      </c>
      <c r="R2102" s="138" t="s">
        <v>1019</v>
      </c>
      <c r="S2102" s="41">
        <f>IF(Purchase[[#This Row],[Status]]="Cancelled",0,Purchase[[#This Row],[Qty]])</f>
        <v>3</v>
      </c>
      <c r="T2102" s="146">
        <f>IF(Purchase[[#This Row],[Status]]="Cancelled",0,Purchase[[#This Row],[Total Amount]])</f>
        <v>4531.2</v>
      </c>
      <c r="U2102" s="146">
        <f>SUM(Purchase[Net Amount])</f>
        <v>814985438.68000126</v>
      </c>
    </row>
    <row r="2103" spans="1:21" ht="19.5" thickBot="1" x14ac:dyDescent="0.3">
      <c r="A2103" s="136" t="s">
        <v>3159</v>
      </c>
      <c r="B2103" s="137">
        <v>45761</v>
      </c>
      <c r="C2103" s="138" t="s">
        <v>601</v>
      </c>
      <c r="D2103" s="138" t="str">
        <f>VLOOKUP(Purchase[[#This Row],[Supplier ID]],Supplier[#All],2,0)</f>
        <v>Maa Distributors</v>
      </c>
      <c r="E2103" s="138">
        <f>VLOOKUP(Purchase[[#This Row],[Supplier ID]],Supplier[#All],3,0)</f>
        <v>9689542484</v>
      </c>
      <c r="F2103" s="138" t="str">
        <f>VLOOKUP(Purchase[[#This Row],[Supplier ID]],Supplier[#All],4,0)</f>
        <v>Indore</v>
      </c>
      <c r="G2103" s="138" t="str">
        <f>VLOOKUP(Purchase[[#This Row],[Supplier ID]],Supplier[#All],5,0)</f>
        <v>MP</v>
      </c>
      <c r="H2103" s="138" t="str">
        <f>VLOOKUP(Purchase[[#This Row],[Supplier ID]],Supplier[#All],6,0)</f>
        <v>GST2154521T046</v>
      </c>
      <c r="I2103" s="138" t="s">
        <v>170</v>
      </c>
      <c r="J2103" s="139">
        <v>3</v>
      </c>
      <c r="K2103" s="143">
        <f>VLOOKUP(Purchase[[#This Row],[Product ID]],Product[#All],6,0)</f>
        <v>26168</v>
      </c>
      <c r="L2103" s="143">
        <f>Purchase[[#This Row],[Purchase Rate]]*Purchase[[#This Row],[Qty]]</f>
        <v>78504</v>
      </c>
      <c r="M2103" s="140">
        <v>0</v>
      </c>
      <c r="N2103" s="143">
        <v>0</v>
      </c>
      <c r="O2103" s="140">
        <v>0.18</v>
      </c>
      <c r="P2103" s="145">
        <f>(Purchase[[#This Row],[Gross Amount]]-Purchase[[#This Row],[Disct %]])*Purchase[[#This Row],[GST %]]</f>
        <v>14130.72</v>
      </c>
      <c r="Q2103" s="145">
        <f>Purchase[[#This Row],[Gross Amount]]-Purchase[[#This Row],[Disct Amnt]]+Purchase[[#This Row],[GST Amount]]</f>
        <v>92634.72</v>
      </c>
      <c r="R2103" s="138" t="s">
        <v>1019</v>
      </c>
      <c r="S2103" s="41">
        <f>IF(Purchase[[#This Row],[Status]]="Cancelled",0,Purchase[[#This Row],[Qty]])</f>
        <v>3</v>
      </c>
      <c r="T2103" s="146">
        <f>IF(Purchase[[#This Row],[Status]]="Cancelled",0,Purchase[[#This Row],[Total Amount]])</f>
        <v>92634.72</v>
      </c>
      <c r="U2103" s="146">
        <f>SUM(Purchase[Net Amount])</f>
        <v>814985438.68000126</v>
      </c>
    </row>
    <row r="2104" spans="1:21" ht="19.5" thickBot="1" x14ac:dyDescent="0.3">
      <c r="A2104" s="136" t="s">
        <v>3160</v>
      </c>
      <c r="B2104" s="137">
        <v>45761</v>
      </c>
      <c r="C2104" s="138" t="s">
        <v>606</v>
      </c>
      <c r="D2104" s="138" t="str">
        <f>VLOOKUP(Purchase[[#This Row],[Supplier ID]],Supplier[#All],2,0)</f>
        <v>Prime Traders</v>
      </c>
      <c r="E2104" s="138">
        <f>VLOOKUP(Purchase[[#This Row],[Supplier ID]],Supplier[#All],3,0)</f>
        <v>9689542489</v>
      </c>
      <c r="F2104" s="138" t="str">
        <f>VLOOKUP(Purchase[[#This Row],[Supplier ID]],Supplier[#All],4,0)</f>
        <v>Indore</v>
      </c>
      <c r="G2104" s="138" t="str">
        <f>VLOOKUP(Purchase[[#This Row],[Supplier ID]],Supplier[#All],5,0)</f>
        <v>MP</v>
      </c>
      <c r="H2104" s="138" t="str">
        <f>VLOOKUP(Purchase[[#This Row],[Supplier ID]],Supplier[#All],6,0)</f>
        <v>GST2154521T051</v>
      </c>
      <c r="I2104" s="138" t="s">
        <v>242</v>
      </c>
      <c r="J2104" s="139">
        <v>22</v>
      </c>
      <c r="K2104" s="143">
        <f>VLOOKUP(Purchase[[#This Row],[Product ID]],Product[#All],6,0)</f>
        <v>15569</v>
      </c>
      <c r="L2104" s="143">
        <f>Purchase[[#This Row],[Purchase Rate]]*Purchase[[#This Row],[Qty]]</f>
        <v>342518</v>
      </c>
      <c r="M2104" s="140">
        <v>0</v>
      </c>
      <c r="N2104" s="143">
        <v>0</v>
      </c>
      <c r="O2104" s="140">
        <v>0.18</v>
      </c>
      <c r="P2104" s="145">
        <f>(Purchase[[#This Row],[Gross Amount]]-Purchase[[#This Row],[Disct %]])*Purchase[[#This Row],[GST %]]</f>
        <v>61653.24</v>
      </c>
      <c r="Q2104" s="145">
        <f>Purchase[[#This Row],[Gross Amount]]-Purchase[[#This Row],[Disct Amnt]]+Purchase[[#This Row],[GST Amount]]</f>
        <v>404171.24</v>
      </c>
      <c r="R2104" s="138" t="s">
        <v>1019</v>
      </c>
      <c r="S2104" s="41">
        <f>IF(Purchase[[#This Row],[Status]]="Cancelled",0,Purchase[[#This Row],[Qty]])</f>
        <v>22</v>
      </c>
      <c r="T2104" s="146">
        <f>IF(Purchase[[#This Row],[Status]]="Cancelled",0,Purchase[[#This Row],[Total Amount]])</f>
        <v>404171.24</v>
      </c>
      <c r="U2104" s="146">
        <f>SUM(Purchase[Net Amount])</f>
        <v>814985438.68000126</v>
      </c>
    </row>
    <row r="2105" spans="1:21" ht="19.5" thickBot="1" x14ac:dyDescent="0.3">
      <c r="A2105" s="136" t="s">
        <v>3161</v>
      </c>
      <c r="B2105" s="137">
        <v>45761</v>
      </c>
      <c r="C2105" s="138" t="s">
        <v>589</v>
      </c>
      <c r="D2105" s="138" t="str">
        <f>VLOOKUP(Purchase[[#This Row],[Supplier ID]],Supplier[#All],2,0)</f>
        <v>Maa Computers</v>
      </c>
      <c r="E2105" s="138">
        <f>VLOOKUP(Purchase[[#This Row],[Supplier ID]],Supplier[#All],3,0)</f>
        <v>9689542473</v>
      </c>
      <c r="F2105" s="138" t="str">
        <f>VLOOKUP(Purchase[[#This Row],[Supplier ID]],Supplier[#All],4,0)</f>
        <v>Kanpur</v>
      </c>
      <c r="G2105" s="138" t="str">
        <f>VLOOKUP(Purchase[[#This Row],[Supplier ID]],Supplier[#All],5,0)</f>
        <v>UP</v>
      </c>
      <c r="H2105" s="138" t="str">
        <f>VLOOKUP(Purchase[[#This Row],[Supplier ID]],Supplier[#All],6,0)</f>
        <v>GST2154521T035</v>
      </c>
      <c r="I2105" s="138" t="s">
        <v>248</v>
      </c>
      <c r="J2105" s="139">
        <v>31</v>
      </c>
      <c r="K2105" s="143">
        <f>VLOOKUP(Purchase[[#This Row],[Product ID]],Product[#All],6,0)</f>
        <v>824</v>
      </c>
      <c r="L2105" s="143">
        <f>Purchase[[#This Row],[Purchase Rate]]*Purchase[[#This Row],[Qty]]</f>
        <v>25544</v>
      </c>
      <c r="M2105" s="140">
        <v>0</v>
      </c>
      <c r="N2105" s="143">
        <v>0</v>
      </c>
      <c r="O2105" s="140">
        <v>0.18</v>
      </c>
      <c r="P2105" s="145">
        <f>(Purchase[[#This Row],[Gross Amount]]-Purchase[[#This Row],[Disct %]])*Purchase[[#This Row],[GST %]]</f>
        <v>4597.92</v>
      </c>
      <c r="Q2105" s="145">
        <f>Purchase[[#This Row],[Gross Amount]]-Purchase[[#This Row],[Disct Amnt]]+Purchase[[#This Row],[GST Amount]]</f>
        <v>30141.919999999998</v>
      </c>
      <c r="R2105" s="138" t="s">
        <v>1019</v>
      </c>
      <c r="S2105" s="41">
        <f>IF(Purchase[[#This Row],[Status]]="Cancelled",0,Purchase[[#This Row],[Qty]])</f>
        <v>31</v>
      </c>
      <c r="T2105" s="146">
        <f>IF(Purchase[[#This Row],[Status]]="Cancelled",0,Purchase[[#This Row],[Total Amount]])</f>
        <v>30141.919999999998</v>
      </c>
      <c r="U2105" s="146">
        <f>SUM(Purchase[Net Amount])</f>
        <v>814985438.68000126</v>
      </c>
    </row>
    <row r="2106" spans="1:21" ht="19.5" thickBot="1" x14ac:dyDescent="0.3">
      <c r="A2106" s="136" t="s">
        <v>3162</v>
      </c>
      <c r="B2106" s="137">
        <v>45761</v>
      </c>
      <c r="C2106" s="138" t="s">
        <v>616</v>
      </c>
      <c r="D2106" s="138" t="str">
        <f>VLOOKUP(Purchase[[#This Row],[Supplier ID]],Supplier[#All],2,0)</f>
        <v>Global Suppliers</v>
      </c>
      <c r="E2106" s="138">
        <f>VLOOKUP(Purchase[[#This Row],[Supplier ID]],Supplier[#All],3,0)</f>
        <v>9689542499</v>
      </c>
      <c r="F2106" s="138" t="str">
        <f>VLOOKUP(Purchase[[#This Row],[Supplier ID]],Supplier[#All],4,0)</f>
        <v>Kanpur</v>
      </c>
      <c r="G2106" s="138" t="str">
        <f>VLOOKUP(Purchase[[#This Row],[Supplier ID]],Supplier[#All],5,0)</f>
        <v>UP</v>
      </c>
      <c r="H2106" s="138" t="str">
        <f>VLOOKUP(Purchase[[#This Row],[Supplier ID]],Supplier[#All],6,0)</f>
        <v>GST2154521T061</v>
      </c>
      <c r="I2106" s="138" t="s">
        <v>499</v>
      </c>
      <c r="J2106" s="139">
        <v>36</v>
      </c>
      <c r="K2106" s="143">
        <f>VLOOKUP(Purchase[[#This Row],[Product ID]],Product[#All],6,0)</f>
        <v>69609</v>
      </c>
      <c r="L2106" s="143">
        <f>Purchase[[#This Row],[Purchase Rate]]*Purchase[[#This Row],[Qty]]</f>
        <v>2505924</v>
      </c>
      <c r="M2106" s="140">
        <v>0</v>
      </c>
      <c r="N2106" s="143">
        <v>0</v>
      </c>
      <c r="O2106" s="140">
        <v>0.18</v>
      </c>
      <c r="P2106" s="145">
        <f>(Purchase[[#This Row],[Gross Amount]]-Purchase[[#This Row],[Disct %]])*Purchase[[#This Row],[GST %]]</f>
        <v>451066.32</v>
      </c>
      <c r="Q2106" s="145">
        <f>Purchase[[#This Row],[Gross Amount]]-Purchase[[#This Row],[Disct Amnt]]+Purchase[[#This Row],[GST Amount]]</f>
        <v>2956990.32</v>
      </c>
      <c r="R2106" s="138" t="s">
        <v>1019</v>
      </c>
      <c r="S2106" s="41">
        <f>IF(Purchase[[#This Row],[Status]]="Cancelled",0,Purchase[[#This Row],[Qty]])</f>
        <v>36</v>
      </c>
      <c r="T2106" s="146">
        <f>IF(Purchase[[#This Row],[Status]]="Cancelled",0,Purchase[[#This Row],[Total Amount]])</f>
        <v>2956990.32</v>
      </c>
      <c r="U2106" s="146">
        <f>SUM(Purchase[Net Amount])</f>
        <v>814985438.68000126</v>
      </c>
    </row>
    <row r="2107" spans="1:21" ht="19.5" thickBot="1" x14ac:dyDescent="0.3">
      <c r="A2107" s="136" t="s">
        <v>3163</v>
      </c>
      <c r="B2107" s="137">
        <v>45761</v>
      </c>
      <c r="C2107" s="138" t="s">
        <v>583</v>
      </c>
      <c r="D2107" s="138" t="str">
        <f>VLOOKUP(Purchase[[#This Row],[Supplier ID]],Supplier[#All],2,0)</f>
        <v>Shree Distributors</v>
      </c>
      <c r="E2107" s="138">
        <f>VLOOKUP(Purchase[[#This Row],[Supplier ID]],Supplier[#All],3,0)</f>
        <v>9689542467</v>
      </c>
      <c r="F2107" s="138" t="str">
        <f>VLOOKUP(Purchase[[#This Row],[Supplier ID]],Supplier[#All],4,0)</f>
        <v>Indore</v>
      </c>
      <c r="G2107" s="138" t="str">
        <f>VLOOKUP(Purchase[[#This Row],[Supplier ID]],Supplier[#All],5,0)</f>
        <v>MP</v>
      </c>
      <c r="H2107" s="138" t="str">
        <f>VLOOKUP(Purchase[[#This Row],[Supplier ID]],Supplier[#All],6,0)</f>
        <v>GST2154521T029</v>
      </c>
      <c r="I2107" s="138" t="s">
        <v>512</v>
      </c>
      <c r="J2107" s="139">
        <v>21</v>
      </c>
      <c r="K2107" s="143">
        <f>VLOOKUP(Purchase[[#This Row],[Product ID]],Product[#All],6,0)</f>
        <v>4495</v>
      </c>
      <c r="L2107" s="143">
        <f>Purchase[[#This Row],[Purchase Rate]]*Purchase[[#This Row],[Qty]]</f>
        <v>94395</v>
      </c>
      <c r="M2107" s="140">
        <v>0</v>
      </c>
      <c r="N2107" s="143">
        <v>0</v>
      </c>
      <c r="O2107" s="140">
        <v>0.18</v>
      </c>
      <c r="P2107" s="145">
        <f>(Purchase[[#This Row],[Gross Amount]]-Purchase[[#This Row],[Disct %]])*Purchase[[#This Row],[GST %]]</f>
        <v>16991.099999999999</v>
      </c>
      <c r="Q2107" s="145">
        <f>Purchase[[#This Row],[Gross Amount]]-Purchase[[#This Row],[Disct Amnt]]+Purchase[[#This Row],[GST Amount]]</f>
        <v>111386.1</v>
      </c>
      <c r="R2107" s="138" t="s">
        <v>1019</v>
      </c>
      <c r="S2107" s="41">
        <f>IF(Purchase[[#This Row],[Status]]="Cancelled",0,Purchase[[#This Row],[Qty]])</f>
        <v>21</v>
      </c>
      <c r="T2107" s="146">
        <f>IF(Purchase[[#This Row],[Status]]="Cancelled",0,Purchase[[#This Row],[Total Amount]])</f>
        <v>111386.1</v>
      </c>
      <c r="U2107" s="146">
        <f>SUM(Purchase[Net Amount])</f>
        <v>814985438.68000126</v>
      </c>
    </row>
    <row r="2108" spans="1:21" ht="19.5" thickBot="1" x14ac:dyDescent="0.3">
      <c r="A2108" s="136" t="s">
        <v>3164</v>
      </c>
      <c r="B2108" s="137">
        <v>45761</v>
      </c>
      <c r="C2108" s="138" t="s">
        <v>612</v>
      </c>
      <c r="D2108" s="138" t="str">
        <f>VLOOKUP(Purchase[[#This Row],[Supplier ID]],Supplier[#All],2,0)</f>
        <v>National Computers</v>
      </c>
      <c r="E2108" s="138">
        <f>VLOOKUP(Purchase[[#This Row],[Supplier ID]],Supplier[#All],3,0)</f>
        <v>9689542495</v>
      </c>
      <c r="F2108" s="138" t="str">
        <f>VLOOKUP(Purchase[[#This Row],[Supplier ID]],Supplier[#All],4,0)</f>
        <v>Indore</v>
      </c>
      <c r="G2108" s="138" t="str">
        <f>VLOOKUP(Purchase[[#This Row],[Supplier ID]],Supplier[#All],5,0)</f>
        <v>MP</v>
      </c>
      <c r="H2108" s="138" t="str">
        <f>VLOOKUP(Purchase[[#This Row],[Supplier ID]],Supplier[#All],6,0)</f>
        <v>GST2154521T057</v>
      </c>
      <c r="I2108" s="138" t="s">
        <v>96</v>
      </c>
      <c r="J2108" s="139">
        <v>25</v>
      </c>
      <c r="K2108" s="143">
        <f>VLOOKUP(Purchase[[#This Row],[Product ID]],Product[#All],6,0)</f>
        <v>3785</v>
      </c>
      <c r="L2108" s="143">
        <f>Purchase[[#This Row],[Purchase Rate]]*Purchase[[#This Row],[Qty]]</f>
        <v>94625</v>
      </c>
      <c r="M2108" s="140">
        <v>0</v>
      </c>
      <c r="N2108" s="143">
        <v>0</v>
      </c>
      <c r="O2108" s="140">
        <v>0.18</v>
      </c>
      <c r="P2108" s="145">
        <f>(Purchase[[#This Row],[Gross Amount]]-Purchase[[#This Row],[Disct %]])*Purchase[[#This Row],[GST %]]</f>
        <v>17032.5</v>
      </c>
      <c r="Q2108" s="145">
        <f>Purchase[[#This Row],[Gross Amount]]-Purchase[[#This Row],[Disct Amnt]]+Purchase[[#This Row],[GST Amount]]</f>
        <v>111657.5</v>
      </c>
      <c r="R2108" s="138" t="s">
        <v>1019</v>
      </c>
      <c r="S2108" s="41">
        <f>IF(Purchase[[#This Row],[Status]]="Cancelled",0,Purchase[[#This Row],[Qty]])</f>
        <v>25</v>
      </c>
      <c r="T2108" s="146">
        <f>IF(Purchase[[#This Row],[Status]]="Cancelled",0,Purchase[[#This Row],[Total Amount]])</f>
        <v>111657.5</v>
      </c>
      <c r="U2108" s="146">
        <f>SUM(Purchase[Net Amount])</f>
        <v>814985438.68000126</v>
      </c>
    </row>
    <row r="2109" spans="1:21" ht="19.5" thickBot="1" x14ac:dyDescent="0.3">
      <c r="A2109" s="136" t="s">
        <v>3165</v>
      </c>
      <c r="B2109" s="137">
        <v>45761</v>
      </c>
      <c r="C2109" s="138" t="s">
        <v>612</v>
      </c>
      <c r="D2109" s="138" t="str">
        <f>VLOOKUP(Purchase[[#This Row],[Supplier ID]],Supplier[#All],2,0)</f>
        <v>National Computers</v>
      </c>
      <c r="E2109" s="138">
        <f>VLOOKUP(Purchase[[#This Row],[Supplier ID]],Supplier[#All],3,0)</f>
        <v>9689542495</v>
      </c>
      <c r="F2109" s="138" t="str">
        <f>VLOOKUP(Purchase[[#This Row],[Supplier ID]],Supplier[#All],4,0)</f>
        <v>Indore</v>
      </c>
      <c r="G2109" s="138" t="str">
        <f>VLOOKUP(Purchase[[#This Row],[Supplier ID]],Supplier[#All],5,0)</f>
        <v>MP</v>
      </c>
      <c r="H2109" s="138" t="str">
        <f>VLOOKUP(Purchase[[#This Row],[Supplier ID]],Supplier[#All],6,0)</f>
        <v>GST2154521T057</v>
      </c>
      <c r="I2109" s="138" t="s">
        <v>331</v>
      </c>
      <c r="J2109" s="139">
        <v>28</v>
      </c>
      <c r="K2109" s="143">
        <f>VLOOKUP(Purchase[[#This Row],[Product ID]],Product[#All],6,0)</f>
        <v>1721</v>
      </c>
      <c r="L2109" s="143">
        <f>Purchase[[#This Row],[Purchase Rate]]*Purchase[[#This Row],[Qty]]</f>
        <v>48188</v>
      </c>
      <c r="M2109" s="140">
        <v>0</v>
      </c>
      <c r="N2109" s="143">
        <v>0</v>
      </c>
      <c r="O2109" s="140">
        <v>0.18</v>
      </c>
      <c r="P2109" s="145">
        <f>(Purchase[[#This Row],[Gross Amount]]-Purchase[[#This Row],[Disct %]])*Purchase[[#This Row],[GST %]]</f>
        <v>8673.84</v>
      </c>
      <c r="Q2109" s="145">
        <f>Purchase[[#This Row],[Gross Amount]]-Purchase[[#This Row],[Disct Amnt]]+Purchase[[#This Row],[GST Amount]]</f>
        <v>56861.84</v>
      </c>
      <c r="R2109" s="138" t="s">
        <v>1019</v>
      </c>
      <c r="S2109" s="41">
        <f>IF(Purchase[[#This Row],[Status]]="Cancelled",0,Purchase[[#This Row],[Qty]])</f>
        <v>28</v>
      </c>
      <c r="T2109" s="146">
        <f>IF(Purchase[[#This Row],[Status]]="Cancelled",0,Purchase[[#This Row],[Total Amount]])</f>
        <v>56861.84</v>
      </c>
      <c r="U2109" s="146">
        <f>SUM(Purchase[Net Amount])</f>
        <v>814985438.68000126</v>
      </c>
    </row>
    <row r="2110" spans="1:21" ht="19.5" thickBot="1" x14ac:dyDescent="0.3">
      <c r="A2110" s="136" t="s">
        <v>3166</v>
      </c>
      <c r="B2110" s="137">
        <v>45761</v>
      </c>
      <c r="C2110" s="138" t="s">
        <v>608</v>
      </c>
      <c r="D2110" s="138" t="str">
        <f>VLOOKUP(Purchase[[#This Row],[Supplier ID]],Supplier[#All],2,0)</f>
        <v>Global Suppliers</v>
      </c>
      <c r="E2110" s="138">
        <f>VLOOKUP(Purchase[[#This Row],[Supplier ID]],Supplier[#All],3,0)</f>
        <v>9689542499</v>
      </c>
      <c r="F2110" s="138" t="str">
        <f>VLOOKUP(Purchase[[#This Row],[Supplier ID]],Supplier[#All],4,0)</f>
        <v>Korba</v>
      </c>
      <c r="G2110" s="138" t="str">
        <f>VLOOKUP(Purchase[[#This Row],[Supplier ID]],Supplier[#All],5,0)</f>
        <v>CG</v>
      </c>
      <c r="H2110" s="138" t="str">
        <f>VLOOKUP(Purchase[[#This Row],[Supplier ID]],Supplier[#All],6,0)</f>
        <v>GST2154521T053</v>
      </c>
      <c r="I2110" s="138" t="s">
        <v>383</v>
      </c>
      <c r="J2110" s="139">
        <v>13</v>
      </c>
      <c r="K2110" s="143">
        <f>VLOOKUP(Purchase[[#This Row],[Product ID]],Product[#All],6,0)</f>
        <v>2478</v>
      </c>
      <c r="L2110" s="143">
        <f>Purchase[[#This Row],[Purchase Rate]]*Purchase[[#This Row],[Qty]]</f>
        <v>32214</v>
      </c>
      <c r="M2110" s="140">
        <v>0</v>
      </c>
      <c r="N2110" s="143">
        <v>0</v>
      </c>
      <c r="O2110" s="140">
        <v>0.18</v>
      </c>
      <c r="P2110" s="145">
        <f>(Purchase[[#This Row],[Gross Amount]]-Purchase[[#This Row],[Disct %]])*Purchase[[#This Row],[GST %]]</f>
        <v>5798.5199999999995</v>
      </c>
      <c r="Q2110" s="145">
        <f>Purchase[[#This Row],[Gross Amount]]-Purchase[[#This Row],[Disct Amnt]]+Purchase[[#This Row],[GST Amount]]</f>
        <v>38012.519999999997</v>
      </c>
      <c r="R2110" s="138" t="s">
        <v>1019</v>
      </c>
      <c r="S2110" s="41">
        <f>IF(Purchase[[#This Row],[Status]]="Cancelled",0,Purchase[[#This Row],[Qty]])</f>
        <v>13</v>
      </c>
      <c r="T2110" s="146">
        <f>IF(Purchase[[#This Row],[Status]]="Cancelled",0,Purchase[[#This Row],[Total Amount]])</f>
        <v>38012.519999999997</v>
      </c>
      <c r="U2110" s="146">
        <f>SUM(Purchase[Net Amount])</f>
        <v>814985438.68000126</v>
      </c>
    </row>
    <row r="2111" spans="1:21" ht="19.5" thickBot="1" x14ac:dyDescent="0.3">
      <c r="A2111" s="136" t="s">
        <v>3167</v>
      </c>
      <c r="B2111" s="137">
        <v>45761</v>
      </c>
      <c r="C2111" s="138" t="s">
        <v>614</v>
      </c>
      <c r="D2111" s="138" t="str">
        <f>VLOOKUP(Purchase[[#This Row],[Supplier ID]],Supplier[#All],2,0)</f>
        <v>National Electronics</v>
      </c>
      <c r="E2111" s="138">
        <f>VLOOKUP(Purchase[[#This Row],[Supplier ID]],Supplier[#All],3,0)</f>
        <v>9689542497</v>
      </c>
      <c r="F2111" s="138" t="str">
        <f>VLOOKUP(Purchase[[#This Row],[Supplier ID]],Supplier[#All],4,0)</f>
        <v>Kanpur</v>
      </c>
      <c r="G2111" s="138" t="str">
        <f>VLOOKUP(Purchase[[#This Row],[Supplier ID]],Supplier[#All],5,0)</f>
        <v>UP</v>
      </c>
      <c r="H2111" s="138" t="str">
        <f>VLOOKUP(Purchase[[#This Row],[Supplier ID]],Supplier[#All],6,0)</f>
        <v>GST2154521T059</v>
      </c>
      <c r="I2111" s="138" t="s">
        <v>321</v>
      </c>
      <c r="J2111" s="139">
        <v>33</v>
      </c>
      <c r="K2111" s="143">
        <f>VLOOKUP(Purchase[[#This Row],[Product ID]],Product[#All],6,0)</f>
        <v>5707</v>
      </c>
      <c r="L2111" s="143">
        <f>Purchase[[#This Row],[Purchase Rate]]*Purchase[[#This Row],[Qty]]</f>
        <v>188331</v>
      </c>
      <c r="M2111" s="140">
        <v>0</v>
      </c>
      <c r="N2111" s="143">
        <v>0</v>
      </c>
      <c r="O2111" s="140">
        <v>0.18</v>
      </c>
      <c r="P2111" s="145">
        <f>(Purchase[[#This Row],[Gross Amount]]-Purchase[[#This Row],[Disct %]])*Purchase[[#This Row],[GST %]]</f>
        <v>33899.58</v>
      </c>
      <c r="Q2111" s="145">
        <f>Purchase[[#This Row],[Gross Amount]]-Purchase[[#This Row],[Disct Amnt]]+Purchase[[#This Row],[GST Amount]]</f>
        <v>222230.58000000002</v>
      </c>
      <c r="R2111" s="138" t="s">
        <v>1019</v>
      </c>
      <c r="S2111" s="41">
        <f>IF(Purchase[[#This Row],[Status]]="Cancelled",0,Purchase[[#This Row],[Qty]])</f>
        <v>33</v>
      </c>
      <c r="T2111" s="146">
        <f>IF(Purchase[[#This Row],[Status]]="Cancelled",0,Purchase[[#This Row],[Total Amount]])</f>
        <v>222230.58000000002</v>
      </c>
      <c r="U2111" s="146">
        <f>SUM(Purchase[Net Amount])</f>
        <v>814985438.68000126</v>
      </c>
    </row>
    <row r="2112" spans="1:21" ht="19.5" thickBot="1" x14ac:dyDescent="0.3">
      <c r="A2112" s="136" t="s">
        <v>3168</v>
      </c>
      <c r="B2112" s="137">
        <v>45762</v>
      </c>
      <c r="C2112" s="138" t="s">
        <v>601</v>
      </c>
      <c r="D2112" s="138" t="str">
        <f>VLOOKUP(Purchase[[#This Row],[Supplier ID]],Supplier[#All],2,0)</f>
        <v>Maa Distributors</v>
      </c>
      <c r="E2112" s="138">
        <f>VLOOKUP(Purchase[[#This Row],[Supplier ID]],Supplier[#All],3,0)</f>
        <v>9689542484</v>
      </c>
      <c r="F2112" s="138" t="str">
        <f>VLOOKUP(Purchase[[#This Row],[Supplier ID]],Supplier[#All],4,0)</f>
        <v>Indore</v>
      </c>
      <c r="G2112" s="138" t="str">
        <f>VLOOKUP(Purchase[[#This Row],[Supplier ID]],Supplier[#All],5,0)</f>
        <v>MP</v>
      </c>
      <c r="H2112" s="138" t="str">
        <f>VLOOKUP(Purchase[[#This Row],[Supplier ID]],Supplier[#All],6,0)</f>
        <v>GST2154521T046</v>
      </c>
      <c r="I2112" s="138" t="s">
        <v>417</v>
      </c>
      <c r="J2112" s="139">
        <v>12</v>
      </c>
      <c r="K2112" s="143">
        <f>VLOOKUP(Purchase[[#This Row],[Product ID]],Product[#All],6,0)</f>
        <v>3422</v>
      </c>
      <c r="L2112" s="143">
        <f>Purchase[[#This Row],[Purchase Rate]]*Purchase[[#This Row],[Qty]]</f>
        <v>41064</v>
      </c>
      <c r="M2112" s="140">
        <v>0</v>
      </c>
      <c r="N2112" s="143">
        <v>0</v>
      </c>
      <c r="O2112" s="140">
        <v>0.18</v>
      </c>
      <c r="P2112" s="145">
        <f>(Purchase[[#This Row],[Gross Amount]]-Purchase[[#This Row],[Disct %]])*Purchase[[#This Row],[GST %]]</f>
        <v>7391.5199999999995</v>
      </c>
      <c r="Q2112" s="145">
        <f>Purchase[[#This Row],[Gross Amount]]-Purchase[[#This Row],[Disct Amnt]]+Purchase[[#This Row],[GST Amount]]</f>
        <v>48455.519999999997</v>
      </c>
      <c r="R2112" s="138" t="s">
        <v>1019</v>
      </c>
      <c r="S2112" s="41">
        <f>IF(Purchase[[#This Row],[Status]]="Cancelled",0,Purchase[[#This Row],[Qty]])</f>
        <v>12</v>
      </c>
      <c r="T2112" s="146">
        <f>IF(Purchase[[#This Row],[Status]]="Cancelled",0,Purchase[[#This Row],[Total Amount]])</f>
        <v>48455.519999999997</v>
      </c>
      <c r="U2112" s="146">
        <f>SUM(Purchase[Net Amount])</f>
        <v>814985438.68000126</v>
      </c>
    </row>
    <row r="2113" spans="1:21" ht="19.5" thickBot="1" x14ac:dyDescent="0.3">
      <c r="A2113" s="136" t="s">
        <v>3169</v>
      </c>
      <c r="B2113" s="137">
        <v>45762</v>
      </c>
      <c r="C2113" s="138" t="s">
        <v>601</v>
      </c>
      <c r="D2113" s="138" t="str">
        <f>VLOOKUP(Purchase[[#This Row],[Supplier ID]],Supplier[#All],2,0)</f>
        <v>Maa Distributors</v>
      </c>
      <c r="E2113" s="138">
        <f>VLOOKUP(Purchase[[#This Row],[Supplier ID]],Supplier[#All],3,0)</f>
        <v>9689542484</v>
      </c>
      <c r="F2113" s="138" t="str">
        <f>VLOOKUP(Purchase[[#This Row],[Supplier ID]],Supplier[#All],4,0)</f>
        <v>Indore</v>
      </c>
      <c r="G2113" s="138" t="str">
        <f>VLOOKUP(Purchase[[#This Row],[Supplier ID]],Supplier[#All],5,0)</f>
        <v>MP</v>
      </c>
      <c r="H2113" s="138" t="str">
        <f>VLOOKUP(Purchase[[#This Row],[Supplier ID]],Supplier[#All],6,0)</f>
        <v>GST2154521T046</v>
      </c>
      <c r="I2113" s="138" t="s">
        <v>33</v>
      </c>
      <c r="J2113" s="139">
        <v>14</v>
      </c>
      <c r="K2113" s="143">
        <f>VLOOKUP(Purchase[[#This Row],[Product ID]],Product[#All],6,0)</f>
        <v>8458</v>
      </c>
      <c r="L2113" s="143">
        <f>Purchase[[#This Row],[Purchase Rate]]*Purchase[[#This Row],[Qty]]</f>
        <v>118412</v>
      </c>
      <c r="M2113" s="140">
        <v>0</v>
      </c>
      <c r="N2113" s="143">
        <v>0</v>
      </c>
      <c r="O2113" s="140">
        <v>0.18</v>
      </c>
      <c r="P2113" s="145">
        <f>(Purchase[[#This Row],[Gross Amount]]-Purchase[[#This Row],[Disct %]])*Purchase[[#This Row],[GST %]]</f>
        <v>21314.16</v>
      </c>
      <c r="Q2113" s="145">
        <f>Purchase[[#This Row],[Gross Amount]]-Purchase[[#This Row],[Disct Amnt]]+Purchase[[#This Row],[GST Amount]]</f>
        <v>139726.16</v>
      </c>
      <c r="R2113" s="138" t="s">
        <v>1019</v>
      </c>
      <c r="S2113" s="41">
        <f>IF(Purchase[[#This Row],[Status]]="Cancelled",0,Purchase[[#This Row],[Qty]])</f>
        <v>14</v>
      </c>
      <c r="T2113" s="146">
        <f>IF(Purchase[[#This Row],[Status]]="Cancelled",0,Purchase[[#This Row],[Total Amount]])</f>
        <v>139726.16</v>
      </c>
      <c r="U2113" s="146">
        <f>SUM(Purchase[Net Amount])</f>
        <v>814985438.68000126</v>
      </c>
    </row>
    <row r="2114" spans="1:21" ht="19.5" thickBot="1" x14ac:dyDescent="0.3">
      <c r="A2114" s="136" t="s">
        <v>3170</v>
      </c>
      <c r="B2114" s="137">
        <v>45762</v>
      </c>
      <c r="C2114" s="138" t="s">
        <v>605</v>
      </c>
      <c r="D2114" s="138" t="str">
        <f>VLOOKUP(Purchase[[#This Row],[Supplier ID]],Supplier[#All],2,0)</f>
        <v>Star Traders</v>
      </c>
      <c r="E2114" s="138">
        <f>VLOOKUP(Purchase[[#This Row],[Supplier ID]],Supplier[#All],3,0)</f>
        <v>9689542488</v>
      </c>
      <c r="F2114" s="138" t="str">
        <f>VLOOKUP(Purchase[[#This Row],[Supplier ID]],Supplier[#All],4,0)</f>
        <v>Indore</v>
      </c>
      <c r="G2114" s="138" t="str">
        <f>VLOOKUP(Purchase[[#This Row],[Supplier ID]],Supplier[#All],5,0)</f>
        <v>MP</v>
      </c>
      <c r="H2114" s="138" t="str">
        <f>VLOOKUP(Purchase[[#This Row],[Supplier ID]],Supplier[#All],6,0)</f>
        <v>GST2154521T050</v>
      </c>
      <c r="I2114" s="138" t="s">
        <v>503</v>
      </c>
      <c r="J2114" s="139">
        <v>2</v>
      </c>
      <c r="K2114" s="143">
        <f>VLOOKUP(Purchase[[#This Row],[Product ID]],Product[#All],6,0)</f>
        <v>7350</v>
      </c>
      <c r="L2114" s="143">
        <f>Purchase[[#This Row],[Purchase Rate]]*Purchase[[#This Row],[Qty]]</f>
        <v>14700</v>
      </c>
      <c r="M2114" s="140">
        <v>0</v>
      </c>
      <c r="N2114" s="143">
        <v>0</v>
      </c>
      <c r="O2114" s="140">
        <v>0.18</v>
      </c>
      <c r="P2114" s="145">
        <f>(Purchase[[#This Row],[Gross Amount]]-Purchase[[#This Row],[Disct %]])*Purchase[[#This Row],[GST %]]</f>
        <v>2646</v>
      </c>
      <c r="Q2114" s="145">
        <f>Purchase[[#This Row],[Gross Amount]]-Purchase[[#This Row],[Disct Amnt]]+Purchase[[#This Row],[GST Amount]]</f>
        <v>17346</v>
      </c>
      <c r="R2114" s="138" t="s">
        <v>1019</v>
      </c>
      <c r="S2114" s="41">
        <f>IF(Purchase[[#This Row],[Status]]="Cancelled",0,Purchase[[#This Row],[Qty]])</f>
        <v>2</v>
      </c>
      <c r="T2114" s="146">
        <f>IF(Purchase[[#This Row],[Status]]="Cancelled",0,Purchase[[#This Row],[Total Amount]])</f>
        <v>17346</v>
      </c>
      <c r="U2114" s="146">
        <f>SUM(Purchase[Net Amount])</f>
        <v>814985438.68000126</v>
      </c>
    </row>
    <row r="2115" spans="1:21" ht="19.5" thickBot="1" x14ac:dyDescent="0.3">
      <c r="A2115" s="136" t="s">
        <v>3171</v>
      </c>
      <c r="B2115" s="137">
        <v>45762</v>
      </c>
      <c r="C2115" s="138" t="s">
        <v>605</v>
      </c>
      <c r="D2115" s="138" t="str">
        <f>VLOOKUP(Purchase[[#This Row],[Supplier ID]],Supplier[#All],2,0)</f>
        <v>Star Traders</v>
      </c>
      <c r="E2115" s="138">
        <f>VLOOKUP(Purchase[[#This Row],[Supplier ID]],Supplier[#All],3,0)</f>
        <v>9689542488</v>
      </c>
      <c r="F2115" s="138" t="str">
        <f>VLOOKUP(Purchase[[#This Row],[Supplier ID]],Supplier[#All],4,0)</f>
        <v>Indore</v>
      </c>
      <c r="G2115" s="138" t="str">
        <f>VLOOKUP(Purchase[[#This Row],[Supplier ID]],Supplier[#All],5,0)</f>
        <v>MP</v>
      </c>
      <c r="H2115" s="138" t="str">
        <f>VLOOKUP(Purchase[[#This Row],[Supplier ID]],Supplier[#All],6,0)</f>
        <v>GST2154521T050</v>
      </c>
      <c r="I2115" s="138" t="s">
        <v>423</v>
      </c>
      <c r="J2115" s="139">
        <v>2</v>
      </c>
      <c r="K2115" s="143">
        <f>VLOOKUP(Purchase[[#This Row],[Product ID]],Product[#All],6,0)</f>
        <v>33151</v>
      </c>
      <c r="L2115" s="143">
        <f>Purchase[[#This Row],[Purchase Rate]]*Purchase[[#This Row],[Qty]]</f>
        <v>66302</v>
      </c>
      <c r="M2115" s="140">
        <v>0</v>
      </c>
      <c r="N2115" s="143">
        <v>0</v>
      </c>
      <c r="O2115" s="140">
        <v>0.18</v>
      </c>
      <c r="P2115" s="145">
        <f>(Purchase[[#This Row],[Gross Amount]]-Purchase[[#This Row],[Disct %]])*Purchase[[#This Row],[GST %]]</f>
        <v>11934.359999999999</v>
      </c>
      <c r="Q2115" s="145">
        <f>Purchase[[#This Row],[Gross Amount]]-Purchase[[#This Row],[Disct Amnt]]+Purchase[[#This Row],[GST Amount]]</f>
        <v>78236.36</v>
      </c>
      <c r="R2115" s="138" t="s">
        <v>1040</v>
      </c>
      <c r="S2115" s="41">
        <f>IF(Purchase[[#This Row],[Status]]="Cancelled",0,Purchase[[#This Row],[Qty]])</f>
        <v>0</v>
      </c>
      <c r="T2115" s="146">
        <f>IF(Purchase[[#This Row],[Status]]="Cancelled",0,Purchase[[#This Row],[Total Amount]])</f>
        <v>0</v>
      </c>
      <c r="U2115" s="146">
        <f>SUM(Purchase[Net Amount])</f>
        <v>814985438.68000126</v>
      </c>
    </row>
    <row r="2116" spans="1:21" ht="19.5" thickBot="1" x14ac:dyDescent="0.3">
      <c r="A2116" s="136" t="s">
        <v>3172</v>
      </c>
      <c r="B2116" s="137">
        <v>45762</v>
      </c>
      <c r="C2116" s="138" t="s">
        <v>600</v>
      </c>
      <c r="D2116" s="138" t="str">
        <f>VLOOKUP(Purchase[[#This Row],[Supplier ID]],Supplier[#All],2,0)</f>
        <v>Prime Suppliers</v>
      </c>
      <c r="E2116" s="138">
        <f>VLOOKUP(Purchase[[#This Row],[Supplier ID]],Supplier[#All],3,0)</f>
        <v>9689542483</v>
      </c>
      <c r="F2116" s="138" t="str">
        <f>VLOOKUP(Purchase[[#This Row],[Supplier ID]],Supplier[#All],4,0)</f>
        <v>Korba</v>
      </c>
      <c r="G2116" s="138" t="str">
        <f>VLOOKUP(Purchase[[#This Row],[Supplier ID]],Supplier[#All],5,0)</f>
        <v>CG</v>
      </c>
      <c r="H2116" s="138" t="str">
        <f>VLOOKUP(Purchase[[#This Row],[Supplier ID]],Supplier[#All],6,0)</f>
        <v>GST2154521T045</v>
      </c>
      <c r="I2116" s="138" t="s">
        <v>132</v>
      </c>
      <c r="J2116" s="139">
        <v>30</v>
      </c>
      <c r="K2116" s="143">
        <f>VLOOKUP(Purchase[[#This Row],[Product ID]],Product[#All],6,0)</f>
        <v>6397</v>
      </c>
      <c r="L2116" s="143">
        <f>Purchase[[#This Row],[Purchase Rate]]*Purchase[[#This Row],[Qty]]</f>
        <v>191910</v>
      </c>
      <c r="M2116" s="140">
        <v>0</v>
      </c>
      <c r="N2116" s="143">
        <v>0</v>
      </c>
      <c r="O2116" s="140">
        <v>0.18</v>
      </c>
      <c r="P2116" s="145">
        <f>(Purchase[[#This Row],[Gross Amount]]-Purchase[[#This Row],[Disct %]])*Purchase[[#This Row],[GST %]]</f>
        <v>34543.799999999996</v>
      </c>
      <c r="Q2116" s="145">
        <f>Purchase[[#This Row],[Gross Amount]]-Purchase[[#This Row],[Disct Amnt]]+Purchase[[#This Row],[GST Amount]]</f>
        <v>226453.8</v>
      </c>
      <c r="R2116" s="138" t="s">
        <v>1019</v>
      </c>
      <c r="S2116" s="41">
        <f>IF(Purchase[[#This Row],[Status]]="Cancelled",0,Purchase[[#This Row],[Qty]])</f>
        <v>30</v>
      </c>
      <c r="T2116" s="146">
        <f>IF(Purchase[[#This Row],[Status]]="Cancelled",0,Purchase[[#This Row],[Total Amount]])</f>
        <v>226453.8</v>
      </c>
      <c r="U2116" s="146">
        <f>SUM(Purchase[Net Amount])</f>
        <v>814985438.68000126</v>
      </c>
    </row>
    <row r="2117" spans="1:21" ht="19.5" thickBot="1" x14ac:dyDescent="0.3">
      <c r="A2117" s="136" t="s">
        <v>3173</v>
      </c>
      <c r="B2117" s="137">
        <v>45762</v>
      </c>
      <c r="C2117" s="138" t="s">
        <v>600</v>
      </c>
      <c r="D2117" s="138" t="str">
        <f>VLOOKUP(Purchase[[#This Row],[Supplier ID]],Supplier[#All],2,0)</f>
        <v>Prime Suppliers</v>
      </c>
      <c r="E2117" s="138">
        <f>VLOOKUP(Purchase[[#This Row],[Supplier ID]],Supplier[#All],3,0)</f>
        <v>9689542483</v>
      </c>
      <c r="F2117" s="138" t="str">
        <f>VLOOKUP(Purchase[[#This Row],[Supplier ID]],Supplier[#All],4,0)</f>
        <v>Korba</v>
      </c>
      <c r="G2117" s="138" t="str">
        <f>VLOOKUP(Purchase[[#This Row],[Supplier ID]],Supplier[#All],5,0)</f>
        <v>CG</v>
      </c>
      <c r="H2117" s="138" t="str">
        <f>VLOOKUP(Purchase[[#This Row],[Supplier ID]],Supplier[#All],6,0)</f>
        <v>GST2154521T045</v>
      </c>
      <c r="I2117" s="138" t="s">
        <v>18</v>
      </c>
      <c r="J2117" s="139">
        <v>33</v>
      </c>
      <c r="K2117" s="143">
        <f>VLOOKUP(Purchase[[#This Row],[Product ID]],Product[#All],6,0)</f>
        <v>701</v>
      </c>
      <c r="L2117" s="143">
        <f>Purchase[[#This Row],[Purchase Rate]]*Purchase[[#This Row],[Qty]]</f>
        <v>23133</v>
      </c>
      <c r="M2117" s="140">
        <v>0</v>
      </c>
      <c r="N2117" s="143">
        <v>0</v>
      </c>
      <c r="O2117" s="140">
        <v>0.18</v>
      </c>
      <c r="P2117" s="145">
        <f>(Purchase[[#This Row],[Gross Amount]]-Purchase[[#This Row],[Disct %]])*Purchase[[#This Row],[GST %]]</f>
        <v>4163.9399999999996</v>
      </c>
      <c r="Q2117" s="145">
        <f>Purchase[[#This Row],[Gross Amount]]-Purchase[[#This Row],[Disct Amnt]]+Purchase[[#This Row],[GST Amount]]</f>
        <v>27296.94</v>
      </c>
      <c r="R2117" s="138" t="s">
        <v>1019</v>
      </c>
      <c r="S2117" s="41">
        <f>IF(Purchase[[#This Row],[Status]]="Cancelled",0,Purchase[[#This Row],[Qty]])</f>
        <v>33</v>
      </c>
      <c r="T2117" s="146">
        <f>IF(Purchase[[#This Row],[Status]]="Cancelled",0,Purchase[[#This Row],[Total Amount]])</f>
        <v>27296.94</v>
      </c>
      <c r="U2117" s="146">
        <f>SUM(Purchase[Net Amount])</f>
        <v>814985438.68000126</v>
      </c>
    </row>
    <row r="2118" spans="1:21" ht="19.5" thickBot="1" x14ac:dyDescent="0.3">
      <c r="A2118" s="136" t="s">
        <v>3174</v>
      </c>
      <c r="B2118" s="137">
        <v>45762</v>
      </c>
      <c r="C2118" s="138" t="s">
        <v>568</v>
      </c>
      <c r="D2118" s="138" t="str">
        <f>VLOOKUP(Purchase[[#This Row],[Supplier ID]],Supplier[#All],2,0)</f>
        <v>Maa Computers</v>
      </c>
      <c r="E2118" s="138">
        <f>VLOOKUP(Purchase[[#This Row],[Supplier ID]],Supplier[#All],3,0)</f>
        <v>9689542454</v>
      </c>
      <c r="F2118" s="138" t="str">
        <f>VLOOKUP(Purchase[[#This Row],[Supplier ID]],Supplier[#All],4,0)</f>
        <v>Korba</v>
      </c>
      <c r="G2118" s="138" t="str">
        <f>VLOOKUP(Purchase[[#This Row],[Supplier ID]],Supplier[#All],5,0)</f>
        <v>CG</v>
      </c>
      <c r="H2118" s="138" t="str">
        <f>VLOOKUP(Purchase[[#This Row],[Supplier ID]],Supplier[#All],6,0)</f>
        <v>GST2154521T016</v>
      </c>
      <c r="I2118" s="138" t="s">
        <v>299</v>
      </c>
      <c r="J2118" s="139">
        <v>17</v>
      </c>
      <c r="K2118" s="143">
        <f>VLOOKUP(Purchase[[#This Row],[Product ID]],Product[#All],6,0)</f>
        <v>12050</v>
      </c>
      <c r="L2118" s="143">
        <f>Purchase[[#This Row],[Purchase Rate]]*Purchase[[#This Row],[Qty]]</f>
        <v>204850</v>
      </c>
      <c r="M2118" s="140">
        <v>0</v>
      </c>
      <c r="N2118" s="143">
        <v>0</v>
      </c>
      <c r="O2118" s="140">
        <v>0.18</v>
      </c>
      <c r="P2118" s="145">
        <f>(Purchase[[#This Row],[Gross Amount]]-Purchase[[#This Row],[Disct %]])*Purchase[[#This Row],[GST %]]</f>
        <v>36873</v>
      </c>
      <c r="Q2118" s="145">
        <f>Purchase[[#This Row],[Gross Amount]]-Purchase[[#This Row],[Disct Amnt]]+Purchase[[#This Row],[GST Amount]]</f>
        <v>241723</v>
      </c>
      <c r="R2118" s="138" t="s">
        <v>1019</v>
      </c>
      <c r="S2118" s="41">
        <f>IF(Purchase[[#This Row],[Status]]="Cancelled",0,Purchase[[#This Row],[Qty]])</f>
        <v>17</v>
      </c>
      <c r="T2118" s="146">
        <f>IF(Purchase[[#This Row],[Status]]="Cancelled",0,Purchase[[#This Row],[Total Amount]])</f>
        <v>241723</v>
      </c>
      <c r="U2118" s="146">
        <f>SUM(Purchase[Net Amount])</f>
        <v>814985438.68000126</v>
      </c>
    </row>
    <row r="2119" spans="1:21" ht="19.5" thickBot="1" x14ac:dyDescent="0.3">
      <c r="A2119" s="136" t="s">
        <v>3175</v>
      </c>
      <c r="B2119" s="137">
        <v>45762</v>
      </c>
      <c r="C2119" s="138" t="s">
        <v>598</v>
      </c>
      <c r="D2119" s="138" t="str">
        <f>VLOOKUP(Purchase[[#This Row],[Supplier ID]],Supplier[#All],2,0)</f>
        <v>National Distributors</v>
      </c>
      <c r="E2119" s="138">
        <f>VLOOKUP(Purchase[[#This Row],[Supplier ID]],Supplier[#All],3,0)</f>
        <v>9689542489</v>
      </c>
      <c r="F2119" s="138" t="str">
        <f>VLOOKUP(Purchase[[#This Row],[Supplier ID]],Supplier[#All],4,0)</f>
        <v>Indore</v>
      </c>
      <c r="G2119" s="138" t="str">
        <f>VLOOKUP(Purchase[[#This Row],[Supplier ID]],Supplier[#All],5,0)</f>
        <v>MP</v>
      </c>
      <c r="H2119" s="138" t="str">
        <f>VLOOKUP(Purchase[[#This Row],[Supplier ID]],Supplier[#All],6,0)</f>
        <v>GST2154521T043</v>
      </c>
      <c r="I2119" s="138" t="s">
        <v>300</v>
      </c>
      <c r="J2119" s="139">
        <v>23</v>
      </c>
      <c r="K2119" s="143">
        <f>VLOOKUP(Purchase[[#This Row],[Product ID]],Product[#All],6,0)</f>
        <v>8629</v>
      </c>
      <c r="L2119" s="143">
        <f>Purchase[[#This Row],[Purchase Rate]]*Purchase[[#This Row],[Qty]]</f>
        <v>198467</v>
      </c>
      <c r="M2119" s="140">
        <v>0</v>
      </c>
      <c r="N2119" s="143">
        <v>0</v>
      </c>
      <c r="O2119" s="140">
        <v>0.18</v>
      </c>
      <c r="P2119" s="145">
        <f>(Purchase[[#This Row],[Gross Amount]]-Purchase[[#This Row],[Disct %]])*Purchase[[#This Row],[GST %]]</f>
        <v>35724.06</v>
      </c>
      <c r="Q2119" s="145">
        <f>Purchase[[#This Row],[Gross Amount]]-Purchase[[#This Row],[Disct Amnt]]+Purchase[[#This Row],[GST Amount]]</f>
        <v>234191.06</v>
      </c>
      <c r="R2119" s="138" t="s">
        <v>1019</v>
      </c>
      <c r="S2119" s="41">
        <f>IF(Purchase[[#This Row],[Status]]="Cancelled",0,Purchase[[#This Row],[Qty]])</f>
        <v>23</v>
      </c>
      <c r="T2119" s="146">
        <f>IF(Purchase[[#This Row],[Status]]="Cancelled",0,Purchase[[#This Row],[Total Amount]])</f>
        <v>234191.06</v>
      </c>
      <c r="U2119" s="146">
        <f>SUM(Purchase[Net Amount])</f>
        <v>814985438.68000126</v>
      </c>
    </row>
    <row r="2120" spans="1:21" ht="19.5" thickBot="1" x14ac:dyDescent="0.3">
      <c r="A2120" s="136" t="s">
        <v>3176</v>
      </c>
      <c r="B2120" s="137">
        <v>45762</v>
      </c>
      <c r="C2120" s="138" t="s">
        <v>604</v>
      </c>
      <c r="D2120" s="138" t="str">
        <f>VLOOKUP(Purchase[[#This Row],[Supplier ID]],Supplier[#All],2,0)</f>
        <v>Prime Traders</v>
      </c>
      <c r="E2120" s="138">
        <f>VLOOKUP(Purchase[[#This Row],[Supplier ID]],Supplier[#All],3,0)</f>
        <v>9689542487</v>
      </c>
      <c r="F2120" s="138" t="str">
        <f>VLOOKUP(Purchase[[#This Row],[Supplier ID]],Supplier[#All],4,0)</f>
        <v>Indore</v>
      </c>
      <c r="G2120" s="138" t="str">
        <f>VLOOKUP(Purchase[[#This Row],[Supplier ID]],Supplier[#All],5,0)</f>
        <v>MP</v>
      </c>
      <c r="H2120" s="138" t="str">
        <f>VLOOKUP(Purchase[[#This Row],[Supplier ID]],Supplier[#All],6,0)</f>
        <v>GST2154521T049</v>
      </c>
      <c r="I2120" s="138" t="s">
        <v>247</v>
      </c>
      <c r="J2120" s="139">
        <v>31</v>
      </c>
      <c r="K2120" s="143">
        <f>VLOOKUP(Purchase[[#This Row],[Product ID]],Product[#All],6,0)</f>
        <v>57779</v>
      </c>
      <c r="L2120" s="143">
        <f>Purchase[[#This Row],[Purchase Rate]]*Purchase[[#This Row],[Qty]]</f>
        <v>1791149</v>
      </c>
      <c r="M2120" s="140">
        <v>0</v>
      </c>
      <c r="N2120" s="143">
        <v>0</v>
      </c>
      <c r="O2120" s="140">
        <v>0.18</v>
      </c>
      <c r="P2120" s="145">
        <f>(Purchase[[#This Row],[Gross Amount]]-Purchase[[#This Row],[Disct %]])*Purchase[[#This Row],[GST %]]</f>
        <v>322406.82</v>
      </c>
      <c r="Q2120" s="145">
        <f>Purchase[[#This Row],[Gross Amount]]-Purchase[[#This Row],[Disct Amnt]]+Purchase[[#This Row],[GST Amount]]</f>
        <v>2113555.8199999998</v>
      </c>
      <c r="R2120" s="138" t="s">
        <v>1019</v>
      </c>
      <c r="S2120" s="41">
        <f>IF(Purchase[[#This Row],[Status]]="Cancelled",0,Purchase[[#This Row],[Qty]])</f>
        <v>31</v>
      </c>
      <c r="T2120" s="146">
        <f>IF(Purchase[[#This Row],[Status]]="Cancelled",0,Purchase[[#This Row],[Total Amount]])</f>
        <v>2113555.8199999998</v>
      </c>
      <c r="U2120" s="146">
        <f>SUM(Purchase[Net Amount])</f>
        <v>814985438.68000126</v>
      </c>
    </row>
    <row r="2121" spans="1:21" ht="19.5" thickBot="1" x14ac:dyDescent="0.3">
      <c r="A2121" s="136" t="s">
        <v>3177</v>
      </c>
      <c r="B2121" s="137">
        <v>45762</v>
      </c>
      <c r="C2121" s="138" t="s">
        <v>569</v>
      </c>
      <c r="D2121" s="138" t="str">
        <f>VLOOKUP(Purchase[[#This Row],[Supplier ID]],Supplier[#All],2,0)</f>
        <v>Tech Electronics</v>
      </c>
      <c r="E2121" s="138">
        <f>VLOOKUP(Purchase[[#This Row],[Supplier ID]],Supplier[#All],3,0)</f>
        <v>9689542455</v>
      </c>
      <c r="F2121" s="138" t="str">
        <f>VLOOKUP(Purchase[[#This Row],[Supplier ID]],Supplier[#All],4,0)</f>
        <v>Korba</v>
      </c>
      <c r="G2121" s="138" t="str">
        <f>VLOOKUP(Purchase[[#This Row],[Supplier ID]],Supplier[#All],5,0)</f>
        <v>CG</v>
      </c>
      <c r="H2121" s="138" t="str">
        <f>VLOOKUP(Purchase[[#This Row],[Supplier ID]],Supplier[#All],6,0)</f>
        <v>GST2154521T017</v>
      </c>
      <c r="I2121" s="138" t="s">
        <v>163</v>
      </c>
      <c r="J2121" s="139">
        <v>31</v>
      </c>
      <c r="K2121" s="143">
        <f>VLOOKUP(Purchase[[#This Row],[Product ID]],Product[#All],6,0)</f>
        <v>13893</v>
      </c>
      <c r="L2121" s="143">
        <f>Purchase[[#This Row],[Purchase Rate]]*Purchase[[#This Row],[Qty]]</f>
        <v>430683</v>
      </c>
      <c r="M2121" s="140">
        <v>0</v>
      </c>
      <c r="N2121" s="143">
        <v>0</v>
      </c>
      <c r="O2121" s="140">
        <v>0.18</v>
      </c>
      <c r="P2121" s="145">
        <f>(Purchase[[#This Row],[Gross Amount]]-Purchase[[#This Row],[Disct %]])*Purchase[[#This Row],[GST %]]</f>
        <v>77522.94</v>
      </c>
      <c r="Q2121" s="145">
        <f>Purchase[[#This Row],[Gross Amount]]-Purchase[[#This Row],[Disct Amnt]]+Purchase[[#This Row],[GST Amount]]</f>
        <v>508205.94</v>
      </c>
      <c r="R2121" s="138" t="s">
        <v>1019</v>
      </c>
      <c r="S2121" s="41">
        <f>IF(Purchase[[#This Row],[Status]]="Cancelled",0,Purchase[[#This Row],[Qty]])</f>
        <v>31</v>
      </c>
      <c r="T2121" s="146">
        <f>IF(Purchase[[#This Row],[Status]]="Cancelled",0,Purchase[[#This Row],[Total Amount]])</f>
        <v>508205.94</v>
      </c>
      <c r="U2121" s="146">
        <f>SUM(Purchase[Net Amount])</f>
        <v>814985438.68000126</v>
      </c>
    </row>
    <row r="2122" spans="1:21" ht="19.5" thickBot="1" x14ac:dyDescent="0.3">
      <c r="A2122" s="136" t="s">
        <v>3178</v>
      </c>
      <c r="B2122" s="137">
        <v>45762</v>
      </c>
      <c r="C2122" s="138" t="s">
        <v>566</v>
      </c>
      <c r="D2122" s="138" t="str">
        <f>VLOOKUP(Purchase[[#This Row],[Supplier ID]],Supplier[#All],2,0)</f>
        <v>Maa Computers</v>
      </c>
      <c r="E2122" s="138">
        <f>VLOOKUP(Purchase[[#This Row],[Supplier ID]],Supplier[#All],3,0)</f>
        <v>9689542452</v>
      </c>
      <c r="F2122" s="138" t="str">
        <f>VLOOKUP(Purchase[[#This Row],[Supplier ID]],Supplier[#All],4,0)</f>
        <v>Kanpur</v>
      </c>
      <c r="G2122" s="138" t="str">
        <f>VLOOKUP(Purchase[[#This Row],[Supplier ID]],Supplier[#All],5,0)</f>
        <v>UP</v>
      </c>
      <c r="H2122" s="138" t="str">
        <f>VLOOKUP(Purchase[[#This Row],[Supplier ID]],Supplier[#All],6,0)</f>
        <v>GST2154521T014</v>
      </c>
      <c r="I2122" s="138" t="s">
        <v>197</v>
      </c>
      <c r="J2122" s="139">
        <v>34</v>
      </c>
      <c r="K2122" s="143">
        <f>VLOOKUP(Purchase[[#This Row],[Product ID]],Product[#All],6,0)</f>
        <v>12461</v>
      </c>
      <c r="L2122" s="143">
        <f>Purchase[[#This Row],[Purchase Rate]]*Purchase[[#This Row],[Qty]]</f>
        <v>423674</v>
      </c>
      <c r="M2122" s="140">
        <v>0</v>
      </c>
      <c r="N2122" s="143">
        <v>0</v>
      </c>
      <c r="O2122" s="140">
        <v>0.18</v>
      </c>
      <c r="P2122" s="145">
        <f>(Purchase[[#This Row],[Gross Amount]]-Purchase[[#This Row],[Disct %]])*Purchase[[#This Row],[GST %]]</f>
        <v>76261.319999999992</v>
      </c>
      <c r="Q2122" s="145">
        <f>Purchase[[#This Row],[Gross Amount]]-Purchase[[#This Row],[Disct Amnt]]+Purchase[[#This Row],[GST Amount]]</f>
        <v>499935.32</v>
      </c>
      <c r="R2122" s="138" t="s">
        <v>1019</v>
      </c>
      <c r="S2122" s="41">
        <f>IF(Purchase[[#This Row],[Status]]="Cancelled",0,Purchase[[#This Row],[Qty]])</f>
        <v>34</v>
      </c>
      <c r="T2122" s="146">
        <f>IF(Purchase[[#This Row],[Status]]="Cancelled",0,Purchase[[#This Row],[Total Amount]])</f>
        <v>499935.32</v>
      </c>
      <c r="U2122" s="146">
        <f>SUM(Purchase[Net Amount])</f>
        <v>814985438.68000126</v>
      </c>
    </row>
    <row r="2123" spans="1:21" ht="19.5" thickBot="1" x14ac:dyDescent="0.3">
      <c r="A2123" s="136" t="s">
        <v>3179</v>
      </c>
      <c r="B2123" s="137">
        <v>45762</v>
      </c>
      <c r="C2123" s="138" t="s">
        <v>612</v>
      </c>
      <c r="D2123" s="138" t="str">
        <f>VLOOKUP(Purchase[[#This Row],[Supplier ID]],Supplier[#All],2,0)</f>
        <v>National Computers</v>
      </c>
      <c r="E2123" s="138">
        <f>VLOOKUP(Purchase[[#This Row],[Supplier ID]],Supplier[#All],3,0)</f>
        <v>9689542495</v>
      </c>
      <c r="F2123" s="138" t="str">
        <f>VLOOKUP(Purchase[[#This Row],[Supplier ID]],Supplier[#All],4,0)</f>
        <v>Indore</v>
      </c>
      <c r="G2123" s="138" t="str">
        <f>VLOOKUP(Purchase[[#This Row],[Supplier ID]],Supplier[#All],5,0)</f>
        <v>MP</v>
      </c>
      <c r="H2123" s="138" t="str">
        <f>VLOOKUP(Purchase[[#This Row],[Supplier ID]],Supplier[#All],6,0)</f>
        <v>GST2154521T057</v>
      </c>
      <c r="I2123" s="138" t="s">
        <v>358</v>
      </c>
      <c r="J2123" s="139">
        <v>14</v>
      </c>
      <c r="K2123" s="143">
        <f>VLOOKUP(Purchase[[#This Row],[Product ID]],Product[#All],6,0)</f>
        <v>3087</v>
      </c>
      <c r="L2123" s="143">
        <f>Purchase[[#This Row],[Purchase Rate]]*Purchase[[#This Row],[Qty]]</f>
        <v>43218</v>
      </c>
      <c r="M2123" s="140">
        <v>0</v>
      </c>
      <c r="N2123" s="143">
        <v>0</v>
      </c>
      <c r="O2123" s="140">
        <v>0.18</v>
      </c>
      <c r="P2123" s="145">
        <f>(Purchase[[#This Row],[Gross Amount]]-Purchase[[#This Row],[Disct %]])*Purchase[[#This Row],[GST %]]</f>
        <v>7779.24</v>
      </c>
      <c r="Q2123" s="145">
        <f>Purchase[[#This Row],[Gross Amount]]-Purchase[[#This Row],[Disct Amnt]]+Purchase[[#This Row],[GST Amount]]</f>
        <v>50997.24</v>
      </c>
      <c r="R2123" s="138" t="s">
        <v>1019</v>
      </c>
      <c r="S2123" s="41">
        <f>IF(Purchase[[#This Row],[Status]]="Cancelled",0,Purchase[[#This Row],[Qty]])</f>
        <v>14</v>
      </c>
      <c r="T2123" s="146">
        <f>IF(Purchase[[#This Row],[Status]]="Cancelled",0,Purchase[[#This Row],[Total Amount]])</f>
        <v>50997.24</v>
      </c>
      <c r="U2123" s="146">
        <f>SUM(Purchase[Net Amount])</f>
        <v>814985438.68000126</v>
      </c>
    </row>
    <row r="2124" spans="1:21" ht="19.5" thickBot="1" x14ac:dyDescent="0.3">
      <c r="A2124" s="136" t="s">
        <v>3180</v>
      </c>
      <c r="B2124" s="137">
        <v>45762</v>
      </c>
      <c r="C2124" s="138" t="s">
        <v>614</v>
      </c>
      <c r="D2124" s="138" t="str">
        <f>VLOOKUP(Purchase[[#This Row],[Supplier ID]],Supplier[#All],2,0)</f>
        <v>National Electronics</v>
      </c>
      <c r="E2124" s="138">
        <f>VLOOKUP(Purchase[[#This Row],[Supplier ID]],Supplier[#All],3,0)</f>
        <v>9689542497</v>
      </c>
      <c r="F2124" s="138" t="str">
        <f>VLOOKUP(Purchase[[#This Row],[Supplier ID]],Supplier[#All],4,0)</f>
        <v>Kanpur</v>
      </c>
      <c r="G2124" s="138" t="str">
        <f>VLOOKUP(Purchase[[#This Row],[Supplier ID]],Supplier[#All],5,0)</f>
        <v>UP</v>
      </c>
      <c r="H2124" s="138" t="str">
        <f>VLOOKUP(Purchase[[#This Row],[Supplier ID]],Supplier[#All],6,0)</f>
        <v>GST2154521T059</v>
      </c>
      <c r="I2124" s="138" t="s">
        <v>533</v>
      </c>
      <c r="J2124" s="139">
        <v>9</v>
      </c>
      <c r="K2124" s="143">
        <f>VLOOKUP(Purchase[[#This Row],[Product ID]],Product[#All],6,0)</f>
        <v>60707</v>
      </c>
      <c r="L2124" s="143">
        <f>Purchase[[#This Row],[Purchase Rate]]*Purchase[[#This Row],[Qty]]</f>
        <v>546363</v>
      </c>
      <c r="M2124" s="140">
        <v>0</v>
      </c>
      <c r="N2124" s="143">
        <v>0</v>
      </c>
      <c r="O2124" s="140">
        <v>0.18</v>
      </c>
      <c r="P2124" s="145">
        <f>(Purchase[[#This Row],[Gross Amount]]-Purchase[[#This Row],[Disct %]])*Purchase[[#This Row],[GST %]]</f>
        <v>98345.34</v>
      </c>
      <c r="Q2124" s="145">
        <f>Purchase[[#This Row],[Gross Amount]]-Purchase[[#This Row],[Disct Amnt]]+Purchase[[#This Row],[GST Amount]]</f>
        <v>644708.34</v>
      </c>
      <c r="R2124" s="138" t="s">
        <v>1019</v>
      </c>
      <c r="S2124" s="41">
        <f>IF(Purchase[[#This Row],[Status]]="Cancelled",0,Purchase[[#This Row],[Qty]])</f>
        <v>9</v>
      </c>
      <c r="T2124" s="146">
        <f>IF(Purchase[[#This Row],[Status]]="Cancelled",0,Purchase[[#This Row],[Total Amount]])</f>
        <v>644708.34</v>
      </c>
      <c r="U2124" s="146">
        <f>SUM(Purchase[Net Amount])</f>
        <v>814985438.68000126</v>
      </c>
    </row>
    <row r="2125" spans="1:21" ht="19.5" thickBot="1" x14ac:dyDescent="0.3">
      <c r="A2125" s="136" t="s">
        <v>3181</v>
      </c>
      <c r="B2125" s="137">
        <v>45762</v>
      </c>
      <c r="C2125" s="138" t="s">
        <v>611</v>
      </c>
      <c r="D2125" s="138" t="str">
        <f>VLOOKUP(Purchase[[#This Row],[Supplier ID]],Supplier[#All],2,0)</f>
        <v>National Distributors</v>
      </c>
      <c r="E2125" s="138">
        <f>VLOOKUP(Purchase[[#This Row],[Supplier ID]],Supplier[#All],3,0)</f>
        <v>9689542494</v>
      </c>
      <c r="F2125" s="138" t="str">
        <f>VLOOKUP(Purchase[[#This Row],[Supplier ID]],Supplier[#All],4,0)</f>
        <v>Korba</v>
      </c>
      <c r="G2125" s="138" t="str">
        <f>VLOOKUP(Purchase[[#This Row],[Supplier ID]],Supplier[#All],5,0)</f>
        <v>CG</v>
      </c>
      <c r="H2125" s="138" t="str">
        <f>VLOOKUP(Purchase[[#This Row],[Supplier ID]],Supplier[#All],6,0)</f>
        <v>GST2154521T056</v>
      </c>
      <c r="I2125" s="138" t="s">
        <v>533</v>
      </c>
      <c r="J2125" s="139">
        <v>9</v>
      </c>
      <c r="K2125" s="143">
        <f>VLOOKUP(Purchase[[#This Row],[Product ID]],Product[#All],6,0)</f>
        <v>60707</v>
      </c>
      <c r="L2125" s="143">
        <f>Purchase[[#This Row],[Purchase Rate]]*Purchase[[#This Row],[Qty]]</f>
        <v>546363</v>
      </c>
      <c r="M2125" s="140">
        <v>0</v>
      </c>
      <c r="N2125" s="143">
        <v>0</v>
      </c>
      <c r="O2125" s="140">
        <v>0.18</v>
      </c>
      <c r="P2125" s="145">
        <f>(Purchase[[#This Row],[Gross Amount]]-Purchase[[#This Row],[Disct %]])*Purchase[[#This Row],[GST %]]</f>
        <v>98345.34</v>
      </c>
      <c r="Q2125" s="145">
        <f>Purchase[[#This Row],[Gross Amount]]-Purchase[[#This Row],[Disct Amnt]]+Purchase[[#This Row],[GST Amount]]</f>
        <v>644708.34</v>
      </c>
      <c r="R2125" s="138" t="s">
        <v>1019</v>
      </c>
      <c r="S2125" s="41">
        <f>IF(Purchase[[#This Row],[Status]]="Cancelled",0,Purchase[[#This Row],[Qty]])</f>
        <v>9</v>
      </c>
      <c r="T2125" s="146">
        <f>IF(Purchase[[#This Row],[Status]]="Cancelled",0,Purchase[[#This Row],[Total Amount]])</f>
        <v>644708.34</v>
      </c>
      <c r="U2125" s="146">
        <f>SUM(Purchase[Net Amount])</f>
        <v>814985438.68000126</v>
      </c>
    </row>
    <row r="2126" spans="1:21" ht="19.5" thickBot="1" x14ac:dyDescent="0.3">
      <c r="A2126" s="136" t="s">
        <v>3182</v>
      </c>
      <c r="B2126" s="137">
        <v>45762</v>
      </c>
      <c r="C2126" s="138" t="s">
        <v>605</v>
      </c>
      <c r="D2126" s="138" t="str">
        <f>VLOOKUP(Purchase[[#This Row],[Supplier ID]],Supplier[#All],2,0)</f>
        <v>Star Traders</v>
      </c>
      <c r="E2126" s="138">
        <f>VLOOKUP(Purchase[[#This Row],[Supplier ID]],Supplier[#All],3,0)</f>
        <v>9689542488</v>
      </c>
      <c r="F2126" s="138" t="str">
        <f>VLOOKUP(Purchase[[#This Row],[Supplier ID]],Supplier[#All],4,0)</f>
        <v>Indore</v>
      </c>
      <c r="G2126" s="138" t="str">
        <f>VLOOKUP(Purchase[[#This Row],[Supplier ID]],Supplier[#All],5,0)</f>
        <v>MP</v>
      </c>
      <c r="H2126" s="138" t="str">
        <f>VLOOKUP(Purchase[[#This Row],[Supplier ID]],Supplier[#All],6,0)</f>
        <v>GST2154521T050</v>
      </c>
      <c r="I2126" s="138" t="s">
        <v>178</v>
      </c>
      <c r="J2126" s="139">
        <v>19</v>
      </c>
      <c r="K2126" s="143">
        <f>VLOOKUP(Purchase[[#This Row],[Product ID]],Product[#All],6,0)</f>
        <v>8325</v>
      </c>
      <c r="L2126" s="143">
        <f>Purchase[[#This Row],[Purchase Rate]]*Purchase[[#This Row],[Qty]]</f>
        <v>158175</v>
      </c>
      <c r="M2126" s="140">
        <v>0</v>
      </c>
      <c r="N2126" s="143">
        <v>0</v>
      </c>
      <c r="O2126" s="140">
        <v>0.18</v>
      </c>
      <c r="P2126" s="145">
        <f>(Purchase[[#This Row],[Gross Amount]]-Purchase[[#This Row],[Disct %]])*Purchase[[#This Row],[GST %]]</f>
        <v>28471.5</v>
      </c>
      <c r="Q2126" s="145">
        <f>Purchase[[#This Row],[Gross Amount]]-Purchase[[#This Row],[Disct Amnt]]+Purchase[[#This Row],[GST Amount]]</f>
        <v>186646.5</v>
      </c>
      <c r="R2126" s="138" t="s">
        <v>1019</v>
      </c>
      <c r="S2126" s="41">
        <f>IF(Purchase[[#This Row],[Status]]="Cancelled",0,Purchase[[#This Row],[Qty]])</f>
        <v>19</v>
      </c>
      <c r="T2126" s="146">
        <f>IF(Purchase[[#This Row],[Status]]="Cancelled",0,Purchase[[#This Row],[Total Amount]])</f>
        <v>186646.5</v>
      </c>
      <c r="U2126" s="146">
        <f>SUM(Purchase[Net Amount])</f>
        <v>814985438.68000126</v>
      </c>
    </row>
    <row r="2127" spans="1:21" ht="19.5" thickBot="1" x14ac:dyDescent="0.3">
      <c r="A2127" s="136" t="s">
        <v>3183</v>
      </c>
      <c r="B2127" s="137">
        <v>45762</v>
      </c>
      <c r="C2127" s="138" t="s">
        <v>593</v>
      </c>
      <c r="D2127" s="138" t="str">
        <f>VLOOKUP(Purchase[[#This Row],[Supplier ID]],Supplier[#All],2,0)</f>
        <v>Global Suppliers</v>
      </c>
      <c r="E2127" s="138">
        <f>VLOOKUP(Purchase[[#This Row],[Supplier ID]],Supplier[#All],3,0)</f>
        <v>9689542476</v>
      </c>
      <c r="F2127" s="138" t="str">
        <f>VLOOKUP(Purchase[[#This Row],[Supplier ID]],Supplier[#All],4,0)</f>
        <v>Korba</v>
      </c>
      <c r="G2127" s="138" t="str">
        <f>VLOOKUP(Purchase[[#This Row],[Supplier ID]],Supplier[#All],5,0)</f>
        <v>CG</v>
      </c>
      <c r="H2127" s="138" t="str">
        <f>VLOOKUP(Purchase[[#This Row],[Supplier ID]],Supplier[#All],6,0)</f>
        <v>GST2154521T038</v>
      </c>
      <c r="I2127" s="138" t="s">
        <v>48</v>
      </c>
      <c r="J2127" s="139">
        <v>28</v>
      </c>
      <c r="K2127" s="143">
        <f>VLOOKUP(Purchase[[#This Row],[Product ID]],Product[#All],6,0)</f>
        <v>3890</v>
      </c>
      <c r="L2127" s="143">
        <f>Purchase[[#This Row],[Purchase Rate]]*Purchase[[#This Row],[Qty]]</f>
        <v>108920</v>
      </c>
      <c r="M2127" s="140">
        <v>0</v>
      </c>
      <c r="N2127" s="143">
        <v>0</v>
      </c>
      <c r="O2127" s="140">
        <v>0.18</v>
      </c>
      <c r="P2127" s="145">
        <f>(Purchase[[#This Row],[Gross Amount]]-Purchase[[#This Row],[Disct %]])*Purchase[[#This Row],[GST %]]</f>
        <v>19605.599999999999</v>
      </c>
      <c r="Q2127" s="145">
        <f>Purchase[[#This Row],[Gross Amount]]-Purchase[[#This Row],[Disct Amnt]]+Purchase[[#This Row],[GST Amount]]</f>
        <v>128525.6</v>
      </c>
      <c r="R2127" s="138" t="s">
        <v>1019</v>
      </c>
      <c r="S2127" s="41">
        <f>IF(Purchase[[#This Row],[Status]]="Cancelled",0,Purchase[[#This Row],[Qty]])</f>
        <v>28</v>
      </c>
      <c r="T2127" s="146">
        <f>IF(Purchase[[#This Row],[Status]]="Cancelled",0,Purchase[[#This Row],[Total Amount]])</f>
        <v>128525.6</v>
      </c>
      <c r="U2127" s="146">
        <f>SUM(Purchase[Net Amount])</f>
        <v>814985438.68000126</v>
      </c>
    </row>
    <row r="2128" spans="1:21" ht="19.5" thickBot="1" x14ac:dyDescent="0.3">
      <c r="A2128" s="136" t="s">
        <v>3184</v>
      </c>
      <c r="B2128" s="137">
        <v>45762</v>
      </c>
      <c r="C2128" s="138" t="s">
        <v>1201</v>
      </c>
      <c r="D2128" s="138" t="str">
        <f>VLOOKUP(Purchase[[#This Row],[Supplier ID]],Supplier[#All],2,0)</f>
        <v>Global Suppliers</v>
      </c>
      <c r="E2128" s="138">
        <f>VLOOKUP(Purchase[[#This Row],[Supplier ID]],Supplier[#All],3,0)</f>
        <v>9689542476</v>
      </c>
      <c r="F2128" s="138" t="str">
        <f>VLOOKUP(Purchase[[#This Row],[Supplier ID]],Supplier[#All],4,0)</f>
        <v>Korba</v>
      </c>
      <c r="G2128" s="138" t="str">
        <f>VLOOKUP(Purchase[[#This Row],[Supplier ID]],Supplier[#All],5,0)</f>
        <v>CG</v>
      </c>
      <c r="H2128" s="138" t="str">
        <f>VLOOKUP(Purchase[[#This Row],[Supplier ID]],Supplier[#All],6,0)</f>
        <v>GST2154521T038</v>
      </c>
      <c r="I2128" s="138" t="s">
        <v>52</v>
      </c>
      <c r="J2128" s="139">
        <v>7</v>
      </c>
      <c r="K2128" s="143">
        <f>VLOOKUP(Purchase[[#This Row],[Product ID]],Product[#All],6,0)</f>
        <v>3643</v>
      </c>
      <c r="L2128" s="143">
        <f>Purchase[[#This Row],[Purchase Rate]]*Purchase[[#This Row],[Qty]]</f>
        <v>25501</v>
      </c>
      <c r="M2128" s="140">
        <v>0</v>
      </c>
      <c r="N2128" s="143">
        <v>0</v>
      </c>
      <c r="O2128" s="140">
        <v>0.18</v>
      </c>
      <c r="P2128" s="145">
        <f>(Purchase[[#This Row],[Gross Amount]]-Purchase[[#This Row],[Disct %]])*Purchase[[#This Row],[GST %]]</f>
        <v>4590.1799999999994</v>
      </c>
      <c r="Q2128" s="145">
        <f>Purchase[[#This Row],[Gross Amount]]-Purchase[[#This Row],[Disct Amnt]]+Purchase[[#This Row],[GST Amount]]</f>
        <v>30091.18</v>
      </c>
      <c r="R2128" s="138" t="s">
        <v>1040</v>
      </c>
      <c r="S2128" s="41">
        <f>IF(Purchase[[#This Row],[Status]]="Cancelled",0,Purchase[[#This Row],[Qty]])</f>
        <v>0</v>
      </c>
      <c r="T2128" s="146">
        <f>IF(Purchase[[#This Row],[Status]]="Cancelled",0,Purchase[[#This Row],[Total Amount]])</f>
        <v>0</v>
      </c>
      <c r="U2128" s="146">
        <f>SUM(Purchase[Net Amount])</f>
        <v>814985438.68000126</v>
      </c>
    </row>
    <row r="2129" spans="1:21" ht="19.5" thickBot="1" x14ac:dyDescent="0.3">
      <c r="A2129" s="136" t="s">
        <v>3185</v>
      </c>
      <c r="B2129" s="137">
        <v>45763</v>
      </c>
      <c r="C2129" s="138" t="s">
        <v>598</v>
      </c>
      <c r="D2129" s="138" t="str">
        <f>VLOOKUP(Purchase[[#This Row],[Supplier ID]],Supplier[#All],2,0)</f>
        <v>National Distributors</v>
      </c>
      <c r="E2129" s="138">
        <f>VLOOKUP(Purchase[[#This Row],[Supplier ID]],Supplier[#All],3,0)</f>
        <v>9689542489</v>
      </c>
      <c r="F2129" s="138" t="str">
        <f>VLOOKUP(Purchase[[#This Row],[Supplier ID]],Supplier[#All],4,0)</f>
        <v>Indore</v>
      </c>
      <c r="G2129" s="138" t="str">
        <f>VLOOKUP(Purchase[[#This Row],[Supplier ID]],Supplier[#All],5,0)</f>
        <v>MP</v>
      </c>
      <c r="H2129" s="138" t="str">
        <f>VLOOKUP(Purchase[[#This Row],[Supplier ID]],Supplier[#All],6,0)</f>
        <v>GST2154521T043</v>
      </c>
      <c r="I2129" s="138" t="s">
        <v>120</v>
      </c>
      <c r="J2129" s="139">
        <v>13</v>
      </c>
      <c r="K2129" s="143">
        <f>VLOOKUP(Purchase[[#This Row],[Product ID]],Product[#All],6,0)</f>
        <v>5465</v>
      </c>
      <c r="L2129" s="143">
        <f>Purchase[[#This Row],[Purchase Rate]]*Purchase[[#This Row],[Qty]]</f>
        <v>71045</v>
      </c>
      <c r="M2129" s="140">
        <v>0</v>
      </c>
      <c r="N2129" s="143">
        <v>0</v>
      </c>
      <c r="O2129" s="140">
        <v>0.18</v>
      </c>
      <c r="P2129" s="145">
        <f>(Purchase[[#This Row],[Gross Amount]]-Purchase[[#This Row],[Disct %]])*Purchase[[#This Row],[GST %]]</f>
        <v>12788.1</v>
      </c>
      <c r="Q2129" s="145">
        <f>Purchase[[#This Row],[Gross Amount]]-Purchase[[#This Row],[Disct Amnt]]+Purchase[[#This Row],[GST Amount]]</f>
        <v>83833.100000000006</v>
      </c>
      <c r="R2129" s="138" t="s">
        <v>1019</v>
      </c>
      <c r="S2129" s="41">
        <f>IF(Purchase[[#This Row],[Status]]="Cancelled",0,Purchase[[#This Row],[Qty]])</f>
        <v>13</v>
      </c>
      <c r="T2129" s="146">
        <f>IF(Purchase[[#This Row],[Status]]="Cancelled",0,Purchase[[#This Row],[Total Amount]])</f>
        <v>83833.100000000006</v>
      </c>
      <c r="U2129" s="146">
        <f>SUM(Purchase[Net Amount])</f>
        <v>814985438.68000126</v>
      </c>
    </row>
    <row r="2130" spans="1:21" ht="19.5" thickBot="1" x14ac:dyDescent="0.3">
      <c r="A2130" s="136" t="s">
        <v>3186</v>
      </c>
      <c r="B2130" s="137">
        <v>45763</v>
      </c>
      <c r="C2130" s="138" t="s">
        <v>580</v>
      </c>
      <c r="D2130" s="138" t="str">
        <f>VLOOKUP(Purchase[[#This Row],[Supplier ID]],Supplier[#All],2,0)</f>
        <v>Star Distributors</v>
      </c>
      <c r="E2130" s="138">
        <f>VLOOKUP(Purchase[[#This Row],[Supplier ID]],Supplier[#All],3,0)</f>
        <v>9689542464</v>
      </c>
      <c r="F2130" s="138" t="str">
        <f>VLOOKUP(Purchase[[#This Row],[Supplier ID]],Supplier[#All],4,0)</f>
        <v>Indore</v>
      </c>
      <c r="G2130" s="138" t="str">
        <f>VLOOKUP(Purchase[[#This Row],[Supplier ID]],Supplier[#All],5,0)</f>
        <v>MP</v>
      </c>
      <c r="H2130" s="138" t="str">
        <f>VLOOKUP(Purchase[[#This Row],[Supplier ID]],Supplier[#All],6,0)</f>
        <v>GST2154521T026</v>
      </c>
      <c r="I2130" s="138" t="s">
        <v>245</v>
      </c>
      <c r="J2130" s="139">
        <v>7</v>
      </c>
      <c r="K2130" s="143">
        <f>VLOOKUP(Purchase[[#This Row],[Product ID]],Product[#All],6,0)</f>
        <v>9305</v>
      </c>
      <c r="L2130" s="143">
        <f>Purchase[[#This Row],[Purchase Rate]]*Purchase[[#This Row],[Qty]]</f>
        <v>65135</v>
      </c>
      <c r="M2130" s="140">
        <v>0</v>
      </c>
      <c r="N2130" s="143">
        <v>0</v>
      </c>
      <c r="O2130" s="140">
        <v>0.18</v>
      </c>
      <c r="P2130" s="145">
        <f>(Purchase[[#This Row],[Gross Amount]]-Purchase[[#This Row],[Disct %]])*Purchase[[#This Row],[GST %]]</f>
        <v>11724.3</v>
      </c>
      <c r="Q2130" s="145">
        <f>Purchase[[#This Row],[Gross Amount]]-Purchase[[#This Row],[Disct Amnt]]+Purchase[[#This Row],[GST Amount]]</f>
        <v>76859.3</v>
      </c>
      <c r="R2130" s="138" t="s">
        <v>1040</v>
      </c>
      <c r="S2130" s="41">
        <f>IF(Purchase[[#This Row],[Status]]="Cancelled",0,Purchase[[#This Row],[Qty]])</f>
        <v>0</v>
      </c>
      <c r="T2130" s="146">
        <f>IF(Purchase[[#This Row],[Status]]="Cancelled",0,Purchase[[#This Row],[Total Amount]])</f>
        <v>0</v>
      </c>
      <c r="U2130" s="146">
        <f>SUM(Purchase[Net Amount])</f>
        <v>814985438.68000126</v>
      </c>
    </row>
    <row r="2131" spans="1:21" ht="19.5" thickBot="1" x14ac:dyDescent="0.3">
      <c r="A2131" s="136" t="s">
        <v>3187</v>
      </c>
      <c r="B2131" s="137">
        <v>45763</v>
      </c>
      <c r="C2131" s="138" t="s">
        <v>595</v>
      </c>
      <c r="D2131" s="138" t="str">
        <f>VLOOKUP(Purchase[[#This Row],[Supplier ID]],Supplier[#All],2,0)</f>
        <v>Star Computers</v>
      </c>
      <c r="E2131" s="138">
        <f>VLOOKUP(Purchase[[#This Row],[Supplier ID]],Supplier[#All],3,0)</f>
        <v>9689542478</v>
      </c>
      <c r="F2131" s="138" t="str">
        <f>VLOOKUP(Purchase[[#This Row],[Supplier ID]],Supplier[#All],4,0)</f>
        <v>Kanpur</v>
      </c>
      <c r="G2131" s="138" t="str">
        <f>VLOOKUP(Purchase[[#This Row],[Supplier ID]],Supplier[#All],5,0)</f>
        <v>UP</v>
      </c>
      <c r="H2131" s="138" t="str">
        <f>VLOOKUP(Purchase[[#This Row],[Supplier ID]],Supplier[#All],6,0)</f>
        <v>GST2154521T040</v>
      </c>
      <c r="I2131" s="138" t="s">
        <v>347</v>
      </c>
      <c r="J2131" s="139">
        <v>37</v>
      </c>
      <c r="K2131" s="143">
        <f>VLOOKUP(Purchase[[#This Row],[Product ID]],Product[#All],6,0)</f>
        <v>598</v>
      </c>
      <c r="L2131" s="143">
        <f>Purchase[[#This Row],[Purchase Rate]]*Purchase[[#This Row],[Qty]]</f>
        <v>22126</v>
      </c>
      <c r="M2131" s="140">
        <v>0</v>
      </c>
      <c r="N2131" s="143">
        <v>0</v>
      </c>
      <c r="O2131" s="140">
        <v>0.18</v>
      </c>
      <c r="P2131" s="145">
        <f>(Purchase[[#This Row],[Gross Amount]]-Purchase[[#This Row],[Disct %]])*Purchase[[#This Row],[GST %]]</f>
        <v>3982.68</v>
      </c>
      <c r="Q2131" s="145">
        <f>Purchase[[#This Row],[Gross Amount]]-Purchase[[#This Row],[Disct Amnt]]+Purchase[[#This Row],[GST Amount]]</f>
        <v>26108.68</v>
      </c>
      <c r="R2131" s="138" t="s">
        <v>1019</v>
      </c>
      <c r="S2131" s="41">
        <f>IF(Purchase[[#This Row],[Status]]="Cancelled",0,Purchase[[#This Row],[Qty]])</f>
        <v>37</v>
      </c>
      <c r="T2131" s="146">
        <f>IF(Purchase[[#This Row],[Status]]="Cancelled",0,Purchase[[#This Row],[Total Amount]])</f>
        <v>26108.68</v>
      </c>
      <c r="U2131" s="146">
        <f>SUM(Purchase[Net Amount])</f>
        <v>814985438.68000126</v>
      </c>
    </row>
    <row r="2132" spans="1:21" ht="19.5" thickBot="1" x14ac:dyDescent="0.3">
      <c r="A2132" s="136" t="s">
        <v>3188</v>
      </c>
      <c r="B2132" s="137">
        <v>45763</v>
      </c>
      <c r="C2132" s="138" t="s">
        <v>568</v>
      </c>
      <c r="D2132" s="138" t="str">
        <f>VLOOKUP(Purchase[[#This Row],[Supplier ID]],Supplier[#All],2,0)</f>
        <v>Maa Computers</v>
      </c>
      <c r="E2132" s="138">
        <f>VLOOKUP(Purchase[[#This Row],[Supplier ID]],Supplier[#All],3,0)</f>
        <v>9689542454</v>
      </c>
      <c r="F2132" s="138" t="str">
        <f>VLOOKUP(Purchase[[#This Row],[Supplier ID]],Supplier[#All],4,0)</f>
        <v>Korba</v>
      </c>
      <c r="G2132" s="138" t="str">
        <f>VLOOKUP(Purchase[[#This Row],[Supplier ID]],Supplier[#All],5,0)</f>
        <v>CG</v>
      </c>
      <c r="H2132" s="138" t="str">
        <f>VLOOKUP(Purchase[[#This Row],[Supplier ID]],Supplier[#All],6,0)</f>
        <v>GST2154521T016</v>
      </c>
      <c r="I2132" s="138" t="s">
        <v>427</v>
      </c>
      <c r="J2132" s="139">
        <v>11</v>
      </c>
      <c r="K2132" s="143">
        <f>VLOOKUP(Purchase[[#This Row],[Product ID]],Product[#All],6,0)</f>
        <v>970</v>
      </c>
      <c r="L2132" s="143">
        <f>Purchase[[#This Row],[Purchase Rate]]*Purchase[[#This Row],[Qty]]</f>
        <v>10670</v>
      </c>
      <c r="M2132" s="140">
        <v>0</v>
      </c>
      <c r="N2132" s="143">
        <v>0</v>
      </c>
      <c r="O2132" s="140">
        <v>0.18</v>
      </c>
      <c r="P2132" s="145">
        <f>(Purchase[[#This Row],[Gross Amount]]-Purchase[[#This Row],[Disct %]])*Purchase[[#This Row],[GST %]]</f>
        <v>1920.6</v>
      </c>
      <c r="Q2132" s="145">
        <f>Purchase[[#This Row],[Gross Amount]]-Purchase[[#This Row],[Disct Amnt]]+Purchase[[#This Row],[GST Amount]]</f>
        <v>12590.6</v>
      </c>
      <c r="R2132" s="138" t="s">
        <v>1019</v>
      </c>
      <c r="S2132" s="41">
        <f>IF(Purchase[[#This Row],[Status]]="Cancelled",0,Purchase[[#This Row],[Qty]])</f>
        <v>11</v>
      </c>
      <c r="T2132" s="146">
        <f>IF(Purchase[[#This Row],[Status]]="Cancelled",0,Purchase[[#This Row],[Total Amount]])</f>
        <v>12590.6</v>
      </c>
      <c r="U2132" s="146">
        <f>SUM(Purchase[Net Amount])</f>
        <v>814985438.68000126</v>
      </c>
    </row>
    <row r="2133" spans="1:21" ht="19.5" thickBot="1" x14ac:dyDescent="0.3">
      <c r="A2133" s="136" t="s">
        <v>3189</v>
      </c>
      <c r="B2133" s="137">
        <v>45763</v>
      </c>
      <c r="C2133" s="138" t="s">
        <v>601</v>
      </c>
      <c r="D2133" s="138" t="str">
        <f>VLOOKUP(Purchase[[#This Row],[Supplier ID]],Supplier[#All],2,0)</f>
        <v>Maa Distributors</v>
      </c>
      <c r="E2133" s="138">
        <f>VLOOKUP(Purchase[[#This Row],[Supplier ID]],Supplier[#All],3,0)</f>
        <v>9689542484</v>
      </c>
      <c r="F2133" s="138" t="str">
        <f>VLOOKUP(Purchase[[#This Row],[Supplier ID]],Supplier[#All],4,0)</f>
        <v>Indore</v>
      </c>
      <c r="G2133" s="138" t="str">
        <f>VLOOKUP(Purchase[[#This Row],[Supplier ID]],Supplier[#All],5,0)</f>
        <v>MP</v>
      </c>
      <c r="H2133" s="138" t="str">
        <f>VLOOKUP(Purchase[[#This Row],[Supplier ID]],Supplier[#All],6,0)</f>
        <v>GST2154521T046</v>
      </c>
      <c r="I2133" s="138" t="s">
        <v>238</v>
      </c>
      <c r="J2133" s="139">
        <v>20</v>
      </c>
      <c r="K2133" s="143">
        <f>VLOOKUP(Purchase[[#This Row],[Product ID]],Product[#All],6,0)</f>
        <v>6619</v>
      </c>
      <c r="L2133" s="143">
        <f>Purchase[[#This Row],[Purchase Rate]]*Purchase[[#This Row],[Qty]]</f>
        <v>132380</v>
      </c>
      <c r="M2133" s="140">
        <v>0</v>
      </c>
      <c r="N2133" s="143">
        <v>0</v>
      </c>
      <c r="O2133" s="140">
        <v>0.18</v>
      </c>
      <c r="P2133" s="145">
        <f>(Purchase[[#This Row],[Gross Amount]]-Purchase[[#This Row],[Disct %]])*Purchase[[#This Row],[GST %]]</f>
        <v>23828.399999999998</v>
      </c>
      <c r="Q2133" s="145">
        <f>Purchase[[#This Row],[Gross Amount]]-Purchase[[#This Row],[Disct Amnt]]+Purchase[[#This Row],[GST Amount]]</f>
        <v>156208.4</v>
      </c>
      <c r="R2133" s="138" t="s">
        <v>1019</v>
      </c>
      <c r="S2133" s="41">
        <f>IF(Purchase[[#This Row],[Status]]="Cancelled",0,Purchase[[#This Row],[Qty]])</f>
        <v>20</v>
      </c>
      <c r="T2133" s="146">
        <f>IF(Purchase[[#This Row],[Status]]="Cancelled",0,Purchase[[#This Row],[Total Amount]])</f>
        <v>156208.4</v>
      </c>
      <c r="U2133" s="146">
        <f>SUM(Purchase[Net Amount])</f>
        <v>814985438.68000126</v>
      </c>
    </row>
    <row r="2134" spans="1:21" ht="19.5" thickBot="1" x14ac:dyDescent="0.3">
      <c r="A2134" s="136" t="s">
        <v>3190</v>
      </c>
      <c r="B2134" s="137">
        <v>45763</v>
      </c>
      <c r="C2134" s="138" t="s">
        <v>603</v>
      </c>
      <c r="D2134" s="138" t="str">
        <f>VLOOKUP(Purchase[[#This Row],[Supplier ID]],Supplier[#All],2,0)</f>
        <v>Tech Computers</v>
      </c>
      <c r="E2134" s="138">
        <f>VLOOKUP(Purchase[[#This Row],[Supplier ID]],Supplier[#All],3,0)</f>
        <v>9689542486</v>
      </c>
      <c r="F2134" s="138" t="str">
        <f>VLOOKUP(Purchase[[#This Row],[Supplier ID]],Supplier[#All],4,0)</f>
        <v>Indore</v>
      </c>
      <c r="G2134" s="138" t="str">
        <f>VLOOKUP(Purchase[[#This Row],[Supplier ID]],Supplier[#All],5,0)</f>
        <v>MP</v>
      </c>
      <c r="H2134" s="138" t="str">
        <f>VLOOKUP(Purchase[[#This Row],[Supplier ID]],Supplier[#All],6,0)</f>
        <v>GST2154521T048</v>
      </c>
      <c r="I2134" s="138" t="s">
        <v>435</v>
      </c>
      <c r="J2134" s="139">
        <v>29</v>
      </c>
      <c r="K2134" s="143">
        <f>VLOOKUP(Purchase[[#This Row],[Product ID]],Product[#All],6,0)</f>
        <v>7192</v>
      </c>
      <c r="L2134" s="143">
        <f>Purchase[[#This Row],[Purchase Rate]]*Purchase[[#This Row],[Qty]]</f>
        <v>208568</v>
      </c>
      <c r="M2134" s="140">
        <v>0</v>
      </c>
      <c r="N2134" s="143">
        <v>0</v>
      </c>
      <c r="O2134" s="140">
        <v>0.18</v>
      </c>
      <c r="P2134" s="145">
        <f>(Purchase[[#This Row],[Gross Amount]]-Purchase[[#This Row],[Disct %]])*Purchase[[#This Row],[GST %]]</f>
        <v>37542.239999999998</v>
      </c>
      <c r="Q2134" s="145">
        <f>Purchase[[#This Row],[Gross Amount]]-Purchase[[#This Row],[Disct Amnt]]+Purchase[[#This Row],[GST Amount]]</f>
        <v>246110.24</v>
      </c>
      <c r="R2134" s="138" t="s">
        <v>1019</v>
      </c>
      <c r="S2134" s="41">
        <f>IF(Purchase[[#This Row],[Status]]="Cancelled",0,Purchase[[#This Row],[Qty]])</f>
        <v>29</v>
      </c>
      <c r="T2134" s="146">
        <f>IF(Purchase[[#This Row],[Status]]="Cancelled",0,Purchase[[#This Row],[Total Amount]])</f>
        <v>246110.24</v>
      </c>
      <c r="U2134" s="146">
        <f>SUM(Purchase[Net Amount])</f>
        <v>814985438.68000126</v>
      </c>
    </row>
    <row r="2135" spans="1:21" ht="19.5" thickBot="1" x14ac:dyDescent="0.3">
      <c r="A2135" s="136" t="s">
        <v>3191</v>
      </c>
      <c r="B2135" s="137">
        <v>45763</v>
      </c>
      <c r="C2135" s="138" t="s">
        <v>601</v>
      </c>
      <c r="D2135" s="138" t="str">
        <f>VLOOKUP(Purchase[[#This Row],[Supplier ID]],Supplier[#All],2,0)</f>
        <v>Maa Distributors</v>
      </c>
      <c r="E2135" s="138">
        <f>VLOOKUP(Purchase[[#This Row],[Supplier ID]],Supplier[#All],3,0)</f>
        <v>9689542484</v>
      </c>
      <c r="F2135" s="138" t="str">
        <f>VLOOKUP(Purchase[[#This Row],[Supplier ID]],Supplier[#All],4,0)</f>
        <v>Indore</v>
      </c>
      <c r="G2135" s="138" t="str">
        <f>VLOOKUP(Purchase[[#This Row],[Supplier ID]],Supplier[#All],5,0)</f>
        <v>MP</v>
      </c>
      <c r="H2135" s="138" t="str">
        <f>VLOOKUP(Purchase[[#This Row],[Supplier ID]],Supplier[#All],6,0)</f>
        <v>GST2154521T046</v>
      </c>
      <c r="I2135" s="138" t="s">
        <v>511</v>
      </c>
      <c r="J2135" s="139">
        <v>10</v>
      </c>
      <c r="K2135" s="143">
        <f>VLOOKUP(Purchase[[#This Row],[Product ID]],Product[#All],6,0)</f>
        <v>1027</v>
      </c>
      <c r="L2135" s="143">
        <f>Purchase[[#This Row],[Purchase Rate]]*Purchase[[#This Row],[Qty]]</f>
        <v>10270</v>
      </c>
      <c r="M2135" s="140">
        <v>0</v>
      </c>
      <c r="N2135" s="143">
        <v>0</v>
      </c>
      <c r="O2135" s="140">
        <v>0.18</v>
      </c>
      <c r="P2135" s="145">
        <f>(Purchase[[#This Row],[Gross Amount]]-Purchase[[#This Row],[Disct %]])*Purchase[[#This Row],[GST %]]</f>
        <v>1848.6</v>
      </c>
      <c r="Q2135" s="145">
        <f>Purchase[[#This Row],[Gross Amount]]-Purchase[[#This Row],[Disct Amnt]]+Purchase[[#This Row],[GST Amount]]</f>
        <v>12118.6</v>
      </c>
      <c r="R2135" s="138" t="s">
        <v>1019</v>
      </c>
      <c r="S2135" s="41">
        <f>IF(Purchase[[#This Row],[Status]]="Cancelled",0,Purchase[[#This Row],[Qty]])</f>
        <v>10</v>
      </c>
      <c r="T2135" s="146">
        <f>IF(Purchase[[#This Row],[Status]]="Cancelled",0,Purchase[[#This Row],[Total Amount]])</f>
        <v>12118.6</v>
      </c>
      <c r="U2135" s="146">
        <f>SUM(Purchase[Net Amount])</f>
        <v>814985438.68000126</v>
      </c>
    </row>
    <row r="2136" spans="1:21" ht="19.5" thickBot="1" x14ac:dyDescent="0.3">
      <c r="A2136" s="136" t="s">
        <v>3192</v>
      </c>
      <c r="B2136" s="137">
        <v>45763</v>
      </c>
      <c r="C2136" s="138" t="s">
        <v>584</v>
      </c>
      <c r="D2136" s="138" t="str">
        <f>VLOOKUP(Purchase[[#This Row],[Supplier ID]],Supplier[#All],2,0)</f>
        <v>Prime Computers</v>
      </c>
      <c r="E2136" s="138">
        <f>VLOOKUP(Purchase[[#This Row],[Supplier ID]],Supplier[#All],3,0)</f>
        <v>9689542468</v>
      </c>
      <c r="F2136" s="138" t="str">
        <f>VLOOKUP(Purchase[[#This Row],[Supplier ID]],Supplier[#All],4,0)</f>
        <v>Kanpur</v>
      </c>
      <c r="G2136" s="138" t="str">
        <f>VLOOKUP(Purchase[[#This Row],[Supplier ID]],Supplier[#All],5,0)</f>
        <v>UP</v>
      </c>
      <c r="H2136" s="138" t="str">
        <f>VLOOKUP(Purchase[[#This Row],[Supplier ID]],Supplier[#All],6,0)</f>
        <v>GST2154521T030</v>
      </c>
      <c r="I2136" s="138" t="s">
        <v>340</v>
      </c>
      <c r="J2136" s="139">
        <v>25</v>
      </c>
      <c r="K2136" s="143">
        <f>VLOOKUP(Purchase[[#This Row],[Product ID]],Product[#All],6,0)</f>
        <v>1003</v>
      </c>
      <c r="L2136" s="143">
        <f>Purchase[[#This Row],[Purchase Rate]]*Purchase[[#This Row],[Qty]]</f>
        <v>25075</v>
      </c>
      <c r="M2136" s="140">
        <v>0</v>
      </c>
      <c r="N2136" s="143">
        <v>0</v>
      </c>
      <c r="O2136" s="140">
        <v>0.18</v>
      </c>
      <c r="P2136" s="145">
        <f>(Purchase[[#This Row],[Gross Amount]]-Purchase[[#This Row],[Disct %]])*Purchase[[#This Row],[GST %]]</f>
        <v>4513.5</v>
      </c>
      <c r="Q2136" s="145">
        <f>Purchase[[#This Row],[Gross Amount]]-Purchase[[#This Row],[Disct Amnt]]+Purchase[[#This Row],[GST Amount]]</f>
        <v>29588.5</v>
      </c>
      <c r="R2136" s="138" t="s">
        <v>1019</v>
      </c>
      <c r="S2136" s="41">
        <f>IF(Purchase[[#This Row],[Status]]="Cancelled",0,Purchase[[#This Row],[Qty]])</f>
        <v>25</v>
      </c>
      <c r="T2136" s="146">
        <f>IF(Purchase[[#This Row],[Status]]="Cancelled",0,Purchase[[#This Row],[Total Amount]])</f>
        <v>29588.5</v>
      </c>
      <c r="U2136" s="146">
        <f>SUM(Purchase[Net Amount])</f>
        <v>814985438.68000126</v>
      </c>
    </row>
    <row r="2137" spans="1:21" ht="19.5" thickBot="1" x14ac:dyDescent="0.3">
      <c r="A2137" s="136" t="s">
        <v>3193</v>
      </c>
      <c r="B2137" s="137">
        <v>45763</v>
      </c>
      <c r="C2137" s="138" t="s">
        <v>608</v>
      </c>
      <c r="D2137" s="138" t="str">
        <f>VLOOKUP(Purchase[[#This Row],[Supplier ID]],Supplier[#All],2,0)</f>
        <v>Global Suppliers</v>
      </c>
      <c r="E2137" s="138">
        <f>VLOOKUP(Purchase[[#This Row],[Supplier ID]],Supplier[#All],3,0)</f>
        <v>9689542499</v>
      </c>
      <c r="F2137" s="138" t="str">
        <f>VLOOKUP(Purchase[[#This Row],[Supplier ID]],Supplier[#All],4,0)</f>
        <v>Korba</v>
      </c>
      <c r="G2137" s="138" t="str">
        <f>VLOOKUP(Purchase[[#This Row],[Supplier ID]],Supplier[#All],5,0)</f>
        <v>CG</v>
      </c>
      <c r="H2137" s="138" t="str">
        <f>VLOOKUP(Purchase[[#This Row],[Supplier ID]],Supplier[#All],6,0)</f>
        <v>GST2154521T053</v>
      </c>
      <c r="I2137" s="138" t="s">
        <v>126</v>
      </c>
      <c r="J2137" s="139">
        <v>40</v>
      </c>
      <c r="K2137" s="143">
        <f>VLOOKUP(Purchase[[#This Row],[Product ID]],Product[#All],6,0)</f>
        <v>19380</v>
      </c>
      <c r="L2137" s="143">
        <f>Purchase[[#This Row],[Purchase Rate]]*Purchase[[#This Row],[Qty]]</f>
        <v>775200</v>
      </c>
      <c r="M2137" s="140">
        <v>0</v>
      </c>
      <c r="N2137" s="143">
        <v>0</v>
      </c>
      <c r="O2137" s="140">
        <v>0.18</v>
      </c>
      <c r="P2137" s="145">
        <f>(Purchase[[#This Row],[Gross Amount]]-Purchase[[#This Row],[Disct %]])*Purchase[[#This Row],[GST %]]</f>
        <v>139536</v>
      </c>
      <c r="Q2137" s="145">
        <f>Purchase[[#This Row],[Gross Amount]]-Purchase[[#This Row],[Disct Amnt]]+Purchase[[#This Row],[GST Amount]]</f>
        <v>914736</v>
      </c>
      <c r="R2137" s="138" t="s">
        <v>1019</v>
      </c>
      <c r="S2137" s="41">
        <f>IF(Purchase[[#This Row],[Status]]="Cancelled",0,Purchase[[#This Row],[Qty]])</f>
        <v>40</v>
      </c>
      <c r="T2137" s="146">
        <f>IF(Purchase[[#This Row],[Status]]="Cancelled",0,Purchase[[#This Row],[Total Amount]])</f>
        <v>914736</v>
      </c>
      <c r="U2137" s="146">
        <f>SUM(Purchase[Net Amount])</f>
        <v>814985438.68000126</v>
      </c>
    </row>
    <row r="2138" spans="1:21" ht="19.5" thickBot="1" x14ac:dyDescent="0.3">
      <c r="A2138" s="136" t="s">
        <v>3194</v>
      </c>
      <c r="B2138" s="137">
        <v>45763</v>
      </c>
      <c r="C2138" s="138" t="s">
        <v>614</v>
      </c>
      <c r="D2138" s="138" t="str">
        <f>VLOOKUP(Purchase[[#This Row],[Supplier ID]],Supplier[#All],2,0)</f>
        <v>National Electronics</v>
      </c>
      <c r="E2138" s="138">
        <f>VLOOKUP(Purchase[[#This Row],[Supplier ID]],Supplier[#All],3,0)</f>
        <v>9689542497</v>
      </c>
      <c r="F2138" s="138" t="str">
        <f>VLOOKUP(Purchase[[#This Row],[Supplier ID]],Supplier[#All],4,0)</f>
        <v>Kanpur</v>
      </c>
      <c r="G2138" s="138" t="str">
        <f>VLOOKUP(Purchase[[#This Row],[Supplier ID]],Supplier[#All],5,0)</f>
        <v>UP</v>
      </c>
      <c r="H2138" s="138" t="str">
        <f>VLOOKUP(Purchase[[#This Row],[Supplier ID]],Supplier[#All],6,0)</f>
        <v>GST2154521T059</v>
      </c>
      <c r="I2138" s="138" t="s">
        <v>426</v>
      </c>
      <c r="J2138" s="139">
        <v>18</v>
      </c>
      <c r="K2138" s="143">
        <f>VLOOKUP(Purchase[[#This Row],[Product ID]],Product[#All],6,0)</f>
        <v>4401</v>
      </c>
      <c r="L2138" s="143">
        <f>Purchase[[#This Row],[Purchase Rate]]*Purchase[[#This Row],[Qty]]</f>
        <v>79218</v>
      </c>
      <c r="M2138" s="140">
        <v>0</v>
      </c>
      <c r="N2138" s="143">
        <v>0</v>
      </c>
      <c r="O2138" s="140">
        <v>0.18</v>
      </c>
      <c r="P2138" s="145">
        <f>(Purchase[[#This Row],[Gross Amount]]-Purchase[[#This Row],[Disct %]])*Purchase[[#This Row],[GST %]]</f>
        <v>14259.24</v>
      </c>
      <c r="Q2138" s="145">
        <f>Purchase[[#This Row],[Gross Amount]]-Purchase[[#This Row],[Disct Amnt]]+Purchase[[#This Row],[GST Amount]]</f>
        <v>93477.24</v>
      </c>
      <c r="R2138" s="138" t="s">
        <v>1019</v>
      </c>
      <c r="S2138" s="41">
        <f>IF(Purchase[[#This Row],[Status]]="Cancelled",0,Purchase[[#This Row],[Qty]])</f>
        <v>18</v>
      </c>
      <c r="T2138" s="146">
        <f>IF(Purchase[[#This Row],[Status]]="Cancelled",0,Purchase[[#This Row],[Total Amount]])</f>
        <v>93477.24</v>
      </c>
      <c r="U2138" s="146">
        <f>SUM(Purchase[Net Amount])</f>
        <v>814985438.68000126</v>
      </c>
    </row>
    <row r="2139" spans="1:21" ht="19.5" thickBot="1" x14ac:dyDescent="0.3">
      <c r="A2139" s="136" t="s">
        <v>3195</v>
      </c>
      <c r="B2139" s="137">
        <v>45763</v>
      </c>
      <c r="C2139" s="138" t="s">
        <v>614</v>
      </c>
      <c r="D2139" s="138" t="str">
        <f>VLOOKUP(Purchase[[#This Row],[Supplier ID]],Supplier[#All],2,0)</f>
        <v>National Electronics</v>
      </c>
      <c r="E2139" s="138">
        <f>VLOOKUP(Purchase[[#This Row],[Supplier ID]],Supplier[#All],3,0)</f>
        <v>9689542497</v>
      </c>
      <c r="F2139" s="138" t="str">
        <f>VLOOKUP(Purchase[[#This Row],[Supplier ID]],Supplier[#All],4,0)</f>
        <v>Kanpur</v>
      </c>
      <c r="G2139" s="138" t="str">
        <f>VLOOKUP(Purchase[[#This Row],[Supplier ID]],Supplier[#All],5,0)</f>
        <v>UP</v>
      </c>
      <c r="H2139" s="138" t="str">
        <f>VLOOKUP(Purchase[[#This Row],[Supplier ID]],Supplier[#All],6,0)</f>
        <v>GST2154521T059</v>
      </c>
      <c r="I2139" s="138" t="s">
        <v>124</v>
      </c>
      <c r="J2139" s="139">
        <v>33</v>
      </c>
      <c r="K2139" s="143">
        <f>VLOOKUP(Purchase[[#This Row],[Product ID]],Product[#All],6,0)</f>
        <v>12974</v>
      </c>
      <c r="L2139" s="143">
        <f>Purchase[[#This Row],[Purchase Rate]]*Purchase[[#This Row],[Qty]]</f>
        <v>428142</v>
      </c>
      <c r="M2139" s="140">
        <v>0</v>
      </c>
      <c r="N2139" s="143">
        <v>0</v>
      </c>
      <c r="O2139" s="140">
        <v>0.18</v>
      </c>
      <c r="P2139" s="145">
        <f>(Purchase[[#This Row],[Gross Amount]]-Purchase[[#This Row],[Disct %]])*Purchase[[#This Row],[GST %]]</f>
        <v>77065.56</v>
      </c>
      <c r="Q2139" s="145">
        <f>Purchase[[#This Row],[Gross Amount]]-Purchase[[#This Row],[Disct Amnt]]+Purchase[[#This Row],[GST Amount]]</f>
        <v>505207.56</v>
      </c>
      <c r="R2139" s="138" t="s">
        <v>1019</v>
      </c>
      <c r="S2139" s="41">
        <f>IF(Purchase[[#This Row],[Status]]="Cancelled",0,Purchase[[#This Row],[Qty]])</f>
        <v>33</v>
      </c>
      <c r="T2139" s="146">
        <f>IF(Purchase[[#This Row],[Status]]="Cancelled",0,Purchase[[#This Row],[Total Amount]])</f>
        <v>505207.56</v>
      </c>
      <c r="U2139" s="146">
        <f>SUM(Purchase[Net Amount])</f>
        <v>814985438.68000126</v>
      </c>
    </row>
    <row r="2140" spans="1:21" ht="19.5" thickBot="1" x14ac:dyDescent="0.3">
      <c r="A2140" s="136" t="s">
        <v>3196</v>
      </c>
      <c r="B2140" s="137">
        <v>45763</v>
      </c>
      <c r="C2140" s="138" t="s">
        <v>586</v>
      </c>
      <c r="D2140" s="138" t="str">
        <f>VLOOKUP(Purchase[[#This Row],[Supplier ID]],Supplier[#All],2,0)</f>
        <v>Maa Traders</v>
      </c>
      <c r="E2140" s="138">
        <f>VLOOKUP(Purchase[[#This Row],[Supplier ID]],Supplier[#All],3,0)</f>
        <v>9689542470</v>
      </c>
      <c r="F2140" s="138" t="str">
        <f>VLOOKUP(Purchase[[#This Row],[Supplier ID]],Supplier[#All],4,0)</f>
        <v>Kanpur</v>
      </c>
      <c r="G2140" s="138" t="str">
        <f>VLOOKUP(Purchase[[#This Row],[Supplier ID]],Supplier[#All],5,0)</f>
        <v>UP</v>
      </c>
      <c r="H2140" s="138" t="str">
        <f>VLOOKUP(Purchase[[#This Row],[Supplier ID]],Supplier[#All],6,0)</f>
        <v>GST2154521T032</v>
      </c>
      <c r="I2140" s="138" t="s">
        <v>377</v>
      </c>
      <c r="J2140" s="139">
        <v>15</v>
      </c>
      <c r="K2140" s="143">
        <f>VLOOKUP(Purchase[[#This Row],[Product ID]],Product[#All],6,0)</f>
        <v>54386</v>
      </c>
      <c r="L2140" s="143">
        <f>Purchase[[#This Row],[Purchase Rate]]*Purchase[[#This Row],[Qty]]</f>
        <v>815790</v>
      </c>
      <c r="M2140" s="140">
        <v>0</v>
      </c>
      <c r="N2140" s="143">
        <v>0</v>
      </c>
      <c r="O2140" s="140">
        <v>0.18</v>
      </c>
      <c r="P2140" s="145">
        <f>(Purchase[[#This Row],[Gross Amount]]-Purchase[[#This Row],[Disct %]])*Purchase[[#This Row],[GST %]]</f>
        <v>146842.19999999998</v>
      </c>
      <c r="Q2140" s="145">
        <f>Purchase[[#This Row],[Gross Amount]]-Purchase[[#This Row],[Disct Amnt]]+Purchase[[#This Row],[GST Amount]]</f>
        <v>962632.2</v>
      </c>
      <c r="R2140" s="138" t="s">
        <v>1019</v>
      </c>
      <c r="S2140" s="41">
        <f>IF(Purchase[[#This Row],[Status]]="Cancelled",0,Purchase[[#This Row],[Qty]])</f>
        <v>15</v>
      </c>
      <c r="T2140" s="146">
        <f>IF(Purchase[[#This Row],[Status]]="Cancelled",0,Purchase[[#This Row],[Total Amount]])</f>
        <v>962632.2</v>
      </c>
      <c r="U2140" s="146">
        <f>SUM(Purchase[Net Amount])</f>
        <v>814985438.68000126</v>
      </c>
    </row>
    <row r="2141" spans="1:21" ht="19.5" thickBot="1" x14ac:dyDescent="0.3">
      <c r="A2141" s="136" t="s">
        <v>3197</v>
      </c>
      <c r="B2141" s="137">
        <v>45763</v>
      </c>
      <c r="C2141" s="138" t="s">
        <v>613</v>
      </c>
      <c r="D2141" s="138" t="str">
        <f>VLOOKUP(Purchase[[#This Row],[Supplier ID]],Supplier[#All],2,0)</f>
        <v>National Traders</v>
      </c>
      <c r="E2141" s="138">
        <f>VLOOKUP(Purchase[[#This Row],[Supplier ID]],Supplier[#All],3,0)</f>
        <v>9689542496</v>
      </c>
      <c r="F2141" s="138" t="str">
        <f>VLOOKUP(Purchase[[#This Row],[Supplier ID]],Supplier[#All],4,0)</f>
        <v>Indore</v>
      </c>
      <c r="G2141" s="138" t="str">
        <f>VLOOKUP(Purchase[[#This Row],[Supplier ID]],Supplier[#All],5,0)</f>
        <v>MP</v>
      </c>
      <c r="H2141" s="138" t="str">
        <f>VLOOKUP(Purchase[[#This Row],[Supplier ID]],Supplier[#All],6,0)</f>
        <v>GST2154521T058</v>
      </c>
      <c r="I2141" s="138" t="s">
        <v>200</v>
      </c>
      <c r="J2141" s="139">
        <v>13</v>
      </c>
      <c r="K2141" s="143">
        <f>VLOOKUP(Purchase[[#This Row],[Product ID]],Product[#All],6,0)</f>
        <v>4331</v>
      </c>
      <c r="L2141" s="143">
        <f>Purchase[[#This Row],[Purchase Rate]]*Purchase[[#This Row],[Qty]]</f>
        <v>56303</v>
      </c>
      <c r="M2141" s="140">
        <v>0</v>
      </c>
      <c r="N2141" s="143">
        <v>0</v>
      </c>
      <c r="O2141" s="140">
        <v>0.18</v>
      </c>
      <c r="P2141" s="145">
        <f>(Purchase[[#This Row],[Gross Amount]]-Purchase[[#This Row],[Disct %]])*Purchase[[#This Row],[GST %]]</f>
        <v>10134.539999999999</v>
      </c>
      <c r="Q2141" s="145">
        <f>Purchase[[#This Row],[Gross Amount]]-Purchase[[#This Row],[Disct Amnt]]+Purchase[[#This Row],[GST Amount]]</f>
        <v>66437.539999999994</v>
      </c>
      <c r="R2141" s="138" t="s">
        <v>1019</v>
      </c>
      <c r="S2141" s="41">
        <f>IF(Purchase[[#This Row],[Status]]="Cancelled",0,Purchase[[#This Row],[Qty]])</f>
        <v>13</v>
      </c>
      <c r="T2141" s="146">
        <f>IF(Purchase[[#This Row],[Status]]="Cancelled",0,Purchase[[#This Row],[Total Amount]])</f>
        <v>66437.539999999994</v>
      </c>
      <c r="U2141" s="146">
        <f>SUM(Purchase[Net Amount])</f>
        <v>814985438.68000126</v>
      </c>
    </row>
    <row r="2142" spans="1:21" ht="19.5" thickBot="1" x14ac:dyDescent="0.3">
      <c r="A2142" s="136" t="s">
        <v>3198</v>
      </c>
      <c r="B2142" s="137">
        <v>45763</v>
      </c>
      <c r="C2142" s="138" t="s">
        <v>589</v>
      </c>
      <c r="D2142" s="138" t="str">
        <f>VLOOKUP(Purchase[[#This Row],[Supplier ID]],Supplier[#All],2,0)</f>
        <v>Maa Computers</v>
      </c>
      <c r="E2142" s="138">
        <f>VLOOKUP(Purchase[[#This Row],[Supplier ID]],Supplier[#All],3,0)</f>
        <v>9689542473</v>
      </c>
      <c r="F2142" s="138" t="str">
        <f>VLOOKUP(Purchase[[#This Row],[Supplier ID]],Supplier[#All],4,0)</f>
        <v>Kanpur</v>
      </c>
      <c r="G2142" s="138" t="str">
        <f>VLOOKUP(Purchase[[#This Row],[Supplier ID]],Supplier[#All],5,0)</f>
        <v>UP</v>
      </c>
      <c r="H2142" s="138" t="str">
        <f>VLOOKUP(Purchase[[#This Row],[Supplier ID]],Supplier[#All],6,0)</f>
        <v>GST2154521T035</v>
      </c>
      <c r="I2142" s="138" t="s">
        <v>495</v>
      </c>
      <c r="J2142" s="139">
        <v>25</v>
      </c>
      <c r="K2142" s="143">
        <f>VLOOKUP(Purchase[[#This Row],[Product ID]],Product[#All],6,0)</f>
        <v>54252</v>
      </c>
      <c r="L2142" s="143">
        <f>Purchase[[#This Row],[Purchase Rate]]*Purchase[[#This Row],[Qty]]</f>
        <v>1356300</v>
      </c>
      <c r="M2142" s="140">
        <v>0</v>
      </c>
      <c r="N2142" s="143">
        <v>0</v>
      </c>
      <c r="O2142" s="140">
        <v>0.18</v>
      </c>
      <c r="P2142" s="145">
        <f>(Purchase[[#This Row],[Gross Amount]]-Purchase[[#This Row],[Disct %]])*Purchase[[#This Row],[GST %]]</f>
        <v>244134</v>
      </c>
      <c r="Q2142" s="145">
        <f>Purchase[[#This Row],[Gross Amount]]-Purchase[[#This Row],[Disct Amnt]]+Purchase[[#This Row],[GST Amount]]</f>
        <v>1600434</v>
      </c>
      <c r="R2142" s="138" t="s">
        <v>1019</v>
      </c>
      <c r="S2142" s="41">
        <f>IF(Purchase[[#This Row],[Status]]="Cancelled",0,Purchase[[#This Row],[Qty]])</f>
        <v>25</v>
      </c>
      <c r="T2142" s="146">
        <f>IF(Purchase[[#This Row],[Status]]="Cancelled",0,Purchase[[#This Row],[Total Amount]])</f>
        <v>1600434</v>
      </c>
      <c r="U2142" s="146">
        <f>SUM(Purchase[Net Amount])</f>
        <v>814985438.68000126</v>
      </c>
    </row>
    <row r="2143" spans="1:21" ht="19.5" thickBot="1" x14ac:dyDescent="0.3">
      <c r="A2143" s="136" t="s">
        <v>3199</v>
      </c>
      <c r="B2143" s="137">
        <v>45764</v>
      </c>
      <c r="C2143" s="138" t="s">
        <v>613</v>
      </c>
      <c r="D2143" s="138" t="str">
        <f>VLOOKUP(Purchase[[#This Row],[Supplier ID]],Supplier[#All],2,0)</f>
        <v>National Traders</v>
      </c>
      <c r="E2143" s="138">
        <f>VLOOKUP(Purchase[[#This Row],[Supplier ID]],Supplier[#All],3,0)</f>
        <v>9689542496</v>
      </c>
      <c r="F2143" s="138" t="str">
        <f>VLOOKUP(Purchase[[#This Row],[Supplier ID]],Supplier[#All],4,0)</f>
        <v>Indore</v>
      </c>
      <c r="G2143" s="138" t="str">
        <f>VLOOKUP(Purchase[[#This Row],[Supplier ID]],Supplier[#All],5,0)</f>
        <v>MP</v>
      </c>
      <c r="H2143" s="138" t="str">
        <f>VLOOKUP(Purchase[[#This Row],[Supplier ID]],Supplier[#All],6,0)</f>
        <v>GST2154521T058</v>
      </c>
      <c r="I2143" s="138" t="s">
        <v>40</v>
      </c>
      <c r="J2143" s="139">
        <v>35</v>
      </c>
      <c r="K2143" s="143">
        <f>VLOOKUP(Purchase[[#This Row],[Product ID]],Product[#All],6,0)</f>
        <v>2831</v>
      </c>
      <c r="L2143" s="143">
        <f>Purchase[[#This Row],[Purchase Rate]]*Purchase[[#This Row],[Qty]]</f>
        <v>99085</v>
      </c>
      <c r="M2143" s="140">
        <v>0</v>
      </c>
      <c r="N2143" s="143">
        <v>0</v>
      </c>
      <c r="O2143" s="140">
        <v>0.18</v>
      </c>
      <c r="P2143" s="145">
        <f>(Purchase[[#This Row],[Gross Amount]]-Purchase[[#This Row],[Disct %]])*Purchase[[#This Row],[GST %]]</f>
        <v>17835.3</v>
      </c>
      <c r="Q2143" s="145">
        <f>Purchase[[#This Row],[Gross Amount]]-Purchase[[#This Row],[Disct Amnt]]+Purchase[[#This Row],[GST Amount]]</f>
        <v>116920.3</v>
      </c>
      <c r="R2143" s="138" t="s">
        <v>1019</v>
      </c>
      <c r="S2143" s="41">
        <f>IF(Purchase[[#This Row],[Status]]="Cancelled",0,Purchase[[#This Row],[Qty]])</f>
        <v>35</v>
      </c>
      <c r="T2143" s="146">
        <f>IF(Purchase[[#This Row],[Status]]="Cancelled",0,Purchase[[#This Row],[Total Amount]])</f>
        <v>116920.3</v>
      </c>
      <c r="U2143" s="146">
        <f>SUM(Purchase[Net Amount])</f>
        <v>814985438.68000126</v>
      </c>
    </row>
    <row r="2144" spans="1:21" ht="19.5" thickBot="1" x14ac:dyDescent="0.3">
      <c r="A2144" s="136" t="s">
        <v>3200</v>
      </c>
      <c r="B2144" s="137">
        <v>45764</v>
      </c>
      <c r="C2144" s="138" t="s">
        <v>587</v>
      </c>
      <c r="D2144" s="138" t="str">
        <f>VLOOKUP(Purchase[[#This Row],[Supplier ID]],Supplier[#All],2,0)</f>
        <v>maa distributors</v>
      </c>
      <c r="E2144" s="138">
        <f>VLOOKUP(Purchase[[#This Row],[Supplier ID]],Supplier[#All],3,0)</f>
        <v>9689542479</v>
      </c>
      <c r="F2144" s="138" t="str">
        <f>VLOOKUP(Purchase[[#This Row],[Supplier ID]],Supplier[#All],4,0)</f>
        <v>Indore</v>
      </c>
      <c r="G2144" s="138" t="str">
        <f>VLOOKUP(Purchase[[#This Row],[Supplier ID]],Supplier[#All],5,0)</f>
        <v>MP</v>
      </c>
      <c r="H2144" s="138" t="str">
        <f>VLOOKUP(Purchase[[#This Row],[Supplier ID]],Supplier[#All],6,0)</f>
        <v>GST2154521T033</v>
      </c>
      <c r="I2144" s="138" t="s">
        <v>426</v>
      </c>
      <c r="J2144" s="139">
        <v>28</v>
      </c>
      <c r="K2144" s="143">
        <f>VLOOKUP(Purchase[[#This Row],[Product ID]],Product[#All],6,0)</f>
        <v>4401</v>
      </c>
      <c r="L2144" s="143">
        <f>Purchase[[#This Row],[Purchase Rate]]*Purchase[[#This Row],[Qty]]</f>
        <v>123228</v>
      </c>
      <c r="M2144" s="140">
        <v>0</v>
      </c>
      <c r="N2144" s="143">
        <v>0</v>
      </c>
      <c r="O2144" s="140">
        <v>0.18</v>
      </c>
      <c r="P2144" s="145">
        <f>(Purchase[[#This Row],[Gross Amount]]-Purchase[[#This Row],[Disct %]])*Purchase[[#This Row],[GST %]]</f>
        <v>22181.040000000001</v>
      </c>
      <c r="Q2144" s="145">
        <f>Purchase[[#This Row],[Gross Amount]]-Purchase[[#This Row],[Disct Amnt]]+Purchase[[#This Row],[GST Amount]]</f>
        <v>145409.04</v>
      </c>
      <c r="R2144" s="138" t="s">
        <v>1019</v>
      </c>
      <c r="S2144" s="41">
        <f>IF(Purchase[[#This Row],[Status]]="Cancelled",0,Purchase[[#This Row],[Qty]])</f>
        <v>28</v>
      </c>
      <c r="T2144" s="146">
        <f>IF(Purchase[[#This Row],[Status]]="Cancelled",0,Purchase[[#This Row],[Total Amount]])</f>
        <v>145409.04</v>
      </c>
      <c r="U2144" s="146">
        <f>SUM(Purchase[Net Amount])</f>
        <v>814985438.68000126</v>
      </c>
    </row>
    <row r="2145" spans="1:21" ht="19.5" thickBot="1" x14ac:dyDescent="0.3">
      <c r="A2145" s="136" t="s">
        <v>3201</v>
      </c>
      <c r="B2145" s="137">
        <v>45764</v>
      </c>
      <c r="C2145" s="138" t="s">
        <v>580</v>
      </c>
      <c r="D2145" s="138" t="str">
        <f>VLOOKUP(Purchase[[#This Row],[Supplier ID]],Supplier[#All],2,0)</f>
        <v>Star Distributors</v>
      </c>
      <c r="E2145" s="138">
        <f>VLOOKUP(Purchase[[#This Row],[Supplier ID]],Supplier[#All],3,0)</f>
        <v>9689542464</v>
      </c>
      <c r="F2145" s="138" t="str">
        <f>VLOOKUP(Purchase[[#This Row],[Supplier ID]],Supplier[#All],4,0)</f>
        <v>Indore</v>
      </c>
      <c r="G2145" s="138" t="str">
        <f>VLOOKUP(Purchase[[#This Row],[Supplier ID]],Supplier[#All],5,0)</f>
        <v>MP</v>
      </c>
      <c r="H2145" s="138" t="str">
        <f>VLOOKUP(Purchase[[#This Row],[Supplier ID]],Supplier[#All],6,0)</f>
        <v>GST2154521T026</v>
      </c>
      <c r="I2145" s="138" t="s">
        <v>489</v>
      </c>
      <c r="J2145" s="139">
        <v>23</v>
      </c>
      <c r="K2145" s="143">
        <f>VLOOKUP(Purchase[[#This Row],[Product ID]],Product[#All],6,0)</f>
        <v>6471</v>
      </c>
      <c r="L2145" s="143">
        <f>Purchase[[#This Row],[Purchase Rate]]*Purchase[[#This Row],[Qty]]</f>
        <v>148833</v>
      </c>
      <c r="M2145" s="140">
        <v>0</v>
      </c>
      <c r="N2145" s="143">
        <v>0</v>
      </c>
      <c r="O2145" s="140">
        <v>0.18</v>
      </c>
      <c r="P2145" s="145">
        <f>(Purchase[[#This Row],[Gross Amount]]-Purchase[[#This Row],[Disct %]])*Purchase[[#This Row],[GST %]]</f>
        <v>26789.94</v>
      </c>
      <c r="Q2145" s="145">
        <f>Purchase[[#This Row],[Gross Amount]]-Purchase[[#This Row],[Disct Amnt]]+Purchase[[#This Row],[GST Amount]]</f>
        <v>175622.94</v>
      </c>
      <c r="R2145" s="138" t="s">
        <v>1019</v>
      </c>
      <c r="S2145" s="41">
        <f>IF(Purchase[[#This Row],[Status]]="Cancelled",0,Purchase[[#This Row],[Qty]])</f>
        <v>23</v>
      </c>
      <c r="T2145" s="146">
        <f>IF(Purchase[[#This Row],[Status]]="Cancelled",0,Purchase[[#This Row],[Total Amount]])</f>
        <v>175622.94</v>
      </c>
      <c r="U2145" s="146">
        <f>SUM(Purchase[Net Amount])</f>
        <v>814985438.68000126</v>
      </c>
    </row>
    <row r="2146" spans="1:21" ht="19.5" thickBot="1" x14ac:dyDescent="0.3">
      <c r="A2146" s="136" t="s">
        <v>3202</v>
      </c>
      <c r="B2146" s="137">
        <v>45764</v>
      </c>
      <c r="C2146" s="138" t="s">
        <v>590</v>
      </c>
      <c r="D2146" s="138" t="str">
        <f>VLOOKUP(Purchase[[#This Row],[Supplier ID]],Supplier[#All],2,0)</f>
        <v>Star Distributors</v>
      </c>
      <c r="E2146" s="138">
        <f>VLOOKUP(Purchase[[#This Row],[Supplier ID]],Supplier[#All],3,0)</f>
        <v>9689542474</v>
      </c>
      <c r="F2146" s="138" t="str">
        <f>VLOOKUP(Purchase[[#This Row],[Supplier ID]],Supplier[#All],4,0)</f>
        <v>Kanpur</v>
      </c>
      <c r="G2146" s="138" t="str">
        <f>VLOOKUP(Purchase[[#This Row],[Supplier ID]],Supplier[#All],5,0)</f>
        <v>UP</v>
      </c>
      <c r="H2146" s="138" t="str">
        <f>VLOOKUP(Purchase[[#This Row],[Supplier ID]],Supplier[#All],6,0)</f>
        <v>GST2154521T036</v>
      </c>
      <c r="I2146" s="138" t="s">
        <v>248</v>
      </c>
      <c r="J2146" s="139">
        <v>30</v>
      </c>
      <c r="K2146" s="143">
        <f>VLOOKUP(Purchase[[#This Row],[Product ID]],Product[#All],6,0)</f>
        <v>824</v>
      </c>
      <c r="L2146" s="143">
        <f>Purchase[[#This Row],[Purchase Rate]]*Purchase[[#This Row],[Qty]]</f>
        <v>24720</v>
      </c>
      <c r="M2146" s="140">
        <v>0</v>
      </c>
      <c r="N2146" s="143">
        <v>0</v>
      </c>
      <c r="O2146" s="140">
        <v>0.18</v>
      </c>
      <c r="P2146" s="145">
        <f>(Purchase[[#This Row],[Gross Amount]]-Purchase[[#This Row],[Disct %]])*Purchase[[#This Row],[GST %]]</f>
        <v>4449.5999999999995</v>
      </c>
      <c r="Q2146" s="145">
        <f>Purchase[[#This Row],[Gross Amount]]-Purchase[[#This Row],[Disct Amnt]]+Purchase[[#This Row],[GST Amount]]</f>
        <v>29169.599999999999</v>
      </c>
      <c r="R2146" s="138" t="s">
        <v>1019</v>
      </c>
      <c r="S2146" s="41">
        <f>IF(Purchase[[#This Row],[Status]]="Cancelled",0,Purchase[[#This Row],[Qty]])</f>
        <v>30</v>
      </c>
      <c r="T2146" s="146">
        <f>IF(Purchase[[#This Row],[Status]]="Cancelled",0,Purchase[[#This Row],[Total Amount]])</f>
        <v>29169.599999999999</v>
      </c>
      <c r="U2146" s="146">
        <f>SUM(Purchase[Net Amount])</f>
        <v>814985438.68000126</v>
      </c>
    </row>
    <row r="2147" spans="1:21" ht="19.5" thickBot="1" x14ac:dyDescent="0.3">
      <c r="A2147" s="136" t="s">
        <v>3203</v>
      </c>
      <c r="B2147" s="137">
        <v>45764</v>
      </c>
      <c r="C2147" s="138" t="s">
        <v>596</v>
      </c>
      <c r="D2147" s="138" t="str">
        <f>VLOOKUP(Purchase[[#This Row],[Supplier ID]],Supplier[#All],2,0)</f>
        <v>star traders</v>
      </c>
      <c r="E2147" s="138">
        <f>VLOOKUP(Purchase[[#This Row],[Supplier ID]],Supplier[#All],3,0)</f>
        <v>9689542479</v>
      </c>
      <c r="F2147" s="138" t="str">
        <f>VLOOKUP(Purchase[[#This Row],[Supplier ID]],Supplier[#All],4,0)</f>
        <v>Korba</v>
      </c>
      <c r="G2147" s="138" t="str">
        <f>VLOOKUP(Purchase[[#This Row],[Supplier ID]],Supplier[#All],5,0)</f>
        <v>CG</v>
      </c>
      <c r="H2147" s="138" t="str">
        <f>VLOOKUP(Purchase[[#This Row],[Supplier ID]],Supplier[#All],6,0)</f>
        <v>GST2154521T041</v>
      </c>
      <c r="I2147" s="138" t="s">
        <v>410</v>
      </c>
      <c r="J2147" s="139">
        <v>22</v>
      </c>
      <c r="K2147" s="143">
        <f>VLOOKUP(Purchase[[#This Row],[Product ID]],Product[#All],6,0)</f>
        <v>9953</v>
      </c>
      <c r="L2147" s="143">
        <f>Purchase[[#This Row],[Purchase Rate]]*Purchase[[#This Row],[Qty]]</f>
        <v>218966</v>
      </c>
      <c r="M2147" s="140">
        <v>0</v>
      </c>
      <c r="N2147" s="143">
        <v>0</v>
      </c>
      <c r="O2147" s="140">
        <v>0.18</v>
      </c>
      <c r="P2147" s="145">
        <f>(Purchase[[#This Row],[Gross Amount]]-Purchase[[#This Row],[Disct %]])*Purchase[[#This Row],[GST %]]</f>
        <v>39413.879999999997</v>
      </c>
      <c r="Q2147" s="145">
        <f>Purchase[[#This Row],[Gross Amount]]-Purchase[[#This Row],[Disct Amnt]]+Purchase[[#This Row],[GST Amount]]</f>
        <v>258379.88</v>
      </c>
      <c r="R2147" s="138" t="s">
        <v>1019</v>
      </c>
      <c r="S2147" s="41">
        <f>IF(Purchase[[#This Row],[Status]]="Cancelled",0,Purchase[[#This Row],[Qty]])</f>
        <v>22</v>
      </c>
      <c r="T2147" s="146">
        <f>IF(Purchase[[#This Row],[Status]]="Cancelled",0,Purchase[[#This Row],[Total Amount]])</f>
        <v>258379.88</v>
      </c>
      <c r="U2147" s="146">
        <f>SUM(Purchase[Net Amount])</f>
        <v>814985438.68000126</v>
      </c>
    </row>
    <row r="2148" spans="1:21" ht="19.5" thickBot="1" x14ac:dyDescent="0.3">
      <c r="A2148" s="136" t="s">
        <v>3204</v>
      </c>
      <c r="B2148" s="137">
        <v>45764</v>
      </c>
      <c r="C2148" s="138" t="s">
        <v>594</v>
      </c>
      <c r="D2148" s="138" t="str">
        <f>VLOOKUP(Purchase[[#This Row],[Supplier ID]],Supplier[#All],2,0)</f>
        <v>Shree Suppliers</v>
      </c>
      <c r="E2148" s="138">
        <f>VLOOKUP(Purchase[[#This Row],[Supplier ID]],Supplier[#All],3,0)</f>
        <v>9689542477</v>
      </c>
      <c r="F2148" s="138" t="str">
        <f>VLOOKUP(Purchase[[#This Row],[Supplier ID]],Supplier[#All],4,0)</f>
        <v>Indore</v>
      </c>
      <c r="G2148" s="138" t="str">
        <f>VLOOKUP(Purchase[[#This Row],[Supplier ID]],Supplier[#All],5,0)</f>
        <v>MP</v>
      </c>
      <c r="H2148" s="138" t="str">
        <f>VLOOKUP(Purchase[[#This Row],[Supplier ID]],Supplier[#All],6,0)</f>
        <v>GST2154521T039</v>
      </c>
      <c r="I2148" s="138" t="s">
        <v>286</v>
      </c>
      <c r="J2148" s="139">
        <v>20</v>
      </c>
      <c r="K2148" s="143">
        <f>VLOOKUP(Purchase[[#This Row],[Product ID]],Product[#All],6,0)</f>
        <v>51772</v>
      </c>
      <c r="L2148" s="143">
        <f>Purchase[[#This Row],[Purchase Rate]]*Purchase[[#This Row],[Qty]]</f>
        <v>1035440</v>
      </c>
      <c r="M2148" s="140">
        <v>0</v>
      </c>
      <c r="N2148" s="143">
        <v>0</v>
      </c>
      <c r="O2148" s="140">
        <v>0.18</v>
      </c>
      <c r="P2148" s="145">
        <f>(Purchase[[#This Row],[Gross Amount]]-Purchase[[#This Row],[Disct %]])*Purchase[[#This Row],[GST %]]</f>
        <v>186379.19999999998</v>
      </c>
      <c r="Q2148" s="145">
        <f>Purchase[[#This Row],[Gross Amount]]-Purchase[[#This Row],[Disct Amnt]]+Purchase[[#This Row],[GST Amount]]</f>
        <v>1221819.2</v>
      </c>
      <c r="R2148" s="138" t="s">
        <v>1019</v>
      </c>
      <c r="S2148" s="41">
        <f>IF(Purchase[[#This Row],[Status]]="Cancelled",0,Purchase[[#This Row],[Qty]])</f>
        <v>20</v>
      </c>
      <c r="T2148" s="146">
        <f>IF(Purchase[[#This Row],[Status]]="Cancelled",0,Purchase[[#This Row],[Total Amount]])</f>
        <v>1221819.2</v>
      </c>
      <c r="U2148" s="146">
        <f>SUM(Purchase[Net Amount])</f>
        <v>814985438.68000126</v>
      </c>
    </row>
    <row r="2149" spans="1:21" ht="19.5" thickBot="1" x14ac:dyDescent="0.3">
      <c r="A2149" s="136" t="s">
        <v>3205</v>
      </c>
      <c r="B2149" s="137">
        <v>45764</v>
      </c>
      <c r="C2149" s="138" t="s">
        <v>602</v>
      </c>
      <c r="D2149" s="138" t="str">
        <f>VLOOKUP(Purchase[[#This Row],[Supplier ID]],Supplier[#All],2,0)</f>
        <v>Maa Computers</v>
      </c>
      <c r="E2149" s="138">
        <f>VLOOKUP(Purchase[[#This Row],[Supplier ID]],Supplier[#All],3,0)</f>
        <v>9689542485</v>
      </c>
      <c r="F2149" s="138" t="str">
        <f>VLOOKUP(Purchase[[#This Row],[Supplier ID]],Supplier[#All],4,0)</f>
        <v>Korba</v>
      </c>
      <c r="G2149" s="138" t="str">
        <f>VLOOKUP(Purchase[[#This Row],[Supplier ID]],Supplier[#All],5,0)</f>
        <v>CG</v>
      </c>
      <c r="H2149" s="138" t="str">
        <f>VLOOKUP(Purchase[[#This Row],[Supplier ID]],Supplier[#All],6,0)</f>
        <v>GST2154521T047</v>
      </c>
      <c r="I2149" s="138" t="s">
        <v>409</v>
      </c>
      <c r="J2149" s="139">
        <v>20</v>
      </c>
      <c r="K2149" s="143">
        <f>VLOOKUP(Purchase[[#This Row],[Product ID]],Product[#All],6,0)</f>
        <v>644</v>
      </c>
      <c r="L2149" s="143">
        <f>Purchase[[#This Row],[Purchase Rate]]*Purchase[[#This Row],[Qty]]</f>
        <v>12880</v>
      </c>
      <c r="M2149" s="140">
        <v>0</v>
      </c>
      <c r="N2149" s="143">
        <v>0</v>
      </c>
      <c r="O2149" s="140">
        <v>0.18</v>
      </c>
      <c r="P2149" s="145">
        <f>(Purchase[[#This Row],[Gross Amount]]-Purchase[[#This Row],[Disct %]])*Purchase[[#This Row],[GST %]]</f>
        <v>2318.4</v>
      </c>
      <c r="Q2149" s="145">
        <f>Purchase[[#This Row],[Gross Amount]]-Purchase[[#This Row],[Disct Amnt]]+Purchase[[#This Row],[GST Amount]]</f>
        <v>15198.4</v>
      </c>
      <c r="R2149" s="138" t="s">
        <v>1019</v>
      </c>
      <c r="S2149" s="41">
        <f>IF(Purchase[[#This Row],[Status]]="Cancelled",0,Purchase[[#This Row],[Qty]])</f>
        <v>20</v>
      </c>
      <c r="T2149" s="146">
        <f>IF(Purchase[[#This Row],[Status]]="Cancelled",0,Purchase[[#This Row],[Total Amount]])</f>
        <v>15198.4</v>
      </c>
      <c r="U2149" s="146">
        <f>SUM(Purchase[Net Amount])</f>
        <v>814985438.68000126</v>
      </c>
    </row>
    <row r="2150" spans="1:21" ht="19.5" thickBot="1" x14ac:dyDescent="0.3">
      <c r="A2150" s="136" t="s">
        <v>3206</v>
      </c>
      <c r="B2150" s="137">
        <v>45764</v>
      </c>
      <c r="C2150" s="138" t="s">
        <v>588</v>
      </c>
      <c r="D2150" s="138" t="str">
        <f>VLOOKUP(Purchase[[#This Row],[Supplier ID]],Supplier[#All],2,0)</f>
        <v>Star Electronics</v>
      </c>
      <c r="E2150" s="138">
        <f>VLOOKUP(Purchase[[#This Row],[Supplier ID]],Supplier[#All],3,0)</f>
        <v>9689542472</v>
      </c>
      <c r="F2150" s="138" t="str">
        <f>VLOOKUP(Purchase[[#This Row],[Supplier ID]],Supplier[#All],4,0)</f>
        <v>Korba</v>
      </c>
      <c r="G2150" s="138" t="str">
        <f>VLOOKUP(Purchase[[#This Row],[Supplier ID]],Supplier[#All],5,0)</f>
        <v>CG</v>
      </c>
      <c r="H2150" s="138" t="str">
        <f>VLOOKUP(Purchase[[#This Row],[Supplier ID]],Supplier[#All],6,0)</f>
        <v>GST2154521T034</v>
      </c>
      <c r="I2150" s="138" t="s">
        <v>459</v>
      </c>
      <c r="J2150" s="139">
        <v>16</v>
      </c>
      <c r="K2150" s="143">
        <f>VLOOKUP(Purchase[[#This Row],[Product ID]],Product[#All],6,0)</f>
        <v>1347</v>
      </c>
      <c r="L2150" s="143">
        <f>Purchase[[#This Row],[Purchase Rate]]*Purchase[[#This Row],[Qty]]</f>
        <v>21552</v>
      </c>
      <c r="M2150" s="140">
        <v>0</v>
      </c>
      <c r="N2150" s="143">
        <v>0</v>
      </c>
      <c r="O2150" s="140">
        <v>0.18</v>
      </c>
      <c r="P2150" s="145">
        <f>(Purchase[[#This Row],[Gross Amount]]-Purchase[[#This Row],[Disct %]])*Purchase[[#This Row],[GST %]]</f>
        <v>3879.3599999999997</v>
      </c>
      <c r="Q2150" s="145">
        <f>Purchase[[#This Row],[Gross Amount]]-Purchase[[#This Row],[Disct Amnt]]+Purchase[[#This Row],[GST Amount]]</f>
        <v>25431.360000000001</v>
      </c>
      <c r="R2150" s="138" t="s">
        <v>1040</v>
      </c>
      <c r="S2150" s="41">
        <f>IF(Purchase[[#This Row],[Status]]="Cancelled",0,Purchase[[#This Row],[Qty]])</f>
        <v>0</v>
      </c>
      <c r="T2150" s="146">
        <f>IF(Purchase[[#This Row],[Status]]="Cancelled",0,Purchase[[#This Row],[Total Amount]])</f>
        <v>0</v>
      </c>
      <c r="U2150" s="146">
        <f>SUM(Purchase[Net Amount])</f>
        <v>814985438.68000126</v>
      </c>
    </row>
    <row r="2151" spans="1:21" ht="19.5" thickBot="1" x14ac:dyDescent="0.3">
      <c r="A2151" s="136" t="s">
        <v>3207</v>
      </c>
      <c r="B2151" s="137">
        <v>45764</v>
      </c>
      <c r="C2151" s="138" t="s">
        <v>598</v>
      </c>
      <c r="D2151" s="138" t="str">
        <f>VLOOKUP(Purchase[[#This Row],[Supplier ID]],Supplier[#All],2,0)</f>
        <v>National Distributors</v>
      </c>
      <c r="E2151" s="138">
        <f>VLOOKUP(Purchase[[#This Row],[Supplier ID]],Supplier[#All],3,0)</f>
        <v>9689542489</v>
      </c>
      <c r="F2151" s="138" t="str">
        <f>VLOOKUP(Purchase[[#This Row],[Supplier ID]],Supplier[#All],4,0)</f>
        <v>Indore</v>
      </c>
      <c r="G2151" s="138" t="str">
        <f>VLOOKUP(Purchase[[#This Row],[Supplier ID]],Supplier[#All],5,0)</f>
        <v>MP</v>
      </c>
      <c r="H2151" s="138" t="str">
        <f>VLOOKUP(Purchase[[#This Row],[Supplier ID]],Supplier[#All],6,0)</f>
        <v>GST2154521T043</v>
      </c>
      <c r="I2151" s="138" t="s">
        <v>267</v>
      </c>
      <c r="J2151" s="139">
        <v>18</v>
      </c>
      <c r="K2151" s="143">
        <f>VLOOKUP(Purchase[[#This Row],[Product ID]],Product[#All],6,0)</f>
        <v>1912</v>
      </c>
      <c r="L2151" s="143">
        <f>Purchase[[#This Row],[Purchase Rate]]*Purchase[[#This Row],[Qty]]</f>
        <v>34416</v>
      </c>
      <c r="M2151" s="140">
        <v>0</v>
      </c>
      <c r="N2151" s="143">
        <v>0</v>
      </c>
      <c r="O2151" s="140">
        <v>0.18</v>
      </c>
      <c r="P2151" s="145">
        <f>(Purchase[[#This Row],[Gross Amount]]-Purchase[[#This Row],[Disct %]])*Purchase[[#This Row],[GST %]]</f>
        <v>6194.88</v>
      </c>
      <c r="Q2151" s="145">
        <f>Purchase[[#This Row],[Gross Amount]]-Purchase[[#This Row],[Disct Amnt]]+Purchase[[#This Row],[GST Amount]]</f>
        <v>40610.879999999997</v>
      </c>
      <c r="R2151" s="138" t="s">
        <v>1019</v>
      </c>
      <c r="S2151" s="41">
        <f>IF(Purchase[[#This Row],[Status]]="Cancelled",0,Purchase[[#This Row],[Qty]])</f>
        <v>18</v>
      </c>
      <c r="T2151" s="146">
        <f>IF(Purchase[[#This Row],[Status]]="Cancelled",0,Purchase[[#This Row],[Total Amount]])</f>
        <v>40610.879999999997</v>
      </c>
      <c r="U2151" s="146">
        <f>SUM(Purchase[Net Amount])</f>
        <v>814985438.68000126</v>
      </c>
    </row>
    <row r="2152" spans="1:21" ht="19.5" thickBot="1" x14ac:dyDescent="0.3">
      <c r="A2152" s="136" t="s">
        <v>3208</v>
      </c>
      <c r="B2152" s="137">
        <v>45764</v>
      </c>
      <c r="C2152" s="138" t="s">
        <v>604</v>
      </c>
      <c r="D2152" s="138" t="str">
        <f>VLOOKUP(Purchase[[#This Row],[Supplier ID]],Supplier[#All],2,0)</f>
        <v>Prime Traders</v>
      </c>
      <c r="E2152" s="138">
        <f>VLOOKUP(Purchase[[#This Row],[Supplier ID]],Supplier[#All],3,0)</f>
        <v>9689542487</v>
      </c>
      <c r="F2152" s="138" t="str">
        <f>VLOOKUP(Purchase[[#This Row],[Supplier ID]],Supplier[#All],4,0)</f>
        <v>Indore</v>
      </c>
      <c r="G2152" s="138" t="str">
        <f>VLOOKUP(Purchase[[#This Row],[Supplier ID]],Supplier[#All],5,0)</f>
        <v>MP</v>
      </c>
      <c r="H2152" s="138" t="str">
        <f>VLOOKUP(Purchase[[#This Row],[Supplier ID]],Supplier[#All],6,0)</f>
        <v>GST2154521T049</v>
      </c>
      <c r="I2152" s="138" t="s">
        <v>413</v>
      </c>
      <c r="J2152" s="139">
        <v>15</v>
      </c>
      <c r="K2152" s="143">
        <f>VLOOKUP(Purchase[[#This Row],[Product ID]],Product[#All],6,0)</f>
        <v>8700</v>
      </c>
      <c r="L2152" s="143">
        <f>Purchase[[#This Row],[Purchase Rate]]*Purchase[[#This Row],[Qty]]</f>
        <v>130500</v>
      </c>
      <c r="M2152" s="140">
        <v>0</v>
      </c>
      <c r="N2152" s="143">
        <v>0</v>
      </c>
      <c r="O2152" s="140">
        <v>0.18</v>
      </c>
      <c r="P2152" s="145">
        <f>(Purchase[[#This Row],[Gross Amount]]-Purchase[[#This Row],[Disct %]])*Purchase[[#This Row],[GST %]]</f>
        <v>23490</v>
      </c>
      <c r="Q2152" s="145">
        <f>Purchase[[#This Row],[Gross Amount]]-Purchase[[#This Row],[Disct Amnt]]+Purchase[[#This Row],[GST Amount]]</f>
        <v>153990</v>
      </c>
      <c r="R2152" s="138" t="s">
        <v>1019</v>
      </c>
      <c r="S2152" s="41">
        <f>IF(Purchase[[#This Row],[Status]]="Cancelled",0,Purchase[[#This Row],[Qty]])</f>
        <v>15</v>
      </c>
      <c r="T2152" s="146">
        <f>IF(Purchase[[#This Row],[Status]]="Cancelled",0,Purchase[[#This Row],[Total Amount]])</f>
        <v>153990</v>
      </c>
      <c r="U2152" s="146">
        <f>SUM(Purchase[Net Amount])</f>
        <v>814985438.68000126</v>
      </c>
    </row>
    <row r="2153" spans="1:21" ht="19.5" thickBot="1" x14ac:dyDescent="0.3">
      <c r="A2153" s="136" t="s">
        <v>3209</v>
      </c>
      <c r="B2153" s="137">
        <v>45764</v>
      </c>
      <c r="C2153" s="138" t="s">
        <v>603</v>
      </c>
      <c r="D2153" s="138" t="str">
        <f>VLOOKUP(Purchase[[#This Row],[Supplier ID]],Supplier[#All],2,0)</f>
        <v>Tech Computers</v>
      </c>
      <c r="E2153" s="138">
        <f>VLOOKUP(Purchase[[#This Row],[Supplier ID]],Supplier[#All],3,0)</f>
        <v>9689542486</v>
      </c>
      <c r="F2153" s="138" t="str">
        <f>VLOOKUP(Purchase[[#This Row],[Supplier ID]],Supplier[#All],4,0)</f>
        <v>Indore</v>
      </c>
      <c r="G2153" s="138" t="str">
        <f>VLOOKUP(Purchase[[#This Row],[Supplier ID]],Supplier[#All],5,0)</f>
        <v>MP</v>
      </c>
      <c r="H2153" s="138" t="str">
        <f>VLOOKUP(Purchase[[#This Row],[Supplier ID]],Supplier[#All],6,0)</f>
        <v>GST2154521T048</v>
      </c>
      <c r="I2153" s="138" t="s">
        <v>528</v>
      </c>
      <c r="J2153" s="139">
        <v>18</v>
      </c>
      <c r="K2153" s="143">
        <f>VLOOKUP(Purchase[[#This Row],[Product ID]],Product[#All],6,0)</f>
        <v>4004</v>
      </c>
      <c r="L2153" s="143">
        <f>Purchase[[#This Row],[Purchase Rate]]*Purchase[[#This Row],[Qty]]</f>
        <v>72072</v>
      </c>
      <c r="M2153" s="140">
        <v>0</v>
      </c>
      <c r="N2153" s="143">
        <v>0</v>
      </c>
      <c r="O2153" s="140">
        <v>0.18</v>
      </c>
      <c r="P2153" s="145">
        <f>(Purchase[[#This Row],[Gross Amount]]-Purchase[[#This Row],[Disct %]])*Purchase[[#This Row],[GST %]]</f>
        <v>12972.96</v>
      </c>
      <c r="Q2153" s="145">
        <f>Purchase[[#This Row],[Gross Amount]]-Purchase[[#This Row],[Disct Amnt]]+Purchase[[#This Row],[GST Amount]]</f>
        <v>85044.959999999992</v>
      </c>
      <c r="R2153" s="138" t="s">
        <v>1019</v>
      </c>
      <c r="S2153" s="41">
        <f>IF(Purchase[[#This Row],[Status]]="Cancelled",0,Purchase[[#This Row],[Qty]])</f>
        <v>18</v>
      </c>
      <c r="T2153" s="146">
        <f>IF(Purchase[[#This Row],[Status]]="Cancelled",0,Purchase[[#This Row],[Total Amount]])</f>
        <v>85044.959999999992</v>
      </c>
      <c r="U2153" s="146">
        <f>SUM(Purchase[Net Amount])</f>
        <v>814985438.68000126</v>
      </c>
    </row>
    <row r="2154" spans="1:21" ht="19.5" thickBot="1" x14ac:dyDescent="0.3">
      <c r="A2154" s="136" t="s">
        <v>3210</v>
      </c>
      <c r="B2154" s="137">
        <v>45764</v>
      </c>
      <c r="C2154" s="138" t="s">
        <v>609</v>
      </c>
      <c r="D2154" s="138" t="str">
        <f>VLOOKUP(Purchase[[#This Row],[Supplier ID]],Supplier[#All],2,0)</f>
        <v>Star Suppliers</v>
      </c>
      <c r="E2154" s="138">
        <f>VLOOKUP(Purchase[[#This Row],[Supplier ID]],Supplier[#All],3,0)</f>
        <v>9689542492</v>
      </c>
      <c r="F2154" s="138" t="str">
        <f>VLOOKUP(Purchase[[#This Row],[Supplier ID]],Supplier[#All],4,0)</f>
        <v>Kanpur</v>
      </c>
      <c r="G2154" s="138" t="str">
        <f>VLOOKUP(Purchase[[#This Row],[Supplier ID]],Supplier[#All],5,0)</f>
        <v>UP</v>
      </c>
      <c r="H2154" s="138" t="str">
        <f>VLOOKUP(Purchase[[#This Row],[Supplier ID]],Supplier[#All],6,0)</f>
        <v>GST2154521T054</v>
      </c>
      <c r="I2154" s="138" t="s">
        <v>147</v>
      </c>
      <c r="J2154" s="139">
        <v>6</v>
      </c>
      <c r="K2154" s="143">
        <f>VLOOKUP(Purchase[[#This Row],[Product ID]],Product[#All],6,0)</f>
        <v>3935</v>
      </c>
      <c r="L2154" s="143">
        <f>Purchase[[#This Row],[Purchase Rate]]*Purchase[[#This Row],[Qty]]</f>
        <v>23610</v>
      </c>
      <c r="M2154" s="140">
        <v>0</v>
      </c>
      <c r="N2154" s="143">
        <v>0</v>
      </c>
      <c r="O2154" s="140">
        <v>0.18</v>
      </c>
      <c r="P2154" s="145">
        <f>(Purchase[[#This Row],[Gross Amount]]-Purchase[[#This Row],[Disct %]])*Purchase[[#This Row],[GST %]]</f>
        <v>4249.8</v>
      </c>
      <c r="Q2154" s="145">
        <f>Purchase[[#This Row],[Gross Amount]]-Purchase[[#This Row],[Disct Amnt]]+Purchase[[#This Row],[GST Amount]]</f>
        <v>27859.8</v>
      </c>
      <c r="R2154" s="138" t="s">
        <v>1019</v>
      </c>
      <c r="S2154" s="41">
        <f>IF(Purchase[[#This Row],[Status]]="Cancelled",0,Purchase[[#This Row],[Qty]])</f>
        <v>6</v>
      </c>
      <c r="T2154" s="146">
        <f>IF(Purchase[[#This Row],[Status]]="Cancelled",0,Purchase[[#This Row],[Total Amount]])</f>
        <v>27859.8</v>
      </c>
      <c r="U2154" s="146">
        <f>SUM(Purchase[Net Amount])</f>
        <v>814985438.68000126</v>
      </c>
    </row>
    <row r="2155" spans="1:21" ht="19.5" thickBot="1" x14ac:dyDescent="0.3">
      <c r="A2155" s="136" t="s">
        <v>3211</v>
      </c>
      <c r="B2155" s="137">
        <v>45764</v>
      </c>
      <c r="C2155" s="138" t="s">
        <v>595</v>
      </c>
      <c r="D2155" s="138" t="str">
        <f>VLOOKUP(Purchase[[#This Row],[Supplier ID]],Supplier[#All],2,0)</f>
        <v>Star Computers</v>
      </c>
      <c r="E2155" s="138">
        <f>VLOOKUP(Purchase[[#This Row],[Supplier ID]],Supplier[#All],3,0)</f>
        <v>9689542478</v>
      </c>
      <c r="F2155" s="138" t="str">
        <f>VLOOKUP(Purchase[[#This Row],[Supplier ID]],Supplier[#All],4,0)</f>
        <v>Kanpur</v>
      </c>
      <c r="G2155" s="138" t="str">
        <f>VLOOKUP(Purchase[[#This Row],[Supplier ID]],Supplier[#All],5,0)</f>
        <v>UP</v>
      </c>
      <c r="H2155" s="138" t="str">
        <f>VLOOKUP(Purchase[[#This Row],[Supplier ID]],Supplier[#All],6,0)</f>
        <v>GST2154521T040</v>
      </c>
      <c r="I2155" s="138" t="s">
        <v>234</v>
      </c>
      <c r="J2155" s="139">
        <v>25</v>
      </c>
      <c r="K2155" s="143">
        <f>VLOOKUP(Purchase[[#This Row],[Product ID]],Product[#All],6,0)</f>
        <v>63093</v>
      </c>
      <c r="L2155" s="143">
        <f>Purchase[[#This Row],[Purchase Rate]]*Purchase[[#This Row],[Qty]]</f>
        <v>1577325</v>
      </c>
      <c r="M2155" s="140">
        <v>0</v>
      </c>
      <c r="N2155" s="143">
        <v>0</v>
      </c>
      <c r="O2155" s="140">
        <v>0.18</v>
      </c>
      <c r="P2155" s="145">
        <f>(Purchase[[#This Row],[Gross Amount]]-Purchase[[#This Row],[Disct %]])*Purchase[[#This Row],[GST %]]</f>
        <v>283918.5</v>
      </c>
      <c r="Q2155" s="145">
        <f>Purchase[[#This Row],[Gross Amount]]-Purchase[[#This Row],[Disct Amnt]]+Purchase[[#This Row],[GST Amount]]</f>
        <v>1861243.5</v>
      </c>
      <c r="R2155" s="138" t="s">
        <v>1019</v>
      </c>
      <c r="S2155" s="41">
        <f>IF(Purchase[[#This Row],[Status]]="Cancelled",0,Purchase[[#This Row],[Qty]])</f>
        <v>25</v>
      </c>
      <c r="T2155" s="146">
        <f>IF(Purchase[[#This Row],[Status]]="Cancelled",0,Purchase[[#This Row],[Total Amount]])</f>
        <v>1861243.5</v>
      </c>
      <c r="U2155" s="146">
        <f>SUM(Purchase[Net Amount])</f>
        <v>814985438.68000126</v>
      </c>
    </row>
    <row r="2156" spans="1:21" ht="19.5" thickBot="1" x14ac:dyDescent="0.3">
      <c r="A2156" s="136" t="s">
        <v>3212</v>
      </c>
      <c r="B2156" s="137">
        <v>45764</v>
      </c>
      <c r="C2156" s="138" t="s">
        <v>568</v>
      </c>
      <c r="D2156" s="138" t="str">
        <f>VLOOKUP(Purchase[[#This Row],[Supplier ID]],Supplier[#All],2,0)</f>
        <v>Maa Computers</v>
      </c>
      <c r="E2156" s="138">
        <f>VLOOKUP(Purchase[[#This Row],[Supplier ID]],Supplier[#All],3,0)</f>
        <v>9689542454</v>
      </c>
      <c r="F2156" s="138" t="str">
        <f>VLOOKUP(Purchase[[#This Row],[Supplier ID]],Supplier[#All],4,0)</f>
        <v>Korba</v>
      </c>
      <c r="G2156" s="138" t="str">
        <f>VLOOKUP(Purchase[[#This Row],[Supplier ID]],Supplier[#All],5,0)</f>
        <v>CG</v>
      </c>
      <c r="H2156" s="138" t="str">
        <f>VLOOKUP(Purchase[[#This Row],[Supplier ID]],Supplier[#All],6,0)</f>
        <v>GST2154521T016</v>
      </c>
      <c r="I2156" s="138" t="s">
        <v>466</v>
      </c>
      <c r="J2156" s="139">
        <v>29</v>
      </c>
      <c r="K2156" s="143">
        <f>VLOOKUP(Purchase[[#This Row],[Product ID]],Product[#All],6,0)</f>
        <v>68885</v>
      </c>
      <c r="L2156" s="143">
        <f>Purchase[[#This Row],[Purchase Rate]]*Purchase[[#This Row],[Qty]]</f>
        <v>1997665</v>
      </c>
      <c r="M2156" s="140">
        <v>0</v>
      </c>
      <c r="N2156" s="143">
        <v>0</v>
      </c>
      <c r="O2156" s="140">
        <v>0.18</v>
      </c>
      <c r="P2156" s="145">
        <f>(Purchase[[#This Row],[Gross Amount]]-Purchase[[#This Row],[Disct %]])*Purchase[[#This Row],[GST %]]</f>
        <v>359579.7</v>
      </c>
      <c r="Q2156" s="145">
        <f>Purchase[[#This Row],[Gross Amount]]-Purchase[[#This Row],[Disct Amnt]]+Purchase[[#This Row],[GST Amount]]</f>
        <v>2357244.7000000002</v>
      </c>
      <c r="R2156" s="138" t="s">
        <v>1019</v>
      </c>
      <c r="S2156" s="41">
        <f>IF(Purchase[[#This Row],[Status]]="Cancelled",0,Purchase[[#This Row],[Qty]])</f>
        <v>29</v>
      </c>
      <c r="T2156" s="146">
        <f>IF(Purchase[[#This Row],[Status]]="Cancelled",0,Purchase[[#This Row],[Total Amount]])</f>
        <v>2357244.7000000002</v>
      </c>
      <c r="U2156" s="146">
        <f>SUM(Purchase[Net Amount])</f>
        <v>814985438.68000126</v>
      </c>
    </row>
    <row r="2157" spans="1:21" ht="19.5" thickBot="1" x14ac:dyDescent="0.3">
      <c r="A2157" s="136" t="s">
        <v>3213</v>
      </c>
      <c r="B2157" s="137">
        <v>45764</v>
      </c>
      <c r="C2157" s="138" t="s">
        <v>571</v>
      </c>
      <c r="D2157" s="138" t="str">
        <f>VLOOKUP(Purchase[[#This Row],[Supplier ID]],Supplier[#All],2,0)</f>
        <v>Tech Suppliers</v>
      </c>
      <c r="E2157" s="138">
        <f>VLOOKUP(Purchase[[#This Row],[Supplier ID]],Supplier[#All],3,0)</f>
        <v>9689542457</v>
      </c>
      <c r="F2157" s="138" t="str">
        <f>VLOOKUP(Purchase[[#This Row],[Supplier ID]],Supplier[#All],4,0)</f>
        <v>Korba</v>
      </c>
      <c r="G2157" s="138" t="str">
        <f>VLOOKUP(Purchase[[#This Row],[Supplier ID]],Supplier[#All],5,0)</f>
        <v>CG</v>
      </c>
      <c r="H2157" s="138" t="str">
        <f>VLOOKUP(Purchase[[#This Row],[Supplier ID]],Supplier[#All],6,0)</f>
        <v>GST2154521T019</v>
      </c>
      <c r="I2157" s="138" t="s">
        <v>459</v>
      </c>
      <c r="J2157" s="139">
        <v>4</v>
      </c>
      <c r="K2157" s="143">
        <f>VLOOKUP(Purchase[[#This Row],[Product ID]],Product[#All],6,0)</f>
        <v>1347</v>
      </c>
      <c r="L2157" s="143">
        <f>Purchase[[#This Row],[Purchase Rate]]*Purchase[[#This Row],[Qty]]</f>
        <v>5388</v>
      </c>
      <c r="M2157" s="140">
        <v>0</v>
      </c>
      <c r="N2157" s="143">
        <v>0</v>
      </c>
      <c r="O2157" s="140">
        <v>0.18</v>
      </c>
      <c r="P2157" s="145">
        <f>(Purchase[[#This Row],[Gross Amount]]-Purchase[[#This Row],[Disct %]])*Purchase[[#This Row],[GST %]]</f>
        <v>969.83999999999992</v>
      </c>
      <c r="Q2157" s="145">
        <f>Purchase[[#This Row],[Gross Amount]]-Purchase[[#This Row],[Disct Amnt]]+Purchase[[#This Row],[GST Amount]]</f>
        <v>6357.84</v>
      </c>
      <c r="R2157" s="138" t="s">
        <v>1019</v>
      </c>
      <c r="S2157" s="41">
        <f>IF(Purchase[[#This Row],[Status]]="Cancelled",0,Purchase[[#This Row],[Qty]])</f>
        <v>4</v>
      </c>
      <c r="T2157" s="146">
        <f>IF(Purchase[[#This Row],[Status]]="Cancelled",0,Purchase[[#This Row],[Total Amount]])</f>
        <v>6357.84</v>
      </c>
      <c r="U2157" s="146">
        <f>SUM(Purchase[Net Amount])</f>
        <v>814985438.68000126</v>
      </c>
    </row>
    <row r="2158" spans="1:21" ht="19.5" thickBot="1" x14ac:dyDescent="0.3">
      <c r="A2158" s="136" t="s">
        <v>3214</v>
      </c>
      <c r="B2158" s="137">
        <v>45764</v>
      </c>
      <c r="C2158" s="138" t="s">
        <v>1855</v>
      </c>
      <c r="D2158" s="138" t="str">
        <f>VLOOKUP(Purchase[[#This Row],[Supplier ID]],Supplier[#All],2,0)</f>
        <v>Shree Computers</v>
      </c>
      <c r="E2158" s="138">
        <f>VLOOKUP(Purchase[[#This Row],[Supplier ID]],Supplier[#All],3,0)</f>
        <v>9689542475</v>
      </c>
      <c r="F2158" s="138" t="str">
        <f>VLOOKUP(Purchase[[#This Row],[Supplier ID]],Supplier[#All],4,0)</f>
        <v>Indore</v>
      </c>
      <c r="G2158" s="138" t="str">
        <f>VLOOKUP(Purchase[[#This Row],[Supplier ID]],Supplier[#All],5,0)</f>
        <v>MP</v>
      </c>
      <c r="H2158" s="138" t="str">
        <f>VLOOKUP(Purchase[[#This Row],[Supplier ID]],Supplier[#All],6,0)</f>
        <v>GST2154521T037</v>
      </c>
      <c r="I2158" s="138" t="s">
        <v>373</v>
      </c>
      <c r="J2158" s="139">
        <v>9</v>
      </c>
      <c r="K2158" s="143">
        <f>VLOOKUP(Purchase[[#This Row],[Product ID]],Product[#All],6,0)</f>
        <v>8224</v>
      </c>
      <c r="L2158" s="143">
        <f>Purchase[[#This Row],[Purchase Rate]]*Purchase[[#This Row],[Qty]]</f>
        <v>74016</v>
      </c>
      <c r="M2158" s="140">
        <v>0</v>
      </c>
      <c r="N2158" s="143">
        <v>0</v>
      </c>
      <c r="O2158" s="140">
        <v>0.18</v>
      </c>
      <c r="P2158" s="145">
        <f>(Purchase[[#This Row],[Gross Amount]]-Purchase[[#This Row],[Disct %]])*Purchase[[#This Row],[GST %]]</f>
        <v>13322.88</v>
      </c>
      <c r="Q2158" s="145">
        <f>Purchase[[#This Row],[Gross Amount]]-Purchase[[#This Row],[Disct Amnt]]+Purchase[[#This Row],[GST Amount]]</f>
        <v>87338.880000000005</v>
      </c>
      <c r="R2158" s="138" t="s">
        <v>1019</v>
      </c>
      <c r="S2158" s="41">
        <f>IF(Purchase[[#This Row],[Status]]="Cancelled",0,Purchase[[#This Row],[Qty]])</f>
        <v>9</v>
      </c>
      <c r="T2158" s="146">
        <f>IF(Purchase[[#This Row],[Status]]="Cancelled",0,Purchase[[#This Row],[Total Amount]])</f>
        <v>87338.880000000005</v>
      </c>
      <c r="U2158" s="146">
        <f>SUM(Purchase[Net Amount])</f>
        <v>814985438.68000126</v>
      </c>
    </row>
    <row r="2159" spans="1:21" ht="19.5" thickBot="1" x14ac:dyDescent="0.3">
      <c r="A2159" s="136" t="s">
        <v>3215</v>
      </c>
      <c r="B2159" s="137">
        <v>45764</v>
      </c>
      <c r="C2159" s="138" t="s">
        <v>607</v>
      </c>
      <c r="D2159" s="138" t="str">
        <f>VLOOKUP(Purchase[[#This Row],[Supplier ID]],Supplier[#All],2,0)</f>
        <v>Global Distributors</v>
      </c>
      <c r="E2159" s="138">
        <f>VLOOKUP(Purchase[[#This Row],[Supplier ID]],Supplier[#All],3,0)</f>
        <v>9689542490</v>
      </c>
      <c r="F2159" s="138" t="str">
        <f>VLOOKUP(Purchase[[#This Row],[Supplier ID]],Supplier[#All],4,0)</f>
        <v>Kanpur</v>
      </c>
      <c r="G2159" s="138" t="str">
        <f>VLOOKUP(Purchase[[#This Row],[Supplier ID]],Supplier[#All],5,0)</f>
        <v>UP</v>
      </c>
      <c r="H2159" s="138" t="str">
        <f>VLOOKUP(Purchase[[#This Row],[Supplier ID]],Supplier[#All],6,0)</f>
        <v>GST2154521T052</v>
      </c>
      <c r="I2159" s="138" t="s">
        <v>272</v>
      </c>
      <c r="J2159" s="139">
        <v>15</v>
      </c>
      <c r="K2159" s="143">
        <f>VLOOKUP(Purchase[[#This Row],[Product ID]],Product[#All],6,0)</f>
        <v>8385</v>
      </c>
      <c r="L2159" s="143">
        <f>Purchase[[#This Row],[Purchase Rate]]*Purchase[[#This Row],[Qty]]</f>
        <v>125775</v>
      </c>
      <c r="M2159" s="140">
        <v>0</v>
      </c>
      <c r="N2159" s="143">
        <v>0</v>
      </c>
      <c r="O2159" s="140">
        <v>0.18</v>
      </c>
      <c r="P2159" s="145">
        <f>(Purchase[[#This Row],[Gross Amount]]-Purchase[[#This Row],[Disct %]])*Purchase[[#This Row],[GST %]]</f>
        <v>22639.5</v>
      </c>
      <c r="Q2159" s="145">
        <f>Purchase[[#This Row],[Gross Amount]]-Purchase[[#This Row],[Disct Amnt]]+Purchase[[#This Row],[GST Amount]]</f>
        <v>148414.5</v>
      </c>
      <c r="R2159" s="138" t="s">
        <v>1019</v>
      </c>
      <c r="S2159" s="41">
        <f>IF(Purchase[[#This Row],[Status]]="Cancelled",0,Purchase[[#This Row],[Qty]])</f>
        <v>15</v>
      </c>
      <c r="T2159" s="146">
        <f>IF(Purchase[[#This Row],[Status]]="Cancelled",0,Purchase[[#This Row],[Total Amount]])</f>
        <v>148414.5</v>
      </c>
      <c r="U2159" s="146">
        <f>SUM(Purchase[Net Amount])</f>
        <v>814985438.68000126</v>
      </c>
    </row>
    <row r="2160" spans="1:21" ht="19.5" thickBot="1" x14ac:dyDescent="0.3">
      <c r="A2160" s="136" t="s">
        <v>3216</v>
      </c>
      <c r="B2160" s="137">
        <v>45765</v>
      </c>
      <c r="C2160" s="138" t="s">
        <v>567</v>
      </c>
      <c r="D2160" s="138" t="str">
        <f>VLOOKUP(Purchase[[#This Row],[Supplier ID]],Supplier[#All],2,0)</f>
        <v>National Distributors</v>
      </c>
      <c r="E2160" s="138">
        <f>VLOOKUP(Purchase[[#This Row],[Supplier ID]],Supplier[#All],3,0)</f>
        <v>9689542453</v>
      </c>
      <c r="F2160" s="138" t="str">
        <f>VLOOKUP(Purchase[[#This Row],[Supplier ID]],Supplier[#All],4,0)</f>
        <v>Korba</v>
      </c>
      <c r="G2160" s="138" t="str">
        <f>VLOOKUP(Purchase[[#This Row],[Supplier ID]],Supplier[#All],5,0)</f>
        <v>CG</v>
      </c>
      <c r="H2160" s="138" t="str">
        <f>VLOOKUP(Purchase[[#This Row],[Supplier ID]],Supplier[#All],6,0)</f>
        <v>GST2154521T015</v>
      </c>
      <c r="I2160" s="138" t="s">
        <v>431</v>
      </c>
      <c r="J2160" s="139">
        <v>37</v>
      </c>
      <c r="K2160" s="143">
        <f>VLOOKUP(Purchase[[#This Row],[Product ID]],Product[#All],6,0)</f>
        <v>14391</v>
      </c>
      <c r="L2160" s="143">
        <f>Purchase[[#This Row],[Purchase Rate]]*Purchase[[#This Row],[Qty]]</f>
        <v>532467</v>
      </c>
      <c r="M2160" s="140">
        <v>0</v>
      </c>
      <c r="N2160" s="143">
        <v>0</v>
      </c>
      <c r="O2160" s="140">
        <v>0.18</v>
      </c>
      <c r="P2160" s="145">
        <f>(Purchase[[#This Row],[Gross Amount]]-Purchase[[#This Row],[Disct %]])*Purchase[[#This Row],[GST %]]</f>
        <v>95844.06</v>
      </c>
      <c r="Q2160" s="145">
        <f>Purchase[[#This Row],[Gross Amount]]-Purchase[[#This Row],[Disct Amnt]]+Purchase[[#This Row],[GST Amount]]</f>
        <v>628311.06000000006</v>
      </c>
      <c r="R2160" s="138" t="s">
        <v>1019</v>
      </c>
      <c r="S2160" s="41">
        <f>IF(Purchase[[#This Row],[Status]]="Cancelled",0,Purchase[[#This Row],[Qty]])</f>
        <v>37</v>
      </c>
      <c r="T2160" s="146">
        <f>IF(Purchase[[#This Row],[Status]]="Cancelled",0,Purchase[[#This Row],[Total Amount]])</f>
        <v>628311.06000000006</v>
      </c>
      <c r="U2160" s="146">
        <f>SUM(Purchase[Net Amount])</f>
        <v>814985438.68000126</v>
      </c>
    </row>
    <row r="2161" spans="1:21" ht="19.5" thickBot="1" x14ac:dyDescent="0.3">
      <c r="A2161" s="136" t="s">
        <v>3217</v>
      </c>
      <c r="B2161" s="137">
        <v>45765</v>
      </c>
      <c r="C2161" s="138" t="s">
        <v>616</v>
      </c>
      <c r="D2161" s="138" t="str">
        <f>VLOOKUP(Purchase[[#This Row],[Supplier ID]],Supplier[#All],2,0)</f>
        <v>Global Suppliers</v>
      </c>
      <c r="E2161" s="138">
        <f>VLOOKUP(Purchase[[#This Row],[Supplier ID]],Supplier[#All],3,0)</f>
        <v>9689542499</v>
      </c>
      <c r="F2161" s="138" t="str">
        <f>VLOOKUP(Purchase[[#This Row],[Supplier ID]],Supplier[#All],4,0)</f>
        <v>Kanpur</v>
      </c>
      <c r="G2161" s="138" t="str">
        <f>VLOOKUP(Purchase[[#This Row],[Supplier ID]],Supplier[#All],5,0)</f>
        <v>UP</v>
      </c>
      <c r="H2161" s="138" t="str">
        <f>VLOOKUP(Purchase[[#This Row],[Supplier ID]],Supplier[#All],6,0)</f>
        <v>GST2154521T061</v>
      </c>
      <c r="I2161" s="138" t="s">
        <v>70</v>
      </c>
      <c r="J2161" s="139">
        <v>14</v>
      </c>
      <c r="K2161" s="143">
        <f>VLOOKUP(Purchase[[#This Row],[Product ID]],Product[#All],6,0)</f>
        <v>3980</v>
      </c>
      <c r="L2161" s="143">
        <f>Purchase[[#This Row],[Purchase Rate]]*Purchase[[#This Row],[Qty]]</f>
        <v>55720</v>
      </c>
      <c r="M2161" s="140">
        <v>0</v>
      </c>
      <c r="N2161" s="143">
        <v>0</v>
      </c>
      <c r="O2161" s="140">
        <v>0.18</v>
      </c>
      <c r="P2161" s="145">
        <f>(Purchase[[#This Row],[Gross Amount]]-Purchase[[#This Row],[Disct %]])*Purchase[[#This Row],[GST %]]</f>
        <v>10029.6</v>
      </c>
      <c r="Q2161" s="145">
        <f>Purchase[[#This Row],[Gross Amount]]-Purchase[[#This Row],[Disct Amnt]]+Purchase[[#This Row],[GST Amount]]</f>
        <v>65749.600000000006</v>
      </c>
      <c r="R2161" s="138" t="s">
        <v>1019</v>
      </c>
      <c r="S2161" s="41">
        <f>IF(Purchase[[#This Row],[Status]]="Cancelled",0,Purchase[[#This Row],[Qty]])</f>
        <v>14</v>
      </c>
      <c r="T2161" s="146">
        <f>IF(Purchase[[#This Row],[Status]]="Cancelled",0,Purchase[[#This Row],[Total Amount]])</f>
        <v>65749.600000000006</v>
      </c>
      <c r="U2161" s="146">
        <f>SUM(Purchase[Net Amount])</f>
        <v>814985438.68000126</v>
      </c>
    </row>
    <row r="2162" spans="1:21" ht="19.5" thickBot="1" x14ac:dyDescent="0.3">
      <c r="A2162" s="136" t="s">
        <v>3218</v>
      </c>
      <c r="B2162" s="137">
        <v>45765</v>
      </c>
      <c r="C2162" s="138" t="s">
        <v>591</v>
      </c>
      <c r="D2162" s="138" t="str">
        <f>VLOOKUP(Purchase[[#This Row],[Supplier ID]],Supplier[#All],2,0)</f>
        <v>Shree Computers</v>
      </c>
      <c r="E2162" s="138">
        <f>VLOOKUP(Purchase[[#This Row],[Supplier ID]],Supplier[#All],3,0)</f>
        <v>9689542475</v>
      </c>
      <c r="F2162" s="138" t="str">
        <f>VLOOKUP(Purchase[[#This Row],[Supplier ID]],Supplier[#All],4,0)</f>
        <v>Indore</v>
      </c>
      <c r="G2162" s="138" t="str">
        <f>VLOOKUP(Purchase[[#This Row],[Supplier ID]],Supplier[#All],5,0)</f>
        <v>MP</v>
      </c>
      <c r="H2162" s="138" t="str">
        <f>VLOOKUP(Purchase[[#This Row],[Supplier ID]],Supplier[#All],6,0)</f>
        <v>GST2154521T037</v>
      </c>
      <c r="I2162" s="138" t="s">
        <v>23</v>
      </c>
      <c r="J2162" s="139">
        <v>25</v>
      </c>
      <c r="K2162" s="143">
        <f>VLOOKUP(Purchase[[#This Row],[Product ID]],Product[#All],6,0)</f>
        <v>4851</v>
      </c>
      <c r="L2162" s="143">
        <f>Purchase[[#This Row],[Purchase Rate]]*Purchase[[#This Row],[Qty]]</f>
        <v>121275</v>
      </c>
      <c r="M2162" s="140">
        <v>0</v>
      </c>
      <c r="N2162" s="143">
        <v>0</v>
      </c>
      <c r="O2162" s="140">
        <v>0.18</v>
      </c>
      <c r="P2162" s="145">
        <f>(Purchase[[#This Row],[Gross Amount]]-Purchase[[#This Row],[Disct %]])*Purchase[[#This Row],[GST %]]</f>
        <v>21829.5</v>
      </c>
      <c r="Q2162" s="145">
        <f>Purchase[[#This Row],[Gross Amount]]-Purchase[[#This Row],[Disct Amnt]]+Purchase[[#This Row],[GST Amount]]</f>
        <v>143104.5</v>
      </c>
      <c r="R2162" s="138" t="s">
        <v>1019</v>
      </c>
      <c r="S2162" s="41">
        <f>IF(Purchase[[#This Row],[Status]]="Cancelled",0,Purchase[[#This Row],[Qty]])</f>
        <v>25</v>
      </c>
      <c r="T2162" s="146">
        <f>IF(Purchase[[#This Row],[Status]]="Cancelled",0,Purchase[[#This Row],[Total Amount]])</f>
        <v>143104.5</v>
      </c>
      <c r="U2162" s="146">
        <f>SUM(Purchase[Net Amount])</f>
        <v>814985438.68000126</v>
      </c>
    </row>
    <row r="2163" spans="1:21" ht="19.5" thickBot="1" x14ac:dyDescent="0.3">
      <c r="A2163" s="136" t="s">
        <v>3219</v>
      </c>
      <c r="B2163" s="137">
        <v>45765</v>
      </c>
      <c r="C2163" s="138" t="s">
        <v>579</v>
      </c>
      <c r="D2163" s="138" t="str">
        <f>VLOOKUP(Purchase[[#This Row],[Supplier ID]],Supplier[#All],2,0)</f>
        <v>Tech Traders</v>
      </c>
      <c r="E2163" s="138">
        <f>VLOOKUP(Purchase[[#This Row],[Supplier ID]],Supplier[#All],3,0)</f>
        <v>9689542463</v>
      </c>
      <c r="F2163" s="138" t="str">
        <f>VLOOKUP(Purchase[[#This Row],[Supplier ID]],Supplier[#All],4,0)</f>
        <v>Kanpur</v>
      </c>
      <c r="G2163" s="138" t="str">
        <f>VLOOKUP(Purchase[[#This Row],[Supplier ID]],Supplier[#All],5,0)</f>
        <v>UP</v>
      </c>
      <c r="H2163" s="138" t="str">
        <f>VLOOKUP(Purchase[[#This Row],[Supplier ID]],Supplier[#All],6,0)</f>
        <v>GST2154521T025</v>
      </c>
      <c r="I2163" s="138" t="s">
        <v>267</v>
      </c>
      <c r="J2163" s="139">
        <v>26</v>
      </c>
      <c r="K2163" s="143">
        <f>VLOOKUP(Purchase[[#This Row],[Product ID]],Product[#All],6,0)</f>
        <v>1912</v>
      </c>
      <c r="L2163" s="143">
        <f>Purchase[[#This Row],[Purchase Rate]]*Purchase[[#This Row],[Qty]]</f>
        <v>49712</v>
      </c>
      <c r="M2163" s="140">
        <v>0</v>
      </c>
      <c r="N2163" s="143">
        <v>0</v>
      </c>
      <c r="O2163" s="140">
        <v>0.18</v>
      </c>
      <c r="P2163" s="145">
        <f>(Purchase[[#This Row],[Gross Amount]]-Purchase[[#This Row],[Disct %]])*Purchase[[#This Row],[GST %]]</f>
        <v>8948.16</v>
      </c>
      <c r="Q2163" s="145">
        <f>Purchase[[#This Row],[Gross Amount]]-Purchase[[#This Row],[Disct Amnt]]+Purchase[[#This Row],[GST Amount]]</f>
        <v>58660.160000000003</v>
      </c>
      <c r="R2163" s="138" t="s">
        <v>1019</v>
      </c>
      <c r="S2163" s="41">
        <f>IF(Purchase[[#This Row],[Status]]="Cancelled",0,Purchase[[#This Row],[Qty]])</f>
        <v>26</v>
      </c>
      <c r="T2163" s="146">
        <f>IF(Purchase[[#This Row],[Status]]="Cancelled",0,Purchase[[#This Row],[Total Amount]])</f>
        <v>58660.160000000003</v>
      </c>
      <c r="U2163" s="146">
        <f>SUM(Purchase[Net Amount])</f>
        <v>814985438.68000126</v>
      </c>
    </row>
    <row r="2164" spans="1:21" ht="19.5" thickBot="1" x14ac:dyDescent="0.3">
      <c r="A2164" s="136" t="s">
        <v>3220</v>
      </c>
      <c r="B2164" s="137">
        <v>45765</v>
      </c>
      <c r="C2164" s="138" t="s">
        <v>586</v>
      </c>
      <c r="D2164" s="138" t="str">
        <f>VLOOKUP(Purchase[[#This Row],[Supplier ID]],Supplier[#All],2,0)</f>
        <v>Maa Traders</v>
      </c>
      <c r="E2164" s="138">
        <f>VLOOKUP(Purchase[[#This Row],[Supplier ID]],Supplier[#All],3,0)</f>
        <v>9689542470</v>
      </c>
      <c r="F2164" s="138" t="str">
        <f>VLOOKUP(Purchase[[#This Row],[Supplier ID]],Supplier[#All],4,0)</f>
        <v>Kanpur</v>
      </c>
      <c r="G2164" s="138" t="str">
        <f>VLOOKUP(Purchase[[#This Row],[Supplier ID]],Supplier[#All],5,0)</f>
        <v>UP</v>
      </c>
      <c r="H2164" s="138" t="str">
        <f>VLOOKUP(Purchase[[#This Row],[Supplier ID]],Supplier[#All],6,0)</f>
        <v>GST2154521T032</v>
      </c>
      <c r="I2164" s="138" t="s">
        <v>377</v>
      </c>
      <c r="J2164" s="139">
        <v>33</v>
      </c>
      <c r="K2164" s="143">
        <f>VLOOKUP(Purchase[[#This Row],[Product ID]],Product[#All],6,0)</f>
        <v>54386</v>
      </c>
      <c r="L2164" s="143">
        <f>Purchase[[#This Row],[Purchase Rate]]*Purchase[[#This Row],[Qty]]</f>
        <v>1794738</v>
      </c>
      <c r="M2164" s="140">
        <v>0</v>
      </c>
      <c r="N2164" s="143">
        <v>0</v>
      </c>
      <c r="O2164" s="140">
        <v>0.18</v>
      </c>
      <c r="P2164" s="145">
        <f>(Purchase[[#This Row],[Gross Amount]]-Purchase[[#This Row],[Disct %]])*Purchase[[#This Row],[GST %]]</f>
        <v>323052.83999999997</v>
      </c>
      <c r="Q2164" s="145">
        <f>Purchase[[#This Row],[Gross Amount]]-Purchase[[#This Row],[Disct Amnt]]+Purchase[[#This Row],[GST Amount]]</f>
        <v>2117790.84</v>
      </c>
      <c r="R2164" s="138" t="s">
        <v>1019</v>
      </c>
      <c r="S2164" s="41">
        <f>IF(Purchase[[#This Row],[Status]]="Cancelled",0,Purchase[[#This Row],[Qty]])</f>
        <v>33</v>
      </c>
      <c r="T2164" s="146">
        <f>IF(Purchase[[#This Row],[Status]]="Cancelled",0,Purchase[[#This Row],[Total Amount]])</f>
        <v>2117790.84</v>
      </c>
      <c r="U2164" s="146">
        <f>SUM(Purchase[Net Amount])</f>
        <v>814985438.68000126</v>
      </c>
    </row>
    <row r="2165" spans="1:21" ht="19.5" thickBot="1" x14ac:dyDescent="0.3">
      <c r="A2165" s="136" t="s">
        <v>3221</v>
      </c>
      <c r="B2165" s="137">
        <v>45765</v>
      </c>
      <c r="C2165" s="138" t="s">
        <v>590</v>
      </c>
      <c r="D2165" s="138" t="str">
        <f>VLOOKUP(Purchase[[#This Row],[Supplier ID]],Supplier[#All],2,0)</f>
        <v>Star Distributors</v>
      </c>
      <c r="E2165" s="138">
        <f>VLOOKUP(Purchase[[#This Row],[Supplier ID]],Supplier[#All],3,0)</f>
        <v>9689542474</v>
      </c>
      <c r="F2165" s="138" t="str">
        <f>VLOOKUP(Purchase[[#This Row],[Supplier ID]],Supplier[#All],4,0)</f>
        <v>Kanpur</v>
      </c>
      <c r="G2165" s="138" t="str">
        <f>VLOOKUP(Purchase[[#This Row],[Supplier ID]],Supplier[#All],5,0)</f>
        <v>UP</v>
      </c>
      <c r="H2165" s="138" t="str">
        <f>VLOOKUP(Purchase[[#This Row],[Supplier ID]],Supplier[#All],6,0)</f>
        <v>GST2154521T036</v>
      </c>
      <c r="I2165" s="138" t="s">
        <v>107</v>
      </c>
      <c r="J2165" s="139">
        <v>13</v>
      </c>
      <c r="K2165" s="143">
        <f>VLOOKUP(Purchase[[#This Row],[Product ID]],Product[#All],6,0)</f>
        <v>11599</v>
      </c>
      <c r="L2165" s="143">
        <f>Purchase[[#This Row],[Purchase Rate]]*Purchase[[#This Row],[Qty]]</f>
        <v>150787</v>
      </c>
      <c r="M2165" s="140">
        <v>0</v>
      </c>
      <c r="N2165" s="143">
        <v>0</v>
      </c>
      <c r="O2165" s="140">
        <v>0.18</v>
      </c>
      <c r="P2165" s="145">
        <f>(Purchase[[#This Row],[Gross Amount]]-Purchase[[#This Row],[Disct %]])*Purchase[[#This Row],[GST %]]</f>
        <v>27141.66</v>
      </c>
      <c r="Q2165" s="145">
        <f>Purchase[[#This Row],[Gross Amount]]-Purchase[[#This Row],[Disct Amnt]]+Purchase[[#This Row],[GST Amount]]</f>
        <v>177928.66</v>
      </c>
      <c r="R2165" s="138" t="s">
        <v>1019</v>
      </c>
      <c r="S2165" s="41">
        <f>IF(Purchase[[#This Row],[Status]]="Cancelled",0,Purchase[[#This Row],[Qty]])</f>
        <v>13</v>
      </c>
      <c r="T2165" s="146">
        <f>IF(Purchase[[#This Row],[Status]]="Cancelled",0,Purchase[[#This Row],[Total Amount]])</f>
        <v>177928.66</v>
      </c>
      <c r="U2165" s="146">
        <f>SUM(Purchase[Net Amount])</f>
        <v>814985438.68000126</v>
      </c>
    </row>
    <row r="2166" spans="1:21" ht="19.5" thickBot="1" x14ac:dyDescent="0.3">
      <c r="A2166" s="136" t="s">
        <v>3222</v>
      </c>
      <c r="B2166" s="137">
        <v>45765</v>
      </c>
      <c r="C2166" s="138" t="s">
        <v>569</v>
      </c>
      <c r="D2166" s="138" t="str">
        <f>VLOOKUP(Purchase[[#This Row],[Supplier ID]],Supplier[#All],2,0)</f>
        <v>Tech Electronics</v>
      </c>
      <c r="E2166" s="138">
        <f>VLOOKUP(Purchase[[#This Row],[Supplier ID]],Supplier[#All],3,0)</f>
        <v>9689542455</v>
      </c>
      <c r="F2166" s="138" t="str">
        <f>VLOOKUP(Purchase[[#This Row],[Supplier ID]],Supplier[#All],4,0)</f>
        <v>Korba</v>
      </c>
      <c r="G2166" s="138" t="str">
        <f>VLOOKUP(Purchase[[#This Row],[Supplier ID]],Supplier[#All],5,0)</f>
        <v>CG</v>
      </c>
      <c r="H2166" s="138" t="str">
        <f>VLOOKUP(Purchase[[#This Row],[Supplier ID]],Supplier[#All],6,0)</f>
        <v>GST2154521T017</v>
      </c>
      <c r="I2166" s="138" t="s">
        <v>543</v>
      </c>
      <c r="J2166" s="139">
        <v>39</v>
      </c>
      <c r="K2166" s="143">
        <f>VLOOKUP(Purchase[[#This Row],[Product ID]],Product[#All],6,0)</f>
        <v>2136</v>
      </c>
      <c r="L2166" s="143">
        <f>Purchase[[#This Row],[Purchase Rate]]*Purchase[[#This Row],[Qty]]</f>
        <v>83304</v>
      </c>
      <c r="M2166" s="140">
        <v>0</v>
      </c>
      <c r="N2166" s="143">
        <v>0</v>
      </c>
      <c r="O2166" s="140">
        <v>0.18</v>
      </c>
      <c r="P2166" s="145">
        <f>(Purchase[[#This Row],[Gross Amount]]-Purchase[[#This Row],[Disct %]])*Purchase[[#This Row],[GST %]]</f>
        <v>14994.72</v>
      </c>
      <c r="Q2166" s="145">
        <f>Purchase[[#This Row],[Gross Amount]]-Purchase[[#This Row],[Disct Amnt]]+Purchase[[#This Row],[GST Amount]]</f>
        <v>98298.72</v>
      </c>
      <c r="R2166" s="138" t="s">
        <v>1019</v>
      </c>
      <c r="S2166" s="41">
        <f>IF(Purchase[[#This Row],[Status]]="Cancelled",0,Purchase[[#This Row],[Qty]])</f>
        <v>39</v>
      </c>
      <c r="T2166" s="146">
        <f>IF(Purchase[[#This Row],[Status]]="Cancelled",0,Purchase[[#This Row],[Total Amount]])</f>
        <v>98298.72</v>
      </c>
      <c r="U2166" s="146">
        <f>SUM(Purchase[Net Amount])</f>
        <v>814985438.68000126</v>
      </c>
    </row>
    <row r="2167" spans="1:21" ht="19.5" thickBot="1" x14ac:dyDescent="0.3">
      <c r="A2167" s="136" t="s">
        <v>3223</v>
      </c>
      <c r="B2167" s="137">
        <v>45765</v>
      </c>
      <c r="C2167" s="138" t="s">
        <v>570</v>
      </c>
      <c r="D2167" s="138" t="str">
        <f>VLOOKUP(Purchase[[#This Row],[Supplier ID]],Supplier[#All],2,0)</f>
        <v>Prime Traders</v>
      </c>
      <c r="E2167" s="138">
        <f>VLOOKUP(Purchase[[#This Row],[Supplier ID]],Supplier[#All],3,0)</f>
        <v>9689542456</v>
      </c>
      <c r="F2167" s="138" t="str">
        <f>VLOOKUP(Purchase[[#This Row],[Supplier ID]],Supplier[#All],4,0)</f>
        <v>Indore</v>
      </c>
      <c r="G2167" s="138" t="str">
        <f>VLOOKUP(Purchase[[#This Row],[Supplier ID]],Supplier[#All],5,0)</f>
        <v>MP</v>
      </c>
      <c r="H2167" s="138" t="str">
        <f>VLOOKUP(Purchase[[#This Row],[Supplier ID]],Supplier[#All],6,0)</f>
        <v>GST2154521T018</v>
      </c>
      <c r="I2167" s="138" t="s">
        <v>162</v>
      </c>
      <c r="J2167" s="139">
        <v>4</v>
      </c>
      <c r="K2167" s="143">
        <f>VLOOKUP(Purchase[[#This Row],[Product ID]],Product[#All],6,0)</f>
        <v>724</v>
      </c>
      <c r="L2167" s="143">
        <f>Purchase[[#This Row],[Purchase Rate]]*Purchase[[#This Row],[Qty]]</f>
        <v>2896</v>
      </c>
      <c r="M2167" s="140">
        <v>0</v>
      </c>
      <c r="N2167" s="143">
        <v>0</v>
      </c>
      <c r="O2167" s="140">
        <v>0.18</v>
      </c>
      <c r="P2167" s="145">
        <f>(Purchase[[#This Row],[Gross Amount]]-Purchase[[#This Row],[Disct %]])*Purchase[[#This Row],[GST %]]</f>
        <v>521.28</v>
      </c>
      <c r="Q2167" s="145">
        <f>Purchase[[#This Row],[Gross Amount]]-Purchase[[#This Row],[Disct Amnt]]+Purchase[[#This Row],[GST Amount]]</f>
        <v>3417.2799999999997</v>
      </c>
      <c r="R2167" s="138" t="s">
        <v>1019</v>
      </c>
      <c r="S2167" s="41">
        <f>IF(Purchase[[#This Row],[Status]]="Cancelled",0,Purchase[[#This Row],[Qty]])</f>
        <v>4</v>
      </c>
      <c r="T2167" s="146">
        <f>IF(Purchase[[#This Row],[Status]]="Cancelled",0,Purchase[[#This Row],[Total Amount]])</f>
        <v>3417.2799999999997</v>
      </c>
      <c r="U2167" s="146">
        <f>SUM(Purchase[Net Amount])</f>
        <v>814985438.68000126</v>
      </c>
    </row>
    <row r="2168" spans="1:21" ht="19.5" thickBot="1" x14ac:dyDescent="0.3">
      <c r="A2168" s="136" t="s">
        <v>3224</v>
      </c>
      <c r="B2168" s="137">
        <v>45765</v>
      </c>
      <c r="C2168" s="138" t="s">
        <v>583</v>
      </c>
      <c r="D2168" s="138" t="str">
        <f>VLOOKUP(Purchase[[#This Row],[Supplier ID]],Supplier[#All],2,0)</f>
        <v>Shree Distributors</v>
      </c>
      <c r="E2168" s="138">
        <f>VLOOKUP(Purchase[[#This Row],[Supplier ID]],Supplier[#All],3,0)</f>
        <v>9689542467</v>
      </c>
      <c r="F2168" s="138" t="str">
        <f>VLOOKUP(Purchase[[#This Row],[Supplier ID]],Supplier[#All],4,0)</f>
        <v>Indore</v>
      </c>
      <c r="G2168" s="138" t="str">
        <f>VLOOKUP(Purchase[[#This Row],[Supplier ID]],Supplier[#All],5,0)</f>
        <v>MP</v>
      </c>
      <c r="H2168" s="138" t="str">
        <f>VLOOKUP(Purchase[[#This Row],[Supplier ID]],Supplier[#All],6,0)</f>
        <v>GST2154521T029</v>
      </c>
      <c r="I2168" s="138" t="s">
        <v>266</v>
      </c>
      <c r="J2168" s="139">
        <v>32</v>
      </c>
      <c r="K2168" s="143">
        <f>VLOOKUP(Purchase[[#This Row],[Product ID]],Product[#All],6,0)</f>
        <v>3282</v>
      </c>
      <c r="L2168" s="143">
        <f>Purchase[[#This Row],[Purchase Rate]]*Purchase[[#This Row],[Qty]]</f>
        <v>105024</v>
      </c>
      <c r="M2168" s="140">
        <v>0</v>
      </c>
      <c r="N2168" s="143">
        <v>0</v>
      </c>
      <c r="O2168" s="140">
        <v>0.18</v>
      </c>
      <c r="P2168" s="145">
        <f>(Purchase[[#This Row],[Gross Amount]]-Purchase[[#This Row],[Disct %]])*Purchase[[#This Row],[GST %]]</f>
        <v>18904.32</v>
      </c>
      <c r="Q2168" s="145">
        <f>Purchase[[#This Row],[Gross Amount]]-Purchase[[#This Row],[Disct Amnt]]+Purchase[[#This Row],[GST Amount]]</f>
        <v>123928.32000000001</v>
      </c>
      <c r="R2168" s="138" t="s">
        <v>1019</v>
      </c>
      <c r="S2168" s="41">
        <f>IF(Purchase[[#This Row],[Status]]="Cancelled",0,Purchase[[#This Row],[Qty]])</f>
        <v>32</v>
      </c>
      <c r="T2168" s="146">
        <f>IF(Purchase[[#This Row],[Status]]="Cancelled",0,Purchase[[#This Row],[Total Amount]])</f>
        <v>123928.32000000001</v>
      </c>
      <c r="U2168" s="146">
        <f>SUM(Purchase[Net Amount])</f>
        <v>814985438.68000126</v>
      </c>
    </row>
    <row r="2169" spans="1:21" ht="19.5" thickBot="1" x14ac:dyDescent="0.3">
      <c r="A2169" s="136" t="s">
        <v>3225</v>
      </c>
      <c r="B2169" s="137">
        <v>45765</v>
      </c>
      <c r="C2169" s="138" t="s">
        <v>595</v>
      </c>
      <c r="D2169" s="138" t="str">
        <f>VLOOKUP(Purchase[[#This Row],[Supplier ID]],Supplier[#All],2,0)</f>
        <v>Star Computers</v>
      </c>
      <c r="E2169" s="138">
        <f>VLOOKUP(Purchase[[#This Row],[Supplier ID]],Supplier[#All],3,0)</f>
        <v>9689542478</v>
      </c>
      <c r="F2169" s="138" t="str">
        <f>VLOOKUP(Purchase[[#This Row],[Supplier ID]],Supplier[#All],4,0)</f>
        <v>Kanpur</v>
      </c>
      <c r="G2169" s="138" t="str">
        <f>VLOOKUP(Purchase[[#This Row],[Supplier ID]],Supplier[#All],5,0)</f>
        <v>UP</v>
      </c>
      <c r="H2169" s="138" t="str">
        <f>VLOOKUP(Purchase[[#This Row],[Supplier ID]],Supplier[#All],6,0)</f>
        <v>GST2154521T040</v>
      </c>
      <c r="I2169" s="138" t="s">
        <v>149</v>
      </c>
      <c r="J2169" s="139">
        <v>23</v>
      </c>
      <c r="K2169" s="143">
        <f>VLOOKUP(Purchase[[#This Row],[Product ID]],Product[#All],6,0)</f>
        <v>5562</v>
      </c>
      <c r="L2169" s="143">
        <f>Purchase[[#This Row],[Purchase Rate]]*Purchase[[#This Row],[Qty]]</f>
        <v>127926</v>
      </c>
      <c r="M2169" s="140">
        <v>0</v>
      </c>
      <c r="N2169" s="143">
        <v>0</v>
      </c>
      <c r="O2169" s="140">
        <v>0.18</v>
      </c>
      <c r="P2169" s="145">
        <f>(Purchase[[#This Row],[Gross Amount]]-Purchase[[#This Row],[Disct %]])*Purchase[[#This Row],[GST %]]</f>
        <v>23026.68</v>
      </c>
      <c r="Q2169" s="145">
        <f>Purchase[[#This Row],[Gross Amount]]-Purchase[[#This Row],[Disct Amnt]]+Purchase[[#This Row],[GST Amount]]</f>
        <v>150952.68</v>
      </c>
      <c r="R2169" s="138" t="s">
        <v>1019</v>
      </c>
      <c r="S2169" s="41">
        <f>IF(Purchase[[#This Row],[Status]]="Cancelled",0,Purchase[[#This Row],[Qty]])</f>
        <v>23</v>
      </c>
      <c r="T2169" s="146">
        <f>IF(Purchase[[#This Row],[Status]]="Cancelled",0,Purchase[[#This Row],[Total Amount]])</f>
        <v>150952.68</v>
      </c>
      <c r="U2169" s="146">
        <f>SUM(Purchase[Net Amount])</f>
        <v>814985438.68000126</v>
      </c>
    </row>
    <row r="2170" spans="1:21" ht="19.5" thickBot="1" x14ac:dyDescent="0.3">
      <c r="A2170" s="136" t="s">
        <v>3226</v>
      </c>
      <c r="B2170" s="137">
        <v>45765</v>
      </c>
      <c r="C2170" s="138" t="s">
        <v>581</v>
      </c>
      <c r="D2170" s="138" t="str">
        <f>VLOOKUP(Purchase[[#This Row],[Supplier ID]],Supplier[#All],2,0)</f>
        <v>Prime Electronics</v>
      </c>
      <c r="E2170" s="138">
        <f>VLOOKUP(Purchase[[#This Row],[Supplier ID]],Supplier[#All],3,0)</f>
        <v>9689542465</v>
      </c>
      <c r="F2170" s="138" t="str">
        <f>VLOOKUP(Purchase[[#This Row],[Supplier ID]],Supplier[#All],4,0)</f>
        <v>Korba</v>
      </c>
      <c r="G2170" s="138" t="str">
        <f>VLOOKUP(Purchase[[#This Row],[Supplier ID]],Supplier[#All],5,0)</f>
        <v>CG</v>
      </c>
      <c r="H2170" s="138" t="str">
        <f>VLOOKUP(Purchase[[#This Row],[Supplier ID]],Supplier[#All],6,0)</f>
        <v>GST2154521T027</v>
      </c>
      <c r="I2170" s="138" t="s">
        <v>503</v>
      </c>
      <c r="J2170" s="139">
        <v>29</v>
      </c>
      <c r="K2170" s="143">
        <f>VLOOKUP(Purchase[[#This Row],[Product ID]],Product[#All],6,0)</f>
        <v>7350</v>
      </c>
      <c r="L2170" s="143">
        <f>Purchase[[#This Row],[Purchase Rate]]*Purchase[[#This Row],[Qty]]</f>
        <v>213150</v>
      </c>
      <c r="M2170" s="140">
        <v>0</v>
      </c>
      <c r="N2170" s="143">
        <v>0</v>
      </c>
      <c r="O2170" s="140">
        <v>0.18</v>
      </c>
      <c r="P2170" s="145">
        <f>(Purchase[[#This Row],[Gross Amount]]-Purchase[[#This Row],[Disct %]])*Purchase[[#This Row],[GST %]]</f>
        <v>38367</v>
      </c>
      <c r="Q2170" s="145">
        <f>Purchase[[#This Row],[Gross Amount]]-Purchase[[#This Row],[Disct Amnt]]+Purchase[[#This Row],[GST Amount]]</f>
        <v>251517</v>
      </c>
      <c r="R2170" s="138" t="s">
        <v>1019</v>
      </c>
      <c r="S2170" s="41">
        <f>IF(Purchase[[#This Row],[Status]]="Cancelled",0,Purchase[[#This Row],[Qty]])</f>
        <v>29</v>
      </c>
      <c r="T2170" s="146">
        <f>IF(Purchase[[#This Row],[Status]]="Cancelled",0,Purchase[[#This Row],[Total Amount]])</f>
        <v>251517</v>
      </c>
      <c r="U2170" s="146">
        <f>SUM(Purchase[Net Amount])</f>
        <v>814985438.68000126</v>
      </c>
    </row>
    <row r="2171" spans="1:21" ht="19.5" thickBot="1" x14ac:dyDescent="0.3">
      <c r="A2171" s="136" t="s">
        <v>3227</v>
      </c>
      <c r="B2171" s="137">
        <v>45765</v>
      </c>
      <c r="C2171" s="138" t="s">
        <v>565</v>
      </c>
      <c r="D2171" s="138" t="str">
        <f>VLOOKUP(Purchase[[#This Row],[Supplier ID]],Supplier[#All],2,0)</f>
        <v>Global Suppliers</v>
      </c>
      <c r="E2171" s="138">
        <f>VLOOKUP(Purchase[[#This Row],[Supplier ID]],Supplier[#All],3,0)</f>
        <v>9689542459</v>
      </c>
      <c r="F2171" s="138" t="str">
        <f>VLOOKUP(Purchase[[#This Row],[Supplier ID]],Supplier[#All],4,0)</f>
        <v>Indore</v>
      </c>
      <c r="G2171" s="138" t="str">
        <f>VLOOKUP(Purchase[[#This Row],[Supplier ID]],Supplier[#All],5,0)</f>
        <v>MP</v>
      </c>
      <c r="H2171" s="138" t="str">
        <f>VLOOKUP(Purchase[[#This Row],[Supplier ID]],Supplier[#All],6,0)</f>
        <v>GST2154521T013</v>
      </c>
      <c r="I2171" s="138" t="s">
        <v>56</v>
      </c>
      <c r="J2171" s="139">
        <v>19</v>
      </c>
      <c r="K2171" s="143">
        <f>VLOOKUP(Purchase[[#This Row],[Product ID]],Product[#All],6,0)</f>
        <v>3467</v>
      </c>
      <c r="L2171" s="143">
        <f>Purchase[[#This Row],[Purchase Rate]]*Purchase[[#This Row],[Qty]]</f>
        <v>65873</v>
      </c>
      <c r="M2171" s="140">
        <v>0</v>
      </c>
      <c r="N2171" s="143">
        <v>0</v>
      </c>
      <c r="O2171" s="140">
        <v>0.18</v>
      </c>
      <c r="P2171" s="145">
        <f>(Purchase[[#This Row],[Gross Amount]]-Purchase[[#This Row],[Disct %]])*Purchase[[#This Row],[GST %]]</f>
        <v>11857.14</v>
      </c>
      <c r="Q2171" s="145">
        <f>Purchase[[#This Row],[Gross Amount]]-Purchase[[#This Row],[Disct Amnt]]+Purchase[[#This Row],[GST Amount]]</f>
        <v>77730.14</v>
      </c>
      <c r="R2171" s="138" t="s">
        <v>1019</v>
      </c>
      <c r="S2171" s="41">
        <f>IF(Purchase[[#This Row],[Status]]="Cancelled",0,Purchase[[#This Row],[Qty]])</f>
        <v>19</v>
      </c>
      <c r="T2171" s="146">
        <f>IF(Purchase[[#This Row],[Status]]="Cancelled",0,Purchase[[#This Row],[Total Amount]])</f>
        <v>77730.14</v>
      </c>
      <c r="U2171" s="146">
        <f>SUM(Purchase[Net Amount])</f>
        <v>814985438.68000126</v>
      </c>
    </row>
    <row r="2172" spans="1:21" ht="19.5" thickBot="1" x14ac:dyDescent="0.3">
      <c r="A2172" s="136" t="s">
        <v>3228</v>
      </c>
      <c r="B2172" s="137">
        <v>45765</v>
      </c>
      <c r="C2172" s="138" t="s">
        <v>577</v>
      </c>
      <c r="D2172" s="138" t="str">
        <f>VLOOKUP(Purchase[[#This Row],[Supplier ID]],Supplier[#All],2,0)</f>
        <v>National Electronics</v>
      </c>
      <c r="E2172" s="138">
        <f>VLOOKUP(Purchase[[#This Row],[Supplier ID]],Supplier[#All],3,0)</f>
        <v>9689542469</v>
      </c>
      <c r="F2172" s="138" t="str">
        <f>VLOOKUP(Purchase[[#This Row],[Supplier ID]],Supplier[#All],4,0)</f>
        <v>Korba</v>
      </c>
      <c r="G2172" s="138" t="str">
        <f>VLOOKUP(Purchase[[#This Row],[Supplier ID]],Supplier[#All],5,0)</f>
        <v>CG</v>
      </c>
      <c r="H2172" s="138" t="str">
        <f>VLOOKUP(Purchase[[#This Row],[Supplier ID]],Supplier[#All],6,0)</f>
        <v>GST2154521T023</v>
      </c>
      <c r="I2172" s="138" t="s">
        <v>388</v>
      </c>
      <c r="J2172" s="139">
        <v>6</v>
      </c>
      <c r="K2172" s="143">
        <f>VLOOKUP(Purchase[[#This Row],[Product ID]],Product[#All],6,0)</f>
        <v>57116</v>
      </c>
      <c r="L2172" s="143">
        <f>Purchase[[#This Row],[Purchase Rate]]*Purchase[[#This Row],[Qty]]</f>
        <v>342696</v>
      </c>
      <c r="M2172" s="140">
        <v>0</v>
      </c>
      <c r="N2172" s="143">
        <v>0</v>
      </c>
      <c r="O2172" s="140">
        <v>0.18</v>
      </c>
      <c r="P2172" s="145">
        <f>(Purchase[[#This Row],[Gross Amount]]-Purchase[[#This Row],[Disct %]])*Purchase[[#This Row],[GST %]]</f>
        <v>61685.279999999999</v>
      </c>
      <c r="Q2172" s="145">
        <f>Purchase[[#This Row],[Gross Amount]]-Purchase[[#This Row],[Disct Amnt]]+Purchase[[#This Row],[GST Amount]]</f>
        <v>404381.28</v>
      </c>
      <c r="R2172" s="138" t="s">
        <v>1019</v>
      </c>
      <c r="S2172" s="41">
        <f>IF(Purchase[[#This Row],[Status]]="Cancelled",0,Purchase[[#This Row],[Qty]])</f>
        <v>6</v>
      </c>
      <c r="T2172" s="146">
        <f>IF(Purchase[[#This Row],[Status]]="Cancelled",0,Purchase[[#This Row],[Total Amount]])</f>
        <v>404381.28</v>
      </c>
      <c r="U2172" s="146">
        <f>SUM(Purchase[Net Amount])</f>
        <v>814985438.68000126</v>
      </c>
    </row>
    <row r="2173" spans="1:21" ht="19.5" thickBot="1" x14ac:dyDescent="0.3">
      <c r="A2173" s="136" t="s">
        <v>3229</v>
      </c>
      <c r="B2173" s="137">
        <v>45765</v>
      </c>
      <c r="C2173" s="138" t="s">
        <v>598</v>
      </c>
      <c r="D2173" s="138" t="str">
        <f>VLOOKUP(Purchase[[#This Row],[Supplier ID]],Supplier[#All],2,0)</f>
        <v>National Distributors</v>
      </c>
      <c r="E2173" s="138">
        <f>VLOOKUP(Purchase[[#This Row],[Supplier ID]],Supplier[#All],3,0)</f>
        <v>9689542489</v>
      </c>
      <c r="F2173" s="138" t="str">
        <f>VLOOKUP(Purchase[[#This Row],[Supplier ID]],Supplier[#All],4,0)</f>
        <v>Indore</v>
      </c>
      <c r="G2173" s="138" t="str">
        <f>VLOOKUP(Purchase[[#This Row],[Supplier ID]],Supplier[#All],5,0)</f>
        <v>MP</v>
      </c>
      <c r="H2173" s="138" t="str">
        <f>VLOOKUP(Purchase[[#This Row],[Supplier ID]],Supplier[#All],6,0)</f>
        <v>GST2154521T043</v>
      </c>
      <c r="I2173" s="138" t="s">
        <v>401</v>
      </c>
      <c r="J2173" s="139">
        <v>26</v>
      </c>
      <c r="K2173" s="143">
        <f>VLOOKUP(Purchase[[#This Row],[Product ID]],Product[#All],6,0)</f>
        <v>517</v>
      </c>
      <c r="L2173" s="143">
        <f>Purchase[[#This Row],[Purchase Rate]]*Purchase[[#This Row],[Qty]]</f>
        <v>13442</v>
      </c>
      <c r="M2173" s="140">
        <v>0</v>
      </c>
      <c r="N2173" s="143">
        <v>0</v>
      </c>
      <c r="O2173" s="140">
        <v>0.18</v>
      </c>
      <c r="P2173" s="145">
        <f>(Purchase[[#This Row],[Gross Amount]]-Purchase[[#This Row],[Disct %]])*Purchase[[#This Row],[GST %]]</f>
        <v>2419.56</v>
      </c>
      <c r="Q2173" s="145">
        <f>Purchase[[#This Row],[Gross Amount]]-Purchase[[#This Row],[Disct Amnt]]+Purchase[[#This Row],[GST Amount]]</f>
        <v>15861.56</v>
      </c>
      <c r="R2173" s="138" t="s">
        <v>1019</v>
      </c>
      <c r="S2173" s="41">
        <f>IF(Purchase[[#This Row],[Status]]="Cancelled",0,Purchase[[#This Row],[Qty]])</f>
        <v>26</v>
      </c>
      <c r="T2173" s="146">
        <f>IF(Purchase[[#This Row],[Status]]="Cancelled",0,Purchase[[#This Row],[Total Amount]])</f>
        <v>15861.56</v>
      </c>
      <c r="U2173" s="146">
        <f>SUM(Purchase[Net Amount])</f>
        <v>814985438.68000126</v>
      </c>
    </row>
    <row r="2174" spans="1:21" ht="19.5" thickBot="1" x14ac:dyDescent="0.3">
      <c r="A2174" s="136" t="s">
        <v>3230</v>
      </c>
      <c r="B2174" s="137">
        <v>45765</v>
      </c>
      <c r="C2174" s="138" t="s">
        <v>608</v>
      </c>
      <c r="D2174" s="138" t="str">
        <f>VLOOKUP(Purchase[[#This Row],[Supplier ID]],Supplier[#All],2,0)</f>
        <v>Global Suppliers</v>
      </c>
      <c r="E2174" s="138">
        <f>VLOOKUP(Purchase[[#This Row],[Supplier ID]],Supplier[#All],3,0)</f>
        <v>9689542499</v>
      </c>
      <c r="F2174" s="138" t="str">
        <f>VLOOKUP(Purchase[[#This Row],[Supplier ID]],Supplier[#All],4,0)</f>
        <v>Korba</v>
      </c>
      <c r="G2174" s="138" t="str">
        <f>VLOOKUP(Purchase[[#This Row],[Supplier ID]],Supplier[#All],5,0)</f>
        <v>CG</v>
      </c>
      <c r="H2174" s="138" t="str">
        <f>VLOOKUP(Purchase[[#This Row],[Supplier ID]],Supplier[#All],6,0)</f>
        <v>GST2154521T053</v>
      </c>
      <c r="I2174" s="138" t="s">
        <v>136</v>
      </c>
      <c r="J2174" s="139">
        <v>9</v>
      </c>
      <c r="K2174" s="143">
        <f>VLOOKUP(Purchase[[#This Row],[Product ID]],Product[#All],6,0)</f>
        <v>29405</v>
      </c>
      <c r="L2174" s="143">
        <f>Purchase[[#This Row],[Purchase Rate]]*Purchase[[#This Row],[Qty]]</f>
        <v>264645</v>
      </c>
      <c r="M2174" s="140">
        <v>0</v>
      </c>
      <c r="N2174" s="143">
        <v>0</v>
      </c>
      <c r="O2174" s="140">
        <v>0.18</v>
      </c>
      <c r="P2174" s="145">
        <f>(Purchase[[#This Row],[Gross Amount]]-Purchase[[#This Row],[Disct %]])*Purchase[[#This Row],[GST %]]</f>
        <v>47636.1</v>
      </c>
      <c r="Q2174" s="145">
        <f>Purchase[[#This Row],[Gross Amount]]-Purchase[[#This Row],[Disct Amnt]]+Purchase[[#This Row],[GST Amount]]</f>
        <v>312281.09999999998</v>
      </c>
      <c r="R2174" s="138" t="s">
        <v>1019</v>
      </c>
      <c r="S2174" s="41">
        <f>IF(Purchase[[#This Row],[Status]]="Cancelled",0,Purchase[[#This Row],[Qty]])</f>
        <v>9</v>
      </c>
      <c r="T2174" s="146">
        <f>IF(Purchase[[#This Row],[Status]]="Cancelled",0,Purchase[[#This Row],[Total Amount]])</f>
        <v>312281.09999999998</v>
      </c>
      <c r="U2174" s="146">
        <f>SUM(Purchase[Net Amount])</f>
        <v>814985438.68000126</v>
      </c>
    </row>
    <row r="2175" spans="1:21" ht="19.5" thickBot="1" x14ac:dyDescent="0.3">
      <c r="A2175" s="136" t="s">
        <v>3231</v>
      </c>
      <c r="B2175" s="137">
        <v>45765</v>
      </c>
      <c r="C2175" s="138" t="s">
        <v>596</v>
      </c>
      <c r="D2175" s="138" t="str">
        <f>VLOOKUP(Purchase[[#This Row],[Supplier ID]],Supplier[#All],2,0)</f>
        <v>star traders</v>
      </c>
      <c r="E2175" s="138">
        <f>VLOOKUP(Purchase[[#This Row],[Supplier ID]],Supplier[#All],3,0)</f>
        <v>9689542479</v>
      </c>
      <c r="F2175" s="138" t="str">
        <f>VLOOKUP(Purchase[[#This Row],[Supplier ID]],Supplier[#All],4,0)</f>
        <v>Korba</v>
      </c>
      <c r="G2175" s="138" t="str">
        <f>VLOOKUP(Purchase[[#This Row],[Supplier ID]],Supplier[#All],5,0)</f>
        <v>CG</v>
      </c>
      <c r="H2175" s="138" t="str">
        <f>VLOOKUP(Purchase[[#This Row],[Supplier ID]],Supplier[#All],6,0)</f>
        <v>GST2154521T041</v>
      </c>
      <c r="I2175" s="138" t="s">
        <v>210</v>
      </c>
      <c r="J2175" s="139">
        <v>2</v>
      </c>
      <c r="K2175" s="143">
        <f>VLOOKUP(Purchase[[#This Row],[Product ID]],Product[#All],6,0)</f>
        <v>889</v>
      </c>
      <c r="L2175" s="143">
        <f>Purchase[[#This Row],[Purchase Rate]]*Purchase[[#This Row],[Qty]]</f>
        <v>1778</v>
      </c>
      <c r="M2175" s="140">
        <v>0</v>
      </c>
      <c r="N2175" s="143">
        <v>0</v>
      </c>
      <c r="O2175" s="140">
        <v>0.18</v>
      </c>
      <c r="P2175" s="145">
        <f>(Purchase[[#This Row],[Gross Amount]]-Purchase[[#This Row],[Disct %]])*Purchase[[#This Row],[GST %]]</f>
        <v>320.03999999999996</v>
      </c>
      <c r="Q2175" s="145">
        <f>Purchase[[#This Row],[Gross Amount]]-Purchase[[#This Row],[Disct Amnt]]+Purchase[[#This Row],[GST Amount]]</f>
        <v>2098.04</v>
      </c>
      <c r="R2175" s="138" t="s">
        <v>1019</v>
      </c>
      <c r="S2175" s="41">
        <f>IF(Purchase[[#This Row],[Status]]="Cancelled",0,Purchase[[#This Row],[Qty]])</f>
        <v>2</v>
      </c>
      <c r="T2175" s="146">
        <f>IF(Purchase[[#This Row],[Status]]="Cancelled",0,Purchase[[#This Row],[Total Amount]])</f>
        <v>2098.04</v>
      </c>
      <c r="U2175" s="146">
        <f>SUM(Purchase[Net Amount])</f>
        <v>814985438.68000126</v>
      </c>
    </row>
    <row r="2176" spans="1:21" ht="19.5" thickBot="1" x14ac:dyDescent="0.3">
      <c r="A2176" s="136" t="s">
        <v>3232</v>
      </c>
      <c r="B2176" s="137">
        <v>45765</v>
      </c>
      <c r="C2176" s="138" t="s">
        <v>607</v>
      </c>
      <c r="D2176" s="138" t="str">
        <f>VLOOKUP(Purchase[[#This Row],[Supplier ID]],Supplier[#All],2,0)</f>
        <v>Global Distributors</v>
      </c>
      <c r="E2176" s="138">
        <f>VLOOKUP(Purchase[[#This Row],[Supplier ID]],Supplier[#All],3,0)</f>
        <v>9689542490</v>
      </c>
      <c r="F2176" s="138" t="str">
        <f>VLOOKUP(Purchase[[#This Row],[Supplier ID]],Supplier[#All],4,0)</f>
        <v>Kanpur</v>
      </c>
      <c r="G2176" s="138" t="str">
        <f>VLOOKUP(Purchase[[#This Row],[Supplier ID]],Supplier[#All],5,0)</f>
        <v>UP</v>
      </c>
      <c r="H2176" s="138" t="str">
        <f>VLOOKUP(Purchase[[#This Row],[Supplier ID]],Supplier[#All],6,0)</f>
        <v>GST2154521T052</v>
      </c>
      <c r="I2176" s="138" t="s">
        <v>544</v>
      </c>
      <c r="J2176" s="139">
        <v>2</v>
      </c>
      <c r="K2176" s="143">
        <f>VLOOKUP(Purchase[[#This Row],[Product ID]],Product[#All],6,0)</f>
        <v>14145</v>
      </c>
      <c r="L2176" s="143">
        <f>Purchase[[#This Row],[Purchase Rate]]*Purchase[[#This Row],[Qty]]</f>
        <v>28290</v>
      </c>
      <c r="M2176" s="140">
        <v>0</v>
      </c>
      <c r="N2176" s="143">
        <v>0</v>
      </c>
      <c r="O2176" s="140">
        <v>0.18</v>
      </c>
      <c r="P2176" s="145">
        <f>(Purchase[[#This Row],[Gross Amount]]-Purchase[[#This Row],[Disct %]])*Purchase[[#This Row],[GST %]]</f>
        <v>5092.2</v>
      </c>
      <c r="Q2176" s="145">
        <f>Purchase[[#This Row],[Gross Amount]]-Purchase[[#This Row],[Disct Amnt]]+Purchase[[#This Row],[GST Amount]]</f>
        <v>33382.199999999997</v>
      </c>
      <c r="R2176" s="138" t="s">
        <v>1019</v>
      </c>
      <c r="S2176" s="41">
        <f>IF(Purchase[[#This Row],[Status]]="Cancelled",0,Purchase[[#This Row],[Qty]])</f>
        <v>2</v>
      </c>
      <c r="T2176" s="146">
        <f>IF(Purchase[[#This Row],[Status]]="Cancelled",0,Purchase[[#This Row],[Total Amount]])</f>
        <v>33382.199999999997</v>
      </c>
      <c r="U2176" s="146">
        <f>SUM(Purchase[Net Amount])</f>
        <v>814985438.68000126</v>
      </c>
    </row>
    <row r="2177" spans="1:21" ht="19.5" thickBot="1" x14ac:dyDescent="0.3">
      <c r="A2177" s="136" t="s">
        <v>3233</v>
      </c>
      <c r="B2177" s="137">
        <v>45765</v>
      </c>
      <c r="C2177" s="138" t="s">
        <v>582</v>
      </c>
      <c r="D2177" s="138" t="str">
        <f>VLOOKUP(Purchase[[#This Row],[Supplier ID]],Supplier[#All],2,0)</f>
        <v>Tech Distributors</v>
      </c>
      <c r="E2177" s="138">
        <f>VLOOKUP(Purchase[[#This Row],[Supplier ID]],Supplier[#All],3,0)</f>
        <v>9689542466</v>
      </c>
      <c r="F2177" s="138" t="str">
        <f>VLOOKUP(Purchase[[#This Row],[Supplier ID]],Supplier[#All],4,0)</f>
        <v>Indore</v>
      </c>
      <c r="G2177" s="138" t="str">
        <f>VLOOKUP(Purchase[[#This Row],[Supplier ID]],Supplier[#All],5,0)</f>
        <v>MP</v>
      </c>
      <c r="H2177" s="138" t="str">
        <f>VLOOKUP(Purchase[[#This Row],[Supplier ID]],Supplier[#All],6,0)</f>
        <v>GST2154521T028</v>
      </c>
      <c r="I2177" s="138" t="s">
        <v>107</v>
      </c>
      <c r="J2177" s="139">
        <v>33</v>
      </c>
      <c r="K2177" s="143">
        <f>VLOOKUP(Purchase[[#This Row],[Product ID]],Product[#All],6,0)</f>
        <v>11599</v>
      </c>
      <c r="L2177" s="143">
        <f>Purchase[[#This Row],[Purchase Rate]]*Purchase[[#This Row],[Qty]]</f>
        <v>382767</v>
      </c>
      <c r="M2177" s="140">
        <v>0</v>
      </c>
      <c r="N2177" s="143">
        <v>0</v>
      </c>
      <c r="O2177" s="140">
        <v>0.18</v>
      </c>
      <c r="P2177" s="145">
        <f>(Purchase[[#This Row],[Gross Amount]]-Purchase[[#This Row],[Disct %]])*Purchase[[#This Row],[GST %]]</f>
        <v>68898.06</v>
      </c>
      <c r="Q2177" s="145">
        <f>Purchase[[#This Row],[Gross Amount]]-Purchase[[#This Row],[Disct Amnt]]+Purchase[[#This Row],[GST Amount]]</f>
        <v>451665.06</v>
      </c>
      <c r="R2177" s="138" t="s">
        <v>1019</v>
      </c>
      <c r="S2177" s="41">
        <f>IF(Purchase[[#This Row],[Status]]="Cancelled",0,Purchase[[#This Row],[Qty]])</f>
        <v>33</v>
      </c>
      <c r="T2177" s="146">
        <f>IF(Purchase[[#This Row],[Status]]="Cancelled",0,Purchase[[#This Row],[Total Amount]])</f>
        <v>451665.06</v>
      </c>
      <c r="U2177" s="146">
        <f>SUM(Purchase[Net Amount])</f>
        <v>814985438.68000126</v>
      </c>
    </row>
    <row r="2178" spans="1:21" ht="19.5" thickBot="1" x14ac:dyDescent="0.3">
      <c r="A2178" s="136" t="s">
        <v>3234</v>
      </c>
      <c r="B2178" s="137">
        <v>45765</v>
      </c>
      <c r="C2178" s="138" t="s">
        <v>590</v>
      </c>
      <c r="D2178" s="138" t="str">
        <f>VLOOKUP(Purchase[[#This Row],[Supplier ID]],Supplier[#All],2,0)</f>
        <v>Star Distributors</v>
      </c>
      <c r="E2178" s="138">
        <f>VLOOKUP(Purchase[[#This Row],[Supplier ID]],Supplier[#All],3,0)</f>
        <v>9689542474</v>
      </c>
      <c r="F2178" s="138" t="str">
        <f>VLOOKUP(Purchase[[#This Row],[Supplier ID]],Supplier[#All],4,0)</f>
        <v>Kanpur</v>
      </c>
      <c r="G2178" s="138" t="str">
        <f>VLOOKUP(Purchase[[#This Row],[Supplier ID]],Supplier[#All],5,0)</f>
        <v>UP</v>
      </c>
      <c r="H2178" s="138" t="str">
        <f>VLOOKUP(Purchase[[#This Row],[Supplier ID]],Supplier[#All],6,0)</f>
        <v>GST2154521T036</v>
      </c>
      <c r="I2178" s="138" t="s">
        <v>291</v>
      </c>
      <c r="J2178" s="139">
        <v>5</v>
      </c>
      <c r="K2178" s="143">
        <f>VLOOKUP(Purchase[[#This Row],[Product ID]],Product[#All],6,0)</f>
        <v>9494</v>
      </c>
      <c r="L2178" s="143">
        <f>Purchase[[#This Row],[Purchase Rate]]*Purchase[[#This Row],[Qty]]</f>
        <v>47470</v>
      </c>
      <c r="M2178" s="140">
        <v>0</v>
      </c>
      <c r="N2178" s="143">
        <v>0</v>
      </c>
      <c r="O2178" s="140">
        <v>0.18</v>
      </c>
      <c r="P2178" s="145">
        <f>(Purchase[[#This Row],[Gross Amount]]-Purchase[[#This Row],[Disct %]])*Purchase[[#This Row],[GST %]]</f>
        <v>8544.6</v>
      </c>
      <c r="Q2178" s="145">
        <f>Purchase[[#This Row],[Gross Amount]]-Purchase[[#This Row],[Disct Amnt]]+Purchase[[#This Row],[GST Amount]]</f>
        <v>56014.6</v>
      </c>
      <c r="R2178" s="138" t="s">
        <v>1019</v>
      </c>
      <c r="S2178" s="41">
        <f>IF(Purchase[[#This Row],[Status]]="Cancelled",0,Purchase[[#This Row],[Qty]])</f>
        <v>5</v>
      </c>
      <c r="T2178" s="146">
        <f>IF(Purchase[[#This Row],[Status]]="Cancelled",0,Purchase[[#This Row],[Total Amount]])</f>
        <v>56014.6</v>
      </c>
      <c r="U2178" s="146">
        <f>SUM(Purchase[Net Amount])</f>
        <v>814985438.68000126</v>
      </c>
    </row>
    <row r="2179" spans="1:21" ht="19.5" thickBot="1" x14ac:dyDescent="0.3">
      <c r="A2179" s="136" t="s">
        <v>3235</v>
      </c>
      <c r="B2179" s="137">
        <v>45765</v>
      </c>
      <c r="C2179" s="138" t="s">
        <v>585</v>
      </c>
      <c r="D2179" s="138" t="str">
        <f>VLOOKUP(Purchase[[#This Row],[Supplier ID]],Supplier[#All],2,0)</f>
        <v>Tech Computers</v>
      </c>
      <c r="E2179" s="138">
        <f>VLOOKUP(Purchase[[#This Row],[Supplier ID]],Supplier[#All],3,0)</f>
        <v>9689542469</v>
      </c>
      <c r="F2179" s="138" t="str">
        <f>VLOOKUP(Purchase[[#This Row],[Supplier ID]],Supplier[#All],4,0)</f>
        <v>Korba</v>
      </c>
      <c r="G2179" s="138" t="str">
        <f>VLOOKUP(Purchase[[#This Row],[Supplier ID]],Supplier[#All],5,0)</f>
        <v>CG</v>
      </c>
      <c r="H2179" s="138" t="str">
        <f>VLOOKUP(Purchase[[#This Row],[Supplier ID]],Supplier[#All],6,0)</f>
        <v>GST2154521T031</v>
      </c>
      <c r="I2179" s="138" t="s">
        <v>201</v>
      </c>
      <c r="J2179" s="139">
        <v>37</v>
      </c>
      <c r="K2179" s="143">
        <f>VLOOKUP(Purchase[[#This Row],[Product ID]],Product[#All],6,0)</f>
        <v>2195</v>
      </c>
      <c r="L2179" s="143">
        <f>Purchase[[#This Row],[Purchase Rate]]*Purchase[[#This Row],[Qty]]</f>
        <v>81215</v>
      </c>
      <c r="M2179" s="140">
        <v>0</v>
      </c>
      <c r="N2179" s="143">
        <v>0</v>
      </c>
      <c r="O2179" s="140">
        <v>0.18</v>
      </c>
      <c r="P2179" s="145">
        <f>(Purchase[[#This Row],[Gross Amount]]-Purchase[[#This Row],[Disct %]])*Purchase[[#This Row],[GST %]]</f>
        <v>14618.699999999999</v>
      </c>
      <c r="Q2179" s="145">
        <f>Purchase[[#This Row],[Gross Amount]]-Purchase[[#This Row],[Disct Amnt]]+Purchase[[#This Row],[GST Amount]]</f>
        <v>95833.7</v>
      </c>
      <c r="R2179" s="138" t="s">
        <v>1019</v>
      </c>
      <c r="S2179" s="41">
        <f>IF(Purchase[[#This Row],[Status]]="Cancelled",0,Purchase[[#This Row],[Qty]])</f>
        <v>37</v>
      </c>
      <c r="T2179" s="146">
        <f>IF(Purchase[[#This Row],[Status]]="Cancelled",0,Purchase[[#This Row],[Total Amount]])</f>
        <v>95833.7</v>
      </c>
      <c r="U2179" s="146">
        <f>SUM(Purchase[Net Amount])</f>
        <v>814985438.68000126</v>
      </c>
    </row>
    <row r="2180" spans="1:21" ht="19.5" thickBot="1" x14ac:dyDescent="0.3">
      <c r="A2180" s="136" t="s">
        <v>3236</v>
      </c>
      <c r="B2180" s="137">
        <v>45765</v>
      </c>
      <c r="C2180" s="138" t="s">
        <v>570</v>
      </c>
      <c r="D2180" s="138" t="str">
        <f>VLOOKUP(Purchase[[#This Row],[Supplier ID]],Supplier[#All],2,0)</f>
        <v>Prime Traders</v>
      </c>
      <c r="E2180" s="138">
        <f>VLOOKUP(Purchase[[#This Row],[Supplier ID]],Supplier[#All],3,0)</f>
        <v>9689542456</v>
      </c>
      <c r="F2180" s="138" t="str">
        <f>VLOOKUP(Purchase[[#This Row],[Supplier ID]],Supplier[#All],4,0)</f>
        <v>Indore</v>
      </c>
      <c r="G2180" s="138" t="str">
        <f>VLOOKUP(Purchase[[#This Row],[Supplier ID]],Supplier[#All],5,0)</f>
        <v>MP</v>
      </c>
      <c r="H2180" s="138" t="str">
        <f>VLOOKUP(Purchase[[#This Row],[Supplier ID]],Supplier[#All],6,0)</f>
        <v>GST2154521T018</v>
      </c>
      <c r="I2180" s="138" t="s">
        <v>377</v>
      </c>
      <c r="J2180" s="139">
        <v>21</v>
      </c>
      <c r="K2180" s="143">
        <f>VLOOKUP(Purchase[[#This Row],[Product ID]],Product[#All],6,0)</f>
        <v>54386</v>
      </c>
      <c r="L2180" s="143">
        <f>Purchase[[#This Row],[Purchase Rate]]*Purchase[[#This Row],[Qty]]</f>
        <v>1142106</v>
      </c>
      <c r="M2180" s="140">
        <v>0</v>
      </c>
      <c r="N2180" s="143">
        <v>0</v>
      </c>
      <c r="O2180" s="140">
        <v>0.18</v>
      </c>
      <c r="P2180" s="145">
        <f>(Purchase[[#This Row],[Gross Amount]]-Purchase[[#This Row],[Disct %]])*Purchase[[#This Row],[GST %]]</f>
        <v>205579.08</v>
      </c>
      <c r="Q2180" s="145">
        <f>Purchase[[#This Row],[Gross Amount]]-Purchase[[#This Row],[Disct Amnt]]+Purchase[[#This Row],[GST Amount]]</f>
        <v>1347685.08</v>
      </c>
      <c r="R2180" s="138" t="s">
        <v>1040</v>
      </c>
      <c r="S2180" s="41">
        <f>IF(Purchase[[#This Row],[Status]]="Cancelled",0,Purchase[[#This Row],[Qty]])</f>
        <v>0</v>
      </c>
      <c r="T2180" s="146">
        <f>IF(Purchase[[#This Row],[Status]]="Cancelled",0,Purchase[[#This Row],[Total Amount]])</f>
        <v>0</v>
      </c>
      <c r="U2180" s="146">
        <f>SUM(Purchase[Net Amount])</f>
        <v>814985438.68000126</v>
      </c>
    </row>
    <row r="2181" spans="1:21" ht="19.5" thickBot="1" x14ac:dyDescent="0.3">
      <c r="A2181" s="136" t="s">
        <v>3237</v>
      </c>
      <c r="B2181" s="137">
        <v>45765</v>
      </c>
      <c r="C2181" s="138" t="s">
        <v>615</v>
      </c>
      <c r="D2181" s="138" t="str">
        <f>VLOOKUP(Purchase[[#This Row],[Supplier ID]],Supplier[#All],2,0)</f>
        <v>NATIONAL ELECTRONICS</v>
      </c>
      <c r="E2181" s="138">
        <f>VLOOKUP(Purchase[[#This Row],[Supplier ID]],Supplier[#All],3,0)</f>
        <v>9689542498</v>
      </c>
      <c r="F2181" s="138" t="str">
        <f>VLOOKUP(Purchase[[#This Row],[Supplier ID]],Supplier[#All],4,0)</f>
        <v>Kanpur</v>
      </c>
      <c r="G2181" s="138" t="str">
        <f>VLOOKUP(Purchase[[#This Row],[Supplier ID]],Supplier[#All],5,0)</f>
        <v>UP</v>
      </c>
      <c r="H2181" s="138" t="str">
        <f>VLOOKUP(Purchase[[#This Row],[Supplier ID]],Supplier[#All],6,0)</f>
        <v>GST2154521T060</v>
      </c>
      <c r="I2181" s="138" t="s">
        <v>475</v>
      </c>
      <c r="J2181" s="139">
        <v>9</v>
      </c>
      <c r="K2181" s="143">
        <f>VLOOKUP(Purchase[[#This Row],[Product ID]],Product[#All],6,0)</f>
        <v>1253</v>
      </c>
      <c r="L2181" s="143">
        <f>Purchase[[#This Row],[Purchase Rate]]*Purchase[[#This Row],[Qty]]</f>
        <v>11277</v>
      </c>
      <c r="M2181" s="140">
        <v>0</v>
      </c>
      <c r="N2181" s="143">
        <v>0</v>
      </c>
      <c r="O2181" s="140">
        <v>0.18</v>
      </c>
      <c r="P2181" s="145">
        <f>(Purchase[[#This Row],[Gross Amount]]-Purchase[[#This Row],[Disct %]])*Purchase[[#This Row],[GST %]]</f>
        <v>2029.86</v>
      </c>
      <c r="Q2181" s="145">
        <f>Purchase[[#This Row],[Gross Amount]]-Purchase[[#This Row],[Disct Amnt]]+Purchase[[#This Row],[GST Amount]]</f>
        <v>13306.86</v>
      </c>
      <c r="R2181" s="138" t="s">
        <v>1019</v>
      </c>
      <c r="S2181" s="41">
        <f>IF(Purchase[[#This Row],[Status]]="Cancelled",0,Purchase[[#This Row],[Qty]])</f>
        <v>9</v>
      </c>
      <c r="T2181" s="146">
        <f>IF(Purchase[[#This Row],[Status]]="Cancelled",0,Purchase[[#This Row],[Total Amount]])</f>
        <v>13306.86</v>
      </c>
      <c r="U2181" s="146">
        <f>SUM(Purchase[Net Amount])</f>
        <v>814985438.68000126</v>
      </c>
    </row>
    <row r="2182" spans="1:21" ht="19.5" thickBot="1" x14ac:dyDescent="0.3">
      <c r="A2182" s="136" t="s">
        <v>3238</v>
      </c>
      <c r="B2182" s="137">
        <v>45765</v>
      </c>
      <c r="C2182" s="138" t="s">
        <v>564</v>
      </c>
      <c r="D2182" s="138" t="str">
        <f>VLOOKUP(Purchase[[#This Row],[Supplier ID]],Supplier[#All],2,0)</f>
        <v xml:space="preserve">Star Electronics </v>
      </c>
      <c r="E2182" s="138">
        <f>VLOOKUP(Purchase[[#This Row],[Supplier ID]],Supplier[#All],3,0)</f>
        <v>9689542450</v>
      </c>
      <c r="F2182" s="138" t="str">
        <f>VLOOKUP(Purchase[[#This Row],[Supplier ID]],Supplier[#All],4,0)</f>
        <v>Korba</v>
      </c>
      <c r="G2182" s="138" t="str">
        <f>VLOOKUP(Purchase[[#This Row],[Supplier ID]],Supplier[#All],5,0)</f>
        <v>CG</v>
      </c>
      <c r="H2182" s="138" t="str">
        <f>VLOOKUP(Purchase[[#This Row],[Supplier ID]],Supplier[#All],6,0)</f>
        <v>GST2154521T012</v>
      </c>
      <c r="I2182" s="138" t="s">
        <v>508</v>
      </c>
      <c r="J2182" s="139">
        <v>9</v>
      </c>
      <c r="K2182" s="143">
        <f>VLOOKUP(Purchase[[#This Row],[Product ID]],Product[#All],6,0)</f>
        <v>2005</v>
      </c>
      <c r="L2182" s="143">
        <f>Purchase[[#This Row],[Purchase Rate]]*Purchase[[#This Row],[Qty]]</f>
        <v>18045</v>
      </c>
      <c r="M2182" s="140">
        <v>0</v>
      </c>
      <c r="N2182" s="143">
        <v>0</v>
      </c>
      <c r="O2182" s="140">
        <v>0.18</v>
      </c>
      <c r="P2182" s="145">
        <f>(Purchase[[#This Row],[Gross Amount]]-Purchase[[#This Row],[Disct %]])*Purchase[[#This Row],[GST %]]</f>
        <v>3248.1</v>
      </c>
      <c r="Q2182" s="145">
        <f>Purchase[[#This Row],[Gross Amount]]-Purchase[[#This Row],[Disct Amnt]]+Purchase[[#This Row],[GST Amount]]</f>
        <v>21293.1</v>
      </c>
      <c r="R2182" s="138" t="s">
        <v>1019</v>
      </c>
      <c r="S2182" s="41">
        <f>IF(Purchase[[#This Row],[Status]]="Cancelled",0,Purchase[[#This Row],[Qty]])</f>
        <v>9</v>
      </c>
      <c r="T2182" s="146">
        <f>IF(Purchase[[#This Row],[Status]]="Cancelled",0,Purchase[[#This Row],[Total Amount]])</f>
        <v>21293.1</v>
      </c>
      <c r="U2182" s="146">
        <f>SUM(Purchase[Net Amount])</f>
        <v>814985438.68000126</v>
      </c>
    </row>
    <row r="2183" spans="1:21" ht="19.5" thickBot="1" x14ac:dyDescent="0.3">
      <c r="A2183" s="136" t="s">
        <v>3239</v>
      </c>
      <c r="B2183" s="137">
        <v>45765</v>
      </c>
      <c r="C2183" s="138" t="s">
        <v>565</v>
      </c>
      <c r="D2183" s="138" t="str">
        <f>VLOOKUP(Purchase[[#This Row],[Supplier ID]],Supplier[#All],2,0)</f>
        <v>Global Suppliers</v>
      </c>
      <c r="E2183" s="138">
        <f>VLOOKUP(Purchase[[#This Row],[Supplier ID]],Supplier[#All],3,0)</f>
        <v>9689542459</v>
      </c>
      <c r="F2183" s="138" t="str">
        <f>VLOOKUP(Purchase[[#This Row],[Supplier ID]],Supplier[#All],4,0)</f>
        <v>Indore</v>
      </c>
      <c r="G2183" s="138" t="str">
        <f>VLOOKUP(Purchase[[#This Row],[Supplier ID]],Supplier[#All],5,0)</f>
        <v>MP</v>
      </c>
      <c r="H2183" s="138" t="str">
        <f>VLOOKUP(Purchase[[#This Row],[Supplier ID]],Supplier[#All],6,0)</f>
        <v>GST2154521T013</v>
      </c>
      <c r="I2183" s="138" t="s">
        <v>398</v>
      </c>
      <c r="J2183" s="139">
        <v>12</v>
      </c>
      <c r="K2183" s="143">
        <f>VLOOKUP(Purchase[[#This Row],[Product ID]],Product[#All],6,0)</f>
        <v>4825</v>
      </c>
      <c r="L2183" s="143">
        <f>Purchase[[#This Row],[Purchase Rate]]*Purchase[[#This Row],[Qty]]</f>
        <v>57900</v>
      </c>
      <c r="M2183" s="140">
        <v>0</v>
      </c>
      <c r="N2183" s="143">
        <v>0</v>
      </c>
      <c r="O2183" s="140">
        <v>0.18</v>
      </c>
      <c r="P2183" s="145">
        <f>(Purchase[[#This Row],[Gross Amount]]-Purchase[[#This Row],[Disct %]])*Purchase[[#This Row],[GST %]]</f>
        <v>10422</v>
      </c>
      <c r="Q2183" s="145">
        <f>Purchase[[#This Row],[Gross Amount]]-Purchase[[#This Row],[Disct Amnt]]+Purchase[[#This Row],[GST Amount]]</f>
        <v>68322</v>
      </c>
      <c r="R2183" s="138" t="s">
        <v>1019</v>
      </c>
      <c r="S2183" s="41">
        <f>IF(Purchase[[#This Row],[Status]]="Cancelled",0,Purchase[[#This Row],[Qty]])</f>
        <v>12</v>
      </c>
      <c r="T2183" s="146">
        <f>IF(Purchase[[#This Row],[Status]]="Cancelled",0,Purchase[[#This Row],[Total Amount]])</f>
        <v>68322</v>
      </c>
      <c r="U2183" s="146">
        <f>SUM(Purchase[Net Amount])</f>
        <v>814985438.68000126</v>
      </c>
    </row>
    <row r="2184" spans="1:21" ht="19.5" thickBot="1" x14ac:dyDescent="0.3">
      <c r="A2184" s="136" t="s">
        <v>3240</v>
      </c>
      <c r="B2184" s="137">
        <v>45765</v>
      </c>
      <c r="C2184" s="138" t="s">
        <v>580</v>
      </c>
      <c r="D2184" s="138" t="str">
        <f>VLOOKUP(Purchase[[#This Row],[Supplier ID]],Supplier[#All],2,0)</f>
        <v>Star Distributors</v>
      </c>
      <c r="E2184" s="138">
        <f>VLOOKUP(Purchase[[#This Row],[Supplier ID]],Supplier[#All],3,0)</f>
        <v>9689542464</v>
      </c>
      <c r="F2184" s="138" t="str">
        <f>VLOOKUP(Purchase[[#This Row],[Supplier ID]],Supplier[#All],4,0)</f>
        <v>Indore</v>
      </c>
      <c r="G2184" s="138" t="str">
        <f>VLOOKUP(Purchase[[#This Row],[Supplier ID]],Supplier[#All],5,0)</f>
        <v>MP</v>
      </c>
      <c r="H2184" s="138" t="str">
        <f>VLOOKUP(Purchase[[#This Row],[Supplier ID]],Supplier[#All],6,0)</f>
        <v>GST2154521T026</v>
      </c>
      <c r="I2184" s="138" t="s">
        <v>526</v>
      </c>
      <c r="J2184" s="139">
        <v>17</v>
      </c>
      <c r="K2184" s="143">
        <f>VLOOKUP(Purchase[[#This Row],[Product ID]],Product[#All],6,0)</f>
        <v>1976</v>
      </c>
      <c r="L2184" s="143">
        <f>Purchase[[#This Row],[Purchase Rate]]*Purchase[[#This Row],[Qty]]</f>
        <v>33592</v>
      </c>
      <c r="M2184" s="140">
        <v>0</v>
      </c>
      <c r="N2184" s="143">
        <v>0</v>
      </c>
      <c r="O2184" s="140">
        <v>0.18</v>
      </c>
      <c r="P2184" s="145">
        <f>(Purchase[[#This Row],[Gross Amount]]-Purchase[[#This Row],[Disct %]])*Purchase[[#This Row],[GST %]]</f>
        <v>6046.5599999999995</v>
      </c>
      <c r="Q2184" s="145">
        <f>Purchase[[#This Row],[Gross Amount]]-Purchase[[#This Row],[Disct Amnt]]+Purchase[[#This Row],[GST Amount]]</f>
        <v>39638.559999999998</v>
      </c>
      <c r="R2184" s="138" t="s">
        <v>1019</v>
      </c>
      <c r="S2184" s="41">
        <f>IF(Purchase[[#This Row],[Status]]="Cancelled",0,Purchase[[#This Row],[Qty]])</f>
        <v>17</v>
      </c>
      <c r="T2184" s="146">
        <f>IF(Purchase[[#This Row],[Status]]="Cancelled",0,Purchase[[#This Row],[Total Amount]])</f>
        <v>39638.559999999998</v>
      </c>
      <c r="U2184" s="146">
        <f>SUM(Purchase[Net Amount])</f>
        <v>814985438.68000126</v>
      </c>
    </row>
    <row r="2185" spans="1:21" ht="19.5" thickBot="1" x14ac:dyDescent="0.3">
      <c r="A2185" s="136" t="s">
        <v>3241</v>
      </c>
      <c r="B2185" s="137">
        <v>45766</v>
      </c>
      <c r="C2185" s="138" t="s">
        <v>607</v>
      </c>
      <c r="D2185" s="138" t="str">
        <f>VLOOKUP(Purchase[[#This Row],[Supplier ID]],Supplier[#All],2,0)</f>
        <v>Global Distributors</v>
      </c>
      <c r="E2185" s="138">
        <f>VLOOKUP(Purchase[[#This Row],[Supplier ID]],Supplier[#All],3,0)</f>
        <v>9689542490</v>
      </c>
      <c r="F2185" s="138" t="str">
        <f>VLOOKUP(Purchase[[#This Row],[Supplier ID]],Supplier[#All],4,0)</f>
        <v>Kanpur</v>
      </c>
      <c r="G2185" s="138" t="str">
        <f>VLOOKUP(Purchase[[#This Row],[Supplier ID]],Supplier[#All],5,0)</f>
        <v>UP</v>
      </c>
      <c r="H2185" s="138" t="str">
        <f>VLOOKUP(Purchase[[#This Row],[Supplier ID]],Supplier[#All],6,0)</f>
        <v>GST2154521T052</v>
      </c>
      <c r="I2185" s="138" t="s">
        <v>417</v>
      </c>
      <c r="J2185" s="139">
        <v>11</v>
      </c>
      <c r="K2185" s="143">
        <f>VLOOKUP(Purchase[[#This Row],[Product ID]],Product[#All],6,0)</f>
        <v>3422</v>
      </c>
      <c r="L2185" s="143">
        <f>Purchase[[#This Row],[Purchase Rate]]*Purchase[[#This Row],[Qty]]</f>
        <v>37642</v>
      </c>
      <c r="M2185" s="140">
        <v>0</v>
      </c>
      <c r="N2185" s="143">
        <v>0</v>
      </c>
      <c r="O2185" s="140">
        <v>0.18</v>
      </c>
      <c r="P2185" s="145">
        <f>(Purchase[[#This Row],[Gross Amount]]-Purchase[[#This Row],[Disct %]])*Purchase[[#This Row],[GST %]]</f>
        <v>6775.5599999999995</v>
      </c>
      <c r="Q2185" s="145">
        <f>Purchase[[#This Row],[Gross Amount]]-Purchase[[#This Row],[Disct Amnt]]+Purchase[[#This Row],[GST Amount]]</f>
        <v>44417.56</v>
      </c>
      <c r="R2185" s="138" t="s">
        <v>1019</v>
      </c>
      <c r="S2185" s="41">
        <f>IF(Purchase[[#This Row],[Status]]="Cancelled",0,Purchase[[#This Row],[Qty]])</f>
        <v>11</v>
      </c>
      <c r="T2185" s="146">
        <f>IF(Purchase[[#This Row],[Status]]="Cancelled",0,Purchase[[#This Row],[Total Amount]])</f>
        <v>44417.56</v>
      </c>
      <c r="U2185" s="146">
        <f>SUM(Purchase[Net Amount])</f>
        <v>814985438.68000126</v>
      </c>
    </row>
    <row r="2186" spans="1:21" ht="19.5" thickBot="1" x14ac:dyDescent="0.3">
      <c r="A2186" s="136" t="s">
        <v>3242</v>
      </c>
      <c r="B2186" s="137">
        <v>45766</v>
      </c>
      <c r="C2186" s="138" t="s">
        <v>570</v>
      </c>
      <c r="D2186" s="138" t="str">
        <f>VLOOKUP(Purchase[[#This Row],[Supplier ID]],Supplier[#All],2,0)</f>
        <v>Prime Traders</v>
      </c>
      <c r="E2186" s="138">
        <f>VLOOKUP(Purchase[[#This Row],[Supplier ID]],Supplier[#All],3,0)</f>
        <v>9689542456</v>
      </c>
      <c r="F2186" s="138" t="str">
        <f>VLOOKUP(Purchase[[#This Row],[Supplier ID]],Supplier[#All],4,0)</f>
        <v>Indore</v>
      </c>
      <c r="G2186" s="138" t="str">
        <f>VLOOKUP(Purchase[[#This Row],[Supplier ID]],Supplier[#All],5,0)</f>
        <v>MP</v>
      </c>
      <c r="H2186" s="138" t="str">
        <f>VLOOKUP(Purchase[[#This Row],[Supplier ID]],Supplier[#All],6,0)</f>
        <v>GST2154521T018</v>
      </c>
      <c r="I2186" s="138" t="s">
        <v>23</v>
      </c>
      <c r="J2186" s="139">
        <v>31</v>
      </c>
      <c r="K2186" s="143">
        <f>VLOOKUP(Purchase[[#This Row],[Product ID]],Product[#All],6,0)</f>
        <v>4851</v>
      </c>
      <c r="L2186" s="143">
        <f>Purchase[[#This Row],[Purchase Rate]]*Purchase[[#This Row],[Qty]]</f>
        <v>150381</v>
      </c>
      <c r="M2186" s="140">
        <v>0</v>
      </c>
      <c r="N2186" s="143">
        <v>0</v>
      </c>
      <c r="O2186" s="140">
        <v>0.18</v>
      </c>
      <c r="P2186" s="145">
        <f>(Purchase[[#This Row],[Gross Amount]]-Purchase[[#This Row],[Disct %]])*Purchase[[#This Row],[GST %]]</f>
        <v>27068.579999999998</v>
      </c>
      <c r="Q2186" s="145">
        <f>Purchase[[#This Row],[Gross Amount]]-Purchase[[#This Row],[Disct Amnt]]+Purchase[[#This Row],[GST Amount]]</f>
        <v>177449.58</v>
      </c>
      <c r="R2186" s="138" t="s">
        <v>1040</v>
      </c>
      <c r="S2186" s="41">
        <f>IF(Purchase[[#This Row],[Status]]="Cancelled",0,Purchase[[#This Row],[Qty]])</f>
        <v>0</v>
      </c>
      <c r="T2186" s="146">
        <f>IF(Purchase[[#This Row],[Status]]="Cancelled",0,Purchase[[#This Row],[Total Amount]])</f>
        <v>0</v>
      </c>
      <c r="U2186" s="146">
        <f>SUM(Purchase[Net Amount])</f>
        <v>814985438.68000126</v>
      </c>
    </row>
    <row r="2187" spans="1:21" ht="19.5" thickBot="1" x14ac:dyDescent="0.3">
      <c r="A2187" s="136" t="s">
        <v>3243</v>
      </c>
      <c r="B2187" s="137">
        <v>45766</v>
      </c>
      <c r="C2187" s="138" t="s">
        <v>588</v>
      </c>
      <c r="D2187" s="138" t="str">
        <f>VLOOKUP(Purchase[[#This Row],[Supplier ID]],Supplier[#All],2,0)</f>
        <v>Star Electronics</v>
      </c>
      <c r="E2187" s="138">
        <f>VLOOKUP(Purchase[[#This Row],[Supplier ID]],Supplier[#All],3,0)</f>
        <v>9689542472</v>
      </c>
      <c r="F2187" s="138" t="str">
        <f>VLOOKUP(Purchase[[#This Row],[Supplier ID]],Supplier[#All],4,0)</f>
        <v>Korba</v>
      </c>
      <c r="G2187" s="138" t="str">
        <f>VLOOKUP(Purchase[[#This Row],[Supplier ID]],Supplier[#All],5,0)</f>
        <v>CG</v>
      </c>
      <c r="H2187" s="138" t="str">
        <f>VLOOKUP(Purchase[[#This Row],[Supplier ID]],Supplier[#All],6,0)</f>
        <v>GST2154521T034</v>
      </c>
      <c r="I2187" s="138" t="s">
        <v>356</v>
      </c>
      <c r="J2187" s="139">
        <v>15</v>
      </c>
      <c r="K2187" s="143">
        <f>VLOOKUP(Purchase[[#This Row],[Product ID]],Product[#All],6,0)</f>
        <v>6914</v>
      </c>
      <c r="L2187" s="143">
        <f>Purchase[[#This Row],[Purchase Rate]]*Purchase[[#This Row],[Qty]]</f>
        <v>103710</v>
      </c>
      <c r="M2187" s="140">
        <v>0</v>
      </c>
      <c r="N2187" s="143">
        <v>0</v>
      </c>
      <c r="O2187" s="140">
        <v>0.18</v>
      </c>
      <c r="P2187" s="145">
        <f>(Purchase[[#This Row],[Gross Amount]]-Purchase[[#This Row],[Disct %]])*Purchase[[#This Row],[GST %]]</f>
        <v>18667.8</v>
      </c>
      <c r="Q2187" s="145">
        <f>Purchase[[#This Row],[Gross Amount]]-Purchase[[#This Row],[Disct Amnt]]+Purchase[[#This Row],[GST Amount]]</f>
        <v>122377.8</v>
      </c>
      <c r="R2187" s="138" t="s">
        <v>1019</v>
      </c>
      <c r="S2187" s="41">
        <f>IF(Purchase[[#This Row],[Status]]="Cancelled",0,Purchase[[#This Row],[Qty]])</f>
        <v>15</v>
      </c>
      <c r="T2187" s="146">
        <f>IF(Purchase[[#This Row],[Status]]="Cancelled",0,Purchase[[#This Row],[Total Amount]])</f>
        <v>122377.8</v>
      </c>
      <c r="U2187" s="146">
        <f>SUM(Purchase[Net Amount])</f>
        <v>814985438.68000126</v>
      </c>
    </row>
    <row r="2188" spans="1:21" ht="19.5" thickBot="1" x14ac:dyDescent="0.3">
      <c r="A2188" s="136" t="s">
        <v>3244</v>
      </c>
      <c r="B2188" s="137">
        <v>45766</v>
      </c>
      <c r="C2188" s="138" t="s">
        <v>602</v>
      </c>
      <c r="D2188" s="138" t="str">
        <f>VLOOKUP(Purchase[[#This Row],[Supplier ID]],Supplier[#All],2,0)</f>
        <v>Maa Computers</v>
      </c>
      <c r="E2188" s="138">
        <f>VLOOKUP(Purchase[[#This Row],[Supplier ID]],Supplier[#All],3,0)</f>
        <v>9689542485</v>
      </c>
      <c r="F2188" s="138" t="str">
        <f>VLOOKUP(Purchase[[#This Row],[Supplier ID]],Supplier[#All],4,0)</f>
        <v>Korba</v>
      </c>
      <c r="G2188" s="138" t="str">
        <f>VLOOKUP(Purchase[[#This Row],[Supplier ID]],Supplier[#All],5,0)</f>
        <v>CG</v>
      </c>
      <c r="H2188" s="138" t="str">
        <f>VLOOKUP(Purchase[[#This Row],[Supplier ID]],Supplier[#All],6,0)</f>
        <v>GST2154521T047</v>
      </c>
      <c r="I2188" s="138" t="s">
        <v>404</v>
      </c>
      <c r="J2188" s="139">
        <v>9</v>
      </c>
      <c r="K2188" s="143">
        <f>VLOOKUP(Purchase[[#This Row],[Product ID]],Product[#All],6,0)</f>
        <v>2655</v>
      </c>
      <c r="L2188" s="143">
        <f>Purchase[[#This Row],[Purchase Rate]]*Purchase[[#This Row],[Qty]]</f>
        <v>23895</v>
      </c>
      <c r="M2188" s="140">
        <v>0</v>
      </c>
      <c r="N2188" s="143">
        <v>0</v>
      </c>
      <c r="O2188" s="140">
        <v>0.18</v>
      </c>
      <c r="P2188" s="145">
        <f>(Purchase[[#This Row],[Gross Amount]]-Purchase[[#This Row],[Disct %]])*Purchase[[#This Row],[GST %]]</f>
        <v>4301.0999999999995</v>
      </c>
      <c r="Q2188" s="145">
        <f>Purchase[[#This Row],[Gross Amount]]-Purchase[[#This Row],[Disct Amnt]]+Purchase[[#This Row],[GST Amount]]</f>
        <v>28196.1</v>
      </c>
      <c r="R2188" s="138" t="s">
        <v>1019</v>
      </c>
      <c r="S2188" s="41">
        <f>IF(Purchase[[#This Row],[Status]]="Cancelled",0,Purchase[[#This Row],[Qty]])</f>
        <v>9</v>
      </c>
      <c r="T2188" s="146">
        <f>IF(Purchase[[#This Row],[Status]]="Cancelled",0,Purchase[[#This Row],[Total Amount]])</f>
        <v>28196.1</v>
      </c>
      <c r="U2188" s="146">
        <f>SUM(Purchase[Net Amount])</f>
        <v>814985438.68000126</v>
      </c>
    </row>
    <row r="2189" spans="1:21" ht="19.5" thickBot="1" x14ac:dyDescent="0.3">
      <c r="A2189" s="136" t="s">
        <v>3245</v>
      </c>
      <c r="B2189" s="137">
        <v>45766</v>
      </c>
      <c r="C2189" s="138" t="s">
        <v>595</v>
      </c>
      <c r="D2189" s="138" t="str">
        <f>VLOOKUP(Purchase[[#This Row],[Supplier ID]],Supplier[#All],2,0)</f>
        <v>Star Computers</v>
      </c>
      <c r="E2189" s="138">
        <f>VLOOKUP(Purchase[[#This Row],[Supplier ID]],Supplier[#All],3,0)</f>
        <v>9689542478</v>
      </c>
      <c r="F2189" s="138" t="str">
        <f>VLOOKUP(Purchase[[#This Row],[Supplier ID]],Supplier[#All],4,0)</f>
        <v>Kanpur</v>
      </c>
      <c r="G2189" s="138" t="str">
        <f>VLOOKUP(Purchase[[#This Row],[Supplier ID]],Supplier[#All],5,0)</f>
        <v>UP</v>
      </c>
      <c r="H2189" s="138" t="str">
        <f>VLOOKUP(Purchase[[#This Row],[Supplier ID]],Supplier[#All],6,0)</f>
        <v>GST2154521T040</v>
      </c>
      <c r="I2189" s="138" t="s">
        <v>375</v>
      </c>
      <c r="J2189" s="139">
        <v>31</v>
      </c>
      <c r="K2189" s="143">
        <f>VLOOKUP(Purchase[[#This Row],[Product ID]],Product[#All],6,0)</f>
        <v>4429</v>
      </c>
      <c r="L2189" s="143">
        <f>Purchase[[#This Row],[Purchase Rate]]*Purchase[[#This Row],[Qty]]</f>
        <v>137299</v>
      </c>
      <c r="M2189" s="140">
        <v>0</v>
      </c>
      <c r="N2189" s="143">
        <v>0</v>
      </c>
      <c r="O2189" s="140">
        <v>0.18</v>
      </c>
      <c r="P2189" s="145">
        <f>(Purchase[[#This Row],[Gross Amount]]-Purchase[[#This Row],[Disct %]])*Purchase[[#This Row],[GST %]]</f>
        <v>24713.82</v>
      </c>
      <c r="Q2189" s="145">
        <f>Purchase[[#This Row],[Gross Amount]]-Purchase[[#This Row],[Disct Amnt]]+Purchase[[#This Row],[GST Amount]]</f>
        <v>162012.82</v>
      </c>
      <c r="R2189" s="138" t="s">
        <v>1019</v>
      </c>
      <c r="S2189" s="41">
        <f>IF(Purchase[[#This Row],[Status]]="Cancelled",0,Purchase[[#This Row],[Qty]])</f>
        <v>31</v>
      </c>
      <c r="T2189" s="146">
        <f>IF(Purchase[[#This Row],[Status]]="Cancelled",0,Purchase[[#This Row],[Total Amount]])</f>
        <v>162012.82</v>
      </c>
      <c r="U2189" s="146">
        <f>SUM(Purchase[Net Amount])</f>
        <v>814985438.68000126</v>
      </c>
    </row>
    <row r="2190" spans="1:21" ht="19.5" thickBot="1" x14ac:dyDescent="0.3">
      <c r="A2190" s="136" t="s">
        <v>3246</v>
      </c>
      <c r="B2190" s="137">
        <v>45766</v>
      </c>
      <c r="C2190" s="138" t="s">
        <v>579</v>
      </c>
      <c r="D2190" s="138" t="str">
        <f>VLOOKUP(Purchase[[#This Row],[Supplier ID]],Supplier[#All],2,0)</f>
        <v>Tech Traders</v>
      </c>
      <c r="E2190" s="138">
        <f>VLOOKUP(Purchase[[#This Row],[Supplier ID]],Supplier[#All],3,0)</f>
        <v>9689542463</v>
      </c>
      <c r="F2190" s="138" t="str">
        <f>VLOOKUP(Purchase[[#This Row],[Supplier ID]],Supplier[#All],4,0)</f>
        <v>Kanpur</v>
      </c>
      <c r="G2190" s="138" t="str">
        <f>VLOOKUP(Purchase[[#This Row],[Supplier ID]],Supplier[#All],5,0)</f>
        <v>UP</v>
      </c>
      <c r="H2190" s="138" t="str">
        <f>VLOOKUP(Purchase[[#This Row],[Supplier ID]],Supplier[#All],6,0)</f>
        <v>GST2154521T025</v>
      </c>
      <c r="I2190" s="138" t="s">
        <v>287</v>
      </c>
      <c r="J2190" s="139">
        <v>20</v>
      </c>
      <c r="K2190" s="143">
        <f>VLOOKUP(Purchase[[#This Row],[Product ID]],Product[#All],6,0)</f>
        <v>1803</v>
      </c>
      <c r="L2190" s="143">
        <f>Purchase[[#This Row],[Purchase Rate]]*Purchase[[#This Row],[Qty]]</f>
        <v>36060</v>
      </c>
      <c r="M2190" s="140">
        <v>0</v>
      </c>
      <c r="N2190" s="143">
        <v>0</v>
      </c>
      <c r="O2190" s="140">
        <v>0.18</v>
      </c>
      <c r="P2190" s="145">
        <f>(Purchase[[#This Row],[Gross Amount]]-Purchase[[#This Row],[Disct %]])*Purchase[[#This Row],[GST %]]</f>
        <v>6490.8</v>
      </c>
      <c r="Q2190" s="145">
        <f>Purchase[[#This Row],[Gross Amount]]-Purchase[[#This Row],[Disct Amnt]]+Purchase[[#This Row],[GST Amount]]</f>
        <v>42550.8</v>
      </c>
      <c r="R2190" s="138" t="s">
        <v>1019</v>
      </c>
      <c r="S2190" s="41">
        <f>IF(Purchase[[#This Row],[Status]]="Cancelled",0,Purchase[[#This Row],[Qty]])</f>
        <v>20</v>
      </c>
      <c r="T2190" s="146">
        <f>IF(Purchase[[#This Row],[Status]]="Cancelled",0,Purchase[[#This Row],[Total Amount]])</f>
        <v>42550.8</v>
      </c>
      <c r="U2190" s="146">
        <f>SUM(Purchase[Net Amount])</f>
        <v>814985438.68000126</v>
      </c>
    </row>
    <row r="2191" spans="1:21" ht="19.5" thickBot="1" x14ac:dyDescent="0.3">
      <c r="A2191" s="136" t="s">
        <v>3247</v>
      </c>
      <c r="B2191" s="137">
        <v>45766</v>
      </c>
      <c r="C2191" s="138" t="s">
        <v>591</v>
      </c>
      <c r="D2191" s="138" t="str">
        <f>VLOOKUP(Purchase[[#This Row],[Supplier ID]],Supplier[#All],2,0)</f>
        <v>Shree Computers</v>
      </c>
      <c r="E2191" s="138">
        <f>VLOOKUP(Purchase[[#This Row],[Supplier ID]],Supplier[#All],3,0)</f>
        <v>9689542475</v>
      </c>
      <c r="F2191" s="138" t="str">
        <f>VLOOKUP(Purchase[[#This Row],[Supplier ID]],Supplier[#All],4,0)</f>
        <v>Indore</v>
      </c>
      <c r="G2191" s="138" t="str">
        <f>VLOOKUP(Purchase[[#This Row],[Supplier ID]],Supplier[#All],5,0)</f>
        <v>MP</v>
      </c>
      <c r="H2191" s="138" t="str">
        <f>VLOOKUP(Purchase[[#This Row],[Supplier ID]],Supplier[#All],6,0)</f>
        <v>GST2154521T037</v>
      </c>
      <c r="I2191" s="138" t="s">
        <v>318</v>
      </c>
      <c r="J2191" s="139">
        <v>6</v>
      </c>
      <c r="K2191" s="143">
        <f>VLOOKUP(Purchase[[#This Row],[Product ID]],Product[#All],6,0)</f>
        <v>24445</v>
      </c>
      <c r="L2191" s="143">
        <f>Purchase[[#This Row],[Purchase Rate]]*Purchase[[#This Row],[Qty]]</f>
        <v>146670</v>
      </c>
      <c r="M2191" s="140">
        <v>0</v>
      </c>
      <c r="N2191" s="143">
        <v>0</v>
      </c>
      <c r="O2191" s="140">
        <v>0.18</v>
      </c>
      <c r="P2191" s="145">
        <f>(Purchase[[#This Row],[Gross Amount]]-Purchase[[#This Row],[Disct %]])*Purchase[[#This Row],[GST %]]</f>
        <v>26400.6</v>
      </c>
      <c r="Q2191" s="145">
        <f>Purchase[[#This Row],[Gross Amount]]-Purchase[[#This Row],[Disct Amnt]]+Purchase[[#This Row],[GST Amount]]</f>
        <v>173070.6</v>
      </c>
      <c r="R2191" s="138" t="s">
        <v>1019</v>
      </c>
      <c r="S2191" s="41">
        <f>IF(Purchase[[#This Row],[Status]]="Cancelled",0,Purchase[[#This Row],[Qty]])</f>
        <v>6</v>
      </c>
      <c r="T2191" s="146">
        <f>IF(Purchase[[#This Row],[Status]]="Cancelled",0,Purchase[[#This Row],[Total Amount]])</f>
        <v>173070.6</v>
      </c>
      <c r="U2191" s="146">
        <f>SUM(Purchase[Net Amount])</f>
        <v>814985438.68000126</v>
      </c>
    </row>
    <row r="2192" spans="1:21" ht="19.5" thickBot="1" x14ac:dyDescent="0.3">
      <c r="A2192" s="136" t="s">
        <v>3248</v>
      </c>
      <c r="B2192" s="137">
        <v>45766</v>
      </c>
      <c r="C2192" s="138" t="s">
        <v>587</v>
      </c>
      <c r="D2192" s="138" t="str">
        <f>VLOOKUP(Purchase[[#This Row],[Supplier ID]],Supplier[#All],2,0)</f>
        <v>maa distributors</v>
      </c>
      <c r="E2192" s="138">
        <f>VLOOKUP(Purchase[[#This Row],[Supplier ID]],Supplier[#All],3,0)</f>
        <v>9689542479</v>
      </c>
      <c r="F2192" s="138" t="str">
        <f>VLOOKUP(Purchase[[#This Row],[Supplier ID]],Supplier[#All],4,0)</f>
        <v>Indore</v>
      </c>
      <c r="G2192" s="138" t="str">
        <f>VLOOKUP(Purchase[[#This Row],[Supplier ID]],Supplier[#All],5,0)</f>
        <v>MP</v>
      </c>
      <c r="H2192" s="138" t="str">
        <f>VLOOKUP(Purchase[[#This Row],[Supplier ID]],Supplier[#All],6,0)</f>
        <v>GST2154521T033</v>
      </c>
      <c r="I2192" s="138" t="s">
        <v>111</v>
      </c>
      <c r="J2192" s="139">
        <v>23</v>
      </c>
      <c r="K2192" s="143">
        <f>VLOOKUP(Purchase[[#This Row],[Product ID]],Product[#All],6,0)</f>
        <v>13173</v>
      </c>
      <c r="L2192" s="143">
        <f>Purchase[[#This Row],[Purchase Rate]]*Purchase[[#This Row],[Qty]]</f>
        <v>302979</v>
      </c>
      <c r="M2192" s="140">
        <v>0</v>
      </c>
      <c r="N2192" s="143">
        <v>0</v>
      </c>
      <c r="O2192" s="140">
        <v>0.18</v>
      </c>
      <c r="P2192" s="145">
        <f>(Purchase[[#This Row],[Gross Amount]]-Purchase[[#This Row],[Disct %]])*Purchase[[#This Row],[GST %]]</f>
        <v>54536.22</v>
      </c>
      <c r="Q2192" s="145">
        <f>Purchase[[#This Row],[Gross Amount]]-Purchase[[#This Row],[Disct Amnt]]+Purchase[[#This Row],[GST Amount]]</f>
        <v>357515.22</v>
      </c>
      <c r="R2192" s="138" t="s">
        <v>1019</v>
      </c>
      <c r="S2192" s="41">
        <f>IF(Purchase[[#This Row],[Status]]="Cancelled",0,Purchase[[#This Row],[Qty]])</f>
        <v>23</v>
      </c>
      <c r="T2192" s="146">
        <f>IF(Purchase[[#This Row],[Status]]="Cancelled",0,Purchase[[#This Row],[Total Amount]])</f>
        <v>357515.22</v>
      </c>
      <c r="U2192" s="146">
        <f>SUM(Purchase[Net Amount])</f>
        <v>814985438.68000126</v>
      </c>
    </row>
    <row r="2193" spans="1:21" ht="19.5" thickBot="1" x14ac:dyDescent="0.3">
      <c r="A2193" s="136" t="s">
        <v>3249</v>
      </c>
      <c r="B2193" s="137">
        <v>45766</v>
      </c>
      <c r="C2193" s="138" t="s">
        <v>611</v>
      </c>
      <c r="D2193" s="138" t="str">
        <f>VLOOKUP(Purchase[[#This Row],[Supplier ID]],Supplier[#All],2,0)</f>
        <v>National Distributors</v>
      </c>
      <c r="E2193" s="138">
        <f>VLOOKUP(Purchase[[#This Row],[Supplier ID]],Supplier[#All],3,0)</f>
        <v>9689542494</v>
      </c>
      <c r="F2193" s="138" t="str">
        <f>VLOOKUP(Purchase[[#This Row],[Supplier ID]],Supplier[#All],4,0)</f>
        <v>Korba</v>
      </c>
      <c r="G2193" s="138" t="str">
        <f>VLOOKUP(Purchase[[#This Row],[Supplier ID]],Supplier[#All],5,0)</f>
        <v>CG</v>
      </c>
      <c r="H2193" s="138" t="str">
        <f>VLOOKUP(Purchase[[#This Row],[Supplier ID]],Supplier[#All],6,0)</f>
        <v>GST2154521T056</v>
      </c>
      <c r="I2193" s="138" t="s">
        <v>426</v>
      </c>
      <c r="J2193" s="139">
        <v>6</v>
      </c>
      <c r="K2193" s="143">
        <f>VLOOKUP(Purchase[[#This Row],[Product ID]],Product[#All],6,0)</f>
        <v>4401</v>
      </c>
      <c r="L2193" s="143">
        <f>Purchase[[#This Row],[Purchase Rate]]*Purchase[[#This Row],[Qty]]</f>
        <v>26406</v>
      </c>
      <c r="M2193" s="140">
        <v>0</v>
      </c>
      <c r="N2193" s="143">
        <v>0</v>
      </c>
      <c r="O2193" s="140">
        <v>0.18</v>
      </c>
      <c r="P2193" s="145">
        <f>(Purchase[[#This Row],[Gross Amount]]-Purchase[[#This Row],[Disct %]])*Purchase[[#This Row],[GST %]]</f>
        <v>4753.08</v>
      </c>
      <c r="Q2193" s="145">
        <f>Purchase[[#This Row],[Gross Amount]]-Purchase[[#This Row],[Disct Amnt]]+Purchase[[#This Row],[GST Amount]]</f>
        <v>31159.08</v>
      </c>
      <c r="R2193" s="138" t="s">
        <v>1019</v>
      </c>
      <c r="S2193" s="41">
        <f>IF(Purchase[[#This Row],[Status]]="Cancelled",0,Purchase[[#This Row],[Qty]])</f>
        <v>6</v>
      </c>
      <c r="T2193" s="146">
        <f>IF(Purchase[[#This Row],[Status]]="Cancelled",0,Purchase[[#This Row],[Total Amount]])</f>
        <v>31159.08</v>
      </c>
      <c r="U2193" s="146">
        <f>SUM(Purchase[Net Amount])</f>
        <v>814985438.68000126</v>
      </c>
    </row>
    <row r="2194" spans="1:21" ht="19.5" thickBot="1" x14ac:dyDescent="0.3">
      <c r="A2194" s="136" t="s">
        <v>3250</v>
      </c>
      <c r="B2194" s="137">
        <v>45766</v>
      </c>
      <c r="C2194" s="138" t="s">
        <v>588</v>
      </c>
      <c r="D2194" s="138" t="str">
        <f>VLOOKUP(Purchase[[#This Row],[Supplier ID]],Supplier[#All],2,0)</f>
        <v>Star Electronics</v>
      </c>
      <c r="E2194" s="138">
        <f>VLOOKUP(Purchase[[#This Row],[Supplier ID]],Supplier[#All],3,0)</f>
        <v>9689542472</v>
      </c>
      <c r="F2194" s="138" t="str">
        <f>VLOOKUP(Purchase[[#This Row],[Supplier ID]],Supplier[#All],4,0)</f>
        <v>Korba</v>
      </c>
      <c r="G2194" s="138" t="str">
        <f>VLOOKUP(Purchase[[#This Row],[Supplier ID]],Supplier[#All],5,0)</f>
        <v>CG</v>
      </c>
      <c r="H2194" s="138" t="str">
        <f>VLOOKUP(Purchase[[#This Row],[Supplier ID]],Supplier[#All],6,0)</f>
        <v>GST2154521T034</v>
      </c>
      <c r="I2194" s="138" t="s">
        <v>109</v>
      </c>
      <c r="J2194" s="139">
        <v>27</v>
      </c>
      <c r="K2194" s="143">
        <f>VLOOKUP(Purchase[[#This Row],[Product ID]],Product[#All],6,0)</f>
        <v>1796</v>
      </c>
      <c r="L2194" s="143">
        <f>Purchase[[#This Row],[Purchase Rate]]*Purchase[[#This Row],[Qty]]</f>
        <v>48492</v>
      </c>
      <c r="M2194" s="140">
        <v>0</v>
      </c>
      <c r="N2194" s="143">
        <v>0</v>
      </c>
      <c r="O2194" s="140">
        <v>0.18</v>
      </c>
      <c r="P2194" s="145">
        <f>(Purchase[[#This Row],[Gross Amount]]-Purchase[[#This Row],[Disct %]])*Purchase[[#This Row],[GST %]]</f>
        <v>8728.56</v>
      </c>
      <c r="Q2194" s="145">
        <f>Purchase[[#This Row],[Gross Amount]]-Purchase[[#This Row],[Disct Amnt]]+Purchase[[#This Row],[GST Amount]]</f>
        <v>57220.56</v>
      </c>
      <c r="R2194" s="138" t="s">
        <v>1019</v>
      </c>
      <c r="S2194" s="41">
        <f>IF(Purchase[[#This Row],[Status]]="Cancelled",0,Purchase[[#This Row],[Qty]])</f>
        <v>27</v>
      </c>
      <c r="T2194" s="146">
        <f>IF(Purchase[[#This Row],[Status]]="Cancelled",0,Purchase[[#This Row],[Total Amount]])</f>
        <v>57220.56</v>
      </c>
      <c r="U2194" s="146">
        <f>SUM(Purchase[Net Amount])</f>
        <v>814985438.68000126</v>
      </c>
    </row>
    <row r="2195" spans="1:21" ht="19.5" thickBot="1" x14ac:dyDescent="0.3">
      <c r="A2195" s="136" t="s">
        <v>3251</v>
      </c>
      <c r="B2195" s="137">
        <v>45766</v>
      </c>
      <c r="C2195" s="138" t="s">
        <v>596</v>
      </c>
      <c r="D2195" s="138" t="str">
        <f>VLOOKUP(Purchase[[#This Row],[Supplier ID]],Supplier[#All],2,0)</f>
        <v>star traders</v>
      </c>
      <c r="E2195" s="138">
        <f>VLOOKUP(Purchase[[#This Row],[Supplier ID]],Supplier[#All],3,0)</f>
        <v>9689542479</v>
      </c>
      <c r="F2195" s="138" t="str">
        <f>VLOOKUP(Purchase[[#This Row],[Supplier ID]],Supplier[#All],4,0)</f>
        <v>Korba</v>
      </c>
      <c r="G2195" s="138" t="str">
        <f>VLOOKUP(Purchase[[#This Row],[Supplier ID]],Supplier[#All],5,0)</f>
        <v>CG</v>
      </c>
      <c r="H2195" s="138" t="str">
        <f>VLOOKUP(Purchase[[#This Row],[Supplier ID]],Supplier[#All],6,0)</f>
        <v>GST2154521T041</v>
      </c>
      <c r="I2195" s="138" t="s">
        <v>186</v>
      </c>
      <c r="J2195" s="139">
        <v>19</v>
      </c>
      <c r="K2195" s="143">
        <f>VLOOKUP(Purchase[[#This Row],[Product ID]],Product[#All],6,0)</f>
        <v>9529</v>
      </c>
      <c r="L2195" s="143">
        <f>Purchase[[#This Row],[Purchase Rate]]*Purchase[[#This Row],[Qty]]</f>
        <v>181051</v>
      </c>
      <c r="M2195" s="140">
        <v>0</v>
      </c>
      <c r="N2195" s="143">
        <v>0</v>
      </c>
      <c r="O2195" s="140">
        <v>0.18</v>
      </c>
      <c r="P2195" s="145">
        <f>(Purchase[[#This Row],[Gross Amount]]-Purchase[[#This Row],[Disct %]])*Purchase[[#This Row],[GST %]]</f>
        <v>32589.18</v>
      </c>
      <c r="Q2195" s="145">
        <f>Purchase[[#This Row],[Gross Amount]]-Purchase[[#This Row],[Disct Amnt]]+Purchase[[#This Row],[GST Amount]]</f>
        <v>213640.18</v>
      </c>
      <c r="R2195" s="138" t="s">
        <v>1019</v>
      </c>
      <c r="S2195" s="41">
        <f>IF(Purchase[[#This Row],[Status]]="Cancelled",0,Purchase[[#This Row],[Qty]])</f>
        <v>19</v>
      </c>
      <c r="T2195" s="146">
        <f>IF(Purchase[[#This Row],[Status]]="Cancelled",0,Purchase[[#This Row],[Total Amount]])</f>
        <v>213640.18</v>
      </c>
      <c r="U2195" s="146">
        <f>SUM(Purchase[Net Amount])</f>
        <v>814985438.68000126</v>
      </c>
    </row>
    <row r="2196" spans="1:21" ht="19.5" thickBot="1" x14ac:dyDescent="0.3">
      <c r="A2196" s="136" t="s">
        <v>3252</v>
      </c>
      <c r="B2196" s="137">
        <v>45766</v>
      </c>
      <c r="C2196" s="138" t="s">
        <v>598</v>
      </c>
      <c r="D2196" s="138" t="str">
        <f>VLOOKUP(Purchase[[#This Row],[Supplier ID]],Supplier[#All],2,0)</f>
        <v>National Distributors</v>
      </c>
      <c r="E2196" s="138">
        <f>VLOOKUP(Purchase[[#This Row],[Supplier ID]],Supplier[#All],3,0)</f>
        <v>9689542489</v>
      </c>
      <c r="F2196" s="138" t="str">
        <f>VLOOKUP(Purchase[[#This Row],[Supplier ID]],Supplier[#All],4,0)</f>
        <v>Indore</v>
      </c>
      <c r="G2196" s="138" t="str">
        <f>VLOOKUP(Purchase[[#This Row],[Supplier ID]],Supplier[#All],5,0)</f>
        <v>MP</v>
      </c>
      <c r="H2196" s="138" t="str">
        <f>VLOOKUP(Purchase[[#This Row],[Supplier ID]],Supplier[#All],6,0)</f>
        <v>GST2154521T043</v>
      </c>
      <c r="I2196" s="138" t="s">
        <v>319</v>
      </c>
      <c r="J2196" s="139">
        <v>37</v>
      </c>
      <c r="K2196" s="143">
        <f>VLOOKUP(Purchase[[#This Row],[Product ID]],Product[#All],6,0)</f>
        <v>8807</v>
      </c>
      <c r="L2196" s="143">
        <f>Purchase[[#This Row],[Purchase Rate]]*Purchase[[#This Row],[Qty]]</f>
        <v>325859</v>
      </c>
      <c r="M2196" s="140">
        <v>0</v>
      </c>
      <c r="N2196" s="143">
        <v>0</v>
      </c>
      <c r="O2196" s="140">
        <v>0.18</v>
      </c>
      <c r="P2196" s="145">
        <f>(Purchase[[#This Row],[Gross Amount]]-Purchase[[#This Row],[Disct %]])*Purchase[[#This Row],[GST %]]</f>
        <v>58654.619999999995</v>
      </c>
      <c r="Q2196" s="145">
        <f>Purchase[[#This Row],[Gross Amount]]-Purchase[[#This Row],[Disct Amnt]]+Purchase[[#This Row],[GST Amount]]</f>
        <v>384513.62</v>
      </c>
      <c r="R2196" s="138" t="s">
        <v>1019</v>
      </c>
      <c r="S2196" s="41">
        <f>IF(Purchase[[#This Row],[Status]]="Cancelled",0,Purchase[[#This Row],[Qty]])</f>
        <v>37</v>
      </c>
      <c r="T2196" s="146">
        <f>IF(Purchase[[#This Row],[Status]]="Cancelled",0,Purchase[[#This Row],[Total Amount]])</f>
        <v>384513.62</v>
      </c>
      <c r="U2196" s="146">
        <f>SUM(Purchase[Net Amount])</f>
        <v>814985438.68000126</v>
      </c>
    </row>
    <row r="2197" spans="1:21" ht="19.5" thickBot="1" x14ac:dyDescent="0.3">
      <c r="A2197" s="136" t="s">
        <v>3253</v>
      </c>
      <c r="B2197" s="137">
        <v>45766</v>
      </c>
      <c r="C2197" s="138" t="s">
        <v>603</v>
      </c>
      <c r="D2197" s="138" t="str">
        <f>VLOOKUP(Purchase[[#This Row],[Supplier ID]],Supplier[#All],2,0)</f>
        <v>Tech Computers</v>
      </c>
      <c r="E2197" s="138">
        <f>VLOOKUP(Purchase[[#This Row],[Supplier ID]],Supplier[#All],3,0)</f>
        <v>9689542486</v>
      </c>
      <c r="F2197" s="138" t="str">
        <f>VLOOKUP(Purchase[[#This Row],[Supplier ID]],Supplier[#All],4,0)</f>
        <v>Indore</v>
      </c>
      <c r="G2197" s="138" t="str">
        <f>VLOOKUP(Purchase[[#This Row],[Supplier ID]],Supplier[#All],5,0)</f>
        <v>MP</v>
      </c>
      <c r="H2197" s="138" t="str">
        <f>VLOOKUP(Purchase[[#This Row],[Supplier ID]],Supplier[#All],6,0)</f>
        <v>GST2154521T048</v>
      </c>
      <c r="I2197" s="138" t="s">
        <v>182</v>
      </c>
      <c r="J2197" s="139">
        <v>9</v>
      </c>
      <c r="K2197" s="143">
        <f>VLOOKUP(Purchase[[#This Row],[Product ID]],Product[#All],6,0)</f>
        <v>8348</v>
      </c>
      <c r="L2197" s="143">
        <f>Purchase[[#This Row],[Purchase Rate]]*Purchase[[#This Row],[Qty]]</f>
        <v>75132</v>
      </c>
      <c r="M2197" s="140">
        <v>0</v>
      </c>
      <c r="N2197" s="143">
        <v>0</v>
      </c>
      <c r="O2197" s="140">
        <v>0.18</v>
      </c>
      <c r="P2197" s="145">
        <f>(Purchase[[#This Row],[Gross Amount]]-Purchase[[#This Row],[Disct %]])*Purchase[[#This Row],[GST %]]</f>
        <v>13523.76</v>
      </c>
      <c r="Q2197" s="145">
        <f>Purchase[[#This Row],[Gross Amount]]-Purchase[[#This Row],[Disct Amnt]]+Purchase[[#This Row],[GST Amount]]</f>
        <v>88655.76</v>
      </c>
      <c r="R2197" s="138" t="s">
        <v>1019</v>
      </c>
      <c r="S2197" s="41">
        <f>IF(Purchase[[#This Row],[Status]]="Cancelled",0,Purchase[[#This Row],[Qty]])</f>
        <v>9</v>
      </c>
      <c r="T2197" s="146">
        <f>IF(Purchase[[#This Row],[Status]]="Cancelled",0,Purchase[[#This Row],[Total Amount]])</f>
        <v>88655.76</v>
      </c>
      <c r="U2197" s="146">
        <f>SUM(Purchase[Net Amount])</f>
        <v>814985438.68000126</v>
      </c>
    </row>
    <row r="2198" spans="1:21" ht="19.5" thickBot="1" x14ac:dyDescent="0.3">
      <c r="A2198" s="136" t="s">
        <v>3254</v>
      </c>
      <c r="B2198" s="137">
        <v>45766</v>
      </c>
      <c r="C2198" s="138" t="s">
        <v>589</v>
      </c>
      <c r="D2198" s="138" t="str">
        <f>VLOOKUP(Purchase[[#This Row],[Supplier ID]],Supplier[#All],2,0)</f>
        <v>Maa Computers</v>
      </c>
      <c r="E2198" s="138">
        <f>VLOOKUP(Purchase[[#This Row],[Supplier ID]],Supplier[#All],3,0)</f>
        <v>9689542473</v>
      </c>
      <c r="F2198" s="138" t="str">
        <f>VLOOKUP(Purchase[[#This Row],[Supplier ID]],Supplier[#All],4,0)</f>
        <v>Kanpur</v>
      </c>
      <c r="G2198" s="138" t="str">
        <f>VLOOKUP(Purchase[[#This Row],[Supplier ID]],Supplier[#All],5,0)</f>
        <v>UP</v>
      </c>
      <c r="H2198" s="138" t="str">
        <f>VLOOKUP(Purchase[[#This Row],[Supplier ID]],Supplier[#All],6,0)</f>
        <v>GST2154521T035</v>
      </c>
      <c r="I2198" s="138" t="s">
        <v>61</v>
      </c>
      <c r="J2198" s="139">
        <v>17</v>
      </c>
      <c r="K2198" s="143">
        <f>VLOOKUP(Purchase[[#This Row],[Product ID]],Product[#All],6,0)</f>
        <v>2704</v>
      </c>
      <c r="L2198" s="143">
        <f>Purchase[[#This Row],[Purchase Rate]]*Purchase[[#This Row],[Qty]]</f>
        <v>45968</v>
      </c>
      <c r="M2198" s="140">
        <v>0</v>
      </c>
      <c r="N2198" s="143">
        <v>0</v>
      </c>
      <c r="O2198" s="140">
        <v>0.18</v>
      </c>
      <c r="P2198" s="145">
        <f>(Purchase[[#This Row],[Gross Amount]]-Purchase[[#This Row],[Disct %]])*Purchase[[#This Row],[GST %]]</f>
        <v>8274.24</v>
      </c>
      <c r="Q2198" s="145">
        <f>Purchase[[#This Row],[Gross Amount]]-Purchase[[#This Row],[Disct Amnt]]+Purchase[[#This Row],[GST Amount]]</f>
        <v>54242.239999999998</v>
      </c>
      <c r="R2198" s="138" t="s">
        <v>1019</v>
      </c>
      <c r="S2198" s="41">
        <f>IF(Purchase[[#This Row],[Status]]="Cancelled",0,Purchase[[#This Row],[Qty]])</f>
        <v>17</v>
      </c>
      <c r="T2198" s="146">
        <f>IF(Purchase[[#This Row],[Status]]="Cancelled",0,Purchase[[#This Row],[Total Amount]])</f>
        <v>54242.239999999998</v>
      </c>
      <c r="U2198" s="146">
        <f>SUM(Purchase[Net Amount])</f>
        <v>814985438.68000126</v>
      </c>
    </row>
    <row r="2199" spans="1:21" ht="19.5" thickBot="1" x14ac:dyDescent="0.3">
      <c r="A2199" s="136" t="s">
        <v>3255</v>
      </c>
      <c r="B2199" s="137">
        <v>45766</v>
      </c>
      <c r="C2199" s="138" t="s">
        <v>612</v>
      </c>
      <c r="D2199" s="138" t="str">
        <f>VLOOKUP(Purchase[[#This Row],[Supplier ID]],Supplier[#All],2,0)</f>
        <v>National Computers</v>
      </c>
      <c r="E2199" s="138">
        <f>VLOOKUP(Purchase[[#This Row],[Supplier ID]],Supplier[#All],3,0)</f>
        <v>9689542495</v>
      </c>
      <c r="F2199" s="138" t="str">
        <f>VLOOKUP(Purchase[[#This Row],[Supplier ID]],Supplier[#All],4,0)</f>
        <v>Indore</v>
      </c>
      <c r="G2199" s="138" t="str">
        <f>VLOOKUP(Purchase[[#This Row],[Supplier ID]],Supplier[#All],5,0)</f>
        <v>MP</v>
      </c>
      <c r="H2199" s="138" t="str">
        <f>VLOOKUP(Purchase[[#This Row],[Supplier ID]],Supplier[#All],6,0)</f>
        <v>GST2154521T057</v>
      </c>
      <c r="I2199" s="138" t="s">
        <v>439</v>
      </c>
      <c r="J2199" s="139">
        <v>23</v>
      </c>
      <c r="K2199" s="143">
        <f>VLOOKUP(Purchase[[#This Row],[Product ID]],Product[#All],6,0)</f>
        <v>73027</v>
      </c>
      <c r="L2199" s="143">
        <f>Purchase[[#This Row],[Purchase Rate]]*Purchase[[#This Row],[Qty]]</f>
        <v>1679621</v>
      </c>
      <c r="M2199" s="140">
        <v>0</v>
      </c>
      <c r="N2199" s="143">
        <v>0</v>
      </c>
      <c r="O2199" s="140">
        <v>0.18</v>
      </c>
      <c r="P2199" s="145">
        <f>(Purchase[[#This Row],[Gross Amount]]-Purchase[[#This Row],[Disct %]])*Purchase[[#This Row],[GST %]]</f>
        <v>302331.77999999997</v>
      </c>
      <c r="Q2199" s="145">
        <f>Purchase[[#This Row],[Gross Amount]]-Purchase[[#This Row],[Disct Amnt]]+Purchase[[#This Row],[GST Amount]]</f>
        <v>1981952.78</v>
      </c>
      <c r="R2199" s="138" t="s">
        <v>1019</v>
      </c>
      <c r="S2199" s="41">
        <f>IF(Purchase[[#This Row],[Status]]="Cancelled",0,Purchase[[#This Row],[Qty]])</f>
        <v>23</v>
      </c>
      <c r="T2199" s="146">
        <f>IF(Purchase[[#This Row],[Status]]="Cancelled",0,Purchase[[#This Row],[Total Amount]])</f>
        <v>1981952.78</v>
      </c>
      <c r="U2199" s="146">
        <f>SUM(Purchase[Net Amount])</f>
        <v>814985438.68000126</v>
      </c>
    </row>
    <row r="2200" spans="1:21" ht="19.5" thickBot="1" x14ac:dyDescent="0.3">
      <c r="A2200" s="136" t="s">
        <v>3256</v>
      </c>
      <c r="B2200" s="137">
        <v>45766</v>
      </c>
      <c r="C2200" s="138" t="s">
        <v>598</v>
      </c>
      <c r="D2200" s="138" t="str">
        <f>VLOOKUP(Purchase[[#This Row],[Supplier ID]],Supplier[#All],2,0)</f>
        <v>National Distributors</v>
      </c>
      <c r="E2200" s="138">
        <f>VLOOKUP(Purchase[[#This Row],[Supplier ID]],Supplier[#All],3,0)</f>
        <v>9689542489</v>
      </c>
      <c r="F2200" s="138" t="str">
        <f>VLOOKUP(Purchase[[#This Row],[Supplier ID]],Supplier[#All],4,0)</f>
        <v>Indore</v>
      </c>
      <c r="G2200" s="138" t="str">
        <f>VLOOKUP(Purchase[[#This Row],[Supplier ID]],Supplier[#All],5,0)</f>
        <v>MP</v>
      </c>
      <c r="H2200" s="138" t="str">
        <f>VLOOKUP(Purchase[[#This Row],[Supplier ID]],Supplier[#All],6,0)</f>
        <v>GST2154521T043</v>
      </c>
      <c r="I2200" s="138" t="s">
        <v>57</v>
      </c>
      <c r="J2200" s="139">
        <v>35</v>
      </c>
      <c r="K2200" s="143">
        <f>VLOOKUP(Purchase[[#This Row],[Product ID]],Product[#All],6,0)</f>
        <v>45619</v>
      </c>
      <c r="L2200" s="143">
        <f>Purchase[[#This Row],[Purchase Rate]]*Purchase[[#This Row],[Qty]]</f>
        <v>1596665</v>
      </c>
      <c r="M2200" s="140">
        <v>0</v>
      </c>
      <c r="N2200" s="143">
        <v>0</v>
      </c>
      <c r="O2200" s="140">
        <v>0.18</v>
      </c>
      <c r="P2200" s="145">
        <f>(Purchase[[#This Row],[Gross Amount]]-Purchase[[#This Row],[Disct %]])*Purchase[[#This Row],[GST %]]</f>
        <v>287399.7</v>
      </c>
      <c r="Q2200" s="145">
        <f>Purchase[[#This Row],[Gross Amount]]-Purchase[[#This Row],[Disct Amnt]]+Purchase[[#This Row],[GST Amount]]</f>
        <v>1884064.7</v>
      </c>
      <c r="R2200" s="138" t="s">
        <v>1019</v>
      </c>
      <c r="S2200" s="41">
        <f>IF(Purchase[[#This Row],[Status]]="Cancelled",0,Purchase[[#This Row],[Qty]])</f>
        <v>35</v>
      </c>
      <c r="T2200" s="146">
        <f>IF(Purchase[[#This Row],[Status]]="Cancelled",0,Purchase[[#This Row],[Total Amount]])</f>
        <v>1884064.7</v>
      </c>
      <c r="U2200" s="146">
        <f>SUM(Purchase[Net Amount])</f>
        <v>814985438.68000126</v>
      </c>
    </row>
    <row r="2201" spans="1:21" ht="19.5" thickBot="1" x14ac:dyDescent="0.3">
      <c r="A2201" s="136" t="s">
        <v>3257</v>
      </c>
      <c r="B2201" s="137">
        <v>45766</v>
      </c>
      <c r="C2201" s="138" t="s">
        <v>565</v>
      </c>
      <c r="D2201" s="138" t="str">
        <f>VLOOKUP(Purchase[[#This Row],[Supplier ID]],Supplier[#All],2,0)</f>
        <v>Global Suppliers</v>
      </c>
      <c r="E2201" s="138">
        <f>VLOOKUP(Purchase[[#This Row],[Supplier ID]],Supplier[#All],3,0)</f>
        <v>9689542459</v>
      </c>
      <c r="F2201" s="138" t="str">
        <f>VLOOKUP(Purchase[[#This Row],[Supplier ID]],Supplier[#All],4,0)</f>
        <v>Indore</v>
      </c>
      <c r="G2201" s="138" t="str">
        <f>VLOOKUP(Purchase[[#This Row],[Supplier ID]],Supplier[#All],5,0)</f>
        <v>MP</v>
      </c>
      <c r="H2201" s="138" t="str">
        <f>VLOOKUP(Purchase[[#This Row],[Supplier ID]],Supplier[#All],6,0)</f>
        <v>GST2154521T013</v>
      </c>
      <c r="I2201" s="138" t="s">
        <v>269</v>
      </c>
      <c r="J2201" s="139">
        <v>9</v>
      </c>
      <c r="K2201" s="143">
        <f>VLOOKUP(Purchase[[#This Row],[Product ID]],Product[#All],6,0)</f>
        <v>8657</v>
      </c>
      <c r="L2201" s="143">
        <f>Purchase[[#This Row],[Purchase Rate]]*Purchase[[#This Row],[Qty]]</f>
        <v>77913</v>
      </c>
      <c r="M2201" s="140">
        <v>0</v>
      </c>
      <c r="N2201" s="143">
        <v>0</v>
      </c>
      <c r="O2201" s="140">
        <v>0.18</v>
      </c>
      <c r="P2201" s="145">
        <f>(Purchase[[#This Row],[Gross Amount]]-Purchase[[#This Row],[Disct %]])*Purchase[[#This Row],[GST %]]</f>
        <v>14024.34</v>
      </c>
      <c r="Q2201" s="145">
        <f>Purchase[[#This Row],[Gross Amount]]-Purchase[[#This Row],[Disct Amnt]]+Purchase[[#This Row],[GST Amount]]</f>
        <v>91937.34</v>
      </c>
      <c r="R2201" s="138" t="s">
        <v>1019</v>
      </c>
      <c r="S2201" s="41">
        <f>IF(Purchase[[#This Row],[Status]]="Cancelled",0,Purchase[[#This Row],[Qty]])</f>
        <v>9</v>
      </c>
      <c r="T2201" s="146">
        <f>IF(Purchase[[#This Row],[Status]]="Cancelled",0,Purchase[[#This Row],[Total Amount]])</f>
        <v>91937.34</v>
      </c>
      <c r="U2201" s="146">
        <f>SUM(Purchase[Net Amount])</f>
        <v>814985438.68000126</v>
      </c>
    </row>
    <row r="2202" spans="1:21" ht="19.5" thickBot="1" x14ac:dyDescent="0.3">
      <c r="A2202" s="136" t="s">
        <v>3258</v>
      </c>
      <c r="B2202" s="137">
        <v>45766</v>
      </c>
      <c r="C2202" s="138" t="s">
        <v>579</v>
      </c>
      <c r="D2202" s="138" t="str">
        <f>VLOOKUP(Purchase[[#This Row],[Supplier ID]],Supplier[#All],2,0)</f>
        <v>Tech Traders</v>
      </c>
      <c r="E2202" s="138">
        <f>VLOOKUP(Purchase[[#This Row],[Supplier ID]],Supplier[#All],3,0)</f>
        <v>9689542463</v>
      </c>
      <c r="F2202" s="138" t="str">
        <f>VLOOKUP(Purchase[[#This Row],[Supplier ID]],Supplier[#All],4,0)</f>
        <v>Kanpur</v>
      </c>
      <c r="G2202" s="138" t="str">
        <f>VLOOKUP(Purchase[[#This Row],[Supplier ID]],Supplier[#All],5,0)</f>
        <v>UP</v>
      </c>
      <c r="H2202" s="138" t="str">
        <f>VLOOKUP(Purchase[[#This Row],[Supplier ID]],Supplier[#All],6,0)</f>
        <v>GST2154521T025</v>
      </c>
      <c r="I2202" s="138" t="s">
        <v>322</v>
      </c>
      <c r="J2202" s="139">
        <v>37</v>
      </c>
      <c r="K2202" s="143">
        <f>VLOOKUP(Purchase[[#This Row],[Product ID]],Product[#All],6,0)</f>
        <v>8005</v>
      </c>
      <c r="L2202" s="143">
        <f>Purchase[[#This Row],[Purchase Rate]]*Purchase[[#This Row],[Qty]]</f>
        <v>296185</v>
      </c>
      <c r="M2202" s="140">
        <v>0</v>
      </c>
      <c r="N2202" s="143">
        <v>0</v>
      </c>
      <c r="O2202" s="140">
        <v>0.18</v>
      </c>
      <c r="P2202" s="145">
        <f>(Purchase[[#This Row],[Gross Amount]]-Purchase[[#This Row],[Disct %]])*Purchase[[#This Row],[GST %]]</f>
        <v>53313.299999999996</v>
      </c>
      <c r="Q2202" s="145">
        <f>Purchase[[#This Row],[Gross Amount]]-Purchase[[#This Row],[Disct Amnt]]+Purchase[[#This Row],[GST Amount]]</f>
        <v>349498.3</v>
      </c>
      <c r="R2202" s="138" t="s">
        <v>1019</v>
      </c>
      <c r="S2202" s="41">
        <f>IF(Purchase[[#This Row],[Status]]="Cancelled",0,Purchase[[#This Row],[Qty]])</f>
        <v>37</v>
      </c>
      <c r="T2202" s="146">
        <f>IF(Purchase[[#This Row],[Status]]="Cancelled",0,Purchase[[#This Row],[Total Amount]])</f>
        <v>349498.3</v>
      </c>
      <c r="U2202" s="146">
        <f>SUM(Purchase[Net Amount])</f>
        <v>814985438.68000126</v>
      </c>
    </row>
    <row r="2203" spans="1:21" ht="19.5" thickBot="1" x14ac:dyDescent="0.3">
      <c r="A2203" s="136" t="s">
        <v>3259</v>
      </c>
      <c r="B2203" s="137">
        <v>45766</v>
      </c>
      <c r="C2203" s="138" t="s">
        <v>567</v>
      </c>
      <c r="D2203" s="138" t="str">
        <f>VLOOKUP(Purchase[[#This Row],[Supplier ID]],Supplier[#All],2,0)</f>
        <v>National Distributors</v>
      </c>
      <c r="E2203" s="138">
        <f>VLOOKUP(Purchase[[#This Row],[Supplier ID]],Supplier[#All],3,0)</f>
        <v>9689542453</v>
      </c>
      <c r="F2203" s="138" t="str">
        <f>VLOOKUP(Purchase[[#This Row],[Supplier ID]],Supplier[#All],4,0)</f>
        <v>Korba</v>
      </c>
      <c r="G2203" s="138" t="str">
        <f>VLOOKUP(Purchase[[#This Row],[Supplier ID]],Supplier[#All],5,0)</f>
        <v>CG</v>
      </c>
      <c r="H2203" s="138" t="str">
        <f>VLOOKUP(Purchase[[#This Row],[Supplier ID]],Supplier[#All],6,0)</f>
        <v>GST2154521T015</v>
      </c>
      <c r="I2203" s="138" t="s">
        <v>26</v>
      </c>
      <c r="J2203" s="139">
        <v>15</v>
      </c>
      <c r="K2203" s="143">
        <f>VLOOKUP(Purchase[[#This Row],[Product ID]],Product[#All],6,0)</f>
        <v>18890</v>
      </c>
      <c r="L2203" s="143">
        <f>Purchase[[#This Row],[Purchase Rate]]*Purchase[[#This Row],[Qty]]</f>
        <v>283350</v>
      </c>
      <c r="M2203" s="140">
        <v>0</v>
      </c>
      <c r="N2203" s="143">
        <v>0</v>
      </c>
      <c r="O2203" s="140">
        <v>0.18</v>
      </c>
      <c r="P2203" s="145">
        <f>(Purchase[[#This Row],[Gross Amount]]-Purchase[[#This Row],[Disct %]])*Purchase[[#This Row],[GST %]]</f>
        <v>51003</v>
      </c>
      <c r="Q2203" s="145">
        <f>Purchase[[#This Row],[Gross Amount]]-Purchase[[#This Row],[Disct Amnt]]+Purchase[[#This Row],[GST Amount]]</f>
        <v>334353</v>
      </c>
      <c r="R2203" s="138" t="s">
        <v>1019</v>
      </c>
      <c r="S2203" s="41">
        <f>IF(Purchase[[#This Row],[Status]]="Cancelled",0,Purchase[[#This Row],[Qty]])</f>
        <v>15</v>
      </c>
      <c r="T2203" s="146">
        <f>IF(Purchase[[#This Row],[Status]]="Cancelled",0,Purchase[[#This Row],[Total Amount]])</f>
        <v>334353</v>
      </c>
      <c r="U2203" s="146">
        <f>SUM(Purchase[Net Amount])</f>
        <v>814985438.68000126</v>
      </c>
    </row>
    <row r="2204" spans="1:21" ht="19.5" thickBot="1" x14ac:dyDescent="0.3">
      <c r="A2204" s="136" t="s">
        <v>3260</v>
      </c>
      <c r="B2204" s="137">
        <v>45766</v>
      </c>
      <c r="C2204" s="138" t="s">
        <v>611</v>
      </c>
      <c r="D2204" s="138" t="str">
        <f>VLOOKUP(Purchase[[#This Row],[Supplier ID]],Supplier[#All],2,0)</f>
        <v>National Distributors</v>
      </c>
      <c r="E2204" s="138">
        <f>VLOOKUP(Purchase[[#This Row],[Supplier ID]],Supplier[#All],3,0)</f>
        <v>9689542494</v>
      </c>
      <c r="F2204" s="138" t="str">
        <f>VLOOKUP(Purchase[[#This Row],[Supplier ID]],Supplier[#All],4,0)</f>
        <v>Korba</v>
      </c>
      <c r="G2204" s="138" t="str">
        <f>VLOOKUP(Purchase[[#This Row],[Supplier ID]],Supplier[#All],5,0)</f>
        <v>CG</v>
      </c>
      <c r="H2204" s="138" t="str">
        <f>VLOOKUP(Purchase[[#This Row],[Supplier ID]],Supplier[#All],6,0)</f>
        <v>GST2154521T056</v>
      </c>
      <c r="I2204" s="138" t="s">
        <v>141</v>
      </c>
      <c r="J2204" s="139">
        <v>7</v>
      </c>
      <c r="K2204" s="143">
        <f>VLOOKUP(Purchase[[#This Row],[Product ID]],Product[#All],6,0)</f>
        <v>11947</v>
      </c>
      <c r="L2204" s="143">
        <f>Purchase[[#This Row],[Purchase Rate]]*Purchase[[#This Row],[Qty]]</f>
        <v>83629</v>
      </c>
      <c r="M2204" s="140">
        <v>0</v>
      </c>
      <c r="N2204" s="143">
        <v>0</v>
      </c>
      <c r="O2204" s="140">
        <v>0.18</v>
      </c>
      <c r="P2204" s="145">
        <f>(Purchase[[#This Row],[Gross Amount]]-Purchase[[#This Row],[Disct %]])*Purchase[[#This Row],[GST %]]</f>
        <v>15053.22</v>
      </c>
      <c r="Q2204" s="145">
        <f>Purchase[[#This Row],[Gross Amount]]-Purchase[[#This Row],[Disct Amnt]]+Purchase[[#This Row],[GST Amount]]</f>
        <v>98682.22</v>
      </c>
      <c r="R2204" s="138" t="s">
        <v>1019</v>
      </c>
      <c r="S2204" s="41">
        <f>IF(Purchase[[#This Row],[Status]]="Cancelled",0,Purchase[[#This Row],[Qty]])</f>
        <v>7</v>
      </c>
      <c r="T2204" s="146">
        <f>IF(Purchase[[#This Row],[Status]]="Cancelled",0,Purchase[[#This Row],[Total Amount]])</f>
        <v>98682.22</v>
      </c>
      <c r="U2204" s="146">
        <f>SUM(Purchase[Net Amount])</f>
        <v>814985438.68000126</v>
      </c>
    </row>
    <row r="2205" spans="1:21" ht="19.5" thickBot="1" x14ac:dyDescent="0.3">
      <c r="A2205" s="136" t="s">
        <v>3261</v>
      </c>
      <c r="B2205" s="137">
        <v>45766</v>
      </c>
      <c r="C2205" s="138" t="s">
        <v>1735</v>
      </c>
      <c r="D2205" s="138" t="str">
        <f>VLOOKUP(Purchase[[#This Row],[Supplier ID]],Supplier[#All],2,0)</f>
        <v>Maa Distributors</v>
      </c>
      <c r="E2205" s="138">
        <f>VLOOKUP(Purchase[[#This Row],[Supplier ID]],Supplier[#All],3,0)</f>
        <v>9689542460</v>
      </c>
      <c r="F2205" s="138" t="str">
        <f>VLOOKUP(Purchase[[#This Row],[Supplier ID]],Supplier[#All],4,0)</f>
        <v>Korba</v>
      </c>
      <c r="G2205" s="138" t="str">
        <f>VLOOKUP(Purchase[[#This Row],[Supplier ID]],Supplier[#All],5,0)</f>
        <v>CG</v>
      </c>
      <c r="H2205" s="138" t="str">
        <f>VLOOKUP(Purchase[[#This Row],[Supplier ID]],Supplier[#All],6,0)</f>
        <v>GST2154521T022</v>
      </c>
      <c r="I2205" s="138" t="s">
        <v>430</v>
      </c>
      <c r="J2205" s="139">
        <v>29</v>
      </c>
      <c r="K2205" s="143">
        <f>VLOOKUP(Purchase[[#This Row],[Product ID]],Product[#All],6,0)</f>
        <v>5339</v>
      </c>
      <c r="L2205" s="143">
        <f>Purchase[[#This Row],[Purchase Rate]]*Purchase[[#This Row],[Qty]]</f>
        <v>154831</v>
      </c>
      <c r="M2205" s="140">
        <v>0</v>
      </c>
      <c r="N2205" s="143">
        <v>0</v>
      </c>
      <c r="O2205" s="140">
        <v>0.18</v>
      </c>
      <c r="P2205" s="145">
        <f>(Purchase[[#This Row],[Gross Amount]]-Purchase[[#This Row],[Disct %]])*Purchase[[#This Row],[GST %]]</f>
        <v>27869.579999999998</v>
      </c>
      <c r="Q2205" s="145">
        <f>Purchase[[#This Row],[Gross Amount]]-Purchase[[#This Row],[Disct Amnt]]+Purchase[[#This Row],[GST Amount]]</f>
        <v>182700.58</v>
      </c>
      <c r="R2205" s="138" t="s">
        <v>1019</v>
      </c>
      <c r="S2205" s="41">
        <f>IF(Purchase[[#This Row],[Status]]="Cancelled",0,Purchase[[#This Row],[Qty]])</f>
        <v>29</v>
      </c>
      <c r="T2205" s="146">
        <f>IF(Purchase[[#This Row],[Status]]="Cancelled",0,Purchase[[#This Row],[Total Amount]])</f>
        <v>182700.58</v>
      </c>
      <c r="U2205" s="146">
        <f>SUM(Purchase[Net Amount])</f>
        <v>814985438.68000126</v>
      </c>
    </row>
    <row r="2206" spans="1:21" ht="19.5" thickBot="1" x14ac:dyDescent="0.3">
      <c r="A2206" s="136" t="s">
        <v>3262</v>
      </c>
      <c r="B2206" s="137">
        <v>45766</v>
      </c>
      <c r="C2206" s="138" t="s">
        <v>606</v>
      </c>
      <c r="D2206" s="138" t="str">
        <f>VLOOKUP(Purchase[[#This Row],[Supplier ID]],Supplier[#All],2,0)</f>
        <v>Prime Traders</v>
      </c>
      <c r="E2206" s="138">
        <f>VLOOKUP(Purchase[[#This Row],[Supplier ID]],Supplier[#All],3,0)</f>
        <v>9689542489</v>
      </c>
      <c r="F2206" s="138" t="str">
        <f>VLOOKUP(Purchase[[#This Row],[Supplier ID]],Supplier[#All],4,0)</f>
        <v>Indore</v>
      </c>
      <c r="G2206" s="138" t="str">
        <f>VLOOKUP(Purchase[[#This Row],[Supplier ID]],Supplier[#All],5,0)</f>
        <v>MP</v>
      </c>
      <c r="H2206" s="138" t="str">
        <f>VLOOKUP(Purchase[[#This Row],[Supplier ID]],Supplier[#All],6,0)</f>
        <v>GST2154521T051</v>
      </c>
      <c r="I2206" s="138" t="s">
        <v>228</v>
      </c>
      <c r="J2206" s="139">
        <v>7</v>
      </c>
      <c r="K2206" s="143">
        <f>VLOOKUP(Purchase[[#This Row],[Product ID]],Product[#All],6,0)</f>
        <v>25416</v>
      </c>
      <c r="L2206" s="143">
        <f>Purchase[[#This Row],[Purchase Rate]]*Purchase[[#This Row],[Qty]]</f>
        <v>177912</v>
      </c>
      <c r="M2206" s="140">
        <v>0</v>
      </c>
      <c r="N2206" s="143">
        <v>0</v>
      </c>
      <c r="O2206" s="140">
        <v>0.18</v>
      </c>
      <c r="P2206" s="145">
        <f>(Purchase[[#This Row],[Gross Amount]]-Purchase[[#This Row],[Disct %]])*Purchase[[#This Row],[GST %]]</f>
        <v>32024.16</v>
      </c>
      <c r="Q2206" s="145">
        <f>Purchase[[#This Row],[Gross Amount]]-Purchase[[#This Row],[Disct Amnt]]+Purchase[[#This Row],[GST Amount]]</f>
        <v>209936.16</v>
      </c>
      <c r="R2206" s="138" t="s">
        <v>1019</v>
      </c>
      <c r="S2206" s="41">
        <f>IF(Purchase[[#This Row],[Status]]="Cancelled",0,Purchase[[#This Row],[Qty]])</f>
        <v>7</v>
      </c>
      <c r="T2206" s="146">
        <f>IF(Purchase[[#This Row],[Status]]="Cancelled",0,Purchase[[#This Row],[Total Amount]])</f>
        <v>209936.16</v>
      </c>
      <c r="U2206" s="146">
        <f>SUM(Purchase[Net Amount])</f>
        <v>814985438.68000126</v>
      </c>
    </row>
    <row r="2207" spans="1:21" ht="19.5" thickBot="1" x14ac:dyDescent="0.3">
      <c r="A2207" s="136" t="s">
        <v>3263</v>
      </c>
      <c r="B2207" s="137">
        <v>45767</v>
      </c>
      <c r="C2207" s="138" t="s">
        <v>615</v>
      </c>
      <c r="D2207" s="138" t="str">
        <f>VLOOKUP(Purchase[[#This Row],[Supplier ID]],Supplier[#All],2,0)</f>
        <v>NATIONAL ELECTRONICS</v>
      </c>
      <c r="E2207" s="138">
        <f>VLOOKUP(Purchase[[#This Row],[Supplier ID]],Supplier[#All],3,0)</f>
        <v>9689542498</v>
      </c>
      <c r="F2207" s="138" t="str">
        <f>VLOOKUP(Purchase[[#This Row],[Supplier ID]],Supplier[#All],4,0)</f>
        <v>Kanpur</v>
      </c>
      <c r="G2207" s="138" t="str">
        <f>VLOOKUP(Purchase[[#This Row],[Supplier ID]],Supplier[#All],5,0)</f>
        <v>UP</v>
      </c>
      <c r="H2207" s="138" t="str">
        <f>VLOOKUP(Purchase[[#This Row],[Supplier ID]],Supplier[#All],6,0)</f>
        <v>GST2154521T060</v>
      </c>
      <c r="I2207" s="138" t="s">
        <v>504</v>
      </c>
      <c r="J2207" s="139">
        <v>15</v>
      </c>
      <c r="K2207" s="143">
        <f>VLOOKUP(Purchase[[#This Row],[Product ID]],Product[#All],6,0)</f>
        <v>3172</v>
      </c>
      <c r="L2207" s="143">
        <f>Purchase[[#This Row],[Purchase Rate]]*Purchase[[#This Row],[Qty]]</f>
        <v>47580</v>
      </c>
      <c r="M2207" s="140">
        <v>0</v>
      </c>
      <c r="N2207" s="143">
        <v>0</v>
      </c>
      <c r="O2207" s="140">
        <v>0.18</v>
      </c>
      <c r="P2207" s="145">
        <f>(Purchase[[#This Row],[Gross Amount]]-Purchase[[#This Row],[Disct %]])*Purchase[[#This Row],[GST %]]</f>
        <v>8564.4</v>
      </c>
      <c r="Q2207" s="145">
        <f>Purchase[[#This Row],[Gross Amount]]-Purchase[[#This Row],[Disct Amnt]]+Purchase[[#This Row],[GST Amount]]</f>
        <v>56144.4</v>
      </c>
      <c r="R2207" s="138" t="s">
        <v>1019</v>
      </c>
      <c r="S2207" s="41">
        <f>IF(Purchase[[#This Row],[Status]]="Cancelled",0,Purchase[[#This Row],[Qty]])</f>
        <v>15</v>
      </c>
      <c r="T2207" s="146">
        <f>IF(Purchase[[#This Row],[Status]]="Cancelled",0,Purchase[[#This Row],[Total Amount]])</f>
        <v>56144.4</v>
      </c>
      <c r="U2207" s="146">
        <f>SUM(Purchase[Net Amount])</f>
        <v>814985438.68000126</v>
      </c>
    </row>
    <row r="2208" spans="1:21" ht="19.5" thickBot="1" x14ac:dyDescent="0.3">
      <c r="A2208" s="136" t="s">
        <v>3264</v>
      </c>
      <c r="B2208" s="137">
        <v>45767</v>
      </c>
      <c r="C2208" s="138" t="s">
        <v>576</v>
      </c>
      <c r="D2208" s="138" t="str">
        <f>VLOOKUP(Purchase[[#This Row],[Supplier ID]],Supplier[#All],2,0)</f>
        <v>Maa Distributors</v>
      </c>
      <c r="E2208" s="138">
        <f>VLOOKUP(Purchase[[#This Row],[Supplier ID]],Supplier[#All],3,0)</f>
        <v>9689542460</v>
      </c>
      <c r="F2208" s="138" t="str">
        <f>VLOOKUP(Purchase[[#This Row],[Supplier ID]],Supplier[#All],4,0)</f>
        <v>Korba</v>
      </c>
      <c r="G2208" s="138" t="str">
        <f>VLOOKUP(Purchase[[#This Row],[Supplier ID]],Supplier[#All],5,0)</f>
        <v>CG</v>
      </c>
      <c r="H2208" s="138" t="str">
        <f>VLOOKUP(Purchase[[#This Row],[Supplier ID]],Supplier[#All],6,0)</f>
        <v>GST2154521T022</v>
      </c>
      <c r="I2208" s="138" t="s">
        <v>269</v>
      </c>
      <c r="J2208" s="139">
        <v>38</v>
      </c>
      <c r="K2208" s="143">
        <f>VLOOKUP(Purchase[[#This Row],[Product ID]],Product[#All],6,0)</f>
        <v>8657</v>
      </c>
      <c r="L2208" s="143">
        <f>Purchase[[#This Row],[Purchase Rate]]*Purchase[[#This Row],[Qty]]</f>
        <v>328966</v>
      </c>
      <c r="M2208" s="140">
        <v>0</v>
      </c>
      <c r="N2208" s="143">
        <v>0</v>
      </c>
      <c r="O2208" s="140">
        <v>0.18</v>
      </c>
      <c r="P2208" s="145">
        <f>(Purchase[[#This Row],[Gross Amount]]-Purchase[[#This Row],[Disct %]])*Purchase[[#This Row],[GST %]]</f>
        <v>59213.88</v>
      </c>
      <c r="Q2208" s="145">
        <f>Purchase[[#This Row],[Gross Amount]]-Purchase[[#This Row],[Disct Amnt]]+Purchase[[#This Row],[GST Amount]]</f>
        <v>388179.88</v>
      </c>
      <c r="R2208" s="138" t="s">
        <v>1019</v>
      </c>
      <c r="S2208" s="41">
        <f>IF(Purchase[[#This Row],[Status]]="Cancelled",0,Purchase[[#This Row],[Qty]])</f>
        <v>38</v>
      </c>
      <c r="T2208" s="146">
        <f>IF(Purchase[[#This Row],[Status]]="Cancelled",0,Purchase[[#This Row],[Total Amount]])</f>
        <v>388179.88</v>
      </c>
      <c r="U2208" s="146">
        <f>SUM(Purchase[Net Amount])</f>
        <v>814985438.68000126</v>
      </c>
    </row>
    <row r="2209" spans="1:21" ht="19.5" thickBot="1" x14ac:dyDescent="0.3">
      <c r="A2209" s="136" t="s">
        <v>3265</v>
      </c>
      <c r="B2209" s="137">
        <v>45767</v>
      </c>
      <c r="C2209" s="138" t="s">
        <v>587</v>
      </c>
      <c r="D2209" s="138" t="str">
        <f>VLOOKUP(Purchase[[#This Row],[Supplier ID]],Supplier[#All],2,0)</f>
        <v>maa distributors</v>
      </c>
      <c r="E2209" s="138">
        <f>VLOOKUP(Purchase[[#This Row],[Supplier ID]],Supplier[#All],3,0)</f>
        <v>9689542479</v>
      </c>
      <c r="F2209" s="138" t="str">
        <f>VLOOKUP(Purchase[[#This Row],[Supplier ID]],Supplier[#All],4,0)</f>
        <v>Indore</v>
      </c>
      <c r="G2209" s="138" t="str">
        <f>VLOOKUP(Purchase[[#This Row],[Supplier ID]],Supplier[#All],5,0)</f>
        <v>MP</v>
      </c>
      <c r="H2209" s="138" t="str">
        <f>VLOOKUP(Purchase[[#This Row],[Supplier ID]],Supplier[#All],6,0)</f>
        <v>GST2154521T033</v>
      </c>
      <c r="I2209" s="138" t="s">
        <v>303</v>
      </c>
      <c r="J2209" s="139">
        <v>10</v>
      </c>
      <c r="K2209" s="143">
        <f>VLOOKUP(Purchase[[#This Row],[Product ID]],Product[#All],6,0)</f>
        <v>6214</v>
      </c>
      <c r="L2209" s="143">
        <f>Purchase[[#This Row],[Purchase Rate]]*Purchase[[#This Row],[Qty]]</f>
        <v>62140</v>
      </c>
      <c r="M2209" s="140">
        <v>0</v>
      </c>
      <c r="N2209" s="143">
        <v>0</v>
      </c>
      <c r="O2209" s="140">
        <v>0.18</v>
      </c>
      <c r="P2209" s="145">
        <f>(Purchase[[#This Row],[Gross Amount]]-Purchase[[#This Row],[Disct %]])*Purchase[[#This Row],[GST %]]</f>
        <v>11185.199999999999</v>
      </c>
      <c r="Q2209" s="145">
        <f>Purchase[[#This Row],[Gross Amount]]-Purchase[[#This Row],[Disct Amnt]]+Purchase[[#This Row],[GST Amount]]</f>
        <v>73325.2</v>
      </c>
      <c r="R2209" s="138" t="s">
        <v>1019</v>
      </c>
      <c r="S2209" s="41">
        <f>IF(Purchase[[#This Row],[Status]]="Cancelled",0,Purchase[[#This Row],[Qty]])</f>
        <v>10</v>
      </c>
      <c r="T2209" s="146">
        <f>IF(Purchase[[#This Row],[Status]]="Cancelled",0,Purchase[[#This Row],[Total Amount]])</f>
        <v>73325.2</v>
      </c>
      <c r="U2209" s="146">
        <f>SUM(Purchase[Net Amount])</f>
        <v>814985438.68000126</v>
      </c>
    </row>
    <row r="2210" spans="1:21" ht="19.5" thickBot="1" x14ac:dyDescent="0.3">
      <c r="A2210" s="136" t="s">
        <v>3266</v>
      </c>
      <c r="B2210" s="137">
        <v>45767</v>
      </c>
      <c r="C2210" s="138" t="s">
        <v>567</v>
      </c>
      <c r="D2210" s="138" t="str">
        <f>VLOOKUP(Purchase[[#This Row],[Supplier ID]],Supplier[#All],2,0)</f>
        <v>National Distributors</v>
      </c>
      <c r="E2210" s="138">
        <f>VLOOKUP(Purchase[[#This Row],[Supplier ID]],Supplier[#All],3,0)</f>
        <v>9689542453</v>
      </c>
      <c r="F2210" s="138" t="str">
        <f>VLOOKUP(Purchase[[#This Row],[Supplier ID]],Supplier[#All],4,0)</f>
        <v>Korba</v>
      </c>
      <c r="G2210" s="138" t="str">
        <f>VLOOKUP(Purchase[[#This Row],[Supplier ID]],Supplier[#All],5,0)</f>
        <v>CG</v>
      </c>
      <c r="H2210" s="138" t="str">
        <f>VLOOKUP(Purchase[[#This Row],[Supplier ID]],Supplier[#All],6,0)</f>
        <v>GST2154521T015</v>
      </c>
      <c r="I2210" s="138" t="s">
        <v>470</v>
      </c>
      <c r="J2210" s="139">
        <v>8</v>
      </c>
      <c r="K2210" s="143">
        <f>VLOOKUP(Purchase[[#This Row],[Product ID]],Product[#All],6,0)</f>
        <v>30694</v>
      </c>
      <c r="L2210" s="143">
        <f>Purchase[[#This Row],[Purchase Rate]]*Purchase[[#This Row],[Qty]]</f>
        <v>245552</v>
      </c>
      <c r="M2210" s="140">
        <v>0</v>
      </c>
      <c r="N2210" s="143">
        <v>0</v>
      </c>
      <c r="O2210" s="140">
        <v>0.18</v>
      </c>
      <c r="P2210" s="145">
        <f>(Purchase[[#This Row],[Gross Amount]]-Purchase[[#This Row],[Disct %]])*Purchase[[#This Row],[GST %]]</f>
        <v>44199.360000000001</v>
      </c>
      <c r="Q2210" s="145">
        <f>Purchase[[#This Row],[Gross Amount]]-Purchase[[#This Row],[Disct Amnt]]+Purchase[[#This Row],[GST Amount]]</f>
        <v>289751.36</v>
      </c>
      <c r="R2210" s="138" t="s">
        <v>1019</v>
      </c>
      <c r="S2210" s="41">
        <f>IF(Purchase[[#This Row],[Status]]="Cancelled",0,Purchase[[#This Row],[Qty]])</f>
        <v>8</v>
      </c>
      <c r="T2210" s="146">
        <f>IF(Purchase[[#This Row],[Status]]="Cancelled",0,Purchase[[#This Row],[Total Amount]])</f>
        <v>289751.36</v>
      </c>
      <c r="U2210" s="146">
        <f>SUM(Purchase[Net Amount])</f>
        <v>814985438.68000126</v>
      </c>
    </row>
    <row r="2211" spans="1:21" ht="19.5" thickBot="1" x14ac:dyDescent="0.3">
      <c r="A2211" s="136" t="s">
        <v>3267</v>
      </c>
      <c r="B2211" s="137">
        <v>45767</v>
      </c>
      <c r="C2211" s="138" t="s">
        <v>607</v>
      </c>
      <c r="D2211" s="138" t="str">
        <f>VLOOKUP(Purchase[[#This Row],[Supplier ID]],Supplier[#All],2,0)</f>
        <v>Global Distributors</v>
      </c>
      <c r="E2211" s="138">
        <f>VLOOKUP(Purchase[[#This Row],[Supplier ID]],Supplier[#All],3,0)</f>
        <v>9689542490</v>
      </c>
      <c r="F2211" s="138" t="str">
        <f>VLOOKUP(Purchase[[#This Row],[Supplier ID]],Supplier[#All],4,0)</f>
        <v>Kanpur</v>
      </c>
      <c r="G2211" s="138" t="str">
        <f>VLOOKUP(Purchase[[#This Row],[Supplier ID]],Supplier[#All],5,0)</f>
        <v>UP</v>
      </c>
      <c r="H2211" s="138" t="str">
        <f>VLOOKUP(Purchase[[#This Row],[Supplier ID]],Supplier[#All],6,0)</f>
        <v>GST2154521T052</v>
      </c>
      <c r="I2211" s="138" t="s">
        <v>538</v>
      </c>
      <c r="J2211" s="139">
        <v>14</v>
      </c>
      <c r="K2211" s="143">
        <f>VLOOKUP(Purchase[[#This Row],[Product ID]],Product[#All],6,0)</f>
        <v>36513</v>
      </c>
      <c r="L2211" s="143">
        <f>Purchase[[#This Row],[Purchase Rate]]*Purchase[[#This Row],[Qty]]</f>
        <v>511182</v>
      </c>
      <c r="M2211" s="140">
        <v>0</v>
      </c>
      <c r="N2211" s="143">
        <v>0</v>
      </c>
      <c r="O2211" s="140">
        <v>0.18</v>
      </c>
      <c r="P2211" s="145">
        <f>(Purchase[[#This Row],[Gross Amount]]-Purchase[[#This Row],[Disct %]])*Purchase[[#This Row],[GST %]]</f>
        <v>92012.76</v>
      </c>
      <c r="Q2211" s="145">
        <f>Purchase[[#This Row],[Gross Amount]]-Purchase[[#This Row],[Disct Amnt]]+Purchase[[#This Row],[GST Amount]]</f>
        <v>603194.76</v>
      </c>
      <c r="R2211" s="138" t="s">
        <v>1019</v>
      </c>
      <c r="S2211" s="41">
        <f>IF(Purchase[[#This Row],[Status]]="Cancelled",0,Purchase[[#This Row],[Qty]])</f>
        <v>14</v>
      </c>
      <c r="T2211" s="146">
        <f>IF(Purchase[[#This Row],[Status]]="Cancelled",0,Purchase[[#This Row],[Total Amount]])</f>
        <v>603194.76</v>
      </c>
      <c r="U2211" s="146">
        <f>SUM(Purchase[Net Amount])</f>
        <v>814985438.68000126</v>
      </c>
    </row>
    <row r="2212" spans="1:21" ht="19.5" thickBot="1" x14ac:dyDescent="0.3">
      <c r="A2212" s="136" t="s">
        <v>3268</v>
      </c>
      <c r="B2212" s="137">
        <v>45767</v>
      </c>
      <c r="C2212" s="138" t="s">
        <v>583</v>
      </c>
      <c r="D2212" s="138" t="str">
        <f>VLOOKUP(Purchase[[#This Row],[Supplier ID]],Supplier[#All],2,0)</f>
        <v>Shree Distributors</v>
      </c>
      <c r="E2212" s="138">
        <f>VLOOKUP(Purchase[[#This Row],[Supplier ID]],Supplier[#All],3,0)</f>
        <v>9689542467</v>
      </c>
      <c r="F2212" s="138" t="str">
        <f>VLOOKUP(Purchase[[#This Row],[Supplier ID]],Supplier[#All],4,0)</f>
        <v>Indore</v>
      </c>
      <c r="G2212" s="138" t="str">
        <f>VLOOKUP(Purchase[[#This Row],[Supplier ID]],Supplier[#All],5,0)</f>
        <v>MP</v>
      </c>
      <c r="H2212" s="138" t="str">
        <f>VLOOKUP(Purchase[[#This Row],[Supplier ID]],Supplier[#All],6,0)</f>
        <v>GST2154521T029</v>
      </c>
      <c r="I2212" s="138" t="s">
        <v>366</v>
      </c>
      <c r="J2212" s="139">
        <v>18</v>
      </c>
      <c r="K2212" s="143">
        <f>VLOOKUP(Purchase[[#This Row],[Product ID]],Product[#All],6,0)</f>
        <v>3896</v>
      </c>
      <c r="L2212" s="143">
        <f>Purchase[[#This Row],[Purchase Rate]]*Purchase[[#This Row],[Qty]]</f>
        <v>70128</v>
      </c>
      <c r="M2212" s="140">
        <v>0</v>
      </c>
      <c r="N2212" s="143">
        <v>0</v>
      </c>
      <c r="O2212" s="140">
        <v>0.18</v>
      </c>
      <c r="P2212" s="145">
        <f>(Purchase[[#This Row],[Gross Amount]]-Purchase[[#This Row],[Disct %]])*Purchase[[#This Row],[GST %]]</f>
        <v>12623.039999999999</v>
      </c>
      <c r="Q2212" s="145">
        <f>Purchase[[#This Row],[Gross Amount]]-Purchase[[#This Row],[Disct Amnt]]+Purchase[[#This Row],[GST Amount]]</f>
        <v>82751.039999999994</v>
      </c>
      <c r="R2212" s="138" t="s">
        <v>1019</v>
      </c>
      <c r="S2212" s="41">
        <f>IF(Purchase[[#This Row],[Status]]="Cancelled",0,Purchase[[#This Row],[Qty]])</f>
        <v>18</v>
      </c>
      <c r="T2212" s="146">
        <f>IF(Purchase[[#This Row],[Status]]="Cancelled",0,Purchase[[#This Row],[Total Amount]])</f>
        <v>82751.039999999994</v>
      </c>
      <c r="U2212" s="146">
        <f>SUM(Purchase[Net Amount])</f>
        <v>814985438.68000126</v>
      </c>
    </row>
    <row r="2213" spans="1:21" ht="19.5" thickBot="1" x14ac:dyDescent="0.3">
      <c r="A2213" s="136" t="s">
        <v>3269</v>
      </c>
      <c r="B2213" s="137">
        <v>45767</v>
      </c>
      <c r="C2213" s="138" t="s">
        <v>610</v>
      </c>
      <c r="D2213" s="138" t="str">
        <f>VLOOKUP(Purchase[[#This Row],[Supplier ID]],Supplier[#All],2,0)</f>
        <v>Shree Electronics</v>
      </c>
      <c r="E2213" s="138">
        <f>VLOOKUP(Purchase[[#This Row],[Supplier ID]],Supplier[#All],3,0)</f>
        <v>9689542493</v>
      </c>
      <c r="F2213" s="138" t="str">
        <f>VLOOKUP(Purchase[[#This Row],[Supplier ID]],Supplier[#All],4,0)</f>
        <v>Kanpur</v>
      </c>
      <c r="G2213" s="138" t="str">
        <f>VLOOKUP(Purchase[[#This Row],[Supplier ID]],Supplier[#All],5,0)</f>
        <v>UP</v>
      </c>
      <c r="H2213" s="138" t="str">
        <f>VLOOKUP(Purchase[[#This Row],[Supplier ID]],Supplier[#All],6,0)</f>
        <v>GST2154521T055</v>
      </c>
      <c r="I2213" s="138" t="s">
        <v>247</v>
      </c>
      <c r="J2213" s="139">
        <v>16</v>
      </c>
      <c r="K2213" s="143">
        <f>VLOOKUP(Purchase[[#This Row],[Product ID]],Product[#All],6,0)</f>
        <v>57779</v>
      </c>
      <c r="L2213" s="143">
        <f>Purchase[[#This Row],[Purchase Rate]]*Purchase[[#This Row],[Qty]]</f>
        <v>924464</v>
      </c>
      <c r="M2213" s="140">
        <v>0</v>
      </c>
      <c r="N2213" s="143">
        <v>0</v>
      </c>
      <c r="O2213" s="140">
        <v>0.18</v>
      </c>
      <c r="P2213" s="145">
        <f>(Purchase[[#This Row],[Gross Amount]]-Purchase[[#This Row],[Disct %]])*Purchase[[#This Row],[GST %]]</f>
        <v>166403.51999999999</v>
      </c>
      <c r="Q2213" s="145">
        <f>Purchase[[#This Row],[Gross Amount]]-Purchase[[#This Row],[Disct Amnt]]+Purchase[[#This Row],[GST Amount]]</f>
        <v>1090867.52</v>
      </c>
      <c r="R2213" s="138" t="s">
        <v>1019</v>
      </c>
      <c r="S2213" s="41">
        <f>IF(Purchase[[#This Row],[Status]]="Cancelled",0,Purchase[[#This Row],[Qty]])</f>
        <v>16</v>
      </c>
      <c r="T2213" s="146">
        <f>IF(Purchase[[#This Row],[Status]]="Cancelled",0,Purchase[[#This Row],[Total Amount]])</f>
        <v>1090867.52</v>
      </c>
      <c r="U2213" s="146">
        <f>SUM(Purchase[Net Amount])</f>
        <v>814985438.68000126</v>
      </c>
    </row>
    <row r="2214" spans="1:21" ht="19.5" thickBot="1" x14ac:dyDescent="0.3">
      <c r="A2214" s="136" t="s">
        <v>3270</v>
      </c>
      <c r="B2214" s="137">
        <v>45767</v>
      </c>
      <c r="C2214" s="138" t="s">
        <v>586</v>
      </c>
      <c r="D2214" s="138" t="str">
        <f>VLOOKUP(Purchase[[#This Row],[Supplier ID]],Supplier[#All],2,0)</f>
        <v>Maa Traders</v>
      </c>
      <c r="E2214" s="138">
        <f>VLOOKUP(Purchase[[#This Row],[Supplier ID]],Supplier[#All],3,0)</f>
        <v>9689542470</v>
      </c>
      <c r="F2214" s="138" t="str">
        <f>VLOOKUP(Purchase[[#This Row],[Supplier ID]],Supplier[#All],4,0)</f>
        <v>Kanpur</v>
      </c>
      <c r="G2214" s="138" t="str">
        <f>VLOOKUP(Purchase[[#This Row],[Supplier ID]],Supplier[#All],5,0)</f>
        <v>UP</v>
      </c>
      <c r="H2214" s="138" t="str">
        <f>VLOOKUP(Purchase[[#This Row],[Supplier ID]],Supplier[#All],6,0)</f>
        <v>GST2154521T032</v>
      </c>
      <c r="I2214" s="138" t="s">
        <v>130</v>
      </c>
      <c r="J2214" s="139">
        <v>25</v>
      </c>
      <c r="K2214" s="143">
        <f>VLOOKUP(Purchase[[#This Row],[Product ID]],Product[#All],6,0)</f>
        <v>32914</v>
      </c>
      <c r="L2214" s="143">
        <f>Purchase[[#This Row],[Purchase Rate]]*Purchase[[#This Row],[Qty]]</f>
        <v>822850</v>
      </c>
      <c r="M2214" s="140">
        <v>0</v>
      </c>
      <c r="N2214" s="143">
        <v>0</v>
      </c>
      <c r="O2214" s="140">
        <v>0.18</v>
      </c>
      <c r="P2214" s="145">
        <f>(Purchase[[#This Row],[Gross Amount]]-Purchase[[#This Row],[Disct %]])*Purchase[[#This Row],[GST %]]</f>
        <v>148113</v>
      </c>
      <c r="Q2214" s="145">
        <f>Purchase[[#This Row],[Gross Amount]]-Purchase[[#This Row],[Disct Amnt]]+Purchase[[#This Row],[GST Amount]]</f>
        <v>970963</v>
      </c>
      <c r="R2214" s="138" t="s">
        <v>1019</v>
      </c>
      <c r="S2214" s="41">
        <f>IF(Purchase[[#This Row],[Status]]="Cancelled",0,Purchase[[#This Row],[Qty]])</f>
        <v>25</v>
      </c>
      <c r="T2214" s="146">
        <f>IF(Purchase[[#This Row],[Status]]="Cancelled",0,Purchase[[#This Row],[Total Amount]])</f>
        <v>970963</v>
      </c>
      <c r="U2214" s="146">
        <f>SUM(Purchase[Net Amount])</f>
        <v>814985438.68000126</v>
      </c>
    </row>
    <row r="2215" spans="1:21" ht="19.5" thickBot="1" x14ac:dyDescent="0.3">
      <c r="A2215" s="136" t="s">
        <v>3271</v>
      </c>
      <c r="B2215" s="137">
        <v>45767</v>
      </c>
      <c r="C2215" s="138" t="s">
        <v>612</v>
      </c>
      <c r="D2215" s="138" t="str">
        <f>VLOOKUP(Purchase[[#This Row],[Supplier ID]],Supplier[#All],2,0)</f>
        <v>National Computers</v>
      </c>
      <c r="E2215" s="138">
        <f>VLOOKUP(Purchase[[#This Row],[Supplier ID]],Supplier[#All],3,0)</f>
        <v>9689542495</v>
      </c>
      <c r="F2215" s="138" t="str">
        <f>VLOOKUP(Purchase[[#This Row],[Supplier ID]],Supplier[#All],4,0)</f>
        <v>Indore</v>
      </c>
      <c r="G2215" s="138" t="str">
        <f>VLOOKUP(Purchase[[#This Row],[Supplier ID]],Supplier[#All],5,0)</f>
        <v>MP</v>
      </c>
      <c r="H2215" s="138" t="str">
        <f>VLOOKUP(Purchase[[#This Row],[Supplier ID]],Supplier[#All],6,0)</f>
        <v>GST2154521T057</v>
      </c>
      <c r="I2215" s="138" t="s">
        <v>314</v>
      </c>
      <c r="J2215" s="139">
        <v>24</v>
      </c>
      <c r="K2215" s="143">
        <f>VLOOKUP(Purchase[[#This Row],[Product ID]],Product[#All],6,0)</f>
        <v>53060</v>
      </c>
      <c r="L2215" s="143">
        <f>Purchase[[#This Row],[Purchase Rate]]*Purchase[[#This Row],[Qty]]</f>
        <v>1273440</v>
      </c>
      <c r="M2215" s="140">
        <v>0</v>
      </c>
      <c r="N2215" s="143">
        <v>0</v>
      </c>
      <c r="O2215" s="140">
        <v>0.18</v>
      </c>
      <c r="P2215" s="145">
        <f>(Purchase[[#This Row],[Gross Amount]]-Purchase[[#This Row],[Disct %]])*Purchase[[#This Row],[GST %]]</f>
        <v>229219.19999999998</v>
      </c>
      <c r="Q2215" s="145">
        <f>Purchase[[#This Row],[Gross Amount]]-Purchase[[#This Row],[Disct Amnt]]+Purchase[[#This Row],[GST Amount]]</f>
        <v>1502659.2</v>
      </c>
      <c r="R2215" s="138" t="s">
        <v>1019</v>
      </c>
      <c r="S2215" s="41">
        <f>IF(Purchase[[#This Row],[Status]]="Cancelled",0,Purchase[[#This Row],[Qty]])</f>
        <v>24</v>
      </c>
      <c r="T2215" s="146">
        <f>IF(Purchase[[#This Row],[Status]]="Cancelled",0,Purchase[[#This Row],[Total Amount]])</f>
        <v>1502659.2</v>
      </c>
      <c r="U2215" s="146">
        <f>SUM(Purchase[Net Amount])</f>
        <v>814985438.68000126</v>
      </c>
    </row>
    <row r="2216" spans="1:21" ht="19.5" thickBot="1" x14ac:dyDescent="0.3">
      <c r="A2216" s="136" t="s">
        <v>3272</v>
      </c>
      <c r="B2216" s="137">
        <v>45767</v>
      </c>
      <c r="C2216" s="138" t="s">
        <v>569</v>
      </c>
      <c r="D2216" s="138" t="str">
        <f>VLOOKUP(Purchase[[#This Row],[Supplier ID]],Supplier[#All],2,0)</f>
        <v>Tech Electronics</v>
      </c>
      <c r="E2216" s="138">
        <f>VLOOKUP(Purchase[[#This Row],[Supplier ID]],Supplier[#All],3,0)</f>
        <v>9689542455</v>
      </c>
      <c r="F2216" s="138" t="str">
        <f>VLOOKUP(Purchase[[#This Row],[Supplier ID]],Supplier[#All],4,0)</f>
        <v>Korba</v>
      </c>
      <c r="G2216" s="138" t="str">
        <f>VLOOKUP(Purchase[[#This Row],[Supplier ID]],Supplier[#All],5,0)</f>
        <v>CG</v>
      </c>
      <c r="H2216" s="138" t="str">
        <f>VLOOKUP(Purchase[[#This Row],[Supplier ID]],Supplier[#All],6,0)</f>
        <v>GST2154521T017</v>
      </c>
      <c r="I2216" s="138" t="s">
        <v>439</v>
      </c>
      <c r="J2216" s="139">
        <v>26</v>
      </c>
      <c r="K2216" s="143">
        <f>VLOOKUP(Purchase[[#This Row],[Product ID]],Product[#All],6,0)</f>
        <v>73027</v>
      </c>
      <c r="L2216" s="143">
        <f>Purchase[[#This Row],[Purchase Rate]]*Purchase[[#This Row],[Qty]]</f>
        <v>1898702</v>
      </c>
      <c r="M2216" s="140">
        <v>0</v>
      </c>
      <c r="N2216" s="143">
        <v>0</v>
      </c>
      <c r="O2216" s="140">
        <v>0.18</v>
      </c>
      <c r="P2216" s="145">
        <f>(Purchase[[#This Row],[Gross Amount]]-Purchase[[#This Row],[Disct %]])*Purchase[[#This Row],[GST %]]</f>
        <v>341766.36</v>
      </c>
      <c r="Q2216" s="145">
        <f>Purchase[[#This Row],[Gross Amount]]-Purchase[[#This Row],[Disct Amnt]]+Purchase[[#This Row],[GST Amount]]</f>
        <v>2240468.36</v>
      </c>
      <c r="R2216" s="138" t="s">
        <v>1019</v>
      </c>
      <c r="S2216" s="41">
        <f>IF(Purchase[[#This Row],[Status]]="Cancelled",0,Purchase[[#This Row],[Qty]])</f>
        <v>26</v>
      </c>
      <c r="T2216" s="146">
        <f>IF(Purchase[[#This Row],[Status]]="Cancelled",0,Purchase[[#This Row],[Total Amount]])</f>
        <v>2240468.36</v>
      </c>
      <c r="U2216" s="146">
        <f>SUM(Purchase[Net Amount])</f>
        <v>814985438.68000126</v>
      </c>
    </row>
    <row r="2217" spans="1:21" ht="19.5" thickBot="1" x14ac:dyDescent="0.3">
      <c r="A2217" s="136" t="s">
        <v>3273</v>
      </c>
      <c r="B2217" s="137">
        <v>45767</v>
      </c>
      <c r="C2217" s="138" t="s">
        <v>600</v>
      </c>
      <c r="D2217" s="138" t="str">
        <f>VLOOKUP(Purchase[[#This Row],[Supplier ID]],Supplier[#All],2,0)</f>
        <v>Prime Suppliers</v>
      </c>
      <c r="E2217" s="138">
        <f>VLOOKUP(Purchase[[#This Row],[Supplier ID]],Supplier[#All],3,0)</f>
        <v>9689542483</v>
      </c>
      <c r="F2217" s="138" t="str">
        <f>VLOOKUP(Purchase[[#This Row],[Supplier ID]],Supplier[#All],4,0)</f>
        <v>Korba</v>
      </c>
      <c r="G2217" s="138" t="str">
        <f>VLOOKUP(Purchase[[#This Row],[Supplier ID]],Supplier[#All],5,0)</f>
        <v>CG</v>
      </c>
      <c r="H2217" s="138" t="str">
        <f>VLOOKUP(Purchase[[#This Row],[Supplier ID]],Supplier[#All],6,0)</f>
        <v>GST2154521T045</v>
      </c>
      <c r="I2217" s="138" t="s">
        <v>7</v>
      </c>
      <c r="J2217" s="139">
        <v>31</v>
      </c>
      <c r="K2217" s="143">
        <f>VLOOKUP(Purchase[[#This Row],[Product ID]],Product[#All],6,0)</f>
        <v>27080</v>
      </c>
      <c r="L2217" s="143">
        <f>Purchase[[#This Row],[Purchase Rate]]*Purchase[[#This Row],[Qty]]</f>
        <v>839480</v>
      </c>
      <c r="M2217" s="140">
        <v>0</v>
      </c>
      <c r="N2217" s="143">
        <v>0</v>
      </c>
      <c r="O2217" s="140">
        <v>0.18</v>
      </c>
      <c r="P2217" s="145">
        <f>(Purchase[[#This Row],[Gross Amount]]-Purchase[[#This Row],[Disct %]])*Purchase[[#This Row],[GST %]]</f>
        <v>151106.4</v>
      </c>
      <c r="Q2217" s="145">
        <f>Purchase[[#This Row],[Gross Amount]]-Purchase[[#This Row],[Disct Amnt]]+Purchase[[#This Row],[GST Amount]]</f>
        <v>990586.4</v>
      </c>
      <c r="R2217" s="138" t="s">
        <v>1019</v>
      </c>
      <c r="S2217" s="41">
        <f>IF(Purchase[[#This Row],[Status]]="Cancelled",0,Purchase[[#This Row],[Qty]])</f>
        <v>31</v>
      </c>
      <c r="T2217" s="146">
        <f>IF(Purchase[[#This Row],[Status]]="Cancelled",0,Purchase[[#This Row],[Total Amount]])</f>
        <v>990586.4</v>
      </c>
      <c r="U2217" s="146">
        <f>SUM(Purchase[Net Amount])</f>
        <v>814985438.68000126</v>
      </c>
    </row>
    <row r="2218" spans="1:21" ht="19.5" thickBot="1" x14ac:dyDescent="0.3">
      <c r="A2218" s="136" t="s">
        <v>3274</v>
      </c>
      <c r="B2218" s="137">
        <v>45767</v>
      </c>
      <c r="C2218" s="138" t="s">
        <v>593</v>
      </c>
      <c r="D2218" s="138" t="str">
        <f>VLOOKUP(Purchase[[#This Row],[Supplier ID]],Supplier[#All],2,0)</f>
        <v>Global Suppliers</v>
      </c>
      <c r="E2218" s="138">
        <f>VLOOKUP(Purchase[[#This Row],[Supplier ID]],Supplier[#All],3,0)</f>
        <v>9689542476</v>
      </c>
      <c r="F2218" s="138" t="str">
        <f>VLOOKUP(Purchase[[#This Row],[Supplier ID]],Supplier[#All],4,0)</f>
        <v>Korba</v>
      </c>
      <c r="G2218" s="138" t="str">
        <f>VLOOKUP(Purchase[[#This Row],[Supplier ID]],Supplier[#All],5,0)</f>
        <v>CG</v>
      </c>
      <c r="H2218" s="138" t="str">
        <f>VLOOKUP(Purchase[[#This Row],[Supplier ID]],Supplier[#All],6,0)</f>
        <v>GST2154521T038</v>
      </c>
      <c r="I2218" s="138" t="s">
        <v>489</v>
      </c>
      <c r="J2218" s="139">
        <v>37</v>
      </c>
      <c r="K2218" s="143">
        <f>VLOOKUP(Purchase[[#This Row],[Product ID]],Product[#All],6,0)</f>
        <v>6471</v>
      </c>
      <c r="L2218" s="143">
        <f>Purchase[[#This Row],[Purchase Rate]]*Purchase[[#This Row],[Qty]]</f>
        <v>239427</v>
      </c>
      <c r="M2218" s="140">
        <v>0</v>
      </c>
      <c r="N2218" s="143">
        <v>0</v>
      </c>
      <c r="O2218" s="140">
        <v>0.18</v>
      </c>
      <c r="P2218" s="145">
        <f>(Purchase[[#This Row],[Gross Amount]]-Purchase[[#This Row],[Disct %]])*Purchase[[#This Row],[GST %]]</f>
        <v>43096.86</v>
      </c>
      <c r="Q2218" s="145">
        <f>Purchase[[#This Row],[Gross Amount]]-Purchase[[#This Row],[Disct Amnt]]+Purchase[[#This Row],[GST Amount]]</f>
        <v>282523.86</v>
      </c>
      <c r="R2218" s="138" t="s">
        <v>1019</v>
      </c>
      <c r="S2218" s="41">
        <f>IF(Purchase[[#This Row],[Status]]="Cancelled",0,Purchase[[#This Row],[Qty]])</f>
        <v>37</v>
      </c>
      <c r="T2218" s="146">
        <f>IF(Purchase[[#This Row],[Status]]="Cancelled",0,Purchase[[#This Row],[Total Amount]])</f>
        <v>282523.86</v>
      </c>
      <c r="U2218" s="146">
        <f>SUM(Purchase[Net Amount])</f>
        <v>814985438.68000126</v>
      </c>
    </row>
    <row r="2219" spans="1:21" ht="19.5" thickBot="1" x14ac:dyDescent="0.3">
      <c r="A2219" s="136" t="s">
        <v>3275</v>
      </c>
      <c r="B2219" s="137">
        <v>45767</v>
      </c>
      <c r="C2219" s="138" t="s">
        <v>585</v>
      </c>
      <c r="D2219" s="138" t="str">
        <f>VLOOKUP(Purchase[[#This Row],[Supplier ID]],Supplier[#All],2,0)</f>
        <v>Tech Computers</v>
      </c>
      <c r="E2219" s="138">
        <f>VLOOKUP(Purchase[[#This Row],[Supplier ID]],Supplier[#All],3,0)</f>
        <v>9689542469</v>
      </c>
      <c r="F2219" s="138" t="str">
        <f>VLOOKUP(Purchase[[#This Row],[Supplier ID]],Supplier[#All],4,0)</f>
        <v>Korba</v>
      </c>
      <c r="G2219" s="138" t="str">
        <f>VLOOKUP(Purchase[[#This Row],[Supplier ID]],Supplier[#All],5,0)</f>
        <v>CG</v>
      </c>
      <c r="H2219" s="138" t="str">
        <f>VLOOKUP(Purchase[[#This Row],[Supplier ID]],Supplier[#All],6,0)</f>
        <v>GST2154521T031</v>
      </c>
      <c r="I2219" s="138" t="s">
        <v>434</v>
      </c>
      <c r="J2219" s="139">
        <v>20</v>
      </c>
      <c r="K2219" s="143">
        <f>VLOOKUP(Purchase[[#This Row],[Product ID]],Product[#All],6,0)</f>
        <v>6372</v>
      </c>
      <c r="L2219" s="143">
        <f>Purchase[[#This Row],[Purchase Rate]]*Purchase[[#This Row],[Qty]]</f>
        <v>127440</v>
      </c>
      <c r="M2219" s="140">
        <v>0</v>
      </c>
      <c r="N2219" s="143">
        <v>0</v>
      </c>
      <c r="O2219" s="140">
        <v>0.18</v>
      </c>
      <c r="P2219" s="145">
        <f>(Purchase[[#This Row],[Gross Amount]]-Purchase[[#This Row],[Disct %]])*Purchase[[#This Row],[GST %]]</f>
        <v>22939.200000000001</v>
      </c>
      <c r="Q2219" s="145">
        <f>Purchase[[#This Row],[Gross Amount]]-Purchase[[#This Row],[Disct Amnt]]+Purchase[[#This Row],[GST Amount]]</f>
        <v>150379.20000000001</v>
      </c>
      <c r="R2219" s="138" t="s">
        <v>1019</v>
      </c>
      <c r="S2219" s="41">
        <f>IF(Purchase[[#This Row],[Status]]="Cancelled",0,Purchase[[#This Row],[Qty]])</f>
        <v>20</v>
      </c>
      <c r="T2219" s="146">
        <f>IF(Purchase[[#This Row],[Status]]="Cancelled",0,Purchase[[#This Row],[Total Amount]])</f>
        <v>150379.20000000001</v>
      </c>
      <c r="U2219" s="146">
        <f>SUM(Purchase[Net Amount])</f>
        <v>814985438.68000126</v>
      </c>
    </row>
    <row r="2220" spans="1:21" ht="19.5" thickBot="1" x14ac:dyDescent="0.3">
      <c r="A2220" s="136" t="s">
        <v>3276</v>
      </c>
      <c r="B2220" s="137">
        <v>45767</v>
      </c>
      <c r="C2220" s="138" t="s">
        <v>597</v>
      </c>
      <c r="D2220" s="138" t="str">
        <f>VLOOKUP(Purchase[[#This Row],[Supplier ID]],Supplier[#All],2,0)</f>
        <v>Tech Traders</v>
      </c>
      <c r="E2220" s="138">
        <f>VLOOKUP(Purchase[[#This Row],[Supplier ID]],Supplier[#All],3,0)</f>
        <v>9689542480</v>
      </c>
      <c r="F2220" s="138" t="str">
        <f>VLOOKUP(Purchase[[#This Row],[Supplier ID]],Supplier[#All],4,0)</f>
        <v>Kanpur</v>
      </c>
      <c r="G2220" s="138" t="str">
        <f>VLOOKUP(Purchase[[#This Row],[Supplier ID]],Supplier[#All],5,0)</f>
        <v>UP</v>
      </c>
      <c r="H2220" s="138" t="str">
        <f>VLOOKUP(Purchase[[#This Row],[Supplier ID]],Supplier[#All],6,0)</f>
        <v>GST2154521T042</v>
      </c>
      <c r="I2220" s="138" t="s">
        <v>517</v>
      </c>
      <c r="J2220" s="139">
        <v>40</v>
      </c>
      <c r="K2220" s="143">
        <f>VLOOKUP(Purchase[[#This Row],[Product ID]],Product[#All],6,0)</f>
        <v>70864</v>
      </c>
      <c r="L2220" s="143">
        <f>Purchase[[#This Row],[Purchase Rate]]*Purchase[[#This Row],[Qty]]</f>
        <v>2834560</v>
      </c>
      <c r="M2220" s="140">
        <v>0</v>
      </c>
      <c r="N2220" s="143">
        <v>0</v>
      </c>
      <c r="O2220" s="140">
        <v>0.18</v>
      </c>
      <c r="P2220" s="145">
        <f>(Purchase[[#This Row],[Gross Amount]]-Purchase[[#This Row],[Disct %]])*Purchase[[#This Row],[GST %]]</f>
        <v>510220.79999999999</v>
      </c>
      <c r="Q2220" s="145">
        <f>Purchase[[#This Row],[Gross Amount]]-Purchase[[#This Row],[Disct Amnt]]+Purchase[[#This Row],[GST Amount]]</f>
        <v>3344780.8</v>
      </c>
      <c r="R2220" s="138" t="s">
        <v>1019</v>
      </c>
      <c r="S2220" s="41">
        <f>IF(Purchase[[#This Row],[Status]]="Cancelled",0,Purchase[[#This Row],[Qty]])</f>
        <v>40</v>
      </c>
      <c r="T2220" s="146">
        <f>IF(Purchase[[#This Row],[Status]]="Cancelled",0,Purchase[[#This Row],[Total Amount]])</f>
        <v>3344780.8</v>
      </c>
      <c r="U2220" s="146">
        <f>SUM(Purchase[Net Amount])</f>
        <v>814985438.68000126</v>
      </c>
    </row>
    <row r="2221" spans="1:21" ht="19.5" thickBot="1" x14ac:dyDescent="0.3">
      <c r="A2221" s="136" t="s">
        <v>3277</v>
      </c>
      <c r="B2221" s="137">
        <v>45768</v>
      </c>
      <c r="C2221" s="138" t="s">
        <v>590</v>
      </c>
      <c r="D2221" s="138" t="str">
        <f>VLOOKUP(Purchase[[#This Row],[Supplier ID]],Supplier[#All],2,0)</f>
        <v>Star Distributors</v>
      </c>
      <c r="E2221" s="138">
        <f>VLOOKUP(Purchase[[#This Row],[Supplier ID]],Supplier[#All],3,0)</f>
        <v>9689542474</v>
      </c>
      <c r="F2221" s="138" t="str">
        <f>VLOOKUP(Purchase[[#This Row],[Supplier ID]],Supplier[#All],4,0)</f>
        <v>Kanpur</v>
      </c>
      <c r="G2221" s="138" t="str">
        <f>VLOOKUP(Purchase[[#This Row],[Supplier ID]],Supplier[#All],5,0)</f>
        <v>UP</v>
      </c>
      <c r="H2221" s="138" t="str">
        <f>VLOOKUP(Purchase[[#This Row],[Supplier ID]],Supplier[#All],6,0)</f>
        <v>GST2154521T036</v>
      </c>
      <c r="I2221" s="138" t="s">
        <v>310</v>
      </c>
      <c r="J2221" s="139">
        <v>33</v>
      </c>
      <c r="K2221" s="143">
        <f>VLOOKUP(Purchase[[#This Row],[Product ID]],Product[#All],6,0)</f>
        <v>558</v>
      </c>
      <c r="L2221" s="143">
        <f>Purchase[[#This Row],[Purchase Rate]]*Purchase[[#This Row],[Qty]]</f>
        <v>18414</v>
      </c>
      <c r="M2221" s="140">
        <v>0</v>
      </c>
      <c r="N2221" s="143">
        <v>0</v>
      </c>
      <c r="O2221" s="140">
        <v>0.18</v>
      </c>
      <c r="P2221" s="145">
        <f>(Purchase[[#This Row],[Gross Amount]]-Purchase[[#This Row],[Disct %]])*Purchase[[#This Row],[GST %]]</f>
        <v>3314.52</v>
      </c>
      <c r="Q2221" s="145">
        <f>Purchase[[#This Row],[Gross Amount]]-Purchase[[#This Row],[Disct Amnt]]+Purchase[[#This Row],[GST Amount]]</f>
        <v>21728.52</v>
      </c>
      <c r="R2221" s="138" t="s">
        <v>1019</v>
      </c>
      <c r="S2221" s="41">
        <f>IF(Purchase[[#This Row],[Status]]="Cancelled",0,Purchase[[#This Row],[Qty]])</f>
        <v>33</v>
      </c>
      <c r="T2221" s="146">
        <f>IF(Purchase[[#This Row],[Status]]="Cancelled",0,Purchase[[#This Row],[Total Amount]])</f>
        <v>21728.52</v>
      </c>
      <c r="U2221" s="146">
        <f>SUM(Purchase[Net Amount])</f>
        <v>814985438.68000126</v>
      </c>
    </row>
    <row r="2222" spans="1:21" ht="19.5" thickBot="1" x14ac:dyDescent="0.3">
      <c r="A2222" s="136" t="s">
        <v>3278</v>
      </c>
      <c r="B2222" s="137">
        <v>45768</v>
      </c>
      <c r="C2222" s="138" t="s">
        <v>601</v>
      </c>
      <c r="D2222" s="138" t="str">
        <f>VLOOKUP(Purchase[[#This Row],[Supplier ID]],Supplier[#All],2,0)</f>
        <v>Maa Distributors</v>
      </c>
      <c r="E2222" s="138">
        <f>VLOOKUP(Purchase[[#This Row],[Supplier ID]],Supplier[#All],3,0)</f>
        <v>9689542484</v>
      </c>
      <c r="F2222" s="138" t="str">
        <f>VLOOKUP(Purchase[[#This Row],[Supplier ID]],Supplier[#All],4,0)</f>
        <v>Indore</v>
      </c>
      <c r="G2222" s="138" t="str">
        <f>VLOOKUP(Purchase[[#This Row],[Supplier ID]],Supplier[#All],5,0)</f>
        <v>MP</v>
      </c>
      <c r="H2222" s="138" t="str">
        <f>VLOOKUP(Purchase[[#This Row],[Supplier ID]],Supplier[#All],6,0)</f>
        <v>GST2154521T046</v>
      </c>
      <c r="I2222" s="138" t="s">
        <v>163</v>
      </c>
      <c r="J2222" s="139">
        <v>10</v>
      </c>
      <c r="K2222" s="143">
        <f>VLOOKUP(Purchase[[#This Row],[Product ID]],Product[#All],6,0)</f>
        <v>13893</v>
      </c>
      <c r="L2222" s="143">
        <f>Purchase[[#This Row],[Purchase Rate]]*Purchase[[#This Row],[Qty]]</f>
        <v>138930</v>
      </c>
      <c r="M2222" s="140">
        <v>0</v>
      </c>
      <c r="N2222" s="143">
        <v>0</v>
      </c>
      <c r="O2222" s="140">
        <v>0.18</v>
      </c>
      <c r="P2222" s="145">
        <f>(Purchase[[#This Row],[Gross Amount]]-Purchase[[#This Row],[Disct %]])*Purchase[[#This Row],[GST %]]</f>
        <v>25007.399999999998</v>
      </c>
      <c r="Q2222" s="145">
        <f>Purchase[[#This Row],[Gross Amount]]-Purchase[[#This Row],[Disct Amnt]]+Purchase[[#This Row],[GST Amount]]</f>
        <v>163937.4</v>
      </c>
      <c r="R2222" s="138" t="s">
        <v>1019</v>
      </c>
      <c r="S2222" s="41">
        <f>IF(Purchase[[#This Row],[Status]]="Cancelled",0,Purchase[[#This Row],[Qty]])</f>
        <v>10</v>
      </c>
      <c r="T2222" s="146">
        <f>IF(Purchase[[#This Row],[Status]]="Cancelled",0,Purchase[[#This Row],[Total Amount]])</f>
        <v>163937.4</v>
      </c>
      <c r="U2222" s="146">
        <f>SUM(Purchase[Net Amount])</f>
        <v>814985438.68000126</v>
      </c>
    </row>
    <row r="2223" spans="1:21" ht="19.5" thickBot="1" x14ac:dyDescent="0.3">
      <c r="A2223" s="136" t="s">
        <v>3279</v>
      </c>
      <c r="B2223" s="137">
        <v>45768</v>
      </c>
      <c r="C2223" s="138" t="s">
        <v>582</v>
      </c>
      <c r="D2223" s="138" t="str">
        <f>VLOOKUP(Purchase[[#This Row],[Supplier ID]],Supplier[#All],2,0)</f>
        <v>Tech Distributors</v>
      </c>
      <c r="E2223" s="138">
        <f>VLOOKUP(Purchase[[#This Row],[Supplier ID]],Supplier[#All],3,0)</f>
        <v>9689542466</v>
      </c>
      <c r="F2223" s="138" t="str">
        <f>VLOOKUP(Purchase[[#This Row],[Supplier ID]],Supplier[#All],4,0)</f>
        <v>Indore</v>
      </c>
      <c r="G2223" s="138" t="str">
        <f>VLOOKUP(Purchase[[#This Row],[Supplier ID]],Supplier[#All],5,0)</f>
        <v>MP</v>
      </c>
      <c r="H2223" s="138" t="str">
        <f>VLOOKUP(Purchase[[#This Row],[Supplier ID]],Supplier[#All],6,0)</f>
        <v>GST2154521T028</v>
      </c>
      <c r="I2223" s="138" t="s">
        <v>79</v>
      </c>
      <c r="J2223" s="139">
        <v>11</v>
      </c>
      <c r="K2223" s="143">
        <f>VLOOKUP(Purchase[[#This Row],[Product ID]],Product[#All],6,0)</f>
        <v>26386</v>
      </c>
      <c r="L2223" s="143">
        <f>Purchase[[#This Row],[Purchase Rate]]*Purchase[[#This Row],[Qty]]</f>
        <v>290246</v>
      </c>
      <c r="M2223" s="140">
        <v>0</v>
      </c>
      <c r="N2223" s="143">
        <v>0</v>
      </c>
      <c r="O2223" s="140">
        <v>0.18</v>
      </c>
      <c r="P2223" s="145">
        <f>(Purchase[[#This Row],[Gross Amount]]-Purchase[[#This Row],[Disct %]])*Purchase[[#This Row],[GST %]]</f>
        <v>52244.28</v>
      </c>
      <c r="Q2223" s="145">
        <f>Purchase[[#This Row],[Gross Amount]]-Purchase[[#This Row],[Disct Amnt]]+Purchase[[#This Row],[GST Amount]]</f>
        <v>342490.28</v>
      </c>
      <c r="R2223" s="138" t="s">
        <v>1019</v>
      </c>
      <c r="S2223" s="41">
        <f>IF(Purchase[[#This Row],[Status]]="Cancelled",0,Purchase[[#This Row],[Qty]])</f>
        <v>11</v>
      </c>
      <c r="T2223" s="146">
        <f>IF(Purchase[[#This Row],[Status]]="Cancelled",0,Purchase[[#This Row],[Total Amount]])</f>
        <v>342490.28</v>
      </c>
      <c r="U2223" s="146">
        <f>SUM(Purchase[Net Amount])</f>
        <v>814985438.68000126</v>
      </c>
    </row>
    <row r="2224" spans="1:21" ht="19.5" thickBot="1" x14ac:dyDescent="0.3">
      <c r="A2224" s="136" t="s">
        <v>3280</v>
      </c>
      <c r="B2224" s="137">
        <v>45768</v>
      </c>
      <c r="C2224" s="138" t="s">
        <v>609</v>
      </c>
      <c r="D2224" s="138" t="str">
        <f>VLOOKUP(Purchase[[#This Row],[Supplier ID]],Supplier[#All],2,0)</f>
        <v>Star Suppliers</v>
      </c>
      <c r="E2224" s="138">
        <f>VLOOKUP(Purchase[[#This Row],[Supplier ID]],Supplier[#All],3,0)</f>
        <v>9689542492</v>
      </c>
      <c r="F2224" s="138" t="str">
        <f>VLOOKUP(Purchase[[#This Row],[Supplier ID]],Supplier[#All],4,0)</f>
        <v>Kanpur</v>
      </c>
      <c r="G2224" s="138" t="str">
        <f>VLOOKUP(Purchase[[#This Row],[Supplier ID]],Supplier[#All],5,0)</f>
        <v>UP</v>
      </c>
      <c r="H2224" s="138" t="str">
        <f>VLOOKUP(Purchase[[#This Row],[Supplier ID]],Supplier[#All],6,0)</f>
        <v>GST2154521T054</v>
      </c>
      <c r="I2224" s="138" t="s">
        <v>412</v>
      </c>
      <c r="J2224" s="139">
        <v>6</v>
      </c>
      <c r="K2224" s="143">
        <f>VLOOKUP(Purchase[[#This Row],[Product ID]],Product[#All],6,0)</f>
        <v>23332</v>
      </c>
      <c r="L2224" s="143">
        <f>Purchase[[#This Row],[Purchase Rate]]*Purchase[[#This Row],[Qty]]</f>
        <v>139992</v>
      </c>
      <c r="M2224" s="140">
        <v>0</v>
      </c>
      <c r="N2224" s="143">
        <v>0</v>
      </c>
      <c r="O2224" s="140">
        <v>0.18</v>
      </c>
      <c r="P2224" s="145">
        <f>(Purchase[[#This Row],[Gross Amount]]-Purchase[[#This Row],[Disct %]])*Purchase[[#This Row],[GST %]]</f>
        <v>25198.559999999998</v>
      </c>
      <c r="Q2224" s="145">
        <f>Purchase[[#This Row],[Gross Amount]]-Purchase[[#This Row],[Disct Amnt]]+Purchase[[#This Row],[GST Amount]]</f>
        <v>165190.56</v>
      </c>
      <c r="R2224" s="138" t="s">
        <v>1019</v>
      </c>
      <c r="S2224" s="41">
        <f>IF(Purchase[[#This Row],[Status]]="Cancelled",0,Purchase[[#This Row],[Qty]])</f>
        <v>6</v>
      </c>
      <c r="T2224" s="146">
        <f>IF(Purchase[[#This Row],[Status]]="Cancelled",0,Purchase[[#This Row],[Total Amount]])</f>
        <v>165190.56</v>
      </c>
      <c r="U2224" s="146">
        <f>SUM(Purchase[Net Amount])</f>
        <v>814985438.68000126</v>
      </c>
    </row>
    <row r="2225" spans="1:21" ht="19.5" thickBot="1" x14ac:dyDescent="0.3">
      <c r="A2225" s="136" t="s">
        <v>3281</v>
      </c>
      <c r="B2225" s="137">
        <v>45768</v>
      </c>
      <c r="C2225" s="138" t="s">
        <v>577</v>
      </c>
      <c r="D2225" s="138" t="str">
        <f>VLOOKUP(Purchase[[#This Row],[Supplier ID]],Supplier[#All],2,0)</f>
        <v>National Electronics</v>
      </c>
      <c r="E2225" s="138">
        <f>VLOOKUP(Purchase[[#This Row],[Supplier ID]],Supplier[#All],3,0)</f>
        <v>9689542469</v>
      </c>
      <c r="F2225" s="138" t="str">
        <f>VLOOKUP(Purchase[[#This Row],[Supplier ID]],Supplier[#All],4,0)</f>
        <v>Korba</v>
      </c>
      <c r="G2225" s="138" t="str">
        <f>VLOOKUP(Purchase[[#This Row],[Supplier ID]],Supplier[#All],5,0)</f>
        <v>CG</v>
      </c>
      <c r="H2225" s="138" t="str">
        <f>VLOOKUP(Purchase[[#This Row],[Supplier ID]],Supplier[#All],6,0)</f>
        <v>GST2154521T023</v>
      </c>
      <c r="I2225" s="138" t="s">
        <v>465</v>
      </c>
      <c r="J2225" s="139">
        <v>6</v>
      </c>
      <c r="K2225" s="143">
        <f>VLOOKUP(Purchase[[#This Row],[Product ID]],Product[#All],6,0)</f>
        <v>1749</v>
      </c>
      <c r="L2225" s="143">
        <f>Purchase[[#This Row],[Purchase Rate]]*Purchase[[#This Row],[Qty]]</f>
        <v>10494</v>
      </c>
      <c r="M2225" s="140">
        <v>0</v>
      </c>
      <c r="N2225" s="143">
        <v>0</v>
      </c>
      <c r="O2225" s="140">
        <v>0.18</v>
      </c>
      <c r="P2225" s="145">
        <f>(Purchase[[#This Row],[Gross Amount]]-Purchase[[#This Row],[Disct %]])*Purchase[[#This Row],[GST %]]</f>
        <v>1888.9199999999998</v>
      </c>
      <c r="Q2225" s="145">
        <f>Purchase[[#This Row],[Gross Amount]]-Purchase[[#This Row],[Disct Amnt]]+Purchase[[#This Row],[GST Amount]]</f>
        <v>12382.92</v>
      </c>
      <c r="R2225" s="138" t="s">
        <v>1019</v>
      </c>
      <c r="S2225" s="41">
        <f>IF(Purchase[[#This Row],[Status]]="Cancelled",0,Purchase[[#This Row],[Qty]])</f>
        <v>6</v>
      </c>
      <c r="T2225" s="146">
        <f>IF(Purchase[[#This Row],[Status]]="Cancelled",0,Purchase[[#This Row],[Total Amount]])</f>
        <v>12382.92</v>
      </c>
      <c r="U2225" s="146">
        <f>SUM(Purchase[Net Amount])</f>
        <v>814985438.68000126</v>
      </c>
    </row>
    <row r="2226" spans="1:21" ht="19.5" thickBot="1" x14ac:dyDescent="0.3">
      <c r="A2226" s="136" t="s">
        <v>3282</v>
      </c>
      <c r="B2226" s="137">
        <v>45768</v>
      </c>
      <c r="C2226" s="138" t="s">
        <v>585</v>
      </c>
      <c r="D2226" s="138" t="str">
        <f>VLOOKUP(Purchase[[#This Row],[Supplier ID]],Supplier[#All],2,0)</f>
        <v>Tech Computers</v>
      </c>
      <c r="E2226" s="138">
        <f>VLOOKUP(Purchase[[#This Row],[Supplier ID]],Supplier[#All],3,0)</f>
        <v>9689542469</v>
      </c>
      <c r="F2226" s="138" t="str">
        <f>VLOOKUP(Purchase[[#This Row],[Supplier ID]],Supplier[#All],4,0)</f>
        <v>Korba</v>
      </c>
      <c r="G2226" s="138" t="str">
        <f>VLOOKUP(Purchase[[#This Row],[Supplier ID]],Supplier[#All],5,0)</f>
        <v>CG</v>
      </c>
      <c r="H2226" s="138" t="str">
        <f>VLOOKUP(Purchase[[#This Row],[Supplier ID]],Supplier[#All],6,0)</f>
        <v>GST2154521T031</v>
      </c>
      <c r="I2226" s="138" t="s">
        <v>129</v>
      </c>
      <c r="J2226" s="139">
        <v>3</v>
      </c>
      <c r="K2226" s="143">
        <f>VLOOKUP(Purchase[[#This Row],[Product ID]],Product[#All],6,0)</f>
        <v>1588</v>
      </c>
      <c r="L2226" s="143">
        <f>Purchase[[#This Row],[Purchase Rate]]*Purchase[[#This Row],[Qty]]</f>
        <v>4764</v>
      </c>
      <c r="M2226" s="140">
        <v>0</v>
      </c>
      <c r="N2226" s="143">
        <v>0</v>
      </c>
      <c r="O2226" s="140">
        <v>0.18</v>
      </c>
      <c r="P2226" s="145">
        <f>(Purchase[[#This Row],[Gross Amount]]-Purchase[[#This Row],[Disct %]])*Purchase[[#This Row],[GST %]]</f>
        <v>857.52</v>
      </c>
      <c r="Q2226" s="145">
        <f>Purchase[[#This Row],[Gross Amount]]-Purchase[[#This Row],[Disct Amnt]]+Purchase[[#This Row],[GST Amount]]</f>
        <v>5621.52</v>
      </c>
      <c r="R2226" s="138" t="s">
        <v>1019</v>
      </c>
      <c r="S2226" s="41">
        <f>IF(Purchase[[#This Row],[Status]]="Cancelled",0,Purchase[[#This Row],[Qty]])</f>
        <v>3</v>
      </c>
      <c r="T2226" s="146">
        <f>IF(Purchase[[#This Row],[Status]]="Cancelled",0,Purchase[[#This Row],[Total Amount]])</f>
        <v>5621.52</v>
      </c>
      <c r="U2226" s="146">
        <f>SUM(Purchase[Net Amount])</f>
        <v>814985438.68000126</v>
      </c>
    </row>
    <row r="2227" spans="1:21" ht="19.5" thickBot="1" x14ac:dyDescent="0.3">
      <c r="A2227" s="136" t="s">
        <v>3283</v>
      </c>
      <c r="B2227" s="137">
        <v>45768</v>
      </c>
      <c r="C2227" s="138" t="s">
        <v>567</v>
      </c>
      <c r="D2227" s="138" t="str">
        <f>VLOOKUP(Purchase[[#This Row],[Supplier ID]],Supplier[#All],2,0)</f>
        <v>National Distributors</v>
      </c>
      <c r="E2227" s="138">
        <f>VLOOKUP(Purchase[[#This Row],[Supplier ID]],Supplier[#All],3,0)</f>
        <v>9689542453</v>
      </c>
      <c r="F2227" s="138" t="str">
        <f>VLOOKUP(Purchase[[#This Row],[Supplier ID]],Supplier[#All],4,0)</f>
        <v>Korba</v>
      </c>
      <c r="G2227" s="138" t="str">
        <f>VLOOKUP(Purchase[[#This Row],[Supplier ID]],Supplier[#All],5,0)</f>
        <v>CG</v>
      </c>
      <c r="H2227" s="138" t="str">
        <f>VLOOKUP(Purchase[[#This Row],[Supplier ID]],Supplier[#All],6,0)</f>
        <v>GST2154521T015</v>
      </c>
      <c r="I2227" s="138" t="s">
        <v>548</v>
      </c>
      <c r="J2227" s="139">
        <v>39</v>
      </c>
      <c r="K2227" s="143">
        <f>VLOOKUP(Purchase[[#This Row],[Product ID]],Product[#All],6,0)</f>
        <v>2026</v>
      </c>
      <c r="L2227" s="143">
        <f>Purchase[[#This Row],[Purchase Rate]]*Purchase[[#This Row],[Qty]]</f>
        <v>79014</v>
      </c>
      <c r="M2227" s="140">
        <v>0</v>
      </c>
      <c r="N2227" s="143">
        <v>0</v>
      </c>
      <c r="O2227" s="140">
        <v>0.18</v>
      </c>
      <c r="P2227" s="145">
        <f>(Purchase[[#This Row],[Gross Amount]]-Purchase[[#This Row],[Disct %]])*Purchase[[#This Row],[GST %]]</f>
        <v>14222.519999999999</v>
      </c>
      <c r="Q2227" s="145">
        <f>Purchase[[#This Row],[Gross Amount]]-Purchase[[#This Row],[Disct Amnt]]+Purchase[[#This Row],[GST Amount]]</f>
        <v>93236.52</v>
      </c>
      <c r="R2227" s="138" t="s">
        <v>1040</v>
      </c>
      <c r="S2227" s="41">
        <f>IF(Purchase[[#This Row],[Status]]="Cancelled",0,Purchase[[#This Row],[Qty]])</f>
        <v>0</v>
      </c>
      <c r="T2227" s="146">
        <f>IF(Purchase[[#This Row],[Status]]="Cancelled",0,Purchase[[#This Row],[Total Amount]])</f>
        <v>0</v>
      </c>
      <c r="U2227" s="146">
        <f>SUM(Purchase[Net Amount])</f>
        <v>814985438.68000126</v>
      </c>
    </row>
    <row r="2228" spans="1:21" ht="19.5" thickBot="1" x14ac:dyDescent="0.3">
      <c r="A2228" s="136" t="s">
        <v>3284</v>
      </c>
      <c r="B2228" s="137">
        <v>45768</v>
      </c>
      <c r="C2228" s="138" t="s">
        <v>584</v>
      </c>
      <c r="D2228" s="138" t="str">
        <f>VLOOKUP(Purchase[[#This Row],[Supplier ID]],Supplier[#All],2,0)</f>
        <v>Prime Computers</v>
      </c>
      <c r="E2228" s="138">
        <f>VLOOKUP(Purchase[[#This Row],[Supplier ID]],Supplier[#All],3,0)</f>
        <v>9689542468</v>
      </c>
      <c r="F2228" s="138" t="str">
        <f>VLOOKUP(Purchase[[#This Row],[Supplier ID]],Supplier[#All],4,0)</f>
        <v>Kanpur</v>
      </c>
      <c r="G2228" s="138" t="str">
        <f>VLOOKUP(Purchase[[#This Row],[Supplier ID]],Supplier[#All],5,0)</f>
        <v>UP</v>
      </c>
      <c r="H2228" s="138" t="str">
        <f>VLOOKUP(Purchase[[#This Row],[Supplier ID]],Supplier[#All],6,0)</f>
        <v>GST2154521T030</v>
      </c>
      <c r="I2228" s="138" t="s">
        <v>62</v>
      </c>
      <c r="J2228" s="139">
        <v>4</v>
      </c>
      <c r="K2228" s="143">
        <f>VLOOKUP(Purchase[[#This Row],[Product ID]],Product[#All],6,0)</f>
        <v>5977</v>
      </c>
      <c r="L2228" s="143">
        <f>Purchase[[#This Row],[Purchase Rate]]*Purchase[[#This Row],[Qty]]</f>
        <v>23908</v>
      </c>
      <c r="M2228" s="140">
        <v>0</v>
      </c>
      <c r="N2228" s="143">
        <v>0</v>
      </c>
      <c r="O2228" s="140">
        <v>0.18</v>
      </c>
      <c r="P2228" s="145">
        <f>(Purchase[[#This Row],[Gross Amount]]-Purchase[[#This Row],[Disct %]])*Purchase[[#This Row],[GST %]]</f>
        <v>4303.4399999999996</v>
      </c>
      <c r="Q2228" s="145">
        <f>Purchase[[#This Row],[Gross Amount]]-Purchase[[#This Row],[Disct Amnt]]+Purchase[[#This Row],[GST Amount]]</f>
        <v>28211.439999999999</v>
      </c>
      <c r="R2228" s="138" t="s">
        <v>1019</v>
      </c>
      <c r="S2228" s="41">
        <f>IF(Purchase[[#This Row],[Status]]="Cancelled",0,Purchase[[#This Row],[Qty]])</f>
        <v>4</v>
      </c>
      <c r="T2228" s="146">
        <f>IF(Purchase[[#This Row],[Status]]="Cancelled",0,Purchase[[#This Row],[Total Amount]])</f>
        <v>28211.439999999999</v>
      </c>
      <c r="U2228" s="146">
        <f>SUM(Purchase[Net Amount])</f>
        <v>814985438.68000126</v>
      </c>
    </row>
    <row r="2229" spans="1:21" ht="19.5" thickBot="1" x14ac:dyDescent="0.3">
      <c r="A2229" s="136" t="s">
        <v>3285</v>
      </c>
      <c r="B2229" s="137">
        <v>45768</v>
      </c>
      <c r="C2229" s="138" t="s">
        <v>607</v>
      </c>
      <c r="D2229" s="138" t="str">
        <f>VLOOKUP(Purchase[[#This Row],[Supplier ID]],Supplier[#All],2,0)</f>
        <v>Global Distributors</v>
      </c>
      <c r="E2229" s="138">
        <f>VLOOKUP(Purchase[[#This Row],[Supplier ID]],Supplier[#All],3,0)</f>
        <v>9689542490</v>
      </c>
      <c r="F2229" s="138" t="str">
        <f>VLOOKUP(Purchase[[#This Row],[Supplier ID]],Supplier[#All],4,0)</f>
        <v>Kanpur</v>
      </c>
      <c r="G2229" s="138" t="str">
        <f>VLOOKUP(Purchase[[#This Row],[Supplier ID]],Supplier[#All],5,0)</f>
        <v>UP</v>
      </c>
      <c r="H2229" s="138" t="str">
        <f>VLOOKUP(Purchase[[#This Row],[Supplier ID]],Supplier[#All],6,0)</f>
        <v>GST2154521T052</v>
      </c>
      <c r="I2229" s="138" t="s">
        <v>396</v>
      </c>
      <c r="J2229" s="139">
        <v>28</v>
      </c>
      <c r="K2229" s="143">
        <f>VLOOKUP(Purchase[[#This Row],[Product ID]],Product[#All],6,0)</f>
        <v>63314</v>
      </c>
      <c r="L2229" s="143">
        <f>Purchase[[#This Row],[Purchase Rate]]*Purchase[[#This Row],[Qty]]</f>
        <v>1772792</v>
      </c>
      <c r="M2229" s="140">
        <v>0</v>
      </c>
      <c r="N2229" s="143">
        <v>0</v>
      </c>
      <c r="O2229" s="140">
        <v>0.18</v>
      </c>
      <c r="P2229" s="145">
        <f>(Purchase[[#This Row],[Gross Amount]]-Purchase[[#This Row],[Disct %]])*Purchase[[#This Row],[GST %]]</f>
        <v>319102.56</v>
      </c>
      <c r="Q2229" s="145">
        <f>Purchase[[#This Row],[Gross Amount]]-Purchase[[#This Row],[Disct Amnt]]+Purchase[[#This Row],[GST Amount]]</f>
        <v>2091894.56</v>
      </c>
      <c r="R2229" s="138" t="s">
        <v>1019</v>
      </c>
      <c r="S2229" s="41">
        <f>IF(Purchase[[#This Row],[Status]]="Cancelled",0,Purchase[[#This Row],[Qty]])</f>
        <v>28</v>
      </c>
      <c r="T2229" s="146">
        <f>IF(Purchase[[#This Row],[Status]]="Cancelled",0,Purchase[[#This Row],[Total Amount]])</f>
        <v>2091894.56</v>
      </c>
      <c r="U2229" s="146">
        <f>SUM(Purchase[Net Amount])</f>
        <v>814985438.68000126</v>
      </c>
    </row>
    <row r="2230" spans="1:21" ht="19.5" thickBot="1" x14ac:dyDescent="0.3">
      <c r="A2230" s="136" t="s">
        <v>3286</v>
      </c>
      <c r="B2230" s="137">
        <v>45768</v>
      </c>
      <c r="C2230" s="138" t="s">
        <v>582</v>
      </c>
      <c r="D2230" s="138" t="str">
        <f>VLOOKUP(Purchase[[#This Row],[Supplier ID]],Supplier[#All],2,0)</f>
        <v>Tech Distributors</v>
      </c>
      <c r="E2230" s="138">
        <f>VLOOKUP(Purchase[[#This Row],[Supplier ID]],Supplier[#All],3,0)</f>
        <v>9689542466</v>
      </c>
      <c r="F2230" s="138" t="str">
        <f>VLOOKUP(Purchase[[#This Row],[Supplier ID]],Supplier[#All],4,0)</f>
        <v>Indore</v>
      </c>
      <c r="G2230" s="138" t="str">
        <f>VLOOKUP(Purchase[[#This Row],[Supplier ID]],Supplier[#All],5,0)</f>
        <v>MP</v>
      </c>
      <c r="H2230" s="138" t="str">
        <f>VLOOKUP(Purchase[[#This Row],[Supplier ID]],Supplier[#All],6,0)</f>
        <v>GST2154521T028</v>
      </c>
      <c r="I2230" s="138" t="s">
        <v>49</v>
      </c>
      <c r="J2230" s="139">
        <v>38</v>
      </c>
      <c r="K2230" s="143">
        <f>VLOOKUP(Purchase[[#This Row],[Product ID]],Product[#All],6,0)</f>
        <v>798</v>
      </c>
      <c r="L2230" s="143">
        <f>Purchase[[#This Row],[Purchase Rate]]*Purchase[[#This Row],[Qty]]</f>
        <v>30324</v>
      </c>
      <c r="M2230" s="140">
        <v>0</v>
      </c>
      <c r="N2230" s="143">
        <v>0</v>
      </c>
      <c r="O2230" s="140">
        <v>0.18</v>
      </c>
      <c r="P2230" s="145">
        <f>(Purchase[[#This Row],[Gross Amount]]-Purchase[[#This Row],[Disct %]])*Purchase[[#This Row],[GST %]]</f>
        <v>5458.32</v>
      </c>
      <c r="Q2230" s="145">
        <f>Purchase[[#This Row],[Gross Amount]]-Purchase[[#This Row],[Disct Amnt]]+Purchase[[#This Row],[GST Amount]]</f>
        <v>35782.32</v>
      </c>
      <c r="R2230" s="138" t="s">
        <v>1019</v>
      </c>
      <c r="S2230" s="41">
        <f>IF(Purchase[[#This Row],[Status]]="Cancelled",0,Purchase[[#This Row],[Qty]])</f>
        <v>38</v>
      </c>
      <c r="T2230" s="146">
        <f>IF(Purchase[[#This Row],[Status]]="Cancelled",0,Purchase[[#This Row],[Total Amount]])</f>
        <v>35782.32</v>
      </c>
      <c r="U2230" s="146">
        <f>SUM(Purchase[Net Amount])</f>
        <v>814985438.68000126</v>
      </c>
    </row>
    <row r="2231" spans="1:21" ht="19.5" thickBot="1" x14ac:dyDescent="0.3">
      <c r="A2231" s="136" t="s">
        <v>3287</v>
      </c>
      <c r="B2231" s="137">
        <v>45768</v>
      </c>
      <c r="C2231" s="138" t="s">
        <v>580</v>
      </c>
      <c r="D2231" s="138" t="str">
        <f>VLOOKUP(Purchase[[#This Row],[Supplier ID]],Supplier[#All],2,0)</f>
        <v>Star Distributors</v>
      </c>
      <c r="E2231" s="138">
        <f>VLOOKUP(Purchase[[#This Row],[Supplier ID]],Supplier[#All],3,0)</f>
        <v>9689542464</v>
      </c>
      <c r="F2231" s="138" t="str">
        <f>VLOOKUP(Purchase[[#This Row],[Supplier ID]],Supplier[#All],4,0)</f>
        <v>Indore</v>
      </c>
      <c r="G2231" s="138" t="str">
        <f>VLOOKUP(Purchase[[#This Row],[Supplier ID]],Supplier[#All],5,0)</f>
        <v>MP</v>
      </c>
      <c r="H2231" s="138" t="str">
        <f>VLOOKUP(Purchase[[#This Row],[Supplier ID]],Supplier[#All],6,0)</f>
        <v>GST2154521T026</v>
      </c>
      <c r="I2231" s="138" t="s">
        <v>283</v>
      </c>
      <c r="J2231" s="139">
        <v>33</v>
      </c>
      <c r="K2231" s="143">
        <f>VLOOKUP(Purchase[[#This Row],[Product ID]],Product[#All],6,0)</f>
        <v>28087</v>
      </c>
      <c r="L2231" s="143">
        <f>Purchase[[#This Row],[Purchase Rate]]*Purchase[[#This Row],[Qty]]</f>
        <v>926871</v>
      </c>
      <c r="M2231" s="140">
        <v>0</v>
      </c>
      <c r="N2231" s="143">
        <v>0</v>
      </c>
      <c r="O2231" s="140">
        <v>0.18</v>
      </c>
      <c r="P2231" s="145">
        <f>(Purchase[[#This Row],[Gross Amount]]-Purchase[[#This Row],[Disct %]])*Purchase[[#This Row],[GST %]]</f>
        <v>166836.78</v>
      </c>
      <c r="Q2231" s="145">
        <f>Purchase[[#This Row],[Gross Amount]]-Purchase[[#This Row],[Disct Amnt]]+Purchase[[#This Row],[GST Amount]]</f>
        <v>1093707.78</v>
      </c>
      <c r="R2231" s="138" t="s">
        <v>1019</v>
      </c>
      <c r="S2231" s="41">
        <f>IF(Purchase[[#This Row],[Status]]="Cancelled",0,Purchase[[#This Row],[Qty]])</f>
        <v>33</v>
      </c>
      <c r="T2231" s="146">
        <f>IF(Purchase[[#This Row],[Status]]="Cancelled",0,Purchase[[#This Row],[Total Amount]])</f>
        <v>1093707.78</v>
      </c>
      <c r="U2231" s="146">
        <f>SUM(Purchase[Net Amount])</f>
        <v>814985438.68000126</v>
      </c>
    </row>
    <row r="2232" spans="1:21" ht="19.5" thickBot="1" x14ac:dyDescent="0.3">
      <c r="A2232" s="136" t="s">
        <v>3288</v>
      </c>
      <c r="B2232" s="137">
        <v>45768</v>
      </c>
      <c r="C2232" s="138" t="s">
        <v>1735</v>
      </c>
      <c r="D2232" s="138" t="str">
        <f>VLOOKUP(Purchase[[#This Row],[Supplier ID]],Supplier[#All],2,0)</f>
        <v>Maa Distributors</v>
      </c>
      <c r="E2232" s="138">
        <f>VLOOKUP(Purchase[[#This Row],[Supplier ID]],Supplier[#All],3,0)</f>
        <v>9689542460</v>
      </c>
      <c r="F2232" s="138" t="str">
        <f>VLOOKUP(Purchase[[#This Row],[Supplier ID]],Supplier[#All],4,0)</f>
        <v>Korba</v>
      </c>
      <c r="G2232" s="138" t="str">
        <f>VLOOKUP(Purchase[[#This Row],[Supplier ID]],Supplier[#All],5,0)</f>
        <v>CG</v>
      </c>
      <c r="H2232" s="138" t="str">
        <f>VLOOKUP(Purchase[[#This Row],[Supplier ID]],Supplier[#All],6,0)</f>
        <v>GST2154521T022</v>
      </c>
      <c r="I2232" s="138" t="s">
        <v>89</v>
      </c>
      <c r="J2232" s="139">
        <v>22</v>
      </c>
      <c r="K2232" s="143">
        <f>VLOOKUP(Purchase[[#This Row],[Product ID]],Product[#All],6,0)</f>
        <v>341</v>
      </c>
      <c r="L2232" s="143">
        <f>Purchase[[#This Row],[Purchase Rate]]*Purchase[[#This Row],[Qty]]</f>
        <v>7502</v>
      </c>
      <c r="M2232" s="140">
        <v>0</v>
      </c>
      <c r="N2232" s="143">
        <v>0</v>
      </c>
      <c r="O2232" s="140">
        <v>0.18</v>
      </c>
      <c r="P2232" s="145">
        <f>(Purchase[[#This Row],[Gross Amount]]-Purchase[[#This Row],[Disct %]])*Purchase[[#This Row],[GST %]]</f>
        <v>1350.36</v>
      </c>
      <c r="Q2232" s="145">
        <f>Purchase[[#This Row],[Gross Amount]]-Purchase[[#This Row],[Disct Amnt]]+Purchase[[#This Row],[GST Amount]]</f>
        <v>8852.36</v>
      </c>
      <c r="R2232" s="138" t="s">
        <v>1019</v>
      </c>
      <c r="S2232" s="41">
        <f>IF(Purchase[[#This Row],[Status]]="Cancelled",0,Purchase[[#This Row],[Qty]])</f>
        <v>22</v>
      </c>
      <c r="T2232" s="146">
        <f>IF(Purchase[[#This Row],[Status]]="Cancelled",0,Purchase[[#This Row],[Total Amount]])</f>
        <v>8852.36</v>
      </c>
      <c r="U2232" s="146">
        <f>SUM(Purchase[Net Amount])</f>
        <v>814985438.68000126</v>
      </c>
    </row>
    <row r="2233" spans="1:21" ht="19.5" thickBot="1" x14ac:dyDescent="0.3">
      <c r="A2233" s="136" t="s">
        <v>3289</v>
      </c>
      <c r="B2233" s="137">
        <v>45768</v>
      </c>
      <c r="C2233" s="138" t="s">
        <v>575</v>
      </c>
      <c r="D2233" s="138" t="str">
        <f>VLOOKUP(Purchase[[#This Row],[Supplier ID]],Supplier[#All],2,0)</f>
        <v>Global Computers</v>
      </c>
      <c r="E2233" s="138">
        <f>VLOOKUP(Purchase[[#This Row],[Supplier ID]],Supplier[#All],3,0)</f>
        <v>9689542459</v>
      </c>
      <c r="F2233" s="138" t="str">
        <f>VLOOKUP(Purchase[[#This Row],[Supplier ID]],Supplier[#All],4,0)</f>
        <v>Indore</v>
      </c>
      <c r="G2233" s="138" t="str">
        <f>VLOOKUP(Purchase[[#This Row],[Supplier ID]],Supplier[#All],5,0)</f>
        <v>MP</v>
      </c>
      <c r="H2233" s="138" t="str">
        <f>VLOOKUP(Purchase[[#This Row],[Supplier ID]],Supplier[#All],6,0)</f>
        <v>GST2154521T021</v>
      </c>
      <c r="I2233" s="138" t="s">
        <v>551</v>
      </c>
      <c r="J2233" s="139">
        <v>38</v>
      </c>
      <c r="K2233" s="143">
        <f>VLOOKUP(Purchase[[#This Row],[Product ID]],Product[#All],6,0)</f>
        <v>33311</v>
      </c>
      <c r="L2233" s="143">
        <f>Purchase[[#This Row],[Purchase Rate]]*Purchase[[#This Row],[Qty]]</f>
        <v>1265818</v>
      </c>
      <c r="M2233" s="140">
        <v>0</v>
      </c>
      <c r="N2233" s="143">
        <v>0</v>
      </c>
      <c r="O2233" s="140">
        <v>0.18</v>
      </c>
      <c r="P2233" s="145">
        <f>(Purchase[[#This Row],[Gross Amount]]-Purchase[[#This Row],[Disct %]])*Purchase[[#This Row],[GST %]]</f>
        <v>227847.24</v>
      </c>
      <c r="Q2233" s="145">
        <f>Purchase[[#This Row],[Gross Amount]]-Purchase[[#This Row],[Disct Amnt]]+Purchase[[#This Row],[GST Amount]]</f>
        <v>1493665.24</v>
      </c>
      <c r="R2233" s="138" t="s">
        <v>1019</v>
      </c>
      <c r="S2233" s="41">
        <f>IF(Purchase[[#This Row],[Status]]="Cancelled",0,Purchase[[#This Row],[Qty]])</f>
        <v>38</v>
      </c>
      <c r="T2233" s="146">
        <f>IF(Purchase[[#This Row],[Status]]="Cancelled",0,Purchase[[#This Row],[Total Amount]])</f>
        <v>1493665.24</v>
      </c>
      <c r="U2233" s="146">
        <f>SUM(Purchase[Net Amount])</f>
        <v>814985438.68000126</v>
      </c>
    </row>
    <row r="2234" spans="1:21" ht="19.5" thickBot="1" x14ac:dyDescent="0.3">
      <c r="A2234" s="136" t="s">
        <v>3290</v>
      </c>
      <c r="B2234" s="137">
        <v>45768</v>
      </c>
      <c r="C2234" s="138" t="s">
        <v>615</v>
      </c>
      <c r="D2234" s="138" t="str">
        <f>VLOOKUP(Purchase[[#This Row],[Supplier ID]],Supplier[#All],2,0)</f>
        <v>NATIONAL ELECTRONICS</v>
      </c>
      <c r="E2234" s="138">
        <f>VLOOKUP(Purchase[[#This Row],[Supplier ID]],Supplier[#All],3,0)</f>
        <v>9689542498</v>
      </c>
      <c r="F2234" s="138" t="str">
        <f>VLOOKUP(Purchase[[#This Row],[Supplier ID]],Supplier[#All],4,0)</f>
        <v>Kanpur</v>
      </c>
      <c r="G2234" s="138" t="str">
        <f>VLOOKUP(Purchase[[#This Row],[Supplier ID]],Supplier[#All],5,0)</f>
        <v>UP</v>
      </c>
      <c r="H2234" s="138" t="str">
        <f>VLOOKUP(Purchase[[#This Row],[Supplier ID]],Supplier[#All],6,0)</f>
        <v>GST2154521T060</v>
      </c>
      <c r="I2234" s="138" t="s">
        <v>123</v>
      </c>
      <c r="J2234" s="139">
        <v>36</v>
      </c>
      <c r="K2234" s="143">
        <f>VLOOKUP(Purchase[[#This Row],[Product ID]],Product[#All],6,0)</f>
        <v>2142</v>
      </c>
      <c r="L2234" s="143">
        <f>Purchase[[#This Row],[Purchase Rate]]*Purchase[[#This Row],[Qty]]</f>
        <v>77112</v>
      </c>
      <c r="M2234" s="140">
        <v>0</v>
      </c>
      <c r="N2234" s="143">
        <v>0</v>
      </c>
      <c r="O2234" s="140">
        <v>0.18</v>
      </c>
      <c r="P2234" s="145">
        <f>(Purchase[[#This Row],[Gross Amount]]-Purchase[[#This Row],[Disct %]])*Purchase[[#This Row],[GST %]]</f>
        <v>13880.16</v>
      </c>
      <c r="Q2234" s="145">
        <f>Purchase[[#This Row],[Gross Amount]]-Purchase[[#This Row],[Disct Amnt]]+Purchase[[#This Row],[GST Amount]]</f>
        <v>90992.16</v>
      </c>
      <c r="R2234" s="138" t="s">
        <v>1019</v>
      </c>
      <c r="S2234" s="41">
        <f>IF(Purchase[[#This Row],[Status]]="Cancelled",0,Purchase[[#This Row],[Qty]])</f>
        <v>36</v>
      </c>
      <c r="T2234" s="146">
        <f>IF(Purchase[[#This Row],[Status]]="Cancelled",0,Purchase[[#This Row],[Total Amount]])</f>
        <v>90992.16</v>
      </c>
      <c r="U2234" s="146">
        <f>SUM(Purchase[Net Amount])</f>
        <v>814985438.68000126</v>
      </c>
    </row>
    <row r="2235" spans="1:21" ht="19.5" thickBot="1" x14ac:dyDescent="0.3">
      <c r="A2235" s="136" t="s">
        <v>3291</v>
      </c>
      <c r="B2235" s="137">
        <v>45768</v>
      </c>
      <c r="C2235" s="138" t="s">
        <v>602</v>
      </c>
      <c r="D2235" s="138" t="str">
        <f>VLOOKUP(Purchase[[#This Row],[Supplier ID]],Supplier[#All],2,0)</f>
        <v>Maa Computers</v>
      </c>
      <c r="E2235" s="138">
        <f>VLOOKUP(Purchase[[#This Row],[Supplier ID]],Supplier[#All],3,0)</f>
        <v>9689542485</v>
      </c>
      <c r="F2235" s="138" t="str">
        <f>VLOOKUP(Purchase[[#This Row],[Supplier ID]],Supplier[#All],4,0)</f>
        <v>Korba</v>
      </c>
      <c r="G2235" s="138" t="str">
        <f>VLOOKUP(Purchase[[#This Row],[Supplier ID]],Supplier[#All],5,0)</f>
        <v>CG</v>
      </c>
      <c r="H2235" s="138" t="str">
        <f>VLOOKUP(Purchase[[#This Row],[Supplier ID]],Supplier[#All],6,0)</f>
        <v>GST2154521T047</v>
      </c>
      <c r="I2235" s="138" t="s">
        <v>144</v>
      </c>
      <c r="J2235" s="139">
        <v>35</v>
      </c>
      <c r="K2235" s="143">
        <f>VLOOKUP(Purchase[[#This Row],[Product ID]],Product[#All],6,0)</f>
        <v>6307</v>
      </c>
      <c r="L2235" s="143">
        <f>Purchase[[#This Row],[Purchase Rate]]*Purchase[[#This Row],[Qty]]</f>
        <v>220745</v>
      </c>
      <c r="M2235" s="140">
        <v>0</v>
      </c>
      <c r="N2235" s="143">
        <v>0</v>
      </c>
      <c r="O2235" s="140">
        <v>0.18</v>
      </c>
      <c r="P2235" s="145">
        <f>(Purchase[[#This Row],[Gross Amount]]-Purchase[[#This Row],[Disct %]])*Purchase[[#This Row],[GST %]]</f>
        <v>39734.1</v>
      </c>
      <c r="Q2235" s="145">
        <f>Purchase[[#This Row],[Gross Amount]]-Purchase[[#This Row],[Disct Amnt]]+Purchase[[#This Row],[GST Amount]]</f>
        <v>260479.1</v>
      </c>
      <c r="R2235" s="138" t="s">
        <v>1019</v>
      </c>
      <c r="S2235" s="41">
        <f>IF(Purchase[[#This Row],[Status]]="Cancelled",0,Purchase[[#This Row],[Qty]])</f>
        <v>35</v>
      </c>
      <c r="T2235" s="146">
        <f>IF(Purchase[[#This Row],[Status]]="Cancelled",0,Purchase[[#This Row],[Total Amount]])</f>
        <v>260479.1</v>
      </c>
      <c r="U2235" s="146">
        <f>SUM(Purchase[Net Amount])</f>
        <v>814985438.68000126</v>
      </c>
    </row>
    <row r="2236" spans="1:21" ht="19.5" thickBot="1" x14ac:dyDescent="0.3">
      <c r="A2236" s="136" t="s">
        <v>3292</v>
      </c>
      <c r="B2236" s="137">
        <v>45768</v>
      </c>
      <c r="C2236" s="138" t="s">
        <v>588</v>
      </c>
      <c r="D2236" s="138" t="str">
        <f>VLOOKUP(Purchase[[#This Row],[Supplier ID]],Supplier[#All],2,0)</f>
        <v>Star Electronics</v>
      </c>
      <c r="E2236" s="138">
        <f>VLOOKUP(Purchase[[#This Row],[Supplier ID]],Supplier[#All],3,0)</f>
        <v>9689542472</v>
      </c>
      <c r="F2236" s="138" t="str">
        <f>VLOOKUP(Purchase[[#This Row],[Supplier ID]],Supplier[#All],4,0)</f>
        <v>Korba</v>
      </c>
      <c r="G2236" s="138" t="str">
        <f>VLOOKUP(Purchase[[#This Row],[Supplier ID]],Supplier[#All],5,0)</f>
        <v>CG</v>
      </c>
      <c r="H2236" s="138" t="str">
        <f>VLOOKUP(Purchase[[#This Row],[Supplier ID]],Supplier[#All],6,0)</f>
        <v>GST2154521T034</v>
      </c>
      <c r="I2236" s="138" t="s">
        <v>390</v>
      </c>
      <c r="J2236" s="139">
        <v>31</v>
      </c>
      <c r="K2236" s="143">
        <f>VLOOKUP(Purchase[[#This Row],[Product ID]],Product[#All],6,0)</f>
        <v>3799</v>
      </c>
      <c r="L2236" s="143">
        <f>Purchase[[#This Row],[Purchase Rate]]*Purchase[[#This Row],[Qty]]</f>
        <v>117769</v>
      </c>
      <c r="M2236" s="140">
        <v>0</v>
      </c>
      <c r="N2236" s="143">
        <v>0</v>
      </c>
      <c r="O2236" s="140">
        <v>0.18</v>
      </c>
      <c r="P2236" s="145">
        <f>(Purchase[[#This Row],[Gross Amount]]-Purchase[[#This Row],[Disct %]])*Purchase[[#This Row],[GST %]]</f>
        <v>21198.42</v>
      </c>
      <c r="Q2236" s="145">
        <f>Purchase[[#This Row],[Gross Amount]]-Purchase[[#This Row],[Disct Amnt]]+Purchase[[#This Row],[GST Amount]]</f>
        <v>138967.41999999998</v>
      </c>
      <c r="R2236" s="138" t="s">
        <v>1019</v>
      </c>
      <c r="S2236" s="41">
        <f>IF(Purchase[[#This Row],[Status]]="Cancelled",0,Purchase[[#This Row],[Qty]])</f>
        <v>31</v>
      </c>
      <c r="T2236" s="146">
        <f>IF(Purchase[[#This Row],[Status]]="Cancelled",0,Purchase[[#This Row],[Total Amount]])</f>
        <v>138967.41999999998</v>
      </c>
      <c r="U2236" s="146">
        <f>SUM(Purchase[Net Amount])</f>
        <v>814985438.68000126</v>
      </c>
    </row>
    <row r="2237" spans="1:21" ht="19.5" thickBot="1" x14ac:dyDescent="0.3">
      <c r="A2237" s="136" t="s">
        <v>3293</v>
      </c>
      <c r="B2237" s="137">
        <v>45768</v>
      </c>
      <c r="C2237" s="138" t="s">
        <v>616</v>
      </c>
      <c r="D2237" s="138" t="str">
        <f>VLOOKUP(Purchase[[#This Row],[Supplier ID]],Supplier[#All],2,0)</f>
        <v>Global Suppliers</v>
      </c>
      <c r="E2237" s="138">
        <f>VLOOKUP(Purchase[[#This Row],[Supplier ID]],Supplier[#All],3,0)</f>
        <v>9689542499</v>
      </c>
      <c r="F2237" s="138" t="str">
        <f>VLOOKUP(Purchase[[#This Row],[Supplier ID]],Supplier[#All],4,0)</f>
        <v>Kanpur</v>
      </c>
      <c r="G2237" s="138" t="str">
        <f>VLOOKUP(Purchase[[#This Row],[Supplier ID]],Supplier[#All],5,0)</f>
        <v>UP</v>
      </c>
      <c r="H2237" s="138" t="str">
        <f>VLOOKUP(Purchase[[#This Row],[Supplier ID]],Supplier[#All],6,0)</f>
        <v>GST2154521T061</v>
      </c>
      <c r="I2237" s="138" t="s">
        <v>177</v>
      </c>
      <c r="J2237" s="139">
        <v>3</v>
      </c>
      <c r="K2237" s="143">
        <f>VLOOKUP(Purchase[[#This Row],[Product ID]],Product[#All],6,0)</f>
        <v>45329</v>
      </c>
      <c r="L2237" s="143">
        <f>Purchase[[#This Row],[Purchase Rate]]*Purchase[[#This Row],[Qty]]</f>
        <v>135987</v>
      </c>
      <c r="M2237" s="140">
        <v>0</v>
      </c>
      <c r="N2237" s="143">
        <v>0</v>
      </c>
      <c r="O2237" s="140">
        <v>0.18</v>
      </c>
      <c r="P2237" s="145">
        <f>(Purchase[[#This Row],[Gross Amount]]-Purchase[[#This Row],[Disct %]])*Purchase[[#This Row],[GST %]]</f>
        <v>24477.66</v>
      </c>
      <c r="Q2237" s="145">
        <f>Purchase[[#This Row],[Gross Amount]]-Purchase[[#This Row],[Disct Amnt]]+Purchase[[#This Row],[GST Amount]]</f>
        <v>160464.66</v>
      </c>
      <c r="R2237" s="138" t="s">
        <v>1019</v>
      </c>
      <c r="S2237" s="41">
        <f>IF(Purchase[[#This Row],[Status]]="Cancelled",0,Purchase[[#This Row],[Qty]])</f>
        <v>3</v>
      </c>
      <c r="T2237" s="146">
        <f>IF(Purchase[[#This Row],[Status]]="Cancelled",0,Purchase[[#This Row],[Total Amount]])</f>
        <v>160464.66</v>
      </c>
      <c r="U2237" s="146">
        <f>SUM(Purchase[Net Amount])</f>
        <v>814985438.68000126</v>
      </c>
    </row>
    <row r="2238" spans="1:21" ht="19.5" thickBot="1" x14ac:dyDescent="0.3">
      <c r="A2238" s="136" t="s">
        <v>3294</v>
      </c>
      <c r="B2238" s="137">
        <v>45768</v>
      </c>
      <c r="C2238" s="138" t="s">
        <v>571</v>
      </c>
      <c r="D2238" s="138" t="str">
        <f>VLOOKUP(Purchase[[#This Row],[Supplier ID]],Supplier[#All],2,0)</f>
        <v>Tech Suppliers</v>
      </c>
      <c r="E2238" s="138">
        <f>VLOOKUP(Purchase[[#This Row],[Supplier ID]],Supplier[#All],3,0)</f>
        <v>9689542457</v>
      </c>
      <c r="F2238" s="138" t="str">
        <f>VLOOKUP(Purchase[[#This Row],[Supplier ID]],Supplier[#All],4,0)</f>
        <v>Korba</v>
      </c>
      <c r="G2238" s="138" t="str">
        <f>VLOOKUP(Purchase[[#This Row],[Supplier ID]],Supplier[#All],5,0)</f>
        <v>CG</v>
      </c>
      <c r="H2238" s="138" t="str">
        <f>VLOOKUP(Purchase[[#This Row],[Supplier ID]],Supplier[#All],6,0)</f>
        <v>GST2154521T019</v>
      </c>
      <c r="I2238" s="138" t="s">
        <v>205</v>
      </c>
      <c r="J2238" s="139">
        <v>40</v>
      </c>
      <c r="K2238" s="143">
        <f>VLOOKUP(Purchase[[#This Row],[Product ID]],Product[#All],6,0)</f>
        <v>3906</v>
      </c>
      <c r="L2238" s="143">
        <f>Purchase[[#This Row],[Purchase Rate]]*Purchase[[#This Row],[Qty]]</f>
        <v>156240</v>
      </c>
      <c r="M2238" s="140">
        <v>0</v>
      </c>
      <c r="N2238" s="143">
        <v>0</v>
      </c>
      <c r="O2238" s="140">
        <v>0.18</v>
      </c>
      <c r="P2238" s="145">
        <f>(Purchase[[#This Row],[Gross Amount]]-Purchase[[#This Row],[Disct %]])*Purchase[[#This Row],[GST %]]</f>
        <v>28123.200000000001</v>
      </c>
      <c r="Q2238" s="145">
        <f>Purchase[[#This Row],[Gross Amount]]-Purchase[[#This Row],[Disct Amnt]]+Purchase[[#This Row],[GST Amount]]</f>
        <v>184363.2</v>
      </c>
      <c r="R2238" s="138" t="s">
        <v>1019</v>
      </c>
      <c r="S2238" s="41">
        <f>IF(Purchase[[#This Row],[Status]]="Cancelled",0,Purchase[[#This Row],[Qty]])</f>
        <v>40</v>
      </c>
      <c r="T2238" s="146">
        <f>IF(Purchase[[#This Row],[Status]]="Cancelled",0,Purchase[[#This Row],[Total Amount]])</f>
        <v>184363.2</v>
      </c>
      <c r="U2238" s="146">
        <f>SUM(Purchase[Net Amount])</f>
        <v>814985438.68000126</v>
      </c>
    </row>
    <row r="2239" spans="1:21" ht="19.5" thickBot="1" x14ac:dyDescent="0.3">
      <c r="A2239" s="136" t="s">
        <v>3295</v>
      </c>
      <c r="B2239" s="137">
        <v>45768</v>
      </c>
      <c r="C2239" s="138" t="s">
        <v>581</v>
      </c>
      <c r="D2239" s="138" t="str">
        <f>VLOOKUP(Purchase[[#This Row],[Supplier ID]],Supplier[#All],2,0)</f>
        <v>Prime Electronics</v>
      </c>
      <c r="E2239" s="138">
        <f>VLOOKUP(Purchase[[#This Row],[Supplier ID]],Supplier[#All],3,0)</f>
        <v>9689542465</v>
      </c>
      <c r="F2239" s="138" t="str">
        <f>VLOOKUP(Purchase[[#This Row],[Supplier ID]],Supplier[#All],4,0)</f>
        <v>Korba</v>
      </c>
      <c r="G2239" s="138" t="str">
        <f>VLOOKUP(Purchase[[#This Row],[Supplier ID]],Supplier[#All],5,0)</f>
        <v>CG</v>
      </c>
      <c r="H2239" s="138" t="str">
        <f>VLOOKUP(Purchase[[#This Row],[Supplier ID]],Supplier[#All],6,0)</f>
        <v>GST2154521T027</v>
      </c>
      <c r="I2239" s="138" t="s">
        <v>386</v>
      </c>
      <c r="J2239" s="139">
        <v>11</v>
      </c>
      <c r="K2239" s="143">
        <f>VLOOKUP(Purchase[[#This Row],[Product ID]],Product[#All],6,0)</f>
        <v>534</v>
      </c>
      <c r="L2239" s="143">
        <f>Purchase[[#This Row],[Purchase Rate]]*Purchase[[#This Row],[Qty]]</f>
        <v>5874</v>
      </c>
      <c r="M2239" s="140">
        <v>0</v>
      </c>
      <c r="N2239" s="143">
        <v>0</v>
      </c>
      <c r="O2239" s="140">
        <v>0.18</v>
      </c>
      <c r="P2239" s="145">
        <f>(Purchase[[#This Row],[Gross Amount]]-Purchase[[#This Row],[Disct %]])*Purchase[[#This Row],[GST %]]</f>
        <v>1057.32</v>
      </c>
      <c r="Q2239" s="145">
        <f>Purchase[[#This Row],[Gross Amount]]-Purchase[[#This Row],[Disct Amnt]]+Purchase[[#This Row],[GST Amount]]</f>
        <v>6931.32</v>
      </c>
      <c r="R2239" s="138" t="s">
        <v>1019</v>
      </c>
      <c r="S2239" s="41">
        <f>IF(Purchase[[#This Row],[Status]]="Cancelled",0,Purchase[[#This Row],[Qty]])</f>
        <v>11</v>
      </c>
      <c r="T2239" s="146">
        <f>IF(Purchase[[#This Row],[Status]]="Cancelled",0,Purchase[[#This Row],[Total Amount]])</f>
        <v>6931.32</v>
      </c>
      <c r="U2239" s="146">
        <f>SUM(Purchase[Net Amount])</f>
        <v>814985438.68000126</v>
      </c>
    </row>
    <row r="2240" spans="1:21" ht="19.5" thickBot="1" x14ac:dyDescent="0.3">
      <c r="A2240" s="136" t="s">
        <v>3296</v>
      </c>
      <c r="B2240" s="137">
        <v>45768</v>
      </c>
      <c r="C2240" s="138" t="s">
        <v>583</v>
      </c>
      <c r="D2240" s="138" t="str">
        <f>VLOOKUP(Purchase[[#This Row],[Supplier ID]],Supplier[#All],2,0)</f>
        <v>Shree Distributors</v>
      </c>
      <c r="E2240" s="138">
        <f>VLOOKUP(Purchase[[#This Row],[Supplier ID]],Supplier[#All],3,0)</f>
        <v>9689542467</v>
      </c>
      <c r="F2240" s="138" t="str">
        <f>VLOOKUP(Purchase[[#This Row],[Supplier ID]],Supplier[#All],4,0)</f>
        <v>Indore</v>
      </c>
      <c r="G2240" s="138" t="str">
        <f>VLOOKUP(Purchase[[#This Row],[Supplier ID]],Supplier[#All],5,0)</f>
        <v>MP</v>
      </c>
      <c r="H2240" s="138" t="str">
        <f>VLOOKUP(Purchase[[#This Row],[Supplier ID]],Supplier[#All],6,0)</f>
        <v>GST2154521T029</v>
      </c>
      <c r="I2240" s="138" t="s">
        <v>256</v>
      </c>
      <c r="J2240" s="139">
        <v>27</v>
      </c>
      <c r="K2240" s="143">
        <f>VLOOKUP(Purchase[[#This Row],[Product ID]],Product[#All],6,0)</f>
        <v>82676</v>
      </c>
      <c r="L2240" s="143">
        <f>Purchase[[#This Row],[Purchase Rate]]*Purchase[[#This Row],[Qty]]</f>
        <v>2232252</v>
      </c>
      <c r="M2240" s="140">
        <v>0</v>
      </c>
      <c r="N2240" s="143">
        <v>0</v>
      </c>
      <c r="O2240" s="140">
        <v>0.18</v>
      </c>
      <c r="P2240" s="145">
        <f>(Purchase[[#This Row],[Gross Amount]]-Purchase[[#This Row],[Disct %]])*Purchase[[#This Row],[GST %]]</f>
        <v>401805.36</v>
      </c>
      <c r="Q2240" s="145">
        <f>Purchase[[#This Row],[Gross Amount]]-Purchase[[#This Row],[Disct Amnt]]+Purchase[[#This Row],[GST Amount]]</f>
        <v>2634057.36</v>
      </c>
      <c r="R2240" s="138" t="s">
        <v>1019</v>
      </c>
      <c r="S2240" s="41">
        <f>IF(Purchase[[#This Row],[Status]]="Cancelled",0,Purchase[[#This Row],[Qty]])</f>
        <v>27</v>
      </c>
      <c r="T2240" s="146">
        <f>IF(Purchase[[#This Row],[Status]]="Cancelled",0,Purchase[[#This Row],[Total Amount]])</f>
        <v>2634057.36</v>
      </c>
      <c r="U2240" s="146">
        <f>SUM(Purchase[Net Amount])</f>
        <v>814985438.68000126</v>
      </c>
    </row>
    <row r="2241" spans="1:21" ht="19.5" thickBot="1" x14ac:dyDescent="0.3">
      <c r="A2241" s="136" t="s">
        <v>3297</v>
      </c>
      <c r="B2241" s="137">
        <v>45768</v>
      </c>
      <c r="C2241" s="138" t="s">
        <v>591</v>
      </c>
      <c r="D2241" s="138" t="str">
        <f>VLOOKUP(Purchase[[#This Row],[Supplier ID]],Supplier[#All],2,0)</f>
        <v>Shree Computers</v>
      </c>
      <c r="E2241" s="138">
        <f>VLOOKUP(Purchase[[#This Row],[Supplier ID]],Supplier[#All],3,0)</f>
        <v>9689542475</v>
      </c>
      <c r="F2241" s="138" t="str">
        <f>VLOOKUP(Purchase[[#This Row],[Supplier ID]],Supplier[#All],4,0)</f>
        <v>Indore</v>
      </c>
      <c r="G2241" s="138" t="str">
        <f>VLOOKUP(Purchase[[#This Row],[Supplier ID]],Supplier[#All],5,0)</f>
        <v>MP</v>
      </c>
      <c r="H2241" s="138" t="str">
        <f>VLOOKUP(Purchase[[#This Row],[Supplier ID]],Supplier[#All],6,0)</f>
        <v>GST2154521T037</v>
      </c>
      <c r="I2241" s="138" t="s">
        <v>309</v>
      </c>
      <c r="J2241" s="139">
        <v>31</v>
      </c>
      <c r="K2241" s="143">
        <f>VLOOKUP(Purchase[[#This Row],[Product ID]],Product[#All],6,0)</f>
        <v>1051</v>
      </c>
      <c r="L2241" s="143">
        <f>Purchase[[#This Row],[Purchase Rate]]*Purchase[[#This Row],[Qty]]</f>
        <v>32581</v>
      </c>
      <c r="M2241" s="140">
        <v>0</v>
      </c>
      <c r="N2241" s="143">
        <v>0</v>
      </c>
      <c r="O2241" s="140">
        <v>0.18</v>
      </c>
      <c r="P2241" s="145">
        <f>(Purchase[[#This Row],[Gross Amount]]-Purchase[[#This Row],[Disct %]])*Purchase[[#This Row],[GST %]]</f>
        <v>5864.58</v>
      </c>
      <c r="Q2241" s="145">
        <f>Purchase[[#This Row],[Gross Amount]]-Purchase[[#This Row],[Disct Amnt]]+Purchase[[#This Row],[GST Amount]]</f>
        <v>38445.58</v>
      </c>
      <c r="R2241" s="138" t="s">
        <v>1019</v>
      </c>
      <c r="S2241" s="41">
        <f>IF(Purchase[[#This Row],[Status]]="Cancelled",0,Purchase[[#This Row],[Qty]])</f>
        <v>31</v>
      </c>
      <c r="T2241" s="146">
        <f>IF(Purchase[[#This Row],[Status]]="Cancelled",0,Purchase[[#This Row],[Total Amount]])</f>
        <v>38445.58</v>
      </c>
      <c r="U2241" s="146">
        <f>SUM(Purchase[Net Amount])</f>
        <v>814985438.68000126</v>
      </c>
    </row>
    <row r="2242" spans="1:21" ht="19.5" thickBot="1" x14ac:dyDescent="0.3">
      <c r="A2242" s="136" t="s">
        <v>3298</v>
      </c>
      <c r="B2242" s="137">
        <v>45768</v>
      </c>
      <c r="C2242" s="138" t="s">
        <v>598</v>
      </c>
      <c r="D2242" s="138" t="str">
        <f>VLOOKUP(Purchase[[#This Row],[Supplier ID]],Supplier[#All],2,0)</f>
        <v>National Distributors</v>
      </c>
      <c r="E2242" s="138">
        <f>VLOOKUP(Purchase[[#This Row],[Supplier ID]],Supplier[#All],3,0)</f>
        <v>9689542489</v>
      </c>
      <c r="F2242" s="138" t="str">
        <f>VLOOKUP(Purchase[[#This Row],[Supplier ID]],Supplier[#All],4,0)</f>
        <v>Indore</v>
      </c>
      <c r="G2242" s="138" t="str">
        <f>VLOOKUP(Purchase[[#This Row],[Supplier ID]],Supplier[#All],5,0)</f>
        <v>MP</v>
      </c>
      <c r="H2242" s="138" t="str">
        <f>VLOOKUP(Purchase[[#This Row],[Supplier ID]],Supplier[#All],6,0)</f>
        <v>GST2154521T043</v>
      </c>
      <c r="I2242" s="138" t="s">
        <v>150</v>
      </c>
      <c r="J2242" s="139">
        <v>20</v>
      </c>
      <c r="K2242" s="143">
        <f>VLOOKUP(Purchase[[#This Row],[Product ID]],Product[#All],6,0)</f>
        <v>7322</v>
      </c>
      <c r="L2242" s="143">
        <f>Purchase[[#This Row],[Purchase Rate]]*Purchase[[#This Row],[Qty]]</f>
        <v>146440</v>
      </c>
      <c r="M2242" s="140">
        <v>0</v>
      </c>
      <c r="N2242" s="143">
        <v>0</v>
      </c>
      <c r="O2242" s="140">
        <v>0.18</v>
      </c>
      <c r="P2242" s="145">
        <f>(Purchase[[#This Row],[Gross Amount]]-Purchase[[#This Row],[Disct %]])*Purchase[[#This Row],[GST %]]</f>
        <v>26359.200000000001</v>
      </c>
      <c r="Q2242" s="145">
        <f>Purchase[[#This Row],[Gross Amount]]-Purchase[[#This Row],[Disct Amnt]]+Purchase[[#This Row],[GST Amount]]</f>
        <v>172799.2</v>
      </c>
      <c r="R2242" s="138" t="s">
        <v>1019</v>
      </c>
      <c r="S2242" s="41">
        <f>IF(Purchase[[#This Row],[Status]]="Cancelled",0,Purchase[[#This Row],[Qty]])</f>
        <v>20</v>
      </c>
      <c r="T2242" s="146">
        <f>IF(Purchase[[#This Row],[Status]]="Cancelled",0,Purchase[[#This Row],[Total Amount]])</f>
        <v>172799.2</v>
      </c>
      <c r="U2242" s="146">
        <f>SUM(Purchase[Net Amount])</f>
        <v>814985438.68000126</v>
      </c>
    </row>
    <row r="2243" spans="1:21" ht="19.5" thickBot="1" x14ac:dyDescent="0.3">
      <c r="A2243" s="136" t="s">
        <v>3299</v>
      </c>
      <c r="B2243" s="137">
        <v>45768</v>
      </c>
      <c r="C2243" s="138" t="s">
        <v>564</v>
      </c>
      <c r="D2243" s="138" t="str">
        <f>VLOOKUP(Purchase[[#This Row],[Supplier ID]],Supplier[#All],2,0)</f>
        <v xml:space="preserve">Star Electronics </v>
      </c>
      <c r="E2243" s="138">
        <f>VLOOKUP(Purchase[[#This Row],[Supplier ID]],Supplier[#All],3,0)</f>
        <v>9689542450</v>
      </c>
      <c r="F2243" s="138" t="str">
        <f>VLOOKUP(Purchase[[#This Row],[Supplier ID]],Supplier[#All],4,0)</f>
        <v>Korba</v>
      </c>
      <c r="G2243" s="138" t="str">
        <f>VLOOKUP(Purchase[[#This Row],[Supplier ID]],Supplier[#All],5,0)</f>
        <v>CG</v>
      </c>
      <c r="H2243" s="138" t="str">
        <f>VLOOKUP(Purchase[[#This Row],[Supplier ID]],Supplier[#All],6,0)</f>
        <v>GST2154521T012</v>
      </c>
      <c r="I2243" s="138" t="s">
        <v>320</v>
      </c>
      <c r="J2243" s="139">
        <v>12</v>
      </c>
      <c r="K2243" s="143">
        <f>VLOOKUP(Purchase[[#This Row],[Product ID]],Product[#All],6,0)</f>
        <v>10004</v>
      </c>
      <c r="L2243" s="143">
        <f>Purchase[[#This Row],[Purchase Rate]]*Purchase[[#This Row],[Qty]]</f>
        <v>120048</v>
      </c>
      <c r="M2243" s="140">
        <v>0</v>
      </c>
      <c r="N2243" s="143">
        <v>0</v>
      </c>
      <c r="O2243" s="140">
        <v>0.18</v>
      </c>
      <c r="P2243" s="145">
        <f>(Purchase[[#This Row],[Gross Amount]]-Purchase[[#This Row],[Disct %]])*Purchase[[#This Row],[GST %]]</f>
        <v>21608.639999999999</v>
      </c>
      <c r="Q2243" s="145">
        <f>Purchase[[#This Row],[Gross Amount]]-Purchase[[#This Row],[Disct Amnt]]+Purchase[[#This Row],[GST Amount]]</f>
        <v>141656.64000000001</v>
      </c>
      <c r="R2243" s="138" t="s">
        <v>1019</v>
      </c>
      <c r="S2243" s="41">
        <f>IF(Purchase[[#This Row],[Status]]="Cancelled",0,Purchase[[#This Row],[Qty]])</f>
        <v>12</v>
      </c>
      <c r="T2243" s="146">
        <f>IF(Purchase[[#This Row],[Status]]="Cancelled",0,Purchase[[#This Row],[Total Amount]])</f>
        <v>141656.64000000001</v>
      </c>
      <c r="U2243" s="146">
        <f>SUM(Purchase[Net Amount])</f>
        <v>814985438.68000126</v>
      </c>
    </row>
    <row r="2244" spans="1:21" ht="19.5" thickBot="1" x14ac:dyDescent="0.3">
      <c r="A2244" s="136" t="s">
        <v>3300</v>
      </c>
      <c r="B2244" s="137">
        <v>45769</v>
      </c>
      <c r="C2244" s="138" t="s">
        <v>566</v>
      </c>
      <c r="D2244" s="138" t="str">
        <f>VLOOKUP(Purchase[[#This Row],[Supplier ID]],Supplier[#All],2,0)</f>
        <v>Maa Computers</v>
      </c>
      <c r="E2244" s="138">
        <f>VLOOKUP(Purchase[[#This Row],[Supplier ID]],Supplier[#All],3,0)</f>
        <v>9689542452</v>
      </c>
      <c r="F2244" s="138" t="str">
        <f>VLOOKUP(Purchase[[#This Row],[Supplier ID]],Supplier[#All],4,0)</f>
        <v>Kanpur</v>
      </c>
      <c r="G2244" s="138" t="str">
        <f>VLOOKUP(Purchase[[#This Row],[Supplier ID]],Supplier[#All],5,0)</f>
        <v>UP</v>
      </c>
      <c r="H2244" s="138" t="str">
        <f>VLOOKUP(Purchase[[#This Row],[Supplier ID]],Supplier[#All],6,0)</f>
        <v>GST2154521T014</v>
      </c>
      <c r="I2244" s="138" t="s">
        <v>529</v>
      </c>
      <c r="J2244" s="139">
        <v>23</v>
      </c>
      <c r="K2244" s="143">
        <f>VLOOKUP(Purchase[[#This Row],[Product ID]],Product[#All],6,0)</f>
        <v>2878</v>
      </c>
      <c r="L2244" s="143">
        <f>Purchase[[#This Row],[Purchase Rate]]*Purchase[[#This Row],[Qty]]</f>
        <v>66194</v>
      </c>
      <c r="M2244" s="140">
        <v>0</v>
      </c>
      <c r="N2244" s="143">
        <v>0</v>
      </c>
      <c r="O2244" s="140">
        <v>0.18</v>
      </c>
      <c r="P2244" s="145">
        <f>(Purchase[[#This Row],[Gross Amount]]-Purchase[[#This Row],[Disct %]])*Purchase[[#This Row],[GST %]]</f>
        <v>11914.92</v>
      </c>
      <c r="Q2244" s="145">
        <f>Purchase[[#This Row],[Gross Amount]]-Purchase[[#This Row],[Disct Amnt]]+Purchase[[#This Row],[GST Amount]]</f>
        <v>78108.92</v>
      </c>
      <c r="R2244" s="138" t="s">
        <v>1019</v>
      </c>
      <c r="S2244" s="41">
        <f>IF(Purchase[[#This Row],[Status]]="Cancelled",0,Purchase[[#This Row],[Qty]])</f>
        <v>23</v>
      </c>
      <c r="T2244" s="146">
        <f>IF(Purchase[[#This Row],[Status]]="Cancelled",0,Purchase[[#This Row],[Total Amount]])</f>
        <v>78108.92</v>
      </c>
      <c r="U2244" s="146">
        <f>SUM(Purchase[Net Amount])</f>
        <v>814985438.68000126</v>
      </c>
    </row>
    <row r="2245" spans="1:21" ht="19.5" thickBot="1" x14ac:dyDescent="0.3">
      <c r="A2245" s="136" t="s">
        <v>3301</v>
      </c>
      <c r="B2245" s="137">
        <v>45769</v>
      </c>
      <c r="C2245" s="138" t="s">
        <v>591</v>
      </c>
      <c r="D2245" s="138" t="str">
        <f>VLOOKUP(Purchase[[#This Row],[Supplier ID]],Supplier[#All],2,0)</f>
        <v>Shree Computers</v>
      </c>
      <c r="E2245" s="138">
        <f>VLOOKUP(Purchase[[#This Row],[Supplier ID]],Supplier[#All],3,0)</f>
        <v>9689542475</v>
      </c>
      <c r="F2245" s="138" t="str">
        <f>VLOOKUP(Purchase[[#This Row],[Supplier ID]],Supplier[#All],4,0)</f>
        <v>Indore</v>
      </c>
      <c r="G2245" s="138" t="str">
        <f>VLOOKUP(Purchase[[#This Row],[Supplier ID]],Supplier[#All],5,0)</f>
        <v>MP</v>
      </c>
      <c r="H2245" s="138" t="str">
        <f>VLOOKUP(Purchase[[#This Row],[Supplier ID]],Supplier[#All],6,0)</f>
        <v>GST2154521T037</v>
      </c>
      <c r="I2245" s="138" t="s">
        <v>468</v>
      </c>
      <c r="J2245" s="139">
        <v>4</v>
      </c>
      <c r="K2245" s="143">
        <f>VLOOKUP(Purchase[[#This Row],[Product ID]],Product[#All],6,0)</f>
        <v>75590</v>
      </c>
      <c r="L2245" s="143">
        <f>Purchase[[#This Row],[Purchase Rate]]*Purchase[[#This Row],[Qty]]</f>
        <v>302360</v>
      </c>
      <c r="M2245" s="140">
        <v>0</v>
      </c>
      <c r="N2245" s="143">
        <v>0</v>
      </c>
      <c r="O2245" s="140">
        <v>0.18</v>
      </c>
      <c r="P2245" s="145">
        <f>(Purchase[[#This Row],[Gross Amount]]-Purchase[[#This Row],[Disct %]])*Purchase[[#This Row],[GST %]]</f>
        <v>54424.799999999996</v>
      </c>
      <c r="Q2245" s="145">
        <f>Purchase[[#This Row],[Gross Amount]]-Purchase[[#This Row],[Disct Amnt]]+Purchase[[#This Row],[GST Amount]]</f>
        <v>356784.8</v>
      </c>
      <c r="R2245" s="138" t="s">
        <v>1019</v>
      </c>
      <c r="S2245" s="41">
        <f>IF(Purchase[[#This Row],[Status]]="Cancelled",0,Purchase[[#This Row],[Qty]])</f>
        <v>4</v>
      </c>
      <c r="T2245" s="146">
        <f>IF(Purchase[[#This Row],[Status]]="Cancelled",0,Purchase[[#This Row],[Total Amount]])</f>
        <v>356784.8</v>
      </c>
      <c r="U2245" s="146">
        <f>SUM(Purchase[Net Amount])</f>
        <v>814985438.68000126</v>
      </c>
    </row>
    <row r="2246" spans="1:21" ht="19.5" thickBot="1" x14ac:dyDescent="0.3">
      <c r="A2246" s="136" t="s">
        <v>3302</v>
      </c>
      <c r="B2246" s="137">
        <v>45769</v>
      </c>
      <c r="C2246" s="138" t="s">
        <v>611</v>
      </c>
      <c r="D2246" s="138" t="str">
        <f>VLOOKUP(Purchase[[#This Row],[Supplier ID]],Supplier[#All],2,0)</f>
        <v>National Distributors</v>
      </c>
      <c r="E2246" s="138">
        <f>VLOOKUP(Purchase[[#This Row],[Supplier ID]],Supplier[#All],3,0)</f>
        <v>9689542494</v>
      </c>
      <c r="F2246" s="138" t="str">
        <f>VLOOKUP(Purchase[[#This Row],[Supplier ID]],Supplier[#All],4,0)</f>
        <v>Korba</v>
      </c>
      <c r="G2246" s="138" t="str">
        <f>VLOOKUP(Purchase[[#This Row],[Supplier ID]],Supplier[#All],5,0)</f>
        <v>CG</v>
      </c>
      <c r="H2246" s="138" t="str">
        <f>VLOOKUP(Purchase[[#This Row],[Supplier ID]],Supplier[#All],6,0)</f>
        <v>GST2154521T056</v>
      </c>
      <c r="I2246" s="138" t="s">
        <v>157</v>
      </c>
      <c r="J2246" s="139">
        <v>13</v>
      </c>
      <c r="K2246" s="143">
        <f>VLOOKUP(Purchase[[#This Row],[Product ID]],Product[#All],6,0)</f>
        <v>10034</v>
      </c>
      <c r="L2246" s="143">
        <f>Purchase[[#This Row],[Purchase Rate]]*Purchase[[#This Row],[Qty]]</f>
        <v>130442</v>
      </c>
      <c r="M2246" s="140">
        <v>0</v>
      </c>
      <c r="N2246" s="143">
        <v>0</v>
      </c>
      <c r="O2246" s="140">
        <v>0.18</v>
      </c>
      <c r="P2246" s="145">
        <f>(Purchase[[#This Row],[Gross Amount]]-Purchase[[#This Row],[Disct %]])*Purchase[[#This Row],[GST %]]</f>
        <v>23479.559999999998</v>
      </c>
      <c r="Q2246" s="145">
        <f>Purchase[[#This Row],[Gross Amount]]-Purchase[[#This Row],[Disct Amnt]]+Purchase[[#This Row],[GST Amount]]</f>
        <v>153921.56</v>
      </c>
      <c r="R2246" s="138" t="s">
        <v>1019</v>
      </c>
      <c r="S2246" s="41">
        <f>IF(Purchase[[#This Row],[Status]]="Cancelled",0,Purchase[[#This Row],[Qty]])</f>
        <v>13</v>
      </c>
      <c r="T2246" s="146">
        <f>IF(Purchase[[#This Row],[Status]]="Cancelled",0,Purchase[[#This Row],[Total Amount]])</f>
        <v>153921.56</v>
      </c>
      <c r="U2246" s="146">
        <f>SUM(Purchase[Net Amount])</f>
        <v>814985438.68000126</v>
      </c>
    </row>
    <row r="2247" spans="1:21" ht="19.5" thickBot="1" x14ac:dyDescent="0.3">
      <c r="A2247" s="136" t="s">
        <v>3303</v>
      </c>
      <c r="B2247" s="137">
        <v>45769</v>
      </c>
      <c r="C2247" s="138" t="s">
        <v>594</v>
      </c>
      <c r="D2247" s="138" t="str">
        <f>VLOOKUP(Purchase[[#This Row],[Supplier ID]],Supplier[#All],2,0)</f>
        <v>Shree Suppliers</v>
      </c>
      <c r="E2247" s="138">
        <f>VLOOKUP(Purchase[[#This Row],[Supplier ID]],Supplier[#All],3,0)</f>
        <v>9689542477</v>
      </c>
      <c r="F2247" s="138" t="str">
        <f>VLOOKUP(Purchase[[#This Row],[Supplier ID]],Supplier[#All],4,0)</f>
        <v>Indore</v>
      </c>
      <c r="G2247" s="138" t="str">
        <f>VLOOKUP(Purchase[[#This Row],[Supplier ID]],Supplier[#All],5,0)</f>
        <v>MP</v>
      </c>
      <c r="H2247" s="138" t="str">
        <f>VLOOKUP(Purchase[[#This Row],[Supplier ID]],Supplier[#All],6,0)</f>
        <v>GST2154521T039</v>
      </c>
      <c r="I2247" s="138" t="s">
        <v>547</v>
      </c>
      <c r="J2247" s="139">
        <v>25</v>
      </c>
      <c r="K2247" s="143">
        <f>VLOOKUP(Purchase[[#This Row],[Product ID]],Product[#All],6,0)</f>
        <v>28107</v>
      </c>
      <c r="L2247" s="143">
        <f>Purchase[[#This Row],[Purchase Rate]]*Purchase[[#This Row],[Qty]]</f>
        <v>702675</v>
      </c>
      <c r="M2247" s="140">
        <v>0</v>
      </c>
      <c r="N2247" s="143">
        <v>0</v>
      </c>
      <c r="O2247" s="140">
        <v>0.18</v>
      </c>
      <c r="P2247" s="145">
        <f>(Purchase[[#This Row],[Gross Amount]]-Purchase[[#This Row],[Disct %]])*Purchase[[#This Row],[GST %]]</f>
        <v>126481.5</v>
      </c>
      <c r="Q2247" s="145">
        <f>Purchase[[#This Row],[Gross Amount]]-Purchase[[#This Row],[Disct Amnt]]+Purchase[[#This Row],[GST Amount]]</f>
        <v>829156.5</v>
      </c>
      <c r="R2247" s="138" t="s">
        <v>1019</v>
      </c>
      <c r="S2247" s="41">
        <f>IF(Purchase[[#This Row],[Status]]="Cancelled",0,Purchase[[#This Row],[Qty]])</f>
        <v>25</v>
      </c>
      <c r="T2247" s="146">
        <f>IF(Purchase[[#This Row],[Status]]="Cancelled",0,Purchase[[#This Row],[Total Amount]])</f>
        <v>829156.5</v>
      </c>
      <c r="U2247" s="146">
        <f>SUM(Purchase[Net Amount])</f>
        <v>814985438.68000126</v>
      </c>
    </row>
    <row r="2248" spans="1:21" ht="19.5" thickBot="1" x14ac:dyDescent="0.3">
      <c r="A2248" s="136" t="s">
        <v>3304</v>
      </c>
      <c r="B2248" s="137">
        <v>45769</v>
      </c>
      <c r="C2248" s="138" t="s">
        <v>600</v>
      </c>
      <c r="D2248" s="138" t="str">
        <f>VLOOKUP(Purchase[[#This Row],[Supplier ID]],Supplier[#All],2,0)</f>
        <v>Prime Suppliers</v>
      </c>
      <c r="E2248" s="138">
        <f>VLOOKUP(Purchase[[#This Row],[Supplier ID]],Supplier[#All],3,0)</f>
        <v>9689542483</v>
      </c>
      <c r="F2248" s="138" t="str">
        <f>VLOOKUP(Purchase[[#This Row],[Supplier ID]],Supplier[#All],4,0)</f>
        <v>Korba</v>
      </c>
      <c r="G2248" s="138" t="str">
        <f>VLOOKUP(Purchase[[#This Row],[Supplier ID]],Supplier[#All],5,0)</f>
        <v>CG</v>
      </c>
      <c r="H2248" s="138" t="str">
        <f>VLOOKUP(Purchase[[#This Row],[Supplier ID]],Supplier[#All],6,0)</f>
        <v>GST2154521T045</v>
      </c>
      <c r="I2248" s="138" t="s">
        <v>260</v>
      </c>
      <c r="J2248" s="139">
        <v>2</v>
      </c>
      <c r="K2248" s="143">
        <f>VLOOKUP(Purchase[[#This Row],[Product ID]],Product[#All],6,0)</f>
        <v>4751</v>
      </c>
      <c r="L2248" s="143">
        <f>Purchase[[#This Row],[Purchase Rate]]*Purchase[[#This Row],[Qty]]</f>
        <v>9502</v>
      </c>
      <c r="M2248" s="140">
        <v>0</v>
      </c>
      <c r="N2248" s="143">
        <v>0</v>
      </c>
      <c r="O2248" s="140">
        <v>0.18</v>
      </c>
      <c r="P2248" s="145">
        <f>(Purchase[[#This Row],[Gross Amount]]-Purchase[[#This Row],[Disct %]])*Purchase[[#This Row],[GST %]]</f>
        <v>1710.36</v>
      </c>
      <c r="Q2248" s="145">
        <f>Purchase[[#This Row],[Gross Amount]]-Purchase[[#This Row],[Disct Amnt]]+Purchase[[#This Row],[GST Amount]]</f>
        <v>11212.36</v>
      </c>
      <c r="R2248" s="138" t="s">
        <v>1019</v>
      </c>
      <c r="S2248" s="41">
        <f>IF(Purchase[[#This Row],[Status]]="Cancelled",0,Purchase[[#This Row],[Qty]])</f>
        <v>2</v>
      </c>
      <c r="T2248" s="146">
        <f>IF(Purchase[[#This Row],[Status]]="Cancelled",0,Purchase[[#This Row],[Total Amount]])</f>
        <v>11212.36</v>
      </c>
      <c r="U2248" s="146">
        <f>SUM(Purchase[Net Amount])</f>
        <v>814985438.68000126</v>
      </c>
    </row>
    <row r="2249" spans="1:21" ht="19.5" thickBot="1" x14ac:dyDescent="0.3">
      <c r="A2249" s="136" t="s">
        <v>3305</v>
      </c>
      <c r="B2249" s="137">
        <v>45769</v>
      </c>
      <c r="C2249" s="138" t="s">
        <v>567</v>
      </c>
      <c r="D2249" s="138" t="str">
        <f>VLOOKUP(Purchase[[#This Row],[Supplier ID]],Supplier[#All],2,0)</f>
        <v>National Distributors</v>
      </c>
      <c r="E2249" s="138">
        <f>VLOOKUP(Purchase[[#This Row],[Supplier ID]],Supplier[#All],3,0)</f>
        <v>9689542453</v>
      </c>
      <c r="F2249" s="138" t="str">
        <f>VLOOKUP(Purchase[[#This Row],[Supplier ID]],Supplier[#All],4,0)</f>
        <v>Korba</v>
      </c>
      <c r="G2249" s="138" t="str">
        <f>VLOOKUP(Purchase[[#This Row],[Supplier ID]],Supplier[#All],5,0)</f>
        <v>CG</v>
      </c>
      <c r="H2249" s="138" t="str">
        <f>VLOOKUP(Purchase[[#This Row],[Supplier ID]],Supplier[#All],6,0)</f>
        <v>GST2154521T015</v>
      </c>
      <c r="I2249" s="138" t="s">
        <v>129</v>
      </c>
      <c r="J2249" s="139">
        <v>3</v>
      </c>
      <c r="K2249" s="143">
        <f>VLOOKUP(Purchase[[#This Row],[Product ID]],Product[#All],6,0)</f>
        <v>1588</v>
      </c>
      <c r="L2249" s="143">
        <f>Purchase[[#This Row],[Purchase Rate]]*Purchase[[#This Row],[Qty]]</f>
        <v>4764</v>
      </c>
      <c r="M2249" s="140">
        <v>0</v>
      </c>
      <c r="N2249" s="143">
        <v>0</v>
      </c>
      <c r="O2249" s="140">
        <v>0.18</v>
      </c>
      <c r="P2249" s="145">
        <f>(Purchase[[#This Row],[Gross Amount]]-Purchase[[#This Row],[Disct %]])*Purchase[[#This Row],[GST %]]</f>
        <v>857.52</v>
      </c>
      <c r="Q2249" s="145">
        <f>Purchase[[#This Row],[Gross Amount]]-Purchase[[#This Row],[Disct Amnt]]+Purchase[[#This Row],[GST Amount]]</f>
        <v>5621.52</v>
      </c>
      <c r="R2249" s="138" t="s">
        <v>1019</v>
      </c>
      <c r="S2249" s="41">
        <f>IF(Purchase[[#This Row],[Status]]="Cancelled",0,Purchase[[#This Row],[Qty]])</f>
        <v>3</v>
      </c>
      <c r="T2249" s="146">
        <f>IF(Purchase[[#This Row],[Status]]="Cancelled",0,Purchase[[#This Row],[Total Amount]])</f>
        <v>5621.52</v>
      </c>
      <c r="U2249" s="146">
        <f>SUM(Purchase[Net Amount])</f>
        <v>814985438.68000126</v>
      </c>
    </row>
    <row r="2250" spans="1:21" ht="19.5" thickBot="1" x14ac:dyDescent="0.3">
      <c r="A2250" s="136" t="s">
        <v>3306</v>
      </c>
      <c r="B2250" s="137">
        <v>45769</v>
      </c>
      <c r="C2250" s="138" t="s">
        <v>593</v>
      </c>
      <c r="D2250" s="138" t="str">
        <f>VLOOKUP(Purchase[[#This Row],[Supplier ID]],Supplier[#All],2,0)</f>
        <v>Global Suppliers</v>
      </c>
      <c r="E2250" s="138">
        <f>VLOOKUP(Purchase[[#This Row],[Supplier ID]],Supplier[#All],3,0)</f>
        <v>9689542476</v>
      </c>
      <c r="F2250" s="138" t="str">
        <f>VLOOKUP(Purchase[[#This Row],[Supplier ID]],Supplier[#All],4,0)</f>
        <v>Korba</v>
      </c>
      <c r="G2250" s="138" t="str">
        <f>VLOOKUP(Purchase[[#This Row],[Supplier ID]],Supplier[#All],5,0)</f>
        <v>CG</v>
      </c>
      <c r="H2250" s="138" t="str">
        <f>VLOOKUP(Purchase[[#This Row],[Supplier ID]],Supplier[#All],6,0)</f>
        <v>GST2154521T038</v>
      </c>
      <c r="I2250" s="138" t="s">
        <v>115</v>
      </c>
      <c r="J2250" s="139">
        <v>7</v>
      </c>
      <c r="K2250" s="143">
        <f>VLOOKUP(Purchase[[#This Row],[Product ID]],Product[#All],6,0)</f>
        <v>1444</v>
      </c>
      <c r="L2250" s="143">
        <f>Purchase[[#This Row],[Purchase Rate]]*Purchase[[#This Row],[Qty]]</f>
        <v>10108</v>
      </c>
      <c r="M2250" s="140">
        <v>0</v>
      </c>
      <c r="N2250" s="143">
        <v>0</v>
      </c>
      <c r="O2250" s="140">
        <v>0.18</v>
      </c>
      <c r="P2250" s="145">
        <f>(Purchase[[#This Row],[Gross Amount]]-Purchase[[#This Row],[Disct %]])*Purchase[[#This Row],[GST %]]</f>
        <v>1819.4399999999998</v>
      </c>
      <c r="Q2250" s="145">
        <f>Purchase[[#This Row],[Gross Amount]]-Purchase[[#This Row],[Disct Amnt]]+Purchase[[#This Row],[GST Amount]]</f>
        <v>11927.44</v>
      </c>
      <c r="R2250" s="138" t="s">
        <v>1019</v>
      </c>
      <c r="S2250" s="41">
        <f>IF(Purchase[[#This Row],[Status]]="Cancelled",0,Purchase[[#This Row],[Qty]])</f>
        <v>7</v>
      </c>
      <c r="T2250" s="146">
        <f>IF(Purchase[[#This Row],[Status]]="Cancelled",0,Purchase[[#This Row],[Total Amount]])</f>
        <v>11927.44</v>
      </c>
      <c r="U2250" s="146">
        <f>SUM(Purchase[Net Amount])</f>
        <v>814985438.68000126</v>
      </c>
    </row>
    <row r="2251" spans="1:21" ht="19.5" thickBot="1" x14ac:dyDescent="0.3">
      <c r="A2251" s="136" t="s">
        <v>3307</v>
      </c>
      <c r="B2251" s="137">
        <v>45769</v>
      </c>
      <c r="C2251" s="138" t="s">
        <v>607</v>
      </c>
      <c r="D2251" s="138" t="str">
        <f>VLOOKUP(Purchase[[#This Row],[Supplier ID]],Supplier[#All],2,0)</f>
        <v>Global Distributors</v>
      </c>
      <c r="E2251" s="138">
        <f>VLOOKUP(Purchase[[#This Row],[Supplier ID]],Supplier[#All],3,0)</f>
        <v>9689542490</v>
      </c>
      <c r="F2251" s="138" t="str">
        <f>VLOOKUP(Purchase[[#This Row],[Supplier ID]],Supplier[#All],4,0)</f>
        <v>Kanpur</v>
      </c>
      <c r="G2251" s="138" t="str">
        <f>VLOOKUP(Purchase[[#This Row],[Supplier ID]],Supplier[#All],5,0)</f>
        <v>UP</v>
      </c>
      <c r="H2251" s="138" t="str">
        <f>VLOOKUP(Purchase[[#This Row],[Supplier ID]],Supplier[#All],6,0)</f>
        <v>GST2154521T052</v>
      </c>
      <c r="I2251" s="138" t="s">
        <v>85</v>
      </c>
      <c r="J2251" s="139">
        <v>15</v>
      </c>
      <c r="K2251" s="143">
        <f>VLOOKUP(Purchase[[#This Row],[Product ID]],Product[#All],6,0)</f>
        <v>7130</v>
      </c>
      <c r="L2251" s="143">
        <f>Purchase[[#This Row],[Purchase Rate]]*Purchase[[#This Row],[Qty]]</f>
        <v>106950</v>
      </c>
      <c r="M2251" s="140">
        <v>0</v>
      </c>
      <c r="N2251" s="143">
        <v>0</v>
      </c>
      <c r="O2251" s="140">
        <v>0.18</v>
      </c>
      <c r="P2251" s="145">
        <f>(Purchase[[#This Row],[Gross Amount]]-Purchase[[#This Row],[Disct %]])*Purchase[[#This Row],[GST %]]</f>
        <v>19251</v>
      </c>
      <c r="Q2251" s="145">
        <f>Purchase[[#This Row],[Gross Amount]]-Purchase[[#This Row],[Disct Amnt]]+Purchase[[#This Row],[GST Amount]]</f>
        <v>126201</v>
      </c>
      <c r="R2251" s="138" t="s">
        <v>1019</v>
      </c>
      <c r="S2251" s="41">
        <f>IF(Purchase[[#This Row],[Status]]="Cancelled",0,Purchase[[#This Row],[Qty]])</f>
        <v>15</v>
      </c>
      <c r="T2251" s="146">
        <f>IF(Purchase[[#This Row],[Status]]="Cancelled",0,Purchase[[#This Row],[Total Amount]])</f>
        <v>126201</v>
      </c>
      <c r="U2251" s="146">
        <f>SUM(Purchase[Net Amount])</f>
        <v>814985438.68000126</v>
      </c>
    </row>
    <row r="2252" spans="1:21" ht="19.5" thickBot="1" x14ac:dyDescent="0.3">
      <c r="A2252" s="136" t="s">
        <v>3308</v>
      </c>
      <c r="B2252" s="137">
        <v>45769</v>
      </c>
      <c r="C2252" s="138" t="s">
        <v>606</v>
      </c>
      <c r="D2252" s="138" t="str">
        <f>VLOOKUP(Purchase[[#This Row],[Supplier ID]],Supplier[#All],2,0)</f>
        <v>Prime Traders</v>
      </c>
      <c r="E2252" s="138">
        <f>VLOOKUP(Purchase[[#This Row],[Supplier ID]],Supplier[#All],3,0)</f>
        <v>9689542489</v>
      </c>
      <c r="F2252" s="138" t="str">
        <f>VLOOKUP(Purchase[[#This Row],[Supplier ID]],Supplier[#All],4,0)</f>
        <v>Indore</v>
      </c>
      <c r="G2252" s="138" t="str">
        <f>VLOOKUP(Purchase[[#This Row],[Supplier ID]],Supplier[#All],5,0)</f>
        <v>MP</v>
      </c>
      <c r="H2252" s="138" t="str">
        <f>VLOOKUP(Purchase[[#This Row],[Supplier ID]],Supplier[#All],6,0)</f>
        <v>GST2154521T051</v>
      </c>
      <c r="I2252" s="138" t="s">
        <v>192</v>
      </c>
      <c r="J2252" s="139">
        <v>17</v>
      </c>
      <c r="K2252" s="143">
        <f>VLOOKUP(Purchase[[#This Row],[Product ID]],Product[#All],6,0)</f>
        <v>50201</v>
      </c>
      <c r="L2252" s="143">
        <f>Purchase[[#This Row],[Purchase Rate]]*Purchase[[#This Row],[Qty]]</f>
        <v>853417</v>
      </c>
      <c r="M2252" s="140">
        <v>0</v>
      </c>
      <c r="N2252" s="143">
        <v>0</v>
      </c>
      <c r="O2252" s="140">
        <v>0.18</v>
      </c>
      <c r="P2252" s="145">
        <f>(Purchase[[#This Row],[Gross Amount]]-Purchase[[#This Row],[Disct %]])*Purchase[[#This Row],[GST %]]</f>
        <v>153615.06</v>
      </c>
      <c r="Q2252" s="145">
        <f>Purchase[[#This Row],[Gross Amount]]-Purchase[[#This Row],[Disct Amnt]]+Purchase[[#This Row],[GST Amount]]</f>
        <v>1007032.06</v>
      </c>
      <c r="R2252" s="138" t="s">
        <v>1019</v>
      </c>
      <c r="S2252" s="41">
        <f>IF(Purchase[[#This Row],[Status]]="Cancelled",0,Purchase[[#This Row],[Qty]])</f>
        <v>17</v>
      </c>
      <c r="T2252" s="146">
        <f>IF(Purchase[[#This Row],[Status]]="Cancelled",0,Purchase[[#This Row],[Total Amount]])</f>
        <v>1007032.06</v>
      </c>
      <c r="U2252" s="146">
        <f>SUM(Purchase[Net Amount])</f>
        <v>814985438.68000126</v>
      </c>
    </row>
    <row r="2253" spans="1:21" ht="19.5" thickBot="1" x14ac:dyDescent="0.3">
      <c r="A2253" s="136" t="s">
        <v>3309</v>
      </c>
      <c r="B2253" s="137">
        <v>45769</v>
      </c>
      <c r="C2253" s="138" t="s">
        <v>605</v>
      </c>
      <c r="D2253" s="138" t="str">
        <f>VLOOKUP(Purchase[[#This Row],[Supplier ID]],Supplier[#All],2,0)</f>
        <v>Star Traders</v>
      </c>
      <c r="E2253" s="138">
        <f>VLOOKUP(Purchase[[#This Row],[Supplier ID]],Supplier[#All],3,0)</f>
        <v>9689542488</v>
      </c>
      <c r="F2253" s="138" t="str">
        <f>VLOOKUP(Purchase[[#This Row],[Supplier ID]],Supplier[#All],4,0)</f>
        <v>Indore</v>
      </c>
      <c r="G2253" s="138" t="str">
        <f>VLOOKUP(Purchase[[#This Row],[Supplier ID]],Supplier[#All],5,0)</f>
        <v>MP</v>
      </c>
      <c r="H2253" s="138" t="str">
        <f>VLOOKUP(Purchase[[#This Row],[Supplier ID]],Supplier[#All],6,0)</f>
        <v>GST2154521T050</v>
      </c>
      <c r="I2253" s="138" t="s">
        <v>385</v>
      </c>
      <c r="J2253" s="139">
        <v>17</v>
      </c>
      <c r="K2253" s="143">
        <f>VLOOKUP(Purchase[[#This Row],[Product ID]],Product[#All],6,0)</f>
        <v>1060</v>
      </c>
      <c r="L2253" s="143">
        <f>Purchase[[#This Row],[Purchase Rate]]*Purchase[[#This Row],[Qty]]</f>
        <v>18020</v>
      </c>
      <c r="M2253" s="140">
        <v>0</v>
      </c>
      <c r="N2253" s="143">
        <v>0</v>
      </c>
      <c r="O2253" s="140">
        <v>0.18</v>
      </c>
      <c r="P2253" s="145">
        <f>(Purchase[[#This Row],[Gross Amount]]-Purchase[[#This Row],[Disct %]])*Purchase[[#This Row],[GST %]]</f>
        <v>3243.6</v>
      </c>
      <c r="Q2253" s="145">
        <f>Purchase[[#This Row],[Gross Amount]]-Purchase[[#This Row],[Disct Amnt]]+Purchase[[#This Row],[GST Amount]]</f>
        <v>21263.599999999999</v>
      </c>
      <c r="R2253" s="138" t="s">
        <v>1019</v>
      </c>
      <c r="S2253" s="41">
        <f>IF(Purchase[[#This Row],[Status]]="Cancelled",0,Purchase[[#This Row],[Qty]])</f>
        <v>17</v>
      </c>
      <c r="T2253" s="146">
        <f>IF(Purchase[[#This Row],[Status]]="Cancelled",0,Purchase[[#This Row],[Total Amount]])</f>
        <v>21263.599999999999</v>
      </c>
      <c r="U2253" s="146">
        <f>SUM(Purchase[Net Amount])</f>
        <v>814985438.68000126</v>
      </c>
    </row>
    <row r="2254" spans="1:21" ht="19.5" thickBot="1" x14ac:dyDescent="0.3">
      <c r="A2254" s="136" t="s">
        <v>3310</v>
      </c>
      <c r="B2254" s="137">
        <v>45769</v>
      </c>
      <c r="C2254" s="138" t="s">
        <v>614</v>
      </c>
      <c r="D2254" s="138" t="str">
        <f>VLOOKUP(Purchase[[#This Row],[Supplier ID]],Supplier[#All],2,0)</f>
        <v>National Electronics</v>
      </c>
      <c r="E2254" s="138">
        <f>VLOOKUP(Purchase[[#This Row],[Supplier ID]],Supplier[#All],3,0)</f>
        <v>9689542497</v>
      </c>
      <c r="F2254" s="138" t="str">
        <f>VLOOKUP(Purchase[[#This Row],[Supplier ID]],Supplier[#All],4,0)</f>
        <v>Kanpur</v>
      </c>
      <c r="G2254" s="138" t="str">
        <f>VLOOKUP(Purchase[[#This Row],[Supplier ID]],Supplier[#All],5,0)</f>
        <v>UP</v>
      </c>
      <c r="H2254" s="138" t="str">
        <f>VLOOKUP(Purchase[[#This Row],[Supplier ID]],Supplier[#All],6,0)</f>
        <v>GST2154521T059</v>
      </c>
      <c r="I2254" s="138" t="s">
        <v>470</v>
      </c>
      <c r="J2254" s="139">
        <v>22</v>
      </c>
      <c r="K2254" s="143">
        <f>VLOOKUP(Purchase[[#This Row],[Product ID]],Product[#All],6,0)</f>
        <v>30694</v>
      </c>
      <c r="L2254" s="143">
        <f>Purchase[[#This Row],[Purchase Rate]]*Purchase[[#This Row],[Qty]]</f>
        <v>675268</v>
      </c>
      <c r="M2254" s="140">
        <v>0</v>
      </c>
      <c r="N2254" s="143">
        <v>0</v>
      </c>
      <c r="O2254" s="140">
        <v>0.18</v>
      </c>
      <c r="P2254" s="145">
        <f>(Purchase[[#This Row],[Gross Amount]]-Purchase[[#This Row],[Disct %]])*Purchase[[#This Row],[GST %]]</f>
        <v>121548.23999999999</v>
      </c>
      <c r="Q2254" s="145">
        <f>Purchase[[#This Row],[Gross Amount]]-Purchase[[#This Row],[Disct Amnt]]+Purchase[[#This Row],[GST Amount]]</f>
        <v>796816.24</v>
      </c>
      <c r="R2254" s="138" t="s">
        <v>1019</v>
      </c>
      <c r="S2254" s="41">
        <f>IF(Purchase[[#This Row],[Status]]="Cancelled",0,Purchase[[#This Row],[Qty]])</f>
        <v>22</v>
      </c>
      <c r="T2254" s="146">
        <f>IF(Purchase[[#This Row],[Status]]="Cancelled",0,Purchase[[#This Row],[Total Amount]])</f>
        <v>796816.24</v>
      </c>
      <c r="U2254" s="146">
        <f>SUM(Purchase[Net Amount])</f>
        <v>814985438.68000126</v>
      </c>
    </row>
    <row r="2255" spans="1:21" ht="19.5" thickBot="1" x14ac:dyDescent="0.3">
      <c r="A2255" s="136" t="s">
        <v>3311</v>
      </c>
      <c r="B2255" s="137">
        <v>45769</v>
      </c>
      <c r="C2255" s="138" t="s">
        <v>597</v>
      </c>
      <c r="D2255" s="138" t="str">
        <f>VLOOKUP(Purchase[[#This Row],[Supplier ID]],Supplier[#All],2,0)</f>
        <v>Tech Traders</v>
      </c>
      <c r="E2255" s="138">
        <f>VLOOKUP(Purchase[[#This Row],[Supplier ID]],Supplier[#All],3,0)</f>
        <v>9689542480</v>
      </c>
      <c r="F2255" s="138" t="str">
        <f>VLOOKUP(Purchase[[#This Row],[Supplier ID]],Supplier[#All],4,0)</f>
        <v>Kanpur</v>
      </c>
      <c r="G2255" s="138" t="str">
        <f>VLOOKUP(Purchase[[#This Row],[Supplier ID]],Supplier[#All],5,0)</f>
        <v>UP</v>
      </c>
      <c r="H2255" s="138" t="str">
        <f>VLOOKUP(Purchase[[#This Row],[Supplier ID]],Supplier[#All],6,0)</f>
        <v>GST2154521T042</v>
      </c>
      <c r="I2255" s="138" t="s">
        <v>531</v>
      </c>
      <c r="J2255" s="139">
        <v>8</v>
      </c>
      <c r="K2255" s="143">
        <f>VLOOKUP(Purchase[[#This Row],[Product ID]],Product[#All],6,0)</f>
        <v>5489</v>
      </c>
      <c r="L2255" s="143">
        <f>Purchase[[#This Row],[Purchase Rate]]*Purchase[[#This Row],[Qty]]</f>
        <v>43912</v>
      </c>
      <c r="M2255" s="140">
        <v>0</v>
      </c>
      <c r="N2255" s="143">
        <v>0</v>
      </c>
      <c r="O2255" s="140">
        <v>0.18</v>
      </c>
      <c r="P2255" s="145">
        <f>(Purchase[[#This Row],[Gross Amount]]-Purchase[[#This Row],[Disct %]])*Purchase[[#This Row],[GST %]]</f>
        <v>7904.16</v>
      </c>
      <c r="Q2255" s="145">
        <f>Purchase[[#This Row],[Gross Amount]]-Purchase[[#This Row],[Disct Amnt]]+Purchase[[#This Row],[GST Amount]]</f>
        <v>51816.160000000003</v>
      </c>
      <c r="R2255" s="138" t="s">
        <v>1019</v>
      </c>
      <c r="S2255" s="41">
        <f>IF(Purchase[[#This Row],[Status]]="Cancelled",0,Purchase[[#This Row],[Qty]])</f>
        <v>8</v>
      </c>
      <c r="T2255" s="146">
        <f>IF(Purchase[[#This Row],[Status]]="Cancelled",0,Purchase[[#This Row],[Total Amount]])</f>
        <v>51816.160000000003</v>
      </c>
      <c r="U2255" s="146">
        <f>SUM(Purchase[Net Amount])</f>
        <v>814985438.68000126</v>
      </c>
    </row>
    <row r="2256" spans="1:21" ht="19.5" thickBot="1" x14ac:dyDescent="0.3">
      <c r="A2256" s="136" t="s">
        <v>3312</v>
      </c>
      <c r="B2256" s="137">
        <v>45769</v>
      </c>
      <c r="C2256" s="138" t="s">
        <v>595</v>
      </c>
      <c r="D2256" s="138" t="str">
        <f>VLOOKUP(Purchase[[#This Row],[Supplier ID]],Supplier[#All],2,0)</f>
        <v>Star Computers</v>
      </c>
      <c r="E2256" s="138">
        <f>VLOOKUP(Purchase[[#This Row],[Supplier ID]],Supplier[#All],3,0)</f>
        <v>9689542478</v>
      </c>
      <c r="F2256" s="138" t="str">
        <f>VLOOKUP(Purchase[[#This Row],[Supplier ID]],Supplier[#All],4,0)</f>
        <v>Kanpur</v>
      </c>
      <c r="G2256" s="138" t="str">
        <f>VLOOKUP(Purchase[[#This Row],[Supplier ID]],Supplier[#All],5,0)</f>
        <v>UP</v>
      </c>
      <c r="H2256" s="138" t="str">
        <f>VLOOKUP(Purchase[[#This Row],[Supplier ID]],Supplier[#All],6,0)</f>
        <v>GST2154521T040</v>
      </c>
      <c r="I2256" s="138" t="s">
        <v>293</v>
      </c>
      <c r="J2256" s="139">
        <v>17</v>
      </c>
      <c r="K2256" s="143">
        <f>VLOOKUP(Purchase[[#This Row],[Product ID]],Product[#All],6,0)</f>
        <v>7511</v>
      </c>
      <c r="L2256" s="143">
        <f>Purchase[[#This Row],[Purchase Rate]]*Purchase[[#This Row],[Qty]]</f>
        <v>127687</v>
      </c>
      <c r="M2256" s="140">
        <v>0</v>
      </c>
      <c r="N2256" s="143">
        <v>0</v>
      </c>
      <c r="O2256" s="140">
        <v>0.18</v>
      </c>
      <c r="P2256" s="145">
        <f>(Purchase[[#This Row],[Gross Amount]]-Purchase[[#This Row],[Disct %]])*Purchase[[#This Row],[GST %]]</f>
        <v>22983.66</v>
      </c>
      <c r="Q2256" s="145">
        <f>Purchase[[#This Row],[Gross Amount]]-Purchase[[#This Row],[Disct Amnt]]+Purchase[[#This Row],[GST Amount]]</f>
        <v>150670.66</v>
      </c>
      <c r="R2256" s="138" t="s">
        <v>1019</v>
      </c>
      <c r="S2256" s="41">
        <f>IF(Purchase[[#This Row],[Status]]="Cancelled",0,Purchase[[#This Row],[Qty]])</f>
        <v>17</v>
      </c>
      <c r="T2256" s="146">
        <f>IF(Purchase[[#This Row],[Status]]="Cancelled",0,Purchase[[#This Row],[Total Amount]])</f>
        <v>150670.66</v>
      </c>
      <c r="U2256" s="146">
        <f>SUM(Purchase[Net Amount])</f>
        <v>814985438.68000126</v>
      </c>
    </row>
    <row r="2257" spans="1:21" ht="19.5" thickBot="1" x14ac:dyDescent="0.3">
      <c r="A2257" s="136" t="s">
        <v>3313</v>
      </c>
      <c r="B2257" s="137">
        <v>45769</v>
      </c>
      <c r="C2257" s="138" t="s">
        <v>569</v>
      </c>
      <c r="D2257" s="138" t="str">
        <f>VLOOKUP(Purchase[[#This Row],[Supplier ID]],Supplier[#All],2,0)</f>
        <v>Tech Electronics</v>
      </c>
      <c r="E2257" s="138">
        <f>VLOOKUP(Purchase[[#This Row],[Supplier ID]],Supplier[#All],3,0)</f>
        <v>9689542455</v>
      </c>
      <c r="F2257" s="138" t="str">
        <f>VLOOKUP(Purchase[[#This Row],[Supplier ID]],Supplier[#All],4,0)</f>
        <v>Korba</v>
      </c>
      <c r="G2257" s="138" t="str">
        <f>VLOOKUP(Purchase[[#This Row],[Supplier ID]],Supplier[#All],5,0)</f>
        <v>CG</v>
      </c>
      <c r="H2257" s="138" t="str">
        <f>VLOOKUP(Purchase[[#This Row],[Supplier ID]],Supplier[#All],6,0)</f>
        <v>GST2154521T017</v>
      </c>
      <c r="I2257" s="138" t="s">
        <v>429</v>
      </c>
      <c r="J2257" s="139">
        <v>34</v>
      </c>
      <c r="K2257" s="143">
        <f>VLOOKUP(Purchase[[#This Row],[Product ID]],Product[#All],6,0)</f>
        <v>1959</v>
      </c>
      <c r="L2257" s="143">
        <f>Purchase[[#This Row],[Purchase Rate]]*Purchase[[#This Row],[Qty]]</f>
        <v>66606</v>
      </c>
      <c r="M2257" s="140">
        <v>0</v>
      </c>
      <c r="N2257" s="143">
        <v>0</v>
      </c>
      <c r="O2257" s="140">
        <v>0.18</v>
      </c>
      <c r="P2257" s="145">
        <f>(Purchase[[#This Row],[Gross Amount]]-Purchase[[#This Row],[Disct %]])*Purchase[[#This Row],[GST %]]</f>
        <v>11989.08</v>
      </c>
      <c r="Q2257" s="145">
        <f>Purchase[[#This Row],[Gross Amount]]-Purchase[[#This Row],[Disct Amnt]]+Purchase[[#This Row],[GST Amount]]</f>
        <v>78595.08</v>
      </c>
      <c r="R2257" s="138" t="s">
        <v>1019</v>
      </c>
      <c r="S2257" s="41">
        <f>IF(Purchase[[#This Row],[Status]]="Cancelled",0,Purchase[[#This Row],[Qty]])</f>
        <v>34</v>
      </c>
      <c r="T2257" s="146">
        <f>IF(Purchase[[#This Row],[Status]]="Cancelled",0,Purchase[[#This Row],[Total Amount]])</f>
        <v>78595.08</v>
      </c>
      <c r="U2257" s="146">
        <f>SUM(Purchase[Net Amount])</f>
        <v>814985438.68000126</v>
      </c>
    </row>
    <row r="2258" spans="1:21" ht="19.5" thickBot="1" x14ac:dyDescent="0.3">
      <c r="A2258" s="136" t="s">
        <v>3314</v>
      </c>
      <c r="B2258" s="137">
        <v>45769</v>
      </c>
      <c r="C2258" s="138" t="s">
        <v>611</v>
      </c>
      <c r="D2258" s="138" t="str">
        <f>VLOOKUP(Purchase[[#This Row],[Supplier ID]],Supplier[#All],2,0)</f>
        <v>National Distributors</v>
      </c>
      <c r="E2258" s="138">
        <f>VLOOKUP(Purchase[[#This Row],[Supplier ID]],Supplier[#All],3,0)</f>
        <v>9689542494</v>
      </c>
      <c r="F2258" s="138" t="str">
        <f>VLOOKUP(Purchase[[#This Row],[Supplier ID]],Supplier[#All],4,0)</f>
        <v>Korba</v>
      </c>
      <c r="G2258" s="138" t="str">
        <f>VLOOKUP(Purchase[[#This Row],[Supplier ID]],Supplier[#All],5,0)</f>
        <v>CG</v>
      </c>
      <c r="H2258" s="138" t="str">
        <f>VLOOKUP(Purchase[[#This Row],[Supplier ID]],Supplier[#All],6,0)</f>
        <v>GST2154521T056</v>
      </c>
      <c r="I2258" s="138" t="s">
        <v>319</v>
      </c>
      <c r="J2258" s="139">
        <v>4</v>
      </c>
      <c r="K2258" s="143">
        <f>VLOOKUP(Purchase[[#This Row],[Product ID]],Product[#All],6,0)</f>
        <v>8807</v>
      </c>
      <c r="L2258" s="143">
        <f>Purchase[[#This Row],[Purchase Rate]]*Purchase[[#This Row],[Qty]]</f>
        <v>35228</v>
      </c>
      <c r="M2258" s="140">
        <v>0</v>
      </c>
      <c r="N2258" s="143">
        <v>0</v>
      </c>
      <c r="O2258" s="140">
        <v>0.18</v>
      </c>
      <c r="P2258" s="145">
        <f>(Purchase[[#This Row],[Gross Amount]]-Purchase[[#This Row],[Disct %]])*Purchase[[#This Row],[GST %]]</f>
        <v>6341.04</v>
      </c>
      <c r="Q2258" s="145">
        <f>Purchase[[#This Row],[Gross Amount]]-Purchase[[#This Row],[Disct Amnt]]+Purchase[[#This Row],[GST Amount]]</f>
        <v>41569.040000000001</v>
      </c>
      <c r="R2258" s="138" t="s">
        <v>1040</v>
      </c>
      <c r="S2258" s="41">
        <f>IF(Purchase[[#This Row],[Status]]="Cancelled",0,Purchase[[#This Row],[Qty]])</f>
        <v>0</v>
      </c>
      <c r="T2258" s="146">
        <f>IF(Purchase[[#This Row],[Status]]="Cancelled",0,Purchase[[#This Row],[Total Amount]])</f>
        <v>0</v>
      </c>
      <c r="U2258" s="146">
        <f>SUM(Purchase[Net Amount])</f>
        <v>814985438.68000126</v>
      </c>
    </row>
    <row r="2259" spans="1:21" ht="19.5" thickBot="1" x14ac:dyDescent="0.3">
      <c r="A2259" s="136" t="s">
        <v>3315</v>
      </c>
      <c r="B2259" s="137">
        <v>45769</v>
      </c>
      <c r="C2259" s="138" t="s">
        <v>607</v>
      </c>
      <c r="D2259" s="138" t="str">
        <f>VLOOKUP(Purchase[[#This Row],[Supplier ID]],Supplier[#All],2,0)</f>
        <v>Global Distributors</v>
      </c>
      <c r="E2259" s="138">
        <f>VLOOKUP(Purchase[[#This Row],[Supplier ID]],Supplier[#All],3,0)</f>
        <v>9689542490</v>
      </c>
      <c r="F2259" s="138" t="str">
        <f>VLOOKUP(Purchase[[#This Row],[Supplier ID]],Supplier[#All],4,0)</f>
        <v>Kanpur</v>
      </c>
      <c r="G2259" s="138" t="str">
        <f>VLOOKUP(Purchase[[#This Row],[Supplier ID]],Supplier[#All],5,0)</f>
        <v>UP</v>
      </c>
      <c r="H2259" s="138" t="str">
        <f>VLOOKUP(Purchase[[#This Row],[Supplier ID]],Supplier[#All],6,0)</f>
        <v>GST2154521T052</v>
      </c>
      <c r="I2259" s="138" t="s">
        <v>64</v>
      </c>
      <c r="J2259" s="139">
        <v>28</v>
      </c>
      <c r="K2259" s="143">
        <f>VLOOKUP(Purchase[[#This Row],[Product ID]],Product[#All],6,0)</f>
        <v>771</v>
      </c>
      <c r="L2259" s="143">
        <f>Purchase[[#This Row],[Purchase Rate]]*Purchase[[#This Row],[Qty]]</f>
        <v>21588</v>
      </c>
      <c r="M2259" s="140">
        <v>0</v>
      </c>
      <c r="N2259" s="143">
        <v>0</v>
      </c>
      <c r="O2259" s="140">
        <v>0.18</v>
      </c>
      <c r="P2259" s="145">
        <f>(Purchase[[#This Row],[Gross Amount]]-Purchase[[#This Row],[Disct %]])*Purchase[[#This Row],[GST %]]</f>
        <v>3885.8399999999997</v>
      </c>
      <c r="Q2259" s="145">
        <f>Purchase[[#This Row],[Gross Amount]]-Purchase[[#This Row],[Disct Amnt]]+Purchase[[#This Row],[GST Amount]]</f>
        <v>25473.84</v>
      </c>
      <c r="R2259" s="138" t="s">
        <v>1019</v>
      </c>
      <c r="S2259" s="41">
        <f>IF(Purchase[[#This Row],[Status]]="Cancelled",0,Purchase[[#This Row],[Qty]])</f>
        <v>28</v>
      </c>
      <c r="T2259" s="146">
        <f>IF(Purchase[[#This Row],[Status]]="Cancelled",0,Purchase[[#This Row],[Total Amount]])</f>
        <v>25473.84</v>
      </c>
      <c r="U2259" s="146">
        <f>SUM(Purchase[Net Amount])</f>
        <v>814985438.68000126</v>
      </c>
    </row>
    <row r="2260" spans="1:21" ht="19.5" thickBot="1" x14ac:dyDescent="0.3">
      <c r="A2260" s="136" t="s">
        <v>3316</v>
      </c>
      <c r="B2260" s="137">
        <v>45769</v>
      </c>
      <c r="C2260" s="138" t="s">
        <v>577</v>
      </c>
      <c r="D2260" s="138" t="str">
        <f>VLOOKUP(Purchase[[#This Row],[Supplier ID]],Supplier[#All],2,0)</f>
        <v>National Electronics</v>
      </c>
      <c r="E2260" s="138">
        <f>VLOOKUP(Purchase[[#This Row],[Supplier ID]],Supplier[#All],3,0)</f>
        <v>9689542469</v>
      </c>
      <c r="F2260" s="138" t="str">
        <f>VLOOKUP(Purchase[[#This Row],[Supplier ID]],Supplier[#All],4,0)</f>
        <v>Korba</v>
      </c>
      <c r="G2260" s="138" t="str">
        <f>VLOOKUP(Purchase[[#This Row],[Supplier ID]],Supplier[#All],5,0)</f>
        <v>CG</v>
      </c>
      <c r="H2260" s="138" t="str">
        <f>VLOOKUP(Purchase[[#This Row],[Supplier ID]],Supplier[#All],6,0)</f>
        <v>GST2154521T023</v>
      </c>
      <c r="I2260" s="138" t="s">
        <v>356</v>
      </c>
      <c r="J2260" s="139">
        <v>24</v>
      </c>
      <c r="K2260" s="143">
        <f>VLOOKUP(Purchase[[#This Row],[Product ID]],Product[#All],6,0)</f>
        <v>6914</v>
      </c>
      <c r="L2260" s="143">
        <f>Purchase[[#This Row],[Purchase Rate]]*Purchase[[#This Row],[Qty]]</f>
        <v>165936</v>
      </c>
      <c r="M2260" s="140">
        <v>0</v>
      </c>
      <c r="N2260" s="143">
        <v>0</v>
      </c>
      <c r="O2260" s="140">
        <v>0.18</v>
      </c>
      <c r="P2260" s="145">
        <f>(Purchase[[#This Row],[Gross Amount]]-Purchase[[#This Row],[Disct %]])*Purchase[[#This Row],[GST %]]</f>
        <v>29868.48</v>
      </c>
      <c r="Q2260" s="145">
        <f>Purchase[[#This Row],[Gross Amount]]-Purchase[[#This Row],[Disct Amnt]]+Purchase[[#This Row],[GST Amount]]</f>
        <v>195804.48</v>
      </c>
      <c r="R2260" s="138" t="s">
        <v>1019</v>
      </c>
      <c r="S2260" s="41">
        <f>IF(Purchase[[#This Row],[Status]]="Cancelled",0,Purchase[[#This Row],[Qty]])</f>
        <v>24</v>
      </c>
      <c r="T2260" s="146">
        <f>IF(Purchase[[#This Row],[Status]]="Cancelled",0,Purchase[[#This Row],[Total Amount]])</f>
        <v>195804.48</v>
      </c>
      <c r="U2260" s="146">
        <f>SUM(Purchase[Net Amount])</f>
        <v>814985438.68000126</v>
      </c>
    </row>
    <row r="2261" spans="1:21" ht="19.5" thickBot="1" x14ac:dyDescent="0.3">
      <c r="A2261" s="136" t="s">
        <v>3317</v>
      </c>
      <c r="B2261" s="137">
        <v>45769</v>
      </c>
      <c r="C2261" s="138" t="s">
        <v>582</v>
      </c>
      <c r="D2261" s="138" t="str">
        <f>VLOOKUP(Purchase[[#This Row],[Supplier ID]],Supplier[#All],2,0)</f>
        <v>Tech Distributors</v>
      </c>
      <c r="E2261" s="138">
        <f>VLOOKUP(Purchase[[#This Row],[Supplier ID]],Supplier[#All],3,0)</f>
        <v>9689542466</v>
      </c>
      <c r="F2261" s="138" t="str">
        <f>VLOOKUP(Purchase[[#This Row],[Supplier ID]],Supplier[#All],4,0)</f>
        <v>Indore</v>
      </c>
      <c r="G2261" s="138" t="str">
        <f>VLOOKUP(Purchase[[#This Row],[Supplier ID]],Supplier[#All],5,0)</f>
        <v>MP</v>
      </c>
      <c r="H2261" s="138" t="str">
        <f>VLOOKUP(Purchase[[#This Row],[Supplier ID]],Supplier[#All],6,0)</f>
        <v>GST2154521T028</v>
      </c>
      <c r="I2261" s="138" t="s">
        <v>240</v>
      </c>
      <c r="J2261" s="139">
        <v>7</v>
      </c>
      <c r="K2261" s="143">
        <f>VLOOKUP(Purchase[[#This Row],[Product ID]],Product[#All],6,0)</f>
        <v>2844</v>
      </c>
      <c r="L2261" s="143">
        <f>Purchase[[#This Row],[Purchase Rate]]*Purchase[[#This Row],[Qty]]</f>
        <v>19908</v>
      </c>
      <c r="M2261" s="140">
        <v>0</v>
      </c>
      <c r="N2261" s="143">
        <v>0</v>
      </c>
      <c r="O2261" s="140">
        <v>0.18</v>
      </c>
      <c r="P2261" s="145">
        <f>(Purchase[[#This Row],[Gross Amount]]-Purchase[[#This Row],[Disct %]])*Purchase[[#This Row],[GST %]]</f>
        <v>3583.44</v>
      </c>
      <c r="Q2261" s="145">
        <f>Purchase[[#This Row],[Gross Amount]]-Purchase[[#This Row],[Disct Amnt]]+Purchase[[#This Row],[GST Amount]]</f>
        <v>23491.439999999999</v>
      </c>
      <c r="R2261" s="138" t="s">
        <v>1040</v>
      </c>
      <c r="S2261" s="41">
        <f>IF(Purchase[[#This Row],[Status]]="Cancelled",0,Purchase[[#This Row],[Qty]])</f>
        <v>0</v>
      </c>
      <c r="T2261" s="146">
        <f>IF(Purchase[[#This Row],[Status]]="Cancelled",0,Purchase[[#This Row],[Total Amount]])</f>
        <v>0</v>
      </c>
      <c r="U2261" s="146">
        <f>SUM(Purchase[Net Amount])</f>
        <v>814985438.68000126</v>
      </c>
    </row>
    <row r="2262" spans="1:21" ht="19.5" thickBot="1" x14ac:dyDescent="0.3">
      <c r="A2262" s="136" t="s">
        <v>3318</v>
      </c>
      <c r="B2262" s="137">
        <v>45769</v>
      </c>
      <c r="C2262" s="138" t="s">
        <v>605</v>
      </c>
      <c r="D2262" s="138" t="str">
        <f>VLOOKUP(Purchase[[#This Row],[Supplier ID]],Supplier[#All],2,0)</f>
        <v>Star Traders</v>
      </c>
      <c r="E2262" s="138">
        <f>VLOOKUP(Purchase[[#This Row],[Supplier ID]],Supplier[#All],3,0)</f>
        <v>9689542488</v>
      </c>
      <c r="F2262" s="138" t="str">
        <f>VLOOKUP(Purchase[[#This Row],[Supplier ID]],Supplier[#All],4,0)</f>
        <v>Indore</v>
      </c>
      <c r="G2262" s="138" t="str">
        <f>VLOOKUP(Purchase[[#This Row],[Supplier ID]],Supplier[#All],5,0)</f>
        <v>MP</v>
      </c>
      <c r="H2262" s="138" t="str">
        <f>VLOOKUP(Purchase[[#This Row],[Supplier ID]],Supplier[#All],6,0)</f>
        <v>GST2154521T050</v>
      </c>
      <c r="I2262" s="138" t="s">
        <v>290</v>
      </c>
      <c r="J2262" s="139">
        <v>6</v>
      </c>
      <c r="K2262" s="143">
        <f>VLOOKUP(Purchase[[#This Row],[Product ID]],Product[#All],6,0)</f>
        <v>6487</v>
      </c>
      <c r="L2262" s="143">
        <f>Purchase[[#This Row],[Purchase Rate]]*Purchase[[#This Row],[Qty]]</f>
        <v>38922</v>
      </c>
      <c r="M2262" s="140">
        <v>0</v>
      </c>
      <c r="N2262" s="143">
        <v>0</v>
      </c>
      <c r="O2262" s="140">
        <v>0.18</v>
      </c>
      <c r="P2262" s="145">
        <f>(Purchase[[#This Row],[Gross Amount]]-Purchase[[#This Row],[Disct %]])*Purchase[[#This Row],[GST %]]</f>
        <v>7005.96</v>
      </c>
      <c r="Q2262" s="145">
        <f>Purchase[[#This Row],[Gross Amount]]-Purchase[[#This Row],[Disct Amnt]]+Purchase[[#This Row],[GST Amount]]</f>
        <v>45927.96</v>
      </c>
      <c r="R2262" s="138" t="s">
        <v>1019</v>
      </c>
      <c r="S2262" s="41">
        <f>IF(Purchase[[#This Row],[Status]]="Cancelled",0,Purchase[[#This Row],[Qty]])</f>
        <v>6</v>
      </c>
      <c r="T2262" s="146">
        <f>IF(Purchase[[#This Row],[Status]]="Cancelled",0,Purchase[[#This Row],[Total Amount]])</f>
        <v>45927.96</v>
      </c>
      <c r="U2262" s="146">
        <f>SUM(Purchase[Net Amount])</f>
        <v>814985438.68000126</v>
      </c>
    </row>
    <row r="2263" spans="1:21" ht="19.5" thickBot="1" x14ac:dyDescent="0.3">
      <c r="A2263" s="136" t="s">
        <v>3319</v>
      </c>
      <c r="B2263" s="137">
        <v>45770</v>
      </c>
      <c r="C2263" s="138" t="s">
        <v>591</v>
      </c>
      <c r="D2263" s="138" t="str">
        <f>VLOOKUP(Purchase[[#This Row],[Supplier ID]],Supplier[#All],2,0)</f>
        <v>Shree Computers</v>
      </c>
      <c r="E2263" s="138">
        <f>VLOOKUP(Purchase[[#This Row],[Supplier ID]],Supplier[#All],3,0)</f>
        <v>9689542475</v>
      </c>
      <c r="F2263" s="138" t="str">
        <f>VLOOKUP(Purchase[[#This Row],[Supplier ID]],Supplier[#All],4,0)</f>
        <v>Indore</v>
      </c>
      <c r="G2263" s="138" t="str">
        <f>VLOOKUP(Purchase[[#This Row],[Supplier ID]],Supplier[#All],5,0)</f>
        <v>MP</v>
      </c>
      <c r="H2263" s="138" t="str">
        <f>VLOOKUP(Purchase[[#This Row],[Supplier ID]],Supplier[#All],6,0)</f>
        <v>GST2154521T037</v>
      </c>
      <c r="I2263" s="138" t="s">
        <v>466</v>
      </c>
      <c r="J2263" s="139">
        <v>18</v>
      </c>
      <c r="K2263" s="143">
        <f>VLOOKUP(Purchase[[#This Row],[Product ID]],Product[#All],6,0)</f>
        <v>68885</v>
      </c>
      <c r="L2263" s="143">
        <f>Purchase[[#This Row],[Purchase Rate]]*Purchase[[#This Row],[Qty]]</f>
        <v>1239930</v>
      </c>
      <c r="M2263" s="140">
        <v>0</v>
      </c>
      <c r="N2263" s="143">
        <v>0</v>
      </c>
      <c r="O2263" s="140">
        <v>0.18</v>
      </c>
      <c r="P2263" s="145">
        <f>(Purchase[[#This Row],[Gross Amount]]-Purchase[[#This Row],[Disct %]])*Purchase[[#This Row],[GST %]]</f>
        <v>223187.4</v>
      </c>
      <c r="Q2263" s="145">
        <f>Purchase[[#This Row],[Gross Amount]]-Purchase[[#This Row],[Disct Amnt]]+Purchase[[#This Row],[GST Amount]]</f>
        <v>1463117.4</v>
      </c>
      <c r="R2263" s="138" t="s">
        <v>1019</v>
      </c>
      <c r="S2263" s="41">
        <f>IF(Purchase[[#This Row],[Status]]="Cancelled",0,Purchase[[#This Row],[Qty]])</f>
        <v>18</v>
      </c>
      <c r="T2263" s="146">
        <f>IF(Purchase[[#This Row],[Status]]="Cancelled",0,Purchase[[#This Row],[Total Amount]])</f>
        <v>1463117.4</v>
      </c>
      <c r="U2263" s="146">
        <f>SUM(Purchase[Net Amount])</f>
        <v>814985438.68000126</v>
      </c>
    </row>
    <row r="2264" spans="1:21" ht="19.5" thickBot="1" x14ac:dyDescent="0.3">
      <c r="A2264" s="136" t="s">
        <v>3320</v>
      </c>
      <c r="B2264" s="137">
        <v>45770</v>
      </c>
      <c r="C2264" s="138" t="s">
        <v>1225</v>
      </c>
      <c r="D2264" s="138" t="str">
        <f>VLOOKUP(Purchase[[#This Row],[Supplier ID]],Supplier[#All],2,0)</f>
        <v>Star Distributors</v>
      </c>
      <c r="E2264" s="138">
        <f>VLOOKUP(Purchase[[#This Row],[Supplier ID]],Supplier[#All],3,0)</f>
        <v>9689542474</v>
      </c>
      <c r="F2264" s="138" t="str">
        <f>VLOOKUP(Purchase[[#This Row],[Supplier ID]],Supplier[#All],4,0)</f>
        <v>Kanpur</v>
      </c>
      <c r="G2264" s="138" t="str">
        <f>VLOOKUP(Purchase[[#This Row],[Supplier ID]],Supplier[#All],5,0)</f>
        <v>UP</v>
      </c>
      <c r="H2264" s="138" t="str">
        <f>VLOOKUP(Purchase[[#This Row],[Supplier ID]],Supplier[#All],6,0)</f>
        <v>GST2154521T036</v>
      </c>
      <c r="I2264" s="138" t="s">
        <v>486</v>
      </c>
      <c r="J2264" s="139">
        <v>31</v>
      </c>
      <c r="K2264" s="143">
        <f>VLOOKUP(Purchase[[#This Row],[Product ID]],Product[#All],6,0)</f>
        <v>1345</v>
      </c>
      <c r="L2264" s="143">
        <f>Purchase[[#This Row],[Purchase Rate]]*Purchase[[#This Row],[Qty]]</f>
        <v>41695</v>
      </c>
      <c r="M2264" s="140">
        <v>0</v>
      </c>
      <c r="N2264" s="143">
        <v>0</v>
      </c>
      <c r="O2264" s="140">
        <v>0.18</v>
      </c>
      <c r="P2264" s="145">
        <f>(Purchase[[#This Row],[Gross Amount]]-Purchase[[#This Row],[Disct %]])*Purchase[[#This Row],[GST %]]</f>
        <v>7505.0999999999995</v>
      </c>
      <c r="Q2264" s="145">
        <f>Purchase[[#This Row],[Gross Amount]]-Purchase[[#This Row],[Disct Amnt]]+Purchase[[#This Row],[GST Amount]]</f>
        <v>49200.1</v>
      </c>
      <c r="R2264" s="138" t="s">
        <v>1019</v>
      </c>
      <c r="S2264" s="41">
        <f>IF(Purchase[[#This Row],[Status]]="Cancelled",0,Purchase[[#This Row],[Qty]])</f>
        <v>31</v>
      </c>
      <c r="T2264" s="146">
        <f>IF(Purchase[[#This Row],[Status]]="Cancelled",0,Purchase[[#This Row],[Total Amount]])</f>
        <v>49200.1</v>
      </c>
      <c r="U2264" s="146">
        <f>SUM(Purchase[Net Amount])</f>
        <v>814985438.68000126</v>
      </c>
    </row>
    <row r="2265" spans="1:21" ht="19.5" thickBot="1" x14ac:dyDescent="0.3">
      <c r="A2265" s="136" t="s">
        <v>3321</v>
      </c>
      <c r="B2265" s="137">
        <v>45770</v>
      </c>
      <c r="C2265" s="138" t="s">
        <v>583</v>
      </c>
      <c r="D2265" s="138" t="str">
        <f>VLOOKUP(Purchase[[#This Row],[Supplier ID]],Supplier[#All],2,0)</f>
        <v>Shree Distributors</v>
      </c>
      <c r="E2265" s="138">
        <f>VLOOKUP(Purchase[[#This Row],[Supplier ID]],Supplier[#All],3,0)</f>
        <v>9689542467</v>
      </c>
      <c r="F2265" s="138" t="str">
        <f>VLOOKUP(Purchase[[#This Row],[Supplier ID]],Supplier[#All],4,0)</f>
        <v>Indore</v>
      </c>
      <c r="G2265" s="138" t="str">
        <f>VLOOKUP(Purchase[[#This Row],[Supplier ID]],Supplier[#All],5,0)</f>
        <v>MP</v>
      </c>
      <c r="H2265" s="138" t="str">
        <f>VLOOKUP(Purchase[[#This Row],[Supplier ID]],Supplier[#All],6,0)</f>
        <v>GST2154521T029</v>
      </c>
      <c r="I2265" s="138" t="s">
        <v>397</v>
      </c>
      <c r="J2265" s="139">
        <v>35</v>
      </c>
      <c r="K2265" s="143">
        <f>VLOOKUP(Purchase[[#This Row],[Product ID]],Product[#All],6,0)</f>
        <v>60817</v>
      </c>
      <c r="L2265" s="143">
        <f>Purchase[[#This Row],[Purchase Rate]]*Purchase[[#This Row],[Qty]]</f>
        <v>2128595</v>
      </c>
      <c r="M2265" s="140">
        <v>0</v>
      </c>
      <c r="N2265" s="143">
        <v>0</v>
      </c>
      <c r="O2265" s="140">
        <v>0.18</v>
      </c>
      <c r="P2265" s="145">
        <f>(Purchase[[#This Row],[Gross Amount]]-Purchase[[#This Row],[Disct %]])*Purchase[[#This Row],[GST %]]</f>
        <v>383147.1</v>
      </c>
      <c r="Q2265" s="145">
        <f>Purchase[[#This Row],[Gross Amount]]-Purchase[[#This Row],[Disct Amnt]]+Purchase[[#This Row],[GST Amount]]</f>
        <v>2511742.1</v>
      </c>
      <c r="R2265" s="138" t="s">
        <v>1019</v>
      </c>
      <c r="S2265" s="41">
        <f>IF(Purchase[[#This Row],[Status]]="Cancelled",0,Purchase[[#This Row],[Qty]])</f>
        <v>35</v>
      </c>
      <c r="T2265" s="146">
        <f>IF(Purchase[[#This Row],[Status]]="Cancelled",0,Purchase[[#This Row],[Total Amount]])</f>
        <v>2511742.1</v>
      </c>
      <c r="U2265" s="146">
        <f>SUM(Purchase[Net Amount])</f>
        <v>814985438.68000126</v>
      </c>
    </row>
    <row r="2266" spans="1:21" ht="19.5" thickBot="1" x14ac:dyDescent="0.3">
      <c r="A2266" s="136" t="s">
        <v>3322</v>
      </c>
      <c r="B2266" s="137">
        <v>45770</v>
      </c>
      <c r="C2266" s="138" t="s">
        <v>597</v>
      </c>
      <c r="D2266" s="138" t="str">
        <f>VLOOKUP(Purchase[[#This Row],[Supplier ID]],Supplier[#All],2,0)</f>
        <v>Tech Traders</v>
      </c>
      <c r="E2266" s="138">
        <f>VLOOKUP(Purchase[[#This Row],[Supplier ID]],Supplier[#All],3,0)</f>
        <v>9689542480</v>
      </c>
      <c r="F2266" s="138" t="str">
        <f>VLOOKUP(Purchase[[#This Row],[Supplier ID]],Supplier[#All],4,0)</f>
        <v>Kanpur</v>
      </c>
      <c r="G2266" s="138" t="str">
        <f>VLOOKUP(Purchase[[#This Row],[Supplier ID]],Supplier[#All],5,0)</f>
        <v>UP</v>
      </c>
      <c r="H2266" s="138" t="str">
        <f>VLOOKUP(Purchase[[#This Row],[Supplier ID]],Supplier[#All],6,0)</f>
        <v>GST2154521T042</v>
      </c>
      <c r="I2266" s="138" t="s">
        <v>315</v>
      </c>
      <c r="J2266" s="139">
        <v>36</v>
      </c>
      <c r="K2266" s="143">
        <f>VLOOKUP(Purchase[[#This Row],[Product ID]],Product[#All],6,0)</f>
        <v>2069</v>
      </c>
      <c r="L2266" s="143">
        <f>Purchase[[#This Row],[Purchase Rate]]*Purchase[[#This Row],[Qty]]</f>
        <v>74484</v>
      </c>
      <c r="M2266" s="140">
        <v>0</v>
      </c>
      <c r="N2266" s="143">
        <v>0</v>
      </c>
      <c r="O2266" s="140">
        <v>0.18</v>
      </c>
      <c r="P2266" s="145">
        <f>(Purchase[[#This Row],[Gross Amount]]-Purchase[[#This Row],[Disct %]])*Purchase[[#This Row],[GST %]]</f>
        <v>13407.119999999999</v>
      </c>
      <c r="Q2266" s="145">
        <f>Purchase[[#This Row],[Gross Amount]]-Purchase[[#This Row],[Disct Amnt]]+Purchase[[#This Row],[GST Amount]]</f>
        <v>87891.12</v>
      </c>
      <c r="R2266" s="138" t="s">
        <v>1040</v>
      </c>
      <c r="S2266" s="41">
        <f>IF(Purchase[[#This Row],[Status]]="Cancelled",0,Purchase[[#This Row],[Qty]])</f>
        <v>0</v>
      </c>
      <c r="T2266" s="146">
        <f>IF(Purchase[[#This Row],[Status]]="Cancelled",0,Purchase[[#This Row],[Total Amount]])</f>
        <v>0</v>
      </c>
      <c r="U2266" s="146">
        <f>SUM(Purchase[Net Amount])</f>
        <v>814985438.68000126</v>
      </c>
    </row>
    <row r="2267" spans="1:21" ht="19.5" thickBot="1" x14ac:dyDescent="0.3">
      <c r="A2267" s="136" t="s">
        <v>3323</v>
      </c>
      <c r="B2267" s="137">
        <v>45770</v>
      </c>
      <c r="C2267" s="138" t="s">
        <v>585</v>
      </c>
      <c r="D2267" s="138" t="str">
        <f>VLOOKUP(Purchase[[#This Row],[Supplier ID]],Supplier[#All],2,0)</f>
        <v>Tech Computers</v>
      </c>
      <c r="E2267" s="138">
        <f>VLOOKUP(Purchase[[#This Row],[Supplier ID]],Supplier[#All],3,0)</f>
        <v>9689542469</v>
      </c>
      <c r="F2267" s="138" t="str">
        <f>VLOOKUP(Purchase[[#This Row],[Supplier ID]],Supplier[#All],4,0)</f>
        <v>Korba</v>
      </c>
      <c r="G2267" s="138" t="str">
        <f>VLOOKUP(Purchase[[#This Row],[Supplier ID]],Supplier[#All],5,0)</f>
        <v>CG</v>
      </c>
      <c r="H2267" s="138" t="str">
        <f>VLOOKUP(Purchase[[#This Row],[Supplier ID]],Supplier[#All],6,0)</f>
        <v>GST2154521T031</v>
      </c>
      <c r="I2267" s="138" t="s">
        <v>304</v>
      </c>
      <c r="J2267" s="139">
        <v>17</v>
      </c>
      <c r="K2267" s="143">
        <f>VLOOKUP(Purchase[[#This Row],[Product ID]],Product[#All],6,0)</f>
        <v>2572</v>
      </c>
      <c r="L2267" s="143">
        <f>Purchase[[#This Row],[Purchase Rate]]*Purchase[[#This Row],[Qty]]</f>
        <v>43724</v>
      </c>
      <c r="M2267" s="140">
        <v>0</v>
      </c>
      <c r="N2267" s="143">
        <v>0</v>
      </c>
      <c r="O2267" s="140">
        <v>0.18</v>
      </c>
      <c r="P2267" s="145">
        <f>(Purchase[[#This Row],[Gross Amount]]-Purchase[[#This Row],[Disct %]])*Purchase[[#This Row],[GST %]]</f>
        <v>7870.32</v>
      </c>
      <c r="Q2267" s="145">
        <f>Purchase[[#This Row],[Gross Amount]]-Purchase[[#This Row],[Disct Amnt]]+Purchase[[#This Row],[GST Amount]]</f>
        <v>51594.32</v>
      </c>
      <c r="R2267" s="138" t="s">
        <v>1019</v>
      </c>
      <c r="S2267" s="41">
        <f>IF(Purchase[[#This Row],[Status]]="Cancelled",0,Purchase[[#This Row],[Qty]])</f>
        <v>17</v>
      </c>
      <c r="T2267" s="146">
        <f>IF(Purchase[[#This Row],[Status]]="Cancelled",0,Purchase[[#This Row],[Total Amount]])</f>
        <v>51594.32</v>
      </c>
      <c r="U2267" s="146">
        <f>SUM(Purchase[Net Amount])</f>
        <v>814985438.68000126</v>
      </c>
    </row>
    <row r="2268" spans="1:21" ht="19.5" thickBot="1" x14ac:dyDescent="0.3">
      <c r="A2268" s="136" t="s">
        <v>3324</v>
      </c>
      <c r="B2268" s="137">
        <v>45770</v>
      </c>
      <c r="C2268" s="138" t="s">
        <v>575</v>
      </c>
      <c r="D2268" s="138" t="str">
        <f>VLOOKUP(Purchase[[#This Row],[Supplier ID]],Supplier[#All],2,0)</f>
        <v>Global Computers</v>
      </c>
      <c r="E2268" s="138">
        <f>VLOOKUP(Purchase[[#This Row],[Supplier ID]],Supplier[#All],3,0)</f>
        <v>9689542459</v>
      </c>
      <c r="F2268" s="138" t="str">
        <f>VLOOKUP(Purchase[[#This Row],[Supplier ID]],Supplier[#All],4,0)</f>
        <v>Indore</v>
      </c>
      <c r="G2268" s="138" t="str">
        <f>VLOOKUP(Purchase[[#This Row],[Supplier ID]],Supplier[#All],5,0)</f>
        <v>MP</v>
      </c>
      <c r="H2268" s="138" t="str">
        <f>VLOOKUP(Purchase[[#This Row],[Supplier ID]],Supplier[#All],6,0)</f>
        <v>GST2154521T021</v>
      </c>
      <c r="I2268" s="138" t="s">
        <v>309</v>
      </c>
      <c r="J2268" s="139">
        <v>6</v>
      </c>
      <c r="K2268" s="143">
        <f>VLOOKUP(Purchase[[#This Row],[Product ID]],Product[#All],6,0)</f>
        <v>1051</v>
      </c>
      <c r="L2268" s="143">
        <f>Purchase[[#This Row],[Purchase Rate]]*Purchase[[#This Row],[Qty]]</f>
        <v>6306</v>
      </c>
      <c r="M2268" s="140">
        <v>0</v>
      </c>
      <c r="N2268" s="143">
        <v>0</v>
      </c>
      <c r="O2268" s="140">
        <v>0.18</v>
      </c>
      <c r="P2268" s="145">
        <f>(Purchase[[#This Row],[Gross Amount]]-Purchase[[#This Row],[Disct %]])*Purchase[[#This Row],[GST %]]</f>
        <v>1135.08</v>
      </c>
      <c r="Q2268" s="145">
        <f>Purchase[[#This Row],[Gross Amount]]-Purchase[[#This Row],[Disct Amnt]]+Purchase[[#This Row],[GST Amount]]</f>
        <v>7441.08</v>
      </c>
      <c r="R2268" s="138" t="s">
        <v>1019</v>
      </c>
      <c r="S2268" s="41">
        <f>IF(Purchase[[#This Row],[Status]]="Cancelled",0,Purchase[[#This Row],[Qty]])</f>
        <v>6</v>
      </c>
      <c r="T2268" s="146">
        <f>IF(Purchase[[#This Row],[Status]]="Cancelled",0,Purchase[[#This Row],[Total Amount]])</f>
        <v>7441.08</v>
      </c>
      <c r="U2268" s="146">
        <f>SUM(Purchase[Net Amount])</f>
        <v>814985438.68000126</v>
      </c>
    </row>
    <row r="2269" spans="1:21" ht="19.5" thickBot="1" x14ac:dyDescent="0.3">
      <c r="A2269" s="136" t="s">
        <v>3325</v>
      </c>
      <c r="B2269" s="137">
        <v>45770</v>
      </c>
      <c r="C2269" s="138" t="s">
        <v>615</v>
      </c>
      <c r="D2269" s="138" t="str">
        <f>VLOOKUP(Purchase[[#This Row],[Supplier ID]],Supplier[#All],2,0)</f>
        <v>NATIONAL ELECTRONICS</v>
      </c>
      <c r="E2269" s="138">
        <f>VLOOKUP(Purchase[[#This Row],[Supplier ID]],Supplier[#All],3,0)</f>
        <v>9689542498</v>
      </c>
      <c r="F2269" s="138" t="str">
        <f>VLOOKUP(Purchase[[#This Row],[Supplier ID]],Supplier[#All],4,0)</f>
        <v>Kanpur</v>
      </c>
      <c r="G2269" s="138" t="str">
        <f>VLOOKUP(Purchase[[#This Row],[Supplier ID]],Supplier[#All],5,0)</f>
        <v>UP</v>
      </c>
      <c r="H2269" s="138" t="str">
        <f>VLOOKUP(Purchase[[#This Row],[Supplier ID]],Supplier[#All],6,0)</f>
        <v>GST2154521T060</v>
      </c>
      <c r="I2269" s="138" t="s">
        <v>325</v>
      </c>
      <c r="J2269" s="139">
        <v>18</v>
      </c>
      <c r="K2269" s="143">
        <f>VLOOKUP(Purchase[[#This Row],[Product ID]],Product[#All],6,0)</f>
        <v>1396</v>
      </c>
      <c r="L2269" s="143">
        <f>Purchase[[#This Row],[Purchase Rate]]*Purchase[[#This Row],[Qty]]</f>
        <v>25128</v>
      </c>
      <c r="M2269" s="140">
        <v>0</v>
      </c>
      <c r="N2269" s="143">
        <v>0</v>
      </c>
      <c r="O2269" s="140">
        <v>0.18</v>
      </c>
      <c r="P2269" s="145">
        <f>(Purchase[[#This Row],[Gross Amount]]-Purchase[[#This Row],[Disct %]])*Purchase[[#This Row],[GST %]]</f>
        <v>4523.04</v>
      </c>
      <c r="Q2269" s="145">
        <f>Purchase[[#This Row],[Gross Amount]]-Purchase[[#This Row],[Disct Amnt]]+Purchase[[#This Row],[GST Amount]]</f>
        <v>29651.040000000001</v>
      </c>
      <c r="R2269" s="138" t="s">
        <v>1019</v>
      </c>
      <c r="S2269" s="41">
        <f>IF(Purchase[[#This Row],[Status]]="Cancelled",0,Purchase[[#This Row],[Qty]])</f>
        <v>18</v>
      </c>
      <c r="T2269" s="146">
        <f>IF(Purchase[[#This Row],[Status]]="Cancelled",0,Purchase[[#This Row],[Total Amount]])</f>
        <v>29651.040000000001</v>
      </c>
      <c r="U2269" s="146">
        <f>SUM(Purchase[Net Amount])</f>
        <v>814985438.68000126</v>
      </c>
    </row>
    <row r="2270" spans="1:21" ht="19.5" thickBot="1" x14ac:dyDescent="0.3">
      <c r="A2270" s="136" t="s">
        <v>3326</v>
      </c>
      <c r="B2270" s="137">
        <v>45770</v>
      </c>
      <c r="C2270" s="138" t="s">
        <v>610</v>
      </c>
      <c r="D2270" s="138" t="str">
        <f>VLOOKUP(Purchase[[#This Row],[Supplier ID]],Supplier[#All],2,0)</f>
        <v>Shree Electronics</v>
      </c>
      <c r="E2270" s="138">
        <f>VLOOKUP(Purchase[[#This Row],[Supplier ID]],Supplier[#All],3,0)</f>
        <v>9689542493</v>
      </c>
      <c r="F2270" s="138" t="str">
        <f>VLOOKUP(Purchase[[#This Row],[Supplier ID]],Supplier[#All],4,0)</f>
        <v>Kanpur</v>
      </c>
      <c r="G2270" s="138" t="str">
        <f>VLOOKUP(Purchase[[#This Row],[Supplier ID]],Supplier[#All],5,0)</f>
        <v>UP</v>
      </c>
      <c r="H2270" s="138" t="str">
        <f>VLOOKUP(Purchase[[#This Row],[Supplier ID]],Supplier[#All],6,0)</f>
        <v>GST2154521T055</v>
      </c>
      <c r="I2270" s="138" t="s">
        <v>403</v>
      </c>
      <c r="J2270" s="139">
        <v>27</v>
      </c>
      <c r="K2270" s="143">
        <f>VLOOKUP(Purchase[[#This Row],[Product ID]],Product[#All],6,0)</f>
        <v>13869</v>
      </c>
      <c r="L2270" s="143">
        <f>Purchase[[#This Row],[Purchase Rate]]*Purchase[[#This Row],[Qty]]</f>
        <v>374463</v>
      </c>
      <c r="M2270" s="140">
        <v>0</v>
      </c>
      <c r="N2270" s="143">
        <v>0</v>
      </c>
      <c r="O2270" s="140">
        <v>0.18</v>
      </c>
      <c r="P2270" s="145">
        <f>(Purchase[[#This Row],[Gross Amount]]-Purchase[[#This Row],[Disct %]])*Purchase[[#This Row],[GST %]]</f>
        <v>67403.34</v>
      </c>
      <c r="Q2270" s="145">
        <f>Purchase[[#This Row],[Gross Amount]]-Purchase[[#This Row],[Disct Amnt]]+Purchase[[#This Row],[GST Amount]]</f>
        <v>441866.33999999997</v>
      </c>
      <c r="R2270" s="138" t="s">
        <v>1019</v>
      </c>
      <c r="S2270" s="41">
        <f>IF(Purchase[[#This Row],[Status]]="Cancelled",0,Purchase[[#This Row],[Qty]])</f>
        <v>27</v>
      </c>
      <c r="T2270" s="146">
        <f>IF(Purchase[[#This Row],[Status]]="Cancelled",0,Purchase[[#This Row],[Total Amount]])</f>
        <v>441866.33999999997</v>
      </c>
      <c r="U2270" s="146">
        <f>SUM(Purchase[Net Amount])</f>
        <v>814985438.68000126</v>
      </c>
    </row>
    <row r="2271" spans="1:21" ht="19.5" thickBot="1" x14ac:dyDescent="0.3">
      <c r="A2271" s="136" t="s">
        <v>3327</v>
      </c>
      <c r="B2271" s="137">
        <v>45770</v>
      </c>
      <c r="C2271" s="138" t="s">
        <v>593</v>
      </c>
      <c r="D2271" s="138" t="str">
        <f>VLOOKUP(Purchase[[#This Row],[Supplier ID]],Supplier[#All],2,0)</f>
        <v>Global Suppliers</v>
      </c>
      <c r="E2271" s="138">
        <f>VLOOKUP(Purchase[[#This Row],[Supplier ID]],Supplier[#All],3,0)</f>
        <v>9689542476</v>
      </c>
      <c r="F2271" s="138" t="str">
        <f>VLOOKUP(Purchase[[#This Row],[Supplier ID]],Supplier[#All],4,0)</f>
        <v>Korba</v>
      </c>
      <c r="G2271" s="138" t="str">
        <f>VLOOKUP(Purchase[[#This Row],[Supplier ID]],Supplier[#All],5,0)</f>
        <v>CG</v>
      </c>
      <c r="H2271" s="138" t="str">
        <f>VLOOKUP(Purchase[[#This Row],[Supplier ID]],Supplier[#All],6,0)</f>
        <v>GST2154521T038</v>
      </c>
      <c r="I2271" s="138" t="s">
        <v>401</v>
      </c>
      <c r="J2271" s="139">
        <v>13</v>
      </c>
      <c r="K2271" s="143">
        <f>VLOOKUP(Purchase[[#This Row],[Product ID]],Product[#All],6,0)</f>
        <v>517</v>
      </c>
      <c r="L2271" s="143">
        <f>Purchase[[#This Row],[Purchase Rate]]*Purchase[[#This Row],[Qty]]</f>
        <v>6721</v>
      </c>
      <c r="M2271" s="140">
        <v>0</v>
      </c>
      <c r="N2271" s="143">
        <v>0</v>
      </c>
      <c r="O2271" s="140">
        <v>0.18</v>
      </c>
      <c r="P2271" s="145">
        <f>(Purchase[[#This Row],[Gross Amount]]-Purchase[[#This Row],[Disct %]])*Purchase[[#This Row],[GST %]]</f>
        <v>1209.78</v>
      </c>
      <c r="Q2271" s="145">
        <f>Purchase[[#This Row],[Gross Amount]]-Purchase[[#This Row],[Disct Amnt]]+Purchase[[#This Row],[GST Amount]]</f>
        <v>7930.78</v>
      </c>
      <c r="R2271" s="138" t="s">
        <v>1019</v>
      </c>
      <c r="S2271" s="41">
        <f>IF(Purchase[[#This Row],[Status]]="Cancelled",0,Purchase[[#This Row],[Qty]])</f>
        <v>13</v>
      </c>
      <c r="T2271" s="146">
        <f>IF(Purchase[[#This Row],[Status]]="Cancelled",0,Purchase[[#This Row],[Total Amount]])</f>
        <v>7930.78</v>
      </c>
      <c r="U2271" s="146">
        <f>SUM(Purchase[Net Amount])</f>
        <v>814985438.68000126</v>
      </c>
    </row>
    <row r="2272" spans="1:21" ht="19.5" thickBot="1" x14ac:dyDescent="0.3">
      <c r="A2272" s="136" t="s">
        <v>3328</v>
      </c>
      <c r="B2272" s="137">
        <v>45770</v>
      </c>
      <c r="C2272" s="138" t="s">
        <v>571</v>
      </c>
      <c r="D2272" s="138" t="str">
        <f>VLOOKUP(Purchase[[#This Row],[Supplier ID]],Supplier[#All],2,0)</f>
        <v>Tech Suppliers</v>
      </c>
      <c r="E2272" s="138">
        <f>VLOOKUP(Purchase[[#This Row],[Supplier ID]],Supplier[#All],3,0)</f>
        <v>9689542457</v>
      </c>
      <c r="F2272" s="138" t="str">
        <f>VLOOKUP(Purchase[[#This Row],[Supplier ID]],Supplier[#All],4,0)</f>
        <v>Korba</v>
      </c>
      <c r="G2272" s="138" t="str">
        <f>VLOOKUP(Purchase[[#This Row],[Supplier ID]],Supplier[#All],5,0)</f>
        <v>CG</v>
      </c>
      <c r="H2272" s="138" t="str">
        <f>VLOOKUP(Purchase[[#This Row],[Supplier ID]],Supplier[#All],6,0)</f>
        <v>GST2154521T019</v>
      </c>
      <c r="I2272" s="138" t="s">
        <v>373</v>
      </c>
      <c r="J2272" s="139">
        <v>25</v>
      </c>
      <c r="K2272" s="143">
        <f>VLOOKUP(Purchase[[#This Row],[Product ID]],Product[#All],6,0)</f>
        <v>8224</v>
      </c>
      <c r="L2272" s="143">
        <f>Purchase[[#This Row],[Purchase Rate]]*Purchase[[#This Row],[Qty]]</f>
        <v>205600</v>
      </c>
      <c r="M2272" s="140">
        <v>0</v>
      </c>
      <c r="N2272" s="143">
        <v>0</v>
      </c>
      <c r="O2272" s="140">
        <v>0.18</v>
      </c>
      <c r="P2272" s="145">
        <f>(Purchase[[#This Row],[Gross Amount]]-Purchase[[#This Row],[Disct %]])*Purchase[[#This Row],[GST %]]</f>
        <v>37008</v>
      </c>
      <c r="Q2272" s="145">
        <f>Purchase[[#This Row],[Gross Amount]]-Purchase[[#This Row],[Disct Amnt]]+Purchase[[#This Row],[GST Amount]]</f>
        <v>242608</v>
      </c>
      <c r="R2272" s="138" t="s">
        <v>1019</v>
      </c>
      <c r="S2272" s="41">
        <f>IF(Purchase[[#This Row],[Status]]="Cancelled",0,Purchase[[#This Row],[Qty]])</f>
        <v>25</v>
      </c>
      <c r="T2272" s="146">
        <f>IF(Purchase[[#This Row],[Status]]="Cancelled",0,Purchase[[#This Row],[Total Amount]])</f>
        <v>242608</v>
      </c>
      <c r="U2272" s="146">
        <f>SUM(Purchase[Net Amount])</f>
        <v>814985438.68000126</v>
      </c>
    </row>
    <row r="2273" spans="1:21" ht="19.5" thickBot="1" x14ac:dyDescent="0.3">
      <c r="A2273" s="136" t="s">
        <v>3329</v>
      </c>
      <c r="B2273" s="137">
        <v>45770</v>
      </c>
      <c r="C2273" s="138" t="s">
        <v>581</v>
      </c>
      <c r="D2273" s="138" t="str">
        <f>VLOOKUP(Purchase[[#This Row],[Supplier ID]],Supplier[#All],2,0)</f>
        <v>Prime Electronics</v>
      </c>
      <c r="E2273" s="138">
        <f>VLOOKUP(Purchase[[#This Row],[Supplier ID]],Supplier[#All],3,0)</f>
        <v>9689542465</v>
      </c>
      <c r="F2273" s="138" t="str">
        <f>VLOOKUP(Purchase[[#This Row],[Supplier ID]],Supplier[#All],4,0)</f>
        <v>Korba</v>
      </c>
      <c r="G2273" s="138" t="str">
        <f>VLOOKUP(Purchase[[#This Row],[Supplier ID]],Supplier[#All],5,0)</f>
        <v>CG</v>
      </c>
      <c r="H2273" s="138" t="str">
        <f>VLOOKUP(Purchase[[#This Row],[Supplier ID]],Supplier[#All],6,0)</f>
        <v>GST2154521T027</v>
      </c>
      <c r="I2273" s="138" t="s">
        <v>26</v>
      </c>
      <c r="J2273" s="139">
        <v>38</v>
      </c>
      <c r="K2273" s="143">
        <f>VLOOKUP(Purchase[[#This Row],[Product ID]],Product[#All],6,0)</f>
        <v>18890</v>
      </c>
      <c r="L2273" s="143">
        <f>Purchase[[#This Row],[Purchase Rate]]*Purchase[[#This Row],[Qty]]</f>
        <v>717820</v>
      </c>
      <c r="M2273" s="140">
        <v>0</v>
      </c>
      <c r="N2273" s="143">
        <v>0</v>
      </c>
      <c r="O2273" s="140">
        <v>0.18</v>
      </c>
      <c r="P2273" s="145">
        <f>(Purchase[[#This Row],[Gross Amount]]-Purchase[[#This Row],[Disct %]])*Purchase[[#This Row],[GST %]]</f>
        <v>129207.59999999999</v>
      </c>
      <c r="Q2273" s="145">
        <f>Purchase[[#This Row],[Gross Amount]]-Purchase[[#This Row],[Disct Amnt]]+Purchase[[#This Row],[GST Amount]]</f>
        <v>847027.6</v>
      </c>
      <c r="R2273" s="138" t="s">
        <v>1019</v>
      </c>
      <c r="S2273" s="41">
        <f>IF(Purchase[[#This Row],[Status]]="Cancelled",0,Purchase[[#This Row],[Qty]])</f>
        <v>38</v>
      </c>
      <c r="T2273" s="146">
        <f>IF(Purchase[[#This Row],[Status]]="Cancelled",0,Purchase[[#This Row],[Total Amount]])</f>
        <v>847027.6</v>
      </c>
      <c r="U2273" s="146">
        <f>SUM(Purchase[Net Amount])</f>
        <v>814985438.68000126</v>
      </c>
    </row>
    <row r="2274" spans="1:21" ht="19.5" thickBot="1" x14ac:dyDescent="0.3">
      <c r="A2274" s="136" t="s">
        <v>3330</v>
      </c>
      <c r="B2274" s="137">
        <v>45770</v>
      </c>
      <c r="C2274" s="138" t="s">
        <v>587</v>
      </c>
      <c r="D2274" s="138" t="str">
        <f>VLOOKUP(Purchase[[#This Row],[Supplier ID]],Supplier[#All],2,0)</f>
        <v>maa distributors</v>
      </c>
      <c r="E2274" s="138">
        <f>VLOOKUP(Purchase[[#This Row],[Supplier ID]],Supplier[#All],3,0)</f>
        <v>9689542479</v>
      </c>
      <c r="F2274" s="138" t="str">
        <f>VLOOKUP(Purchase[[#This Row],[Supplier ID]],Supplier[#All],4,0)</f>
        <v>Indore</v>
      </c>
      <c r="G2274" s="138" t="str">
        <f>VLOOKUP(Purchase[[#This Row],[Supplier ID]],Supplier[#All],5,0)</f>
        <v>MP</v>
      </c>
      <c r="H2274" s="138" t="str">
        <f>VLOOKUP(Purchase[[#This Row],[Supplier ID]],Supplier[#All],6,0)</f>
        <v>GST2154521T033</v>
      </c>
      <c r="I2274" s="138" t="s">
        <v>314</v>
      </c>
      <c r="J2274" s="139">
        <v>2</v>
      </c>
      <c r="K2274" s="143">
        <f>VLOOKUP(Purchase[[#This Row],[Product ID]],Product[#All],6,0)</f>
        <v>53060</v>
      </c>
      <c r="L2274" s="143">
        <f>Purchase[[#This Row],[Purchase Rate]]*Purchase[[#This Row],[Qty]]</f>
        <v>106120</v>
      </c>
      <c r="M2274" s="140">
        <v>0</v>
      </c>
      <c r="N2274" s="143">
        <v>0</v>
      </c>
      <c r="O2274" s="140">
        <v>0.18</v>
      </c>
      <c r="P2274" s="145">
        <f>(Purchase[[#This Row],[Gross Amount]]-Purchase[[#This Row],[Disct %]])*Purchase[[#This Row],[GST %]]</f>
        <v>19101.599999999999</v>
      </c>
      <c r="Q2274" s="145">
        <f>Purchase[[#This Row],[Gross Amount]]-Purchase[[#This Row],[Disct Amnt]]+Purchase[[#This Row],[GST Amount]]</f>
        <v>125221.6</v>
      </c>
      <c r="R2274" s="138" t="s">
        <v>1019</v>
      </c>
      <c r="S2274" s="41">
        <f>IF(Purchase[[#This Row],[Status]]="Cancelled",0,Purchase[[#This Row],[Qty]])</f>
        <v>2</v>
      </c>
      <c r="T2274" s="146">
        <f>IF(Purchase[[#This Row],[Status]]="Cancelled",0,Purchase[[#This Row],[Total Amount]])</f>
        <v>125221.6</v>
      </c>
      <c r="U2274" s="146">
        <f>SUM(Purchase[Net Amount])</f>
        <v>814985438.68000126</v>
      </c>
    </row>
    <row r="2275" spans="1:21" ht="19.5" thickBot="1" x14ac:dyDescent="0.3">
      <c r="A2275" s="136" t="s">
        <v>3331</v>
      </c>
      <c r="B2275" s="137">
        <v>45770</v>
      </c>
      <c r="C2275" s="138" t="s">
        <v>603</v>
      </c>
      <c r="D2275" s="138" t="str">
        <f>VLOOKUP(Purchase[[#This Row],[Supplier ID]],Supplier[#All],2,0)</f>
        <v>Tech Computers</v>
      </c>
      <c r="E2275" s="138">
        <f>VLOOKUP(Purchase[[#This Row],[Supplier ID]],Supplier[#All],3,0)</f>
        <v>9689542486</v>
      </c>
      <c r="F2275" s="138" t="str">
        <f>VLOOKUP(Purchase[[#This Row],[Supplier ID]],Supplier[#All],4,0)</f>
        <v>Indore</v>
      </c>
      <c r="G2275" s="138" t="str">
        <f>VLOOKUP(Purchase[[#This Row],[Supplier ID]],Supplier[#All],5,0)</f>
        <v>MP</v>
      </c>
      <c r="H2275" s="138" t="str">
        <f>VLOOKUP(Purchase[[#This Row],[Supplier ID]],Supplier[#All],6,0)</f>
        <v>GST2154521T048</v>
      </c>
      <c r="I2275" s="138" t="s">
        <v>426</v>
      </c>
      <c r="J2275" s="139">
        <v>16</v>
      </c>
      <c r="K2275" s="143">
        <f>VLOOKUP(Purchase[[#This Row],[Product ID]],Product[#All],6,0)</f>
        <v>4401</v>
      </c>
      <c r="L2275" s="143">
        <f>Purchase[[#This Row],[Purchase Rate]]*Purchase[[#This Row],[Qty]]</f>
        <v>70416</v>
      </c>
      <c r="M2275" s="140">
        <v>0</v>
      </c>
      <c r="N2275" s="143">
        <v>0</v>
      </c>
      <c r="O2275" s="140">
        <v>0.18</v>
      </c>
      <c r="P2275" s="145">
        <f>(Purchase[[#This Row],[Gross Amount]]-Purchase[[#This Row],[Disct %]])*Purchase[[#This Row],[GST %]]</f>
        <v>12674.88</v>
      </c>
      <c r="Q2275" s="145">
        <f>Purchase[[#This Row],[Gross Amount]]-Purchase[[#This Row],[Disct Amnt]]+Purchase[[#This Row],[GST Amount]]</f>
        <v>83090.880000000005</v>
      </c>
      <c r="R2275" s="138" t="s">
        <v>1019</v>
      </c>
      <c r="S2275" s="41">
        <f>IF(Purchase[[#This Row],[Status]]="Cancelled",0,Purchase[[#This Row],[Qty]])</f>
        <v>16</v>
      </c>
      <c r="T2275" s="146">
        <f>IF(Purchase[[#This Row],[Status]]="Cancelled",0,Purchase[[#This Row],[Total Amount]])</f>
        <v>83090.880000000005</v>
      </c>
      <c r="U2275" s="146">
        <f>SUM(Purchase[Net Amount])</f>
        <v>814985438.68000126</v>
      </c>
    </row>
    <row r="2276" spans="1:21" ht="19.5" thickBot="1" x14ac:dyDescent="0.3">
      <c r="A2276" s="136" t="s">
        <v>3332</v>
      </c>
      <c r="B2276" s="137">
        <v>45770</v>
      </c>
      <c r="C2276" s="138" t="s">
        <v>590</v>
      </c>
      <c r="D2276" s="138" t="str">
        <f>VLOOKUP(Purchase[[#This Row],[Supplier ID]],Supplier[#All],2,0)</f>
        <v>Star Distributors</v>
      </c>
      <c r="E2276" s="138">
        <f>VLOOKUP(Purchase[[#This Row],[Supplier ID]],Supplier[#All],3,0)</f>
        <v>9689542474</v>
      </c>
      <c r="F2276" s="138" t="str">
        <f>VLOOKUP(Purchase[[#This Row],[Supplier ID]],Supplier[#All],4,0)</f>
        <v>Kanpur</v>
      </c>
      <c r="G2276" s="138" t="str">
        <f>VLOOKUP(Purchase[[#This Row],[Supplier ID]],Supplier[#All],5,0)</f>
        <v>UP</v>
      </c>
      <c r="H2276" s="138" t="str">
        <f>VLOOKUP(Purchase[[#This Row],[Supplier ID]],Supplier[#All],6,0)</f>
        <v>GST2154521T036</v>
      </c>
      <c r="I2276" s="138" t="s">
        <v>419</v>
      </c>
      <c r="J2276" s="139">
        <v>7</v>
      </c>
      <c r="K2276" s="143">
        <f>VLOOKUP(Purchase[[#This Row],[Product ID]],Product[#All],6,0)</f>
        <v>7279</v>
      </c>
      <c r="L2276" s="143">
        <f>Purchase[[#This Row],[Purchase Rate]]*Purchase[[#This Row],[Qty]]</f>
        <v>50953</v>
      </c>
      <c r="M2276" s="140">
        <v>0</v>
      </c>
      <c r="N2276" s="143">
        <v>0</v>
      </c>
      <c r="O2276" s="140">
        <v>0.18</v>
      </c>
      <c r="P2276" s="145">
        <f>(Purchase[[#This Row],[Gross Amount]]-Purchase[[#This Row],[Disct %]])*Purchase[[#This Row],[GST %]]</f>
        <v>9171.5399999999991</v>
      </c>
      <c r="Q2276" s="145">
        <f>Purchase[[#This Row],[Gross Amount]]-Purchase[[#This Row],[Disct Amnt]]+Purchase[[#This Row],[GST Amount]]</f>
        <v>60124.54</v>
      </c>
      <c r="R2276" s="138" t="s">
        <v>1019</v>
      </c>
      <c r="S2276" s="41">
        <f>IF(Purchase[[#This Row],[Status]]="Cancelled",0,Purchase[[#This Row],[Qty]])</f>
        <v>7</v>
      </c>
      <c r="T2276" s="146">
        <f>IF(Purchase[[#This Row],[Status]]="Cancelled",0,Purchase[[#This Row],[Total Amount]])</f>
        <v>60124.54</v>
      </c>
      <c r="U2276" s="146">
        <f>SUM(Purchase[Net Amount])</f>
        <v>814985438.68000126</v>
      </c>
    </row>
    <row r="2277" spans="1:21" ht="19.5" thickBot="1" x14ac:dyDescent="0.3">
      <c r="A2277" s="136" t="s">
        <v>3333</v>
      </c>
      <c r="B2277" s="137">
        <v>45770</v>
      </c>
      <c r="C2277" s="138" t="s">
        <v>615</v>
      </c>
      <c r="D2277" s="138" t="str">
        <f>VLOOKUP(Purchase[[#This Row],[Supplier ID]],Supplier[#All],2,0)</f>
        <v>NATIONAL ELECTRONICS</v>
      </c>
      <c r="E2277" s="138">
        <f>VLOOKUP(Purchase[[#This Row],[Supplier ID]],Supplier[#All],3,0)</f>
        <v>9689542498</v>
      </c>
      <c r="F2277" s="138" t="str">
        <f>VLOOKUP(Purchase[[#This Row],[Supplier ID]],Supplier[#All],4,0)</f>
        <v>Kanpur</v>
      </c>
      <c r="G2277" s="138" t="str">
        <f>VLOOKUP(Purchase[[#This Row],[Supplier ID]],Supplier[#All],5,0)</f>
        <v>UP</v>
      </c>
      <c r="H2277" s="138" t="str">
        <f>VLOOKUP(Purchase[[#This Row],[Supplier ID]],Supplier[#All],6,0)</f>
        <v>GST2154521T060</v>
      </c>
      <c r="I2277" s="138" t="s">
        <v>248</v>
      </c>
      <c r="J2277" s="139">
        <v>30</v>
      </c>
      <c r="K2277" s="143">
        <f>VLOOKUP(Purchase[[#This Row],[Product ID]],Product[#All],6,0)</f>
        <v>824</v>
      </c>
      <c r="L2277" s="143">
        <f>Purchase[[#This Row],[Purchase Rate]]*Purchase[[#This Row],[Qty]]</f>
        <v>24720</v>
      </c>
      <c r="M2277" s="140">
        <v>0</v>
      </c>
      <c r="N2277" s="143">
        <v>0</v>
      </c>
      <c r="O2277" s="140">
        <v>0.18</v>
      </c>
      <c r="P2277" s="145">
        <f>(Purchase[[#This Row],[Gross Amount]]-Purchase[[#This Row],[Disct %]])*Purchase[[#This Row],[GST %]]</f>
        <v>4449.5999999999995</v>
      </c>
      <c r="Q2277" s="145">
        <f>Purchase[[#This Row],[Gross Amount]]-Purchase[[#This Row],[Disct Amnt]]+Purchase[[#This Row],[GST Amount]]</f>
        <v>29169.599999999999</v>
      </c>
      <c r="R2277" s="138" t="s">
        <v>1019</v>
      </c>
      <c r="S2277" s="41">
        <f>IF(Purchase[[#This Row],[Status]]="Cancelled",0,Purchase[[#This Row],[Qty]])</f>
        <v>30</v>
      </c>
      <c r="T2277" s="146">
        <f>IF(Purchase[[#This Row],[Status]]="Cancelled",0,Purchase[[#This Row],[Total Amount]])</f>
        <v>29169.599999999999</v>
      </c>
      <c r="U2277" s="146">
        <f>SUM(Purchase[Net Amount])</f>
        <v>814985438.68000126</v>
      </c>
    </row>
    <row r="2278" spans="1:21" ht="19.5" thickBot="1" x14ac:dyDescent="0.3">
      <c r="A2278" s="136" t="s">
        <v>3334</v>
      </c>
      <c r="B2278" s="137">
        <v>45770</v>
      </c>
      <c r="C2278" s="138" t="s">
        <v>571</v>
      </c>
      <c r="D2278" s="138" t="str">
        <f>VLOOKUP(Purchase[[#This Row],[Supplier ID]],Supplier[#All],2,0)</f>
        <v>Tech Suppliers</v>
      </c>
      <c r="E2278" s="138">
        <f>VLOOKUP(Purchase[[#This Row],[Supplier ID]],Supplier[#All],3,0)</f>
        <v>9689542457</v>
      </c>
      <c r="F2278" s="138" t="str">
        <f>VLOOKUP(Purchase[[#This Row],[Supplier ID]],Supplier[#All],4,0)</f>
        <v>Korba</v>
      </c>
      <c r="G2278" s="138" t="str">
        <f>VLOOKUP(Purchase[[#This Row],[Supplier ID]],Supplier[#All],5,0)</f>
        <v>CG</v>
      </c>
      <c r="H2278" s="138" t="str">
        <f>VLOOKUP(Purchase[[#This Row],[Supplier ID]],Supplier[#All],6,0)</f>
        <v>GST2154521T019</v>
      </c>
      <c r="I2278" s="138" t="s">
        <v>271</v>
      </c>
      <c r="J2278" s="139">
        <v>25</v>
      </c>
      <c r="K2278" s="143">
        <f>VLOOKUP(Purchase[[#This Row],[Product ID]],Product[#All],6,0)</f>
        <v>353</v>
      </c>
      <c r="L2278" s="143">
        <f>Purchase[[#This Row],[Purchase Rate]]*Purchase[[#This Row],[Qty]]</f>
        <v>8825</v>
      </c>
      <c r="M2278" s="140">
        <v>0</v>
      </c>
      <c r="N2278" s="143">
        <v>0</v>
      </c>
      <c r="O2278" s="140">
        <v>0.18</v>
      </c>
      <c r="P2278" s="145">
        <f>(Purchase[[#This Row],[Gross Amount]]-Purchase[[#This Row],[Disct %]])*Purchase[[#This Row],[GST %]]</f>
        <v>1588.5</v>
      </c>
      <c r="Q2278" s="145">
        <f>Purchase[[#This Row],[Gross Amount]]-Purchase[[#This Row],[Disct Amnt]]+Purchase[[#This Row],[GST Amount]]</f>
        <v>10413.5</v>
      </c>
      <c r="R2278" s="138" t="s">
        <v>1019</v>
      </c>
      <c r="S2278" s="41">
        <f>IF(Purchase[[#This Row],[Status]]="Cancelled",0,Purchase[[#This Row],[Qty]])</f>
        <v>25</v>
      </c>
      <c r="T2278" s="146">
        <f>IF(Purchase[[#This Row],[Status]]="Cancelled",0,Purchase[[#This Row],[Total Amount]])</f>
        <v>10413.5</v>
      </c>
      <c r="U2278" s="146">
        <f>SUM(Purchase[Net Amount])</f>
        <v>814985438.68000126</v>
      </c>
    </row>
    <row r="2279" spans="1:21" ht="19.5" thickBot="1" x14ac:dyDescent="0.3">
      <c r="A2279" s="136" t="s">
        <v>3335</v>
      </c>
      <c r="B2279" s="137">
        <v>45770</v>
      </c>
      <c r="C2279" s="138" t="s">
        <v>588</v>
      </c>
      <c r="D2279" s="138" t="str">
        <f>VLOOKUP(Purchase[[#This Row],[Supplier ID]],Supplier[#All],2,0)</f>
        <v>Star Electronics</v>
      </c>
      <c r="E2279" s="138">
        <f>VLOOKUP(Purchase[[#This Row],[Supplier ID]],Supplier[#All],3,0)</f>
        <v>9689542472</v>
      </c>
      <c r="F2279" s="138" t="str">
        <f>VLOOKUP(Purchase[[#This Row],[Supplier ID]],Supplier[#All],4,0)</f>
        <v>Korba</v>
      </c>
      <c r="G2279" s="138" t="str">
        <f>VLOOKUP(Purchase[[#This Row],[Supplier ID]],Supplier[#All],5,0)</f>
        <v>CG</v>
      </c>
      <c r="H2279" s="138" t="str">
        <f>VLOOKUP(Purchase[[#This Row],[Supplier ID]],Supplier[#All],6,0)</f>
        <v>GST2154521T034</v>
      </c>
      <c r="I2279" s="138" t="s">
        <v>341</v>
      </c>
      <c r="J2279" s="139">
        <v>24</v>
      </c>
      <c r="K2279" s="143">
        <f>VLOOKUP(Purchase[[#This Row],[Product ID]],Product[#All],6,0)</f>
        <v>17041</v>
      </c>
      <c r="L2279" s="143">
        <f>Purchase[[#This Row],[Purchase Rate]]*Purchase[[#This Row],[Qty]]</f>
        <v>408984</v>
      </c>
      <c r="M2279" s="140">
        <v>0</v>
      </c>
      <c r="N2279" s="143">
        <v>0</v>
      </c>
      <c r="O2279" s="140">
        <v>0.18</v>
      </c>
      <c r="P2279" s="145">
        <f>(Purchase[[#This Row],[Gross Amount]]-Purchase[[#This Row],[Disct %]])*Purchase[[#This Row],[GST %]]</f>
        <v>73617.119999999995</v>
      </c>
      <c r="Q2279" s="145">
        <f>Purchase[[#This Row],[Gross Amount]]-Purchase[[#This Row],[Disct Amnt]]+Purchase[[#This Row],[GST Amount]]</f>
        <v>482601.12</v>
      </c>
      <c r="R2279" s="138" t="s">
        <v>1019</v>
      </c>
      <c r="S2279" s="41">
        <f>IF(Purchase[[#This Row],[Status]]="Cancelled",0,Purchase[[#This Row],[Qty]])</f>
        <v>24</v>
      </c>
      <c r="T2279" s="146">
        <f>IF(Purchase[[#This Row],[Status]]="Cancelled",0,Purchase[[#This Row],[Total Amount]])</f>
        <v>482601.12</v>
      </c>
      <c r="U2279" s="146">
        <f>SUM(Purchase[Net Amount])</f>
        <v>814985438.68000126</v>
      </c>
    </row>
    <row r="2280" spans="1:21" ht="19.5" thickBot="1" x14ac:dyDescent="0.3">
      <c r="A2280" s="136" t="s">
        <v>3336</v>
      </c>
      <c r="B2280" s="137">
        <v>45770</v>
      </c>
      <c r="C2280" s="138" t="s">
        <v>564</v>
      </c>
      <c r="D2280" s="138" t="str">
        <f>VLOOKUP(Purchase[[#This Row],[Supplier ID]],Supplier[#All],2,0)</f>
        <v xml:space="preserve">Star Electronics </v>
      </c>
      <c r="E2280" s="138">
        <f>VLOOKUP(Purchase[[#This Row],[Supplier ID]],Supplier[#All],3,0)</f>
        <v>9689542450</v>
      </c>
      <c r="F2280" s="138" t="str">
        <f>VLOOKUP(Purchase[[#This Row],[Supplier ID]],Supplier[#All],4,0)</f>
        <v>Korba</v>
      </c>
      <c r="G2280" s="138" t="str">
        <f>VLOOKUP(Purchase[[#This Row],[Supplier ID]],Supplier[#All],5,0)</f>
        <v>CG</v>
      </c>
      <c r="H2280" s="138" t="str">
        <f>VLOOKUP(Purchase[[#This Row],[Supplier ID]],Supplier[#All],6,0)</f>
        <v>GST2154521T012</v>
      </c>
      <c r="I2280" s="138" t="s">
        <v>493</v>
      </c>
      <c r="J2280" s="139">
        <v>26</v>
      </c>
      <c r="K2280" s="143">
        <f>VLOOKUP(Purchase[[#This Row],[Product ID]],Product[#All],6,0)</f>
        <v>2415</v>
      </c>
      <c r="L2280" s="143">
        <f>Purchase[[#This Row],[Purchase Rate]]*Purchase[[#This Row],[Qty]]</f>
        <v>62790</v>
      </c>
      <c r="M2280" s="140">
        <v>0</v>
      </c>
      <c r="N2280" s="143">
        <v>0</v>
      </c>
      <c r="O2280" s="140">
        <v>0.18</v>
      </c>
      <c r="P2280" s="145">
        <f>(Purchase[[#This Row],[Gross Amount]]-Purchase[[#This Row],[Disct %]])*Purchase[[#This Row],[GST %]]</f>
        <v>11302.199999999999</v>
      </c>
      <c r="Q2280" s="145">
        <f>Purchase[[#This Row],[Gross Amount]]-Purchase[[#This Row],[Disct Amnt]]+Purchase[[#This Row],[GST Amount]]</f>
        <v>74092.2</v>
      </c>
      <c r="R2280" s="138" t="s">
        <v>1040</v>
      </c>
      <c r="S2280" s="41">
        <f>IF(Purchase[[#This Row],[Status]]="Cancelled",0,Purchase[[#This Row],[Qty]])</f>
        <v>0</v>
      </c>
      <c r="T2280" s="146">
        <f>IF(Purchase[[#This Row],[Status]]="Cancelled",0,Purchase[[#This Row],[Total Amount]])</f>
        <v>0</v>
      </c>
      <c r="U2280" s="146">
        <f>SUM(Purchase[Net Amount])</f>
        <v>814985438.68000126</v>
      </c>
    </row>
    <row r="2281" spans="1:21" ht="19.5" thickBot="1" x14ac:dyDescent="0.3">
      <c r="A2281" s="136" t="s">
        <v>3337</v>
      </c>
      <c r="B2281" s="137">
        <v>45771</v>
      </c>
      <c r="C2281" s="138" t="s">
        <v>598</v>
      </c>
      <c r="D2281" s="138" t="str">
        <f>VLOOKUP(Purchase[[#This Row],[Supplier ID]],Supplier[#All],2,0)</f>
        <v>National Distributors</v>
      </c>
      <c r="E2281" s="138">
        <f>VLOOKUP(Purchase[[#This Row],[Supplier ID]],Supplier[#All],3,0)</f>
        <v>9689542489</v>
      </c>
      <c r="F2281" s="138" t="str">
        <f>VLOOKUP(Purchase[[#This Row],[Supplier ID]],Supplier[#All],4,0)</f>
        <v>Indore</v>
      </c>
      <c r="G2281" s="138" t="str">
        <f>VLOOKUP(Purchase[[#This Row],[Supplier ID]],Supplier[#All],5,0)</f>
        <v>MP</v>
      </c>
      <c r="H2281" s="138" t="str">
        <f>VLOOKUP(Purchase[[#This Row],[Supplier ID]],Supplier[#All],6,0)</f>
        <v>GST2154521T043</v>
      </c>
      <c r="I2281" s="138" t="s">
        <v>49</v>
      </c>
      <c r="J2281" s="139">
        <v>11</v>
      </c>
      <c r="K2281" s="143">
        <f>VLOOKUP(Purchase[[#This Row],[Product ID]],Product[#All],6,0)</f>
        <v>798</v>
      </c>
      <c r="L2281" s="143">
        <f>Purchase[[#This Row],[Purchase Rate]]*Purchase[[#This Row],[Qty]]</f>
        <v>8778</v>
      </c>
      <c r="M2281" s="140">
        <v>0</v>
      </c>
      <c r="N2281" s="143">
        <v>0</v>
      </c>
      <c r="O2281" s="140">
        <v>0.18</v>
      </c>
      <c r="P2281" s="145">
        <f>(Purchase[[#This Row],[Gross Amount]]-Purchase[[#This Row],[Disct %]])*Purchase[[#This Row],[GST %]]</f>
        <v>1580.04</v>
      </c>
      <c r="Q2281" s="145">
        <f>Purchase[[#This Row],[Gross Amount]]-Purchase[[#This Row],[Disct Amnt]]+Purchase[[#This Row],[GST Amount]]</f>
        <v>10358.040000000001</v>
      </c>
      <c r="R2281" s="138" t="s">
        <v>1019</v>
      </c>
      <c r="S2281" s="41">
        <f>IF(Purchase[[#This Row],[Status]]="Cancelled",0,Purchase[[#This Row],[Qty]])</f>
        <v>11</v>
      </c>
      <c r="T2281" s="146">
        <f>IF(Purchase[[#This Row],[Status]]="Cancelled",0,Purchase[[#This Row],[Total Amount]])</f>
        <v>10358.040000000001</v>
      </c>
      <c r="U2281" s="146">
        <f>SUM(Purchase[Net Amount])</f>
        <v>814985438.68000126</v>
      </c>
    </row>
    <row r="2282" spans="1:21" ht="19.5" thickBot="1" x14ac:dyDescent="0.3">
      <c r="A2282" s="136" t="s">
        <v>3338</v>
      </c>
      <c r="B2282" s="137">
        <v>45771</v>
      </c>
      <c r="C2282" s="138" t="s">
        <v>569</v>
      </c>
      <c r="D2282" s="138" t="str">
        <f>VLOOKUP(Purchase[[#This Row],[Supplier ID]],Supplier[#All],2,0)</f>
        <v>Tech Electronics</v>
      </c>
      <c r="E2282" s="138">
        <f>VLOOKUP(Purchase[[#This Row],[Supplier ID]],Supplier[#All],3,0)</f>
        <v>9689542455</v>
      </c>
      <c r="F2282" s="138" t="str">
        <f>VLOOKUP(Purchase[[#This Row],[Supplier ID]],Supplier[#All],4,0)</f>
        <v>Korba</v>
      </c>
      <c r="G2282" s="138" t="str">
        <f>VLOOKUP(Purchase[[#This Row],[Supplier ID]],Supplier[#All],5,0)</f>
        <v>CG</v>
      </c>
      <c r="H2282" s="138" t="str">
        <f>VLOOKUP(Purchase[[#This Row],[Supplier ID]],Supplier[#All],6,0)</f>
        <v>GST2154521T017</v>
      </c>
      <c r="I2282" s="138" t="s">
        <v>396</v>
      </c>
      <c r="J2282" s="139">
        <v>36</v>
      </c>
      <c r="K2282" s="143">
        <f>VLOOKUP(Purchase[[#This Row],[Product ID]],Product[#All],6,0)</f>
        <v>63314</v>
      </c>
      <c r="L2282" s="143">
        <f>Purchase[[#This Row],[Purchase Rate]]*Purchase[[#This Row],[Qty]]</f>
        <v>2279304</v>
      </c>
      <c r="M2282" s="140">
        <v>0</v>
      </c>
      <c r="N2282" s="143">
        <v>0</v>
      </c>
      <c r="O2282" s="140">
        <v>0.18</v>
      </c>
      <c r="P2282" s="145">
        <f>(Purchase[[#This Row],[Gross Amount]]-Purchase[[#This Row],[Disct %]])*Purchase[[#This Row],[GST %]]</f>
        <v>410274.72</v>
      </c>
      <c r="Q2282" s="145">
        <f>Purchase[[#This Row],[Gross Amount]]-Purchase[[#This Row],[Disct Amnt]]+Purchase[[#This Row],[GST Amount]]</f>
        <v>2689578.7199999997</v>
      </c>
      <c r="R2282" s="138" t="s">
        <v>1019</v>
      </c>
      <c r="S2282" s="41">
        <f>IF(Purchase[[#This Row],[Status]]="Cancelled",0,Purchase[[#This Row],[Qty]])</f>
        <v>36</v>
      </c>
      <c r="T2282" s="146">
        <f>IF(Purchase[[#This Row],[Status]]="Cancelled",0,Purchase[[#This Row],[Total Amount]])</f>
        <v>2689578.7199999997</v>
      </c>
      <c r="U2282" s="146">
        <f>SUM(Purchase[Net Amount])</f>
        <v>814985438.68000126</v>
      </c>
    </row>
    <row r="2283" spans="1:21" ht="19.5" thickBot="1" x14ac:dyDescent="0.3">
      <c r="A2283" s="136" t="s">
        <v>3339</v>
      </c>
      <c r="B2283" s="137">
        <v>45771</v>
      </c>
      <c r="C2283" s="138" t="s">
        <v>597</v>
      </c>
      <c r="D2283" s="138" t="str">
        <f>VLOOKUP(Purchase[[#This Row],[Supplier ID]],Supplier[#All],2,0)</f>
        <v>Tech Traders</v>
      </c>
      <c r="E2283" s="138">
        <f>VLOOKUP(Purchase[[#This Row],[Supplier ID]],Supplier[#All],3,0)</f>
        <v>9689542480</v>
      </c>
      <c r="F2283" s="138" t="str">
        <f>VLOOKUP(Purchase[[#This Row],[Supplier ID]],Supplier[#All],4,0)</f>
        <v>Kanpur</v>
      </c>
      <c r="G2283" s="138" t="str">
        <f>VLOOKUP(Purchase[[#This Row],[Supplier ID]],Supplier[#All],5,0)</f>
        <v>UP</v>
      </c>
      <c r="H2283" s="138" t="str">
        <f>VLOOKUP(Purchase[[#This Row],[Supplier ID]],Supplier[#All],6,0)</f>
        <v>GST2154521T042</v>
      </c>
      <c r="I2283" s="138" t="s">
        <v>161</v>
      </c>
      <c r="J2283" s="139">
        <v>29</v>
      </c>
      <c r="K2283" s="143">
        <f>VLOOKUP(Purchase[[#This Row],[Product ID]],Product[#All],6,0)</f>
        <v>1064</v>
      </c>
      <c r="L2283" s="143">
        <f>Purchase[[#This Row],[Purchase Rate]]*Purchase[[#This Row],[Qty]]</f>
        <v>30856</v>
      </c>
      <c r="M2283" s="140">
        <v>0</v>
      </c>
      <c r="N2283" s="143">
        <v>0</v>
      </c>
      <c r="O2283" s="140">
        <v>0.18</v>
      </c>
      <c r="P2283" s="145">
        <f>(Purchase[[#This Row],[Gross Amount]]-Purchase[[#This Row],[Disct %]])*Purchase[[#This Row],[GST %]]</f>
        <v>5554.08</v>
      </c>
      <c r="Q2283" s="145">
        <f>Purchase[[#This Row],[Gross Amount]]-Purchase[[#This Row],[Disct Amnt]]+Purchase[[#This Row],[GST Amount]]</f>
        <v>36410.080000000002</v>
      </c>
      <c r="R2283" s="138" t="s">
        <v>1019</v>
      </c>
      <c r="S2283" s="41">
        <f>IF(Purchase[[#This Row],[Status]]="Cancelled",0,Purchase[[#This Row],[Qty]])</f>
        <v>29</v>
      </c>
      <c r="T2283" s="146">
        <f>IF(Purchase[[#This Row],[Status]]="Cancelled",0,Purchase[[#This Row],[Total Amount]])</f>
        <v>36410.080000000002</v>
      </c>
      <c r="U2283" s="146">
        <f>SUM(Purchase[Net Amount])</f>
        <v>814985438.68000126</v>
      </c>
    </row>
    <row r="2284" spans="1:21" ht="19.5" thickBot="1" x14ac:dyDescent="0.3">
      <c r="A2284" s="136" t="s">
        <v>3340</v>
      </c>
      <c r="B2284" s="137">
        <v>45771</v>
      </c>
      <c r="C2284" s="138" t="s">
        <v>564</v>
      </c>
      <c r="D2284" s="138" t="str">
        <f>VLOOKUP(Purchase[[#This Row],[Supplier ID]],Supplier[#All],2,0)</f>
        <v xml:space="preserve">Star Electronics </v>
      </c>
      <c r="E2284" s="138">
        <f>VLOOKUP(Purchase[[#This Row],[Supplier ID]],Supplier[#All],3,0)</f>
        <v>9689542450</v>
      </c>
      <c r="F2284" s="138" t="str">
        <f>VLOOKUP(Purchase[[#This Row],[Supplier ID]],Supplier[#All],4,0)</f>
        <v>Korba</v>
      </c>
      <c r="G2284" s="138" t="str">
        <f>VLOOKUP(Purchase[[#This Row],[Supplier ID]],Supplier[#All],5,0)</f>
        <v>CG</v>
      </c>
      <c r="H2284" s="138" t="str">
        <f>VLOOKUP(Purchase[[#This Row],[Supplier ID]],Supplier[#All],6,0)</f>
        <v>GST2154521T012</v>
      </c>
      <c r="I2284" s="138" t="s">
        <v>401</v>
      </c>
      <c r="J2284" s="139">
        <v>24</v>
      </c>
      <c r="K2284" s="143">
        <f>VLOOKUP(Purchase[[#This Row],[Product ID]],Product[#All],6,0)</f>
        <v>517</v>
      </c>
      <c r="L2284" s="143">
        <f>Purchase[[#This Row],[Purchase Rate]]*Purchase[[#This Row],[Qty]]</f>
        <v>12408</v>
      </c>
      <c r="M2284" s="140">
        <v>0</v>
      </c>
      <c r="N2284" s="143">
        <v>0</v>
      </c>
      <c r="O2284" s="140">
        <v>0.18</v>
      </c>
      <c r="P2284" s="145">
        <f>(Purchase[[#This Row],[Gross Amount]]-Purchase[[#This Row],[Disct %]])*Purchase[[#This Row],[GST %]]</f>
        <v>2233.44</v>
      </c>
      <c r="Q2284" s="145">
        <f>Purchase[[#This Row],[Gross Amount]]-Purchase[[#This Row],[Disct Amnt]]+Purchase[[#This Row],[GST Amount]]</f>
        <v>14641.44</v>
      </c>
      <c r="R2284" s="138" t="s">
        <v>1019</v>
      </c>
      <c r="S2284" s="41">
        <f>IF(Purchase[[#This Row],[Status]]="Cancelled",0,Purchase[[#This Row],[Qty]])</f>
        <v>24</v>
      </c>
      <c r="T2284" s="146">
        <f>IF(Purchase[[#This Row],[Status]]="Cancelled",0,Purchase[[#This Row],[Total Amount]])</f>
        <v>14641.44</v>
      </c>
      <c r="U2284" s="146">
        <f>SUM(Purchase[Net Amount])</f>
        <v>814985438.68000126</v>
      </c>
    </row>
    <row r="2285" spans="1:21" ht="19.5" thickBot="1" x14ac:dyDescent="0.3">
      <c r="A2285" s="136" t="s">
        <v>3341</v>
      </c>
      <c r="B2285" s="137">
        <v>45771</v>
      </c>
      <c r="C2285" s="138" t="s">
        <v>615</v>
      </c>
      <c r="D2285" s="138" t="str">
        <f>VLOOKUP(Purchase[[#This Row],[Supplier ID]],Supplier[#All],2,0)</f>
        <v>NATIONAL ELECTRONICS</v>
      </c>
      <c r="E2285" s="138">
        <f>VLOOKUP(Purchase[[#This Row],[Supplier ID]],Supplier[#All],3,0)</f>
        <v>9689542498</v>
      </c>
      <c r="F2285" s="138" t="str">
        <f>VLOOKUP(Purchase[[#This Row],[Supplier ID]],Supplier[#All],4,0)</f>
        <v>Kanpur</v>
      </c>
      <c r="G2285" s="138" t="str">
        <f>VLOOKUP(Purchase[[#This Row],[Supplier ID]],Supplier[#All],5,0)</f>
        <v>UP</v>
      </c>
      <c r="H2285" s="138" t="str">
        <f>VLOOKUP(Purchase[[#This Row],[Supplier ID]],Supplier[#All],6,0)</f>
        <v>GST2154521T060</v>
      </c>
      <c r="I2285" s="138" t="s">
        <v>237</v>
      </c>
      <c r="J2285" s="139">
        <v>11</v>
      </c>
      <c r="K2285" s="143">
        <f>VLOOKUP(Purchase[[#This Row],[Product ID]],Product[#All],6,0)</f>
        <v>4240</v>
      </c>
      <c r="L2285" s="143">
        <f>Purchase[[#This Row],[Purchase Rate]]*Purchase[[#This Row],[Qty]]</f>
        <v>46640</v>
      </c>
      <c r="M2285" s="140">
        <v>0</v>
      </c>
      <c r="N2285" s="143">
        <v>0</v>
      </c>
      <c r="O2285" s="140">
        <v>0.18</v>
      </c>
      <c r="P2285" s="145">
        <f>(Purchase[[#This Row],[Gross Amount]]-Purchase[[#This Row],[Disct %]])*Purchase[[#This Row],[GST %]]</f>
        <v>8395.1999999999989</v>
      </c>
      <c r="Q2285" s="145">
        <f>Purchase[[#This Row],[Gross Amount]]-Purchase[[#This Row],[Disct Amnt]]+Purchase[[#This Row],[GST Amount]]</f>
        <v>55035.199999999997</v>
      </c>
      <c r="R2285" s="138" t="s">
        <v>1019</v>
      </c>
      <c r="S2285" s="41">
        <f>IF(Purchase[[#This Row],[Status]]="Cancelled",0,Purchase[[#This Row],[Qty]])</f>
        <v>11</v>
      </c>
      <c r="T2285" s="146">
        <f>IF(Purchase[[#This Row],[Status]]="Cancelled",0,Purchase[[#This Row],[Total Amount]])</f>
        <v>55035.199999999997</v>
      </c>
      <c r="U2285" s="146">
        <f>SUM(Purchase[Net Amount])</f>
        <v>814985438.68000126</v>
      </c>
    </row>
    <row r="2286" spans="1:21" ht="19.5" thickBot="1" x14ac:dyDescent="0.3">
      <c r="A2286" s="136" t="s">
        <v>3342</v>
      </c>
      <c r="B2286" s="137">
        <v>45771</v>
      </c>
      <c r="C2286" s="138" t="s">
        <v>568</v>
      </c>
      <c r="D2286" s="138" t="str">
        <f>VLOOKUP(Purchase[[#This Row],[Supplier ID]],Supplier[#All],2,0)</f>
        <v>Maa Computers</v>
      </c>
      <c r="E2286" s="138">
        <f>VLOOKUP(Purchase[[#This Row],[Supplier ID]],Supplier[#All],3,0)</f>
        <v>9689542454</v>
      </c>
      <c r="F2286" s="138" t="str">
        <f>VLOOKUP(Purchase[[#This Row],[Supplier ID]],Supplier[#All],4,0)</f>
        <v>Korba</v>
      </c>
      <c r="G2286" s="138" t="str">
        <f>VLOOKUP(Purchase[[#This Row],[Supplier ID]],Supplier[#All],5,0)</f>
        <v>CG</v>
      </c>
      <c r="H2286" s="138" t="str">
        <f>VLOOKUP(Purchase[[#This Row],[Supplier ID]],Supplier[#All],6,0)</f>
        <v>GST2154521T016</v>
      </c>
      <c r="I2286" s="138" t="s">
        <v>401</v>
      </c>
      <c r="J2286" s="139">
        <v>17</v>
      </c>
      <c r="K2286" s="143">
        <f>VLOOKUP(Purchase[[#This Row],[Product ID]],Product[#All],6,0)</f>
        <v>517</v>
      </c>
      <c r="L2286" s="143">
        <f>Purchase[[#This Row],[Purchase Rate]]*Purchase[[#This Row],[Qty]]</f>
        <v>8789</v>
      </c>
      <c r="M2286" s="140">
        <v>0</v>
      </c>
      <c r="N2286" s="143">
        <v>0</v>
      </c>
      <c r="O2286" s="140">
        <v>0.18</v>
      </c>
      <c r="P2286" s="145">
        <f>(Purchase[[#This Row],[Gross Amount]]-Purchase[[#This Row],[Disct %]])*Purchase[[#This Row],[GST %]]</f>
        <v>1582.02</v>
      </c>
      <c r="Q2286" s="145">
        <f>Purchase[[#This Row],[Gross Amount]]-Purchase[[#This Row],[Disct Amnt]]+Purchase[[#This Row],[GST Amount]]</f>
        <v>10371.02</v>
      </c>
      <c r="R2286" s="138" t="s">
        <v>1019</v>
      </c>
      <c r="S2286" s="41">
        <f>IF(Purchase[[#This Row],[Status]]="Cancelled",0,Purchase[[#This Row],[Qty]])</f>
        <v>17</v>
      </c>
      <c r="T2286" s="146">
        <f>IF(Purchase[[#This Row],[Status]]="Cancelled",0,Purchase[[#This Row],[Total Amount]])</f>
        <v>10371.02</v>
      </c>
      <c r="U2286" s="146">
        <f>SUM(Purchase[Net Amount])</f>
        <v>814985438.68000126</v>
      </c>
    </row>
    <row r="2287" spans="1:21" ht="19.5" thickBot="1" x14ac:dyDescent="0.3">
      <c r="A2287" s="136" t="s">
        <v>3343</v>
      </c>
      <c r="B2287" s="137">
        <v>45771</v>
      </c>
      <c r="C2287" s="138" t="s">
        <v>582</v>
      </c>
      <c r="D2287" s="138" t="str">
        <f>VLOOKUP(Purchase[[#This Row],[Supplier ID]],Supplier[#All],2,0)</f>
        <v>Tech Distributors</v>
      </c>
      <c r="E2287" s="138">
        <f>VLOOKUP(Purchase[[#This Row],[Supplier ID]],Supplier[#All],3,0)</f>
        <v>9689542466</v>
      </c>
      <c r="F2287" s="138" t="str">
        <f>VLOOKUP(Purchase[[#This Row],[Supplier ID]],Supplier[#All],4,0)</f>
        <v>Indore</v>
      </c>
      <c r="G2287" s="138" t="str">
        <f>VLOOKUP(Purchase[[#This Row],[Supplier ID]],Supplier[#All],5,0)</f>
        <v>MP</v>
      </c>
      <c r="H2287" s="138" t="str">
        <f>VLOOKUP(Purchase[[#This Row],[Supplier ID]],Supplier[#All],6,0)</f>
        <v>GST2154521T028</v>
      </c>
      <c r="I2287" s="138" t="s">
        <v>538</v>
      </c>
      <c r="J2287" s="139">
        <v>26</v>
      </c>
      <c r="K2287" s="143">
        <f>VLOOKUP(Purchase[[#This Row],[Product ID]],Product[#All],6,0)</f>
        <v>36513</v>
      </c>
      <c r="L2287" s="143">
        <f>Purchase[[#This Row],[Purchase Rate]]*Purchase[[#This Row],[Qty]]</f>
        <v>949338</v>
      </c>
      <c r="M2287" s="140">
        <v>0</v>
      </c>
      <c r="N2287" s="143">
        <v>0</v>
      </c>
      <c r="O2287" s="140">
        <v>0.18</v>
      </c>
      <c r="P2287" s="145">
        <f>(Purchase[[#This Row],[Gross Amount]]-Purchase[[#This Row],[Disct %]])*Purchase[[#This Row],[GST %]]</f>
        <v>170880.84</v>
      </c>
      <c r="Q2287" s="145">
        <f>Purchase[[#This Row],[Gross Amount]]-Purchase[[#This Row],[Disct Amnt]]+Purchase[[#This Row],[GST Amount]]</f>
        <v>1120218.8400000001</v>
      </c>
      <c r="R2287" s="138" t="s">
        <v>1019</v>
      </c>
      <c r="S2287" s="41">
        <f>IF(Purchase[[#This Row],[Status]]="Cancelled",0,Purchase[[#This Row],[Qty]])</f>
        <v>26</v>
      </c>
      <c r="T2287" s="146">
        <f>IF(Purchase[[#This Row],[Status]]="Cancelled",0,Purchase[[#This Row],[Total Amount]])</f>
        <v>1120218.8400000001</v>
      </c>
      <c r="U2287" s="146">
        <f>SUM(Purchase[Net Amount])</f>
        <v>814985438.68000126</v>
      </c>
    </row>
    <row r="2288" spans="1:21" ht="19.5" thickBot="1" x14ac:dyDescent="0.3">
      <c r="A2288" s="136" t="s">
        <v>3344</v>
      </c>
      <c r="B2288" s="137">
        <v>45771</v>
      </c>
      <c r="C2288" s="138" t="s">
        <v>587</v>
      </c>
      <c r="D2288" s="138" t="str">
        <f>VLOOKUP(Purchase[[#This Row],[Supplier ID]],Supplier[#All],2,0)</f>
        <v>maa distributors</v>
      </c>
      <c r="E2288" s="138">
        <f>VLOOKUP(Purchase[[#This Row],[Supplier ID]],Supplier[#All],3,0)</f>
        <v>9689542479</v>
      </c>
      <c r="F2288" s="138" t="str">
        <f>VLOOKUP(Purchase[[#This Row],[Supplier ID]],Supplier[#All],4,0)</f>
        <v>Indore</v>
      </c>
      <c r="G2288" s="138" t="str">
        <f>VLOOKUP(Purchase[[#This Row],[Supplier ID]],Supplier[#All],5,0)</f>
        <v>MP</v>
      </c>
      <c r="H2288" s="138" t="str">
        <f>VLOOKUP(Purchase[[#This Row],[Supplier ID]],Supplier[#All],6,0)</f>
        <v>GST2154521T033</v>
      </c>
      <c r="I2288" s="138" t="s">
        <v>514</v>
      </c>
      <c r="J2288" s="139">
        <v>3</v>
      </c>
      <c r="K2288" s="143">
        <f>VLOOKUP(Purchase[[#This Row],[Product ID]],Product[#All],6,0)</f>
        <v>3697</v>
      </c>
      <c r="L2288" s="143">
        <f>Purchase[[#This Row],[Purchase Rate]]*Purchase[[#This Row],[Qty]]</f>
        <v>11091</v>
      </c>
      <c r="M2288" s="140">
        <v>0</v>
      </c>
      <c r="N2288" s="143">
        <v>0</v>
      </c>
      <c r="O2288" s="140">
        <v>0.18</v>
      </c>
      <c r="P2288" s="145">
        <f>(Purchase[[#This Row],[Gross Amount]]-Purchase[[#This Row],[Disct %]])*Purchase[[#This Row],[GST %]]</f>
        <v>1996.3799999999999</v>
      </c>
      <c r="Q2288" s="145">
        <f>Purchase[[#This Row],[Gross Amount]]-Purchase[[#This Row],[Disct Amnt]]+Purchase[[#This Row],[GST Amount]]</f>
        <v>13087.38</v>
      </c>
      <c r="R2288" s="138" t="s">
        <v>1019</v>
      </c>
      <c r="S2288" s="41">
        <f>IF(Purchase[[#This Row],[Status]]="Cancelled",0,Purchase[[#This Row],[Qty]])</f>
        <v>3</v>
      </c>
      <c r="T2288" s="146">
        <f>IF(Purchase[[#This Row],[Status]]="Cancelled",0,Purchase[[#This Row],[Total Amount]])</f>
        <v>13087.38</v>
      </c>
      <c r="U2288" s="146">
        <f>SUM(Purchase[Net Amount])</f>
        <v>814985438.68000126</v>
      </c>
    </row>
    <row r="2289" spans="1:21" ht="19.5" thickBot="1" x14ac:dyDescent="0.3">
      <c r="A2289" s="136" t="s">
        <v>3345</v>
      </c>
      <c r="B2289" s="137">
        <v>45771</v>
      </c>
      <c r="C2289" s="138" t="s">
        <v>580</v>
      </c>
      <c r="D2289" s="138" t="str">
        <f>VLOOKUP(Purchase[[#This Row],[Supplier ID]],Supplier[#All],2,0)</f>
        <v>Star Distributors</v>
      </c>
      <c r="E2289" s="138">
        <f>VLOOKUP(Purchase[[#This Row],[Supplier ID]],Supplier[#All],3,0)</f>
        <v>9689542464</v>
      </c>
      <c r="F2289" s="138" t="str">
        <f>VLOOKUP(Purchase[[#This Row],[Supplier ID]],Supplier[#All],4,0)</f>
        <v>Indore</v>
      </c>
      <c r="G2289" s="138" t="str">
        <f>VLOOKUP(Purchase[[#This Row],[Supplier ID]],Supplier[#All],5,0)</f>
        <v>MP</v>
      </c>
      <c r="H2289" s="138" t="str">
        <f>VLOOKUP(Purchase[[#This Row],[Supplier ID]],Supplier[#All],6,0)</f>
        <v>GST2154521T026</v>
      </c>
      <c r="I2289" s="138" t="s">
        <v>20</v>
      </c>
      <c r="J2289" s="139">
        <v>30</v>
      </c>
      <c r="K2289" s="143">
        <f>VLOOKUP(Purchase[[#This Row],[Product ID]],Product[#All],6,0)</f>
        <v>2532</v>
      </c>
      <c r="L2289" s="143">
        <f>Purchase[[#This Row],[Purchase Rate]]*Purchase[[#This Row],[Qty]]</f>
        <v>75960</v>
      </c>
      <c r="M2289" s="140">
        <v>0</v>
      </c>
      <c r="N2289" s="143">
        <v>0</v>
      </c>
      <c r="O2289" s="140">
        <v>0.18</v>
      </c>
      <c r="P2289" s="145">
        <f>(Purchase[[#This Row],[Gross Amount]]-Purchase[[#This Row],[Disct %]])*Purchase[[#This Row],[GST %]]</f>
        <v>13672.8</v>
      </c>
      <c r="Q2289" s="145">
        <f>Purchase[[#This Row],[Gross Amount]]-Purchase[[#This Row],[Disct Amnt]]+Purchase[[#This Row],[GST Amount]]</f>
        <v>89632.8</v>
      </c>
      <c r="R2289" s="138" t="s">
        <v>1019</v>
      </c>
      <c r="S2289" s="41">
        <f>IF(Purchase[[#This Row],[Status]]="Cancelled",0,Purchase[[#This Row],[Qty]])</f>
        <v>30</v>
      </c>
      <c r="T2289" s="146">
        <f>IF(Purchase[[#This Row],[Status]]="Cancelled",0,Purchase[[#This Row],[Total Amount]])</f>
        <v>89632.8</v>
      </c>
      <c r="U2289" s="146">
        <f>SUM(Purchase[Net Amount])</f>
        <v>814985438.68000126</v>
      </c>
    </row>
    <row r="2290" spans="1:21" ht="19.5" thickBot="1" x14ac:dyDescent="0.3">
      <c r="A2290" s="136" t="s">
        <v>3346</v>
      </c>
      <c r="B2290" s="137">
        <v>45771</v>
      </c>
      <c r="C2290" s="138" t="s">
        <v>608</v>
      </c>
      <c r="D2290" s="138" t="str">
        <f>VLOOKUP(Purchase[[#This Row],[Supplier ID]],Supplier[#All],2,0)</f>
        <v>Global Suppliers</v>
      </c>
      <c r="E2290" s="138">
        <f>VLOOKUP(Purchase[[#This Row],[Supplier ID]],Supplier[#All],3,0)</f>
        <v>9689542499</v>
      </c>
      <c r="F2290" s="138" t="str">
        <f>VLOOKUP(Purchase[[#This Row],[Supplier ID]],Supplier[#All],4,0)</f>
        <v>Korba</v>
      </c>
      <c r="G2290" s="138" t="str">
        <f>VLOOKUP(Purchase[[#This Row],[Supplier ID]],Supplier[#All],5,0)</f>
        <v>CG</v>
      </c>
      <c r="H2290" s="138" t="str">
        <f>VLOOKUP(Purchase[[#This Row],[Supplier ID]],Supplier[#All],6,0)</f>
        <v>GST2154521T053</v>
      </c>
      <c r="I2290" s="138" t="s">
        <v>381</v>
      </c>
      <c r="J2290" s="139">
        <v>19</v>
      </c>
      <c r="K2290" s="143">
        <f>VLOOKUP(Purchase[[#This Row],[Product ID]],Product[#All],6,0)</f>
        <v>829</v>
      </c>
      <c r="L2290" s="143">
        <f>Purchase[[#This Row],[Purchase Rate]]*Purchase[[#This Row],[Qty]]</f>
        <v>15751</v>
      </c>
      <c r="M2290" s="140">
        <v>0</v>
      </c>
      <c r="N2290" s="143">
        <v>0</v>
      </c>
      <c r="O2290" s="140">
        <v>0.18</v>
      </c>
      <c r="P2290" s="145">
        <f>(Purchase[[#This Row],[Gross Amount]]-Purchase[[#This Row],[Disct %]])*Purchase[[#This Row],[GST %]]</f>
        <v>2835.18</v>
      </c>
      <c r="Q2290" s="145">
        <f>Purchase[[#This Row],[Gross Amount]]-Purchase[[#This Row],[Disct Amnt]]+Purchase[[#This Row],[GST Amount]]</f>
        <v>18586.18</v>
      </c>
      <c r="R2290" s="138" t="s">
        <v>1019</v>
      </c>
      <c r="S2290" s="41">
        <f>IF(Purchase[[#This Row],[Status]]="Cancelled",0,Purchase[[#This Row],[Qty]])</f>
        <v>19</v>
      </c>
      <c r="T2290" s="146">
        <f>IF(Purchase[[#This Row],[Status]]="Cancelled",0,Purchase[[#This Row],[Total Amount]])</f>
        <v>18586.18</v>
      </c>
      <c r="U2290" s="146">
        <f>SUM(Purchase[Net Amount])</f>
        <v>814985438.68000126</v>
      </c>
    </row>
    <row r="2291" spans="1:21" ht="19.5" thickBot="1" x14ac:dyDescent="0.3">
      <c r="A2291" s="136" t="s">
        <v>3347</v>
      </c>
      <c r="B2291" s="137">
        <v>45771</v>
      </c>
      <c r="C2291" s="138" t="s">
        <v>570</v>
      </c>
      <c r="D2291" s="138" t="str">
        <f>VLOOKUP(Purchase[[#This Row],[Supplier ID]],Supplier[#All],2,0)</f>
        <v>Prime Traders</v>
      </c>
      <c r="E2291" s="138">
        <f>VLOOKUP(Purchase[[#This Row],[Supplier ID]],Supplier[#All],3,0)</f>
        <v>9689542456</v>
      </c>
      <c r="F2291" s="138" t="str">
        <f>VLOOKUP(Purchase[[#This Row],[Supplier ID]],Supplier[#All],4,0)</f>
        <v>Indore</v>
      </c>
      <c r="G2291" s="138" t="str">
        <f>VLOOKUP(Purchase[[#This Row],[Supplier ID]],Supplier[#All],5,0)</f>
        <v>MP</v>
      </c>
      <c r="H2291" s="138" t="str">
        <f>VLOOKUP(Purchase[[#This Row],[Supplier ID]],Supplier[#All],6,0)</f>
        <v>GST2154521T018</v>
      </c>
      <c r="I2291" s="138" t="s">
        <v>287</v>
      </c>
      <c r="J2291" s="139">
        <v>3</v>
      </c>
      <c r="K2291" s="143">
        <f>VLOOKUP(Purchase[[#This Row],[Product ID]],Product[#All],6,0)</f>
        <v>1803</v>
      </c>
      <c r="L2291" s="143">
        <f>Purchase[[#This Row],[Purchase Rate]]*Purchase[[#This Row],[Qty]]</f>
        <v>5409</v>
      </c>
      <c r="M2291" s="140">
        <v>0</v>
      </c>
      <c r="N2291" s="143">
        <v>0</v>
      </c>
      <c r="O2291" s="140">
        <v>0.18</v>
      </c>
      <c r="P2291" s="145">
        <f>(Purchase[[#This Row],[Gross Amount]]-Purchase[[#This Row],[Disct %]])*Purchase[[#This Row],[GST %]]</f>
        <v>973.62</v>
      </c>
      <c r="Q2291" s="145">
        <f>Purchase[[#This Row],[Gross Amount]]-Purchase[[#This Row],[Disct Amnt]]+Purchase[[#This Row],[GST Amount]]</f>
        <v>6382.62</v>
      </c>
      <c r="R2291" s="138" t="s">
        <v>1019</v>
      </c>
      <c r="S2291" s="41">
        <f>IF(Purchase[[#This Row],[Status]]="Cancelled",0,Purchase[[#This Row],[Qty]])</f>
        <v>3</v>
      </c>
      <c r="T2291" s="146">
        <f>IF(Purchase[[#This Row],[Status]]="Cancelled",0,Purchase[[#This Row],[Total Amount]])</f>
        <v>6382.62</v>
      </c>
      <c r="U2291" s="146">
        <f>SUM(Purchase[Net Amount])</f>
        <v>814985438.68000126</v>
      </c>
    </row>
    <row r="2292" spans="1:21" ht="19.5" thickBot="1" x14ac:dyDescent="0.3">
      <c r="A2292" s="136" t="s">
        <v>3348</v>
      </c>
      <c r="B2292" s="137">
        <v>45771</v>
      </c>
      <c r="C2292" s="138" t="s">
        <v>578</v>
      </c>
      <c r="D2292" s="138" t="str">
        <f>VLOOKUP(Purchase[[#This Row],[Supplier ID]],Supplier[#All],2,0)</f>
        <v>Shree Computers</v>
      </c>
      <c r="E2292" s="138">
        <f>VLOOKUP(Purchase[[#This Row],[Supplier ID]],Supplier[#All],3,0)</f>
        <v>9689542462</v>
      </c>
      <c r="F2292" s="138" t="str">
        <f>VLOOKUP(Purchase[[#This Row],[Supplier ID]],Supplier[#All],4,0)</f>
        <v>Korba</v>
      </c>
      <c r="G2292" s="138" t="str">
        <f>VLOOKUP(Purchase[[#This Row],[Supplier ID]],Supplier[#All],5,0)</f>
        <v>CG</v>
      </c>
      <c r="H2292" s="138" t="str">
        <f>VLOOKUP(Purchase[[#This Row],[Supplier ID]],Supplier[#All],6,0)</f>
        <v>GST2154521T024</v>
      </c>
      <c r="I2292" s="138" t="s">
        <v>430</v>
      </c>
      <c r="J2292" s="139">
        <v>36</v>
      </c>
      <c r="K2292" s="143">
        <f>VLOOKUP(Purchase[[#This Row],[Product ID]],Product[#All],6,0)</f>
        <v>5339</v>
      </c>
      <c r="L2292" s="143">
        <f>Purchase[[#This Row],[Purchase Rate]]*Purchase[[#This Row],[Qty]]</f>
        <v>192204</v>
      </c>
      <c r="M2292" s="140">
        <v>0</v>
      </c>
      <c r="N2292" s="143">
        <v>0</v>
      </c>
      <c r="O2292" s="140">
        <v>0.18</v>
      </c>
      <c r="P2292" s="145">
        <f>(Purchase[[#This Row],[Gross Amount]]-Purchase[[#This Row],[Disct %]])*Purchase[[#This Row],[GST %]]</f>
        <v>34596.720000000001</v>
      </c>
      <c r="Q2292" s="145">
        <f>Purchase[[#This Row],[Gross Amount]]-Purchase[[#This Row],[Disct Amnt]]+Purchase[[#This Row],[GST Amount]]</f>
        <v>226800.72</v>
      </c>
      <c r="R2292" s="138" t="s">
        <v>1019</v>
      </c>
      <c r="S2292" s="41">
        <f>IF(Purchase[[#This Row],[Status]]="Cancelled",0,Purchase[[#This Row],[Qty]])</f>
        <v>36</v>
      </c>
      <c r="T2292" s="146">
        <f>IF(Purchase[[#This Row],[Status]]="Cancelled",0,Purchase[[#This Row],[Total Amount]])</f>
        <v>226800.72</v>
      </c>
      <c r="U2292" s="146">
        <f>SUM(Purchase[Net Amount])</f>
        <v>814985438.68000126</v>
      </c>
    </row>
    <row r="2293" spans="1:21" ht="19.5" thickBot="1" x14ac:dyDescent="0.3">
      <c r="A2293" s="136" t="s">
        <v>3349</v>
      </c>
      <c r="B2293" s="137">
        <v>45771</v>
      </c>
      <c r="C2293" s="138" t="s">
        <v>571</v>
      </c>
      <c r="D2293" s="138" t="str">
        <f>VLOOKUP(Purchase[[#This Row],[Supplier ID]],Supplier[#All],2,0)</f>
        <v>Tech Suppliers</v>
      </c>
      <c r="E2293" s="138">
        <f>VLOOKUP(Purchase[[#This Row],[Supplier ID]],Supplier[#All],3,0)</f>
        <v>9689542457</v>
      </c>
      <c r="F2293" s="138" t="str">
        <f>VLOOKUP(Purchase[[#This Row],[Supplier ID]],Supplier[#All],4,0)</f>
        <v>Korba</v>
      </c>
      <c r="G2293" s="138" t="str">
        <f>VLOOKUP(Purchase[[#This Row],[Supplier ID]],Supplier[#All],5,0)</f>
        <v>CG</v>
      </c>
      <c r="H2293" s="138" t="str">
        <f>VLOOKUP(Purchase[[#This Row],[Supplier ID]],Supplier[#All],6,0)</f>
        <v>GST2154521T019</v>
      </c>
      <c r="I2293" s="138" t="s">
        <v>190</v>
      </c>
      <c r="J2293" s="139">
        <v>40</v>
      </c>
      <c r="K2293" s="143">
        <f>VLOOKUP(Purchase[[#This Row],[Product ID]],Product[#All],6,0)</f>
        <v>15766</v>
      </c>
      <c r="L2293" s="143">
        <f>Purchase[[#This Row],[Purchase Rate]]*Purchase[[#This Row],[Qty]]</f>
        <v>630640</v>
      </c>
      <c r="M2293" s="140">
        <v>0</v>
      </c>
      <c r="N2293" s="143">
        <v>0</v>
      </c>
      <c r="O2293" s="140">
        <v>0.18</v>
      </c>
      <c r="P2293" s="145">
        <f>(Purchase[[#This Row],[Gross Amount]]-Purchase[[#This Row],[Disct %]])*Purchase[[#This Row],[GST %]]</f>
        <v>113515.2</v>
      </c>
      <c r="Q2293" s="145">
        <f>Purchase[[#This Row],[Gross Amount]]-Purchase[[#This Row],[Disct Amnt]]+Purchase[[#This Row],[GST Amount]]</f>
        <v>744155.2</v>
      </c>
      <c r="R2293" s="138" t="s">
        <v>1019</v>
      </c>
      <c r="S2293" s="41">
        <f>IF(Purchase[[#This Row],[Status]]="Cancelled",0,Purchase[[#This Row],[Qty]])</f>
        <v>40</v>
      </c>
      <c r="T2293" s="146">
        <f>IF(Purchase[[#This Row],[Status]]="Cancelled",0,Purchase[[#This Row],[Total Amount]])</f>
        <v>744155.2</v>
      </c>
      <c r="U2293" s="146">
        <f>SUM(Purchase[Net Amount])</f>
        <v>814985438.68000126</v>
      </c>
    </row>
    <row r="2294" spans="1:21" ht="19.5" thickBot="1" x14ac:dyDescent="0.3">
      <c r="A2294" s="136" t="s">
        <v>3350</v>
      </c>
      <c r="B2294" s="137">
        <v>45771</v>
      </c>
      <c r="C2294" s="138" t="s">
        <v>580</v>
      </c>
      <c r="D2294" s="138" t="str">
        <f>VLOOKUP(Purchase[[#This Row],[Supplier ID]],Supplier[#All],2,0)</f>
        <v>Star Distributors</v>
      </c>
      <c r="E2294" s="138">
        <f>VLOOKUP(Purchase[[#This Row],[Supplier ID]],Supplier[#All],3,0)</f>
        <v>9689542464</v>
      </c>
      <c r="F2294" s="138" t="str">
        <f>VLOOKUP(Purchase[[#This Row],[Supplier ID]],Supplier[#All],4,0)</f>
        <v>Indore</v>
      </c>
      <c r="G2294" s="138" t="str">
        <f>VLOOKUP(Purchase[[#This Row],[Supplier ID]],Supplier[#All],5,0)</f>
        <v>MP</v>
      </c>
      <c r="H2294" s="138" t="str">
        <f>VLOOKUP(Purchase[[#This Row],[Supplier ID]],Supplier[#All],6,0)</f>
        <v>GST2154521T026</v>
      </c>
      <c r="I2294" s="138" t="s">
        <v>67</v>
      </c>
      <c r="J2294" s="139">
        <v>12</v>
      </c>
      <c r="K2294" s="143">
        <f>VLOOKUP(Purchase[[#This Row],[Product ID]],Product[#All],6,0)</f>
        <v>2409</v>
      </c>
      <c r="L2294" s="143">
        <f>Purchase[[#This Row],[Purchase Rate]]*Purchase[[#This Row],[Qty]]</f>
        <v>28908</v>
      </c>
      <c r="M2294" s="140">
        <v>0</v>
      </c>
      <c r="N2294" s="143">
        <v>0</v>
      </c>
      <c r="O2294" s="140">
        <v>0.18</v>
      </c>
      <c r="P2294" s="145">
        <f>(Purchase[[#This Row],[Gross Amount]]-Purchase[[#This Row],[Disct %]])*Purchase[[#This Row],[GST %]]</f>
        <v>5203.4399999999996</v>
      </c>
      <c r="Q2294" s="145">
        <f>Purchase[[#This Row],[Gross Amount]]-Purchase[[#This Row],[Disct Amnt]]+Purchase[[#This Row],[GST Amount]]</f>
        <v>34111.440000000002</v>
      </c>
      <c r="R2294" s="138" t="s">
        <v>1019</v>
      </c>
      <c r="S2294" s="41">
        <f>IF(Purchase[[#This Row],[Status]]="Cancelled",0,Purchase[[#This Row],[Qty]])</f>
        <v>12</v>
      </c>
      <c r="T2294" s="146">
        <f>IF(Purchase[[#This Row],[Status]]="Cancelled",0,Purchase[[#This Row],[Total Amount]])</f>
        <v>34111.440000000002</v>
      </c>
      <c r="U2294" s="146">
        <f>SUM(Purchase[Net Amount])</f>
        <v>814985438.68000126</v>
      </c>
    </row>
    <row r="2295" spans="1:21" ht="19.5" thickBot="1" x14ac:dyDescent="0.3">
      <c r="A2295" s="136" t="s">
        <v>3351</v>
      </c>
      <c r="B2295" s="137">
        <v>45771</v>
      </c>
      <c r="C2295" s="138" t="s">
        <v>571</v>
      </c>
      <c r="D2295" s="138" t="str">
        <f>VLOOKUP(Purchase[[#This Row],[Supplier ID]],Supplier[#All],2,0)</f>
        <v>Tech Suppliers</v>
      </c>
      <c r="E2295" s="138">
        <f>VLOOKUP(Purchase[[#This Row],[Supplier ID]],Supplier[#All],3,0)</f>
        <v>9689542457</v>
      </c>
      <c r="F2295" s="138" t="str">
        <f>VLOOKUP(Purchase[[#This Row],[Supplier ID]],Supplier[#All],4,0)</f>
        <v>Korba</v>
      </c>
      <c r="G2295" s="138" t="str">
        <f>VLOOKUP(Purchase[[#This Row],[Supplier ID]],Supplier[#All],5,0)</f>
        <v>CG</v>
      </c>
      <c r="H2295" s="138" t="str">
        <f>VLOOKUP(Purchase[[#This Row],[Supplier ID]],Supplier[#All],6,0)</f>
        <v>GST2154521T019</v>
      </c>
      <c r="I2295" s="138" t="s">
        <v>222</v>
      </c>
      <c r="J2295" s="139">
        <v>12</v>
      </c>
      <c r="K2295" s="143">
        <f>VLOOKUP(Purchase[[#This Row],[Product ID]],Product[#All],6,0)</f>
        <v>6513</v>
      </c>
      <c r="L2295" s="143">
        <f>Purchase[[#This Row],[Purchase Rate]]*Purchase[[#This Row],[Qty]]</f>
        <v>78156</v>
      </c>
      <c r="M2295" s="140">
        <v>0</v>
      </c>
      <c r="N2295" s="143">
        <v>0</v>
      </c>
      <c r="O2295" s="140">
        <v>0.18</v>
      </c>
      <c r="P2295" s="145">
        <f>(Purchase[[#This Row],[Gross Amount]]-Purchase[[#This Row],[Disct %]])*Purchase[[#This Row],[GST %]]</f>
        <v>14068.08</v>
      </c>
      <c r="Q2295" s="145">
        <f>Purchase[[#This Row],[Gross Amount]]-Purchase[[#This Row],[Disct Amnt]]+Purchase[[#This Row],[GST Amount]]</f>
        <v>92224.08</v>
      </c>
      <c r="R2295" s="138" t="s">
        <v>1019</v>
      </c>
      <c r="S2295" s="41">
        <f>IF(Purchase[[#This Row],[Status]]="Cancelled",0,Purchase[[#This Row],[Qty]])</f>
        <v>12</v>
      </c>
      <c r="T2295" s="146">
        <f>IF(Purchase[[#This Row],[Status]]="Cancelled",0,Purchase[[#This Row],[Total Amount]])</f>
        <v>92224.08</v>
      </c>
      <c r="U2295" s="146">
        <f>SUM(Purchase[Net Amount])</f>
        <v>814985438.68000126</v>
      </c>
    </row>
    <row r="2296" spans="1:21" ht="19.5" thickBot="1" x14ac:dyDescent="0.3">
      <c r="A2296" s="136" t="s">
        <v>3352</v>
      </c>
      <c r="B2296" s="137">
        <v>45771</v>
      </c>
      <c r="C2296" s="138" t="s">
        <v>576</v>
      </c>
      <c r="D2296" s="138" t="str">
        <f>VLOOKUP(Purchase[[#This Row],[Supplier ID]],Supplier[#All],2,0)</f>
        <v>Maa Distributors</v>
      </c>
      <c r="E2296" s="138">
        <f>VLOOKUP(Purchase[[#This Row],[Supplier ID]],Supplier[#All],3,0)</f>
        <v>9689542460</v>
      </c>
      <c r="F2296" s="138" t="str">
        <f>VLOOKUP(Purchase[[#This Row],[Supplier ID]],Supplier[#All],4,0)</f>
        <v>Korba</v>
      </c>
      <c r="G2296" s="138" t="str">
        <f>VLOOKUP(Purchase[[#This Row],[Supplier ID]],Supplier[#All],5,0)</f>
        <v>CG</v>
      </c>
      <c r="H2296" s="138" t="str">
        <f>VLOOKUP(Purchase[[#This Row],[Supplier ID]],Supplier[#All],6,0)</f>
        <v>GST2154521T022</v>
      </c>
      <c r="I2296" s="138" t="s">
        <v>93</v>
      </c>
      <c r="J2296" s="139">
        <v>6</v>
      </c>
      <c r="K2296" s="143">
        <f>VLOOKUP(Purchase[[#This Row],[Product ID]],Product[#All],6,0)</f>
        <v>1436</v>
      </c>
      <c r="L2296" s="143">
        <f>Purchase[[#This Row],[Purchase Rate]]*Purchase[[#This Row],[Qty]]</f>
        <v>8616</v>
      </c>
      <c r="M2296" s="140">
        <v>0</v>
      </c>
      <c r="N2296" s="143">
        <v>0</v>
      </c>
      <c r="O2296" s="140">
        <v>0.18</v>
      </c>
      <c r="P2296" s="145">
        <f>(Purchase[[#This Row],[Gross Amount]]-Purchase[[#This Row],[Disct %]])*Purchase[[#This Row],[GST %]]</f>
        <v>1550.8799999999999</v>
      </c>
      <c r="Q2296" s="145">
        <f>Purchase[[#This Row],[Gross Amount]]-Purchase[[#This Row],[Disct Amnt]]+Purchase[[#This Row],[GST Amount]]</f>
        <v>10166.879999999999</v>
      </c>
      <c r="R2296" s="138" t="s">
        <v>1019</v>
      </c>
      <c r="S2296" s="41">
        <f>IF(Purchase[[#This Row],[Status]]="Cancelled",0,Purchase[[#This Row],[Qty]])</f>
        <v>6</v>
      </c>
      <c r="T2296" s="146">
        <f>IF(Purchase[[#This Row],[Status]]="Cancelled",0,Purchase[[#This Row],[Total Amount]])</f>
        <v>10166.879999999999</v>
      </c>
      <c r="U2296" s="146">
        <f>SUM(Purchase[Net Amount])</f>
        <v>814985438.68000126</v>
      </c>
    </row>
    <row r="2297" spans="1:21" ht="19.5" thickBot="1" x14ac:dyDescent="0.3">
      <c r="A2297" s="136" t="s">
        <v>3353</v>
      </c>
      <c r="B2297" s="137">
        <v>45771</v>
      </c>
      <c r="C2297" s="138" t="s">
        <v>605</v>
      </c>
      <c r="D2297" s="138" t="str">
        <f>VLOOKUP(Purchase[[#This Row],[Supplier ID]],Supplier[#All],2,0)</f>
        <v>Star Traders</v>
      </c>
      <c r="E2297" s="138">
        <f>VLOOKUP(Purchase[[#This Row],[Supplier ID]],Supplier[#All],3,0)</f>
        <v>9689542488</v>
      </c>
      <c r="F2297" s="138" t="str">
        <f>VLOOKUP(Purchase[[#This Row],[Supplier ID]],Supplier[#All],4,0)</f>
        <v>Indore</v>
      </c>
      <c r="G2297" s="138" t="str">
        <f>VLOOKUP(Purchase[[#This Row],[Supplier ID]],Supplier[#All],5,0)</f>
        <v>MP</v>
      </c>
      <c r="H2297" s="138" t="str">
        <f>VLOOKUP(Purchase[[#This Row],[Supplier ID]],Supplier[#All],6,0)</f>
        <v>GST2154521T050</v>
      </c>
      <c r="I2297" s="138" t="s">
        <v>125</v>
      </c>
      <c r="J2297" s="139">
        <v>2</v>
      </c>
      <c r="K2297" s="143">
        <f>VLOOKUP(Purchase[[#This Row],[Product ID]],Product[#All],6,0)</f>
        <v>33391</v>
      </c>
      <c r="L2297" s="143">
        <f>Purchase[[#This Row],[Purchase Rate]]*Purchase[[#This Row],[Qty]]</f>
        <v>66782</v>
      </c>
      <c r="M2297" s="140">
        <v>0</v>
      </c>
      <c r="N2297" s="143">
        <v>0</v>
      </c>
      <c r="O2297" s="140">
        <v>0.18</v>
      </c>
      <c r="P2297" s="145">
        <f>(Purchase[[#This Row],[Gross Amount]]-Purchase[[#This Row],[Disct %]])*Purchase[[#This Row],[GST %]]</f>
        <v>12020.76</v>
      </c>
      <c r="Q2297" s="145">
        <f>Purchase[[#This Row],[Gross Amount]]-Purchase[[#This Row],[Disct Amnt]]+Purchase[[#This Row],[GST Amount]]</f>
        <v>78802.759999999995</v>
      </c>
      <c r="R2297" s="138" t="s">
        <v>1019</v>
      </c>
      <c r="S2297" s="41">
        <f>IF(Purchase[[#This Row],[Status]]="Cancelled",0,Purchase[[#This Row],[Qty]])</f>
        <v>2</v>
      </c>
      <c r="T2297" s="146">
        <f>IF(Purchase[[#This Row],[Status]]="Cancelled",0,Purchase[[#This Row],[Total Amount]])</f>
        <v>78802.759999999995</v>
      </c>
      <c r="U2297" s="146">
        <f>SUM(Purchase[Net Amount])</f>
        <v>814985438.68000126</v>
      </c>
    </row>
    <row r="2298" spans="1:21" ht="19.5" thickBot="1" x14ac:dyDescent="0.3">
      <c r="A2298" s="136" t="s">
        <v>3354</v>
      </c>
      <c r="B2298" s="137">
        <v>45771</v>
      </c>
      <c r="C2298" s="138" t="s">
        <v>591</v>
      </c>
      <c r="D2298" s="138" t="str">
        <f>VLOOKUP(Purchase[[#This Row],[Supplier ID]],Supplier[#All],2,0)</f>
        <v>Shree Computers</v>
      </c>
      <c r="E2298" s="138">
        <f>VLOOKUP(Purchase[[#This Row],[Supplier ID]],Supplier[#All],3,0)</f>
        <v>9689542475</v>
      </c>
      <c r="F2298" s="138" t="str">
        <f>VLOOKUP(Purchase[[#This Row],[Supplier ID]],Supplier[#All],4,0)</f>
        <v>Indore</v>
      </c>
      <c r="G2298" s="138" t="str">
        <f>VLOOKUP(Purchase[[#This Row],[Supplier ID]],Supplier[#All],5,0)</f>
        <v>MP</v>
      </c>
      <c r="H2298" s="138" t="str">
        <f>VLOOKUP(Purchase[[#This Row],[Supplier ID]],Supplier[#All],6,0)</f>
        <v>GST2154521T037</v>
      </c>
      <c r="I2298" s="138" t="s">
        <v>35</v>
      </c>
      <c r="J2298" s="139">
        <v>35</v>
      </c>
      <c r="K2298" s="143">
        <f>VLOOKUP(Purchase[[#This Row],[Product ID]],Product[#All],6,0)</f>
        <v>2905</v>
      </c>
      <c r="L2298" s="143">
        <f>Purchase[[#This Row],[Purchase Rate]]*Purchase[[#This Row],[Qty]]</f>
        <v>101675</v>
      </c>
      <c r="M2298" s="140">
        <v>0</v>
      </c>
      <c r="N2298" s="143">
        <v>0</v>
      </c>
      <c r="O2298" s="140">
        <v>0.18</v>
      </c>
      <c r="P2298" s="145">
        <f>(Purchase[[#This Row],[Gross Amount]]-Purchase[[#This Row],[Disct %]])*Purchase[[#This Row],[GST %]]</f>
        <v>18301.5</v>
      </c>
      <c r="Q2298" s="145">
        <f>Purchase[[#This Row],[Gross Amount]]-Purchase[[#This Row],[Disct Amnt]]+Purchase[[#This Row],[GST Amount]]</f>
        <v>119976.5</v>
      </c>
      <c r="R2298" s="138" t="s">
        <v>1019</v>
      </c>
      <c r="S2298" s="41">
        <f>IF(Purchase[[#This Row],[Status]]="Cancelled",0,Purchase[[#This Row],[Qty]])</f>
        <v>35</v>
      </c>
      <c r="T2298" s="146">
        <f>IF(Purchase[[#This Row],[Status]]="Cancelled",0,Purchase[[#This Row],[Total Amount]])</f>
        <v>119976.5</v>
      </c>
      <c r="U2298" s="146">
        <f>SUM(Purchase[Net Amount])</f>
        <v>814985438.68000126</v>
      </c>
    </row>
    <row r="2299" spans="1:21" ht="19.5" thickBot="1" x14ac:dyDescent="0.3">
      <c r="A2299" s="136" t="s">
        <v>3355</v>
      </c>
      <c r="B2299" s="137">
        <v>45771</v>
      </c>
      <c r="C2299" s="138" t="s">
        <v>586</v>
      </c>
      <c r="D2299" s="138" t="str">
        <f>VLOOKUP(Purchase[[#This Row],[Supplier ID]],Supplier[#All],2,0)</f>
        <v>Maa Traders</v>
      </c>
      <c r="E2299" s="138">
        <f>VLOOKUP(Purchase[[#This Row],[Supplier ID]],Supplier[#All],3,0)</f>
        <v>9689542470</v>
      </c>
      <c r="F2299" s="138" t="str">
        <f>VLOOKUP(Purchase[[#This Row],[Supplier ID]],Supplier[#All],4,0)</f>
        <v>Kanpur</v>
      </c>
      <c r="G2299" s="138" t="str">
        <f>VLOOKUP(Purchase[[#This Row],[Supplier ID]],Supplier[#All],5,0)</f>
        <v>UP</v>
      </c>
      <c r="H2299" s="138" t="str">
        <f>VLOOKUP(Purchase[[#This Row],[Supplier ID]],Supplier[#All],6,0)</f>
        <v>GST2154521T032</v>
      </c>
      <c r="I2299" s="138" t="s">
        <v>353</v>
      </c>
      <c r="J2299" s="139">
        <v>38</v>
      </c>
      <c r="K2299" s="143">
        <f>VLOOKUP(Purchase[[#This Row],[Product ID]],Product[#All],6,0)</f>
        <v>51991</v>
      </c>
      <c r="L2299" s="143">
        <f>Purchase[[#This Row],[Purchase Rate]]*Purchase[[#This Row],[Qty]]</f>
        <v>1975658</v>
      </c>
      <c r="M2299" s="140">
        <v>0</v>
      </c>
      <c r="N2299" s="143">
        <v>0</v>
      </c>
      <c r="O2299" s="140">
        <v>0.18</v>
      </c>
      <c r="P2299" s="145">
        <f>(Purchase[[#This Row],[Gross Amount]]-Purchase[[#This Row],[Disct %]])*Purchase[[#This Row],[GST %]]</f>
        <v>355618.44</v>
      </c>
      <c r="Q2299" s="145">
        <f>Purchase[[#This Row],[Gross Amount]]-Purchase[[#This Row],[Disct Amnt]]+Purchase[[#This Row],[GST Amount]]</f>
        <v>2331276.44</v>
      </c>
      <c r="R2299" s="138" t="s">
        <v>1019</v>
      </c>
      <c r="S2299" s="41">
        <f>IF(Purchase[[#This Row],[Status]]="Cancelled",0,Purchase[[#This Row],[Qty]])</f>
        <v>38</v>
      </c>
      <c r="T2299" s="146">
        <f>IF(Purchase[[#This Row],[Status]]="Cancelled",0,Purchase[[#This Row],[Total Amount]])</f>
        <v>2331276.44</v>
      </c>
      <c r="U2299" s="146">
        <f>SUM(Purchase[Net Amount])</f>
        <v>814985438.68000126</v>
      </c>
    </row>
    <row r="2300" spans="1:21" ht="19.5" thickBot="1" x14ac:dyDescent="0.3">
      <c r="A2300" s="136" t="s">
        <v>3356</v>
      </c>
      <c r="B2300" s="137">
        <v>45771</v>
      </c>
      <c r="C2300" s="138" t="s">
        <v>608</v>
      </c>
      <c r="D2300" s="138" t="str">
        <f>VLOOKUP(Purchase[[#This Row],[Supplier ID]],Supplier[#All],2,0)</f>
        <v>Global Suppliers</v>
      </c>
      <c r="E2300" s="138">
        <f>VLOOKUP(Purchase[[#This Row],[Supplier ID]],Supplier[#All],3,0)</f>
        <v>9689542499</v>
      </c>
      <c r="F2300" s="138" t="str">
        <f>VLOOKUP(Purchase[[#This Row],[Supplier ID]],Supplier[#All],4,0)</f>
        <v>Korba</v>
      </c>
      <c r="G2300" s="138" t="str">
        <f>VLOOKUP(Purchase[[#This Row],[Supplier ID]],Supplier[#All],5,0)</f>
        <v>CG</v>
      </c>
      <c r="H2300" s="138" t="str">
        <f>VLOOKUP(Purchase[[#This Row],[Supplier ID]],Supplier[#All],6,0)</f>
        <v>GST2154521T053</v>
      </c>
      <c r="I2300" s="138" t="s">
        <v>400</v>
      </c>
      <c r="J2300" s="139">
        <v>40</v>
      </c>
      <c r="K2300" s="143">
        <f>VLOOKUP(Purchase[[#This Row],[Product ID]],Product[#All],6,0)</f>
        <v>1065</v>
      </c>
      <c r="L2300" s="143">
        <f>Purchase[[#This Row],[Purchase Rate]]*Purchase[[#This Row],[Qty]]</f>
        <v>42600</v>
      </c>
      <c r="M2300" s="140">
        <v>0</v>
      </c>
      <c r="N2300" s="143">
        <v>0</v>
      </c>
      <c r="O2300" s="140">
        <v>0.18</v>
      </c>
      <c r="P2300" s="145">
        <f>(Purchase[[#This Row],[Gross Amount]]-Purchase[[#This Row],[Disct %]])*Purchase[[#This Row],[GST %]]</f>
        <v>7668</v>
      </c>
      <c r="Q2300" s="145">
        <f>Purchase[[#This Row],[Gross Amount]]-Purchase[[#This Row],[Disct Amnt]]+Purchase[[#This Row],[GST Amount]]</f>
        <v>50268</v>
      </c>
      <c r="R2300" s="138" t="s">
        <v>1019</v>
      </c>
      <c r="S2300" s="41">
        <f>IF(Purchase[[#This Row],[Status]]="Cancelled",0,Purchase[[#This Row],[Qty]])</f>
        <v>40</v>
      </c>
      <c r="T2300" s="146">
        <f>IF(Purchase[[#This Row],[Status]]="Cancelled",0,Purchase[[#This Row],[Total Amount]])</f>
        <v>50268</v>
      </c>
      <c r="U2300" s="146">
        <f>SUM(Purchase[Net Amount])</f>
        <v>814985438.68000126</v>
      </c>
    </row>
    <row r="2301" spans="1:21" ht="19.5" thickBot="1" x14ac:dyDescent="0.3">
      <c r="A2301" s="136" t="s">
        <v>3357</v>
      </c>
      <c r="B2301" s="137">
        <v>45771</v>
      </c>
      <c r="C2301" s="138" t="s">
        <v>568</v>
      </c>
      <c r="D2301" s="138" t="str">
        <f>VLOOKUP(Purchase[[#This Row],[Supplier ID]],Supplier[#All],2,0)</f>
        <v>Maa Computers</v>
      </c>
      <c r="E2301" s="138">
        <f>VLOOKUP(Purchase[[#This Row],[Supplier ID]],Supplier[#All],3,0)</f>
        <v>9689542454</v>
      </c>
      <c r="F2301" s="138" t="str">
        <f>VLOOKUP(Purchase[[#This Row],[Supplier ID]],Supplier[#All],4,0)</f>
        <v>Korba</v>
      </c>
      <c r="G2301" s="138" t="str">
        <f>VLOOKUP(Purchase[[#This Row],[Supplier ID]],Supplier[#All],5,0)</f>
        <v>CG</v>
      </c>
      <c r="H2301" s="138" t="str">
        <f>VLOOKUP(Purchase[[#This Row],[Supplier ID]],Supplier[#All],6,0)</f>
        <v>GST2154521T016</v>
      </c>
      <c r="I2301" s="138" t="s">
        <v>322</v>
      </c>
      <c r="J2301" s="139">
        <v>13</v>
      </c>
      <c r="K2301" s="143">
        <f>VLOOKUP(Purchase[[#This Row],[Product ID]],Product[#All],6,0)</f>
        <v>8005</v>
      </c>
      <c r="L2301" s="143">
        <f>Purchase[[#This Row],[Purchase Rate]]*Purchase[[#This Row],[Qty]]</f>
        <v>104065</v>
      </c>
      <c r="M2301" s="140">
        <v>0</v>
      </c>
      <c r="N2301" s="143">
        <v>0</v>
      </c>
      <c r="O2301" s="140">
        <v>0.18</v>
      </c>
      <c r="P2301" s="145">
        <f>(Purchase[[#This Row],[Gross Amount]]-Purchase[[#This Row],[Disct %]])*Purchase[[#This Row],[GST %]]</f>
        <v>18731.7</v>
      </c>
      <c r="Q2301" s="145">
        <f>Purchase[[#This Row],[Gross Amount]]-Purchase[[#This Row],[Disct Amnt]]+Purchase[[#This Row],[GST Amount]]</f>
        <v>122796.7</v>
      </c>
      <c r="R2301" s="138" t="s">
        <v>1019</v>
      </c>
      <c r="S2301" s="41">
        <f>IF(Purchase[[#This Row],[Status]]="Cancelled",0,Purchase[[#This Row],[Qty]])</f>
        <v>13</v>
      </c>
      <c r="T2301" s="146">
        <f>IF(Purchase[[#This Row],[Status]]="Cancelled",0,Purchase[[#This Row],[Total Amount]])</f>
        <v>122796.7</v>
      </c>
      <c r="U2301" s="146">
        <f>SUM(Purchase[Net Amount])</f>
        <v>814985438.68000126</v>
      </c>
    </row>
    <row r="2302" spans="1:21" ht="19.5" thickBot="1" x14ac:dyDescent="0.3">
      <c r="A2302" s="136" t="s">
        <v>3358</v>
      </c>
      <c r="B2302" s="137">
        <v>45771</v>
      </c>
      <c r="C2302" s="138" t="s">
        <v>585</v>
      </c>
      <c r="D2302" s="138" t="str">
        <f>VLOOKUP(Purchase[[#This Row],[Supplier ID]],Supplier[#All],2,0)</f>
        <v>Tech Computers</v>
      </c>
      <c r="E2302" s="138">
        <f>VLOOKUP(Purchase[[#This Row],[Supplier ID]],Supplier[#All],3,0)</f>
        <v>9689542469</v>
      </c>
      <c r="F2302" s="138" t="str">
        <f>VLOOKUP(Purchase[[#This Row],[Supplier ID]],Supplier[#All],4,0)</f>
        <v>Korba</v>
      </c>
      <c r="G2302" s="138" t="str">
        <f>VLOOKUP(Purchase[[#This Row],[Supplier ID]],Supplier[#All],5,0)</f>
        <v>CG</v>
      </c>
      <c r="H2302" s="138" t="str">
        <f>VLOOKUP(Purchase[[#This Row],[Supplier ID]],Supplier[#All],6,0)</f>
        <v>GST2154521T031</v>
      </c>
      <c r="I2302" s="138" t="s">
        <v>335</v>
      </c>
      <c r="J2302" s="139">
        <v>24</v>
      </c>
      <c r="K2302" s="143">
        <f>VLOOKUP(Purchase[[#This Row],[Product ID]],Product[#All],6,0)</f>
        <v>3570</v>
      </c>
      <c r="L2302" s="143">
        <f>Purchase[[#This Row],[Purchase Rate]]*Purchase[[#This Row],[Qty]]</f>
        <v>85680</v>
      </c>
      <c r="M2302" s="140">
        <v>0</v>
      </c>
      <c r="N2302" s="143">
        <v>0</v>
      </c>
      <c r="O2302" s="140">
        <v>0.18</v>
      </c>
      <c r="P2302" s="145">
        <f>(Purchase[[#This Row],[Gross Amount]]-Purchase[[#This Row],[Disct %]])*Purchase[[#This Row],[GST %]]</f>
        <v>15422.4</v>
      </c>
      <c r="Q2302" s="145">
        <f>Purchase[[#This Row],[Gross Amount]]-Purchase[[#This Row],[Disct Amnt]]+Purchase[[#This Row],[GST Amount]]</f>
        <v>101102.39999999999</v>
      </c>
      <c r="R2302" s="138" t="s">
        <v>1019</v>
      </c>
      <c r="S2302" s="41">
        <f>IF(Purchase[[#This Row],[Status]]="Cancelled",0,Purchase[[#This Row],[Qty]])</f>
        <v>24</v>
      </c>
      <c r="T2302" s="146">
        <f>IF(Purchase[[#This Row],[Status]]="Cancelled",0,Purchase[[#This Row],[Total Amount]])</f>
        <v>101102.39999999999</v>
      </c>
      <c r="U2302" s="146">
        <f>SUM(Purchase[Net Amount])</f>
        <v>814985438.68000126</v>
      </c>
    </row>
    <row r="2303" spans="1:21" ht="19.5" thickBot="1" x14ac:dyDescent="0.3">
      <c r="A2303" s="136" t="s">
        <v>3359</v>
      </c>
      <c r="B2303" s="137">
        <v>45771</v>
      </c>
      <c r="C2303" s="138" t="s">
        <v>571</v>
      </c>
      <c r="D2303" s="138" t="str">
        <f>VLOOKUP(Purchase[[#This Row],[Supplier ID]],Supplier[#All],2,0)</f>
        <v>Tech Suppliers</v>
      </c>
      <c r="E2303" s="138">
        <f>VLOOKUP(Purchase[[#This Row],[Supplier ID]],Supplier[#All],3,0)</f>
        <v>9689542457</v>
      </c>
      <c r="F2303" s="138" t="str">
        <f>VLOOKUP(Purchase[[#This Row],[Supplier ID]],Supplier[#All],4,0)</f>
        <v>Korba</v>
      </c>
      <c r="G2303" s="138" t="str">
        <f>VLOOKUP(Purchase[[#This Row],[Supplier ID]],Supplier[#All],5,0)</f>
        <v>CG</v>
      </c>
      <c r="H2303" s="138" t="str">
        <f>VLOOKUP(Purchase[[#This Row],[Supplier ID]],Supplier[#All],6,0)</f>
        <v>GST2154521T019</v>
      </c>
      <c r="I2303" s="138" t="s">
        <v>30</v>
      </c>
      <c r="J2303" s="139">
        <v>7</v>
      </c>
      <c r="K2303" s="143">
        <f>VLOOKUP(Purchase[[#This Row],[Product ID]],Product[#All],6,0)</f>
        <v>13487</v>
      </c>
      <c r="L2303" s="143">
        <f>Purchase[[#This Row],[Purchase Rate]]*Purchase[[#This Row],[Qty]]</f>
        <v>94409</v>
      </c>
      <c r="M2303" s="140">
        <v>0</v>
      </c>
      <c r="N2303" s="143">
        <v>0</v>
      </c>
      <c r="O2303" s="140">
        <v>0.18</v>
      </c>
      <c r="P2303" s="145">
        <f>(Purchase[[#This Row],[Gross Amount]]-Purchase[[#This Row],[Disct %]])*Purchase[[#This Row],[GST %]]</f>
        <v>16993.62</v>
      </c>
      <c r="Q2303" s="145">
        <f>Purchase[[#This Row],[Gross Amount]]-Purchase[[#This Row],[Disct Amnt]]+Purchase[[#This Row],[GST Amount]]</f>
        <v>111402.62</v>
      </c>
      <c r="R2303" s="138" t="s">
        <v>1019</v>
      </c>
      <c r="S2303" s="41">
        <f>IF(Purchase[[#This Row],[Status]]="Cancelled",0,Purchase[[#This Row],[Qty]])</f>
        <v>7</v>
      </c>
      <c r="T2303" s="146">
        <f>IF(Purchase[[#This Row],[Status]]="Cancelled",0,Purchase[[#This Row],[Total Amount]])</f>
        <v>111402.62</v>
      </c>
      <c r="U2303" s="146">
        <f>SUM(Purchase[Net Amount])</f>
        <v>814985438.68000126</v>
      </c>
    </row>
    <row r="2304" spans="1:21" ht="19.5" thickBot="1" x14ac:dyDescent="0.3">
      <c r="A2304" s="136" t="s">
        <v>3360</v>
      </c>
      <c r="B2304" s="137">
        <v>45771</v>
      </c>
      <c r="C2304" s="138" t="s">
        <v>613</v>
      </c>
      <c r="D2304" s="138" t="str">
        <f>VLOOKUP(Purchase[[#This Row],[Supplier ID]],Supplier[#All],2,0)</f>
        <v>National Traders</v>
      </c>
      <c r="E2304" s="138">
        <f>VLOOKUP(Purchase[[#This Row],[Supplier ID]],Supplier[#All],3,0)</f>
        <v>9689542496</v>
      </c>
      <c r="F2304" s="138" t="str">
        <f>VLOOKUP(Purchase[[#This Row],[Supplier ID]],Supplier[#All],4,0)</f>
        <v>Indore</v>
      </c>
      <c r="G2304" s="138" t="str">
        <f>VLOOKUP(Purchase[[#This Row],[Supplier ID]],Supplier[#All],5,0)</f>
        <v>MP</v>
      </c>
      <c r="H2304" s="138" t="str">
        <f>VLOOKUP(Purchase[[#This Row],[Supplier ID]],Supplier[#All],6,0)</f>
        <v>GST2154521T058</v>
      </c>
      <c r="I2304" s="138" t="s">
        <v>283</v>
      </c>
      <c r="J2304" s="139">
        <v>9</v>
      </c>
      <c r="K2304" s="143">
        <f>VLOOKUP(Purchase[[#This Row],[Product ID]],Product[#All],6,0)</f>
        <v>28087</v>
      </c>
      <c r="L2304" s="143">
        <f>Purchase[[#This Row],[Purchase Rate]]*Purchase[[#This Row],[Qty]]</f>
        <v>252783</v>
      </c>
      <c r="M2304" s="140">
        <v>0</v>
      </c>
      <c r="N2304" s="143">
        <v>0</v>
      </c>
      <c r="O2304" s="140">
        <v>0.18</v>
      </c>
      <c r="P2304" s="145">
        <f>(Purchase[[#This Row],[Gross Amount]]-Purchase[[#This Row],[Disct %]])*Purchase[[#This Row],[GST %]]</f>
        <v>45500.939999999995</v>
      </c>
      <c r="Q2304" s="145">
        <f>Purchase[[#This Row],[Gross Amount]]-Purchase[[#This Row],[Disct Amnt]]+Purchase[[#This Row],[GST Amount]]</f>
        <v>298283.94</v>
      </c>
      <c r="R2304" s="138" t="s">
        <v>1040</v>
      </c>
      <c r="S2304" s="41">
        <f>IF(Purchase[[#This Row],[Status]]="Cancelled",0,Purchase[[#This Row],[Qty]])</f>
        <v>0</v>
      </c>
      <c r="T2304" s="146">
        <f>IF(Purchase[[#This Row],[Status]]="Cancelled",0,Purchase[[#This Row],[Total Amount]])</f>
        <v>0</v>
      </c>
      <c r="U2304" s="146">
        <f>SUM(Purchase[Net Amount])</f>
        <v>814985438.68000126</v>
      </c>
    </row>
    <row r="2305" spans="1:21" ht="19.5" thickBot="1" x14ac:dyDescent="0.3">
      <c r="A2305" s="136" t="s">
        <v>3361</v>
      </c>
      <c r="B2305" s="137">
        <v>45771</v>
      </c>
      <c r="C2305" s="138" t="s">
        <v>604</v>
      </c>
      <c r="D2305" s="138" t="str">
        <f>VLOOKUP(Purchase[[#This Row],[Supplier ID]],Supplier[#All],2,0)</f>
        <v>Prime Traders</v>
      </c>
      <c r="E2305" s="138">
        <f>VLOOKUP(Purchase[[#This Row],[Supplier ID]],Supplier[#All],3,0)</f>
        <v>9689542487</v>
      </c>
      <c r="F2305" s="138" t="str">
        <f>VLOOKUP(Purchase[[#This Row],[Supplier ID]],Supplier[#All],4,0)</f>
        <v>Indore</v>
      </c>
      <c r="G2305" s="138" t="str">
        <f>VLOOKUP(Purchase[[#This Row],[Supplier ID]],Supplier[#All],5,0)</f>
        <v>MP</v>
      </c>
      <c r="H2305" s="138" t="str">
        <f>VLOOKUP(Purchase[[#This Row],[Supplier ID]],Supplier[#All],6,0)</f>
        <v>GST2154521T049</v>
      </c>
      <c r="I2305" s="138" t="s">
        <v>50</v>
      </c>
      <c r="J2305" s="139">
        <v>40</v>
      </c>
      <c r="K2305" s="143">
        <f>VLOOKUP(Purchase[[#This Row],[Product ID]],Product[#All],6,0)</f>
        <v>28268</v>
      </c>
      <c r="L2305" s="143">
        <f>Purchase[[#This Row],[Purchase Rate]]*Purchase[[#This Row],[Qty]]</f>
        <v>1130720</v>
      </c>
      <c r="M2305" s="140">
        <v>0</v>
      </c>
      <c r="N2305" s="143">
        <v>0</v>
      </c>
      <c r="O2305" s="140">
        <v>0.18</v>
      </c>
      <c r="P2305" s="145">
        <f>(Purchase[[#This Row],[Gross Amount]]-Purchase[[#This Row],[Disct %]])*Purchase[[#This Row],[GST %]]</f>
        <v>203529.60000000001</v>
      </c>
      <c r="Q2305" s="145">
        <f>Purchase[[#This Row],[Gross Amount]]-Purchase[[#This Row],[Disct Amnt]]+Purchase[[#This Row],[GST Amount]]</f>
        <v>1334249.6000000001</v>
      </c>
      <c r="R2305" s="138" t="s">
        <v>1019</v>
      </c>
      <c r="S2305" s="41">
        <f>IF(Purchase[[#This Row],[Status]]="Cancelled",0,Purchase[[#This Row],[Qty]])</f>
        <v>40</v>
      </c>
      <c r="T2305" s="146">
        <f>IF(Purchase[[#This Row],[Status]]="Cancelled",0,Purchase[[#This Row],[Total Amount]])</f>
        <v>1334249.6000000001</v>
      </c>
      <c r="U2305" s="146">
        <f>SUM(Purchase[Net Amount])</f>
        <v>814985438.68000126</v>
      </c>
    </row>
    <row r="2306" spans="1:21" ht="19.5" thickBot="1" x14ac:dyDescent="0.3">
      <c r="A2306" s="136" t="s">
        <v>3362</v>
      </c>
      <c r="B2306" s="137">
        <v>45771</v>
      </c>
      <c r="C2306" s="138" t="s">
        <v>599</v>
      </c>
      <c r="D2306" s="138" t="str">
        <f>VLOOKUP(Purchase[[#This Row],[Supplier ID]],Supplier[#All],2,0)</f>
        <v>National Distributors</v>
      </c>
      <c r="E2306" s="138">
        <f>VLOOKUP(Purchase[[#This Row],[Supplier ID]],Supplier[#All],3,0)</f>
        <v>9689542482</v>
      </c>
      <c r="F2306" s="138" t="str">
        <f>VLOOKUP(Purchase[[#This Row],[Supplier ID]],Supplier[#All],4,0)</f>
        <v>Kanpur</v>
      </c>
      <c r="G2306" s="138" t="str">
        <f>VLOOKUP(Purchase[[#This Row],[Supplier ID]],Supplier[#All],5,0)</f>
        <v>UP</v>
      </c>
      <c r="H2306" s="138" t="str">
        <f>VLOOKUP(Purchase[[#This Row],[Supplier ID]],Supplier[#All],6,0)</f>
        <v>GST2154521T044</v>
      </c>
      <c r="I2306" s="138" t="s">
        <v>464</v>
      </c>
      <c r="J2306" s="139">
        <v>17</v>
      </c>
      <c r="K2306" s="143">
        <f>VLOOKUP(Purchase[[#This Row],[Product ID]],Product[#All],6,0)</f>
        <v>22348</v>
      </c>
      <c r="L2306" s="143">
        <f>Purchase[[#This Row],[Purchase Rate]]*Purchase[[#This Row],[Qty]]</f>
        <v>379916</v>
      </c>
      <c r="M2306" s="140">
        <v>0</v>
      </c>
      <c r="N2306" s="143">
        <v>0</v>
      </c>
      <c r="O2306" s="140">
        <v>0.18</v>
      </c>
      <c r="P2306" s="145">
        <f>(Purchase[[#This Row],[Gross Amount]]-Purchase[[#This Row],[Disct %]])*Purchase[[#This Row],[GST %]]</f>
        <v>68384.88</v>
      </c>
      <c r="Q2306" s="145">
        <f>Purchase[[#This Row],[Gross Amount]]-Purchase[[#This Row],[Disct Amnt]]+Purchase[[#This Row],[GST Amount]]</f>
        <v>448300.88</v>
      </c>
      <c r="R2306" s="138" t="s">
        <v>1019</v>
      </c>
      <c r="S2306" s="41">
        <f>IF(Purchase[[#This Row],[Status]]="Cancelled",0,Purchase[[#This Row],[Qty]])</f>
        <v>17</v>
      </c>
      <c r="T2306" s="146">
        <f>IF(Purchase[[#This Row],[Status]]="Cancelled",0,Purchase[[#This Row],[Total Amount]])</f>
        <v>448300.88</v>
      </c>
      <c r="U2306" s="146">
        <f>SUM(Purchase[Net Amount])</f>
        <v>814985438.68000126</v>
      </c>
    </row>
    <row r="2307" spans="1:21" ht="19.5" thickBot="1" x14ac:dyDescent="0.3">
      <c r="A2307" s="136" t="s">
        <v>3363</v>
      </c>
      <c r="B2307" s="137">
        <v>45771</v>
      </c>
      <c r="C2307" s="138" t="s">
        <v>590</v>
      </c>
      <c r="D2307" s="138" t="str">
        <f>VLOOKUP(Purchase[[#This Row],[Supplier ID]],Supplier[#All],2,0)</f>
        <v>Star Distributors</v>
      </c>
      <c r="E2307" s="138">
        <f>VLOOKUP(Purchase[[#This Row],[Supplier ID]],Supplier[#All],3,0)</f>
        <v>9689542474</v>
      </c>
      <c r="F2307" s="138" t="str">
        <f>VLOOKUP(Purchase[[#This Row],[Supplier ID]],Supplier[#All],4,0)</f>
        <v>Kanpur</v>
      </c>
      <c r="G2307" s="138" t="str">
        <f>VLOOKUP(Purchase[[#This Row],[Supplier ID]],Supplier[#All],5,0)</f>
        <v>UP</v>
      </c>
      <c r="H2307" s="138" t="str">
        <f>VLOOKUP(Purchase[[#This Row],[Supplier ID]],Supplier[#All],6,0)</f>
        <v>GST2154521T036</v>
      </c>
      <c r="I2307" s="138" t="s">
        <v>64</v>
      </c>
      <c r="J2307" s="139">
        <v>27</v>
      </c>
      <c r="K2307" s="143">
        <f>VLOOKUP(Purchase[[#This Row],[Product ID]],Product[#All],6,0)</f>
        <v>771</v>
      </c>
      <c r="L2307" s="143">
        <f>Purchase[[#This Row],[Purchase Rate]]*Purchase[[#This Row],[Qty]]</f>
        <v>20817</v>
      </c>
      <c r="M2307" s="140">
        <v>0</v>
      </c>
      <c r="N2307" s="143">
        <v>0</v>
      </c>
      <c r="O2307" s="140">
        <v>0.18</v>
      </c>
      <c r="P2307" s="145">
        <f>(Purchase[[#This Row],[Gross Amount]]-Purchase[[#This Row],[Disct %]])*Purchase[[#This Row],[GST %]]</f>
        <v>3747.06</v>
      </c>
      <c r="Q2307" s="145">
        <f>Purchase[[#This Row],[Gross Amount]]-Purchase[[#This Row],[Disct Amnt]]+Purchase[[#This Row],[GST Amount]]</f>
        <v>24564.06</v>
      </c>
      <c r="R2307" s="138" t="s">
        <v>1019</v>
      </c>
      <c r="S2307" s="41">
        <f>IF(Purchase[[#This Row],[Status]]="Cancelled",0,Purchase[[#This Row],[Qty]])</f>
        <v>27</v>
      </c>
      <c r="T2307" s="146">
        <f>IF(Purchase[[#This Row],[Status]]="Cancelled",0,Purchase[[#This Row],[Total Amount]])</f>
        <v>24564.06</v>
      </c>
      <c r="U2307" s="146">
        <f>SUM(Purchase[Net Amount])</f>
        <v>814985438.68000126</v>
      </c>
    </row>
    <row r="2308" spans="1:21" ht="19.5" thickBot="1" x14ac:dyDescent="0.3">
      <c r="A2308" s="136" t="s">
        <v>3364</v>
      </c>
      <c r="B2308" s="137">
        <v>45771</v>
      </c>
      <c r="C2308" s="138" t="s">
        <v>575</v>
      </c>
      <c r="D2308" s="138" t="str">
        <f>VLOOKUP(Purchase[[#This Row],[Supplier ID]],Supplier[#All],2,0)</f>
        <v>Global Computers</v>
      </c>
      <c r="E2308" s="138">
        <f>VLOOKUP(Purchase[[#This Row],[Supplier ID]],Supplier[#All],3,0)</f>
        <v>9689542459</v>
      </c>
      <c r="F2308" s="138" t="str">
        <f>VLOOKUP(Purchase[[#This Row],[Supplier ID]],Supplier[#All],4,0)</f>
        <v>Indore</v>
      </c>
      <c r="G2308" s="138" t="str">
        <f>VLOOKUP(Purchase[[#This Row],[Supplier ID]],Supplier[#All],5,0)</f>
        <v>MP</v>
      </c>
      <c r="H2308" s="138" t="str">
        <f>VLOOKUP(Purchase[[#This Row],[Supplier ID]],Supplier[#All],6,0)</f>
        <v>GST2154521T021</v>
      </c>
      <c r="I2308" s="138" t="s">
        <v>91</v>
      </c>
      <c r="J2308" s="139">
        <v>21</v>
      </c>
      <c r="K2308" s="143">
        <f>VLOOKUP(Purchase[[#This Row],[Product ID]],Product[#All],6,0)</f>
        <v>3315</v>
      </c>
      <c r="L2308" s="143">
        <f>Purchase[[#This Row],[Purchase Rate]]*Purchase[[#This Row],[Qty]]</f>
        <v>69615</v>
      </c>
      <c r="M2308" s="140">
        <v>0</v>
      </c>
      <c r="N2308" s="143">
        <v>0</v>
      </c>
      <c r="O2308" s="140">
        <v>0.18</v>
      </c>
      <c r="P2308" s="145">
        <f>(Purchase[[#This Row],[Gross Amount]]-Purchase[[#This Row],[Disct %]])*Purchase[[#This Row],[GST %]]</f>
        <v>12530.699999999999</v>
      </c>
      <c r="Q2308" s="145">
        <f>Purchase[[#This Row],[Gross Amount]]-Purchase[[#This Row],[Disct Amnt]]+Purchase[[#This Row],[GST Amount]]</f>
        <v>82145.7</v>
      </c>
      <c r="R2308" s="138" t="s">
        <v>1019</v>
      </c>
      <c r="S2308" s="41">
        <f>IF(Purchase[[#This Row],[Status]]="Cancelled",0,Purchase[[#This Row],[Qty]])</f>
        <v>21</v>
      </c>
      <c r="T2308" s="146">
        <f>IF(Purchase[[#This Row],[Status]]="Cancelled",0,Purchase[[#This Row],[Total Amount]])</f>
        <v>82145.7</v>
      </c>
      <c r="U2308" s="146">
        <f>SUM(Purchase[Net Amount])</f>
        <v>814985438.68000126</v>
      </c>
    </row>
    <row r="2309" spans="1:21" ht="19.5" thickBot="1" x14ac:dyDescent="0.3">
      <c r="A2309" s="136" t="s">
        <v>3365</v>
      </c>
      <c r="B2309" s="137">
        <v>45772</v>
      </c>
      <c r="C2309" s="138" t="s">
        <v>577</v>
      </c>
      <c r="D2309" s="138" t="str">
        <f>VLOOKUP(Purchase[[#This Row],[Supplier ID]],Supplier[#All],2,0)</f>
        <v>National Electronics</v>
      </c>
      <c r="E2309" s="138">
        <f>VLOOKUP(Purchase[[#This Row],[Supplier ID]],Supplier[#All],3,0)</f>
        <v>9689542469</v>
      </c>
      <c r="F2309" s="138" t="str">
        <f>VLOOKUP(Purchase[[#This Row],[Supplier ID]],Supplier[#All],4,0)</f>
        <v>Korba</v>
      </c>
      <c r="G2309" s="138" t="str">
        <f>VLOOKUP(Purchase[[#This Row],[Supplier ID]],Supplier[#All],5,0)</f>
        <v>CG</v>
      </c>
      <c r="H2309" s="138" t="str">
        <f>VLOOKUP(Purchase[[#This Row],[Supplier ID]],Supplier[#All],6,0)</f>
        <v>GST2154521T023</v>
      </c>
      <c r="I2309" s="138" t="s">
        <v>330</v>
      </c>
      <c r="J2309" s="139">
        <v>21</v>
      </c>
      <c r="K2309" s="143">
        <f>VLOOKUP(Purchase[[#This Row],[Product ID]],Product[#All],6,0)</f>
        <v>4133</v>
      </c>
      <c r="L2309" s="143">
        <f>Purchase[[#This Row],[Purchase Rate]]*Purchase[[#This Row],[Qty]]</f>
        <v>86793</v>
      </c>
      <c r="M2309" s="140">
        <v>0</v>
      </c>
      <c r="N2309" s="143">
        <v>0</v>
      </c>
      <c r="O2309" s="140">
        <v>0.18</v>
      </c>
      <c r="P2309" s="145">
        <f>(Purchase[[#This Row],[Gross Amount]]-Purchase[[#This Row],[Disct %]])*Purchase[[#This Row],[GST %]]</f>
        <v>15622.74</v>
      </c>
      <c r="Q2309" s="145">
        <f>Purchase[[#This Row],[Gross Amount]]-Purchase[[#This Row],[Disct Amnt]]+Purchase[[#This Row],[GST Amount]]</f>
        <v>102415.74</v>
      </c>
      <c r="R2309" s="138" t="s">
        <v>1019</v>
      </c>
      <c r="S2309" s="41">
        <f>IF(Purchase[[#This Row],[Status]]="Cancelled",0,Purchase[[#This Row],[Qty]])</f>
        <v>21</v>
      </c>
      <c r="T2309" s="146">
        <f>IF(Purchase[[#This Row],[Status]]="Cancelled",0,Purchase[[#This Row],[Total Amount]])</f>
        <v>102415.74</v>
      </c>
      <c r="U2309" s="146">
        <f>SUM(Purchase[Net Amount])</f>
        <v>814985438.68000126</v>
      </c>
    </row>
    <row r="2310" spans="1:21" ht="19.5" thickBot="1" x14ac:dyDescent="0.3">
      <c r="A2310" s="136" t="s">
        <v>3366</v>
      </c>
      <c r="B2310" s="137">
        <v>45772</v>
      </c>
      <c r="C2310" s="138" t="s">
        <v>603</v>
      </c>
      <c r="D2310" s="138" t="str">
        <f>VLOOKUP(Purchase[[#This Row],[Supplier ID]],Supplier[#All],2,0)</f>
        <v>Tech Computers</v>
      </c>
      <c r="E2310" s="138">
        <f>VLOOKUP(Purchase[[#This Row],[Supplier ID]],Supplier[#All],3,0)</f>
        <v>9689542486</v>
      </c>
      <c r="F2310" s="138" t="str">
        <f>VLOOKUP(Purchase[[#This Row],[Supplier ID]],Supplier[#All],4,0)</f>
        <v>Indore</v>
      </c>
      <c r="G2310" s="138" t="str">
        <f>VLOOKUP(Purchase[[#This Row],[Supplier ID]],Supplier[#All],5,0)</f>
        <v>MP</v>
      </c>
      <c r="H2310" s="138" t="str">
        <f>VLOOKUP(Purchase[[#This Row],[Supplier ID]],Supplier[#All],6,0)</f>
        <v>GST2154521T048</v>
      </c>
      <c r="I2310" s="138" t="s">
        <v>353</v>
      </c>
      <c r="J2310" s="139">
        <v>11</v>
      </c>
      <c r="K2310" s="143">
        <f>VLOOKUP(Purchase[[#This Row],[Product ID]],Product[#All],6,0)</f>
        <v>51991</v>
      </c>
      <c r="L2310" s="143">
        <f>Purchase[[#This Row],[Purchase Rate]]*Purchase[[#This Row],[Qty]]</f>
        <v>571901</v>
      </c>
      <c r="M2310" s="140">
        <v>0</v>
      </c>
      <c r="N2310" s="143">
        <v>0</v>
      </c>
      <c r="O2310" s="140">
        <v>0.18</v>
      </c>
      <c r="P2310" s="145">
        <f>(Purchase[[#This Row],[Gross Amount]]-Purchase[[#This Row],[Disct %]])*Purchase[[#This Row],[GST %]]</f>
        <v>102942.18</v>
      </c>
      <c r="Q2310" s="145">
        <f>Purchase[[#This Row],[Gross Amount]]-Purchase[[#This Row],[Disct Amnt]]+Purchase[[#This Row],[GST Amount]]</f>
        <v>674843.17999999993</v>
      </c>
      <c r="R2310" s="138" t="s">
        <v>1019</v>
      </c>
      <c r="S2310" s="41">
        <f>IF(Purchase[[#This Row],[Status]]="Cancelled",0,Purchase[[#This Row],[Qty]])</f>
        <v>11</v>
      </c>
      <c r="T2310" s="146">
        <f>IF(Purchase[[#This Row],[Status]]="Cancelled",0,Purchase[[#This Row],[Total Amount]])</f>
        <v>674843.17999999993</v>
      </c>
      <c r="U2310" s="146">
        <f>SUM(Purchase[Net Amount])</f>
        <v>814985438.68000126</v>
      </c>
    </row>
    <row r="2311" spans="1:21" ht="19.5" thickBot="1" x14ac:dyDescent="0.3">
      <c r="A2311" s="136" t="s">
        <v>3367</v>
      </c>
      <c r="B2311" s="137">
        <v>45772</v>
      </c>
      <c r="C2311" s="138" t="s">
        <v>598</v>
      </c>
      <c r="D2311" s="138" t="str">
        <f>VLOOKUP(Purchase[[#This Row],[Supplier ID]],Supplier[#All],2,0)</f>
        <v>National Distributors</v>
      </c>
      <c r="E2311" s="138">
        <f>VLOOKUP(Purchase[[#This Row],[Supplier ID]],Supplier[#All],3,0)</f>
        <v>9689542489</v>
      </c>
      <c r="F2311" s="138" t="str">
        <f>VLOOKUP(Purchase[[#This Row],[Supplier ID]],Supplier[#All],4,0)</f>
        <v>Indore</v>
      </c>
      <c r="G2311" s="138" t="str">
        <f>VLOOKUP(Purchase[[#This Row],[Supplier ID]],Supplier[#All],5,0)</f>
        <v>MP</v>
      </c>
      <c r="H2311" s="138" t="str">
        <f>VLOOKUP(Purchase[[#This Row],[Supplier ID]],Supplier[#All],6,0)</f>
        <v>GST2154521T043</v>
      </c>
      <c r="I2311" s="138" t="s">
        <v>401</v>
      </c>
      <c r="J2311" s="139">
        <v>35</v>
      </c>
      <c r="K2311" s="143">
        <f>VLOOKUP(Purchase[[#This Row],[Product ID]],Product[#All],6,0)</f>
        <v>517</v>
      </c>
      <c r="L2311" s="143">
        <f>Purchase[[#This Row],[Purchase Rate]]*Purchase[[#This Row],[Qty]]</f>
        <v>18095</v>
      </c>
      <c r="M2311" s="140">
        <v>0</v>
      </c>
      <c r="N2311" s="143">
        <v>0</v>
      </c>
      <c r="O2311" s="140">
        <v>0.18</v>
      </c>
      <c r="P2311" s="145">
        <f>(Purchase[[#This Row],[Gross Amount]]-Purchase[[#This Row],[Disct %]])*Purchase[[#This Row],[GST %]]</f>
        <v>3257.1</v>
      </c>
      <c r="Q2311" s="145">
        <f>Purchase[[#This Row],[Gross Amount]]-Purchase[[#This Row],[Disct Amnt]]+Purchase[[#This Row],[GST Amount]]</f>
        <v>21352.1</v>
      </c>
      <c r="R2311" s="138" t="s">
        <v>1019</v>
      </c>
      <c r="S2311" s="41">
        <f>IF(Purchase[[#This Row],[Status]]="Cancelled",0,Purchase[[#This Row],[Qty]])</f>
        <v>35</v>
      </c>
      <c r="T2311" s="146">
        <f>IF(Purchase[[#This Row],[Status]]="Cancelled",0,Purchase[[#This Row],[Total Amount]])</f>
        <v>21352.1</v>
      </c>
      <c r="U2311" s="146">
        <f>SUM(Purchase[Net Amount])</f>
        <v>814985438.68000126</v>
      </c>
    </row>
    <row r="2312" spans="1:21" ht="19.5" thickBot="1" x14ac:dyDescent="0.3">
      <c r="A2312" s="136" t="s">
        <v>3368</v>
      </c>
      <c r="B2312" s="137">
        <v>45772</v>
      </c>
      <c r="C2312" s="138" t="s">
        <v>570</v>
      </c>
      <c r="D2312" s="138" t="str">
        <f>VLOOKUP(Purchase[[#This Row],[Supplier ID]],Supplier[#All],2,0)</f>
        <v>Prime Traders</v>
      </c>
      <c r="E2312" s="138">
        <f>VLOOKUP(Purchase[[#This Row],[Supplier ID]],Supplier[#All],3,0)</f>
        <v>9689542456</v>
      </c>
      <c r="F2312" s="138" t="str">
        <f>VLOOKUP(Purchase[[#This Row],[Supplier ID]],Supplier[#All],4,0)</f>
        <v>Indore</v>
      </c>
      <c r="G2312" s="138" t="str">
        <f>VLOOKUP(Purchase[[#This Row],[Supplier ID]],Supplier[#All],5,0)</f>
        <v>MP</v>
      </c>
      <c r="H2312" s="138" t="str">
        <f>VLOOKUP(Purchase[[#This Row],[Supplier ID]],Supplier[#All],6,0)</f>
        <v>GST2154521T018</v>
      </c>
      <c r="I2312" s="138" t="s">
        <v>511</v>
      </c>
      <c r="J2312" s="139">
        <v>14</v>
      </c>
      <c r="K2312" s="143">
        <f>VLOOKUP(Purchase[[#This Row],[Product ID]],Product[#All],6,0)</f>
        <v>1027</v>
      </c>
      <c r="L2312" s="143">
        <f>Purchase[[#This Row],[Purchase Rate]]*Purchase[[#This Row],[Qty]]</f>
        <v>14378</v>
      </c>
      <c r="M2312" s="140">
        <v>0</v>
      </c>
      <c r="N2312" s="143">
        <v>0</v>
      </c>
      <c r="O2312" s="140">
        <v>0.18</v>
      </c>
      <c r="P2312" s="145">
        <f>(Purchase[[#This Row],[Gross Amount]]-Purchase[[#This Row],[Disct %]])*Purchase[[#This Row],[GST %]]</f>
        <v>2588.04</v>
      </c>
      <c r="Q2312" s="145">
        <f>Purchase[[#This Row],[Gross Amount]]-Purchase[[#This Row],[Disct Amnt]]+Purchase[[#This Row],[GST Amount]]</f>
        <v>16966.04</v>
      </c>
      <c r="R2312" s="138" t="s">
        <v>1019</v>
      </c>
      <c r="S2312" s="41">
        <f>IF(Purchase[[#This Row],[Status]]="Cancelled",0,Purchase[[#This Row],[Qty]])</f>
        <v>14</v>
      </c>
      <c r="T2312" s="146">
        <f>IF(Purchase[[#This Row],[Status]]="Cancelled",0,Purchase[[#This Row],[Total Amount]])</f>
        <v>16966.04</v>
      </c>
      <c r="U2312" s="146">
        <f>SUM(Purchase[Net Amount])</f>
        <v>814985438.68000126</v>
      </c>
    </row>
    <row r="2313" spans="1:21" ht="19.5" thickBot="1" x14ac:dyDescent="0.3">
      <c r="A2313" s="136" t="s">
        <v>3369</v>
      </c>
      <c r="B2313" s="137">
        <v>45772</v>
      </c>
      <c r="C2313" s="138" t="s">
        <v>570</v>
      </c>
      <c r="D2313" s="138" t="str">
        <f>VLOOKUP(Purchase[[#This Row],[Supplier ID]],Supplier[#All],2,0)</f>
        <v>Prime Traders</v>
      </c>
      <c r="E2313" s="138">
        <f>VLOOKUP(Purchase[[#This Row],[Supplier ID]],Supplier[#All],3,0)</f>
        <v>9689542456</v>
      </c>
      <c r="F2313" s="138" t="str">
        <f>VLOOKUP(Purchase[[#This Row],[Supplier ID]],Supplier[#All],4,0)</f>
        <v>Indore</v>
      </c>
      <c r="G2313" s="138" t="str">
        <f>VLOOKUP(Purchase[[#This Row],[Supplier ID]],Supplier[#All],5,0)</f>
        <v>MP</v>
      </c>
      <c r="H2313" s="138" t="str">
        <f>VLOOKUP(Purchase[[#This Row],[Supplier ID]],Supplier[#All],6,0)</f>
        <v>GST2154521T018</v>
      </c>
      <c r="I2313" s="138" t="s">
        <v>258</v>
      </c>
      <c r="J2313" s="139">
        <v>14</v>
      </c>
      <c r="K2313" s="143">
        <f>VLOOKUP(Purchase[[#This Row],[Product ID]],Product[#All],6,0)</f>
        <v>1957</v>
      </c>
      <c r="L2313" s="143">
        <f>Purchase[[#This Row],[Purchase Rate]]*Purchase[[#This Row],[Qty]]</f>
        <v>27398</v>
      </c>
      <c r="M2313" s="140">
        <v>0</v>
      </c>
      <c r="N2313" s="143">
        <v>0</v>
      </c>
      <c r="O2313" s="140">
        <v>0.18</v>
      </c>
      <c r="P2313" s="145">
        <f>(Purchase[[#This Row],[Gross Amount]]-Purchase[[#This Row],[Disct %]])*Purchase[[#This Row],[GST %]]</f>
        <v>4931.6399999999994</v>
      </c>
      <c r="Q2313" s="145">
        <f>Purchase[[#This Row],[Gross Amount]]-Purchase[[#This Row],[Disct Amnt]]+Purchase[[#This Row],[GST Amount]]</f>
        <v>32329.64</v>
      </c>
      <c r="R2313" s="138" t="s">
        <v>1019</v>
      </c>
      <c r="S2313" s="41">
        <f>IF(Purchase[[#This Row],[Status]]="Cancelled",0,Purchase[[#This Row],[Qty]])</f>
        <v>14</v>
      </c>
      <c r="T2313" s="146">
        <f>IF(Purchase[[#This Row],[Status]]="Cancelled",0,Purchase[[#This Row],[Total Amount]])</f>
        <v>32329.64</v>
      </c>
      <c r="U2313" s="146">
        <f>SUM(Purchase[Net Amount])</f>
        <v>814985438.68000126</v>
      </c>
    </row>
    <row r="2314" spans="1:21" ht="19.5" thickBot="1" x14ac:dyDescent="0.3">
      <c r="A2314" s="136" t="s">
        <v>3370</v>
      </c>
      <c r="B2314" s="137">
        <v>45772</v>
      </c>
      <c r="C2314" s="138" t="s">
        <v>588</v>
      </c>
      <c r="D2314" s="138" t="str">
        <f>VLOOKUP(Purchase[[#This Row],[Supplier ID]],Supplier[#All],2,0)</f>
        <v>Star Electronics</v>
      </c>
      <c r="E2314" s="138">
        <f>VLOOKUP(Purchase[[#This Row],[Supplier ID]],Supplier[#All],3,0)</f>
        <v>9689542472</v>
      </c>
      <c r="F2314" s="138" t="str">
        <f>VLOOKUP(Purchase[[#This Row],[Supplier ID]],Supplier[#All],4,0)</f>
        <v>Korba</v>
      </c>
      <c r="G2314" s="138" t="str">
        <f>VLOOKUP(Purchase[[#This Row],[Supplier ID]],Supplier[#All],5,0)</f>
        <v>CG</v>
      </c>
      <c r="H2314" s="138" t="str">
        <f>VLOOKUP(Purchase[[#This Row],[Supplier ID]],Supplier[#All],6,0)</f>
        <v>GST2154521T034</v>
      </c>
      <c r="I2314" s="138" t="s">
        <v>544</v>
      </c>
      <c r="J2314" s="139">
        <v>35</v>
      </c>
      <c r="K2314" s="143">
        <f>VLOOKUP(Purchase[[#This Row],[Product ID]],Product[#All],6,0)</f>
        <v>14145</v>
      </c>
      <c r="L2314" s="143">
        <f>Purchase[[#This Row],[Purchase Rate]]*Purchase[[#This Row],[Qty]]</f>
        <v>495075</v>
      </c>
      <c r="M2314" s="140">
        <v>0</v>
      </c>
      <c r="N2314" s="143">
        <v>0</v>
      </c>
      <c r="O2314" s="140">
        <v>0.18</v>
      </c>
      <c r="P2314" s="145">
        <f>(Purchase[[#This Row],[Gross Amount]]-Purchase[[#This Row],[Disct %]])*Purchase[[#This Row],[GST %]]</f>
        <v>89113.5</v>
      </c>
      <c r="Q2314" s="145">
        <f>Purchase[[#This Row],[Gross Amount]]-Purchase[[#This Row],[Disct Amnt]]+Purchase[[#This Row],[GST Amount]]</f>
        <v>584188.5</v>
      </c>
      <c r="R2314" s="138" t="s">
        <v>1019</v>
      </c>
      <c r="S2314" s="41">
        <f>IF(Purchase[[#This Row],[Status]]="Cancelled",0,Purchase[[#This Row],[Qty]])</f>
        <v>35</v>
      </c>
      <c r="T2314" s="146">
        <f>IF(Purchase[[#This Row],[Status]]="Cancelled",0,Purchase[[#This Row],[Total Amount]])</f>
        <v>584188.5</v>
      </c>
      <c r="U2314" s="146">
        <f>SUM(Purchase[Net Amount])</f>
        <v>814985438.68000126</v>
      </c>
    </row>
    <row r="2315" spans="1:21" ht="19.5" thickBot="1" x14ac:dyDescent="0.3">
      <c r="A2315" s="136" t="s">
        <v>3371</v>
      </c>
      <c r="B2315" s="137">
        <v>45772</v>
      </c>
      <c r="C2315" s="138" t="s">
        <v>581</v>
      </c>
      <c r="D2315" s="138" t="str">
        <f>VLOOKUP(Purchase[[#This Row],[Supplier ID]],Supplier[#All],2,0)</f>
        <v>Prime Electronics</v>
      </c>
      <c r="E2315" s="138">
        <f>VLOOKUP(Purchase[[#This Row],[Supplier ID]],Supplier[#All],3,0)</f>
        <v>9689542465</v>
      </c>
      <c r="F2315" s="138" t="str">
        <f>VLOOKUP(Purchase[[#This Row],[Supplier ID]],Supplier[#All],4,0)</f>
        <v>Korba</v>
      </c>
      <c r="G2315" s="138" t="str">
        <f>VLOOKUP(Purchase[[#This Row],[Supplier ID]],Supplier[#All],5,0)</f>
        <v>CG</v>
      </c>
      <c r="H2315" s="138" t="str">
        <f>VLOOKUP(Purchase[[#This Row],[Supplier ID]],Supplier[#All],6,0)</f>
        <v>GST2154521T027</v>
      </c>
      <c r="I2315" s="138" t="s">
        <v>213</v>
      </c>
      <c r="J2315" s="139">
        <v>19</v>
      </c>
      <c r="K2315" s="143">
        <f>VLOOKUP(Purchase[[#This Row],[Product ID]],Product[#All],6,0)</f>
        <v>3086</v>
      </c>
      <c r="L2315" s="143">
        <f>Purchase[[#This Row],[Purchase Rate]]*Purchase[[#This Row],[Qty]]</f>
        <v>58634</v>
      </c>
      <c r="M2315" s="140">
        <v>0</v>
      </c>
      <c r="N2315" s="143">
        <v>0</v>
      </c>
      <c r="O2315" s="140">
        <v>0.18</v>
      </c>
      <c r="P2315" s="145">
        <f>(Purchase[[#This Row],[Gross Amount]]-Purchase[[#This Row],[Disct %]])*Purchase[[#This Row],[GST %]]</f>
        <v>10554.119999999999</v>
      </c>
      <c r="Q2315" s="145">
        <f>Purchase[[#This Row],[Gross Amount]]-Purchase[[#This Row],[Disct Amnt]]+Purchase[[#This Row],[GST Amount]]</f>
        <v>69188.12</v>
      </c>
      <c r="R2315" s="138" t="s">
        <v>1019</v>
      </c>
      <c r="S2315" s="41">
        <f>IF(Purchase[[#This Row],[Status]]="Cancelled",0,Purchase[[#This Row],[Qty]])</f>
        <v>19</v>
      </c>
      <c r="T2315" s="146">
        <f>IF(Purchase[[#This Row],[Status]]="Cancelled",0,Purchase[[#This Row],[Total Amount]])</f>
        <v>69188.12</v>
      </c>
      <c r="U2315" s="146">
        <f>SUM(Purchase[Net Amount])</f>
        <v>814985438.68000126</v>
      </c>
    </row>
    <row r="2316" spans="1:21" ht="19.5" thickBot="1" x14ac:dyDescent="0.3">
      <c r="A2316" s="136" t="s">
        <v>3372</v>
      </c>
      <c r="B2316" s="137">
        <v>45772</v>
      </c>
      <c r="C2316" s="138" t="s">
        <v>613</v>
      </c>
      <c r="D2316" s="138" t="str">
        <f>VLOOKUP(Purchase[[#This Row],[Supplier ID]],Supplier[#All],2,0)</f>
        <v>National Traders</v>
      </c>
      <c r="E2316" s="138">
        <f>VLOOKUP(Purchase[[#This Row],[Supplier ID]],Supplier[#All],3,0)</f>
        <v>9689542496</v>
      </c>
      <c r="F2316" s="138" t="str">
        <f>VLOOKUP(Purchase[[#This Row],[Supplier ID]],Supplier[#All],4,0)</f>
        <v>Indore</v>
      </c>
      <c r="G2316" s="138" t="str">
        <f>VLOOKUP(Purchase[[#This Row],[Supplier ID]],Supplier[#All],5,0)</f>
        <v>MP</v>
      </c>
      <c r="H2316" s="138" t="str">
        <f>VLOOKUP(Purchase[[#This Row],[Supplier ID]],Supplier[#All],6,0)</f>
        <v>GST2154521T058</v>
      </c>
      <c r="I2316" s="138" t="s">
        <v>513</v>
      </c>
      <c r="J2316" s="139">
        <v>32</v>
      </c>
      <c r="K2316" s="143">
        <f>VLOOKUP(Purchase[[#This Row],[Product ID]],Product[#All],6,0)</f>
        <v>1887</v>
      </c>
      <c r="L2316" s="143">
        <f>Purchase[[#This Row],[Purchase Rate]]*Purchase[[#This Row],[Qty]]</f>
        <v>60384</v>
      </c>
      <c r="M2316" s="140">
        <v>0</v>
      </c>
      <c r="N2316" s="143">
        <v>0</v>
      </c>
      <c r="O2316" s="140">
        <v>0.18</v>
      </c>
      <c r="P2316" s="145">
        <f>(Purchase[[#This Row],[Gross Amount]]-Purchase[[#This Row],[Disct %]])*Purchase[[#This Row],[GST %]]</f>
        <v>10869.119999999999</v>
      </c>
      <c r="Q2316" s="145">
        <f>Purchase[[#This Row],[Gross Amount]]-Purchase[[#This Row],[Disct Amnt]]+Purchase[[#This Row],[GST Amount]]</f>
        <v>71253.119999999995</v>
      </c>
      <c r="R2316" s="138" t="s">
        <v>1040</v>
      </c>
      <c r="S2316" s="41">
        <f>IF(Purchase[[#This Row],[Status]]="Cancelled",0,Purchase[[#This Row],[Qty]])</f>
        <v>0</v>
      </c>
      <c r="T2316" s="146">
        <f>IF(Purchase[[#This Row],[Status]]="Cancelled",0,Purchase[[#This Row],[Total Amount]])</f>
        <v>0</v>
      </c>
      <c r="U2316" s="146">
        <f>SUM(Purchase[Net Amount])</f>
        <v>814985438.68000126</v>
      </c>
    </row>
    <row r="2317" spans="1:21" ht="19.5" thickBot="1" x14ac:dyDescent="0.3">
      <c r="A2317" s="136" t="s">
        <v>3373</v>
      </c>
      <c r="B2317" s="137">
        <v>45772</v>
      </c>
      <c r="C2317" s="138" t="s">
        <v>615</v>
      </c>
      <c r="D2317" s="138" t="str">
        <f>VLOOKUP(Purchase[[#This Row],[Supplier ID]],Supplier[#All],2,0)</f>
        <v>NATIONAL ELECTRONICS</v>
      </c>
      <c r="E2317" s="138">
        <f>VLOOKUP(Purchase[[#This Row],[Supplier ID]],Supplier[#All],3,0)</f>
        <v>9689542498</v>
      </c>
      <c r="F2317" s="138" t="str">
        <f>VLOOKUP(Purchase[[#This Row],[Supplier ID]],Supplier[#All],4,0)</f>
        <v>Kanpur</v>
      </c>
      <c r="G2317" s="138" t="str">
        <f>VLOOKUP(Purchase[[#This Row],[Supplier ID]],Supplier[#All],5,0)</f>
        <v>UP</v>
      </c>
      <c r="H2317" s="138" t="str">
        <f>VLOOKUP(Purchase[[#This Row],[Supplier ID]],Supplier[#All],6,0)</f>
        <v>GST2154521T060</v>
      </c>
      <c r="I2317" s="138" t="s">
        <v>386</v>
      </c>
      <c r="J2317" s="139">
        <v>36</v>
      </c>
      <c r="K2317" s="143">
        <f>VLOOKUP(Purchase[[#This Row],[Product ID]],Product[#All],6,0)</f>
        <v>534</v>
      </c>
      <c r="L2317" s="143">
        <f>Purchase[[#This Row],[Purchase Rate]]*Purchase[[#This Row],[Qty]]</f>
        <v>19224</v>
      </c>
      <c r="M2317" s="140">
        <v>0</v>
      </c>
      <c r="N2317" s="143">
        <v>0</v>
      </c>
      <c r="O2317" s="140">
        <v>0.18</v>
      </c>
      <c r="P2317" s="145">
        <f>(Purchase[[#This Row],[Gross Amount]]-Purchase[[#This Row],[Disct %]])*Purchase[[#This Row],[GST %]]</f>
        <v>3460.3199999999997</v>
      </c>
      <c r="Q2317" s="145">
        <f>Purchase[[#This Row],[Gross Amount]]-Purchase[[#This Row],[Disct Amnt]]+Purchase[[#This Row],[GST Amount]]</f>
        <v>22684.32</v>
      </c>
      <c r="R2317" s="138" t="s">
        <v>1019</v>
      </c>
      <c r="S2317" s="41">
        <f>IF(Purchase[[#This Row],[Status]]="Cancelled",0,Purchase[[#This Row],[Qty]])</f>
        <v>36</v>
      </c>
      <c r="T2317" s="146">
        <f>IF(Purchase[[#This Row],[Status]]="Cancelled",0,Purchase[[#This Row],[Total Amount]])</f>
        <v>22684.32</v>
      </c>
      <c r="U2317" s="146">
        <f>SUM(Purchase[Net Amount])</f>
        <v>814985438.68000126</v>
      </c>
    </row>
    <row r="2318" spans="1:21" ht="19.5" thickBot="1" x14ac:dyDescent="0.3">
      <c r="A2318" s="136" t="s">
        <v>3374</v>
      </c>
      <c r="B2318" s="137">
        <v>45772</v>
      </c>
      <c r="C2318" s="138" t="s">
        <v>565</v>
      </c>
      <c r="D2318" s="138" t="str">
        <f>VLOOKUP(Purchase[[#This Row],[Supplier ID]],Supplier[#All],2,0)</f>
        <v>Global Suppliers</v>
      </c>
      <c r="E2318" s="138">
        <f>VLOOKUP(Purchase[[#This Row],[Supplier ID]],Supplier[#All],3,0)</f>
        <v>9689542459</v>
      </c>
      <c r="F2318" s="138" t="str">
        <f>VLOOKUP(Purchase[[#This Row],[Supplier ID]],Supplier[#All],4,0)</f>
        <v>Indore</v>
      </c>
      <c r="G2318" s="138" t="str">
        <f>VLOOKUP(Purchase[[#This Row],[Supplier ID]],Supplier[#All],5,0)</f>
        <v>MP</v>
      </c>
      <c r="H2318" s="138" t="str">
        <f>VLOOKUP(Purchase[[#This Row],[Supplier ID]],Supplier[#All],6,0)</f>
        <v>GST2154521T013</v>
      </c>
      <c r="I2318" s="138" t="s">
        <v>127</v>
      </c>
      <c r="J2318" s="139">
        <v>23</v>
      </c>
      <c r="K2318" s="143">
        <f>VLOOKUP(Purchase[[#This Row],[Product ID]],Product[#All],6,0)</f>
        <v>3474</v>
      </c>
      <c r="L2318" s="143">
        <f>Purchase[[#This Row],[Purchase Rate]]*Purchase[[#This Row],[Qty]]</f>
        <v>79902</v>
      </c>
      <c r="M2318" s="140">
        <v>0</v>
      </c>
      <c r="N2318" s="143">
        <v>0</v>
      </c>
      <c r="O2318" s="140">
        <v>0.18</v>
      </c>
      <c r="P2318" s="145">
        <f>(Purchase[[#This Row],[Gross Amount]]-Purchase[[#This Row],[Disct %]])*Purchase[[#This Row],[GST %]]</f>
        <v>14382.359999999999</v>
      </c>
      <c r="Q2318" s="145">
        <f>Purchase[[#This Row],[Gross Amount]]-Purchase[[#This Row],[Disct Amnt]]+Purchase[[#This Row],[GST Amount]]</f>
        <v>94284.36</v>
      </c>
      <c r="R2318" s="138" t="s">
        <v>1019</v>
      </c>
      <c r="S2318" s="41">
        <f>IF(Purchase[[#This Row],[Status]]="Cancelled",0,Purchase[[#This Row],[Qty]])</f>
        <v>23</v>
      </c>
      <c r="T2318" s="146">
        <f>IF(Purchase[[#This Row],[Status]]="Cancelled",0,Purchase[[#This Row],[Total Amount]])</f>
        <v>94284.36</v>
      </c>
      <c r="U2318" s="146">
        <f>SUM(Purchase[Net Amount])</f>
        <v>814985438.68000126</v>
      </c>
    </row>
    <row r="2319" spans="1:21" ht="19.5" thickBot="1" x14ac:dyDescent="0.3">
      <c r="A2319" s="136" t="s">
        <v>3375</v>
      </c>
      <c r="B2319" s="137">
        <v>45772</v>
      </c>
      <c r="C2319" s="138" t="s">
        <v>591</v>
      </c>
      <c r="D2319" s="138" t="str">
        <f>VLOOKUP(Purchase[[#This Row],[Supplier ID]],Supplier[#All],2,0)</f>
        <v>Shree Computers</v>
      </c>
      <c r="E2319" s="138">
        <f>VLOOKUP(Purchase[[#This Row],[Supplier ID]],Supplier[#All],3,0)</f>
        <v>9689542475</v>
      </c>
      <c r="F2319" s="138" t="str">
        <f>VLOOKUP(Purchase[[#This Row],[Supplier ID]],Supplier[#All],4,0)</f>
        <v>Indore</v>
      </c>
      <c r="G2319" s="138" t="str">
        <f>VLOOKUP(Purchase[[#This Row],[Supplier ID]],Supplier[#All],5,0)</f>
        <v>MP</v>
      </c>
      <c r="H2319" s="138" t="str">
        <f>VLOOKUP(Purchase[[#This Row],[Supplier ID]],Supplier[#All],6,0)</f>
        <v>GST2154521T037</v>
      </c>
      <c r="I2319" s="138" t="s">
        <v>550</v>
      </c>
      <c r="J2319" s="139">
        <v>25</v>
      </c>
      <c r="K2319" s="143">
        <f>VLOOKUP(Purchase[[#This Row],[Product ID]],Product[#All],6,0)</f>
        <v>1122</v>
      </c>
      <c r="L2319" s="143">
        <f>Purchase[[#This Row],[Purchase Rate]]*Purchase[[#This Row],[Qty]]</f>
        <v>28050</v>
      </c>
      <c r="M2319" s="140">
        <v>0</v>
      </c>
      <c r="N2319" s="143">
        <v>0</v>
      </c>
      <c r="O2319" s="140">
        <v>0.18</v>
      </c>
      <c r="P2319" s="145">
        <f>(Purchase[[#This Row],[Gross Amount]]-Purchase[[#This Row],[Disct %]])*Purchase[[#This Row],[GST %]]</f>
        <v>5049</v>
      </c>
      <c r="Q2319" s="145">
        <f>Purchase[[#This Row],[Gross Amount]]-Purchase[[#This Row],[Disct Amnt]]+Purchase[[#This Row],[GST Amount]]</f>
        <v>33099</v>
      </c>
      <c r="R2319" s="138" t="s">
        <v>1019</v>
      </c>
      <c r="S2319" s="41">
        <f>IF(Purchase[[#This Row],[Status]]="Cancelled",0,Purchase[[#This Row],[Qty]])</f>
        <v>25</v>
      </c>
      <c r="T2319" s="146">
        <f>IF(Purchase[[#This Row],[Status]]="Cancelled",0,Purchase[[#This Row],[Total Amount]])</f>
        <v>33099</v>
      </c>
      <c r="U2319" s="146">
        <f>SUM(Purchase[Net Amount])</f>
        <v>814985438.68000126</v>
      </c>
    </row>
    <row r="2320" spans="1:21" ht="19.5" thickBot="1" x14ac:dyDescent="0.3">
      <c r="A2320" s="136" t="s">
        <v>3376</v>
      </c>
      <c r="B2320" s="137">
        <v>45772</v>
      </c>
      <c r="C2320" s="138" t="s">
        <v>599</v>
      </c>
      <c r="D2320" s="138" t="str">
        <f>VLOOKUP(Purchase[[#This Row],[Supplier ID]],Supplier[#All],2,0)</f>
        <v>National Distributors</v>
      </c>
      <c r="E2320" s="138">
        <f>VLOOKUP(Purchase[[#This Row],[Supplier ID]],Supplier[#All],3,0)</f>
        <v>9689542482</v>
      </c>
      <c r="F2320" s="138" t="str">
        <f>VLOOKUP(Purchase[[#This Row],[Supplier ID]],Supplier[#All],4,0)</f>
        <v>Kanpur</v>
      </c>
      <c r="G2320" s="138" t="str">
        <f>VLOOKUP(Purchase[[#This Row],[Supplier ID]],Supplier[#All],5,0)</f>
        <v>UP</v>
      </c>
      <c r="H2320" s="138" t="str">
        <f>VLOOKUP(Purchase[[#This Row],[Supplier ID]],Supplier[#All],6,0)</f>
        <v>GST2154521T044</v>
      </c>
      <c r="I2320" s="138" t="s">
        <v>31</v>
      </c>
      <c r="J2320" s="139">
        <v>37</v>
      </c>
      <c r="K2320" s="143">
        <f>VLOOKUP(Purchase[[#This Row],[Product ID]],Product[#All],6,0)</f>
        <v>2320</v>
      </c>
      <c r="L2320" s="143">
        <f>Purchase[[#This Row],[Purchase Rate]]*Purchase[[#This Row],[Qty]]</f>
        <v>85840</v>
      </c>
      <c r="M2320" s="140">
        <v>0</v>
      </c>
      <c r="N2320" s="143">
        <v>0</v>
      </c>
      <c r="O2320" s="140">
        <v>0.18</v>
      </c>
      <c r="P2320" s="145">
        <f>(Purchase[[#This Row],[Gross Amount]]-Purchase[[#This Row],[Disct %]])*Purchase[[#This Row],[GST %]]</f>
        <v>15451.199999999999</v>
      </c>
      <c r="Q2320" s="145">
        <f>Purchase[[#This Row],[Gross Amount]]-Purchase[[#This Row],[Disct Amnt]]+Purchase[[#This Row],[GST Amount]]</f>
        <v>101291.2</v>
      </c>
      <c r="R2320" s="138" t="s">
        <v>1019</v>
      </c>
      <c r="S2320" s="41">
        <f>IF(Purchase[[#This Row],[Status]]="Cancelled",0,Purchase[[#This Row],[Qty]])</f>
        <v>37</v>
      </c>
      <c r="T2320" s="146">
        <f>IF(Purchase[[#This Row],[Status]]="Cancelled",0,Purchase[[#This Row],[Total Amount]])</f>
        <v>101291.2</v>
      </c>
      <c r="U2320" s="146">
        <f>SUM(Purchase[Net Amount])</f>
        <v>814985438.68000126</v>
      </c>
    </row>
    <row r="2321" spans="1:21" ht="19.5" thickBot="1" x14ac:dyDescent="0.3">
      <c r="A2321" s="136" t="s">
        <v>3377</v>
      </c>
      <c r="B2321" s="137">
        <v>45772</v>
      </c>
      <c r="C2321" s="138" t="s">
        <v>610</v>
      </c>
      <c r="D2321" s="138" t="str">
        <f>VLOOKUP(Purchase[[#This Row],[Supplier ID]],Supplier[#All],2,0)</f>
        <v>Shree Electronics</v>
      </c>
      <c r="E2321" s="138">
        <f>VLOOKUP(Purchase[[#This Row],[Supplier ID]],Supplier[#All],3,0)</f>
        <v>9689542493</v>
      </c>
      <c r="F2321" s="138" t="str">
        <f>VLOOKUP(Purchase[[#This Row],[Supplier ID]],Supplier[#All],4,0)</f>
        <v>Kanpur</v>
      </c>
      <c r="G2321" s="138" t="str">
        <f>VLOOKUP(Purchase[[#This Row],[Supplier ID]],Supplier[#All],5,0)</f>
        <v>UP</v>
      </c>
      <c r="H2321" s="138" t="str">
        <f>VLOOKUP(Purchase[[#This Row],[Supplier ID]],Supplier[#All],6,0)</f>
        <v>GST2154521T055</v>
      </c>
      <c r="I2321" s="138" t="s">
        <v>128</v>
      </c>
      <c r="J2321" s="139">
        <v>10</v>
      </c>
      <c r="K2321" s="143">
        <f>VLOOKUP(Purchase[[#This Row],[Product ID]],Product[#All],6,0)</f>
        <v>2597</v>
      </c>
      <c r="L2321" s="143">
        <f>Purchase[[#This Row],[Purchase Rate]]*Purchase[[#This Row],[Qty]]</f>
        <v>25970</v>
      </c>
      <c r="M2321" s="140">
        <v>0</v>
      </c>
      <c r="N2321" s="143">
        <v>0</v>
      </c>
      <c r="O2321" s="140">
        <v>0.18</v>
      </c>
      <c r="P2321" s="145">
        <f>(Purchase[[#This Row],[Gross Amount]]-Purchase[[#This Row],[Disct %]])*Purchase[[#This Row],[GST %]]</f>
        <v>4674.5999999999995</v>
      </c>
      <c r="Q2321" s="145">
        <f>Purchase[[#This Row],[Gross Amount]]-Purchase[[#This Row],[Disct Amnt]]+Purchase[[#This Row],[GST Amount]]</f>
        <v>30644.6</v>
      </c>
      <c r="R2321" s="138" t="s">
        <v>1019</v>
      </c>
      <c r="S2321" s="41">
        <f>IF(Purchase[[#This Row],[Status]]="Cancelled",0,Purchase[[#This Row],[Qty]])</f>
        <v>10</v>
      </c>
      <c r="T2321" s="146">
        <f>IF(Purchase[[#This Row],[Status]]="Cancelled",0,Purchase[[#This Row],[Total Amount]])</f>
        <v>30644.6</v>
      </c>
      <c r="U2321" s="146">
        <f>SUM(Purchase[Net Amount])</f>
        <v>814985438.68000126</v>
      </c>
    </row>
    <row r="2322" spans="1:21" ht="19.5" thickBot="1" x14ac:dyDescent="0.3">
      <c r="A2322" s="136" t="s">
        <v>3378</v>
      </c>
      <c r="B2322" s="137">
        <v>45772</v>
      </c>
      <c r="C2322" s="138" t="s">
        <v>566</v>
      </c>
      <c r="D2322" s="138" t="str">
        <f>VLOOKUP(Purchase[[#This Row],[Supplier ID]],Supplier[#All],2,0)</f>
        <v>Maa Computers</v>
      </c>
      <c r="E2322" s="138">
        <f>VLOOKUP(Purchase[[#This Row],[Supplier ID]],Supplier[#All],3,0)</f>
        <v>9689542452</v>
      </c>
      <c r="F2322" s="138" t="str">
        <f>VLOOKUP(Purchase[[#This Row],[Supplier ID]],Supplier[#All],4,0)</f>
        <v>Kanpur</v>
      </c>
      <c r="G2322" s="138" t="str">
        <f>VLOOKUP(Purchase[[#This Row],[Supplier ID]],Supplier[#All],5,0)</f>
        <v>UP</v>
      </c>
      <c r="H2322" s="138" t="str">
        <f>VLOOKUP(Purchase[[#This Row],[Supplier ID]],Supplier[#All],6,0)</f>
        <v>GST2154521T014</v>
      </c>
      <c r="I2322" s="138" t="s">
        <v>167</v>
      </c>
      <c r="J2322" s="139">
        <v>15</v>
      </c>
      <c r="K2322" s="143">
        <f>VLOOKUP(Purchase[[#This Row],[Product ID]],Product[#All],6,0)</f>
        <v>2161</v>
      </c>
      <c r="L2322" s="143">
        <f>Purchase[[#This Row],[Purchase Rate]]*Purchase[[#This Row],[Qty]]</f>
        <v>32415</v>
      </c>
      <c r="M2322" s="140">
        <v>0</v>
      </c>
      <c r="N2322" s="143">
        <v>0</v>
      </c>
      <c r="O2322" s="140">
        <v>0.18</v>
      </c>
      <c r="P2322" s="145">
        <f>(Purchase[[#This Row],[Gross Amount]]-Purchase[[#This Row],[Disct %]])*Purchase[[#This Row],[GST %]]</f>
        <v>5834.7</v>
      </c>
      <c r="Q2322" s="145">
        <f>Purchase[[#This Row],[Gross Amount]]-Purchase[[#This Row],[Disct Amnt]]+Purchase[[#This Row],[GST Amount]]</f>
        <v>38249.699999999997</v>
      </c>
      <c r="R2322" s="138" t="s">
        <v>1019</v>
      </c>
      <c r="S2322" s="41">
        <f>IF(Purchase[[#This Row],[Status]]="Cancelled",0,Purchase[[#This Row],[Qty]])</f>
        <v>15</v>
      </c>
      <c r="T2322" s="146">
        <f>IF(Purchase[[#This Row],[Status]]="Cancelled",0,Purchase[[#This Row],[Total Amount]])</f>
        <v>38249.699999999997</v>
      </c>
      <c r="U2322" s="146">
        <f>SUM(Purchase[Net Amount])</f>
        <v>814985438.68000126</v>
      </c>
    </row>
    <row r="2323" spans="1:21" ht="19.5" thickBot="1" x14ac:dyDescent="0.3">
      <c r="A2323" s="136" t="s">
        <v>3379</v>
      </c>
      <c r="B2323" s="137">
        <v>45772</v>
      </c>
      <c r="C2323" s="138" t="s">
        <v>575</v>
      </c>
      <c r="D2323" s="138" t="str">
        <f>VLOOKUP(Purchase[[#This Row],[Supplier ID]],Supplier[#All],2,0)</f>
        <v>Global Computers</v>
      </c>
      <c r="E2323" s="138">
        <f>VLOOKUP(Purchase[[#This Row],[Supplier ID]],Supplier[#All],3,0)</f>
        <v>9689542459</v>
      </c>
      <c r="F2323" s="138" t="str">
        <f>VLOOKUP(Purchase[[#This Row],[Supplier ID]],Supplier[#All],4,0)</f>
        <v>Indore</v>
      </c>
      <c r="G2323" s="138" t="str">
        <f>VLOOKUP(Purchase[[#This Row],[Supplier ID]],Supplier[#All],5,0)</f>
        <v>MP</v>
      </c>
      <c r="H2323" s="138" t="str">
        <f>VLOOKUP(Purchase[[#This Row],[Supplier ID]],Supplier[#All],6,0)</f>
        <v>GST2154521T021</v>
      </c>
      <c r="I2323" s="138" t="s">
        <v>342</v>
      </c>
      <c r="J2323" s="139">
        <v>14</v>
      </c>
      <c r="K2323" s="143">
        <f>VLOOKUP(Purchase[[#This Row],[Product ID]],Product[#All],6,0)</f>
        <v>58271</v>
      </c>
      <c r="L2323" s="143">
        <f>Purchase[[#This Row],[Purchase Rate]]*Purchase[[#This Row],[Qty]]</f>
        <v>815794</v>
      </c>
      <c r="M2323" s="140">
        <v>0</v>
      </c>
      <c r="N2323" s="143">
        <v>0</v>
      </c>
      <c r="O2323" s="140">
        <v>0.18</v>
      </c>
      <c r="P2323" s="145">
        <f>(Purchase[[#This Row],[Gross Amount]]-Purchase[[#This Row],[Disct %]])*Purchase[[#This Row],[GST %]]</f>
        <v>146842.91999999998</v>
      </c>
      <c r="Q2323" s="145">
        <f>Purchase[[#This Row],[Gross Amount]]-Purchase[[#This Row],[Disct Amnt]]+Purchase[[#This Row],[GST Amount]]</f>
        <v>962636.91999999993</v>
      </c>
      <c r="R2323" s="138" t="s">
        <v>1019</v>
      </c>
      <c r="S2323" s="41">
        <f>IF(Purchase[[#This Row],[Status]]="Cancelled",0,Purchase[[#This Row],[Qty]])</f>
        <v>14</v>
      </c>
      <c r="T2323" s="146">
        <f>IF(Purchase[[#This Row],[Status]]="Cancelled",0,Purchase[[#This Row],[Total Amount]])</f>
        <v>962636.91999999993</v>
      </c>
      <c r="U2323" s="146">
        <f>SUM(Purchase[Net Amount])</f>
        <v>814985438.68000126</v>
      </c>
    </row>
    <row r="2324" spans="1:21" ht="19.5" thickBot="1" x14ac:dyDescent="0.3">
      <c r="A2324" s="136" t="s">
        <v>3380</v>
      </c>
      <c r="B2324" s="137">
        <v>45772</v>
      </c>
      <c r="C2324" s="138" t="s">
        <v>611</v>
      </c>
      <c r="D2324" s="138" t="str">
        <f>VLOOKUP(Purchase[[#This Row],[Supplier ID]],Supplier[#All],2,0)</f>
        <v>National Distributors</v>
      </c>
      <c r="E2324" s="138">
        <f>VLOOKUP(Purchase[[#This Row],[Supplier ID]],Supplier[#All],3,0)</f>
        <v>9689542494</v>
      </c>
      <c r="F2324" s="138" t="str">
        <f>VLOOKUP(Purchase[[#This Row],[Supplier ID]],Supplier[#All],4,0)</f>
        <v>Korba</v>
      </c>
      <c r="G2324" s="138" t="str">
        <f>VLOOKUP(Purchase[[#This Row],[Supplier ID]],Supplier[#All],5,0)</f>
        <v>CG</v>
      </c>
      <c r="H2324" s="138" t="str">
        <f>VLOOKUP(Purchase[[#This Row],[Supplier ID]],Supplier[#All],6,0)</f>
        <v>GST2154521T056</v>
      </c>
      <c r="I2324" s="138" t="s">
        <v>163</v>
      </c>
      <c r="J2324" s="139">
        <v>39</v>
      </c>
      <c r="K2324" s="143">
        <f>VLOOKUP(Purchase[[#This Row],[Product ID]],Product[#All],6,0)</f>
        <v>13893</v>
      </c>
      <c r="L2324" s="143">
        <f>Purchase[[#This Row],[Purchase Rate]]*Purchase[[#This Row],[Qty]]</f>
        <v>541827</v>
      </c>
      <c r="M2324" s="140">
        <v>0</v>
      </c>
      <c r="N2324" s="143">
        <v>0</v>
      </c>
      <c r="O2324" s="140">
        <v>0.18</v>
      </c>
      <c r="P2324" s="145">
        <f>(Purchase[[#This Row],[Gross Amount]]-Purchase[[#This Row],[Disct %]])*Purchase[[#This Row],[GST %]]</f>
        <v>97528.86</v>
      </c>
      <c r="Q2324" s="145">
        <f>Purchase[[#This Row],[Gross Amount]]-Purchase[[#This Row],[Disct Amnt]]+Purchase[[#This Row],[GST Amount]]</f>
        <v>639355.86</v>
      </c>
      <c r="R2324" s="138" t="s">
        <v>1019</v>
      </c>
      <c r="S2324" s="41">
        <f>IF(Purchase[[#This Row],[Status]]="Cancelled",0,Purchase[[#This Row],[Qty]])</f>
        <v>39</v>
      </c>
      <c r="T2324" s="146">
        <f>IF(Purchase[[#This Row],[Status]]="Cancelled",0,Purchase[[#This Row],[Total Amount]])</f>
        <v>639355.86</v>
      </c>
      <c r="U2324" s="146">
        <f>SUM(Purchase[Net Amount])</f>
        <v>814985438.68000126</v>
      </c>
    </row>
    <row r="2325" spans="1:21" ht="19.5" thickBot="1" x14ac:dyDescent="0.3">
      <c r="A2325" s="136" t="s">
        <v>3381</v>
      </c>
      <c r="B2325" s="137">
        <v>45773</v>
      </c>
      <c r="C2325" s="138" t="s">
        <v>578</v>
      </c>
      <c r="D2325" s="138" t="str">
        <f>VLOOKUP(Purchase[[#This Row],[Supplier ID]],Supplier[#All],2,0)</f>
        <v>Shree Computers</v>
      </c>
      <c r="E2325" s="138">
        <f>VLOOKUP(Purchase[[#This Row],[Supplier ID]],Supplier[#All],3,0)</f>
        <v>9689542462</v>
      </c>
      <c r="F2325" s="138" t="str">
        <f>VLOOKUP(Purchase[[#This Row],[Supplier ID]],Supplier[#All],4,0)</f>
        <v>Korba</v>
      </c>
      <c r="G2325" s="138" t="str">
        <f>VLOOKUP(Purchase[[#This Row],[Supplier ID]],Supplier[#All],5,0)</f>
        <v>CG</v>
      </c>
      <c r="H2325" s="138" t="str">
        <f>VLOOKUP(Purchase[[#This Row],[Supplier ID]],Supplier[#All],6,0)</f>
        <v>GST2154521T024</v>
      </c>
      <c r="I2325" s="138" t="s">
        <v>495</v>
      </c>
      <c r="J2325" s="139">
        <v>11</v>
      </c>
      <c r="K2325" s="143">
        <f>VLOOKUP(Purchase[[#This Row],[Product ID]],Product[#All],6,0)</f>
        <v>54252</v>
      </c>
      <c r="L2325" s="143">
        <f>Purchase[[#This Row],[Purchase Rate]]*Purchase[[#This Row],[Qty]]</f>
        <v>596772</v>
      </c>
      <c r="M2325" s="140">
        <v>0</v>
      </c>
      <c r="N2325" s="143">
        <v>0</v>
      </c>
      <c r="O2325" s="140">
        <v>0.18</v>
      </c>
      <c r="P2325" s="145">
        <f>(Purchase[[#This Row],[Gross Amount]]-Purchase[[#This Row],[Disct %]])*Purchase[[#This Row],[GST %]]</f>
        <v>107418.95999999999</v>
      </c>
      <c r="Q2325" s="145">
        <f>Purchase[[#This Row],[Gross Amount]]-Purchase[[#This Row],[Disct Amnt]]+Purchase[[#This Row],[GST Amount]]</f>
        <v>704190.96</v>
      </c>
      <c r="R2325" s="138" t="s">
        <v>1019</v>
      </c>
      <c r="S2325" s="41">
        <f>IF(Purchase[[#This Row],[Status]]="Cancelled",0,Purchase[[#This Row],[Qty]])</f>
        <v>11</v>
      </c>
      <c r="T2325" s="146">
        <f>IF(Purchase[[#This Row],[Status]]="Cancelled",0,Purchase[[#This Row],[Total Amount]])</f>
        <v>704190.96</v>
      </c>
      <c r="U2325" s="146">
        <f>SUM(Purchase[Net Amount])</f>
        <v>814985438.68000126</v>
      </c>
    </row>
    <row r="2326" spans="1:21" ht="19.5" thickBot="1" x14ac:dyDescent="0.3">
      <c r="A2326" s="136" t="s">
        <v>3382</v>
      </c>
      <c r="B2326" s="137">
        <v>45773</v>
      </c>
      <c r="C2326" s="138" t="s">
        <v>2057</v>
      </c>
      <c r="D2326" s="138" t="str">
        <f>VLOOKUP(Purchase[[#This Row],[Supplier ID]],Supplier[#All],2,0)</f>
        <v>Maa Computers</v>
      </c>
      <c r="E2326" s="138">
        <f>VLOOKUP(Purchase[[#This Row],[Supplier ID]],Supplier[#All],3,0)</f>
        <v>9689542454</v>
      </c>
      <c r="F2326" s="138" t="str">
        <f>VLOOKUP(Purchase[[#This Row],[Supplier ID]],Supplier[#All],4,0)</f>
        <v>Korba</v>
      </c>
      <c r="G2326" s="138" t="str">
        <f>VLOOKUP(Purchase[[#This Row],[Supplier ID]],Supplier[#All],5,0)</f>
        <v>CG</v>
      </c>
      <c r="H2326" s="138" t="str">
        <f>VLOOKUP(Purchase[[#This Row],[Supplier ID]],Supplier[#All],6,0)</f>
        <v>GST2154521T016</v>
      </c>
      <c r="I2326" s="138" t="s">
        <v>417</v>
      </c>
      <c r="J2326" s="139">
        <v>6</v>
      </c>
      <c r="K2326" s="143">
        <f>VLOOKUP(Purchase[[#This Row],[Product ID]],Product[#All],6,0)</f>
        <v>3422</v>
      </c>
      <c r="L2326" s="143">
        <f>Purchase[[#This Row],[Purchase Rate]]*Purchase[[#This Row],[Qty]]</f>
        <v>20532</v>
      </c>
      <c r="M2326" s="140">
        <v>0</v>
      </c>
      <c r="N2326" s="143">
        <v>0</v>
      </c>
      <c r="O2326" s="140">
        <v>0.18</v>
      </c>
      <c r="P2326" s="145">
        <f>(Purchase[[#This Row],[Gross Amount]]-Purchase[[#This Row],[Disct %]])*Purchase[[#This Row],[GST %]]</f>
        <v>3695.7599999999998</v>
      </c>
      <c r="Q2326" s="145">
        <f>Purchase[[#This Row],[Gross Amount]]-Purchase[[#This Row],[Disct Amnt]]+Purchase[[#This Row],[GST Amount]]</f>
        <v>24227.759999999998</v>
      </c>
      <c r="R2326" s="138" t="s">
        <v>1019</v>
      </c>
      <c r="S2326" s="41">
        <f>IF(Purchase[[#This Row],[Status]]="Cancelled",0,Purchase[[#This Row],[Qty]])</f>
        <v>6</v>
      </c>
      <c r="T2326" s="146">
        <f>IF(Purchase[[#This Row],[Status]]="Cancelled",0,Purchase[[#This Row],[Total Amount]])</f>
        <v>24227.759999999998</v>
      </c>
      <c r="U2326" s="146">
        <f>SUM(Purchase[Net Amount])</f>
        <v>814985438.68000126</v>
      </c>
    </row>
    <row r="2327" spans="1:21" ht="19.5" thickBot="1" x14ac:dyDescent="0.3">
      <c r="A2327" s="136" t="s">
        <v>3383</v>
      </c>
      <c r="B2327" s="137">
        <v>45773</v>
      </c>
      <c r="C2327" s="138" t="s">
        <v>600</v>
      </c>
      <c r="D2327" s="138" t="str">
        <f>VLOOKUP(Purchase[[#This Row],[Supplier ID]],Supplier[#All],2,0)</f>
        <v>Prime Suppliers</v>
      </c>
      <c r="E2327" s="138">
        <f>VLOOKUP(Purchase[[#This Row],[Supplier ID]],Supplier[#All],3,0)</f>
        <v>9689542483</v>
      </c>
      <c r="F2327" s="138" t="str">
        <f>VLOOKUP(Purchase[[#This Row],[Supplier ID]],Supplier[#All],4,0)</f>
        <v>Korba</v>
      </c>
      <c r="G2327" s="138" t="str">
        <f>VLOOKUP(Purchase[[#This Row],[Supplier ID]],Supplier[#All],5,0)</f>
        <v>CG</v>
      </c>
      <c r="H2327" s="138" t="str">
        <f>VLOOKUP(Purchase[[#This Row],[Supplier ID]],Supplier[#All],6,0)</f>
        <v>GST2154521T045</v>
      </c>
      <c r="I2327" s="138" t="s">
        <v>501</v>
      </c>
      <c r="J2327" s="139">
        <v>25</v>
      </c>
      <c r="K2327" s="143">
        <f>VLOOKUP(Purchase[[#This Row],[Product ID]],Product[#All],6,0)</f>
        <v>3547</v>
      </c>
      <c r="L2327" s="143">
        <f>Purchase[[#This Row],[Purchase Rate]]*Purchase[[#This Row],[Qty]]</f>
        <v>88675</v>
      </c>
      <c r="M2327" s="140">
        <v>0</v>
      </c>
      <c r="N2327" s="143">
        <v>0</v>
      </c>
      <c r="O2327" s="140">
        <v>0.18</v>
      </c>
      <c r="P2327" s="145">
        <f>(Purchase[[#This Row],[Gross Amount]]-Purchase[[#This Row],[Disct %]])*Purchase[[#This Row],[GST %]]</f>
        <v>15961.5</v>
      </c>
      <c r="Q2327" s="145">
        <f>Purchase[[#This Row],[Gross Amount]]-Purchase[[#This Row],[Disct Amnt]]+Purchase[[#This Row],[GST Amount]]</f>
        <v>104636.5</v>
      </c>
      <c r="R2327" s="138" t="s">
        <v>1019</v>
      </c>
      <c r="S2327" s="41">
        <f>IF(Purchase[[#This Row],[Status]]="Cancelled",0,Purchase[[#This Row],[Qty]])</f>
        <v>25</v>
      </c>
      <c r="T2327" s="146">
        <f>IF(Purchase[[#This Row],[Status]]="Cancelled",0,Purchase[[#This Row],[Total Amount]])</f>
        <v>104636.5</v>
      </c>
      <c r="U2327" s="146">
        <f>SUM(Purchase[Net Amount])</f>
        <v>814985438.68000126</v>
      </c>
    </row>
    <row r="2328" spans="1:21" ht="19.5" thickBot="1" x14ac:dyDescent="0.3">
      <c r="A2328" s="136" t="s">
        <v>3384</v>
      </c>
      <c r="B2328" s="137">
        <v>45773</v>
      </c>
      <c r="C2328" s="138" t="s">
        <v>580</v>
      </c>
      <c r="D2328" s="138" t="str">
        <f>VLOOKUP(Purchase[[#This Row],[Supplier ID]],Supplier[#All],2,0)</f>
        <v>Star Distributors</v>
      </c>
      <c r="E2328" s="138">
        <f>VLOOKUP(Purchase[[#This Row],[Supplier ID]],Supplier[#All],3,0)</f>
        <v>9689542464</v>
      </c>
      <c r="F2328" s="138" t="str">
        <f>VLOOKUP(Purchase[[#This Row],[Supplier ID]],Supplier[#All],4,0)</f>
        <v>Indore</v>
      </c>
      <c r="G2328" s="138" t="str">
        <f>VLOOKUP(Purchase[[#This Row],[Supplier ID]],Supplier[#All],5,0)</f>
        <v>MP</v>
      </c>
      <c r="H2328" s="138" t="str">
        <f>VLOOKUP(Purchase[[#This Row],[Supplier ID]],Supplier[#All],6,0)</f>
        <v>GST2154521T026</v>
      </c>
      <c r="I2328" s="138" t="s">
        <v>160</v>
      </c>
      <c r="J2328" s="139">
        <v>29</v>
      </c>
      <c r="K2328" s="143">
        <f>VLOOKUP(Purchase[[#This Row],[Product ID]],Product[#All],6,0)</f>
        <v>3382</v>
      </c>
      <c r="L2328" s="143">
        <f>Purchase[[#This Row],[Purchase Rate]]*Purchase[[#This Row],[Qty]]</f>
        <v>98078</v>
      </c>
      <c r="M2328" s="140">
        <v>0</v>
      </c>
      <c r="N2328" s="143">
        <v>0</v>
      </c>
      <c r="O2328" s="140">
        <v>0.18</v>
      </c>
      <c r="P2328" s="145">
        <f>(Purchase[[#This Row],[Gross Amount]]-Purchase[[#This Row],[Disct %]])*Purchase[[#This Row],[GST %]]</f>
        <v>17654.04</v>
      </c>
      <c r="Q2328" s="145">
        <f>Purchase[[#This Row],[Gross Amount]]-Purchase[[#This Row],[Disct Amnt]]+Purchase[[#This Row],[GST Amount]]</f>
        <v>115732.04000000001</v>
      </c>
      <c r="R2328" s="138" t="s">
        <v>1019</v>
      </c>
      <c r="S2328" s="41">
        <f>IF(Purchase[[#This Row],[Status]]="Cancelled",0,Purchase[[#This Row],[Qty]])</f>
        <v>29</v>
      </c>
      <c r="T2328" s="146">
        <f>IF(Purchase[[#This Row],[Status]]="Cancelled",0,Purchase[[#This Row],[Total Amount]])</f>
        <v>115732.04000000001</v>
      </c>
      <c r="U2328" s="146">
        <f>SUM(Purchase[Net Amount])</f>
        <v>814985438.68000126</v>
      </c>
    </row>
    <row r="2329" spans="1:21" ht="19.5" thickBot="1" x14ac:dyDescent="0.3">
      <c r="A2329" s="136" t="s">
        <v>3385</v>
      </c>
      <c r="B2329" s="137">
        <v>45773</v>
      </c>
      <c r="C2329" s="138" t="s">
        <v>579</v>
      </c>
      <c r="D2329" s="138" t="str">
        <f>VLOOKUP(Purchase[[#This Row],[Supplier ID]],Supplier[#All],2,0)</f>
        <v>Tech Traders</v>
      </c>
      <c r="E2329" s="138">
        <f>VLOOKUP(Purchase[[#This Row],[Supplier ID]],Supplier[#All],3,0)</f>
        <v>9689542463</v>
      </c>
      <c r="F2329" s="138" t="str">
        <f>VLOOKUP(Purchase[[#This Row],[Supplier ID]],Supplier[#All],4,0)</f>
        <v>Kanpur</v>
      </c>
      <c r="G2329" s="138" t="str">
        <f>VLOOKUP(Purchase[[#This Row],[Supplier ID]],Supplier[#All],5,0)</f>
        <v>UP</v>
      </c>
      <c r="H2329" s="138" t="str">
        <f>VLOOKUP(Purchase[[#This Row],[Supplier ID]],Supplier[#All],6,0)</f>
        <v>GST2154521T025</v>
      </c>
      <c r="I2329" s="138" t="s">
        <v>383</v>
      </c>
      <c r="J2329" s="139">
        <v>8</v>
      </c>
      <c r="K2329" s="143">
        <f>VLOOKUP(Purchase[[#This Row],[Product ID]],Product[#All],6,0)</f>
        <v>2478</v>
      </c>
      <c r="L2329" s="143">
        <f>Purchase[[#This Row],[Purchase Rate]]*Purchase[[#This Row],[Qty]]</f>
        <v>19824</v>
      </c>
      <c r="M2329" s="140">
        <v>0</v>
      </c>
      <c r="N2329" s="143">
        <v>0</v>
      </c>
      <c r="O2329" s="140">
        <v>0.18</v>
      </c>
      <c r="P2329" s="145">
        <f>(Purchase[[#This Row],[Gross Amount]]-Purchase[[#This Row],[Disct %]])*Purchase[[#This Row],[GST %]]</f>
        <v>3568.3199999999997</v>
      </c>
      <c r="Q2329" s="145">
        <f>Purchase[[#This Row],[Gross Amount]]-Purchase[[#This Row],[Disct Amnt]]+Purchase[[#This Row],[GST Amount]]</f>
        <v>23392.32</v>
      </c>
      <c r="R2329" s="138" t="s">
        <v>1019</v>
      </c>
      <c r="S2329" s="41">
        <f>IF(Purchase[[#This Row],[Status]]="Cancelled",0,Purchase[[#This Row],[Qty]])</f>
        <v>8</v>
      </c>
      <c r="T2329" s="146">
        <f>IF(Purchase[[#This Row],[Status]]="Cancelled",0,Purchase[[#This Row],[Total Amount]])</f>
        <v>23392.32</v>
      </c>
      <c r="U2329" s="146">
        <f>SUM(Purchase[Net Amount])</f>
        <v>814985438.68000126</v>
      </c>
    </row>
    <row r="2330" spans="1:21" ht="19.5" thickBot="1" x14ac:dyDescent="0.3">
      <c r="A2330" s="136" t="s">
        <v>3386</v>
      </c>
      <c r="B2330" s="137">
        <v>45773</v>
      </c>
      <c r="C2330" s="138" t="s">
        <v>589</v>
      </c>
      <c r="D2330" s="138" t="str">
        <f>VLOOKUP(Purchase[[#This Row],[Supplier ID]],Supplier[#All],2,0)</f>
        <v>Maa Computers</v>
      </c>
      <c r="E2330" s="138">
        <f>VLOOKUP(Purchase[[#This Row],[Supplier ID]],Supplier[#All],3,0)</f>
        <v>9689542473</v>
      </c>
      <c r="F2330" s="138" t="str">
        <f>VLOOKUP(Purchase[[#This Row],[Supplier ID]],Supplier[#All],4,0)</f>
        <v>Kanpur</v>
      </c>
      <c r="G2330" s="138" t="str">
        <f>VLOOKUP(Purchase[[#This Row],[Supplier ID]],Supplier[#All],5,0)</f>
        <v>UP</v>
      </c>
      <c r="H2330" s="138" t="str">
        <f>VLOOKUP(Purchase[[#This Row],[Supplier ID]],Supplier[#All],6,0)</f>
        <v>GST2154521T035</v>
      </c>
      <c r="I2330" s="138" t="s">
        <v>62</v>
      </c>
      <c r="J2330" s="139">
        <v>27</v>
      </c>
      <c r="K2330" s="143">
        <f>VLOOKUP(Purchase[[#This Row],[Product ID]],Product[#All],6,0)</f>
        <v>5977</v>
      </c>
      <c r="L2330" s="143">
        <f>Purchase[[#This Row],[Purchase Rate]]*Purchase[[#This Row],[Qty]]</f>
        <v>161379</v>
      </c>
      <c r="M2330" s="140">
        <v>0</v>
      </c>
      <c r="N2330" s="143">
        <v>0</v>
      </c>
      <c r="O2330" s="140">
        <v>0.18</v>
      </c>
      <c r="P2330" s="145">
        <f>(Purchase[[#This Row],[Gross Amount]]-Purchase[[#This Row],[Disct %]])*Purchase[[#This Row],[GST %]]</f>
        <v>29048.219999999998</v>
      </c>
      <c r="Q2330" s="145">
        <f>Purchase[[#This Row],[Gross Amount]]-Purchase[[#This Row],[Disct Amnt]]+Purchase[[#This Row],[GST Amount]]</f>
        <v>190427.22</v>
      </c>
      <c r="R2330" s="138" t="s">
        <v>1019</v>
      </c>
      <c r="S2330" s="41">
        <f>IF(Purchase[[#This Row],[Status]]="Cancelled",0,Purchase[[#This Row],[Qty]])</f>
        <v>27</v>
      </c>
      <c r="T2330" s="146">
        <f>IF(Purchase[[#This Row],[Status]]="Cancelled",0,Purchase[[#This Row],[Total Amount]])</f>
        <v>190427.22</v>
      </c>
      <c r="U2330" s="146">
        <f>SUM(Purchase[Net Amount])</f>
        <v>814985438.68000126</v>
      </c>
    </row>
    <row r="2331" spans="1:21" ht="19.5" thickBot="1" x14ac:dyDescent="0.3">
      <c r="A2331" s="136" t="s">
        <v>3387</v>
      </c>
      <c r="B2331" s="137">
        <v>45773</v>
      </c>
      <c r="C2331" s="138" t="s">
        <v>593</v>
      </c>
      <c r="D2331" s="138" t="str">
        <f>VLOOKUP(Purchase[[#This Row],[Supplier ID]],Supplier[#All],2,0)</f>
        <v>Global Suppliers</v>
      </c>
      <c r="E2331" s="138">
        <f>VLOOKUP(Purchase[[#This Row],[Supplier ID]],Supplier[#All],3,0)</f>
        <v>9689542476</v>
      </c>
      <c r="F2331" s="138" t="str">
        <f>VLOOKUP(Purchase[[#This Row],[Supplier ID]],Supplier[#All],4,0)</f>
        <v>Korba</v>
      </c>
      <c r="G2331" s="138" t="str">
        <f>VLOOKUP(Purchase[[#This Row],[Supplier ID]],Supplier[#All],5,0)</f>
        <v>CG</v>
      </c>
      <c r="H2331" s="138" t="str">
        <f>VLOOKUP(Purchase[[#This Row],[Supplier ID]],Supplier[#All],6,0)</f>
        <v>GST2154521T038</v>
      </c>
      <c r="I2331" s="138" t="s">
        <v>213</v>
      </c>
      <c r="J2331" s="139">
        <v>2</v>
      </c>
      <c r="K2331" s="143">
        <f>VLOOKUP(Purchase[[#This Row],[Product ID]],Product[#All],6,0)</f>
        <v>3086</v>
      </c>
      <c r="L2331" s="143">
        <f>Purchase[[#This Row],[Purchase Rate]]*Purchase[[#This Row],[Qty]]</f>
        <v>6172</v>
      </c>
      <c r="M2331" s="140">
        <v>0</v>
      </c>
      <c r="N2331" s="143">
        <v>0</v>
      </c>
      <c r="O2331" s="140">
        <v>0.18</v>
      </c>
      <c r="P2331" s="145">
        <f>(Purchase[[#This Row],[Gross Amount]]-Purchase[[#This Row],[Disct %]])*Purchase[[#This Row],[GST %]]</f>
        <v>1110.96</v>
      </c>
      <c r="Q2331" s="145">
        <f>Purchase[[#This Row],[Gross Amount]]-Purchase[[#This Row],[Disct Amnt]]+Purchase[[#This Row],[GST Amount]]</f>
        <v>7282.96</v>
      </c>
      <c r="R2331" s="138" t="s">
        <v>1019</v>
      </c>
      <c r="S2331" s="41">
        <f>IF(Purchase[[#This Row],[Status]]="Cancelled",0,Purchase[[#This Row],[Qty]])</f>
        <v>2</v>
      </c>
      <c r="T2331" s="146">
        <f>IF(Purchase[[#This Row],[Status]]="Cancelled",0,Purchase[[#This Row],[Total Amount]])</f>
        <v>7282.96</v>
      </c>
      <c r="U2331" s="146">
        <f>SUM(Purchase[Net Amount])</f>
        <v>814985438.68000126</v>
      </c>
    </row>
    <row r="2332" spans="1:21" ht="19.5" thickBot="1" x14ac:dyDescent="0.3">
      <c r="A2332" s="136" t="s">
        <v>3388</v>
      </c>
      <c r="B2332" s="137">
        <v>45773</v>
      </c>
      <c r="C2332" s="138" t="s">
        <v>598</v>
      </c>
      <c r="D2332" s="138" t="str">
        <f>VLOOKUP(Purchase[[#This Row],[Supplier ID]],Supplier[#All],2,0)</f>
        <v>National Distributors</v>
      </c>
      <c r="E2332" s="138">
        <f>VLOOKUP(Purchase[[#This Row],[Supplier ID]],Supplier[#All],3,0)</f>
        <v>9689542489</v>
      </c>
      <c r="F2332" s="138" t="str">
        <f>VLOOKUP(Purchase[[#This Row],[Supplier ID]],Supplier[#All],4,0)</f>
        <v>Indore</v>
      </c>
      <c r="G2332" s="138" t="str">
        <f>VLOOKUP(Purchase[[#This Row],[Supplier ID]],Supplier[#All],5,0)</f>
        <v>MP</v>
      </c>
      <c r="H2332" s="138" t="str">
        <f>VLOOKUP(Purchase[[#This Row],[Supplier ID]],Supplier[#All],6,0)</f>
        <v>GST2154521T043</v>
      </c>
      <c r="I2332" s="138" t="s">
        <v>267</v>
      </c>
      <c r="J2332" s="139">
        <v>29</v>
      </c>
      <c r="K2332" s="143">
        <f>VLOOKUP(Purchase[[#This Row],[Product ID]],Product[#All],6,0)</f>
        <v>1912</v>
      </c>
      <c r="L2332" s="143">
        <f>Purchase[[#This Row],[Purchase Rate]]*Purchase[[#This Row],[Qty]]</f>
        <v>55448</v>
      </c>
      <c r="M2332" s="140">
        <v>0</v>
      </c>
      <c r="N2332" s="143">
        <v>0</v>
      </c>
      <c r="O2332" s="140">
        <v>0.18</v>
      </c>
      <c r="P2332" s="145">
        <f>(Purchase[[#This Row],[Gross Amount]]-Purchase[[#This Row],[Disct %]])*Purchase[[#This Row],[GST %]]</f>
        <v>9980.64</v>
      </c>
      <c r="Q2332" s="145">
        <f>Purchase[[#This Row],[Gross Amount]]-Purchase[[#This Row],[Disct Amnt]]+Purchase[[#This Row],[GST Amount]]</f>
        <v>65428.639999999999</v>
      </c>
      <c r="R2332" s="138" t="s">
        <v>1019</v>
      </c>
      <c r="S2332" s="41">
        <f>IF(Purchase[[#This Row],[Status]]="Cancelled",0,Purchase[[#This Row],[Qty]])</f>
        <v>29</v>
      </c>
      <c r="T2332" s="146">
        <f>IF(Purchase[[#This Row],[Status]]="Cancelled",0,Purchase[[#This Row],[Total Amount]])</f>
        <v>65428.639999999999</v>
      </c>
      <c r="U2332" s="146">
        <f>SUM(Purchase[Net Amount])</f>
        <v>814985438.68000126</v>
      </c>
    </row>
    <row r="2333" spans="1:21" ht="19.5" thickBot="1" x14ac:dyDescent="0.3">
      <c r="A2333" s="136" t="s">
        <v>3389</v>
      </c>
      <c r="B2333" s="137">
        <v>45773</v>
      </c>
      <c r="C2333" s="138" t="s">
        <v>564</v>
      </c>
      <c r="D2333" s="138" t="str">
        <f>VLOOKUP(Purchase[[#This Row],[Supplier ID]],Supplier[#All],2,0)</f>
        <v xml:space="preserve">Star Electronics </v>
      </c>
      <c r="E2333" s="138">
        <f>VLOOKUP(Purchase[[#This Row],[Supplier ID]],Supplier[#All],3,0)</f>
        <v>9689542450</v>
      </c>
      <c r="F2333" s="138" t="str">
        <f>VLOOKUP(Purchase[[#This Row],[Supplier ID]],Supplier[#All],4,0)</f>
        <v>Korba</v>
      </c>
      <c r="G2333" s="138" t="str">
        <f>VLOOKUP(Purchase[[#This Row],[Supplier ID]],Supplier[#All],5,0)</f>
        <v>CG</v>
      </c>
      <c r="H2333" s="138" t="str">
        <f>VLOOKUP(Purchase[[#This Row],[Supplier ID]],Supplier[#All],6,0)</f>
        <v>GST2154521T012</v>
      </c>
      <c r="I2333" s="138" t="s">
        <v>468</v>
      </c>
      <c r="J2333" s="139">
        <v>31</v>
      </c>
      <c r="K2333" s="143">
        <f>VLOOKUP(Purchase[[#This Row],[Product ID]],Product[#All],6,0)</f>
        <v>75590</v>
      </c>
      <c r="L2333" s="143">
        <f>Purchase[[#This Row],[Purchase Rate]]*Purchase[[#This Row],[Qty]]</f>
        <v>2343290</v>
      </c>
      <c r="M2333" s="140">
        <v>0</v>
      </c>
      <c r="N2333" s="143">
        <v>0</v>
      </c>
      <c r="O2333" s="140">
        <v>0.18</v>
      </c>
      <c r="P2333" s="145">
        <f>(Purchase[[#This Row],[Gross Amount]]-Purchase[[#This Row],[Disct %]])*Purchase[[#This Row],[GST %]]</f>
        <v>421792.2</v>
      </c>
      <c r="Q2333" s="145">
        <f>Purchase[[#This Row],[Gross Amount]]-Purchase[[#This Row],[Disct Amnt]]+Purchase[[#This Row],[GST Amount]]</f>
        <v>2765082.2</v>
      </c>
      <c r="R2333" s="138" t="s">
        <v>1019</v>
      </c>
      <c r="S2333" s="41">
        <f>IF(Purchase[[#This Row],[Status]]="Cancelled",0,Purchase[[#This Row],[Qty]])</f>
        <v>31</v>
      </c>
      <c r="T2333" s="146">
        <f>IF(Purchase[[#This Row],[Status]]="Cancelled",0,Purchase[[#This Row],[Total Amount]])</f>
        <v>2765082.2</v>
      </c>
      <c r="U2333" s="146">
        <f>SUM(Purchase[Net Amount])</f>
        <v>814985438.68000126</v>
      </c>
    </row>
    <row r="2334" spans="1:21" ht="19.5" thickBot="1" x14ac:dyDescent="0.3">
      <c r="A2334" s="136" t="s">
        <v>3390</v>
      </c>
      <c r="B2334" s="137">
        <v>45773</v>
      </c>
      <c r="C2334" s="138" t="s">
        <v>616</v>
      </c>
      <c r="D2334" s="138" t="str">
        <f>VLOOKUP(Purchase[[#This Row],[Supplier ID]],Supplier[#All],2,0)</f>
        <v>Global Suppliers</v>
      </c>
      <c r="E2334" s="138">
        <f>VLOOKUP(Purchase[[#This Row],[Supplier ID]],Supplier[#All],3,0)</f>
        <v>9689542499</v>
      </c>
      <c r="F2334" s="138" t="str">
        <f>VLOOKUP(Purchase[[#This Row],[Supplier ID]],Supplier[#All],4,0)</f>
        <v>Kanpur</v>
      </c>
      <c r="G2334" s="138" t="str">
        <f>VLOOKUP(Purchase[[#This Row],[Supplier ID]],Supplier[#All],5,0)</f>
        <v>UP</v>
      </c>
      <c r="H2334" s="138" t="str">
        <f>VLOOKUP(Purchase[[#This Row],[Supplier ID]],Supplier[#All],6,0)</f>
        <v>GST2154521T061</v>
      </c>
      <c r="I2334" s="138" t="s">
        <v>350</v>
      </c>
      <c r="J2334" s="139">
        <v>2</v>
      </c>
      <c r="K2334" s="143">
        <f>VLOOKUP(Purchase[[#This Row],[Product ID]],Product[#All],6,0)</f>
        <v>14913</v>
      </c>
      <c r="L2334" s="143">
        <f>Purchase[[#This Row],[Purchase Rate]]*Purchase[[#This Row],[Qty]]</f>
        <v>29826</v>
      </c>
      <c r="M2334" s="140">
        <v>0</v>
      </c>
      <c r="N2334" s="143">
        <v>0</v>
      </c>
      <c r="O2334" s="140">
        <v>0.18</v>
      </c>
      <c r="P2334" s="145">
        <f>(Purchase[[#This Row],[Gross Amount]]-Purchase[[#This Row],[Disct %]])*Purchase[[#This Row],[GST %]]</f>
        <v>5368.6799999999994</v>
      </c>
      <c r="Q2334" s="145">
        <f>Purchase[[#This Row],[Gross Amount]]-Purchase[[#This Row],[Disct Amnt]]+Purchase[[#This Row],[GST Amount]]</f>
        <v>35194.68</v>
      </c>
      <c r="R2334" s="138" t="s">
        <v>1019</v>
      </c>
      <c r="S2334" s="41">
        <f>IF(Purchase[[#This Row],[Status]]="Cancelled",0,Purchase[[#This Row],[Qty]])</f>
        <v>2</v>
      </c>
      <c r="T2334" s="146">
        <f>IF(Purchase[[#This Row],[Status]]="Cancelled",0,Purchase[[#This Row],[Total Amount]])</f>
        <v>35194.68</v>
      </c>
      <c r="U2334" s="146">
        <f>SUM(Purchase[Net Amount])</f>
        <v>814985438.68000126</v>
      </c>
    </row>
    <row r="2335" spans="1:21" ht="19.5" thickBot="1" x14ac:dyDescent="0.3">
      <c r="A2335" s="136" t="s">
        <v>3391</v>
      </c>
      <c r="B2335" s="137">
        <v>45773</v>
      </c>
      <c r="C2335" s="138" t="s">
        <v>605</v>
      </c>
      <c r="D2335" s="138" t="str">
        <f>VLOOKUP(Purchase[[#This Row],[Supplier ID]],Supplier[#All],2,0)</f>
        <v>Star Traders</v>
      </c>
      <c r="E2335" s="138">
        <f>VLOOKUP(Purchase[[#This Row],[Supplier ID]],Supplier[#All],3,0)</f>
        <v>9689542488</v>
      </c>
      <c r="F2335" s="138" t="str">
        <f>VLOOKUP(Purchase[[#This Row],[Supplier ID]],Supplier[#All],4,0)</f>
        <v>Indore</v>
      </c>
      <c r="G2335" s="138" t="str">
        <f>VLOOKUP(Purchase[[#This Row],[Supplier ID]],Supplier[#All],5,0)</f>
        <v>MP</v>
      </c>
      <c r="H2335" s="138" t="str">
        <f>VLOOKUP(Purchase[[#This Row],[Supplier ID]],Supplier[#All],6,0)</f>
        <v>GST2154521T050</v>
      </c>
      <c r="I2335" s="138" t="s">
        <v>200</v>
      </c>
      <c r="J2335" s="139">
        <v>9</v>
      </c>
      <c r="K2335" s="143">
        <f>VLOOKUP(Purchase[[#This Row],[Product ID]],Product[#All],6,0)</f>
        <v>4331</v>
      </c>
      <c r="L2335" s="143">
        <f>Purchase[[#This Row],[Purchase Rate]]*Purchase[[#This Row],[Qty]]</f>
        <v>38979</v>
      </c>
      <c r="M2335" s="140">
        <v>0</v>
      </c>
      <c r="N2335" s="143">
        <v>0</v>
      </c>
      <c r="O2335" s="140">
        <v>0.18</v>
      </c>
      <c r="P2335" s="145">
        <f>(Purchase[[#This Row],[Gross Amount]]-Purchase[[#This Row],[Disct %]])*Purchase[[#This Row],[GST %]]</f>
        <v>7016.2199999999993</v>
      </c>
      <c r="Q2335" s="145">
        <f>Purchase[[#This Row],[Gross Amount]]-Purchase[[#This Row],[Disct Amnt]]+Purchase[[#This Row],[GST Amount]]</f>
        <v>45995.22</v>
      </c>
      <c r="R2335" s="138" t="s">
        <v>1019</v>
      </c>
      <c r="S2335" s="41">
        <f>IF(Purchase[[#This Row],[Status]]="Cancelled",0,Purchase[[#This Row],[Qty]])</f>
        <v>9</v>
      </c>
      <c r="T2335" s="146">
        <f>IF(Purchase[[#This Row],[Status]]="Cancelled",0,Purchase[[#This Row],[Total Amount]])</f>
        <v>45995.22</v>
      </c>
      <c r="U2335" s="146">
        <f>SUM(Purchase[Net Amount])</f>
        <v>814985438.68000126</v>
      </c>
    </row>
    <row r="2336" spans="1:21" ht="19.5" thickBot="1" x14ac:dyDescent="0.3">
      <c r="A2336" s="136" t="s">
        <v>3392</v>
      </c>
      <c r="B2336" s="137">
        <v>45773</v>
      </c>
      <c r="C2336" s="138" t="s">
        <v>595</v>
      </c>
      <c r="D2336" s="138" t="str">
        <f>VLOOKUP(Purchase[[#This Row],[Supplier ID]],Supplier[#All],2,0)</f>
        <v>Star Computers</v>
      </c>
      <c r="E2336" s="138">
        <f>VLOOKUP(Purchase[[#This Row],[Supplier ID]],Supplier[#All],3,0)</f>
        <v>9689542478</v>
      </c>
      <c r="F2336" s="138" t="str">
        <f>VLOOKUP(Purchase[[#This Row],[Supplier ID]],Supplier[#All],4,0)</f>
        <v>Kanpur</v>
      </c>
      <c r="G2336" s="138" t="str">
        <f>VLOOKUP(Purchase[[#This Row],[Supplier ID]],Supplier[#All],5,0)</f>
        <v>UP</v>
      </c>
      <c r="H2336" s="138" t="str">
        <f>VLOOKUP(Purchase[[#This Row],[Supplier ID]],Supplier[#All],6,0)</f>
        <v>GST2154521T040</v>
      </c>
      <c r="I2336" s="138" t="s">
        <v>131</v>
      </c>
      <c r="J2336" s="139">
        <v>35</v>
      </c>
      <c r="K2336" s="143">
        <f>VLOOKUP(Purchase[[#This Row],[Product ID]],Product[#All],6,0)</f>
        <v>2019</v>
      </c>
      <c r="L2336" s="143">
        <f>Purchase[[#This Row],[Purchase Rate]]*Purchase[[#This Row],[Qty]]</f>
        <v>70665</v>
      </c>
      <c r="M2336" s="140">
        <v>0</v>
      </c>
      <c r="N2336" s="143">
        <v>0</v>
      </c>
      <c r="O2336" s="140">
        <v>0.18</v>
      </c>
      <c r="P2336" s="145">
        <f>(Purchase[[#This Row],[Gross Amount]]-Purchase[[#This Row],[Disct %]])*Purchase[[#This Row],[GST %]]</f>
        <v>12719.699999999999</v>
      </c>
      <c r="Q2336" s="145">
        <f>Purchase[[#This Row],[Gross Amount]]-Purchase[[#This Row],[Disct Amnt]]+Purchase[[#This Row],[GST Amount]]</f>
        <v>83384.7</v>
      </c>
      <c r="R2336" s="138" t="s">
        <v>1019</v>
      </c>
      <c r="S2336" s="41">
        <f>IF(Purchase[[#This Row],[Status]]="Cancelled",0,Purchase[[#This Row],[Qty]])</f>
        <v>35</v>
      </c>
      <c r="T2336" s="146">
        <f>IF(Purchase[[#This Row],[Status]]="Cancelled",0,Purchase[[#This Row],[Total Amount]])</f>
        <v>83384.7</v>
      </c>
      <c r="U2336" s="146">
        <f>SUM(Purchase[Net Amount])</f>
        <v>814985438.68000126</v>
      </c>
    </row>
    <row r="2337" spans="1:21" ht="19.5" thickBot="1" x14ac:dyDescent="0.3">
      <c r="A2337" s="136" t="s">
        <v>3393</v>
      </c>
      <c r="B2337" s="137">
        <v>45773</v>
      </c>
      <c r="C2337" s="138" t="s">
        <v>601</v>
      </c>
      <c r="D2337" s="138" t="str">
        <f>VLOOKUP(Purchase[[#This Row],[Supplier ID]],Supplier[#All],2,0)</f>
        <v>Maa Distributors</v>
      </c>
      <c r="E2337" s="138">
        <f>VLOOKUP(Purchase[[#This Row],[Supplier ID]],Supplier[#All],3,0)</f>
        <v>9689542484</v>
      </c>
      <c r="F2337" s="138" t="str">
        <f>VLOOKUP(Purchase[[#This Row],[Supplier ID]],Supplier[#All],4,0)</f>
        <v>Indore</v>
      </c>
      <c r="G2337" s="138" t="str">
        <f>VLOOKUP(Purchase[[#This Row],[Supplier ID]],Supplier[#All],5,0)</f>
        <v>MP</v>
      </c>
      <c r="H2337" s="138" t="str">
        <f>VLOOKUP(Purchase[[#This Row],[Supplier ID]],Supplier[#All],6,0)</f>
        <v>GST2154521T046</v>
      </c>
      <c r="I2337" s="138" t="s">
        <v>365</v>
      </c>
      <c r="J2337" s="139">
        <v>22</v>
      </c>
      <c r="K2337" s="143">
        <f>VLOOKUP(Purchase[[#This Row],[Product ID]],Product[#All],6,0)</f>
        <v>1653</v>
      </c>
      <c r="L2337" s="143">
        <f>Purchase[[#This Row],[Purchase Rate]]*Purchase[[#This Row],[Qty]]</f>
        <v>36366</v>
      </c>
      <c r="M2337" s="140">
        <v>0</v>
      </c>
      <c r="N2337" s="143">
        <v>0</v>
      </c>
      <c r="O2337" s="140">
        <v>0.18</v>
      </c>
      <c r="P2337" s="145">
        <f>(Purchase[[#This Row],[Gross Amount]]-Purchase[[#This Row],[Disct %]])*Purchase[[#This Row],[GST %]]</f>
        <v>6545.88</v>
      </c>
      <c r="Q2337" s="145">
        <f>Purchase[[#This Row],[Gross Amount]]-Purchase[[#This Row],[Disct Amnt]]+Purchase[[#This Row],[GST Amount]]</f>
        <v>42911.88</v>
      </c>
      <c r="R2337" s="138" t="s">
        <v>1019</v>
      </c>
      <c r="S2337" s="41">
        <f>IF(Purchase[[#This Row],[Status]]="Cancelled",0,Purchase[[#This Row],[Qty]])</f>
        <v>22</v>
      </c>
      <c r="T2337" s="146">
        <f>IF(Purchase[[#This Row],[Status]]="Cancelled",0,Purchase[[#This Row],[Total Amount]])</f>
        <v>42911.88</v>
      </c>
      <c r="U2337" s="146">
        <f>SUM(Purchase[Net Amount])</f>
        <v>814985438.68000126</v>
      </c>
    </row>
    <row r="2338" spans="1:21" ht="19.5" thickBot="1" x14ac:dyDescent="0.3">
      <c r="A2338" s="136" t="s">
        <v>3394</v>
      </c>
      <c r="B2338" s="137">
        <v>45773</v>
      </c>
      <c r="C2338" s="138" t="s">
        <v>595</v>
      </c>
      <c r="D2338" s="138" t="str">
        <f>VLOOKUP(Purchase[[#This Row],[Supplier ID]],Supplier[#All],2,0)</f>
        <v>Star Computers</v>
      </c>
      <c r="E2338" s="138">
        <f>VLOOKUP(Purchase[[#This Row],[Supplier ID]],Supplier[#All],3,0)</f>
        <v>9689542478</v>
      </c>
      <c r="F2338" s="138" t="str">
        <f>VLOOKUP(Purchase[[#This Row],[Supplier ID]],Supplier[#All],4,0)</f>
        <v>Kanpur</v>
      </c>
      <c r="G2338" s="138" t="str">
        <f>VLOOKUP(Purchase[[#This Row],[Supplier ID]],Supplier[#All],5,0)</f>
        <v>UP</v>
      </c>
      <c r="H2338" s="138" t="str">
        <f>VLOOKUP(Purchase[[#This Row],[Supplier ID]],Supplier[#All],6,0)</f>
        <v>GST2154521T040</v>
      </c>
      <c r="I2338" s="138" t="s">
        <v>127</v>
      </c>
      <c r="J2338" s="139">
        <v>13</v>
      </c>
      <c r="K2338" s="143">
        <f>VLOOKUP(Purchase[[#This Row],[Product ID]],Product[#All],6,0)</f>
        <v>3474</v>
      </c>
      <c r="L2338" s="143">
        <f>Purchase[[#This Row],[Purchase Rate]]*Purchase[[#This Row],[Qty]]</f>
        <v>45162</v>
      </c>
      <c r="M2338" s="140">
        <v>0</v>
      </c>
      <c r="N2338" s="143">
        <v>0</v>
      </c>
      <c r="O2338" s="140">
        <v>0.18</v>
      </c>
      <c r="P2338" s="145">
        <f>(Purchase[[#This Row],[Gross Amount]]-Purchase[[#This Row],[Disct %]])*Purchase[[#This Row],[GST %]]</f>
        <v>8129.16</v>
      </c>
      <c r="Q2338" s="145">
        <f>Purchase[[#This Row],[Gross Amount]]-Purchase[[#This Row],[Disct Amnt]]+Purchase[[#This Row],[GST Amount]]</f>
        <v>53291.16</v>
      </c>
      <c r="R2338" s="138" t="s">
        <v>1019</v>
      </c>
      <c r="S2338" s="41">
        <f>IF(Purchase[[#This Row],[Status]]="Cancelled",0,Purchase[[#This Row],[Qty]])</f>
        <v>13</v>
      </c>
      <c r="T2338" s="146">
        <f>IF(Purchase[[#This Row],[Status]]="Cancelled",0,Purchase[[#This Row],[Total Amount]])</f>
        <v>53291.16</v>
      </c>
      <c r="U2338" s="146">
        <f>SUM(Purchase[Net Amount])</f>
        <v>814985438.68000126</v>
      </c>
    </row>
    <row r="2339" spans="1:21" ht="19.5" thickBot="1" x14ac:dyDescent="0.3">
      <c r="A2339" s="136" t="s">
        <v>3395</v>
      </c>
      <c r="B2339" s="137">
        <v>45773</v>
      </c>
      <c r="C2339" s="138" t="s">
        <v>613</v>
      </c>
      <c r="D2339" s="138" t="str">
        <f>VLOOKUP(Purchase[[#This Row],[Supplier ID]],Supplier[#All],2,0)</f>
        <v>National Traders</v>
      </c>
      <c r="E2339" s="138">
        <f>VLOOKUP(Purchase[[#This Row],[Supplier ID]],Supplier[#All],3,0)</f>
        <v>9689542496</v>
      </c>
      <c r="F2339" s="138" t="str">
        <f>VLOOKUP(Purchase[[#This Row],[Supplier ID]],Supplier[#All],4,0)</f>
        <v>Indore</v>
      </c>
      <c r="G2339" s="138" t="str">
        <f>VLOOKUP(Purchase[[#This Row],[Supplier ID]],Supplier[#All],5,0)</f>
        <v>MP</v>
      </c>
      <c r="H2339" s="138" t="str">
        <f>VLOOKUP(Purchase[[#This Row],[Supplier ID]],Supplier[#All],6,0)</f>
        <v>GST2154521T058</v>
      </c>
      <c r="I2339" s="138" t="s">
        <v>394</v>
      </c>
      <c r="J2339" s="139">
        <v>35</v>
      </c>
      <c r="K2339" s="143">
        <f>VLOOKUP(Purchase[[#This Row],[Product ID]],Product[#All],6,0)</f>
        <v>1446</v>
      </c>
      <c r="L2339" s="143">
        <f>Purchase[[#This Row],[Purchase Rate]]*Purchase[[#This Row],[Qty]]</f>
        <v>50610</v>
      </c>
      <c r="M2339" s="140">
        <v>0</v>
      </c>
      <c r="N2339" s="143">
        <v>0</v>
      </c>
      <c r="O2339" s="140">
        <v>0.18</v>
      </c>
      <c r="P2339" s="145">
        <f>(Purchase[[#This Row],[Gross Amount]]-Purchase[[#This Row],[Disct %]])*Purchase[[#This Row],[GST %]]</f>
        <v>9109.7999999999993</v>
      </c>
      <c r="Q2339" s="145">
        <f>Purchase[[#This Row],[Gross Amount]]-Purchase[[#This Row],[Disct Amnt]]+Purchase[[#This Row],[GST Amount]]</f>
        <v>59719.8</v>
      </c>
      <c r="R2339" s="138" t="s">
        <v>1019</v>
      </c>
      <c r="S2339" s="41">
        <f>IF(Purchase[[#This Row],[Status]]="Cancelled",0,Purchase[[#This Row],[Qty]])</f>
        <v>35</v>
      </c>
      <c r="T2339" s="146">
        <f>IF(Purchase[[#This Row],[Status]]="Cancelled",0,Purchase[[#This Row],[Total Amount]])</f>
        <v>59719.8</v>
      </c>
      <c r="U2339" s="146">
        <f>SUM(Purchase[Net Amount])</f>
        <v>814985438.68000126</v>
      </c>
    </row>
    <row r="2340" spans="1:21" ht="19.5" thickBot="1" x14ac:dyDescent="0.3">
      <c r="A2340" s="136" t="s">
        <v>3396</v>
      </c>
      <c r="B2340" s="137">
        <v>45773</v>
      </c>
      <c r="C2340" s="138" t="s">
        <v>577</v>
      </c>
      <c r="D2340" s="138" t="str">
        <f>VLOOKUP(Purchase[[#This Row],[Supplier ID]],Supplier[#All],2,0)</f>
        <v>National Electronics</v>
      </c>
      <c r="E2340" s="138">
        <f>VLOOKUP(Purchase[[#This Row],[Supplier ID]],Supplier[#All],3,0)</f>
        <v>9689542469</v>
      </c>
      <c r="F2340" s="138" t="str">
        <f>VLOOKUP(Purchase[[#This Row],[Supplier ID]],Supplier[#All],4,0)</f>
        <v>Korba</v>
      </c>
      <c r="G2340" s="138" t="str">
        <f>VLOOKUP(Purchase[[#This Row],[Supplier ID]],Supplier[#All],5,0)</f>
        <v>CG</v>
      </c>
      <c r="H2340" s="138" t="str">
        <f>VLOOKUP(Purchase[[#This Row],[Supplier ID]],Supplier[#All],6,0)</f>
        <v>GST2154521T023</v>
      </c>
      <c r="I2340" s="138" t="s">
        <v>413</v>
      </c>
      <c r="J2340" s="139">
        <v>27</v>
      </c>
      <c r="K2340" s="143">
        <f>VLOOKUP(Purchase[[#This Row],[Product ID]],Product[#All],6,0)</f>
        <v>8700</v>
      </c>
      <c r="L2340" s="143">
        <f>Purchase[[#This Row],[Purchase Rate]]*Purchase[[#This Row],[Qty]]</f>
        <v>234900</v>
      </c>
      <c r="M2340" s="140">
        <v>0</v>
      </c>
      <c r="N2340" s="143">
        <v>0</v>
      </c>
      <c r="O2340" s="140">
        <v>0.18</v>
      </c>
      <c r="P2340" s="145">
        <f>(Purchase[[#This Row],[Gross Amount]]-Purchase[[#This Row],[Disct %]])*Purchase[[#This Row],[GST %]]</f>
        <v>42282</v>
      </c>
      <c r="Q2340" s="145">
        <f>Purchase[[#This Row],[Gross Amount]]-Purchase[[#This Row],[Disct Amnt]]+Purchase[[#This Row],[GST Amount]]</f>
        <v>277182</v>
      </c>
      <c r="R2340" s="138" t="s">
        <v>1019</v>
      </c>
      <c r="S2340" s="41">
        <f>IF(Purchase[[#This Row],[Status]]="Cancelled",0,Purchase[[#This Row],[Qty]])</f>
        <v>27</v>
      </c>
      <c r="T2340" s="146">
        <f>IF(Purchase[[#This Row],[Status]]="Cancelled",0,Purchase[[#This Row],[Total Amount]])</f>
        <v>277182</v>
      </c>
      <c r="U2340" s="146">
        <f>SUM(Purchase[Net Amount])</f>
        <v>814985438.68000126</v>
      </c>
    </row>
    <row r="2341" spans="1:21" ht="19.5" thickBot="1" x14ac:dyDescent="0.3">
      <c r="A2341" s="136" t="s">
        <v>3397</v>
      </c>
      <c r="B2341" s="137">
        <v>45773</v>
      </c>
      <c r="C2341" s="138" t="s">
        <v>588</v>
      </c>
      <c r="D2341" s="138" t="str">
        <f>VLOOKUP(Purchase[[#This Row],[Supplier ID]],Supplier[#All],2,0)</f>
        <v>Star Electronics</v>
      </c>
      <c r="E2341" s="138">
        <f>VLOOKUP(Purchase[[#This Row],[Supplier ID]],Supplier[#All],3,0)</f>
        <v>9689542472</v>
      </c>
      <c r="F2341" s="138" t="str">
        <f>VLOOKUP(Purchase[[#This Row],[Supplier ID]],Supplier[#All],4,0)</f>
        <v>Korba</v>
      </c>
      <c r="G2341" s="138" t="str">
        <f>VLOOKUP(Purchase[[#This Row],[Supplier ID]],Supplier[#All],5,0)</f>
        <v>CG</v>
      </c>
      <c r="H2341" s="138" t="str">
        <f>VLOOKUP(Purchase[[#This Row],[Supplier ID]],Supplier[#All],6,0)</f>
        <v>GST2154521T034</v>
      </c>
      <c r="I2341" s="138" t="s">
        <v>51</v>
      </c>
      <c r="J2341" s="139">
        <v>14</v>
      </c>
      <c r="K2341" s="143">
        <f>VLOOKUP(Purchase[[#This Row],[Product ID]],Product[#All],6,0)</f>
        <v>3994</v>
      </c>
      <c r="L2341" s="143">
        <f>Purchase[[#This Row],[Purchase Rate]]*Purchase[[#This Row],[Qty]]</f>
        <v>55916</v>
      </c>
      <c r="M2341" s="140">
        <v>0</v>
      </c>
      <c r="N2341" s="143">
        <v>0</v>
      </c>
      <c r="O2341" s="140">
        <v>0.18</v>
      </c>
      <c r="P2341" s="145">
        <f>(Purchase[[#This Row],[Gross Amount]]-Purchase[[#This Row],[Disct %]])*Purchase[[#This Row],[GST %]]</f>
        <v>10064.879999999999</v>
      </c>
      <c r="Q2341" s="145">
        <f>Purchase[[#This Row],[Gross Amount]]-Purchase[[#This Row],[Disct Amnt]]+Purchase[[#This Row],[GST Amount]]</f>
        <v>65980.88</v>
      </c>
      <c r="R2341" s="138" t="s">
        <v>1019</v>
      </c>
      <c r="S2341" s="41">
        <f>IF(Purchase[[#This Row],[Status]]="Cancelled",0,Purchase[[#This Row],[Qty]])</f>
        <v>14</v>
      </c>
      <c r="T2341" s="146">
        <f>IF(Purchase[[#This Row],[Status]]="Cancelled",0,Purchase[[#This Row],[Total Amount]])</f>
        <v>65980.88</v>
      </c>
      <c r="U2341" s="146">
        <f>SUM(Purchase[Net Amount])</f>
        <v>814985438.68000126</v>
      </c>
    </row>
    <row r="2342" spans="1:21" ht="19.5" thickBot="1" x14ac:dyDescent="0.3">
      <c r="A2342" s="136" t="s">
        <v>3398</v>
      </c>
      <c r="B2342" s="137">
        <v>45773</v>
      </c>
      <c r="C2342" s="138" t="s">
        <v>564</v>
      </c>
      <c r="D2342" s="138" t="str">
        <f>VLOOKUP(Purchase[[#This Row],[Supplier ID]],Supplier[#All],2,0)</f>
        <v xml:space="preserve">Star Electronics </v>
      </c>
      <c r="E2342" s="138">
        <f>VLOOKUP(Purchase[[#This Row],[Supplier ID]],Supplier[#All],3,0)</f>
        <v>9689542450</v>
      </c>
      <c r="F2342" s="138" t="str">
        <f>VLOOKUP(Purchase[[#This Row],[Supplier ID]],Supplier[#All],4,0)</f>
        <v>Korba</v>
      </c>
      <c r="G2342" s="138" t="str">
        <f>VLOOKUP(Purchase[[#This Row],[Supplier ID]],Supplier[#All],5,0)</f>
        <v>CG</v>
      </c>
      <c r="H2342" s="138" t="str">
        <f>VLOOKUP(Purchase[[#This Row],[Supplier ID]],Supplier[#All],6,0)</f>
        <v>GST2154521T012</v>
      </c>
      <c r="I2342" s="138" t="s">
        <v>61</v>
      </c>
      <c r="J2342" s="139">
        <v>25</v>
      </c>
      <c r="K2342" s="143">
        <f>VLOOKUP(Purchase[[#This Row],[Product ID]],Product[#All],6,0)</f>
        <v>2704</v>
      </c>
      <c r="L2342" s="143">
        <f>Purchase[[#This Row],[Purchase Rate]]*Purchase[[#This Row],[Qty]]</f>
        <v>67600</v>
      </c>
      <c r="M2342" s="140">
        <v>0</v>
      </c>
      <c r="N2342" s="143">
        <v>0</v>
      </c>
      <c r="O2342" s="140">
        <v>0.18</v>
      </c>
      <c r="P2342" s="145">
        <f>(Purchase[[#This Row],[Gross Amount]]-Purchase[[#This Row],[Disct %]])*Purchase[[#This Row],[GST %]]</f>
        <v>12168</v>
      </c>
      <c r="Q2342" s="145">
        <f>Purchase[[#This Row],[Gross Amount]]-Purchase[[#This Row],[Disct Amnt]]+Purchase[[#This Row],[GST Amount]]</f>
        <v>79768</v>
      </c>
      <c r="R2342" s="138" t="s">
        <v>1019</v>
      </c>
      <c r="S2342" s="41">
        <f>IF(Purchase[[#This Row],[Status]]="Cancelled",0,Purchase[[#This Row],[Qty]])</f>
        <v>25</v>
      </c>
      <c r="T2342" s="146">
        <f>IF(Purchase[[#This Row],[Status]]="Cancelled",0,Purchase[[#This Row],[Total Amount]])</f>
        <v>79768</v>
      </c>
      <c r="U2342" s="146">
        <f>SUM(Purchase[Net Amount])</f>
        <v>814985438.68000126</v>
      </c>
    </row>
    <row r="2343" spans="1:21" ht="19.5" thickBot="1" x14ac:dyDescent="0.3">
      <c r="A2343" s="136" t="s">
        <v>3399</v>
      </c>
      <c r="B2343" s="137">
        <v>45773</v>
      </c>
      <c r="C2343" s="138" t="s">
        <v>606</v>
      </c>
      <c r="D2343" s="138" t="str">
        <f>VLOOKUP(Purchase[[#This Row],[Supplier ID]],Supplier[#All],2,0)</f>
        <v>Prime Traders</v>
      </c>
      <c r="E2343" s="138">
        <f>VLOOKUP(Purchase[[#This Row],[Supplier ID]],Supplier[#All],3,0)</f>
        <v>9689542489</v>
      </c>
      <c r="F2343" s="138" t="str">
        <f>VLOOKUP(Purchase[[#This Row],[Supplier ID]],Supplier[#All],4,0)</f>
        <v>Indore</v>
      </c>
      <c r="G2343" s="138" t="str">
        <f>VLOOKUP(Purchase[[#This Row],[Supplier ID]],Supplier[#All],5,0)</f>
        <v>MP</v>
      </c>
      <c r="H2343" s="138" t="str">
        <f>VLOOKUP(Purchase[[#This Row],[Supplier ID]],Supplier[#All],6,0)</f>
        <v>GST2154521T051</v>
      </c>
      <c r="I2343" s="138" t="s">
        <v>31</v>
      </c>
      <c r="J2343" s="139">
        <v>3</v>
      </c>
      <c r="K2343" s="143">
        <f>VLOOKUP(Purchase[[#This Row],[Product ID]],Product[#All],6,0)</f>
        <v>2320</v>
      </c>
      <c r="L2343" s="143">
        <f>Purchase[[#This Row],[Purchase Rate]]*Purchase[[#This Row],[Qty]]</f>
        <v>6960</v>
      </c>
      <c r="M2343" s="140">
        <v>0</v>
      </c>
      <c r="N2343" s="143">
        <v>0</v>
      </c>
      <c r="O2343" s="140">
        <v>0.18</v>
      </c>
      <c r="P2343" s="145">
        <f>(Purchase[[#This Row],[Gross Amount]]-Purchase[[#This Row],[Disct %]])*Purchase[[#This Row],[GST %]]</f>
        <v>1252.8</v>
      </c>
      <c r="Q2343" s="145">
        <f>Purchase[[#This Row],[Gross Amount]]-Purchase[[#This Row],[Disct Amnt]]+Purchase[[#This Row],[GST Amount]]</f>
        <v>8212.7999999999993</v>
      </c>
      <c r="R2343" s="138" t="s">
        <v>1019</v>
      </c>
      <c r="S2343" s="41">
        <f>IF(Purchase[[#This Row],[Status]]="Cancelled",0,Purchase[[#This Row],[Qty]])</f>
        <v>3</v>
      </c>
      <c r="T2343" s="146">
        <f>IF(Purchase[[#This Row],[Status]]="Cancelled",0,Purchase[[#This Row],[Total Amount]])</f>
        <v>8212.7999999999993</v>
      </c>
      <c r="U2343" s="146">
        <f>SUM(Purchase[Net Amount])</f>
        <v>814985438.68000126</v>
      </c>
    </row>
    <row r="2344" spans="1:21" ht="19.5" thickBot="1" x14ac:dyDescent="0.3">
      <c r="A2344" s="136" t="s">
        <v>3400</v>
      </c>
      <c r="B2344" s="137">
        <v>45773</v>
      </c>
      <c r="C2344" s="138" t="s">
        <v>607</v>
      </c>
      <c r="D2344" s="138" t="str">
        <f>VLOOKUP(Purchase[[#This Row],[Supplier ID]],Supplier[#All],2,0)</f>
        <v>Global Distributors</v>
      </c>
      <c r="E2344" s="138">
        <f>VLOOKUP(Purchase[[#This Row],[Supplier ID]],Supplier[#All],3,0)</f>
        <v>9689542490</v>
      </c>
      <c r="F2344" s="138" t="str">
        <f>VLOOKUP(Purchase[[#This Row],[Supplier ID]],Supplier[#All],4,0)</f>
        <v>Kanpur</v>
      </c>
      <c r="G2344" s="138" t="str">
        <f>VLOOKUP(Purchase[[#This Row],[Supplier ID]],Supplier[#All],5,0)</f>
        <v>UP</v>
      </c>
      <c r="H2344" s="138" t="str">
        <f>VLOOKUP(Purchase[[#This Row],[Supplier ID]],Supplier[#All],6,0)</f>
        <v>GST2154521T052</v>
      </c>
      <c r="I2344" s="138" t="s">
        <v>248</v>
      </c>
      <c r="J2344" s="139">
        <v>12</v>
      </c>
      <c r="K2344" s="143">
        <f>VLOOKUP(Purchase[[#This Row],[Product ID]],Product[#All],6,0)</f>
        <v>824</v>
      </c>
      <c r="L2344" s="143">
        <f>Purchase[[#This Row],[Purchase Rate]]*Purchase[[#This Row],[Qty]]</f>
        <v>9888</v>
      </c>
      <c r="M2344" s="140">
        <v>0</v>
      </c>
      <c r="N2344" s="143">
        <v>0</v>
      </c>
      <c r="O2344" s="140">
        <v>0.18</v>
      </c>
      <c r="P2344" s="145">
        <f>(Purchase[[#This Row],[Gross Amount]]-Purchase[[#This Row],[Disct %]])*Purchase[[#This Row],[GST %]]</f>
        <v>1779.84</v>
      </c>
      <c r="Q2344" s="145">
        <f>Purchase[[#This Row],[Gross Amount]]-Purchase[[#This Row],[Disct Amnt]]+Purchase[[#This Row],[GST Amount]]</f>
        <v>11667.84</v>
      </c>
      <c r="R2344" s="138" t="s">
        <v>1019</v>
      </c>
      <c r="S2344" s="41">
        <f>IF(Purchase[[#This Row],[Status]]="Cancelled",0,Purchase[[#This Row],[Qty]])</f>
        <v>12</v>
      </c>
      <c r="T2344" s="146">
        <f>IF(Purchase[[#This Row],[Status]]="Cancelled",0,Purchase[[#This Row],[Total Amount]])</f>
        <v>11667.84</v>
      </c>
      <c r="U2344" s="146">
        <f>SUM(Purchase[Net Amount])</f>
        <v>814985438.68000126</v>
      </c>
    </row>
    <row r="2345" spans="1:21" ht="19.5" thickBot="1" x14ac:dyDescent="0.3">
      <c r="A2345" s="136" t="s">
        <v>3401</v>
      </c>
      <c r="B2345" s="137">
        <v>45773</v>
      </c>
      <c r="C2345" s="138" t="s">
        <v>601</v>
      </c>
      <c r="D2345" s="138" t="str">
        <f>VLOOKUP(Purchase[[#This Row],[Supplier ID]],Supplier[#All],2,0)</f>
        <v>Maa Distributors</v>
      </c>
      <c r="E2345" s="138">
        <f>VLOOKUP(Purchase[[#This Row],[Supplier ID]],Supplier[#All],3,0)</f>
        <v>9689542484</v>
      </c>
      <c r="F2345" s="138" t="str">
        <f>VLOOKUP(Purchase[[#This Row],[Supplier ID]],Supplier[#All],4,0)</f>
        <v>Indore</v>
      </c>
      <c r="G2345" s="138" t="str">
        <f>VLOOKUP(Purchase[[#This Row],[Supplier ID]],Supplier[#All],5,0)</f>
        <v>MP</v>
      </c>
      <c r="H2345" s="138" t="str">
        <f>VLOOKUP(Purchase[[#This Row],[Supplier ID]],Supplier[#All],6,0)</f>
        <v>GST2154521T046</v>
      </c>
      <c r="I2345" s="138" t="s">
        <v>87</v>
      </c>
      <c r="J2345" s="139">
        <v>28</v>
      </c>
      <c r="K2345" s="143">
        <f>VLOOKUP(Purchase[[#This Row],[Product ID]],Product[#All],6,0)</f>
        <v>822</v>
      </c>
      <c r="L2345" s="143">
        <f>Purchase[[#This Row],[Purchase Rate]]*Purchase[[#This Row],[Qty]]</f>
        <v>23016</v>
      </c>
      <c r="M2345" s="140">
        <v>0</v>
      </c>
      <c r="N2345" s="143">
        <v>0</v>
      </c>
      <c r="O2345" s="140">
        <v>0.18</v>
      </c>
      <c r="P2345" s="145">
        <f>(Purchase[[#This Row],[Gross Amount]]-Purchase[[#This Row],[Disct %]])*Purchase[[#This Row],[GST %]]</f>
        <v>4142.88</v>
      </c>
      <c r="Q2345" s="145">
        <f>Purchase[[#This Row],[Gross Amount]]-Purchase[[#This Row],[Disct Amnt]]+Purchase[[#This Row],[GST Amount]]</f>
        <v>27158.880000000001</v>
      </c>
      <c r="R2345" s="138" t="s">
        <v>1019</v>
      </c>
      <c r="S2345" s="41">
        <f>IF(Purchase[[#This Row],[Status]]="Cancelled",0,Purchase[[#This Row],[Qty]])</f>
        <v>28</v>
      </c>
      <c r="T2345" s="146">
        <f>IF(Purchase[[#This Row],[Status]]="Cancelled",0,Purchase[[#This Row],[Total Amount]])</f>
        <v>27158.880000000001</v>
      </c>
      <c r="U2345" s="146">
        <f>SUM(Purchase[Net Amount])</f>
        <v>814985438.68000126</v>
      </c>
    </row>
    <row r="2346" spans="1:21" ht="19.5" thickBot="1" x14ac:dyDescent="0.3">
      <c r="A2346" s="136" t="s">
        <v>3402</v>
      </c>
      <c r="B2346" s="137">
        <v>45773</v>
      </c>
      <c r="C2346" s="138" t="s">
        <v>586</v>
      </c>
      <c r="D2346" s="138" t="str">
        <f>VLOOKUP(Purchase[[#This Row],[Supplier ID]],Supplier[#All],2,0)</f>
        <v>Maa Traders</v>
      </c>
      <c r="E2346" s="138">
        <f>VLOOKUP(Purchase[[#This Row],[Supplier ID]],Supplier[#All],3,0)</f>
        <v>9689542470</v>
      </c>
      <c r="F2346" s="138" t="str">
        <f>VLOOKUP(Purchase[[#This Row],[Supplier ID]],Supplier[#All],4,0)</f>
        <v>Kanpur</v>
      </c>
      <c r="G2346" s="138" t="str">
        <f>VLOOKUP(Purchase[[#This Row],[Supplier ID]],Supplier[#All],5,0)</f>
        <v>UP</v>
      </c>
      <c r="H2346" s="138" t="str">
        <f>VLOOKUP(Purchase[[#This Row],[Supplier ID]],Supplier[#All],6,0)</f>
        <v>GST2154521T032</v>
      </c>
      <c r="I2346" s="138" t="s">
        <v>473</v>
      </c>
      <c r="J2346" s="139">
        <v>24</v>
      </c>
      <c r="K2346" s="143">
        <f>VLOOKUP(Purchase[[#This Row],[Product ID]],Product[#All],6,0)</f>
        <v>2274</v>
      </c>
      <c r="L2346" s="143">
        <f>Purchase[[#This Row],[Purchase Rate]]*Purchase[[#This Row],[Qty]]</f>
        <v>54576</v>
      </c>
      <c r="M2346" s="140">
        <v>0</v>
      </c>
      <c r="N2346" s="143">
        <v>0</v>
      </c>
      <c r="O2346" s="140">
        <v>0.18</v>
      </c>
      <c r="P2346" s="145">
        <f>(Purchase[[#This Row],[Gross Amount]]-Purchase[[#This Row],[Disct %]])*Purchase[[#This Row],[GST %]]</f>
        <v>9823.68</v>
      </c>
      <c r="Q2346" s="145">
        <f>Purchase[[#This Row],[Gross Amount]]-Purchase[[#This Row],[Disct Amnt]]+Purchase[[#This Row],[GST Amount]]</f>
        <v>64399.68</v>
      </c>
      <c r="R2346" s="138" t="s">
        <v>1019</v>
      </c>
      <c r="S2346" s="41">
        <f>IF(Purchase[[#This Row],[Status]]="Cancelled",0,Purchase[[#This Row],[Qty]])</f>
        <v>24</v>
      </c>
      <c r="T2346" s="146">
        <f>IF(Purchase[[#This Row],[Status]]="Cancelled",0,Purchase[[#This Row],[Total Amount]])</f>
        <v>64399.68</v>
      </c>
      <c r="U2346" s="146">
        <f>SUM(Purchase[Net Amount])</f>
        <v>814985438.68000126</v>
      </c>
    </row>
    <row r="2347" spans="1:21" ht="19.5" thickBot="1" x14ac:dyDescent="0.3">
      <c r="A2347" s="136" t="s">
        <v>3403</v>
      </c>
      <c r="B2347" s="137">
        <v>45774</v>
      </c>
      <c r="C2347" s="138" t="s">
        <v>568</v>
      </c>
      <c r="D2347" s="138" t="str">
        <f>VLOOKUP(Purchase[[#This Row],[Supplier ID]],Supplier[#All],2,0)</f>
        <v>Maa Computers</v>
      </c>
      <c r="E2347" s="138">
        <f>VLOOKUP(Purchase[[#This Row],[Supplier ID]],Supplier[#All],3,0)</f>
        <v>9689542454</v>
      </c>
      <c r="F2347" s="138" t="str">
        <f>VLOOKUP(Purchase[[#This Row],[Supplier ID]],Supplier[#All],4,0)</f>
        <v>Korba</v>
      </c>
      <c r="G2347" s="138" t="str">
        <f>VLOOKUP(Purchase[[#This Row],[Supplier ID]],Supplier[#All],5,0)</f>
        <v>CG</v>
      </c>
      <c r="H2347" s="138" t="str">
        <f>VLOOKUP(Purchase[[#This Row],[Supplier ID]],Supplier[#All],6,0)</f>
        <v>GST2154521T016</v>
      </c>
      <c r="I2347" s="138" t="s">
        <v>105</v>
      </c>
      <c r="J2347" s="139">
        <v>36</v>
      </c>
      <c r="K2347" s="143">
        <f>VLOOKUP(Purchase[[#This Row],[Product ID]],Product[#All],6,0)</f>
        <v>2728</v>
      </c>
      <c r="L2347" s="143">
        <f>Purchase[[#This Row],[Purchase Rate]]*Purchase[[#This Row],[Qty]]</f>
        <v>98208</v>
      </c>
      <c r="M2347" s="140">
        <v>0</v>
      </c>
      <c r="N2347" s="143">
        <v>0</v>
      </c>
      <c r="O2347" s="140">
        <v>0.18</v>
      </c>
      <c r="P2347" s="145">
        <f>(Purchase[[#This Row],[Gross Amount]]-Purchase[[#This Row],[Disct %]])*Purchase[[#This Row],[GST %]]</f>
        <v>17677.439999999999</v>
      </c>
      <c r="Q2347" s="145">
        <f>Purchase[[#This Row],[Gross Amount]]-Purchase[[#This Row],[Disct Amnt]]+Purchase[[#This Row],[GST Amount]]</f>
        <v>115885.44</v>
      </c>
      <c r="R2347" s="138" t="s">
        <v>1019</v>
      </c>
      <c r="S2347" s="41">
        <f>IF(Purchase[[#This Row],[Status]]="Cancelled",0,Purchase[[#This Row],[Qty]])</f>
        <v>36</v>
      </c>
      <c r="T2347" s="146">
        <f>IF(Purchase[[#This Row],[Status]]="Cancelled",0,Purchase[[#This Row],[Total Amount]])</f>
        <v>115885.44</v>
      </c>
      <c r="U2347" s="146">
        <f>SUM(Purchase[Net Amount])</f>
        <v>814985438.68000126</v>
      </c>
    </row>
    <row r="2348" spans="1:21" ht="19.5" thickBot="1" x14ac:dyDescent="0.3">
      <c r="A2348" s="136" t="s">
        <v>3404</v>
      </c>
      <c r="B2348" s="137">
        <v>45774</v>
      </c>
      <c r="C2348" s="138" t="s">
        <v>604</v>
      </c>
      <c r="D2348" s="138" t="str">
        <f>VLOOKUP(Purchase[[#This Row],[Supplier ID]],Supplier[#All],2,0)</f>
        <v>Prime Traders</v>
      </c>
      <c r="E2348" s="138">
        <f>VLOOKUP(Purchase[[#This Row],[Supplier ID]],Supplier[#All],3,0)</f>
        <v>9689542487</v>
      </c>
      <c r="F2348" s="138" t="str">
        <f>VLOOKUP(Purchase[[#This Row],[Supplier ID]],Supplier[#All],4,0)</f>
        <v>Indore</v>
      </c>
      <c r="G2348" s="138" t="str">
        <f>VLOOKUP(Purchase[[#This Row],[Supplier ID]],Supplier[#All],5,0)</f>
        <v>MP</v>
      </c>
      <c r="H2348" s="138" t="str">
        <f>VLOOKUP(Purchase[[#This Row],[Supplier ID]],Supplier[#All],6,0)</f>
        <v>GST2154521T049</v>
      </c>
      <c r="I2348" s="138" t="s">
        <v>35</v>
      </c>
      <c r="J2348" s="139">
        <v>4</v>
      </c>
      <c r="K2348" s="143">
        <f>VLOOKUP(Purchase[[#This Row],[Product ID]],Product[#All],6,0)</f>
        <v>2905</v>
      </c>
      <c r="L2348" s="143">
        <f>Purchase[[#This Row],[Purchase Rate]]*Purchase[[#This Row],[Qty]]</f>
        <v>11620</v>
      </c>
      <c r="M2348" s="140">
        <v>0</v>
      </c>
      <c r="N2348" s="143">
        <v>0</v>
      </c>
      <c r="O2348" s="140">
        <v>0.18</v>
      </c>
      <c r="P2348" s="145">
        <f>(Purchase[[#This Row],[Gross Amount]]-Purchase[[#This Row],[Disct %]])*Purchase[[#This Row],[GST %]]</f>
        <v>2091.6</v>
      </c>
      <c r="Q2348" s="145">
        <f>Purchase[[#This Row],[Gross Amount]]-Purchase[[#This Row],[Disct Amnt]]+Purchase[[#This Row],[GST Amount]]</f>
        <v>13711.6</v>
      </c>
      <c r="R2348" s="138" t="s">
        <v>1019</v>
      </c>
      <c r="S2348" s="41">
        <f>IF(Purchase[[#This Row],[Status]]="Cancelled",0,Purchase[[#This Row],[Qty]])</f>
        <v>4</v>
      </c>
      <c r="T2348" s="146">
        <f>IF(Purchase[[#This Row],[Status]]="Cancelled",0,Purchase[[#This Row],[Total Amount]])</f>
        <v>13711.6</v>
      </c>
      <c r="U2348" s="146">
        <f>SUM(Purchase[Net Amount])</f>
        <v>814985438.68000126</v>
      </c>
    </row>
    <row r="2349" spans="1:21" ht="19.5" thickBot="1" x14ac:dyDescent="0.3">
      <c r="A2349" s="136" t="s">
        <v>3405</v>
      </c>
      <c r="B2349" s="137">
        <v>45774</v>
      </c>
      <c r="C2349" s="138" t="s">
        <v>583</v>
      </c>
      <c r="D2349" s="138" t="str">
        <f>VLOOKUP(Purchase[[#This Row],[Supplier ID]],Supplier[#All],2,0)</f>
        <v>Shree Distributors</v>
      </c>
      <c r="E2349" s="138">
        <f>VLOOKUP(Purchase[[#This Row],[Supplier ID]],Supplier[#All],3,0)</f>
        <v>9689542467</v>
      </c>
      <c r="F2349" s="138" t="str">
        <f>VLOOKUP(Purchase[[#This Row],[Supplier ID]],Supplier[#All],4,0)</f>
        <v>Indore</v>
      </c>
      <c r="G2349" s="138" t="str">
        <f>VLOOKUP(Purchase[[#This Row],[Supplier ID]],Supplier[#All],5,0)</f>
        <v>MP</v>
      </c>
      <c r="H2349" s="138" t="str">
        <f>VLOOKUP(Purchase[[#This Row],[Supplier ID]],Supplier[#All],6,0)</f>
        <v>GST2154521T029</v>
      </c>
      <c r="I2349" s="138" t="s">
        <v>381</v>
      </c>
      <c r="J2349" s="139">
        <v>13</v>
      </c>
      <c r="K2349" s="143">
        <f>VLOOKUP(Purchase[[#This Row],[Product ID]],Product[#All],6,0)</f>
        <v>829</v>
      </c>
      <c r="L2349" s="143">
        <f>Purchase[[#This Row],[Purchase Rate]]*Purchase[[#This Row],[Qty]]</f>
        <v>10777</v>
      </c>
      <c r="M2349" s="140">
        <v>0</v>
      </c>
      <c r="N2349" s="143">
        <v>0</v>
      </c>
      <c r="O2349" s="140">
        <v>0.18</v>
      </c>
      <c r="P2349" s="145">
        <f>(Purchase[[#This Row],[Gross Amount]]-Purchase[[#This Row],[Disct %]])*Purchase[[#This Row],[GST %]]</f>
        <v>1939.86</v>
      </c>
      <c r="Q2349" s="145">
        <f>Purchase[[#This Row],[Gross Amount]]-Purchase[[#This Row],[Disct Amnt]]+Purchase[[#This Row],[GST Amount]]</f>
        <v>12716.86</v>
      </c>
      <c r="R2349" s="138" t="s">
        <v>1019</v>
      </c>
      <c r="S2349" s="41">
        <f>IF(Purchase[[#This Row],[Status]]="Cancelled",0,Purchase[[#This Row],[Qty]])</f>
        <v>13</v>
      </c>
      <c r="T2349" s="146">
        <f>IF(Purchase[[#This Row],[Status]]="Cancelled",0,Purchase[[#This Row],[Total Amount]])</f>
        <v>12716.86</v>
      </c>
      <c r="U2349" s="146">
        <f>SUM(Purchase[Net Amount])</f>
        <v>814985438.68000126</v>
      </c>
    </row>
    <row r="2350" spans="1:21" ht="19.5" thickBot="1" x14ac:dyDescent="0.3">
      <c r="A2350" s="136" t="s">
        <v>3406</v>
      </c>
      <c r="B2350" s="137">
        <v>45774</v>
      </c>
      <c r="C2350" s="138" t="s">
        <v>579</v>
      </c>
      <c r="D2350" s="138" t="str">
        <f>VLOOKUP(Purchase[[#This Row],[Supplier ID]],Supplier[#All],2,0)</f>
        <v>Tech Traders</v>
      </c>
      <c r="E2350" s="138">
        <f>VLOOKUP(Purchase[[#This Row],[Supplier ID]],Supplier[#All],3,0)</f>
        <v>9689542463</v>
      </c>
      <c r="F2350" s="138" t="str">
        <f>VLOOKUP(Purchase[[#This Row],[Supplier ID]],Supplier[#All],4,0)</f>
        <v>Kanpur</v>
      </c>
      <c r="G2350" s="138" t="str">
        <f>VLOOKUP(Purchase[[#This Row],[Supplier ID]],Supplier[#All],5,0)</f>
        <v>UP</v>
      </c>
      <c r="H2350" s="138" t="str">
        <f>VLOOKUP(Purchase[[#This Row],[Supplier ID]],Supplier[#All],6,0)</f>
        <v>GST2154521T025</v>
      </c>
      <c r="I2350" s="138" t="s">
        <v>114</v>
      </c>
      <c r="J2350" s="139">
        <v>40</v>
      </c>
      <c r="K2350" s="143">
        <f>VLOOKUP(Purchase[[#This Row],[Product ID]],Product[#All],6,0)</f>
        <v>13292</v>
      </c>
      <c r="L2350" s="143">
        <f>Purchase[[#This Row],[Purchase Rate]]*Purchase[[#This Row],[Qty]]</f>
        <v>531680</v>
      </c>
      <c r="M2350" s="140">
        <v>0</v>
      </c>
      <c r="N2350" s="143">
        <v>0</v>
      </c>
      <c r="O2350" s="140">
        <v>0.18</v>
      </c>
      <c r="P2350" s="145">
        <f>(Purchase[[#This Row],[Gross Amount]]-Purchase[[#This Row],[Disct %]])*Purchase[[#This Row],[GST %]]</f>
        <v>95702.399999999994</v>
      </c>
      <c r="Q2350" s="145">
        <f>Purchase[[#This Row],[Gross Amount]]-Purchase[[#This Row],[Disct Amnt]]+Purchase[[#This Row],[GST Amount]]</f>
        <v>627382.4</v>
      </c>
      <c r="R2350" s="138" t="s">
        <v>1019</v>
      </c>
      <c r="S2350" s="41">
        <f>IF(Purchase[[#This Row],[Status]]="Cancelled",0,Purchase[[#This Row],[Qty]])</f>
        <v>40</v>
      </c>
      <c r="T2350" s="146">
        <f>IF(Purchase[[#This Row],[Status]]="Cancelled",0,Purchase[[#This Row],[Total Amount]])</f>
        <v>627382.4</v>
      </c>
      <c r="U2350" s="146">
        <f>SUM(Purchase[Net Amount])</f>
        <v>814985438.68000126</v>
      </c>
    </row>
    <row r="2351" spans="1:21" ht="19.5" thickBot="1" x14ac:dyDescent="0.3">
      <c r="A2351" s="136" t="s">
        <v>3407</v>
      </c>
      <c r="B2351" s="137">
        <v>45774</v>
      </c>
      <c r="C2351" s="138" t="s">
        <v>585</v>
      </c>
      <c r="D2351" s="138" t="str">
        <f>VLOOKUP(Purchase[[#This Row],[Supplier ID]],Supplier[#All],2,0)</f>
        <v>Tech Computers</v>
      </c>
      <c r="E2351" s="138">
        <f>VLOOKUP(Purchase[[#This Row],[Supplier ID]],Supplier[#All],3,0)</f>
        <v>9689542469</v>
      </c>
      <c r="F2351" s="138" t="str">
        <f>VLOOKUP(Purchase[[#This Row],[Supplier ID]],Supplier[#All],4,0)</f>
        <v>Korba</v>
      </c>
      <c r="G2351" s="138" t="str">
        <f>VLOOKUP(Purchase[[#This Row],[Supplier ID]],Supplier[#All],5,0)</f>
        <v>CG</v>
      </c>
      <c r="H2351" s="138" t="str">
        <f>VLOOKUP(Purchase[[#This Row],[Supplier ID]],Supplier[#All],6,0)</f>
        <v>GST2154521T031</v>
      </c>
      <c r="I2351" s="138" t="s">
        <v>77</v>
      </c>
      <c r="J2351" s="139">
        <v>10</v>
      </c>
      <c r="K2351" s="143">
        <f>VLOOKUP(Purchase[[#This Row],[Product ID]],Product[#All],6,0)</f>
        <v>2282</v>
      </c>
      <c r="L2351" s="143">
        <f>Purchase[[#This Row],[Purchase Rate]]*Purchase[[#This Row],[Qty]]</f>
        <v>22820</v>
      </c>
      <c r="M2351" s="140">
        <v>0</v>
      </c>
      <c r="N2351" s="143">
        <v>0</v>
      </c>
      <c r="O2351" s="140">
        <v>0.18</v>
      </c>
      <c r="P2351" s="145">
        <f>(Purchase[[#This Row],[Gross Amount]]-Purchase[[#This Row],[Disct %]])*Purchase[[#This Row],[GST %]]</f>
        <v>4107.5999999999995</v>
      </c>
      <c r="Q2351" s="145">
        <f>Purchase[[#This Row],[Gross Amount]]-Purchase[[#This Row],[Disct Amnt]]+Purchase[[#This Row],[GST Amount]]</f>
        <v>26927.599999999999</v>
      </c>
      <c r="R2351" s="138" t="s">
        <v>1019</v>
      </c>
      <c r="S2351" s="41">
        <f>IF(Purchase[[#This Row],[Status]]="Cancelled",0,Purchase[[#This Row],[Qty]])</f>
        <v>10</v>
      </c>
      <c r="T2351" s="146">
        <f>IF(Purchase[[#This Row],[Status]]="Cancelled",0,Purchase[[#This Row],[Total Amount]])</f>
        <v>26927.599999999999</v>
      </c>
      <c r="U2351" s="146">
        <f>SUM(Purchase[Net Amount])</f>
        <v>814985438.68000126</v>
      </c>
    </row>
    <row r="2352" spans="1:21" ht="19.5" thickBot="1" x14ac:dyDescent="0.3">
      <c r="A2352" s="136" t="s">
        <v>3408</v>
      </c>
      <c r="B2352" s="137">
        <v>45774</v>
      </c>
      <c r="C2352" s="138" t="s">
        <v>604</v>
      </c>
      <c r="D2352" s="138" t="str">
        <f>VLOOKUP(Purchase[[#This Row],[Supplier ID]],Supplier[#All],2,0)</f>
        <v>Prime Traders</v>
      </c>
      <c r="E2352" s="138">
        <f>VLOOKUP(Purchase[[#This Row],[Supplier ID]],Supplier[#All],3,0)</f>
        <v>9689542487</v>
      </c>
      <c r="F2352" s="138" t="str">
        <f>VLOOKUP(Purchase[[#This Row],[Supplier ID]],Supplier[#All],4,0)</f>
        <v>Indore</v>
      </c>
      <c r="G2352" s="138" t="str">
        <f>VLOOKUP(Purchase[[#This Row],[Supplier ID]],Supplier[#All],5,0)</f>
        <v>MP</v>
      </c>
      <c r="H2352" s="138" t="str">
        <f>VLOOKUP(Purchase[[#This Row],[Supplier ID]],Supplier[#All],6,0)</f>
        <v>GST2154521T049</v>
      </c>
      <c r="I2352" s="138" t="s">
        <v>201</v>
      </c>
      <c r="J2352" s="139">
        <v>9</v>
      </c>
      <c r="K2352" s="143">
        <f>VLOOKUP(Purchase[[#This Row],[Product ID]],Product[#All],6,0)</f>
        <v>2195</v>
      </c>
      <c r="L2352" s="143">
        <f>Purchase[[#This Row],[Purchase Rate]]*Purchase[[#This Row],[Qty]]</f>
        <v>19755</v>
      </c>
      <c r="M2352" s="140">
        <v>0</v>
      </c>
      <c r="N2352" s="143">
        <v>0</v>
      </c>
      <c r="O2352" s="140">
        <v>0.18</v>
      </c>
      <c r="P2352" s="145">
        <f>(Purchase[[#This Row],[Gross Amount]]-Purchase[[#This Row],[Disct %]])*Purchase[[#This Row],[GST %]]</f>
        <v>3555.9</v>
      </c>
      <c r="Q2352" s="145">
        <f>Purchase[[#This Row],[Gross Amount]]-Purchase[[#This Row],[Disct Amnt]]+Purchase[[#This Row],[GST Amount]]</f>
        <v>23310.9</v>
      </c>
      <c r="R2352" s="138" t="s">
        <v>1019</v>
      </c>
      <c r="S2352" s="41">
        <f>IF(Purchase[[#This Row],[Status]]="Cancelled",0,Purchase[[#This Row],[Qty]])</f>
        <v>9</v>
      </c>
      <c r="T2352" s="146">
        <f>IF(Purchase[[#This Row],[Status]]="Cancelled",0,Purchase[[#This Row],[Total Amount]])</f>
        <v>23310.9</v>
      </c>
      <c r="U2352" s="146">
        <f>SUM(Purchase[Net Amount])</f>
        <v>814985438.68000126</v>
      </c>
    </row>
    <row r="2353" spans="1:21" ht="19.5" thickBot="1" x14ac:dyDescent="0.3">
      <c r="A2353" s="136" t="s">
        <v>3409</v>
      </c>
      <c r="B2353" s="137">
        <v>45774</v>
      </c>
      <c r="C2353" s="138" t="s">
        <v>3410</v>
      </c>
      <c r="D2353" s="138" t="str">
        <f>VLOOKUP(Purchase[[#This Row],[Supplier ID]],Supplier[#All],2,0)</f>
        <v>Tech Computers</v>
      </c>
      <c r="E2353" s="138">
        <f>VLOOKUP(Purchase[[#This Row],[Supplier ID]],Supplier[#All],3,0)</f>
        <v>9689542469</v>
      </c>
      <c r="F2353" s="138" t="str">
        <f>VLOOKUP(Purchase[[#This Row],[Supplier ID]],Supplier[#All],4,0)</f>
        <v>Korba</v>
      </c>
      <c r="G2353" s="138" t="str">
        <f>VLOOKUP(Purchase[[#This Row],[Supplier ID]],Supplier[#All],5,0)</f>
        <v>CG</v>
      </c>
      <c r="H2353" s="138" t="str">
        <f>VLOOKUP(Purchase[[#This Row],[Supplier ID]],Supplier[#All],6,0)</f>
        <v>GST2154521T031</v>
      </c>
      <c r="I2353" s="138" t="s">
        <v>321</v>
      </c>
      <c r="J2353" s="139">
        <v>17</v>
      </c>
      <c r="K2353" s="143">
        <f>VLOOKUP(Purchase[[#This Row],[Product ID]],Product[#All],6,0)</f>
        <v>5707</v>
      </c>
      <c r="L2353" s="143">
        <f>Purchase[[#This Row],[Purchase Rate]]*Purchase[[#This Row],[Qty]]</f>
        <v>97019</v>
      </c>
      <c r="M2353" s="140">
        <v>0</v>
      </c>
      <c r="N2353" s="143">
        <v>0</v>
      </c>
      <c r="O2353" s="140">
        <v>0.18</v>
      </c>
      <c r="P2353" s="145">
        <f>(Purchase[[#This Row],[Gross Amount]]-Purchase[[#This Row],[Disct %]])*Purchase[[#This Row],[GST %]]</f>
        <v>17463.419999999998</v>
      </c>
      <c r="Q2353" s="145">
        <f>Purchase[[#This Row],[Gross Amount]]-Purchase[[#This Row],[Disct Amnt]]+Purchase[[#This Row],[GST Amount]]</f>
        <v>114482.42</v>
      </c>
      <c r="R2353" s="138" t="s">
        <v>1019</v>
      </c>
      <c r="S2353" s="41">
        <f>IF(Purchase[[#This Row],[Status]]="Cancelled",0,Purchase[[#This Row],[Qty]])</f>
        <v>17</v>
      </c>
      <c r="T2353" s="146">
        <f>IF(Purchase[[#This Row],[Status]]="Cancelled",0,Purchase[[#This Row],[Total Amount]])</f>
        <v>114482.42</v>
      </c>
      <c r="U2353" s="146">
        <f>SUM(Purchase[Net Amount])</f>
        <v>814985438.68000126</v>
      </c>
    </row>
    <row r="2354" spans="1:21" ht="19.5" thickBot="1" x14ac:dyDescent="0.3">
      <c r="A2354" s="136" t="s">
        <v>3411</v>
      </c>
      <c r="B2354" s="137">
        <v>45774</v>
      </c>
      <c r="C2354" s="138" t="s">
        <v>589</v>
      </c>
      <c r="D2354" s="138" t="str">
        <f>VLOOKUP(Purchase[[#This Row],[Supplier ID]],Supplier[#All],2,0)</f>
        <v>Maa Computers</v>
      </c>
      <c r="E2354" s="138">
        <f>VLOOKUP(Purchase[[#This Row],[Supplier ID]],Supplier[#All],3,0)</f>
        <v>9689542473</v>
      </c>
      <c r="F2354" s="138" t="str">
        <f>VLOOKUP(Purchase[[#This Row],[Supplier ID]],Supplier[#All],4,0)</f>
        <v>Kanpur</v>
      </c>
      <c r="G2354" s="138" t="str">
        <f>VLOOKUP(Purchase[[#This Row],[Supplier ID]],Supplier[#All],5,0)</f>
        <v>UP</v>
      </c>
      <c r="H2354" s="138" t="str">
        <f>VLOOKUP(Purchase[[#This Row],[Supplier ID]],Supplier[#All],6,0)</f>
        <v>GST2154521T035</v>
      </c>
      <c r="I2354" s="138" t="s">
        <v>363</v>
      </c>
      <c r="J2354" s="139">
        <v>19</v>
      </c>
      <c r="K2354" s="143">
        <f>VLOOKUP(Purchase[[#This Row],[Product ID]],Product[#All],6,0)</f>
        <v>30731</v>
      </c>
      <c r="L2354" s="143">
        <f>Purchase[[#This Row],[Purchase Rate]]*Purchase[[#This Row],[Qty]]</f>
        <v>583889</v>
      </c>
      <c r="M2354" s="140">
        <v>0</v>
      </c>
      <c r="N2354" s="143">
        <v>0</v>
      </c>
      <c r="O2354" s="140">
        <v>0.18</v>
      </c>
      <c r="P2354" s="145">
        <f>(Purchase[[#This Row],[Gross Amount]]-Purchase[[#This Row],[Disct %]])*Purchase[[#This Row],[GST %]]</f>
        <v>105100.01999999999</v>
      </c>
      <c r="Q2354" s="145">
        <f>Purchase[[#This Row],[Gross Amount]]-Purchase[[#This Row],[Disct Amnt]]+Purchase[[#This Row],[GST Amount]]</f>
        <v>688989.02</v>
      </c>
      <c r="R2354" s="138" t="s">
        <v>1019</v>
      </c>
      <c r="S2354" s="41">
        <f>IF(Purchase[[#This Row],[Status]]="Cancelled",0,Purchase[[#This Row],[Qty]])</f>
        <v>19</v>
      </c>
      <c r="T2354" s="146">
        <f>IF(Purchase[[#This Row],[Status]]="Cancelled",0,Purchase[[#This Row],[Total Amount]])</f>
        <v>688989.02</v>
      </c>
      <c r="U2354" s="146">
        <f>SUM(Purchase[Net Amount])</f>
        <v>814985438.68000126</v>
      </c>
    </row>
    <row r="2355" spans="1:21" ht="19.5" thickBot="1" x14ac:dyDescent="0.3">
      <c r="A2355" s="136" t="s">
        <v>3412</v>
      </c>
      <c r="B2355" s="137">
        <v>45774</v>
      </c>
      <c r="C2355" s="138" t="s">
        <v>609</v>
      </c>
      <c r="D2355" s="138" t="str">
        <f>VLOOKUP(Purchase[[#This Row],[Supplier ID]],Supplier[#All],2,0)</f>
        <v>Star Suppliers</v>
      </c>
      <c r="E2355" s="138">
        <f>VLOOKUP(Purchase[[#This Row],[Supplier ID]],Supplier[#All],3,0)</f>
        <v>9689542492</v>
      </c>
      <c r="F2355" s="138" t="str">
        <f>VLOOKUP(Purchase[[#This Row],[Supplier ID]],Supplier[#All],4,0)</f>
        <v>Kanpur</v>
      </c>
      <c r="G2355" s="138" t="str">
        <f>VLOOKUP(Purchase[[#This Row],[Supplier ID]],Supplier[#All],5,0)</f>
        <v>UP</v>
      </c>
      <c r="H2355" s="138" t="str">
        <f>VLOOKUP(Purchase[[#This Row],[Supplier ID]],Supplier[#All],6,0)</f>
        <v>GST2154521T054</v>
      </c>
      <c r="I2355" s="138" t="s">
        <v>373</v>
      </c>
      <c r="J2355" s="139">
        <v>19</v>
      </c>
      <c r="K2355" s="143">
        <f>VLOOKUP(Purchase[[#This Row],[Product ID]],Product[#All],6,0)</f>
        <v>8224</v>
      </c>
      <c r="L2355" s="143">
        <f>Purchase[[#This Row],[Purchase Rate]]*Purchase[[#This Row],[Qty]]</f>
        <v>156256</v>
      </c>
      <c r="M2355" s="140">
        <v>0</v>
      </c>
      <c r="N2355" s="143">
        <v>0</v>
      </c>
      <c r="O2355" s="140">
        <v>0.18</v>
      </c>
      <c r="P2355" s="145">
        <f>(Purchase[[#This Row],[Gross Amount]]-Purchase[[#This Row],[Disct %]])*Purchase[[#This Row],[GST %]]</f>
        <v>28126.079999999998</v>
      </c>
      <c r="Q2355" s="145">
        <f>Purchase[[#This Row],[Gross Amount]]-Purchase[[#This Row],[Disct Amnt]]+Purchase[[#This Row],[GST Amount]]</f>
        <v>184382.07999999999</v>
      </c>
      <c r="R2355" s="138" t="s">
        <v>1019</v>
      </c>
      <c r="S2355" s="41">
        <f>IF(Purchase[[#This Row],[Status]]="Cancelled",0,Purchase[[#This Row],[Qty]])</f>
        <v>19</v>
      </c>
      <c r="T2355" s="146">
        <f>IF(Purchase[[#This Row],[Status]]="Cancelled",0,Purchase[[#This Row],[Total Amount]])</f>
        <v>184382.07999999999</v>
      </c>
      <c r="U2355" s="146">
        <f>SUM(Purchase[Net Amount])</f>
        <v>814985438.68000126</v>
      </c>
    </row>
    <row r="2356" spans="1:21" ht="19.5" thickBot="1" x14ac:dyDescent="0.3">
      <c r="A2356" s="136" t="s">
        <v>3413</v>
      </c>
      <c r="B2356" s="137">
        <v>45774</v>
      </c>
      <c r="C2356" s="138" t="s">
        <v>604</v>
      </c>
      <c r="D2356" s="138" t="str">
        <f>VLOOKUP(Purchase[[#This Row],[Supplier ID]],Supplier[#All],2,0)</f>
        <v>Prime Traders</v>
      </c>
      <c r="E2356" s="138">
        <f>VLOOKUP(Purchase[[#This Row],[Supplier ID]],Supplier[#All],3,0)</f>
        <v>9689542487</v>
      </c>
      <c r="F2356" s="138" t="str">
        <f>VLOOKUP(Purchase[[#This Row],[Supplier ID]],Supplier[#All],4,0)</f>
        <v>Indore</v>
      </c>
      <c r="G2356" s="138" t="str">
        <f>VLOOKUP(Purchase[[#This Row],[Supplier ID]],Supplier[#All],5,0)</f>
        <v>MP</v>
      </c>
      <c r="H2356" s="138" t="str">
        <f>VLOOKUP(Purchase[[#This Row],[Supplier ID]],Supplier[#All],6,0)</f>
        <v>GST2154521T049</v>
      </c>
      <c r="I2356" s="138" t="s">
        <v>106</v>
      </c>
      <c r="J2356" s="139">
        <v>21</v>
      </c>
      <c r="K2356" s="143">
        <f>VLOOKUP(Purchase[[#This Row],[Product ID]],Product[#All],6,0)</f>
        <v>6729</v>
      </c>
      <c r="L2356" s="143">
        <f>Purchase[[#This Row],[Purchase Rate]]*Purchase[[#This Row],[Qty]]</f>
        <v>141309</v>
      </c>
      <c r="M2356" s="140">
        <v>0</v>
      </c>
      <c r="N2356" s="143">
        <v>0</v>
      </c>
      <c r="O2356" s="140">
        <v>0.18</v>
      </c>
      <c r="P2356" s="145">
        <f>(Purchase[[#This Row],[Gross Amount]]-Purchase[[#This Row],[Disct %]])*Purchase[[#This Row],[GST %]]</f>
        <v>25435.62</v>
      </c>
      <c r="Q2356" s="145">
        <f>Purchase[[#This Row],[Gross Amount]]-Purchase[[#This Row],[Disct Amnt]]+Purchase[[#This Row],[GST Amount]]</f>
        <v>166744.62</v>
      </c>
      <c r="R2356" s="138" t="s">
        <v>1019</v>
      </c>
      <c r="S2356" s="41">
        <f>IF(Purchase[[#This Row],[Status]]="Cancelled",0,Purchase[[#This Row],[Qty]])</f>
        <v>21</v>
      </c>
      <c r="T2356" s="146">
        <f>IF(Purchase[[#This Row],[Status]]="Cancelled",0,Purchase[[#This Row],[Total Amount]])</f>
        <v>166744.62</v>
      </c>
      <c r="U2356" s="146">
        <f>SUM(Purchase[Net Amount])</f>
        <v>814985438.68000126</v>
      </c>
    </row>
    <row r="2357" spans="1:21" ht="19.5" thickBot="1" x14ac:dyDescent="0.3">
      <c r="A2357" s="136" t="s">
        <v>3414</v>
      </c>
      <c r="B2357" s="137">
        <v>45774</v>
      </c>
      <c r="C2357" s="138" t="s">
        <v>585</v>
      </c>
      <c r="D2357" s="138" t="str">
        <f>VLOOKUP(Purchase[[#This Row],[Supplier ID]],Supplier[#All],2,0)</f>
        <v>Tech Computers</v>
      </c>
      <c r="E2357" s="138">
        <f>VLOOKUP(Purchase[[#This Row],[Supplier ID]],Supplier[#All],3,0)</f>
        <v>9689542469</v>
      </c>
      <c r="F2357" s="138" t="str">
        <f>VLOOKUP(Purchase[[#This Row],[Supplier ID]],Supplier[#All],4,0)</f>
        <v>Korba</v>
      </c>
      <c r="G2357" s="138" t="str">
        <f>VLOOKUP(Purchase[[#This Row],[Supplier ID]],Supplier[#All],5,0)</f>
        <v>CG</v>
      </c>
      <c r="H2357" s="138" t="str">
        <f>VLOOKUP(Purchase[[#This Row],[Supplier ID]],Supplier[#All],6,0)</f>
        <v>GST2154521T031</v>
      </c>
      <c r="I2357" s="138" t="s">
        <v>536</v>
      </c>
      <c r="J2357" s="139">
        <v>25</v>
      </c>
      <c r="K2357" s="143">
        <f>VLOOKUP(Purchase[[#This Row],[Product ID]],Product[#All],6,0)</f>
        <v>961</v>
      </c>
      <c r="L2357" s="143">
        <f>Purchase[[#This Row],[Purchase Rate]]*Purchase[[#This Row],[Qty]]</f>
        <v>24025</v>
      </c>
      <c r="M2357" s="140">
        <v>0</v>
      </c>
      <c r="N2357" s="143">
        <v>0</v>
      </c>
      <c r="O2357" s="140">
        <v>0.18</v>
      </c>
      <c r="P2357" s="145">
        <f>(Purchase[[#This Row],[Gross Amount]]-Purchase[[#This Row],[Disct %]])*Purchase[[#This Row],[GST %]]</f>
        <v>4324.5</v>
      </c>
      <c r="Q2357" s="145">
        <f>Purchase[[#This Row],[Gross Amount]]-Purchase[[#This Row],[Disct Amnt]]+Purchase[[#This Row],[GST Amount]]</f>
        <v>28349.5</v>
      </c>
      <c r="R2357" s="138" t="s">
        <v>1019</v>
      </c>
      <c r="S2357" s="41">
        <f>IF(Purchase[[#This Row],[Status]]="Cancelled",0,Purchase[[#This Row],[Qty]])</f>
        <v>25</v>
      </c>
      <c r="T2357" s="146">
        <f>IF(Purchase[[#This Row],[Status]]="Cancelled",0,Purchase[[#This Row],[Total Amount]])</f>
        <v>28349.5</v>
      </c>
      <c r="U2357" s="146">
        <f>SUM(Purchase[Net Amount])</f>
        <v>814985438.68000126</v>
      </c>
    </row>
    <row r="2358" spans="1:21" ht="19.5" thickBot="1" x14ac:dyDescent="0.3">
      <c r="A2358" s="136" t="s">
        <v>3415</v>
      </c>
      <c r="B2358" s="137">
        <v>45774</v>
      </c>
      <c r="C2358" s="138" t="s">
        <v>585</v>
      </c>
      <c r="D2358" s="138" t="str">
        <f>VLOOKUP(Purchase[[#This Row],[Supplier ID]],Supplier[#All],2,0)</f>
        <v>Tech Computers</v>
      </c>
      <c r="E2358" s="138">
        <f>VLOOKUP(Purchase[[#This Row],[Supplier ID]],Supplier[#All],3,0)</f>
        <v>9689542469</v>
      </c>
      <c r="F2358" s="138" t="str">
        <f>VLOOKUP(Purchase[[#This Row],[Supplier ID]],Supplier[#All],4,0)</f>
        <v>Korba</v>
      </c>
      <c r="G2358" s="138" t="str">
        <f>VLOOKUP(Purchase[[#This Row],[Supplier ID]],Supplier[#All],5,0)</f>
        <v>CG</v>
      </c>
      <c r="H2358" s="138" t="str">
        <f>VLOOKUP(Purchase[[#This Row],[Supplier ID]],Supplier[#All],6,0)</f>
        <v>GST2154521T031</v>
      </c>
      <c r="I2358" s="138" t="s">
        <v>317</v>
      </c>
      <c r="J2358" s="139">
        <v>19</v>
      </c>
      <c r="K2358" s="143">
        <f>VLOOKUP(Purchase[[#This Row],[Product ID]],Product[#All],6,0)</f>
        <v>850</v>
      </c>
      <c r="L2358" s="143">
        <f>Purchase[[#This Row],[Purchase Rate]]*Purchase[[#This Row],[Qty]]</f>
        <v>16150</v>
      </c>
      <c r="M2358" s="140">
        <v>0</v>
      </c>
      <c r="N2358" s="143">
        <v>0</v>
      </c>
      <c r="O2358" s="140">
        <v>0.18</v>
      </c>
      <c r="P2358" s="145">
        <f>(Purchase[[#This Row],[Gross Amount]]-Purchase[[#This Row],[Disct %]])*Purchase[[#This Row],[GST %]]</f>
        <v>2907</v>
      </c>
      <c r="Q2358" s="145">
        <f>Purchase[[#This Row],[Gross Amount]]-Purchase[[#This Row],[Disct Amnt]]+Purchase[[#This Row],[GST Amount]]</f>
        <v>19057</v>
      </c>
      <c r="R2358" s="138" t="s">
        <v>1019</v>
      </c>
      <c r="S2358" s="41">
        <f>IF(Purchase[[#This Row],[Status]]="Cancelled",0,Purchase[[#This Row],[Qty]])</f>
        <v>19</v>
      </c>
      <c r="T2358" s="146">
        <f>IF(Purchase[[#This Row],[Status]]="Cancelled",0,Purchase[[#This Row],[Total Amount]])</f>
        <v>19057</v>
      </c>
      <c r="U2358" s="146">
        <f>SUM(Purchase[Net Amount])</f>
        <v>814985438.68000126</v>
      </c>
    </row>
    <row r="2359" spans="1:21" ht="19.5" thickBot="1" x14ac:dyDescent="0.3">
      <c r="A2359" s="136" t="s">
        <v>3416</v>
      </c>
      <c r="B2359" s="137">
        <v>45774</v>
      </c>
      <c r="C2359" s="138" t="s">
        <v>615</v>
      </c>
      <c r="D2359" s="138" t="str">
        <f>VLOOKUP(Purchase[[#This Row],[Supplier ID]],Supplier[#All],2,0)</f>
        <v>NATIONAL ELECTRONICS</v>
      </c>
      <c r="E2359" s="138">
        <f>VLOOKUP(Purchase[[#This Row],[Supplier ID]],Supplier[#All],3,0)</f>
        <v>9689542498</v>
      </c>
      <c r="F2359" s="138" t="str">
        <f>VLOOKUP(Purchase[[#This Row],[Supplier ID]],Supplier[#All],4,0)</f>
        <v>Kanpur</v>
      </c>
      <c r="G2359" s="138" t="str">
        <f>VLOOKUP(Purchase[[#This Row],[Supplier ID]],Supplier[#All],5,0)</f>
        <v>UP</v>
      </c>
      <c r="H2359" s="138" t="str">
        <f>VLOOKUP(Purchase[[#This Row],[Supplier ID]],Supplier[#All],6,0)</f>
        <v>GST2154521T060</v>
      </c>
      <c r="I2359" s="138" t="s">
        <v>187</v>
      </c>
      <c r="J2359" s="139">
        <v>5</v>
      </c>
      <c r="K2359" s="143">
        <f>VLOOKUP(Purchase[[#This Row],[Product ID]],Product[#All],6,0)</f>
        <v>712</v>
      </c>
      <c r="L2359" s="143">
        <f>Purchase[[#This Row],[Purchase Rate]]*Purchase[[#This Row],[Qty]]</f>
        <v>3560</v>
      </c>
      <c r="M2359" s="140">
        <v>0</v>
      </c>
      <c r="N2359" s="143">
        <v>0</v>
      </c>
      <c r="O2359" s="140">
        <v>0.18</v>
      </c>
      <c r="P2359" s="145">
        <f>(Purchase[[#This Row],[Gross Amount]]-Purchase[[#This Row],[Disct %]])*Purchase[[#This Row],[GST %]]</f>
        <v>640.79999999999995</v>
      </c>
      <c r="Q2359" s="145">
        <f>Purchase[[#This Row],[Gross Amount]]-Purchase[[#This Row],[Disct Amnt]]+Purchase[[#This Row],[GST Amount]]</f>
        <v>4200.8</v>
      </c>
      <c r="R2359" s="138" t="s">
        <v>1019</v>
      </c>
      <c r="S2359" s="41">
        <f>IF(Purchase[[#This Row],[Status]]="Cancelled",0,Purchase[[#This Row],[Qty]])</f>
        <v>5</v>
      </c>
      <c r="T2359" s="146">
        <f>IF(Purchase[[#This Row],[Status]]="Cancelled",0,Purchase[[#This Row],[Total Amount]])</f>
        <v>4200.8</v>
      </c>
      <c r="U2359" s="146">
        <f>SUM(Purchase[Net Amount])</f>
        <v>814985438.68000126</v>
      </c>
    </row>
    <row r="2360" spans="1:21" ht="19.5" thickBot="1" x14ac:dyDescent="0.3">
      <c r="A2360" s="136" t="s">
        <v>3417</v>
      </c>
      <c r="B2360" s="137">
        <v>45774</v>
      </c>
      <c r="C2360" s="138" t="s">
        <v>586</v>
      </c>
      <c r="D2360" s="138" t="str">
        <f>VLOOKUP(Purchase[[#This Row],[Supplier ID]],Supplier[#All],2,0)</f>
        <v>Maa Traders</v>
      </c>
      <c r="E2360" s="138">
        <f>VLOOKUP(Purchase[[#This Row],[Supplier ID]],Supplier[#All],3,0)</f>
        <v>9689542470</v>
      </c>
      <c r="F2360" s="138" t="str">
        <f>VLOOKUP(Purchase[[#This Row],[Supplier ID]],Supplier[#All],4,0)</f>
        <v>Kanpur</v>
      </c>
      <c r="G2360" s="138" t="str">
        <f>VLOOKUP(Purchase[[#This Row],[Supplier ID]],Supplier[#All],5,0)</f>
        <v>UP</v>
      </c>
      <c r="H2360" s="138" t="str">
        <f>VLOOKUP(Purchase[[#This Row],[Supplier ID]],Supplier[#All],6,0)</f>
        <v>GST2154521T032</v>
      </c>
      <c r="I2360" s="138" t="s">
        <v>227</v>
      </c>
      <c r="J2360" s="139">
        <v>28</v>
      </c>
      <c r="K2360" s="143">
        <f>VLOOKUP(Purchase[[#This Row],[Product ID]],Product[#All],6,0)</f>
        <v>11911</v>
      </c>
      <c r="L2360" s="143">
        <f>Purchase[[#This Row],[Purchase Rate]]*Purchase[[#This Row],[Qty]]</f>
        <v>333508</v>
      </c>
      <c r="M2360" s="140">
        <v>0</v>
      </c>
      <c r="N2360" s="143">
        <v>0</v>
      </c>
      <c r="O2360" s="140">
        <v>0.18</v>
      </c>
      <c r="P2360" s="145">
        <f>(Purchase[[#This Row],[Gross Amount]]-Purchase[[#This Row],[Disct %]])*Purchase[[#This Row],[GST %]]</f>
        <v>60031.439999999995</v>
      </c>
      <c r="Q2360" s="145">
        <f>Purchase[[#This Row],[Gross Amount]]-Purchase[[#This Row],[Disct Amnt]]+Purchase[[#This Row],[GST Amount]]</f>
        <v>393539.44</v>
      </c>
      <c r="R2360" s="138" t="s">
        <v>1019</v>
      </c>
      <c r="S2360" s="41">
        <f>IF(Purchase[[#This Row],[Status]]="Cancelled",0,Purchase[[#This Row],[Qty]])</f>
        <v>28</v>
      </c>
      <c r="T2360" s="146">
        <f>IF(Purchase[[#This Row],[Status]]="Cancelled",0,Purchase[[#This Row],[Total Amount]])</f>
        <v>393539.44</v>
      </c>
      <c r="U2360" s="146">
        <f>SUM(Purchase[Net Amount])</f>
        <v>814985438.68000126</v>
      </c>
    </row>
    <row r="2361" spans="1:21" ht="19.5" thickBot="1" x14ac:dyDescent="0.3">
      <c r="A2361" s="136" t="s">
        <v>3418</v>
      </c>
      <c r="B2361" s="137">
        <v>45774</v>
      </c>
      <c r="C2361" s="138" t="s">
        <v>606</v>
      </c>
      <c r="D2361" s="138" t="str">
        <f>VLOOKUP(Purchase[[#This Row],[Supplier ID]],Supplier[#All],2,0)</f>
        <v>Prime Traders</v>
      </c>
      <c r="E2361" s="138">
        <f>VLOOKUP(Purchase[[#This Row],[Supplier ID]],Supplier[#All],3,0)</f>
        <v>9689542489</v>
      </c>
      <c r="F2361" s="138" t="str">
        <f>VLOOKUP(Purchase[[#This Row],[Supplier ID]],Supplier[#All],4,0)</f>
        <v>Indore</v>
      </c>
      <c r="G2361" s="138" t="str">
        <f>VLOOKUP(Purchase[[#This Row],[Supplier ID]],Supplier[#All],5,0)</f>
        <v>MP</v>
      </c>
      <c r="H2361" s="138" t="str">
        <f>VLOOKUP(Purchase[[#This Row],[Supplier ID]],Supplier[#All],6,0)</f>
        <v>GST2154521T051</v>
      </c>
      <c r="I2361" s="138" t="s">
        <v>188</v>
      </c>
      <c r="J2361" s="139">
        <v>38</v>
      </c>
      <c r="K2361" s="143">
        <f>VLOOKUP(Purchase[[#This Row],[Product ID]],Product[#All],6,0)</f>
        <v>11278</v>
      </c>
      <c r="L2361" s="143">
        <f>Purchase[[#This Row],[Purchase Rate]]*Purchase[[#This Row],[Qty]]</f>
        <v>428564</v>
      </c>
      <c r="M2361" s="140">
        <v>0</v>
      </c>
      <c r="N2361" s="143">
        <v>0</v>
      </c>
      <c r="O2361" s="140">
        <v>0.18</v>
      </c>
      <c r="P2361" s="145">
        <f>(Purchase[[#This Row],[Gross Amount]]-Purchase[[#This Row],[Disct %]])*Purchase[[#This Row],[GST %]]</f>
        <v>77141.52</v>
      </c>
      <c r="Q2361" s="145">
        <f>Purchase[[#This Row],[Gross Amount]]-Purchase[[#This Row],[Disct Amnt]]+Purchase[[#This Row],[GST Amount]]</f>
        <v>505705.52</v>
      </c>
      <c r="R2361" s="138" t="s">
        <v>1019</v>
      </c>
      <c r="S2361" s="41">
        <f>IF(Purchase[[#This Row],[Status]]="Cancelled",0,Purchase[[#This Row],[Qty]])</f>
        <v>38</v>
      </c>
      <c r="T2361" s="146">
        <f>IF(Purchase[[#This Row],[Status]]="Cancelled",0,Purchase[[#This Row],[Total Amount]])</f>
        <v>505705.52</v>
      </c>
      <c r="U2361" s="146">
        <f>SUM(Purchase[Net Amount])</f>
        <v>814985438.68000126</v>
      </c>
    </row>
    <row r="2362" spans="1:21" ht="19.5" thickBot="1" x14ac:dyDescent="0.3">
      <c r="A2362" s="136" t="s">
        <v>3419</v>
      </c>
      <c r="B2362" s="137">
        <v>45774</v>
      </c>
      <c r="C2362" s="138" t="s">
        <v>600</v>
      </c>
      <c r="D2362" s="138" t="str">
        <f>VLOOKUP(Purchase[[#This Row],[Supplier ID]],Supplier[#All],2,0)</f>
        <v>Prime Suppliers</v>
      </c>
      <c r="E2362" s="138">
        <f>VLOOKUP(Purchase[[#This Row],[Supplier ID]],Supplier[#All],3,0)</f>
        <v>9689542483</v>
      </c>
      <c r="F2362" s="138" t="str">
        <f>VLOOKUP(Purchase[[#This Row],[Supplier ID]],Supplier[#All],4,0)</f>
        <v>Korba</v>
      </c>
      <c r="G2362" s="138" t="str">
        <f>VLOOKUP(Purchase[[#This Row],[Supplier ID]],Supplier[#All],5,0)</f>
        <v>CG</v>
      </c>
      <c r="H2362" s="138" t="str">
        <f>VLOOKUP(Purchase[[#This Row],[Supplier ID]],Supplier[#All],6,0)</f>
        <v>GST2154521T045</v>
      </c>
      <c r="I2362" s="138" t="s">
        <v>190</v>
      </c>
      <c r="J2362" s="139">
        <v>9</v>
      </c>
      <c r="K2362" s="143">
        <f>VLOOKUP(Purchase[[#This Row],[Product ID]],Product[#All],6,0)</f>
        <v>15766</v>
      </c>
      <c r="L2362" s="143">
        <f>Purchase[[#This Row],[Purchase Rate]]*Purchase[[#This Row],[Qty]]</f>
        <v>141894</v>
      </c>
      <c r="M2362" s="140">
        <v>0</v>
      </c>
      <c r="N2362" s="143">
        <v>0</v>
      </c>
      <c r="O2362" s="140">
        <v>0.18</v>
      </c>
      <c r="P2362" s="145">
        <f>(Purchase[[#This Row],[Gross Amount]]-Purchase[[#This Row],[Disct %]])*Purchase[[#This Row],[GST %]]</f>
        <v>25540.92</v>
      </c>
      <c r="Q2362" s="145">
        <f>Purchase[[#This Row],[Gross Amount]]-Purchase[[#This Row],[Disct Amnt]]+Purchase[[#This Row],[GST Amount]]</f>
        <v>167434.91999999998</v>
      </c>
      <c r="R2362" s="138" t="s">
        <v>1019</v>
      </c>
      <c r="S2362" s="41">
        <f>IF(Purchase[[#This Row],[Status]]="Cancelled",0,Purchase[[#This Row],[Qty]])</f>
        <v>9</v>
      </c>
      <c r="T2362" s="146">
        <f>IF(Purchase[[#This Row],[Status]]="Cancelled",0,Purchase[[#This Row],[Total Amount]])</f>
        <v>167434.91999999998</v>
      </c>
      <c r="U2362" s="146">
        <f>SUM(Purchase[Net Amount])</f>
        <v>814985438.68000126</v>
      </c>
    </row>
    <row r="2363" spans="1:21" ht="19.5" thickBot="1" x14ac:dyDescent="0.3">
      <c r="A2363" s="136" t="s">
        <v>3420</v>
      </c>
      <c r="B2363" s="137">
        <v>45774</v>
      </c>
      <c r="C2363" s="138" t="s">
        <v>583</v>
      </c>
      <c r="D2363" s="138" t="str">
        <f>VLOOKUP(Purchase[[#This Row],[Supplier ID]],Supplier[#All],2,0)</f>
        <v>Shree Distributors</v>
      </c>
      <c r="E2363" s="138">
        <f>VLOOKUP(Purchase[[#This Row],[Supplier ID]],Supplier[#All],3,0)</f>
        <v>9689542467</v>
      </c>
      <c r="F2363" s="138" t="str">
        <f>VLOOKUP(Purchase[[#This Row],[Supplier ID]],Supplier[#All],4,0)</f>
        <v>Indore</v>
      </c>
      <c r="G2363" s="138" t="str">
        <f>VLOOKUP(Purchase[[#This Row],[Supplier ID]],Supplier[#All],5,0)</f>
        <v>MP</v>
      </c>
      <c r="H2363" s="138" t="str">
        <f>VLOOKUP(Purchase[[#This Row],[Supplier ID]],Supplier[#All],6,0)</f>
        <v>GST2154521T029</v>
      </c>
      <c r="I2363" s="138" t="s">
        <v>547</v>
      </c>
      <c r="J2363" s="139">
        <v>29</v>
      </c>
      <c r="K2363" s="143">
        <f>VLOOKUP(Purchase[[#This Row],[Product ID]],Product[#All],6,0)</f>
        <v>28107</v>
      </c>
      <c r="L2363" s="143">
        <f>Purchase[[#This Row],[Purchase Rate]]*Purchase[[#This Row],[Qty]]</f>
        <v>815103</v>
      </c>
      <c r="M2363" s="140">
        <v>0</v>
      </c>
      <c r="N2363" s="143">
        <v>0</v>
      </c>
      <c r="O2363" s="140">
        <v>0.18</v>
      </c>
      <c r="P2363" s="145">
        <f>(Purchase[[#This Row],[Gross Amount]]-Purchase[[#This Row],[Disct %]])*Purchase[[#This Row],[GST %]]</f>
        <v>146718.54</v>
      </c>
      <c r="Q2363" s="145">
        <f>Purchase[[#This Row],[Gross Amount]]-Purchase[[#This Row],[Disct Amnt]]+Purchase[[#This Row],[GST Amount]]</f>
        <v>961821.54</v>
      </c>
      <c r="R2363" s="138" t="s">
        <v>1019</v>
      </c>
      <c r="S2363" s="41">
        <f>IF(Purchase[[#This Row],[Status]]="Cancelled",0,Purchase[[#This Row],[Qty]])</f>
        <v>29</v>
      </c>
      <c r="T2363" s="146">
        <f>IF(Purchase[[#This Row],[Status]]="Cancelled",0,Purchase[[#This Row],[Total Amount]])</f>
        <v>961821.54</v>
      </c>
      <c r="U2363" s="146">
        <f>SUM(Purchase[Net Amount])</f>
        <v>814985438.68000126</v>
      </c>
    </row>
    <row r="2364" spans="1:21" ht="19.5" thickBot="1" x14ac:dyDescent="0.3">
      <c r="A2364" s="136" t="s">
        <v>3421</v>
      </c>
      <c r="B2364" s="137">
        <v>45774</v>
      </c>
      <c r="C2364" s="138" t="s">
        <v>566</v>
      </c>
      <c r="D2364" s="138" t="str">
        <f>VLOOKUP(Purchase[[#This Row],[Supplier ID]],Supplier[#All],2,0)</f>
        <v>Maa Computers</v>
      </c>
      <c r="E2364" s="138">
        <f>VLOOKUP(Purchase[[#This Row],[Supplier ID]],Supplier[#All],3,0)</f>
        <v>9689542452</v>
      </c>
      <c r="F2364" s="138" t="str">
        <f>VLOOKUP(Purchase[[#This Row],[Supplier ID]],Supplier[#All],4,0)</f>
        <v>Kanpur</v>
      </c>
      <c r="G2364" s="138" t="str">
        <f>VLOOKUP(Purchase[[#This Row],[Supplier ID]],Supplier[#All],5,0)</f>
        <v>UP</v>
      </c>
      <c r="H2364" s="138" t="str">
        <f>VLOOKUP(Purchase[[#This Row],[Supplier ID]],Supplier[#All],6,0)</f>
        <v>GST2154521T014</v>
      </c>
      <c r="I2364" s="138" t="s">
        <v>289</v>
      </c>
      <c r="J2364" s="139">
        <v>13</v>
      </c>
      <c r="K2364" s="143">
        <f>VLOOKUP(Purchase[[#This Row],[Product ID]],Product[#All],6,0)</f>
        <v>927</v>
      </c>
      <c r="L2364" s="143">
        <f>Purchase[[#This Row],[Purchase Rate]]*Purchase[[#This Row],[Qty]]</f>
        <v>12051</v>
      </c>
      <c r="M2364" s="140">
        <v>0</v>
      </c>
      <c r="N2364" s="143">
        <v>0</v>
      </c>
      <c r="O2364" s="140">
        <v>0.18</v>
      </c>
      <c r="P2364" s="145">
        <f>(Purchase[[#This Row],[Gross Amount]]-Purchase[[#This Row],[Disct %]])*Purchase[[#This Row],[GST %]]</f>
        <v>2169.1799999999998</v>
      </c>
      <c r="Q2364" s="145">
        <f>Purchase[[#This Row],[Gross Amount]]-Purchase[[#This Row],[Disct Amnt]]+Purchase[[#This Row],[GST Amount]]</f>
        <v>14220.18</v>
      </c>
      <c r="R2364" s="138" t="s">
        <v>1019</v>
      </c>
      <c r="S2364" s="41">
        <f>IF(Purchase[[#This Row],[Status]]="Cancelled",0,Purchase[[#This Row],[Qty]])</f>
        <v>13</v>
      </c>
      <c r="T2364" s="146">
        <f>IF(Purchase[[#This Row],[Status]]="Cancelled",0,Purchase[[#This Row],[Total Amount]])</f>
        <v>14220.18</v>
      </c>
      <c r="U2364" s="146">
        <f>SUM(Purchase[Net Amount])</f>
        <v>814985438.68000126</v>
      </c>
    </row>
    <row r="2365" spans="1:21" ht="19.5" thickBot="1" x14ac:dyDescent="0.3">
      <c r="A2365" s="136" t="s">
        <v>3422</v>
      </c>
      <c r="B2365" s="137">
        <v>45774</v>
      </c>
      <c r="C2365" s="138" t="s">
        <v>590</v>
      </c>
      <c r="D2365" s="138" t="str">
        <f>VLOOKUP(Purchase[[#This Row],[Supplier ID]],Supplier[#All],2,0)</f>
        <v>Star Distributors</v>
      </c>
      <c r="E2365" s="138">
        <f>VLOOKUP(Purchase[[#This Row],[Supplier ID]],Supplier[#All],3,0)</f>
        <v>9689542474</v>
      </c>
      <c r="F2365" s="138" t="str">
        <f>VLOOKUP(Purchase[[#This Row],[Supplier ID]],Supplier[#All],4,0)</f>
        <v>Kanpur</v>
      </c>
      <c r="G2365" s="138" t="str">
        <f>VLOOKUP(Purchase[[#This Row],[Supplier ID]],Supplier[#All],5,0)</f>
        <v>UP</v>
      </c>
      <c r="H2365" s="138" t="str">
        <f>VLOOKUP(Purchase[[#This Row],[Supplier ID]],Supplier[#All],6,0)</f>
        <v>GST2154521T036</v>
      </c>
      <c r="I2365" s="138" t="s">
        <v>76</v>
      </c>
      <c r="J2365" s="139">
        <v>39</v>
      </c>
      <c r="K2365" s="143">
        <f>VLOOKUP(Purchase[[#This Row],[Product ID]],Product[#All],6,0)</f>
        <v>1400</v>
      </c>
      <c r="L2365" s="143">
        <f>Purchase[[#This Row],[Purchase Rate]]*Purchase[[#This Row],[Qty]]</f>
        <v>54600</v>
      </c>
      <c r="M2365" s="140">
        <v>0</v>
      </c>
      <c r="N2365" s="143">
        <v>0</v>
      </c>
      <c r="O2365" s="140">
        <v>0.18</v>
      </c>
      <c r="P2365" s="145">
        <f>(Purchase[[#This Row],[Gross Amount]]-Purchase[[#This Row],[Disct %]])*Purchase[[#This Row],[GST %]]</f>
        <v>9828</v>
      </c>
      <c r="Q2365" s="145">
        <f>Purchase[[#This Row],[Gross Amount]]-Purchase[[#This Row],[Disct Amnt]]+Purchase[[#This Row],[GST Amount]]</f>
        <v>64428</v>
      </c>
      <c r="R2365" s="138" t="s">
        <v>1019</v>
      </c>
      <c r="S2365" s="41">
        <f>IF(Purchase[[#This Row],[Status]]="Cancelled",0,Purchase[[#This Row],[Qty]])</f>
        <v>39</v>
      </c>
      <c r="T2365" s="146">
        <f>IF(Purchase[[#This Row],[Status]]="Cancelled",0,Purchase[[#This Row],[Total Amount]])</f>
        <v>64428</v>
      </c>
      <c r="U2365" s="146">
        <f>SUM(Purchase[Net Amount])</f>
        <v>814985438.68000126</v>
      </c>
    </row>
    <row r="2366" spans="1:21" ht="19.5" thickBot="1" x14ac:dyDescent="0.3">
      <c r="A2366" s="136" t="s">
        <v>3423</v>
      </c>
      <c r="B2366" s="137">
        <v>45774</v>
      </c>
      <c r="C2366" s="138" t="s">
        <v>587</v>
      </c>
      <c r="D2366" s="138" t="str">
        <f>VLOOKUP(Purchase[[#This Row],[Supplier ID]],Supplier[#All],2,0)</f>
        <v>maa distributors</v>
      </c>
      <c r="E2366" s="138">
        <f>VLOOKUP(Purchase[[#This Row],[Supplier ID]],Supplier[#All],3,0)</f>
        <v>9689542479</v>
      </c>
      <c r="F2366" s="138" t="str">
        <f>VLOOKUP(Purchase[[#This Row],[Supplier ID]],Supplier[#All],4,0)</f>
        <v>Indore</v>
      </c>
      <c r="G2366" s="138" t="str">
        <f>VLOOKUP(Purchase[[#This Row],[Supplier ID]],Supplier[#All],5,0)</f>
        <v>MP</v>
      </c>
      <c r="H2366" s="138" t="str">
        <f>VLOOKUP(Purchase[[#This Row],[Supplier ID]],Supplier[#All],6,0)</f>
        <v>GST2154521T033</v>
      </c>
      <c r="I2366" s="138" t="s">
        <v>137</v>
      </c>
      <c r="J2366" s="139">
        <v>18</v>
      </c>
      <c r="K2366" s="143">
        <f>VLOOKUP(Purchase[[#This Row],[Product ID]],Product[#All],6,0)</f>
        <v>6071</v>
      </c>
      <c r="L2366" s="143">
        <f>Purchase[[#This Row],[Purchase Rate]]*Purchase[[#This Row],[Qty]]</f>
        <v>109278</v>
      </c>
      <c r="M2366" s="140">
        <v>0</v>
      </c>
      <c r="N2366" s="143">
        <v>0</v>
      </c>
      <c r="O2366" s="140">
        <v>0.18</v>
      </c>
      <c r="P2366" s="145">
        <f>(Purchase[[#This Row],[Gross Amount]]-Purchase[[#This Row],[Disct %]])*Purchase[[#This Row],[GST %]]</f>
        <v>19670.04</v>
      </c>
      <c r="Q2366" s="145">
        <f>Purchase[[#This Row],[Gross Amount]]-Purchase[[#This Row],[Disct Amnt]]+Purchase[[#This Row],[GST Amount]]</f>
        <v>128948.04000000001</v>
      </c>
      <c r="R2366" s="138" t="s">
        <v>1019</v>
      </c>
      <c r="S2366" s="41">
        <f>IF(Purchase[[#This Row],[Status]]="Cancelled",0,Purchase[[#This Row],[Qty]])</f>
        <v>18</v>
      </c>
      <c r="T2366" s="146">
        <f>IF(Purchase[[#This Row],[Status]]="Cancelled",0,Purchase[[#This Row],[Total Amount]])</f>
        <v>128948.04000000001</v>
      </c>
      <c r="U2366" s="146">
        <f>SUM(Purchase[Net Amount])</f>
        <v>814985438.68000126</v>
      </c>
    </row>
    <row r="2367" spans="1:21" ht="19.5" thickBot="1" x14ac:dyDescent="0.3">
      <c r="A2367" s="136" t="s">
        <v>3424</v>
      </c>
      <c r="B2367" s="137">
        <v>45774</v>
      </c>
      <c r="C2367" s="138" t="s">
        <v>568</v>
      </c>
      <c r="D2367" s="138" t="str">
        <f>VLOOKUP(Purchase[[#This Row],[Supplier ID]],Supplier[#All],2,0)</f>
        <v>Maa Computers</v>
      </c>
      <c r="E2367" s="138">
        <f>VLOOKUP(Purchase[[#This Row],[Supplier ID]],Supplier[#All],3,0)</f>
        <v>9689542454</v>
      </c>
      <c r="F2367" s="138" t="str">
        <f>VLOOKUP(Purchase[[#This Row],[Supplier ID]],Supplier[#All],4,0)</f>
        <v>Korba</v>
      </c>
      <c r="G2367" s="138" t="str">
        <f>VLOOKUP(Purchase[[#This Row],[Supplier ID]],Supplier[#All],5,0)</f>
        <v>CG</v>
      </c>
      <c r="H2367" s="138" t="str">
        <f>VLOOKUP(Purchase[[#This Row],[Supplier ID]],Supplier[#All],6,0)</f>
        <v>GST2154521T016</v>
      </c>
      <c r="I2367" s="138" t="s">
        <v>125</v>
      </c>
      <c r="J2367" s="139">
        <v>40</v>
      </c>
      <c r="K2367" s="143">
        <f>VLOOKUP(Purchase[[#This Row],[Product ID]],Product[#All],6,0)</f>
        <v>33391</v>
      </c>
      <c r="L2367" s="143">
        <f>Purchase[[#This Row],[Purchase Rate]]*Purchase[[#This Row],[Qty]]</f>
        <v>1335640</v>
      </c>
      <c r="M2367" s="140">
        <v>0</v>
      </c>
      <c r="N2367" s="143">
        <v>0</v>
      </c>
      <c r="O2367" s="140">
        <v>0.18</v>
      </c>
      <c r="P2367" s="145">
        <f>(Purchase[[#This Row],[Gross Amount]]-Purchase[[#This Row],[Disct %]])*Purchase[[#This Row],[GST %]]</f>
        <v>240415.19999999998</v>
      </c>
      <c r="Q2367" s="145">
        <f>Purchase[[#This Row],[Gross Amount]]-Purchase[[#This Row],[Disct Amnt]]+Purchase[[#This Row],[GST Amount]]</f>
        <v>1576055.2</v>
      </c>
      <c r="R2367" s="138" t="s">
        <v>1019</v>
      </c>
      <c r="S2367" s="41">
        <f>IF(Purchase[[#This Row],[Status]]="Cancelled",0,Purchase[[#This Row],[Qty]])</f>
        <v>40</v>
      </c>
      <c r="T2367" s="146">
        <f>IF(Purchase[[#This Row],[Status]]="Cancelled",0,Purchase[[#This Row],[Total Amount]])</f>
        <v>1576055.2</v>
      </c>
      <c r="U2367" s="146">
        <f>SUM(Purchase[Net Amount])</f>
        <v>814985438.68000126</v>
      </c>
    </row>
    <row r="2368" spans="1:21" ht="19.5" thickBot="1" x14ac:dyDescent="0.3">
      <c r="A2368" s="136" t="s">
        <v>3425</v>
      </c>
      <c r="B2368" s="137">
        <v>45774</v>
      </c>
      <c r="C2368" s="138" t="s">
        <v>578</v>
      </c>
      <c r="D2368" s="138" t="str">
        <f>VLOOKUP(Purchase[[#This Row],[Supplier ID]],Supplier[#All],2,0)</f>
        <v>Shree Computers</v>
      </c>
      <c r="E2368" s="138">
        <f>VLOOKUP(Purchase[[#This Row],[Supplier ID]],Supplier[#All],3,0)</f>
        <v>9689542462</v>
      </c>
      <c r="F2368" s="138" t="str">
        <f>VLOOKUP(Purchase[[#This Row],[Supplier ID]],Supplier[#All],4,0)</f>
        <v>Korba</v>
      </c>
      <c r="G2368" s="138" t="str">
        <f>VLOOKUP(Purchase[[#This Row],[Supplier ID]],Supplier[#All],5,0)</f>
        <v>CG</v>
      </c>
      <c r="H2368" s="138" t="str">
        <f>VLOOKUP(Purchase[[#This Row],[Supplier ID]],Supplier[#All],6,0)</f>
        <v>GST2154521T024</v>
      </c>
      <c r="I2368" s="138" t="s">
        <v>259</v>
      </c>
      <c r="J2368" s="139">
        <v>40</v>
      </c>
      <c r="K2368" s="143">
        <f>VLOOKUP(Purchase[[#This Row],[Product ID]],Product[#All],6,0)</f>
        <v>23039</v>
      </c>
      <c r="L2368" s="143">
        <f>Purchase[[#This Row],[Purchase Rate]]*Purchase[[#This Row],[Qty]]</f>
        <v>921560</v>
      </c>
      <c r="M2368" s="140">
        <v>0</v>
      </c>
      <c r="N2368" s="143">
        <v>0</v>
      </c>
      <c r="O2368" s="140">
        <v>0.18</v>
      </c>
      <c r="P2368" s="145">
        <f>(Purchase[[#This Row],[Gross Amount]]-Purchase[[#This Row],[Disct %]])*Purchase[[#This Row],[GST %]]</f>
        <v>165880.79999999999</v>
      </c>
      <c r="Q2368" s="145">
        <f>Purchase[[#This Row],[Gross Amount]]-Purchase[[#This Row],[Disct Amnt]]+Purchase[[#This Row],[GST Amount]]</f>
        <v>1087440.8</v>
      </c>
      <c r="R2368" s="138" t="s">
        <v>1019</v>
      </c>
      <c r="S2368" s="41">
        <f>IF(Purchase[[#This Row],[Status]]="Cancelled",0,Purchase[[#This Row],[Qty]])</f>
        <v>40</v>
      </c>
      <c r="T2368" s="146">
        <f>IF(Purchase[[#This Row],[Status]]="Cancelled",0,Purchase[[#This Row],[Total Amount]])</f>
        <v>1087440.8</v>
      </c>
      <c r="U2368" s="146">
        <f>SUM(Purchase[Net Amount])</f>
        <v>814985438.68000126</v>
      </c>
    </row>
    <row r="2369" spans="1:21" ht="19.5" thickBot="1" x14ac:dyDescent="0.3">
      <c r="A2369" s="136" t="s">
        <v>3426</v>
      </c>
      <c r="B2369" s="137">
        <v>45774</v>
      </c>
      <c r="C2369" s="138" t="s">
        <v>586</v>
      </c>
      <c r="D2369" s="138" t="str">
        <f>VLOOKUP(Purchase[[#This Row],[Supplier ID]],Supplier[#All],2,0)</f>
        <v>Maa Traders</v>
      </c>
      <c r="E2369" s="138">
        <f>VLOOKUP(Purchase[[#This Row],[Supplier ID]],Supplier[#All],3,0)</f>
        <v>9689542470</v>
      </c>
      <c r="F2369" s="138" t="str">
        <f>VLOOKUP(Purchase[[#This Row],[Supplier ID]],Supplier[#All],4,0)</f>
        <v>Kanpur</v>
      </c>
      <c r="G2369" s="138" t="str">
        <f>VLOOKUP(Purchase[[#This Row],[Supplier ID]],Supplier[#All],5,0)</f>
        <v>UP</v>
      </c>
      <c r="H2369" s="138" t="str">
        <f>VLOOKUP(Purchase[[#This Row],[Supplier ID]],Supplier[#All],6,0)</f>
        <v>GST2154521T032</v>
      </c>
      <c r="I2369" s="138" t="s">
        <v>102</v>
      </c>
      <c r="J2369" s="139">
        <v>3</v>
      </c>
      <c r="K2369" s="143">
        <f>VLOOKUP(Purchase[[#This Row],[Product ID]],Product[#All],6,0)</f>
        <v>10483</v>
      </c>
      <c r="L2369" s="143">
        <f>Purchase[[#This Row],[Purchase Rate]]*Purchase[[#This Row],[Qty]]</f>
        <v>31449</v>
      </c>
      <c r="M2369" s="140">
        <v>0</v>
      </c>
      <c r="N2369" s="143">
        <v>0</v>
      </c>
      <c r="O2369" s="140">
        <v>0.18</v>
      </c>
      <c r="P2369" s="145">
        <f>(Purchase[[#This Row],[Gross Amount]]-Purchase[[#This Row],[Disct %]])*Purchase[[#This Row],[GST %]]</f>
        <v>5660.82</v>
      </c>
      <c r="Q2369" s="145">
        <f>Purchase[[#This Row],[Gross Amount]]-Purchase[[#This Row],[Disct Amnt]]+Purchase[[#This Row],[GST Amount]]</f>
        <v>37109.82</v>
      </c>
      <c r="R2369" s="138" t="s">
        <v>1019</v>
      </c>
      <c r="S2369" s="41">
        <f>IF(Purchase[[#This Row],[Status]]="Cancelled",0,Purchase[[#This Row],[Qty]])</f>
        <v>3</v>
      </c>
      <c r="T2369" s="146">
        <f>IF(Purchase[[#This Row],[Status]]="Cancelled",0,Purchase[[#This Row],[Total Amount]])</f>
        <v>37109.82</v>
      </c>
      <c r="U2369" s="146">
        <f>SUM(Purchase[Net Amount])</f>
        <v>814985438.68000126</v>
      </c>
    </row>
    <row r="2370" spans="1:21" ht="19.5" thickBot="1" x14ac:dyDescent="0.3">
      <c r="A2370" s="136" t="s">
        <v>3427</v>
      </c>
      <c r="B2370" s="137">
        <v>45774</v>
      </c>
      <c r="C2370" s="138" t="s">
        <v>579</v>
      </c>
      <c r="D2370" s="138" t="str">
        <f>VLOOKUP(Purchase[[#This Row],[Supplier ID]],Supplier[#All],2,0)</f>
        <v>Tech Traders</v>
      </c>
      <c r="E2370" s="138">
        <f>VLOOKUP(Purchase[[#This Row],[Supplier ID]],Supplier[#All],3,0)</f>
        <v>9689542463</v>
      </c>
      <c r="F2370" s="138" t="str">
        <f>VLOOKUP(Purchase[[#This Row],[Supplier ID]],Supplier[#All],4,0)</f>
        <v>Kanpur</v>
      </c>
      <c r="G2370" s="138" t="str">
        <f>VLOOKUP(Purchase[[#This Row],[Supplier ID]],Supplier[#All],5,0)</f>
        <v>UP</v>
      </c>
      <c r="H2370" s="138" t="str">
        <f>VLOOKUP(Purchase[[#This Row],[Supplier ID]],Supplier[#All],6,0)</f>
        <v>GST2154521T025</v>
      </c>
      <c r="I2370" s="138" t="s">
        <v>515</v>
      </c>
      <c r="J2370" s="139">
        <v>14</v>
      </c>
      <c r="K2370" s="143">
        <f>VLOOKUP(Purchase[[#This Row],[Product ID]],Product[#All],6,0)</f>
        <v>2141</v>
      </c>
      <c r="L2370" s="143">
        <f>Purchase[[#This Row],[Purchase Rate]]*Purchase[[#This Row],[Qty]]</f>
        <v>29974</v>
      </c>
      <c r="M2370" s="140">
        <v>0</v>
      </c>
      <c r="N2370" s="143">
        <v>0</v>
      </c>
      <c r="O2370" s="140">
        <v>0.18</v>
      </c>
      <c r="P2370" s="145">
        <f>(Purchase[[#This Row],[Gross Amount]]-Purchase[[#This Row],[Disct %]])*Purchase[[#This Row],[GST %]]</f>
        <v>5395.32</v>
      </c>
      <c r="Q2370" s="145">
        <f>Purchase[[#This Row],[Gross Amount]]-Purchase[[#This Row],[Disct Amnt]]+Purchase[[#This Row],[GST Amount]]</f>
        <v>35369.32</v>
      </c>
      <c r="R2370" s="138" t="s">
        <v>1019</v>
      </c>
      <c r="S2370" s="41">
        <f>IF(Purchase[[#This Row],[Status]]="Cancelled",0,Purchase[[#This Row],[Qty]])</f>
        <v>14</v>
      </c>
      <c r="T2370" s="146">
        <f>IF(Purchase[[#This Row],[Status]]="Cancelled",0,Purchase[[#This Row],[Total Amount]])</f>
        <v>35369.32</v>
      </c>
      <c r="U2370" s="146">
        <f>SUM(Purchase[Net Amount])</f>
        <v>814985438.68000126</v>
      </c>
    </row>
    <row r="2371" spans="1:21" ht="19.5" thickBot="1" x14ac:dyDescent="0.3">
      <c r="A2371" s="136" t="s">
        <v>3428</v>
      </c>
      <c r="B2371" s="137">
        <v>45774</v>
      </c>
      <c r="C2371" s="138" t="s">
        <v>599</v>
      </c>
      <c r="D2371" s="138" t="str">
        <f>VLOOKUP(Purchase[[#This Row],[Supplier ID]],Supplier[#All],2,0)</f>
        <v>National Distributors</v>
      </c>
      <c r="E2371" s="138">
        <f>VLOOKUP(Purchase[[#This Row],[Supplier ID]],Supplier[#All],3,0)</f>
        <v>9689542482</v>
      </c>
      <c r="F2371" s="138" t="str">
        <f>VLOOKUP(Purchase[[#This Row],[Supplier ID]],Supplier[#All],4,0)</f>
        <v>Kanpur</v>
      </c>
      <c r="G2371" s="138" t="str">
        <f>VLOOKUP(Purchase[[#This Row],[Supplier ID]],Supplier[#All],5,0)</f>
        <v>UP</v>
      </c>
      <c r="H2371" s="138" t="str">
        <f>VLOOKUP(Purchase[[#This Row],[Supplier ID]],Supplier[#All],6,0)</f>
        <v>GST2154521T044</v>
      </c>
      <c r="I2371" s="138" t="s">
        <v>438</v>
      </c>
      <c r="J2371" s="139">
        <v>27</v>
      </c>
      <c r="K2371" s="143">
        <f>VLOOKUP(Purchase[[#This Row],[Product ID]],Product[#All],6,0)</f>
        <v>1324</v>
      </c>
      <c r="L2371" s="143">
        <f>Purchase[[#This Row],[Purchase Rate]]*Purchase[[#This Row],[Qty]]</f>
        <v>35748</v>
      </c>
      <c r="M2371" s="140">
        <v>0</v>
      </c>
      <c r="N2371" s="143">
        <v>0</v>
      </c>
      <c r="O2371" s="140">
        <v>0.18</v>
      </c>
      <c r="P2371" s="145">
        <f>(Purchase[[#This Row],[Gross Amount]]-Purchase[[#This Row],[Disct %]])*Purchase[[#This Row],[GST %]]</f>
        <v>6434.6399999999994</v>
      </c>
      <c r="Q2371" s="145">
        <f>Purchase[[#This Row],[Gross Amount]]-Purchase[[#This Row],[Disct Amnt]]+Purchase[[#This Row],[GST Amount]]</f>
        <v>42182.64</v>
      </c>
      <c r="R2371" s="138" t="s">
        <v>1019</v>
      </c>
      <c r="S2371" s="41">
        <f>IF(Purchase[[#This Row],[Status]]="Cancelled",0,Purchase[[#This Row],[Qty]])</f>
        <v>27</v>
      </c>
      <c r="T2371" s="146">
        <f>IF(Purchase[[#This Row],[Status]]="Cancelled",0,Purchase[[#This Row],[Total Amount]])</f>
        <v>42182.64</v>
      </c>
      <c r="U2371" s="146">
        <f>SUM(Purchase[Net Amount])</f>
        <v>814985438.68000126</v>
      </c>
    </row>
    <row r="2372" spans="1:21" ht="19.5" thickBot="1" x14ac:dyDescent="0.3">
      <c r="A2372" s="136" t="s">
        <v>3429</v>
      </c>
      <c r="B2372" s="137">
        <v>45774</v>
      </c>
      <c r="C2372" s="138" t="s">
        <v>605</v>
      </c>
      <c r="D2372" s="138" t="str">
        <f>VLOOKUP(Purchase[[#This Row],[Supplier ID]],Supplier[#All],2,0)</f>
        <v>Star Traders</v>
      </c>
      <c r="E2372" s="138">
        <f>VLOOKUP(Purchase[[#This Row],[Supplier ID]],Supplier[#All],3,0)</f>
        <v>9689542488</v>
      </c>
      <c r="F2372" s="138" t="str">
        <f>VLOOKUP(Purchase[[#This Row],[Supplier ID]],Supplier[#All],4,0)</f>
        <v>Indore</v>
      </c>
      <c r="G2372" s="138" t="str">
        <f>VLOOKUP(Purchase[[#This Row],[Supplier ID]],Supplier[#All],5,0)</f>
        <v>MP</v>
      </c>
      <c r="H2372" s="138" t="str">
        <f>VLOOKUP(Purchase[[#This Row],[Supplier ID]],Supplier[#All],6,0)</f>
        <v>GST2154521T050</v>
      </c>
      <c r="I2372" s="138" t="s">
        <v>334</v>
      </c>
      <c r="J2372" s="139">
        <v>15</v>
      </c>
      <c r="K2372" s="143">
        <f>VLOOKUP(Purchase[[#This Row],[Product ID]],Product[#All],6,0)</f>
        <v>2706</v>
      </c>
      <c r="L2372" s="143">
        <f>Purchase[[#This Row],[Purchase Rate]]*Purchase[[#This Row],[Qty]]</f>
        <v>40590</v>
      </c>
      <c r="M2372" s="140">
        <v>0</v>
      </c>
      <c r="N2372" s="143">
        <v>0</v>
      </c>
      <c r="O2372" s="140">
        <v>0.18</v>
      </c>
      <c r="P2372" s="145">
        <f>(Purchase[[#This Row],[Gross Amount]]-Purchase[[#This Row],[Disct %]])*Purchase[[#This Row],[GST %]]</f>
        <v>7306.2</v>
      </c>
      <c r="Q2372" s="145">
        <f>Purchase[[#This Row],[Gross Amount]]-Purchase[[#This Row],[Disct Amnt]]+Purchase[[#This Row],[GST Amount]]</f>
        <v>47896.2</v>
      </c>
      <c r="R2372" s="138" t="s">
        <v>1019</v>
      </c>
      <c r="S2372" s="41">
        <f>IF(Purchase[[#This Row],[Status]]="Cancelled",0,Purchase[[#This Row],[Qty]])</f>
        <v>15</v>
      </c>
      <c r="T2372" s="146">
        <f>IF(Purchase[[#This Row],[Status]]="Cancelled",0,Purchase[[#This Row],[Total Amount]])</f>
        <v>47896.2</v>
      </c>
      <c r="U2372" s="146">
        <f>SUM(Purchase[Net Amount])</f>
        <v>814985438.68000126</v>
      </c>
    </row>
    <row r="2373" spans="1:21" ht="19.5" thickBot="1" x14ac:dyDescent="0.3">
      <c r="A2373" s="136" t="s">
        <v>3430</v>
      </c>
      <c r="B2373" s="137">
        <v>45774</v>
      </c>
      <c r="C2373" s="138" t="s">
        <v>577</v>
      </c>
      <c r="D2373" s="138" t="str">
        <f>VLOOKUP(Purchase[[#This Row],[Supplier ID]],Supplier[#All],2,0)</f>
        <v>National Electronics</v>
      </c>
      <c r="E2373" s="138">
        <f>VLOOKUP(Purchase[[#This Row],[Supplier ID]],Supplier[#All],3,0)</f>
        <v>9689542469</v>
      </c>
      <c r="F2373" s="138" t="str">
        <f>VLOOKUP(Purchase[[#This Row],[Supplier ID]],Supplier[#All],4,0)</f>
        <v>Korba</v>
      </c>
      <c r="G2373" s="138" t="str">
        <f>VLOOKUP(Purchase[[#This Row],[Supplier ID]],Supplier[#All],5,0)</f>
        <v>CG</v>
      </c>
      <c r="H2373" s="138" t="str">
        <f>VLOOKUP(Purchase[[#This Row],[Supplier ID]],Supplier[#All],6,0)</f>
        <v>GST2154521T023</v>
      </c>
      <c r="I2373" s="138" t="s">
        <v>286</v>
      </c>
      <c r="J2373" s="139">
        <v>34</v>
      </c>
      <c r="K2373" s="143">
        <f>VLOOKUP(Purchase[[#This Row],[Product ID]],Product[#All],6,0)</f>
        <v>51772</v>
      </c>
      <c r="L2373" s="143">
        <f>Purchase[[#This Row],[Purchase Rate]]*Purchase[[#This Row],[Qty]]</f>
        <v>1760248</v>
      </c>
      <c r="M2373" s="140">
        <v>0</v>
      </c>
      <c r="N2373" s="143">
        <v>0</v>
      </c>
      <c r="O2373" s="140">
        <v>0.18</v>
      </c>
      <c r="P2373" s="145">
        <f>(Purchase[[#This Row],[Gross Amount]]-Purchase[[#This Row],[Disct %]])*Purchase[[#This Row],[GST %]]</f>
        <v>316844.64</v>
      </c>
      <c r="Q2373" s="145">
        <f>Purchase[[#This Row],[Gross Amount]]-Purchase[[#This Row],[Disct Amnt]]+Purchase[[#This Row],[GST Amount]]</f>
        <v>2077092.6400000001</v>
      </c>
      <c r="R2373" s="138" t="s">
        <v>1019</v>
      </c>
      <c r="S2373" s="41">
        <f>IF(Purchase[[#This Row],[Status]]="Cancelled",0,Purchase[[#This Row],[Qty]])</f>
        <v>34</v>
      </c>
      <c r="T2373" s="146">
        <f>IF(Purchase[[#This Row],[Status]]="Cancelled",0,Purchase[[#This Row],[Total Amount]])</f>
        <v>2077092.6400000001</v>
      </c>
      <c r="U2373" s="146">
        <f>SUM(Purchase[Net Amount])</f>
        <v>814985438.68000126</v>
      </c>
    </row>
    <row r="2374" spans="1:21" ht="19.5" thickBot="1" x14ac:dyDescent="0.3">
      <c r="A2374" s="136" t="s">
        <v>3431</v>
      </c>
      <c r="B2374" s="137">
        <v>45775</v>
      </c>
      <c r="C2374" s="138" t="s">
        <v>2240</v>
      </c>
      <c r="D2374" s="138" t="str">
        <f>VLOOKUP(Purchase[[#This Row],[Supplier ID]],Supplier[#All],2,0)</f>
        <v>Star Traders</v>
      </c>
      <c r="E2374" s="138">
        <f>VLOOKUP(Purchase[[#This Row],[Supplier ID]],Supplier[#All],3,0)</f>
        <v>9689542488</v>
      </c>
      <c r="F2374" s="138" t="str">
        <f>VLOOKUP(Purchase[[#This Row],[Supplier ID]],Supplier[#All],4,0)</f>
        <v>Indore</v>
      </c>
      <c r="G2374" s="138" t="str">
        <f>VLOOKUP(Purchase[[#This Row],[Supplier ID]],Supplier[#All],5,0)</f>
        <v>MP</v>
      </c>
      <c r="H2374" s="138" t="str">
        <f>VLOOKUP(Purchase[[#This Row],[Supplier ID]],Supplier[#All],6,0)</f>
        <v>GST2154521T050</v>
      </c>
      <c r="I2374" s="138" t="s">
        <v>214</v>
      </c>
      <c r="J2374" s="139">
        <v>15</v>
      </c>
      <c r="K2374" s="143">
        <f>VLOOKUP(Purchase[[#This Row],[Product ID]],Product[#All],6,0)</f>
        <v>8627</v>
      </c>
      <c r="L2374" s="143">
        <f>Purchase[[#This Row],[Purchase Rate]]*Purchase[[#This Row],[Qty]]</f>
        <v>129405</v>
      </c>
      <c r="M2374" s="140">
        <v>0</v>
      </c>
      <c r="N2374" s="143">
        <v>0</v>
      </c>
      <c r="O2374" s="140">
        <v>0.18</v>
      </c>
      <c r="P2374" s="145">
        <f>(Purchase[[#This Row],[Gross Amount]]-Purchase[[#This Row],[Disct %]])*Purchase[[#This Row],[GST %]]</f>
        <v>23292.899999999998</v>
      </c>
      <c r="Q2374" s="145">
        <f>Purchase[[#This Row],[Gross Amount]]-Purchase[[#This Row],[Disct Amnt]]+Purchase[[#This Row],[GST Amount]]</f>
        <v>152697.9</v>
      </c>
      <c r="R2374" s="138" t="s">
        <v>1019</v>
      </c>
      <c r="S2374" s="41">
        <f>IF(Purchase[[#This Row],[Status]]="Cancelled",0,Purchase[[#This Row],[Qty]])</f>
        <v>15</v>
      </c>
      <c r="T2374" s="146">
        <f>IF(Purchase[[#This Row],[Status]]="Cancelled",0,Purchase[[#This Row],[Total Amount]])</f>
        <v>152697.9</v>
      </c>
      <c r="U2374" s="146">
        <f>SUM(Purchase[Net Amount])</f>
        <v>814985438.68000126</v>
      </c>
    </row>
    <row r="2375" spans="1:21" ht="19.5" thickBot="1" x14ac:dyDescent="0.3">
      <c r="A2375" s="136" t="s">
        <v>3432</v>
      </c>
      <c r="B2375" s="137">
        <v>45775</v>
      </c>
      <c r="C2375" s="138" t="s">
        <v>614</v>
      </c>
      <c r="D2375" s="138" t="str">
        <f>VLOOKUP(Purchase[[#This Row],[Supplier ID]],Supplier[#All],2,0)</f>
        <v>National Electronics</v>
      </c>
      <c r="E2375" s="138">
        <f>VLOOKUP(Purchase[[#This Row],[Supplier ID]],Supplier[#All],3,0)</f>
        <v>9689542497</v>
      </c>
      <c r="F2375" s="138" t="str">
        <f>VLOOKUP(Purchase[[#This Row],[Supplier ID]],Supplier[#All],4,0)</f>
        <v>Kanpur</v>
      </c>
      <c r="G2375" s="138" t="str">
        <f>VLOOKUP(Purchase[[#This Row],[Supplier ID]],Supplier[#All],5,0)</f>
        <v>UP</v>
      </c>
      <c r="H2375" s="138" t="str">
        <f>VLOOKUP(Purchase[[#This Row],[Supplier ID]],Supplier[#All],6,0)</f>
        <v>GST2154521T059</v>
      </c>
      <c r="I2375" s="138" t="s">
        <v>247</v>
      </c>
      <c r="J2375" s="139">
        <v>37</v>
      </c>
      <c r="K2375" s="143">
        <f>VLOOKUP(Purchase[[#This Row],[Product ID]],Product[#All],6,0)</f>
        <v>57779</v>
      </c>
      <c r="L2375" s="143">
        <f>Purchase[[#This Row],[Purchase Rate]]*Purchase[[#This Row],[Qty]]</f>
        <v>2137823</v>
      </c>
      <c r="M2375" s="140">
        <v>0</v>
      </c>
      <c r="N2375" s="143">
        <v>0</v>
      </c>
      <c r="O2375" s="140">
        <v>0.18</v>
      </c>
      <c r="P2375" s="145">
        <f>(Purchase[[#This Row],[Gross Amount]]-Purchase[[#This Row],[Disct %]])*Purchase[[#This Row],[GST %]]</f>
        <v>384808.14</v>
      </c>
      <c r="Q2375" s="145">
        <f>Purchase[[#This Row],[Gross Amount]]-Purchase[[#This Row],[Disct Amnt]]+Purchase[[#This Row],[GST Amount]]</f>
        <v>2522631.14</v>
      </c>
      <c r="R2375" s="138" t="s">
        <v>1019</v>
      </c>
      <c r="S2375" s="41">
        <f>IF(Purchase[[#This Row],[Status]]="Cancelled",0,Purchase[[#This Row],[Qty]])</f>
        <v>37</v>
      </c>
      <c r="T2375" s="146">
        <f>IF(Purchase[[#This Row],[Status]]="Cancelled",0,Purchase[[#This Row],[Total Amount]])</f>
        <v>2522631.14</v>
      </c>
      <c r="U2375" s="146">
        <f>SUM(Purchase[Net Amount])</f>
        <v>814985438.68000126</v>
      </c>
    </row>
    <row r="2376" spans="1:21" ht="19.5" thickBot="1" x14ac:dyDescent="0.3">
      <c r="A2376" s="136" t="s">
        <v>3433</v>
      </c>
      <c r="B2376" s="137">
        <v>45775</v>
      </c>
      <c r="C2376" s="138" t="s">
        <v>610</v>
      </c>
      <c r="D2376" s="138" t="str">
        <f>VLOOKUP(Purchase[[#This Row],[Supplier ID]],Supplier[#All],2,0)</f>
        <v>Shree Electronics</v>
      </c>
      <c r="E2376" s="138">
        <f>VLOOKUP(Purchase[[#This Row],[Supplier ID]],Supplier[#All],3,0)</f>
        <v>9689542493</v>
      </c>
      <c r="F2376" s="138" t="str">
        <f>VLOOKUP(Purchase[[#This Row],[Supplier ID]],Supplier[#All],4,0)</f>
        <v>Kanpur</v>
      </c>
      <c r="G2376" s="138" t="str">
        <f>VLOOKUP(Purchase[[#This Row],[Supplier ID]],Supplier[#All],5,0)</f>
        <v>UP</v>
      </c>
      <c r="H2376" s="138" t="str">
        <f>VLOOKUP(Purchase[[#This Row],[Supplier ID]],Supplier[#All],6,0)</f>
        <v>GST2154521T055</v>
      </c>
      <c r="I2376" s="138" t="s">
        <v>219</v>
      </c>
      <c r="J2376" s="139">
        <v>7</v>
      </c>
      <c r="K2376" s="143">
        <f>VLOOKUP(Purchase[[#This Row],[Product ID]],Product[#All],6,0)</f>
        <v>18401</v>
      </c>
      <c r="L2376" s="143">
        <f>Purchase[[#This Row],[Purchase Rate]]*Purchase[[#This Row],[Qty]]</f>
        <v>128807</v>
      </c>
      <c r="M2376" s="140">
        <v>0</v>
      </c>
      <c r="N2376" s="143">
        <v>0</v>
      </c>
      <c r="O2376" s="140">
        <v>0.18</v>
      </c>
      <c r="P2376" s="145">
        <f>(Purchase[[#This Row],[Gross Amount]]-Purchase[[#This Row],[Disct %]])*Purchase[[#This Row],[GST %]]</f>
        <v>23185.26</v>
      </c>
      <c r="Q2376" s="145">
        <f>Purchase[[#This Row],[Gross Amount]]-Purchase[[#This Row],[Disct Amnt]]+Purchase[[#This Row],[GST Amount]]</f>
        <v>151992.26</v>
      </c>
      <c r="R2376" s="138" t="s">
        <v>1019</v>
      </c>
      <c r="S2376" s="41">
        <f>IF(Purchase[[#This Row],[Status]]="Cancelled",0,Purchase[[#This Row],[Qty]])</f>
        <v>7</v>
      </c>
      <c r="T2376" s="146">
        <f>IF(Purchase[[#This Row],[Status]]="Cancelled",0,Purchase[[#This Row],[Total Amount]])</f>
        <v>151992.26</v>
      </c>
      <c r="U2376" s="146">
        <f>SUM(Purchase[Net Amount])</f>
        <v>814985438.68000126</v>
      </c>
    </row>
    <row r="2377" spans="1:21" ht="19.5" thickBot="1" x14ac:dyDescent="0.3">
      <c r="A2377" s="136" t="s">
        <v>3434</v>
      </c>
      <c r="B2377" s="137">
        <v>45775</v>
      </c>
      <c r="C2377" s="138" t="s">
        <v>598</v>
      </c>
      <c r="D2377" s="138" t="str">
        <f>VLOOKUP(Purchase[[#This Row],[Supplier ID]],Supplier[#All],2,0)</f>
        <v>National Distributors</v>
      </c>
      <c r="E2377" s="138">
        <f>VLOOKUP(Purchase[[#This Row],[Supplier ID]],Supplier[#All],3,0)</f>
        <v>9689542489</v>
      </c>
      <c r="F2377" s="138" t="str">
        <f>VLOOKUP(Purchase[[#This Row],[Supplier ID]],Supplier[#All],4,0)</f>
        <v>Indore</v>
      </c>
      <c r="G2377" s="138" t="str">
        <f>VLOOKUP(Purchase[[#This Row],[Supplier ID]],Supplier[#All],5,0)</f>
        <v>MP</v>
      </c>
      <c r="H2377" s="138" t="str">
        <f>VLOOKUP(Purchase[[#This Row],[Supplier ID]],Supplier[#All],6,0)</f>
        <v>GST2154521T043</v>
      </c>
      <c r="I2377" s="138" t="s">
        <v>140</v>
      </c>
      <c r="J2377" s="139">
        <v>24</v>
      </c>
      <c r="K2377" s="143">
        <f>VLOOKUP(Purchase[[#This Row],[Product ID]],Product[#All],6,0)</f>
        <v>2116</v>
      </c>
      <c r="L2377" s="143">
        <f>Purchase[[#This Row],[Purchase Rate]]*Purchase[[#This Row],[Qty]]</f>
        <v>50784</v>
      </c>
      <c r="M2377" s="140">
        <v>0</v>
      </c>
      <c r="N2377" s="143">
        <v>0</v>
      </c>
      <c r="O2377" s="140">
        <v>0.18</v>
      </c>
      <c r="P2377" s="145">
        <f>(Purchase[[#This Row],[Gross Amount]]-Purchase[[#This Row],[Disct %]])*Purchase[[#This Row],[GST %]]</f>
        <v>9141.119999999999</v>
      </c>
      <c r="Q2377" s="145">
        <f>Purchase[[#This Row],[Gross Amount]]-Purchase[[#This Row],[Disct Amnt]]+Purchase[[#This Row],[GST Amount]]</f>
        <v>59925.119999999995</v>
      </c>
      <c r="R2377" s="138" t="s">
        <v>1019</v>
      </c>
      <c r="S2377" s="41">
        <f>IF(Purchase[[#This Row],[Status]]="Cancelled",0,Purchase[[#This Row],[Qty]])</f>
        <v>24</v>
      </c>
      <c r="T2377" s="146">
        <f>IF(Purchase[[#This Row],[Status]]="Cancelled",0,Purchase[[#This Row],[Total Amount]])</f>
        <v>59925.119999999995</v>
      </c>
      <c r="U2377" s="146">
        <f>SUM(Purchase[Net Amount])</f>
        <v>814985438.68000126</v>
      </c>
    </row>
    <row r="2378" spans="1:21" ht="19.5" thickBot="1" x14ac:dyDescent="0.3">
      <c r="A2378" s="136" t="s">
        <v>3435</v>
      </c>
      <c r="B2378" s="137">
        <v>45775</v>
      </c>
      <c r="C2378" s="138" t="s">
        <v>608</v>
      </c>
      <c r="D2378" s="138" t="str">
        <f>VLOOKUP(Purchase[[#This Row],[Supplier ID]],Supplier[#All],2,0)</f>
        <v>Global Suppliers</v>
      </c>
      <c r="E2378" s="138">
        <f>VLOOKUP(Purchase[[#This Row],[Supplier ID]],Supplier[#All],3,0)</f>
        <v>9689542499</v>
      </c>
      <c r="F2378" s="138" t="str">
        <f>VLOOKUP(Purchase[[#This Row],[Supplier ID]],Supplier[#All],4,0)</f>
        <v>Korba</v>
      </c>
      <c r="G2378" s="138" t="str">
        <f>VLOOKUP(Purchase[[#This Row],[Supplier ID]],Supplier[#All],5,0)</f>
        <v>CG</v>
      </c>
      <c r="H2378" s="138" t="str">
        <f>VLOOKUP(Purchase[[#This Row],[Supplier ID]],Supplier[#All],6,0)</f>
        <v>GST2154521T053</v>
      </c>
      <c r="I2378" s="138" t="s">
        <v>236</v>
      </c>
      <c r="J2378" s="139">
        <v>6</v>
      </c>
      <c r="K2378" s="143">
        <f>VLOOKUP(Purchase[[#This Row],[Product ID]],Product[#All],6,0)</f>
        <v>42438</v>
      </c>
      <c r="L2378" s="143">
        <f>Purchase[[#This Row],[Purchase Rate]]*Purchase[[#This Row],[Qty]]</f>
        <v>254628</v>
      </c>
      <c r="M2378" s="140">
        <v>0</v>
      </c>
      <c r="N2378" s="143">
        <v>0</v>
      </c>
      <c r="O2378" s="140">
        <v>0.18</v>
      </c>
      <c r="P2378" s="145">
        <f>(Purchase[[#This Row],[Gross Amount]]-Purchase[[#This Row],[Disct %]])*Purchase[[#This Row],[GST %]]</f>
        <v>45833.04</v>
      </c>
      <c r="Q2378" s="145">
        <f>Purchase[[#This Row],[Gross Amount]]-Purchase[[#This Row],[Disct Amnt]]+Purchase[[#This Row],[GST Amount]]</f>
        <v>300461.03999999998</v>
      </c>
      <c r="R2378" s="138" t="s">
        <v>1019</v>
      </c>
      <c r="S2378" s="41">
        <f>IF(Purchase[[#This Row],[Status]]="Cancelled",0,Purchase[[#This Row],[Qty]])</f>
        <v>6</v>
      </c>
      <c r="T2378" s="146">
        <f>IF(Purchase[[#This Row],[Status]]="Cancelled",0,Purchase[[#This Row],[Total Amount]])</f>
        <v>300461.03999999998</v>
      </c>
      <c r="U2378" s="146">
        <f>SUM(Purchase[Net Amount])</f>
        <v>814985438.68000126</v>
      </c>
    </row>
    <row r="2379" spans="1:21" ht="19.5" thickBot="1" x14ac:dyDescent="0.3">
      <c r="A2379" s="136" t="s">
        <v>3436</v>
      </c>
      <c r="B2379" s="137">
        <v>45775</v>
      </c>
      <c r="C2379" s="138" t="s">
        <v>605</v>
      </c>
      <c r="D2379" s="138" t="str">
        <f>VLOOKUP(Purchase[[#This Row],[Supplier ID]],Supplier[#All],2,0)</f>
        <v>Star Traders</v>
      </c>
      <c r="E2379" s="138">
        <f>VLOOKUP(Purchase[[#This Row],[Supplier ID]],Supplier[#All],3,0)</f>
        <v>9689542488</v>
      </c>
      <c r="F2379" s="138" t="str">
        <f>VLOOKUP(Purchase[[#This Row],[Supplier ID]],Supplier[#All],4,0)</f>
        <v>Indore</v>
      </c>
      <c r="G2379" s="138" t="str">
        <f>VLOOKUP(Purchase[[#This Row],[Supplier ID]],Supplier[#All],5,0)</f>
        <v>MP</v>
      </c>
      <c r="H2379" s="138" t="str">
        <f>VLOOKUP(Purchase[[#This Row],[Supplier ID]],Supplier[#All],6,0)</f>
        <v>GST2154521T050</v>
      </c>
      <c r="I2379" s="138" t="s">
        <v>456</v>
      </c>
      <c r="J2379" s="139">
        <v>14</v>
      </c>
      <c r="K2379" s="143">
        <f>VLOOKUP(Purchase[[#This Row],[Product ID]],Product[#All],6,0)</f>
        <v>57453</v>
      </c>
      <c r="L2379" s="143">
        <f>Purchase[[#This Row],[Purchase Rate]]*Purchase[[#This Row],[Qty]]</f>
        <v>804342</v>
      </c>
      <c r="M2379" s="140">
        <v>0</v>
      </c>
      <c r="N2379" s="143">
        <v>0</v>
      </c>
      <c r="O2379" s="140">
        <v>0.18</v>
      </c>
      <c r="P2379" s="145">
        <f>(Purchase[[#This Row],[Gross Amount]]-Purchase[[#This Row],[Disct %]])*Purchase[[#This Row],[GST %]]</f>
        <v>144781.56</v>
      </c>
      <c r="Q2379" s="145">
        <f>Purchase[[#This Row],[Gross Amount]]-Purchase[[#This Row],[Disct Amnt]]+Purchase[[#This Row],[GST Amount]]</f>
        <v>949123.56</v>
      </c>
      <c r="R2379" s="138" t="s">
        <v>1019</v>
      </c>
      <c r="S2379" s="41">
        <f>IF(Purchase[[#This Row],[Status]]="Cancelled",0,Purchase[[#This Row],[Qty]])</f>
        <v>14</v>
      </c>
      <c r="T2379" s="146">
        <f>IF(Purchase[[#This Row],[Status]]="Cancelled",0,Purchase[[#This Row],[Total Amount]])</f>
        <v>949123.56</v>
      </c>
      <c r="U2379" s="146">
        <f>SUM(Purchase[Net Amount])</f>
        <v>814985438.68000126</v>
      </c>
    </row>
    <row r="2380" spans="1:21" ht="19.5" thickBot="1" x14ac:dyDescent="0.3">
      <c r="A2380" s="136" t="s">
        <v>3437</v>
      </c>
      <c r="B2380" s="137">
        <v>45775</v>
      </c>
      <c r="C2380" s="138" t="s">
        <v>604</v>
      </c>
      <c r="D2380" s="138" t="str">
        <f>VLOOKUP(Purchase[[#This Row],[Supplier ID]],Supplier[#All],2,0)</f>
        <v>Prime Traders</v>
      </c>
      <c r="E2380" s="138">
        <f>VLOOKUP(Purchase[[#This Row],[Supplier ID]],Supplier[#All],3,0)</f>
        <v>9689542487</v>
      </c>
      <c r="F2380" s="138" t="str">
        <f>VLOOKUP(Purchase[[#This Row],[Supplier ID]],Supplier[#All],4,0)</f>
        <v>Indore</v>
      </c>
      <c r="G2380" s="138" t="str">
        <f>VLOOKUP(Purchase[[#This Row],[Supplier ID]],Supplier[#All],5,0)</f>
        <v>MP</v>
      </c>
      <c r="H2380" s="138" t="str">
        <f>VLOOKUP(Purchase[[#This Row],[Supplier ID]],Supplier[#All],6,0)</f>
        <v>GST2154521T049</v>
      </c>
      <c r="I2380" s="138" t="s">
        <v>401</v>
      </c>
      <c r="J2380" s="139">
        <v>30</v>
      </c>
      <c r="K2380" s="143">
        <f>VLOOKUP(Purchase[[#This Row],[Product ID]],Product[#All],6,0)</f>
        <v>517</v>
      </c>
      <c r="L2380" s="143">
        <f>Purchase[[#This Row],[Purchase Rate]]*Purchase[[#This Row],[Qty]]</f>
        <v>15510</v>
      </c>
      <c r="M2380" s="140">
        <v>0</v>
      </c>
      <c r="N2380" s="143">
        <v>0</v>
      </c>
      <c r="O2380" s="140">
        <v>0.18</v>
      </c>
      <c r="P2380" s="145">
        <f>(Purchase[[#This Row],[Gross Amount]]-Purchase[[#This Row],[Disct %]])*Purchase[[#This Row],[GST %]]</f>
        <v>2791.7999999999997</v>
      </c>
      <c r="Q2380" s="145">
        <f>Purchase[[#This Row],[Gross Amount]]-Purchase[[#This Row],[Disct Amnt]]+Purchase[[#This Row],[GST Amount]]</f>
        <v>18301.8</v>
      </c>
      <c r="R2380" s="138" t="s">
        <v>1019</v>
      </c>
      <c r="S2380" s="41">
        <f>IF(Purchase[[#This Row],[Status]]="Cancelled",0,Purchase[[#This Row],[Qty]])</f>
        <v>30</v>
      </c>
      <c r="T2380" s="146">
        <f>IF(Purchase[[#This Row],[Status]]="Cancelled",0,Purchase[[#This Row],[Total Amount]])</f>
        <v>18301.8</v>
      </c>
      <c r="U2380" s="146">
        <f>SUM(Purchase[Net Amount])</f>
        <v>814985438.68000126</v>
      </c>
    </row>
    <row r="2381" spans="1:21" ht="19.5" thickBot="1" x14ac:dyDescent="0.3">
      <c r="A2381" s="136" t="s">
        <v>3438</v>
      </c>
      <c r="B2381" s="137">
        <v>45775</v>
      </c>
      <c r="C2381" s="138" t="s">
        <v>616</v>
      </c>
      <c r="D2381" s="138" t="str">
        <f>VLOOKUP(Purchase[[#This Row],[Supplier ID]],Supplier[#All],2,0)</f>
        <v>Global Suppliers</v>
      </c>
      <c r="E2381" s="138">
        <f>VLOOKUP(Purchase[[#This Row],[Supplier ID]],Supplier[#All],3,0)</f>
        <v>9689542499</v>
      </c>
      <c r="F2381" s="138" t="str">
        <f>VLOOKUP(Purchase[[#This Row],[Supplier ID]],Supplier[#All],4,0)</f>
        <v>Kanpur</v>
      </c>
      <c r="G2381" s="138" t="str">
        <f>VLOOKUP(Purchase[[#This Row],[Supplier ID]],Supplier[#All],5,0)</f>
        <v>UP</v>
      </c>
      <c r="H2381" s="138" t="str">
        <f>VLOOKUP(Purchase[[#This Row],[Supplier ID]],Supplier[#All],6,0)</f>
        <v>GST2154521T061</v>
      </c>
      <c r="I2381" s="138" t="s">
        <v>72</v>
      </c>
      <c r="J2381" s="139">
        <v>13</v>
      </c>
      <c r="K2381" s="143">
        <f>VLOOKUP(Purchase[[#This Row],[Product ID]],Product[#All],6,0)</f>
        <v>1000</v>
      </c>
      <c r="L2381" s="143">
        <f>Purchase[[#This Row],[Purchase Rate]]*Purchase[[#This Row],[Qty]]</f>
        <v>13000</v>
      </c>
      <c r="M2381" s="140">
        <v>0</v>
      </c>
      <c r="N2381" s="143">
        <v>0</v>
      </c>
      <c r="O2381" s="140">
        <v>0.18</v>
      </c>
      <c r="P2381" s="145">
        <f>(Purchase[[#This Row],[Gross Amount]]-Purchase[[#This Row],[Disct %]])*Purchase[[#This Row],[GST %]]</f>
        <v>2340</v>
      </c>
      <c r="Q2381" s="145">
        <f>Purchase[[#This Row],[Gross Amount]]-Purchase[[#This Row],[Disct Amnt]]+Purchase[[#This Row],[GST Amount]]</f>
        <v>15340</v>
      </c>
      <c r="R2381" s="138" t="s">
        <v>1019</v>
      </c>
      <c r="S2381" s="41">
        <f>IF(Purchase[[#This Row],[Status]]="Cancelled",0,Purchase[[#This Row],[Qty]])</f>
        <v>13</v>
      </c>
      <c r="T2381" s="146">
        <f>IF(Purchase[[#This Row],[Status]]="Cancelled",0,Purchase[[#This Row],[Total Amount]])</f>
        <v>15340</v>
      </c>
      <c r="U2381" s="146">
        <f>SUM(Purchase[Net Amount])</f>
        <v>814985438.68000126</v>
      </c>
    </row>
    <row r="2382" spans="1:21" ht="19.5" thickBot="1" x14ac:dyDescent="0.3">
      <c r="A2382" s="136" t="s">
        <v>3439</v>
      </c>
      <c r="B2382" s="137">
        <v>45775</v>
      </c>
      <c r="C2382" s="138" t="s">
        <v>564</v>
      </c>
      <c r="D2382" s="138" t="str">
        <f>VLOOKUP(Purchase[[#This Row],[Supplier ID]],Supplier[#All],2,0)</f>
        <v xml:space="preserve">Star Electronics </v>
      </c>
      <c r="E2382" s="138">
        <f>VLOOKUP(Purchase[[#This Row],[Supplier ID]],Supplier[#All],3,0)</f>
        <v>9689542450</v>
      </c>
      <c r="F2382" s="138" t="str">
        <f>VLOOKUP(Purchase[[#This Row],[Supplier ID]],Supplier[#All],4,0)</f>
        <v>Korba</v>
      </c>
      <c r="G2382" s="138" t="str">
        <f>VLOOKUP(Purchase[[#This Row],[Supplier ID]],Supplier[#All],5,0)</f>
        <v>CG</v>
      </c>
      <c r="H2382" s="138" t="str">
        <f>VLOOKUP(Purchase[[#This Row],[Supplier ID]],Supplier[#All],6,0)</f>
        <v>GST2154521T012</v>
      </c>
      <c r="I2382" s="138" t="s">
        <v>236</v>
      </c>
      <c r="J2382" s="139">
        <v>8</v>
      </c>
      <c r="K2382" s="143">
        <f>VLOOKUP(Purchase[[#This Row],[Product ID]],Product[#All],6,0)</f>
        <v>42438</v>
      </c>
      <c r="L2382" s="143">
        <f>Purchase[[#This Row],[Purchase Rate]]*Purchase[[#This Row],[Qty]]</f>
        <v>339504</v>
      </c>
      <c r="M2382" s="140">
        <v>0</v>
      </c>
      <c r="N2382" s="143">
        <v>0</v>
      </c>
      <c r="O2382" s="140">
        <v>0.18</v>
      </c>
      <c r="P2382" s="145">
        <f>(Purchase[[#This Row],[Gross Amount]]-Purchase[[#This Row],[Disct %]])*Purchase[[#This Row],[GST %]]</f>
        <v>61110.720000000001</v>
      </c>
      <c r="Q2382" s="145">
        <f>Purchase[[#This Row],[Gross Amount]]-Purchase[[#This Row],[Disct Amnt]]+Purchase[[#This Row],[GST Amount]]</f>
        <v>400614.72</v>
      </c>
      <c r="R2382" s="138" t="s">
        <v>1019</v>
      </c>
      <c r="S2382" s="41">
        <f>IF(Purchase[[#This Row],[Status]]="Cancelled",0,Purchase[[#This Row],[Qty]])</f>
        <v>8</v>
      </c>
      <c r="T2382" s="146">
        <f>IF(Purchase[[#This Row],[Status]]="Cancelled",0,Purchase[[#This Row],[Total Amount]])</f>
        <v>400614.72</v>
      </c>
      <c r="U2382" s="146">
        <f>SUM(Purchase[Net Amount])</f>
        <v>814985438.68000126</v>
      </c>
    </row>
    <row r="2383" spans="1:21" ht="19.5" thickBot="1" x14ac:dyDescent="0.3">
      <c r="A2383" s="136" t="s">
        <v>3440</v>
      </c>
      <c r="B2383" s="137">
        <v>45775</v>
      </c>
      <c r="C2383" s="138" t="s">
        <v>598</v>
      </c>
      <c r="D2383" s="138" t="str">
        <f>VLOOKUP(Purchase[[#This Row],[Supplier ID]],Supplier[#All],2,0)</f>
        <v>National Distributors</v>
      </c>
      <c r="E2383" s="138">
        <f>VLOOKUP(Purchase[[#This Row],[Supplier ID]],Supplier[#All],3,0)</f>
        <v>9689542489</v>
      </c>
      <c r="F2383" s="138" t="str">
        <f>VLOOKUP(Purchase[[#This Row],[Supplier ID]],Supplier[#All],4,0)</f>
        <v>Indore</v>
      </c>
      <c r="G2383" s="138" t="str">
        <f>VLOOKUP(Purchase[[#This Row],[Supplier ID]],Supplier[#All],5,0)</f>
        <v>MP</v>
      </c>
      <c r="H2383" s="138" t="str">
        <f>VLOOKUP(Purchase[[#This Row],[Supplier ID]],Supplier[#All],6,0)</f>
        <v>GST2154521T043</v>
      </c>
      <c r="I2383" s="138" t="s">
        <v>467</v>
      </c>
      <c r="J2383" s="139">
        <v>27</v>
      </c>
      <c r="K2383" s="143">
        <f>VLOOKUP(Purchase[[#This Row],[Product ID]],Product[#All],6,0)</f>
        <v>4805</v>
      </c>
      <c r="L2383" s="143">
        <f>Purchase[[#This Row],[Purchase Rate]]*Purchase[[#This Row],[Qty]]</f>
        <v>129735</v>
      </c>
      <c r="M2383" s="140">
        <v>0</v>
      </c>
      <c r="N2383" s="143">
        <v>0</v>
      </c>
      <c r="O2383" s="140">
        <v>0.18</v>
      </c>
      <c r="P2383" s="145">
        <f>(Purchase[[#This Row],[Gross Amount]]-Purchase[[#This Row],[Disct %]])*Purchase[[#This Row],[GST %]]</f>
        <v>23352.3</v>
      </c>
      <c r="Q2383" s="145">
        <f>Purchase[[#This Row],[Gross Amount]]-Purchase[[#This Row],[Disct Amnt]]+Purchase[[#This Row],[GST Amount]]</f>
        <v>153087.29999999999</v>
      </c>
      <c r="R2383" s="138" t="s">
        <v>1019</v>
      </c>
      <c r="S2383" s="41">
        <f>IF(Purchase[[#This Row],[Status]]="Cancelled",0,Purchase[[#This Row],[Qty]])</f>
        <v>27</v>
      </c>
      <c r="T2383" s="146">
        <f>IF(Purchase[[#This Row],[Status]]="Cancelled",0,Purchase[[#This Row],[Total Amount]])</f>
        <v>153087.29999999999</v>
      </c>
      <c r="U2383" s="146">
        <f>SUM(Purchase[Net Amount])</f>
        <v>814985438.68000126</v>
      </c>
    </row>
    <row r="2384" spans="1:21" ht="19.5" thickBot="1" x14ac:dyDescent="0.3">
      <c r="A2384" s="136" t="s">
        <v>3441</v>
      </c>
      <c r="B2384" s="137">
        <v>45775</v>
      </c>
      <c r="C2384" s="138" t="s">
        <v>611</v>
      </c>
      <c r="D2384" s="138" t="str">
        <f>VLOOKUP(Purchase[[#This Row],[Supplier ID]],Supplier[#All],2,0)</f>
        <v>National Distributors</v>
      </c>
      <c r="E2384" s="138">
        <f>VLOOKUP(Purchase[[#This Row],[Supplier ID]],Supplier[#All],3,0)</f>
        <v>9689542494</v>
      </c>
      <c r="F2384" s="138" t="str">
        <f>VLOOKUP(Purchase[[#This Row],[Supplier ID]],Supplier[#All],4,0)</f>
        <v>Korba</v>
      </c>
      <c r="G2384" s="138" t="str">
        <f>VLOOKUP(Purchase[[#This Row],[Supplier ID]],Supplier[#All],5,0)</f>
        <v>CG</v>
      </c>
      <c r="H2384" s="138" t="str">
        <f>VLOOKUP(Purchase[[#This Row],[Supplier ID]],Supplier[#All],6,0)</f>
        <v>GST2154521T056</v>
      </c>
      <c r="I2384" s="138" t="s">
        <v>175</v>
      </c>
      <c r="J2384" s="139">
        <v>29</v>
      </c>
      <c r="K2384" s="143">
        <f>VLOOKUP(Purchase[[#This Row],[Product ID]],Product[#All],6,0)</f>
        <v>1594</v>
      </c>
      <c r="L2384" s="143">
        <f>Purchase[[#This Row],[Purchase Rate]]*Purchase[[#This Row],[Qty]]</f>
        <v>46226</v>
      </c>
      <c r="M2384" s="140">
        <v>0</v>
      </c>
      <c r="N2384" s="143">
        <v>0</v>
      </c>
      <c r="O2384" s="140">
        <v>0.18</v>
      </c>
      <c r="P2384" s="145">
        <f>(Purchase[[#This Row],[Gross Amount]]-Purchase[[#This Row],[Disct %]])*Purchase[[#This Row],[GST %]]</f>
        <v>8320.68</v>
      </c>
      <c r="Q2384" s="145">
        <f>Purchase[[#This Row],[Gross Amount]]-Purchase[[#This Row],[Disct Amnt]]+Purchase[[#This Row],[GST Amount]]</f>
        <v>54546.68</v>
      </c>
      <c r="R2384" s="138" t="s">
        <v>1019</v>
      </c>
      <c r="S2384" s="41">
        <f>IF(Purchase[[#This Row],[Status]]="Cancelled",0,Purchase[[#This Row],[Qty]])</f>
        <v>29</v>
      </c>
      <c r="T2384" s="146">
        <f>IF(Purchase[[#This Row],[Status]]="Cancelled",0,Purchase[[#This Row],[Total Amount]])</f>
        <v>54546.68</v>
      </c>
      <c r="U2384" s="146">
        <f>SUM(Purchase[Net Amount])</f>
        <v>814985438.68000126</v>
      </c>
    </row>
    <row r="2385" spans="1:21" ht="19.5" thickBot="1" x14ac:dyDescent="0.3">
      <c r="A2385" s="136" t="s">
        <v>3442</v>
      </c>
      <c r="B2385" s="137">
        <v>45775</v>
      </c>
      <c r="C2385" s="138" t="s">
        <v>595</v>
      </c>
      <c r="D2385" s="138" t="str">
        <f>VLOOKUP(Purchase[[#This Row],[Supplier ID]],Supplier[#All],2,0)</f>
        <v>Star Computers</v>
      </c>
      <c r="E2385" s="138">
        <f>VLOOKUP(Purchase[[#This Row],[Supplier ID]],Supplier[#All],3,0)</f>
        <v>9689542478</v>
      </c>
      <c r="F2385" s="138" t="str">
        <f>VLOOKUP(Purchase[[#This Row],[Supplier ID]],Supplier[#All],4,0)</f>
        <v>Kanpur</v>
      </c>
      <c r="G2385" s="138" t="str">
        <f>VLOOKUP(Purchase[[#This Row],[Supplier ID]],Supplier[#All],5,0)</f>
        <v>UP</v>
      </c>
      <c r="H2385" s="138" t="str">
        <f>VLOOKUP(Purchase[[#This Row],[Supplier ID]],Supplier[#All],6,0)</f>
        <v>GST2154521T040</v>
      </c>
      <c r="I2385" s="138" t="s">
        <v>347</v>
      </c>
      <c r="J2385" s="139">
        <v>27</v>
      </c>
      <c r="K2385" s="143">
        <f>VLOOKUP(Purchase[[#This Row],[Product ID]],Product[#All],6,0)</f>
        <v>598</v>
      </c>
      <c r="L2385" s="143">
        <f>Purchase[[#This Row],[Purchase Rate]]*Purchase[[#This Row],[Qty]]</f>
        <v>16146</v>
      </c>
      <c r="M2385" s="140">
        <v>0</v>
      </c>
      <c r="N2385" s="143">
        <v>0</v>
      </c>
      <c r="O2385" s="140">
        <v>0.18</v>
      </c>
      <c r="P2385" s="145">
        <f>(Purchase[[#This Row],[Gross Amount]]-Purchase[[#This Row],[Disct %]])*Purchase[[#This Row],[GST %]]</f>
        <v>2906.2799999999997</v>
      </c>
      <c r="Q2385" s="145">
        <f>Purchase[[#This Row],[Gross Amount]]-Purchase[[#This Row],[Disct Amnt]]+Purchase[[#This Row],[GST Amount]]</f>
        <v>19052.28</v>
      </c>
      <c r="R2385" s="138" t="s">
        <v>1019</v>
      </c>
      <c r="S2385" s="41">
        <f>IF(Purchase[[#This Row],[Status]]="Cancelled",0,Purchase[[#This Row],[Qty]])</f>
        <v>27</v>
      </c>
      <c r="T2385" s="146">
        <f>IF(Purchase[[#This Row],[Status]]="Cancelled",0,Purchase[[#This Row],[Total Amount]])</f>
        <v>19052.28</v>
      </c>
      <c r="U2385" s="146">
        <f>SUM(Purchase[Net Amount])</f>
        <v>814985438.68000126</v>
      </c>
    </row>
    <row r="2386" spans="1:21" ht="19.5" thickBot="1" x14ac:dyDescent="0.3">
      <c r="A2386" s="136" t="s">
        <v>3443</v>
      </c>
      <c r="B2386" s="137">
        <v>45775</v>
      </c>
      <c r="C2386" s="138" t="s">
        <v>604</v>
      </c>
      <c r="D2386" s="138" t="str">
        <f>VLOOKUP(Purchase[[#This Row],[Supplier ID]],Supplier[#All],2,0)</f>
        <v>Prime Traders</v>
      </c>
      <c r="E2386" s="138">
        <f>VLOOKUP(Purchase[[#This Row],[Supplier ID]],Supplier[#All],3,0)</f>
        <v>9689542487</v>
      </c>
      <c r="F2386" s="138" t="str">
        <f>VLOOKUP(Purchase[[#This Row],[Supplier ID]],Supplier[#All],4,0)</f>
        <v>Indore</v>
      </c>
      <c r="G2386" s="138" t="str">
        <f>VLOOKUP(Purchase[[#This Row],[Supplier ID]],Supplier[#All],5,0)</f>
        <v>MP</v>
      </c>
      <c r="H2386" s="138" t="str">
        <f>VLOOKUP(Purchase[[#This Row],[Supplier ID]],Supplier[#All],6,0)</f>
        <v>GST2154521T049</v>
      </c>
      <c r="I2386" s="138" t="s">
        <v>23</v>
      </c>
      <c r="J2386" s="139">
        <v>7</v>
      </c>
      <c r="K2386" s="143">
        <f>VLOOKUP(Purchase[[#This Row],[Product ID]],Product[#All],6,0)</f>
        <v>4851</v>
      </c>
      <c r="L2386" s="143">
        <f>Purchase[[#This Row],[Purchase Rate]]*Purchase[[#This Row],[Qty]]</f>
        <v>33957</v>
      </c>
      <c r="M2386" s="140">
        <v>0</v>
      </c>
      <c r="N2386" s="143">
        <v>0</v>
      </c>
      <c r="O2386" s="140">
        <v>0.18</v>
      </c>
      <c r="P2386" s="145">
        <f>(Purchase[[#This Row],[Gross Amount]]-Purchase[[#This Row],[Disct %]])*Purchase[[#This Row],[GST %]]</f>
        <v>6112.26</v>
      </c>
      <c r="Q2386" s="145">
        <f>Purchase[[#This Row],[Gross Amount]]-Purchase[[#This Row],[Disct Amnt]]+Purchase[[#This Row],[GST Amount]]</f>
        <v>40069.26</v>
      </c>
      <c r="R2386" s="138" t="s">
        <v>1019</v>
      </c>
      <c r="S2386" s="41">
        <f>IF(Purchase[[#This Row],[Status]]="Cancelled",0,Purchase[[#This Row],[Qty]])</f>
        <v>7</v>
      </c>
      <c r="T2386" s="146">
        <f>IF(Purchase[[#This Row],[Status]]="Cancelled",0,Purchase[[#This Row],[Total Amount]])</f>
        <v>40069.26</v>
      </c>
      <c r="U2386" s="146">
        <f>SUM(Purchase[Net Amount])</f>
        <v>814985438.68000126</v>
      </c>
    </row>
    <row r="2387" spans="1:21" ht="19.5" thickBot="1" x14ac:dyDescent="0.3">
      <c r="A2387" s="136" t="s">
        <v>3444</v>
      </c>
      <c r="B2387" s="137">
        <v>45775</v>
      </c>
      <c r="C2387" s="138" t="s">
        <v>601</v>
      </c>
      <c r="D2387" s="138" t="str">
        <f>VLOOKUP(Purchase[[#This Row],[Supplier ID]],Supplier[#All],2,0)</f>
        <v>Maa Distributors</v>
      </c>
      <c r="E2387" s="138">
        <f>VLOOKUP(Purchase[[#This Row],[Supplier ID]],Supplier[#All],3,0)</f>
        <v>9689542484</v>
      </c>
      <c r="F2387" s="138" t="str">
        <f>VLOOKUP(Purchase[[#This Row],[Supplier ID]],Supplier[#All],4,0)</f>
        <v>Indore</v>
      </c>
      <c r="G2387" s="138" t="str">
        <f>VLOOKUP(Purchase[[#This Row],[Supplier ID]],Supplier[#All],5,0)</f>
        <v>MP</v>
      </c>
      <c r="H2387" s="138" t="str">
        <f>VLOOKUP(Purchase[[#This Row],[Supplier ID]],Supplier[#All],6,0)</f>
        <v>GST2154521T046</v>
      </c>
      <c r="I2387" s="138" t="s">
        <v>172</v>
      </c>
      <c r="J2387" s="139">
        <v>38</v>
      </c>
      <c r="K2387" s="143">
        <f>VLOOKUP(Purchase[[#This Row],[Product ID]],Product[#All],6,0)</f>
        <v>6047</v>
      </c>
      <c r="L2387" s="143">
        <f>Purchase[[#This Row],[Purchase Rate]]*Purchase[[#This Row],[Qty]]</f>
        <v>229786</v>
      </c>
      <c r="M2387" s="140">
        <v>0</v>
      </c>
      <c r="N2387" s="143">
        <v>0</v>
      </c>
      <c r="O2387" s="140">
        <v>0.18</v>
      </c>
      <c r="P2387" s="145">
        <f>(Purchase[[#This Row],[Gross Amount]]-Purchase[[#This Row],[Disct %]])*Purchase[[#This Row],[GST %]]</f>
        <v>41361.479999999996</v>
      </c>
      <c r="Q2387" s="145">
        <f>Purchase[[#This Row],[Gross Amount]]-Purchase[[#This Row],[Disct Amnt]]+Purchase[[#This Row],[GST Amount]]</f>
        <v>271147.48</v>
      </c>
      <c r="R2387" s="138" t="s">
        <v>1019</v>
      </c>
      <c r="S2387" s="41">
        <f>IF(Purchase[[#This Row],[Status]]="Cancelled",0,Purchase[[#This Row],[Qty]])</f>
        <v>38</v>
      </c>
      <c r="T2387" s="146">
        <f>IF(Purchase[[#This Row],[Status]]="Cancelled",0,Purchase[[#This Row],[Total Amount]])</f>
        <v>271147.48</v>
      </c>
      <c r="U2387" s="146">
        <f>SUM(Purchase[Net Amount])</f>
        <v>814985438.68000126</v>
      </c>
    </row>
    <row r="2388" spans="1:21" ht="19.5" thickBot="1" x14ac:dyDescent="0.3">
      <c r="A2388" s="136" t="s">
        <v>3445</v>
      </c>
      <c r="B2388" s="137">
        <v>45775</v>
      </c>
      <c r="C2388" s="138" t="s">
        <v>1111</v>
      </c>
      <c r="D2388" s="138" t="str">
        <f>VLOOKUP(Purchase[[#This Row],[Supplier ID]],Supplier[#All],2,0)</f>
        <v>Prime Traders</v>
      </c>
      <c r="E2388" s="138">
        <f>VLOOKUP(Purchase[[#This Row],[Supplier ID]],Supplier[#All],3,0)</f>
        <v>9689542489</v>
      </c>
      <c r="F2388" s="138" t="str">
        <f>VLOOKUP(Purchase[[#This Row],[Supplier ID]],Supplier[#All],4,0)</f>
        <v>Indore</v>
      </c>
      <c r="G2388" s="138" t="str">
        <f>VLOOKUP(Purchase[[#This Row],[Supplier ID]],Supplier[#All],5,0)</f>
        <v>MP</v>
      </c>
      <c r="H2388" s="138" t="str">
        <f>VLOOKUP(Purchase[[#This Row],[Supplier ID]],Supplier[#All],6,0)</f>
        <v>GST2154521T051</v>
      </c>
      <c r="I2388" s="138" t="s">
        <v>544</v>
      </c>
      <c r="J2388" s="139">
        <v>20</v>
      </c>
      <c r="K2388" s="143">
        <f>VLOOKUP(Purchase[[#This Row],[Product ID]],Product[#All],6,0)</f>
        <v>14145</v>
      </c>
      <c r="L2388" s="143">
        <f>Purchase[[#This Row],[Purchase Rate]]*Purchase[[#This Row],[Qty]]</f>
        <v>282900</v>
      </c>
      <c r="M2388" s="140">
        <v>0</v>
      </c>
      <c r="N2388" s="143">
        <v>0</v>
      </c>
      <c r="O2388" s="140">
        <v>0.18</v>
      </c>
      <c r="P2388" s="145">
        <f>(Purchase[[#This Row],[Gross Amount]]-Purchase[[#This Row],[Disct %]])*Purchase[[#This Row],[GST %]]</f>
        <v>50922</v>
      </c>
      <c r="Q2388" s="145">
        <f>Purchase[[#This Row],[Gross Amount]]-Purchase[[#This Row],[Disct Amnt]]+Purchase[[#This Row],[GST Amount]]</f>
        <v>333822</v>
      </c>
      <c r="R2388" s="138" t="s">
        <v>1019</v>
      </c>
      <c r="S2388" s="41">
        <f>IF(Purchase[[#This Row],[Status]]="Cancelled",0,Purchase[[#This Row],[Qty]])</f>
        <v>20</v>
      </c>
      <c r="T2388" s="146">
        <f>IF(Purchase[[#This Row],[Status]]="Cancelled",0,Purchase[[#This Row],[Total Amount]])</f>
        <v>333822</v>
      </c>
      <c r="U2388" s="146">
        <f>SUM(Purchase[Net Amount])</f>
        <v>814985438.68000126</v>
      </c>
    </row>
    <row r="2389" spans="1:21" ht="19.5" thickBot="1" x14ac:dyDescent="0.3">
      <c r="A2389" s="136" t="s">
        <v>3446</v>
      </c>
      <c r="B2389" s="137">
        <v>45775</v>
      </c>
      <c r="C2389" s="138" t="s">
        <v>603</v>
      </c>
      <c r="D2389" s="138" t="str">
        <f>VLOOKUP(Purchase[[#This Row],[Supplier ID]],Supplier[#All],2,0)</f>
        <v>Tech Computers</v>
      </c>
      <c r="E2389" s="138">
        <f>VLOOKUP(Purchase[[#This Row],[Supplier ID]],Supplier[#All],3,0)</f>
        <v>9689542486</v>
      </c>
      <c r="F2389" s="138" t="str">
        <f>VLOOKUP(Purchase[[#This Row],[Supplier ID]],Supplier[#All],4,0)</f>
        <v>Indore</v>
      </c>
      <c r="G2389" s="138" t="str">
        <f>VLOOKUP(Purchase[[#This Row],[Supplier ID]],Supplier[#All],5,0)</f>
        <v>MP</v>
      </c>
      <c r="H2389" s="138" t="str">
        <f>VLOOKUP(Purchase[[#This Row],[Supplier ID]],Supplier[#All],6,0)</f>
        <v>GST2154521T048</v>
      </c>
      <c r="I2389" s="138" t="s">
        <v>363</v>
      </c>
      <c r="J2389" s="139">
        <v>14</v>
      </c>
      <c r="K2389" s="143">
        <f>VLOOKUP(Purchase[[#This Row],[Product ID]],Product[#All],6,0)</f>
        <v>30731</v>
      </c>
      <c r="L2389" s="143">
        <f>Purchase[[#This Row],[Purchase Rate]]*Purchase[[#This Row],[Qty]]</f>
        <v>430234</v>
      </c>
      <c r="M2389" s="140">
        <v>0</v>
      </c>
      <c r="N2389" s="143">
        <v>0</v>
      </c>
      <c r="O2389" s="140">
        <v>0.18</v>
      </c>
      <c r="P2389" s="145">
        <f>(Purchase[[#This Row],[Gross Amount]]-Purchase[[#This Row],[Disct %]])*Purchase[[#This Row],[GST %]]</f>
        <v>77442.12</v>
      </c>
      <c r="Q2389" s="145">
        <f>Purchase[[#This Row],[Gross Amount]]-Purchase[[#This Row],[Disct Amnt]]+Purchase[[#This Row],[GST Amount]]</f>
        <v>507676.12</v>
      </c>
      <c r="R2389" s="138" t="s">
        <v>1019</v>
      </c>
      <c r="S2389" s="41">
        <f>IF(Purchase[[#This Row],[Status]]="Cancelled",0,Purchase[[#This Row],[Qty]])</f>
        <v>14</v>
      </c>
      <c r="T2389" s="146">
        <f>IF(Purchase[[#This Row],[Status]]="Cancelled",0,Purchase[[#This Row],[Total Amount]])</f>
        <v>507676.12</v>
      </c>
      <c r="U2389" s="146">
        <f>SUM(Purchase[Net Amount])</f>
        <v>814985438.68000126</v>
      </c>
    </row>
    <row r="2390" spans="1:21" ht="19.5" thickBot="1" x14ac:dyDescent="0.3">
      <c r="A2390" s="136" t="s">
        <v>3447</v>
      </c>
      <c r="B2390" s="137">
        <v>45775</v>
      </c>
      <c r="C2390" s="138" t="s">
        <v>586</v>
      </c>
      <c r="D2390" s="138" t="str">
        <f>VLOOKUP(Purchase[[#This Row],[Supplier ID]],Supplier[#All],2,0)</f>
        <v>Maa Traders</v>
      </c>
      <c r="E2390" s="138">
        <f>VLOOKUP(Purchase[[#This Row],[Supplier ID]],Supplier[#All],3,0)</f>
        <v>9689542470</v>
      </c>
      <c r="F2390" s="138" t="str">
        <f>VLOOKUP(Purchase[[#This Row],[Supplier ID]],Supplier[#All],4,0)</f>
        <v>Kanpur</v>
      </c>
      <c r="G2390" s="138" t="str">
        <f>VLOOKUP(Purchase[[#This Row],[Supplier ID]],Supplier[#All],5,0)</f>
        <v>UP</v>
      </c>
      <c r="H2390" s="138" t="str">
        <f>VLOOKUP(Purchase[[#This Row],[Supplier ID]],Supplier[#All],6,0)</f>
        <v>GST2154521T032</v>
      </c>
      <c r="I2390" s="138" t="s">
        <v>389</v>
      </c>
      <c r="J2390" s="139">
        <v>26</v>
      </c>
      <c r="K2390" s="143">
        <f>VLOOKUP(Purchase[[#This Row],[Product ID]],Product[#All],6,0)</f>
        <v>9003</v>
      </c>
      <c r="L2390" s="143">
        <f>Purchase[[#This Row],[Purchase Rate]]*Purchase[[#This Row],[Qty]]</f>
        <v>234078</v>
      </c>
      <c r="M2390" s="140">
        <v>0</v>
      </c>
      <c r="N2390" s="143">
        <v>0</v>
      </c>
      <c r="O2390" s="140">
        <v>0.18</v>
      </c>
      <c r="P2390" s="145">
        <f>(Purchase[[#This Row],[Gross Amount]]-Purchase[[#This Row],[Disct %]])*Purchase[[#This Row],[GST %]]</f>
        <v>42134.04</v>
      </c>
      <c r="Q2390" s="145">
        <f>Purchase[[#This Row],[Gross Amount]]-Purchase[[#This Row],[Disct Amnt]]+Purchase[[#This Row],[GST Amount]]</f>
        <v>276212.03999999998</v>
      </c>
      <c r="R2390" s="138" t="s">
        <v>1019</v>
      </c>
      <c r="S2390" s="41">
        <f>IF(Purchase[[#This Row],[Status]]="Cancelled",0,Purchase[[#This Row],[Qty]])</f>
        <v>26</v>
      </c>
      <c r="T2390" s="146">
        <f>IF(Purchase[[#This Row],[Status]]="Cancelled",0,Purchase[[#This Row],[Total Amount]])</f>
        <v>276212.03999999998</v>
      </c>
      <c r="U2390" s="146">
        <f>SUM(Purchase[Net Amount])</f>
        <v>814985438.68000126</v>
      </c>
    </row>
    <row r="2391" spans="1:21" ht="19.5" thickBot="1" x14ac:dyDescent="0.3">
      <c r="A2391" s="136" t="s">
        <v>3448</v>
      </c>
      <c r="B2391" s="137">
        <v>45775</v>
      </c>
      <c r="C2391" s="138" t="s">
        <v>598</v>
      </c>
      <c r="D2391" s="138" t="str">
        <f>VLOOKUP(Purchase[[#This Row],[Supplier ID]],Supplier[#All],2,0)</f>
        <v>National Distributors</v>
      </c>
      <c r="E2391" s="138">
        <f>VLOOKUP(Purchase[[#This Row],[Supplier ID]],Supplier[#All],3,0)</f>
        <v>9689542489</v>
      </c>
      <c r="F2391" s="138" t="str">
        <f>VLOOKUP(Purchase[[#This Row],[Supplier ID]],Supplier[#All],4,0)</f>
        <v>Indore</v>
      </c>
      <c r="G2391" s="138" t="str">
        <f>VLOOKUP(Purchase[[#This Row],[Supplier ID]],Supplier[#All],5,0)</f>
        <v>MP</v>
      </c>
      <c r="H2391" s="138" t="str">
        <f>VLOOKUP(Purchase[[#This Row],[Supplier ID]],Supplier[#All],6,0)</f>
        <v>GST2154521T043</v>
      </c>
      <c r="I2391" s="138" t="s">
        <v>433</v>
      </c>
      <c r="J2391" s="139">
        <v>39</v>
      </c>
      <c r="K2391" s="143">
        <f>VLOOKUP(Purchase[[#This Row],[Product ID]],Product[#All],6,0)</f>
        <v>10926</v>
      </c>
      <c r="L2391" s="143">
        <f>Purchase[[#This Row],[Purchase Rate]]*Purchase[[#This Row],[Qty]]</f>
        <v>426114</v>
      </c>
      <c r="M2391" s="140">
        <v>0</v>
      </c>
      <c r="N2391" s="143">
        <v>0</v>
      </c>
      <c r="O2391" s="140">
        <v>0.18</v>
      </c>
      <c r="P2391" s="145">
        <f>(Purchase[[#This Row],[Gross Amount]]-Purchase[[#This Row],[Disct %]])*Purchase[[#This Row],[GST %]]</f>
        <v>76700.52</v>
      </c>
      <c r="Q2391" s="145">
        <f>Purchase[[#This Row],[Gross Amount]]-Purchase[[#This Row],[Disct Amnt]]+Purchase[[#This Row],[GST Amount]]</f>
        <v>502814.52</v>
      </c>
      <c r="R2391" s="138" t="s">
        <v>1019</v>
      </c>
      <c r="S2391" s="41">
        <f>IF(Purchase[[#This Row],[Status]]="Cancelled",0,Purchase[[#This Row],[Qty]])</f>
        <v>39</v>
      </c>
      <c r="T2391" s="146">
        <f>IF(Purchase[[#This Row],[Status]]="Cancelled",0,Purchase[[#This Row],[Total Amount]])</f>
        <v>502814.52</v>
      </c>
      <c r="U2391" s="146">
        <f>SUM(Purchase[Net Amount])</f>
        <v>814985438.68000126</v>
      </c>
    </row>
    <row r="2392" spans="1:21" ht="19.5" thickBot="1" x14ac:dyDescent="0.3">
      <c r="A2392" s="136" t="s">
        <v>3449</v>
      </c>
      <c r="B2392" s="137">
        <v>45775</v>
      </c>
      <c r="C2392" s="138" t="s">
        <v>567</v>
      </c>
      <c r="D2392" s="138" t="str">
        <f>VLOOKUP(Purchase[[#This Row],[Supplier ID]],Supplier[#All],2,0)</f>
        <v>National Distributors</v>
      </c>
      <c r="E2392" s="138">
        <f>VLOOKUP(Purchase[[#This Row],[Supplier ID]],Supplier[#All],3,0)</f>
        <v>9689542453</v>
      </c>
      <c r="F2392" s="138" t="str">
        <f>VLOOKUP(Purchase[[#This Row],[Supplier ID]],Supplier[#All],4,0)</f>
        <v>Korba</v>
      </c>
      <c r="G2392" s="138" t="str">
        <f>VLOOKUP(Purchase[[#This Row],[Supplier ID]],Supplier[#All],5,0)</f>
        <v>CG</v>
      </c>
      <c r="H2392" s="138" t="str">
        <f>VLOOKUP(Purchase[[#This Row],[Supplier ID]],Supplier[#All],6,0)</f>
        <v>GST2154521T015</v>
      </c>
      <c r="I2392" s="138" t="s">
        <v>366</v>
      </c>
      <c r="J2392" s="139">
        <v>39</v>
      </c>
      <c r="K2392" s="143">
        <f>VLOOKUP(Purchase[[#This Row],[Product ID]],Product[#All],6,0)</f>
        <v>3896</v>
      </c>
      <c r="L2392" s="143">
        <f>Purchase[[#This Row],[Purchase Rate]]*Purchase[[#This Row],[Qty]]</f>
        <v>151944</v>
      </c>
      <c r="M2392" s="140">
        <v>0</v>
      </c>
      <c r="N2392" s="143">
        <v>0</v>
      </c>
      <c r="O2392" s="140">
        <v>0.18</v>
      </c>
      <c r="P2392" s="145">
        <f>(Purchase[[#This Row],[Gross Amount]]-Purchase[[#This Row],[Disct %]])*Purchase[[#This Row],[GST %]]</f>
        <v>27349.919999999998</v>
      </c>
      <c r="Q2392" s="145">
        <f>Purchase[[#This Row],[Gross Amount]]-Purchase[[#This Row],[Disct Amnt]]+Purchase[[#This Row],[GST Amount]]</f>
        <v>179293.91999999998</v>
      </c>
      <c r="R2392" s="138" t="s">
        <v>1019</v>
      </c>
      <c r="S2392" s="41">
        <f>IF(Purchase[[#This Row],[Status]]="Cancelled",0,Purchase[[#This Row],[Qty]])</f>
        <v>39</v>
      </c>
      <c r="T2392" s="146">
        <f>IF(Purchase[[#This Row],[Status]]="Cancelled",0,Purchase[[#This Row],[Total Amount]])</f>
        <v>179293.91999999998</v>
      </c>
      <c r="U2392" s="146">
        <f>SUM(Purchase[Net Amount])</f>
        <v>814985438.68000126</v>
      </c>
    </row>
    <row r="2393" spans="1:21" ht="19.5" thickBot="1" x14ac:dyDescent="0.3">
      <c r="A2393" s="136" t="s">
        <v>3450</v>
      </c>
      <c r="B2393" s="137">
        <v>45775</v>
      </c>
      <c r="C2393" s="138" t="s">
        <v>569</v>
      </c>
      <c r="D2393" s="138" t="str">
        <f>VLOOKUP(Purchase[[#This Row],[Supplier ID]],Supplier[#All],2,0)</f>
        <v>Tech Electronics</v>
      </c>
      <c r="E2393" s="138">
        <f>VLOOKUP(Purchase[[#This Row],[Supplier ID]],Supplier[#All],3,0)</f>
        <v>9689542455</v>
      </c>
      <c r="F2393" s="138" t="str">
        <f>VLOOKUP(Purchase[[#This Row],[Supplier ID]],Supplier[#All],4,0)</f>
        <v>Korba</v>
      </c>
      <c r="G2393" s="138" t="str">
        <f>VLOOKUP(Purchase[[#This Row],[Supplier ID]],Supplier[#All],5,0)</f>
        <v>CG</v>
      </c>
      <c r="H2393" s="138" t="str">
        <f>VLOOKUP(Purchase[[#This Row],[Supplier ID]],Supplier[#All],6,0)</f>
        <v>GST2154521T017</v>
      </c>
      <c r="I2393" s="138" t="s">
        <v>268</v>
      </c>
      <c r="J2393" s="139">
        <v>32</v>
      </c>
      <c r="K2393" s="143">
        <f>VLOOKUP(Purchase[[#This Row],[Product ID]],Product[#All],6,0)</f>
        <v>1726</v>
      </c>
      <c r="L2393" s="143">
        <f>Purchase[[#This Row],[Purchase Rate]]*Purchase[[#This Row],[Qty]]</f>
        <v>55232</v>
      </c>
      <c r="M2393" s="140">
        <v>0</v>
      </c>
      <c r="N2393" s="143">
        <v>0</v>
      </c>
      <c r="O2393" s="140">
        <v>0.18</v>
      </c>
      <c r="P2393" s="145">
        <f>(Purchase[[#This Row],[Gross Amount]]-Purchase[[#This Row],[Disct %]])*Purchase[[#This Row],[GST %]]</f>
        <v>9941.76</v>
      </c>
      <c r="Q2393" s="145">
        <f>Purchase[[#This Row],[Gross Amount]]-Purchase[[#This Row],[Disct Amnt]]+Purchase[[#This Row],[GST Amount]]</f>
        <v>65173.760000000002</v>
      </c>
      <c r="R2393" s="138" t="s">
        <v>1019</v>
      </c>
      <c r="S2393" s="41">
        <f>IF(Purchase[[#This Row],[Status]]="Cancelled",0,Purchase[[#This Row],[Qty]])</f>
        <v>32</v>
      </c>
      <c r="T2393" s="146">
        <f>IF(Purchase[[#This Row],[Status]]="Cancelled",0,Purchase[[#This Row],[Total Amount]])</f>
        <v>65173.760000000002</v>
      </c>
      <c r="U2393" s="146">
        <f>SUM(Purchase[Net Amount])</f>
        <v>814985438.68000126</v>
      </c>
    </row>
    <row r="2394" spans="1:21" ht="19.5" thickBot="1" x14ac:dyDescent="0.3">
      <c r="A2394" s="136" t="s">
        <v>3451</v>
      </c>
      <c r="B2394" s="137">
        <v>45775</v>
      </c>
      <c r="C2394" s="138" t="s">
        <v>585</v>
      </c>
      <c r="D2394" s="138" t="str">
        <f>VLOOKUP(Purchase[[#This Row],[Supplier ID]],Supplier[#All],2,0)</f>
        <v>Tech Computers</v>
      </c>
      <c r="E2394" s="138">
        <f>VLOOKUP(Purchase[[#This Row],[Supplier ID]],Supplier[#All],3,0)</f>
        <v>9689542469</v>
      </c>
      <c r="F2394" s="138" t="str">
        <f>VLOOKUP(Purchase[[#This Row],[Supplier ID]],Supplier[#All],4,0)</f>
        <v>Korba</v>
      </c>
      <c r="G2394" s="138" t="str">
        <f>VLOOKUP(Purchase[[#This Row],[Supplier ID]],Supplier[#All],5,0)</f>
        <v>CG</v>
      </c>
      <c r="H2394" s="138" t="str">
        <f>VLOOKUP(Purchase[[#This Row],[Supplier ID]],Supplier[#All],6,0)</f>
        <v>GST2154521T031</v>
      </c>
      <c r="I2394" s="138" t="s">
        <v>163</v>
      </c>
      <c r="J2394" s="139">
        <v>40</v>
      </c>
      <c r="K2394" s="143">
        <f>VLOOKUP(Purchase[[#This Row],[Product ID]],Product[#All],6,0)</f>
        <v>13893</v>
      </c>
      <c r="L2394" s="143">
        <f>Purchase[[#This Row],[Purchase Rate]]*Purchase[[#This Row],[Qty]]</f>
        <v>555720</v>
      </c>
      <c r="M2394" s="140">
        <v>0</v>
      </c>
      <c r="N2394" s="143">
        <v>0</v>
      </c>
      <c r="O2394" s="140">
        <v>0.18</v>
      </c>
      <c r="P2394" s="145">
        <f>(Purchase[[#This Row],[Gross Amount]]-Purchase[[#This Row],[Disct %]])*Purchase[[#This Row],[GST %]]</f>
        <v>100029.59999999999</v>
      </c>
      <c r="Q2394" s="145">
        <f>Purchase[[#This Row],[Gross Amount]]-Purchase[[#This Row],[Disct Amnt]]+Purchase[[#This Row],[GST Amount]]</f>
        <v>655749.6</v>
      </c>
      <c r="R2394" s="138" t="s">
        <v>1019</v>
      </c>
      <c r="S2394" s="41">
        <f>IF(Purchase[[#This Row],[Status]]="Cancelled",0,Purchase[[#This Row],[Qty]])</f>
        <v>40</v>
      </c>
      <c r="T2394" s="146">
        <f>IF(Purchase[[#This Row],[Status]]="Cancelled",0,Purchase[[#This Row],[Total Amount]])</f>
        <v>655749.6</v>
      </c>
      <c r="U2394" s="146">
        <f>SUM(Purchase[Net Amount])</f>
        <v>814985438.68000126</v>
      </c>
    </row>
    <row r="2395" spans="1:21" ht="19.5" thickBot="1" x14ac:dyDescent="0.3">
      <c r="A2395" s="136" t="s">
        <v>3452</v>
      </c>
      <c r="B2395" s="137">
        <v>45775</v>
      </c>
      <c r="C2395" s="138" t="s">
        <v>564</v>
      </c>
      <c r="D2395" s="138" t="str">
        <f>VLOOKUP(Purchase[[#This Row],[Supplier ID]],Supplier[#All],2,0)</f>
        <v xml:space="preserve">Star Electronics </v>
      </c>
      <c r="E2395" s="138">
        <f>VLOOKUP(Purchase[[#This Row],[Supplier ID]],Supplier[#All],3,0)</f>
        <v>9689542450</v>
      </c>
      <c r="F2395" s="138" t="str">
        <f>VLOOKUP(Purchase[[#This Row],[Supplier ID]],Supplier[#All],4,0)</f>
        <v>Korba</v>
      </c>
      <c r="G2395" s="138" t="str">
        <f>VLOOKUP(Purchase[[#This Row],[Supplier ID]],Supplier[#All],5,0)</f>
        <v>CG</v>
      </c>
      <c r="H2395" s="138" t="str">
        <f>VLOOKUP(Purchase[[#This Row],[Supplier ID]],Supplier[#All],6,0)</f>
        <v>GST2154521T012</v>
      </c>
      <c r="I2395" s="138" t="s">
        <v>191</v>
      </c>
      <c r="J2395" s="139">
        <v>5</v>
      </c>
      <c r="K2395" s="143">
        <f>VLOOKUP(Purchase[[#This Row],[Product ID]],Product[#All],6,0)</f>
        <v>1533</v>
      </c>
      <c r="L2395" s="143">
        <f>Purchase[[#This Row],[Purchase Rate]]*Purchase[[#This Row],[Qty]]</f>
        <v>7665</v>
      </c>
      <c r="M2395" s="140">
        <v>0</v>
      </c>
      <c r="N2395" s="143">
        <v>0</v>
      </c>
      <c r="O2395" s="140">
        <v>0.18</v>
      </c>
      <c r="P2395" s="145">
        <f>(Purchase[[#This Row],[Gross Amount]]-Purchase[[#This Row],[Disct %]])*Purchase[[#This Row],[GST %]]</f>
        <v>1379.7</v>
      </c>
      <c r="Q2395" s="145">
        <f>Purchase[[#This Row],[Gross Amount]]-Purchase[[#This Row],[Disct Amnt]]+Purchase[[#This Row],[GST Amount]]</f>
        <v>9044.7000000000007</v>
      </c>
      <c r="R2395" s="138" t="s">
        <v>1019</v>
      </c>
      <c r="S2395" s="41">
        <f>IF(Purchase[[#This Row],[Status]]="Cancelled",0,Purchase[[#This Row],[Qty]])</f>
        <v>5</v>
      </c>
      <c r="T2395" s="146">
        <f>IF(Purchase[[#This Row],[Status]]="Cancelled",0,Purchase[[#This Row],[Total Amount]])</f>
        <v>9044.7000000000007</v>
      </c>
      <c r="U2395" s="146">
        <f>SUM(Purchase[Net Amount])</f>
        <v>814985438.68000126</v>
      </c>
    </row>
    <row r="2396" spans="1:21" ht="19.5" thickBot="1" x14ac:dyDescent="0.3">
      <c r="A2396" s="136" t="s">
        <v>3453</v>
      </c>
      <c r="B2396" s="137">
        <v>45775</v>
      </c>
      <c r="C2396" s="138" t="s">
        <v>569</v>
      </c>
      <c r="D2396" s="138" t="str">
        <f>VLOOKUP(Purchase[[#This Row],[Supplier ID]],Supplier[#All],2,0)</f>
        <v>Tech Electronics</v>
      </c>
      <c r="E2396" s="138">
        <f>VLOOKUP(Purchase[[#This Row],[Supplier ID]],Supplier[#All],3,0)</f>
        <v>9689542455</v>
      </c>
      <c r="F2396" s="138" t="str">
        <f>VLOOKUP(Purchase[[#This Row],[Supplier ID]],Supplier[#All],4,0)</f>
        <v>Korba</v>
      </c>
      <c r="G2396" s="138" t="str">
        <f>VLOOKUP(Purchase[[#This Row],[Supplier ID]],Supplier[#All],5,0)</f>
        <v>CG</v>
      </c>
      <c r="H2396" s="138" t="str">
        <f>VLOOKUP(Purchase[[#This Row],[Supplier ID]],Supplier[#All],6,0)</f>
        <v>GST2154521T017</v>
      </c>
      <c r="I2396" s="138" t="s">
        <v>109</v>
      </c>
      <c r="J2396" s="139">
        <v>11</v>
      </c>
      <c r="K2396" s="143">
        <f>VLOOKUP(Purchase[[#This Row],[Product ID]],Product[#All],6,0)</f>
        <v>1796</v>
      </c>
      <c r="L2396" s="143">
        <f>Purchase[[#This Row],[Purchase Rate]]*Purchase[[#This Row],[Qty]]</f>
        <v>19756</v>
      </c>
      <c r="M2396" s="140">
        <v>0</v>
      </c>
      <c r="N2396" s="143">
        <v>0</v>
      </c>
      <c r="O2396" s="140">
        <v>0.18</v>
      </c>
      <c r="P2396" s="145">
        <f>(Purchase[[#This Row],[Gross Amount]]-Purchase[[#This Row],[Disct %]])*Purchase[[#This Row],[GST %]]</f>
        <v>3556.08</v>
      </c>
      <c r="Q2396" s="145">
        <f>Purchase[[#This Row],[Gross Amount]]-Purchase[[#This Row],[Disct Amnt]]+Purchase[[#This Row],[GST Amount]]</f>
        <v>23312.080000000002</v>
      </c>
      <c r="R2396" s="138" t="s">
        <v>1019</v>
      </c>
      <c r="S2396" s="41">
        <f>IF(Purchase[[#This Row],[Status]]="Cancelled",0,Purchase[[#This Row],[Qty]])</f>
        <v>11</v>
      </c>
      <c r="T2396" s="146">
        <f>IF(Purchase[[#This Row],[Status]]="Cancelled",0,Purchase[[#This Row],[Total Amount]])</f>
        <v>23312.080000000002</v>
      </c>
      <c r="U2396" s="146">
        <f>SUM(Purchase[Net Amount])</f>
        <v>814985438.68000126</v>
      </c>
    </row>
    <row r="2397" spans="1:21" ht="19.5" thickBot="1" x14ac:dyDescent="0.3">
      <c r="A2397" s="136" t="s">
        <v>3454</v>
      </c>
      <c r="B2397" s="137">
        <v>45775</v>
      </c>
      <c r="C2397" s="138" t="s">
        <v>587</v>
      </c>
      <c r="D2397" s="138" t="str">
        <f>VLOOKUP(Purchase[[#This Row],[Supplier ID]],Supplier[#All],2,0)</f>
        <v>maa distributors</v>
      </c>
      <c r="E2397" s="138">
        <f>VLOOKUP(Purchase[[#This Row],[Supplier ID]],Supplier[#All],3,0)</f>
        <v>9689542479</v>
      </c>
      <c r="F2397" s="138" t="str">
        <f>VLOOKUP(Purchase[[#This Row],[Supplier ID]],Supplier[#All],4,0)</f>
        <v>Indore</v>
      </c>
      <c r="G2397" s="138" t="str">
        <f>VLOOKUP(Purchase[[#This Row],[Supplier ID]],Supplier[#All],5,0)</f>
        <v>MP</v>
      </c>
      <c r="H2397" s="138" t="str">
        <f>VLOOKUP(Purchase[[#This Row],[Supplier ID]],Supplier[#All],6,0)</f>
        <v>GST2154521T033</v>
      </c>
      <c r="I2397" s="138" t="s">
        <v>244</v>
      </c>
      <c r="J2397" s="139">
        <v>11</v>
      </c>
      <c r="K2397" s="143">
        <f>VLOOKUP(Purchase[[#This Row],[Product ID]],Product[#All],6,0)</f>
        <v>3205</v>
      </c>
      <c r="L2397" s="143">
        <f>Purchase[[#This Row],[Purchase Rate]]*Purchase[[#This Row],[Qty]]</f>
        <v>35255</v>
      </c>
      <c r="M2397" s="140">
        <v>0</v>
      </c>
      <c r="N2397" s="143">
        <v>0</v>
      </c>
      <c r="O2397" s="140">
        <v>0.18</v>
      </c>
      <c r="P2397" s="145">
        <f>(Purchase[[#This Row],[Gross Amount]]-Purchase[[#This Row],[Disct %]])*Purchase[[#This Row],[GST %]]</f>
        <v>6345.9</v>
      </c>
      <c r="Q2397" s="145">
        <f>Purchase[[#This Row],[Gross Amount]]-Purchase[[#This Row],[Disct Amnt]]+Purchase[[#This Row],[GST Amount]]</f>
        <v>41600.9</v>
      </c>
      <c r="R2397" s="138" t="s">
        <v>1019</v>
      </c>
      <c r="S2397" s="41">
        <f>IF(Purchase[[#This Row],[Status]]="Cancelled",0,Purchase[[#This Row],[Qty]])</f>
        <v>11</v>
      </c>
      <c r="T2397" s="146">
        <f>IF(Purchase[[#This Row],[Status]]="Cancelled",0,Purchase[[#This Row],[Total Amount]])</f>
        <v>41600.9</v>
      </c>
      <c r="U2397" s="146">
        <f>SUM(Purchase[Net Amount])</f>
        <v>814985438.68000126</v>
      </c>
    </row>
    <row r="2398" spans="1:21" ht="19.5" thickBot="1" x14ac:dyDescent="0.3">
      <c r="A2398" s="136" t="s">
        <v>3455</v>
      </c>
      <c r="B2398" s="137">
        <v>45775</v>
      </c>
      <c r="C2398" s="138" t="s">
        <v>593</v>
      </c>
      <c r="D2398" s="138" t="str">
        <f>VLOOKUP(Purchase[[#This Row],[Supplier ID]],Supplier[#All],2,0)</f>
        <v>Global Suppliers</v>
      </c>
      <c r="E2398" s="138">
        <f>VLOOKUP(Purchase[[#This Row],[Supplier ID]],Supplier[#All],3,0)</f>
        <v>9689542476</v>
      </c>
      <c r="F2398" s="138" t="str">
        <f>VLOOKUP(Purchase[[#This Row],[Supplier ID]],Supplier[#All],4,0)</f>
        <v>Korba</v>
      </c>
      <c r="G2398" s="138" t="str">
        <f>VLOOKUP(Purchase[[#This Row],[Supplier ID]],Supplier[#All],5,0)</f>
        <v>CG</v>
      </c>
      <c r="H2398" s="138" t="str">
        <f>VLOOKUP(Purchase[[#This Row],[Supplier ID]],Supplier[#All],6,0)</f>
        <v>GST2154521T038</v>
      </c>
      <c r="I2398" s="138" t="s">
        <v>268</v>
      </c>
      <c r="J2398" s="139">
        <v>33</v>
      </c>
      <c r="K2398" s="143">
        <f>VLOOKUP(Purchase[[#This Row],[Product ID]],Product[#All],6,0)</f>
        <v>1726</v>
      </c>
      <c r="L2398" s="143">
        <f>Purchase[[#This Row],[Purchase Rate]]*Purchase[[#This Row],[Qty]]</f>
        <v>56958</v>
      </c>
      <c r="M2398" s="140">
        <v>0</v>
      </c>
      <c r="N2398" s="143">
        <v>0</v>
      </c>
      <c r="O2398" s="140">
        <v>0.18</v>
      </c>
      <c r="P2398" s="145">
        <f>(Purchase[[#This Row],[Gross Amount]]-Purchase[[#This Row],[Disct %]])*Purchase[[#This Row],[GST %]]</f>
        <v>10252.44</v>
      </c>
      <c r="Q2398" s="145">
        <f>Purchase[[#This Row],[Gross Amount]]-Purchase[[#This Row],[Disct Amnt]]+Purchase[[#This Row],[GST Amount]]</f>
        <v>67210.44</v>
      </c>
      <c r="R2398" s="138" t="s">
        <v>1019</v>
      </c>
      <c r="S2398" s="41">
        <f>IF(Purchase[[#This Row],[Status]]="Cancelled",0,Purchase[[#This Row],[Qty]])</f>
        <v>33</v>
      </c>
      <c r="T2398" s="146">
        <f>IF(Purchase[[#This Row],[Status]]="Cancelled",0,Purchase[[#This Row],[Total Amount]])</f>
        <v>67210.44</v>
      </c>
      <c r="U2398" s="146">
        <f>SUM(Purchase[Net Amount])</f>
        <v>814985438.68000126</v>
      </c>
    </row>
    <row r="2399" spans="1:21" ht="19.5" thickBot="1" x14ac:dyDescent="0.3">
      <c r="A2399" s="136" t="s">
        <v>3456</v>
      </c>
      <c r="B2399" s="137">
        <v>45775</v>
      </c>
      <c r="C2399" s="138" t="s">
        <v>604</v>
      </c>
      <c r="D2399" s="138" t="str">
        <f>VLOOKUP(Purchase[[#This Row],[Supplier ID]],Supplier[#All],2,0)</f>
        <v>Prime Traders</v>
      </c>
      <c r="E2399" s="138">
        <f>VLOOKUP(Purchase[[#This Row],[Supplier ID]],Supplier[#All],3,0)</f>
        <v>9689542487</v>
      </c>
      <c r="F2399" s="138" t="str">
        <f>VLOOKUP(Purchase[[#This Row],[Supplier ID]],Supplier[#All],4,0)</f>
        <v>Indore</v>
      </c>
      <c r="G2399" s="138" t="str">
        <f>VLOOKUP(Purchase[[#This Row],[Supplier ID]],Supplier[#All],5,0)</f>
        <v>MP</v>
      </c>
      <c r="H2399" s="138" t="str">
        <f>VLOOKUP(Purchase[[#This Row],[Supplier ID]],Supplier[#All],6,0)</f>
        <v>GST2154521T049</v>
      </c>
      <c r="I2399" s="138" t="s">
        <v>12</v>
      </c>
      <c r="J2399" s="139">
        <v>28</v>
      </c>
      <c r="K2399" s="143">
        <f>VLOOKUP(Purchase[[#This Row],[Product ID]],Product[#All],6,0)</f>
        <v>1698</v>
      </c>
      <c r="L2399" s="143">
        <f>Purchase[[#This Row],[Purchase Rate]]*Purchase[[#This Row],[Qty]]</f>
        <v>47544</v>
      </c>
      <c r="M2399" s="140">
        <v>0</v>
      </c>
      <c r="N2399" s="143">
        <v>0</v>
      </c>
      <c r="O2399" s="140">
        <v>0.18</v>
      </c>
      <c r="P2399" s="145">
        <f>(Purchase[[#This Row],[Gross Amount]]-Purchase[[#This Row],[Disct %]])*Purchase[[#This Row],[GST %]]</f>
        <v>8557.92</v>
      </c>
      <c r="Q2399" s="145">
        <f>Purchase[[#This Row],[Gross Amount]]-Purchase[[#This Row],[Disct Amnt]]+Purchase[[#This Row],[GST Amount]]</f>
        <v>56101.919999999998</v>
      </c>
      <c r="R2399" s="138" t="s">
        <v>1019</v>
      </c>
      <c r="S2399" s="41">
        <f>IF(Purchase[[#This Row],[Status]]="Cancelled",0,Purchase[[#This Row],[Qty]])</f>
        <v>28</v>
      </c>
      <c r="T2399" s="146">
        <f>IF(Purchase[[#This Row],[Status]]="Cancelled",0,Purchase[[#This Row],[Total Amount]])</f>
        <v>56101.919999999998</v>
      </c>
      <c r="U2399" s="146">
        <f>SUM(Purchase[Net Amount])</f>
        <v>814985438.68000126</v>
      </c>
    </row>
    <row r="2400" spans="1:21" ht="19.5" thickBot="1" x14ac:dyDescent="0.3">
      <c r="A2400" s="136" t="s">
        <v>3457</v>
      </c>
      <c r="B2400" s="137">
        <v>45775</v>
      </c>
      <c r="C2400" s="138" t="s">
        <v>585</v>
      </c>
      <c r="D2400" s="138" t="str">
        <f>VLOOKUP(Purchase[[#This Row],[Supplier ID]],Supplier[#All],2,0)</f>
        <v>Tech Computers</v>
      </c>
      <c r="E2400" s="138">
        <f>VLOOKUP(Purchase[[#This Row],[Supplier ID]],Supplier[#All],3,0)</f>
        <v>9689542469</v>
      </c>
      <c r="F2400" s="138" t="str">
        <f>VLOOKUP(Purchase[[#This Row],[Supplier ID]],Supplier[#All],4,0)</f>
        <v>Korba</v>
      </c>
      <c r="G2400" s="138" t="str">
        <f>VLOOKUP(Purchase[[#This Row],[Supplier ID]],Supplier[#All],5,0)</f>
        <v>CG</v>
      </c>
      <c r="H2400" s="138" t="str">
        <f>VLOOKUP(Purchase[[#This Row],[Supplier ID]],Supplier[#All],6,0)</f>
        <v>GST2154521T031</v>
      </c>
      <c r="I2400" s="138" t="s">
        <v>323</v>
      </c>
      <c r="J2400" s="139">
        <v>31</v>
      </c>
      <c r="K2400" s="143">
        <f>VLOOKUP(Purchase[[#This Row],[Product ID]],Product[#All],6,0)</f>
        <v>36082</v>
      </c>
      <c r="L2400" s="143">
        <f>Purchase[[#This Row],[Purchase Rate]]*Purchase[[#This Row],[Qty]]</f>
        <v>1118542</v>
      </c>
      <c r="M2400" s="140">
        <v>0</v>
      </c>
      <c r="N2400" s="143">
        <v>0</v>
      </c>
      <c r="O2400" s="140">
        <v>0.18</v>
      </c>
      <c r="P2400" s="145">
        <f>(Purchase[[#This Row],[Gross Amount]]-Purchase[[#This Row],[Disct %]])*Purchase[[#This Row],[GST %]]</f>
        <v>201337.56</v>
      </c>
      <c r="Q2400" s="145">
        <f>Purchase[[#This Row],[Gross Amount]]-Purchase[[#This Row],[Disct Amnt]]+Purchase[[#This Row],[GST Amount]]</f>
        <v>1319879.56</v>
      </c>
      <c r="R2400" s="138" t="s">
        <v>1019</v>
      </c>
      <c r="S2400" s="41">
        <f>IF(Purchase[[#This Row],[Status]]="Cancelled",0,Purchase[[#This Row],[Qty]])</f>
        <v>31</v>
      </c>
      <c r="T2400" s="146">
        <f>IF(Purchase[[#This Row],[Status]]="Cancelled",0,Purchase[[#This Row],[Total Amount]])</f>
        <v>1319879.56</v>
      </c>
      <c r="U2400" s="146">
        <f>SUM(Purchase[Net Amount])</f>
        <v>814985438.68000126</v>
      </c>
    </row>
    <row r="2401" spans="1:21" ht="19.5" thickBot="1" x14ac:dyDescent="0.3">
      <c r="A2401" s="136" t="s">
        <v>3458</v>
      </c>
      <c r="B2401" s="137">
        <v>45775</v>
      </c>
      <c r="C2401" s="138" t="s">
        <v>583</v>
      </c>
      <c r="D2401" s="138" t="str">
        <f>VLOOKUP(Purchase[[#This Row],[Supplier ID]],Supplier[#All],2,0)</f>
        <v>Shree Distributors</v>
      </c>
      <c r="E2401" s="138">
        <f>VLOOKUP(Purchase[[#This Row],[Supplier ID]],Supplier[#All],3,0)</f>
        <v>9689542467</v>
      </c>
      <c r="F2401" s="138" t="str">
        <f>VLOOKUP(Purchase[[#This Row],[Supplier ID]],Supplier[#All],4,0)</f>
        <v>Indore</v>
      </c>
      <c r="G2401" s="138" t="str">
        <f>VLOOKUP(Purchase[[#This Row],[Supplier ID]],Supplier[#All],5,0)</f>
        <v>MP</v>
      </c>
      <c r="H2401" s="138" t="str">
        <f>VLOOKUP(Purchase[[#This Row],[Supplier ID]],Supplier[#All],6,0)</f>
        <v>GST2154521T029</v>
      </c>
      <c r="I2401" s="138" t="s">
        <v>413</v>
      </c>
      <c r="J2401" s="139">
        <v>21</v>
      </c>
      <c r="K2401" s="143">
        <f>VLOOKUP(Purchase[[#This Row],[Product ID]],Product[#All],6,0)</f>
        <v>8700</v>
      </c>
      <c r="L2401" s="143">
        <f>Purchase[[#This Row],[Purchase Rate]]*Purchase[[#This Row],[Qty]]</f>
        <v>182700</v>
      </c>
      <c r="M2401" s="140">
        <v>0</v>
      </c>
      <c r="N2401" s="143">
        <v>0</v>
      </c>
      <c r="O2401" s="140">
        <v>0.18</v>
      </c>
      <c r="P2401" s="145">
        <f>(Purchase[[#This Row],[Gross Amount]]-Purchase[[#This Row],[Disct %]])*Purchase[[#This Row],[GST %]]</f>
        <v>32886</v>
      </c>
      <c r="Q2401" s="145">
        <f>Purchase[[#This Row],[Gross Amount]]-Purchase[[#This Row],[Disct Amnt]]+Purchase[[#This Row],[GST Amount]]</f>
        <v>215586</v>
      </c>
      <c r="R2401" s="138" t="s">
        <v>1019</v>
      </c>
      <c r="S2401" s="41">
        <f>IF(Purchase[[#This Row],[Status]]="Cancelled",0,Purchase[[#This Row],[Qty]])</f>
        <v>21</v>
      </c>
      <c r="T2401" s="146">
        <f>IF(Purchase[[#This Row],[Status]]="Cancelled",0,Purchase[[#This Row],[Total Amount]])</f>
        <v>215586</v>
      </c>
      <c r="U2401" s="146">
        <f>SUM(Purchase[Net Amount])</f>
        <v>814985438.68000126</v>
      </c>
    </row>
    <row r="2402" spans="1:21" ht="19.5" thickBot="1" x14ac:dyDescent="0.3">
      <c r="A2402" s="136" t="s">
        <v>3459</v>
      </c>
      <c r="B2402" s="137">
        <v>45776</v>
      </c>
      <c r="C2402" s="138" t="s">
        <v>567</v>
      </c>
      <c r="D2402" s="138" t="str">
        <f>VLOOKUP(Purchase[[#This Row],[Supplier ID]],Supplier[#All],2,0)</f>
        <v>National Distributors</v>
      </c>
      <c r="E2402" s="138">
        <f>VLOOKUP(Purchase[[#This Row],[Supplier ID]],Supplier[#All],3,0)</f>
        <v>9689542453</v>
      </c>
      <c r="F2402" s="138" t="str">
        <f>VLOOKUP(Purchase[[#This Row],[Supplier ID]],Supplier[#All],4,0)</f>
        <v>Korba</v>
      </c>
      <c r="G2402" s="138" t="str">
        <f>VLOOKUP(Purchase[[#This Row],[Supplier ID]],Supplier[#All],5,0)</f>
        <v>CG</v>
      </c>
      <c r="H2402" s="138" t="str">
        <f>VLOOKUP(Purchase[[#This Row],[Supplier ID]],Supplier[#All],6,0)</f>
        <v>GST2154521T015</v>
      </c>
      <c r="I2402" s="138" t="s">
        <v>206</v>
      </c>
      <c r="J2402" s="139">
        <v>4</v>
      </c>
      <c r="K2402" s="143">
        <f>VLOOKUP(Purchase[[#This Row],[Product ID]],Product[#All],6,0)</f>
        <v>1892</v>
      </c>
      <c r="L2402" s="143">
        <f>Purchase[[#This Row],[Purchase Rate]]*Purchase[[#This Row],[Qty]]</f>
        <v>7568</v>
      </c>
      <c r="M2402" s="140">
        <v>0</v>
      </c>
      <c r="N2402" s="143">
        <v>0</v>
      </c>
      <c r="O2402" s="140">
        <v>0.18</v>
      </c>
      <c r="P2402" s="145">
        <f>(Purchase[[#This Row],[Gross Amount]]-Purchase[[#This Row],[Disct %]])*Purchase[[#This Row],[GST %]]</f>
        <v>1362.24</v>
      </c>
      <c r="Q2402" s="145">
        <f>Purchase[[#This Row],[Gross Amount]]-Purchase[[#This Row],[Disct Amnt]]+Purchase[[#This Row],[GST Amount]]</f>
        <v>8930.24</v>
      </c>
      <c r="R2402" s="138" t="s">
        <v>1019</v>
      </c>
      <c r="S2402" s="41">
        <f>IF(Purchase[[#This Row],[Status]]="Cancelled",0,Purchase[[#This Row],[Qty]])</f>
        <v>4</v>
      </c>
      <c r="T2402" s="146">
        <f>IF(Purchase[[#This Row],[Status]]="Cancelled",0,Purchase[[#This Row],[Total Amount]])</f>
        <v>8930.24</v>
      </c>
      <c r="U2402" s="146">
        <f>SUM(Purchase[Net Amount])</f>
        <v>814985438.68000126</v>
      </c>
    </row>
    <row r="2403" spans="1:21" ht="19.5" thickBot="1" x14ac:dyDescent="0.3">
      <c r="A2403" s="136" t="s">
        <v>3460</v>
      </c>
      <c r="B2403" s="137">
        <v>45776</v>
      </c>
      <c r="C2403" s="138" t="s">
        <v>569</v>
      </c>
      <c r="D2403" s="138" t="str">
        <f>VLOOKUP(Purchase[[#This Row],[Supplier ID]],Supplier[#All],2,0)</f>
        <v>Tech Electronics</v>
      </c>
      <c r="E2403" s="138">
        <f>VLOOKUP(Purchase[[#This Row],[Supplier ID]],Supplier[#All],3,0)</f>
        <v>9689542455</v>
      </c>
      <c r="F2403" s="138" t="str">
        <f>VLOOKUP(Purchase[[#This Row],[Supplier ID]],Supplier[#All],4,0)</f>
        <v>Korba</v>
      </c>
      <c r="G2403" s="138" t="str">
        <f>VLOOKUP(Purchase[[#This Row],[Supplier ID]],Supplier[#All],5,0)</f>
        <v>CG</v>
      </c>
      <c r="H2403" s="138" t="str">
        <f>VLOOKUP(Purchase[[#This Row],[Supplier ID]],Supplier[#All],6,0)</f>
        <v>GST2154521T017</v>
      </c>
      <c r="I2403" s="138" t="s">
        <v>539</v>
      </c>
      <c r="J2403" s="139">
        <v>36</v>
      </c>
      <c r="K2403" s="143">
        <f>VLOOKUP(Purchase[[#This Row],[Product ID]],Product[#All],6,0)</f>
        <v>21269</v>
      </c>
      <c r="L2403" s="143">
        <f>Purchase[[#This Row],[Purchase Rate]]*Purchase[[#This Row],[Qty]]</f>
        <v>765684</v>
      </c>
      <c r="M2403" s="140">
        <v>0</v>
      </c>
      <c r="N2403" s="143">
        <v>0</v>
      </c>
      <c r="O2403" s="140">
        <v>0.18</v>
      </c>
      <c r="P2403" s="145">
        <f>(Purchase[[#This Row],[Gross Amount]]-Purchase[[#This Row],[Disct %]])*Purchase[[#This Row],[GST %]]</f>
        <v>137823.12</v>
      </c>
      <c r="Q2403" s="145">
        <f>Purchase[[#This Row],[Gross Amount]]-Purchase[[#This Row],[Disct Amnt]]+Purchase[[#This Row],[GST Amount]]</f>
        <v>903507.12</v>
      </c>
      <c r="R2403" s="138" t="s">
        <v>1019</v>
      </c>
      <c r="S2403" s="41">
        <f>IF(Purchase[[#This Row],[Status]]="Cancelled",0,Purchase[[#This Row],[Qty]])</f>
        <v>36</v>
      </c>
      <c r="T2403" s="146">
        <f>IF(Purchase[[#This Row],[Status]]="Cancelled",0,Purchase[[#This Row],[Total Amount]])</f>
        <v>903507.12</v>
      </c>
      <c r="U2403" s="146">
        <f>SUM(Purchase[Net Amount])</f>
        <v>814985438.68000126</v>
      </c>
    </row>
    <row r="2404" spans="1:21" ht="19.5" thickBot="1" x14ac:dyDescent="0.3">
      <c r="A2404" s="136" t="s">
        <v>3461</v>
      </c>
      <c r="B2404" s="137">
        <v>45776</v>
      </c>
      <c r="C2404" s="138" t="s">
        <v>597</v>
      </c>
      <c r="D2404" s="138" t="str">
        <f>VLOOKUP(Purchase[[#This Row],[Supplier ID]],Supplier[#All],2,0)</f>
        <v>Tech Traders</v>
      </c>
      <c r="E2404" s="138">
        <f>VLOOKUP(Purchase[[#This Row],[Supplier ID]],Supplier[#All],3,0)</f>
        <v>9689542480</v>
      </c>
      <c r="F2404" s="138" t="str">
        <f>VLOOKUP(Purchase[[#This Row],[Supplier ID]],Supplier[#All],4,0)</f>
        <v>Kanpur</v>
      </c>
      <c r="G2404" s="138" t="str">
        <f>VLOOKUP(Purchase[[#This Row],[Supplier ID]],Supplier[#All],5,0)</f>
        <v>UP</v>
      </c>
      <c r="H2404" s="138" t="str">
        <f>VLOOKUP(Purchase[[#This Row],[Supplier ID]],Supplier[#All],6,0)</f>
        <v>GST2154521T042</v>
      </c>
      <c r="I2404" s="138" t="s">
        <v>73</v>
      </c>
      <c r="J2404" s="139">
        <v>13</v>
      </c>
      <c r="K2404" s="143">
        <f>VLOOKUP(Purchase[[#This Row],[Product ID]],Product[#All],6,0)</f>
        <v>1360</v>
      </c>
      <c r="L2404" s="143">
        <f>Purchase[[#This Row],[Purchase Rate]]*Purchase[[#This Row],[Qty]]</f>
        <v>17680</v>
      </c>
      <c r="M2404" s="140">
        <v>0</v>
      </c>
      <c r="N2404" s="143">
        <v>0</v>
      </c>
      <c r="O2404" s="140">
        <v>0.18</v>
      </c>
      <c r="P2404" s="145">
        <f>(Purchase[[#This Row],[Gross Amount]]-Purchase[[#This Row],[Disct %]])*Purchase[[#This Row],[GST %]]</f>
        <v>3182.4</v>
      </c>
      <c r="Q2404" s="145">
        <f>Purchase[[#This Row],[Gross Amount]]-Purchase[[#This Row],[Disct Amnt]]+Purchase[[#This Row],[GST Amount]]</f>
        <v>20862.400000000001</v>
      </c>
      <c r="R2404" s="138" t="s">
        <v>1019</v>
      </c>
      <c r="S2404" s="41">
        <f>IF(Purchase[[#This Row],[Status]]="Cancelled",0,Purchase[[#This Row],[Qty]])</f>
        <v>13</v>
      </c>
      <c r="T2404" s="146">
        <f>IF(Purchase[[#This Row],[Status]]="Cancelled",0,Purchase[[#This Row],[Total Amount]])</f>
        <v>20862.400000000001</v>
      </c>
      <c r="U2404" s="146">
        <f>SUM(Purchase[Net Amount])</f>
        <v>814985438.68000126</v>
      </c>
    </row>
    <row r="2405" spans="1:21" ht="19.5" thickBot="1" x14ac:dyDescent="0.3">
      <c r="A2405" s="136" t="s">
        <v>3462</v>
      </c>
      <c r="B2405" s="137">
        <v>45776</v>
      </c>
      <c r="C2405" s="138" t="s">
        <v>566</v>
      </c>
      <c r="D2405" s="138" t="str">
        <f>VLOOKUP(Purchase[[#This Row],[Supplier ID]],Supplier[#All],2,0)</f>
        <v>Maa Computers</v>
      </c>
      <c r="E2405" s="138">
        <f>VLOOKUP(Purchase[[#This Row],[Supplier ID]],Supplier[#All],3,0)</f>
        <v>9689542452</v>
      </c>
      <c r="F2405" s="138" t="str">
        <f>VLOOKUP(Purchase[[#This Row],[Supplier ID]],Supplier[#All],4,0)</f>
        <v>Kanpur</v>
      </c>
      <c r="G2405" s="138" t="str">
        <f>VLOOKUP(Purchase[[#This Row],[Supplier ID]],Supplier[#All],5,0)</f>
        <v>UP</v>
      </c>
      <c r="H2405" s="138" t="str">
        <f>VLOOKUP(Purchase[[#This Row],[Supplier ID]],Supplier[#All],6,0)</f>
        <v>GST2154521T014</v>
      </c>
      <c r="I2405" s="138" t="s">
        <v>217</v>
      </c>
      <c r="J2405" s="139">
        <v>2</v>
      </c>
      <c r="K2405" s="143">
        <f>VLOOKUP(Purchase[[#This Row],[Product ID]],Product[#All],6,0)</f>
        <v>1840</v>
      </c>
      <c r="L2405" s="143">
        <f>Purchase[[#This Row],[Purchase Rate]]*Purchase[[#This Row],[Qty]]</f>
        <v>3680</v>
      </c>
      <c r="M2405" s="140">
        <v>0</v>
      </c>
      <c r="N2405" s="143">
        <v>0</v>
      </c>
      <c r="O2405" s="140">
        <v>0.18</v>
      </c>
      <c r="P2405" s="145">
        <f>(Purchase[[#This Row],[Gross Amount]]-Purchase[[#This Row],[Disct %]])*Purchase[[#This Row],[GST %]]</f>
        <v>662.4</v>
      </c>
      <c r="Q2405" s="145">
        <f>Purchase[[#This Row],[Gross Amount]]-Purchase[[#This Row],[Disct Amnt]]+Purchase[[#This Row],[GST Amount]]</f>
        <v>4342.3999999999996</v>
      </c>
      <c r="R2405" s="138" t="s">
        <v>1040</v>
      </c>
      <c r="S2405" s="41">
        <f>IF(Purchase[[#This Row],[Status]]="Cancelled",0,Purchase[[#This Row],[Qty]])</f>
        <v>0</v>
      </c>
      <c r="T2405" s="146">
        <f>IF(Purchase[[#This Row],[Status]]="Cancelled",0,Purchase[[#This Row],[Total Amount]])</f>
        <v>0</v>
      </c>
      <c r="U2405" s="146">
        <f>SUM(Purchase[Net Amount])</f>
        <v>814985438.68000126</v>
      </c>
    </row>
    <row r="2406" spans="1:21" ht="19.5" thickBot="1" x14ac:dyDescent="0.3">
      <c r="A2406" s="136" t="s">
        <v>3463</v>
      </c>
      <c r="B2406" s="137">
        <v>45776</v>
      </c>
      <c r="C2406" s="138" t="s">
        <v>566</v>
      </c>
      <c r="D2406" s="138" t="str">
        <f>VLOOKUP(Purchase[[#This Row],[Supplier ID]],Supplier[#All],2,0)</f>
        <v>Maa Computers</v>
      </c>
      <c r="E2406" s="138">
        <f>VLOOKUP(Purchase[[#This Row],[Supplier ID]],Supplier[#All],3,0)</f>
        <v>9689542452</v>
      </c>
      <c r="F2406" s="138" t="str">
        <f>VLOOKUP(Purchase[[#This Row],[Supplier ID]],Supplier[#All],4,0)</f>
        <v>Kanpur</v>
      </c>
      <c r="G2406" s="138" t="str">
        <f>VLOOKUP(Purchase[[#This Row],[Supplier ID]],Supplier[#All],5,0)</f>
        <v>UP</v>
      </c>
      <c r="H2406" s="138" t="str">
        <f>VLOOKUP(Purchase[[#This Row],[Supplier ID]],Supplier[#All],6,0)</f>
        <v>GST2154521T014</v>
      </c>
      <c r="I2406" s="138" t="s">
        <v>390</v>
      </c>
      <c r="J2406" s="139">
        <v>10</v>
      </c>
      <c r="K2406" s="143">
        <f>VLOOKUP(Purchase[[#This Row],[Product ID]],Product[#All],6,0)</f>
        <v>3799</v>
      </c>
      <c r="L2406" s="143">
        <f>Purchase[[#This Row],[Purchase Rate]]*Purchase[[#This Row],[Qty]]</f>
        <v>37990</v>
      </c>
      <c r="M2406" s="140">
        <v>0</v>
      </c>
      <c r="N2406" s="143">
        <v>0</v>
      </c>
      <c r="O2406" s="140">
        <v>0.18</v>
      </c>
      <c r="P2406" s="145">
        <f>(Purchase[[#This Row],[Gross Amount]]-Purchase[[#This Row],[Disct %]])*Purchase[[#This Row],[GST %]]</f>
        <v>6838.2</v>
      </c>
      <c r="Q2406" s="145">
        <f>Purchase[[#This Row],[Gross Amount]]-Purchase[[#This Row],[Disct Amnt]]+Purchase[[#This Row],[GST Amount]]</f>
        <v>44828.2</v>
      </c>
      <c r="R2406" s="138" t="s">
        <v>1019</v>
      </c>
      <c r="S2406" s="41">
        <f>IF(Purchase[[#This Row],[Status]]="Cancelled",0,Purchase[[#This Row],[Qty]])</f>
        <v>10</v>
      </c>
      <c r="T2406" s="146">
        <f>IF(Purchase[[#This Row],[Status]]="Cancelled",0,Purchase[[#This Row],[Total Amount]])</f>
        <v>44828.2</v>
      </c>
      <c r="U2406" s="146">
        <f>SUM(Purchase[Net Amount])</f>
        <v>814985438.68000126</v>
      </c>
    </row>
    <row r="2407" spans="1:21" ht="19.5" thickBot="1" x14ac:dyDescent="0.3">
      <c r="A2407" s="136" t="s">
        <v>3464</v>
      </c>
      <c r="B2407" s="137">
        <v>45776</v>
      </c>
      <c r="C2407" s="138" t="s">
        <v>586</v>
      </c>
      <c r="D2407" s="138" t="str">
        <f>VLOOKUP(Purchase[[#This Row],[Supplier ID]],Supplier[#All],2,0)</f>
        <v>Maa Traders</v>
      </c>
      <c r="E2407" s="138">
        <f>VLOOKUP(Purchase[[#This Row],[Supplier ID]],Supplier[#All],3,0)</f>
        <v>9689542470</v>
      </c>
      <c r="F2407" s="138" t="str">
        <f>VLOOKUP(Purchase[[#This Row],[Supplier ID]],Supplier[#All],4,0)</f>
        <v>Kanpur</v>
      </c>
      <c r="G2407" s="138" t="str">
        <f>VLOOKUP(Purchase[[#This Row],[Supplier ID]],Supplier[#All],5,0)</f>
        <v>UP</v>
      </c>
      <c r="H2407" s="138" t="str">
        <f>VLOOKUP(Purchase[[#This Row],[Supplier ID]],Supplier[#All],6,0)</f>
        <v>GST2154521T032</v>
      </c>
      <c r="I2407" s="138" t="s">
        <v>545</v>
      </c>
      <c r="J2407" s="139">
        <v>27</v>
      </c>
      <c r="K2407" s="143">
        <f>VLOOKUP(Purchase[[#This Row],[Product ID]],Product[#All],6,0)</f>
        <v>5298</v>
      </c>
      <c r="L2407" s="143">
        <f>Purchase[[#This Row],[Purchase Rate]]*Purchase[[#This Row],[Qty]]</f>
        <v>143046</v>
      </c>
      <c r="M2407" s="140">
        <v>0</v>
      </c>
      <c r="N2407" s="143">
        <v>0</v>
      </c>
      <c r="O2407" s="140">
        <v>0.18</v>
      </c>
      <c r="P2407" s="145">
        <f>(Purchase[[#This Row],[Gross Amount]]-Purchase[[#This Row],[Disct %]])*Purchase[[#This Row],[GST %]]</f>
        <v>25748.28</v>
      </c>
      <c r="Q2407" s="145">
        <f>Purchase[[#This Row],[Gross Amount]]-Purchase[[#This Row],[Disct Amnt]]+Purchase[[#This Row],[GST Amount]]</f>
        <v>168794.28</v>
      </c>
      <c r="R2407" s="138" t="s">
        <v>1019</v>
      </c>
      <c r="S2407" s="41">
        <f>IF(Purchase[[#This Row],[Status]]="Cancelled",0,Purchase[[#This Row],[Qty]])</f>
        <v>27</v>
      </c>
      <c r="T2407" s="146">
        <f>IF(Purchase[[#This Row],[Status]]="Cancelled",0,Purchase[[#This Row],[Total Amount]])</f>
        <v>168794.28</v>
      </c>
      <c r="U2407" s="146">
        <f>SUM(Purchase[Net Amount])</f>
        <v>814985438.68000126</v>
      </c>
    </row>
    <row r="2408" spans="1:21" ht="19.5" thickBot="1" x14ac:dyDescent="0.3">
      <c r="A2408" s="136" t="s">
        <v>3465</v>
      </c>
      <c r="B2408" s="137">
        <v>45776</v>
      </c>
      <c r="C2408" s="138" t="s">
        <v>590</v>
      </c>
      <c r="D2408" s="138" t="str">
        <f>VLOOKUP(Purchase[[#This Row],[Supplier ID]],Supplier[#All],2,0)</f>
        <v>Star Distributors</v>
      </c>
      <c r="E2408" s="138">
        <f>VLOOKUP(Purchase[[#This Row],[Supplier ID]],Supplier[#All],3,0)</f>
        <v>9689542474</v>
      </c>
      <c r="F2408" s="138" t="str">
        <f>VLOOKUP(Purchase[[#This Row],[Supplier ID]],Supplier[#All],4,0)</f>
        <v>Kanpur</v>
      </c>
      <c r="G2408" s="138" t="str">
        <f>VLOOKUP(Purchase[[#This Row],[Supplier ID]],Supplier[#All],5,0)</f>
        <v>UP</v>
      </c>
      <c r="H2408" s="138" t="str">
        <f>VLOOKUP(Purchase[[#This Row],[Supplier ID]],Supplier[#All],6,0)</f>
        <v>GST2154521T036</v>
      </c>
      <c r="I2408" s="138" t="s">
        <v>189</v>
      </c>
      <c r="J2408" s="139">
        <v>40</v>
      </c>
      <c r="K2408" s="143">
        <f>VLOOKUP(Purchase[[#This Row],[Product ID]],Product[#All],6,0)</f>
        <v>1280</v>
      </c>
      <c r="L2408" s="143">
        <f>Purchase[[#This Row],[Purchase Rate]]*Purchase[[#This Row],[Qty]]</f>
        <v>51200</v>
      </c>
      <c r="M2408" s="140">
        <v>0</v>
      </c>
      <c r="N2408" s="143">
        <v>0</v>
      </c>
      <c r="O2408" s="140">
        <v>0.18</v>
      </c>
      <c r="P2408" s="145">
        <f>(Purchase[[#This Row],[Gross Amount]]-Purchase[[#This Row],[Disct %]])*Purchase[[#This Row],[GST %]]</f>
        <v>9216</v>
      </c>
      <c r="Q2408" s="145">
        <f>Purchase[[#This Row],[Gross Amount]]-Purchase[[#This Row],[Disct Amnt]]+Purchase[[#This Row],[GST Amount]]</f>
        <v>60416</v>
      </c>
      <c r="R2408" s="138" t="s">
        <v>1019</v>
      </c>
      <c r="S2408" s="41">
        <f>IF(Purchase[[#This Row],[Status]]="Cancelled",0,Purchase[[#This Row],[Qty]])</f>
        <v>40</v>
      </c>
      <c r="T2408" s="146">
        <f>IF(Purchase[[#This Row],[Status]]="Cancelled",0,Purchase[[#This Row],[Total Amount]])</f>
        <v>60416</v>
      </c>
      <c r="U2408" s="146">
        <f>SUM(Purchase[Net Amount])</f>
        <v>814985438.68000126</v>
      </c>
    </row>
    <row r="2409" spans="1:21" ht="19.5" thickBot="1" x14ac:dyDescent="0.3">
      <c r="A2409" s="136" t="s">
        <v>3466</v>
      </c>
      <c r="B2409" s="137">
        <v>45776</v>
      </c>
      <c r="C2409" s="138" t="s">
        <v>600</v>
      </c>
      <c r="D2409" s="138" t="str">
        <f>VLOOKUP(Purchase[[#This Row],[Supplier ID]],Supplier[#All],2,0)</f>
        <v>Prime Suppliers</v>
      </c>
      <c r="E2409" s="138">
        <f>VLOOKUP(Purchase[[#This Row],[Supplier ID]],Supplier[#All],3,0)</f>
        <v>9689542483</v>
      </c>
      <c r="F2409" s="138" t="str">
        <f>VLOOKUP(Purchase[[#This Row],[Supplier ID]],Supplier[#All],4,0)</f>
        <v>Korba</v>
      </c>
      <c r="G2409" s="138" t="str">
        <f>VLOOKUP(Purchase[[#This Row],[Supplier ID]],Supplier[#All],5,0)</f>
        <v>CG</v>
      </c>
      <c r="H2409" s="138" t="str">
        <f>VLOOKUP(Purchase[[#This Row],[Supplier ID]],Supplier[#All],6,0)</f>
        <v>GST2154521T045</v>
      </c>
      <c r="I2409" s="138" t="s">
        <v>181</v>
      </c>
      <c r="J2409" s="139">
        <v>34</v>
      </c>
      <c r="K2409" s="143">
        <f>VLOOKUP(Purchase[[#This Row],[Product ID]],Product[#All],6,0)</f>
        <v>4751</v>
      </c>
      <c r="L2409" s="143">
        <f>Purchase[[#This Row],[Purchase Rate]]*Purchase[[#This Row],[Qty]]</f>
        <v>161534</v>
      </c>
      <c r="M2409" s="140">
        <v>0</v>
      </c>
      <c r="N2409" s="143">
        <v>0</v>
      </c>
      <c r="O2409" s="140">
        <v>0.18</v>
      </c>
      <c r="P2409" s="145">
        <f>(Purchase[[#This Row],[Gross Amount]]-Purchase[[#This Row],[Disct %]])*Purchase[[#This Row],[GST %]]</f>
        <v>29076.12</v>
      </c>
      <c r="Q2409" s="145">
        <f>Purchase[[#This Row],[Gross Amount]]-Purchase[[#This Row],[Disct Amnt]]+Purchase[[#This Row],[GST Amount]]</f>
        <v>190610.12</v>
      </c>
      <c r="R2409" s="138" t="s">
        <v>1019</v>
      </c>
      <c r="S2409" s="41">
        <f>IF(Purchase[[#This Row],[Status]]="Cancelled",0,Purchase[[#This Row],[Qty]])</f>
        <v>34</v>
      </c>
      <c r="T2409" s="146">
        <f>IF(Purchase[[#This Row],[Status]]="Cancelled",0,Purchase[[#This Row],[Total Amount]])</f>
        <v>190610.12</v>
      </c>
      <c r="U2409" s="146">
        <f>SUM(Purchase[Net Amount])</f>
        <v>814985438.68000126</v>
      </c>
    </row>
    <row r="2410" spans="1:21" ht="19.5" thickBot="1" x14ac:dyDescent="0.3">
      <c r="A2410" s="136" t="s">
        <v>3467</v>
      </c>
      <c r="B2410" s="137">
        <v>45776</v>
      </c>
      <c r="C2410" s="138" t="s">
        <v>589</v>
      </c>
      <c r="D2410" s="138" t="str">
        <f>VLOOKUP(Purchase[[#This Row],[Supplier ID]],Supplier[#All],2,0)</f>
        <v>Maa Computers</v>
      </c>
      <c r="E2410" s="138">
        <f>VLOOKUP(Purchase[[#This Row],[Supplier ID]],Supplier[#All],3,0)</f>
        <v>9689542473</v>
      </c>
      <c r="F2410" s="138" t="str">
        <f>VLOOKUP(Purchase[[#This Row],[Supplier ID]],Supplier[#All],4,0)</f>
        <v>Kanpur</v>
      </c>
      <c r="G2410" s="138" t="str">
        <f>VLOOKUP(Purchase[[#This Row],[Supplier ID]],Supplier[#All],5,0)</f>
        <v>UP</v>
      </c>
      <c r="H2410" s="138" t="str">
        <f>VLOOKUP(Purchase[[#This Row],[Supplier ID]],Supplier[#All],6,0)</f>
        <v>GST2154521T035</v>
      </c>
      <c r="I2410" s="138" t="s">
        <v>480</v>
      </c>
      <c r="J2410" s="139">
        <v>25</v>
      </c>
      <c r="K2410" s="143">
        <f>VLOOKUP(Purchase[[#This Row],[Product ID]],Product[#All],6,0)</f>
        <v>1370</v>
      </c>
      <c r="L2410" s="143">
        <f>Purchase[[#This Row],[Purchase Rate]]*Purchase[[#This Row],[Qty]]</f>
        <v>34250</v>
      </c>
      <c r="M2410" s="140">
        <v>0</v>
      </c>
      <c r="N2410" s="143">
        <v>0</v>
      </c>
      <c r="O2410" s="140">
        <v>0.18</v>
      </c>
      <c r="P2410" s="145">
        <f>(Purchase[[#This Row],[Gross Amount]]-Purchase[[#This Row],[Disct %]])*Purchase[[#This Row],[GST %]]</f>
        <v>6165</v>
      </c>
      <c r="Q2410" s="145">
        <f>Purchase[[#This Row],[Gross Amount]]-Purchase[[#This Row],[Disct Amnt]]+Purchase[[#This Row],[GST Amount]]</f>
        <v>40415</v>
      </c>
      <c r="R2410" s="138" t="s">
        <v>1019</v>
      </c>
      <c r="S2410" s="41">
        <f>IF(Purchase[[#This Row],[Status]]="Cancelled",0,Purchase[[#This Row],[Qty]])</f>
        <v>25</v>
      </c>
      <c r="T2410" s="146">
        <f>IF(Purchase[[#This Row],[Status]]="Cancelled",0,Purchase[[#This Row],[Total Amount]])</f>
        <v>40415</v>
      </c>
      <c r="U2410" s="146">
        <f>SUM(Purchase[Net Amount])</f>
        <v>814985438.68000126</v>
      </c>
    </row>
    <row r="2411" spans="1:21" ht="19.5" thickBot="1" x14ac:dyDescent="0.3">
      <c r="A2411" s="136" t="s">
        <v>3468</v>
      </c>
      <c r="B2411" s="137">
        <v>45776</v>
      </c>
      <c r="C2411" s="138" t="s">
        <v>577</v>
      </c>
      <c r="D2411" s="138" t="str">
        <f>VLOOKUP(Purchase[[#This Row],[Supplier ID]],Supplier[#All],2,0)</f>
        <v>National Electronics</v>
      </c>
      <c r="E2411" s="138">
        <f>VLOOKUP(Purchase[[#This Row],[Supplier ID]],Supplier[#All],3,0)</f>
        <v>9689542469</v>
      </c>
      <c r="F2411" s="138" t="str">
        <f>VLOOKUP(Purchase[[#This Row],[Supplier ID]],Supplier[#All],4,0)</f>
        <v>Korba</v>
      </c>
      <c r="G2411" s="138" t="str">
        <f>VLOOKUP(Purchase[[#This Row],[Supplier ID]],Supplier[#All],5,0)</f>
        <v>CG</v>
      </c>
      <c r="H2411" s="138" t="str">
        <f>VLOOKUP(Purchase[[#This Row],[Supplier ID]],Supplier[#All],6,0)</f>
        <v>GST2154521T023</v>
      </c>
      <c r="I2411" s="138" t="s">
        <v>506</v>
      </c>
      <c r="J2411" s="139">
        <v>27</v>
      </c>
      <c r="K2411" s="143">
        <f>VLOOKUP(Purchase[[#This Row],[Product ID]],Product[#All],6,0)</f>
        <v>36215</v>
      </c>
      <c r="L2411" s="143">
        <f>Purchase[[#This Row],[Purchase Rate]]*Purchase[[#This Row],[Qty]]</f>
        <v>977805</v>
      </c>
      <c r="M2411" s="140">
        <v>0</v>
      </c>
      <c r="N2411" s="143">
        <v>0</v>
      </c>
      <c r="O2411" s="140">
        <v>0.18</v>
      </c>
      <c r="P2411" s="145">
        <f>(Purchase[[#This Row],[Gross Amount]]-Purchase[[#This Row],[Disct %]])*Purchase[[#This Row],[GST %]]</f>
        <v>176004.9</v>
      </c>
      <c r="Q2411" s="145">
        <f>Purchase[[#This Row],[Gross Amount]]-Purchase[[#This Row],[Disct Amnt]]+Purchase[[#This Row],[GST Amount]]</f>
        <v>1153809.8999999999</v>
      </c>
      <c r="R2411" s="138" t="s">
        <v>1019</v>
      </c>
      <c r="S2411" s="41">
        <f>IF(Purchase[[#This Row],[Status]]="Cancelled",0,Purchase[[#This Row],[Qty]])</f>
        <v>27</v>
      </c>
      <c r="T2411" s="146">
        <f>IF(Purchase[[#This Row],[Status]]="Cancelled",0,Purchase[[#This Row],[Total Amount]])</f>
        <v>1153809.8999999999</v>
      </c>
      <c r="U2411" s="146">
        <f>SUM(Purchase[Net Amount])</f>
        <v>814985438.68000126</v>
      </c>
    </row>
    <row r="2412" spans="1:21" ht="19.5" thickBot="1" x14ac:dyDescent="0.3">
      <c r="A2412" s="136" t="s">
        <v>3469</v>
      </c>
      <c r="B2412" s="137">
        <v>45776</v>
      </c>
      <c r="C2412" s="138" t="s">
        <v>613</v>
      </c>
      <c r="D2412" s="138" t="str">
        <f>VLOOKUP(Purchase[[#This Row],[Supplier ID]],Supplier[#All],2,0)</f>
        <v>National Traders</v>
      </c>
      <c r="E2412" s="138">
        <f>VLOOKUP(Purchase[[#This Row],[Supplier ID]],Supplier[#All],3,0)</f>
        <v>9689542496</v>
      </c>
      <c r="F2412" s="138" t="str">
        <f>VLOOKUP(Purchase[[#This Row],[Supplier ID]],Supplier[#All],4,0)</f>
        <v>Indore</v>
      </c>
      <c r="G2412" s="138" t="str">
        <f>VLOOKUP(Purchase[[#This Row],[Supplier ID]],Supplier[#All],5,0)</f>
        <v>MP</v>
      </c>
      <c r="H2412" s="138" t="str">
        <f>VLOOKUP(Purchase[[#This Row],[Supplier ID]],Supplier[#All],6,0)</f>
        <v>GST2154521T058</v>
      </c>
      <c r="I2412" s="138" t="s">
        <v>62</v>
      </c>
      <c r="J2412" s="139">
        <v>38</v>
      </c>
      <c r="K2412" s="143">
        <f>VLOOKUP(Purchase[[#This Row],[Product ID]],Product[#All],6,0)</f>
        <v>5977</v>
      </c>
      <c r="L2412" s="143">
        <f>Purchase[[#This Row],[Purchase Rate]]*Purchase[[#This Row],[Qty]]</f>
        <v>227126</v>
      </c>
      <c r="M2412" s="140">
        <v>0</v>
      </c>
      <c r="N2412" s="143">
        <v>0</v>
      </c>
      <c r="O2412" s="140">
        <v>0.18</v>
      </c>
      <c r="P2412" s="145">
        <f>(Purchase[[#This Row],[Gross Amount]]-Purchase[[#This Row],[Disct %]])*Purchase[[#This Row],[GST %]]</f>
        <v>40882.68</v>
      </c>
      <c r="Q2412" s="145">
        <f>Purchase[[#This Row],[Gross Amount]]-Purchase[[#This Row],[Disct Amnt]]+Purchase[[#This Row],[GST Amount]]</f>
        <v>268008.68</v>
      </c>
      <c r="R2412" s="138" t="s">
        <v>1019</v>
      </c>
      <c r="S2412" s="41">
        <f>IF(Purchase[[#This Row],[Status]]="Cancelled",0,Purchase[[#This Row],[Qty]])</f>
        <v>38</v>
      </c>
      <c r="T2412" s="146">
        <f>IF(Purchase[[#This Row],[Status]]="Cancelled",0,Purchase[[#This Row],[Total Amount]])</f>
        <v>268008.68</v>
      </c>
      <c r="U2412" s="146">
        <f>SUM(Purchase[Net Amount])</f>
        <v>814985438.68000126</v>
      </c>
    </row>
    <row r="2413" spans="1:21" ht="19.5" thickBot="1" x14ac:dyDescent="0.3">
      <c r="A2413" s="136" t="s">
        <v>3470</v>
      </c>
      <c r="B2413" s="137">
        <v>45776</v>
      </c>
      <c r="C2413" s="138" t="s">
        <v>615</v>
      </c>
      <c r="D2413" s="138" t="str">
        <f>VLOOKUP(Purchase[[#This Row],[Supplier ID]],Supplier[#All],2,0)</f>
        <v>NATIONAL ELECTRONICS</v>
      </c>
      <c r="E2413" s="138">
        <f>VLOOKUP(Purchase[[#This Row],[Supplier ID]],Supplier[#All],3,0)</f>
        <v>9689542498</v>
      </c>
      <c r="F2413" s="138" t="str">
        <f>VLOOKUP(Purchase[[#This Row],[Supplier ID]],Supplier[#All],4,0)</f>
        <v>Kanpur</v>
      </c>
      <c r="G2413" s="138" t="str">
        <f>VLOOKUP(Purchase[[#This Row],[Supplier ID]],Supplier[#All],5,0)</f>
        <v>UP</v>
      </c>
      <c r="H2413" s="138" t="str">
        <f>VLOOKUP(Purchase[[#This Row],[Supplier ID]],Supplier[#All],6,0)</f>
        <v>GST2154521T060</v>
      </c>
      <c r="I2413" s="138" t="s">
        <v>361</v>
      </c>
      <c r="J2413" s="139">
        <v>4</v>
      </c>
      <c r="K2413" s="143">
        <f>VLOOKUP(Purchase[[#This Row],[Product ID]],Product[#All],6,0)</f>
        <v>20576</v>
      </c>
      <c r="L2413" s="143">
        <f>Purchase[[#This Row],[Purchase Rate]]*Purchase[[#This Row],[Qty]]</f>
        <v>82304</v>
      </c>
      <c r="M2413" s="140">
        <v>0</v>
      </c>
      <c r="N2413" s="143">
        <v>0</v>
      </c>
      <c r="O2413" s="140">
        <v>0.18</v>
      </c>
      <c r="P2413" s="145">
        <f>(Purchase[[#This Row],[Gross Amount]]-Purchase[[#This Row],[Disct %]])*Purchase[[#This Row],[GST %]]</f>
        <v>14814.72</v>
      </c>
      <c r="Q2413" s="145">
        <f>Purchase[[#This Row],[Gross Amount]]-Purchase[[#This Row],[Disct Amnt]]+Purchase[[#This Row],[GST Amount]]</f>
        <v>97118.720000000001</v>
      </c>
      <c r="R2413" s="138" t="s">
        <v>1019</v>
      </c>
      <c r="S2413" s="41">
        <f>IF(Purchase[[#This Row],[Status]]="Cancelled",0,Purchase[[#This Row],[Qty]])</f>
        <v>4</v>
      </c>
      <c r="T2413" s="146">
        <f>IF(Purchase[[#This Row],[Status]]="Cancelled",0,Purchase[[#This Row],[Total Amount]])</f>
        <v>97118.720000000001</v>
      </c>
      <c r="U2413" s="146">
        <f>SUM(Purchase[Net Amount])</f>
        <v>814985438.68000126</v>
      </c>
    </row>
    <row r="2414" spans="1:21" ht="19.5" thickBot="1" x14ac:dyDescent="0.3">
      <c r="A2414" s="136" t="s">
        <v>3471</v>
      </c>
      <c r="B2414" s="137">
        <v>45776</v>
      </c>
      <c r="C2414" s="138" t="s">
        <v>564</v>
      </c>
      <c r="D2414" s="138" t="str">
        <f>VLOOKUP(Purchase[[#This Row],[Supplier ID]],Supplier[#All],2,0)</f>
        <v xml:space="preserve">Star Electronics </v>
      </c>
      <c r="E2414" s="138">
        <f>VLOOKUP(Purchase[[#This Row],[Supplier ID]],Supplier[#All],3,0)</f>
        <v>9689542450</v>
      </c>
      <c r="F2414" s="138" t="str">
        <f>VLOOKUP(Purchase[[#This Row],[Supplier ID]],Supplier[#All],4,0)</f>
        <v>Korba</v>
      </c>
      <c r="G2414" s="138" t="str">
        <f>VLOOKUP(Purchase[[#This Row],[Supplier ID]],Supplier[#All],5,0)</f>
        <v>CG</v>
      </c>
      <c r="H2414" s="138" t="str">
        <f>VLOOKUP(Purchase[[#This Row],[Supplier ID]],Supplier[#All],6,0)</f>
        <v>GST2154521T012</v>
      </c>
      <c r="I2414" s="138" t="s">
        <v>315</v>
      </c>
      <c r="J2414" s="139">
        <v>31</v>
      </c>
      <c r="K2414" s="143">
        <f>VLOOKUP(Purchase[[#This Row],[Product ID]],Product[#All],6,0)</f>
        <v>2069</v>
      </c>
      <c r="L2414" s="143">
        <f>Purchase[[#This Row],[Purchase Rate]]*Purchase[[#This Row],[Qty]]</f>
        <v>64139</v>
      </c>
      <c r="M2414" s="140">
        <v>0</v>
      </c>
      <c r="N2414" s="143">
        <v>0</v>
      </c>
      <c r="O2414" s="140">
        <v>0.18</v>
      </c>
      <c r="P2414" s="145">
        <f>(Purchase[[#This Row],[Gross Amount]]-Purchase[[#This Row],[Disct %]])*Purchase[[#This Row],[GST %]]</f>
        <v>11545.02</v>
      </c>
      <c r="Q2414" s="145">
        <f>Purchase[[#This Row],[Gross Amount]]-Purchase[[#This Row],[Disct Amnt]]+Purchase[[#This Row],[GST Amount]]</f>
        <v>75684.02</v>
      </c>
      <c r="R2414" s="138" t="s">
        <v>1019</v>
      </c>
      <c r="S2414" s="41">
        <f>IF(Purchase[[#This Row],[Status]]="Cancelled",0,Purchase[[#This Row],[Qty]])</f>
        <v>31</v>
      </c>
      <c r="T2414" s="146">
        <f>IF(Purchase[[#This Row],[Status]]="Cancelled",0,Purchase[[#This Row],[Total Amount]])</f>
        <v>75684.02</v>
      </c>
      <c r="U2414" s="146">
        <f>SUM(Purchase[Net Amount])</f>
        <v>814985438.68000126</v>
      </c>
    </row>
    <row r="2415" spans="1:21" ht="19.5" thickBot="1" x14ac:dyDescent="0.3">
      <c r="A2415" s="136" t="s">
        <v>3472</v>
      </c>
      <c r="B2415" s="137">
        <v>45776</v>
      </c>
      <c r="C2415" s="138" t="s">
        <v>586</v>
      </c>
      <c r="D2415" s="138" t="str">
        <f>VLOOKUP(Purchase[[#This Row],[Supplier ID]],Supplier[#All],2,0)</f>
        <v>Maa Traders</v>
      </c>
      <c r="E2415" s="138">
        <f>VLOOKUP(Purchase[[#This Row],[Supplier ID]],Supplier[#All],3,0)</f>
        <v>9689542470</v>
      </c>
      <c r="F2415" s="138" t="str">
        <f>VLOOKUP(Purchase[[#This Row],[Supplier ID]],Supplier[#All],4,0)</f>
        <v>Kanpur</v>
      </c>
      <c r="G2415" s="138" t="str">
        <f>VLOOKUP(Purchase[[#This Row],[Supplier ID]],Supplier[#All],5,0)</f>
        <v>UP</v>
      </c>
      <c r="H2415" s="138" t="str">
        <f>VLOOKUP(Purchase[[#This Row],[Supplier ID]],Supplier[#All],6,0)</f>
        <v>GST2154521T032</v>
      </c>
      <c r="I2415" s="138" t="s">
        <v>516</v>
      </c>
      <c r="J2415" s="139">
        <v>9</v>
      </c>
      <c r="K2415" s="143">
        <f>VLOOKUP(Purchase[[#This Row],[Product ID]],Product[#All],6,0)</f>
        <v>2042</v>
      </c>
      <c r="L2415" s="143">
        <f>Purchase[[#This Row],[Purchase Rate]]*Purchase[[#This Row],[Qty]]</f>
        <v>18378</v>
      </c>
      <c r="M2415" s="140">
        <v>0</v>
      </c>
      <c r="N2415" s="143">
        <v>0</v>
      </c>
      <c r="O2415" s="140">
        <v>0.18</v>
      </c>
      <c r="P2415" s="145">
        <f>(Purchase[[#This Row],[Gross Amount]]-Purchase[[#This Row],[Disct %]])*Purchase[[#This Row],[GST %]]</f>
        <v>3308.04</v>
      </c>
      <c r="Q2415" s="145">
        <f>Purchase[[#This Row],[Gross Amount]]-Purchase[[#This Row],[Disct Amnt]]+Purchase[[#This Row],[GST Amount]]</f>
        <v>21686.04</v>
      </c>
      <c r="R2415" s="138" t="s">
        <v>1019</v>
      </c>
      <c r="S2415" s="41">
        <f>IF(Purchase[[#This Row],[Status]]="Cancelled",0,Purchase[[#This Row],[Qty]])</f>
        <v>9</v>
      </c>
      <c r="T2415" s="146">
        <f>IF(Purchase[[#This Row],[Status]]="Cancelled",0,Purchase[[#This Row],[Total Amount]])</f>
        <v>21686.04</v>
      </c>
      <c r="U2415" s="146">
        <f>SUM(Purchase[Net Amount])</f>
        <v>814985438.68000126</v>
      </c>
    </row>
    <row r="2416" spans="1:21" ht="19.5" thickBot="1" x14ac:dyDescent="0.3">
      <c r="A2416" s="136" t="s">
        <v>3473</v>
      </c>
      <c r="B2416" s="137">
        <v>45777</v>
      </c>
      <c r="C2416" s="138" t="s">
        <v>566</v>
      </c>
      <c r="D2416" s="138" t="str">
        <f>VLOOKUP(Purchase[[#This Row],[Supplier ID]],Supplier[#All],2,0)</f>
        <v>Maa Computers</v>
      </c>
      <c r="E2416" s="138">
        <f>VLOOKUP(Purchase[[#This Row],[Supplier ID]],Supplier[#All],3,0)</f>
        <v>9689542452</v>
      </c>
      <c r="F2416" s="138" t="str">
        <f>VLOOKUP(Purchase[[#This Row],[Supplier ID]],Supplier[#All],4,0)</f>
        <v>Kanpur</v>
      </c>
      <c r="G2416" s="138" t="str">
        <f>VLOOKUP(Purchase[[#This Row],[Supplier ID]],Supplier[#All],5,0)</f>
        <v>UP</v>
      </c>
      <c r="H2416" s="138" t="str">
        <f>VLOOKUP(Purchase[[#This Row],[Supplier ID]],Supplier[#All],6,0)</f>
        <v>GST2154521T014</v>
      </c>
      <c r="I2416" s="138" t="s">
        <v>30</v>
      </c>
      <c r="J2416" s="139">
        <v>26</v>
      </c>
      <c r="K2416" s="143">
        <f>VLOOKUP(Purchase[[#This Row],[Product ID]],Product[#All],6,0)</f>
        <v>13487</v>
      </c>
      <c r="L2416" s="143">
        <f>Purchase[[#This Row],[Purchase Rate]]*Purchase[[#This Row],[Qty]]</f>
        <v>350662</v>
      </c>
      <c r="M2416" s="140">
        <v>0</v>
      </c>
      <c r="N2416" s="143">
        <v>0</v>
      </c>
      <c r="O2416" s="140">
        <v>0.18</v>
      </c>
      <c r="P2416" s="145">
        <f>(Purchase[[#This Row],[Gross Amount]]-Purchase[[#This Row],[Disct %]])*Purchase[[#This Row],[GST %]]</f>
        <v>63119.159999999996</v>
      </c>
      <c r="Q2416" s="145">
        <f>Purchase[[#This Row],[Gross Amount]]-Purchase[[#This Row],[Disct Amnt]]+Purchase[[#This Row],[GST Amount]]</f>
        <v>413781.16</v>
      </c>
      <c r="R2416" s="138" t="s">
        <v>1019</v>
      </c>
      <c r="S2416" s="41">
        <f>IF(Purchase[[#This Row],[Status]]="Cancelled",0,Purchase[[#This Row],[Qty]])</f>
        <v>26</v>
      </c>
      <c r="T2416" s="146">
        <f>IF(Purchase[[#This Row],[Status]]="Cancelled",0,Purchase[[#This Row],[Total Amount]])</f>
        <v>413781.16</v>
      </c>
      <c r="U2416" s="146">
        <f>SUM(Purchase[Net Amount])</f>
        <v>814985438.68000126</v>
      </c>
    </row>
    <row r="2417" spans="1:21" ht="19.5" thickBot="1" x14ac:dyDescent="0.3">
      <c r="A2417" s="136" t="s">
        <v>3474</v>
      </c>
      <c r="B2417" s="137">
        <v>45777</v>
      </c>
      <c r="C2417" s="138" t="s">
        <v>583</v>
      </c>
      <c r="D2417" s="138" t="str">
        <f>VLOOKUP(Purchase[[#This Row],[Supplier ID]],Supplier[#All],2,0)</f>
        <v>Shree Distributors</v>
      </c>
      <c r="E2417" s="138">
        <f>VLOOKUP(Purchase[[#This Row],[Supplier ID]],Supplier[#All],3,0)</f>
        <v>9689542467</v>
      </c>
      <c r="F2417" s="138" t="str">
        <f>VLOOKUP(Purchase[[#This Row],[Supplier ID]],Supplier[#All],4,0)</f>
        <v>Indore</v>
      </c>
      <c r="G2417" s="138" t="str">
        <f>VLOOKUP(Purchase[[#This Row],[Supplier ID]],Supplier[#All],5,0)</f>
        <v>MP</v>
      </c>
      <c r="H2417" s="138" t="str">
        <f>VLOOKUP(Purchase[[#This Row],[Supplier ID]],Supplier[#All],6,0)</f>
        <v>GST2154521T029</v>
      </c>
      <c r="I2417" s="138" t="s">
        <v>404</v>
      </c>
      <c r="J2417" s="139">
        <v>25</v>
      </c>
      <c r="K2417" s="143">
        <f>VLOOKUP(Purchase[[#This Row],[Product ID]],Product[#All],6,0)</f>
        <v>2655</v>
      </c>
      <c r="L2417" s="143">
        <f>Purchase[[#This Row],[Purchase Rate]]*Purchase[[#This Row],[Qty]]</f>
        <v>66375</v>
      </c>
      <c r="M2417" s="140">
        <v>0</v>
      </c>
      <c r="N2417" s="143">
        <v>0</v>
      </c>
      <c r="O2417" s="140">
        <v>0.18</v>
      </c>
      <c r="P2417" s="145">
        <f>(Purchase[[#This Row],[Gross Amount]]-Purchase[[#This Row],[Disct %]])*Purchase[[#This Row],[GST %]]</f>
        <v>11947.5</v>
      </c>
      <c r="Q2417" s="145">
        <f>Purchase[[#This Row],[Gross Amount]]-Purchase[[#This Row],[Disct Amnt]]+Purchase[[#This Row],[GST Amount]]</f>
        <v>78322.5</v>
      </c>
      <c r="R2417" s="138" t="s">
        <v>1019</v>
      </c>
      <c r="S2417" s="41">
        <f>IF(Purchase[[#This Row],[Status]]="Cancelled",0,Purchase[[#This Row],[Qty]])</f>
        <v>25</v>
      </c>
      <c r="T2417" s="146">
        <f>IF(Purchase[[#This Row],[Status]]="Cancelled",0,Purchase[[#This Row],[Total Amount]])</f>
        <v>78322.5</v>
      </c>
      <c r="U2417" s="146">
        <f>SUM(Purchase[Net Amount])</f>
        <v>814985438.68000126</v>
      </c>
    </row>
    <row r="2418" spans="1:21" ht="19.5" thickBot="1" x14ac:dyDescent="0.3">
      <c r="A2418" s="136" t="s">
        <v>3475</v>
      </c>
      <c r="B2418" s="137">
        <v>45777</v>
      </c>
      <c r="C2418" s="138" t="s">
        <v>573</v>
      </c>
      <c r="D2418" s="138" t="str">
        <f>VLOOKUP(Purchase[[#This Row],[Supplier ID]],Supplier[#All],2,0)</f>
        <v>Shree Traders</v>
      </c>
      <c r="E2418" s="138">
        <f>VLOOKUP(Purchase[[#This Row],[Supplier ID]],Supplier[#All],3,0)</f>
        <v>9689542458</v>
      </c>
      <c r="F2418" s="138" t="str">
        <f>VLOOKUP(Purchase[[#This Row],[Supplier ID]],Supplier[#All],4,0)</f>
        <v>Korba</v>
      </c>
      <c r="G2418" s="138" t="str">
        <f>VLOOKUP(Purchase[[#This Row],[Supplier ID]],Supplier[#All],5,0)</f>
        <v>CG</v>
      </c>
      <c r="H2418" s="138" t="str">
        <f>VLOOKUP(Purchase[[#This Row],[Supplier ID]],Supplier[#All],6,0)</f>
        <v>GST2154521T020</v>
      </c>
      <c r="I2418" s="138" t="s">
        <v>186</v>
      </c>
      <c r="J2418" s="139">
        <v>6</v>
      </c>
      <c r="K2418" s="143">
        <f>VLOOKUP(Purchase[[#This Row],[Product ID]],Product[#All],6,0)</f>
        <v>9529</v>
      </c>
      <c r="L2418" s="143">
        <f>Purchase[[#This Row],[Purchase Rate]]*Purchase[[#This Row],[Qty]]</f>
        <v>57174</v>
      </c>
      <c r="M2418" s="140">
        <v>0</v>
      </c>
      <c r="N2418" s="143">
        <v>0</v>
      </c>
      <c r="O2418" s="140">
        <v>0.18</v>
      </c>
      <c r="P2418" s="145">
        <f>(Purchase[[#This Row],[Gross Amount]]-Purchase[[#This Row],[Disct %]])*Purchase[[#This Row],[GST %]]</f>
        <v>10291.32</v>
      </c>
      <c r="Q2418" s="145">
        <f>Purchase[[#This Row],[Gross Amount]]-Purchase[[#This Row],[Disct Amnt]]+Purchase[[#This Row],[GST Amount]]</f>
        <v>67465.320000000007</v>
      </c>
      <c r="R2418" s="138" t="s">
        <v>1019</v>
      </c>
      <c r="S2418" s="41">
        <f>IF(Purchase[[#This Row],[Status]]="Cancelled",0,Purchase[[#This Row],[Qty]])</f>
        <v>6</v>
      </c>
      <c r="T2418" s="146">
        <f>IF(Purchase[[#This Row],[Status]]="Cancelled",0,Purchase[[#This Row],[Total Amount]])</f>
        <v>67465.320000000007</v>
      </c>
      <c r="U2418" s="146">
        <f>SUM(Purchase[Net Amount])</f>
        <v>814985438.68000126</v>
      </c>
    </row>
    <row r="2419" spans="1:21" ht="19.5" thickBot="1" x14ac:dyDescent="0.3">
      <c r="A2419" s="136" t="s">
        <v>3476</v>
      </c>
      <c r="B2419" s="137">
        <v>45777</v>
      </c>
      <c r="C2419" s="138" t="s">
        <v>586</v>
      </c>
      <c r="D2419" s="138" t="str">
        <f>VLOOKUP(Purchase[[#This Row],[Supplier ID]],Supplier[#All],2,0)</f>
        <v>Maa Traders</v>
      </c>
      <c r="E2419" s="138">
        <f>VLOOKUP(Purchase[[#This Row],[Supplier ID]],Supplier[#All],3,0)</f>
        <v>9689542470</v>
      </c>
      <c r="F2419" s="138" t="str">
        <f>VLOOKUP(Purchase[[#This Row],[Supplier ID]],Supplier[#All],4,0)</f>
        <v>Kanpur</v>
      </c>
      <c r="G2419" s="138" t="str">
        <f>VLOOKUP(Purchase[[#This Row],[Supplier ID]],Supplier[#All],5,0)</f>
        <v>UP</v>
      </c>
      <c r="H2419" s="138" t="str">
        <f>VLOOKUP(Purchase[[#This Row],[Supplier ID]],Supplier[#All],6,0)</f>
        <v>GST2154521T032</v>
      </c>
      <c r="I2419" s="138" t="s">
        <v>82</v>
      </c>
      <c r="J2419" s="139">
        <v>22</v>
      </c>
      <c r="K2419" s="143">
        <f>VLOOKUP(Purchase[[#This Row],[Product ID]],Product[#All],6,0)</f>
        <v>4177</v>
      </c>
      <c r="L2419" s="143">
        <f>Purchase[[#This Row],[Purchase Rate]]*Purchase[[#This Row],[Qty]]</f>
        <v>91894</v>
      </c>
      <c r="M2419" s="140">
        <v>0</v>
      </c>
      <c r="N2419" s="143">
        <v>0</v>
      </c>
      <c r="O2419" s="140">
        <v>0.18</v>
      </c>
      <c r="P2419" s="145">
        <f>(Purchase[[#This Row],[Gross Amount]]-Purchase[[#This Row],[Disct %]])*Purchase[[#This Row],[GST %]]</f>
        <v>16540.919999999998</v>
      </c>
      <c r="Q2419" s="145">
        <f>Purchase[[#This Row],[Gross Amount]]-Purchase[[#This Row],[Disct Amnt]]+Purchase[[#This Row],[GST Amount]]</f>
        <v>108434.92</v>
      </c>
      <c r="R2419" s="138" t="s">
        <v>1019</v>
      </c>
      <c r="S2419" s="41">
        <f>IF(Purchase[[#This Row],[Status]]="Cancelled",0,Purchase[[#This Row],[Qty]])</f>
        <v>22</v>
      </c>
      <c r="T2419" s="146">
        <f>IF(Purchase[[#This Row],[Status]]="Cancelled",0,Purchase[[#This Row],[Total Amount]])</f>
        <v>108434.92</v>
      </c>
      <c r="U2419" s="146">
        <f>SUM(Purchase[Net Amount])</f>
        <v>814985438.68000126</v>
      </c>
    </row>
    <row r="2420" spans="1:21" ht="19.5" thickBot="1" x14ac:dyDescent="0.3">
      <c r="A2420" s="136" t="s">
        <v>3477</v>
      </c>
      <c r="B2420" s="137">
        <v>45777</v>
      </c>
      <c r="C2420" s="138" t="s">
        <v>582</v>
      </c>
      <c r="D2420" s="138" t="str">
        <f>VLOOKUP(Purchase[[#This Row],[Supplier ID]],Supplier[#All],2,0)</f>
        <v>Tech Distributors</v>
      </c>
      <c r="E2420" s="138">
        <f>VLOOKUP(Purchase[[#This Row],[Supplier ID]],Supplier[#All],3,0)</f>
        <v>9689542466</v>
      </c>
      <c r="F2420" s="138" t="str">
        <f>VLOOKUP(Purchase[[#This Row],[Supplier ID]],Supplier[#All],4,0)</f>
        <v>Indore</v>
      </c>
      <c r="G2420" s="138" t="str">
        <f>VLOOKUP(Purchase[[#This Row],[Supplier ID]],Supplier[#All],5,0)</f>
        <v>MP</v>
      </c>
      <c r="H2420" s="138" t="str">
        <f>VLOOKUP(Purchase[[#This Row],[Supplier ID]],Supplier[#All],6,0)</f>
        <v>GST2154521T028</v>
      </c>
      <c r="I2420" s="138" t="s">
        <v>506</v>
      </c>
      <c r="J2420" s="139">
        <v>4</v>
      </c>
      <c r="K2420" s="143">
        <f>VLOOKUP(Purchase[[#This Row],[Product ID]],Product[#All],6,0)</f>
        <v>36215</v>
      </c>
      <c r="L2420" s="143">
        <f>Purchase[[#This Row],[Purchase Rate]]*Purchase[[#This Row],[Qty]]</f>
        <v>144860</v>
      </c>
      <c r="M2420" s="140">
        <v>0</v>
      </c>
      <c r="N2420" s="143">
        <v>0</v>
      </c>
      <c r="O2420" s="140">
        <v>0.18</v>
      </c>
      <c r="P2420" s="145">
        <f>(Purchase[[#This Row],[Gross Amount]]-Purchase[[#This Row],[Disct %]])*Purchase[[#This Row],[GST %]]</f>
        <v>26074.799999999999</v>
      </c>
      <c r="Q2420" s="145">
        <f>Purchase[[#This Row],[Gross Amount]]-Purchase[[#This Row],[Disct Amnt]]+Purchase[[#This Row],[GST Amount]]</f>
        <v>170934.8</v>
      </c>
      <c r="R2420" s="138" t="s">
        <v>1019</v>
      </c>
      <c r="S2420" s="41">
        <f>IF(Purchase[[#This Row],[Status]]="Cancelled",0,Purchase[[#This Row],[Qty]])</f>
        <v>4</v>
      </c>
      <c r="T2420" s="146">
        <f>IF(Purchase[[#This Row],[Status]]="Cancelled",0,Purchase[[#This Row],[Total Amount]])</f>
        <v>170934.8</v>
      </c>
      <c r="U2420" s="146">
        <f>SUM(Purchase[Net Amount])</f>
        <v>814985438.68000126</v>
      </c>
    </row>
    <row r="2421" spans="1:21" ht="19.5" thickBot="1" x14ac:dyDescent="0.3">
      <c r="A2421" s="136" t="s">
        <v>3478</v>
      </c>
      <c r="B2421" s="137">
        <v>45777</v>
      </c>
      <c r="C2421" s="138" t="s">
        <v>566</v>
      </c>
      <c r="D2421" s="138" t="str">
        <f>VLOOKUP(Purchase[[#This Row],[Supplier ID]],Supplier[#All],2,0)</f>
        <v>Maa Computers</v>
      </c>
      <c r="E2421" s="138">
        <f>VLOOKUP(Purchase[[#This Row],[Supplier ID]],Supplier[#All],3,0)</f>
        <v>9689542452</v>
      </c>
      <c r="F2421" s="138" t="str">
        <f>VLOOKUP(Purchase[[#This Row],[Supplier ID]],Supplier[#All],4,0)</f>
        <v>Kanpur</v>
      </c>
      <c r="G2421" s="138" t="str">
        <f>VLOOKUP(Purchase[[#This Row],[Supplier ID]],Supplier[#All],5,0)</f>
        <v>UP</v>
      </c>
      <c r="H2421" s="138" t="str">
        <f>VLOOKUP(Purchase[[#This Row],[Supplier ID]],Supplier[#All],6,0)</f>
        <v>GST2154521T014</v>
      </c>
      <c r="I2421" s="138" t="s">
        <v>519</v>
      </c>
      <c r="J2421" s="139">
        <v>27</v>
      </c>
      <c r="K2421" s="143">
        <f>VLOOKUP(Purchase[[#This Row],[Product ID]],Product[#All],6,0)</f>
        <v>7430</v>
      </c>
      <c r="L2421" s="143">
        <f>Purchase[[#This Row],[Purchase Rate]]*Purchase[[#This Row],[Qty]]</f>
        <v>200610</v>
      </c>
      <c r="M2421" s="140">
        <v>0</v>
      </c>
      <c r="N2421" s="143">
        <v>0</v>
      </c>
      <c r="O2421" s="140">
        <v>0.18</v>
      </c>
      <c r="P2421" s="145">
        <f>(Purchase[[#This Row],[Gross Amount]]-Purchase[[#This Row],[Disct %]])*Purchase[[#This Row],[GST %]]</f>
        <v>36109.799999999996</v>
      </c>
      <c r="Q2421" s="145">
        <f>Purchase[[#This Row],[Gross Amount]]-Purchase[[#This Row],[Disct Amnt]]+Purchase[[#This Row],[GST Amount]]</f>
        <v>236719.8</v>
      </c>
      <c r="R2421" s="138" t="s">
        <v>1019</v>
      </c>
      <c r="S2421" s="41">
        <f>IF(Purchase[[#This Row],[Status]]="Cancelled",0,Purchase[[#This Row],[Qty]])</f>
        <v>27</v>
      </c>
      <c r="T2421" s="146">
        <f>IF(Purchase[[#This Row],[Status]]="Cancelled",0,Purchase[[#This Row],[Total Amount]])</f>
        <v>236719.8</v>
      </c>
      <c r="U2421" s="146">
        <f>SUM(Purchase[Net Amount])</f>
        <v>814985438.68000126</v>
      </c>
    </row>
    <row r="2422" spans="1:21" ht="19.5" thickBot="1" x14ac:dyDescent="0.3">
      <c r="A2422" s="136" t="s">
        <v>3479</v>
      </c>
      <c r="B2422" s="137">
        <v>45777</v>
      </c>
      <c r="C2422" s="138" t="s">
        <v>570</v>
      </c>
      <c r="D2422" s="138" t="str">
        <f>VLOOKUP(Purchase[[#This Row],[Supplier ID]],Supplier[#All],2,0)</f>
        <v>Prime Traders</v>
      </c>
      <c r="E2422" s="138">
        <f>VLOOKUP(Purchase[[#This Row],[Supplier ID]],Supplier[#All],3,0)</f>
        <v>9689542456</v>
      </c>
      <c r="F2422" s="138" t="str">
        <f>VLOOKUP(Purchase[[#This Row],[Supplier ID]],Supplier[#All],4,0)</f>
        <v>Indore</v>
      </c>
      <c r="G2422" s="138" t="str">
        <f>VLOOKUP(Purchase[[#This Row],[Supplier ID]],Supplier[#All],5,0)</f>
        <v>MP</v>
      </c>
      <c r="H2422" s="138" t="str">
        <f>VLOOKUP(Purchase[[#This Row],[Supplier ID]],Supplier[#All],6,0)</f>
        <v>GST2154521T018</v>
      </c>
      <c r="I2422" s="138" t="s">
        <v>500</v>
      </c>
      <c r="J2422" s="139">
        <v>10</v>
      </c>
      <c r="K2422" s="143">
        <f>VLOOKUP(Purchase[[#This Row],[Product ID]],Product[#All],6,0)</f>
        <v>2600</v>
      </c>
      <c r="L2422" s="143">
        <f>Purchase[[#This Row],[Purchase Rate]]*Purchase[[#This Row],[Qty]]</f>
        <v>26000</v>
      </c>
      <c r="M2422" s="140">
        <v>0</v>
      </c>
      <c r="N2422" s="143">
        <v>0</v>
      </c>
      <c r="O2422" s="140">
        <v>0.18</v>
      </c>
      <c r="P2422" s="145">
        <f>(Purchase[[#This Row],[Gross Amount]]-Purchase[[#This Row],[Disct %]])*Purchase[[#This Row],[GST %]]</f>
        <v>4680</v>
      </c>
      <c r="Q2422" s="145">
        <f>Purchase[[#This Row],[Gross Amount]]-Purchase[[#This Row],[Disct Amnt]]+Purchase[[#This Row],[GST Amount]]</f>
        <v>30680</v>
      </c>
      <c r="R2422" s="138" t="s">
        <v>1019</v>
      </c>
      <c r="S2422" s="41">
        <f>IF(Purchase[[#This Row],[Status]]="Cancelled",0,Purchase[[#This Row],[Qty]])</f>
        <v>10</v>
      </c>
      <c r="T2422" s="146">
        <f>IF(Purchase[[#This Row],[Status]]="Cancelled",0,Purchase[[#This Row],[Total Amount]])</f>
        <v>30680</v>
      </c>
      <c r="U2422" s="146">
        <f>SUM(Purchase[Net Amount])</f>
        <v>814985438.68000126</v>
      </c>
    </row>
    <row r="2423" spans="1:21" ht="19.5" thickBot="1" x14ac:dyDescent="0.3">
      <c r="A2423" s="136" t="s">
        <v>3480</v>
      </c>
      <c r="B2423" s="137">
        <v>45777</v>
      </c>
      <c r="C2423" s="138" t="s">
        <v>597</v>
      </c>
      <c r="D2423" s="138" t="str">
        <f>VLOOKUP(Purchase[[#This Row],[Supplier ID]],Supplier[#All],2,0)</f>
        <v>Tech Traders</v>
      </c>
      <c r="E2423" s="138">
        <f>VLOOKUP(Purchase[[#This Row],[Supplier ID]],Supplier[#All],3,0)</f>
        <v>9689542480</v>
      </c>
      <c r="F2423" s="138" t="str">
        <f>VLOOKUP(Purchase[[#This Row],[Supplier ID]],Supplier[#All],4,0)</f>
        <v>Kanpur</v>
      </c>
      <c r="G2423" s="138" t="str">
        <f>VLOOKUP(Purchase[[#This Row],[Supplier ID]],Supplier[#All],5,0)</f>
        <v>UP</v>
      </c>
      <c r="H2423" s="138" t="str">
        <f>VLOOKUP(Purchase[[#This Row],[Supplier ID]],Supplier[#All],6,0)</f>
        <v>GST2154521T042</v>
      </c>
      <c r="I2423" s="138" t="s">
        <v>324</v>
      </c>
      <c r="J2423" s="139">
        <v>6</v>
      </c>
      <c r="K2423" s="143">
        <f>VLOOKUP(Purchase[[#This Row],[Product ID]],Product[#All],6,0)</f>
        <v>3690</v>
      </c>
      <c r="L2423" s="143">
        <f>Purchase[[#This Row],[Purchase Rate]]*Purchase[[#This Row],[Qty]]</f>
        <v>22140</v>
      </c>
      <c r="M2423" s="140">
        <v>0</v>
      </c>
      <c r="N2423" s="143">
        <v>0</v>
      </c>
      <c r="O2423" s="140">
        <v>0.18</v>
      </c>
      <c r="P2423" s="145">
        <f>(Purchase[[#This Row],[Gross Amount]]-Purchase[[#This Row],[Disct %]])*Purchase[[#This Row],[GST %]]</f>
        <v>3985.2</v>
      </c>
      <c r="Q2423" s="145">
        <f>Purchase[[#This Row],[Gross Amount]]-Purchase[[#This Row],[Disct Amnt]]+Purchase[[#This Row],[GST Amount]]</f>
        <v>26125.200000000001</v>
      </c>
      <c r="R2423" s="138" t="s">
        <v>1019</v>
      </c>
      <c r="S2423" s="41">
        <f>IF(Purchase[[#This Row],[Status]]="Cancelled",0,Purchase[[#This Row],[Qty]])</f>
        <v>6</v>
      </c>
      <c r="T2423" s="146">
        <f>IF(Purchase[[#This Row],[Status]]="Cancelled",0,Purchase[[#This Row],[Total Amount]])</f>
        <v>26125.200000000001</v>
      </c>
      <c r="U2423" s="146">
        <f>SUM(Purchase[Net Amount])</f>
        <v>814985438.68000126</v>
      </c>
    </row>
    <row r="2424" spans="1:21" ht="19.5" thickBot="1" x14ac:dyDescent="0.3">
      <c r="A2424" s="136" t="s">
        <v>3481</v>
      </c>
      <c r="B2424" s="137">
        <v>45777</v>
      </c>
      <c r="C2424" s="138" t="s">
        <v>589</v>
      </c>
      <c r="D2424" s="138" t="str">
        <f>VLOOKUP(Purchase[[#This Row],[Supplier ID]],Supplier[#All],2,0)</f>
        <v>Maa Computers</v>
      </c>
      <c r="E2424" s="138">
        <f>VLOOKUP(Purchase[[#This Row],[Supplier ID]],Supplier[#All],3,0)</f>
        <v>9689542473</v>
      </c>
      <c r="F2424" s="138" t="str">
        <f>VLOOKUP(Purchase[[#This Row],[Supplier ID]],Supplier[#All],4,0)</f>
        <v>Kanpur</v>
      </c>
      <c r="G2424" s="138" t="str">
        <f>VLOOKUP(Purchase[[#This Row],[Supplier ID]],Supplier[#All],5,0)</f>
        <v>UP</v>
      </c>
      <c r="H2424" s="138" t="str">
        <f>VLOOKUP(Purchase[[#This Row],[Supplier ID]],Supplier[#All],6,0)</f>
        <v>GST2154521T035</v>
      </c>
      <c r="I2424" s="138" t="s">
        <v>100</v>
      </c>
      <c r="J2424" s="139">
        <v>4</v>
      </c>
      <c r="K2424" s="143">
        <f>VLOOKUP(Purchase[[#This Row],[Product ID]],Product[#All],6,0)</f>
        <v>162</v>
      </c>
      <c r="L2424" s="143">
        <f>Purchase[[#This Row],[Purchase Rate]]*Purchase[[#This Row],[Qty]]</f>
        <v>648</v>
      </c>
      <c r="M2424" s="140">
        <v>0</v>
      </c>
      <c r="N2424" s="143">
        <v>0</v>
      </c>
      <c r="O2424" s="140">
        <v>0.18</v>
      </c>
      <c r="P2424" s="145">
        <f>(Purchase[[#This Row],[Gross Amount]]-Purchase[[#This Row],[Disct %]])*Purchase[[#This Row],[GST %]]</f>
        <v>116.64</v>
      </c>
      <c r="Q2424" s="145">
        <f>Purchase[[#This Row],[Gross Amount]]-Purchase[[#This Row],[Disct Amnt]]+Purchase[[#This Row],[GST Amount]]</f>
        <v>764.64</v>
      </c>
      <c r="R2424" s="138" t="s">
        <v>1019</v>
      </c>
      <c r="S2424" s="41">
        <f>IF(Purchase[[#This Row],[Status]]="Cancelled",0,Purchase[[#This Row],[Qty]])</f>
        <v>4</v>
      </c>
      <c r="T2424" s="146">
        <f>IF(Purchase[[#This Row],[Status]]="Cancelled",0,Purchase[[#This Row],[Total Amount]])</f>
        <v>764.64</v>
      </c>
      <c r="U2424" s="146">
        <f>SUM(Purchase[Net Amount])</f>
        <v>814985438.68000126</v>
      </c>
    </row>
    <row r="2425" spans="1:21" ht="19.5" thickBot="1" x14ac:dyDescent="0.3">
      <c r="A2425" s="136" t="s">
        <v>3482</v>
      </c>
      <c r="B2425" s="137">
        <v>45777</v>
      </c>
      <c r="C2425" s="138" t="s">
        <v>586</v>
      </c>
      <c r="D2425" s="138" t="str">
        <f>VLOOKUP(Purchase[[#This Row],[Supplier ID]],Supplier[#All],2,0)</f>
        <v>Maa Traders</v>
      </c>
      <c r="E2425" s="138">
        <f>VLOOKUP(Purchase[[#This Row],[Supplier ID]],Supplier[#All],3,0)</f>
        <v>9689542470</v>
      </c>
      <c r="F2425" s="138" t="str">
        <f>VLOOKUP(Purchase[[#This Row],[Supplier ID]],Supplier[#All],4,0)</f>
        <v>Kanpur</v>
      </c>
      <c r="G2425" s="138" t="str">
        <f>VLOOKUP(Purchase[[#This Row],[Supplier ID]],Supplier[#All],5,0)</f>
        <v>UP</v>
      </c>
      <c r="H2425" s="138" t="str">
        <f>VLOOKUP(Purchase[[#This Row],[Supplier ID]],Supplier[#All],6,0)</f>
        <v>GST2154521T032</v>
      </c>
      <c r="I2425" s="138" t="s">
        <v>163</v>
      </c>
      <c r="J2425" s="139">
        <v>27</v>
      </c>
      <c r="K2425" s="143">
        <f>VLOOKUP(Purchase[[#This Row],[Product ID]],Product[#All],6,0)</f>
        <v>13893</v>
      </c>
      <c r="L2425" s="143">
        <f>Purchase[[#This Row],[Purchase Rate]]*Purchase[[#This Row],[Qty]]</f>
        <v>375111</v>
      </c>
      <c r="M2425" s="140">
        <v>0</v>
      </c>
      <c r="N2425" s="143">
        <v>0</v>
      </c>
      <c r="O2425" s="140">
        <v>0.18</v>
      </c>
      <c r="P2425" s="145">
        <f>(Purchase[[#This Row],[Gross Amount]]-Purchase[[#This Row],[Disct %]])*Purchase[[#This Row],[GST %]]</f>
        <v>67519.98</v>
      </c>
      <c r="Q2425" s="145">
        <f>Purchase[[#This Row],[Gross Amount]]-Purchase[[#This Row],[Disct Amnt]]+Purchase[[#This Row],[GST Amount]]</f>
        <v>442630.98</v>
      </c>
      <c r="R2425" s="138" t="s">
        <v>1019</v>
      </c>
      <c r="S2425" s="41">
        <f>IF(Purchase[[#This Row],[Status]]="Cancelled",0,Purchase[[#This Row],[Qty]])</f>
        <v>27</v>
      </c>
      <c r="T2425" s="146">
        <f>IF(Purchase[[#This Row],[Status]]="Cancelled",0,Purchase[[#This Row],[Total Amount]])</f>
        <v>442630.98</v>
      </c>
      <c r="U2425" s="146">
        <f>SUM(Purchase[Net Amount])</f>
        <v>814985438.68000126</v>
      </c>
    </row>
    <row r="2426" spans="1:21" ht="19.5" thickBot="1" x14ac:dyDescent="0.3">
      <c r="A2426" s="136" t="s">
        <v>3483</v>
      </c>
      <c r="B2426" s="137">
        <v>45777</v>
      </c>
      <c r="C2426" s="138" t="s">
        <v>570</v>
      </c>
      <c r="D2426" s="138" t="str">
        <f>VLOOKUP(Purchase[[#This Row],[Supplier ID]],Supplier[#All],2,0)</f>
        <v>Prime Traders</v>
      </c>
      <c r="E2426" s="138">
        <f>VLOOKUP(Purchase[[#This Row],[Supplier ID]],Supplier[#All],3,0)</f>
        <v>9689542456</v>
      </c>
      <c r="F2426" s="138" t="str">
        <f>VLOOKUP(Purchase[[#This Row],[Supplier ID]],Supplier[#All],4,0)</f>
        <v>Indore</v>
      </c>
      <c r="G2426" s="138" t="str">
        <f>VLOOKUP(Purchase[[#This Row],[Supplier ID]],Supplier[#All],5,0)</f>
        <v>MP</v>
      </c>
      <c r="H2426" s="138" t="str">
        <f>VLOOKUP(Purchase[[#This Row],[Supplier ID]],Supplier[#All],6,0)</f>
        <v>GST2154521T018</v>
      </c>
      <c r="I2426" s="138" t="s">
        <v>411</v>
      </c>
      <c r="J2426" s="139">
        <v>40</v>
      </c>
      <c r="K2426" s="143">
        <f>VLOOKUP(Purchase[[#This Row],[Product ID]],Product[#All],6,0)</f>
        <v>2088</v>
      </c>
      <c r="L2426" s="143">
        <f>Purchase[[#This Row],[Purchase Rate]]*Purchase[[#This Row],[Qty]]</f>
        <v>83520</v>
      </c>
      <c r="M2426" s="140">
        <v>0</v>
      </c>
      <c r="N2426" s="143">
        <v>0</v>
      </c>
      <c r="O2426" s="140">
        <v>0.18</v>
      </c>
      <c r="P2426" s="145">
        <f>(Purchase[[#This Row],[Gross Amount]]-Purchase[[#This Row],[Disct %]])*Purchase[[#This Row],[GST %]]</f>
        <v>15033.599999999999</v>
      </c>
      <c r="Q2426" s="145">
        <f>Purchase[[#This Row],[Gross Amount]]-Purchase[[#This Row],[Disct Amnt]]+Purchase[[#This Row],[GST Amount]]</f>
        <v>98553.600000000006</v>
      </c>
      <c r="R2426" s="138" t="s">
        <v>1019</v>
      </c>
      <c r="S2426" s="41">
        <f>IF(Purchase[[#This Row],[Status]]="Cancelled",0,Purchase[[#This Row],[Qty]])</f>
        <v>40</v>
      </c>
      <c r="T2426" s="146">
        <f>IF(Purchase[[#This Row],[Status]]="Cancelled",0,Purchase[[#This Row],[Total Amount]])</f>
        <v>98553.600000000006</v>
      </c>
      <c r="U2426" s="146">
        <f>SUM(Purchase[Net Amount])</f>
        <v>814985438.68000126</v>
      </c>
    </row>
    <row r="2427" spans="1:21" ht="19.5" thickBot="1" x14ac:dyDescent="0.3">
      <c r="A2427" s="136" t="s">
        <v>3484</v>
      </c>
      <c r="B2427" s="137">
        <v>45777</v>
      </c>
      <c r="C2427" s="138" t="s">
        <v>1332</v>
      </c>
      <c r="D2427" s="138" t="str">
        <f>VLOOKUP(Purchase[[#This Row],[Supplier ID]],Supplier[#All],2,0)</f>
        <v>National Computers</v>
      </c>
      <c r="E2427" s="138">
        <f>VLOOKUP(Purchase[[#This Row],[Supplier ID]],Supplier[#All],3,0)</f>
        <v>9689542495</v>
      </c>
      <c r="F2427" s="138" t="str">
        <f>VLOOKUP(Purchase[[#This Row],[Supplier ID]],Supplier[#All],4,0)</f>
        <v>Indore</v>
      </c>
      <c r="G2427" s="138" t="str">
        <f>VLOOKUP(Purchase[[#This Row],[Supplier ID]],Supplier[#All],5,0)</f>
        <v>MP</v>
      </c>
      <c r="H2427" s="138" t="str">
        <f>VLOOKUP(Purchase[[#This Row],[Supplier ID]],Supplier[#All],6,0)</f>
        <v>GST2154521T057</v>
      </c>
      <c r="I2427" s="138" t="s">
        <v>359</v>
      </c>
      <c r="J2427" s="139">
        <v>10</v>
      </c>
      <c r="K2427" s="143">
        <f>VLOOKUP(Purchase[[#This Row],[Product ID]],Product[#All],6,0)</f>
        <v>922</v>
      </c>
      <c r="L2427" s="143">
        <f>Purchase[[#This Row],[Purchase Rate]]*Purchase[[#This Row],[Qty]]</f>
        <v>9220</v>
      </c>
      <c r="M2427" s="140">
        <v>0</v>
      </c>
      <c r="N2427" s="143">
        <v>0</v>
      </c>
      <c r="O2427" s="140">
        <v>0.18</v>
      </c>
      <c r="P2427" s="145">
        <f>(Purchase[[#This Row],[Gross Amount]]-Purchase[[#This Row],[Disct %]])*Purchase[[#This Row],[GST %]]</f>
        <v>1659.6</v>
      </c>
      <c r="Q2427" s="145">
        <f>Purchase[[#This Row],[Gross Amount]]-Purchase[[#This Row],[Disct Amnt]]+Purchase[[#This Row],[GST Amount]]</f>
        <v>10879.6</v>
      </c>
      <c r="R2427" s="138" t="s">
        <v>1019</v>
      </c>
      <c r="S2427" s="41">
        <f>IF(Purchase[[#This Row],[Status]]="Cancelled",0,Purchase[[#This Row],[Qty]])</f>
        <v>10</v>
      </c>
      <c r="T2427" s="146">
        <f>IF(Purchase[[#This Row],[Status]]="Cancelled",0,Purchase[[#This Row],[Total Amount]])</f>
        <v>10879.6</v>
      </c>
      <c r="U2427" s="146">
        <f>SUM(Purchase[Net Amount])</f>
        <v>814985438.68000126</v>
      </c>
    </row>
    <row r="2428" spans="1:21" ht="19.5" thickBot="1" x14ac:dyDescent="0.3">
      <c r="A2428" s="136" t="s">
        <v>3485</v>
      </c>
      <c r="B2428" s="137">
        <v>45777</v>
      </c>
      <c r="C2428" s="138" t="s">
        <v>585</v>
      </c>
      <c r="D2428" s="138" t="str">
        <f>VLOOKUP(Purchase[[#This Row],[Supplier ID]],Supplier[#All],2,0)</f>
        <v>Tech Computers</v>
      </c>
      <c r="E2428" s="138">
        <f>VLOOKUP(Purchase[[#This Row],[Supplier ID]],Supplier[#All],3,0)</f>
        <v>9689542469</v>
      </c>
      <c r="F2428" s="138" t="str">
        <f>VLOOKUP(Purchase[[#This Row],[Supplier ID]],Supplier[#All],4,0)</f>
        <v>Korba</v>
      </c>
      <c r="G2428" s="138" t="str">
        <f>VLOOKUP(Purchase[[#This Row],[Supplier ID]],Supplier[#All],5,0)</f>
        <v>CG</v>
      </c>
      <c r="H2428" s="138" t="str">
        <f>VLOOKUP(Purchase[[#This Row],[Supplier ID]],Supplier[#All],6,0)</f>
        <v>GST2154521T031</v>
      </c>
      <c r="I2428" s="138" t="s">
        <v>370</v>
      </c>
      <c r="J2428" s="139">
        <v>8</v>
      </c>
      <c r="K2428" s="143">
        <f>VLOOKUP(Purchase[[#This Row],[Product ID]],Product[#All],6,0)</f>
        <v>19276</v>
      </c>
      <c r="L2428" s="143">
        <f>Purchase[[#This Row],[Purchase Rate]]*Purchase[[#This Row],[Qty]]</f>
        <v>154208</v>
      </c>
      <c r="M2428" s="140">
        <v>0</v>
      </c>
      <c r="N2428" s="143">
        <v>0</v>
      </c>
      <c r="O2428" s="140">
        <v>0.18</v>
      </c>
      <c r="P2428" s="145">
        <f>(Purchase[[#This Row],[Gross Amount]]-Purchase[[#This Row],[Disct %]])*Purchase[[#This Row],[GST %]]</f>
        <v>27757.439999999999</v>
      </c>
      <c r="Q2428" s="145">
        <f>Purchase[[#This Row],[Gross Amount]]-Purchase[[#This Row],[Disct Amnt]]+Purchase[[#This Row],[GST Amount]]</f>
        <v>181965.44</v>
      </c>
      <c r="R2428" s="138" t="s">
        <v>1019</v>
      </c>
      <c r="S2428" s="41">
        <f>IF(Purchase[[#This Row],[Status]]="Cancelled",0,Purchase[[#This Row],[Qty]])</f>
        <v>8</v>
      </c>
      <c r="T2428" s="146">
        <f>IF(Purchase[[#This Row],[Status]]="Cancelled",0,Purchase[[#This Row],[Total Amount]])</f>
        <v>181965.44</v>
      </c>
      <c r="U2428" s="146">
        <f>SUM(Purchase[Net Amount])</f>
        <v>814985438.68000126</v>
      </c>
    </row>
    <row r="2429" spans="1:21" ht="19.5" thickBot="1" x14ac:dyDescent="0.3">
      <c r="A2429" s="136" t="s">
        <v>3486</v>
      </c>
      <c r="B2429" s="137">
        <v>45777</v>
      </c>
      <c r="C2429" s="138" t="s">
        <v>564</v>
      </c>
      <c r="D2429" s="138" t="str">
        <f>VLOOKUP(Purchase[[#This Row],[Supplier ID]],Supplier[#All],2,0)</f>
        <v xml:space="preserve">Star Electronics </v>
      </c>
      <c r="E2429" s="138">
        <f>VLOOKUP(Purchase[[#This Row],[Supplier ID]],Supplier[#All],3,0)</f>
        <v>9689542450</v>
      </c>
      <c r="F2429" s="138" t="str">
        <f>VLOOKUP(Purchase[[#This Row],[Supplier ID]],Supplier[#All],4,0)</f>
        <v>Korba</v>
      </c>
      <c r="G2429" s="138" t="str">
        <f>VLOOKUP(Purchase[[#This Row],[Supplier ID]],Supplier[#All],5,0)</f>
        <v>CG</v>
      </c>
      <c r="H2429" s="138" t="str">
        <f>VLOOKUP(Purchase[[#This Row],[Supplier ID]],Supplier[#All],6,0)</f>
        <v>GST2154521T012</v>
      </c>
      <c r="I2429" s="138" t="s">
        <v>171</v>
      </c>
      <c r="J2429" s="139">
        <v>25</v>
      </c>
      <c r="K2429" s="143">
        <f>VLOOKUP(Purchase[[#This Row],[Product ID]],Product[#All],6,0)</f>
        <v>3469</v>
      </c>
      <c r="L2429" s="143">
        <f>Purchase[[#This Row],[Purchase Rate]]*Purchase[[#This Row],[Qty]]</f>
        <v>86725</v>
      </c>
      <c r="M2429" s="140">
        <v>0</v>
      </c>
      <c r="N2429" s="143">
        <v>0</v>
      </c>
      <c r="O2429" s="140">
        <v>0.18</v>
      </c>
      <c r="P2429" s="145">
        <f>(Purchase[[#This Row],[Gross Amount]]-Purchase[[#This Row],[Disct %]])*Purchase[[#This Row],[GST %]]</f>
        <v>15610.5</v>
      </c>
      <c r="Q2429" s="145">
        <f>Purchase[[#This Row],[Gross Amount]]-Purchase[[#This Row],[Disct Amnt]]+Purchase[[#This Row],[GST Amount]]</f>
        <v>102335.5</v>
      </c>
      <c r="R2429" s="138" t="s">
        <v>1019</v>
      </c>
      <c r="S2429" s="41">
        <f>IF(Purchase[[#This Row],[Status]]="Cancelled",0,Purchase[[#This Row],[Qty]])</f>
        <v>25</v>
      </c>
      <c r="T2429" s="146">
        <f>IF(Purchase[[#This Row],[Status]]="Cancelled",0,Purchase[[#This Row],[Total Amount]])</f>
        <v>102335.5</v>
      </c>
      <c r="U2429" s="146">
        <f>SUM(Purchase[Net Amount])</f>
        <v>814985438.68000126</v>
      </c>
    </row>
    <row r="2430" spans="1:21" ht="19.5" thickBot="1" x14ac:dyDescent="0.3">
      <c r="A2430" s="136" t="s">
        <v>3487</v>
      </c>
      <c r="B2430" s="137">
        <v>45777</v>
      </c>
      <c r="C2430" s="138" t="s">
        <v>597</v>
      </c>
      <c r="D2430" s="138" t="str">
        <f>VLOOKUP(Purchase[[#This Row],[Supplier ID]],Supplier[#All],2,0)</f>
        <v>Tech Traders</v>
      </c>
      <c r="E2430" s="138">
        <f>VLOOKUP(Purchase[[#This Row],[Supplier ID]],Supplier[#All],3,0)</f>
        <v>9689542480</v>
      </c>
      <c r="F2430" s="138" t="str">
        <f>VLOOKUP(Purchase[[#This Row],[Supplier ID]],Supplier[#All],4,0)</f>
        <v>Kanpur</v>
      </c>
      <c r="G2430" s="138" t="str">
        <f>VLOOKUP(Purchase[[#This Row],[Supplier ID]],Supplier[#All],5,0)</f>
        <v>UP</v>
      </c>
      <c r="H2430" s="138" t="str">
        <f>VLOOKUP(Purchase[[#This Row],[Supplier ID]],Supplier[#All],6,0)</f>
        <v>GST2154521T042</v>
      </c>
      <c r="I2430" s="138" t="s">
        <v>330</v>
      </c>
      <c r="J2430" s="139">
        <v>21</v>
      </c>
      <c r="K2430" s="143">
        <f>VLOOKUP(Purchase[[#This Row],[Product ID]],Product[#All],6,0)</f>
        <v>4133</v>
      </c>
      <c r="L2430" s="143">
        <f>Purchase[[#This Row],[Purchase Rate]]*Purchase[[#This Row],[Qty]]</f>
        <v>86793</v>
      </c>
      <c r="M2430" s="140">
        <v>0</v>
      </c>
      <c r="N2430" s="143">
        <v>0</v>
      </c>
      <c r="O2430" s="140">
        <v>0.18</v>
      </c>
      <c r="P2430" s="145">
        <f>(Purchase[[#This Row],[Gross Amount]]-Purchase[[#This Row],[Disct %]])*Purchase[[#This Row],[GST %]]</f>
        <v>15622.74</v>
      </c>
      <c r="Q2430" s="145">
        <f>Purchase[[#This Row],[Gross Amount]]-Purchase[[#This Row],[Disct Amnt]]+Purchase[[#This Row],[GST Amount]]</f>
        <v>102415.74</v>
      </c>
      <c r="R2430" s="138" t="s">
        <v>1019</v>
      </c>
      <c r="S2430" s="41">
        <f>IF(Purchase[[#This Row],[Status]]="Cancelled",0,Purchase[[#This Row],[Qty]])</f>
        <v>21</v>
      </c>
      <c r="T2430" s="146">
        <f>IF(Purchase[[#This Row],[Status]]="Cancelled",0,Purchase[[#This Row],[Total Amount]])</f>
        <v>102415.74</v>
      </c>
      <c r="U2430" s="146">
        <f>SUM(Purchase[Net Amount])</f>
        <v>814985438.68000126</v>
      </c>
    </row>
    <row r="2431" spans="1:21" ht="19.5" thickBot="1" x14ac:dyDescent="0.3">
      <c r="A2431" s="136" t="s">
        <v>3488</v>
      </c>
      <c r="B2431" s="137">
        <v>45777</v>
      </c>
      <c r="C2431" s="138" t="s">
        <v>567</v>
      </c>
      <c r="D2431" s="138" t="str">
        <f>VLOOKUP(Purchase[[#This Row],[Supplier ID]],Supplier[#All],2,0)</f>
        <v>National Distributors</v>
      </c>
      <c r="E2431" s="138">
        <f>VLOOKUP(Purchase[[#This Row],[Supplier ID]],Supplier[#All],3,0)</f>
        <v>9689542453</v>
      </c>
      <c r="F2431" s="138" t="str">
        <f>VLOOKUP(Purchase[[#This Row],[Supplier ID]],Supplier[#All],4,0)</f>
        <v>Korba</v>
      </c>
      <c r="G2431" s="138" t="str">
        <f>VLOOKUP(Purchase[[#This Row],[Supplier ID]],Supplier[#All],5,0)</f>
        <v>CG</v>
      </c>
      <c r="H2431" s="138" t="str">
        <f>VLOOKUP(Purchase[[#This Row],[Supplier ID]],Supplier[#All],6,0)</f>
        <v>GST2154521T015</v>
      </c>
      <c r="I2431" s="138" t="s">
        <v>490</v>
      </c>
      <c r="J2431" s="139">
        <v>23</v>
      </c>
      <c r="K2431" s="143">
        <f>VLOOKUP(Purchase[[#This Row],[Product ID]],Product[#All],6,0)</f>
        <v>33620</v>
      </c>
      <c r="L2431" s="143">
        <f>Purchase[[#This Row],[Purchase Rate]]*Purchase[[#This Row],[Qty]]</f>
        <v>773260</v>
      </c>
      <c r="M2431" s="140">
        <v>0</v>
      </c>
      <c r="N2431" s="143">
        <v>0</v>
      </c>
      <c r="O2431" s="140">
        <v>0.18</v>
      </c>
      <c r="P2431" s="145">
        <f>(Purchase[[#This Row],[Gross Amount]]-Purchase[[#This Row],[Disct %]])*Purchase[[#This Row],[GST %]]</f>
        <v>139186.79999999999</v>
      </c>
      <c r="Q2431" s="145">
        <f>Purchase[[#This Row],[Gross Amount]]-Purchase[[#This Row],[Disct Amnt]]+Purchase[[#This Row],[GST Amount]]</f>
        <v>912446.8</v>
      </c>
      <c r="R2431" s="138" t="s">
        <v>1019</v>
      </c>
      <c r="S2431" s="41">
        <f>IF(Purchase[[#This Row],[Status]]="Cancelled",0,Purchase[[#This Row],[Qty]])</f>
        <v>23</v>
      </c>
      <c r="T2431" s="146">
        <f>IF(Purchase[[#This Row],[Status]]="Cancelled",0,Purchase[[#This Row],[Total Amount]])</f>
        <v>912446.8</v>
      </c>
      <c r="U2431" s="146">
        <f>SUM(Purchase[Net Amount])</f>
        <v>814985438.68000126</v>
      </c>
    </row>
    <row r="2432" spans="1:21" ht="19.5" thickBot="1" x14ac:dyDescent="0.3">
      <c r="A2432" s="136" t="s">
        <v>3489</v>
      </c>
      <c r="B2432" s="137">
        <v>45777</v>
      </c>
      <c r="C2432" s="138" t="s">
        <v>612</v>
      </c>
      <c r="D2432" s="138" t="str">
        <f>VLOOKUP(Purchase[[#This Row],[Supplier ID]],Supplier[#All],2,0)</f>
        <v>National Computers</v>
      </c>
      <c r="E2432" s="138">
        <f>VLOOKUP(Purchase[[#This Row],[Supplier ID]],Supplier[#All],3,0)</f>
        <v>9689542495</v>
      </c>
      <c r="F2432" s="138" t="str">
        <f>VLOOKUP(Purchase[[#This Row],[Supplier ID]],Supplier[#All],4,0)</f>
        <v>Indore</v>
      </c>
      <c r="G2432" s="138" t="str">
        <f>VLOOKUP(Purchase[[#This Row],[Supplier ID]],Supplier[#All],5,0)</f>
        <v>MP</v>
      </c>
      <c r="H2432" s="138" t="str">
        <f>VLOOKUP(Purchase[[#This Row],[Supplier ID]],Supplier[#All],6,0)</f>
        <v>GST2154521T057</v>
      </c>
      <c r="I2432" s="138" t="s">
        <v>325</v>
      </c>
      <c r="J2432" s="139">
        <v>30</v>
      </c>
      <c r="K2432" s="143">
        <f>VLOOKUP(Purchase[[#This Row],[Product ID]],Product[#All],6,0)</f>
        <v>1396</v>
      </c>
      <c r="L2432" s="143">
        <f>Purchase[[#This Row],[Purchase Rate]]*Purchase[[#This Row],[Qty]]</f>
        <v>41880</v>
      </c>
      <c r="M2432" s="140">
        <v>0</v>
      </c>
      <c r="N2432" s="143">
        <v>0</v>
      </c>
      <c r="O2432" s="140">
        <v>0.18</v>
      </c>
      <c r="P2432" s="145">
        <f>(Purchase[[#This Row],[Gross Amount]]-Purchase[[#This Row],[Disct %]])*Purchase[[#This Row],[GST %]]</f>
        <v>7538.4</v>
      </c>
      <c r="Q2432" s="145">
        <f>Purchase[[#This Row],[Gross Amount]]-Purchase[[#This Row],[Disct Amnt]]+Purchase[[#This Row],[GST Amount]]</f>
        <v>49418.400000000001</v>
      </c>
      <c r="R2432" s="138" t="s">
        <v>1019</v>
      </c>
      <c r="S2432" s="41">
        <f>IF(Purchase[[#This Row],[Status]]="Cancelled",0,Purchase[[#This Row],[Qty]])</f>
        <v>30</v>
      </c>
      <c r="T2432" s="146">
        <f>IF(Purchase[[#This Row],[Status]]="Cancelled",0,Purchase[[#This Row],[Total Amount]])</f>
        <v>49418.400000000001</v>
      </c>
      <c r="U2432" s="146">
        <f>SUM(Purchase[Net Amount])</f>
        <v>814985438.68000126</v>
      </c>
    </row>
    <row r="2433" spans="1:21" ht="19.5" thickBot="1" x14ac:dyDescent="0.3">
      <c r="A2433" s="136" t="s">
        <v>3490</v>
      </c>
      <c r="B2433" s="137">
        <v>45777</v>
      </c>
      <c r="C2433" s="138" t="s">
        <v>594</v>
      </c>
      <c r="D2433" s="138" t="str">
        <f>VLOOKUP(Purchase[[#This Row],[Supplier ID]],Supplier[#All],2,0)</f>
        <v>Shree Suppliers</v>
      </c>
      <c r="E2433" s="138">
        <f>VLOOKUP(Purchase[[#This Row],[Supplier ID]],Supplier[#All],3,0)</f>
        <v>9689542477</v>
      </c>
      <c r="F2433" s="138" t="str">
        <f>VLOOKUP(Purchase[[#This Row],[Supplier ID]],Supplier[#All],4,0)</f>
        <v>Indore</v>
      </c>
      <c r="G2433" s="138" t="str">
        <f>VLOOKUP(Purchase[[#This Row],[Supplier ID]],Supplier[#All],5,0)</f>
        <v>MP</v>
      </c>
      <c r="H2433" s="138" t="str">
        <f>VLOOKUP(Purchase[[#This Row],[Supplier ID]],Supplier[#All],6,0)</f>
        <v>GST2154521T039</v>
      </c>
      <c r="I2433" s="138" t="s">
        <v>411</v>
      </c>
      <c r="J2433" s="139">
        <v>12</v>
      </c>
      <c r="K2433" s="143">
        <f>VLOOKUP(Purchase[[#This Row],[Product ID]],Product[#All],6,0)</f>
        <v>2088</v>
      </c>
      <c r="L2433" s="143">
        <f>Purchase[[#This Row],[Purchase Rate]]*Purchase[[#This Row],[Qty]]</f>
        <v>25056</v>
      </c>
      <c r="M2433" s="140">
        <v>0</v>
      </c>
      <c r="N2433" s="143">
        <v>0</v>
      </c>
      <c r="O2433" s="140">
        <v>0.18</v>
      </c>
      <c r="P2433" s="145">
        <f>(Purchase[[#This Row],[Gross Amount]]-Purchase[[#This Row],[Disct %]])*Purchase[[#This Row],[GST %]]</f>
        <v>4510.08</v>
      </c>
      <c r="Q2433" s="145">
        <f>Purchase[[#This Row],[Gross Amount]]-Purchase[[#This Row],[Disct Amnt]]+Purchase[[#This Row],[GST Amount]]</f>
        <v>29566.080000000002</v>
      </c>
      <c r="R2433" s="138" t="s">
        <v>1019</v>
      </c>
      <c r="S2433" s="41">
        <f>IF(Purchase[[#This Row],[Status]]="Cancelled",0,Purchase[[#This Row],[Qty]])</f>
        <v>12</v>
      </c>
      <c r="T2433" s="146">
        <f>IF(Purchase[[#This Row],[Status]]="Cancelled",0,Purchase[[#This Row],[Total Amount]])</f>
        <v>29566.080000000002</v>
      </c>
      <c r="U2433" s="146">
        <f>SUM(Purchase[Net Amount])</f>
        <v>814985438.68000126</v>
      </c>
    </row>
    <row r="2434" spans="1:21" ht="19.5" thickBot="1" x14ac:dyDescent="0.3">
      <c r="A2434" s="136" t="s">
        <v>3491</v>
      </c>
      <c r="B2434" s="137">
        <v>45778</v>
      </c>
      <c r="C2434" s="138" t="s">
        <v>582</v>
      </c>
      <c r="D2434" s="138" t="str">
        <f>VLOOKUP(Purchase[[#This Row],[Supplier ID]],Supplier[#All],2,0)</f>
        <v>Tech Distributors</v>
      </c>
      <c r="E2434" s="138">
        <f>VLOOKUP(Purchase[[#This Row],[Supplier ID]],Supplier[#All],3,0)</f>
        <v>9689542466</v>
      </c>
      <c r="F2434" s="138" t="str">
        <f>VLOOKUP(Purchase[[#This Row],[Supplier ID]],Supplier[#All],4,0)</f>
        <v>Indore</v>
      </c>
      <c r="G2434" s="138" t="str">
        <f>VLOOKUP(Purchase[[#This Row],[Supplier ID]],Supplier[#All],5,0)</f>
        <v>MP</v>
      </c>
      <c r="H2434" s="138" t="str">
        <f>VLOOKUP(Purchase[[#This Row],[Supplier ID]],Supplier[#All],6,0)</f>
        <v>GST2154521T028</v>
      </c>
      <c r="I2434" s="138" t="s">
        <v>446</v>
      </c>
      <c r="J2434" s="139">
        <v>15</v>
      </c>
      <c r="K2434" s="143">
        <f>VLOOKUP(Purchase[[#This Row],[Product ID]],Product[#All],6,0)</f>
        <v>38075</v>
      </c>
      <c r="L2434" s="143">
        <f>Purchase[[#This Row],[Purchase Rate]]*Purchase[[#This Row],[Qty]]</f>
        <v>571125</v>
      </c>
      <c r="M2434" s="140">
        <v>0</v>
      </c>
      <c r="N2434" s="143">
        <v>0</v>
      </c>
      <c r="O2434" s="140">
        <v>0.18</v>
      </c>
      <c r="P2434" s="145">
        <f>(Purchase[[#This Row],[Gross Amount]]-Purchase[[#This Row],[Disct %]])*Purchase[[#This Row],[GST %]]</f>
        <v>102802.5</v>
      </c>
      <c r="Q2434" s="145">
        <f>Purchase[[#This Row],[Gross Amount]]-Purchase[[#This Row],[Disct Amnt]]+Purchase[[#This Row],[GST Amount]]</f>
        <v>673927.5</v>
      </c>
      <c r="R2434" s="138" t="s">
        <v>1019</v>
      </c>
      <c r="S2434" s="41">
        <f>IF(Purchase[[#This Row],[Status]]="Cancelled",0,Purchase[[#This Row],[Qty]])</f>
        <v>15</v>
      </c>
      <c r="T2434" s="146">
        <f>IF(Purchase[[#This Row],[Status]]="Cancelled",0,Purchase[[#This Row],[Total Amount]])</f>
        <v>673927.5</v>
      </c>
      <c r="U2434" s="146">
        <f>SUM(Purchase[Net Amount])</f>
        <v>814985438.68000126</v>
      </c>
    </row>
    <row r="2435" spans="1:21" ht="19.5" thickBot="1" x14ac:dyDescent="0.3">
      <c r="A2435" s="136" t="s">
        <v>3492</v>
      </c>
      <c r="B2435" s="137">
        <v>45778</v>
      </c>
      <c r="C2435" s="138" t="s">
        <v>568</v>
      </c>
      <c r="D2435" s="138" t="str">
        <f>VLOOKUP(Purchase[[#This Row],[Supplier ID]],Supplier[#All],2,0)</f>
        <v>Maa Computers</v>
      </c>
      <c r="E2435" s="138">
        <f>VLOOKUP(Purchase[[#This Row],[Supplier ID]],Supplier[#All],3,0)</f>
        <v>9689542454</v>
      </c>
      <c r="F2435" s="138" t="str">
        <f>VLOOKUP(Purchase[[#This Row],[Supplier ID]],Supplier[#All],4,0)</f>
        <v>Korba</v>
      </c>
      <c r="G2435" s="138" t="str">
        <f>VLOOKUP(Purchase[[#This Row],[Supplier ID]],Supplier[#All],5,0)</f>
        <v>CG</v>
      </c>
      <c r="H2435" s="138" t="str">
        <f>VLOOKUP(Purchase[[#This Row],[Supplier ID]],Supplier[#All],6,0)</f>
        <v>GST2154521T016</v>
      </c>
      <c r="I2435" s="138" t="s">
        <v>273</v>
      </c>
      <c r="J2435" s="139">
        <v>3</v>
      </c>
      <c r="K2435" s="143">
        <f>VLOOKUP(Purchase[[#This Row],[Product ID]],Product[#All],6,0)</f>
        <v>3783</v>
      </c>
      <c r="L2435" s="143">
        <f>Purchase[[#This Row],[Purchase Rate]]*Purchase[[#This Row],[Qty]]</f>
        <v>11349</v>
      </c>
      <c r="M2435" s="140">
        <v>0</v>
      </c>
      <c r="N2435" s="143">
        <v>0</v>
      </c>
      <c r="O2435" s="140">
        <v>0.18</v>
      </c>
      <c r="P2435" s="145">
        <f>(Purchase[[#This Row],[Gross Amount]]-Purchase[[#This Row],[Disct %]])*Purchase[[#This Row],[GST %]]</f>
        <v>2042.82</v>
      </c>
      <c r="Q2435" s="145">
        <f>Purchase[[#This Row],[Gross Amount]]-Purchase[[#This Row],[Disct Amnt]]+Purchase[[#This Row],[GST Amount]]</f>
        <v>13391.82</v>
      </c>
      <c r="R2435" s="138" t="s">
        <v>1019</v>
      </c>
      <c r="S2435" s="41">
        <f>IF(Purchase[[#This Row],[Status]]="Cancelled",0,Purchase[[#This Row],[Qty]])</f>
        <v>3</v>
      </c>
      <c r="T2435" s="146">
        <f>IF(Purchase[[#This Row],[Status]]="Cancelled",0,Purchase[[#This Row],[Total Amount]])</f>
        <v>13391.82</v>
      </c>
      <c r="U2435" s="146">
        <f>SUM(Purchase[Net Amount])</f>
        <v>814985438.68000126</v>
      </c>
    </row>
    <row r="2436" spans="1:21" ht="19.5" thickBot="1" x14ac:dyDescent="0.3">
      <c r="A2436" s="136" t="s">
        <v>3493</v>
      </c>
      <c r="B2436" s="137">
        <v>45778</v>
      </c>
      <c r="C2436" s="138" t="s">
        <v>570</v>
      </c>
      <c r="D2436" s="138" t="str">
        <f>VLOOKUP(Purchase[[#This Row],[Supplier ID]],Supplier[#All],2,0)</f>
        <v>Prime Traders</v>
      </c>
      <c r="E2436" s="138">
        <f>VLOOKUP(Purchase[[#This Row],[Supplier ID]],Supplier[#All],3,0)</f>
        <v>9689542456</v>
      </c>
      <c r="F2436" s="138" t="str">
        <f>VLOOKUP(Purchase[[#This Row],[Supplier ID]],Supplier[#All],4,0)</f>
        <v>Indore</v>
      </c>
      <c r="G2436" s="138" t="str">
        <f>VLOOKUP(Purchase[[#This Row],[Supplier ID]],Supplier[#All],5,0)</f>
        <v>MP</v>
      </c>
      <c r="H2436" s="138" t="str">
        <f>VLOOKUP(Purchase[[#This Row],[Supplier ID]],Supplier[#All],6,0)</f>
        <v>GST2154521T018</v>
      </c>
      <c r="I2436" s="138" t="s">
        <v>259</v>
      </c>
      <c r="J2436" s="139">
        <v>5</v>
      </c>
      <c r="K2436" s="143">
        <f>VLOOKUP(Purchase[[#This Row],[Product ID]],Product[#All],6,0)</f>
        <v>23039</v>
      </c>
      <c r="L2436" s="143">
        <f>Purchase[[#This Row],[Purchase Rate]]*Purchase[[#This Row],[Qty]]</f>
        <v>115195</v>
      </c>
      <c r="M2436" s="140">
        <v>0</v>
      </c>
      <c r="N2436" s="143">
        <v>0</v>
      </c>
      <c r="O2436" s="140">
        <v>0.18</v>
      </c>
      <c r="P2436" s="145">
        <f>(Purchase[[#This Row],[Gross Amount]]-Purchase[[#This Row],[Disct %]])*Purchase[[#This Row],[GST %]]</f>
        <v>20735.099999999999</v>
      </c>
      <c r="Q2436" s="145">
        <f>Purchase[[#This Row],[Gross Amount]]-Purchase[[#This Row],[Disct Amnt]]+Purchase[[#This Row],[GST Amount]]</f>
        <v>135930.1</v>
      </c>
      <c r="R2436" s="138" t="s">
        <v>1019</v>
      </c>
      <c r="S2436" s="41">
        <f>IF(Purchase[[#This Row],[Status]]="Cancelled",0,Purchase[[#This Row],[Qty]])</f>
        <v>5</v>
      </c>
      <c r="T2436" s="146">
        <f>IF(Purchase[[#This Row],[Status]]="Cancelled",0,Purchase[[#This Row],[Total Amount]])</f>
        <v>135930.1</v>
      </c>
      <c r="U2436" s="146">
        <f>SUM(Purchase[Net Amount])</f>
        <v>814985438.68000126</v>
      </c>
    </row>
    <row r="2437" spans="1:21" ht="19.5" thickBot="1" x14ac:dyDescent="0.3">
      <c r="A2437" s="136" t="s">
        <v>3494</v>
      </c>
      <c r="B2437" s="137">
        <v>45778</v>
      </c>
      <c r="C2437" s="138" t="s">
        <v>611</v>
      </c>
      <c r="D2437" s="138" t="str">
        <f>VLOOKUP(Purchase[[#This Row],[Supplier ID]],Supplier[#All],2,0)</f>
        <v>National Distributors</v>
      </c>
      <c r="E2437" s="138">
        <f>VLOOKUP(Purchase[[#This Row],[Supplier ID]],Supplier[#All],3,0)</f>
        <v>9689542494</v>
      </c>
      <c r="F2437" s="138" t="str">
        <f>VLOOKUP(Purchase[[#This Row],[Supplier ID]],Supplier[#All],4,0)</f>
        <v>Korba</v>
      </c>
      <c r="G2437" s="138" t="str">
        <f>VLOOKUP(Purchase[[#This Row],[Supplier ID]],Supplier[#All],5,0)</f>
        <v>CG</v>
      </c>
      <c r="H2437" s="138" t="str">
        <f>VLOOKUP(Purchase[[#This Row],[Supplier ID]],Supplier[#All],6,0)</f>
        <v>GST2154521T056</v>
      </c>
      <c r="I2437" s="138" t="s">
        <v>250</v>
      </c>
      <c r="J2437" s="139">
        <v>11</v>
      </c>
      <c r="K2437" s="143">
        <f>VLOOKUP(Purchase[[#This Row],[Product ID]],Product[#All],6,0)</f>
        <v>10586</v>
      </c>
      <c r="L2437" s="143">
        <f>Purchase[[#This Row],[Purchase Rate]]*Purchase[[#This Row],[Qty]]</f>
        <v>116446</v>
      </c>
      <c r="M2437" s="140">
        <v>0</v>
      </c>
      <c r="N2437" s="143">
        <v>0</v>
      </c>
      <c r="O2437" s="140">
        <v>0.18</v>
      </c>
      <c r="P2437" s="145">
        <f>(Purchase[[#This Row],[Gross Amount]]-Purchase[[#This Row],[Disct %]])*Purchase[[#This Row],[GST %]]</f>
        <v>20960.28</v>
      </c>
      <c r="Q2437" s="145">
        <f>Purchase[[#This Row],[Gross Amount]]-Purchase[[#This Row],[Disct Amnt]]+Purchase[[#This Row],[GST Amount]]</f>
        <v>137406.28</v>
      </c>
      <c r="R2437" s="138" t="s">
        <v>1019</v>
      </c>
      <c r="S2437" s="41">
        <f>IF(Purchase[[#This Row],[Status]]="Cancelled",0,Purchase[[#This Row],[Qty]])</f>
        <v>11</v>
      </c>
      <c r="T2437" s="146">
        <f>IF(Purchase[[#This Row],[Status]]="Cancelled",0,Purchase[[#This Row],[Total Amount]])</f>
        <v>137406.28</v>
      </c>
      <c r="U2437" s="146">
        <f>SUM(Purchase[Net Amount])</f>
        <v>814985438.68000126</v>
      </c>
    </row>
    <row r="2438" spans="1:21" ht="19.5" thickBot="1" x14ac:dyDescent="0.3">
      <c r="A2438" s="136" t="s">
        <v>3495</v>
      </c>
      <c r="B2438" s="137">
        <v>45778</v>
      </c>
      <c r="C2438" s="138" t="s">
        <v>607</v>
      </c>
      <c r="D2438" s="138" t="str">
        <f>VLOOKUP(Purchase[[#This Row],[Supplier ID]],Supplier[#All],2,0)</f>
        <v>Global Distributors</v>
      </c>
      <c r="E2438" s="138">
        <f>VLOOKUP(Purchase[[#This Row],[Supplier ID]],Supplier[#All],3,0)</f>
        <v>9689542490</v>
      </c>
      <c r="F2438" s="138" t="str">
        <f>VLOOKUP(Purchase[[#This Row],[Supplier ID]],Supplier[#All],4,0)</f>
        <v>Kanpur</v>
      </c>
      <c r="G2438" s="138" t="str">
        <f>VLOOKUP(Purchase[[#This Row],[Supplier ID]],Supplier[#All],5,0)</f>
        <v>UP</v>
      </c>
      <c r="H2438" s="138" t="str">
        <f>VLOOKUP(Purchase[[#This Row],[Supplier ID]],Supplier[#All],6,0)</f>
        <v>GST2154521T052</v>
      </c>
      <c r="I2438" s="138" t="s">
        <v>549</v>
      </c>
      <c r="J2438" s="139">
        <v>24</v>
      </c>
      <c r="K2438" s="143">
        <f>VLOOKUP(Purchase[[#This Row],[Product ID]],Product[#All],6,0)</f>
        <v>2884</v>
      </c>
      <c r="L2438" s="143">
        <f>Purchase[[#This Row],[Purchase Rate]]*Purchase[[#This Row],[Qty]]</f>
        <v>69216</v>
      </c>
      <c r="M2438" s="140">
        <v>0</v>
      </c>
      <c r="N2438" s="143">
        <v>0</v>
      </c>
      <c r="O2438" s="140">
        <v>0.18</v>
      </c>
      <c r="P2438" s="145">
        <f>(Purchase[[#This Row],[Gross Amount]]-Purchase[[#This Row],[Disct %]])*Purchase[[#This Row],[GST %]]</f>
        <v>12458.88</v>
      </c>
      <c r="Q2438" s="145">
        <f>Purchase[[#This Row],[Gross Amount]]-Purchase[[#This Row],[Disct Amnt]]+Purchase[[#This Row],[GST Amount]]</f>
        <v>81674.880000000005</v>
      </c>
      <c r="R2438" s="138" t="s">
        <v>1019</v>
      </c>
      <c r="S2438" s="41">
        <f>IF(Purchase[[#This Row],[Status]]="Cancelled",0,Purchase[[#This Row],[Qty]])</f>
        <v>24</v>
      </c>
      <c r="T2438" s="146">
        <f>IF(Purchase[[#This Row],[Status]]="Cancelled",0,Purchase[[#This Row],[Total Amount]])</f>
        <v>81674.880000000005</v>
      </c>
      <c r="U2438" s="146">
        <f>SUM(Purchase[Net Amount])</f>
        <v>814985438.68000126</v>
      </c>
    </row>
    <row r="2439" spans="1:21" ht="19.5" thickBot="1" x14ac:dyDescent="0.3">
      <c r="A2439" s="136" t="s">
        <v>3496</v>
      </c>
      <c r="B2439" s="137">
        <v>45778</v>
      </c>
      <c r="C2439" s="138" t="s">
        <v>575</v>
      </c>
      <c r="D2439" s="138" t="str">
        <f>VLOOKUP(Purchase[[#This Row],[Supplier ID]],Supplier[#All],2,0)</f>
        <v>Global Computers</v>
      </c>
      <c r="E2439" s="138">
        <f>VLOOKUP(Purchase[[#This Row],[Supplier ID]],Supplier[#All],3,0)</f>
        <v>9689542459</v>
      </c>
      <c r="F2439" s="138" t="str">
        <f>VLOOKUP(Purchase[[#This Row],[Supplier ID]],Supplier[#All],4,0)</f>
        <v>Indore</v>
      </c>
      <c r="G2439" s="138" t="str">
        <f>VLOOKUP(Purchase[[#This Row],[Supplier ID]],Supplier[#All],5,0)</f>
        <v>MP</v>
      </c>
      <c r="H2439" s="138" t="str">
        <f>VLOOKUP(Purchase[[#This Row],[Supplier ID]],Supplier[#All],6,0)</f>
        <v>GST2154521T021</v>
      </c>
      <c r="I2439" s="138" t="s">
        <v>380</v>
      </c>
      <c r="J2439" s="139">
        <v>36</v>
      </c>
      <c r="K2439" s="143">
        <f>VLOOKUP(Purchase[[#This Row],[Product ID]],Product[#All],6,0)</f>
        <v>72229</v>
      </c>
      <c r="L2439" s="143">
        <f>Purchase[[#This Row],[Purchase Rate]]*Purchase[[#This Row],[Qty]]</f>
        <v>2600244</v>
      </c>
      <c r="M2439" s="140">
        <v>0</v>
      </c>
      <c r="N2439" s="143">
        <v>0</v>
      </c>
      <c r="O2439" s="140">
        <v>0.18</v>
      </c>
      <c r="P2439" s="145">
        <f>(Purchase[[#This Row],[Gross Amount]]-Purchase[[#This Row],[Disct %]])*Purchase[[#This Row],[GST %]]</f>
        <v>468043.92</v>
      </c>
      <c r="Q2439" s="145">
        <f>Purchase[[#This Row],[Gross Amount]]-Purchase[[#This Row],[Disct Amnt]]+Purchase[[#This Row],[GST Amount]]</f>
        <v>3068287.92</v>
      </c>
      <c r="R2439" s="138" t="s">
        <v>1019</v>
      </c>
      <c r="S2439" s="41">
        <f>IF(Purchase[[#This Row],[Status]]="Cancelled",0,Purchase[[#This Row],[Qty]])</f>
        <v>36</v>
      </c>
      <c r="T2439" s="146">
        <f>IF(Purchase[[#This Row],[Status]]="Cancelled",0,Purchase[[#This Row],[Total Amount]])</f>
        <v>3068287.92</v>
      </c>
      <c r="U2439" s="146">
        <f>SUM(Purchase[Net Amount])</f>
        <v>814985438.68000126</v>
      </c>
    </row>
    <row r="2440" spans="1:21" ht="19.5" thickBot="1" x14ac:dyDescent="0.3">
      <c r="A2440" s="136" t="s">
        <v>3497</v>
      </c>
      <c r="B2440" s="137">
        <v>45778</v>
      </c>
      <c r="C2440" s="138" t="s">
        <v>610</v>
      </c>
      <c r="D2440" s="138" t="str">
        <f>VLOOKUP(Purchase[[#This Row],[Supplier ID]],Supplier[#All],2,0)</f>
        <v>Shree Electronics</v>
      </c>
      <c r="E2440" s="138">
        <f>VLOOKUP(Purchase[[#This Row],[Supplier ID]],Supplier[#All],3,0)</f>
        <v>9689542493</v>
      </c>
      <c r="F2440" s="138" t="str">
        <f>VLOOKUP(Purchase[[#This Row],[Supplier ID]],Supplier[#All],4,0)</f>
        <v>Kanpur</v>
      </c>
      <c r="G2440" s="138" t="str">
        <f>VLOOKUP(Purchase[[#This Row],[Supplier ID]],Supplier[#All],5,0)</f>
        <v>UP</v>
      </c>
      <c r="H2440" s="138" t="str">
        <f>VLOOKUP(Purchase[[#This Row],[Supplier ID]],Supplier[#All],6,0)</f>
        <v>GST2154521T055</v>
      </c>
      <c r="I2440" s="138" t="s">
        <v>215</v>
      </c>
      <c r="J2440" s="139">
        <v>40</v>
      </c>
      <c r="K2440" s="143">
        <f>VLOOKUP(Purchase[[#This Row],[Product ID]],Product[#All],6,0)</f>
        <v>8074</v>
      </c>
      <c r="L2440" s="143">
        <f>Purchase[[#This Row],[Purchase Rate]]*Purchase[[#This Row],[Qty]]</f>
        <v>322960</v>
      </c>
      <c r="M2440" s="140">
        <v>0</v>
      </c>
      <c r="N2440" s="143">
        <v>0</v>
      </c>
      <c r="O2440" s="140">
        <v>0.18</v>
      </c>
      <c r="P2440" s="145">
        <f>(Purchase[[#This Row],[Gross Amount]]-Purchase[[#This Row],[Disct %]])*Purchase[[#This Row],[GST %]]</f>
        <v>58132.799999999996</v>
      </c>
      <c r="Q2440" s="145">
        <f>Purchase[[#This Row],[Gross Amount]]-Purchase[[#This Row],[Disct Amnt]]+Purchase[[#This Row],[GST Amount]]</f>
        <v>381092.8</v>
      </c>
      <c r="R2440" s="138" t="s">
        <v>1019</v>
      </c>
      <c r="S2440" s="41">
        <f>IF(Purchase[[#This Row],[Status]]="Cancelled",0,Purchase[[#This Row],[Qty]])</f>
        <v>40</v>
      </c>
      <c r="T2440" s="146">
        <f>IF(Purchase[[#This Row],[Status]]="Cancelled",0,Purchase[[#This Row],[Total Amount]])</f>
        <v>381092.8</v>
      </c>
      <c r="U2440" s="146">
        <f>SUM(Purchase[Net Amount])</f>
        <v>814985438.68000126</v>
      </c>
    </row>
    <row r="2441" spans="1:21" ht="19.5" thickBot="1" x14ac:dyDescent="0.3">
      <c r="A2441" s="136" t="s">
        <v>3498</v>
      </c>
      <c r="B2441" s="137">
        <v>45778</v>
      </c>
      <c r="C2441" s="138" t="s">
        <v>606</v>
      </c>
      <c r="D2441" s="138" t="str">
        <f>VLOOKUP(Purchase[[#This Row],[Supplier ID]],Supplier[#All],2,0)</f>
        <v>Prime Traders</v>
      </c>
      <c r="E2441" s="138">
        <f>VLOOKUP(Purchase[[#This Row],[Supplier ID]],Supplier[#All],3,0)</f>
        <v>9689542489</v>
      </c>
      <c r="F2441" s="138" t="str">
        <f>VLOOKUP(Purchase[[#This Row],[Supplier ID]],Supplier[#All],4,0)</f>
        <v>Indore</v>
      </c>
      <c r="G2441" s="138" t="str">
        <f>VLOOKUP(Purchase[[#This Row],[Supplier ID]],Supplier[#All],5,0)</f>
        <v>MP</v>
      </c>
      <c r="H2441" s="138" t="str">
        <f>VLOOKUP(Purchase[[#This Row],[Supplier ID]],Supplier[#All],6,0)</f>
        <v>GST2154521T051</v>
      </c>
      <c r="I2441" s="138" t="s">
        <v>117</v>
      </c>
      <c r="J2441" s="139">
        <v>9</v>
      </c>
      <c r="K2441" s="143">
        <f>VLOOKUP(Purchase[[#This Row],[Product ID]],Product[#All],6,0)</f>
        <v>2303</v>
      </c>
      <c r="L2441" s="143">
        <f>Purchase[[#This Row],[Purchase Rate]]*Purchase[[#This Row],[Qty]]</f>
        <v>20727</v>
      </c>
      <c r="M2441" s="140">
        <v>0</v>
      </c>
      <c r="N2441" s="143">
        <v>0</v>
      </c>
      <c r="O2441" s="140">
        <v>0.18</v>
      </c>
      <c r="P2441" s="145">
        <f>(Purchase[[#This Row],[Gross Amount]]-Purchase[[#This Row],[Disct %]])*Purchase[[#This Row],[GST %]]</f>
        <v>3730.8599999999997</v>
      </c>
      <c r="Q2441" s="145">
        <f>Purchase[[#This Row],[Gross Amount]]-Purchase[[#This Row],[Disct Amnt]]+Purchase[[#This Row],[GST Amount]]</f>
        <v>24457.86</v>
      </c>
      <c r="R2441" s="138" t="s">
        <v>1019</v>
      </c>
      <c r="S2441" s="41">
        <f>IF(Purchase[[#This Row],[Status]]="Cancelled",0,Purchase[[#This Row],[Qty]])</f>
        <v>9</v>
      </c>
      <c r="T2441" s="146">
        <f>IF(Purchase[[#This Row],[Status]]="Cancelled",0,Purchase[[#This Row],[Total Amount]])</f>
        <v>24457.86</v>
      </c>
      <c r="U2441" s="146">
        <f>SUM(Purchase[Net Amount])</f>
        <v>814985438.68000126</v>
      </c>
    </row>
    <row r="2442" spans="1:21" ht="19.5" thickBot="1" x14ac:dyDescent="0.3">
      <c r="A2442" s="136" t="s">
        <v>3499</v>
      </c>
      <c r="B2442" s="137">
        <v>45778</v>
      </c>
      <c r="C2442" s="138" t="s">
        <v>591</v>
      </c>
      <c r="D2442" s="138" t="str">
        <f>VLOOKUP(Purchase[[#This Row],[Supplier ID]],Supplier[#All],2,0)</f>
        <v>Shree Computers</v>
      </c>
      <c r="E2442" s="138">
        <f>VLOOKUP(Purchase[[#This Row],[Supplier ID]],Supplier[#All],3,0)</f>
        <v>9689542475</v>
      </c>
      <c r="F2442" s="138" t="str">
        <f>VLOOKUP(Purchase[[#This Row],[Supplier ID]],Supplier[#All],4,0)</f>
        <v>Indore</v>
      </c>
      <c r="G2442" s="138" t="str">
        <f>VLOOKUP(Purchase[[#This Row],[Supplier ID]],Supplier[#All],5,0)</f>
        <v>MP</v>
      </c>
      <c r="H2442" s="138" t="str">
        <f>VLOOKUP(Purchase[[#This Row],[Supplier ID]],Supplier[#All],6,0)</f>
        <v>GST2154521T037</v>
      </c>
      <c r="I2442" s="138" t="s">
        <v>231</v>
      </c>
      <c r="J2442" s="139">
        <v>16</v>
      </c>
      <c r="K2442" s="143">
        <f>VLOOKUP(Purchase[[#This Row],[Product ID]],Product[#All],6,0)</f>
        <v>1862</v>
      </c>
      <c r="L2442" s="143">
        <f>Purchase[[#This Row],[Purchase Rate]]*Purchase[[#This Row],[Qty]]</f>
        <v>29792</v>
      </c>
      <c r="M2442" s="140">
        <v>0</v>
      </c>
      <c r="N2442" s="143">
        <v>0</v>
      </c>
      <c r="O2442" s="140">
        <v>0.18</v>
      </c>
      <c r="P2442" s="145">
        <f>(Purchase[[#This Row],[Gross Amount]]-Purchase[[#This Row],[Disct %]])*Purchase[[#This Row],[GST %]]</f>
        <v>5362.5599999999995</v>
      </c>
      <c r="Q2442" s="145">
        <f>Purchase[[#This Row],[Gross Amount]]-Purchase[[#This Row],[Disct Amnt]]+Purchase[[#This Row],[GST Amount]]</f>
        <v>35154.559999999998</v>
      </c>
      <c r="R2442" s="138" t="s">
        <v>1019</v>
      </c>
      <c r="S2442" s="41">
        <f>IF(Purchase[[#This Row],[Status]]="Cancelled",0,Purchase[[#This Row],[Qty]])</f>
        <v>16</v>
      </c>
      <c r="T2442" s="146">
        <f>IF(Purchase[[#This Row],[Status]]="Cancelled",0,Purchase[[#This Row],[Total Amount]])</f>
        <v>35154.559999999998</v>
      </c>
      <c r="U2442" s="146">
        <f>SUM(Purchase[Net Amount])</f>
        <v>814985438.68000126</v>
      </c>
    </row>
    <row r="2443" spans="1:21" ht="19.5" thickBot="1" x14ac:dyDescent="0.3">
      <c r="A2443" s="136" t="s">
        <v>3500</v>
      </c>
      <c r="B2443" s="137">
        <v>45778</v>
      </c>
      <c r="C2443" s="138" t="s">
        <v>2275</v>
      </c>
      <c r="D2443" s="138" t="str">
        <f>VLOOKUP(Purchase[[#This Row],[Supplier ID]],Supplier[#All],2,0)</f>
        <v>Shree Electronics</v>
      </c>
      <c r="E2443" s="138">
        <f>VLOOKUP(Purchase[[#This Row],[Supplier ID]],Supplier[#All],3,0)</f>
        <v>9689542493</v>
      </c>
      <c r="F2443" s="138" t="str">
        <f>VLOOKUP(Purchase[[#This Row],[Supplier ID]],Supplier[#All],4,0)</f>
        <v>Kanpur</v>
      </c>
      <c r="G2443" s="138" t="str">
        <f>VLOOKUP(Purchase[[#This Row],[Supplier ID]],Supplier[#All],5,0)</f>
        <v>UP</v>
      </c>
      <c r="H2443" s="138" t="str">
        <f>VLOOKUP(Purchase[[#This Row],[Supplier ID]],Supplier[#All],6,0)</f>
        <v>GST2154521T055</v>
      </c>
      <c r="I2443" s="138" t="s">
        <v>463</v>
      </c>
      <c r="J2443" s="139">
        <v>30</v>
      </c>
      <c r="K2443" s="143">
        <f>VLOOKUP(Purchase[[#This Row],[Product ID]],Product[#All],6,0)</f>
        <v>8739</v>
      </c>
      <c r="L2443" s="143">
        <f>Purchase[[#This Row],[Purchase Rate]]*Purchase[[#This Row],[Qty]]</f>
        <v>262170</v>
      </c>
      <c r="M2443" s="140">
        <v>0</v>
      </c>
      <c r="N2443" s="143">
        <v>0</v>
      </c>
      <c r="O2443" s="140">
        <v>0.18</v>
      </c>
      <c r="P2443" s="145">
        <f>(Purchase[[#This Row],[Gross Amount]]-Purchase[[#This Row],[Disct %]])*Purchase[[#This Row],[GST %]]</f>
        <v>47190.6</v>
      </c>
      <c r="Q2443" s="145">
        <f>Purchase[[#This Row],[Gross Amount]]-Purchase[[#This Row],[Disct Amnt]]+Purchase[[#This Row],[GST Amount]]</f>
        <v>309360.59999999998</v>
      </c>
      <c r="R2443" s="138" t="s">
        <v>1019</v>
      </c>
      <c r="S2443" s="41">
        <f>IF(Purchase[[#This Row],[Status]]="Cancelled",0,Purchase[[#This Row],[Qty]])</f>
        <v>30</v>
      </c>
      <c r="T2443" s="146">
        <f>IF(Purchase[[#This Row],[Status]]="Cancelled",0,Purchase[[#This Row],[Total Amount]])</f>
        <v>309360.59999999998</v>
      </c>
      <c r="U2443" s="146">
        <f>SUM(Purchase[Net Amount])</f>
        <v>814985438.68000126</v>
      </c>
    </row>
    <row r="2444" spans="1:21" ht="19.5" thickBot="1" x14ac:dyDescent="0.3">
      <c r="A2444" s="136" t="s">
        <v>3501</v>
      </c>
      <c r="B2444" s="137">
        <v>45778</v>
      </c>
      <c r="C2444" s="138" t="s">
        <v>593</v>
      </c>
      <c r="D2444" s="138" t="str">
        <f>VLOOKUP(Purchase[[#This Row],[Supplier ID]],Supplier[#All],2,0)</f>
        <v>Global Suppliers</v>
      </c>
      <c r="E2444" s="138">
        <f>VLOOKUP(Purchase[[#This Row],[Supplier ID]],Supplier[#All],3,0)</f>
        <v>9689542476</v>
      </c>
      <c r="F2444" s="138" t="str">
        <f>VLOOKUP(Purchase[[#This Row],[Supplier ID]],Supplier[#All],4,0)</f>
        <v>Korba</v>
      </c>
      <c r="G2444" s="138" t="str">
        <f>VLOOKUP(Purchase[[#This Row],[Supplier ID]],Supplier[#All],5,0)</f>
        <v>CG</v>
      </c>
      <c r="H2444" s="138" t="str">
        <f>VLOOKUP(Purchase[[#This Row],[Supplier ID]],Supplier[#All],6,0)</f>
        <v>GST2154521T038</v>
      </c>
      <c r="I2444" s="138" t="s">
        <v>61</v>
      </c>
      <c r="J2444" s="139">
        <v>25</v>
      </c>
      <c r="K2444" s="143">
        <f>VLOOKUP(Purchase[[#This Row],[Product ID]],Product[#All],6,0)</f>
        <v>2704</v>
      </c>
      <c r="L2444" s="143">
        <f>Purchase[[#This Row],[Purchase Rate]]*Purchase[[#This Row],[Qty]]</f>
        <v>67600</v>
      </c>
      <c r="M2444" s="140">
        <v>0</v>
      </c>
      <c r="N2444" s="143">
        <v>0</v>
      </c>
      <c r="O2444" s="140">
        <v>0.18</v>
      </c>
      <c r="P2444" s="145">
        <f>(Purchase[[#This Row],[Gross Amount]]-Purchase[[#This Row],[Disct %]])*Purchase[[#This Row],[GST %]]</f>
        <v>12168</v>
      </c>
      <c r="Q2444" s="145">
        <f>Purchase[[#This Row],[Gross Amount]]-Purchase[[#This Row],[Disct Amnt]]+Purchase[[#This Row],[GST Amount]]</f>
        <v>79768</v>
      </c>
      <c r="R2444" s="138" t="s">
        <v>1019</v>
      </c>
      <c r="S2444" s="41">
        <f>IF(Purchase[[#This Row],[Status]]="Cancelled",0,Purchase[[#This Row],[Qty]])</f>
        <v>25</v>
      </c>
      <c r="T2444" s="146">
        <f>IF(Purchase[[#This Row],[Status]]="Cancelled",0,Purchase[[#This Row],[Total Amount]])</f>
        <v>79768</v>
      </c>
      <c r="U2444" s="146">
        <f>SUM(Purchase[Net Amount])</f>
        <v>814985438.68000126</v>
      </c>
    </row>
    <row r="2445" spans="1:21" ht="19.5" thickBot="1" x14ac:dyDescent="0.3">
      <c r="A2445" s="136" t="s">
        <v>3502</v>
      </c>
      <c r="B2445" s="137">
        <v>45778</v>
      </c>
      <c r="C2445" s="138" t="s">
        <v>591</v>
      </c>
      <c r="D2445" s="138" t="str">
        <f>VLOOKUP(Purchase[[#This Row],[Supplier ID]],Supplier[#All],2,0)</f>
        <v>Shree Computers</v>
      </c>
      <c r="E2445" s="138">
        <f>VLOOKUP(Purchase[[#This Row],[Supplier ID]],Supplier[#All],3,0)</f>
        <v>9689542475</v>
      </c>
      <c r="F2445" s="138" t="str">
        <f>VLOOKUP(Purchase[[#This Row],[Supplier ID]],Supplier[#All],4,0)</f>
        <v>Indore</v>
      </c>
      <c r="G2445" s="138" t="str">
        <f>VLOOKUP(Purchase[[#This Row],[Supplier ID]],Supplier[#All],5,0)</f>
        <v>MP</v>
      </c>
      <c r="H2445" s="138" t="str">
        <f>VLOOKUP(Purchase[[#This Row],[Supplier ID]],Supplier[#All],6,0)</f>
        <v>GST2154521T037</v>
      </c>
      <c r="I2445" s="138" t="s">
        <v>207</v>
      </c>
      <c r="J2445" s="139">
        <v>29</v>
      </c>
      <c r="K2445" s="143">
        <f>VLOOKUP(Purchase[[#This Row],[Product ID]],Product[#All],6,0)</f>
        <v>1218</v>
      </c>
      <c r="L2445" s="143">
        <f>Purchase[[#This Row],[Purchase Rate]]*Purchase[[#This Row],[Qty]]</f>
        <v>35322</v>
      </c>
      <c r="M2445" s="140">
        <v>0</v>
      </c>
      <c r="N2445" s="143">
        <v>0</v>
      </c>
      <c r="O2445" s="140">
        <v>0.18</v>
      </c>
      <c r="P2445" s="145">
        <f>(Purchase[[#This Row],[Gross Amount]]-Purchase[[#This Row],[Disct %]])*Purchase[[#This Row],[GST %]]</f>
        <v>6357.96</v>
      </c>
      <c r="Q2445" s="145">
        <f>Purchase[[#This Row],[Gross Amount]]-Purchase[[#This Row],[Disct Amnt]]+Purchase[[#This Row],[GST Amount]]</f>
        <v>41679.96</v>
      </c>
      <c r="R2445" s="138" t="s">
        <v>1019</v>
      </c>
      <c r="S2445" s="41">
        <f>IF(Purchase[[#This Row],[Status]]="Cancelled",0,Purchase[[#This Row],[Qty]])</f>
        <v>29</v>
      </c>
      <c r="T2445" s="146">
        <f>IF(Purchase[[#This Row],[Status]]="Cancelled",0,Purchase[[#This Row],[Total Amount]])</f>
        <v>41679.96</v>
      </c>
      <c r="U2445" s="146">
        <f>SUM(Purchase[Net Amount])</f>
        <v>814985438.68000126</v>
      </c>
    </row>
    <row r="2446" spans="1:21" ht="19.5" thickBot="1" x14ac:dyDescent="0.3">
      <c r="A2446" s="136" t="s">
        <v>3503</v>
      </c>
      <c r="B2446" s="137">
        <v>45778</v>
      </c>
      <c r="C2446" s="138" t="s">
        <v>612</v>
      </c>
      <c r="D2446" s="138" t="str">
        <f>VLOOKUP(Purchase[[#This Row],[Supplier ID]],Supplier[#All],2,0)</f>
        <v>National Computers</v>
      </c>
      <c r="E2446" s="138">
        <f>VLOOKUP(Purchase[[#This Row],[Supplier ID]],Supplier[#All],3,0)</f>
        <v>9689542495</v>
      </c>
      <c r="F2446" s="138" t="str">
        <f>VLOOKUP(Purchase[[#This Row],[Supplier ID]],Supplier[#All],4,0)</f>
        <v>Indore</v>
      </c>
      <c r="G2446" s="138" t="str">
        <f>VLOOKUP(Purchase[[#This Row],[Supplier ID]],Supplier[#All],5,0)</f>
        <v>MP</v>
      </c>
      <c r="H2446" s="138" t="str">
        <f>VLOOKUP(Purchase[[#This Row],[Supplier ID]],Supplier[#All],6,0)</f>
        <v>GST2154521T057</v>
      </c>
      <c r="I2446" s="138" t="s">
        <v>479</v>
      </c>
      <c r="J2446" s="139">
        <v>11</v>
      </c>
      <c r="K2446" s="143">
        <f>VLOOKUP(Purchase[[#This Row],[Product ID]],Product[#All],6,0)</f>
        <v>4548</v>
      </c>
      <c r="L2446" s="143">
        <f>Purchase[[#This Row],[Purchase Rate]]*Purchase[[#This Row],[Qty]]</f>
        <v>50028</v>
      </c>
      <c r="M2446" s="140">
        <v>0</v>
      </c>
      <c r="N2446" s="143">
        <v>0</v>
      </c>
      <c r="O2446" s="140">
        <v>0.18</v>
      </c>
      <c r="P2446" s="145">
        <f>(Purchase[[#This Row],[Gross Amount]]-Purchase[[#This Row],[Disct %]])*Purchase[[#This Row],[GST %]]</f>
        <v>9005.0399999999991</v>
      </c>
      <c r="Q2446" s="145">
        <f>Purchase[[#This Row],[Gross Amount]]-Purchase[[#This Row],[Disct Amnt]]+Purchase[[#This Row],[GST Amount]]</f>
        <v>59033.04</v>
      </c>
      <c r="R2446" s="138" t="s">
        <v>1019</v>
      </c>
      <c r="S2446" s="41">
        <f>IF(Purchase[[#This Row],[Status]]="Cancelled",0,Purchase[[#This Row],[Qty]])</f>
        <v>11</v>
      </c>
      <c r="T2446" s="146">
        <f>IF(Purchase[[#This Row],[Status]]="Cancelled",0,Purchase[[#This Row],[Total Amount]])</f>
        <v>59033.04</v>
      </c>
      <c r="U2446" s="146">
        <f>SUM(Purchase[Net Amount])</f>
        <v>814985438.68000126</v>
      </c>
    </row>
    <row r="2447" spans="1:21" ht="19.5" thickBot="1" x14ac:dyDescent="0.3">
      <c r="A2447" s="136" t="s">
        <v>3504</v>
      </c>
      <c r="B2447" s="137">
        <v>45778</v>
      </c>
      <c r="C2447" s="138" t="s">
        <v>591</v>
      </c>
      <c r="D2447" s="138" t="str">
        <f>VLOOKUP(Purchase[[#This Row],[Supplier ID]],Supplier[#All],2,0)</f>
        <v>Shree Computers</v>
      </c>
      <c r="E2447" s="138">
        <f>VLOOKUP(Purchase[[#This Row],[Supplier ID]],Supplier[#All],3,0)</f>
        <v>9689542475</v>
      </c>
      <c r="F2447" s="138" t="str">
        <f>VLOOKUP(Purchase[[#This Row],[Supplier ID]],Supplier[#All],4,0)</f>
        <v>Indore</v>
      </c>
      <c r="G2447" s="138" t="str">
        <f>VLOOKUP(Purchase[[#This Row],[Supplier ID]],Supplier[#All],5,0)</f>
        <v>MP</v>
      </c>
      <c r="H2447" s="138" t="str">
        <f>VLOOKUP(Purchase[[#This Row],[Supplier ID]],Supplier[#All],6,0)</f>
        <v>GST2154521T037</v>
      </c>
      <c r="I2447" s="138" t="s">
        <v>439</v>
      </c>
      <c r="J2447" s="139">
        <v>29</v>
      </c>
      <c r="K2447" s="143">
        <f>VLOOKUP(Purchase[[#This Row],[Product ID]],Product[#All],6,0)</f>
        <v>73027</v>
      </c>
      <c r="L2447" s="143">
        <f>Purchase[[#This Row],[Purchase Rate]]*Purchase[[#This Row],[Qty]]</f>
        <v>2117783</v>
      </c>
      <c r="M2447" s="140">
        <v>0</v>
      </c>
      <c r="N2447" s="143">
        <v>0</v>
      </c>
      <c r="O2447" s="140">
        <v>0.18</v>
      </c>
      <c r="P2447" s="145">
        <f>(Purchase[[#This Row],[Gross Amount]]-Purchase[[#This Row],[Disct %]])*Purchase[[#This Row],[GST %]]</f>
        <v>381200.94</v>
      </c>
      <c r="Q2447" s="145">
        <f>Purchase[[#This Row],[Gross Amount]]-Purchase[[#This Row],[Disct Amnt]]+Purchase[[#This Row],[GST Amount]]</f>
        <v>2498983.94</v>
      </c>
      <c r="R2447" s="138" t="s">
        <v>1019</v>
      </c>
      <c r="S2447" s="41">
        <f>IF(Purchase[[#This Row],[Status]]="Cancelled",0,Purchase[[#This Row],[Qty]])</f>
        <v>29</v>
      </c>
      <c r="T2447" s="146">
        <f>IF(Purchase[[#This Row],[Status]]="Cancelled",0,Purchase[[#This Row],[Total Amount]])</f>
        <v>2498983.94</v>
      </c>
      <c r="U2447" s="146">
        <f>SUM(Purchase[Net Amount])</f>
        <v>814985438.68000126</v>
      </c>
    </row>
    <row r="2448" spans="1:21" ht="19.5" thickBot="1" x14ac:dyDescent="0.3">
      <c r="A2448" s="136" t="s">
        <v>3505</v>
      </c>
      <c r="B2448" s="137">
        <v>45778</v>
      </c>
      <c r="C2448" s="138" t="s">
        <v>578</v>
      </c>
      <c r="D2448" s="138" t="str">
        <f>VLOOKUP(Purchase[[#This Row],[Supplier ID]],Supplier[#All],2,0)</f>
        <v>Shree Computers</v>
      </c>
      <c r="E2448" s="138">
        <f>VLOOKUP(Purchase[[#This Row],[Supplier ID]],Supplier[#All],3,0)</f>
        <v>9689542462</v>
      </c>
      <c r="F2448" s="138" t="str">
        <f>VLOOKUP(Purchase[[#This Row],[Supplier ID]],Supplier[#All],4,0)</f>
        <v>Korba</v>
      </c>
      <c r="G2448" s="138" t="str">
        <f>VLOOKUP(Purchase[[#This Row],[Supplier ID]],Supplier[#All],5,0)</f>
        <v>CG</v>
      </c>
      <c r="H2448" s="138" t="str">
        <f>VLOOKUP(Purchase[[#This Row],[Supplier ID]],Supplier[#All],6,0)</f>
        <v>GST2154521T024</v>
      </c>
      <c r="I2448" s="138" t="s">
        <v>86</v>
      </c>
      <c r="J2448" s="139">
        <v>16</v>
      </c>
      <c r="K2448" s="143">
        <f>VLOOKUP(Purchase[[#This Row],[Product ID]],Product[#All],6,0)</f>
        <v>11919</v>
      </c>
      <c r="L2448" s="143">
        <f>Purchase[[#This Row],[Purchase Rate]]*Purchase[[#This Row],[Qty]]</f>
        <v>190704</v>
      </c>
      <c r="M2448" s="140">
        <v>0</v>
      </c>
      <c r="N2448" s="143">
        <v>0</v>
      </c>
      <c r="O2448" s="140">
        <v>0.18</v>
      </c>
      <c r="P2448" s="145">
        <f>(Purchase[[#This Row],[Gross Amount]]-Purchase[[#This Row],[Disct %]])*Purchase[[#This Row],[GST %]]</f>
        <v>34326.720000000001</v>
      </c>
      <c r="Q2448" s="145">
        <f>Purchase[[#This Row],[Gross Amount]]-Purchase[[#This Row],[Disct Amnt]]+Purchase[[#This Row],[GST Amount]]</f>
        <v>225030.72</v>
      </c>
      <c r="R2448" s="138" t="s">
        <v>1019</v>
      </c>
      <c r="S2448" s="41">
        <f>IF(Purchase[[#This Row],[Status]]="Cancelled",0,Purchase[[#This Row],[Qty]])</f>
        <v>16</v>
      </c>
      <c r="T2448" s="146">
        <f>IF(Purchase[[#This Row],[Status]]="Cancelled",0,Purchase[[#This Row],[Total Amount]])</f>
        <v>225030.72</v>
      </c>
      <c r="U2448" s="146">
        <f>SUM(Purchase[Net Amount])</f>
        <v>814985438.68000126</v>
      </c>
    </row>
    <row r="2449" spans="1:21" ht="19.5" thickBot="1" x14ac:dyDescent="0.3">
      <c r="A2449" s="136" t="s">
        <v>3506</v>
      </c>
      <c r="B2449" s="137">
        <v>45778</v>
      </c>
      <c r="C2449" s="138" t="s">
        <v>597</v>
      </c>
      <c r="D2449" s="138" t="str">
        <f>VLOOKUP(Purchase[[#This Row],[Supplier ID]],Supplier[#All],2,0)</f>
        <v>Tech Traders</v>
      </c>
      <c r="E2449" s="138">
        <f>VLOOKUP(Purchase[[#This Row],[Supplier ID]],Supplier[#All],3,0)</f>
        <v>9689542480</v>
      </c>
      <c r="F2449" s="138" t="str">
        <f>VLOOKUP(Purchase[[#This Row],[Supplier ID]],Supplier[#All],4,0)</f>
        <v>Kanpur</v>
      </c>
      <c r="G2449" s="138" t="str">
        <f>VLOOKUP(Purchase[[#This Row],[Supplier ID]],Supplier[#All],5,0)</f>
        <v>UP</v>
      </c>
      <c r="H2449" s="138" t="str">
        <f>VLOOKUP(Purchase[[#This Row],[Supplier ID]],Supplier[#All],6,0)</f>
        <v>GST2154521T042</v>
      </c>
      <c r="I2449" s="138" t="s">
        <v>303</v>
      </c>
      <c r="J2449" s="139">
        <v>6</v>
      </c>
      <c r="K2449" s="143">
        <f>VLOOKUP(Purchase[[#This Row],[Product ID]],Product[#All],6,0)</f>
        <v>6214</v>
      </c>
      <c r="L2449" s="143">
        <f>Purchase[[#This Row],[Purchase Rate]]*Purchase[[#This Row],[Qty]]</f>
        <v>37284</v>
      </c>
      <c r="M2449" s="140">
        <v>0</v>
      </c>
      <c r="N2449" s="143">
        <v>0</v>
      </c>
      <c r="O2449" s="140">
        <v>0.18</v>
      </c>
      <c r="P2449" s="145">
        <f>(Purchase[[#This Row],[Gross Amount]]-Purchase[[#This Row],[Disct %]])*Purchase[[#This Row],[GST %]]</f>
        <v>6711.12</v>
      </c>
      <c r="Q2449" s="145">
        <f>Purchase[[#This Row],[Gross Amount]]-Purchase[[#This Row],[Disct Amnt]]+Purchase[[#This Row],[GST Amount]]</f>
        <v>43995.12</v>
      </c>
      <c r="R2449" s="138" t="s">
        <v>1019</v>
      </c>
      <c r="S2449" s="41">
        <f>IF(Purchase[[#This Row],[Status]]="Cancelled",0,Purchase[[#This Row],[Qty]])</f>
        <v>6</v>
      </c>
      <c r="T2449" s="146">
        <f>IF(Purchase[[#This Row],[Status]]="Cancelled",0,Purchase[[#This Row],[Total Amount]])</f>
        <v>43995.12</v>
      </c>
      <c r="U2449" s="146">
        <f>SUM(Purchase[Net Amount])</f>
        <v>814985438.68000126</v>
      </c>
    </row>
    <row r="2450" spans="1:21" ht="19.5" thickBot="1" x14ac:dyDescent="0.3">
      <c r="A2450" s="136" t="s">
        <v>3507</v>
      </c>
      <c r="B2450" s="137">
        <v>45778</v>
      </c>
      <c r="C2450" s="138" t="s">
        <v>590</v>
      </c>
      <c r="D2450" s="138" t="str">
        <f>VLOOKUP(Purchase[[#This Row],[Supplier ID]],Supplier[#All],2,0)</f>
        <v>Star Distributors</v>
      </c>
      <c r="E2450" s="138">
        <f>VLOOKUP(Purchase[[#This Row],[Supplier ID]],Supplier[#All],3,0)</f>
        <v>9689542474</v>
      </c>
      <c r="F2450" s="138" t="str">
        <f>VLOOKUP(Purchase[[#This Row],[Supplier ID]],Supplier[#All],4,0)</f>
        <v>Kanpur</v>
      </c>
      <c r="G2450" s="138" t="str">
        <f>VLOOKUP(Purchase[[#This Row],[Supplier ID]],Supplier[#All],5,0)</f>
        <v>UP</v>
      </c>
      <c r="H2450" s="138" t="str">
        <f>VLOOKUP(Purchase[[#This Row],[Supplier ID]],Supplier[#All],6,0)</f>
        <v>GST2154521T036</v>
      </c>
      <c r="I2450" s="138" t="s">
        <v>237</v>
      </c>
      <c r="J2450" s="139">
        <v>35</v>
      </c>
      <c r="K2450" s="143">
        <f>VLOOKUP(Purchase[[#This Row],[Product ID]],Product[#All],6,0)</f>
        <v>4240</v>
      </c>
      <c r="L2450" s="143">
        <f>Purchase[[#This Row],[Purchase Rate]]*Purchase[[#This Row],[Qty]]</f>
        <v>148400</v>
      </c>
      <c r="M2450" s="140">
        <v>0</v>
      </c>
      <c r="N2450" s="143">
        <v>0</v>
      </c>
      <c r="O2450" s="140">
        <v>0.18</v>
      </c>
      <c r="P2450" s="145">
        <f>(Purchase[[#This Row],[Gross Amount]]-Purchase[[#This Row],[Disct %]])*Purchase[[#This Row],[GST %]]</f>
        <v>26712</v>
      </c>
      <c r="Q2450" s="145">
        <f>Purchase[[#This Row],[Gross Amount]]-Purchase[[#This Row],[Disct Amnt]]+Purchase[[#This Row],[GST Amount]]</f>
        <v>175112</v>
      </c>
      <c r="R2450" s="138" t="s">
        <v>1019</v>
      </c>
      <c r="S2450" s="41">
        <f>IF(Purchase[[#This Row],[Status]]="Cancelled",0,Purchase[[#This Row],[Qty]])</f>
        <v>35</v>
      </c>
      <c r="T2450" s="146">
        <f>IF(Purchase[[#This Row],[Status]]="Cancelled",0,Purchase[[#This Row],[Total Amount]])</f>
        <v>175112</v>
      </c>
      <c r="U2450" s="146">
        <f>SUM(Purchase[Net Amount])</f>
        <v>814985438.68000126</v>
      </c>
    </row>
    <row r="2451" spans="1:21" ht="19.5" thickBot="1" x14ac:dyDescent="0.3">
      <c r="A2451" s="136" t="s">
        <v>3508</v>
      </c>
      <c r="B2451" s="137">
        <v>45779</v>
      </c>
      <c r="C2451" s="138" t="s">
        <v>599</v>
      </c>
      <c r="D2451" s="138" t="str">
        <f>VLOOKUP(Purchase[[#This Row],[Supplier ID]],Supplier[#All],2,0)</f>
        <v>National Distributors</v>
      </c>
      <c r="E2451" s="138">
        <f>VLOOKUP(Purchase[[#This Row],[Supplier ID]],Supplier[#All],3,0)</f>
        <v>9689542482</v>
      </c>
      <c r="F2451" s="138" t="str">
        <f>VLOOKUP(Purchase[[#This Row],[Supplier ID]],Supplier[#All],4,0)</f>
        <v>Kanpur</v>
      </c>
      <c r="G2451" s="138" t="str">
        <f>VLOOKUP(Purchase[[#This Row],[Supplier ID]],Supplier[#All],5,0)</f>
        <v>UP</v>
      </c>
      <c r="H2451" s="138" t="str">
        <f>VLOOKUP(Purchase[[#This Row],[Supplier ID]],Supplier[#All],6,0)</f>
        <v>GST2154521T044</v>
      </c>
      <c r="I2451" s="138" t="s">
        <v>189</v>
      </c>
      <c r="J2451" s="139">
        <v>31</v>
      </c>
      <c r="K2451" s="143">
        <f>VLOOKUP(Purchase[[#This Row],[Product ID]],Product[#All],6,0)</f>
        <v>1280</v>
      </c>
      <c r="L2451" s="143">
        <f>Purchase[[#This Row],[Purchase Rate]]*Purchase[[#This Row],[Qty]]</f>
        <v>39680</v>
      </c>
      <c r="M2451" s="140">
        <v>0</v>
      </c>
      <c r="N2451" s="143">
        <v>0</v>
      </c>
      <c r="O2451" s="140">
        <v>0.18</v>
      </c>
      <c r="P2451" s="145">
        <f>(Purchase[[#This Row],[Gross Amount]]-Purchase[[#This Row],[Disct %]])*Purchase[[#This Row],[GST %]]</f>
        <v>7142.4</v>
      </c>
      <c r="Q2451" s="145">
        <f>Purchase[[#This Row],[Gross Amount]]-Purchase[[#This Row],[Disct Amnt]]+Purchase[[#This Row],[GST Amount]]</f>
        <v>46822.400000000001</v>
      </c>
      <c r="R2451" s="138" t="s">
        <v>1019</v>
      </c>
      <c r="S2451" s="41">
        <f>IF(Purchase[[#This Row],[Status]]="Cancelled",0,Purchase[[#This Row],[Qty]])</f>
        <v>31</v>
      </c>
      <c r="T2451" s="146">
        <f>IF(Purchase[[#This Row],[Status]]="Cancelled",0,Purchase[[#This Row],[Total Amount]])</f>
        <v>46822.400000000001</v>
      </c>
      <c r="U2451" s="146">
        <f>SUM(Purchase[Net Amount])</f>
        <v>814985438.68000126</v>
      </c>
    </row>
    <row r="2452" spans="1:21" ht="19.5" thickBot="1" x14ac:dyDescent="0.3">
      <c r="A2452" s="136" t="s">
        <v>3509</v>
      </c>
      <c r="B2452" s="137">
        <v>45779</v>
      </c>
      <c r="C2452" s="138" t="s">
        <v>599</v>
      </c>
      <c r="D2452" s="138" t="str">
        <f>VLOOKUP(Purchase[[#This Row],[Supplier ID]],Supplier[#All],2,0)</f>
        <v>National Distributors</v>
      </c>
      <c r="E2452" s="138">
        <f>VLOOKUP(Purchase[[#This Row],[Supplier ID]],Supplier[#All],3,0)</f>
        <v>9689542482</v>
      </c>
      <c r="F2452" s="138" t="str">
        <f>VLOOKUP(Purchase[[#This Row],[Supplier ID]],Supplier[#All],4,0)</f>
        <v>Kanpur</v>
      </c>
      <c r="G2452" s="138" t="str">
        <f>VLOOKUP(Purchase[[#This Row],[Supplier ID]],Supplier[#All],5,0)</f>
        <v>UP</v>
      </c>
      <c r="H2452" s="138" t="str">
        <f>VLOOKUP(Purchase[[#This Row],[Supplier ID]],Supplier[#All],6,0)</f>
        <v>GST2154521T044</v>
      </c>
      <c r="I2452" s="138" t="s">
        <v>68</v>
      </c>
      <c r="J2452" s="139">
        <v>40</v>
      </c>
      <c r="K2452" s="143">
        <f>VLOOKUP(Purchase[[#This Row],[Product ID]],Product[#All],6,0)</f>
        <v>17186</v>
      </c>
      <c r="L2452" s="143">
        <f>Purchase[[#This Row],[Purchase Rate]]*Purchase[[#This Row],[Qty]]</f>
        <v>687440</v>
      </c>
      <c r="M2452" s="140">
        <v>0</v>
      </c>
      <c r="N2452" s="143">
        <v>0</v>
      </c>
      <c r="O2452" s="140">
        <v>0.18</v>
      </c>
      <c r="P2452" s="145">
        <f>(Purchase[[#This Row],[Gross Amount]]-Purchase[[#This Row],[Disct %]])*Purchase[[#This Row],[GST %]]</f>
        <v>123739.2</v>
      </c>
      <c r="Q2452" s="145">
        <f>Purchase[[#This Row],[Gross Amount]]-Purchase[[#This Row],[Disct Amnt]]+Purchase[[#This Row],[GST Amount]]</f>
        <v>811179.2</v>
      </c>
      <c r="R2452" s="138" t="s">
        <v>1019</v>
      </c>
      <c r="S2452" s="41">
        <f>IF(Purchase[[#This Row],[Status]]="Cancelled",0,Purchase[[#This Row],[Qty]])</f>
        <v>40</v>
      </c>
      <c r="T2452" s="146">
        <f>IF(Purchase[[#This Row],[Status]]="Cancelled",0,Purchase[[#This Row],[Total Amount]])</f>
        <v>811179.2</v>
      </c>
      <c r="U2452" s="146">
        <f>SUM(Purchase[Net Amount])</f>
        <v>814985438.68000126</v>
      </c>
    </row>
    <row r="2453" spans="1:21" ht="19.5" thickBot="1" x14ac:dyDescent="0.3">
      <c r="A2453" s="136" t="s">
        <v>3510</v>
      </c>
      <c r="B2453" s="137">
        <v>45779</v>
      </c>
      <c r="C2453" s="138" t="s">
        <v>598</v>
      </c>
      <c r="D2453" s="138" t="str">
        <f>VLOOKUP(Purchase[[#This Row],[Supplier ID]],Supplier[#All],2,0)</f>
        <v>National Distributors</v>
      </c>
      <c r="E2453" s="138">
        <f>VLOOKUP(Purchase[[#This Row],[Supplier ID]],Supplier[#All],3,0)</f>
        <v>9689542489</v>
      </c>
      <c r="F2453" s="138" t="str">
        <f>VLOOKUP(Purchase[[#This Row],[Supplier ID]],Supplier[#All],4,0)</f>
        <v>Indore</v>
      </c>
      <c r="G2453" s="138" t="str">
        <f>VLOOKUP(Purchase[[#This Row],[Supplier ID]],Supplier[#All],5,0)</f>
        <v>MP</v>
      </c>
      <c r="H2453" s="138" t="str">
        <f>VLOOKUP(Purchase[[#This Row],[Supplier ID]],Supplier[#All],6,0)</f>
        <v>GST2154521T043</v>
      </c>
      <c r="I2453" s="138" t="s">
        <v>380</v>
      </c>
      <c r="J2453" s="139">
        <v>2</v>
      </c>
      <c r="K2453" s="143">
        <f>VLOOKUP(Purchase[[#This Row],[Product ID]],Product[#All],6,0)</f>
        <v>72229</v>
      </c>
      <c r="L2453" s="143">
        <f>Purchase[[#This Row],[Purchase Rate]]*Purchase[[#This Row],[Qty]]</f>
        <v>144458</v>
      </c>
      <c r="M2453" s="140">
        <v>0</v>
      </c>
      <c r="N2453" s="143">
        <v>0</v>
      </c>
      <c r="O2453" s="140">
        <v>0.18</v>
      </c>
      <c r="P2453" s="145">
        <f>(Purchase[[#This Row],[Gross Amount]]-Purchase[[#This Row],[Disct %]])*Purchase[[#This Row],[GST %]]</f>
        <v>26002.44</v>
      </c>
      <c r="Q2453" s="145">
        <f>Purchase[[#This Row],[Gross Amount]]-Purchase[[#This Row],[Disct Amnt]]+Purchase[[#This Row],[GST Amount]]</f>
        <v>170460.44</v>
      </c>
      <c r="R2453" s="138" t="s">
        <v>1019</v>
      </c>
      <c r="S2453" s="41">
        <f>IF(Purchase[[#This Row],[Status]]="Cancelled",0,Purchase[[#This Row],[Qty]])</f>
        <v>2</v>
      </c>
      <c r="T2453" s="146">
        <f>IF(Purchase[[#This Row],[Status]]="Cancelled",0,Purchase[[#This Row],[Total Amount]])</f>
        <v>170460.44</v>
      </c>
      <c r="U2453" s="146">
        <f>SUM(Purchase[Net Amount])</f>
        <v>814985438.68000126</v>
      </c>
    </row>
    <row r="2454" spans="1:21" ht="19.5" thickBot="1" x14ac:dyDescent="0.3">
      <c r="A2454" s="136" t="s">
        <v>3511</v>
      </c>
      <c r="B2454" s="137">
        <v>45779</v>
      </c>
      <c r="C2454" s="138" t="s">
        <v>587</v>
      </c>
      <c r="D2454" s="138" t="str">
        <f>VLOOKUP(Purchase[[#This Row],[Supplier ID]],Supplier[#All],2,0)</f>
        <v>maa distributors</v>
      </c>
      <c r="E2454" s="138">
        <f>VLOOKUP(Purchase[[#This Row],[Supplier ID]],Supplier[#All],3,0)</f>
        <v>9689542479</v>
      </c>
      <c r="F2454" s="138" t="str">
        <f>VLOOKUP(Purchase[[#This Row],[Supplier ID]],Supplier[#All],4,0)</f>
        <v>Indore</v>
      </c>
      <c r="G2454" s="138" t="str">
        <f>VLOOKUP(Purchase[[#This Row],[Supplier ID]],Supplier[#All],5,0)</f>
        <v>MP</v>
      </c>
      <c r="H2454" s="138" t="str">
        <f>VLOOKUP(Purchase[[#This Row],[Supplier ID]],Supplier[#All],6,0)</f>
        <v>GST2154521T033</v>
      </c>
      <c r="I2454" s="138" t="s">
        <v>226</v>
      </c>
      <c r="J2454" s="139">
        <v>10</v>
      </c>
      <c r="K2454" s="143">
        <f>VLOOKUP(Purchase[[#This Row],[Product ID]],Product[#All],6,0)</f>
        <v>3821</v>
      </c>
      <c r="L2454" s="143">
        <f>Purchase[[#This Row],[Purchase Rate]]*Purchase[[#This Row],[Qty]]</f>
        <v>38210</v>
      </c>
      <c r="M2454" s="140">
        <v>0</v>
      </c>
      <c r="N2454" s="143">
        <v>0</v>
      </c>
      <c r="O2454" s="140">
        <v>0.18</v>
      </c>
      <c r="P2454" s="145">
        <f>(Purchase[[#This Row],[Gross Amount]]-Purchase[[#This Row],[Disct %]])*Purchase[[#This Row],[GST %]]</f>
        <v>6877.8</v>
      </c>
      <c r="Q2454" s="145">
        <f>Purchase[[#This Row],[Gross Amount]]-Purchase[[#This Row],[Disct Amnt]]+Purchase[[#This Row],[GST Amount]]</f>
        <v>45087.8</v>
      </c>
      <c r="R2454" s="138" t="s">
        <v>1019</v>
      </c>
      <c r="S2454" s="41">
        <f>IF(Purchase[[#This Row],[Status]]="Cancelled",0,Purchase[[#This Row],[Qty]])</f>
        <v>10</v>
      </c>
      <c r="T2454" s="146">
        <f>IF(Purchase[[#This Row],[Status]]="Cancelled",0,Purchase[[#This Row],[Total Amount]])</f>
        <v>45087.8</v>
      </c>
      <c r="U2454" s="146">
        <f>SUM(Purchase[Net Amount])</f>
        <v>814985438.68000126</v>
      </c>
    </row>
    <row r="2455" spans="1:21" ht="19.5" thickBot="1" x14ac:dyDescent="0.3">
      <c r="A2455" s="136" t="s">
        <v>3512</v>
      </c>
      <c r="B2455" s="137">
        <v>45779</v>
      </c>
      <c r="C2455" s="138" t="s">
        <v>595</v>
      </c>
      <c r="D2455" s="138" t="str">
        <f>VLOOKUP(Purchase[[#This Row],[Supplier ID]],Supplier[#All],2,0)</f>
        <v>Star Computers</v>
      </c>
      <c r="E2455" s="138">
        <f>VLOOKUP(Purchase[[#This Row],[Supplier ID]],Supplier[#All],3,0)</f>
        <v>9689542478</v>
      </c>
      <c r="F2455" s="138" t="str">
        <f>VLOOKUP(Purchase[[#This Row],[Supplier ID]],Supplier[#All],4,0)</f>
        <v>Kanpur</v>
      </c>
      <c r="G2455" s="138" t="str">
        <f>VLOOKUP(Purchase[[#This Row],[Supplier ID]],Supplier[#All],5,0)</f>
        <v>UP</v>
      </c>
      <c r="H2455" s="138" t="str">
        <f>VLOOKUP(Purchase[[#This Row],[Supplier ID]],Supplier[#All],6,0)</f>
        <v>GST2154521T040</v>
      </c>
      <c r="I2455" s="138" t="s">
        <v>341</v>
      </c>
      <c r="J2455" s="139">
        <v>4</v>
      </c>
      <c r="K2455" s="143">
        <f>VLOOKUP(Purchase[[#This Row],[Product ID]],Product[#All],6,0)</f>
        <v>17041</v>
      </c>
      <c r="L2455" s="143">
        <f>Purchase[[#This Row],[Purchase Rate]]*Purchase[[#This Row],[Qty]]</f>
        <v>68164</v>
      </c>
      <c r="M2455" s="140">
        <v>0</v>
      </c>
      <c r="N2455" s="143">
        <v>0</v>
      </c>
      <c r="O2455" s="140">
        <v>0.18</v>
      </c>
      <c r="P2455" s="145">
        <f>(Purchase[[#This Row],[Gross Amount]]-Purchase[[#This Row],[Disct %]])*Purchase[[#This Row],[GST %]]</f>
        <v>12269.52</v>
      </c>
      <c r="Q2455" s="145">
        <f>Purchase[[#This Row],[Gross Amount]]-Purchase[[#This Row],[Disct Amnt]]+Purchase[[#This Row],[GST Amount]]</f>
        <v>80433.52</v>
      </c>
      <c r="R2455" s="138" t="s">
        <v>1019</v>
      </c>
      <c r="S2455" s="41">
        <f>IF(Purchase[[#This Row],[Status]]="Cancelled",0,Purchase[[#This Row],[Qty]])</f>
        <v>4</v>
      </c>
      <c r="T2455" s="146">
        <f>IF(Purchase[[#This Row],[Status]]="Cancelled",0,Purchase[[#This Row],[Total Amount]])</f>
        <v>80433.52</v>
      </c>
      <c r="U2455" s="146">
        <f>SUM(Purchase[Net Amount])</f>
        <v>814985438.68000126</v>
      </c>
    </row>
    <row r="2456" spans="1:21" ht="19.5" thickBot="1" x14ac:dyDescent="0.3">
      <c r="A2456" s="136" t="s">
        <v>3513</v>
      </c>
      <c r="B2456" s="137">
        <v>45779</v>
      </c>
      <c r="C2456" s="138" t="s">
        <v>608</v>
      </c>
      <c r="D2456" s="138" t="str">
        <f>VLOOKUP(Purchase[[#This Row],[Supplier ID]],Supplier[#All],2,0)</f>
        <v>Global Suppliers</v>
      </c>
      <c r="E2456" s="138">
        <f>VLOOKUP(Purchase[[#This Row],[Supplier ID]],Supplier[#All],3,0)</f>
        <v>9689542499</v>
      </c>
      <c r="F2456" s="138" t="str">
        <f>VLOOKUP(Purchase[[#This Row],[Supplier ID]],Supplier[#All],4,0)</f>
        <v>Korba</v>
      </c>
      <c r="G2456" s="138" t="str">
        <f>VLOOKUP(Purchase[[#This Row],[Supplier ID]],Supplier[#All],5,0)</f>
        <v>CG</v>
      </c>
      <c r="H2456" s="138" t="str">
        <f>VLOOKUP(Purchase[[#This Row],[Supplier ID]],Supplier[#All],6,0)</f>
        <v>GST2154521T053</v>
      </c>
      <c r="I2456" s="138" t="s">
        <v>215</v>
      </c>
      <c r="J2456" s="139">
        <v>9</v>
      </c>
      <c r="K2456" s="143">
        <f>VLOOKUP(Purchase[[#This Row],[Product ID]],Product[#All],6,0)</f>
        <v>8074</v>
      </c>
      <c r="L2456" s="143">
        <f>Purchase[[#This Row],[Purchase Rate]]*Purchase[[#This Row],[Qty]]</f>
        <v>72666</v>
      </c>
      <c r="M2456" s="140">
        <v>0</v>
      </c>
      <c r="N2456" s="143">
        <v>0</v>
      </c>
      <c r="O2456" s="140">
        <v>0.18</v>
      </c>
      <c r="P2456" s="145">
        <f>(Purchase[[#This Row],[Gross Amount]]-Purchase[[#This Row],[Disct %]])*Purchase[[#This Row],[GST %]]</f>
        <v>13079.88</v>
      </c>
      <c r="Q2456" s="145">
        <f>Purchase[[#This Row],[Gross Amount]]-Purchase[[#This Row],[Disct Amnt]]+Purchase[[#This Row],[GST Amount]]</f>
        <v>85745.88</v>
      </c>
      <c r="R2456" s="138" t="s">
        <v>1019</v>
      </c>
      <c r="S2456" s="41">
        <f>IF(Purchase[[#This Row],[Status]]="Cancelled",0,Purchase[[#This Row],[Qty]])</f>
        <v>9</v>
      </c>
      <c r="T2456" s="146">
        <f>IF(Purchase[[#This Row],[Status]]="Cancelled",0,Purchase[[#This Row],[Total Amount]])</f>
        <v>85745.88</v>
      </c>
      <c r="U2456" s="146">
        <f>SUM(Purchase[Net Amount])</f>
        <v>814985438.68000126</v>
      </c>
    </row>
    <row r="2457" spans="1:21" ht="19.5" thickBot="1" x14ac:dyDescent="0.3">
      <c r="A2457" s="136" t="s">
        <v>3514</v>
      </c>
      <c r="B2457" s="137">
        <v>45779</v>
      </c>
      <c r="C2457" s="138" t="s">
        <v>588</v>
      </c>
      <c r="D2457" s="138" t="str">
        <f>VLOOKUP(Purchase[[#This Row],[Supplier ID]],Supplier[#All],2,0)</f>
        <v>Star Electronics</v>
      </c>
      <c r="E2457" s="138">
        <f>VLOOKUP(Purchase[[#This Row],[Supplier ID]],Supplier[#All],3,0)</f>
        <v>9689542472</v>
      </c>
      <c r="F2457" s="138" t="str">
        <f>VLOOKUP(Purchase[[#This Row],[Supplier ID]],Supplier[#All],4,0)</f>
        <v>Korba</v>
      </c>
      <c r="G2457" s="138" t="str">
        <f>VLOOKUP(Purchase[[#This Row],[Supplier ID]],Supplier[#All],5,0)</f>
        <v>CG</v>
      </c>
      <c r="H2457" s="138" t="str">
        <f>VLOOKUP(Purchase[[#This Row],[Supplier ID]],Supplier[#All],6,0)</f>
        <v>GST2154521T034</v>
      </c>
      <c r="I2457" s="138" t="s">
        <v>332</v>
      </c>
      <c r="J2457" s="139">
        <v>37</v>
      </c>
      <c r="K2457" s="143">
        <f>VLOOKUP(Purchase[[#This Row],[Product ID]],Product[#All],6,0)</f>
        <v>21908</v>
      </c>
      <c r="L2457" s="143">
        <f>Purchase[[#This Row],[Purchase Rate]]*Purchase[[#This Row],[Qty]]</f>
        <v>810596</v>
      </c>
      <c r="M2457" s="140">
        <v>0</v>
      </c>
      <c r="N2457" s="143">
        <v>0</v>
      </c>
      <c r="O2457" s="140">
        <v>0.18</v>
      </c>
      <c r="P2457" s="145">
        <f>(Purchase[[#This Row],[Gross Amount]]-Purchase[[#This Row],[Disct %]])*Purchase[[#This Row],[GST %]]</f>
        <v>145907.28</v>
      </c>
      <c r="Q2457" s="145">
        <f>Purchase[[#This Row],[Gross Amount]]-Purchase[[#This Row],[Disct Amnt]]+Purchase[[#This Row],[GST Amount]]</f>
        <v>956503.28</v>
      </c>
      <c r="R2457" s="138" t="s">
        <v>1019</v>
      </c>
      <c r="S2457" s="41">
        <f>IF(Purchase[[#This Row],[Status]]="Cancelled",0,Purchase[[#This Row],[Qty]])</f>
        <v>37</v>
      </c>
      <c r="T2457" s="146">
        <f>IF(Purchase[[#This Row],[Status]]="Cancelled",0,Purchase[[#This Row],[Total Amount]])</f>
        <v>956503.28</v>
      </c>
      <c r="U2457" s="146">
        <f>SUM(Purchase[Net Amount])</f>
        <v>814985438.68000126</v>
      </c>
    </row>
    <row r="2458" spans="1:21" ht="19.5" thickBot="1" x14ac:dyDescent="0.3">
      <c r="A2458" s="136" t="s">
        <v>3515</v>
      </c>
      <c r="B2458" s="137">
        <v>45779</v>
      </c>
      <c r="C2458" s="138" t="s">
        <v>579</v>
      </c>
      <c r="D2458" s="138" t="str">
        <f>VLOOKUP(Purchase[[#This Row],[Supplier ID]],Supplier[#All],2,0)</f>
        <v>Tech Traders</v>
      </c>
      <c r="E2458" s="138">
        <f>VLOOKUP(Purchase[[#This Row],[Supplier ID]],Supplier[#All],3,0)</f>
        <v>9689542463</v>
      </c>
      <c r="F2458" s="138" t="str">
        <f>VLOOKUP(Purchase[[#This Row],[Supplier ID]],Supplier[#All],4,0)</f>
        <v>Kanpur</v>
      </c>
      <c r="G2458" s="138" t="str">
        <f>VLOOKUP(Purchase[[#This Row],[Supplier ID]],Supplier[#All],5,0)</f>
        <v>UP</v>
      </c>
      <c r="H2458" s="138" t="str">
        <f>VLOOKUP(Purchase[[#This Row],[Supplier ID]],Supplier[#All],6,0)</f>
        <v>GST2154521T025</v>
      </c>
      <c r="I2458" s="138" t="s">
        <v>33</v>
      </c>
      <c r="J2458" s="139">
        <v>3</v>
      </c>
      <c r="K2458" s="143">
        <f>VLOOKUP(Purchase[[#This Row],[Product ID]],Product[#All],6,0)</f>
        <v>8458</v>
      </c>
      <c r="L2458" s="143">
        <f>Purchase[[#This Row],[Purchase Rate]]*Purchase[[#This Row],[Qty]]</f>
        <v>25374</v>
      </c>
      <c r="M2458" s="140">
        <v>0</v>
      </c>
      <c r="N2458" s="143">
        <v>0</v>
      </c>
      <c r="O2458" s="140">
        <v>0.18</v>
      </c>
      <c r="P2458" s="145">
        <f>(Purchase[[#This Row],[Gross Amount]]-Purchase[[#This Row],[Disct %]])*Purchase[[#This Row],[GST %]]</f>
        <v>4567.32</v>
      </c>
      <c r="Q2458" s="145">
        <f>Purchase[[#This Row],[Gross Amount]]-Purchase[[#This Row],[Disct Amnt]]+Purchase[[#This Row],[GST Amount]]</f>
        <v>29941.32</v>
      </c>
      <c r="R2458" s="138" t="s">
        <v>1019</v>
      </c>
      <c r="S2458" s="41">
        <f>IF(Purchase[[#This Row],[Status]]="Cancelled",0,Purchase[[#This Row],[Qty]])</f>
        <v>3</v>
      </c>
      <c r="T2458" s="146">
        <f>IF(Purchase[[#This Row],[Status]]="Cancelled",0,Purchase[[#This Row],[Total Amount]])</f>
        <v>29941.32</v>
      </c>
      <c r="U2458" s="146">
        <f>SUM(Purchase[Net Amount])</f>
        <v>814985438.68000126</v>
      </c>
    </row>
    <row r="2459" spans="1:21" ht="19.5" thickBot="1" x14ac:dyDescent="0.3">
      <c r="A2459" s="136" t="s">
        <v>3516</v>
      </c>
      <c r="B2459" s="137">
        <v>45779</v>
      </c>
      <c r="C2459" s="138" t="s">
        <v>606</v>
      </c>
      <c r="D2459" s="138" t="str">
        <f>VLOOKUP(Purchase[[#This Row],[Supplier ID]],Supplier[#All],2,0)</f>
        <v>Prime Traders</v>
      </c>
      <c r="E2459" s="138">
        <f>VLOOKUP(Purchase[[#This Row],[Supplier ID]],Supplier[#All],3,0)</f>
        <v>9689542489</v>
      </c>
      <c r="F2459" s="138" t="str">
        <f>VLOOKUP(Purchase[[#This Row],[Supplier ID]],Supplier[#All],4,0)</f>
        <v>Indore</v>
      </c>
      <c r="G2459" s="138" t="str">
        <f>VLOOKUP(Purchase[[#This Row],[Supplier ID]],Supplier[#All],5,0)</f>
        <v>MP</v>
      </c>
      <c r="H2459" s="138" t="str">
        <f>VLOOKUP(Purchase[[#This Row],[Supplier ID]],Supplier[#All],6,0)</f>
        <v>GST2154521T051</v>
      </c>
      <c r="I2459" s="138" t="s">
        <v>499</v>
      </c>
      <c r="J2459" s="139">
        <v>3</v>
      </c>
      <c r="K2459" s="143">
        <f>VLOOKUP(Purchase[[#This Row],[Product ID]],Product[#All],6,0)</f>
        <v>69609</v>
      </c>
      <c r="L2459" s="143">
        <f>Purchase[[#This Row],[Purchase Rate]]*Purchase[[#This Row],[Qty]]</f>
        <v>208827</v>
      </c>
      <c r="M2459" s="140">
        <v>0</v>
      </c>
      <c r="N2459" s="143">
        <v>0</v>
      </c>
      <c r="O2459" s="140">
        <v>0.18</v>
      </c>
      <c r="P2459" s="145">
        <f>(Purchase[[#This Row],[Gross Amount]]-Purchase[[#This Row],[Disct %]])*Purchase[[#This Row],[GST %]]</f>
        <v>37588.86</v>
      </c>
      <c r="Q2459" s="145">
        <f>Purchase[[#This Row],[Gross Amount]]-Purchase[[#This Row],[Disct Amnt]]+Purchase[[#This Row],[GST Amount]]</f>
        <v>246415.86</v>
      </c>
      <c r="R2459" s="138" t="s">
        <v>1019</v>
      </c>
      <c r="S2459" s="41">
        <f>IF(Purchase[[#This Row],[Status]]="Cancelled",0,Purchase[[#This Row],[Qty]])</f>
        <v>3</v>
      </c>
      <c r="T2459" s="146">
        <f>IF(Purchase[[#This Row],[Status]]="Cancelled",0,Purchase[[#This Row],[Total Amount]])</f>
        <v>246415.86</v>
      </c>
      <c r="U2459" s="146">
        <f>SUM(Purchase[Net Amount])</f>
        <v>814985438.68000126</v>
      </c>
    </row>
    <row r="2460" spans="1:21" ht="19.5" thickBot="1" x14ac:dyDescent="0.3">
      <c r="A2460" s="136" t="s">
        <v>3517</v>
      </c>
      <c r="B2460" s="137">
        <v>45779</v>
      </c>
      <c r="C2460" s="138" t="s">
        <v>579</v>
      </c>
      <c r="D2460" s="138" t="str">
        <f>VLOOKUP(Purchase[[#This Row],[Supplier ID]],Supplier[#All],2,0)</f>
        <v>Tech Traders</v>
      </c>
      <c r="E2460" s="138">
        <f>VLOOKUP(Purchase[[#This Row],[Supplier ID]],Supplier[#All],3,0)</f>
        <v>9689542463</v>
      </c>
      <c r="F2460" s="138" t="str">
        <f>VLOOKUP(Purchase[[#This Row],[Supplier ID]],Supplier[#All],4,0)</f>
        <v>Kanpur</v>
      </c>
      <c r="G2460" s="138" t="str">
        <f>VLOOKUP(Purchase[[#This Row],[Supplier ID]],Supplier[#All],5,0)</f>
        <v>UP</v>
      </c>
      <c r="H2460" s="138" t="str">
        <f>VLOOKUP(Purchase[[#This Row],[Supplier ID]],Supplier[#All],6,0)</f>
        <v>GST2154521T025</v>
      </c>
      <c r="I2460" s="138" t="s">
        <v>541</v>
      </c>
      <c r="J2460" s="139">
        <v>35</v>
      </c>
      <c r="K2460" s="143">
        <f>VLOOKUP(Purchase[[#This Row],[Product ID]],Product[#All],6,0)</f>
        <v>7106</v>
      </c>
      <c r="L2460" s="143">
        <f>Purchase[[#This Row],[Purchase Rate]]*Purchase[[#This Row],[Qty]]</f>
        <v>248710</v>
      </c>
      <c r="M2460" s="140">
        <v>0</v>
      </c>
      <c r="N2460" s="143">
        <v>0</v>
      </c>
      <c r="O2460" s="140">
        <v>0.18</v>
      </c>
      <c r="P2460" s="145">
        <f>(Purchase[[#This Row],[Gross Amount]]-Purchase[[#This Row],[Disct %]])*Purchase[[#This Row],[GST %]]</f>
        <v>44767.799999999996</v>
      </c>
      <c r="Q2460" s="145">
        <f>Purchase[[#This Row],[Gross Amount]]-Purchase[[#This Row],[Disct Amnt]]+Purchase[[#This Row],[GST Amount]]</f>
        <v>293477.8</v>
      </c>
      <c r="R2460" s="138" t="s">
        <v>1019</v>
      </c>
      <c r="S2460" s="41">
        <f>IF(Purchase[[#This Row],[Status]]="Cancelled",0,Purchase[[#This Row],[Qty]])</f>
        <v>35</v>
      </c>
      <c r="T2460" s="146">
        <f>IF(Purchase[[#This Row],[Status]]="Cancelled",0,Purchase[[#This Row],[Total Amount]])</f>
        <v>293477.8</v>
      </c>
      <c r="U2460" s="146">
        <f>SUM(Purchase[Net Amount])</f>
        <v>814985438.68000126</v>
      </c>
    </row>
    <row r="2461" spans="1:21" ht="19.5" thickBot="1" x14ac:dyDescent="0.3">
      <c r="A2461" s="136" t="s">
        <v>3518</v>
      </c>
      <c r="B2461" s="137">
        <v>45779</v>
      </c>
      <c r="C2461" s="138" t="s">
        <v>591</v>
      </c>
      <c r="D2461" s="138" t="str">
        <f>VLOOKUP(Purchase[[#This Row],[Supplier ID]],Supplier[#All],2,0)</f>
        <v>Shree Computers</v>
      </c>
      <c r="E2461" s="138">
        <f>VLOOKUP(Purchase[[#This Row],[Supplier ID]],Supplier[#All],3,0)</f>
        <v>9689542475</v>
      </c>
      <c r="F2461" s="138" t="str">
        <f>VLOOKUP(Purchase[[#This Row],[Supplier ID]],Supplier[#All],4,0)</f>
        <v>Indore</v>
      </c>
      <c r="G2461" s="138" t="str">
        <f>VLOOKUP(Purchase[[#This Row],[Supplier ID]],Supplier[#All],5,0)</f>
        <v>MP</v>
      </c>
      <c r="H2461" s="138" t="str">
        <f>VLOOKUP(Purchase[[#This Row],[Supplier ID]],Supplier[#All],6,0)</f>
        <v>GST2154521T037</v>
      </c>
      <c r="I2461" s="138" t="s">
        <v>529</v>
      </c>
      <c r="J2461" s="139">
        <v>18</v>
      </c>
      <c r="K2461" s="143">
        <f>VLOOKUP(Purchase[[#This Row],[Product ID]],Product[#All],6,0)</f>
        <v>2878</v>
      </c>
      <c r="L2461" s="143">
        <f>Purchase[[#This Row],[Purchase Rate]]*Purchase[[#This Row],[Qty]]</f>
        <v>51804</v>
      </c>
      <c r="M2461" s="140">
        <v>0</v>
      </c>
      <c r="N2461" s="143">
        <v>0</v>
      </c>
      <c r="O2461" s="140">
        <v>0.18</v>
      </c>
      <c r="P2461" s="145">
        <f>(Purchase[[#This Row],[Gross Amount]]-Purchase[[#This Row],[Disct %]])*Purchase[[#This Row],[GST %]]</f>
        <v>9324.7199999999993</v>
      </c>
      <c r="Q2461" s="145">
        <f>Purchase[[#This Row],[Gross Amount]]-Purchase[[#This Row],[Disct Amnt]]+Purchase[[#This Row],[GST Amount]]</f>
        <v>61128.72</v>
      </c>
      <c r="R2461" s="138" t="s">
        <v>1019</v>
      </c>
      <c r="S2461" s="41">
        <f>IF(Purchase[[#This Row],[Status]]="Cancelled",0,Purchase[[#This Row],[Qty]])</f>
        <v>18</v>
      </c>
      <c r="T2461" s="146">
        <f>IF(Purchase[[#This Row],[Status]]="Cancelled",0,Purchase[[#This Row],[Total Amount]])</f>
        <v>61128.72</v>
      </c>
      <c r="U2461" s="146">
        <f>SUM(Purchase[Net Amount])</f>
        <v>814985438.68000126</v>
      </c>
    </row>
    <row r="2462" spans="1:21" ht="19.5" thickBot="1" x14ac:dyDescent="0.3">
      <c r="A2462" s="136" t="s">
        <v>3519</v>
      </c>
      <c r="B2462" s="137">
        <v>45779</v>
      </c>
      <c r="C2462" s="138" t="s">
        <v>577</v>
      </c>
      <c r="D2462" s="138" t="str">
        <f>VLOOKUP(Purchase[[#This Row],[Supplier ID]],Supplier[#All],2,0)</f>
        <v>National Electronics</v>
      </c>
      <c r="E2462" s="138">
        <f>VLOOKUP(Purchase[[#This Row],[Supplier ID]],Supplier[#All],3,0)</f>
        <v>9689542469</v>
      </c>
      <c r="F2462" s="138" t="str">
        <f>VLOOKUP(Purchase[[#This Row],[Supplier ID]],Supplier[#All],4,0)</f>
        <v>Korba</v>
      </c>
      <c r="G2462" s="138" t="str">
        <f>VLOOKUP(Purchase[[#This Row],[Supplier ID]],Supplier[#All],5,0)</f>
        <v>CG</v>
      </c>
      <c r="H2462" s="138" t="str">
        <f>VLOOKUP(Purchase[[#This Row],[Supplier ID]],Supplier[#All],6,0)</f>
        <v>GST2154521T023</v>
      </c>
      <c r="I2462" s="138" t="s">
        <v>384</v>
      </c>
      <c r="J2462" s="139">
        <v>26</v>
      </c>
      <c r="K2462" s="143">
        <f>VLOOKUP(Purchase[[#This Row],[Product ID]],Product[#All],6,0)</f>
        <v>12176</v>
      </c>
      <c r="L2462" s="143">
        <f>Purchase[[#This Row],[Purchase Rate]]*Purchase[[#This Row],[Qty]]</f>
        <v>316576</v>
      </c>
      <c r="M2462" s="140">
        <v>0</v>
      </c>
      <c r="N2462" s="143">
        <v>0</v>
      </c>
      <c r="O2462" s="140">
        <v>0.18</v>
      </c>
      <c r="P2462" s="145">
        <f>(Purchase[[#This Row],[Gross Amount]]-Purchase[[#This Row],[Disct %]])*Purchase[[#This Row],[GST %]]</f>
        <v>56983.68</v>
      </c>
      <c r="Q2462" s="145">
        <f>Purchase[[#This Row],[Gross Amount]]-Purchase[[#This Row],[Disct Amnt]]+Purchase[[#This Row],[GST Amount]]</f>
        <v>373559.68</v>
      </c>
      <c r="R2462" s="138" t="s">
        <v>1019</v>
      </c>
      <c r="S2462" s="41">
        <f>IF(Purchase[[#This Row],[Status]]="Cancelled",0,Purchase[[#This Row],[Qty]])</f>
        <v>26</v>
      </c>
      <c r="T2462" s="146">
        <f>IF(Purchase[[#This Row],[Status]]="Cancelled",0,Purchase[[#This Row],[Total Amount]])</f>
        <v>373559.68</v>
      </c>
      <c r="U2462" s="146">
        <f>SUM(Purchase[Net Amount])</f>
        <v>814985438.68000126</v>
      </c>
    </row>
    <row r="2463" spans="1:21" ht="19.5" thickBot="1" x14ac:dyDescent="0.3">
      <c r="A2463" s="136" t="s">
        <v>3520</v>
      </c>
      <c r="B2463" s="137">
        <v>45779</v>
      </c>
      <c r="C2463" s="138" t="s">
        <v>588</v>
      </c>
      <c r="D2463" s="138" t="str">
        <f>VLOOKUP(Purchase[[#This Row],[Supplier ID]],Supplier[#All],2,0)</f>
        <v>Star Electronics</v>
      </c>
      <c r="E2463" s="138">
        <f>VLOOKUP(Purchase[[#This Row],[Supplier ID]],Supplier[#All],3,0)</f>
        <v>9689542472</v>
      </c>
      <c r="F2463" s="138" t="str">
        <f>VLOOKUP(Purchase[[#This Row],[Supplier ID]],Supplier[#All],4,0)</f>
        <v>Korba</v>
      </c>
      <c r="G2463" s="138" t="str">
        <f>VLOOKUP(Purchase[[#This Row],[Supplier ID]],Supplier[#All],5,0)</f>
        <v>CG</v>
      </c>
      <c r="H2463" s="138" t="str">
        <f>VLOOKUP(Purchase[[#This Row],[Supplier ID]],Supplier[#All],6,0)</f>
        <v>GST2154521T034</v>
      </c>
      <c r="I2463" s="138" t="s">
        <v>524</v>
      </c>
      <c r="J2463" s="139">
        <v>14</v>
      </c>
      <c r="K2463" s="143">
        <f>VLOOKUP(Purchase[[#This Row],[Product ID]],Product[#All],6,0)</f>
        <v>581</v>
      </c>
      <c r="L2463" s="143">
        <f>Purchase[[#This Row],[Purchase Rate]]*Purchase[[#This Row],[Qty]]</f>
        <v>8134</v>
      </c>
      <c r="M2463" s="140">
        <v>0</v>
      </c>
      <c r="N2463" s="143">
        <v>0</v>
      </c>
      <c r="O2463" s="140">
        <v>0.18</v>
      </c>
      <c r="P2463" s="145">
        <f>(Purchase[[#This Row],[Gross Amount]]-Purchase[[#This Row],[Disct %]])*Purchase[[#This Row],[GST %]]</f>
        <v>1464.12</v>
      </c>
      <c r="Q2463" s="145">
        <f>Purchase[[#This Row],[Gross Amount]]-Purchase[[#This Row],[Disct Amnt]]+Purchase[[#This Row],[GST Amount]]</f>
        <v>9598.119999999999</v>
      </c>
      <c r="R2463" s="138" t="s">
        <v>1019</v>
      </c>
      <c r="S2463" s="41">
        <f>IF(Purchase[[#This Row],[Status]]="Cancelled",0,Purchase[[#This Row],[Qty]])</f>
        <v>14</v>
      </c>
      <c r="T2463" s="146">
        <f>IF(Purchase[[#This Row],[Status]]="Cancelled",0,Purchase[[#This Row],[Total Amount]])</f>
        <v>9598.119999999999</v>
      </c>
      <c r="U2463" s="146">
        <f>SUM(Purchase[Net Amount])</f>
        <v>814985438.68000126</v>
      </c>
    </row>
    <row r="2464" spans="1:21" ht="19.5" thickBot="1" x14ac:dyDescent="0.3">
      <c r="A2464" s="136" t="s">
        <v>3521</v>
      </c>
      <c r="B2464" s="137">
        <v>45779</v>
      </c>
      <c r="C2464" s="138" t="s">
        <v>597</v>
      </c>
      <c r="D2464" s="138" t="str">
        <f>VLOOKUP(Purchase[[#This Row],[Supplier ID]],Supplier[#All],2,0)</f>
        <v>Tech Traders</v>
      </c>
      <c r="E2464" s="138">
        <f>VLOOKUP(Purchase[[#This Row],[Supplier ID]],Supplier[#All],3,0)</f>
        <v>9689542480</v>
      </c>
      <c r="F2464" s="138" t="str">
        <f>VLOOKUP(Purchase[[#This Row],[Supplier ID]],Supplier[#All],4,0)</f>
        <v>Kanpur</v>
      </c>
      <c r="G2464" s="138" t="str">
        <f>VLOOKUP(Purchase[[#This Row],[Supplier ID]],Supplier[#All],5,0)</f>
        <v>UP</v>
      </c>
      <c r="H2464" s="138" t="str">
        <f>VLOOKUP(Purchase[[#This Row],[Supplier ID]],Supplier[#All],6,0)</f>
        <v>GST2154521T042</v>
      </c>
      <c r="I2464" s="138" t="s">
        <v>431</v>
      </c>
      <c r="J2464" s="139">
        <v>3</v>
      </c>
      <c r="K2464" s="143">
        <f>VLOOKUP(Purchase[[#This Row],[Product ID]],Product[#All],6,0)</f>
        <v>14391</v>
      </c>
      <c r="L2464" s="143">
        <f>Purchase[[#This Row],[Purchase Rate]]*Purchase[[#This Row],[Qty]]</f>
        <v>43173</v>
      </c>
      <c r="M2464" s="140">
        <v>0</v>
      </c>
      <c r="N2464" s="143">
        <v>0</v>
      </c>
      <c r="O2464" s="140">
        <v>0.18</v>
      </c>
      <c r="P2464" s="145">
        <f>(Purchase[[#This Row],[Gross Amount]]-Purchase[[#This Row],[Disct %]])*Purchase[[#This Row],[GST %]]</f>
        <v>7771.1399999999994</v>
      </c>
      <c r="Q2464" s="145">
        <f>Purchase[[#This Row],[Gross Amount]]-Purchase[[#This Row],[Disct Amnt]]+Purchase[[#This Row],[GST Amount]]</f>
        <v>50944.14</v>
      </c>
      <c r="R2464" s="138" t="s">
        <v>1019</v>
      </c>
      <c r="S2464" s="41">
        <f>IF(Purchase[[#This Row],[Status]]="Cancelled",0,Purchase[[#This Row],[Qty]])</f>
        <v>3</v>
      </c>
      <c r="T2464" s="146">
        <f>IF(Purchase[[#This Row],[Status]]="Cancelled",0,Purchase[[#This Row],[Total Amount]])</f>
        <v>50944.14</v>
      </c>
      <c r="U2464" s="146">
        <f>SUM(Purchase[Net Amount])</f>
        <v>814985438.68000126</v>
      </c>
    </row>
    <row r="2465" spans="1:21" ht="19.5" thickBot="1" x14ac:dyDescent="0.3">
      <c r="A2465" s="136" t="s">
        <v>3522</v>
      </c>
      <c r="B2465" s="137">
        <v>45779</v>
      </c>
      <c r="C2465" s="138" t="s">
        <v>595</v>
      </c>
      <c r="D2465" s="138" t="str">
        <f>VLOOKUP(Purchase[[#This Row],[Supplier ID]],Supplier[#All],2,0)</f>
        <v>Star Computers</v>
      </c>
      <c r="E2465" s="138">
        <f>VLOOKUP(Purchase[[#This Row],[Supplier ID]],Supplier[#All],3,0)</f>
        <v>9689542478</v>
      </c>
      <c r="F2465" s="138" t="str">
        <f>VLOOKUP(Purchase[[#This Row],[Supplier ID]],Supplier[#All],4,0)</f>
        <v>Kanpur</v>
      </c>
      <c r="G2465" s="138" t="str">
        <f>VLOOKUP(Purchase[[#This Row],[Supplier ID]],Supplier[#All],5,0)</f>
        <v>UP</v>
      </c>
      <c r="H2465" s="138" t="str">
        <f>VLOOKUP(Purchase[[#This Row],[Supplier ID]],Supplier[#All],6,0)</f>
        <v>GST2154521T040</v>
      </c>
      <c r="I2465" s="138" t="s">
        <v>187</v>
      </c>
      <c r="J2465" s="139">
        <v>7</v>
      </c>
      <c r="K2465" s="143">
        <f>VLOOKUP(Purchase[[#This Row],[Product ID]],Product[#All],6,0)</f>
        <v>712</v>
      </c>
      <c r="L2465" s="143">
        <f>Purchase[[#This Row],[Purchase Rate]]*Purchase[[#This Row],[Qty]]</f>
        <v>4984</v>
      </c>
      <c r="M2465" s="140">
        <v>0</v>
      </c>
      <c r="N2465" s="143">
        <v>0</v>
      </c>
      <c r="O2465" s="140">
        <v>0.18</v>
      </c>
      <c r="P2465" s="145">
        <f>(Purchase[[#This Row],[Gross Amount]]-Purchase[[#This Row],[Disct %]])*Purchase[[#This Row],[GST %]]</f>
        <v>897.12</v>
      </c>
      <c r="Q2465" s="145">
        <f>Purchase[[#This Row],[Gross Amount]]-Purchase[[#This Row],[Disct Amnt]]+Purchase[[#This Row],[GST Amount]]</f>
        <v>5881.12</v>
      </c>
      <c r="R2465" s="138" t="s">
        <v>1019</v>
      </c>
      <c r="S2465" s="41">
        <f>IF(Purchase[[#This Row],[Status]]="Cancelled",0,Purchase[[#This Row],[Qty]])</f>
        <v>7</v>
      </c>
      <c r="T2465" s="146">
        <f>IF(Purchase[[#This Row],[Status]]="Cancelled",0,Purchase[[#This Row],[Total Amount]])</f>
        <v>5881.12</v>
      </c>
      <c r="U2465" s="146">
        <f>SUM(Purchase[Net Amount])</f>
        <v>814985438.68000126</v>
      </c>
    </row>
    <row r="2466" spans="1:21" ht="19.5" thickBot="1" x14ac:dyDescent="0.3">
      <c r="A2466" s="136" t="s">
        <v>3523</v>
      </c>
      <c r="B2466" s="137">
        <v>45779</v>
      </c>
      <c r="C2466" s="138" t="s">
        <v>565</v>
      </c>
      <c r="D2466" s="138" t="str">
        <f>VLOOKUP(Purchase[[#This Row],[Supplier ID]],Supplier[#All],2,0)</f>
        <v>Global Suppliers</v>
      </c>
      <c r="E2466" s="138">
        <f>VLOOKUP(Purchase[[#This Row],[Supplier ID]],Supplier[#All],3,0)</f>
        <v>9689542459</v>
      </c>
      <c r="F2466" s="138" t="str">
        <f>VLOOKUP(Purchase[[#This Row],[Supplier ID]],Supplier[#All],4,0)</f>
        <v>Indore</v>
      </c>
      <c r="G2466" s="138" t="str">
        <f>VLOOKUP(Purchase[[#This Row],[Supplier ID]],Supplier[#All],5,0)</f>
        <v>MP</v>
      </c>
      <c r="H2466" s="138" t="str">
        <f>VLOOKUP(Purchase[[#This Row],[Supplier ID]],Supplier[#All],6,0)</f>
        <v>GST2154521T013</v>
      </c>
      <c r="I2466" s="138" t="s">
        <v>28</v>
      </c>
      <c r="J2466" s="139">
        <v>25</v>
      </c>
      <c r="K2466" s="143">
        <f>VLOOKUP(Purchase[[#This Row],[Product ID]],Product[#All],6,0)</f>
        <v>68618</v>
      </c>
      <c r="L2466" s="143">
        <f>Purchase[[#This Row],[Purchase Rate]]*Purchase[[#This Row],[Qty]]</f>
        <v>1715450</v>
      </c>
      <c r="M2466" s="140">
        <v>0</v>
      </c>
      <c r="N2466" s="143">
        <v>0</v>
      </c>
      <c r="O2466" s="140">
        <v>0.18</v>
      </c>
      <c r="P2466" s="145">
        <f>(Purchase[[#This Row],[Gross Amount]]-Purchase[[#This Row],[Disct %]])*Purchase[[#This Row],[GST %]]</f>
        <v>308781</v>
      </c>
      <c r="Q2466" s="145">
        <f>Purchase[[#This Row],[Gross Amount]]-Purchase[[#This Row],[Disct Amnt]]+Purchase[[#This Row],[GST Amount]]</f>
        <v>2024231</v>
      </c>
      <c r="R2466" s="138" t="s">
        <v>1019</v>
      </c>
      <c r="S2466" s="41">
        <f>IF(Purchase[[#This Row],[Status]]="Cancelled",0,Purchase[[#This Row],[Qty]])</f>
        <v>25</v>
      </c>
      <c r="T2466" s="146">
        <f>IF(Purchase[[#This Row],[Status]]="Cancelled",0,Purchase[[#This Row],[Total Amount]])</f>
        <v>2024231</v>
      </c>
      <c r="U2466" s="146">
        <f>SUM(Purchase[Net Amount])</f>
        <v>814985438.68000126</v>
      </c>
    </row>
    <row r="2467" spans="1:21" ht="19.5" thickBot="1" x14ac:dyDescent="0.3">
      <c r="A2467" s="136" t="s">
        <v>3524</v>
      </c>
      <c r="B2467" s="137">
        <v>45779</v>
      </c>
      <c r="C2467" s="138" t="s">
        <v>577</v>
      </c>
      <c r="D2467" s="138" t="str">
        <f>VLOOKUP(Purchase[[#This Row],[Supplier ID]],Supplier[#All],2,0)</f>
        <v>National Electronics</v>
      </c>
      <c r="E2467" s="138">
        <f>VLOOKUP(Purchase[[#This Row],[Supplier ID]],Supplier[#All],3,0)</f>
        <v>9689542469</v>
      </c>
      <c r="F2467" s="138" t="str">
        <f>VLOOKUP(Purchase[[#This Row],[Supplier ID]],Supplier[#All],4,0)</f>
        <v>Korba</v>
      </c>
      <c r="G2467" s="138" t="str">
        <f>VLOOKUP(Purchase[[#This Row],[Supplier ID]],Supplier[#All],5,0)</f>
        <v>CG</v>
      </c>
      <c r="H2467" s="138" t="str">
        <f>VLOOKUP(Purchase[[#This Row],[Supplier ID]],Supplier[#All],6,0)</f>
        <v>GST2154521T023</v>
      </c>
      <c r="I2467" s="138" t="s">
        <v>197</v>
      </c>
      <c r="J2467" s="139">
        <v>30</v>
      </c>
      <c r="K2467" s="143">
        <f>VLOOKUP(Purchase[[#This Row],[Product ID]],Product[#All],6,0)</f>
        <v>12461</v>
      </c>
      <c r="L2467" s="143">
        <f>Purchase[[#This Row],[Purchase Rate]]*Purchase[[#This Row],[Qty]]</f>
        <v>373830</v>
      </c>
      <c r="M2467" s="140">
        <v>0</v>
      </c>
      <c r="N2467" s="143">
        <v>0</v>
      </c>
      <c r="O2467" s="140">
        <v>0.18</v>
      </c>
      <c r="P2467" s="145">
        <f>(Purchase[[#This Row],[Gross Amount]]-Purchase[[#This Row],[Disct %]])*Purchase[[#This Row],[GST %]]</f>
        <v>67289.399999999994</v>
      </c>
      <c r="Q2467" s="145">
        <f>Purchase[[#This Row],[Gross Amount]]-Purchase[[#This Row],[Disct Amnt]]+Purchase[[#This Row],[GST Amount]]</f>
        <v>441119.4</v>
      </c>
      <c r="R2467" s="138" t="s">
        <v>1019</v>
      </c>
      <c r="S2467" s="41">
        <f>IF(Purchase[[#This Row],[Status]]="Cancelled",0,Purchase[[#This Row],[Qty]])</f>
        <v>30</v>
      </c>
      <c r="T2467" s="146">
        <f>IF(Purchase[[#This Row],[Status]]="Cancelled",0,Purchase[[#This Row],[Total Amount]])</f>
        <v>441119.4</v>
      </c>
      <c r="U2467" s="146">
        <f>SUM(Purchase[Net Amount])</f>
        <v>814985438.68000126</v>
      </c>
    </row>
    <row r="2468" spans="1:21" ht="19.5" thickBot="1" x14ac:dyDescent="0.3">
      <c r="A2468" s="136" t="s">
        <v>3525</v>
      </c>
      <c r="B2468" s="137">
        <v>45779</v>
      </c>
      <c r="C2468" s="138" t="s">
        <v>581</v>
      </c>
      <c r="D2468" s="138" t="str">
        <f>VLOOKUP(Purchase[[#This Row],[Supplier ID]],Supplier[#All],2,0)</f>
        <v>Prime Electronics</v>
      </c>
      <c r="E2468" s="138">
        <f>VLOOKUP(Purchase[[#This Row],[Supplier ID]],Supplier[#All],3,0)</f>
        <v>9689542465</v>
      </c>
      <c r="F2468" s="138" t="str">
        <f>VLOOKUP(Purchase[[#This Row],[Supplier ID]],Supplier[#All],4,0)</f>
        <v>Korba</v>
      </c>
      <c r="G2468" s="138" t="str">
        <f>VLOOKUP(Purchase[[#This Row],[Supplier ID]],Supplier[#All],5,0)</f>
        <v>CG</v>
      </c>
      <c r="H2468" s="138" t="str">
        <f>VLOOKUP(Purchase[[#This Row],[Supplier ID]],Supplier[#All],6,0)</f>
        <v>GST2154521T027</v>
      </c>
      <c r="I2468" s="138" t="s">
        <v>515</v>
      </c>
      <c r="J2468" s="139">
        <v>9</v>
      </c>
      <c r="K2468" s="143">
        <f>VLOOKUP(Purchase[[#This Row],[Product ID]],Product[#All],6,0)</f>
        <v>2141</v>
      </c>
      <c r="L2468" s="143">
        <f>Purchase[[#This Row],[Purchase Rate]]*Purchase[[#This Row],[Qty]]</f>
        <v>19269</v>
      </c>
      <c r="M2468" s="140">
        <v>0</v>
      </c>
      <c r="N2468" s="143">
        <v>0</v>
      </c>
      <c r="O2468" s="140">
        <v>0.18</v>
      </c>
      <c r="P2468" s="145">
        <f>(Purchase[[#This Row],[Gross Amount]]-Purchase[[#This Row],[Disct %]])*Purchase[[#This Row],[GST %]]</f>
        <v>3468.42</v>
      </c>
      <c r="Q2468" s="145">
        <f>Purchase[[#This Row],[Gross Amount]]-Purchase[[#This Row],[Disct Amnt]]+Purchase[[#This Row],[GST Amount]]</f>
        <v>22737.42</v>
      </c>
      <c r="R2468" s="138" t="s">
        <v>1019</v>
      </c>
      <c r="S2468" s="41">
        <f>IF(Purchase[[#This Row],[Status]]="Cancelled",0,Purchase[[#This Row],[Qty]])</f>
        <v>9</v>
      </c>
      <c r="T2468" s="146">
        <f>IF(Purchase[[#This Row],[Status]]="Cancelled",0,Purchase[[#This Row],[Total Amount]])</f>
        <v>22737.42</v>
      </c>
      <c r="U2468" s="146">
        <f>SUM(Purchase[Net Amount])</f>
        <v>814985438.68000126</v>
      </c>
    </row>
    <row r="2469" spans="1:21" ht="19.5" thickBot="1" x14ac:dyDescent="0.3">
      <c r="A2469" s="136" t="s">
        <v>3526</v>
      </c>
      <c r="B2469" s="137">
        <v>45780</v>
      </c>
      <c r="C2469" s="138" t="s">
        <v>593</v>
      </c>
      <c r="D2469" s="138" t="str">
        <f>VLOOKUP(Purchase[[#This Row],[Supplier ID]],Supplier[#All],2,0)</f>
        <v>Global Suppliers</v>
      </c>
      <c r="E2469" s="138">
        <f>VLOOKUP(Purchase[[#This Row],[Supplier ID]],Supplier[#All],3,0)</f>
        <v>9689542476</v>
      </c>
      <c r="F2469" s="138" t="str">
        <f>VLOOKUP(Purchase[[#This Row],[Supplier ID]],Supplier[#All],4,0)</f>
        <v>Korba</v>
      </c>
      <c r="G2469" s="138" t="str">
        <f>VLOOKUP(Purchase[[#This Row],[Supplier ID]],Supplier[#All],5,0)</f>
        <v>CG</v>
      </c>
      <c r="H2469" s="138" t="str">
        <f>VLOOKUP(Purchase[[#This Row],[Supplier ID]],Supplier[#All],6,0)</f>
        <v>GST2154521T038</v>
      </c>
      <c r="I2469" s="138" t="s">
        <v>400</v>
      </c>
      <c r="J2469" s="139">
        <v>11</v>
      </c>
      <c r="K2469" s="143">
        <f>VLOOKUP(Purchase[[#This Row],[Product ID]],Product[#All],6,0)</f>
        <v>1065</v>
      </c>
      <c r="L2469" s="143">
        <f>Purchase[[#This Row],[Purchase Rate]]*Purchase[[#This Row],[Qty]]</f>
        <v>11715</v>
      </c>
      <c r="M2469" s="140">
        <v>0</v>
      </c>
      <c r="N2469" s="143">
        <v>0</v>
      </c>
      <c r="O2469" s="140">
        <v>0.18</v>
      </c>
      <c r="P2469" s="145">
        <f>(Purchase[[#This Row],[Gross Amount]]-Purchase[[#This Row],[Disct %]])*Purchase[[#This Row],[GST %]]</f>
        <v>2108.6999999999998</v>
      </c>
      <c r="Q2469" s="145">
        <f>Purchase[[#This Row],[Gross Amount]]-Purchase[[#This Row],[Disct Amnt]]+Purchase[[#This Row],[GST Amount]]</f>
        <v>13823.7</v>
      </c>
      <c r="R2469" s="138" t="s">
        <v>1019</v>
      </c>
      <c r="S2469" s="41">
        <f>IF(Purchase[[#This Row],[Status]]="Cancelled",0,Purchase[[#This Row],[Qty]])</f>
        <v>11</v>
      </c>
      <c r="T2469" s="146">
        <f>IF(Purchase[[#This Row],[Status]]="Cancelled",0,Purchase[[#This Row],[Total Amount]])</f>
        <v>13823.7</v>
      </c>
      <c r="U2469" s="146">
        <f>SUM(Purchase[Net Amount])</f>
        <v>814985438.68000126</v>
      </c>
    </row>
    <row r="2470" spans="1:21" ht="19.5" thickBot="1" x14ac:dyDescent="0.3">
      <c r="A2470" s="136" t="s">
        <v>3527</v>
      </c>
      <c r="B2470" s="137">
        <v>45780</v>
      </c>
      <c r="C2470" s="138" t="s">
        <v>575</v>
      </c>
      <c r="D2470" s="138" t="str">
        <f>VLOOKUP(Purchase[[#This Row],[Supplier ID]],Supplier[#All],2,0)</f>
        <v>Global Computers</v>
      </c>
      <c r="E2470" s="138">
        <f>VLOOKUP(Purchase[[#This Row],[Supplier ID]],Supplier[#All],3,0)</f>
        <v>9689542459</v>
      </c>
      <c r="F2470" s="138" t="str">
        <f>VLOOKUP(Purchase[[#This Row],[Supplier ID]],Supplier[#All],4,0)</f>
        <v>Indore</v>
      </c>
      <c r="G2470" s="138" t="str">
        <f>VLOOKUP(Purchase[[#This Row],[Supplier ID]],Supplier[#All],5,0)</f>
        <v>MP</v>
      </c>
      <c r="H2470" s="138" t="str">
        <f>VLOOKUP(Purchase[[#This Row],[Supplier ID]],Supplier[#All],6,0)</f>
        <v>GST2154521T021</v>
      </c>
      <c r="I2470" s="138" t="s">
        <v>363</v>
      </c>
      <c r="J2470" s="139">
        <v>9</v>
      </c>
      <c r="K2470" s="143">
        <f>VLOOKUP(Purchase[[#This Row],[Product ID]],Product[#All],6,0)</f>
        <v>30731</v>
      </c>
      <c r="L2470" s="143">
        <f>Purchase[[#This Row],[Purchase Rate]]*Purchase[[#This Row],[Qty]]</f>
        <v>276579</v>
      </c>
      <c r="M2470" s="140">
        <v>0</v>
      </c>
      <c r="N2470" s="143">
        <v>0</v>
      </c>
      <c r="O2470" s="140">
        <v>0.18</v>
      </c>
      <c r="P2470" s="145">
        <f>(Purchase[[#This Row],[Gross Amount]]-Purchase[[#This Row],[Disct %]])*Purchase[[#This Row],[GST %]]</f>
        <v>49784.22</v>
      </c>
      <c r="Q2470" s="145">
        <f>Purchase[[#This Row],[Gross Amount]]-Purchase[[#This Row],[Disct Amnt]]+Purchase[[#This Row],[GST Amount]]</f>
        <v>326363.21999999997</v>
      </c>
      <c r="R2470" s="138" t="s">
        <v>1019</v>
      </c>
      <c r="S2470" s="41">
        <f>IF(Purchase[[#This Row],[Status]]="Cancelled",0,Purchase[[#This Row],[Qty]])</f>
        <v>9</v>
      </c>
      <c r="T2470" s="146">
        <f>IF(Purchase[[#This Row],[Status]]="Cancelled",0,Purchase[[#This Row],[Total Amount]])</f>
        <v>326363.21999999997</v>
      </c>
      <c r="U2470" s="146">
        <f>SUM(Purchase[Net Amount])</f>
        <v>814985438.68000126</v>
      </c>
    </row>
    <row r="2471" spans="1:21" ht="19.5" thickBot="1" x14ac:dyDescent="0.3">
      <c r="A2471" s="136" t="s">
        <v>3528</v>
      </c>
      <c r="B2471" s="137">
        <v>45780</v>
      </c>
      <c r="C2471" s="138" t="s">
        <v>612</v>
      </c>
      <c r="D2471" s="138" t="str">
        <f>VLOOKUP(Purchase[[#This Row],[Supplier ID]],Supplier[#All],2,0)</f>
        <v>National Computers</v>
      </c>
      <c r="E2471" s="138">
        <f>VLOOKUP(Purchase[[#This Row],[Supplier ID]],Supplier[#All],3,0)</f>
        <v>9689542495</v>
      </c>
      <c r="F2471" s="138" t="str">
        <f>VLOOKUP(Purchase[[#This Row],[Supplier ID]],Supplier[#All],4,0)</f>
        <v>Indore</v>
      </c>
      <c r="G2471" s="138" t="str">
        <f>VLOOKUP(Purchase[[#This Row],[Supplier ID]],Supplier[#All],5,0)</f>
        <v>MP</v>
      </c>
      <c r="H2471" s="138" t="str">
        <f>VLOOKUP(Purchase[[#This Row],[Supplier ID]],Supplier[#All],6,0)</f>
        <v>GST2154521T057</v>
      </c>
      <c r="I2471" s="138" t="s">
        <v>120</v>
      </c>
      <c r="J2471" s="139">
        <v>30</v>
      </c>
      <c r="K2471" s="143">
        <f>VLOOKUP(Purchase[[#This Row],[Product ID]],Product[#All],6,0)</f>
        <v>5465</v>
      </c>
      <c r="L2471" s="143">
        <f>Purchase[[#This Row],[Purchase Rate]]*Purchase[[#This Row],[Qty]]</f>
        <v>163950</v>
      </c>
      <c r="M2471" s="140">
        <v>0</v>
      </c>
      <c r="N2471" s="143">
        <v>0</v>
      </c>
      <c r="O2471" s="140">
        <v>0.18</v>
      </c>
      <c r="P2471" s="145">
        <f>(Purchase[[#This Row],[Gross Amount]]-Purchase[[#This Row],[Disct %]])*Purchase[[#This Row],[GST %]]</f>
        <v>29511</v>
      </c>
      <c r="Q2471" s="145">
        <f>Purchase[[#This Row],[Gross Amount]]-Purchase[[#This Row],[Disct Amnt]]+Purchase[[#This Row],[GST Amount]]</f>
        <v>193461</v>
      </c>
      <c r="R2471" s="138" t="s">
        <v>1019</v>
      </c>
      <c r="S2471" s="41">
        <f>IF(Purchase[[#This Row],[Status]]="Cancelled",0,Purchase[[#This Row],[Qty]])</f>
        <v>30</v>
      </c>
      <c r="T2471" s="146">
        <f>IF(Purchase[[#This Row],[Status]]="Cancelled",0,Purchase[[#This Row],[Total Amount]])</f>
        <v>193461</v>
      </c>
      <c r="U2471" s="146">
        <f>SUM(Purchase[Net Amount])</f>
        <v>814985438.68000126</v>
      </c>
    </row>
    <row r="2472" spans="1:21" ht="19.5" thickBot="1" x14ac:dyDescent="0.3">
      <c r="A2472" s="136" t="s">
        <v>3529</v>
      </c>
      <c r="B2472" s="137">
        <v>45780</v>
      </c>
      <c r="C2472" s="138" t="s">
        <v>611</v>
      </c>
      <c r="D2472" s="138" t="str">
        <f>VLOOKUP(Purchase[[#This Row],[Supplier ID]],Supplier[#All],2,0)</f>
        <v>National Distributors</v>
      </c>
      <c r="E2472" s="138">
        <f>VLOOKUP(Purchase[[#This Row],[Supplier ID]],Supplier[#All],3,0)</f>
        <v>9689542494</v>
      </c>
      <c r="F2472" s="138" t="str">
        <f>VLOOKUP(Purchase[[#This Row],[Supplier ID]],Supplier[#All],4,0)</f>
        <v>Korba</v>
      </c>
      <c r="G2472" s="138" t="str">
        <f>VLOOKUP(Purchase[[#This Row],[Supplier ID]],Supplier[#All],5,0)</f>
        <v>CG</v>
      </c>
      <c r="H2472" s="138" t="str">
        <f>VLOOKUP(Purchase[[#This Row],[Supplier ID]],Supplier[#All],6,0)</f>
        <v>GST2154521T056</v>
      </c>
      <c r="I2472" s="138" t="s">
        <v>436</v>
      </c>
      <c r="J2472" s="139">
        <v>10</v>
      </c>
      <c r="K2472" s="143">
        <f>VLOOKUP(Purchase[[#This Row],[Product ID]],Product[#All],6,0)</f>
        <v>732</v>
      </c>
      <c r="L2472" s="143">
        <f>Purchase[[#This Row],[Purchase Rate]]*Purchase[[#This Row],[Qty]]</f>
        <v>7320</v>
      </c>
      <c r="M2472" s="140">
        <v>0</v>
      </c>
      <c r="N2472" s="143">
        <v>0</v>
      </c>
      <c r="O2472" s="140">
        <v>0.18</v>
      </c>
      <c r="P2472" s="145">
        <f>(Purchase[[#This Row],[Gross Amount]]-Purchase[[#This Row],[Disct %]])*Purchase[[#This Row],[GST %]]</f>
        <v>1317.6</v>
      </c>
      <c r="Q2472" s="145">
        <f>Purchase[[#This Row],[Gross Amount]]-Purchase[[#This Row],[Disct Amnt]]+Purchase[[#This Row],[GST Amount]]</f>
        <v>8637.6</v>
      </c>
      <c r="R2472" s="138" t="s">
        <v>1019</v>
      </c>
      <c r="S2472" s="41">
        <f>IF(Purchase[[#This Row],[Status]]="Cancelled",0,Purchase[[#This Row],[Qty]])</f>
        <v>10</v>
      </c>
      <c r="T2472" s="146">
        <f>IF(Purchase[[#This Row],[Status]]="Cancelled",0,Purchase[[#This Row],[Total Amount]])</f>
        <v>8637.6</v>
      </c>
      <c r="U2472" s="146">
        <f>SUM(Purchase[Net Amount])</f>
        <v>814985438.68000126</v>
      </c>
    </row>
    <row r="2473" spans="1:21" ht="19.5" thickBot="1" x14ac:dyDescent="0.3">
      <c r="A2473" s="136" t="s">
        <v>3530</v>
      </c>
      <c r="B2473" s="137">
        <v>45780</v>
      </c>
      <c r="C2473" s="138" t="s">
        <v>591</v>
      </c>
      <c r="D2473" s="138" t="str">
        <f>VLOOKUP(Purchase[[#This Row],[Supplier ID]],Supplier[#All],2,0)</f>
        <v>Shree Computers</v>
      </c>
      <c r="E2473" s="138">
        <f>VLOOKUP(Purchase[[#This Row],[Supplier ID]],Supplier[#All],3,0)</f>
        <v>9689542475</v>
      </c>
      <c r="F2473" s="138" t="str">
        <f>VLOOKUP(Purchase[[#This Row],[Supplier ID]],Supplier[#All],4,0)</f>
        <v>Indore</v>
      </c>
      <c r="G2473" s="138" t="str">
        <f>VLOOKUP(Purchase[[#This Row],[Supplier ID]],Supplier[#All],5,0)</f>
        <v>MP</v>
      </c>
      <c r="H2473" s="138" t="str">
        <f>VLOOKUP(Purchase[[#This Row],[Supplier ID]],Supplier[#All],6,0)</f>
        <v>GST2154521T037</v>
      </c>
      <c r="I2473" s="138" t="s">
        <v>287</v>
      </c>
      <c r="J2473" s="139">
        <v>17</v>
      </c>
      <c r="K2473" s="143">
        <f>VLOOKUP(Purchase[[#This Row],[Product ID]],Product[#All],6,0)</f>
        <v>1803</v>
      </c>
      <c r="L2473" s="143">
        <f>Purchase[[#This Row],[Purchase Rate]]*Purchase[[#This Row],[Qty]]</f>
        <v>30651</v>
      </c>
      <c r="M2473" s="140">
        <v>0</v>
      </c>
      <c r="N2473" s="143">
        <v>0</v>
      </c>
      <c r="O2473" s="140">
        <v>0.18</v>
      </c>
      <c r="P2473" s="145">
        <f>(Purchase[[#This Row],[Gross Amount]]-Purchase[[#This Row],[Disct %]])*Purchase[[#This Row],[GST %]]</f>
        <v>5517.1799999999994</v>
      </c>
      <c r="Q2473" s="145">
        <f>Purchase[[#This Row],[Gross Amount]]-Purchase[[#This Row],[Disct Amnt]]+Purchase[[#This Row],[GST Amount]]</f>
        <v>36168.18</v>
      </c>
      <c r="R2473" s="138" t="s">
        <v>1019</v>
      </c>
      <c r="S2473" s="41">
        <f>IF(Purchase[[#This Row],[Status]]="Cancelled",0,Purchase[[#This Row],[Qty]])</f>
        <v>17</v>
      </c>
      <c r="T2473" s="146">
        <f>IF(Purchase[[#This Row],[Status]]="Cancelled",0,Purchase[[#This Row],[Total Amount]])</f>
        <v>36168.18</v>
      </c>
      <c r="U2473" s="146">
        <f>SUM(Purchase[Net Amount])</f>
        <v>814985438.68000126</v>
      </c>
    </row>
    <row r="2474" spans="1:21" ht="19.5" thickBot="1" x14ac:dyDescent="0.3">
      <c r="A2474" s="136" t="s">
        <v>3531</v>
      </c>
      <c r="B2474" s="137">
        <v>45780</v>
      </c>
      <c r="C2474" s="138" t="s">
        <v>585</v>
      </c>
      <c r="D2474" s="138" t="str">
        <f>VLOOKUP(Purchase[[#This Row],[Supplier ID]],Supplier[#All],2,0)</f>
        <v>Tech Computers</v>
      </c>
      <c r="E2474" s="138">
        <f>VLOOKUP(Purchase[[#This Row],[Supplier ID]],Supplier[#All],3,0)</f>
        <v>9689542469</v>
      </c>
      <c r="F2474" s="138" t="str">
        <f>VLOOKUP(Purchase[[#This Row],[Supplier ID]],Supplier[#All],4,0)</f>
        <v>Korba</v>
      </c>
      <c r="G2474" s="138" t="str">
        <f>VLOOKUP(Purchase[[#This Row],[Supplier ID]],Supplier[#All],5,0)</f>
        <v>CG</v>
      </c>
      <c r="H2474" s="138" t="str">
        <f>VLOOKUP(Purchase[[#This Row],[Supplier ID]],Supplier[#All],6,0)</f>
        <v>GST2154521T031</v>
      </c>
      <c r="I2474" s="138" t="s">
        <v>487</v>
      </c>
      <c r="J2474" s="139">
        <v>40</v>
      </c>
      <c r="K2474" s="143">
        <f>VLOOKUP(Purchase[[#This Row],[Product ID]],Product[#All],6,0)</f>
        <v>558</v>
      </c>
      <c r="L2474" s="143">
        <f>Purchase[[#This Row],[Purchase Rate]]*Purchase[[#This Row],[Qty]]</f>
        <v>22320</v>
      </c>
      <c r="M2474" s="140">
        <v>0</v>
      </c>
      <c r="N2474" s="143">
        <v>0</v>
      </c>
      <c r="O2474" s="140">
        <v>0.18</v>
      </c>
      <c r="P2474" s="145">
        <f>(Purchase[[#This Row],[Gross Amount]]-Purchase[[#This Row],[Disct %]])*Purchase[[#This Row],[GST %]]</f>
        <v>4017.6</v>
      </c>
      <c r="Q2474" s="145">
        <f>Purchase[[#This Row],[Gross Amount]]-Purchase[[#This Row],[Disct Amnt]]+Purchase[[#This Row],[GST Amount]]</f>
        <v>26337.599999999999</v>
      </c>
      <c r="R2474" s="138" t="s">
        <v>1019</v>
      </c>
      <c r="S2474" s="41">
        <f>IF(Purchase[[#This Row],[Status]]="Cancelled",0,Purchase[[#This Row],[Qty]])</f>
        <v>40</v>
      </c>
      <c r="T2474" s="146">
        <f>IF(Purchase[[#This Row],[Status]]="Cancelled",0,Purchase[[#This Row],[Total Amount]])</f>
        <v>26337.599999999999</v>
      </c>
      <c r="U2474" s="146">
        <f>SUM(Purchase[Net Amount])</f>
        <v>814985438.68000126</v>
      </c>
    </row>
    <row r="2475" spans="1:21" ht="19.5" thickBot="1" x14ac:dyDescent="0.3">
      <c r="A2475" s="136" t="s">
        <v>3532</v>
      </c>
      <c r="B2475" s="137">
        <v>45780</v>
      </c>
      <c r="C2475" s="138" t="s">
        <v>614</v>
      </c>
      <c r="D2475" s="138" t="str">
        <f>VLOOKUP(Purchase[[#This Row],[Supplier ID]],Supplier[#All],2,0)</f>
        <v>National Electronics</v>
      </c>
      <c r="E2475" s="138">
        <f>VLOOKUP(Purchase[[#This Row],[Supplier ID]],Supplier[#All],3,0)</f>
        <v>9689542497</v>
      </c>
      <c r="F2475" s="138" t="str">
        <f>VLOOKUP(Purchase[[#This Row],[Supplier ID]],Supplier[#All],4,0)</f>
        <v>Kanpur</v>
      </c>
      <c r="G2475" s="138" t="str">
        <f>VLOOKUP(Purchase[[#This Row],[Supplier ID]],Supplier[#All],5,0)</f>
        <v>UP</v>
      </c>
      <c r="H2475" s="138" t="str">
        <f>VLOOKUP(Purchase[[#This Row],[Supplier ID]],Supplier[#All],6,0)</f>
        <v>GST2154521T059</v>
      </c>
      <c r="I2475" s="138" t="s">
        <v>350</v>
      </c>
      <c r="J2475" s="139">
        <v>32</v>
      </c>
      <c r="K2475" s="143">
        <f>VLOOKUP(Purchase[[#This Row],[Product ID]],Product[#All],6,0)</f>
        <v>14913</v>
      </c>
      <c r="L2475" s="143">
        <f>Purchase[[#This Row],[Purchase Rate]]*Purchase[[#This Row],[Qty]]</f>
        <v>477216</v>
      </c>
      <c r="M2475" s="140">
        <v>0</v>
      </c>
      <c r="N2475" s="143">
        <v>0</v>
      </c>
      <c r="O2475" s="140">
        <v>0.18</v>
      </c>
      <c r="P2475" s="145">
        <f>(Purchase[[#This Row],[Gross Amount]]-Purchase[[#This Row],[Disct %]])*Purchase[[#This Row],[GST %]]</f>
        <v>85898.87999999999</v>
      </c>
      <c r="Q2475" s="145">
        <f>Purchase[[#This Row],[Gross Amount]]-Purchase[[#This Row],[Disct Amnt]]+Purchase[[#This Row],[GST Amount]]</f>
        <v>563114.88</v>
      </c>
      <c r="R2475" s="138" t="s">
        <v>1019</v>
      </c>
      <c r="S2475" s="41">
        <f>IF(Purchase[[#This Row],[Status]]="Cancelled",0,Purchase[[#This Row],[Qty]])</f>
        <v>32</v>
      </c>
      <c r="T2475" s="146">
        <f>IF(Purchase[[#This Row],[Status]]="Cancelled",0,Purchase[[#This Row],[Total Amount]])</f>
        <v>563114.88</v>
      </c>
      <c r="U2475" s="146">
        <f>SUM(Purchase[Net Amount])</f>
        <v>814985438.68000126</v>
      </c>
    </row>
    <row r="2476" spans="1:21" ht="19.5" thickBot="1" x14ac:dyDescent="0.3">
      <c r="A2476" s="136" t="s">
        <v>3533</v>
      </c>
      <c r="B2476" s="137">
        <v>45780</v>
      </c>
      <c r="C2476" s="138" t="s">
        <v>612</v>
      </c>
      <c r="D2476" s="138" t="str">
        <f>VLOOKUP(Purchase[[#This Row],[Supplier ID]],Supplier[#All],2,0)</f>
        <v>National Computers</v>
      </c>
      <c r="E2476" s="138">
        <f>VLOOKUP(Purchase[[#This Row],[Supplier ID]],Supplier[#All],3,0)</f>
        <v>9689542495</v>
      </c>
      <c r="F2476" s="138" t="str">
        <f>VLOOKUP(Purchase[[#This Row],[Supplier ID]],Supplier[#All],4,0)</f>
        <v>Indore</v>
      </c>
      <c r="G2476" s="138" t="str">
        <f>VLOOKUP(Purchase[[#This Row],[Supplier ID]],Supplier[#All],5,0)</f>
        <v>MP</v>
      </c>
      <c r="H2476" s="138" t="str">
        <f>VLOOKUP(Purchase[[#This Row],[Supplier ID]],Supplier[#All],6,0)</f>
        <v>GST2154521T057</v>
      </c>
      <c r="I2476" s="138" t="s">
        <v>414</v>
      </c>
      <c r="J2476" s="139">
        <v>35</v>
      </c>
      <c r="K2476" s="143">
        <f>VLOOKUP(Purchase[[#This Row],[Product ID]],Product[#All],6,0)</f>
        <v>1695</v>
      </c>
      <c r="L2476" s="143">
        <f>Purchase[[#This Row],[Purchase Rate]]*Purchase[[#This Row],[Qty]]</f>
        <v>59325</v>
      </c>
      <c r="M2476" s="140">
        <v>0</v>
      </c>
      <c r="N2476" s="143">
        <v>0</v>
      </c>
      <c r="O2476" s="140">
        <v>0.18</v>
      </c>
      <c r="P2476" s="145">
        <f>(Purchase[[#This Row],[Gross Amount]]-Purchase[[#This Row],[Disct %]])*Purchase[[#This Row],[GST %]]</f>
        <v>10678.5</v>
      </c>
      <c r="Q2476" s="145">
        <f>Purchase[[#This Row],[Gross Amount]]-Purchase[[#This Row],[Disct Amnt]]+Purchase[[#This Row],[GST Amount]]</f>
        <v>70003.5</v>
      </c>
      <c r="R2476" s="138" t="s">
        <v>1019</v>
      </c>
      <c r="S2476" s="41">
        <f>IF(Purchase[[#This Row],[Status]]="Cancelled",0,Purchase[[#This Row],[Qty]])</f>
        <v>35</v>
      </c>
      <c r="T2476" s="146">
        <f>IF(Purchase[[#This Row],[Status]]="Cancelled",0,Purchase[[#This Row],[Total Amount]])</f>
        <v>70003.5</v>
      </c>
      <c r="U2476" s="146">
        <f>SUM(Purchase[Net Amount])</f>
        <v>814985438.68000126</v>
      </c>
    </row>
    <row r="2477" spans="1:21" ht="19.5" thickBot="1" x14ac:dyDescent="0.3">
      <c r="A2477" s="136" t="s">
        <v>3534</v>
      </c>
      <c r="B2477" s="137">
        <v>45780</v>
      </c>
      <c r="C2477" s="138" t="s">
        <v>601</v>
      </c>
      <c r="D2477" s="138" t="str">
        <f>VLOOKUP(Purchase[[#This Row],[Supplier ID]],Supplier[#All],2,0)</f>
        <v>Maa Distributors</v>
      </c>
      <c r="E2477" s="138">
        <f>VLOOKUP(Purchase[[#This Row],[Supplier ID]],Supplier[#All],3,0)</f>
        <v>9689542484</v>
      </c>
      <c r="F2477" s="138" t="str">
        <f>VLOOKUP(Purchase[[#This Row],[Supplier ID]],Supplier[#All],4,0)</f>
        <v>Indore</v>
      </c>
      <c r="G2477" s="138" t="str">
        <f>VLOOKUP(Purchase[[#This Row],[Supplier ID]],Supplier[#All],5,0)</f>
        <v>MP</v>
      </c>
      <c r="H2477" s="138" t="str">
        <f>VLOOKUP(Purchase[[#This Row],[Supplier ID]],Supplier[#All],6,0)</f>
        <v>GST2154521T046</v>
      </c>
      <c r="I2477" s="138" t="s">
        <v>296</v>
      </c>
      <c r="J2477" s="139">
        <v>25</v>
      </c>
      <c r="K2477" s="143">
        <f>VLOOKUP(Purchase[[#This Row],[Product ID]],Product[#All],6,0)</f>
        <v>4747</v>
      </c>
      <c r="L2477" s="143">
        <f>Purchase[[#This Row],[Purchase Rate]]*Purchase[[#This Row],[Qty]]</f>
        <v>118675</v>
      </c>
      <c r="M2477" s="140">
        <v>0</v>
      </c>
      <c r="N2477" s="143">
        <v>0</v>
      </c>
      <c r="O2477" s="140">
        <v>0.18</v>
      </c>
      <c r="P2477" s="145">
        <f>(Purchase[[#This Row],[Gross Amount]]-Purchase[[#This Row],[Disct %]])*Purchase[[#This Row],[GST %]]</f>
        <v>21361.5</v>
      </c>
      <c r="Q2477" s="145">
        <f>Purchase[[#This Row],[Gross Amount]]-Purchase[[#This Row],[Disct Amnt]]+Purchase[[#This Row],[GST Amount]]</f>
        <v>140036.5</v>
      </c>
      <c r="R2477" s="138" t="s">
        <v>1019</v>
      </c>
      <c r="S2477" s="41">
        <f>IF(Purchase[[#This Row],[Status]]="Cancelled",0,Purchase[[#This Row],[Qty]])</f>
        <v>25</v>
      </c>
      <c r="T2477" s="146">
        <f>IF(Purchase[[#This Row],[Status]]="Cancelled",0,Purchase[[#This Row],[Total Amount]])</f>
        <v>140036.5</v>
      </c>
      <c r="U2477" s="146">
        <f>SUM(Purchase[Net Amount])</f>
        <v>814985438.68000126</v>
      </c>
    </row>
    <row r="2478" spans="1:21" ht="19.5" thickBot="1" x14ac:dyDescent="0.3">
      <c r="A2478" s="136" t="s">
        <v>3535</v>
      </c>
      <c r="B2478" s="137">
        <v>45780</v>
      </c>
      <c r="C2478" s="138" t="s">
        <v>568</v>
      </c>
      <c r="D2478" s="138" t="str">
        <f>VLOOKUP(Purchase[[#This Row],[Supplier ID]],Supplier[#All],2,0)</f>
        <v>Maa Computers</v>
      </c>
      <c r="E2478" s="138">
        <f>VLOOKUP(Purchase[[#This Row],[Supplier ID]],Supplier[#All],3,0)</f>
        <v>9689542454</v>
      </c>
      <c r="F2478" s="138" t="str">
        <f>VLOOKUP(Purchase[[#This Row],[Supplier ID]],Supplier[#All],4,0)</f>
        <v>Korba</v>
      </c>
      <c r="G2478" s="138" t="str">
        <f>VLOOKUP(Purchase[[#This Row],[Supplier ID]],Supplier[#All],5,0)</f>
        <v>CG</v>
      </c>
      <c r="H2478" s="138" t="str">
        <f>VLOOKUP(Purchase[[#This Row],[Supplier ID]],Supplier[#All],6,0)</f>
        <v>GST2154521T016</v>
      </c>
      <c r="I2478" s="138" t="s">
        <v>242</v>
      </c>
      <c r="J2478" s="139">
        <v>18</v>
      </c>
      <c r="K2478" s="143">
        <f>VLOOKUP(Purchase[[#This Row],[Product ID]],Product[#All],6,0)</f>
        <v>15569</v>
      </c>
      <c r="L2478" s="143">
        <f>Purchase[[#This Row],[Purchase Rate]]*Purchase[[#This Row],[Qty]]</f>
        <v>280242</v>
      </c>
      <c r="M2478" s="140">
        <v>0</v>
      </c>
      <c r="N2478" s="143">
        <v>0</v>
      </c>
      <c r="O2478" s="140">
        <v>0.18</v>
      </c>
      <c r="P2478" s="145">
        <f>(Purchase[[#This Row],[Gross Amount]]-Purchase[[#This Row],[Disct %]])*Purchase[[#This Row],[GST %]]</f>
        <v>50443.56</v>
      </c>
      <c r="Q2478" s="145">
        <f>Purchase[[#This Row],[Gross Amount]]-Purchase[[#This Row],[Disct Amnt]]+Purchase[[#This Row],[GST Amount]]</f>
        <v>330685.56</v>
      </c>
      <c r="R2478" s="138" t="s">
        <v>1019</v>
      </c>
      <c r="S2478" s="41">
        <f>IF(Purchase[[#This Row],[Status]]="Cancelled",0,Purchase[[#This Row],[Qty]])</f>
        <v>18</v>
      </c>
      <c r="T2478" s="146">
        <f>IF(Purchase[[#This Row],[Status]]="Cancelled",0,Purchase[[#This Row],[Total Amount]])</f>
        <v>330685.56</v>
      </c>
      <c r="U2478" s="146">
        <f>SUM(Purchase[Net Amount])</f>
        <v>814985438.68000126</v>
      </c>
    </row>
    <row r="2479" spans="1:21" ht="19.5" thickBot="1" x14ac:dyDescent="0.3">
      <c r="A2479" s="136" t="s">
        <v>3536</v>
      </c>
      <c r="B2479" s="137">
        <v>45780</v>
      </c>
      <c r="C2479" s="138" t="s">
        <v>593</v>
      </c>
      <c r="D2479" s="138" t="str">
        <f>VLOOKUP(Purchase[[#This Row],[Supplier ID]],Supplier[#All],2,0)</f>
        <v>Global Suppliers</v>
      </c>
      <c r="E2479" s="138">
        <f>VLOOKUP(Purchase[[#This Row],[Supplier ID]],Supplier[#All],3,0)</f>
        <v>9689542476</v>
      </c>
      <c r="F2479" s="138" t="str">
        <f>VLOOKUP(Purchase[[#This Row],[Supplier ID]],Supplier[#All],4,0)</f>
        <v>Korba</v>
      </c>
      <c r="G2479" s="138" t="str">
        <f>VLOOKUP(Purchase[[#This Row],[Supplier ID]],Supplier[#All],5,0)</f>
        <v>CG</v>
      </c>
      <c r="H2479" s="138" t="str">
        <f>VLOOKUP(Purchase[[#This Row],[Supplier ID]],Supplier[#All],6,0)</f>
        <v>GST2154521T038</v>
      </c>
      <c r="I2479" s="138" t="s">
        <v>56</v>
      </c>
      <c r="J2479" s="139">
        <v>14</v>
      </c>
      <c r="K2479" s="143">
        <f>VLOOKUP(Purchase[[#This Row],[Product ID]],Product[#All],6,0)</f>
        <v>3467</v>
      </c>
      <c r="L2479" s="143">
        <f>Purchase[[#This Row],[Purchase Rate]]*Purchase[[#This Row],[Qty]]</f>
        <v>48538</v>
      </c>
      <c r="M2479" s="140">
        <v>0</v>
      </c>
      <c r="N2479" s="143">
        <v>0</v>
      </c>
      <c r="O2479" s="140">
        <v>0.18</v>
      </c>
      <c r="P2479" s="145">
        <f>(Purchase[[#This Row],[Gross Amount]]-Purchase[[#This Row],[Disct %]])*Purchase[[#This Row],[GST %]]</f>
        <v>8736.84</v>
      </c>
      <c r="Q2479" s="145">
        <f>Purchase[[#This Row],[Gross Amount]]-Purchase[[#This Row],[Disct Amnt]]+Purchase[[#This Row],[GST Amount]]</f>
        <v>57274.84</v>
      </c>
      <c r="R2479" s="138" t="s">
        <v>1040</v>
      </c>
      <c r="S2479" s="41">
        <f>IF(Purchase[[#This Row],[Status]]="Cancelled",0,Purchase[[#This Row],[Qty]])</f>
        <v>0</v>
      </c>
      <c r="T2479" s="146">
        <f>IF(Purchase[[#This Row],[Status]]="Cancelled",0,Purchase[[#This Row],[Total Amount]])</f>
        <v>0</v>
      </c>
      <c r="U2479" s="146">
        <f>SUM(Purchase[Net Amount])</f>
        <v>814985438.68000126</v>
      </c>
    </row>
    <row r="2480" spans="1:21" ht="19.5" thickBot="1" x14ac:dyDescent="0.3">
      <c r="A2480" s="136" t="s">
        <v>3537</v>
      </c>
      <c r="B2480" s="137">
        <v>45780</v>
      </c>
      <c r="C2480" s="138" t="s">
        <v>1178</v>
      </c>
      <c r="D2480" s="138" t="str">
        <f>VLOOKUP(Purchase[[#This Row],[Supplier ID]],Supplier[#All],2,0)</f>
        <v>Tech Electronics</v>
      </c>
      <c r="E2480" s="138">
        <f>VLOOKUP(Purchase[[#This Row],[Supplier ID]],Supplier[#All],3,0)</f>
        <v>9689542455</v>
      </c>
      <c r="F2480" s="138" t="str">
        <f>VLOOKUP(Purchase[[#This Row],[Supplier ID]],Supplier[#All],4,0)</f>
        <v>Korba</v>
      </c>
      <c r="G2480" s="138" t="str">
        <f>VLOOKUP(Purchase[[#This Row],[Supplier ID]],Supplier[#All],5,0)</f>
        <v>CG</v>
      </c>
      <c r="H2480" s="138" t="str">
        <f>VLOOKUP(Purchase[[#This Row],[Supplier ID]],Supplier[#All],6,0)</f>
        <v>GST2154521T017</v>
      </c>
      <c r="I2480" s="138" t="s">
        <v>165</v>
      </c>
      <c r="J2480" s="139">
        <v>20</v>
      </c>
      <c r="K2480" s="143">
        <f>VLOOKUP(Purchase[[#This Row],[Product ID]],Product[#All],6,0)</f>
        <v>6875</v>
      </c>
      <c r="L2480" s="143">
        <f>Purchase[[#This Row],[Purchase Rate]]*Purchase[[#This Row],[Qty]]</f>
        <v>137500</v>
      </c>
      <c r="M2480" s="140">
        <v>0</v>
      </c>
      <c r="N2480" s="143">
        <v>0</v>
      </c>
      <c r="O2480" s="140">
        <v>0.18</v>
      </c>
      <c r="P2480" s="145">
        <f>(Purchase[[#This Row],[Gross Amount]]-Purchase[[#This Row],[Disct %]])*Purchase[[#This Row],[GST %]]</f>
        <v>24750</v>
      </c>
      <c r="Q2480" s="145">
        <f>Purchase[[#This Row],[Gross Amount]]-Purchase[[#This Row],[Disct Amnt]]+Purchase[[#This Row],[GST Amount]]</f>
        <v>162250</v>
      </c>
      <c r="R2480" s="138" t="s">
        <v>1019</v>
      </c>
      <c r="S2480" s="41">
        <f>IF(Purchase[[#This Row],[Status]]="Cancelled",0,Purchase[[#This Row],[Qty]])</f>
        <v>20</v>
      </c>
      <c r="T2480" s="146">
        <f>IF(Purchase[[#This Row],[Status]]="Cancelled",0,Purchase[[#This Row],[Total Amount]])</f>
        <v>162250</v>
      </c>
      <c r="U2480" s="146">
        <f>SUM(Purchase[Net Amount])</f>
        <v>814985438.68000126</v>
      </c>
    </row>
    <row r="2481" spans="1:21" ht="19.5" thickBot="1" x14ac:dyDescent="0.3">
      <c r="A2481" s="136" t="s">
        <v>3538</v>
      </c>
      <c r="B2481" s="137">
        <v>45780</v>
      </c>
      <c r="C2481" s="138" t="s">
        <v>3539</v>
      </c>
      <c r="D2481" s="138" t="str">
        <f>VLOOKUP(Purchase[[#This Row],[Supplier ID]],Supplier[#All],2,0)</f>
        <v>National Distributors</v>
      </c>
      <c r="E2481" s="138">
        <f>VLOOKUP(Purchase[[#This Row],[Supplier ID]],Supplier[#All],3,0)</f>
        <v>9689542453</v>
      </c>
      <c r="F2481" s="138" t="str">
        <f>VLOOKUP(Purchase[[#This Row],[Supplier ID]],Supplier[#All],4,0)</f>
        <v>Korba</v>
      </c>
      <c r="G2481" s="138" t="str">
        <f>VLOOKUP(Purchase[[#This Row],[Supplier ID]],Supplier[#All],5,0)</f>
        <v>CG</v>
      </c>
      <c r="H2481" s="138" t="str">
        <f>VLOOKUP(Purchase[[#This Row],[Supplier ID]],Supplier[#All],6,0)</f>
        <v>GST2154521T015</v>
      </c>
      <c r="I2481" s="138" t="s">
        <v>520</v>
      </c>
      <c r="J2481" s="139">
        <v>9</v>
      </c>
      <c r="K2481" s="143">
        <f>VLOOKUP(Purchase[[#This Row],[Product ID]],Product[#All],6,0)</f>
        <v>32021</v>
      </c>
      <c r="L2481" s="143">
        <f>Purchase[[#This Row],[Purchase Rate]]*Purchase[[#This Row],[Qty]]</f>
        <v>288189</v>
      </c>
      <c r="M2481" s="140">
        <v>0</v>
      </c>
      <c r="N2481" s="143">
        <v>0</v>
      </c>
      <c r="O2481" s="140">
        <v>0.18</v>
      </c>
      <c r="P2481" s="145">
        <f>(Purchase[[#This Row],[Gross Amount]]-Purchase[[#This Row],[Disct %]])*Purchase[[#This Row],[GST %]]</f>
        <v>51874.02</v>
      </c>
      <c r="Q2481" s="145">
        <f>Purchase[[#This Row],[Gross Amount]]-Purchase[[#This Row],[Disct Amnt]]+Purchase[[#This Row],[GST Amount]]</f>
        <v>340063.02</v>
      </c>
      <c r="R2481" s="138" t="s">
        <v>1040</v>
      </c>
      <c r="S2481" s="41">
        <f>IF(Purchase[[#This Row],[Status]]="Cancelled",0,Purchase[[#This Row],[Qty]])</f>
        <v>0</v>
      </c>
      <c r="T2481" s="146">
        <f>IF(Purchase[[#This Row],[Status]]="Cancelled",0,Purchase[[#This Row],[Total Amount]])</f>
        <v>0</v>
      </c>
      <c r="U2481" s="146">
        <f>SUM(Purchase[Net Amount])</f>
        <v>814985438.68000126</v>
      </c>
    </row>
    <row r="2482" spans="1:21" ht="19.5" thickBot="1" x14ac:dyDescent="0.3">
      <c r="A2482" s="136" t="s">
        <v>3540</v>
      </c>
      <c r="B2482" s="137">
        <v>45780</v>
      </c>
      <c r="C2482" s="138" t="s">
        <v>605</v>
      </c>
      <c r="D2482" s="138" t="str">
        <f>VLOOKUP(Purchase[[#This Row],[Supplier ID]],Supplier[#All],2,0)</f>
        <v>Star Traders</v>
      </c>
      <c r="E2482" s="138">
        <f>VLOOKUP(Purchase[[#This Row],[Supplier ID]],Supplier[#All],3,0)</f>
        <v>9689542488</v>
      </c>
      <c r="F2482" s="138" t="str">
        <f>VLOOKUP(Purchase[[#This Row],[Supplier ID]],Supplier[#All],4,0)</f>
        <v>Indore</v>
      </c>
      <c r="G2482" s="138" t="str">
        <f>VLOOKUP(Purchase[[#This Row],[Supplier ID]],Supplier[#All],5,0)</f>
        <v>MP</v>
      </c>
      <c r="H2482" s="138" t="str">
        <f>VLOOKUP(Purchase[[#This Row],[Supplier ID]],Supplier[#All],6,0)</f>
        <v>GST2154521T050</v>
      </c>
      <c r="I2482" s="138" t="s">
        <v>512</v>
      </c>
      <c r="J2482" s="139">
        <v>30</v>
      </c>
      <c r="K2482" s="143">
        <f>VLOOKUP(Purchase[[#This Row],[Product ID]],Product[#All],6,0)</f>
        <v>4495</v>
      </c>
      <c r="L2482" s="143">
        <f>Purchase[[#This Row],[Purchase Rate]]*Purchase[[#This Row],[Qty]]</f>
        <v>134850</v>
      </c>
      <c r="M2482" s="140">
        <v>0</v>
      </c>
      <c r="N2482" s="143">
        <v>0</v>
      </c>
      <c r="O2482" s="140">
        <v>0.18</v>
      </c>
      <c r="P2482" s="145">
        <f>(Purchase[[#This Row],[Gross Amount]]-Purchase[[#This Row],[Disct %]])*Purchase[[#This Row],[GST %]]</f>
        <v>24273</v>
      </c>
      <c r="Q2482" s="145">
        <f>Purchase[[#This Row],[Gross Amount]]-Purchase[[#This Row],[Disct Amnt]]+Purchase[[#This Row],[GST Amount]]</f>
        <v>159123</v>
      </c>
      <c r="R2482" s="138" t="s">
        <v>1019</v>
      </c>
      <c r="S2482" s="41">
        <f>IF(Purchase[[#This Row],[Status]]="Cancelled",0,Purchase[[#This Row],[Qty]])</f>
        <v>30</v>
      </c>
      <c r="T2482" s="146">
        <f>IF(Purchase[[#This Row],[Status]]="Cancelled",0,Purchase[[#This Row],[Total Amount]])</f>
        <v>159123</v>
      </c>
      <c r="U2482" s="146">
        <f>SUM(Purchase[Net Amount])</f>
        <v>814985438.68000126</v>
      </c>
    </row>
    <row r="2483" spans="1:21" ht="19.5" thickBot="1" x14ac:dyDescent="0.3">
      <c r="A2483" s="136" t="s">
        <v>3541</v>
      </c>
      <c r="B2483" s="137">
        <v>45780</v>
      </c>
      <c r="C2483" s="138" t="s">
        <v>590</v>
      </c>
      <c r="D2483" s="138" t="str">
        <f>VLOOKUP(Purchase[[#This Row],[Supplier ID]],Supplier[#All],2,0)</f>
        <v>Star Distributors</v>
      </c>
      <c r="E2483" s="138">
        <f>VLOOKUP(Purchase[[#This Row],[Supplier ID]],Supplier[#All],3,0)</f>
        <v>9689542474</v>
      </c>
      <c r="F2483" s="138" t="str">
        <f>VLOOKUP(Purchase[[#This Row],[Supplier ID]],Supplier[#All],4,0)</f>
        <v>Kanpur</v>
      </c>
      <c r="G2483" s="138" t="str">
        <f>VLOOKUP(Purchase[[#This Row],[Supplier ID]],Supplier[#All],5,0)</f>
        <v>UP</v>
      </c>
      <c r="H2483" s="138" t="str">
        <f>VLOOKUP(Purchase[[#This Row],[Supplier ID]],Supplier[#All],6,0)</f>
        <v>GST2154521T036</v>
      </c>
      <c r="I2483" s="138" t="s">
        <v>338</v>
      </c>
      <c r="J2483" s="139">
        <v>14</v>
      </c>
      <c r="K2483" s="143">
        <f>VLOOKUP(Purchase[[#This Row],[Product ID]],Product[#All],6,0)</f>
        <v>10799</v>
      </c>
      <c r="L2483" s="143">
        <f>Purchase[[#This Row],[Purchase Rate]]*Purchase[[#This Row],[Qty]]</f>
        <v>151186</v>
      </c>
      <c r="M2483" s="140">
        <v>0</v>
      </c>
      <c r="N2483" s="143">
        <v>0</v>
      </c>
      <c r="O2483" s="140">
        <v>0.18</v>
      </c>
      <c r="P2483" s="145">
        <f>(Purchase[[#This Row],[Gross Amount]]-Purchase[[#This Row],[Disct %]])*Purchase[[#This Row],[GST %]]</f>
        <v>27213.48</v>
      </c>
      <c r="Q2483" s="145">
        <f>Purchase[[#This Row],[Gross Amount]]-Purchase[[#This Row],[Disct Amnt]]+Purchase[[#This Row],[GST Amount]]</f>
        <v>178399.48</v>
      </c>
      <c r="R2483" s="138" t="s">
        <v>1019</v>
      </c>
      <c r="S2483" s="41">
        <f>IF(Purchase[[#This Row],[Status]]="Cancelled",0,Purchase[[#This Row],[Qty]])</f>
        <v>14</v>
      </c>
      <c r="T2483" s="146">
        <f>IF(Purchase[[#This Row],[Status]]="Cancelled",0,Purchase[[#This Row],[Total Amount]])</f>
        <v>178399.48</v>
      </c>
      <c r="U2483" s="146">
        <f>SUM(Purchase[Net Amount])</f>
        <v>814985438.68000126</v>
      </c>
    </row>
    <row r="2484" spans="1:21" ht="19.5" thickBot="1" x14ac:dyDescent="0.3">
      <c r="A2484" s="136" t="s">
        <v>3542</v>
      </c>
      <c r="B2484" s="137">
        <v>45780</v>
      </c>
      <c r="C2484" s="138" t="s">
        <v>578</v>
      </c>
      <c r="D2484" s="138" t="str">
        <f>VLOOKUP(Purchase[[#This Row],[Supplier ID]],Supplier[#All],2,0)</f>
        <v>Shree Computers</v>
      </c>
      <c r="E2484" s="138">
        <f>VLOOKUP(Purchase[[#This Row],[Supplier ID]],Supplier[#All],3,0)</f>
        <v>9689542462</v>
      </c>
      <c r="F2484" s="138" t="str">
        <f>VLOOKUP(Purchase[[#This Row],[Supplier ID]],Supplier[#All],4,0)</f>
        <v>Korba</v>
      </c>
      <c r="G2484" s="138" t="str">
        <f>VLOOKUP(Purchase[[#This Row],[Supplier ID]],Supplier[#All],5,0)</f>
        <v>CG</v>
      </c>
      <c r="H2484" s="138" t="str">
        <f>VLOOKUP(Purchase[[#This Row],[Supplier ID]],Supplier[#All],6,0)</f>
        <v>GST2154521T024</v>
      </c>
      <c r="I2484" s="138" t="s">
        <v>419</v>
      </c>
      <c r="J2484" s="139">
        <v>5</v>
      </c>
      <c r="K2484" s="143">
        <f>VLOOKUP(Purchase[[#This Row],[Product ID]],Product[#All],6,0)</f>
        <v>7279</v>
      </c>
      <c r="L2484" s="143">
        <f>Purchase[[#This Row],[Purchase Rate]]*Purchase[[#This Row],[Qty]]</f>
        <v>36395</v>
      </c>
      <c r="M2484" s="140">
        <v>0</v>
      </c>
      <c r="N2484" s="143">
        <v>0</v>
      </c>
      <c r="O2484" s="140">
        <v>0.18</v>
      </c>
      <c r="P2484" s="145">
        <f>(Purchase[[#This Row],[Gross Amount]]-Purchase[[#This Row],[Disct %]])*Purchase[[#This Row],[GST %]]</f>
        <v>6551.0999999999995</v>
      </c>
      <c r="Q2484" s="145">
        <f>Purchase[[#This Row],[Gross Amount]]-Purchase[[#This Row],[Disct Amnt]]+Purchase[[#This Row],[GST Amount]]</f>
        <v>42946.1</v>
      </c>
      <c r="R2484" s="138" t="s">
        <v>1019</v>
      </c>
      <c r="S2484" s="41">
        <f>IF(Purchase[[#This Row],[Status]]="Cancelled",0,Purchase[[#This Row],[Qty]])</f>
        <v>5</v>
      </c>
      <c r="T2484" s="146">
        <f>IF(Purchase[[#This Row],[Status]]="Cancelled",0,Purchase[[#This Row],[Total Amount]])</f>
        <v>42946.1</v>
      </c>
      <c r="U2484" s="146">
        <f>SUM(Purchase[Net Amount])</f>
        <v>814985438.68000126</v>
      </c>
    </row>
    <row r="2485" spans="1:21" ht="19.5" thickBot="1" x14ac:dyDescent="0.3">
      <c r="A2485" s="136" t="s">
        <v>3543</v>
      </c>
      <c r="B2485" s="137">
        <v>45780</v>
      </c>
      <c r="C2485" s="138" t="s">
        <v>608</v>
      </c>
      <c r="D2485" s="138" t="str">
        <f>VLOOKUP(Purchase[[#This Row],[Supplier ID]],Supplier[#All],2,0)</f>
        <v>Global Suppliers</v>
      </c>
      <c r="E2485" s="138">
        <f>VLOOKUP(Purchase[[#This Row],[Supplier ID]],Supplier[#All],3,0)</f>
        <v>9689542499</v>
      </c>
      <c r="F2485" s="138" t="str">
        <f>VLOOKUP(Purchase[[#This Row],[Supplier ID]],Supplier[#All],4,0)</f>
        <v>Korba</v>
      </c>
      <c r="G2485" s="138" t="str">
        <f>VLOOKUP(Purchase[[#This Row],[Supplier ID]],Supplier[#All],5,0)</f>
        <v>CG</v>
      </c>
      <c r="H2485" s="138" t="str">
        <f>VLOOKUP(Purchase[[#This Row],[Supplier ID]],Supplier[#All],6,0)</f>
        <v>GST2154521T053</v>
      </c>
      <c r="I2485" s="138" t="s">
        <v>140</v>
      </c>
      <c r="J2485" s="139">
        <v>34</v>
      </c>
      <c r="K2485" s="143">
        <f>VLOOKUP(Purchase[[#This Row],[Product ID]],Product[#All],6,0)</f>
        <v>2116</v>
      </c>
      <c r="L2485" s="143">
        <f>Purchase[[#This Row],[Purchase Rate]]*Purchase[[#This Row],[Qty]]</f>
        <v>71944</v>
      </c>
      <c r="M2485" s="140">
        <v>0</v>
      </c>
      <c r="N2485" s="143">
        <v>0</v>
      </c>
      <c r="O2485" s="140">
        <v>0.18</v>
      </c>
      <c r="P2485" s="145">
        <f>(Purchase[[#This Row],[Gross Amount]]-Purchase[[#This Row],[Disct %]])*Purchase[[#This Row],[GST %]]</f>
        <v>12949.92</v>
      </c>
      <c r="Q2485" s="145">
        <f>Purchase[[#This Row],[Gross Amount]]-Purchase[[#This Row],[Disct Amnt]]+Purchase[[#This Row],[GST Amount]]</f>
        <v>84893.92</v>
      </c>
      <c r="R2485" s="138" t="s">
        <v>1019</v>
      </c>
      <c r="S2485" s="41">
        <f>IF(Purchase[[#This Row],[Status]]="Cancelled",0,Purchase[[#This Row],[Qty]])</f>
        <v>34</v>
      </c>
      <c r="T2485" s="146">
        <f>IF(Purchase[[#This Row],[Status]]="Cancelled",0,Purchase[[#This Row],[Total Amount]])</f>
        <v>84893.92</v>
      </c>
      <c r="U2485" s="146">
        <f>SUM(Purchase[Net Amount])</f>
        <v>814985438.68000126</v>
      </c>
    </row>
    <row r="2486" spans="1:21" ht="19.5" thickBot="1" x14ac:dyDescent="0.3">
      <c r="A2486" s="136" t="s">
        <v>3544</v>
      </c>
      <c r="B2486" s="137">
        <v>45780</v>
      </c>
      <c r="C2486" s="138" t="s">
        <v>575</v>
      </c>
      <c r="D2486" s="138" t="str">
        <f>VLOOKUP(Purchase[[#This Row],[Supplier ID]],Supplier[#All],2,0)</f>
        <v>Global Computers</v>
      </c>
      <c r="E2486" s="138">
        <f>VLOOKUP(Purchase[[#This Row],[Supplier ID]],Supplier[#All],3,0)</f>
        <v>9689542459</v>
      </c>
      <c r="F2486" s="138" t="str">
        <f>VLOOKUP(Purchase[[#This Row],[Supplier ID]],Supplier[#All],4,0)</f>
        <v>Indore</v>
      </c>
      <c r="G2486" s="138" t="str">
        <f>VLOOKUP(Purchase[[#This Row],[Supplier ID]],Supplier[#All],5,0)</f>
        <v>MP</v>
      </c>
      <c r="H2486" s="138" t="str">
        <f>VLOOKUP(Purchase[[#This Row],[Supplier ID]],Supplier[#All],6,0)</f>
        <v>GST2154521T021</v>
      </c>
      <c r="I2486" s="138" t="s">
        <v>531</v>
      </c>
      <c r="J2486" s="139">
        <v>5</v>
      </c>
      <c r="K2486" s="143">
        <f>VLOOKUP(Purchase[[#This Row],[Product ID]],Product[#All],6,0)</f>
        <v>5489</v>
      </c>
      <c r="L2486" s="143">
        <f>Purchase[[#This Row],[Purchase Rate]]*Purchase[[#This Row],[Qty]]</f>
        <v>27445</v>
      </c>
      <c r="M2486" s="140">
        <v>0</v>
      </c>
      <c r="N2486" s="143">
        <v>0</v>
      </c>
      <c r="O2486" s="140">
        <v>0.18</v>
      </c>
      <c r="P2486" s="145">
        <f>(Purchase[[#This Row],[Gross Amount]]-Purchase[[#This Row],[Disct %]])*Purchase[[#This Row],[GST %]]</f>
        <v>4940.0999999999995</v>
      </c>
      <c r="Q2486" s="145">
        <f>Purchase[[#This Row],[Gross Amount]]-Purchase[[#This Row],[Disct Amnt]]+Purchase[[#This Row],[GST Amount]]</f>
        <v>32385.1</v>
      </c>
      <c r="R2486" s="138" t="s">
        <v>1019</v>
      </c>
      <c r="S2486" s="41">
        <f>IF(Purchase[[#This Row],[Status]]="Cancelled",0,Purchase[[#This Row],[Qty]])</f>
        <v>5</v>
      </c>
      <c r="T2486" s="146">
        <f>IF(Purchase[[#This Row],[Status]]="Cancelled",0,Purchase[[#This Row],[Total Amount]])</f>
        <v>32385.1</v>
      </c>
      <c r="U2486" s="146">
        <f>SUM(Purchase[Net Amount])</f>
        <v>814985438.68000126</v>
      </c>
    </row>
    <row r="2487" spans="1:21" ht="19.5" thickBot="1" x14ac:dyDescent="0.3">
      <c r="A2487" s="136" t="s">
        <v>3545</v>
      </c>
      <c r="B2487" s="137">
        <v>45780</v>
      </c>
      <c r="C2487" s="138" t="s">
        <v>565</v>
      </c>
      <c r="D2487" s="138" t="str">
        <f>VLOOKUP(Purchase[[#This Row],[Supplier ID]],Supplier[#All],2,0)</f>
        <v>Global Suppliers</v>
      </c>
      <c r="E2487" s="138">
        <f>VLOOKUP(Purchase[[#This Row],[Supplier ID]],Supplier[#All],3,0)</f>
        <v>9689542459</v>
      </c>
      <c r="F2487" s="138" t="str">
        <f>VLOOKUP(Purchase[[#This Row],[Supplier ID]],Supplier[#All],4,0)</f>
        <v>Indore</v>
      </c>
      <c r="G2487" s="138" t="str">
        <f>VLOOKUP(Purchase[[#This Row],[Supplier ID]],Supplier[#All],5,0)</f>
        <v>MP</v>
      </c>
      <c r="H2487" s="138" t="str">
        <f>VLOOKUP(Purchase[[#This Row],[Supplier ID]],Supplier[#All],6,0)</f>
        <v>GST2154521T013</v>
      </c>
      <c r="I2487" s="138" t="s">
        <v>503</v>
      </c>
      <c r="J2487" s="139">
        <v>32</v>
      </c>
      <c r="K2487" s="143">
        <f>VLOOKUP(Purchase[[#This Row],[Product ID]],Product[#All],6,0)</f>
        <v>7350</v>
      </c>
      <c r="L2487" s="143">
        <f>Purchase[[#This Row],[Purchase Rate]]*Purchase[[#This Row],[Qty]]</f>
        <v>235200</v>
      </c>
      <c r="M2487" s="140">
        <v>0</v>
      </c>
      <c r="N2487" s="143">
        <v>0</v>
      </c>
      <c r="O2487" s="140">
        <v>0.18</v>
      </c>
      <c r="P2487" s="145">
        <f>(Purchase[[#This Row],[Gross Amount]]-Purchase[[#This Row],[Disct %]])*Purchase[[#This Row],[GST %]]</f>
        <v>42336</v>
      </c>
      <c r="Q2487" s="145">
        <f>Purchase[[#This Row],[Gross Amount]]-Purchase[[#This Row],[Disct Amnt]]+Purchase[[#This Row],[GST Amount]]</f>
        <v>277536</v>
      </c>
      <c r="R2487" s="138" t="s">
        <v>1019</v>
      </c>
      <c r="S2487" s="41">
        <f>IF(Purchase[[#This Row],[Status]]="Cancelled",0,Purchase[[#This Row],[Qty]])</f>
        <v>32</v>
      </c>
      <c r="T2487" s="146">
        <f>IF(Purchase[[#This Row],[Status]]="Cancelled",0,Purchase[[#This Row],[Total Amount]])</f>
        <v>277536</v>
      </c>
      <c r="U2487" s="146">
        <f>SUM(Purchase[Net Amount])</f>
        <v>814985438.68000126</v>
      </c>
    </row>
    <row r="2488" spans="1:21" ht="19.5" thickBot="1" x14ac:dyDescent="0.3">
      <c r="A2488" s="136" t="s">
        <v>3546</v>
      </c>
      <c r="B2488" s="137">
        <v>45781</v>
      </c>
      <c r="C2488" s="138" t="s">
        <v>564</v>
      </c>
      <c r="D2488" s="138" t="str">
        <f>VLOOKUP(Purchase[[#This Row],[Supplier ID]],Supplier[#All],2,0)</f>
        <v xml:space="preserve">Star Electronics </v>
      </c>
      <c r="E2488" s="138">
        <f>VLOOKUP(Purchase[[#This Row],[Supplier ID]],Supplier[#All],3,0)</f>
        <v>9689542450</v>
      </c>
      <c r="F2488" s="138" t="str">
        <f>VLOOKUP(Purchase[[#This Row],[Supplier ID]],Supplier[#All],4,0)</f>
        <v>Korba</v>
      </c>
      <c r="G2488" s="138" t="str">
        <f>VLOOKUP(Purchase[[#This Row],[Supplier ID]],Supplier[#All],5,0)</f>
        <v>CG</v>
      </c>
      <c r="H2488" s="138" t="str">
        <f>VLOOKUP(Purchase[[#This Row],[Supplier ID]],Supplier[#All],6,0)</f>
        <v>GST2154521T012</v>
      </c>
      <c r="I2488" s="138" t="s">
        <v>506</v>
      </c>
      <c r="J2488" s="139">
        <v>9</v>
      </c>
      <c r="K2488" s="143">
        <f>VLOOKUP(Purchase[[#This Row],[Product ID]],Product[#All],6,0)</f>
        <v>36215</v>
      </c>
      <c r="L2488" s="143">
        <f>Purchase[[#This Row],[Purchase Rate]]*Purchase[[#This Row],[Qty]]</f>
        <v>325935</v>
      </c>
      <c r="M2488" s="140">
        <v>0</v>
      </c>
      <c r="N2488" s="143">
        <v>0</v>
      </c>
      <c r="O2488" s="140">
        <v>0.18</v>
      </c>
      <c r="P2488" s="145">
        <f>(Purchase[[#This Row],[Gross Amount]]-Purchase[[#This Row],[Disct %]])*Purchase[[#This Row],[GST %]]</f>
        <v>58668.299999999996</v>
      </c>
      <c r="Q2488" s="145">
        <f>Purchase[[#This Row],[Gross Amount]]-Purchase[[#This Row],[Disct Amnt]]+Purchase[[#This Row],[GST Amount]]</f>
        <v>384603.3</v>
      </c>
      <c r="R2488" s="138" t="s">
        <v>1019</v>
      </c>
      <c r="S2488" s="41">
        <f>IF(Purchase[[#This Row],[Status]]="Cancelled",0,Purchase[[#This Row],[Qty]])</f>
        <v>9</v>
      </c>
      <c r="T2488" s="146">
        <f>IF(Purchase[[#This Row],[Status]]="Cancelled",0,Purchase[[#This Row],[Total Amount]])</f>
        <v>384603.3</v>
      </c>
      <c r="U2488" s="146">
        <f>SUM(Purchase[Net Amount])</f>
        <v>814985438.68000126</v>
      </c>
    </row>
    <row r="2489" spans="1:21" ht="19.5" thickBot="1" x14ac:dyDescent="0.3">
      <c r="A2489" s="136" t="s">
        <v>3547</v>
      </c>
      <c r="B2489" s="137">
        <v>45781</v>
      </c>
      <c r="C2489" s="138" t="s">
        <v>605</v>
      </c>
      <c r="D2489" s="138" t="str">
        <f>VLOOKUP(Purchase[[#This Row],[Supplier ID]],Supplier[#All],2,0)</f>
        <v>Star Traders</v>
      </c>
      <c r="E2489" s="138">
        <f>VLOOKUP(Purchase[[#This Row],[Supplier ID]],Supplier[#All],3,0)</f>
        <v>9689542488</v>
      </c>
      <c r="F2489" s="138" t="str">
        <f>VLOOKUP(Purchase[[#This Row],[Supplier ID]],Supplier[#All],4,0)</f>
        <v>Indore</v>
      </c>
      <c r="G2489" s="138" t="str">
        <f>VLOOKUP(Purchase[[#This Row],[Supplier ID]],Supplier[#All],5,0)</f>
        <v>MP</v>
      </c>
      <c r="H2489" s="138" t="str">
        <f>VLOOKUP(Purchase[[#This Row],[Supplier ID]],Supplier[#All],6,0)</f>
        <v>GST2154521T050</v>
      </c>
      <c r="I2489" s="138" t="s">
        <v>96</v>
      </c>
      <c r="J2489" s="139">
        <v>5</v>
      </c>
      <c r="K2489" s="143">
        <f>VLOOKUP(Purchase[[#This Row],[Product ID]],Product[#All],6,0)</f>
        <v>3785</v>
      </c>
      <c r="L2489" s="143">
        <f>Purchase[[#This Row],[Purchase Rate]]*Purchase[[#This Row],[Qty]]</f>
        <v>18925</v>
      </c>
      <c r="M2489" s="140">
        <v>0</v>
      </c>
      <c r="N2489" s="143">
        <v>0</v>
      </c>
      <c r="O2489" s="140">
        <v>0.18</v>
      </c>
      <c r="P2489" s="145">
        <f>(Purchase[[#This Row],[Gross Amount]]-Purchase[[#This Row],[Disct %]])*Purchase[[#This Row],[GST %]]</f>
        <v>3406.5</v>
      </c>
      <c r="Q2489" s="145">
        <f>Purchase[[#This Row],[Gross Amount]]-Purchase[[#This Row],[Disct Amnt]]+Purchase[[#This Row],[GST Amount]]</f>
        <v>22331.5</v>
      </c>
      <c r="R2489" s="138" t="s">
        <v>1019</v>
      </c>
      <c r="S2489" s="41">
        <f>IF(Purchase[[#This Row],[Status]]="Cancelled",0,Purchase[[#This Row],[Qty]])</f>
        <v>5</v>
      </c>
      <c r="T2489" s="146">
        <f>IF(Purchase[[#This Row],[Status]]="Cancelled",0,Purchase[[#This Row],[Total Amount]])</f>
        <v>22331.5</v>
      </c>
      <c r="U2489" s="146">
        <f>SUM(Purchase[Net Amount])</f>
        <v>814985438.68000126</v>
      </c>
    </row>
    <row r="2490" spans="1:21" ht="19.5" thickBot="1" x14ac:dyDescent="0.3">
      <c r="A2490" s="136" t="s">
        <v>3548</v>
      </c>
      <c r="B2490" s="137">
        <v>45781</v>
      </c>
      <c r="C2490" s="138" t="s">
        <v>599</v>
      </c>
      <c r="D2490" s="138" t="str">
        <f>VLOOKUP(Purchase[[#This Row],[Supplier ID]],Supplier[#All],2,0)</f>
        <v>National Distributors</v>
      </c>
      <c r="E2490" s="138">
        <f>VLOOKUP(Purchase[[#This Row],[Supplier ID]],Supplier[#All],3,0)</f>
        <v>9689542482</v>
      </c>
      <c r="F2490" s="138" t="str">
        <f>VLOOKUP(Purchase[[#This Row],[Supplier ID]],Supplier[#All],4,0)</f>
        <v>Kanpur</v>
      </c>
      <c r="G2490" s="138" t="str">
        <f>VLOOKUP(Purchase[[#This Row],[Supplier ID]],Supplier[#All],5,0)</f>
        <v>UP</v>
      </c>
      <c r="H2490" s="138" t="str">
        <f>VLOOKUP(Purchase[[#This Row],[Supplier ID]],Supplier[#All],6,0)</f>
        <v>GST2154521T044</v>
      </c>
      <c r="I2490" s="138" t="s">
        <v>437</v>
      </c>
      <c r="J2490" s="139">
        <v>17</v>
      </c>
      <c r="K2490" s="143">
        <f>VLOOKUP(Purchase[[#This Row],[Product ID]],Product[#All],6,0)</f>
        <v>2489</v>
      </c>
      <c r="L2490" s="143">
        <f>Purchase[[#This Row],[Purchase Rate]]*Purchase[[#This Row],[Qty]]</f>
        <v>42313</v>
      </c>
      <c r="M2490" s="140">
        <v>0</v>
      </c>
      <c r="N2490" s="143">
        <v>0</v>
      </c>
      <c r="O2490" s="140">
        <v>0.18</v>
      </c>
      <c r="P2490" s="145">
        <f>(Purchase[[#This Row],[Gross Amount]]-Purchase[[#This Row],[Disct %]])*Purchase[[#This Row],[GST %]]</f>
        <v>7616.34</v>
      </c>
      <c r="Q2490" s="145">
        <f>Purchase[[#This Row],[Gross Amount]]-Purchase[[#This Row],[Disct Amnt]]+Purchase[[#This Row],[GST Amount]]</f>
        <v>49929.34</v>
      </c>
      <c r="R2490" s="138" t="s">
        <v>1019</v>
      </c>
      <c r="S2490" s="41">
        <f>IF(Purchase[[#This Row],[Status]]="Cancelled",0,Purchase[[#This Row],[Qty]])</f>
        <v>17</v>
      </c>
      <c r="T2490" s="146">
        <f>IF(Purchase[[#This Row],[Status]]="Cancelled",0,Purchase[[#This Row],[Total Amount]])</f>
        <v>49929.34</v>
      </c>
      <c r="U2490" s="146">
        <f>SUM(Purchase[Net Amount])</f>
        <v>814985438.68000126</v>
      </c>
    </row>
    <row r="2491" spans="1:21" ht="19.5" thickBot="1" x14ac:dyDescent="0.3">
      <c r="A2491" s="136" t="s">
        <v>3549</v>
      </c>
      <c r="B2491" s="137">
        <v>45781</v>
      </c>
      <c r="C2491" s="138" t="s">
        <v>614</v>
      </c>
      <c r="D2491" s="138" t="str">
        <f>VLOOKUP(Purchase[[#This Row],[Supplier ID]],Supplier[#All],2,0)</f>
        <v>National Electronics</v>
      </c>
      <c r="E2491" s="138">
        <f>VLOOKUP(Purchase[[#This Row],[Supplier ID]],Supplier[#All],3,0)</f>
        <v>9689542497</v>
      </c>
      <c r="F2491" s="138" t="str">
        <f>VLOOKUP(Purchase[[#This Row],[Supplier ID]],Supplier[#All],4,0)</f>
        <v>Kanpur</v>
      </c>
      <c r="G2491" s="138" t="str">
        <f>VLOOKUP(Purchase[[#This Row],[Supplier ID]],Supplier[#All],5,0)</f>
        <v>UP</v>
      </c>
      <c r="H2491" s="138" t="str">
        <f>VLOOKUP(Purchase[[#This Row],[Supplier ID]],Supplier[#All],6,0)</f>
        <v>GST2154521T059</v>
      </c>
      <c r="I2491" s="138" t="s">
        <v>529</v>
      </c>
      <c r="J2491" s="139">
        <v>30</v>
      </c>
      <c r="K2491" s="143">
        <f>VLOOKUP(Purchase[[#This Row],[Product ID]],Product[#All],6,0)</f>
        <v>2878</v>
      </c>
      <c r="L2491" s="143">
        <f>Purchase[[#This Row],[Purchase Rate]]*Purchase[[#This Row],[Qty]]</f>
        <v>86340</v>
      </c>
      <c r="M2491" s="140">
        <v>0</v>
      </c>
      <c r="N2491" s="143">
        <v>0</v>
      </c>
      <c r="O2491" s="140">
        <v>0.18</v>
      </c>
      <c r="P2491" s="145">
        <f>(Purchase[[#This Row],[Gross Amount]]-Purchase[[#This Row],[Disct %]])*Purchase[[#This Row],[GST %]]</f>
        <v>15541.199999999999</v>
      </c>
      <c r="Q2491" s="145">
        <f>Purchase[[#This Row],[Gross Amount]]-Purchase[[#This Row],[Disct Amnt]]+Purchase[[#This Row],[GST Amount]]</f>
        <v>101881.2</v>
      </c>
      <c r="R2491" s="138" t="s">
        <v>1019</v>
      </c>
      <c r="S2491" s="41">
        <f>IF(Purchase[[#This Row],[Status]]="Cancelled",0,Purchase[[#This Row],[Qty]])</f>
        <v>30</v>
      </c>
      <c r="T2491" s="146">
        <f>IF(Purchase[[#This Row],[Status]]="Cancelled",0,Purchase[[#This Row],[Total Amount]])</f>
        <v>101881.2</v>
      </c>
      <c r="U2491" s="146">
        <f>SUM(Purchase[Net Amount])</f>
        <v>814985438.68000126</v>
      </c>
    </row>
    <row r="2492" spans="1:21" ht="19.5" thickBot="1" x14ac:dyDescent="0.3">
      <c r="A2492" s="136" t="s">
        <v>3550</v>
      </c>
      <c r="B2492" s="137">
        <v>45781</v>
      </c>
      <c r="C2492" s="138" t="s">
        <v>584</v>
      </c>
      <c r="D2492" s="138" t="str">
        <f>VLOOKUP(Purchase[[#This Row],[Supplier ID]],Supplier[#All],2,0)</f>
        <v>Prime Computers</v>
      </c>
      <c r="E2492" s="138">
        <f>VLOOKUP(Purchase[[#This Row],[Supplier ID]],Supplier[#All],3,0)</f>
        <v>9689542468</v>
      </c>
      <c r="F2492" s="138" t="str">
        <f>VLOOKUP(Purchase[[#This Row],[Supplier ID]],Supplier[#All],4,0)</f>
        <v>Kanpur</v>
      </c>
      <c r="G2492" s="138" t="str">
        <f>VLOOKUP(Purchase[[#This Row],[Supplier ID]],Supplier[#All],5,0)</f>
        <v>UP</v>
      </c>
      <c r="H2492" s="138" t="str">
        <f>VLOOKUP(Purchase[[#This Row],[Supplier ID]],Supplier[#All],6,0)</f>
        <v>GST2154521T030</v>
      </c>
      <c r="I2492" s="138" t="s">
        <v>367</v>
      </c>
      <c r="J2492" s="139">
        <v>21</v>
      </c>
      <c r="K2492" s="143">
        <f>VLOOKUP(Purchase[[#This Row],[Product ID]],Product[#All],6,0)</f>
        <v>4278</v>
      </c>
      <c r="L2492" s="143">
        <f>Purchase[[#This Row],[Purchase Rate]]*Purchase[[#This Row],[Qty]]</f>
        <v>89838</v>
      </c>
      <c r="M2492" s="140">
        <v>0</v>
      </c>
      <c r="N2492" s="143">
        <v>0</v>
      </c>
      <c r="O2492" s="140">
        <v>0.18</v>
      </c>
      <c r="P2492" s="145">
        <f>(Purchase[[#This Row],[Gross Amount]]-Purchase[[#This Row],[Disct %]])*Purchase[[#This Row],[GST %]]</f>
        <v>16170.84</v>
      </c>
      <c r="Q2492" s="145">
        <f>Purchase[[#This Row],[Gross Amount]]-Purchase[[#This Row],[Disct Amnt]]+Purchase[[#This Row],[GST Amount]]</f>
        <v>106008.84</v>
      </c>
      <c r="R2492" s="138" t="s">
        <v>1019</v>
      </c>
      <c r="S2492" s="41">
        <f>IF(Purchase[[#This Row],[Status]]="Cancelled",0,Purchase[[#This Row],[Qty]])</f>
        <v>21</v>
      </c>
      <c r="T2492" s="146">
        <f>IF(Purchase[[#This Row],[Status]]="Cancelled",0,Purchase[[#This Row],[Total Amount]])</f>
        <v>106008.84</v>
      </c>
      <c r="U2492" s="146">
        <f>SUM(Purchase[Net Amount])</f>
        <v>814985438.68000126</v>
      </c>
    </row>
    <row r="2493" spans="1:21" ht="19.5" thickBot="1" x14ac:dyDescent="0.3">
      <c r="A2493" s="136" t="s">
        <v>3551</v>
      </c>
      <c r="B2493" s="137">
        <v>45781</v>
      </c>
      <c r="C2493" s="138" t="s">
        <v>608</v>
      </c>
      <c r="D2493" s="138" t="str">
        <f>VLOOKUP(Purchase[[#This Row],[Supplier ID]],Supplier[#All],2,0)</f>
        <v>Global Suppliers</v>
      </c>
      <c r="E2493" s="138">
        <f>VLOOKUP(Purchase[[#This Row],[Supplier ID]],Supplier[#All],3,0)</f>
        <v>9689542499</v>
      </c>
      <c r="F2493" s="138" t="str">
        <f>VLOOKUP(Purchase[[#This Row],[Supplier ID]],Supplier[#All],4,0)</f>
        <v>Korba</v>
      </c>
      <c r="G2493" s="138" t="str">
        <f>VLOOKUP(Purchase[[#This Row],[Supplier ID]],Supplier[#All],5,0)</f>
        <v>CG</v>
      </c>
      <c r="H2493" s="138" t="str">
        <f>VLOOKUP(Purchase[[#This Row],[Supplier ID]],Supplier[#All],6,0)</f>
        <v>GST2154521T053</v>
      </c>
      <c r="I2493" s="138" t="s">
        <v>413</v>
      </c>
      <c r="J2493" s="139">
        <v>39</v>
      </c>
      <c r="K2493" s="143">
        <f>VLOOKUP(Purchase[[#This Row],[Product ID]],Product[#All],6,0)</f>
        <v>8700</v>
      </c>
      <c r="L2493" s="143">
        <f>Purchase[[#This Row],[Purchase Rate]]*Purchase[[#This Row],[Qty]]</f>
        <v>339300</v>
      </c>
      <c r="M2493" s="140">
        <v>0</v>
      </c>
      <c r="N2493" s="143">
        <v>0</v>
      </c>
      <c r="O2493" s="140">
        <v>0.18</v>
      </c>
      <c r="P2493" s="145">
        <f>(Purchase[[#This Row],[Gross Amount]]-Purchase[[#This Row],[Disct %]])*Purchase[[#This Row],[GST %]]</f>
        <v>61074</v>
      </c>
      <c r="Q2493" s="145">
        <f>Purchase[[#This Row],[Gross Amount]]-Purchase[[#This Row],[Disct Amnt]]+Purchase[[#This Row],[GST Amount]]</f>
        <v>400374</v>
      </c>
      <c r="R2493" s="138" t="s">
        <v>1019</v>
      </c>
      <c r="S2493" s="41">
        <f>IF(Purchase[[#This Row],[Status]]="Cancelled",0,Purchase[[#This Row],[Qty]])</f>
        <v>39</v>
      </c>
      <c r="T2493" s="146">
        <f>IF(Purchase[[#This Row],[Status]]="Cancelled",0,Purchase[[#This Row],[Total Amount]])</f>
        <v>400374</v>
      </c>
      <c r="U2493" s="146">
        <f>SUM(Purchase[Net Amount])</f>
        <v>814985438.68000126</v>
      </c>
    </row>
    <row r="2494" spans="1:21" ht="19.5" thickBot="1" x14ac:dyDescent="0.3">
      <c r="A2494" s="136" t="s">
        <v>3552</v>
      </c>
      <c r="B2494" s="137">
        <v>45781</v>
      </c>
      <c r="C2494" s="138" t="s">
        <v>580</v>
      </c>
      <c r="D2494" s="138" t="str">
        <f>VLOOKUP(Purchase[[#This Row],[Supplier ID]],Supplier[#All],2,0)</f>
        <v>Star Distributors</v>
      </c>
      <c r="E2494" s="138">
        <f>VLOOKUP(Purchase[[#This Row],[Supplier ID]],Supplier[#All],3,0)</f>
        <v>9689542464</v>
      </c>
      <c r="F2494" s="138" t="str">
        <f>VLOOKUP(Purchase[[#This Row],[Supplier ID]],Supplier[#All],4,0)</f>
        <v>Indore</v>
      </c>
      <c r="G2494" s="138" t="str">
        <f>VLOOKUP(Purchase[[#This Row],[Supplier ID]],Supplier[#All],5,0)</f>
        <v>MP</v>
      </c>
      <c r="H2494" s="138" t="str">
        <f>VLOOKUP(Purchase[[#This Row],[Supplier ID]],Supplier[#All],6,0)</f>
        <v>GST2154521T026</v>
      </c>
      <c r="I2494" s="138" t="s">
        <v>381</v>
      </c>
      <c r="J2494" s="139">
        <v>18</v>
      </c>
      <c r="K2494" s="143">
        <f>VLOOKUP(Purchase[[#This Row],[Product ID]],Product[#All],6,0)</f>
        <v>829</v>
      </c>
      <c r="L2494" s="143">
        <f>Purchase[[#This Row],[Purchase Rate]]*Purchase[[#This Row],[Qty]]</f>
        <v>14922</v>
      </c>
      <c r="M2494" s="140">
        <v>0</v>
      </c>
      <c r="N2494" s="143">
        <v>0</v>
      </c>
      <c r="O2494" s="140">
        <v>0.18</v>
      </c>
      <c r="P2494" s="145">
        <f>(Purchase[[#This Row],[Gross Amount]]-Purchase[[#This Row],[Disct %]])*Purchase[[#This Row],[GST %]]</f>
        <v>2685.96</v>
      </c>
      <c r="Q2494" s="145">
        <f>Purchase[[#This Row],[Gross Amount]]-Purchase[[#This Row],[Disct Amnt]]+Purchase[[#This Row],[GST Amount]]</f>
        <v>17607.96</v>
      </c>
      <c r="R2494" s="138" t="s">
        <v>1019</v>
      </c>
      <c r="S2494" s="41">
        <f>IF(Purchase[[#This Row],[Status]]="Cancelled",0,Purchase[[#This Row],[Qty]])</f>
        <v>18</v>
      </c>
      <c r="T2494" s="146">
        <f>IF(Purchase[[#This Row],[Status]]="Cancelled",0,Purchase[[#This Row],[Total Amount]])</f>
        <v>17607.96</v>
      </c>
      <c r="U2494" s="146">
        <f>SUM(Purchase[Net Amount])</f>
        <v>814985438.68000126</v>
      </c>
    </row>
    <row r="2495" spans="1:21" ht="19.5" thickBot="1" x14ac:dyDescent="0.3">
      <c r="A2495" s="136" t="s">
        <v>3553</v>
      </c>
      <c r="B2495" s="137">
        <v>45781</v>
      </c>
      <c r="C2495" s="138" t="s">
        <v>575</v>
      </c>
      <c r="D2495" s="138" t="str">
        <f>VLOOKUP(Purchase[[#This Row],[Supplier ID]],Supplier[#All],2,0)</f>
        <v>Global Computers</v>
      </c>
      <c r="E2495" s="138">
        <f>VLOOKUP(Purchase[[#This Row],[Supplier ID]],Supplier[#All],3,0)</f>
        <v>9689542459</v>
      </c>
      <c r="F2495" s="138" t="str">
        <f>VLOOKUP(Purchase[[#This Row],[Supplier ID]],Supplier[#All],4,0)</f>
        <v>Indore</v>
      </c>
      <c r="G2495" s="138" t="str">
        <f>VLOOKUP(Purchase[[#This Row],[Supplier ID]],Supplier[#All],5,0)</f>
        <v>MP</v>
      </c>
      <c r="H2495" s="138" t="str">
        <f>VLOOKUP(Purchase[[#This Row],[Supplier ID]],Supplier[#All],6,0)</f>
        <v>GST2154521T021</v>
      </c>
      <c r="I2495" s="138" t="s">
        <v>393</v>
      </c>
      <c r="J2495" s="139">
        <v>9</v>
      </c>
      <c r="K2495" s="143">
        <f>VLOOKUP(Purchase[[#This Row],[Product ID]],Product[#All],6,0)</f>
        <v>2584</v>
      </c>
      <c r="L2495" s="143">
        <f>Purchase[[#This Row],[Purchase Rate]]*Purchase[[#This Row],[Qty]]</f>
        <v>23256</v>
      </c>
      <c r="M2495" s="140">
        <v>0</v>
      </c>
      <c r="N2495" s="143">
        <v>0</v>
      </c>
      <c r="O2495" s="140">
        <v>0.18</v>
      </c>
      <c r="P2495" s="145">
        <f>(Purchase[[#This Row],[Gross Amount]]-Purchase[[#This Row],[Disct %]])*Purchase[[#This Row],[GST %]]</f>
        <v>4186.08</v>
      </c>
      <c r="Q2495" s="145">
        <f>Purchase[[#This Row],[Gross Amount]]-Purchase[[#This Row],[Disct Amnt]]+Purchase[[#This Row],[GST Amount]]</f>
        <v>27442.080000000002</v>
      </c>
      <c r="R2495" s="138" t="s">
        <v>1019</v>
      </c>
      <c r="S2495" s="41">
        <f>IF(Purchase[[#This Row],[Status]]="Cancelled",0,Purchase[[#This Row],[Qty]])</f>
        <v>9</v>
      </c>
      <c r="T2495" s="146">
        <f>IF(Purchase[[#This Row],[Status]]="Cancelled",0,Purchase[[#This Row],[Total Amount]])</f>
        <v>27442.080000000002</v>
      </c>
      <c r="U2495" s="146">
        <f>SUM(Purchase[Net Amount])</f>
        <v>814985438.68000126</v>
      </c>
    </row>
    <row r="2496" spans="1:21" ht="19.5" thickBot="1" x14ac:dyDescent="0.3">
      <c r="A2496" s="136" t="s">
        <v>3554</v>
      </c>
      <c r="B2496" s="137">
        <v>45781</v>
      </c>
      <c r="C2496" s="138" t="s">
        <v>615</v>
      </c>
      <c r="D2496" s="138" t="str">
        <f>VLOOKUP(Purchase[[#This Row],[Supplier ID]],Supplier[#All],2,0)</f>
        <v>NATIONAL ELECTRONICS</v>
      </c>
      <c r="E2496" s="138">
        <f>VLOOKUP(Purchase[[#This Row],[Supplier ID]],Supplier[#All],3,0)</f>
        <v>9689542498</v>
      </c>
      <c r="F2496" s="138" t="str">
        <f>VLOOKUP(Purchase[[#This Row],[Supplier ID]],Supplier[#All],4,0)</f>
        <v>Kanpur</v>
      </c>
      <c r="G2496" s="138" t="str">
        <f>VLOOKUP(Purchase[[#This Row],[Supplier ID]],Supplier[#All],5,0)</f>
        <v>UP</v>
      </c>
      <c r="H2496" s="138" t="str">
        <f>VLOOKUP(Purchase[[#This Row],[Supplier ID]],Supplier[#All],6,0)</f>
        <v>GST2154521T060</v>
      </c>
      <c r="I2496" s="138" t="s">
        <v>492</v>
      </c>
      <c r="J2496" s="139">
        <v>36</v>
      </c>
      <c r="K2496" s="143">
        <f>VLOOKUP(Purchase[[#This Row],[Product ID]],Product[#All],6,0)</f>
        <v>11090</v>
      </c>
      <c r="L2496" s="143">
        <f>Purchase[[#This Row],[Purchase Rate]]*Purchase[[#This Row],[Qty]]</f>
        <v>399240</v>
      </c>
      <c r="M2496" s="140">
        <v>0</v>
      </c>
      <c r="N2496" s="143">
        <v>0</v>
      </c>
      <c r="O2496" s="140">
        <v>0.18</v>
      </c>
      <c r="P2496" s="145">
        <f>(Purchase[[#This Row],[Gross Amount]]-Purchase[[#This Row],[Disct %]])*Purchase[[#This Row],[GST %]]</f>
        <v>71863.199999999997</v>
      </c>
      <c r="Q2496" s="145">
        <f>Purchase[[#This Row],[Gross Amount]]-Purchase[[#This Row],[Disct Amnt]]+Purchase[[#This Row],[GST Amount]]</f>
        <v>471103.2</v>
      </c>
      <c r="R2496" s="138" t="s">
        <v>1019</v>
      </c>
      <c r="S2496" s="41">
        <f>IF(Purchase[[#This Row],[Status]]="Cancelled",0,Purchase[[#This Row],[Qty]])</f>
        <v>36</v>
      </c>
      <c r="T2496" s="146">
        <f>IF(Purchase[[#This Row],[Status]]="Cancelled",0,Purchase[[#This Row],[Total Amount]])</f>
        <v>471103.2</v>
      </c>
      <c r="U2496" s="146">
        <f>SUM(Purchase[Net Amount])</f>
        <v>814985438.68000126</v>
      </c>
    </row>
    <row r="2497" spans="1:21" ht="19.5" thickBot="1" x14ac:dyDescent="0.3">
      <c r="A2497" s="136" t="s">
        <v>3555</v>
      </c>
      <c r="B2497" s="137">
        <v>45781</v>
      </c>
      <c r="C2497" s="138" t="s">
        <v>609</v>
      </c>
      <c r="D2497" s="138" t="str">
        <f>VLOOKUP(Purchase[[#This Row],[Supplier ID]],Supplier[#All],2,0)</f>
        <v>Star Suppliers</v>
      </c>
      <c r="E2497" s="138">
        <f>VLOOKUP(Purchase[[#This Row],[Supplier ID]],Supplier[#All],3,0)</f>
        <v>9689542492</v>
      </c>
      <c r="F2497" s="138" t="str">
        <f>VLOOKUP(Purchase[[#This Row],[Supplier ID]],Supplier[#All],4,0)</f>
        <v>Kanpur</v>
      </c>
      <c r="G2497" s="138" t="str">
        <f>VLOOKUP(Purchase[[#This Row],[Supplier ID]],Supplier[#All],5,0)</f>
        <v>UP</v>
      </c>
      <c r="H2497" s="138" t="str">
        <f>VLOOKUP(Purchase[[#This Row],[Supplier ID]],Supplier[#All],6,0)</f>
        <v>GST2154521T054</v>
      </c>
      <c r="I2497" s="138" t="s">
        <v>137</v>
      </c>
      <c r="J2497" s="139">
        <v>4</v>
      </c>
      <c r="K2497" s="143">
        <f>VLOOKUP(Purchase[[#This Row],[Product ID]],Product[#All],6,0)</f>
        <v>6071</v>
      </c>
      <c r="L2497" s="143">
        <f>Purchase[[#This Row],[Purchase Rate]]*Purchase[[#This Row],[Qty]]</f>
        <v>24284</v>
      </c>
      <c r="M2497" s="140">
        <v>0</v>
      </c>
      <c r="N2497" s="143">
        <v>0</v>
      </c>
      <c r="O2497" s="140">
        <v>0.18</v>
      </c>
      <c r="P2497" s="145">
        <f>(Purchase[[#This Row],[Gross Amount]]-Purchase[[#This Row],[Disct %]])*Purchase[[#This Row],[GST %]]</f>
        <v>4371.12</v>
      </c>
      <c r="Q2497" s="145">
        <f>Purchase[[#This Row],[Gross Amount]]-Purchase[[#This Row],[Disct Amnt]]+Purchase[[#This Row],[GST Amount]]</f>
        <v>28655.119999999999</v>
      </c>
      <c r="R2497" s="138" t="s">
        <v>1019</v>
      </c>
      <c r="S2497" s="41">
        <f>IF(Purchase[[#This Row],[Status]]="Cancelled",0,Purchase[[#This Row],[Qty]])</f>
        <v>4</v>
      </c>
      <c r="T2497" s="146">
        <f>IF(Purchase[[#This Row],[Status]]="Cancelled",0,Purchase[[#This Row],[Total Amount]])</f>
        <v>28655.119999999999</v>
      </c>
      <c r="U2497" s="146">
        <f>SUM(Purchase[Net Amount])</f>
        <v>814985438.68000126</v>
      </c>
    </row>
    <row r="2498" spans="1:21" ht="19.5" thickBot="1" x14ac:dyDescent="0.3">
      <c r="A2498" s="136" t="s">
        <v>3556</v>
      </c>
      <c r="B2498" s="137">
        <v>45781</v>
      </c>
      <c r="C2498" s="138" t="s">
        <v>606</v>
      </c>
      <c r="D2498" s="138" t="str">
        <f>VLOOKUP(Purchase[[#This Row],[Supplier ID]],Supplier[#All],2,0)</f>
        <v>Prime Traders</v>
      </c>
      <c r="E2498" s="138">
        <f>VLOOKUP(Purchase[[#This Row],[Supplier ID]],Supplier[#All],3,0)</f>
        <v>9689542489</v>
      </c>
      <c r="F2498" s="138" t="str">
        <f>VLOOKUP(Purchase[[#This Row],[Supplier ID]],Supplier[#All],4,0)</f>
        <v>Indore</v>
      </c>
      <c r="G2498" s="138" t="str">
        <f>VLOOKUP(Purchase[[#This Row],[Supplier ID]],Supplier[#All],5,0)</f>
        <v>MP</v>
      </c>
      <c r="H2498" s="138" t="str">
        <f>VLOOKUP(Purchase[[#This Row],[Supplier ID]],Supplier[#All],6,0)</f>
        <v>GST2154521T051</v>
      </c>
      <c r="I2498" s="138" t="s">
        <v>264</v>
      </c>
      <c r="J2498" s="139">
        <v>15</v>
      </c>
      <c r="K2498" s="143">
        <f>VLOOKUP(Purchase[[#This Row],[Product ID]],Product[#All],6,0)</f>
        <v>58038</v>
      </c>
      <c r="L2498" s="143">
        <f>Purchase[[#This Row],[Purchase Rate]]*Purchase[[#This Row],[Qty]]</f>
        <v>870570</v>
      </c>
      <c r="M2498" s="140">
        <v>0</v>
      </c>
      <c r="N2498" s="143">
        <v>0</v>
      </c>
      <c r="O2498" s="140">
        <v>0.18</v>
      </c>
      <c r="P2498" s="145">
        <f>(Purchase[[#This Row],[Gross Amount]]-Purchase[[#This Row],[Disct %]])*Purchase[[#This Row],[GST %]]</f>
        <v>156702.6</v>
      </c>
      <c r="Q2498" s="145">
        <f>Purchase[[#This Row],[Gross Amount]]-Purchase[[#This Row],[Disct Amnt]]+Purchase[[#This Row],[GST Amount]]</f>
        <v>1027272.6</v>
      </c>
      <c r="R2498" s="138" t="s">
        <v>1019</v>
      </c>
      <c r="S2498" s="41">
        <f>IF(Purchase[[#This Row],[Status]]="Cancelled",0,Purchase[[#This Row],[Qty]])</f>
        <v>15</v>
      </c>
      <c r="T2498" s="146">
        <f>IF(Purchase[[#This Row],[Status]]="Cancelled",0,Purchase[[#This Row],[Total Amount]])</f>
        <v>1027272.6</v>
      </c>
      <c r="U2498" s="146">
        <f>SUM(Purchase[Net Amount])</f>
        <v>814985438.68000126</v>
      </c>
    </row>
    <row r="2499" spans="1:21" s="4" customFormat="1" ht="19.5" thickBot="1" x14ac:dyDescent="0.3">
      <c r="A2499" s="136" t="s">
        <v>3557</v>
      </c>
      <c r="B2499" s="137">
        <v>45781</v>
      </c>
      <c r="C2499" s="138" t="s">
        <v>579</v>
      </c>
      <c r="D2499" s="138" t="str">
        <f>VLOOKUP(Purchase[[#This Row],[Supplier ID]],Supplier[#All],2,0)</f>
        <v>Tech Traders</v>
      </c>
      <c r="E2499" s="138">
        <f>VLOOKUP(Purchase[[#This Row],[Supplier ID]],Supplier[#All],3,0)</f>
        <v>9689542463</v>
      </c>
      <c r="F2499" s="138" t="str">
        <f>VLOOKUP(Purchase[[#This Row],[Supplier ID]],Supplier[#All],4,0)</f>
        <v>Kanpur</v>
      </c>
      <c r="G2499" s="138" t="str">
        <f>VLOOKUP(Purchase[[#This Row],[Supplier ID]],Supplier[#All],5,0)</f>
        <v>UP</v>
      </c>
      <c r="H2499" s="138" t="str">
        <f>VLOOKUP(Purchase[[#This Row],[Supplier ID]],Supplier[#All],6,0)</f>
        <v>GST2154521T025</v>
      </c>
      <c r="I2499" s="138" t="s">
        <v>165</v>
      </c>
      <c r="J2499" s="139">
        <v>25</v>
      </c>
      <c r="K2499" s="143">
        <f>VLOOKUP(Purchase[[#This Row],[Product ID]],Product[#All],6,0)</f>
        <v>6875</v>
      </c>
      <c r="L2499" s="143">
        <f>Purchase[[#This Row],[Purchase Rate]]*Purchase[[#This Row],[Qty]]</f>
        <v>171875</v>
      </c>
      <c r="M2499" s="140">
        <v>0</v>
      </c>
      <c r="N2499" s="143">
        <v>0</v>
      </c>
      <c r="O2499" s="140">
        <v>0.18</v>
      </c>
      <c r="P2499" s="145">
        <f>(Purchase[[#This Row],[Gross Amount]]-Purchase[[#This Row],[Disct %]])*Purchase[[#This Row],[GST %]]</f>
        <v>30937.5</v>
      </c>
      <c r="Q2499" s="145">
        <f>Purchase[[#This Row],[Gross Amount]]-Purchase[[#This Row],[Disct Amnt]]+Purchase[[#This Row],[GST Amount]]</f>
        <v>202812.5</v>
      </c>
      <c r="R2499" s="138" t="s">
        <v>1040</v>
      </c>
      <c r="S2499" s="41">
        <f>IF(Purchase[[#This Row],[Status]]="Cancelled",0,Purchase[[#This Row],[Qty]])</f>
        <v>0</v>
      </c>
      <c r="T2499" s="146">
        <f>IF(Purchase[[#This Row],[Status]]="Cancelled",0,Purchase[[#This Row],[Total Amount]])</f>
        <v>0</v>
      </c>
      <c r="U2499" s="146">
        <f>SUM(Purchase[Net Amount])</f>
        <v>814985438.68000126</v>
      </c>
    </row>
    <row r="2500" spans="1:21" ht="19.5" thickBot="1" x14ac:dyDescent="0.3">
      <c r="A2500" s="136" t="s">
        <v>3558</v>
      </c>
      <c r="B2500" s="137">
        <v>45781</v>
      </c>
      <c r="C2500" s="138" t="s">
        <v>597</v>
      </c>
      <c r="D2500" s="138" t="str">
        <f>VLOOKUP(Purchase[[#This Row],[Supplier ID]],Supplier[#All],2,0)</f>
        <v>Tech Traders</v>
      </c>
      <c r="E2500" s="138">
        <f>VLOOKUP(Purchase[[#This Row],[Supplier ID]],Supplier[#All],3,0)</f>
        <v>9689542480</v>
      </c>
      <c r="F2500" s="138" t="str">
        <f>VLOOKUP(Purchase[[#This Row],[Supplier ID]],Supplier[#All],4,0)</f>
        <v>Kanpur</v>
      </c>
      <c r="G2500" s="138" t="str">
        <f>VLOOKUP(Purchase[[#This Row],[Supplier ID]],Supplier[#All],5,0)</f>
        <v>UP</v>
      </c>
      <c r="H2500" s="138" t="str">
        <f>VLOOKUP(Purchase[[#This Row],[Supplier ID]],Supplier[#All],6,0)</f>
        <v>GST2154521T042</v>
      </c>
      <c r="I2500" s="138" t="s">
        <v>519</v>
      </c>
      <c r="J2500" s="139">
        <v>38</v>
      </c>
      <c r="K2500" s="143">
        <f>VLOOKUP(Purchase[[#This Row],[Product ID]],Product[#All],6,0)</f>
        <v>7430</v>
      </c>
      <c r="L2500" s="143">
        <f>Purchase[[#This Row],[Purchase Rate]]*Purchase[[#This Row],[Qty]]</f>
        <v>282340</v>
      </c>
      <c r="M2500" s="140">
        <v>0</v>
      </c>
      <c r="N2500" s="143">
        <v>0</v>
      </c>
      <c r="O2500" s="140">
        <v>0.18</v>
      </c>
      <c r="P2500" s="145">
        <f>(Purchase[[#This Row],[Gross Amount]]-Purchase[[#This Row],[Disct %]])*Purchase[[#This Row],[GST %]]</f>
        <v>50821.2</v>
      </c>
      <c r="Q2500" s="145">
        <f>Purchase[[#This Row],[Gross Amount]]-Purchase[[#This Row],[Disct Amnt]]+Purchase[[#This Row],[GST Amount]]</f>
        <v>333161.2</v>
      </c>
      <c r="R2500" s="138" t="s">
        <v>1019</v>
      </c>
      <c r="S2500" s="41">
        <f>IF(Purchase[[#This Row],[Status]]="Cancelled",0,Purchase[[#This Row],[Qty]])</f>
        <v>38</v>
      </c>
      <c r="T2500" s="146">
        <f>IF(Purchase[[#This Row],[Status]]="Cancelled",0,Purchase[[#This Row],[Total Amount]])</f>
        <v>333161.2</v>
      </c>
      <c r="U2500" s="146">
        <f>SUM(Purchase[Net Amount])</f>
        <v>814985438.68000126</v>
      </c>
    </row>
    <row r="2501" spans="1:21" ht="19.5" thickBot="1" x14ac:dyDescent="0.3">
      <c r="A2501" s="149" t="s">
        <v>3559</v>
      </c>
      <c r="B2501" s="150">
        <v>45781</v>
      </c>
      <c r="C2501" s="151" t="s">
        <v>567</v>
      </c>
      <c r="D2501" s="151" t="str">
        <f>VLOOKUP(Purchase[[#This Row],[Supplier ID]],Supplier[#All],2,0)</f>
        <v>National Distributors</v>
      </c>
      <c r="E2501" s="151">
        <f>VLOOKUP(Purchase[[#This Row],[Supplier ID]],Supplier[#All],3,0)</f>
        <v>9689542453</v>
      </c>
      <c r="F2501" s="151" t="str">
        <f>VLOOKUP(Purchase[[#This Row],[Supplier ID]],Supplier[#All],4,0)</f>
        <v>Korba</v>
      </c>
      <c r="G2501" s="151" t="str">
        <f>VLOOKUP(Purchase[[#This Row],[Supplier ID]],Supplier[#All],5,0)</f>
        <v>CG</v>
      </c>
      <c r="H2501" s="151" t="str">
        <f>VLOOKUP(Purchase[[#This Row],[Supplier ID]],Supplier[#All],6,0)</f>
        <v>GST2154521T015</v>
      </c>
      <c r="I2501" s="151" t="s">
        <v>256</v>
      </c>
      <c r="J2501" s="152">
        <v>17</v>
      </c>
      <c r="K2501" s="143">
        <f>VLOOKUP(Purchase[[#This Row],[Product ID]],Product[#All],6,0)</f>
        <v>82676</v>
      </c>
      <c r="L2501" s="153">
        <f>Purchase[[#This Row],[Purchase Rate]]*Purchase[[#This Row],[Qty]]</f>
        <v>1405492</v>
      </c>
      <c r="M2501" s="140">
        <v>0</v>
      </c>
      <c r="N2501" s="143">
        <v>0</v>
      </c>
      <c r="O2501" s="140">
        <v>0.18</v>
      </c>
      <c r="P2501" s="145">
        <f>(Purchase[[#This Row],[Gross Amount]]-Purchase[[#This Row],[Disct %]])*Purchase[[#This Row],[GST %]]</f>
        <v>252988.56</v>
      </c>
      <c r="Q2501" s="154">
        <f>Purchase[[#This Row],[Gross Amount]]-Purchase[[#This Row],[Disct Amnt]]+Purchase[[#This Row],[GST Amount]]</f>
        <v>1658480.56</v>
      </c>
      <c r="R2501" s="151" t="s">
        <v>1019</v>
      </c>
      <c r="S2501" s="42">
        <f>IF(Purchase[[#This Row],[Status]]="Cancelled",0,Purchase[[#This Row],[Qty]])</f>
        <v>17</v>
      </c>
      <c r="T2501" s="146">
        <f>IF(Purchase[[#This Row],[Status]]="Cancelled",0,Purchase[[#This Row],[Total Amount]])</f>
        <v>1658480.56</v>
      </c>
      <c r="U2501" s="146">
        <f>SUM(Purchase[Net Amount])</f>
        <v>814985438.68000126</v>
      </c>
    </row>
  </sheetData>
  <mergeCells count="1">
    <mergeCell ref="A1:U1"/>
  </mergeCells>
  <conditionalFormatting sqref="S2 R2:R1048576">
    <cfRule type="containsText" dxfId="66" priority="1" operator="containsText" text="Cancelled">
      <formula>NOT(ISERROR(SEARCH("Cancelled",R2)))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8909B-A113-4119-B989-A202500E5A00}">
  <sheetPr codeName="Sheet6"/>
  <dimension ref="A1:U5005"/>
  <sheetViews>
    <sheetView topLeftCell="A4981" zoomScale="115" zoomScaleNormal="115" workbookViewId="0">
      <selection activeCell="D5005" sqref="D5005"/>
    </sheetView>
  </sheetViews>
  <sheetFormatPr defaultRowHeight="15" x14ac:dyDescent="0.25"/>
  <cols>
    <col min="1" max="1" width="13.5703125" bestFit="1" customWidth="1"/>
    <col min="2" max="2" width="12.140625" customWidth="1"/>
    <col min="3" max="3" width="13.5703125" customWidth="1"/>
    <col min="4" max="4" width="18.42578125" bestFit="1" customWidth="1"/>
    <col min="5" max="5" width="10.85546875" customWidth="1"/>
    <col min="6" max="6" width="25.28515625" customWidth="1"/>
    <col min="7" max="7" width="5.85546875" customWidth="1"/>
    <col min="8" max="8" width="10.140625" customWidth="1"/>
    <col min="9" max="9" width="10.85546875" customWidth="1"/>
    <col min="10" max="10" width="7" customWidth="1"/>
    <col min="11" max="11" width="10.28515625" customWidth="1"/>
    <col min="12" max="12" width="7.28515625" style="186" customWidth="1"/>
    <col min="13" max="13" width="11.28515625" customWidth="1"/>
    <col min="14" max="14" width="11.140625" customWidth="1"/>
    <col min="15" max="15" width="9.42578125" customWidth="1"/>
    <col min="16" max="16" width="13.140625" bestFit="1" customWidth="1"/>
    <col min="17" max="17" width="7.140625" customWidth="1"/>
    <col min="18" max="18" width="11" customWidth="1"/>
    <col min="19" max="19" width="14.42578125" customWidth="1"/>
  </cols>
  <sheetData>
    <row r="1" spans="1:21" s="11" customFormat="1" ht="28.5" x14ac:dyDescent="0.25">
      <c r="A1" s="191" t="s">
        <v>8776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</row>
    <row r="2" spans="1:21" ht="42.75" customHeight="1" x14ac:dyDescent="0.25">
      <c r="A2" s="47" t="s">
        <v>8734</v>
      </c>
      <c r="B2" s="48" t="s">
        <v>8733</v>
      </c>
      <c r="C2" s="49" t="s">
        <v>8721</v>
      </c>
      <c r="D2" s="49" t="s">
        <v>1013</v>
      </c>
      <c r="E2" s="49" t="s">
        <v>555</v>
      </c>
      <c r="F2" s="49" t="s">
        <v>556</v>
      </c>
      <c r="G2" s="50" t="s">
        <v>1016</v>
      </c>
      <c r="H2" s="147" t="s">
        <v>8735</v>
      </c>
      <c r="I2" s="147" t="s">
        <v>8736</v>
      </c>
      <c r="J2" s="50" t="s">
        <v>8874</v>
      </c>
      <c r="K2" s="51" t="s">
        <v>8875</v>
      </c>
      <c r="L2" s="185" t="s">
        <v>8780</v>
      </c>
      <c r="M2" s="51" t="s">
        <v>8782</v>
      </c>
      <c r="N2" s="147" t="s">
        <v>8769</v>
      </c>
      <c r="O2" s="49" t="s">
        <v>8877</v>
      </c>
      <c r="P2" s="49" t="s">
        <v>1017</v>
      </c>
      <c r="Q2" s="49" t="s">
        <v>8768</v>
      </c>
      <c r="R2" s="50" t="s">
        <v>8737</v>
      </c>
      <c r="S2" s="141" t="s">
        <v>8718</v>
      </c>
    </row>
    <row r="3" spans="1:21" ht="18.75" x14ac:dyDescent="0.25">
      <c r="A3" s="156" t="s">
        <v>3560</v>
      </c>
      <c r="B3" s="157">
        <v>45781</v>
      </c>
      <c r="C3" s="158" t="s">
        <v>849</v>
      </c>
      <c r="D3" s="159" t="str">
        <f>VLOOKUP(Sales[[#This Row],[Customer ID]],Customer[#All],2,0)</f>
        <v>Sunita Sharma</v>
      </c>
      <c r="E3" s="158" t="s">
        <v>179</v>
      </c>
      <c r="F3" s="158" t="str">
        <f>VLOOKUP(Sales[[#This Row],[Product ID]],Product[#All],2,0)</f>
        <v>TP-link Wi-Fi Adapter</v>
      </c>
      <c r="G3" s="159">
        <v>2</v>
      </c>
      <c r="H3" s="160">
        <f>VLOOKUP(Sales[[#This Row],[Product ID]],Product[#All],7,0)</f>
        <v>1490</v>
      </c>
      <c r="I3" s="160">
        <f>Sales[[#This Row],[Selling Rate]]*Sales[[#This Row],[Qty]]</f>
        <v>2980</v>
      </c>
      <c r="J3" s="43">
        <v>0.1</v>
      </c>
      <c r="K3" s="44">
        <f>Sales[[#This Row],[Gross Amount]]*Sales[[#This Row],[Disc %]]</f>
        <v>298</v>
      </c>
      <c r="L3" s="43">
        <v>0.18</v>
      </c>
      <c r="M3" s="44">
        <f>(Sales[[#This Row],[Gross Amount]]-Sales[[#This Row],[Disc. Amt.]])*Sales[[#This Row],[GST %]]</f>
        <v>482.76</v>
      </c>
      <c r="N3" s="161">
        <f>Sales[[#This Row],[Gross Amount]]-Sales[[#This Row],[Disc. Amt.]]+Sales[[#This Row],[GST Amount]]</f>
        <v>3164.76</v>
      </c>
      <c r="O3" s="158" t="s">
        <v>3561</v>
      </c>
      <c r="P3" s="158" t="s">
        <v>3562</v>
      </c>
      <c r="Q3" s="160">
        <f>IF(Sales[[#This Row],[Status]]="Cancelled",0,Sales[[#This Row],[Qty]])</f>
        <v>2</v>
      </c>
      <c r="R3" s="161">
        <f>IF(Sales[[#This Row],[Status]]="Cancelled",0,Sales[[#This Row],[Total Amount]])</f>
        <v>3164.76</v>
      </c>
      <c r="S3" s="162">
        <f>SUM(Sales[Net Amount])</f>
        <v>406839287.73200053</v>
      </c>
      <c r="T3" s="10"/>
      <c r="U3" s="10"/>
    </row>
    <row r="4" spans="1:21" ht="18.75" x14ac:dyDescent="0.25">
      <c r="A4" s="163" t="s">
        <v>3563</v>
      </c>
      <c r="B4" s="164">
        <v>45781</v>
      </c>
      <c r="C4" s="34" t="s">
        <v>686</v>
      </c>
      <c r="D4" s="53" t="str">
        <f>VLOOKUP(Sales[[#This Row],[Customer ID]],Customer[#All],2,0)</f>
        <v>Priya Gupta</v>
      </c>
      <c r="E4" s="34" t="s">
        <v>347</v>
      </c>
      <c r="F4" s="34" t="str">
        <f>VLOOKUP(Sales[[#This Row],[Product ID]],Product[#All],2,0)</f>
        <v>Logitech Mouse</v>
      </c>
      <c r="G4" s="53">
        <v>6</v>
      </c>
      <c r="H4" s="165">
        <f>VLOOKUP(Sales[[#This Row],[Product ID]],Product[#All],7,0)</f>
        <v>680</v>
      </c>
      <c r="I4" s="165">
        <f>Sales[[#This Row],[Selling Rate]]*Sales[[#This Row],[Qty]]</f>
        <v>4080</v>
      </c>
      <c r="J4" s="45">
        <v>0</v>
      </c>
      <c r="K4" s="46">
        <f>Sales[[#This Row],[Gross Amount]]*Sales[[#This Row],[Disc %]]</f>
        <v>0</v>
      </c>
      <c r="L4" s="43">
        <v>0.18</v>
      </c>
      <c r="M4" s="46">
        <f>(Sales[[#This Row],[Gross Amount]]-Sales[[#This Row],[Disc. Amt.]])*Sales[[#This Row],[GST %]]</f>
        <v>734.4</v>
      </c>
      <c r="N4" s="161">
        <f>Sales[[#This Row],[Gross Amount]]-Sales[[#This Row],[Disc. Amt.]]+Sales[[#This Row],[GST Amount]]</f>
        <v>4814.3999999999996</v>
      </c>
      <c r="O4" s="34" t="s">
        <v>8876</v>
      </c>
      <c r="P4" s="34" t="s">
        <v>3562</v>
      </c>
      <c r="Q4" s="165">
        <f>IF(Sales[[#This Row],[Status]]="Cancelled",0,Sales[[#This Row],[Qty]])</f>
        <v>6</v>
      </c>
      <c r="R4" s="166">
        <f>IF(Sales[[#This Row],[Status]]="Cancelled",0,Sales[[#This Row],[Total Amount]])</f>
        <v>4814.3999999999996</v>
      </c>
      <c r="S4" s="162">
        <f>SUM(Sales[Net Amount])</f>
        <v>406839287.73200053</v>
      </c>
    </row>
    <row r="5" spans="1:21" ht="18.75" x14ac:dyDescent="0.25">
      <c r="A5" s="156" t="s">
        <v>3564</v>
      </c>
      <c r="B5" s="157">
        <v>45781</v>
      </c>
      <c r="C5" s="158" t="s">
        <v>675</v>
      </c>
      <c r="D5" s="159" t="str">
        <f>VLOOKUP(Sales[[#This Row],[Customer ID]],Customer[#All],2,0)</f>
        <v>Rahul Gupta</v>
      </c>
      <c r="E5" s="158" t="s">
        <v>312</v>
      </c>
      <c r="F5" s="158" t="str">
        <f>VLOOKUP(Sales[[#This Row],[Product ID]],Product[#All],2,0)</f>
        <v>Dell Desktop</v>
      </c>
      <c r="G5" s="159">
        <v>7</v>
      </c>
      <c r="H5" s="160">
        <f>VLOOKUP(Sales[[#This Row],[Product ID]],Product[#All],7,0)</f>
        <v>59050</v>
      </c>
      <c r="I5" s="160">
        <f>Sales[[#This Row],[Selling Rate]]*Sales[[#This Row],[Qty]]</f>
        <v>413350</v>
      </c>
      <c r="J5" s="43">
        <v>0.05</v>
      </c>
      <c r="K5" s="44">
        <f>Sales[[#This Row],[Gross Amount]]*Sales[[#This Row],[Disc %]]</f>
        <v>20667.5</v>
      </c>
      <c r="L5" s="43">
        <v>0.18</v>
      </c>
      <c r="M5" s="44">
        <f>(Sales[[#This Row],[Gross Amount]]-Sales[[#This Row],[Disc. Amt.]])*Sales[[#This Row],[GST %]]</f>
        <v>70682.849999999991</v>
      </c>
      <c r="N5" s="161">
        <f>Sales[[#This Row],[Gross Amount]]-Sales[[#This Row],[Disc. Amt.]]+Sales[[#This Row],[GST Amount]]</f>
        <v>463365.35</v>
      </c>
      <c r="O5" s="158" t="s">
        <v>3561</v>
      </c>
      <c r="P5" s="158" t="s">
        <v>3562</v>
      </c>
      <c r="Q5" s="160">
        <f>IF(Sales[[#This Row],[Status]]="Cancelled",0,Sales[[#This Row],[Qty]])</f>
        <v>7</v>
      </c>
      <c r="R5" s="161">
        <f>IF(Sales[[#This Row],[Status]]="Cancelled",0,Sales[[#This Row],[Total Amount]])</f>
        <v>463365.35</v>
      </c>
      <c r="S5" s="162">
        <f>SUM(Sales[Net Amount])</f>
        <v>406839287.73200053</v>
      </c>
    </row>
    <row r="6" spans="1:21" ht="18.75" x14ac:dyDescent="0.25">
      <c r="A6" s="163" t="s">
        <v>3565</v>
      </c>
      <c r="B6" s="164">
        <v>45781</v>
      </c>
      <c r="C6" s="34" t="s">
        <v>857</v>
      </c>
      <c r="D6" s="53" t="str">
        <f>VLOOKUP(Sales[[#This Row],[Customer ID]],Customer[#All],2,0)</f>
        <v>Pooja Singh</v>
      </c>
      <c r="E6" s="34" t="s">
        <v>184</v>
      </c>
      <c r="F6" s="34" t="str">
        <f>VLOOKUP(Sales[[#This Row],[Product ID]],Product[#All],2,0)</f>
        <v>Seagate HDD</v>
      </c>
      <c r="G6" s="53">
        <v>2</v>
      </c>
      <c r="H6" s="165">
        <f>VLOOKUP(Sales[[#This Row],[Product ID]],Product[#All],7,0)</f>
        <v>11550</v>
      </c>
      <c r="I6" s="165">
        <f>Sales[[#This Row],[Selling Rate]]*Sales[[#This Row],[Qty]]</f>
        <v>23100</v>
      </c>
      <c r="J6" s="45">
        <v>0.15</v>
      </c>
      <c r="K6" s="46">
        <f>Sales[[#This Row],[Gross Amount]]*Sales[[#This Row],[Disc %]]</f>
        <v>3465</v>
      </c>
      <c r="L6" s="43">
        <v>0.18</v>
      </c>
      <c r="M6" s="46">
        <f>(Sales[[#This Row],[Gross Amount]]-Sales[[#This Row],[Disc. Amt.]])*Sales[[#This Row],[GST %]]</f>
        <v>3534.2999999999997</v>
      </c>
      <c r="N6" s="161">
        <f>Sales[[#This Row],[Gross Amount]]-Sales[[#This Row],[Disc. Amt.]]+Sales[[#This Row],[GST Amount]]</f>
        <v>23169.3</v>
      </c>
      <c r="O6" s="34" t="s">
        <v>3566</v>
      </c>
      <c r="P6" s="34" t="s">
        <v>3562</v>
      </c>
      <c r="Q6" s="165">
        <f>IF(Sales[[#This Row],[Status]]="Cancelled",0,Sales[[#This Row],[Qty]])</f>
        <v>2</v>
      </c>
      <c r="R6" s="166">
        <f>IF(Sales[[#This Row],[Status]]="Cancelled",0,Sales[[#This Row],[Total Amount]])</f>
        <v>23169.3</v>
      </c>
      <c r="S6" s="162">
        <f>SUM(Sales[Net Amount])</f>
        <v>406839287.73200053</v>
      </c>
    </row>
    <row r="7" spans="1:21" ht="18.75" x14ac:dyDescent="0.25">
      <c r="A7" s="156" t="s">
        <v>3567</v>
      </c>
      <c r="B7" s="157">
        <v>45781</v>
      </c>
      <c r="C7" s="158" t="s">
        <v>738</v>
      </c>
      <c r="D7" s="159" t="str">
        <f>VLOOKUP(Sales[[#This Row],[Customer ID]],Customer[#All],2,0)</f>
        <v>Pooja Patel</v>
      </c>
      <c r="E7" s="158" t="s">
        <v>445</v>
      </c>
      <c r="F7" s="158" t="str">
        <f>VLOOKUP(Sales[[#This Row],[Product ID]],Product[#All],2,0)</f>
        <v>Lenovo Laptop</v>
      </c>
      <c r="G7" s="159">
        <v>5</v>
      </c>
      <c r="H7" s="160">
        <f>VLOOKUP(Sales[[#This Row],[Product ID]],Product[#All],7,0)</f>
        <v>37710</v>
      </c>
      <c r="I7" s="160">
        <f>Sales[[#This Row],[Selling Rate]]*Sales[[#This Row],[Qty]]</f>
        <v>188550</v>
      </c>
      <c r="J7" s="43">
        <v>0</v>
      </c>
      <c r="K7" s="44">
        <f>Sales[[#This Row],[Gross Amount]]*Sales[[#This Row],[Disc %]]</f>
        <v>0</v>
      </c>
      <c r="L7" s="43">
        <v>0.18</v>
      </c>
      <c r="M7" s="44">
        <f>(Sales[[#This Row],[Gross Amount]]-Sales[[#This Row],[Disc. Amt.]])*Sales[[#This Row],[GST %]]</f>
        <v>33939</v>
      </c>
      <c r="N7" s="161">
        <f>Sales[[#This Row],[Gross Amount]]-Sales[[#This Row],[Disc. Amt.]]+Sales[[#This Row],[GST Amount]]</f>
        <v>222489</v>
      </c>
      <c r="O7" s="158" t="s">
        <v>8876</v>
      </c>
      <c r="P7" s="158" t="s">
        <v>3562</v>
      </c>
      <c r="Q7" s="160">
        <f>IF(Sales[[#This Row],[Status]]="Cancelled",0,Sales[[#This Row],[Qty]])</f>
        <v>5</v>
      </c>
      <c r="R7" s="161">
        <f>IF(Sales[[#This Row],[Status]]="Cancelled",0,Sales[[#This Row],[Total Amount]])</f>
        <v>222489</v>
      </c>
      <c r="S7" s="162">
        <f>SUM(Sales[Net Amount])</f>
        <v>406839287.73200053</v>
      </c>
    </row>
    <row r="8" spans="1:21" ht="18.75" x14ac:dyDescent="0.25">
      <c r="A8" s="163" t="s">
        <v>3568</v>
      </c>
      <c r="B8" s="164">
        <v>45781</v>
      </c>
      <c r="C8" s="34" t="s">
        <v>868</v>
      </c>
      <c r="D8" s="53" t="str">
        <f>VLOOKUP(Sales[[#This Row],[Customer ID]],Customer[#All],2,0)</f>
        <v>Rahul Verma</v>
      </c>
      <c r="E8" s="34" t="s">
        <v>301</v>
      </c>
      <c r="F8" s="34" t="str">
        <f>VLOOKUP(Sales[[#This Row],[Product ID]],Product[#All],2,0)</f>
        <v>Logitech Keyboard</v>
      </c>
      <c r="G8" s="53">
        <v>6</v>
      </c>
      <c r="H8" s="165">
        <f>VLOOKUP(Sales[[#This Row],[Product ID]],Product[#All],7,0)</f>
        <v>1100</v>
      </c>
      <c r="I8" s="165">
        <f>Sales[[#This Row],[Selling Rate]]*Sales[[#This Row],[Qty]]</f>
        <v>6600</v>
      </c>
      <c r="J8" s="45">
        <v>0</v>
      </c>
      <c r="K8" s="46">
        <f>Sales[[#This Row],[Gross Amount]]*Sales[[#This Row],[Disc %]]</f>
        <v>0</v>
      </c>
      <c r="L8" s="43">
        <v>0.18</v>
      </c>
      <c r="M8" s="46">
        <f>(Sales[[#This Row],[Gross Amount]]-Sales[[#This Row],[Disc. Amt.]])*Sales[[#This Row],[GST %]]</f>
        <v>1188</v>
      </c>
      <c r="N8" s="161">
        <f>Sales[[#This Row],[Gross Amount]]-Sales[[#This Row],[Disc. Amt.]]+Sales[[#This Row],[GST Amount]]</f>
        <v>7788</v>
      </c>
      <c r="O8" s="34" t="s">
        <v>3569</v>
      </c>
      <c r="P8" s="34" t="s">
        <v>3562</v>
      </c>
      <c r="Q8" s="165">
        <f>IF(Sales[[#This Row],[Status]]="Cancelled",0,Sales[[#This Row],[Qty]])</f>
        <v>6</v>
      </c>
      <c r="R8" s="166">
        <f>IF(Sales[[#This Row],[Status]]="Cancelled",0,Sales[[#This Row],[Total Amount]])</f>
        <v>7788</v>
      </c>
      <c r="S8" s="162">
        <f>SUM(Sales[Net Amount])</f>
        <v>406839287.73200053</v>
      </c>
    </row>
    <row r="9" spans="1:21" ht="18.75" x14ac:dyDescent="0.25">
      <c r="A9" s="156" t="s">
        <v>3570</v>
      </c>
      <c r="B9" s="157">
        <v>45781</v>
      </c>
      <c r="C9" s="158" t="s">
        <v>811</v>
      </c>
      <c r="D9" s="159" t="str">
        <f>VLOOKUP(Sales[[#This Row],[Customer ID]],Customer[#All],2,0)</f>
        <v>Rahul Sharma</v>
      </c>
      <c r="E9" s="158" t="s">
        <v>61</v>
      </c>
      <c r="F9" s="158" t="str">
        <f>VLOOKUP(Sales[[#This Row],[Product ID]],Product[#All],2,0)</f>
        <v>Boat Headset</v>
      </c>
      <c r="G9" s="159">
        <v>7</v>
      </c>
      <c r="H9" s="160">
        <f>VLOOKUP(Sales[[#This Row],[Product ID]],Product[#All],7,0)</f>
        <v>3570</v>
      </c>
      <c r="I9" s="160">
        <f>Sales[[#This Row],[Selling Rate]]*Sales[[#This Row],[Qty]]</f>
        <v>24990</v>
      </c>
      <c r="J9" s="43">
        <v>0</v>
      </c>
      <c r="K9" s="44">
        <f>Sales[[#This Row],[Gross Amount]]*Sales[[#This Row],[Disc %]]</f>
        <v>0</v>
      </c>
      <c r="L9" s="43">
        <v>0.18</v>
      </c>
      <c r="M9" s="44">
        <f>(Sales[[#This Row],[Gross Amount]]-Sales[[#This Row],[Disc. Amt.]])*Sales[[#This Row],[GST %]]</f>
        <v>4498.2</v>
      </c>
      <c r="N9" s="161">
        <f>Sales[[#This Row],[Gross Amount]]-Sales[[#This Row],[Disc. Amt.]]+Sales[[#This Row],[GST Amount]]</f>
        <v>29488.2</v>
      </c>
      <c r="O9" s="158" t="s">
        <v>3566</v>
      </c>
      <c r="P9" s="158" t="s">
        <v>3562</v>
      </c>
      <c r="Q9" s="160">
        <f>IF(Sales[[#This Row],[Status]]="Cancelled",0,Sales[[#This Row],[Qty]])</f>
        <v>7</v>
      </c>
      <c r="R9" s="161">
        <f>IF(Sales[[#This Row],[Status]]="Cancelled",0,Sales[[#This Row],[Total Amount]])</f>
        <v>29488.2</v>
      </c>
      <c r="S9" s="162">
        <f>SUM(Sales[Net Amount])</f>
        <v>406839287.73200053</v>
      </c>
    </row>
    <row r="10" spans="1:21" ht="18.75" x14ac:dyDescent="0.3">
      <c r="A10" s="163" t="s">
        <v>3571</v>
      </c>
      <c r="B10" s="164">
        <v>45782</v>
      </c>
      <c r="C10" s="34" t="s">
        <v>758</v>
      </c>
      <c r="D10" s="53" t="str">
        <f>VLOOKUP(Sales[[#This Row],[Customer ID]],Customer[#All],2,0)</f>
        <v>Rahul Verma</v>
      </c>
      <c r="E10" s="34" t="s">
        <v>111</v>
      </c>
      <c r="F10" s="34" t="str">
        <f>VLOOKUP(Sales[[#This Row],[Product ID]],Product[#All],2,0)</f>
        <v>Microtek UPS</v>
      </c>
      <c r="G10" s="53">
        <v>8</v>
      </c>
      <c r="H10" s="165">
        <f>VLOOKUP(Sales[[#This Row],[Product ID]],Product[#All],7,0)</f>
        <v>16680</v>
      </c>
      <c r="I10" s="165">
        <f>Sales[[#This Row],[Selling Rate]]*Sales[[#This Row],[Qty]]</f>
        <v>133440</v>
      </c>
      <c r="J10" s="45">
        <v>0.05</v>
      </c>
      <c r="K10" s="46">
        <f>Sales[[#This Row],[Gross Amount]]*Sales[[#This Row],[Disc %]]</f>
        <v>6672</v>
      </c>
      <c r="L10" s="43">
        <v>0.18</v>
      </c>
      <c r="M10" s="46">
        <f>(Sales[[#This Row],[Gross Amount]]-Sales[[#This Row],[Disc. Amt.]])*Sales[[#This Row],[GST %]]</f>
        <v>22818.239999999998</v>
      </c>
      <c r="N10" s="161">
        <f>Sales[[#This Row],[Gross Amount]]-Sales[[#This Row],[Disc. Amt.]]+Sales[[#This Row],[GST Amount]]</f>
        <v>149586.23999999999</v>
      </c>
      <c r="O10" s="34" t="s">
        <v>3566</v>
      </c>
      <c r="P10" s="34" t="s">
        <v>3562</v>
      </c>
      <c r="Q10" s="165">
        <f>IF(Sales[[#This Row],[Status]]="Cancelled",0,Sales[[#This Row],[Qty]])</f>
        <v>8</v>
      </c>
      <c r="R10" s="166">
        <f>IF(Sales[[#This Row],[Status]]="Cancelled",0,Sales[[#This Row],[Total Amount]])</f>
        <v>149586.23999999999</v>
      </c>
      <c r="S10" s="162">
        <f>SUM(Sales[Net Amount])</f>
        <v>406839287.73200053</v>
      </c>
      <c r="U10" s="7"/>
    </row>
    <row r="11" spans="1:21" ht="18.75" x14ac:dyDescent="0.25">
      <c r="A11" s="156" t="s">
        <v>3572</v>
      </c>
      <c r="B11" s="157">
        <v>45782</v>
      </c>
      <c r="C11" s="158" t="s">
        <v>680</v>
      </c>
      <c r="D11" s="159" t="str">
        <f>VLOOKUP(Sales[[#This Row],[Customer ID]],Customer[#All],2,0)</f>
        <v>Rahul Kumar</v>
      </c>
      <c r="E11" s="158" t="s">
        <v>125</v>
      </c>
      <c r="F11" s="158" t="str">
        <f>VLOOKUP(Sales[[#This Row],[Product ID]],Product[#All],2,0)</f>
        <v>HP Printer</v>
      </c>
      <c r="G11" s="159">
        <v>3</v>
      </c>
      <c r="H11" s="160">
        <f>VLOOKUP(Sales[[#This Row],[Product ID]],Product[#All],7,0)</f>
        <v>41620</v>
      </c>
      <c r="I11" s="160">
        <f>Sales[[#This Row],[Selling Rate]]*Sales[[#This Row],[Qty]]</f>
        <v>124860</v>
      </c>
      <c r="J11" s="43">
        <v>0.15</v>
      </c>
      <c r="K11" s="44">
        <f>Sales[[#This Row],[Gross Amount]]*Sales[[#This Row],[Disc %]]</f>
        <v>18729</v>
      </c>
      <c r="L11" s="43">
        <v>0.18</v>
      </c>
      <c r="M11" s="44">
        <f>(Sales[[#This Row],[Gross Amount]]-Sales[[#This Row],[Disc. Amt.]])*Sales[[#This Row],[GST %]]</f>
        <v>19103.579999999998</v>
      </c>
      <c r="N11" s="161">
        <f>Sales[[#This Row],[Gross Amount]]-Sales[[#This Row],[Disc. Amt.]]+Sales[[#This Row],[GST Amount]]</f>
        <v>125234.58</v>
      </c>
      <c r="O11" s="158" t="s">
        <v>3569</v>
      </c>
      <c r="P11" s="158" t="s">
        <v>3562</v>
      </c>
      <c r="Q11" s="160">
        <f>IF(Sales[[#This Row],[Status]]="Cancelled",0,Sales[[#This Row],[Qty]])</f>
        <v>3</v>
      </c>
      <c r="R11" s="161">
        <f>IF(Sales[[#This Row],[Status]]="Cancelled",0,Sales[[#This Row],[Total Amount]])</f>
        <v>125234.58</v>
      </c>
      <c r="S11" s="162">
        <f>SUM(Sales[Net Amount])</f>
        <v>406839287.73200053</v>
      </c>
    </row>
    <row r="12" spans="1:21" ht="18.75" x14ac:dyDescent="0.25">
      <c r="A12" s="163" t="s">
        <v>3573</v>
      </c>
      <c r="B12" s="164">
        <v>45782</v>
      </c>
      <c r="C12" s="34" t="s">
        <v>682</v>
      </c>
      <c r="D12" s="53" t="str">
        <f>VLOOKUP(Sales[[#This Row],[Customer ID]],Customer[#All],2,0)</f>
        <v>Rahul Sharma</v>
      </c>
      <c r="E12" s="34" t="s">
        <v>38</v>
      </c>
      <c r="F12" s="34" t="str">
        <f>VLOOKUP(Sales[[#This Row],[Product ID]],Product[#All],2,0)</f>
        <v>Lenovo Laptop</v>
      </c>
      <c r="G12" s="53">
        <v>7</v>
      </c>
      <c r="H12" s="165">
        <f>VLOOKUP(Sales[[#This Row],[Product ID]],Product[#All],7,0)</f>
        <v>77490</v>
      </c>
      <c r="I12" s="165">
        <f>Sales[[#This Row],[Selling Rate]]*Sales[[#This Row],[Qty]]</f>
        <v>542430</v>
      </c>
      <c r="J12" s="45">
        <v>0.05</v>
      </c>
      <c r="K12" s="46">
        <f>Sales[[#This Row],[Gross Amount]]*Sales[[#This Row],[Disc %]]</f>
        <v>27121.5</v>
      </c>
      <c r="L12" s="43">
        <v>0.18</v>
      </c>
      <c r="M12" s="46">
        <f>(Sales[[#This Row],[Gross Amount]]-Sales[[#This Row],[Disc. Amt.]])*Sales[[#This Row],[GST %]]</f>
        <v>92755.53</v>
      </c>
      <c r="N12" s="161">
        <f>Sales[[#This Row],[Gross Amount]]-Sales[[#This Row],[Disc. Amt.]]+Sales[[#This Row],[GST Amount]]</f>
        <v>608064.03</v>
      </c>
      <c r="O12" s="34" t="s">
        <v>3569</v>
      </c>
      <c r="P12" s="34" t="s">
        <v>3562</v>
      </c>
      <c r="Q12" s="165">
        <f>IF(Sales[[#This Row],[Status]]="Cancelled",0,Sales[[#This Row],[Qty]])</f>
        <v>7</v>
      </c>
      <c r="R12" s="166">
        <f>IF(Sales[[#This Row],[Status]]="Cancelled",0,Sales[[#This Row],[Total Amount]])</f>
        <v>608064.03</v>
      </c>
      <c r="S12" s="162">
        <f>SUM(Sales[Net Amount])</f>
        <v>406839287.73200053</v>
      </c>
    </row>
    <row r="13" spans="1:21" ht="18.75" x14ac:dyDescent="0.25">
      <c r="A13" s="156" t="s">
        <v>3574</v>
      </c>
      <c r="B13" s="157">
        <v>45782</v>
      </c>
      <c r="C13" s="158" t="s">
        <v>818</v>
      </c>
      <c r="D13" s="159" t="str">
        <f>VLOOKUP(Sales[[#This Row],[Customer ID]],Customer[#All],2,0)</f>
        <v>Rahul Sharma</v>
      </c>
      <c r="E13" s="158" t="s">
        <v>191</v>
      </c>
      <c r="F13" s="158" t="str">
        <f>VLOOKUP(Sales[[#This Row],[Product ID]],Product[#All],2,0)</f>
        <v>Logitech Keyboard</v>
      </c>
      <c r="G13" s="159">
        <v>3</v>
      </c>
      <c r="H13" s="160">
        <f>VLOOKUP(Sales[[#This Row],[Product ID]],Product[#All],7,0)</f>
        <v>2000</v>
      </c>
      <c r="I13" s="160">
        <f>Sales[[#This Row],[Selling Rate]]*Sales[[#This Row],[Qty]]</f>
        <v>6000</v>
      </c>
      <c r="J13" s="43">
        <v>0</v>
      </c>
      <c r="K13" s="44">
        <f>Sales[[#This Row],[Gross Amount]]*Sales[[#This Row],[Disc %]]</f>
        <v>0</v>
      </c>
      <c r="L13" s="43">
        <v>0.18</v>
      </c>
      <c r="M13" s="44">
        <f>(Sales[[#This Row],[Gross Amount]]-Sales[[#This Row],[Disc. Amt.]])*Sales[[#This Row],[GST %]]</f>
        <v>1080</v>
      </c>
      <c r="N13" s="161">
        <f>Sales[[#This Row],[Gross Amount]]-Sales[[#This Row],[Disc. Amt.]]+Sales[[#This Row],[GST Amount]]</f>
        <v>7080</v>
      </c>
      <c r="O13" s="158" t="s">
        <v>3569</v>
      </c>
      <c r="P13" s="158" t="s">
        <v>3562</v>
      </c>
      <c r="Q13" s="160">
        <f>IF(Sales[[#This Row],[Status]]="Cancelled",0,Sales[[#This Row],[Qty]])</f>
        <v>3</v>
      </c>
      <c r="R13" s="161">
        <f>IF(Sales[[#This Row],[Status]]="Cancelled",0,Sales[[#This Row],[Total Amount]])</f>
        <v>7080</v>
      </c>
      <c r="S13" s="162">
        <f>SUM(Sales[Net Amount])</f>
        <v>406839287.73200053</v>
      </c>
    </row>
    <row r="14" spans="1:21" ht="18.75" x14ac:dyDescent="0.25">
      <c r="A14" s="163" t="s">
        <v>3575</v>
      </c>
      <c r="B14" s="164">
        <v>45782</v>
      </c>
      <c r="C14" s="34" t="s">
        <v>941</v>
      </c>
      <c r="D14" s="53" t="str">
        <f>VLOOKUP(Sales[[#This Row],[Customer ID]],Customer[#All],2,0)</f>
        <v>Sahil Verma</v>
      </c>
      <c r="E14" s="34" t="s">
        <v>166</v>
      </c>
      <c r="F14" s="34" t="str">
        <f>VLOOKUP(Sales[[#This Row],[Product ID]],Product[#All],2,0)</f>
        <v>Canon Printer</v>
      </c>
      <c r="G14" s="53">
        <v>2</v>
      </c>
      <c r="H14" s="165">
        <f>VLOOKUP(Sales[[#This Row],[Product ID]],Product[#All],7,0)</f>
        <v>36680</v>
      </c>
      <c r="I14" s="165">
        <f>Sales[[#This Row],[Selling Rate]]*Sales[[#This Row],[Qty]]</f>
        <v>73360</v>
      </c>
      <c r="J14" s="45">
        <v>0</v>
      </c>
      <c r="K14" s="46">
        <f>Sales[[#This Row],[Gross Amount]]*Sales[[#This Row],[Disc %]]</f>
        <v>0</v>
      </c>
      <c r="L14" s="43">
        <v>0.18</v>
      </c>
      <c r="M14" s="46">
        <f>(Sales[[#This Row],[Gross Amount]]-Sales[[#This Row],[Disc. Amt.]])*Sales[[#This Row],[GST %]]</f>
        <v>13204.8</v>
      </c>
      <c r="N14" s="161">
        <f>Sales[[#This Row],[Gross Amount]]-Sales[[#This Row],[Disc. Amt.]]+Sales[[#This Row],[GST Amount]]</f>
        <v>86564.800000000003</v>
      </c>
      <c r="O14" s="34" t="s">
        <v>8876</v>
      </c>
      <c r="P14" s="34" t="s">
        <v>3562</v>
      </c>
      <c r="Q14" s="165">
        <f>IF(Sales[[#This Row],[Status]]="Cancelled",0,Sales[[#This Row],[Qty]])</f>
        <v>2</v>
      </c>
      <c r="R14" s="166">
        <f>IF(Sales[[#This Row],[Status]]="Cancelled",0,Sales[[#This Row],[Total Amount]])</f>
        <v>86564.800000000003</v>
      </c>
      <c r="S14" s="162">
        <f>SUM(Sales[Net Amount])</f>
        <v>406839287.73200053</v>
      </c>
    </row>
    <row r="15" spans="1:21" ht="18.75" x14ac:dyDescent="0.25">
      <c r="A15" s="156" t="s">
        <v>3576</v>
      </c>
      <c r="B15" s="157">
        <v>45782</v>
      </c>
      <c r="C15" s="158" t="s">
        <v>749</v>
      </c>
      <c r="D15" s="159" t="str">
        <f>VLOOKUP(Sales[[#This Row],[Customer ID]],Customer[#All],2,0)</f>
        <v>Sahil Patel</v>
      </c>
      <c r="E15" s="158" t="s">
        <v>214</v>
      </c>
      <c r="F15" s="158" t="str">
        <f>VLOOKUP(Sales[[#This Row],[Product ID]],Product[#All],2,0)</f>
        <v>Microtek UPS</v>
      </c>
      <c r="G15" s="159">
        <v>6</v>
      </c>
      <c r="H15" s="160">
        <f>VLOOKUP(Sales[[#This Row],[Product ID]],Product[#All],7,0)</f>
        <v>10710</v>
      </c>
      <c r="I15" s="160">
        <f>Sales[[#This Row],[Selling Rate]]*Sales[[#This Row],[Qty]]</f>
        <v>64260</v>
      </c>
      <c r="J15" s="43">
        <v>0.12</v>
      </c>
      <c r="K15" s="44">
        <f>Sales[[#This Row],[Gross Amount]]*Sales[[#This Row],[Disc %]]</f>
        <v>7711.2</v>
      </c>
      <c r="L15" s="43">
        <v>0.18</v>
      </c>
      <c r="M15" s="44">
        <f>(Sales[[#This Row],[Gross Amount]]-Sales[[#This Row],[Disc. Amt.]])*Sales[[#This Row],[GST %]]</f>
        <v>10178.784</v>
      </c>
      <c r="N15" s="161">
        <f>Sales[[#This Row],[Gross Amount]]-Sales[[#This Row],[Disc. Amt.]]+Sales[[#This Row],[GST Amount]]</f>
        <v>66727.584000000003</v>
      </c>
      <c r="O15" s="158" t="s">
        <v>3561</v>
      </c>
      <c r="P15" s="158" t="s">
        <v>3562</v>
      </c>
      <c r="Q15" s="160">
        <f>IF(Sales[[#This Row],[Status]]="Cancelled",0,Sales[[#This Row],[Qty]])</f>
        <v>6</v>
      </c>
      <c r="R15" s="161">
        <f>IF(Sales[[#This Row],[Status]]="Cancelled",0,Sales[[#This Row],[Total Amount]])</f>
        <v>66727.584000000003</v>
      </c>
      <c r="S15" s="162">
        <f>SUM(Sales[Net Amount])</f>
        <v>406839287.73200053</v>
      </c>
    </row>
    <row r="16" spans="1:21" ht="18.75" x14ac:dyDescent="0.25">
      <c r="A16" s="163" t="s">
        <v>3577</v>
      </c>
      <c r="B16" s="164">
        <v>45782</v>
      </c>
      <c r="C16" s="34" t="s">
        <v>833</v>
      </c>
      <c r="D16" s="53" t="str">
        <f>VLOOKUP(Sales[[#This Row],[Customer ID]],Customer[#All],2,0)</f>
        <v>Sunita Kumar</v>
      </c>
      <c r="E16" s="34" t="s">
        <v>36</v>
      </c>
      <c r="F16" s="34" t="str">
        <f>VLOOKUP(Sales[[#This Row],[Product ID]],Product[#All],2,0)</f>
        <v>TP-link Wi-Fi Adapter</v>
      </c>
      <c r="G16" s="53">
        <v>7</v>
      </c>
      <c r="H16" s="165">
        <f>VLOOKUP(Sales[[#This Row],[Product ID]],Product[#All],7,0)</f>
        <v>2790</v>
      </c>
      <c r="I16" s="165">
        <f>Sales[[#This Row],[Selling Rate]]*Sales[[#This Row],[Qty]]</f>
        <v>19530</v>
      </c>
      <c r="J16" s="45">
        <v>0.15</v>
      </c>
      <c r="K16" s="46">
        <f>Sales[[#This Row],[Gross Amount]]*Sales[[#This Row],[Disc %]]</f>
        <v>2929.5</v>
      </c>
      <c r="L16" s="43">
        <v>0.18</v>
      </c>
      <c r="M16" s="46">
        <f>(Sales[[#This Row],[Gross Amount]]-Sales[[#This Row],[Disc. Amt.]])*Sales[[#This Row],[GST %]]</f>
        <v>2988.0899999999997</v>
      </c>
      <c r="N16" s="161">
        <f>Sales[[#This Row],[Gross Amount]]-Sales[[#This Row],[Disc. Amt.]]+Sales[[#This Row],[GST Amount]]</f>
        <v>19588.59</v>
      </c>
      <c r="O16" s="34" t="s">
        <v>3566</v>
      </c>
      <c r="P16" s="34" t="s">
        <v>3562</v>
      </c>
      <c r="Q16" s="165">
        <f>IF(Sales[[#This Row],[Status]]="Cancelled",0,Sales[[#This Row],[Qty]])</f>
        <v>7</v>
      </c>
      <c r="R16" s="166">
        <f>IF(Sales[[#This Row],[Status]]="Cancelled",0,Sales[[#This Row],[Total Amount]])</f>
        <v>19588.59</v>
      </c>
      <c r="S16" s="162">
        <f>SUM(Sales[Net Amount])</f>
        <v>406839287.73200053</v>
      </c>
    </row>
    <row r="17" spans="1:19" ht="18.75" x14ac:dyDescent="0.25">
      <c r="A17" s="156" t="s">
        <v>3578</v>
      </c>
      <c r="B17" s="157">
        <v>45782</v>
      </c>
      <c r="C17" s="158" t="s">
        <v>854</v>
      </c>
      <c r="D17" s="159" t="str">
        <f>VLOOKUP(Sales[[#This Row],[Customer ID]],Customer[#All],2,0)</f>
        <v>Neha Sharma</v>
      </c>
      <c r="E17" s="158" t="s">
        <v>472</v>
      </c>
      <c r="F17" s="158" t="str">
        <f>VLOOKUP(Sales[[#This Row],[Product ID]],Product[#All],2,0)</f>
        <v>Seagate HDD</v>
      </c>
      <c r="G17" s="159">
        <v>4</v>
      </c>
      <c r="H17" s="160">
        <f>VLOOKUP(Sales[[#This Row],[Product ID]],Product[#All],7,0)</f>
        <v>6840</v>
      </c>
      <c r="I17" s="160">
        <f>Sales[[#This Row],[Selling Rate]]*Sales[[#This Row],[Qty]]</f>
        <v>27360</v>
      </c>
      <c r="J17" s="43">
        <v>0</v>
      </c>
      <c r="K17" s="44">
        <f>Sales[[#This Row],[Gross Amount]]*Sales[[#This Row],[Disc %]]</f>
        <v>0</v>
      </c>
      <c r="L17" s="43">
        <v>0.18</v>
      </c>
      <c r="M17" s="44">
        <f>(Sales[[#This Row],[Gross Amount]]-Sales[[#This Row],[Disc. Amt.]])*Sales[[#This Row],[GST %]]</f>
        <v>4924.8</v>
      </c>
      <c r="N17" s="161">
        <f>Sales[[#This Row],[Gross Amount]]-Sales[[#This Row],[Disc. Amt.]]+Sales[[#This Row],[GST Amount]]</f>
        <v>32284.799999999999</v>
      </c>
      <c r="O17" s="158" t="s">
        <v>3566</v>
      </c>
      <c r="P17" s="158" t="s">
        <v>3562</v>
      </c>
      <c r="Q17" s="160">
        <f>IF(Sales[[#This Row],[Status]]="Cancelled",0,Sales[[#This Row],[Qty]])</f>
        <v>4</v>
      </c>
      <c r="R17" s="161">
        <f>IF(Sales[[#This Row],[Status]]="Cancelled",0,Sales[[#This Row],[Total Amount]])</f>
        <v>32284.799999999999</v>
      </c>
      <c r="S17" s="162">
        <f>SUM(Sales[Net Amount])</f>
        <v>406839287.73200053</v>
      </c>
    </row>
    <row r="18" spans="1:19" ht="18.75" x14ac:dyDescent="0.25">
      <c r="A18" s="163" t="s">
        <v>3579</v>
      </c>
      <c r="B18" s="164">
        <v>45782</v>
      </c>
      <c r="C18" s="34" t="s">
        <v>916</v>
      </c>
      <c r="D18" s="53" t="str">
        <f>VLOOKUP(Sales[[#This Row],[Customer ID]],Customer[#All],2,0)</f>
        <v>Ankit Singh</v>
      </c>
      <c r="E18" s="34" t="s">
        <v>40</v>
      </c>
      <c r="F18" s="34" t="str">
        <f>VLOOKUP(Sales[[#This Row],[Product ID]],Product[#All],2,0)</f>
        <v>Boat Headset</v>
      </c>
      <c r="G18" s="53">
        <v>1</v>
      </c>
      <c r="H18" s="165">
        <f>VLOOKUP(Sales[[#This Row],[Product ID]],Product[#All],7,0)</f>
        <v>3470</v>
      </c>
      <c r="I18" s="165">
        <f>Sales[[#This Row],[Selling Rate]]*Sales[[#This Row],[Qty]]</f>
        <v>3470</v>
      </c>
      <c r="J18" s="45">
        <v>0</v>
      </c>
      <c r="K18" s="46">
        <f>Sales[[#This Row],[Gross Amount]]*Sales[[#This Row],[Disc %]]</f>
        <v>0</v>
      </c>
      <c r="L18" s="43">
        <v>0.18</v>
      </c>
      <c r="M18" s="46">
        <f>(Sales[[#This Row],[Gross Amount]]-Sales[[#This Row],[Disc. Amt.]])*Sales[[#This Row],[GST %]]</f>
        <v>624.6</v>
      </c>
      <c r="N18" s="161">
        <f>Sales[[#This Row],[Gross Amount]]-Sales[[#This Row],[Disc. Amt.]]+Sales[[#This Row],[GST Amount]]</f>
        <v>4094.6</v>
      </c>
      <c r="O18" s="34" t="s">
        <v>8876</v>
      </c>
      <c r="P18" s="34" t="s">
        <v>3562</v>
      </c>
      <c r="Q18" s="165">
        <f>IF(Sales[[#This Row],[Status]]="Cancelled",0,Sales[[#This Row],[Qty]])</f>
        <v>1</v>
      </c>
      <c r="R18" s="166">
        <f>IF(Sales[[#This Row],[Status]]="Cancelled",0,Sales[[#This Row],[Total Amount]])</f>
        <v>4094.6</v>
      </c>
      <c r="S18" s="162">
        <f>SUM(Sales[Net Amount])</f>
        <v>406839287.73200053</v>
      </c>
    </row>
    <row r="19" spans="1:19" ht="18.75" x14ac:dyDescent="0.25">
      <c r="A19" s="156" t="s">
        <v>3580</v>
      </c>
      <c r="B19" s="157">
        <v>45782</v>
      </c>
      <c r="C19" s="158" t="s">
        <v>832</v>
      </c>
      <c r="D19" s="159" t="str">
        <f>VLOOKUP(Sales[[#This Row],[Customer ID]],Customer[#All],2,0)</f>
        <v>Vikas Sharma</v>
      </c>
      <c r="E19" s="158" t="s">
        <v>362</v>
      </c>
      <c r="F19" s="158" t="str">
        <f>VLOOKUP(Sales[[#This Row],[Product ID]],Product[#All],2,0)</f>
        <v>Dell Power Adapter</v>
      </c>
      <c r="G19" s="159">
        <v>2</v>
      </c>
      <c r="H19" s="160">
        <f>VLOOKUP(Sales[[#This Row],[Product ID]],Product[#All],7,0)</f>
        <v>4050</v>
      </c>
      <c r="I19" s="160">
        <f>Sales[[#This Row],[Selling Rate]]*Sales[[#This Row],[Qty]]</f>
        <v>8100</v>
      </c>
      <c r="J19" s="43">
        <v>0</v>
      </c>
      <c r="K19" s="44">
        <f>Sales[[#This Row],[Gross Amount]]*Sales[[#This Row],[Disc %]]</f>
        <v>0</v>
      </c>
      <c r="L19" s="43">
        <v>0.18</v>
      </c>
      <c r="M19" s="44">
        <f>(Sales[[#This Row],[Gross Amount]]-Sales[[#This Row],[Disc. Amt.]])*Sales[[#This Row],[GST %]]</f>
        <v>1458</v>
      </c>
      <c r="N19" s="161">
        <f>Sales[[#This Row],[Gross Amount]]-Sales[[#This Row],[Disc. Amt.]]+Sales[[#This Row],[GST Amount]]</f>
        <v>9558</v>
      </c>
      <c r="O19" s="158" t="s">
        <v>3561</v>
      </c>
      <c r="P19" s="158" t="s">
        <v>3562</v>
      </c>
      <c r="Q19" s="160">
        <f>IF(Sales[[#This Row],[Status]]="Cancelled",0,Sales[[#This Row],[Qty]])</f>
        <v>2</v>
      </c>
      <c r="R19" s="161">
        <f>IF(Sales[[#This Row],[Status]]="Cancelled",0,Sales[[#This Row],[Total Amount]])</f>
        <v>9558</v>
      </c>
      <c r="S19" s="162">
        <f>SUM(Sales[Net Amount])</f>
        <v>406839287.73200053</v>
      </c>
    </row>
    <row r="20" spans="1:19" ht="18.75" x14ac:dyDescent="0.25">
      <c r="A20" s="163" t="s">
        <v>3581</v>
      </c>
      <c r="B20" s="164">
        <v>45782</v>
      </c>
      <c r="C20" s="34" t="s">
        <v>945</v>
      </c>
      <c r="D20" s="53" t="str">
        <f>VLOOKUP(Sales[[#This Row],[Customer ID]],Customer[#All],2,0)</f>
        <v>Rahul Singh</v>
      </c>
      <c r="E20" s="34" t="s">
        <v>177</v>
      </c>
      <c r="F20" s="34" t="str">
        <f>VLOOKUP(Sales[[#This Row],[Product ID]],Product[#All],2,0)</f>
        <v>Dell Laptop</v>
      </c>
      <c r="G20" s="53">
        <v>4</v>
      </c>
      <c r="H20" s="165">
        <f>VLOOKUP(Sales[[#This Row],[Product ID]],Product[#All],7,0)</f>
        <v>56790</v>
      </c>
      <c r="I20" s="165">
        <f>Sales[[#This Row],[Selling Rate]]*Sales[[#This Row],[Qty]]</f>
        <v>227160</v>
      </c>
      <c r="J20" s="45">
        <v>0</v>
      </c>
      <c r="K20" s="46">
        <f>Sales[[#This Row],[Gross Amount]]*Sales[[#This Row],[Disc %]]</f>
        <v>0</v>
      </c>
      <c r="L20" s="43">
        <v>0.18</v>
      </c>
      <c r="M20" s="46">
        <f>(Sales[[#This Row],[Gross Amount]]-Sales[[#This Row],[Disc. Amt.]])*Sales[[#This Row],[GST %]]</f>
        <v>40888.799999999996</v>
      </c>
      <c r="N20" s="161">
        <f>Sales[[#This Row],[Gross Amount]]-Sales[[#This Row],[Disc. Amt.]]+Sales[[#This Row],[GST Amount]]</f>
        <v>268048.8</v>
      </c>
      <c r="O20" s="34" t="s">
        <v>3561</v>
      </c>
      <c r="P20" s="34" t="s">
        <v>3562</v>
      </c>
      <c r="Q20" s="165">
        <f>IF(Sales[[#This Row],[Status]]="Cancelled",0,Sales[[#This Row],[Qty]])</f>
        <v>4</v>
      </c>
      <c r="R20" s="166">
        <f>IF(Sales[[#This Row],[Status]]="Cancelled",0,Sales[[#This Row],[Total Amount]])</f>
        <v>268048.8</v>
      </c>
      <c r="S20" s="162">
        <f>SUM(Sales[Net Amount])</f>
        <v>406839287.73200053</v>
      </c>
    </row>
    <row r="21" spans="1:19" ht="18.75" x14ac:dyDescent="0.25">
      <c r="A21" s="156" t="s">
        <v>3582</v>
      </c>
      <c r="B21" s="157">
        <v>45782</v>
      </c>
      <c r="C21" s="158" t="s">
        <v>716</v>
      </c>
      <c r="D21" s="159" t="str">
        <f>VLOOKUP(Sales[[#This Row],[Customer ID]],Customer[#All],2,0)</f>
        <v>Ankit Kumar</v>
      </c>
      <c r="E21" s="158" t="s">
        <v>245</v>
      </c>
      <c r="F21" s="158" t="str">
        <f>VLOOKUP(Sales[[#This Row],[Product ID]],Product[#All],2,0)</f>
        <v>HP Printer</v>
      </c>
      <c r="G21" s="159">
        <v>1</v>
      </c>
      <c r="H21" s="160">
        <f>VLOOKUP(Sales[[#This Row],[Product ID]],Product[#All],7,0)</f>
        <v>11410</v>
      </c>
      <c r="I21" s="160">
        <f>Sales[[#This Row],[Selling Rate]]*Sales[[#This Row],[Qty]]</f>
        <v>11410</v>
      </c>
      <c r="J21" s="43">
        <v>0.05</v>
      </c>
      <c r="K21" s="44">
        <f>Sales[[#This Row],[Gross Amount]]*Sales[[#This Row],[Disc %]]</f>
        <v>570.5</v>
      </c>
      <c r="L21" s="43">
        <v>0.18</v>
      </c>
      <c r="M21" s="44">
        <f>(Sales[[#This Row],[Gross Amount]]-Sales[[#This Row],[Disc. Amt.]])*Sales[[#This Row],[GST %]]</f>
        <v>1951.11</v>
      </c>
      <c r="N21" s="161">
        <f>Sales[[#This Row],[Gross Amount]]-Sales[[#This Row],[Disc. Amt.]]+Sales[[#This Row],[GST Amount]]</f>
        <v>12790.61</v>
      </c>
      <c r="O21" s="158" t="s">
        <v>8876</v>
      </c>
      <c r="P21" s="158" t="s">
        <v>3562</v>
      </c>
      <c r="Q21" s="160">
        <f>IF(Sales[[#This Row],[Status]]="Cancelled",0,Sales[[#This Row],[Qty]])</f>
        <v>1</v>
      </c>
      <c r="R21" s="161">
        <f>IF(Sales[[#This Row],[Status]]="Cancelled",0,Sales[[#This Row],[Total Amount]])</f>
        <v>12790.61</v>
      </c>
      <c r="S21" s="162">
        <f>SUM(Sales[Net Amount])</f>
        <v>406839287.73200053</v>
      </c>
    </row>
    <row r="22" spans="1:19" ht="18.75" x14ac:dyDescent="0.25">
      <c r="A22" s="163" t="s">
        <v>3583</v>
      </c>
      <c r="B22" s="164">
        <v>45782</v>
      </c>
      <c r="C22" s="34" t="s">
        <v>730</v>
      </c>
      <c r="D22" s="53" t="str">
        <f>VLOOKUP(Sales[[#This Row],[Customer ID]],Customer[#All],2,0)</f>
        <v>Neha Verma</v>
      </c>
      <c r="E22" s="34" t="s">
        <v>315</v>
      </c>
      <c r="F22" s="34" t="str">
        <f>VLOOKUP(Sales[[#This Row],[Product ID]],Product[#All],2,0)</f>
        <v>Jbl Headset</v>
      </c>
      <c r="G22" s="53">
        <v>7</v>
      </c>
      <c r="H22" s="165">
        <f>VLOOKUP(Sales[[#This Row],[Product ID]],Product[#All],7,0)</f>
        <v>2630</v>
      </c>
      <c r="I22" s="165">
        <f>Sales[[#This Row],[Selling Rate]]*Sales[[#This Row],[Qty]]</f>
        <v>18410</v>
      </c>
      <c r="J22" s="45">
        <v>0.1</v>
      </c>
      <c r="K22" s="46">
        <f>Sales[[#This Row],[Gross Amount]]*Sales[[#This Row],[Disc %]]</f>
        <v>1841</v>
      </c>
      <c r="L22" s="43">
        <v>0.18</v>
      </c>
      <c r="M22" s="46">
        <f>(Sales[[#This Row],[Gross Amount]]-Sales[[#This Row],[Disc. Amt.]])*Sales[[#This Row],[GST %]]</f>
        <v>2982.42</v>
      </c>
      <c r="N22" s="161">
        <f>Sales[[#This Row],[Gross Amount]]-Sales[[#This Row],[Disc. Amt.]]+Sales[[#This Row],[GST Amount]]</f>
        <v>19551.419999999998</v>
      </c>
      <c r="O22" s="34" t="s">
        <v>3566</v>
      </c>
      <c r="P22" s="34" t="s">
        <v>3562</v>
      </c>
      <c r="Q22" s="165">
        <f>IF(Sales[[#This Row],[Status]]="Cancelled",0,Sales[[#This Row],[Qty]])</f>
        <v>7</v>
      </c>
      <c r="R22" s="166">
        <f>IF(Sales[[#This Row],[Status]]="Cancelled",0,Sales[[#This Row],[Total Amount]])</f>
        <v>19551.419999999998</v>
      </c>
      <c r="S22" s="162">
        <f>SUM(Sales[Net Amount])</f>
        <v>406839287.73200053</v>
      </c>
    </row>
    <row r="23" spans="1:19" ht="18.75" x14ac:dyDescent="0.25">
      <c r="A23" s="156" t="s">
        <v>3584</v>
      </c>
      <c r="B23" s="157">
        <v>45782</v>
      </c>
      <c r="C23" s="158" t="s">
        <v>794</v>
      </c>
      <c r="D23" s="159" t="str">
        <f>VLOOKUP(Sales[[#This Row],[Customer ID]],Customer[#All],2,0)</f>
        <v>Sunita Sharma</v>
      </c>
      <c r="E23" s="158" t="s">
        <v>149</v>
      </c>
      <c r="F23" s="158" t="str">
        <f>VLOOKUP(Sales[[#This Row],[Product ID]],Product[#All],2,0)</f>
        <v>Jbl Headset</v>
      </c>
      <c r="G23" s="159">
        <v>4</v>
      </c>
      <c r="H23" s="160">
        <f>VLOOKUP(Sales[[#This Row],[Product ID]],Product[#All],7,0)</f>
        <v>6520</v>
      </c>
      <c r="I23" s="160">
        <f>Sales[[#This Row],[Selling Rate]]*Sales[[#This Row],[Qty]]</f>
        <v>26080</v>
      </c>
      <c r="J23" s="43">
        <v>0.02</v>
      </c>
      <c r="K23" s="44">
        <f>Sales[[#This Row],[Gross Amount]]*Sales[[#This Row],[Disc %]]</f>
        <v>521.6</v>
      </c>
      <c r="L23" s="43">
        <v>0.18</v>
      </c>
      <c r="M23" s="44">
        <f>(Sales[[#This Row],[Gross Amount]]-Sales[[#This Row],[Disc. Amt.]])*Sales[[#This Row],[GST %]]</f>
        <v>4600.5119999999997</v>
      </c>
      <c r="N23" s="161">
        <f>Sales[[#This Row],[Gross Amount]]-Sales[[#This Row],[Disc. Amt.]]+Sales[[#This Row],[GST Amount]]</f>
        <v>30158.912</v>
      </c>
      <c r="O23" s="158" t="s">
        <v>3561</v>
      </c>
      <c r="P23" s="158" t="s">
        <v>3562</v>
      </c>
      <c r="Q23" s="160">
        <f>IF(Sales[[#This Row],[Status]]="Cancelled",0,Sales[[#This Row],[Qty]])</f>
        <v>4</v>
      </c>
      <c r="R23" s="161">
        <f>IF(Sales[[#This Row],[Status]]="Cancelled",0,Sales[[#This Row],[Total Amount]])</f>
        <v>30158.912</v>
      </c>
      <c r="S23" s="162">
        <f>SUM(Sales[Net Amount])</f>
        <v>406839287.73200053</v>
      </c>
    </row>
    <row r="24" spans="1:19" ht="18.75" x14ac:dyDescent="0.25">
      <c r="A24" s="163" t="s">
        <v>3585</v>
      </c>
      <c r="B24" s="164">
        <v>45782</v>
      </c>
      <c r="C24" s="34" t="s">
        <v>805</v>
      </c>
      <c r="D24" s="53" t="str">
        <f>VLOOKUP(Sales[[#This Row],[Customer ID]],Customer[#All],2,0)</f>
        <v>Priya Kumar</v>
      </c>
      <c r="E24" s="34" t="s">
        <v>446</v>
      </c>
      <c r="F24" s="34" t="str">
        <f>VLOOKUP(Sales[[#This Row],[Product ID]],Product[#All],2,0)</f>
        <v>HP Desktop</v>
      </c>
      <c r="G24" s="53">
        <v>1</v>
      </c>
      <c r="H24" s="165">
        <f>VLOOKUP(Sales[[#This Row],[Product ID]],Product[#All],7,0)</f>
        <v>48280</v>
      </c>
      <c r="I24" s="165">
        <f>Sales[[#This Row],[Selling Rate]]*Sales[[#This Row],[Qty]]</f>
        <v>48280</v>
      </c>
      <c r="J24" s="45">
        <v>0</v>
      </c>
      <c r="K24" s="46">
        <f>Sales[[#This Row],[Gross Amount]]*Sales[[#This Row],[Disc %]]</f>
        <v>0</v>
      </c>
      <c r="L24" s="43">
        <v>0.18</v>
      </c>
      <c r="M24" s="46">
        <f>(Sales[[#This Row],[Gross Amount]]-Sales[[#This Row],[Disc. Amt.]])*Sales[[#This Row],[GST %]]</f>
        <v>8690.4</v>
      </c>
      <c r="N24" s="161">
        <f>Sales[[#This Row],[Gross Amount]]-Sales[[#This Row],[Disc. Amt.]]+Sales[[#This Row],[GST Amount]]</f>
        <v>56970.400000000001</v>
      </c>
      <c r="O24" s="34" t="s">
        <v>3569</v>
      </c>
      <c r="P24" s="34" t="s">
        <v>3562</v>
      </c>
      <c r="Q24" s="165">
        <f>IF(Sales[[#This Row],[Status]]="Cancelled",0,Sales[[#This Row],[Qty]])</f>
        <v>1</v>
      </c>
      <c r="R24" s="166">
        <f>IF(Sales[[#This Row],[Status]]="Cancelled",0,Sales[[#This Row],[Total Amount]])</f>
        <v>56970.400000000001</v>
      </c>
      <c r="S24" s="162">
        <f>SUM(Sales[Net Amount])</f>
        <v>406839287.73200053</v>
      </c>
    </row>
    <row r="25" spans="1:19" ht="18.75" x14ac:dyDescent="0.25">
      <c r="A25" s="156" t="s">
        <v>3586</v>
      </c>
      <c r="B25" s="157">
        <v>45782</v>
      </c>
      <c r="C25" s="158" t="s">
        <v>931</v>
      </c>
      <c r="D25" s="159" t="str">
        <f>VLOOKUP(Sales[[#This Row],[Customer ID]],Customer[#All],2,0)</f>
        <v>Sahil Patel</v>
      </c>
      <c r="E25" s="158" t="s">
        <v>382</v>
      </c>
      <c r="F25" s="158" t="str">
        <f>VLOOKUP(Sales[[#This Row],[Product ID]],Product[#All],2,0)</f>
        <v>Canon Printer</v>
      </c>
      <c r="G25" s="159">
        <v>2</v>
      </c>
      <c r="H25" s="160">
        <f>VLOOKUP(Sales[[#This Row],[Product ID]],Product[#All],7,0)</f>
        <v>32930</v>
      </c>
      <c r="I25" s="160">
        <f>Sales[[#This Row],[Selling Rate]]*Sales[[#This Row],[Qty]]</f>
        <v>65860</v>
      </c>
      <c r="J25" s="43">
        <v>0.15</v>
      </c>
      <c r="K25" s="44">
        <f>Sales[[#This Row],[Gross Amount]]*Sales[[#This Row],[Disc %]]</f>
        <v>9879</v>
      </c>
      <c r="L25" s="43">
        <v>0.18</v>
      </c>
      <c r="M25" s="44">
        <f>(Sales[[#This Row],[Gross Amount]]-Sales[[#This Row],[Disc. Amt.]])*Sales[[#This Row],[GST %]]</f>
        <v>10076.58</v>
      </c>
      <c r="N25" s="161">
        <f>Sales[[#This Row],[Gross Amount]]-Sales[[#This Row],[Disc. Amt.]]+Sales[[#This Row],[GST Amount]]</f>
        <v>66057.58</v>
      </c>
      <c r="O25" s="158" t="s">
        <v>3566</v>
      </c>
      <c r="P25" s="158" t="s">
        <v>3562</v>
      </c>
      <c r="Q25" s="160">
        <f>IF(Sales[[#This Row],[Status]]="Cancelled",0,Sales[[#This Row],[Qty]])</f>
        <v>2</v>
      </c>
      <c r="R25" s="161">
        <f>IF(Sales[[#This Row],[Status]]="Cancelled",0,Sales[[#This Row],[Total Amount]])</f>
        <v>66057.58</v>
      </c>
      <c r="S25" s="162">
        <f>SUM(Sales[Net Amount])</f>
        <v>406839287.73200053</v>
      </c>
    </row>
    <row r="26" spans="1:19" ht="18.75" x14ac:dyDescent="0.25">
      <c r="A26" s="163" t="s">
        <v>3587</v>
      </c>
      <c r="B26" s="164">
        <v>45782</v>
      </c>
      <c r="C26" s="34" t="s">
        <v>933</v>
      </c>
      <c r="D26" s="53" t="str">
        <f>VLOOKUP(Sales[[#This Row],[Customer ID]],Customer[#All],2,0)</f>
        <v>Vikas Verma</v>
      </c>
      <c r="E26" s="34" t="s">
        <v>112</v>
      </c>
      <c r="F26" s="34" t="str">
        <f>VLOOKUP(Sales[[#This Row],[Product ID]],Product[#All],2,0)</f>
        <v>Logitech Keyboard</v>
      </c>
      <c r="G26" s="53">
        <v>8</v>
      </c>
      <c r="H26" s="165">
        <f>VLOOKUP(Sales[[#This Row],[Product ID]],Product[#All],7,0)</f>
        <v>3300</v>
      </c>
      <c r="I26" s="165">
        <f>Sales[[#This Row],[Selling Rate]]*Sales[[#This Row],[Qty]]</f>
        <v>26400</v>
      </c>
      <c r="J26" s="45">
        <v>0.05</v>
      </c>
      <c r="K26" s="46">
        <f>Sales[[#This Row],[Gross Amount]]*Sales[[#This Row],[Disc %]]</f>
        <v>1320</v>
      </c>
      <c r="L26" s="43">
        <v>0.18</v>
      </c>
      <c r="M26" s="46">
        <f>(Sales[[#This Row],[Gross Amount]]-Sales[[#This Row],[Disc. Amt.]])*Sales[[#This Row],[GST %]]</f>
        <v>4514.3999999999996</v>
      </c>
      <c r="N26" s="161">
        <f>Sales[[#This Row],[Gross Amount]]-Sales[[#This Row],[Disc. Amt.]]+Sales[[#This Row],[GST Amount]]</f>
        <v>29594.400000000001</v>
      </c>
      <c r="O26" s="34" t="s">
        <v>3561</v>
      </c>
      <c r="P26" s="34" t="s">
        <v>3562</v>
      </c>
      <c r="Q26" s="165">
        <f>IF(Sales[[#This Row],[Status]]="Cancelled",0,Sales[[#This Row],[Qty]])</f>
        <v>8</v>
      </c>
      <c r="R26" s="166">
        <f>IF(Sales[[#This Row],[Status]]="Cancelled",0,Sales[[#This Row],[Total Amount]])</f>
        <v>29594.400000000001</v>
      </c>
      <c r="S26" s="162">
        <f>SUM(Sales[Net Amount])</f>
        <v>406839287.73200053</v>
      </c>
    </row>
    <row r="27" spans="1:19" ht="18.75" x14ac:dyDescent="0.25">
      <c r="A27" s="156" t="s">
        <v>3588</v>
      </c>
      <c r="B27" s="157">
        <v>45782</v>
      </c>
      <c r="C27" s="158" t="s">
        <v>661</v>
      </c>
      <c r="D27" s="159" t="str">
        <f>VLOOKUP(Sales[[#This Row],[Customer ID]],Customer[#All],2,0)</f>
        <v>Pooja Gupta</v>
      </c>
      <c r="E27" s="158" t="s">
        <v>226</v>
      </c>
      <c r="F27" s="158" t="str">
        <f>VLOOKUP(Sales[[#This Row],[Product ID]],Product[#All],2,0)</f>
        <v>Jbl Speaker</v>
      </c>
      <c r="G27" s="159">
        <v>3</v>
      </c>
      <c r="H27" s="160">
        <f>VLOOKUP(Sales[[#This Row],[Product ID]],Product[#All],7,0)</f>
        <v>5020</v>
      </c>
      <c r="I27" s="160">
        <f>Sales[[#This Row],[Selling Rate]]*Sales[[#This Row],[Qty]]</f>
        <v>15060</v>
      </c>
      <c r="J27" s="43">
        <v>0.15</v>
      </c>
      <c r="K27" s="44">
        <f>Sales[[#This Row],[Gross Amount]]*Sales[[#This Row],[Disc %]]</f>
        <v>2259</v>
      </c>
      <c r="L27" s="43">
        <v>0.18</v>
      </c>
      <c r="M27" s="44">
        <f>(Sales[[#This Row],[Gross Amount]]-Sales[[#This Row],[Disc. Amt.]])*Sales[[#This Row],[GST %]]</f>
        <v>2304.1799999999998</v>
      </c>
      <c r="N27" s="161">
        <f>Sales[[#This Row],[Gross Amount]]-Sales[[#This Row],[Disc. Amt.]]+Sales[[#This Row],[GST Amount]]</f>
        <v>15105.18</v>
      </c>
      <c r="O27" s="158" t="s">
        <v>3569</v>
      </c>
      <c r="P27" s="158" t="s">
        <v>3562</v>
      </c>
      <c r="Q27" s="160">
        <f>IF(Sales[[#This Row],[Status]]="Cancelled",0,Sales[[#This Row],[Qty]])</f>
        <v>3</v>
      </c>
      <c r="R27" s="161">
        <f>IF(Sales[[#This Row],[Status]]="Cancelled",0,Sales[[#This Row],[Total Amount]])</f>
        <v>15105.18</v>
      </c>
      <c r="S27" s="162">
        <f>SUM(Sales[Net Amount])</f>
        <v>406839287.73200053</v>
      </c>
    </row>
    <row r="28" spans="1:19" ht="18.75" x14ac:dyDescent="0.25">
      <c r="A28" s="163" t="s">
        <v>3589</v>
      </c>
      <c r="B28" s="164">
        <v>45782</v>
      </c>
      <c r="C28" s="34" t="s">
        <v>688</v>
      </c>
      <c r="D28" s="53" t="str">
        <f>VLOOKUP(Sales[[#This Row],[Customer ID]],Customer[#All],2,0)</f>
        <v>Rahul Verma</v>
      </c>
      <c r="E28" s="34" t="s">
        <v>460</v>
      </c>
      <c r="F28" s="34" t="str">
        <f>VLOOKUP(Sales[[#This Row],[Product ID]],Product[#All],2,0)</f>
        <v>Logitech Keyboard</v>
      </c>
      <c r="G28" s="53">
        <v>5</v>
      </c>
      <c r="H28" s="165">
        <f>VLOOKUP(Sales[[#This Row],[Product ID]],Product[#All],7,0)</f>
        <v>3050</v>
      </c>
      <c r="I28" s="165">
        <f>Sales[[#This Row],[Selling Rate]]*Sales[[#This Row],[Qty]]</f>
        <v>15250</v>
      </c>
      <c r="J28" s="45">
        <v>0.02</v>
      </c>
      <c r="K28" s="46">
        <f>Sales[[#This Row],[Gross Amount]]*Sales[[#This Row],[Disc %]]</f>
        <v>305</v>
      </c>
      <c r="L28" s="43">
        <v>0.18</v>
      </c>
      <c r="M28" s="46">
        <f>(Sales[[#This Row],[Gross Amount]]-Sales[[#This Row],[Disc. Amt.]])*Sales[[#This Row],[GST %]]</f>
        <v>2690.1</v>
      </c>
      <c r="N28" s="161">
        <f>Sales[[#This Row],[Gross Amount]]-Sales[[#This Row],[Disc. Amt.]]+Sales[[#This Row],[GST Amount]]</f>
        <v>17635.099999999999</v>
      </c>
      <c r="O28" s="34" t="s">
        <v>3569</v>
      </c>
      <c r="P28" s="34" t="s">
        <v>3562</v>
      </c>
      <c r="Q28" s="165">
        <f>IF(Sales[[#This Row],[Status]]="Cancelled",0,Sales[[#This Row],[Qty]])</f>
        <v>5</v>
      </c>
      <c r="R28" s="166">
        <f>IF(Sales[[#This Row],[Status]]="Cancelled",0,Sales[[#This Row],[Total Amount]])</f>
        <v>17635.099999999999</v>
      </c>
      <c r="S28" s="162">
        <f>SUM(Sales[Net Amount])</f>
        <v>406839287.73200053</v>
      </c>
    </row>
    <row r="29" spans="1:19" ht="18.75" x14ac:dyDescent="0.25">
      <c r="A29" s="156" t="s">
        <v>3590</v>
      </c>
      <c r="B29" s="157">
        <v>45782</v>
      </c>
      <c r="C29" s="158" t="s">
        <v>739</v>
      </c>
      <c r="D29" s="159" t="str">
        <f>VLOOKUP(Sales[[#This Row],[Customer ID]],Customer[#All],2,0)</f>
        <v>Ankit Singh</v>
      </c>
      <c r="E29" s="158" t="s">
        <v>551</v>
      </c>
      <c r="F29" s="158" t="str">
        <f>VLOOKUP(Sales[[#This Row],[Product ID]],Product[#All],2,0)</f>
        <v>Epson Printer</v>
      </c>
      <c r="G29" s="159">
        <v>3</v>
      </c>
      <c r="H29" s="160">
        <f>VLOOKUP(Sales[[#This Row],[Product ID]],Product[#All],7,0)</f>
        <v>38370</v>
      </c>
      <c r="I29" s="160">
        <f>Sales[[#This Row],[Selling Rate]]*Sales[[#This Row],[Qty]]</f>
        <v>115110</v>
      </c>
      <c r="J29" s="43">
        <v>0.15</v>
      </c>
      <c r="K29" s="44">
        <f>Sales[[#This Row],[Gross Amount]]*Sales[[#This Row],[Disc %]]</f>
        <v>17266.5</v>
      </c>
      <c r="L29" s="43">
        <v>0.18</v>
      </c>
      <c r="M29" s="44">
        <f>(Sales[[#This Row],[Gross Amount]]-Sales[[#This Row],[Disc. Amt.]])*Sales[[#This Row],[GST %]]</f>
        <v>17611.829999999998</v>
      </c>
      <c r="N29" s="161">
        <f>Sales[[#This Row],[Gross Amount]]-Sales[[#This Row],[Disc. Amt.]]+Sales[[#This Row],[GST Amount]]</f>
        <v>115455.33</v>
      </c>
      <c r="O29" s="158" t="s">
        <v>3566</v>
      </c>
      <c r="P29" s="158" t="s">
        <v>3562</v>
      </c>
      <c r="Q29" s="160">
        <f>IF(Sales[[#This Row],[Status]]="Cancelled",0,Sales[[#This Row],[Qty]])</f>
        <v>3</v>
      </c>
      <c r="R29" s="161">
        <f>IF(Sales[[#This Row],[Status]]="Cancelled",0,Sales[[#This Row],[Total Amount]])</f>
        <v>115455.33</v>
      </c>
      <c r="S29" s="162">
        <f>SUM(Sales[Net Amount])</f>
        <v>406839287.73200053</v>
      </c>
    </row>
    <row r="30" spans="1:19" ht="18.75" x14ac:dyDescent="0.25">
      <c r="A30" s="163" t="s">
        <v>3591</v>
      </c>
      <c r="B30" s="164">
        <v>45782</v>
      </c>
      <c r="C30" s="34" t="s">
        <v>745</v>
      </c>
      <c r="D30" s="53" t="str">
        <f>VLOOKUP(Sales[[#This Row],[Customer ID]],Customer[#All],2,0)</f>
        <v>Priya Kumar</v>
      </c>
      <c r="E30" s="34" t="s">
        <v>212</v>
      </c>
      <c r="F30" s="34" t="str">
        <f>VLOOKUP(Sales[[#This Row],[Product ID]],Product[#All],2,0)</f>
        <v>Jbl Headset</v>
      </c>
      <c r="G30" s="53">
        <v>1</v>
      </c>
      <c r="H30" s="165">
        <f>VLOOKUP(Sales[[#This Row],[Product ID]],Product[#All],7,0)</f>
        <v>1230</v>
      </c>
      <c r="I30" s="165">
        <f>Sales[[#This Row],[Selling Rate]]*Sales[[#This Row],[Qty]]</f>
        <v>1230</v>
      </c>
      <c r="J30" s="45">
        <v>0.15</v>
      </c>
      <c r="K30" s="46">
        <f>Sales[[#This Row],[Gross Amount]]*Sales[[#This Row],[Disc %]]</f>
        <v>184.5</v>
      </c>
      <c r="L30" s="43">
        <v>0.18</v>
      </c>
      <c r="M30" s="46">
        <f>(Sales[[#This Row],[Gross Amount]]-Sales[[#This Row],[Disc. Amt.]])*Sales[[#This Row],[GST %]]</f>
        <v>188.19</v>
      </c>
      <c r="N30" s="161">
        <f>Sales[[#This Row],[Gross Amount]]-Sales[[#This Row],[Disc. Amt.]]+Sales[[#This Row],[GST Amount]]</f>
        <v>1233.69</v>
      </c>
      <c r="O30" s="34" t="s">
        <v>3569</v>
      </c>
      <c r="P30" s="34" t="s">
        <v>3562</v>
      </c>
      <c r="Q30" s="165">
        <f>IF(Sales[[#This Row],[Status]]="Cancelled",0,Sales[[#This Row],[Qty]])</f>
        <v>1</v>
      </c>
      <c r="R30" s="166">
        <f>IF(Sales[[#This Row],[Status]]="Cancelled",0,Sales[[#This Row],[Total Amount]])</f>
        <v>1233.69</v>
      </c>
      <c r="S30" s="162">
        <f>SUM(Sales[Net Amount])</f>
        <v>406839287.73200053</v>
      </c>
    </row>
    <row r="31" spans="1:19" ht="18.75" x14ac:dyDescent="0.25">
      <c r="A31" s="156" t="s">
        <v>3592</v>
      </c>
      <c r="B31" s="157">
        <v>45782</v>
      </c>
      <c r="C31" s="158" t="s">
        <v>776</v>
      </c>
      <c r="D31" s="159" t="str">
        <f>VLOOKUP(Sales[[#This Row],[Customer ID]],Customer[#All],2,0)</f>
        <v>Sunita Singh</v>
      </c>
      <c r="E31" s="158" t="s">
        <v>277</v>
      </c>
      <c r="F31" s="158" t="str">
        <f>VLOOKUP(Sales[[#This Row],[Product ID]],Product[#All],2,0)</f>
        <v>D-Link Router</v>
      </c>
      <c r="G31" s="159">
        <v>8</v>
      </c>
      <c r="H31" s="160">
        <f>VLOOKUP(Sales[[#This Row],[Product ID]],Product[#All],7,0)</f>
        <v>4630</v>
      </c>
      <c r="I31" s="160">
        <f>Sales[[#This Row],[Selling Rate]]*Sales[[#This Row],[Qty]]</f>
        <v>37040</v>
      </c>
      <c r="J31" s="43">
        <v>0.12</v>
      </c>
      <c r="K31" s="44">
        <f>Sales[[#This Row],[Gross Amount]]*Sales[[#This Row],[Disc %]]</f>
        <v>4444.8</v>
      </c>
      <c r="L31" s="43">
        <v>0.18</v>
      </c>
      <c r="M31" s="44">
        <f>(Sales[[#This Row],[Gross Amount]]-Sales[[#This Row],[Disc. Amt.]])*Sales[[#This Row],[GST %]]</f>
        <v>5867.1359999999995</v>
      </c>
      <c r="N31" s="161">
        <f>Sales[[#This Row],[Gross Amount]]-Sales[[#This Row],[Disc. Amt.]]+Sales[[#This Row],[GST Amount]]</f>
        <v>38462.336000000003</v>
      </c>
      <c r="O31" s="158" t="s">
        <v>8876</v>
      </c>
      <c r="P31" s="158" t="s">
        <v>3562</v>
      </c>
      <c r="Q31" s="160">
        <f>IF(Sales[[#This Row],[Status]]="Cancelled",0,Sales[[#This Row],[Qty]])</f>
        <v>8</v>
      </c>
      <c r="R31" s="161">
        <f>IF(Sales[[#This Row],[Status]]="Cancelled",0,Sales[[#This Row],[Total Amount]])</f>
        <v>38462.336000000003</v>
      </c>
      <c r="S31" s="162">
        <f>SUM(Sales[Net Amount])</f>
        <v>406839287.73200053</v>
      </c>
    </row>
    <row r="32" spans="1:19" ht="18.75" x14ac:dyDescent="0.25">
      <c r="A32" s="163" t="s">
        <v>3593</v>
      </c>
      <c r="B32" s="164">
        <v>45782</v>
      </c>
      <c r="C32" s="34" t="s">
        <v>763</v>
      </c>
      <c r="D32" s="53" t="str">
        <f>VLOOKUP(Sales[[#This Row],[Customer ID]],Customer[#All],2,0)</f>
        <v>Pooja Verma</v>
      </c>
      <c r="E32" s="34" t="s">
        <v>506</v>
      </c>
      <c r="F32" s="34" t="str">
        <f>VLOOKUP(Sales[[#This Row],[Product ID]],Product[#All],2,0)</f>
        <v>Epson Printer</v>
      </c>
      <c r="G32" s="53">
        <v>5</v>
      </c>
      <c r="H32" s="165">
        <f>VLOOKUP(Sales[[#This Row],[Product ID]],Product[#All],7,0)</f>
        <v>42690</v>
      </c>
      <c r="I32" s="165">
        <f>Sales[[#This Row],[Selling Rate]]*Sales[[#This Row],[Qty]]</f>
        <v>213450</v>
      </c>
      <c r="J32" s="45">
        <v>0.1</v>
      </c>
      <c r="K32" s="46">
        <f>Sales[[#This Row],[Gross Amount]]*Sales[[#This Row],[Disc %]]</f>
        <v>21345</v>
      </c>
      <c r="L32" s="43">
        <v>0.18</v>
      </c>
      <c r="M32" s="46">
        <f>(Sales[[#This Row],[Gross Amount]]-Sales[[#This Row],[Disc. Amt.]])*Sales[[#This Row],[GST %]]</f>
        <v>34578.9</v>
      </c>
      <c r="N32" s="161">
        <f>Sales[[#This Row],[Gross Amount]]-Sales[[#This Row],[Disc. Amt.]]+Sales[[#This Row],[GST Amount]]</f>
        <v>226683.9</v>
      </c>
      <c r="O32" s="34" t="s">
        <v>3561</v>
      </c>
      <c r="P32" s="34" t="s">
        <v>3562</v>
      </c>
      <c r="Q32" s="165">
        <f>IF(Sales[[#This Row],[Status]]="Cancelled",0,Sales[[#This Row],[Qty]])</f>
        <v>5</v>
      </c>
      <c r="R32" s="166">
        <f>IF(Sales[[#This Row],[Status]]="Cancelled",0,Sales[[#This Row],[Total Amount]])</f>
        <v>226683.9</v>
      </c>
      <c r="S32" s="162">
        <f>SUM(Sales[Net Amount])</f>
        <v>406839287.73200053</v>
      </c>
    </row>
    <row r="33" spans="1:19" ht="18.75" x14ac:dyDescent="0.25">
      <c r="A33" s="156" t="s">
        <v>3594</v>
      </c>
      <c r="B33" s="157">
        <v>45782</v>
      </c>
      <c r="C33" s="158" t="s">
        <v>916</v>
      </c>
      <c r="D33" s="159" t="str">
        <f>VLOOKUP(Sales[[#This Row],[Customer ID]],Customer[#All],2,0)</f>
        <v>Ankit Singh</v>
      </c>
      <c r="E33" s="158" t="s">
        <v>332</v>
      </c>
      <c r="F33" s="158" t="str">
        <f>VLOOKUP(Sales[[#This Row],[Product ID]],Product[#All],2,0)</f>
        <v>Samsung Monitor</v>
      </c>
      <c r="G33" s="159">
        <v>4</v>
      </c>
      <c r="H33" s="160">
        <f>VLOOKUP(Sales[[#This Row],[Product ID]],Product[#All],7,0)</f>
        <v>27730</v>
      </c>
      <c r="I33" s="160">
        <f>Sales[[#This Row],[Selling Rate]]*Sales[[#This Row],[Qty]]</f>
        <v>110920</v>
      </c>
      <c r="J33" s="43">
        <v>0.05</v>
      </c>
      <c r="K33" s="44">
        <f>Sales[[#This Row],[Gross Amount]]*Sales[[#This Row],[Disc %]]</f>
        <v>5546</v>
      </c>
      <c r="L33" s="43">
        <v>0.18</v>
      </c>
      <c r="M33" s="44">
        <f>(Sales[[#This Row],[Gross Amount]]-Sales[[#This Row],[Disc. Amt.]])*Sales[[#This Row],[GST %]]</f>
        <v>18967.32</v>
      </c>
      <c r="N33" s="161">
        <f>Sales[[#This Row],[Gross Amount]]-Sales[[#This Row],[Disc. Amt.]]+Sales[[#This Row],[GST Amount]]</f>
        <v>124341.32</v>
      </c>
      <c r="O33" s="158" t="s">
        <v>3569</v>
      </c>
      <c r="P33" s="158" t="s">
        <v>3562</v>
      </c>
      <c r="Q33" s="160">
        <f>IF(Sales[[#This Row],[Status]]="Cancelled",0,Sales[[#This Row],[Qty]])</f>
        <v>4</v>
      </c>
      <c r="R33" s="161">
        <f>IF(Sales[[#This Row],[Status]]="Cancelled",0,Sales[[#This Row],[Total Amount]])</f>
        <v>124341.32</v>
      </c>
      <c r="S33" s="162">
        <f>SUM(Sales[Net Amount])</f>
        <v>406839287.73200053</v>
      </c>
    </row>
    <row r="34" spans="1:19" ht="18.75" x14ac:dyDescent="0.25">
      <c r="A34" s="163" t="s">
        <v>3595</v>
      </c>
      <c r="B34" s="164">
        <v>45782</v>
      </c>
      <c r="C34" s="34" t="s">
        <v>806</v>
      </c>
      <c r="D34" s="53" t="str">
        <f>VLOOKUP(Sales[[#This Row],[Customer ID]],Customer[#All],2,0)</f>
        <v>Vikas Singh</v>
      </c>
      <c r="E34" s="34" t="s">
        <v>51</v>
      </c>
      <c r="F34" s="34" t="str">
        <f>VLOOKUP(Sales[[#This Row],[Product ID]],Product[#All],2,0)</f>
        <v>Boat Speaker</v>
      </c>
      <c r="G34" s="53">
        <v>7</v>
      </c>
      <c r="H34" s="165">
        <f>VLOOKUP(Sales[[#This Row],[Product ID]],Product[#All],7,0)</f>
        <v>4730</v>
      </c>
      <c r="I34" s="165">
        <f>Sales[[#This Row],[Selling Rate]]*Sales[[#This Row],[Qty]]</f>
        <v>33110</v>
      </c>
      <c r="J34" s="45">
        <v>0.05</v>
      </c>
      <c r="K34" s="46">
        <f>Sales[[#This Row],[Gross Amount]]*Sales[[#This Row],[Disc %]]</f>
        <v>1655.5</v>
      </c>
      <c r="L34" s="43">
        <v>0.18</v>
      </c>
      <c r="M34" s="46">
        <f>(Sales[[#This Row],[Gross Amount]]-Sales[[#This Row],[Disc. Amt.]])*Sales[[#This Row],[GST %]]</f>
        <v>5661.8099999999995</v>
      </c>
      <c r="N34" s="161">
        <f>Sales[[#This Row],[Gross Amount]]-Sales[[#This Row],[Disc. Amt.]]+Sales[[#This Row],[GST Amount]]</f>
        <v>37116.31</v>
      </c>
      <c r="O34" s="34" t="s">
        <v>3566</v>
      </c>
      <c r="P34" s="34" t="s">
        <v>3562</v>
      </c>
      <c r="Q34" s="165">
        <f>IF(Sales[[#This Row],[Status]]="Cancelled",0,Sales[[#This Row],[Qty]])</f>
        <v>7</v>
      </c>
      <c r="R34" s="166">
        <f>IF(Sales[[#This Row],[Status]]="Cancelled",0,Sales[[#This Row],[Total Amount]])</f>
        <v>37116.31</v>
      </c>
      <c r="S34" s="162">
        <f>SUM(Sales[Net Amount])</f>
        <v>406839287.73200053</v>
      </c>
    </row>
    <row r="35" spans="1:19" ht="18.75" x14ac:dyDescent="0.25">
      <c r="A35" s="156" t="s">
        <v>3596</v>
      </c>
      <c r="B35" s="157">
        <v>45782</v>
      </c>
      <c r="C35" s="158" t="s">
        <v>812</v>
      </c>
      <c r="D35" s="159" t="str">
        <f>VLOOKUP(Sales[[#This Row],[Customer ID]],Customer[#All],2,0)</f>
        <v>Neha Gupta</v>
      </c>
      <c r="E35" s="158" t="s">
        <v>135</v>
      </c>
      <c r="F35" s="158" t="str">
        <f>VLOOKUP(Sales[[#This Row],[Product ID]],Product[#All],2,0)</f>
        <v>Kingston Ram</v>
      </c>
      <c r="G35" s="159">
        <v>1</v>
      </c>
      <c r="H35" s="160">
        <f>VLOOKUP(Sales[[#This Row],[Product ID]],Product[#All],7,0)</f>
        <v>3100</v>
      </c>
      <c r="I35" s="160">
        <f>Sales[[#This Row],[Selling Rate]]*Sales[[#This Row],[Qty]]</f>
        <v>3100</v>
      </c>
      <c r="J35" s="43">
        <v>0.12</v>
      </c>
      <c r="K35" s="44">
        <f>Sales[[#This Row],[Gross Amount]]*Sales[[#This Row],[Disc %]]</f>
        <v>372</v>
      </c>
      <c r="L35" s="43">
        <v>0.18</v>
      </c>
      <c r="M35" s="44">
        <f>(Sales[[#This Row],[Gross Amount]]-Sales[[#This Row],[Disc. Amt.]])*Sales[[#This Row],[GST %]]</f>
        <v>491.03999999999996</v>
      </c>
      <c r="N35" s="161">
        <f>Sales[[#This Row],[Gross Amount]]-Sales[[#This Row],[Disc. Amt.]]+Sales[[#This Row],[GST Amount]]</f>
        <v>3219.04</v>
      </c>
      <c r="O35" s="158" t="s">
        <v>3561</v>
      </c>
      <c r="P35" s="158" t="s">
        <v>3562</v>
      </c>
      <c r="Q35" s="160">
        <f>IF(Sales[[#This Row],[Status]]="Cancelled",0,Sales[[#This Row],[Qty]])</f>
        <v>1</v>
      </c>
      <c r="R35" s="161">
        <f>IF(Sales[[#This Row],[Status]]="Cancelled",0,Sales[[#This Row],[Total Amount]])</f>
        <v>3219.04</v>
      </c>
      <c r="S35" s="162">
        <f>SUM(Sales[Net Amount])</f>
        <v>406839287.73200053</v>
      </c>
    </row>
    <row r="36" spans="1:19" ht="18.75" x14ac:dyDescent="0.25">
      <c r="A36" s="163" t="s">
        <v>3597</v>
      </c>
      <c r="B36" s="164">
        <v>45782</v>
      </c>
      <c r="C36" s="34" t="s">
        <v>895</v>
      </c>
      <c r="D36" s="53" t="str">
        <f>VLOOKUP(Sales[[#This Row],[Customer ID]],Customer[#All],2,0)</f>
        <v>Pooja Patel</v>
      </c>
      <c r="E36" s="34" t="s">
        <v>256</v>
      </c>
      <c r="F36" s="34" t="str">
        <f>VLOOKUP(Sales[[#This Row],[Product ID]],Product[#All],2,0)</f>
        <v>HP Laptop</v>
      </c>
      <c r="G36" s="53">
        <v>4</v>
      </c>
      <c r="H36" s="165">
        <f>VLOOKUP(Sales[[#This Row],[Product ID]],Product[#All],7,0)</f>
        <v>106260</v>
      </c>
      <c r="I36" s="165">
        <f>Sales[[#This Row],[Selling Rate]]*Sales[[#This Row],[Qty]]</f>
        <v>425040</v>
      </c>
      <c r="J36" s="45">
        <v>0</v>
      </c>
      <c r="K36" s="46">
        <f>Sales[[#This Row],[Gross Amount]]*Sales[[#This Row],[Disc %]]</f>
        <v>0</v>
      </c>
      <c r="L36" s="43">
        <v>0.18</v>
      </c>
      <c r="M36" s="46">
        <f>(Sales[[#This Row],[Gross Amount]]-Sales[[#This Row],[Disc. Amt.]])*Sales[[#This Row],[GST %]]</f>
        <v>76507.199999999997</v>
      </c>
      <c r="N36" s="161">
        <f>Sales[[#This Row],[Gross Amount]]-Sales[[#This Row],[Disc. Amt.]]+Sales[[#This Row],[GST Amount]]</f>
        <v>501547.2</v>
      </c>
      <c r="O36" s="34" t="s">
        <v>3566</v>
      </c>
      <c r="P36" s="34" t="s">
        <v>3562</v>
      </c>
      <c r="Q36" s="165">
        <f>IF(Sales[[#This Row],[Status]]="Cancelled",0,Sales[[#This Row],[Qty]])</f>
        <v>4</v>
      </c>
      <c r="R36" s="166">
        <f>IF(Sales[[#This Row],[Status]]="Cancelled",0,Sales[[#This Row],[Total Amount]])</f>
        <v>501547.2</v>
      </c>
      <c r="S36" s="162">
        <f>SUM(Sales[Net Amount])</f>
        <v>406839287.73200053</v>
      </c>
    </row>
    <row r="37" spans="1:19" ht="18.75" x14ac:dyDescent="0.25">
      <c r="A37" s="156" t="s">
        <v>3598</v>
      </c>
      <c r="B37" s="157">
        <v>45782</v>
      </c>
      <c r="C37" s="158" t="s">
        <v>725</v>
      </c>
      <c r="D37" s="159" t="str">
        <f>VLOOKUP(Sales[[#This Row],[Customer ID]],Customer[#All],2,0)</f>
        <v>Ankit Kumar</v>
      </c>
      <c r="E37" s="158" t="s">
        <v>258</v>
      </c>
      <c r="F37" s="158" t="str">
        <f>VLOOKUP(Sales[[#This Row],[Product ID]],Product[#All],2,0)</f>
        <v>HP Power Adapter</v>
      </c>
      <c r="G37" s="159">
        <v>7</v>
      </c>
      <c r="H37" s="160">
        <f>VLOOKUP(Sales[[#This Row],[Product ID]],Product[#All],7,0)</f>
        <v>2370</v>
      </c>
      <c r="I37" s="160">
        <f>Sales[[#This Row],[Selling Rate]]*Sales[[#This Row],[Qty]]</f>
        <v>16590</v>
      </c>
      <c r="J37" s="43">
        <v>0</v>
      </c>
      <c r="K37" s="44">
        <f>Sales[[#This Row],[Gross Amount]]*Sales[[#This Row],[Disc %]]</f>
        <v>0</v>
      </c>
      <c r="L37" s="43">
        <v>0.18</v>
      </c>
      <c r="M37" s="44">
        <f>(Sales[[#This Row],[Gross Amount]]-Sales[[#This Row],[Disc. Amt.]])*Sales[[#This Row],[GST %]]</f>
        <v>2986.2</v>
      </c>
      <c r="N37" s="161">
        <f>Sales[[#This Row],[Gross Amount]]-Sales[[#This Row],[Disc. Amt.]]+Sales[[#This Row],[GST Amount]]</f>
        <v>19576.2</v>
      </c>
      <c r="O37" s="158" t="s">
        <v>8876</v>
      </c>
      <c r="P37" s="158" t="s">
        <v>3562</v>
      </c>
      <c r="Q37" s="160">
        <f>IF(Sales[[#This Row],[Status]]="Cancelled",0,Sales[[#This Row],[Qty]])</f>
        <v>7</v>
      </c>
      <c r="R37" s="161">
        <f>IF(Sales[[#This Row],[Status]]="Cancelled",0,Sales[[#This Row],[Total Amount]])</f>
        <v>19576.2</v>
      </c>
      <c r="S37" s="162">
        <f>SUM(Sales[Net Amount])</f>
        <v>406839287.73200053</v>
      </c>
    </row>
    <row r="38" spans="1:19" ht="18.75" x14ac:dyDescent="0.25">
      <c r="A38" s="163" t="s">
        <v>3599</v>
      </c>
      <c r="B38" s="164">
        <v>45782</v>
      </c>
      <c r="C38" s="34" t="s">
        <v>886</v>
      </c>
      <c r="D38" s="53" t="str">
        <f>VLOOKUP(Sales[[#This Row],[Customer ID]],Customer[#All],2,0)</f>
        <v>Sunita Gupta</v>
      </c>
      <c r="E38" s="34" t="s">
        <v>110</v>
      </c>
      <c r="F38" s="34" t="str">
        <f>VLOOKUP(Sales[[#This Row],[Product ID]],Product[#All],2,0)</f>
        <v>Lenovo Laptop</v>
      </c>
      <c r="G38" s="53">
        <v>4</v>
      </c>
      <c r="H38" s="165">
        <f>VLOOKUP(Sales[[#This Row],[Product ID]],Product[#All],7,0)</f>
        <v>66670</v>
      </c>
      <c r="I38" s="165">
        <f>Sales[[#This Row],[Selling Rate]]*Sales[[#This Row],[Qty]]</f>
        <v>266680</v>
      </c>
      <c r="J38" s="45">
        <v>0.05</v>
      </c>
      <c r="K38" s="46">
        <f>Sales[[#This Row],[Gross Amount]]*Sales[[#This Row],[Disc %]]</f>
        <v>13334</v>
      </c>
      <c r="L38" s="43">
        <v>0.18</v>
      </c>
      <c r="M38" s="46">
        <f>(Sales[[#This Row],[Gross Amount]]-Sales[[#This Row],[Disc. Amt.]])*Sales[[#This Row],[GST %]]</f>
        <v>45602.28</v>
      </c>
      <c r="N38" s="161">
        <f>Sales[[#This Row],[Gross Amount]]-Sales[[#This Row],[Disc. Amt.]]+Sales[[#This Row],[GST Amount]]</f>
        <v>298948.28000000003</v>
      </c>
      <c r="O38" s="34" t="s">
        <v>8876</v>
      </c>
      <c r="P38" s="34" t="s">
        <v>3562</v>
      </c>
      <c r="Q38" s="165">
        <f>IF(Sales[[#This Row],[Status]]="Cancelled",0,Sales[[#This Row],[Qty]])</f>
        <v>4</v>
      </c>
      <c r="R38" s="166">
        <f>IF(Sales[[#This Row],[Status]]="Cancelled",0,Sales[[#This Row],[Total Amount]])</f>
        <v>298948.28000000003</v>
      </c>
      <c r="S38" s="162">
        <f>SUM(Sales[Net Amount])</f>
        <v>406839287.73200053</v>
      </c>
    </row>
    <row r="39" spans="1:19" ht="18.75" x14ac:dyDescent="0.25">
      <c r="A39" s="156" t="s">
        <v>3600</v>
      </c>
      <c r="B39" s="157">
        <v>45782</v>
      </c>
      <c r="C39" s="158" t="s">
        <v>3601</v>
      </c>
      <c r="D39" s="159" t="str">
        <f>VLOOKUP(Sales[[#This Row],[Customer ID]],Customer[#All],2,0)</f>
        <v>Rahul Singh</v>
      </c>
      <c r="E39" s="158" t="s">
        <v>41</v>
      </c>
      <c r="F39" s="158" t="str">
        <f>VLOOKUP(Sales[[#This Row],[Product ID]],Product[#All],2,0)</f>
        <v>HP Laptop</v>
      </c>
      <c r="G39" s="159">
        <v>6</v>
      </c>
      <c r="H39" s="160">
        <f>VLOOKUP(Sales[[#This Row],[Product ID]],Product[#All],7,0)</f>
        <v>74700</v>
      </c>
      <c r="I39" s="160">
        <f>Sales[[#This Row],[Selling Rate]]*Sales[[#This Row],[Qty]]</f>
        <v>448200</v>
      </c>
      <c r="J39" s="43">
        <v>0.1</v>
      </c>
      <c r="K39" s="44">
        <f>Sales[[#This Row],[Gross Amount]]*Sales[[#This Row],[Disc %]]</f>
        <v>44820</v>
      </c>
      <c r="L39" s="43">
        <v>0.18</v>
      </c>
      <c r="M39" s="44">
        <f>(Sales[[#This Row],[Gross Amount]]-Sales[[#This Row],[Disc. Amt.]])*Sales[[#This Row],[GST %]]</f>
        <v>72608.399999999994</v>
      </c>
      <c r="N39" s="161">
        <f>Sales[[#This Row],[Gross Amount]]-Sales[[#This Row],[Disc. Amt.]]+Sales[[#This Row],[GST Amount]]</f>
        <v>475988.4</v>
      </c>
      <c r="O39" s="158" t="s">
        <v>3566</v>
      </c>
      <c r="P39" s="158" t="s">
        <v>3562</v>
      </c>
      <c r="Q39" s="160">
        <f>IF(Sales[[#This Row],[Status]]="Cancelled",0,Sales[[#This Row],[Qty]])</f>
        <v>6</v>
      </c>
      <c r="R39" s="161">
        <f>IF(Sales[[#This Row],[Status]]="Cancelled",0,Sales[[#This Row],[Total Amount]])</f>
        <v>475988.4</v>
      </c>
      <c r="S39" s="162">
        <f>SUM(Sales[Net Amount])</f>
        <v>406839287.73200053</v>
      </c>
    </row>
    <row r="40" spans="1:19" ht="18.75" x14ac:dyDescent="0.25">
      <c r="A40" s="163" t="s">
        <v>3602</v>
      </c>
      <c r="B40" s="164">
        <v>45783</v>
      </c>
      <c r="C40" s="34" t="s">
        <v>909</v>
      </c>
      <c r="D40" s="53" t="str">
        <f>VLOOKUP(Sales[[#This Row],[Customer ID]],Customer[#All],2,0)</f>
        <v>Priya Sharma</v>
      </c>
      <c r="E40" s="34" t="s">
        <v>534</v>
      </c>
      <c r="F40" s="34" t="str">
        <f>VLOOKUP(Sales[[#This Row],[Product ID]],Product[#All],2,0)</f>
        <v>Dell Laptop</v>
      </c>
      <c r="G40" s="53">
        <v>5</v>
      </c>
      <c r="H40" s="165">
        <f>VLOOKUP(Sales[[#This Row],[Product ID]],Product[#All],7,0)</f>
        <v>35560</v>
      </c>
      <c r="I40" s="165">
        <f>Sales[[#This Row],[Selling Rate]]*Sales[[#This Row],[Qty]]</f>
        <v>177800</v>
      </c>
      <c r="J40" s="45">
        <v>0.05</v>
      </c>
      <c r="K40" s="46">
        <f>Sales[[#This Row],[Gross Amount]]*Sales[[#This Row],[Disc %]]</f>
        <v>8890</v>
      </c>
      <c r="L40" s="43">
        <v>0.18</v>
      </c>
      <c r="M40" s="46">
        <f>(Sales[[#This Row],[Gross Amount]]-Sales[[#This Row],[Disc. Amt.]])*Sales[[#This Row],[GST %]]</f>
        <v>30403.8</v>
      </c>
      <c r="N40" s="161">
        <f>Sales[[#This Row],[Gross Amount]]-Sales[[#This Row],[Disc. Amt.]]+Sales[[#This Row],[GST Amount]]</f>
        <v>199313.8</v>
      </c>
      <c r="O40" s="34" t="s">
        <v>3566</v>
      </c>
      <c r="P40" s="34" t="s">
        <v>3562</v>
      </c>
      <c r="Q40" s="165">
        <f>IF(Sales[[#This Row],[Status]]="Cancelled",0,Sales[[#This Row],[Qty]])</f>
        <v>5</v>
      </c>
      <c r="R40" s="166">
        <f>IF(Sales[[#This Row],[Status]]="Cancelled",0,Sales[[#This Row],[Total Amount]])</f>
        <v>199313.8</v>
      </c>
      <c r="S40" s="162">
        <f>SUM(Sales[Net Amount])</f>
        <v>406839287.73200053</v>
      </c>
    </row>
    <row r="41" spans="1:19" ht="18.75" x14ac:dyDescent="0.25">
      <c r="A41" s="156" t="s">
        <v>3603</v>
      </c>
      <c r="B41" s="157">
        <v>45783</v>
      </c>
      <c r="C41" s="158" t="s">
        <v>657</v>
      </c>
      <c r="D41" s="159" t="str">
        <f>VLOOKUP(Sales[[#This Row],[Customer ID]],Customer[#All],2,0)</f>
        <v>Rahul Verma</v>
      </c>
      <c r="E41" s="158" t="s">
        <v>15</v>
      </c>
      <c r="F41" s="158" t="str">
        <f>VLOOKUP(Sales[[#This Row],[Product ID]],Product[#All],2,0)</f>
        <v>Sandisk Pen Drive</v>
      </c>
      <c r="G41" s="159">
        <v>3</v>
      </c>
      <c r="H41" s="160">
        <f>VLOOKUP(Sales[[#This Row],[Product ID]],Product[#All],7,0)</f>
        <v>4530</v>
      </c>
      <c r="I41" s="160">
        <f>Sales[[#This Row],[Selling Rate]]*Sales[[#This Row],[Qty]]</f>
        <v>13590</v>
      </c>
      <c r="J41" s="43">
        <v>0</v>
      </c>
      <c r="K41" s="44">
        <f>Sales[[#This Row],[Gross Amount]]*Sales[[#This Row],[Disc %]]</f>
        <v>0</v>
      </c>
      <c r="L41" s="43">
        <v>0.18</v>
      </c>
      <c r="M41" s="44">
        <f>(Sales[[#This Row],[Gross Amount]]-Sales[[#This Row],[Disc. Amt.]])*Sales[[#This Row],[GST %]]</f>
        <v>2446.1999999999998</v>
      </c>
      <c r="N41" s="161">
        <f>Sales[[#This Row],[Gross Amount]]-Sales[[#This Row],[Disc. Amt.]]+Sales[[#This Row],[GST Amount]]</f>
        <v>16036.2</v>
      </c>
      <c r="O41" s="158" t="s">
        <v>8876</v>
      </c>
      <c r="P41" s="158" t="s">
        <v>3562</v>
      </c>
      <c r="Q41" s="160">
        <f>IF(Sales[[#This Row],[Status]]="Cancelled",0,Sales[[#This Row],[Qty]])</f>
        <v>3</v>
      </c>
      <c r="R41" s="161">
        <f>IF(Sales[[#This Row],[Status]]="Cancelled",0,Sales[[#This Row],[Total Amount]])</f>
        <v>16036.2</v>
      </c>
      <c r="S41" s="162">
        <f>SUM(Sales[Net Amount])</f>
        <v>406839287.73200053</v>
      </c>
    </row>
    <row r="42" spans="1:19" ht="18.75" x14ac:dyDescent="0.25">
      <c r="A42" s="163" t="s">
        <v>3604</v>
      </c>
      <c r="B42" s="164">
        <v>45783</v>
      </c>
      <c r="C42" s="34" t="s">
        <v>914</v>
      </c>
      <c r="D42" s="53" t="str">
        <f>VLOOKUP(Sales[[#This Row],[Customer ID]],Customer[#All],2,0)</f>
        <v>Rakesh Patel</v>
      </c>
      <c r="E42" s="34" t="s">
        <v>49</v>
      </c>
      <c r="F42" s="34" t="str">
        <f>VLOOKUP(Sales[[#This Row],[Product ID]],Product[#All],2,0)</f>
        <v>Boat Headset</v>
      </c>
      <c r="G42" s="53">
        <v>7</v>
      </c>
      <c r="H42" s="165">
        <f>VLOOKUP(Sales[[#This Row],[Product ID]],Product[#All],7,0)</f>
        <v>970</v>
      </c>
      <c r="I42" s="165">
        <f>Sales[[#This Row],[Selling Rate]]*Sales[[#This Row],[Qty]]</f>
        <v>6790</v>
      </c>
      <c r="J42" s="45">
        <v>0.05</v>
      </c>
      <c r="K42" s="46">
        <f>Sales[[#This Row],[Gross Amount]]*Sales[[#This Row],[Disc %]]</f>
        <v>339.5</v>
      </c>
      <c r="L42" s="43">
        <v>0.18</v>
      </c>
      <c r="M42" s="46">
        <f>(Sales[[#This Row],[Gross Amount]]-Sales[[#This Row],[Disc. Amt.]])*Sales[[#This Row],[GST %]]</f>
        <v>1161.0899999999999</v>
      </c>
      <c r="N42" s="161">
        <f>Sales[[#This Row],[Gross Amount]]-Sales[[#This Row],[Disc. Amt.]]+Sales[[#This Row],[GST Amount]]</f>
        <v>7611.59</v>
      </c>
      <c r="O42" s="34" t="s">
        <v>3566</v>
      </c>
      <c r="P42" s="34" t="s">
        <v>3562</v>
      </c>
      <c r="Q42" s="165">
        <f>IF(Sales[[#This Row],[Status]]="Cancelled",0,Sales[[#This Row],[Qty]])</f>
        <v>7</v>
      </c>
      <c r="R42" s="166">
        <f>IF(Sales[[#This Row],[Status]]="Cancelled",0,Sales[[#This Row],[Total Amount]])</f>
        <v>7611.59</v>
      </c>
      <c r="S42" s="162">
        <f>SUM(Sales[Net Amount])</f>
        <v>406839287.73200053</v>
      </c>
    </row>
    <row r="43" spans="1:19" ht="18.75" x14ac:dyDescent="0.25">
      <c r="A43" s="156" t="s">
        <v>3605</v>
      </c>
      <c r="B43" s="157">
        <v>45783</v>
      </c>
      <c r="C43" s="158" t="s">
        <v>773</v>
      </c>
      <c r="D43" s="159" t="str">
        <f>VLOOKUP(Sales[[#This Row],[Customer ID]],Customer[#All],2,0)</f>
        <v>Rahul Kumar</v>
      </c>
      <c r="E43" s="158" t="s">
        <v>266</v>
      </c>
      <c r="F43" s="158" t="str">
        <f>VLOOKUP(Sales[[#This Row],[Product ID]],Product[#All],2,0)</f>
        <v>American TouristerLaptopBag</v>
      </c>
      <c r="G43" s="159">
        <v>2</v>
      </c>
      <c r="H43" s="160">
        <f>VLOOKUP(Sales[[#This Row],[Product ID]],Product[#All],7,0)</f>
        <v>4170</v>
      </c>
      <c r="I43" s="160">
        <f>Sales[[#This Row],[Selling Rate]]*Sales[[#This Row],[Qty]]</f>
        <v>8340</v>
      </c>
      <c r="J43" s="43">
        <v>0.12</v>
      </c>
      <c r="K43" s="44">
        <f>Sales[[#This Row],[Gross Amount]]*Sales[[#This Row],[Disc %]]</f>
        <v>1000.8</v>
      </c>
      <c r="L43" s="43">
        <v>0.18</v>
      </c>
      <c r="M43" s="44">
        <f>(Sales[[#This Row],[Gross Amount]]-Sales[[#This Row],[Disc. Amt.]])*Sales[[#This Row],[GST %]]</f>
        <v>1321.0559999999998</v>
      </c>
      <c r="N43" s="161">
        <f>Sales[[#This Row],[Gross Amount]]-Sales[[#This Row],[Disc. Amt.]]+Sales[[#This Row],[GST Amount]]</f>
        <v>8660.2559999999994</v>
      </c>
      <c r="O43" s="158" t="s">
        <v>8876</v>
      </c>
      <c r="P43" s="158" t="s">
        <v>3562</v>
      </c>
      <c r="Q43" s="160">
        <f>IF(Sales[[#This Row],[Status]]="Cancelled",0,Sales[[#This Row],[Qty]])</f>
        <v>2</v>
      </c>
      <c r="R43" s="161">
        <f>IF(Sales[[#This Row],[Status]]="Cancelled",0,Sales[[#This Row],[Total Amount]])</f>
        <v>8660.2559999999994</v>
      </c>
      <c r="S43" s="162">
        <f>SUM(Sales[Net Amount])</f>
        <v>406839287.73200053</v>
      </c>
    </row>
    <row r="44" spans="1:19" ht="18.75" x14ac:dyDescent="0.25">
      <c r="A44" s="163" t="s">
        <v>3606</v>
      </c>
      <c r="B44" s="164">
        <v>45783</v>
      </c>
      <c r="C44" s="34" t="s">
        <v>789</v>
      </c>
      <c r="D44" s="53" t="str">
        <f>VLOOKUP(Sales[[#This Row],[Customer ID]],Customer[#All],2,0)</f>
        <v>Ankit Patel</v>
      </c>
      <c r="E44" s="34" t="s">
        <v>326</v>
      </c>
      <c r="F44" s="34" t="str">
        <f>VLOOKUP(Sales[[#This Row],[Product ID]],Product[#All],2,0)</f>
        <v>Samsung Ssd</v>
      </c>
      <c r="G44" s="53">
        <v>2</v>
      </c>
      <c r="H44" s="165">
        <f>VLOOKUP(Sales[[#This Row],[Product ID]],Product[#All],7,0)</f>
        <v>8670</v>
      </c>
      <c r="I44" s="165">
        <f>Sales[[#This Row],[Selling Rate]]*Sales[[#This Row],[Qty]]</f>
        <v>17340</v>
      </c>
      <c r="J44" s="45">
        <v>0.1</v>
      </c>
      <c r="K44" s="46">
        <f>Sales[[#This Row],[Gross Amount]]*Sales[[#This Row],[Disc %]]</f>
        <v>1734</v>
      </c>
      <c r="L44" s="43">
        <v>0.18</v>
      </c>
      <c r="M44" s="46">
        <f>(Sales[[#This Row],[Gross Amount]]-Sales[[#This Row],[Disc. Amt.]])*Sales[[#This Row],[GST %]]</f>
        <v>2809.08</v>
      </c>
      <c r="N44" s="161">
        <f>Sales[[#This Row],[Gross Amount]]-Sales[[#This Row],[Disc. Amt.]]+Sales[[#This Row],[GST Amount]]</f>
        <v>18415.080000000002</v>
      </c>
      <c r="O44" s="34" t="s">
        <v>3569</v>
      </c>
      <c r="P44" s="34" t="s">
        <v>3562</v>
      </c>
      <c r="Q44" s="165">
        <f>IF(Sales[[#This Row],[Status]]="Cancelled",0,Sales[[#This Row],[Qty]])</f>
        <v>2</v>
      </c>
      <c r="R44" s="166">
        <f>IF(Sales[[#This Row],[Status]]="Cancelled",0,Sales[[#This Row],[Total Amount]])</f>
        <v>18415.080000000002</v>
      </c>
      <c r="S44" s="162">
        <f>SUM(Sales[Net Amount])</f>
        <v>406839287.73200053</v>
      </c>
    </row>
    <row r="45" spans="1:19" ht="18.75" x14ac:dyDescent="0.25">
      <c r="A45" s="156" t="s">
        <v>3607</v>
      </c>
      <c r="B45" s="157">
        <v>45783</v>
      </c>
      <c r="C45" s="158" t="s">
        <v>807</v>
      </c>
      <c r="D45" s="159" t="str">
        <f>VLOOKUP(Sales[[#This Row],[Customer ID]],Customer[#All],2,0)</f>
        <v>Rakesh Patel</v>
      </c>
      <c r="E45" s="158" t="s">
        <v>330</v>
      </c>
      <c r="F45" s="158" t="str">
        <f>VLOOKUP(Sales[[#This Row],[Product ID]],Product[#All],2,0)</f>
        <v>American TouristerLaptopBag</v>
      </c>
      <c r="G45" s="159">
        <v>4</v>
      </c>
      <c r="H45" s="160">
        <f>VLOOKUP(Sales[[#This Row],[Product ID]],Product[#All],7,0)</f>
        <v>4970</v>
      </c>
      <c r="I45" s="160">
        <f>Sales[[#This Row],[Selling Rate]]*Sales[[#This Row],[Qty]]</f>
        <v>19880</v>
      </c>
      <c r="J45" s="43">
        <v>0.12</v>
      </c>
      <c r="K45" s="44">
        <f>Sales[[#This Row],[Gross Amount]]*Sales[[#This Row],[Disc %]]</f>
        <v>2385.6</v>
      </c>
      <c r="L45" s="43">
        <v>0.18</v>
      </c>
      <c r="M45" s="44">
        <f>(Sales[[#This Row],[Gross Amount]]-Sales[[#This Row],[Disc. Amt.]])*Sales[[#This Row],[GST %]]</f>
        <v>3148.9920000000002</v>
      </c>
      <c r="N45" s="161">
        <f>Sales[[#This Row],[Gross Amount]]-Sales[[#This Row],[Disc. Amt.]]+Sales[[#This Row],[GST Amount]]</f>
        <v>20643.392</v>
      </c>
      <c r="O45" s="158" t="s">
        <v>8876</v>
      </c>
      <c r="P45" s="158" t="s">
        <v>3562</v>
      </c>
      <c r="Q45" s="160">
        <f>IF(Sales[[#This Row],[Status]]="Cancelled",0,Sales[[#This Row],[Qty]])</f>
        <v>4</v>
      </c>
      <c r="R45" s="161">
        <f>IF(Sales[[#This Row],[Status]]="Cancelled",0,Sales[[#This Row],[Total Amount]])</f>
        <v>20643.392</v>
      </c>
      <c r="S45" s="162">
        <f>SUM(Sales[Net Amount])</f>
        <v>406839287.73200053</v>
      </c>
    </row>
    <row r="46" spans="1:19" ht="18.75" x14ac:dyDescent="0.25">
      <c r="A46" s="163" t="s">
        <v>3608</v>
      </c>
      <c r="B46" s="164">
        <v>45783</v>
      </c>
      <c r="C46" s="34" t="s">
        <v>907</v>
      </c>
      <c r="D46" s="53" t="str">
        <f>VLOOKUP(Sales[[#This Row],[Customer ID]],Customer[#All],2,0)</f>
        <v>Vikas Verma</v>
      </c>
      <c r="E46" s="34" t="s">
        <v>271</v>
      </c>
      <c r="F46" s="34" t="str">
        <f>VLOOKUP(Sales[[#This Row],[Product ID]],Product[#All],2,0)</f>
        <v>TP-link Bluetooth Adapter</v>
      </c>
      <c r="G46" s="53">
        <v>5</v>
      </c>
      <c r="H46" s="165">
        <f>VLOOKUP(Sales[[#This Row],[Product ID]],Product[#All],7,0)</f>
        <v>410</v>
      </c>
      <c r="I46" s="165">
        <f>Sales[[#This Row],[Selling Rate]]*Sales[[#This Row],[Qty]]</f>
        <v>2050</v>
      </c>
      <c r="J46" s="45">
        <v>0.1</v>
      </c>
      <c r="K46" s="46">
        <f>Sales[[#This Row],[Gross Amount]]*Sales[[#This Row],[Disc %]]</f>
        <v>205</v>
      </c>
      <c r="L46" s="43">
        <v>0.18</v>
      </c>
      <c r="M46" s="46">
        <f>(Sales[[#This Row],[Gross Amount]]-Sales[[#This Row],[Disc. Amt.]])*Sales[[#This Row],[GST %]]</f>
        <v>332.09999999999997</v>
      </c>
      <c r="N46" s="161">
        <f>Sales[[#This Row],[Gross Amount]]-Sales[[#This Row],[Disc. Amt.]]+Sales[[#This Row],[GST Amount]]</f>
        <v>2177.1</v>
      </c>
      <c r="O46" s="34" t="s">
        <v>3566</v>
      </c>
      <c r="P46" s="34" t="s">
        <v>3562</v>
      </c>
      <c r="Q46" s="165">
        <f>IF(Sales[[#This Row],[Status]]="Cancelled",0,Sales[[#This Row],[Qty]])</f>
        <v>5</v>
      </c>
      <c r="R46" s="166">
        <f>IF(Sales[[#This Row],[Status]]="Cancelled",0,Sales[[#This Row],[Total Amount]])</f>
        <v>2177.1</v>
      </c>
      <c r="S46" s="162">
        <f>SUM(Sales[Net Amount])</f>
        <v>406839287.73200053</v>
      </c>
    </row>
    <row r="47" spans="1:19" ht="18.75" x14ac:dyDescent="0.25">
      <c r="A47" s="156" t="s">
        <v>3609</v>
      </c>
      <c r="B47" s="157">
        <v>45783</v>
      </c>
      <c r="C47" s="158" t="s">
        <v>877</v>
      </c>
      <c r="D47" s="159" t="str">
        <f>VLOOKUP(Sales[[#This Row],[Customer ID]],Customer[#All],2,0)</f>
        <v>Sahil Patel</v>
      </c>
      <c r="E47" s="158" t="s">
        <v>38</v>
      </c>
      <c r="F47" s="158" t="str">
        <f>VLOOKUP(Sales[[#This Row],[Product ID]],Product[#All],2,0)</f>
        <v>Lenovo Laptop</v>
      </c>
      <c r="G47" s="159">
        <v>8</v>
      </c>
      <c r="H47" s="160">
        <f>VLOOKUP(Sales[[#This Row],[Product ID]],Product[#All],7,0)</f>
        <v>77490</v>
      </c>
      <c r="I47" s="160">
        <f>Sales[[#This Row],[Selling Rate]]*Sales[[#This Row],[Qty]]</f>
        <v>619920</v>
      </c>
      <c r="J47" s="43">
        <v>0.12</v>
      </c>
      <c r="K47" s="44">
        <f>Sales[[#This Row],[Gross Amount]]*Sales[[#This Row],[Disc %]]</f>
        <v>74390.399999999994</v>
      </c>
      <c r="L47" s="43">
        <v>0.18</v>
      </c>
      <c r="M47" s="44">
        <f>(Sales[[#This Row],[Gross Amount]]-Sales[[#This Row],[Disc. Amt.]])*Sales[[#This Row],[GST %]]</f>
        <v>98195.327999999994</v>
      </c>
      <c r="N47" s="161">
        <f>Sales[[#This Row],[Gross Amount]]-Sales[[#This Row],[Disc. Amt.]]+Sales[[#This Row],[GST Amount]]</f>
        <v>643724.92799999996</v>
      </c>
      <c r="O47" s="158" t="s">
        <v>3569</v>
      </c>
      <c r="P47" s="158" t="s">
        <v>3562</v>
      </c>
      <c r="Q47" s="160">
        <f>IF(Sales[[#This Row],[Status]]="Cancelled",0,Sales[[#This Row],[Qty]])</f>
        <v>8</v>
      </c>
      <c r="R47" s="161">
        <f>IF(Sales[[#This Row],[Status]]="Cancelled",0,Sales[[#This Row],[Total Amount]])</f>
        <v>643724.92799999996</v>
      </c>
      <c r="S47" s="162">
        <f>SUM(Sales[Net Amount])</f>
        <v>406839287.73200053</v>
      </c>
    </row>
    <row r="48" spans="1:19" ht="18.75" x14ac:dyDescent="0.25">
      <c r="A48" s="163" t="s">
        <v>3610</v>
      </c>
      <c r="B48" s="164">
        <v>45783</v>
      </c>
      <c r="C48" s="34" t="s">
        <v>659</v>
      </c>
      <c r="D48" s="53" t="str">
        <f>VLOOKUP(Sales[[#This Row],[Customer ID]],Customer[#All],2,0)</f>
        <v>Rakesh Sharma</v>
      </c>
      <c r="E48" s="34" t="s">
        <v>72</v>
      </c>
      <c r="F48" s="34" t="str">
        <f>VLOOKUP(Sales[[#This Row],[Product ID]],Product[#All],2,0)</f>
        <v>Dell Keyboard</v>
      </c>
      <c r="G48" s="53">
        <v>5</v>
      </c>
      <c r="H48" s="165">
        <f>VLOOKUP(Sales[[#This Row],[Product ID]],Product[#All],7,0)</f>
        <v>1250</v>
      </c>
      <c r="I48" s="165">
        <f>Sales[[#This Row],[Selling Rate]]*Sales[[#This Row],[Qty]]</f>
        <v>6250</v>
      </c>
      <c r="J48" s="45">
        <v>0.1</v>
      </c>
      <c r="K48" s="46">
        <f>Sales[[#This Row],[Gross Amount]]*Sales[[#This Row],[Disc %]]</f>
        <v>625</v>
      </c>
      <c r="L48" s="43">
        <v>0.18</v>
      </c>
      <c r="M48" s="46">
        <f>(Sales[[#This Row],[Gross Amount]]-Sales[[#This Row],[Disc. Amt.]])*Sales[[#This Row],[GST %]]</f>
        <v>1012.5</v>
      </c>
      <c r="N48" s="161">
        <f>Sales[[#This Row],[Gross Amount]]-Sales[[#This Row],[Disc. Amt.]]+Sales[[#This Row],[GST Amount]]</f>
        <v>6637.5</v>
      </c>
      <c r="O48" s="34" t="s">
        <v>3566</v>
      </c>
      <c r="P48" s="34" t="s">
        <v>3562</v>
      </c>
      <c r="Q48" s="165">
        <f>IF(Sales[[#This Row],[Status]]="Cancelled",0,Sales[[#This Row],[Qty]])</f>
        <v>5</v>
      </c>
      <c r="R48" s="166">
        <f>IF(Sales[[#This Row],[Status]]="Cancelled",0,Sales[[#This Row],[Total Amount]])</f>
        <v>6637.5</v>
      </c>
      <c r="S48" s="162">
        <f>SUM(Sales[Net Amount])</f>
        <v>406839287.73200053</v>
      </c>
    </row>
    <row r="49" spans="1:19" ht="18.75" x14ac:dyDescent="0.25">
      <c r="A49" s="156" t="s">
        <v>3611</v>
      </c>
      <c r="B49" s="157">
        <v>45783</v>
      </c>
      <c r="C49" s="158" t="s">
        <v>934</v>
      </c>
      <c r="D49" s="159" t="str">
        <f>VLOOKUP(Sales[[#This Row],[Customer ID]],Customer[#All],2,0)</f>
        <v>Pooja Singh</v>
      </c>
      <c r="E49" s="158" t="s">
        <v>481</v>
      </c>
      <c r="F49" s="158" t="str">
        <f>VLOOKUP(Sales[[#This Row],[Product ID]],Product[#All],2,0)</f>
        <v>Dell Laptop</v>
      </c>
      <c r="G49" s="159">
        <v>1</v>
      </c>
      <c r="H49" s="160">
        <f>VLOOKUP(Sales[[#This Row],[Product ID]],Product[#All],7,0)</f>
        <v>36050</v>
      </c>
      <c r="I49" s="160">
        <f>Sales[[#This Row],[Selling Rate]]*Sales[[#This Row],[Qty]]</f>
        <v>36050</v>
      </c>
      <c r="J49" s="43">
        <v>0</v>
      </c>
      <c r="K49" s="44">
        <f>Sales[[#This Row],[Gross Amount]]*Sales[[#This Row],[Disc %]]</f>
        <v>0</v>
      </c>
      <c r="L49" s="43">
        <v>0.18</v>
      </c>
      <c r="M49" s="44">
        <f>(Sales[[#This Row],[Gross Amount]]-Sales[[#This Row],[Disc. Amt.]])*Sales[[#This Row],[GST %]]</f>
        <v>6489</v>
      </c>
      <c r="N49" s="161">
        <f>Sales[[#This Row],[Gross Amount]]-Sales[[#This Row],[Disc. Amt.]]+Sales[[#This Row],[GST Amount]]</f>
        <v>42539</v>
      </c>
      <c r="O49" s="158" t="s">
        <v>3569</v>
      </c>
      <c r="P49" s="158" t="s">
        <v>3562</v>
      </c>
      <c r="Q49" s="160">
        <f>IF(Sales[[#This Row],[Status]]="Cancelled",0,Sales[[#This Row],[Qty]])</f>
        <v>1</v>
      </c>
      <c r="R49" s="161">
        <f>IF(Sales[[#This Row],[Status]]="Cancelled",0,Sales[[#This Row],[Total Amount]])</f>
        <v>42539</v>
      </c>
      <c r="S49" s="162">
        <f>SUM(Sales[Net Amount])</f>
        <v>406839287.73200053</v>
      </c>
    </row>
    <row r="50" spans="1:19" ht="18.75" x14ac:dyDescent="0.25">
      <c r="A50" s="163" t="s">
        <v>3612</v>
      </c>
      <c r="B50" s="164">
        <v>45783</v>
      </c>
      <c r="C50" s="34" t="s">
        <v>660</v>
      </c>
      <c r="D50" s="53" t="str">
        <f>VLOOKUP(Sales[[#This Row],[Customer ID]],Customer[#All],2,0)</f>
        <v>Priya Sharma</v>
      </c>
      <c r="E50" s="34" t="s">
        <v>529</v>
      </c>
      <c r="F50" s="34" t="str">
        <f>VLOOKUP(Sales[[#This Row],[Product ID]],Product[#All],2,0)</f>
        <v>Logitech Webcam</v>
      </c>
      <c r="G50" s="53">
        <v>1</v>
      </c>
      <c r="H50" s="165">
        <f>VLOOKUP(Sales[[#This Row],[Product ID]],Product[#All],7,0)</f>
        <v>3390</v>
      </c>
      <c r="I50" s="165">
        <f>Sales[[#This Row],[Selling Rate]]*Sales[[#This Row],[Qty]]</f>
        <v>3390</v>
      </c>
      <c r="J50" s="45">
        <v>0.1</v>
      </c>
      <c r="K50" s="46">
        <f>Sales[[#This Row],[Gross Amount]]*Sales[[#This Row],[Disc %]]</f>
        <v>339</v>
      </c>
      <c r="L50" s="43">
        <v>0.18</v>
      </c>
      <c r="M50" s="46">
        <f>(Sales[[#This Row],[Gross Amount]]-Sales[[#This Row],[Disc. Amt.]])*Sales[[#This Row],[GST %]]</f>
        <v>549.17999999999995</v>
      </c>
      <c r="N50" s="161">
        <f>Sales[[#This Row],[Gross Amount]]-Sales[[#This Row],[Disc. Amt.]]+Sales[[#This Row],[GST Amount]]</f>
        <v>3600.18</v>
      </c>
      <c r="O50" s="34" t="s">
        <v>3561</v>
      </c>
      <c r="P50" s="34" t="s">
        <v>3562</v>
      </c>
      <c r="Q50" s="165">
        <f>IF(Sales[[#This Row],[Status]]="Cancelled",0,Sales[[#This Row],[Qty]])</f>
        <v>1</v>
      </c>
      <c r="R50" s="166">
        <f>IF(Sales[[#This Row],[Status]]="Cancelled",0,Sales[[#This Row],[Total Amount]])</f>
        <v>3600.18</v>
      </c>
      <c r="S50" s="162">
        <f>SUM(Sales[Net Amount])</f>
        <v>406839287.73200053</v>
      </c>
    </row>
    <row r="51" spans="1:19" ht="18.75" x14ac:dyDescent="0.25">
      <c r="A51" s="156" t="s">
        <v>3613</v>
      </c>
      <c r="B51" s="157">
        <v>45783</v>
      </c>
      <c r="C51" s="158" t="s">
        <v>853</v>
      </c>
      <c r="D51" s="159" t="str">
        <f>VLOOKUP(Sales[[#This Row],[Customer ID]],Customer[#All],2,0)</f>
        <v>Amit Singh</v>
      </c>
      <c r="E51" s="158" t="s">
        <v>424</v>
      </c>
      <c r="F51" s="158" t="str">
        <f>VLOOKUP(Sales[[#This Row],[Product ID]],Product[#All],2,0)</f>
        <v>TP-link Wi-Fi Adapter</v>
      </c>
      <c r="G51" s="159">
        <v>2</v>
      </c>
      <c r="H51" s="160">
        <f>VLOOKUP(Sales[[#This Row],[Product ID]],Product[#All],7,0)</f>
        <v>690</v>
      </c>
      <c r="I51" s="160">
        <f>Sales[[#This Row],[Selling Rate]]*Sales[[#This Row],[Qty]]</f>
        <v>1380</v>
      </c>
      <c r="J51" s="43">
        <v>0</v>
      </c>
      <c r="K51" s="44">
        <f>Sales[[#This Row],[Gross Amount]]*Sales[[#This Row],[Disc %]]</f>
        <v>0</v>
      </c>
      <c r="L51" s="43">
        <v>0.18</v>
      </c>
      <c r="M51" s="44">
        <f>(Sales[[#This Row],[Gross Amount]]-Sales[[#This Row],[Disc. Amt.]])*Sales[[#This Row],[GST %]]</f>
        <v>248.39999999999998</v>
      </c>
      <c r="N51" s="161">
        <f>Sales[[#This Row],[Gross Amount]]-Sales[[#This Row],[Disc. Amt.]]+Sales[[#This Row],[GST Amount]]</f>
        <v>1628.4</v>
      </c>
      <c r="O51" s="158" t="s">
        <v>3569</v>
      </c>
      <c r="P51" s="158" t="s">
        <v>3562</v>
      </c>
      <c r="Q51" s="160">
        <f>IF(Sales[[#This Row],[Status]]="Cancelled",0,Sales[[#This Row],[Qty]])</f>
        <v>2</v>
      </c>
      <c r="R51" s="161">
        <f>IF(Sales[[#This Row],[Status]]="Cancelled",0,Sales[[#This Row],[Total Amount]])</f>
        <v>1628.4</v>
      </c>
      <c r="S51" s="162">
        <f>SUM(Sales[Net Amount])</f>
        <v>406839287.73200053</v>
      </c>
    </row>
    <row r="52" spans="1:19" ht="18.75" x14ac:dyDescent="0.25">
      <c r="A52" s="163" t="s">
        <v>3614</v>
      </c>
      <c r="B52" s="164">
        <v>45783</v>
      </c>
      <c r="C52" s="34" t="s">
        <v>3615</v>
      </c>
      <c r="D52" s="53" t="str">
        <f>VLOOKUP(Sales[[#This Row],[Customer ID]],Customer[#All],2,0)</f>
        <v>Sahil Patel</v>
      </c>
      <c r="E52" s="34" t="s">
        <v>344</v>
      </c>
      <c r="F52" s="34" t="str">
        <f>VLOOKUP(Sales[[#This Row],[Product ID]],Product[#All],2,0)</f>
        <v>WD HDD</v>
      </c>
      <c r="G52" s="53">
        <v>8</v>
      </c>
      <c r="H52" s="165">
        <f>VLOOKUP(Sales[[#This Row],[Product ID]],Product[#All],7,0)</f>
        <v>11260</v>
      </c>
      <c r="I52" s="165">
        <f>Sales[[#This Row],[Selling Rate]]*Sales[[#This Row],[Qty]]</f>
        <v>90080</v>
      </c>
      <c r="J52" s="45">
        <v>0</v>
      </c>
      <c r="K52" s="46">
        <f>Sales[[#This Row],[Gross Amount]]*Sales[[#This Row],[Disc %]]</f>
        <v>0</v>
      </c>
      <c r="L52" s="43">
        <v>0.18</v>
      </c>
      <c r="M52" s="46">
        <f>(Sales[[#This Row],[Gross Amount]]-Sales[[#This Row],[Disc. Amt.]])*Sales[[#This Row],[GST %]]</f>
        <v>16214.4</v>
      </c>
      <c r="N52" s="161">
        <f>Sales[[#This Row],[Gross Amount]]-Sales[[#This Row],[Disc. Amt.]]+Sales[[#This Row],[GST Amount]]</f>
        <v>106294.39999999999</v>
      </c>
      <c r="O52" s="34" t="s">
        <v>3569</v>
      </c>
      <c r="P52" s="34" t="s">
        <v>1040</v>
      </c>
      <c r="Q52" s="165">
        <f>IF(Sales[[#This Row],[Status]]="Cancelled",0,Sales[[#This Row],[Qty]])</f>
        <v>0</v>
      </c>
      <c r="R52" s="166">
        <f>IF(Sales[[#This Row],[Status]]="Cancelled",0,Sales[[#This Row],[Total Amount]])</f>
        <v>0</v>
      </c>
      <c r="S52" s="162">
        <f>SUM(Sales[Net Amount])</f>
        <v>406839287.73200053</v>
      </c>
    </row>
    <row r="53" spans="1:19" ht="18.75" x14ac:dyDescent="0.25">
      <c r="A53" s="156" t="s">
        <v>3616</v>
      </c>
      <c r="B53" s="157">
        <v>45783</v>
      </c>
      <c r="C53" s="158" t="s">
        <v>768</v>
      </c>
      <c r="D53" s="159" t="str">
        <f>VLOOKUP(Sales[[#This Row],[Customer ID]],Customer[#All],2,0)</f>
        <v>Priya Kumar</v>
      </c>
      <c r="E53" s="158" t="s">
        <v>504</v>
      </c>
      <c r="F53" s="158" t="str">
        <f>VLOOKUP(Sales[[#This Row],[Product ID]],Product[#All],2,0)</f>
        <v>Logitech Keyboard</v>
      </c>
      <c r="G53" s="159">
        <v>4</v>
      </c>
      <c r="H53" s="160">
        <f>VLOOKUP(Sales[[#This Row],[Product ID]],Product[#All],7,0)</f>
        <v>3930</v>
      </c>
      <c r="I53" s="160">
        <f>Sales[[#This Row],[Selling Rate]]*Sales[[#This Row],[Qty]]</f>
        <v>15720</v>
      </c>
      <c r="J53" s="43">
        <v>0.02</v>
      </c>
      <c r="K53" s="44">
        <f>Sales[[#This Row],[Gross Amount]]*Sales[[#This Row],[Disc %]]</f>
        <v>314.40000000000003</v>
      </c>
      <c r="L53" s="43">
        <v>0.18</v>
      </c>
      <c r="M53" s="44">
        <f>(Sales[[#This Row],[Gross Amount]]-Sales[[#This Row],[Disc. Amt.]])*Sales[[#This Row],[GST %]]</f>
        <v>2773.0079999999998</v>
      </c>
      <c r="N53" s="161">
        <f>Sales[[#This Row],[Gross Amount]]-Sales[[#This Row],[Disc. Amt.]]+Sales[[#This Row],[GST Amount]]</f>
        <v>18178.608</v>
      </c>
      <c r="O53" s="158" t="s">
        <v>3569</v>
      </c>
      <c r="P53" s="158" t="s">
        <v>3562</v>
      </c>
      <c r="Q53" s="160">
        <f>IF(Sales[[#This Row],[Status]]="Cancelled",0,Sales[[#This Row],[Qty]])</f>
        <v>4</v>
      </c>
      <c r="R53" s="161">
        <f>IF(Sales[[#This Row],[Status]]="Cancelled",0,Sales[[#This Row],[Total Amount]])</f>
        <v>18178.608</v>
      </c>
      <c r="S53" s="162">
        <f>SUM(Sales[Net Amount])</f>
        <v>406839287.73200053</v>
      </c>
    </row>
    <row r="54" spans="1:19" ht="18.75" x14ac:dyDescent="0.25">
      <c r="A54" s="163" t="s">
        <v>3617</v>
      </c>
      <c r="B54" s="164">
        <v>45783</v>
      </c>
      <c r="C54" s="34" t="s">
        <v>901</v>
      </c>
      <c r="D54" s="53" t="str">
        <f>VLOOKUP(Sales[[#This Row],[Customer ID]],Customer[#All],2,0)</f>
        <v>Vikas Kumar</v>
      </c>
      <c r="E54" s="34" t="s">
        <v>454</v>
      </c>
      <c r="F54" s="34" t="str">
        <f>VLOOKUP(Sales[[#This Row],[Product ID]],Product[#All],2,0)</f>
        <v>Dell Monitor</v>
      </c>
      <c r="G54" s="53">
        <v>6</v>
      </c>
      <c r="H54" s="165">
        <f>VLOOKUP(Sales[[#This Row],[Product ID]],Product[#All],7,0)</f>
        <v>16760</v>
      </c>
      <c r="I54" s="165">
        <f>Sales[[#This Row],[Selling Rate]]*Sales[[#This Row],[Qty]]</f>
        <v>100560</v>
      </c>
      <c r="J54" s="45">
        <v>0.15</v>
      </c>
      <c r="K54" s="46">
        <f>Sales[[#This Row],[Gross Amount]]*Sales[[#This Row],[Disc %]]</f>
        <v>15084</v>
      </c>
      <c r="L54" s="43">
        <v>0.18</v>
      </c>
      <c r="M54" s="46">
        <f>(Sales[[#This Row],[Gross Amount]]-Sales[[#This Row],[Disc. Amt.]])*Sales[[#This Row],[GST %]]</f>
        <v>15385.68</v>
      </c>
      <c r="N54" s="161">
        <f>Sales[[#This Row],[Gross Amount]]-Sales[[#This Row],[Disc. Amt.]]+Sales[[#This Row],[GST Amount]]</f>
        <v>100861.68</v>
      </c>
      <c r="O54" s="34" t="s">
        <v>3569</v>
      </c>
      <c r="P54" s="34" t="s">
        <v>3562</v>
      </c>
      <c r="Q54" s="165">
        <f>IF(Sales[[#This Row],[Status]]="Cancelled",0,Sales[[#This Row],[Qty]])</f>
        <v>6</v>
      </c>
      <c r="R54" s="166">
        <f>IF(Sales[[#This Row],[Status]]="Cancelled",0,Sales[[#This Row],[Total Amount]])</f>
        <v>100861.68</v>
      </c>
      <c r="S54" s="162">
        <f>SUM(Sales[Net Amount])</f>
        <v>406839287.73200053</v>
      </c>
    </row>
    <row r="55" spans="1:19" ht="18.75" x14ac:dyDescent="0.25">
      <c r="A55" s="156" t="s">
        <v>3618</v>
      </c>
      <c r="B55" s="157">
        <v>45783</v>
      </c>
      <c r="C55" s="158" t="s">
        <v>930</v>
      </c>
      <c r="D55" s="159" t="str">
        <f>VLOOKUP(Sales[[#This Row],[Customer ID]],Customer[#All],2,0)</f>
        <v>Rakesh Gupta</v>
      </c>
      <c r="E55" s="158" t="s">
        <v>430</v>
      </c>
      <c r="F55" s="158" t="str">
        <f>VLOOKUP(Sales[[#This Row],[Product ID]],Product[#All],2,0)</f>
        <v>Jbl Speaker</v>
      </c>
      <c r="G55" s="159">
        <v>6</v>
      </c>
      <c r="H55" s="160">
        <f>VLOOKUP(Sales[[#This Row],[Product ID]],Product[#All],7,0)</f>
        <v>6890</v>
      </c>
      <c r="I55" s="160">
        <f>Sales[[#This Row],[Selling Rate]]*Sales[[#This Row],[Qty]]</f>
        <v>41340</v>
      </c>
      <c r="J55" s="43">
        <v>0.05</v>
      </c>
      <c r="K55" s="44">
        <f>Sales[[#This Row],[Gross Amount]]*Sales[[#This Row],[Disc %]]</f>
        <v>2067</v>
      </c>
      <c r="L55" s="43">
        <v>0.18</v>
      </c>
      <c r="M55" s="44">
        <f>(Sales[[#This Row],[Gross Amount]]-Sales[[#This Row],[Disc. Amt.]])*Sales[[#This Row],[GST %]]</f>
        <v>7069.1399999999994</v>
      </c>
      <c r="N55" s="161">
        <f>Sales[[#This Row],[Gross Amount]]-Sales[[#This Row],[Disc. Amt.]]+Sales[[#This Row],[GST Amount]]</f>
        <v>46342.14</v>
      </c>
      <c r="O55" s="158" t="s">
        <v>3566</v>
      </c>
      <c r="P55" s="158" t="s">
        <v>3562</v>
      </c>
      <c r="Q55" s="160">
        <f>IF(Sales[[#This Row],[Status]]="Cancelled",0,Sales[[#This Row],[Qty]])</f>
        <v>6</v>
      </c>
      <c r="R55" s="161">
        <f>IF(Sales[[#This Row],[Status]]="Cancelled",0,Sales[[#This Row],[Total Amount]])</f>
        <v>46342.14</v>
      </c>
      <c r="S55" s="162">
        <f>SUM(Sales[Net Amount])</f>
        <v>406839287.73200053</v>
      </c>
    </row>
    <row r="56" spans="1:19" ht="18.75" x14ac:dyDescent="0.25">
      <c r="A56" s="163" t="s">
        <v>3619</v>
      </c>
      <c r="B56" s="164">
        <v>45783</v>
      </c>
      <c r="C56" s="34" t="s">
        <v>891</v>
      </c>
      <c r="D56" s="53" t="str">
        <f>VLOOKUP(Sales[[#This Row],[Customer ID]],Customer[#All],2,0)</f>
        <v>Pooja Verma</v>
      </c>
      <c r="E56" s="34" t="s">
        <v>297</v>
      </c>
      <c r="F56" s="34" t="str">
        <f>VLOOKUP(Sales[[#This Row],[Product ID]],Product[#All],2,0)</f>
        <v>Dell Desktop</v>
      </c>
      <c r="G56" s="53">
        <v>8</v>
      </c>
      <c r="H56" s="165">
        <f>VLOOKUP(Sales[[#This Row],[Product ID]],Product[#All],7,0)</f>
        <v>39300</v>
      </c>
      <c r="I56" s="165">
        <f>Sales[[#This Row],[Selling Rate]]*Sales[[#This Row],[Qty]]</f>
        <v>314400</v>
      </c>
      <c r="J56" s="45">
        <v>0.05</v>
      </c>
      <c r="K56" s="46">
        <f>Sales[[#This Row],[Gross Amount]]*Sales[[#This Row],[Disc %]]</f>
        <v>15720</v>
      </c>
      <c r="L56" s="43">
        <v>0.18</v>
      </c>
      <c r="M56" s="46">
        <f>(Sales[[#This Row],[Gross Amount]]-Sales[[#This Row],[Disc. Amt.]])*Sales[[#This Row],[GST %]]</f>
        <v>53762.400000000001</v>
      </c>
      <c r="N56" s="161">
        <f>Sales[[#This Row],[Gross Amount]]-Sales[[#This Row],[Disc. Amt.]]+Sales[[#This Row],[GST Amount]]</f>
        <v>352442.4</v>
      </c>
      <c r="O56" s="34" t="s">
        <v>3566</v>
      </c>
      <c r="P56" s="34" t="s">
        <v>3562</v>
      </c>
      <c r="Q56" s="165">
        <f>IF(Sales[[#This Row],[Status]]="Cancelled",0,Sales[[#This Row],[Qty]])</f>
        <v>8</v>
      </c>
      <c r="R56" s="166">
        <f>IF(Sales[[#This Row],[Status]]="Cancelled",0,Sales[[#This Row],[Total Amount]])</f>
        <v>352442.4</v>
      </c>
      <c r="S56" s="162">
        <f>SUM(Sales[Net Amount])</f>
        <v>406839287.73200053</v>
      </c>
    </row>
    <row r="57" spans="1:19" ht="18.75" x14ac:dyDescent="0.25">
      <c r="A57" s="156" t="s">
        <v>3620</v>
      </c>
      <c r="B57" s="157">
        <v>45783</v>
      </c>
      <c r="C57" s="158" t="s">
        <v>868</v>
      </c>
      <c r="D57" s="159" t="str">
        <f>VLOOKUP(Sales[[#This Row],[Customer ID]],Customer[#All],2,0)</f>
        <v>Rahul Verma</v>
      </c>
      <c r="E57" s="158" t="s">
        <v>474</v>
      </c>
      <c r="F57" s="158" t="str">
        <f>VLOOKUP(Sales[[#This Row],[Product ID]],Product[#All],2,0)</f>
        <v>Logitech Mouse</v>
      </c>
      <c r="G57" s="159">
        <v>3</v>
      </c>
      <c r="H57" s="160">
        <f>VLOOKUP(Sales[[#This Row],[Product ID]],Product[#All],7,0)</f>
        <v>1320</v>
      </c>
      <c r="I57" s="160">
        <f>Sales[[#This Row],[Selling Rate]]*Sales[[#This Row],[Qty]]</f>
        <v>3960</v>
      </c>
      <c r="J57" s="43">
        <v>0.15</v>
      </c>
      <c r="K57" s="44">
        <f>Sales[[#This Row],[Gross Amount]]*Sales[[#This Row],[Disc %]]</f>
        <v>594</v>
      </c>
      <c r="L57" s="43">
        <v>0.18</v>
      </c>
      <c r="M57" s="44">
        <f>(Sales[[#This Row],[Gross Amount]]-Sales[[#This Row],[Disc. Amt.]])*Sales[[#This Row],[GST %]]</f>
        <v>605.88</v>
      </c>
      <c r="N57" s="161">
        <f>Sales[[#This Row],[Gross Amount]]-Sales[[#This Row],[Disc. Amt.]]+Sales[[#This Row],[GST Amount]]</f>
        <v>3971.88</v>
      </c>
      <c r="O57" s="158" t="s">
        <v>8876</v>
      </c>
      <c r="P57" s="158" t="s">
        <v>3562</v>
      </c>
      <c r="Q57" s="160">
        <f>IF(Sales[[#This Row],[Status]]="Cancelled",0,Sales[[#This Row],[Qty]])</f>
        <v>3</v>
      </c>
      <c r="R57" s="161">
        <f>IF(Sales[[#This Row],[Status]]="Cancelled",0,Sales[[#This Row],[Total Amount]])</f>
        <v>3971.88</v>
      </c>
      <c r="S57" s="162">
        <f>SUM(Sales[Net Amount])</f>
        <v>406839287.73200053</v>
      </c>
    </row>
    <row r="58" spans="1:19" ht="18.75" x14ac:dyDescent="0.25">
      <c r="A58" s="163" t="s">
        <v>3621</v>
      </c>
      <c r="B58" s="164">
        <v>45783</v>
      </c>
      <c r="C58" s="34" t="s">
        <v>952</v>
      </c>
      <c r="D58" s="53" t="str">
        <f>VLOOKUP(Sales[[#This Row],[Customer ID]],Customer[#All],2,0)</f>
        <v>Pooja Singh</v>
      </c>
      <c r="E58" s="34" t="s">
        <v>462</v>
      </c>
      <c r="F58" s="34" t="str">
        <f>VLOOKUP(Sales[[#This Row],[Product ID]],Product[#All],2,0)</f>
        <v>Dell Keyboard</v>
      </c>
      <c r="G58" s="53">
        <v>4</v>
      </c>
      <c r="H58" s="165">
        <f>VLOOKUP(Sales[[#This Row],[Product ID]],Product[#All],7,0)</f>
        <v>2730</v>
      </c>
      <c r="I58" s="165">
        <f>Sales[[#This Row],[Selling Rate]]*Sales[[#This Row],[Qty]]</f>
        <v>10920</v>
      </c>
      <c r="J58" s="45">
        <v>0.12</v>
      </c>
      <c r="K58" s="46">
        <f>Sales[[#This Row],[Gross Amount]]*Sales[[#This Row],[Disc %]]</f>
        <v>1310.3999999999999</v>
      </c>
      <c r="L58" s="43">
        <v>0.18</v>
      </c>
      <c r="M58" s="46">
        <f>(Sales[[#This Row],[Gross Amount]]-Sales[[#This Row],[Disc. Amt.]])*Sales[[#This Row],[GST %]]</f>
        <v>1729.7280000000001</v>
      </c>
      <c r="N58" s="161">
        <f>Sales[[#This Row],[Gross Amount]]-Sales[[#This Row],[Disc. Amt.]]+Sales[[#This Row],[GST Amount]]</f>
        <v>11339.328000000001</v>
      </c>
      <c r="O58" s="34" t="s">
        <v>3566</v>
      </c>
      <c r="P58" s="34" t="s">
        <v>3562</v>
      </c>
      <c r="Q58" s="165">
        <f>IF(Sales[[#This Row],[Status]]="Cancelled",0,Sales[[#This Row],[Qty]])</f>
        <v>4</v>
      </c>
      <c r="R58" s="166">
        <f>IF(Sales[[#This Row],[Status]]="Cancelled",0,Sales[[#This Row],[Total Amount]])</f>
        <v>11339.328000000001</v>
      </c>
      <c r="S58" s="162">
        <f>SUM(Sales[Net Amount])</f>
        <v>406839287.73200053</v>
      </c>
    </row>
    <row r="59" spans="1:19" ht="18.75" x14ac:dyDescent="0.25">
      <c r="A59" s="156" t="s">
        <v>3622</v>
      </c>
      <c r="B59" s="157">
        <v>45783</v>
      </c>
      <c r="C59" s="158" t="s">
        <v>672</v>
      </c>
      <c r="D59" s="159" t="str">
        <f>VLOOKUP(Sales[[#This Row],[Customer ID]],Customer[#All],2,0)</f>
        <v>Rahul Patel</v>
      </c>
      <c r="E59" s="158" t="s">
        <v>220</v>
      </c>
      <c r="F59" s="158" t="str">
        <f>VLOOKUP(Sales[[#This Row],[Product ID]],Product[#All],2,0)</f>
        <v>HP Desktop</v>
      </c>
      <c r="G59" s="159">
        <v>5</v>
      </c>
      <c r="H59" s="160">
        <f>VLOOKUP(Sales[[#This Row],[Product ID]],Product[#All],7,0)</f>
        <v>40570</v>
      </c>
      <c r="I59" s="160">
        <f>Sales[[#This Row],[Selling Rate]]*Sales[[#This Row],[Qty]]</f>
        <v>202850</v>
      </c>
      <c r="J59" s="43">
        <v>0.05</v>
      </c>
      <c r="K59" s="44">
        <f>Sales[[#This Row],[Gross Amount]]*Sales[[#This Row],[Disc %]]</f>
        <v>10142.5</v>
      </c>
      <c r="L59" s="43">
        <v>0.18</v>
      </c>
      <c r="M59" s="44">
        <f>(Sales[[#This Row],[Gross Amount]]-Sales[[#This Row],[Disc. Amt.]])*Sales[[#This Row],[GST %]]</f>
        <v>34687.35</v>
      </c>
      <c r="N59" s="161">
        <f>Sales[[#This Row],[Gross Amount]]-Sales[[#This Row],[Disc. Amt.]]+Sales[[#This Row],[GST Amount]]</f>
        <v>227394.85</v>
      </c>
      <c r="O59" s="158" t="s">
        <v>3561</v>
      </c>
      <c r="P59" s="158" t="s">
        <v>3562</v>
      </c>
      <c r="Q59" s="160">
        <f>IF(Sales[[#This Row],[Status]]="Cancelled",0,Sales[[#This Row],[Qty]])</f>
        <v>5</v>
      </c>
      <c r="R59" s="161">
        <f>IF(Sales[[#This Row],[Status]]="Cancelled",0,Sales[[#This Row],[Total Amount]])</f>
        <v>227394.85</v>
      </c>
      <c r="S59" s="162">
        <f>SUM(Sales[Net Amount])</f>
        <v>406839287.73200053</v>
      </c>
    </row>
    <row r="60" spans="1:19" ht="18.75" x14ac:dyDescent="0.25">
      <c r="A60" s="163" t="s">
        <v>3623</v>
      </c>
      <c r="B60" s="164">
        <v>45783</v>
      </c>
      <c r="C60" s="34" t="s">
        <v>715</v>
      </c>
      <c r="D60" s="53" t="str">
        <f>VLOOKUP(Sales[[#This Row],[Customer ID]],Customer[#All],2,0)</f>
        <v>Sunita Patel</v>
      </c>
      <c r="E60" s="34" t="s">
        <v>260</v>
      </c>
      <c r="F60" s="34" t="str">
        <f>VLOOKUP(Sales[[#This Row],[Product ID]],Product[#All],2,0)</f>
        <v>Corsair Ram</v>
      </c>
      <c r="G60" s="53">
        <v>5</v>
      </c>
      <c r="H60" s="165">
        <f>VLOOKUP(Sales[[#This Row],[Product ID]],Product[#All],7,0)</f>
        <v>6010</v>
      </c>
      <c r="I60" s="165">
        <f>Sales[[#This Row],[Selling Rate]]*Sales[[#This Row],[Qty]]</f>
        <v>30050</v>
      </c>
      <c r="J60" s="45">
        <v>0.15</v>
      </c>
      <c r="K60" s="46">
        <f>Sales[[#This Row],[Gross Amount]]*Sales[[#This Row],[Disc %]]</f>
        <v>4507.5</v>
      </c>
      <c r="L60" s="43">
        <v>0.18</v>
      </c>
      <c r="M60" s="46">
        <f>(Sales[[#This Row],[Gross Amount]]-Sales[[#This Row],[Disc. Amt.]])*Sales[[#This Row],[GST %]]</f>
        <v>4597.6499999999996</v>
      </c>
      <c r="N60" s="161">
        <f>Sales[[#This Row],[Gross Amount]]-Sales[[#This Row],[Disc. Amt.]]+Sales[[#This Row],[GST Amount]]</f>
        <v>30140.15</v>
      </c>
      <c r="O60" s="34" t="s">
        <v>3566</v>
      </c>
      <c r="P60" s="34" t="s">
        <v>3562</v>
      </c>
      <c r="Q60" s="165">
        <f>IF(Sales[[#This Row],[Status]]="Cancelled",0,Sales[[#This Row],[Qty]])</f>
        <v>5</v>
      </c>
      <c r="R60" s="166">
        <f>IF(Sales[[#This Row],[Status]]="Cancelled",0,Sales[[#This Row],[Total Amount]])</f>
        <v>30140.15</v>
      </c>
      <c r="S60" s="162">
        <f>SUM(Sales[Net Amount])</f>
        <v>406839287.73200053</v>
      </c>
    </row>
    <row r="61" spans="1:19" ht="18.75" x14ac:dyDescent="0.25">
      <c r="A61" s="156" t="s">
        <v>3624</v>
      </c>
      <c r="B61" s="157">
        <v>45783</v>
      </c>
      <c r="C61" s="158" t="s">
        <v>886</v>
      </c>
      <c r="D61" s="159" t="str">
        <f>VLOOKUP(Sales[[#This Row],[Customer ID]],Customer[#All],2,0)</f>
        <v>Sunita Gupta</v>
      </c>
      <c r="E61" s="158" t="s">
        <v>344</v>
      </c>
      <c r="F61" s="158" t="str">
        <f>VLOOKUP(Sales[[#This Row],[Product ID]],Product[#All],2,0)</f>
        <v>WD HDD</v>
      </c>
      <c r="G61" s="159">
        <v>7</v>
      </c>
      <c r="H61" s="160">
        <f>VLOOKUP(Sales[[#This Row],[Product ID]],Product[#All],7,0)</f>
        <v>11260</v>
      </c>
      <c r="I61" s="160">
        <f>Sales[[#This Row],[Selling Rate]]*Sales[[#This Row],[Qty]]</f>
        <v>78820</v>
      </c>
      <c r="J61" s="43">
        <v>0.05</v>
      </c>
      <c r="K61" s="44">
        <f>Sales[[#This Row],[Gross Amount]]*Sales[[#This Row],[Disc %]]</f>
        <v>3941</v>
      </c>
      <c r="L61" s="43">
        <v>0.18</v>
      </c>
      <c r="M61" s="44">
        <f>(Sales[[#This Row],[Gross Amount]]-Sales[[#This Row],[Disc. Amt.]])*Sales[[#This Row],[GST %]]</f>
        <v>13478.22</v>
      </c>
      <c r="N61" s="161">
        <f>Sales[[#This Row],[Gross Amount]]-Sales[[#This Row],[Disc. Amt.]]+Sales[[#This Row],[GST Amount]]</f>
        <v>88357.22</v>
      </c>
      <c r="O61" s="158" t="s">
        <v>3566</v>
      </c>
      <c r="P61" s="158" t="s">
        <v>3562</v>
      </c>
      <c r="Q61" s="160">
        <f>IF(Sales[[#This Row],[Status]]="Cancelled",0,Sales[[#This Row],[Qty]])</f>
        <v>7</v>
      </c>
      <c r="R61" s="161">
        <f>IF(Sales[[#This Row],[Status]]="Cancelled",0,Sales[[#This Row],[Total Amount]])</f>
        <v>88357.22</v>
      </c>
      <c r="S61" s="162">
        <f>SUM(Sales[Net Amount])</f>
        <v>406839287.73200053</v>
      </c>
    </row>
    <row r="62" spans="1:19" ht="18.75" x14ac:dyDescent="0.25">
      <c r="A62" s="163" t="s">
        <v>3625</v>
      </c>
      <c r="B62" s="164">
        <v>45783</v>
      </c>
      <c r="C62" s="34" t="s">
        <v>700</v>
      </c>
      <c r="D62" s="53" t="str">
        <f>VLOOKUP(Sales[[#This Row],[Customer ID]],Customer[#All],2,0)</f>
        <v>Ankit Gupta</v>
      </c>
      <c r="E62" s="34" t="s">
        <v>407</v>
      </c>
      <c r="F62" s="34" t="str">
        <f>VLOOKUP(Sales[[#This Row],[Product ID]],Product[#All],2,0)</f>
        <v>Lenovo Laptop</v>
      </c>
      <c r="G62" s="53">
        <v>2</v>
      </c>
      <c r="H62" s="165">
        <f>VLOOKUP(Sales[[#This Row],[Product ID]],Product[#All],7,0)</f>
        <v>44700</v>
      </c>
      <c r="I62" s="165">
        <f>Sales[[#This Row],[Selling Rate]]*Sales[[#This Row],[Qty]]</f>
        <v>89400</v>
      </c>
      <c r="J62" s="45">
        <v>0</v>
      </c>
      <c r="K62" s="46">
        <f>Sales[[#This Row],[Gross Amount]]*Sales[[#This Row],[Disc %]]</f>
        <v>0</v>
      </c>
      <c r="L62" s="43">
        <v>0.18</v>
      </c>
      <c r="M62" s="46">
        <f>(Sales[[#This Row],[Gross Amount]]-Sales[[#This Row],[Disc. Amt.]])*Sales[[#This Row],[GST %]]</f>
        <v>16092</v>
      </c>
      <c r="N62" s="161">
        <f>Sales[[#This Row],[Gross Amount]]-Sales[[#This Row],[Disc. Amt.]]+Sales[[#This Row],[GST Amount]]</f>
        <v>105492</v>
      </c>
      <c r="O62" s="34" t="s">
        <v>3561</v>
      </c>
      <c r="P62" s="34" t="s">
        <v>3562</v>
      </c>
      <c r="Q62" s="165">
        <f>IF(Sales[[#This Row],[Status]]="Cancelled",0,Sales[[#This Row],[Qty]])</f>
        <v>2</v>
      </c>
      <c r="R62" s="166">
        <f>IF(Sales[[#This Row],[Status]]="Cancelled",0,Sales[[#This Row],[Total Amount]])</f>
        <v>105492</v>
      </c>
      <c r="S62" s="162">
        <f>SUM(Sales[Net Amount])</f>
        <v>406839287.73200053</v>
      </c>
    </row>
    <row r="63" spans="1:19" ht="18.75" x14ac:dyDescent="0.25">
      <c r="A63" s="156" t="s">
        <v>3626</v>
      </c>
      <c r="B63" s="157">
        <v>45783</v>
      </c>
      <c r="C63" s="158" t="s">
        <v>845</v>
      </c>
      <c r="D63" s="159" t="str">
        <f>VLOOKUP(Sales[[#This Row],[Customer ID]],Customer[#All],2,0)</f>
        <v>Rahul Patel</v>
      </c>
      <c r="E63" s="158" t="s">
        <v>474</v>
      </c>
      <c r="F63" s="158" t="str">
        <f>VLOOKUP(Sales[[#This Row],[Product ID]],Product[#All],2,0)</f>
        <v>Logitech Mouse</v>
      </c>
      <c r="G63" s="159">
        <v>1</v>
      </c>
      <c r="H63" s="160">
        <f>VLOOKUP(Sales[[#This Row],[Product ID]],Product[#All],7,0)</f>
        <v>1320</v>
      </c>
      <c r="I63" s="160">
        <f>Sales[[#This Row],[Selling Rate]]*Sales[[#This Row],[Qty]]</f>
        <v>1320</v>
      </c>
      <c r="J63" s="43">
        <v>0</v>
      </c>
      <c r="K63" s="44">
        <f>Sales[[#This Row],[Gross Amount]]*Sales[[#This Row],[Disc %]]</f>
        <v>0</v>
      </c>
      <c r="L63" s="43">
        <v>0.18</v>
      </c>
      <c r="M63" s="44">
        <f>(Sales[[#This Row],[Gross Amount]]-Sales[[#This Row],[Disc. Amt.]])*Sales[[#This Row],[GST %]]</f>
        <v>237.6</v>
      </c>
      <c r="N63" s="161">
        <f>Sales[[#This Row],[Gross Amount]]-Sales[[#This Row],[Disc. Amt.]]+Sales[[#This Row],[GST Amount]]</f>
        <v>1557.6</v>
      </c>
      <c r="O63" s="158" t="s">
        <v>8876</v>
      </c>
      <c r="P63" s="158" t="s">
        <v>3562</v>
      </c>
      <c r="Q63" s="160">
        <f>IF(Sales[[#This Row],[Status]]="Cancelled",0,Sales[[#This Row],[Qty]])</f>
        <v>1</v>
      </c>
      <c r="R63" s="161">
        <f>IF(Sales[[#This Row],[Status]]="Cancelled",0,Sales[[#This Row],[Total Amount]])</f>
        <v>1557.6</v>
      </c>
      <c r="S63" s="162">
        <f>SUM(Sales[Net Amount])</f>
        <v>406839287.73200053</v>
      </c>
    </row>
    <row r="64" spans="1:19" ht="18.75" x14ac:dyDescent="0.25">
      <c r="A64" s="163" t="s">
        <v>3627</v>
      </c>
      <c r="B64" s="164">
        <v>45784</v>
      </c>
      <c r="C64" s="34" t="s">
        <v>670</v>
      </c>
      <c r="D64" s="53" t="str">
        <f>VLOOKUP(Sales[[#This Row],[Customer ID]],Customer[#All],2,0)</f>
        <v>Rakesh Patel</v>
      </c>
      <c r="E64" s="34" t="s">
        <v>274</v>
      </c>
      <c r="F64" s="34" t="str">
        <f>VLOOKUP(Sales[[#This Row],[Product ID]],Product[#All],2,0)</f>
        <v>Dell Desktop</v>
      </c>
      <c r="G64" s="53">
        <v>3</v>
      </c>
      <c r="H64" s="165">
        <f>VLOOKUP(Sales[[#This Row],[Product ID]],Product[#All],7,0)</f>
        <v>54540</v>
      </c>
      <c r="I64" s="165">
        <f>Sales[[#This Row],[Selling Rate]]*Sales[[#This Row],[Qty]]</f>
        <v>163620</v>
      </c>
      <c r="J64" s="45">
        <v>0.12</v>
      </c>
      <c r="K64" s="46">
        <f>Sales[[#This Row],[Gross Amount]]*Sales[[#This Row],[Disc %]]</f>
        <v>19634.399999999998</v>
      </c>
      <c r="L64" s="43">
        <v>0.18</v>
      </c>
      <c r="M64" s="46">
        <f>(Sales[[#This Row],[Gross Amount]]-Sales[[#This Row],[Disc. Amt.]])*Sales[[#This Row],[GST %]]</f>
        <v>25917.407999999999</v>
      </c>
      <c r="N64" s="161">
        <f>Sales[[#This Row],[Gross Amount]]-Sales[[#This Row],[Disc. Amt.]]+Sales[[#This Row],[GST Amount]]</f>
        <v>169903.008</v>
      </c>
      <c r="O64" s="34" t="s">
        <v>8876</v>
      </c>
      <c r="P64" s="34" t="s">
        <v>3562</v>
      </c>
      <c r="Q64" s="165">
        <f>IF(Sales[[#This Row],[Status]]="Cancelled",0,Sales[[#This Row],[Qty]])</f>
        <v>3</v>
      </c>
      <c r="R64" s="166">
        <f>IF(Sales[[#This Row],[Status]]="Cancelled",0,Sales[[#This Row],[Total Amount]])</f>
        <v>169903.008</v>
      </c>
      <c r="S64" s="162">
        <f>SUM(Sales[Net Amount])</f>
        <v>406839287.73200053</v>
      </c>
    </row>
    <row r="65" spans="1:19" ht="18.75" x14ac:dyDescent="0.25">
      <c r="A65" s="156" t="s">
        <v>3628</v>
      </c>
      <c r="B65" s="157">
        <v>45784</v>
      </c>
      <c r="C65" s="158" t="s">
        <v>923</v>
      </c>
      <c r="D65" s="159" t="str">
        <f>VLOOKUP(Sales[[#This Row],[Customer ID]],Customer[#All],2,0)</f>
        <v>Rahul Gupta</v>
      </c>
      <c r="E65" s="158" t="s">
        <v>59</v>
      </c>
      <c r="F65" s="158" t="str">
        <f>VLOOKUP(Sales[[#This Row],[Product ID]],Product[#All],2,0)</f>
        <v>Amazon Basics Hdmi Cable</v>
      </c>
      <c r="G65" s="159">
        <v>6</v>
      </c>
      <c r="H65" s="160">
        <f>VLOOKUP(Sales[[#This Row],[Product ID]],Product[#All],7,0)</f>
        <v>1160</v>
      </c>
      <c r="I65" s="160">
        <f>Sales[[#This Row],[Selling Rate]]*Sales[[#This Row],[Qty]]</f>
        <v>6960</v>
      </c>
      <c r="J65" s="43">
        <v>0.15</v>
      </c>
      <c r="K65" s="44">
        <f>Sales[[#This Row],[Gross Amount]]*Sales[[#This Row],[Disc %]]</f>
        <v>1044</v>
      </c>
      <c r="L65" s="43">
        <v>0.18</v>
      </c>
      <c r="M65" s="44">
        <f>(Sales[[#This Row],[Gross Amount]]-Sales[[#This Row],[Disc. Amt.]])*Sales[[#This Row],[GST %]]</f>
        <v>1064.8799999999999</v>
      </c>
      <c r="N65" s="161">
        <f>Sales[[#This Row],[Gross Amount]]-Sales[[#This Row],[Disc. Amt.]]+Sales[[#This Row],[GST Amount]]</f>
        <v>6980.88</v>
      </c>
      <c r="O65" s="158" t="s">
        <v>8876</v>
      </c>
      <c r="P65" s="158" t="s">
        <v>3562</v>
      </c>
      <c r="Q65" s="160">
        <f>IF(Sales[[#This Row],[Status]]="Cancelled",0,Sales[[#This Row],[Qty]])</f>
        <v>6</v>
      </c>
      <c r="R65" s="161">
        <f>IF(Sales[[#This Row],[Status]]="Cancelled",0,Sales[[#This Row],[Total Amount]])</f>
        <v>6980.88</v>
      </c>
      <c r="S65" s="162">
        <f>SUM(Sales[Net Amount])</f>
        <v>406839287.73200053</v>
      </c>
    </row>
    <row r="66" spans="1:19" ht="18.75" x14ac:dyDescent="0.25">
      <c r="A66" s="163" t="s">
        <v>3629</v>
      </c>
      <c r="B66" s="164">
        <v>45784</v>
      </c>
      <c r="C66" s="34" t="s">
        <v>733</v>
      </c>
      <c r="D66" s="53" t="str">
        <f>VLOOKUP(Sales[[#This Row],[Customer ID]],Customer[#All],2,0)</f>
        <v>Vikas Kumar</v>
      </c>
      <c r="E66" s="34" t="s">
        <v>280</v>
      </c>
      <c r="F66" s="34" t="str">
        <f>VLOOKUP(Sales[[#This Row],[Product ID]],Product[#All],2,0)</f>
        <v>Epson Printer</v>
      </c>
      <c r="G66" s="53">
        <v>1</v>
      </c>
      <c r="H66" s="165">
        <f>VLOOKUP(Sales[[#This Row],[Product ID]],Product[#All],7,0)</f>
        <v>34550</v>
      </c>
      <c r="I66" s="165">
        <f>Sales[[#This Row],[Selling Rate]]*Sales[[#This Row],[Qty]]</f>
        <v>34550</v>
      </c>
      <c r="J66" s="45">
        <v>0.02</v>
      </c>
      <c r="K66" s="46">
        <f>Sales[[#This Row],[Gross Amount]]*Sales[[#This Row],[Disc %]]</f>
        <v>691</v>
      </c>
      <c r="L66" s="43">
        <v>0.18</v>
      </c>
      <c r="M66" s="46">
        <f>(Sales[[#This Row],[Gross Amount]]-Sales[[#This Row],[Disc. Amt.]])*Sales[[#This Row],[GST %]]</f>
        <v>6094.62</v>
      </c>
      <c r="N66" s="161">
        <f>Sales[[#This Row],[Gross Amount]]-Sales[[#This Row],[Disc. Amt.]]+Sales[[#This Row],[GST Amount]]</f>
        <v>39953.620000000003</v>
      </c>
      <c r="O66" s="34" t="s">
        <v>3561</v>
      </c>
      <c r="P66" s="34" t="s">
        <v>3562</v>
      </c>
      <c r="Q66" s="165">
        <f>IF(Sales[[#This Row],[Status]]="Cancelled",0,Sales[[#This Row],[Qty]])</f>
        <v>1</v>
      </c>
      <c r="R66" s="166">
        <f>IF(Sales[[#This Row],[Status]]="Cancelled",0,Sales[[#This Row],[Total Amount]])</f>
        <v>39953.620000000003</v>
      </c>
      <c r="S66" s="162">
        <f>SUM(Sales[Net Amount])</f>
        <v>406839287.73200053</v>
      </c>
    </row>
    <row r="67" spans="1:19" ht="18.75" x14ac:dyDescent="0.25">
      <c r="A67" s="156" t="s">
        <v>3630</v>
      </c>
      <c r="B67" s="157">
        <v>45784</v>
      </c>
      <c r="C67" s="158" t="s">
        <v>767</v>
      </c>
      <c r="D67" s="159" t="str">
        <f>VLOOKUP(Sales[[#This Row],[Customer ID]],Customer[#All],2,0)</f>
        <v>Sunita Singh</v>
      </c>
      <c r="E67" s="158" t="s">
        <v>156</v>
      </c>
      <c r="F67" s="158" t="str">
        <f>VLOOKUP(Sales[[#This Row],[Product ID]],Product[#All],2,0)</f>
        <v>Boat Speaker</v>
      </c>
      <c r="G67" s="159">
        <v>7</v>
      </c>
      <c r="H67" s="160">
        <f>VLOOKUP(Sales[[#This Row],[Product ID]],Product[#All],7,0)</f>
        <v>3240</v>
      </c>
      <c r="I67" s="160">
        <f>Sales[[#This Row],[Selling Rate]]*Sales[[#This Row],[Qty]]</f>
        <v>22680</v>
      </c>
      <c r="J67" s="43">
        <v>0.1</v>
      </c>
      <c r="K67" s="44">
        <f>Sales[[#This Row],[Gross Amount]]*Sales[[#This Row],[Disc %]]</f>
        <v>2268</v>
      </c>
      <c r="L67" s="43">
        <v>0.18</v>
      </c>
      <c r="M67" s="44">
        <f>(Sales[[#This Row],[Gross Amount]]-Sales[[#This Row],[Disc. Amt.]])*Sales[[#This Row],[GST %]]</f>
        <v>3674.16</v>
      </c>
      <c r="N67" s="161">
        <f>Sales[[#This Row],[Gross Amount]]-Sales[[#This Row],[Disc. Amt.]]+Sales[[#This Row],[GST Amount]]</f>
        <v>24086.16</v>
      </c>
      <c r="O67" s="158" t="s">
        <v>8876</v>
      </c>
      <c r="P67" s="158" t="s">
        <v>3562</v>
      </c>
      <c r="Q67" s="160">
        <f>IF(Sales[[#This Row],[Status]]="Cancelled",0,Sales[[#This Row],[Qty]])</f>
        <v>7</v>
      </c>
      <c r="R67" s="161">
        <f>IF(Sales[[#This Row],[Status]]="Cancelled",0,Sales[[#This Row],[Total Amount]])</f>
        <v>24086.16</v>
      </c>
      <c r="S67" s="162">
        <f>SUM(Sales[Net Amount])</f>
        <v>406839287.73200053</v>
      </c>
    </row>
    <row r="68" spans="1:19" ht="18.75" x14ac:dyDescent="0.25">
      <c r="A68" s="163" t="s">
        <v>3631</v>
      </c>
      <c r="B68" s="164">
        <v>45784</v>
      </c>
      <c r="C68" s="34" t="s">
        <v>731</v>
      </c>
      <c r="D68" s="53" t="str">
        <f>VLOOKUP(Sales[[#This Row],[Customer ID]],Customer[#All],2,0)</f>
        <v>Neha Singh</v>
      </c>
      <c r="E68" s="34" t="s">
        <v>447</v>
      </c>
      <c r="F68" s="34" t="str">
        <f>VLOOKUP(Sales[[#This Row],[Product ID]],Product[#All],2,0)</f>
        <v>PortronicsLaptopStand</v>
      </c>
      <c r="G68" s="53">
        <v>3</v>
      </c>
      <c r="H68" s="165">
        <f>VLOOKUP(Sales[[#This Row],[Product ID]],Product[#All],7,0)</f>
        <v>2830</v>
      </c>
      <c r="I68" s="165">
        <f>Sales[[#This Row],[Selling Rate]]*Sales[[#This Row],[Qty]]</f>
        <v>8490</v>
      </c>
      <c r="J68" s="45">
        <v>0.1</v>
      </c>
      <c r="K68" s="46">
        <f>Sales[[#This Row],[Gross Amount]]*Sales[[#This Row],[Disc %]]</f>
        <v>849</v>
      </c>
      <c r="L68" s="43">
        <v>0.18</v>
      </c>
      <c r="M68" s="46">
        <f>(Sales[[#This Row],[Gross Amount]]-Sales[[#This Row],[Disc. Amt.]])*Sales[[#This Row],[GST %]]</f>
        <v>1375.3799999999999</v>
      </c>
      <c r="N68" s="161">
        <f>Sales[[#This Row],[Gross Amount]]-Sales[[#This Row],[Disc. Amt.]]+Sales[[#This Row],[GST Amount]]</f>
        <v>9016.3799999999992</v>
      </c>
      <c r="O68" s="34" t="s">
        <v>8876</v>
      </c>
      <c r="P68" s="34" t="s">
        <v>3562</v>
      </c>
      <c r="Q68" s="165">
        <f>IF(Sales[[#This Row],[Status]]="Cancelled",0,Sales[[#This Row],[Qty]])</f>
        <v>3</v>
      </c>
      <c r="R68" s="166">
        <f>IF(Sales[[#This Row],[Status]]="Cancelled",0,Sales[[#This Row],[Total Amount]])</f>
        <v>9016.3799999999992</v>
      </c>
      <c r="S68" s="162">
        <f>SUM(Sales[Net Amount])</f>
        <v>406839287.73200053</v>
      </c>
    </row>
    <row r="69" spans="1:19" ht="18.75" x14ac:dyDescent="0.25">
      <c r="A69" s="156" t="s">
        <v>3632</v>
      </c>
      <c r="B69" s="157">
        <v>45784</v>
      </c>
      <c r="C69" s="158" t="s">
        <v>762</v>
      </c>
      <c r="D69" s="159" t="str">
        <f>VLOOKUP(Sales[[#This Row],[Customer ID]],Customer[#All],2,0)</f>
        <v>Amit Patel</v>
      </c>
      <c r="E69" s="158" t="s">
        <v>367</v>
      </c>
      <c r="F69" s="158" t="str">
        <f>VLOOKUP(Sales[[#This Row],[Product ID]],Product[#All],2,0)</f>
        <v>Jbl Speaker</v>
      </c>
      <c r="G69" s="159">
        <v>8</v>
      </c>
      <c r="H69" s="160">
        <f>VLOOKUP(Sales[[#This Row],[Product ID]],Product[#All],7,0)</f>
        <v>4880</v>
      </c>
      <c r="I69" s="160">
        <f>Sales[[#This Row],[Selling Rate]]*Sales[[#This Row],[Qty]]</f>
        <v>39040</v>
      </c>
      <c r="J69" s="43">
        <v>0.05</v>
      </c>
      <c r="K69" s="44">
        <f>Sales[[#This Row],[Gross Amount]]*Sales[[#This Row],[Disc %]]</f>
        <v>1952</v>
      </c>
      <c r="L69" s="43">
        <v>0.18</v>
      </c>
      <c r="M69" s="44">
        <f>(Sales[[#This Row],[Gross Amount]]-Sales[[#This Row],[Disc. Amt.]])*Sales[[#This Row],[GST %]]</f>
        <v>6675.84</v>
      </c>
      <c r="N69" s="161">
        <f>Sales[[#This Row],[Gross Amount]]-Sales[[#This Row],[Disc. Amt.]]+Sales[[#This Row],[GST Amount]]</f>
        <v>43763.839999999997</v>
      </c>
      <c r="O69" s="158" t="s">
        <v>3569</v>
      </c>
      <c r="P69" s="158" t="s">
        <v>3562</v>
      </c>
      <c r="Q69" s="160">
        <f>IF(Sales[[#This Row],[Status]]="Cancelled",0,Sales[[#This Row],[Qty]])</f>
        <v>8</v>
      </c>
      <c r="R69" s="161">
        <f>IF(Sales[[#This Row],[Status]]="Cancelled",0,Sales[[#This Row],[Total Amount]])</f>
        <v>43763.839999999997</v>
      </c>
      <c r="S69" s="162">
        <f>SUM(Sales[Net Amount])</f>
        <v>406839287.73200053</v>
      </c>
    </row>
    <row r="70" spans="1:19" ht="18.75" x14ac:dyDescent="0.25">
      <c r="A70" s="163" t="s">
        <v>3633</v>
      </c>
      <c r="B70" s="164">
        <v>45784</v>
      </c>
      <c r="C70" s="34" t="s">
        <v>794</v>
      </c>
      <c r="D70" s="53" t="str">
        <f>VLOOKUP(Sales[[#This Row],[Customer ID]],Customer[#All],2,0)</f>
        <v>Sunita Sharma</v>
      </c>
      <c r="E70" s="34" t="s">
        <v>246</v>
      </c>
      <c r="F70" s="34" t="str">
        <f>VLOOKUP(Sales[[#This Row],[Product ID]],Product[#All],2,0)</f>
        <v>PortronicsLaptopStand</v>
      </c>
      <c r="G70" s="53">
        <v>8</v>
      </c>
      <c r="H70" s="165">
        <f>VLOOKUP(Sales[[#This Row],[Product ID]],Product[#All],7,0)</f>
        <v>1600</v>
      </c>
      <c r="I70" s="165">
        <f>Sales[[#This Row],[Selling Rate]]*Sales[[#This Row],[Qty]]</f>
        <v>12800</v>
      </c>
      <c r="J70" s="45">
        <v>0.12</v>
      </c>
      <c r="K70" s="46">
        <f>Sales[[#This Row],[Gross Amount]]*Sales[[#This Row],[Disc %]]</f>
        <v>1536</v>
      </c>
      <c r="L70" s="43">
        <v>0.18</v>
      </c>
      <c r="M70" s="46">
        <f>(Sales[[#This Row],[Gross Amount]]-Sales[[#This Row],[Disc. Amt.]])*Sales[[#This Row],[GST %]]</f>
        <v>2027.52</v>
      </c>
      <c r="N70" s="161">
        <f>Sales[[#This Row],[Gross Amount]]-Sales[[#This Row],[Disc. Amt.]]+Sales[[#This Row],[GST Amount]]</f>
        <v>13291.52</v>
      </c>
      <c r="O70" s="34" t="s">
        <v>3561</v>
      </c>
      <c r="P70" s="34" t="s">
        <v>1040</v>
      </c>
      <c r="Q70" s="165">
        <f>IF(Sales[[#This Row],[Status]]="Cancelled",0,Sales[[#This Row],[Qty]])</f>
        <v>0</v>
      </c>
      <c r="R70" s="166">
        <f>IF(Sales[[#This Row],[Status]]="Cancelled",0,Sales[[#This Row],[Total Amount]])</f>
        <v>0</v>
      </c>
      <c r="S70" s="162">
        <f>SUM(Sales[Net Amount])</f>
        <v>406839287.73200053</v>
      </c>
    </row>
    <row r="71" spans="1:19" ht="18.75" x14ac:dyDescent="0.25">
      <c r="A71" s="156" t="s">
        <v>3634</v>
      </c>
      <c r="B71" s="157">
        <v>45784</v>
      </c>
      <c r="C71" s="158" t="s">
        <v>838</v>
      </c>
      <c r="D71" s="159" t="str">
        <f>VLOOKUP(Sales[[#This Row],[Customer ID]],Customer[#All],2,0)</f>
        <v>Priya Gupta</v>
      </c>
      <c r="E71" s="158" t="s">
        <v>136</v>
      </c>
      <c r="F71" s="158" t="str">
        <f>VLOOKUP(Sales[[#This Row],[Product ID]],Product[#All],2,0)</f>
        <v>HP Laptop</v>
      </c>
      <c r="G71" s="159">
        <v>5</v>
      </c>
      <c r="H71" s="160">
        <f>VLOOKUP(Sales[[#This Row],[Product ID]],Product[#All],7,0)</f>
        <v>33050</v>
      </c>
      <c r="I71" s="160">
        <f>Sales[[#This Row],[Selling Rate]]*Sales[[#This Row],[Qty]]</f>
        <v>165250</v>
      </c>
      <c r="J71" s="43">
        <v>0.05</v>
      </c>
      <c r="K71" s="44">
        <f>Sales[[#This Row],[Gross Amount]]*Sales[[#This Row],[Disc %]]</f>
        <v>8262.5</v>
      </c>
      <c r="L71" s="43">
        <v>0.18</v>
      </c>
      <c r="M71" s="44">
        <f>(Sales[[#This Row],[Gross Amount]]-Sales[[#This Row],[Disc. Amt.]])*Sales[[#This Row],[GST %]]</f>
        <v>28257.75</v>
      </c>
      <c r="N71" s="161">
        <f>Sales[[#This Row],[Gross Amount]]-Sales[[#This Row],[Disc. Amt.]]+Sales[[#This Row],[GST Amount]]</f>
        <v>185245.25</v>
      </c>
      <c r="O71" s="158" t="s">
        <v>3561</v>
      </c>
      <c r="P71" s="158" t="s">
        <v>3562</v>
      </c>
      <c r="Q71" s="160">
        <f>IF(Sales[[#This Row],[Status]]="Cancelled",0,Sales[[#This Row],[Qty]])</f>
        <v>5</v>
      </c>
      <c r="R71" s="161">
        <f>IF(Sales[[#This Row],[Status]]="Cancelled",0,Sales[[#This Row],[Total Amount]])</f>
        <v>185245.25</v>
      </c>
      <c r="S71" s="162">
        <f>SUM(Sales[Net Amount])</f>
        <v>406839287.73200053</v>
      </c>
    </row>
    <row r="72" spans="1:19" ht="18.75" x14ac:dyDescent="0.25">
      <c r="A72" s="163" t="s">
        <v>3635</v>
      </c>
      <c r="B72" s="164">
        <v>45784</v>
      </c>
      <c r="C72" s="34" t="s">
        <v>680</v>
      </c>
      <c r="D72" s="53" t="str">
        <f>VLOOKUP(Sales[[#This Row],[Customer ID]],Customer[#All],2,0)</f>
        <v>Rahul Kumar</v>
      </c>
      <c r="E72" s="34" t="s">
        <v>113</v>
      </c>
      <c r="F72" s="34" t="str">
        <f>VLOOKUP(Sales[[#This Row],[Product ID]],Product[#All],2,0)</f>
        <v>HP Laptop</v>
      </c>
      <c r="G72" s="53">
        <v>8</v>
      </c>
      <c r="H72" s="165">
        <f>VLOOKUP(Sales[[#This Row],[Product ID]],Product[#All],7,0)</f>
        <v>92470</v>
      </c>
      <c r="I72" s="165">
        <f>Sales[[#This Row],[Selling Rate]]*Sales[[#This Row],[Qty]]</f>
        <v>739760</v>
      </c>
      <c r="J72" s="45">
        <v>0</v>
      </c>
      <c r="K72" s="46">
        <f>Sales[[#This Row],[Gross Amount]]*Sales[[#This Row],[Disc %]]</f>
        <v>0</v>
      </c>
      <c r="L72" s="43">
        <v>0.18</v>
      </c>
      <c r="M72" s="46">
        <f>(Sales[[#This Row],[Gross Amount]]-Sales[[#This Row],[Disc. Amt.]])*Sales[[#This Row],[GST %]]</f>
        <v>133156.79999999999</v>
      </c>
      <c r="N72" s="161">
        <f>Sales[[#This Row],[Gross Amount]]-Sales[[#This Row],[Disc. Amt.]]+Sales[[#This Row],[GST Amount]]</f>
        <v>872916.8</v>
      </c>
      <c r="O72" s="34" t="s">
        <v>3566</v>
      </c>
      <c r="P72" s="34" t="s">
        <v>3562</v>
      </c>
      <c r="Q72" s="165">
        <f>IF(Sales[[#This Row],[Status]]="Cancelled",0,Sales[[#This Row],[Qty]])</f>
        <v>8</v>
      </c>
      <c r="R72" s="166">
        <f>IF(Sales[[#This Row],[Status]]="Cancelled",0,Sales[[#This Row],[Total Amount]])</f>
        <v>872916.8</v>
      </c>
      <c r="S72" s="162">
        <f>SUM(Sales[Net Amount])</f>
        <v>406839287.73200053</v>
      </c>
    </row>
    <row r="73" spans="1:19" ht="18.75" x14ac:dyDescent="0.25">
      <c r="A73" s="156" t="s">
        <v>3636</v>
      </c>
      <c r="B73" s="157">
        <v>45784</v>
      </c>
      <c r="C73" s="158" t="s">
        <v>883</v>
      </c>
      <c r="D73" s="159" t="str">
        <f>VLOOKUP(Sales[[#This Row],[Customer ID]],Customer[#All],2,0)</f>
        <v>Rahul Verma</v>
      </c>
      <c r="E73" s="158" t="s">
        <v>92</v>
      </c>
      <c r="F73" s="158" t="str">
        <f>VLOOKUP(Sales[[#This Row],[Product ID]],Product[#All],2,0)</f>
        <v>Jbl Headset</v>
      </c>
      <c r="G73" s="159">
        <v>6</v>
      </c>
      <c r="H73" s="160">
        <f>VLOOKUP(Sales[[#This Row],[Product ID]],Product[#All],7,0)</f>
        <v>6180</v>
      </c>
      <c r="I73" s="160">
        <f>Sales[[#This Row],[Selling Rate]]*Sales[[#This Row],[Qty]]</f>
        <v>37080</v>
      </c>
      <c r="J73" s="43">
        <v>0.12</v>
      </c>
      <c r="K73" s="44">
        <f>Sales[[#This Row],[Gross Amount]]*Sales[[#This Row],[Disc %]]</f>
        <v>4449.5999999999995</v>
      </c>
      <c r="L73" s="43">
        <v>0.18</v>
      </c>
      <c r="M73" s="44">
        <f>(Sales[[#This Row],[Gross Amount]]-Sales[[#This Row],[Disc. Amt.]])*Sales[[#This Row],[GST %]]</f>
        <v>5873.4719999999998</v>
      </c>
      <c r="N73" s="161">
        <f>Sales[[#This Row],[Gross Amount]]-Sales[[#This Row],[Disc. Amt.]]+Sales[[#This Row],[GST Amount]]</f>
        <v>38503.872000000003</v>
      </c>
      <c r="O73" s="158" t="s">
        <v>3569</v>
      </c>
      <c r="P73" s="158" t="s">
        <v>3562</v>
      </c>
      <c r="Q73" s="160">
        <f>IF(Sales[[#This Row],[Status]]="Cancelled",0,Sales[[#This Row],[Qty]])</f>
        <v>6</v>
      </c>
      <c r="R73" s="161">
        <f>IF(Sales[[#This Row],[Status]]="Cancelled",0,Sales[[#This Row],[Total Amount]])</f>
        <v>38503.872000000003</v>
      </c>
      <c r="S73" s="162">
        <f>SUM(Sales[Net Amount])</f>
        <v>406839287.73200053</v>
      </c>
    </row>
    <row r="74" spans="1:19" ht="18.75" x14ac:dyDescent="0.25">
      <c r="A74" s="163" t="s">
        <v>3637</v>
      </c>
      <c r="B74" s="164">
        <v>45784</v>
      </c>
      <c r="C74" s="34" t="s">
        <v>695</v>
      </c>
      <c r="D74" s="53" t="str">
        <f>VLOOKUP(Sales[[#This Row],[Customer ID]],Customer[#All],2,0)</f>
        <v>Rahul Kumar</v>
      </c>
      <c r="E74" s="34" t="s">
        <v>399</v>
      </c>
      <c r="F74" s="34" t="str">
        <f>VLOOKUP(Sales[[#This Row],[Product ID]],Product[#All],2,0)</f>
        <v>Dell Desktop</v>
      </c>
      <c r="G74" s="53">
        <v>1</v>
      </c>
      <c r="H74" s="165">
        <f>VLOOKUP(Sales[[#This Row],[Product ID]],Product[#All],7,0)</f>
        <v>43510</v>
      </c>
      <c r="I74" s="165">
        <f>Sales[[#This Row],[Selling Rate]]*Sales[[#This Row],[Qty]]</f>
        <v>43510</v>
      </c>
      <c r="J74" s="45">
        <v>0</v>
      </c>
      <c r="K74" s="46">
        <f>Sales[[#This Row],[Gross Amount]]*Sales[[#This Row],[Disc %]]</f>
        <v>0</v>
      </c>
      <c r="L74" s="43">
        <v>0.18</v>
      </c>
      <c r="M74" s="46">
        <f>(Sales[[#This Row],[Gross Amount]]-Sales[[#This Row],[Disc. Amt.]])*Sales[[#This Row],[GST %]]</f>
        <v>7831.7999999999993</v>
      </c>
      <c r="N74" s="161">
        <f>Sales[[#This Row],[Gross Amount]]-Sales[[#This Row],[Disc. Amt.]]+Sales[[#This Row],[GST Amount]]</f>
        <v>51341.8</v>
      </c>
      <c r="O74" s="34" t="s">
        <v>3561</v>
      </c>
      <c r="P74" s="34" t="s">
        <v>3562</v>
      </c>
      <c r="Q74" s="165">
        <f>IF(Sales[[#This Row],[Status]]="Cancelled",0,Sales[[#This Row],[Qty]])</f>
        <v>1</v>
      </c>
      <c r="R74" s="166">
        <f>IF(Sales[[#This Row],[Status]]="Cancelled",0,Sales[[#This Row],[Total Amount]])</f>
        <v>51341.8</v>
      </c>
      <c r="S74" s="162">
        <f>SUM(Sales[Net Amount])</f>
        <v>406839287.73200053</v>
      </c>
    </row>
    <row r="75" spans="1:19" ht="18.75" x14ac:dyDescent="0.25">
      <c r="A75" s="156" t="s">
        <v>3638</v>
      </c>
      <c r="B75" s="157">
        <v>45784</v>
      </c>
      <c r="C75" s="158" t="s">
        <v>737</v>
      </c>
      <c r="D75" s="159" t="str">
        <f>VLOOKUP(Sales[[#This Row],[Customer ID]],Customer[#All],2,0)</f>
        <v>Pooja Verma</v>
      </c>
      <c r="E75" s="158" t="s">
        <v>424</v>
      </c>
      <c r="F75" s="158" t="str">
        <f>VLOOKUP(Sales[[#This Row],[Product ID]],Product[#All],2,0)</f>
        <v>TP-link Wi-Fi Adapter</v>
      </c>
      <c r="G75" s="159">
        <v>6</v>
      </c>
      <c r="H75" s="160">
        <f>VLOOKUP(Sales[[#This Row],[Product ID]],Product[#All],7,0)</f>
        <v>690</v>
      </c>
      <c r="I75" s="160">
        <f>Sales[[#This Row],[Selling Rate]]*Sales[[#This Row],[Qty]]</f>
        <v>4140</v>
      </c>
      <c r="J75" s="43">
        <v>0.1</v>
      </c>
      <c r="K75" s="44">
        <f>Sales[[#This Row],[Gross Amount]]*Sales[[#This Row],[Disc %]]</f>
        <v>414</v>
      </c>
      <c r="L75" s="43">
        <v>0.18</v>
      </c>
      <c r="M75" s="44">
        <f>(Sales[[#This Row],[Gross Amount]]-Sales[[#This Row],[Disc. Amt.]])*Sales[[#This Row],[GST %]]</f>
        <v>670.68</v>
      </c>
      <c r="N75" s="161">
        <f>Sales[[#This Row],[Gross Amount]]-Sales[[#This Row],[Disc. Amt.]]+Sales[[#This Row],[GST Amount]]</f>
        <v>4396.68</v>
      </c>
      <c r="O75" s="158" t="s">
        <v>3569</v>
      </c>
      <c r="P75" s="158" t="s">
        <v>3562</v>
      </c>
      <c r="Q75" s="160">
        <f>IF(Sales[[#This Row],[Status]]="Cancelled",0,Sales[[#This Row],[Qty]])</f>
        <v>6</v>
      </c>
      <c r="R75" s="161">
        <f>IF(Sales[[#This Row],[Status]]="Cancelled",0,Sales[[#This Row],[Total Amount]])</f>
        <v>4396.68</v>
      </c>
      <c r="S75" s="162">
        <f>SUM(Sales[Net Amount])</f>
        <v>406839287.73200053</v>
      </c>
    </row>
    <row r="76" spans="1:19" ht="18.75" x14ac:dyDescent="0.25">
      <c r="A76" s="163" t="s">
        <v>3639</v>
      </c>
      <c r="B76" s="164">
        <v>45784</v>
      </c>
      <c r="C76" s="34" t="s">
        <v>863</v>
      </c>
      <c r="D76" s="53" t="str">
        <f>VLOOKUP(Sales[[#This Row],[Customer ID]],Customer[#All],2,0)</f>
        <v>Sahil Sharma</v>
      </c>
      <c r="E76" s="34" t="s">
        <v>486</v>
      </c>
      <c r="F76" s="34" t="str">
        <f>VLOOKUP(Sales[[#This Row],[Product ID]],Product[#All],2,0)</f>
        <v>Logitech Mouse</v>
      </c>
      <c r="G76" s="53">
        <v>7</v>
      </c>
      <c r="H76" s="165">
        <f>VLOOKUP(Sales[[#This Row],[Product ID]],Product[#All],7,0)</f>
        <v>1650</v>
      </c>
      <c r="I76" s="165">
        <f>Sales[[#This Row],[Selling Rate]]*Sales[[#This Row],[Qty]]</f>
        <v>11550</v>
      </c>
      <c r="J76" s="45">
        <v>0.05</v>
      </c>
      <c r="K76" s="46">
        <f>Sales[[#This Row],[Gross Amount]]*Sales[[#This Row],[Disc %]]</f>
        <v>577.5</v>
      </c>
      <c r="L76" s="43">
        <v>0.18</v>
      </c>
      <c r="M76" s="46">
        <f>(Sales[[#This Row],[Gross Amount]]-Sales[[#This Row],[Disc. Amt.]])*Sales[[#This Row],[GST %]]</f>
        <v>1975.05</v>
      </c>
      <c r="N76" s="161">
        <f>Sales[[#This Row],[Gross Amount]]-Sales[[#This Row],[Disc. Amt.]]+Sales[[#This Row],[GST Amount]]</f>
        <v>12947.55</v>
      </c>
      <c r="O76" s="34" t="s">
        <v>3569</v>
      </c>
      <c r="P76" s="34" t="s">
        <v>3562</v>
      </c>
      <c r="Q76" s="165">
        <f>IF(Sales[[#This Row],[Status]]="Cancelled",0,Sales[[#This Row],[Qty]])</f>
        <v>7</v>
      </c>
      <c r="R76" s="166">
        <f>IF(Sales[[#This Row],[Status]]="Cancelled",0,Sales[[#This Row],[Total Amount]])</f>
        <v>12947.55</v>
      </c>
      <c r="S76" s="162">
        <f>SUM(Sales[Net Amount])</f>
        <v>406839287.73200053</v>
      </c>
    </row>
    <row r="77" spans="1:19" ht="18.75" x14ac:dyDescent="0.25">
      <c r="A77" s="156" t="s">
        <v>3640</v>
      </c>
      <c r="B77" s="157">
        <v>45784</v>
      </c>
      <c r="C77" s="158" t="s">
        <v>651</v>
      </c>
      <c r="D77" s="159" t="str">
        <f>VLOOKUP(Sales[[#This Row],[Customer ID]],Customer[#All],2,0)</f>
        <v>Sahil Verma</v>
      </c>
      <c r="E77" s="158" t="s">
        <v>367</v>
      </c>
      <c r="F77" s="158" t="str">
        <f>VLOOKUP(Sales[[#This Row],[Product ID]],Product[#All],2,0)</f>
        <v>Jbl Speaker</v>
      </c>
      <c r="G77" s="159">
        <v>4</v>
      </c>
      <c r="H77" s="160">
        <f>VLOOKUP(Sales[[#This Row],[Product ID]],Product[#All],7,0)</f>
        <v>4880</v>
      </c>
      <c r="I77" s="160">
        <f>Sales[[#This Row],[Selling Rate]]*Sales[[#This Row],[Qty]]</f>
        <v>19520</v>
      </c>
      <c r="J77" s="43">
        <v>0.15</v>
      </c>
      <c r="K77" s="44">
        <f>Sales[[#This Row],[Gross Amount]]*Sales[[#This Row],[Disc %]]</f>
        <v>2928</v>
      </c>
      <c r="L77" s="43">
        <v>0.18</v>
      </c>
      <c r="M77" s="44">
        <f>(Sales[[#This Row],[Gross Amount]]-Sales[[#This Row],[Disc. Amt.]])*Sales[[#This Row],[GST %]]</f>
        <v>2986.56</v>
      </c>
      <c r="N77" s="161">
        <f>Sales[[#This Row],[Gross Amount]]-Sales[[#This Row],[Disc. Amt.]]+Sales[[#This Row],[GST Amount]]</f>
        <v>19578.560000000001</v>
      </c>
      <c r="O77" s="158" t="s">
        <v>3561</v>
      </c>
      <c r="P77" s="158" t="s">
        <v>3562</v>
      </c>
      <c r="Q77" s="160">
        <f>IF(Sales[[#This Row],[Status]]="Cancelled",0,Sales[[#This Row],[Qty]])</f>
        <v>4</v>
      </c>
      <c r="R77" s="161">
        <f>IF(Sales[[#This Row],[Status]]="Cancelled",0,Sales[[#This Row],[Total Amount]])</f>
        <v>19578.560000000001</v>
      </c>
      <c r="S77" s="162">
        <f>SUM(Sales[Net Amount])</f>
        <v>406839287.73200053</v>
      </c>
    </row>
    <row r="78" spans="1:19" ht="18.75" x14ac:dyDescent="0.25">
      <c r="A78" s="163" t="s">
        <v>3641</v>
      </c>
      <c r="B78" s="164">
        <v>45784</v>
      </c>
      <c r="C78" s="34" t="s">
        <v>724</v>
      </c>
      <c r="D78" s="53" t="str">
        <f>VLOOKUP(Sales[[#This Row],[Customer ID]],Customer[#All],2,0)</f>
        <v>Sunita Sharma</v>
      </c>
      <c r="E78" s="34" t="s">
        <v>242</v>
      </c>
      <c r="F78" s="34" t="str">
        <f>VLOOKUP(Sales[[#This Row],[Product ID]],Product[#All],2,0)</f>
        <v>HP Printer</v>
      </c>
      <c r="G78" s="53">
        <v>4</v>
      </c>
      <c r="H78" s="165">
        <f>VLOOKUP(Sales[[#This Row],[Product ID]],Product[#All],7,0)</f>
        <v>20380</v>
      </c>
      <c r="I78" s="165">
        <f>Sales[[#This Row],[Selling Rate]]*Sales[[#This Row],[Qty]]</f>
        <v>81520</v>
      </c>
      <c r="J78" s="45">
        <v>0</v>
      </c>
      <c r="K78" s="46">
        <f>Sales[[#This Row],[Gross Amount]]*Sales[[#This Row],[Disc %]]</f>
        <v>0</v>
      </c>
      <c r="L78" s="43">
        <v>0.18</v>
      </c>
      <c r="M78" s="46">
        <f>(Sales[[#This Row],[Gross Amount]]-Sales[[#This Row],[Disc. Amt.]])*Sales[[#This Row],[GST %]]</f>
        <v>14673.6</v>
      </c>
      <c r="N78" s="161">
        <f>Sales[[#This Row],[Gross Amount]]-Sales[[#This Row],[Disc. Amt.]]+Sales[[#This Row],[GST Amount]]</f>
        <v>96193.600000000006</v>
      </c>
      <c r="O78" s="34" t="s">
        <v>8876</v>
      </c>
      <c r="P78" s="34" t="s">
        <v>3562</v>
      </c>
      <c r="Q78" s="165">
        <f>IF(Sales[[#This Row],[Status]]="Cancelled",0,Sales[[#This Row],[Qty]])</f>
        <v>4</v>
      </c>
      <c r="R78" s="166">
        <f>IF(Sales[[#This Row],[Status]]="Cancelled",0,Sales[[#This Row],[Total Amount]])</f>
        <v>96193.600000000006</v>
      </c>
      <c r="S78" s="162">
        <f>SUM(Sales[Net Amount])</f>
        <v>406839287.73200053</v>
      </c>
    </row>
    <row r="79" spans="1:19" ht="18.75" x14ac:dyDescent="0.25">
      <c r="A79" s="156" t="s">
        <v>3642</v>
      </c>
      <c r="B79" s="157">
        <v>45784</v>
      </c>
      <c r="C79" s="158" t="s">
        <v>950</v>
      </c>
      <c r="D79" s="159" t="str">
        <f>VLOOKUP(Sales[[#This Row],[Customer ID]],Customer[#All],2,0)</f>
        <v>Sunita Sharma</v>
      </c>
      <c r="E79" s="158" t="s">
        <v>552</v>
      </c>
      <c r="F79" s="158" t="str">
        <f>VLOOKUP(Sales[[#This Row],[Product ID]],Product[#All],2,0)</f>
        <v>American TouristerLaptopBag</v>
      </c>
      <c r="G79" s="159">
        <v>5</v>
      </c>
      <c r="H79" s="160">
        <f>VLOOKUP(Sales[[#This Row],[Product ID]],Product[#All],7,0)</f>
        <v>5080</v>
      </c>
      <c r="I79" s="160">
        <f>Sales[[#This Row],[Selling Rate]]*Sales[[#This Row],[Qty]]</f>
        <v>25400</v>
      </c>
      <c r="J79" s="43">
        <v>0.12</v>
      </c>
      <c r="K79" s="44">
        <f>Sales[[#This Row],[Gross Amount]]*Sales[[#This Row],[Disc %]]</f>
        <v>3048</v>
      </c>
      <c r="L79" s="43">
        <v>0.18</v>
      </c>
      <c r="M79" s="44">
        <f>(Sales[[#This Row],[Gross Amount]]-Sales[[#This Row],[Disc. Amt.]])*Sales[[#This Row],[GST %]]</f>
        <v>4023.3599999999997</v>
      </c>
      <c r="N79" s="161">
        <f>Sales[[#This Row],[Gross Amount]]-Sales[[#This Row],[Disc. Amt.]]+Sales[[#This Row],[GST Amount]]</f>
        <v>26375.360000000001</v>
      </c>
      <c r="O79" s="158" t="s">
        <v>8876</v>
      </c>
      <c r="P79" s="158" t="s">
        <v>3562</v>
      </c>
      <c r="Q79" s="160">
        <f>IF(Sales[[#This Row],[Status]]="Cancelled",0,Sales[[#This Row],[Qty]])</f>
        <v>5</v>
      </c>
      <c r="R79" s="161">
        <f>IF(Sales[[#This Row],[Status]]="Cancelled",0,Sales[[#This Row],[Total Amount]])</f>
        <v>26375.360000000001</v>
      </c>
      <c r="S79" s="162">
        <f>SUM(Sales[Net Amount])</f>
        <v>406839287.73200053</v>
      </c>
    </row>
    <row r="80" spans="1:19" ht="18.75" x14ac:dyDescent="0.25">
      <c r="A80" s="163" t="s">
        <v>3643</v>
      </c>
      <c r="B80" s="164">
        <v>45784</v>
      </c>
      <c r="C80" s="34" t="s">
        <v>756</v>
      </c>
      <c r="D80" s="53" t="str">
        <f>VLOOKUP(Sales[[#This Row],[Customer ID]],Customer[#All],2,0)</f>
        <v>Amit Patel</v>
      </c>
      <c r="E80" s="34" t="s">
        <v>374</v>
      </c>
      <c r="F80" s="34" t="str">
        <f>VLOOKUP(Sales[[#This Row],[Product ID]],Product[#All],2,0)</f>
        <v>Boat Headset</v>
      </c>
      <c r="G80" s="53">
        <v>1</v>
      </c>
      <c r="H80" s="165">
        <f>VLOOKUP(Sales[[#This Row],[Product ID]],Product[#All],7,0)</f>
        <v>3010</v>
      </c>
      <c r="I80" s="165">
        <f>Sales[[#This Row],[Selling Rate]]*Sales[[#This Row],[Qty]]</f>
        <v>3010</v>
      </c>
      <c r="J80" s="45">
        <v>0.12</v>
      </c>
      <c r="K80" s="46">
        <f>Sales[[#This Row],[Gross Amount]]*Sales[[#This Row],[Disc %]]</f>
        <v>361.2</v>
      </c>
      <c r="L80" s="43">
        <v>0.18</v>
      </c>
      <c r="M80" s="46">
        <f>(Sales[[#This Row],[Gross Amount]]-Sales[[#This Row],[Disc. Amt.]])*Sales[[#This Row],[GST %]]</f>
        <v>476.78399999999999</v>
      </c>
      <c r="N80" s="161">
        <f>Sales[[#This Row],[Gross Amount]]-Sales[[#This Row],[Disc. Amt.]]+Sales[[#This Row],[GST Amount]]</f>
        <v>3125.5840000000003</v>
      </c>
      <c r="O80" s="34" t="s">
        <v>3566</v>
      </c>
      <c r="P80" s="34" t="s">
        <v>3562</v>
      </c>
      <c r="Q80" s="165">
        <f>IF(Sales[[#This Row],[Status]]="Cancelled",0,Sales[[#This Row],[Qty]])</f>
        <v>1</v>
      </c>
      <c r="R80" s="166">
        <f>IF(Sales[[#This Row],[Status]]="Cancelled",0,Sales[[#This Row],[Total Amount]])</f>
        <v>3125.5840000000003</v>
      </c>
      <c r="S80" s="162">
        <f>SUM(Sales[Net Amount])</f>
        <v>406839287.73200053</v>
      </c>
    </row>
    <row r="81" spans="1:19" ht="18.75" x14ac:dyDescent="0.25">
      <c r="A81" s="156" t="s">
        <v>3644</v>
      </c>
      <c r="B81" s="157">
        <v>45785</v>
      </c>
      <c r="C81" s="158" t="s">
        <v>3645</v>
      </c>
      <c r="D81" s="159" t="str">
        <f>VLOOKUP(Sales[[#This Row],[Customer ID]],Customer[#All],2,0)</f>
        <v>Vikas Kumar</v>
      </c>
      <c r="E81" s="158" t="s">
        <v>387</v>
      </c>
      <c r="F81" s="158" t="str">
        <f>VLOOKUP(Sales[[#This Row],[Product ID]],Product[#All],2,0)</f>
        <v>HP Printer</v>
      </c>
      <c r="G81" s="159">
        <v>2</v>
      </c>
      <c r="H81" s="160">
        <f>VLOOKUP(Sales[[#This Row],[Product ID]],Product[#All],7,0)</f>
        <v>14390</v>
      </c>
      <c r="I81" s="160">
        <f>Sales[[#This Row],[Selling Rate]]*Sales[[#This Row],[Qty]]</f>
        <v>28780</v>
      </c>
      <c r="J81" s="43">
        <v>0.15</v>
      </c>
      <c r="K81" s="44">
        <f>Sales[[#This Row],[Gross Amount]]*Sales[[#This Row],[Disc %]]</f>
        <v>4317</v>
      </c>
      <c r="L81" s="43">
        <v>0.18</v>
      </c>
      <c r="M81" s="44">
        <f>(Sales[[#This Row],[Gross Amount]]-Sales[[#This Row],[Disc. Amt.]])*Sales[[#This Row],[GST %]]</f>
        <v>4403.34</v>
      </c>
      <c r="N81" s="161">
        <f>Sales[[#This Row],[Gross Amount]]-Sales[[#This Row],[Disc. Amt.]]+Sales[[#This Row],[GST Amount]]</f>
        <v>28866.34</v>
      </c>
      <c r="O81" s="158" t="s">
        <v>8876</v>
      </c>
      <c r="P81" s="158" t="s">
        <v>3562</v>
      </c>
      <c r="Q81" s="160">
        <f>IF(Sales[[#This Row],[Status]]="Cancelled",0,Sales[[#This Row],[Qty]])</f>
        <v>2</v>
      </c>
      <c r="R81" s="161">
        <f>IF(Sales[[#This Row],[Status]]="Cancelled",0,Sales[[#This Row],[Total Amount]])</f>
        <v>28866.34</v>
      </c>
      <c r="S81" s="162">
        <f>SUM(Sales[Net Amount])</f>
        <v>406839287.73200053</v>
      </c>
    </row>
    <row r="82" spans="1:19" ht="18.75" x14ac:dyDescent="0.25">
      <c r="A82" s="163" t="s">
        <v>3646</v>
      </c>
      <c r="B82" s="164">
        <v>45785</v>
      </c>
      <c r="C82" s="34" t="s">
        <v>740</v>
      </c>
      <c r="D82" s="53" t="str">
        <f>VLOOKUP(Sales[[#This Row],[Customer ID]],Customer[#All],2,0)</f>
        <v>Vikas Gupta</v>
      </c>
      <c r="E82" s="34" t="s">
        <v>469</v>
      </c>
      <c r="F82" s="34" t="str">
        <f>VLOOKUP(Sales[[#This Row],[Product ID]],Product[#All],2,0)</f>
        <v>WD HDD</v>
      </c>
      <c r="G82" s="53">
        <v>2</v>
      </c>
      <c r="H82" s="165">
        <f>VLOOKUP(Sales[[#This Row],[Product ID]],Product[#All],7,0)</f>
        <v>6930</v>
      </c>
      <c r="I82" s="165">
        <f>Sales[[#This Row],[Selling Rate]]*Sales[[#This Row],[Qty]]</f>
        <v>13860</v>
      </c>
      <c r="J82" s="45">
        <v>0</v>
      </c>
      <c r="K82" s="46">
        <f>Sales[[#This Row],[Gross Amount]]*Sales[[#This Row],[Disc %]]</f>
        <v>0</v>
      </c>
      <c r="L82" s="43">
        <v>0.18</v>
      </c>
      <c r="M82" s="46">
        <f>(Sales[[#This Row],[Gross Amount]]-Sales[[#This Row],[Disc. Amt.]])*Sales[[#This Row],[GST %]]</f>
        <v>2494.7999999999997</v>
      </c>
      <c r="N82" s="161">
        <f>Sales[[#This Row],[Gross Amount]]-Sales[[#This Row],[Disc. Amt.]]+Sales[[#This Row],[GST Amount]]</f>
        <v>16354.8</v>
      </c>
      <c r="O82" s="34" t="s">
        <v>8876</v>
      </c>
      <c r="P82" s="34" t="s">
        <v>3562</v>
      </c>
      <c r="Q82" s="165">
        <f>IF(Sales[[#This Row],[Status]]="Cancelled",0,Sales[[#This Row],[Qty]])</f>
        <v>2</v>
      </c>
      <c r="R82" s="166">
        <f>IF(Sales[[#This Row],[Status]]="Cancelled",0,Sales[[#This Row],[Total Amount]])</f>
        <v>16354.8</v>
      </c>
      <c r="S82" s="162">
        <f>SUM(Sales[Net Amount])</f>
        <v>406839287.73200053</v>
      </c>
    </row>
    <row r="83" spans="1:19" ht="18.75" x14ac:dyDescent="0.25">
      <c r="A83" s="156" t="s">
        <v>3647</v>
      </c>
      <c r="B83" s="157">
        <v>45785</v>
      </c>
      <c r="C83" s="158" t="s">
        <v>654</v>
      </c>
      <c r="D83" s="159" t="str">
        <f>VLOOKUP(Sales[[#This Row],[Customer ID]],Customer[#All],2,0)</f>
        <v>Sunita Verma</v>
      </c>
      <c r="E83" s="158" t="s">
        <v>378</v>
      </c>
      <c r="F83" s="158" t="str">
        <f>VLOOKUP(Sales[[#This Row],[Product ID]],Product[#All],2,0)</f>
        <v>Kingston Ram</v>
      </c>
      <c r="G83" s="159">
        <v>6</v>
      </c>
      <c r="H83" s="160">
        <f>VLOOKUP(Sales[[#This Row],[Product ID]],Product[#All],7,0)</f>
        <v>4420</v>
      </c>
      <c r="I83" s="160">
        <f>Sales[[#This Row],[Selling Rate]]*Sales[[#This Row],[Qty]]</f>
        <v>26520</v>
      </c>
      <c r="J83" s="43">
        <v>0</v>
      </c>
      <c r="K83" s="44">
        <f>Sales[[#This Row],[Gross Amount]]*Sales[[#This Row],[Disc %]]</f>
        <v>0</v>
      </c>
      <c r="L83" s="43">
        <v>0.18</v>
      </c>
      <c r="M83" s="44">
        <f>(Sales[[#This Row],[Gross Amount]]-Sales[[#This Row],[Disc. Amt.]])*Sales[[#This Row],[GST %]]</f>
        <v>4773.5999999999995</v>
      </c>
      <c r="N83" s="161">
        <f>Sales[[#This Row],[Gross Amount]]-Sales[[#This Row],[Disc. Amt.]]+Sales[[#This Row],[GST Amount]]</f>
        <v>31293.599999999999</v>
      </c>
      <c r="O83" s="158" t="s">
        <v>3561</v>
      </c>
      <c r="P83" s="158" t="s">
        <v>3562</v>
      </c>
      <c r="Q83" s="160">
        <f>IF(Sales[[#This Row],[Status]]="Cancelled",0,Sales[[#This Row],[Qty]])</f>
        <v>6</v>
      </c>
      <c r="R83" s="161">
        <f>IF(Sales[[#This Row],[Status]]="Cancelled",0,Sales[[#This Row],[Total Amount]])</f>
        <v>31293.599999999999</v>
      </c>
      <c r="S83" s="162">
        <f>SUM(Sales[Net Amount])</f>
        <v>406839287.73200053</v>
      </c>
    </row>
    <row r="84" spans="1:19" ht="18.75" x14ac:dyDescent="0.25">
      <c r="A84" s="163" t="s">
        <v>3648</v>
      </c>
      <c r="B84" s="164">
        <v>45785</v>
      </c>
      <c r="C84" s="34" t="s">
        <v>781</v>
      </c>
      <c r="D84" s="53" t="str">
        <f>VLOOKUP(Sales[[#This Row],[Customer ID]],Customer[#All],2,0)</f>
        <v>Vikas Sharma</v>
      </c>
      <c r="E84" s="34" t="s">
        <v>341</v>
      </c>
      <c r="F84" s="34" t="str">
        <f>VLOOKUP(Sales[[#This Row],[Product ID]],Product[#All],2,0)</f>
        <v>Dell Monitor</v>
      </c>
      <c r="G84" s="53">
        <v>4</v>
      </c>
      <c r="H84" s="165">
        <f>VLOOKUP(Sales[[#This Row],[Product ID]],Product[#All],7,0)</f>
        <v>20280</v>
      </c>
      <c r="I84" s="165">
        <f>Sales[[#This Row],[Selling Rate]]*Sales[[#This Row],[Qty]]</f>
        <v>81120</v>
      </c>
      <c r="J84" s="45">
        <v>0.02</v>
      </c>
      <c r="K84" s="46">
        <f>Sales[[#This Row],[Gross Amount]]*Sales[[#This Row],[Disc %]]</f>
        <v>1622.4</v>
      </c>
      <c r="L84" s="43">
        <v>0.18</v>
      </c>
      <c r="M84" s="46">
        <f>(Sales[[#This Row],[Gross Amount]]-Sales[[#This Row],[Disc. Amt.]])*Sales[[#This Row],[GST %]]</f>
        <v>14309.568000000001</v>
      </c>
      <c r="N84" s="161">
        <f>Sales[[#This Row],[Gross Amount]]-Sales[[#This Row],[Disc. Amt.]]+Sales[[#This Row],[GST Amount]]</f>
        <v>93807.168000000005</v>
      </c>
      <c r="O84" s="34" t="s">
        <v>3561</v>
      </c>
      <c r="P84" s="34" t="s">
        <v>3562</v>
      </c>
      <c r="Q84" s="165">
        <f>IF(Sales[[#This Row],[Status]]="Cancelled",0,Sales[[#This Row],[Qty]])</f>
        <v>4</v>
      </c>
      <c r="R84" s="166">
        <f>IF(Sales[[#This Row],[Status]]="Cancelled",0,Sales[[#This Row],[Total Amount]])</f>
        <v>93807.168000000005</v>
      </c>
      <c r="S84" s="162">
        <f>SUM(Sales[Net Amount])</f>
        <v>406839287.73200053</v>
      </c>
    </row>
    <row r="85" spans="1:19" ht="18.75" x14ac:dyDescent="0.25">
      <c r="A85" s="156" t="s">
        <v>3649</v>
      </c>
      <c r="B85" s="157">
        <v>45785</v>
      </c>
      <c r="C85" s="158" t="s">
        <v>871</v>
      </c>
      <c r="D85" s="159" t="str">
        <f>VLOOKUP(Sales[[#This Row],[Customer ID]],Customer[#All],2,0)</f>
        <v>Rakesh Kumar</v>
      </c>
      <c r="E85" s="158" t="s">
        <v>86</v>
      </c>
      <c r="F85" s="158" t="str">
        <f>VLOOKUP(Sales[[#This Row],[Product ID]],Product[#All],2,0)</f>
        <v>Lg Monitor</v>
      </c>
      <c r="G85" s="159">
        <v>6</v>
      </c>
      <c r="H85" s="160">
        <f>VLOOKUP(Sales[[#This Row],[Product ID]],Product[#All],7,0)</f>
        <v>14730</v>
      </c>
      <c r="I85" s="160">
        <f>Sales[[#This Row],[Selling Rate]]*Sales[[#This Row],[Qty]]</f>
        <v>88380</v>
      </c>
      <c r="J85" s="43">
        <v>0</v>
      </c>
      <c r="K85" s="44">
        <f>Sales[[#This Row],[Gross Amount]]*Sales[[#This Row],[Disc %]]</f>
        <v>0</v>
      </c>
      <c r="L85" s="43">
        <v>0.18</v>
      </c>
      <c r="M85" s="44">
        <f>(Sales[[#This Row],[Gross Amount]]-Sales[[#This Row],[Disc. Amt.]])*Sales[[#This Row],[GST %]]</f>
        <v>15908.4</v>
      </c>
      <c r="N85" s="161">
        <f>Sales[[#This Row],[Gross Amount]]-Sales[[#This Row],[Disc. Amt.]]+Sales[[#This Row],[GST Amount]]</f>
        <v>104288.4</v>
      </c>
      <c r="O85" s="158" t="s">
        <v>8876</v>
      </c>
      <c r="P85" s="158" t="s">
        <v>3562</v>
      </c>
      <c r="Q85" s="160">
        <f>IF(Sales[[#This Row],[Status]]="Cancelled",0,Sales[[#This Row],[Qty]])</f>
        <v>6</v>
      </c>
      <c r="R85" s="161">
        <f>IF(Sales[[#This Row],[Status]]="Cancelled",0,Sales[[#This Row],[Total Amount]])</f>
        <v>104288.4</v>
      </c>
      <c r="S85" s="162">
        <f>SUM(Sales[Net Amount])</f>
        <v>406839287.73200053</v>
      </c>
    </row>
    <row r="86" spans="1:19" ht="18.75" x14ac:dyDescent="0.25">
      <c r="A86" s="163" t="s">
        <v>3650</v>
      </c>
      <c r="B86" s="164">
        <v>45785</v>
      </c>
      <c r="C86" s="34" t="s">
        <v>746</v>
      </c>
      <c r="D86" s="53" t="str">
        <f>VLOOKUP(Sales[[#This Row],[Customer ID]],Customer[#All],2,0)</f>
        <v>Sunita Kumar</v>
      </c>
      <c r="E86" s="34" t="s">
        <v>116</v>
      </c>
      <c r="F86" s="34" t="str">
        <f>VLOOKUP(Sales[[#This Row],[Product ID]],Product[#All],2,0)</f>
        <v>Epson Printer</v>
      </c>
      <c r="G86" s="53">
        <v>1</v>
      </c>
      <c r="H86" s="165">
        <f>VLOOKUP(Sales[[#This Row],[Product ID]],Product[#All],7,0)</f>
        <v>38550</v>
      </c>
      <c r="I86" s="165">
        <f>Sales[[#This Row],[Selling Rate]]*Sales[[#This Row],[Qty]]</f>
        <v>38550</v>
      </c>
      <c r="J86" s="45">
        <v>0.1</v>
      </c>
      <c r="K86" s="46">
        <f>Sales[[#This Row],[Gross Amount]]*Sales[[#This Row],[Disc %]]</f>
        <v>3855</v>
      </c>
      <c r="L86" s="43">
        <v>0.18</v>
      </c>
      <c r="M86" s="46">
        <f>(Sales[[#This Row],[Gross Amount]]-Sales[[#This Row],[Disc. Amt.]])*Sales[[#This Row],[GST %]]</f>
        <v>6245.0999999999995</v>
      </c>
      <c r="N86" s="161">
        <f>Sales[[#This Row],[Gross Amount]]-Sales[[#This Row],[Disc. Amt.]]+Sales[[#This Row],[GST Amount]]</f>
        <v>40940.1</v>
      </c>
      <c r="O86" s="34" t="s">
        <v>3561</v>
      </c>
      <c r="P86" s="34" t="s">
        <v>3562</v>
      </c>
      <c r="Q86" s="165">
        <f>IF(Sales[[#This Row],[Status]]="Cancelled",0,Sales[[#This Row],[Qty]])</f>
        <v>1</v>
      </c>
      <c r="R86" s="166">
        <f>IF(Sales[[#This Row],[Status]]="Cancelled",0,Sales[[#This Row],[Total Amount]])</f>
        <v>40940.1</v>
      </c>
      <c r="S86" s="162">
        <f>SUM(Sales[Net Amount])</f>
        <v>406839287.73200053</v>
      </c>
    </row>
    <row r="87" spans="1:19" ht="18.75" x14ac:dyDescent="0.25">
      <c r="A87" s="156" t="s">
        <v>3651</v>
      </c>
      <c r="B87" s="157">
        <v>45785</v>
      </c>
      <c r="C87" s="158" t="s">
        <v>816</v>
      </c>
      <c r="D87" s="159" t="str">
        <f>VLOOKUP(Sales[[#This Row],[Customer ID]],Customer[#All],2,0)</f>
        <v>Amit Patel</v>
      </c>
      <c r="E87" s="158" t="s">
        <v>356</v>
      </c>
      <c r="F87" s="158" t="str">
        <f>VLOOKUP(Sales[[#This Row],[Product ID]],Product[#All],2,0)</f>
        <v>Corsair Ram</v>
      </c>
      <c r="G87" s="159">
        <v>7</v>
      </c>
      <c r="H87" s="160">
        <f>VLOOKUP(Sales[[#This Row],[Product ID]],Product[#All],7,0)</f>
        <v>8460</v>
      </c>
      <c r="I87" s="160">
        <f>Sales[[#This Row],[Selling Rate]]*Sales[[#This Row],[Qty]]</f>
        <v>59220</v>
      </c>
      <c r="J87" s="43">
        <v>0.15</v>
      </c>
      <c r="K87" s="44">
        <f>Sales[[#This Row],[Gross Amount]]*Sales[[#This Row],[Disc %]]</f>
        <v>8883</v>
      </c>
      <c r="L87" s="43">
        <v>0.18</v>
      </c>
      <c r="M87" s="44">
        <f>(Sales[[#This Row],[Gross Amount]]-Sales[[#This Row],[Disc. Amt.]])*Sales[[#This Row],[GST %]]</f>
        <v>9060.66</v>
      </c>
      <c r="N87" s="161">
        <f>Sales[[#This Row],[Gross Amount]]-Sales[[#This Row],[Disc. Amt.]]+Sales[[#This Row],[GST Amount]]</f>
        <v>59397.66</v>
      </c>
      <c r="O87" s="158" t="s">
        <v>3561</v>
      </c>
      <c r="P87" s="158" t="s">
        <v>3562</v>
      </c>
      <c r="Q87" s="160">
        <f>IF(Sales[[#This Row],[Status]]="Cancelled",0,Sales[[#This Row],[Qty]])</f>
        <v>7</v>
      </c>
      <c r="R87" s="161">
        <f>IF(Sales[[#This Row],[Status]]="Cancelled",0,Sales[[#This Row],[Total Amount]])</f>
        <v>59397.66</v>
      </c>
      <c r="S87" s="162">
        <f>SUM(Sales[Net Amount])</f>
        <v>406839287.73200053</v>
      </c>
    </row>
    <row r="88" spans="1:19" ht="18.75" x14ac:dyDescent="0.25">
      <c r="A88" s="163" t="s">
        <v>3652</v>
      </c>
      <c r="B88" s="164">
        <v>45785</v>
      </c>
      <c r="C88" s="34" t="s">
        <v>934</v>
      </c>
      <c r="D88" s="53" t="str">
        <f>VLOOKUP(Sales[[#This Row],[Customer ID]],Customer[#All],2,0)</f>
        <v>Pooja Singh</v>
      </c>
      <c r="E88" s="34" t="s">
        <v>320</v>
      </c>
      <c r="F88" s="34" t="str">
        <f>VLOOKUP(Sales[[#This Row],[Product ID]],Product[#All],2,0)</f>
        <v>Seagate HDD</v>
      </c>
      <c r="G88" s="53">
        <v>6</v>
      </c>
      <c r="H88" s="165">
        <f>VLOOKUP(Sales[[#This Row],[Product ID]],Product[#All],7,0)</f>
        <v>12040</v>
      </c>
      <c r="I88" s="165">
        <f>Sales[[#This Row],[Selling Rate]]*Sales[[#This Row],[Qty]]</f>
        <v>72240</v>
      </c>
      <c r="J88" s="45">
        <v>0</v>
      </c>
      <c r="K88" s="46">
        <f>Sales[[#This Row],[Gross Amount]]*Sales[[#This Row],[Disc %]]</f>
        <v>0</v>
      </c>
      <c r="L88" s="43">
        <v>0.18</v>
      </c>
      <c r="M88" s="46">
        <f>(Sales[[#This Row],[Gross Amount]]-Sales[[#This Row],[Disc. Amt.]])*Sales[[#This Row],[GST %]]</f>
        <v>13003.199999999999</v>
      </c>
      <c r="N88" s="161">
        <f>Sales[[#This Row],[Gross Amount]]-Sales[[#This Row],[Disc. Amt.]]+Sales[[#This Row],[GST Amount]]</f>
        <v>85243.199999999997</v>
      </c>
      <c r="O88" s="34" t="s">
        <v>3561</v>
      </c>
      <c r="P88" s="34" t="s">
        <v>3562</v>
      </c>
      <c r="Q88" s="165">
        <f>IF(Sales[[#This Row],[Status]]="Cancelled",0,Sales[[#This Row],[Qty]])</f>
        <v>6</v>
      </c>
      <c r="R88" s="166">
        <f>IF(Sales[[#This Row],[Status]]="Cancelled",0,Sales[[#This Row],[Total Amount]])</f>
        <v>85243.199999999997</v>
      </c>
      <c r="S88" s="162">
        <f>SUM(Sales[Net Amount])</f>
        <v>406839287.73200053</v>
      </c>
    </row>
    <row r="89" spans="1:19" ht="18.75" x14ac:dyDescent="0.25">
      <c r="A89" s="156" t="s">
        <v>3653</v>
      </c>
      <c r="B89" s="157">
        <v>45785</v>
      </c>
      <c r="C89" s="158" t="s">
        <v>886</v>
      </c>
      <c r="D89" s="159" t="str">
        <f>VLOOKUP(Sales[[#This Row],[Customer ID]],Customer[#All],2,0)</f>
        <v>Sunita Gupta</v>
      </c>
      <c r="E89" s="158" t="s">
        <v>532</v>
      </c>
      <c r="F89" s="158" t="str">
        <f>VLOOKUP(Sales[[#This Row],[Product ID]],Product[#All],2,0)</f>
        <v>Dell Laptop</v>
      </c>
      <c r="G89" s="159">
        <v>7</v>
      </c>
      <c r="H89" s="160">
        <f>VLOOKUP(Sales[[#This Row],[Product ID]],Product[#All],7,0)</f>
        <v>47550</v>
      </c>
      <c r="I89" s="160">
        <f>Sales[[#This Row],[Selling Rate]]*Sales[[#This Row],[Qty]]</f>
        <v>332850</v>
      </c>
      <c r="J89" s="43">
        <v>0</v>
      </c>
      <c r="K89" s="44">
        <f>Sales[[#This Row],[Gross Amount]]*Sales[[#This Row],[Disc %]]</f>
        <v>0</v>
      </c>
      <c r="L89" s="43">
        <v>0.18</v>
      </c>
      <c r="M89" s="44">
        <f>(Sales[[#This Row],[Gross Amount]]-Sales[[#This Row],[Disc. Amt.]])*Sales[[#This Row],[GST %]]</f>
        <v>59913</v>
      </c>
      <c r="N89" s="161">
        <f>Sales[[#This Row],[Gross Amount]]-Sales[[#This Row],[Disc. Amt.]]+Sales[[#This Row],[GST Amount]]</f>
        <v>392763</v>
      </c>
      <c r="O89" s="158" t="s">
        <v>8876</v>
      </c>
      <c r="P89" s="158" t="s">
        <v>3562</v>
      </c>
      <c r="Q89" s="160">
        <f>IF(Sales[[#This Row],[Status]]="Cancelled",0,Sales[[#This Row],[Qty]])</f>
        <v>7</v>
      </c>
      <c r="R89" s="161">
        <f>IF(Sales[[#This Row],[Status]]="Cancelled",0,Sales[[#This Row],[Total Amount]])</f>
        <v>392763</v>
      </c>
      <c r="S89" s="162">
        <f>SUM(Sales[Net Amount])</f>
        <v>406839287.73200053</v>
      </c>
    </row>
    <row r="90" spans="1:19" ht="18.75" x14ac:dyDescent="0.25">
      <c r="A90" s="163" t="s">
        <v>3654</v>
      </c>
      <c r="B90" s="164">
        <v>45785</v>
      </c>
      <c r="C90" s="34" t="s">
        <v>814</v>
      </c>
      <c r="D90" s="53" t="str">
        <f>VLOOKUP(Sales[[#This Row],[Customer ID]],Customer[#All],2,0)</f>
        <v>Amit Kumar</v>
      </c>
      <c r="E90" s="34" t="s">
        <v>318</v>
      </c>
      <c r="F90" s="34" t="str">
        <f>VLOOKUP(Sales[[#This Row],[Product ID]],Product[#All],2,0)</f>
        <v>HP Printer</v>
      </c>
      <c r="G90" s="53">
        <v>8</v>
      </c>
      <c r="H90" s="165">
        <f>VLOOKUP(Sales[[#This Row],[Product ID]],Product[#All],7,0)</f>
        <v>30590</v>
      </c>
      <c r="I90" s="165">
        <f>Sales[[#This Row],[Selling Rate]]*Sales[[#This Row],[Qty]]</f>
        <v>244720</v>
      </c>
      <c r="J90" s="45">
        <v>0.05</v>
      </c>
      <c r="K90" s="46">
        <f>Sales[[#This Row],[Gross Amount]]*Sales[[#This Row],[Disc %]]</f>
        <v>12236</v>
      </c>
      <c r="L90" s="43">
        <v>0.18</v>
      </c>
      <c r="M90" s="46">
        <f>(Sales[[#This Row],[Gross Amount]]-Sales[[#This Row],[Disc. Amt.]])*Sales[[#This Row],[GST %]]</f>
        <v>41847.119999999995</v>
      </c>
      <c r="N90" s="161">
        <f>Sales[[#This Row],[Gross Amount]]-Sales[[#This Row],[Disc. Amt.]]+Sales[[#This Row],[GST Amount]]</f>
        <v>274331.12</v>
      </c>
      <c r="O90" s="34" t="s">
        <v>8876</v>
      </c>
      <c r="P90" s="34" t="s">
        <v>3562</v>
      </c>
      <c r="Q90" s="165">
        <f>IF(Sales[[#This Row],[Status]]="Cancelled",0,Sales[[#This Row],[Qty]])</f>
        <v>8</v>
      </c>
      <c r="R90" s="166">
        <f>IF(Sales[[#This Row],[Status]]="Cancelled",0,Sales[[#This Row],[Total Amount]])</f>
        <v>274331.12</v>
      </c>
      <c r="S90" s="162">
        <f>SUM(Sales[Net Amount])</f>
        <v>406839287.73200053</v>
      </c>
    </row>
    <row r="91" spans="1:19" ht="18.75" x14ac:dyDescent="0.25">
      <c r="A91" s="156" t="s">
        <v>3655</v>
      </c>
      <c r="B91" s="157">
        <v>45785</v>
      </c>
      <c r="C91" s="158" t="s">
        <v>751</v>
      </c>
      <c r="D91" s="159" t="str">
        <f>VLOOKUP(Sales[[#This Row],[Customer ID]],Customer[#All],2,0)</f>
        <v>Ankit Verma</v>
      </c>
      <c r="E91" s="158" t="s">
        <v>388</v>
      </c>
      <c r="F91" s="158" t="str">
        <f>VLOOKUP(Sales[[#This Row],[Product ID]],Product[#All],2,0)</f>
        <v>Dell Laptop</v>
      </c>
      <c r="G91" s="159">
        <v>1</v>
      </c>
      <c r="H91" s="160">
        <f>VLOOKUP(Sales[[#This Row],[Product ID]],Product[#All],7,0)</f>
        <v>68790</v>
      </c>
      <c r="I91" s="160">
        <f>Sales[[#This Row],[Selling Rate]]*Sales[[#This Row],[Qty]]</f>
        <v>68790</v>
      </c>
      <c r="J91" s="43">
        <v>0.05</v>
      </c>
      <c r="K91" s="44">
        <f>Sales[[#This Row],[Gross Amount]]*Sales[[#This Row],[Disc %]]</f>
        <v>3439.5</v>
      </c>
      <c r="L91" s="43">
        <v>0.18</v>
      </c>
      <c r="M91" s="44">
        <f>(Sales[[#This Row],[Gross Amount]]-Sales[[#This Row],[Disc. Amt.]])*Sales[[#This Row],[GST %]]</f>
        <v>11763.09</v>
      </c>
      <c r="N91" s="161">
        <f>Sales[[#This Row],[Gross Amount]]-Sales[[#This Row],[Disc. Amt.]]+Sales[[#This Row],[GST Amount]]</f>
        <v>77113.59</v>
      </c>
      <c r="O91" s="158" t="s">
        <v>3566</v>
      </c>
      <c r="P91" s="158" t="s">
        <v>3562</v>
      </c>
      <c r="Q91" s="160">
        <f>IF(Sales[[#This Row],[Status]]="Cancelled",0,Sales[[#This Row],[Qty]])</f>
        <v>1</v>
      </c>
      <c r="R91" s="161">
        <f>IF(Sales[[#This Row],[Status]]="Cancelled",0,Sales[[#This Row],[Total Amount]])</f>
        <v>77113.59</v>
      </c>
      <c r="S91" s="162">
        <f>SUM(Sales[Net Amount])</f>
        <v>406839287.73200053</v>
      </c>
    </row>
    <row r="92" spans="1:19" ht="18.75" x14ac:dyDescent="0.25">
      <c r="A92" s="163" t="s">
        <v>3656</v>
      </c>
      <c r="B92" s="164">
        <v>45785</v>
      </c>
      <c r="C92" s="34" t="s">
        <v>795</v>
      </c>
      <c r="D92" s="53" t="str">
        <f>VLOOKUP(Sales[[#This Row],[Customer ID]],Customer[#All],2,0)</f>
        <v>Sahil Gupta</v>
      </c>
      <c r="E92" s="34" t="s">
        <v>271</v>
      </c>
      <c r="F92" s="34" t="str">
        <f>VLOOKUP(Sales[[#This Row],[Product ID]],Product[#All],2,0)</f>
        <v>TP-link Bluetooth Adapter</v>
      </c>
      <c r="G92" s="53">
        <v>2</v>
      </c>
      <c r="H92" s="165">
        <f>VLOOKUP(Sales[[#This Row],[Product ID]],Product[#All],7,0)</f>
        <v>410</v>
      </c>
      <c r="I92" s="165">
        <f>Sales[[#This Row],[Selling Rate]]*Sales[[#This Row],[Qty]]</f>
        <v>820</v>
      </c>
      <c r="J92" s="45">
        <v>0.05</v>
      </c>
      <c r="K92" s="46">
        <f>Sales[[#This Row],[Gross Amount]]*Sales[[#This Row],[Disc %]]</f>
        <v>41</v>
      </c>
      <c r="L92" s="43">
        <v>0.18</v>
      </c>
      <c r="M92" s="46">
        <f>(Sales[[#This Row],[Gross Amount]]-Sales[[#This Row],[Disc. Amt.]])*Sales[[#This Row],[GST %]]</f>
        <v>140.22</v>
      </c>
      <c r="N92" s="161">
        <f>Sales[[#This Row],[Gross Amount]]-Sales[[#This Row],[Disc. Amt.]]+Sales[[#This Row],[GST Amount]]</f>
        <v>919.22</v>
      </c>
      <c r="O92" s="34" t="s">
        <v>3566</v>
      </c>
      <c r="P92" s="34" t="s">
        <v>1040</v>
      </c>
      <c r="Q92" s="165">
        <f>IF(Sales[[#This Row],[Status]]="Cancelled",0,Sales[[#This Row],[Qty]])</f>
        <v>0</v>
      </c>
      <c r="R92" s="166">
        <f>IF(Sales[[#This Row],[Status]]="Cancelled",0,Sales[[#This Row],[Total Amount]])</f>
        <v>0</v>
      </c>
      <c r="S92" s="162">
        <f>SUM(Sales[Net Amount])</f>
        <v>406839287.73200053</v>
      </c>
    </row>
    <row r="93" spans="1:19" ht="18.75" x14ac:dyDescent="0.25">
      <c r="A93" s="156" t="s">
        <v>3657</v>
      </c>
      <c r="B93" s="157">
        <v>45785</v>
      </c>
      <c r="C93" s="158" t="s">
        <v>692</v>
      </c>
      <c r="D93" s="159" t="str">
        <f>VLOOKUP(Sales[[#This Row],[Customer ID]],Customer[#All],2,0)</f>
        <v>Rahul Patel</v>
      </c>
      <c r="E93" s="158" t="s">
        <v>220</v>
      </c>
      <c r="F93" s="158" t="str">
        <f>VLOOKUP(Sales[[#This Row],[Product ID]],Product[#All],2,0)</f>
        <v>HP Desktop</v>
      </c>
      <c r="G93" s="159">
        <v>1</v>
      </c>
      <c r="H93" s="160">
        <f>VLOOKUP(Sales[[#This Row],[Product ID]],Product[#All],7,0)</f>
        <v>40570</v>
      </c>
      <c r="I93" s="160">
        <f>Sales[[#This Row],[Selling Rate]]*Sales[[#This Row],[Qty]]</f>
        <v>40570</v>
      </c>
      <c r="J93" s="43">
        <v>0</v>
      </c>
      <c r="K93" s="44">
        <f>Sales[[#This Row],[Gross Amount]]*Sales[[#This Row],[Disc %]]</f>
        <v>0</v>
      </c>
      <c r="L93" s="43">
        <v>0.18</v>
      </c>
      <c r="M93" s="44">
        <f>(Sales[[#This Row],[Gross Amount]]-Sales[[#This Row],[Disc. Amt.]])*Sales[[#This Row],[GST %]]</f>
        <v>7302.5999999999995</v>
      </c>
      <c r="N93" s="161">
        <f>Sales[[#This Row],[Gross Amount]]-Sales[[#This Row],[Disc. Amt.]]+Sales[[#This Row],[GST Amount]]</f>
        <v>47872.6</v>
      </c>
      <c r="O93" s="158" t="s">
        <v>3561</v>
      </c>
      <c r="P93" s="158" t="s">
        <v>3562</v>
      </c>
      <c r="Q93" s="160">
        <f>IF(Sales[[#This Row],[Status]]="Cancelled",0,Sales[[#This Row],[Qty]])</f>
        <v>1</v>
      </c>
      <c r="R93" s="161">
        <f>IF(Sales[[#This Row],[Status]]="Cancelled",0,Sales[[#This Row],[Total Amount]])</f>
        <v>47872.6</v>
      </c>
      <c r="S93" s="162">
        <f>SUM(Sales[Net Amount])</f>
        <v>406839287.73200053</v>
      </c>
    </row>
    <row r="94" spans="1:19" ht="18.75" x14ac:dyDescent="0.25">
      <c r="A94" s="163" t="s">
        <v>3658</v>
      </c>
      <c r="B94" s="164">
        <v>45785</v>
      </c>
      <c r="C94" s="34" t="s">
        <v>661</v>
      </c>
      <c r="D94" s="53" t="str">
        <f>VLOOKUP(Sales[[#This Row],[Customer ID]],Customer[#All],2,0)</f>
        <v>Pooja Gupta</v>
      </c>
      <c r="E94" s="34" t="s">
        <v>298</v>
      </c>
      <c r="F94" s="34" t="str">
        <f>VLOOKUP(Sales[[#This Row],[Product ID]],Product[#All],2,0)</f>
        <v>Dell Monitor</v>
      </c>
      <c r="G94" s="53">
        <v>4</v>
      </c>
      <c r="H94" s="165">
        <f>VLOOKUP(Sales[[#This Row],[Product ID]],Product[#All],7,0)</f>
        <v>25790</v>
      </c>
      <c r="I94" s="165">
        <f>Sales[[#This Row],[Selling Rate]]*Sales[[#This Row],[Qty]]</f>
        <v>103160</v>
      </c>
      <c r="J94" s="45">
        <v>0</v>
      </c>
      <c r="K94" s="46">
        <f>Sales[[#This Row],[Gross Amount]]*Sales[[#This Row],[Disc %]]</f>
        <v>0</v>
      </c>
      <c r="L94" s="43">
        <v>0.18</v>
      </c>
      <c r="M94" s="46">
        <f>(Sales[[#This Row],[Gross Amount]]-Sales[[#This Row],[Disc. Amt.]])*Sales[[#This Row],[GST %]]</f>
        <v>18568.8</v>
      </c>
      <c r="N94" s="161">
        <f>Sales[[#This Row],[Gross Amount]]-Sales[[#This Row],[Disc. Amt.]]+Sales[[#This Row],[GST Amount]]</f>
        <v>121728.8</v>
      </c>
      <c r="O94" s="34" t="s">
        <v>3569</v>
      </c>
      <c r="P94" s="34" t="s">
        <v>3562</v>
      </c>
      <c r="Q94" s="165">
        <f>IF(Sales[[#This Row],[Status]]="Cancelled",0,Sales[[#This Row],[Qty]])</f>
        <v>4</v>
      </c>
      <c r="R94" s="166">
        <f>IF(Sales[[#This Row],[Status]]="Cancelled",0,Sales[[#This Row],[Total Amount]])</f>
        <v>121728.8</v>
      </c>
      <c r="S94" s="162">
        <f>SUM(Sales[Net Amount])</f>
        <v>406839287.73200053</v>
      </c>
    </row>
    <row r="95" spans="1:19" ht="18.75" x14ac:dyDescent="0.25">
      <c r="A95" s="156" t="s">
        <v>3659</v>
      </c>
      <c r="B95" s="157">
        <v>45785</v>
      </c>
      <c r="C95" s="158" t="s">
        <v>684</v>
      </c>
      <c r="D95" s="159" t="str">
        <f>VLOOKUP(Sales[[#This Row],[Customer ID]],Customer[#All],2,0)</f>
        <v>Rahul Sharma</v>
      </c>
      <c r="E95" s="158" t="s">
        <v>402</v>
      </c>
      <c r="F95" s="158" t="str">
        <f>VLOOKUP(Sales[[#This Row],[Product ID]],Product[#All],2,0)</f>
        <v>Logitech Keyboard</v>
      </c>
      <c r="G95" s="159">
        <v>5</v>
      </c>
      <c r="H95" s="160">
        <f>VLOOKUP(Sales[[#This Row],[Product ID]],Product[#All],7,0)</f>
        <v>3500</v>
      </c>
      <c r="I95" s="160">
        <f>Sales[[#This Row],[Selling Rate]]*Sales[[#This Row],[Qty]]</f>
        <v>17500</v>
      </c>
      <c r="J95" s="43">
        <v>0.12</v>
      </c>
      <c r="K95" s="44">
        <f>Sales[[#This Row],[Gross Amount]]*Sales[[#This Row],[Disc %]]</f>
        <v>2100</v>
      </c>
      <c r="L95" s="43">
        <v>0.18</v>
      </c>
      <c r="M95" s="44">
        <f>(Sales[[#This Row],[Gross Amount]]-Sales[[#This Row],[Disc. Amt.]])*Sales[[#This Row],[GST %]]</f>
        <v>2772</v>
      </c>
      <c r="N95" s="161">
        <f>Sales[[#This Row],[Gross Amount]]-Sales[[#This Row],[Disc. Amt.]]+Sales[[#This Row],[GST Amount]]</f>
        <v>18172</v>
      </c>
      <c r="O95" s="158" t="s">
        <v>8876</v>
      </c>
      <c r="P95" s="158" t="s">
        <v>3562</v>
      </c>
      <c r="Q95" s="160">
        <f>IF(Sales[[#This Row],[Status]]="Cancelled",0,Sales[[#This Row],[Qty]])</f>
        <v>5</v>
      </c>
      <c r="R95" s="161">
        <f>IF(Sales[[#This Row],[Status]]="Cancelled",0,Sales[[#This Row],[Total Amount]])</f>
        <v>18172</v>
      </c>
      <c r="S95" s="162">
        <f>SUM(Sales[Net Amount])</f>
        <v>406839287.73200053</v>
      </c>
    </row>
    <row r="96" spans="1:19" ht="18.75" x14ac:dyDescent="0.25">
      <c r="A96" s="163" t="s">
        <v>3660</v>
      </c>
      <c r="B96" s="164">
        <v>45785</v>
      </c>
      <c r="C96" s="34" t="s">
        <v>933</v>
      </c>
      <c r="D96" s="53" t="str">
        <f>VLOOKUP(Sales[[#This Row],[Customer ID]],Customer[#All],2,0)</f>
        <v>Vikas Verma</v>
      </c>
      <c r="E96" s="34" t="s">
        <v>441</v>
      </c>
      <c r="F96" s="34" t="str">
        <f>VLOOKUP(Sales[[#This Row],[Product ID]],Product[#All],2,0)</f>
        <v>Jbl Headset</v>
      </c>
      <c r="G96" s="53">
        <v>6</v>
      </c>
      <c r="H96" s="165">
        <f>VLOOKUP(Sales[[#This Row],[Product ID]],Product[#All],7,0)</f>
        <v>3650</v>
      </c>
      <c r="I96" s="165">
        <f>Sales[[#This Row],[Selling Rate]]*Sales[[#This Row],[Qty]]</f>
        <v>21900</v>
      </c>
      <c r="J96" s="45">
        <v>0.05</v>
      </c>
      <c r="K96" s="46">
        <f>Sales[[#This Row],[Gross Amount]]*Sales[[#This Row],[Disc %]]</f>
        <v>1095</v>
      </c>
      <c r="L96" s="43">
        <v>0.18</v>
      </c>
      <c r="M96" s="46">
        <f>(Sales[[#This Row],[Gross Amount]]-Sales[[#This Row],[Disc. Amt.]])*Sales[[#This Row],[GST %]]</f>
        <v>3744.8999999999996</v>
      </c>
      <c r="N96" s="161">
        <f>Sales[[#This Row],[Gross Amount]]-Sales[[#This Row],[Disc. Amt.]]+Sales[[#This Row],[GST Amount]]</f>
        <v>24549.9</v>
      </c>
      <c r="O96" s="34" t="s">
        <v>3569</v>
      </c>
      <c r="P96" s="34" t="s">
        <v>3562</v>
      </c>
      <c r="Q96" s="165">
        <f>IF(Sales[[#This Row],[Status]]="Cancelled",0,Sales[[#This Row],[Qty]])</f>
        <v>6</v>
      </c>
      <c r="R96" s="166">
        <f>IF(Sales[[#This Row],[Status]]="Cancelled",0,Sales[[#This Row],[Total Amount]])</f>
        <v>24549.9</v>
      </c>
      <c r="S96" s="162">
        <f>SUM(Sales[Net Amount])</f>
        <v>406839287.73200053</v>
      </c>
    </row>
    <row r="97" spans="1:19" ht="18.75" x14ac:dyDescent="0.25">
      <c r="A97" s="156" t="s">
        <v>3661</v>
      </c>
      <c r="B97" s="157">
        <v>45785</v>
      </c>
      <c r="C97" s="158" t="s">
        <v>888</v>
      </c>
      <c r="D97" s="159" t="str">
        <f>VLOOKUP(Sales[[#This Row],[Customer ID]],Customer[#All],2,0)</f>
        <v>Rahul Patel</v>
      </c>
      <c r="E97" s="158" t="s">
        <v>441</v>
      </c>
      <c r="F97" s="158" t="str">
        <f>VLOOKUP(Sales[[#This Row],[Product ID]],Product[#All],2,0)</f>
        <v>Jbl Headset</v>
      </c>
      <c r="G97" s="159">
        <v>2</v>
      </c>
      <c r="H97" s="160">
        <f>VLOOKUP(Sales[[#This Row],[Product ID]],Product[#All],7,0)</f>
        <v>3650</v>
      </c>
      <c r="I97" s="160">
        <f>Sales[[#This Row],[Selling Rate]]*Sales[[#This Row],[Qty]]</f>
        <v>7300</v>
      </c>
      <c r="J97" s="43">
        <v>0.05</v>
      </c>
      <c r="K97" s="44">
        <f>Sales[[#This Row],[Gross Amount]]*Sales[[#This Row],[Disc %]]</f>
        <v>365</v>
      </c>
      <c r="L97" s="43">
        <v>0.18</v>
      </c>
      <c r="M97" s="44">
        <f>(Sales[[#This Row],[Gross Amount]]-Sales[[#This Row],[Disc. Amt.]])*Sales[[#This Row],[GST %]]</f>
        <v>1248.3</v>
      </c>
      <c r="N97" s="161">
        <f>Sales[[#This Row],[Gross Amount]]-Sales[[#This Row],[Disc. Amt.]]+Sales[[#This Row],[GST Amount]]</f>
        <v>8183.3</v>
      </c>
      <c r="O97" s="158" t="s">
        <v>8876</v>
      </c>
      <c r="P97" s="158" t="s">
        <v>3562</v>
      </c>
      <c r="Q97" s="160">
        <f>IF(Sales[[#This Row],[Status]]="Cancelled",0,Sales[[#This Row],[Qty]])</f>
        <v>2</v>
      </c>
      <c r="R97" s="161">
        <f>IF(Sales[[#This Row],[Status]]="Cancelled",0,Sales[[#This Row],[Total Amount]])</f>
        <v>8183.3</v>
      </c>
      <c r="S97" s="162">
        <f>SUM(Sales[Net Amount])</f>
        <v>406839287.73200053</v>
      </c>
    </row>
    <row r="98" spans="1:19" ht="18.75" x14ac:dyDescent="0.25">
      <c r="A98" s="163" t="s">
        <v>3662</v>
      </c>
      <c r="B98" s="164">
        <v>45785</v>
      </c>
      <c r="C98" s="34" t="s">
        <v>908</v>
      </c>
      <c r="D98" s="53" t="str">
        <f>VLOOKUP(Sales[[#This Row],[Customer ID]],Customer[#All],2,0)</f>
        <v>Rahul Singh</v>
      </c>
      <c r="E98" s="34" t="s">
        <v>506</v>
      </c>
      <c r="F98" s="34" t="str">
        <f>VLOOKUP(Sales[[#This Row],[Product ID]],Product[#All],2,0)</f>
        <v>Epson Printer</v>
      </c>
      <c r="G98" s="53">
        <v>2</v>
      </c>
      <c r="H98" s="165">
        <f>VLOOKUP(Sales[[#This Row],[Product ID]],Product[#All],7,0)</f>
        <v>42690</v>
      </c>
      <c r="I98" s="165">
        <f>Sales[[#This Row],[Selling Rate]]*Sales[[#This Row],[Qty]]</f>
        <v>85380</v>
      </c>
      <c r="J98" s="45">
        <v>0.12</v>
      </c>
      <c r="K98" s="46">
        <f>Sales[[#This Row],[Gross Amount]]*Sales[[#This Row],[Disc %]]</f>
        <v>10245.6</v>
      </c>
      <c r="L98" s="43">
        <v>0.18</v>
      </c>
      <c r="M98" s="46">
        <f>(Sales[[#This Row],[Gross Amount]]-Sales[[#This Row],[Disc. Amt.]])*Sales[[#This Row],[GST %]]</f>
        <v>13524.191999999999</v>
      </c>
      <c r="N98" s="161">
        <f>Sales[[#This Row],[Gross Amount]]-Sales[[#This Row],[Disc. Amt.]]+Sales[[#This Row],[GST Amount]]</f>
        <v>88658.59199999999</v>
      </c>
      <c r="O98" s="34" t="s">
        <v>3569</v>
      </c>
      <c r="P98" s="34" t="s">
        <v>3562</v>
      </c>
      <c r="Q98" s="165">
        <f>IF(Sales[[#This Row],[Status]]="Cancelled",0,Sales[[#This Row],[Qty]])</f>
        <v>2</v>
      </c>
      <c r="R98" s="166">
        <f>IF(Sales[[#This Row],[Status]]="Cancelled",0,Sales[[#This Row],[Total Amount]])</f>
        <v>88658.59199999999</v>
      </c>
      <c r="S98" s="162">
        <f>SUM(Sales[Net Amount])</f>
        <v>406839287.73200053</v>
      </c>
    </row>
    <row r="99" spans="1:19" ht="18.75" x14ac:dyDescent="0.25">
      <c r="A99" s="156" t="s">
        <v>3663</v>
      </c>
      <c r="B99" s="157">
        <v>45785</v>
      </c>
      <c r="C99" s="158" t="s">
        <v>713</v>
      </c>
      <c r="D99" s="159" t="str">
        <f>VLOOKUP(Sales[[#This Row],[Customer ID]],Customer[#All],2,0)</f>
        <v>Amit Gupta</v>
      </c>
      <c r="E99" s="158" t="s">
        <v>284</v>
      </c>
      <c r="F99" s="158" t="str">
        <f>VLOOKUP(Sales[[#This Row],[Product ID]],Product[#All],2,0)</f>
        <v>TP-link Bluetooth Adapter</v>
      </c>
      <c r="G99" s="159">
        <v>6</v>
      </c>
      <c r="H99" s="160">
        <f>VLOOKUP(Sales[[#This Row],[Product ID]],Product[#All],7,0)</f>
        <v>1750</v>
      </c>
      <c r="I99" s="160">
        <f>Sales[[#This Row],[Selling Rate]]*Sales[[#This Row],[Qty]]</f>
        <v>10500</v>
      </c>
      <c r="J99" s="43">
        <v>0.12</v>
      </c>
      <c r="K99" s="44">
        <f>Sales[[#This Row],[Gross Amount]]*Sales[[#This Row],[Disc %]]</f>
        <v>1260</v>
      </c>
      <c r="L99" s="43">
        <v>0.18</v>
      </c>
      <c r="M99" s="44">
        <f>(Sales[[#This Row],[Gross Amount]]-Sales[[#This Row],[Disc. Amt.]])*Sales[[#This Row],[GST %]]</f>
        <v>1663.2</v>
      </c>
      <c r="N99" s="161">
        <f>Sales[[#This Row],[Gross Amount]]-Sales[[#This Row],[Disc. Amt.]]+Sales[[#This Row],[GST Amount]]</f>
        <v>10903.2</v>
      </c>
      <c r="O99" s="158" t="s">
        <v>3569</v>
      </c>
      <c r="P99" s="158" t="s">
        <v>3562</v>
      </c>
      <c r="Q99" s="160">
        <f>IF(Sales[[#This Row],[Status]]="Cancelled",0,Sales[[#This Row],[Qty]])</f>
        <v>6</v>
      </c>
      <c r="R99" s="161">
        <f>IF(Sales[[#This Row],[Status]]="Cancelled",0,Sales[[#This Row],[Total Amount]])</f>
        <v>10903.2</v>
      </c>
      <c r="S99" s="162">
        <f>SUM(Sales[Net Amount])</f>
        <v>406839287.73200053</v>
      </c>
    </row>
    <row r="100" spans="1:19" ht="18.75" x14ac:dyDescent="0.25">
      <c r="A100" s="163" t="s">
        <v>3664</v>
      </c>
      <c r="B100" s="164">
        <v>45785</v>
      </c>
      <c r="C100" s="34" t="s">
        <v>823</v>
      </c>
      <c r="D100" s="53" t="str">
        <f>VLOOKUP(Sales[[#This Row],[Customer ID]],Customer[#All],2,0)</f>
        <v>Pooja Singh</v>
      </c>
      <c r="E100" s="34" t="s">
        <v>286</v>
      </c>
      <c r="F100" s="34" t="str">
        <f>VLOOKUP(Sales[[#This Row],[Product ID]],Product[#All],2,0)</f>
        <v>HP Laptop</v>
      </c>
      <c r="G100" s="53">
        <v>1</v>
      </c>
      <c r="H100" s="165">
        <f>VLOOKUP(Sales[[#This Row],[Product ID]],Product[#All],7,0)</f>
        <v>62100</v>
      </c>
      <c r="I100" s="165">
        <f>Sales[[#This Row],[Selling Rate]]*Sales[[#This Row],[Qty]]</f>
        <v>62100</v>
      </c>
      <c r="J100" s="45">
        <v>0.15</v>
      </c>
      <c r="K100" s="46">
        <f>Sales[[#This Row],[Gross Amount]]*Sales[[#This Row],[Disc %]]</f>
        <v>9315</v>
      </c>
      <c r="L100" s="43">
        <v>0.18</v>
      </c>
      <c r="M100" s="46">
        <f>(Sales[[#This Row],[Gross Amount]]-Sales[[#This Row],[Disc. Amt.]])*Sales[[#This Row],[GST %]]</f>
        <v>9501.2999999999993</v>
      </c>
      <c r="N100" s="161">
        <f>Sales[[#This Row],[Gross Amount]]-Sales[[#This Row],[Disc. Amt.]]+Sales[[#This Row],[GST Amount]]</f>
        <v>62286.3</v>
      </c>
      <c r="O100" s="34" t="s">
        <v>3561</v>
      </c>
      <c r="P100" s="34" t="s">
        <v>3562</v>
      </c>
      <c r="Q100" s="165">
        <f>IF(Sales[[#This Row],[Status]]="Cancelled",0,Sales[[#This Row],[Qty]])</f>
        <v>1</v>
      </c>
      <c r="R100" s="166">
        <f>IF(Sales[[#This Row],[Status]]="Cancelled",0,Sales[[#This Row],[Total Amount]])</f>
        <v>62286.3</v>
      </c>
      <c r="S100" s="162">
        <f>SUM(Sales[Net Amount])</f>
        <v>406839287.73200053</v>
      </c>
    </row>
    <row r="101" spans="1:19" ht="18.75" x14ac:dyDescent="0.25">
      <c r="A101" s="156" t="s">
        <v>3665</v>
      </c>
      <c r="B101" s="157">
        <v>45786</v>
      </c>
      <c r="C101" s="158" t="s">
        <v>787</v>
      </c>
      <c r="D101" s="159" t="str">
        <f>VLOOKUP(Sales[[#This Row],[Customer ID]],Customer[#All],2,0)</f>
        <v>Amit Singh</v>
      </c>
      <c r="E101" s="158" t="s">
        <v>156</v>
      </c>
      <c r="F101" s="158" t="str">
        <f>VLOOKUP(Sales[[#This Row],[Product ID]],Product[#All],2,0)</f>
        <v>Boat Speaker</v>
      </c>
      <c r="G101" s="159">
        <v>2</v>
      </c>
      <c r="H101" s="160">
        <f>VLOOKUP(Sales[[#This Row],[Product ID]],Product[#All],7,0)</f>
        <v>3240</v>
      </c>
      <c r="I101" s="160">
        <f>Sales[[#This Row],[Selling Rate]]*Sales[[#This Row],[Qty]]</f>
        <v>6480</v>
      </c>
      <c r="J101" s="43">
        <v>0.05</v>
      </c>
      <c r="K101" s="44">
        <f>Sales[[#This Row],[Gross Amount]]*Sales[[#This Row],[Disc %]]</f>
        <v>324</v>
      </c>
      <c r="L101" s="43">
        <v>0.18</v>
      </c>
      <c r="M101" s="44">
        <f>(Sales[[#This Row],[Gross Amount]]-Sales[[#This Row],[Disc. Amt.]])*Sales[[#This Row],[GST %]]</f>
        <v>1108.08</v>
      </c>
      <c r="N101" s="161">
        <f>Sales[[#This Row],[Gross Amount]]-Sales[[#This Row],[Disc. Amt.]]+Sales[[#This Row],[GST Amount]]</f>
        <v>7264.08</v>
      </c>
      <c r="O101" s="158" t="s">
        <v>3569</v>
      </c>
      <c r="P101" s="158" t="s">
        <v>3562</v>
      </c>
      <c r="Q101" s="160">
        <f>IF(Sales[[#This Row],[Status]]="Cancelled",0,Sales[[#This Row],[Qty]])</f>
        <v>2</v>
      </c>
      <c r="R101" s="161">
        <f>IF(Sales[[#This Row],[Status]]="Cancelled",0,Sales[[#This Row],[Total Amount]])</f>
        <v>7264.08</v>
      </c>
      <c r="S101" s="162">
        <f>SUM(Sales[Net Amount])</f>
        <v>406839287.73200053</v>
      </c>
    </row>
    <row r="102" spans="1:19" ht="18.75" x14ac:dyDescent="0.25">
      <c r="A102" s="163" t="s">
        <v>3666</v>
      </c>
      <c r="B102" s="164">
        <v>45786</v>
      </c>
      <c r="C102" s="34" t="s">
        <v>909</v>
      </c>
      <c r="D102" s="53" t="str">
        <f>VLOOKUP(Sales[[#This Row],[Customer ID]],Customer[#All],2,0)</f>
        <v>Priya Sharma</v>
      </c>
      <c r="E102" s="34" t="s">
        <v>219</v>
      </c>
      <c r="F102" s="34" t="str">
        <f>VLOOKUP(Sales[[#This Row],[Product ID]],Product[#All],2,0)</f>
        <v>Samsung Monitor</v>
      </c>
      <c r="G102" s="53">
        <v>4</v>
      </c>
      <c r="H102" s="165">
        <f>VLOOKUP(Sales[[#This Row],[Product ID]],Product[#All],7,0)</f>
        <v>22630</v>
      </c>
      <c r="I102" s="165">
        <f>Sales[[#This Row],[Selling Rate]]*Sales[[#This Row],[Qty]]</f>
        <v>90520</v>
      </c>
      <c r="J102" s="45">
        <v>0.05</v>
      </c>
      <c r="K102" s="46">
        <f>Sales[[#This Row],[Gross Amount]]*Sales[[#This Row],[Disc %]]</f>
        <v>4526</v>
      </c>
      <c r="L102" s="43">
        <v>0.18</v>
      </c>
      <c r="M102" s="46">
        <f>(Sales[[#This Row],[Gross Amount]]-Sales[[#This Row],[Disc. Amt.]])*Sales[[#This Row],[GST %]]</f>
        <v>15478.92</v>
      </c>
      <c r="N102" s="161">
        <f>Sales[[#This Row],[Gross Amount]]-Sales[[#This Row],[Disc. Amt.]]+Sales[[#This Row],[GST Amount]]</f>
        <v>101472.92</v>
      </c>
      <c r="O102" s="34" t="s">
        <v>8876</v>
      </c>
      <c r="P102" s="34" t="s">
        <v>3562</v>
      </c>
      <c r="Q102" s="165">
        <f>IF(Sales[[#This Row],[Status]]="Cancelled",0,Sales[[#This Row],[Qty]])</f>
        <v>4</v>
      </c>
      <c r="R102" s="166">
        <f>IF(Sales[[#This Row],[Status]]="Cancelled",0,Sales[[#This Row],[Total Amount]])</f>
        <v>101472.92</v>
      </c>
      <c r="S102" s="162">
        <f>SUM(Sales[Net Amount])</f>
        <v>406839287.73200053</v>
      </c>
    </row>
    <row r="103" spans="1:19" ht="18.75" x14ac:dyDescent="0.25">
      <c r="A103" s="156" t="s">
        <v>3667</v>
      </c>
      <c r="B103" s="157">
        <v>45786</v>
      </c>
      <c r="C103" s="158" t="s">
        <v>950</v>
      </c>
      <c r="D103" s="159" t="str">
        <f>VLOOKUP(Sales[[#This Row],[Customer ID]],Customer[#All],2,0)</f>
        <v>Sunita Sharma</v>
      </c>
      <c r="E103" s="158" t="s">
        <v>104</v>
      </c>
      <c r="F103" s="158" t="str">
        <f>VLOOKUP(Sales[[#This Row],[Product ID]],Product[#All],2,0)</f>
        <v>Canon Printer</v>
      </c>
      <c r="G103" s="159">
        <v>6</v>
      </c>
      <c r="H103" s="160">
        <f>VLOOKUP(Sales[[#This Row],[Product ID]],Product[#All],7,0)</f>
        <v>49170</v>
      </c>
      <c r="I103" s="160">
        <f>Sales[[#This Row],[Selling Rate]]*Sales[[#This Row],[Qty]]</f>
        <v>295020</v>
      </c>
      <c r="J103" s="43">
        <v>0</v>
      </c>
      <c r="K103" s="44">
        <f>Sales[[#This Row],[Gross Amount]]*Sales[[#This Row],[Disc %]]</f>
        <v>0</v>
      </c>
      <c r="L103" s="43">
        <v>0.18</v>
      </c>
      <c r="M103" s="44">
        <f>(Sales[[#This Row],[Gross Amount]]-Sales[[#This Row],[Disc. Amt.]])*Sales[[#This Row],[GST %]]</f>
        <v>53103.6</v>
      </c>
      <c r="N103" s="161">
        <f>Sales[[#This Row],[Gross Amount]]-Sales[[#This Row],[Disc. Amt.]]+Sales[[#This Row],[GST Amount]]</f>
        <v>348123.6</v>
      </c>
      <c r="O103" s="158" t="s">
        <v>3566</v>
      </c>
      <c r="P103" s="158" t="s">
        <v>3562</v>
      </c>
      <c r="Q103" s="160">
        <f>IF(Sales[[#This Row],[Status]]="Cancelled",0,Sales[[#This Row],[Qty]])</f>
        <v>6</v>
      </c>
      <c r="R103" s="161">
        <f>IF(Sales[[#This Row],[Status]]="Cancelled",0,Sales[[#This Row],[Total Amount]])</f>
        <v>348123.6</v>
      </c>
      <c r="S103" s="162">
        <f>SUM(Sales[Net Amount])</f>
        <v>406839287.73200053</v>
      </c>
    </row>
    <row r="104" spans="1:19" ht="18.75" x14ac:dyDescent="0.25">
      <c r="A104" s="163" t="s">
        <v>3668</v>
      </c>
      <c r="B104" s="164">
        <v>45786</v>
      </c>
      <c r="C104" s="34" t="s">
        <v>718</v>
      </c>
      <c r="D104" s="53" t="str">
        <f>VLOOKUP(Sales[[#This Row],[Customer ID]],Customer[#All],2,0)</f>
        <v>Rakesh Patel</v>
      </c>
      <c r="E104" s="34" t="s">
        <v>159</v>
      </c>
      <c r="F104" s="34" t="str">
        <f>VLOOKUP(Sales[[#This Row],[Product ID]],Product[#All],2,0)</f>
        <v>HP Laptop</v>
      </c>
      <c r="G104" s="53">
        <v>7</v>
      </c>
      <c r="H104" s="165">
        <f>VLOOKUP(Sales[[#This Row],[Product ID]],Product[#All],7,0)</f>
        <v>90020</v>
      </c>
      <c r="I104" s="165">
        <f>Sales[[#This Row],[Selling Rate]]*Sales[[#This Row],[Qty]]</f>
        <v>630140</v>
      </c>
      <c r="J104" s="45">
        <v>0.1</v>
      </c>
      <c r="K104" s="46">
        <f>Sales[[#This Row],[Gross Amount]]*Sales[[#This Row],[Disc %]]</f>
        <v>63014</v>
      </c>
      <c r="L104" s="43">
        <v>0.18</v>
      </c>
      <c r="M104" s="46">
        <f>(Sales[[#This Row],[Gross Amount]]-Sales[[#This Row],[Disc. Amt.]])*Sales[[#This Row],[GST %]]</f>
        <v>102082.68</v>
      </c>
      <c r="N104" s="161">
        <f>Sales[[#This Row],[Gross Amount]]-Sales[[#This Row],[Disc. Amt.]]+Sales[[#This Row],[GST Amount]]</f>
        <v>669208.67999999993</v>
      </c>
      <c r="O104" s="34" t="s">
        <v>3569</v>
      </c>
      <c r="P104" s="34" t="s">
        <v>3562</v>
      </c>
      <c r="Q104" s="165">
        <f>IF(Sales[[#This Row],[Status]]="Cancelled",0,Sales[[#This Row],[Qty]])</f>
        <v>7</v>
      </c>
      <c r="R104" s="166">
        <f>IF(Sales[[#This Row],[Status]]="Cancelled",0,Sales[[#This Row],[Total Amount]])</f>
        <v>669208.67999999993</v>
      </c>
      <c r="S104" s="162">
        <f>SUM(Sales[Net Amount])</f>
        <v>406839287.73200053</v>
      </c>
    </row>
    <row r="105" spans="1:19" ht="18.75" x14ac:dyDescent="0.25">
      <c r="A105" s="156" t="s">
        <v>3669</v>
      </c>
      <c r="B105" s="157">
        <v>45786</v>
      </c>
      <c r="C105" s="158" t="s">
        <v>765</v>
      </c>
      <c r="D105" s="159" t="str">
        <f>VLOOKUP(Sales[[#This Row],[Customer ID]],Customer[#All],2,0)</f>
        <v>Neha Gupta</v>
      </c>
      <c r="E105" s="158" t="s">
        <v>41</v>
      </c>
      <c r="F105" s="158" t="str">
        <f>VLOOKUP(Sales[[#This Row],[Product ID]],Product[#All],2,0)</f>
        <v>HP Laptop</v>
      </c>
      <c r="G105" s="159">
        <v>8</v>
      </c>
      <c r="H105" s="160">
        <f>VLOOKUP(Sales[[#This Row],[Product ID]],Product[#All],7,0)</f>
        <v>74700</v>
      </c>
      <c r="I105" s="160">
        <f>Sales[[#This Row],[Selling Rate]]*Sales[[#This Row],[Qty]]</f>
        <v>597600</v>
      </c>
      <c r="J105" s="43">
        <v>0.05</v>
      </c>
      <c r="K105" s="44">
        <f>Sales[[#This Row],[Gross Amount]]*Sales[[#This Row],[Disc %]]</f>
        <v>29880</v>
      </c>
      <c r="L105" s="43">
        <v>0.18</v>
      </c>
      <c r="M105" s="44">
        <f>(Sales[[#This Row],[Gross Amount]]-Sales[[#This Row],[Disc. Amt.]])*Sales[[#This Row],[GST %]]</f>
        <v>102189.59999999999</v>
      </c>
      <c r="N105" s="161">
        <f>Sales[[#This Row],[Gross Amount]]-Sales[[#This Row],[Disc. Amt.]]+Sales[[#This Row],[GST Amount]]</f>
        <v>669909.6</v>
      </c>
      <c r="O105" s="158" t="s">
        <v>3569</v>
      </c>
      <c r="P105" s="158" t="s">
        <v>3562</v>
      </c>
      <c r="Q105" s="160">
        <f>IF(Sales[[#This Row],[Status]]="Cancelled",0,Sales[[#This Row],[Qty]])</f>
        <v>8</v>
      </c>
      <c r="R105" s="161">
        <f>IF(Sales[[#This Row],[Status]]="Cancelled",0,Sales[[#This Row],[Total Amount]])</f>
        <v>669909.6</v>
      </c>
      <c r="S105" s="162">
        <f>SUM(Sales[Net Amount])</f>
        <v>406839287.73200053</v>
      </c>
    </row>
    <row r="106" spans="1:19" ht="18.75" x14ac:dyDescent="0.25">
      <c r="A106" s="163" t="s">
        <v>3670</v>
      </c>
      <c r="B106" s="164">
        <v>45786</v>
      </c>
      <c r="C106" s="34" t="s">
        <v>712</v>
      </c>
      <c r="D106" s="53" t="str">
        <f>VLOOKUP(Sales[[#This Row],[Customer ID]],Customer[#All],2,0)</f>
        <v>Sahil Verma</v>
      </c>
      <c r="E106" s="34" t="s">
        <v>116</v>
      </c>
      <c r="F106" s="34" t="str">
        <f>VLOOKUP(Sales[[#This Row],[Product ID]],Product[#All],2,0)</f>
        <v>Epson Printer</v>
      </c>
      <c r="G106" s="53">
        <v>7</v>
      </c>
      <c r="H106" s="165">
        <f>VLOOKUP(Sales[[#This Row],[Product ID]],Product[#All],7,0)</f>
        <v>38550</v>
      </c>
      <c r="I106" s="165">
        <f>Sales[[#This Row],[Selling Rate]]*Sales[[#This Row],[Qty]]</f>
        <v>269850</v>
      </c>
      <c r="J106" s="45">
        <v>0.05</v>
      </c>
      <c r="K106" s="46">
        <f>Sales[[#This Row],[Gross Amount]]*Sales[[#This Row],[Disc %]]</f>
        <v>13492.5</v>
      </c>
      <c r="L106" s="43">
        <v>0.18</v>
      </c>
      <c r="M106" s="46">
        <f>(Sales[[#This Row],[Gross Amount]]-Sales[[#This Row],[Disc. Amt.]])*Sales[[#This Row],[GST %]]</f>
        <v>46144.35</v>
      </c>
      <c r="N106" s="161">
        <f>Sales[[#This Row],[Gross Amount]]-Sales[[#This Row],[Disc. Amt.]]+Sales[[#This Row],[GST Amount]]</f>
        <v>302501.84999999998</v>
      </c>
      <c r="O106" s="34" t="s">
        <v>3569</v>
      </c>
      <c r="P106" s="34" t="s">
        <v>3562</v>
      </c>
      <c r="Q106" s="165">
        <f>IF(Sales[[#This Row],[Status]]="Cancelled",0,Sales[[#This Row],[Qty]])</f>
        <v>7</v>
      </c>
      <c r="R106" s="166">
        <f>IF(Sales[[#This Row],[Status]]="Cancelled",0,Sales[[#This Row],[Total Amount]])</f>
        <v>302501.84999999998</v>
      </c>
      <c r="S106" s="162">
        <f>SUM(Sales[Net Amount])</f>
        <v>406839287.73200053</v>
      </c>
    </row>
    <row r="107" spans="1:19" ht="18.75" x14ac:dyDescent="0.25">
      <c r="A107" s="156" t="s">
        <v>3671</v>
      </c>
      <c r="B107" s="157">
        <v>45786</v>
      </c>
      <c r="C107" s="158" t="s">
        <v>813</v>
      </c>
      <c r="D107" s="159" t="str">
        <f>VLOOKUP(Sales[[#This Row],[Customer ID]],Customer[#All],2,0)</f>
        <v>Neha Verma</v>
      </c>
      <c r="E107" s="158" t="s">
        <v>192</v>
      </c>
      <c r="F107" s="158" t="str">
        <f>VLOOKUP(Sales[[#This Row],[Product ID]],Product[#All],2,0)</f>
        <v>HP Laptop</v>
      </c>
      <c r="G107" s="159">
        <v>2</v>
      </c>
      <c r="H107" s="160">
        <f>VLOOKUP(Sales[[#This Row],[Product ID]],Product[#All],7,0)</f>
        <v>59870</v>
      </c>
      <c r="I107" s="160">
        <f>Sales[[#This Row],[Selling Rate]]*Sales[[#This Row],[Qty]]</f>
        <v>119740</v>
      </c>
      <c r="J107" s="43">
        <v>0.1</v>
      </c>
      <c r="K107" s="44">
        <f>Sales[[#This Row],[Gross Amount]]*Sales[[#This Row],[Disc %]]</f>
        <v>11974</v>
      </c>
      <c r="L107" s="43">
        <v>0.18</v>
      </c>
      <c r="M107" s="44">
        <f>(Sales[[#This Row],[Gross Amount]]-Sales[[#This Row],[Disc. Amt.]])*Sales[[#This Row],[GST %]]</f>
        <v>19397.88</v>
      </c>
      <c r="N107" s="161">
        <f>Sales[[#This Row],[Gross Amount]]-Sales[[#This Row],[Disc. Amt.]]+Sales[[#This Row],[GST Amount]]</f>
        <v>127163.88</v>
      </c>
      <c r="O107" s="158" t="s">
        <v>3561</v>
      </c>
      <c r="P107" s="158" t="s">
        <v>3562</v>
      </c>
      <c r="Q107" s="160">
        <f>IF(Sales[[#This Row],[Status]]="Cancelled",0,Sales[[#This Row],[Qty]])</f>
        <v>2</v>
      </c>
      <c r="R107" s="161">
        <f>IF(Sales[[#This Row],[Status]]="Cancelled",0,Sales[[#This Row],[Total Amount]])</f>
        <v>127163.88</v>
      </c>
      <c r="S107" s="162">
        <f>SUM(Sales[Net Amount])</f>
        <v>406839287.73200053</v>
      </c>
    </row>
    <row r="108" spans="1:19" ht="18.75" x14ac:dyDescent="0.25">
      <c r="A108" s="163" t="s">
        <v>3672</v>
      </c>
      <c r="B108" s="164">
        <v>45786</v>
      </c>
      <c r="C108" s="34" t="s">
        <v>692</v>
      </c>
      <c r="D108" s="53" t="str">
        <f>VLOOKUP(Sales[[#This Row],[Customer ID]],Customer[#All],2,0)</f>
        <v>Rahul Patel</v>
      </c>
      <c r="E108" s="34" t="s">
        <v>12</v>
      </c>
      <c r="F108" s="34" t="str">
        <f>VLOOKUP(Sales[[#This Row],[Product ID]],Product[#All],2,0)</f>
        <v>Boat Headset</v>
      </c>
      <c r="G108" s="53">
        <v>7</v>
      </c>
      <c r="H108" s="165">
        <f>VLOOKUP(Sales[[#This Row],[Product ID]],Product[#All],7,0)</f>
        <v>1990</v>
      </c>
      <c r="I108" s="165">
        <f>Sales[[#This Row],[Selling Rate]]*Sales[[#This Row],[Qty]]</f>
        <v>13930</v>
      </c>
      <c r="J108" s="45">
        <v>0.1</v>
      </c>
      <c r="K108" s="46">
        <f>Sales[[#This Row],[Gross Amount]]*Sales[[#This Row],[Disc %]]</f>
        <v>1393</v>
      </c>
      <c r="L108" s="43">
        <v>0.18</v>
      </c>
      <c r="M108" s="46">
        <f>(Sales[[#This Row],[Gross Amount]]-Sales[[#This Row],[Disc. Amt.]])*Sales[[#This Row],[GST %]]</f>
        <v>2256.66</v>
      </c>
      <c r="N108" s="161">
        <f>Sales[[#This Row],[Gross Amount]]-Sales[[#This Row],[Disc. Amt.]]+Sales[[#This Row],[GST Amount]]</f>
        <v>14793.66</v>
      </c>
      <c r="O108" s="34" t="s">
        <v>3569</v>
      </c>
      <c r="P108" s="34" t="s">
        <v>3562</v>
      </c>
      <c r="Q108" s="165">
        <f>IF(Sales[[#This Row],[Status]]="Cancelled",0,Sales[[#This Row],[Qty]])</f>
        <v>7</v>
      </c>
      <c r="R108" s="166">
        <f>IF(Sales[[#This Row],[Status]]="Cancelled",0,Sales[[#This Row],[Total Amount]])</f>
        <v>14793.66</v>
      </c>
      <c r="S108" s="162">
        <f>SUM(Sales[Net Amount])</f>
        <v>406839287.73200053</v>
      </c>
    </row>
    <row r="109" spans="1:19" ht="18.75" x14ac:dyDescent="0.25">
      <c r="A109" s="156" t="s">
        <v>3673</v>
      </c>
      <c r="B109" s="157">
        <v>45786</v>
      </c>
      <c r="C109" s="158" t="s">
        <v>731</v>
      </c>
      <c r="D109" s="159" t="str">
        <f>VLOOKUP(Sales[[#This Row],[Customer ID]],Customer[#All],2,0)</f>
        <v>Neha Singh</v>
      </c>
      <c r="E109" s="158" t="s">
        <v>183</v>
      </c>
      <c r="F109" s="158" t="str">
        <f>VLOOKUP(Sales[[#This Row],[Product ID]],Product[#All],2,0)</f>
        <v>Boat Speaker</v>
      </c>
      <c r="G109" s="159">
        <v>3</v>
      </c>
      <c r="H109" s="160">
        <f>VLOOKUP(Sales[[#This Row],[Product ID]],Product[#All],7,0)</f>
        <v>1430</v>
      </c>
      <c r="I109" s="160">
        <f>Sales[[#This Row],[Selling Rate]]*Sales[[#This Row],[Qty]]</f>
        <v>4290</v>
      </c>
      <c r="J109" s="43">
        <v>0</v>
      </c>
      <c r="K109" s="44">
        <f>Sales[[#This Row],[Gross Amount]]*Sales[[#This Row],[Disc %]]</f>
        <v>0</v>
      </c>
      <c r="L109" s="43">
        <v>0.18</v>
      </c>
      <c r="M109" s="44">
        <f>(Sales[[#This Row],[Gross Amount]]-Sales[[#This Row],[Disc. Amt.]])*Sales[[#This Row],[GST %]]</f>
        <v>772.19999999999993</v>
      </c>
      <c r="N109" s="161">
        <f>Sales[[#This Row],[Gross Amount]]-Sales[[#This Row],[Disc. Amt.]]+Sales[[#This Row],[GST Amount]]</f>
        <v>5062.2</v>
      </c>
      <c r="O109" s="158" t="s">
        <v>8876</v>
      </c>
      <c r="P109" s="158" t="s">
        <v>3562</v>
      </c>
      <c r="Q109" s="160">
        <f>IF(Sales[[#This Row],[Status]]="Cancelled",0,Sales[[#This Row],[Qty]])</f>
        <v>3</v>
      </c>
      <c r="R109" s="161">
        <f>IF(Sales[[#This Row],[Status]]="Cancelled",0,Sales[[#This Row],[Total Amount]])</f>
        <v>5062.2</v>
      </c>
      <c r="S109" s="162">
        <f>SUM(Sales[Net Amount])</f>
        <v>406839287.73200053</v>
      </c>
    </row>
    <row r="110" spans="1:19" ht="18.75" x14ac:dyDescent="0.25">
      <c r="A110" s="163" t="s">
        <v>3674</v>
      </c>
      <c r="B110" s="164">
        <v>45786</v>
      </c>
      <c r="C110" s="34" t="s">
        <v>826</v>
      </c>
      <c r="D110" s="53" t="str">
        <f>VLOOKUP(Sales[[#This Row],[Customer ID]],Customer[#All],2,0)</f>
        <v>Sahil Sharma</v>
      </c>
      <c r="E110" s="34" t="s">
        <v>46</v>
      </c>
      <c r="F110" s="34" t="str">
        <f>VLOOKUP(Sales[[#This Row],[Product ID]],Product[#All],2,0)</f>
        <v>HP Printer</v>
      </c>
      <c r="G110" s="53">
        <v>4</v>
      </c>
      <c r="H110" s="165">
        <f>VLOOKUP(Sales[[#This Row],[Product ID]],Product[#All],7,0)</f>
        <v>35170</v>
      </c>
      <c r="I110" s="165">
        <f>Sales[[#This Row],[Selling Rate]]*Sales[[#This Row],[Qty]]</f>
        <v>140680</v>
      </c>
      <c r="J110" s="45">
        <v>0</v>
      </c>
      <c r="K110" s="46">
        <f>Sales[[#This Row],[Gross Amount]]*Sales[[#This Row],[Disc %]]</f>
        <v>0</v>
      </c>
      <c r="L110" s="43">
        <v>0.18</v>
      </c>
      <c r="M110" s="46">
        <f>(Sales[[#This Row],[Gross Amount]]-Sales[[#This Row],[Disc. Amt.]])*Sales[[#This Row],[GST %]]</f>
        <v>25322.399999999998</v>
      </c>
      <c r="N110" s="161">
        <f>Sales[[#This Row],[Gross Amount]]-Sales[[#This Row],[Disc. Amt.]]+Sales[[#This Row],[GST Amount]]</f>
        <v>166002.4</v>
      </c>
      <c r="O110" s="34" t="s">
        <v>3566</v>
      </c>
      <c r="P110" s="34" t="s">
        <v>3562</v>
      </c>
      <c r="Q110" s="165">
        <f>IF(Sales[[#This Row],[Status]]="Cancelled",0,Sales[[#This Row],[Qty]])</f>
        <v>4</v>
      </c>
      <c r="R110" s="166">
        <f>IF(Sales[[#This Row],[Status]]="Cancelled",0,Sales[[#This Row],[Total Amount]])</f>
        <v>166002.4</v>
      </c>
      <c r="S110" s="162">
        <f>SUM(Sales[Net Amount])</f>
        <v>406839287.73200053</v>
      </c>
    </row>
    <row r="111" spans="1:19" ht="18.75" x14ac:dyDescent="0.25">
      <c r="A111" s="156" t="s">
        <v>3675</v>
      </c>
      <c r="B111" s="157">
        <v>45786</v>
      </c>
      <c r="C111" s="158" t="s">
        <v>713</v>
      </c>
      <c r="D111" s="159" t="str">
        <f>VLOOKUP(Sales[[#This Row],[Customer ID]],Customer[#All],2,0)</f>
        <v>Amit Gupta</v>
      </c>
      <c r="E111" s="158" t="s">
        <v>343</v>
      </c>
      <c r="F111" s="158" t="str">
        <f>VLOOKUP(Sales[[#This Row],[Product ID]],Product[#All],2,0)</f>
        <v>Portronics USB Cable</v>
      </c>
      <c r="G111" s="159">
        <v>3</v>
      </c>
      <c r="H111" s="160">
        <f>VLOOKUP(Sales[[#This Row],[Product ID]],Product[#All],7,0)</f>
        <v>780</v>
      </c>
      <c r="I111" s="160">
        <f>Sales[[#This Row],[Selling Rate]]*Sales[[#This Row],[Qty]]</f>
        <v>2340</v>
      </c>
      <c r="J111" s="43">
        <v>0.05</v>
      </c>
      <c r="K111" s="44">
        <f>Sales[[#This Row],[Gross Amount]]*Sales[[#This Row],[Disc %]]</f>
        <v>117</v>
      </c>
      <c r="L111" s="43">
        <v>0.18</v>
      </c>
      <c r="M111" s="44">
        <f>(Sales[[#This Row],[Gross Amount]]-Sales[[#This Row],[Disc. Amt.]])*Sales[[#This Row],[GST %]]</f>
        <v>400.14</v>
      </c>
      <c r="N111" s="161">
        <f>Sales[[#This Row],[Gross Amount]]-Sales[[#This Row],[Disc. Amt.]]+Sales[[#This Row],[GST Amount]]</f>
        <v>2623.14</v>
      </c>
      <c r="O111" s="158" t="s">
        <v>3566</v>
      </c>
      <c r="P111" s="158" t="s">
        <v>3562</v>
      </c>
      <c r="Q111" s="160">
        <f>IF(Sales[[#This Row],[Status]]="Cancelled",0,Sales[[#This Row],[Qty]])</f>
        <v>3</v>
      </c>
      <c r="R111" s="161">
        <f>IF(Sales[[#This Row],[Status]]="Cancelled",0,Sales[[#This Row],[Total Amount]])</f>
        <v>2623.14</v>
      </c>
      <c r="S111" s="162">
        <f>SUM(Sales[Net Amount])</f>
        <v>406839287.73200053</v>
      </c>
    </row>
    <row r="112" spans="1:19" ht="18.75" x14ac:dyDescent="0.25">
      <c r="A112" s="163" t="s">
        <v>3676</v>
      </c>
      <c r="B112" s="164">
        <v>45786</v>
      </c>
      <c r="C112" s="34" t="s">
        <v>685</v>
      </c>
      <c r="D112" s="53" t="str">
        <f>VLOOKUP(Sales[[#This Row],[Customer ID]],Customer[#All],2,0)</f>
        <v>Pooja Kumar</v>
      </c>
      <c r="E112" s="34" t="s">
        <v>189</v>
      </c>
      <c r="F112" s="34" t="str">
        <f>VLOOKUP(Sales[[#This Row],[Product ID]],Product[#All],2,0)</f>
        <v>Boat Headset</v>
      </c>
      <c r="G112" s="53">
        <v>8</v>
      </c>
      <c r="H112" s="165">
        <f>VLOOKUP(Sales[[#This Row],[Product ID]],Product[#All],7,0)</f>
        <v>1610</v>
      </c>
      <c r="I112" s="165">
        <f>Sales[[#This Row],[Selling Rate]]*Sales[[#This Row],[Qty]]</f>
        <v>12880</v>
      </c>
      <c r="J112" s="45">
        <v>0.1</v>
      </c>
      <c r="K112" s="46">
        <f>Sales[[#This Row],[Gross Amount]]*Sales[[#This Row],[Disc %]]</f>
        <v>1288</v>
      </c>
      <c r="L112" s="43">
        <v>0.18</v>
      </c>
      <c r="M112" s="46">
        <f>(Sales[[#This Row],[Gross Amount]]-Sales[[#This Row],[Disc. Amt.]])*Sales[[#This Row],[GST %]]</f>
        <v>2086.56</v>
      </c>
      <c r="N112" s="161">
        <f>Sales[[#This Row],[Gross Amount]]-Sales[[#This Row],[Disc. Amt.]]+Sales[[#This Row],[GST Amount]]</f>
        <v>13678.56</v>
      </c>
      <c r="O112" s="34" t="s">
        <v>8876</v>
      </c>
      <c r="P112" s="34" t="s">
        <v>3562</v>
      </c>
      <c r="Q112" s="165">
        <f>IF(Sales[[#This Row],[Status]]="Cancelled",0,Sales[[#This Row],[Qty]])</f>
        <v>8</v>
      </c>
      <c r="R112" s="166">
        <f>IF(Sales[[#This Row],[Status]]="Cancelled",0,Sales[[#This Row],[Total Amount]])</f>
        <v>13678.56</v>
      </c>
      <c r="S112" s="162">
        <f>SUM(Sales[Net Amount])</f>
        <v>406839287.73200053</v>
      </c>
    </row>
    <row r="113" spans="1:19" ht="18.75" x14ac:dyDescent="0.25">
      <c r="A113" s="156" t="s">
        <v>3677</v>
      </c>
      <c r="B113" s="157">
        <v>45786</v>
      </c>
      <c r="C113" s="158" t="s">
        <v>652</v>
      </c>
      <c r="D113" s="159" t="str">
        <f>VLOOKUP(Sales[[#This Row],[Customer ID]],Customer[#All],2,0)</f>
        <v>Sahil Kumar</v>
      </c>
      <c r="E113" s="158" t="s">
        <v>422</v>
      </c>
      <c r="F113" s="158" t="str">
        <f>VLOOKUP(Sales[[#This Row],[Product ID]],Product[#All],2,0)</f>
        <v>Microtek UPS</v>
      </c>
      <c r="G113" s="159">
        <v>6</v>
      </c>
      <c r="H113" s="160">
        <f>VLOOKUP(Sales[[#This Row],[Product ID]],Product[#All],7,0)</f>
        <v>6450</v>
      </c>
      <c r="I113" s="160">
        <f>Sales[[#This Row],[Selling Rate]]*Sales[[#This Row],[Qty]]</f>
        <v>38700</v>
      </c>
      <c r="J113" s="43">
        <v>0.02</v>
      </c>
      <c r="K113" s="44">
        <f>Sales[[#This Row],[Gross Amount]]*Sales[[#This Row],[Disc %]]</f>
        <v>774</v>
      </c>
      <c r="L113" s="43">
        <v>0.18</v>
      </c>
      <c r="M113" s="44">
        <f>(Sales[[#This Row],[Gross Amount]]-Sales[[#This Row],[Disc. Amt.]])*Sales[[#This Row],[GST %]]</f>
        <v>6826.6799999999994</v>
      </c>
      <c r="N113" s="161">
        <f>Sales[[#This Row],[Gross Amount]]-Sales[[#This Row],[Disc. Amt.]]+Sales[[#This Row],[GST Amount]]</f>
        <v>44752.68</v>
      </c>
      <c r="O113" s="158" t="s">
        <v>8876</v>
      </c>
      <c r="P113" s="158" t="s">
        <v>3562</v>
      </c>
      <c r="Q113" s="160">
        <f>IF(Sales[[#This Row],[Status]]="Cancelled",0,Sales[[#This Row],[Qty]])</f>
        <v>6</v>
      </c>
      <c r="R113" s="161">
        <f>IF(Sales[[#This Row],[Status]]="Cancelled",0,Sales[[#This Row],[Total Amount]])</f>
        <v>44752.68</v>
      </c>
      <c r="S113" s="162">
        <f>SUM(Sales[Net Amount])</f>
        <v>406839287.73200053</v>
      </c>
    </row>
    <row r="114" spans="1:19" ht="18.75" x14ac:dyDescent="0.25">
      <c r="A114" s="163" t="s">
        <v>3678</v>
      </c>
      <c r="B114" s="164">
        <v>45786</v>
      </c>
      <c r="C114" s="34" t="s">
        <v>3679</v>
      </c>
      <c r="D114" s="53" t="str">
        <f>VLOOKUP(Sales[[#This Row],[Customer ID]],Customer[#All],2,0)</f>
        <v>Rahul Verma</v>
      </c>
      <c r="E114" s="34" t="s">
        <v>287</v>
      </c>
      <c r="F114" s="34" t="str">
        <f>VLOOKUP(Sales[[#This Row],[Product ID]],Product[#All],2,0)</f>
        <v>HP Power Adapter</v>
      </c>
      <c r="G114" s="53">
        <v>6</v>
      </c>
      <c r="H114" s="165">
        <f>VLOOKUP(Sales[[#This Row],[Product ID]],Product[#All],7,0)</f>
        <v>2270</v>
      </c>
      <c r="I114" s="165">
        <f>Sales[[#This Row],[Selling Rate]]*Sales[[#This Row],[Qty]]</f>
        <v>13620</v>
      </c>
      <c r="J114" s="45">
        <v>0.12</v>
      </c>
      <c r="K114" s="46">
        <f>Sales[[#This Row],[Gross Amount]]*Sales[[#This Row],[Disc %]]</f>
        <v>1634.3999999999999</v>
      </c>
      <c r="L114" s="43">
        <v>0.18</v>
      </c>
      <c r="M114" s="46">
        <f>(Sales[[#This Row],[Gross Amount]]-Sales[[#This Row],[Disc. Amt.]])*Sales[[#This Row],[GST %]]</f>
        <v>2157.4079999999999</v>
      </c>
      <c r="N114" s="161">
        <f>Sales[[#This Row],[Gross Amount]]-Sales[[#This Row],[Disc. Amt.]]+Sales[[#This Row],[GST Amount]]</f>
        <v>14143.008</v>
      </c>
      <c r="O114" s="34" t="s">
        <v>3566</v>
      </c>
      <c r="P114" s="34" t="s">
        <v>3562</v>
      </c>
      <c r="Q114" s="165">
        <f>IF(Sales[[#This Row],[Status]]="Cancelled",0,Sales[[#This Row],[Qty]])</f>
        <v>6</v>
      </c>
      <c r="R114" s="166">
        <f>IF(Sales[[#This Row],[Status]]="Cancelled",0,Sales[[#This Row],[Total Amount]])</f>
        <v>14143.008</v>
      </c>
      <c r="S114" s="162">
        <f>SUM(Sales[Net Amount])</f>
        <v>406839287.73200053</v>
      </c>
    </row>
    <row r="115" spans="1:19" ht="18.75" x14ac:dyDescent="0.25">
      <c r="A115" s="156" t="s">
        <v>3680</v>
      </c>
      <c r="B115" s="157">
        <v>45786</v>
      </c>
      <c r="C115" s="158" t="s">
        <v>933</v>
      </c>
      <c r="D115" s="159" t="str">
        <f>VLOOKUP(Sales[[#This Row],[Customer ID]],Customer[#All],2,0)</f>
        <v>Vikas Verma</v>
      </c>
      <c r="E115" s="158" t="s">
        <v>197</v>
      </c>
      <c r="F115" s="158" t="str">
        <f>VLOOKUP(Sales[[#This Row],[Product ID]],Product[#All],2,0)</f>
        <v>Crucial Ssd</v>
      </c>
      <c r="G115" s="159">
        <v>6</v>
      </c>
      <c r="H115" s="160">
        <f>VLOOKUP(Sales[[#This Row],[Product ID]],Product[#All],7,0)</f>
        <v>16400</v>
      </c>
      <c r="I115" s="160">
        <f>Sales[[#This Row],[Selling Rate]]*Sales[[#This Row],[Qty]]</f>
        <v>98400</v>
      </c>
      <c r="J115" s="43">
        <v>0</v>
      </c>
      <c r="K115" s="44">
        <f>Sales[[#This Row],[Gross Amount]]*Sales[[#This Row],[Disc %]]</f>
        <v>0</v>
      </c>
      <c r="L115" s="43">
        <v>0.18</v>
      </c>
      <c r="M115" s="44">
        <f>(Sales[[#This Row],[Gross Amount]]-Sales[[#This Row],[Disc. Amt.]])*Sales[[#This Row],[GST %]]</f>
        <v>17712</v>
      </c>
      <c r="N115" s="161">
        <f>Sales[[#This Row],[Gross Amount]]-Sales[[#This Row],[Disc. Amt.]]+Sales[[#This Row],[GST Amount]]</f>
        <v>116112</v>
      </c>
      <c r="O115" s="158" t="s">
        <v>3566</v>
      </c>
      <c r="P115" s="158" t="s">
        <v>3562</v>
      </c>
      <c r="Q115" s="160">
        <f>IF(Sales[[#This Row],[Status]]="Cancelled",0,Sales[[#This Row],[Qty]])</f>
        <v>6</v>
      </c>
      <c r="R115" s="161">
        <f>IF(Sales[[#This Row],[Status]]="Cancelled",0,Sales[[#This Row],[Total Amount]])</f>
        <v>116112</v>
      </c>
      <c r="S115" s="162">
        <f>SUM(Sales[Net Amount])</f>
        <v>406839287.73200053</v>
      </c>
    </row>
    <row r="116" spans="1:19" ht="18.75" x14ac:dyDescent="0.25">
      <c r="A116" s="163" t="s">
        <v>3681</v>
      </c>
      <c r="B116" s="164">
        <v>45786</v>
      </c>
      <c r="C116" s="34" t="s">
        <v>759</v>
      </c>
      <c r="D116" s="53" t="str">
        <f>VLOOKUP(Sales[[#This Row],[Customer ID]],Customer[#All],2,0)</f>
        <v>Ankit Sharma</v>
      </c>
      <c r="E116" s="34" t="s">
        <v>164</v>
      </c>
      <c r="F116" s="34" t="str">
        <f>VLOOKUP(Sales[[#This Row],[Product ID]],Product[#All],2,0)</f>
        <v>Jbl Headset</v>
      </c>
      <c r="G116" s="53">
        <v>7</v>
      </c>
      <c r="H116" s="165">
        <f>VLOOKUP(Sales[[#This Row],[Product ID]],Product[#All],7,0)</f>
        <v>3360</v>
      </c>
      <c r="I116" s="165">
        <f>Sales[[#This Row],[Selling Rate]]*Sales[[#This Row],[Qty]]</f>
        <v>23520</v>
      </c>
      <c r="J116" s="45">
        <v>0.02</v>
      </c>
      <c r="K116" s="46">
        <f>Sales[[#This Row],[Gross Amount]]*Sales[[#This Row],[Disc %]]</f>
        <v>470.40000000000003</v>
      </c>
      <c r="L116" s="43">
        <v>0.18</v>
      </c>
      <c r="M116" s="46">
        <f>(Sales[[#This Row],[Gross Amount]]-Sales[[#This Row],[Disc. Amt.]])*Sales[[#This Row],[GST %]]</f>
        <v>4148.9279999999999</v>
      </c>
      <c r="N116" s="161">
        <f>Sales[[#This Row],[Gross Amount]]-Sales[[#This Row],[Disc. Amt.]]+Sales[[#This Row],[GST Amount]]</f>
        <v>27198.527999999998</v>
      </c>
      <c r="O116" s="34" t="s">
        <v>8876</v>
      </c>
      <c r="P116" s="34" t="s">
        <v>3562</v>
      </c>
      <c r="Q116" s="165">
        <f>IF(Sales[[#This Row],[Status]]="Cancelled",0,Sales[[#This Row],[Qty]])</f>
        <v>7</v>
      </c>
      <c r="R116" s="166">
        <f>IF(Sales[[#This Row],[Status]]="Cancelled",0,Sales[[#This Row],[Total Amount]])</f>
        <v>27198.527999999998</v>
      </c>
      <c r="S116" s="162">
        <f>SUM(Sales[Net Amount])</f>
        <v>406839287.73200053</v>
      </c>
    </row>
    <row r="117" spans="1:19" ht="18.75" x14ac:dyDescent="0.25">
      <c r="A117" s="156" t="s">
        <v>3682</v>
      </c>
      <c r="B117" s="157">
        <v>45786</v>
      </c>
      <c r="C117" s="158" t="s">
        <v>825</v>
      </c>
      <c r="D117" s="159" t="str">
        <f>VLOOKUP(Sales[[#This Row],[Customer ID]],Customer[#All],2,0)</f>
        <v>Rahul Kumar</v>
      </c>
      <c r="E117" s="158" t="s">
        <v>210</v>
      </c>
      <c r="F117" s="158" t="str">
        <f>VLOOKUP(Sales[[#This Row],[Product ID]],Product[#All],2,0)</f>
        <v>Jbl Headset</v>
      </c>
      <c r="G117" s="159">
        <v>5</v>
      </c>
      <c r="H117" s="160">
        <f>VLOOKUP(Sales[[#This Row],[Product ID]],Product[#All],7,0)</f>
        <v>1130</v>
      </c>
      <c r="I117" s="160">
        <f>Sales[[#This Row],[Selling Rate]]*Sales[[#This Row],[Qty]]</f>
        <v>5650</v>
      </c>
      <c r="J117" s="43">
        <v>0.12</v>
      </c>
      <c r="K117" s="44">
        <f>Sales[[#This Row],[Gross Amount]]*Sales[[#This Row],[Disc %]]</f>
        <v>678</v>
      </c>
      <c r="L117" s="43">
        <v>0.18</v>
      </c>
      <c r="M117" s="44">
        <f>(Sales[[#This Row],[Gross Amount]]-Sales[[#This Row],[Disc. Amt.]])*Sales[[#This Row],[GST %]]</f>
        <v>894.95999999999992</v>
      </c>
      <c r="N117" s="161">
        <f>Sales[[#This Row],[Gross Amount]]-Sales[[#This Row],[Disc. Amt.]]+Sales[[#This Row],[GST Amount]]</f>
        <v>5866.96</v>
      </c>
      <c r="O117" s="158" t="s">
        <v>3569</v>
      </c>
      <c r="P117" s="158" t="s">
        <v>3562</v>
      </c>
      <c r="Q117" s="160">
        <f>IF(Sales[[#This Row],[Status]]="Cancelled",0,Sales[[#This Row],[Qty]])</f>
        <v>5</v>
      </c>
      <c r="R117" s="161">
        <f>IF(Sales[[#This Row],[Status]]="Cancelled",0,Sales[[#This Row],[Total Amount]])</f>
        <v>5866.96</v>
      </c>
      <c r="S117" s="162">
        <f>SUM(Sales[Net Amount])</f>
        <v>406839287.73200053</v>
      </c>
    </row>
    <row r="118" spans="1:19" ht="18.75" x14ac:dyDescent="0.25">
      <c r="A118" s="163" t="s">
        <v>3683</v>
      </c>
      <c r="B118" s="164">
        <v>45786</v>
      </c>
      <c r="C118" s="34" t="s">
        <v>930</v>
      </c>
      <c r="D118" s="53" t="str">
        <f>VLOOKUP(Sales[[#This Row],[Customer ID]],Customer[#All],2,0)</f>
        <v>Rakesh Gupta</v>
      </c>
      <c r="E118" s="34" t="s">
        <v>256</v>
      </c>
      <c r="F118" s="34" t="str">
        <f>VLOOKUP(Sales[[#This Row],[Product ID]],Product[#All],2,0)</f>
        <v>HP Laptop</v>
      </c>
      <c r="G118" s="53">
        <v>2</v>
      </c>
      <c r="H118" s="165">
        <f>VLOOKUP(Sales[[#This Row],[Product ID]],Product[#All],7,0)</f>
        <v>106260</v>
      </c>
      <c r="I118" s="165">
        <f>Sales[[#This Row],[Selling Rate]]*Sales[[#This Row],[Qty]]</f>
        <v>212520</v>
      </c>
      <c r="J118" s="45">
        <v>0.02</v>
      </c>
      <c r="K118" s="46">
        <f>Sales[[#This Row],[Gross Amount]]*Sales[[#This Row],[Disc %]]</f>
        <v>4250.3999999999996</v>
      </c>
      <c r="L118" s="43">
        <v>0.18</v>
      </c>
      <c r="M118" s="46">
        <f>(Sales[[#This Row],[Gross Amount]]-Sales[[#This Row],[Disc. Amt.]])*Sales[[#This Row],[GST %]]</f>
        <v>37488.527999999998</v>
      </c>
      <c r="N118" s="161">
        <f>Sales[[#This Row],[Gross Amount]]-Sales[[#This Row],[Disc. Amt.]]+Sales[[#This Row],[GST Amount]]</f>
        <v>245758.128</v>
      </c>
      <c r="O118" s="34" t="s">
        <v>3569</v>
      </c>
      <c r="P118" s="34" t="s">
        <v>3562</v>
      </c>
      <c r="Q118" s="165">
        <f>IF(Sales[[#This Row],[Status]]="Cancelled",0,Sales[[#This Row],[Qty]])</f>
        <v>2</v>
      </c>
      <c r="R118" s="166">
        <f>IF(Sales[[#This Row],[Status]]="Cancelled",0,Sales[[#This Row],[Total Amount]])</f>
        <v>245758.128</v>
      </c>
      <c r="S118" s="162">
        <f>SUM(Sales[Net Amount])</f>
        <v>406839287.73200053</v>
      </c>
    </row>
    <row r="119" spans="1:19" ht="18.75" x14ac:dyDescent="0.25">
      <c r="A119" s="156" t="s">
        <v>3684</v>
      </c>
      <c r="B119" s="157">
        <v>45786</v>
      </c>
      <c r="C119" s="158" t="s">
        <v>770</v>
      </c>
      <c r="D119" s="159" t="str">
        <f>VLOOKUP(Sales[[#This Row],[Customer ID]],Customer[#All],2,0)</f>
        <v>Sunita Sharma</v>
      </c>
      <c r="E119" s="158" t="s">
        <v>140</v>
      </c>
      <c r="F119" s="158" t="str">
        <f>VLOOKUP(Sales[[#This Row],[Product ID]],Product[#All],2,0)</f>
        <v>Logitech Mouse</v>
      </c>
      <c r="G119" s="159">
        <v>1</v>
      </c>
      <c r="H119" s="160">
        <f>VLOOKUP(Sales[[#This Row],[Product ID]],Product[#All],7,0)</f>
        <v>2760</v>
      </c>
      <c r="I119" s="160">
        <f>Sales[[#This Row],[Selling Rate]]*Sales[[#This Row],[Qty]]</f>
        <v>2760</v>
      </c>
      <c r="J119" s="43">
        <v>0.02</v>
      </c>
      <c r="K119" s="44">
        <f>Sales[[#This Row],[Gross Amount]]*Sales[[#This Row],[Disc %]]</f>
        <v>55.2</v>
      </c>
      <c r="L119" s="43">
        <v>0.18</v>
      </c>
      <c r="M119" s="44">
        <f>(Sales[[#This Row],[Gross Amount]]-Sales[[#This Row],[Disc. Amt.]])*Sales[[#This Row],[GST %]]</f>
        <v>486.86400000000003</v>
      </c>
      <c r="N119" s="161">
        <f>Sales[[#This Row],[Gross Amount]]-Sales[[#This Row],[Disc. Amt.]]+Sales[[#This Row],[GST Amount]]</f>
        <v>3191.6640000000002</v>
      </c>
      <c r="O119" s="158" t="s">
        <v>8876</v>
      </c>
      <c r="P119" s="158" t="s">
        <v>3562</v>
      </c>
      <c r="Q119" s="160">
        <f>IF(Sales[[#This Row],[Status]]="Cancelled",0,Sales[[#This Row],[Qty]])</f>
        <v>1</v>
      </c>
      <c r="R119" s="161">
        <f>IF(Sales[[#This Row],[Status]]="Cancelled",0,Sales[[#This Row],[Total Amount]])</f>
        <v>3191.6640000000002</v>
      </c>
      <c r="S119" s="162">
        <f>SUM(Sales[Net Amount])</f>
        <v>406839287.73200053</v>
      </c>
    </row>
    <row r="120" spans="1:19" ht="18.75" x14ac:dyDescent="0.25">
      <c r="A120" s="163" t="s">
        <v>3685</v>
      </c>
      <c r="B120" s="164">
        <v>45786</v>
      </c>
      <c r="C120" s="34" t="s">
        <v>858</v>
      </c>
      <c r="D120" s="53" t="str">
        <f>VLOOKUP(Sales[[#This Row],[Customer ID]],Customer[#All],2,0)</f>
        <v>Neha Sharma</v>
      </c>
      <c r="E120" s="34" t="s">
        <v>520</v>
      </c>
      <c r="F120" s="34" t="str">
        <f>VLOOKUP(Sales[[#This Row],[Product ID]],Product[#All],2,0)</f>
        <v>HP Desktop</v>
      </c>
      <c r="G120" s="53">
        <v>1</v>
      </c>
      <c r="H120" s="165">
        <f>VLOOKUP(Sales[[#This Row],[Product ID]],Product[#All],7,0)</f>
        <v>40200</v>
      </c>
      <c r="I120" s="165">
        <f>Sales[[#This Row],[Selling Rate]]*Sales[[#This Row],[Qty]]</f>
        <v>40200</v>
      </c>
      <c r="J120" s="45">
        <v>0</v>
      </c>
      <c r="K120" s="46">
        <f>Sales[[#This Row],[Gross Amount]]*Sales[[#This Row],[Disc %]]</f>
        <v>0</v>
      </c>
      <c r="L120" s="43">
        <v>0.18</v>
      </c>
      <c r="M120" s="46">
        <f>(Sales[[#This Row],[Gross Amount]]-Sales[[#This Row],[Disc. Amt.]])*Sales[[#This Row],[GST %]]</f>
        <v>7236</v>
      </c>
      <c r="N120" s="161">
        <f>Sales[[#This Row],[Gross Amount]]-Sales[[#This Row],[Disc. Amt.]]+Sales[[#This Row],[GST Amount]]</f>
        <v>47436</v>
      </c>
      <c r="O120" s="34" t="s">
        <v>3566</v>
      </c>
      <c r="P120" s="34" t="s">
        <v>3562</v>
      </c>
      <c r="Q120" s="165">
        <f>IF(Sales[[#This Row],[Status]]="Cancelled",0,Sales[[#This Row],[Qty]])</f>
        <v>1</v>
      </c>
      <c r="R120" s="166">
        <f>IF(Sales[[#This Row],[Status]]="Cancelled",0,Sales[[#This Row],[Total Amount]])</f>
        <v>47436</v>
      </c>
      <c r="S120" s="162">
        <f>SUM(Sales[Net Amount])</f>
        <v>406839287.73200053</v>
      </c>
    </row>
    <row r="121" spans="1:19" ht="18.75" x14ac:dyDescent="0.25">
      <c r="A121" s="156" t="s">
        <v>3686</v>
      </c>
      <c r="B121" s="157">
        <v>45786</v>
      </c>
      <c r="C121" s="158" t="s">
        <v>783</v>
      </c>
      <c r="D121" s="159" t="str">
        <f>VLOOKUP(Sales[[#This Row],[Customer ID]],Customer[#All],2,0)</f>
        <v>Neha Singh</v>
      </c>
      <c r="E121" s="158" t="s">
        <v>84</v>
      </c>
      <c r="F121" s="158" t="str">
        <f>VLOOKUP(Sales[[#This Row],[Product ID]],Product[#All],2,0)</f>
        <v>HP Mouse</v>
      </c>
      <c r="G121" s="159">
        <v>1</v>
      </c>
      <c r="H121" s="160">
        <f>VLOOKUP(Sales[[#This Row],[Product ID]],Product[#All],7,0)</f>
        <v>1240</v>
      </c>
      <c r="I121" s="160">
        <f>Sales[[#This Row],[Selling Rate]]*Sales[[#This Row],[Qty]]</f>
        <v>1240</v>
      </c>
      <c r="J121" s="43">
        <v>0.12</v>
      </c>
      <c r="K121" s="44">
        <f>Sales[[#This Row],[Gross Amount]]*Sales[[#This Row],[Disc %]]</f>
        <v>148.79999999999998</v>
      </c>
      <c r="L121" s="43">
        <v>0.18</v>
      </c>
      <c r="M121" s="44">
        <f>(Sales[[#This Row],[Gross Amount]]-Sales[[#This Row],[Disc. Amt.]])*Sales[[#This Row],[GST %]]</f>
        <v>196.416</v>
      </c>
      <c r="N121" s="161">
        <f>Sales[[#This Row],[Gross Amount]]-Sales[[#This Row],[Disc. Amt.]]+Sales[[#This Row],[GST Amount]]</f>
        <v>1287.616</v>
      </c>
      <c r="O121" s="158" t="s">
        <v>3566</v>
      </c>
      <c r="P121" s="158" t="s">
        <v>3562</v>
      </c>
      <c r="Q121" s="160">
        <f>IF(Sales[[#This Row],[Status]]="Cancelled",0,Sales[[#This Row],[Qty]])</f>
        <v>1</v>
      </c>
      <c r="R121" s="161">
        <f>IF(Sales[[#This Row],[Status]]="Cancelled",0,Sales[[#This Row],[Total Amount]])</f>
        <v>1287.616</v>
      </c>
      <c r="S121" s="162">
        <f>SUM(Sales[Net Amount])</f>
        <v>406839287.73200053</v>
      </c>
    </row>
    <row r="122" spans="1:19" ht="18.75" x14ac:dyDescent="0.25">
      <c r="A122" s="163" t="s">
        <v>3687</v>
      </c>
      <c r="B122" s="164">
        <v>45787</v>
      </c>
      <c r="C122" s="34" t="s">
        <v>754</v>
      </c>
      <c r="D122" s="53" t="str">
        <f>VLOOKUP(Sales[[#This Row],[Customer ID]],Customer[#All],2,0)</f>
        <v>Rakesh Gupta</v>
      </c>
      <c r="E122" s="34" t="s">
        <v>153</v>
      </c>
      <c r="F122" s="34" t="str">
        <f>VLOOKUP(Sales[[#This Row],[Product ID]],Product[#All],2,0)</f>
        <v>HP Mouse</v>
      </c>
      <c r="G122" s="53">
        <v>7</v>
      </c>
      <c r="H122" s="165">
        <f>VLOOKUP(Sales[[#This Row],[Product ID]],Product[#All],7,0)</f>
        <v>1070</v>
      </c>
      <c r="I122" s="165">
        <f>Sales[[#This Row],[Selling Rate]]*Sales[[#This Row],[Qty]]</f>
        <v>7490</v>
      </c>
      <c r="J122" s="45">
        <v>0.05</v>
      </c>
      <c r="K122" s="46">
        <f>Sales[[#This Row],[Gross Amount]]*Sales[[#This Row],[Disc %]]</f>
        <v>374.5</v>
      </c>
      <c r="L122" s="43">
        <v>0.18</v>
      </c>
      <c r="M122" s="46">
        <f>(Sales[[#This Row],[Gross Amount]]-Sales[[#This Row],[Disc. Amt.]])*Sales[[#This Row],[GST %]]</f>
        <v>1280.79</v>
      </c>
      <c r="N122" s="161">
        <f>Sales[[#This Row],[Gross Amount]]-Sales[[#This Row],[Disc. Amt.]]+Sales[[#This Row],[GST Amount]]</f>
        <v>8396.2900000000009</v>
      </c>
      <c r="O122" s="34" t="s">
        <v>3566</v>
      </c>
      <c r="P122" s="34" t="s">
        <v>3562</v>
      </c>
      <c r="Q122" s="165">
        <f>IF(Sales[[#This Row],[Status]]="Cancelled",0,Sales[[#This Row],[Qty]])</f>
        <v>7</v>
      </c>
      <c r="R122" s="166">
        <f>IF(Sales[[#This Row],[Status]]="Cancelled",0,Sales[[#This Row],[Total Amount]])</f>
        <v>8396.2900000000009</v>
      </c>
      <c r="S122" s="162">
        <f>SUM(Sales[Net Amount])</f>
        <v>406839287.73200053</v>
      </c>
    </row>
    <row r="123" spans="1:19" ht="18.75" x14ac:dyDescent="0.25">
      <c r="A123" s="156" t="s">
        <v>3688</v>
      </c>
      <c r="B123" s="157">
        <v>45787</v>
      </c>
      <c r="C123" s="158" t="s">
        <v>844</v>
      </c>
      <c r="D123" s="159" t="str">
        <f>VLOOKUP(Sales[[#This Row],[Customer ID]],Customer[#All],2,0)</f>
        <v>Rahul Sharma</v>
      </c>
      <c r="E123" s="158" t="s">
        <v>342</v>
      </c>
      <c r="F123" s="158" t="str">
        <f>VLOOKUP(Sales[[#This Row],[Product ID]],Product[#All],2,0)</f>
        <v>HP Laptop</v>
      </c>
      <c r="G123" s="159">
        <v>3</v>
      </c>
      <c r="H123" s="160">
        <f>VLOOKUP(Sales[[#This Row],[Product ID]],Product[#All],7,0)</f>
        <v>66290</v>
      </c>
      <c r="I123" s="160">
        <f>Sales[[#This Row],[Selling Rate]]*Sales[[#This Row],[Qty]]</f>
        <v>198870</v>
      </c>
      <c r="J123" s="43">
        <v>0.12</v>
      </c>
      <c r="K123" s="44">
        <f>Sales[[#This Row],[Gross Amount]]*Sales[[#This Row],[Disc %]]</f>
        <v>23864.399999999998</v>
      </c>
      <c r="L123" s="43">
        <v>0.18</v>
      </c>
      <c r="M123" s="44">
        <f>(Sales[[#This Row],[Gross Amount]]-Sales[[#This Row],[Disc. Amt.]])*Sales[[#This Row],[GST %]]</f>
        <v>31501.008000000002</v>
      </c>
      <c r="N123" s="161">
        <f>Sales[[#This Row],[Gross Amount]]-Sales[[#This Row],[Disc. Amt.]]+Sales[[#This Row],[GST Amount]]</f>
        <v>206506.60800000001</v>
      </c>
      <c r="O123" s="158" t="s">
        <v>3566</v>
      </c>
      <c r="P123" s="158" t="s">
        <v>3562</v>
      </c>
      <c r="Q123" s="160">
        <f>IF(Sales[[#This Row],[Status]]="Cancelled",0,Sales[[#This Row],[Qty]])</f>
        <v>3</v>
      </c>
      <c r="R123" s="161">
        <f>IF(Sales[[#This Row],[Status]]="Cancelled",0,Sales[[#This Row],[Total Amount]])</f>
        <v>206506.60800000001</v>
      </c>
      <c r="S123" s="162">
        <f>SUM(Sales[Net Amount])</f>
        <v>406839287.73200053</v>
      </c>
    </row>
    <row r="124" spans="1:19" ht="18.75" x14ac:dyDescent="0.25">
      <c r="A124" s="163" t="s">
        <v>3689</v>
      </c>
      <c r="B124" s="164">
        <v>45787</v>
      </c>
      <c r="C124" s="34" t="s">
        <v>874</v>
      </c>
      <c r="D124" s="53" t="str">
        <f>VLOOKUP(Sales[[#This Row],[Customer ID]],Customer[#All],2,0)</f>
        <v>Vikas Sharma</v>
      </c>
      <c r="E124" s="34" t="s">
        <v>367</v>
      </c>
      <c r="F124" s="34" t="str">
        <f>VLOOKUP(Sales[[#This Row],[Product ID]],Product[#All],2,0)</f>
        <v>Jbl Speaker</v>
      </c>
      <c r="G124" s="53">
        <v>4</v>
      </c>
      <c r="H124" s="165">
        <f>VLOOKUP(Sales[[#This Row],[Product ID]],Product[#All],7,0)</f>
        <v>4880</v>
      </c>
      <c r="I124" s="165">
        <f>Sales[[#This Row],[Selling Rate]]*Sales[[#This Row],[Qty]]</f>
        <v>19520</v>
      </c>
      <c r="J124" s="45">
        <v>0.15</v>
      </c>
      <c r="K124" s="46">
        <f>Sales[[#This Row],[Gross Amount]]*Sales[[#This Row],[Disc %]]</f>
        <v>2928</v>
      </c>
      <c r="L124" s="43">
        <v>0.18</v>
      </c>
      <c r="M124" s="46">
        <f>(Sales[[#This Row],[Gross Amount]]-Sales[[#This Row],[Disc. Amt.]])*Sales[[#This Row],[GST %]]</f>
        <v>2986.56</v>
      </c>
      <c r="N124" s="161">
        <f>Sales[[#This Row],[Gross Amount]]-Sales[[#This Row],[Disc. Amt.]]+Sales[[#This Row],[GST Amount]]</f>
        <v>19578.560000000001</v>
      </c>
      <c r="O124" s="34" t="s">
        <v>3566</v>
      </c>
      <c r="P124" s="34" t="s">
        <v>3562</v>
      </c>
      <c r="Q124" s="165">
        <f>IF(Sales[[#This Row],[Status]]="Cancelled",0,Sales[[#This Row],[Qty]])</f>
        <v>4</v>
      </c>
      <c r="R124" s="166">
        <f>IF(Sales[[#This Row],[Status]]="Cancelled",0,Sales[[#This Row],[Total Amount]])</f>
        <v>19578.560000000001</v>
      </c>
      <c r="S124" s="162">
        <f>SUM(Sales[Net Amount])</f>
        <v>406839287.73200053</v>
      </c>
    </row>
    <row r="125" spans="1:19" ht="18.75" x14ac:dyDescent="0.25">
      <c r="A125" s="156" t="s">
        <v>3690</v>
      </c>
      <c r="B125" s="157">
        <v>45787</v>
      </c>
      <c r="C125" s="158" t="s">
        <v>673</v>
      </c>
      <c r="D125" s="159" t="str">
        <f>VLOOKUP(Sales[[#This Row],[Customer ID]],Customer[#All],2,0)</f>
        <v>Sunita Gupta</v>
      </c>
      <c r="E125" s="158" t="s">
        <v>98</v>
      </c>
      <c r="F125" s="158" t="str">
        <f>VLOOKUP(Sales[[#This Row],[Product ID]],Product[#All],2,0)</f>
        <v>TP-link Bluetooth Adapter</v>
      </c>
      <c r="G125" s="159">
        <v>5</v>
      </c>
      <c r="H125" s="160">
        <f>VLOOKUP(Sales[[#This Row],[Product ID]],Product[#All],7,0)</f>
        <v>1420</v>
      </c>
      <c r="I125" s="160">
        <f>Sales[[#This Row],[Selling Rate]]*Sales[[#This Row],[Qty]]</f>
        <v>7100</v>
      </c>
      <c r="J125" s="43">
        <v>0.12</v>
      </c>
      <c r="K125" s="44">
        <f>Sales[[#This Row],[Gross Amount]]*Sales[[#This Row],[Disc %]]</f>
        <v>852</v>
      </c>
      <c r="L125" s="43">
        <v>0.18</v>
      </c>
      <c r="M125" s="44">
        <f>(Sales[[#This Row],[Gross Amount]]-Sales[[#This Row],[Disc. Amt.]])*Sales[[#This Row],[GST %]]</f>
        <v>1124.6399999999999</v>
      </c>
      <c r="N125" s="161">
        <f>Sales[[#This Row],[Gross Amount]]-Sales[[#This Row],[Disc. Amt.]]+Sales[[#This Row],[GST Amount]]</f>
        <v>7372.6399999999994</v>
      </c>
      <c r="O125" s="158" t="s">
        <v>3569</v>
      </c>
      <c r="P125" s="158" t="s">
        <v>3562</v>
      </c>
      <c r="Q125" s="160">
        <f>IF(Sales[[#This Row],[Status]]="Cancelled",0,Sales[[#This Row],[Qty]])</f>
        <v>5</v>
      </c>
      <c r="R125" s="161">
        <f>IF(Sales[[#This Row],[Status]]="Cancelled",0,Sales[[#This Row],[Total Amount]])</f>
        <v>7372.6399999999994</v>
      </c>
      <c r="S125" s="162">
        <f>SUM(Sales[Net Amount])</f>
        <v>406839287.73200053</v>
      </c>
    </row>
    <row r="126" spans="1:19" ht="18.75" x14ac:dyDescent="0.25">
      <c r="A126" s="163" t="s">
        <v>3691</v>
      </c>
      <c r="B126" s="164">
        <v>45787</v>
      </c>
      <c r="C126" s="34" t="s">
        <v>758</v>
      </c>
      <c r="D126" s="53" t="str">
        <f>VLOOKUP(Sales[[#This Row],[Customer ID]],Customer[#All],2,0)</f>
        <v>Rahul Verma</v>
      </c>
      <c r="E126" s="34" t="s">
        <v>251</v>
      </c>
      <c r="F126" s="34" t="str">
        <f>VLOOKUP(Sales[[#This Row],[Product ID]],Product[#All],2,0)</f>
        <v>Corsair Ram</v>
      </c>
      <c r="G126" s="53">
        <v>2</v>
      </c>
      <c r="H126" s="165">
        <f>VLOOKUP(Sales[[#This Row],[Product ID]],Product[#All],7,0)</f>
        <v>2890</v>
      </c>
      <c r="I126" s="165">
        <f>Sales[[#This Row],[Selling Rate]]*Sales[[#This Row],[Qty]]</f>
        <v>5780</v>
      </c>
      <c r="J126" s="45">
        <v>0</v>
      </c>
      <c r="K126" s="46">
        <f>Sales[[#This Row],[Gross Amount]]*Sales[[#This Row],[Disc %]]</f>
        <v>0</v>
      </c>
      <c r="L126" s="43">
        <v>0.18</v>
      </c>
      <c r="M126" s="46">
        <f>(Sales[[#This Row],[Gross Amount]]-Sales[[#This Row],[Disc. Amt.]])*Sales[[#This Row],[GST %]]</f>
        <v>1040.3999999999999</v>
      </c>
      <c r="N126" s="161">
        <f>Sales[[#This Row],[Gross Amount]]-Sales[[#This Row],[Disc. Amt.]]+Sales[[#This Row],[GST Amount]]</f>
        <v>6820.4</v>
      </c>
      <c r="O126" s="34" t="s">
        <v>3561</v>
      </c>
      <c r="P126" s="34" t="s">
        <v>3562</v>
      </c>
      <c r="Q126" s="165">
        <f>IF(Sales[[#This Row],[Status]]="Cancelled",0,Sales[[#This Row],[Qty]])</f>
        <v>2</v>
      </c>
      <c r="R126" s="166">
        <f>IF(Sales[[#This Row],[Status]]="Cancelled",0,Sales[[#This Row],[Total Amount]])</f>
        <v>6820.4</v>
      </c>
      <c r="S126" s="162">
        <f>SUM(Sales[Net Amount])</f>
        <v>406839287.73200053</v>
      </c>
    </row>
    <row r="127" spans="1:19" ht="18.75" x14ac:dyDescent="0.25">
      <c r="A127" s="156" t="s">
        <v>3692</v>
      </c>
      <c r="B127" s="157">
        <v>45787</v>
      </c>
      <c r="C127" s="158" t="s">
        <v>907</v>
      </c>
      <c r="D127" s="159" t="str">
        <f>VLOOKUP(Sales[[#This Row],[Customer ID]],Customer[#All],2,0)</f>
        <v>Vikas Verma</v>
      </c>
      <c r="E127" s="158" t="s">
        <v>469</v>
      </c>
      <c r="F127" s="158" t="str">
        <f>VLOOKUP(Sales[[#This Row],[Product ID]],Product[#All],2,0)</f>
        <v>WD HDD</v>
      </c>
      <c r="G127" s="159">
        <v>8</v>
      </c>
      <c r="H127" s="160">
        <f>VLOOKUP(Sales[[#This Row],[Product ID]],Product[#All],7,0)</f>
        <v>6930</v>
      </c>
      <c r="I127" s="160">
        <f>Sales[[#This Row],[Selling Rate]]*Sales[[#This Row],[Qty]]</f>
        <v>55440</v>
      </c>
      <c r="J127" s="43">
        <v>0.02</v>
      </c>
      <c r="K127" s="44">
        <f>Sales[[#This Row],[Gross Amount]]*Sales[[#This Row],[Disc %]]</f>
        <v>1108.8</v>
      </c>
      <c r="L127" s="43">
        <v>0.18</v>
      </c>
      <c r="M127" s="44">
        <f>(Sales[[#This Row],[Gross Amount]]-Sales[[#This Row],[Disc. Amt.]])*Sales[[#This Row],[GST %]]</f>
        <v>9779.616</v>
      </c>
      <c r="N127" s="161">
        <f>Sales[[#This Row],[Gross Amount]]-Sales[[#This Row],[Disc. Amt.]]+Sales[[#This Row],[GST Amount]]</f>
        <v>64110.815999999999</v>
      </c>
      <c r="O127" s="158" t="s">
        <v>8876</v>
      </c>
      <c r="P127" s="158" t="s">
        <v>3562</v>
      </c>
      <c r="Q127" s="160">
        <f>IF(Sales[[#This Row],[Status]]="Cancelled",0,Sales[[#This Row],[Qty]])</f>
        <v>8</v>
      </c>
      <c r="R127" s="161">
        <f>IF(Sales[[#This Row],[Status]]="Cancelled",0,Sales[[#This Row],[Total Amount]])</f>
        <v>64110.815999999999</v>
      </c>
      <c r="S127" s="162">
        <f>SUM(Sales[Net Amount])</f>
        <v>406839287.73200053</v>
      </c>
    </row>
    <row r="128" spans="1:19" ht="18.75" x14ac:dyDescent="0.25">
      <c r="A128" s="163" t="s">
        <v>3693</v>
      </c>
      <c r="B128" s="164">
        <v>45787</v>
      </c>
      <c r="C128" s="34" t="s">
        <v>862</v>
      </c>
      <c r="D128" s="53" t="str">
        <f>VLOOKUP(Sales[[#This Row],[Customer ID]],Customer[#All],2,0)</f>
        <v>Rakesh Sharma</v>
      </c>
      <c r="E128" s="34" t="s">
        <v>204</v>
      </c>
      <c r="F128" s="34" t="str">
        <f>VLOOKUP(Sales[[#This Row],[Product ID]],Product[#All],2,0)</f>
        <v>Lenovo Laptop</v>
      </c>
      <c r="G128" s="53">
        <v>6</v>
      </c>
      <c r="H128" s="165">
        <f>VLOOKUP(Sales[[#This Row],[Product ID]],Product[#All],7,0)</f>
        <v>42370</v>
      </c>
      <c r="I128" s="165">
        <f>Sales[[#This Row],[Selling Rate]]*Sales[[#This Row],[Qty]]</f>
        <v>254220</v>
      </c>
      <c r="J128" s="45">
        <v>0.05</v>
      </c>
      <c r="K128" s="46">
        <f>Sales[[#This Row],[Gross Amount]]*Sales[[#This Row],[Disc %]]</f>
        <v>12711</v>
      </c>
      <c r="L128" s="43">
        <v>0.18</v>
      </c>
      <c r="M128" s="46">
        <f>(Sales[[#This Row],[Gross Amount]]-Sales[[#This Row],[Disc. Amt.]])*Sales[[#This Row],[GST %]]</f>
        <v>43471.619999999995</v>
      </c>
      <c r="N128" s="161">
        <f>Sales[[#This Row],[Gross Amount]]-Sales[[#This Row],[Disc. Amt.]]+Sales[[#This Row],[GST Amount]]</f>
        <v>284980.62</v>
      </c>
      <c r="O128" s="34" t="s">
        <v>3569</v>
      </c>
      <c r="P128" s="34" t="s">
        <v>3562</v>
      </c>
      <c r="Q128" s="165">
        <f>IF(Sales[[#This Row],[Status]]="Cancelled",0,Sales[[#This Row],[Qty]])</f>
        <v>6</v>
      </c>
      <c r="R128" s="166">
        <f>IF(Sales[[#This Row],[Status]]="Cancelled",0,Sales[[#This Row],[Total Amount]])</f>
        <v>284980.62</v>
      </c>
      <c r="S128" s="162">
        <f>SUM(Sales[Net Amount])</f>
        <v>406839287.73200053</v>
      </c>
    </row>
    <row r="129" spans="1:19" ht="18.75" x14ac:dyDescent="0.25">
      <c r="A129" s="156" t="s">
        <v>3694</v>
      </c>
      <c r="B129" s="157">
        <v>45787</v>
      </c>
      <c r="C129" s="158" t="s">
        <v>656</v>
      </c>
      <c r="D129" s="159" t="str">
        <f>VLOOKUP(Sales[[#This Row],[Customer ID]],Customer[#All],2,0)</f>
        <v>Rahul Kumar</v>
      </c>
      <c r="E129" s="158" t="s">
        <v>98</v>
      </c>
      <c r="F129" s="158" t="str">
        <f>VLOOKUP(Sales[[#This Row],[Product ID]],Product[#All],2,0)</f>
        <v>TP-link Bluetooth Adapter</v>
      </c>
      <c r="G129" s="159">
        <v>4</v>
      </c>
      <c r="H129" s="160">
        <f>VLOOKUP(Sales[[#This Row],[Product ID]],Product[#All],7,0)</f>
        <v>1420</v>
      </c>
      <c r="I129" s="160">
        <f>Sales[[#This Row],[Selling Rate]]*Sales[[#This Row],[Qty]]</f>
        <v>5680</v>
      </c>
      <c r="J129" s="43">
        <v>0.05</v>
      </c>
      <c r="K129" s="44">
        <f>Sales[[#This Row],[Gross Amount]]*Sales[[#This Row],[Disc %]]</f>
        <v>284</v>
      </c>
      <c r="L129" s="43">
        <v>0.18</v>
      </c>
      <c r="M129" s="44">
        <f>(Sales[[#This Row],[Gross Amount]]-Sales[[#This Row],[Disc. Amt.]])*Sales[[#This Row],[GST %]]</f>
        <v>971.28</v>
      </c>
      <c r="N129" s="161">
        <f>Sales[[#This Row],[Gross Amount]]-Sales[[#This Row],[Disc. Amt.]]+Sales[[#This Row],[GST Amount]]</f>
        <v>6367.28</v>
      </c>
      <c r="O129" s="158" t="s">
        <v>3569</v>
      </c>
      <c r="P129" s="158" t="s">
        <v>3562</v>
      </c>
      <c r="Q129" s="160">
        <f>IF(Sales[[#This Row],[Status]]="Cancelled",0,Sales[[#This Row],[Qty]])</f>
        <v>4</v>
      </c>
      <c r="R129" s="161">
        <f>IF(Sales[[#This Row],[Status]]="Cancelled",0,Sales[[#This Row],[Total Amount]])</f>
        <v>6367.28</v>
      </c>
      <c r="S129" s="162">
        <f>SUM(Sales[Net Amount])</f>
        <v>406839287.73200053</v>
      </c>
    </row>
    <row r="130" spans="1:19" ht="18.75" x14ac:dyDescent="0.25">
      <c r="A130" s="163" t="s">
        <v>3695</v>
      </c>
      <c r="B130" s="164">
        <v>45787</v>
      </c>
      <c r="C130" s="34" t="s">
        <v>901</v>
      </c>
      <c r="D130" s="53" t="str">
        <f>VLOOKUP(Sales[[#This Row],[Customer ID]],Customer[#All],2,0)</f>
        <v>Vikas Kumar</v>
      </c>
      <c r="E130" s="34" t="s">
        <v>310</v>
      </c>
      <c r="F130" s="34" t="str">
        <f>VLOOKUP(Sales[[#This Row],[Product ID]],Product[#All],2,0)</f>
        <v>TP-link Wi-Fi Adapter</v>
      </c>
      <c r="G130" s="53">
        <v>7</v>
      </c>
      <c r="H130" s="165">
        <f>VLOOKUP(Sales[[#This Row],[Product ID]],Product[#All],7,0)</f>
        <v>700</v>
      </c>
      <c r="I130" s="165">
        <f>Sales[[#This Row],[Selling Rate]]*Sales[[#This Row],[Qty]]</f>
        <v>4900</v>
      </c>
      <c r="J130" s="45">
        <v>0.02</v>
      </c>
      <c r="K130" s="46">
        <f>Sales[[#This Row],[Gross Amount]]*Sales[[#This Row],[Disc %]]</f>
        <v>98</v>
      </c>
      <c r="L130" s="43">
        <v>0.18</v>
      </c>
      <c r="M130" s="46">
        <f>(Sales[[#This Row],[Gross Amount]]-Sales[[#This Row],[Disc. Amt.]])*Sales[[#This Row],[GST %]]</f>
        <v>864.36</v>
      </c>
      <c r="N130" s="161">
        <f>Sales[[#This Row],[Gross Amount]]-Sales[[#This Row],[Disc. Amt.]]+Sales[[#This Row],[GST Amount]]</f>
        <v>5666.36</v>
      </c>
      <c r="O130" s="34" t="s">
        <v>8876</v>
      </c>
      <c r="P130" s="34" t="s">
        <v>3562</v>
      </c>
      <c r="Q130" s="165">
        <f>IF(Sales[[#This Row],[Status]]="Cancelled",0,Sales[[#This Row],[Qty]])</f>
        <v>7</v>
      </c>
      <c r="R130" s="166">
        <f>IF(Sales[[#This Row],[Status]]="Cancelled",0,Sales[[#This Row],[Total Amount]])</f>
        <v>5666.36</v>
      </c>
      <c r="S130" s="162">
        <f>SUM(Sales[Net Amount])</f>
        <v>406839287.73200053</v>
      </c>
    </row>
    <row r="131" spans="1:19" ht="18.75" x14ac:dyDescent="0.25">
      <c r="A131" s="156" t="s">
        <v>3696</v>
      </c>
      <c r="B131" s="157">
        <v>45787</v>
      </c>
      <c r="C131" s="158" t="s">
        <v>922</v>
      </c>
      <c r="D131" s="159" t="str">
        <f>VLOOKUP(Sales[[#This Row],[Customer ID]],Customer[#All],2,0)</f>
        <v>Pooja Patel</v>
      </c>
      <c r="E131" s="158" t="s">
        <v>459</v>
      </c>
      <c r="F131" s="158" t="str">
        <f>VLOOKUP(Sales[[#This Row],[Product ID]],Product[#All],2,0)</f>
        <v>Logitech Mouse</v>
      </c>
      <c r="G131" s="159">
        <v>6</v>
      </c>
      <c r="H131" s="160">
        <f>VLOOKUP(Sales[[#This Row],[Product ID]],Product[#All],7,0)</f>
        <v>1680</v>
      </c>
      <c r="I131" s="160">
        <f>Sales[[#This Row],[Selling Rate]]*Sales[[#This Row],[Qty]]</f>
        <v>10080</v>
      </c>
      <c r="J131" s="43">
        <v>0.05</v>
      </c>
      <c r="K131" s="44">
        <f>Sales[[#This Row],[Gross Amount]]*Sales[[#This Row],[Disc %]]</f>
        <v>504</v>
      </c>
      <c r="L131" s="43">
        <v>0.18</v>
      </c>
      <c r="M131" s="44">
        <f>(Sales[[#This Row],[Gross Amount]]-Sales[[#This Row],[Disc. Amt.]])*Sales[[#This Row],[GST %]]</f>
        <v>1723.6799999999998</v>
      </c>
      <c r="N131" s="161">
        <f>Sales[[#This Row],[Gross Amount]]-Sales[[#This Row],[Disc. Amt.]]+Sales[[#This Row],[GST Amount]]</f>
        <v>11299.68</v>
      </c>
      <c r="O131" s="158" t="s">
        <v>3561</v>
      </c>
      <c r="P131" s="158" t="s">
        <v>3562</v>
      </c>
      <c r="Q131" s="160">
        <f>IF(Sales[[#This Row],[Status]]="Cancelled",0,Sales[[#This Row],[Qty]])</f>
        <v>6</v>
      </c>
      <c r="R131" s="161">
        <f>IF(Sales[[#This Row],[Status]]="Cancelled",0,Sales[[#This Row],[Total Amount]])</f>
        <v>11299.68</v>
      </c>
      <c r="S131" s="162">
        <f>SUM(Sales[Net Amount])</f>
        <v>406839287.73200053</v>
      </c>
    </row>
    <row r="132" spans="1:19" ht="18.75" x14ac:dyDescent="0.25">
      <c r="A132" s="163" t="s">
        <v>3697</v>
      </c>
      <c r="B132" s="164">
        <v>45787</v>
      </c>
      <c r="C132" s="34" t="s">
        <v>913</v>
      </c>
      <c r="D132" s="53" t="str">
        <f>VLOOKUP(Sales[[#This Row],[Customer ID]],Customer[#All],2,0)</f>
        <v>Pooja Kumar</v>
      </c>
      <c r="E132" s="34" t="s">
        <v>170</v>
      </c>
      <c r="F132" s="34" t="str">
        <f>VLOOKUP(Sales[[#This Row],[Product ID]],Product[#All],2,0)</f>
        <v>Lenovo Laptop</v>
      </c>
      <c r="G132" s="53">
        <v>7</v>
      </c>
      <c r="H132" s="165">
        <f>VLOOKUP(Sales[[#This Row],[Product ID]],Product[#All],7,0)</f>
        <v>29710</v>
      </c>
      <c r="I132" s="165">
        <f>Sales[[#This Row],[Selling Rate]]*Sales[[#This Row],[Qty]]</f>
        <v>207970</v>
      </c>
      <c r="J132" s="45">
        <v>0</v>
      </c>
      <c r="K132" s="46">
        <f>Sales[[#This Row],[Gross Amount]]*Sales[[#This Row],[Disc %]]</f>
        <v>0</v>
      </c>
      <c r="L132" s="43">
        <v>0.18</v>
      </c>
      <c r="M132" s="46">
        <f>(Sales[[#This Row],[Gross Amount]]-Sales[[#This Row],[Disc. Amt.]])*Sales[[#This Row],[GST %]]</f>
        <v>37434.6</v>
      </c>
      <c r="N132" s="161">
        <f>Sales[[#This Row],[Gross Amount]]-Sales[[#This Row],[Disc. Amt.]]+Sales[[#This Row],[GST Amount]]</f>
        <v>245404.6</v>
      </c>
      <c r="O132" s="34" t="s">
        <v>3561</v>
      </c>
      <c r="P132" s="34" t="s">
        <v>3562</v>
      </c>
      <c r="Q132" s="165">
        <f>IF(Sales[[#This Row],[Status]]="Cancelled",0,Sales[[#This Row],[Qty]])</f>
        <v>7</v>
      </c>
      <c r="R132" s="166">
        <f>IF(Sales[[#This Row],[Status]]="Cancelled",0,Sales[[#This Row],[Total Amount]])</f>
        <v>245404.6</v>
      </c>
      <c r="S132" s="162">
        <f>SUM(Sales[Net Amount])</f>
        <v>406839287.73200053</v>
      </c>
    </row>
    <row r="133" spans="1:19" ht="18.75" x14ac:dyDescent="0.25">
      <c r="A133" s="156" t="s">
        <v>3698</v>
      </c>
      <c r="B133" s="157">
        <v>45787</v>
      </c>
      <c r="C133" s="158" t="s">
        <v>726</v>
      </c>
      <c r="D133" s="159" t="str">
        <f>VLOOKUP(Sales[[#This Row],[Customer ID]],Customer[#All],2,0)</f>
        <v>Priya Singh</v>
      </c>
      <c r="E133" s="158" t="s">
        <v>79</v>
      </c>
      <c r="F133" s="158" t="str">
        <f>VLOOKUP(Sales[[#This Row],[Product ID]],Product[#All],2,0)</f>
        <v>Samsung Monitor</v>
      </c>
      <c r="G133" s="159">
        <v>6</v>
      </c>
      <c r="H133" s="160">
        <f>VLOOKUP(Sales[[#This Row],[Product ID]],Product[#All],7,0)</f>
        <v>32480</v>
      </c>
      <c r="I133" s="160">
        <f>Sales[[#This Row],[Selling Rate]]*Sales[[#This Row],[Qty]]</f>
        <v>194880</v>
      </c>
      <c r="J133" s="43">
        <v>0.15</v>
      </c>
      <c r="K133" s="44">
        <f>Sales[[#This Row],[Gross Amount]]*Sales[[#This Row],[Disc %]]</f>
        <v>29232</v>
      </c>
      <c r="L133" s="43">
        <v>0.18</v>
      </c>
      <c r="M133" s="44">
        <f>(Sales[[#This Row],[Gross Amount]]-Sales[[#This Row],[Disc. Amt.]])*Sales[[#This Row],[GST %]]</f>
        <v>29816.639999999999</v>
      </c>
      <c r="N133" s="161">
        <f>Sales[[#This Row],[Gross Amount]]-Sales[[#This Row],[Disc. Amt.]]+Sales[[#This Row],[GST Amount]]</f>
        <v>195464.64</v>
      </c>
      <c r="O133" s="158" t="s">
        <v>8876</v>
      </c>
      <c r="P133" s="158" t="s">
        <v>3562</v>
      </c>
      <c r="Q133" s="160">
        <f>IF(Sales[[#This Row],[Status]]="Cancelled",0,Sales[[#This Row],[Qty]])</f>
        <v>6</v>
      </c>
      <c r="R133" s="161">
        <f>IF(Sales[[#This Row],[Status]]="Cancelled",0,Sales[[#This Row],[Total Amount]])</f>
        <v>195464.64</v>
      </c>
      <c r="S133" s="162">
        <f>SUM(Sales[Net Amount])</f>
        <v>406839287.73200053</v>
      </c>
    </row>
    <row r="134" spans="1:19" ht="18.75" x14ac:dyDescent="0.25">
      <c r="A134" s="163" t="s">
        <v>3699</v>
      </c>
      <c r="B134" s="164">
        <v>45787</v>
      </c>
      <c r="C134" s="34" t="s">
        <v>847</v>
      </c>
      <c r="D134" s="53" t="str">
        <f>VLOOKUP(Sales[[#This Row],[Customer ID]],Customer[#All],2,0)</f>
        <v>Ankit Gupta</v>
      </c>
      <c r="E134" s="34" t="s">
        <v>433</v>
      </c>
      <c r="F134" s="34" t="str">
        <f>VLOOKUP(Sales[[#This Row],[Product ID]],Product[#All],2,0)</f>
        <v>Seagate HDD</v>
      </c>
      <c r="G134" s="53">
        <v>1</v>
      </c>
      <c r="H134" s="165">
        <f>VLOOKUP(Sales[[#This Row],[Product ID]],Product[#All],7,0)</f>
        <v>13910</v>
      </c>
      <c r="I134" s="165">
        <f>Sales[[#This Row],[Selling Rate]]*Sales[[#This Row],[Qty]]</f>
        <v>13910</v>
      </c>
      <c r="J134" s="45">
        <v>0.12</v>
      </c>
      <c r="K134" s="46">
        <f>Sales[[#This Row],[Gross Amount]]*Sales[[#This Row],[Disc %]]</f>
        <v>1669.2</v>
      </c>
      <c r="L134" s="43">
        <v>0.18</v>
      </c>
      <c r="M134" s="46">
        <f>(Sales[[#This Row],[Gross Amount]]-Sales[[#This Row],[Disc. Amt.]])*Sales[[#This Row],[GST %]]</f>
        <v>2203.3439999999996</v>
      </c>
      <c r="N134" s="161">
        <f>Sales[[#This Row],[Gross Amount]]-Sales[[#This Row],[Disc. Amt.]]+Sales[[#This Row],[GST Amount]]</f>
        <v>14444.143999999998</v>
      </c>
      <c r="O134" s="34" t="s">
        <v>3566</v>
      </c>
      <c r="P134" s="34" t="s">
        <v>3562</v>
      </c>
      <c r="Q134" s="165">
        <f>IF(Sales[[#This Row],[Status]]="Cancelled",0,Sales[[#This Row],[Qty]])</f>
        <v>1</v>
      </c>
      <c r="R134" s="166">
        <f>IF(Sales[[#This Row],[Status]]="Cancelled",0,Sales[[#This Row],[Total Amount]])</f>
        <v>14444.143999999998</v>
      </c>
      <c r="S134" s="162">
        <f>SUM(Sales[Net Amount])</f>
        <v>406839287.73200053</v>
      </c>
    </row>
    <row r="135" spans="1:19" ht="18.75" x14ac:dyDescent="0.25">
      <c r="A135" s="156" t="s">
        <v>3700</v>
      </c>
      <c r="B135" s="157">
        <v>45787</v>
      </c>
      <c r="C135" s="158" t="s">
        <v>850</v>
      </c>
      <c r="D135" s="159" t="str">
        <f>VLOOKUP(Sales[[#This Row],[Customer ID]],Customer[#All],2,0)</f>
        <v>Sahil Patel</v>
      </c>
      <c r="E135" s="158" t="s">
        <v>494</v>
      </c>
      <c r="F135" s="158" t="str">
        <f>VLOOKUP(Sales[[#This Row],[Product ID]],Product[#All],2,0)</f>
        <v>Logitech Mouse</v>
      </c>
      <c r="G135" s="159">
        <v>2</v>
      </c>
      <c r="H135" s="160">
        <f>VLOOKUP(Sales[[#This Row],[Product ID]],Product[#All],7,0)</f>
        <v>660</v>
      </c>
      <c r="I135" s="160">
        <f>Sales[[#This Row],[Selling Rate]]*Sales[[#This Row],[Qty]]</f>
        <v>1320</v>
      </c>
      <c r="J135" s="43">
        <v>0.12</v>
      </c>
      <c r="K135" s="44">
        <f>Sales[[#This Row],[Gross Amount]]*Sales[[#This Row],[Disc %]]</f>
        <v>158.4</v>
      </c>
      <c r="L135" s="43">
        <v>0.18</v>
      </c>
      <c r="M135" s="44">
        <f>(Sales[[#This Row],[Gross Amount]]-Sales[[#This Row],[Disc. Amt.]])*Sales[[#This Row],[GST %]]</f>
        <v>209.08799999999997</v>
      </c>
      <c r="N135" s="161">
        <f>Sales[[#This Row],[Gross Amount]]-Sales[[#This Row],[Disc. Amt.]]+Sales[[#This Row],[GST Amount]]</f>
        <v>1370.6879999999999</v>
      </c>
      <c r="O135" s="158" t="s">
        <v>3561</v>
      </c>
      <c r="P135" s="158" t="s">
        <v>3562</v>
      </c>
      <c r="Q135" s="160">
        <f>IF(Sales[[#This Row],[Status]]="Cancelled",0,Sales[[#This Row],[Qty]])</f>
        <v>2</v>
      </c>
      <c r="R135" s="161">
        <f>IF(Sales[[#This Row],[Status]]="Cancelled",0,Sales[[#This Row],[Total Amount]])</f>
        <v>1370.6879999999999</v>
      </c>
      <c r="S135" s="162">
        <f>SUM(Sales[Net Amount])</f>
        <v>406839287.73200053</v>
      </c>
    </row>
    <row r="136" spans="1:19" ht="18.75" x14ac:dyDescent="0.25">
      <c r="A136" s="163" t="s">
        <v>3701</v>
      </c>
      <c r="B136" s="164">
        <v>45787</v>
      </c>
      <c r="C136" s="34" t="s">
        <v>846</v>
      </c>
      <c r="D136" s="53" t="str">
        <f>VLOOKUP(Sales[[#This Row],[Customer ID]],Customer[#All],2,0)</f>
        <v>Ankit Patel</v>
      </c>
      <c r="E136" s="34" t="s">
        <v>53</v>
      </c>
      <c r="F136" s="34" t="str">
        <f>VLOOKUP(Sales[[#This Row],[Product ID]],Product[#All],2,0)</f>
        <v>Microtek UPS</v>
      </c>
      <c r="G136" s="53">
        <v>2</v>
      </c>
      <c r="H136" s="165">
        <f>VLOOKUP(Sales[[#This Row],[Product ID]],Product[#All],7,0)</f>
        <v>13040</v>
      </c>
      <c r="I136" s="165">
        <f>Sales[[#This Row],[Selling Rate]]*Sales[[#This Row],[Qty]]</f>
        <v>26080</v>
      </c>
      <c r="J136" s="45">
        <v>0.02</v>
      </c>
      <c r="K136" s="46">
        <f>Sales[[#This Row],[Gross Amount]]*Sales[[#This Row],[Disc %]]</f>
        <v>521.6</v>
      </c>
      <c r="L136" s="43">
        <v>0.18</v>
      </c>
      <c r="M136" s="46">
        <f>(Sales[[#This Row],[Gross Amount]]-Sales[[#This Row],[Disc. Amt.]])*Sales[[#This Row],[GST %]]</f>
        <v>4600.5119999999997</v>
      </c>
      <c r="N136" s="161">
        <f>Sales[[#This Row],[Gross Amount]]-Sales[[#This Row],[Disc. Amt.]]+Sales[[#This Row],[GST Amount]]</f>
        <v>30158.912</v>
      </c>
      <c r="O136" s="34" t="s">
        <v>3561</v>
      </c>
      <c r="P136" s="34" t="s">
        <v>3562</v>
      </c>
      <c r="Q136" s="165">
        <f>IF(Sales[[#This Row],[Status]]="Cancelled",0,Sales[[#This Row],[Qty]])</f>
        <v>2</v>
      </c>
      <c r="R136" s="166">
        <f>IF(Sales[[#This Row],[Status]]="Cancelled",0,Sales[[#This Row],[Total Amount]])</f>
        <v>30158.912</v>
      </c>
      <c r="S136" s="162">
        <f>SUM(Sales[Net Amount])</f>
        <v>406839287.73200053</v>
      </c>
    </row>
    <row r="137" spans="1:19" ht="18.75" x14ac:dyDescent="0.25">
      <c r="A137" s="156" t="s">
        <v>3702</v>
      </c>
      <c r="B137" s="157">
        <v>45788</v>
      </c>
      <c r="C137" s="158" t="s">
        <v>693</v>
      </c>
      <c r="D137" s="159" t="str">
        <f>VLOOKUP(Sales[[#This Row],[Customer ID]],Customer[#All],2,0)</f>
        <v>Rahul Gupta</v>
      </c>
      <c r="E137" s="158" t="s">
        <v>448</v>
      </c>
      <c r="F137" s="158" t="str">
        <f>VLOOKUP(Sales[[#This Row],[Product ID]],Product[#All],2,0)</f>
        <v>Crucial Ssd</v>
      </c>
      <c r="G137" s="159">
        <v>8</v>
      </c>
      <c r="H137" s="160">
        <f>VLOOKUP(Sales[[#This Row],[Product ID]],Product[#All],7,0)</f>
        <v>7930</v>
      </c>
      <c r="I137" s="160">
        <f>Sales[[#This Row],[Selling Rate]]*Sales[[#This Row],[Qty]]</f>
        <v>63440</v>
      </c>
      <c r="J137" s="43">
        <v>0</v>
      </c>
      <c r="K137" s="44">
        <f>Sales[[#This Row],[Gross Amount]]*Sales[[#This Row],[Disc %]]</f>
        <v>0</v>
      </c>
      <c r="L137" s="43">
        <v>0.18</v>
      </c>
      <c r="M137" s="44">
        <f>(Sales[[#This Row],[Gross Amount]]-Sales[[#This Row],[Disc. Amt.]])*Sales[[#This Row],[GST %]]</f>
        <v>11419.199999999999</v>
      </c>
      <c r="N137" s="161">
        <f>Sales[[#This Row],[Gross Amount]]-Sales[[#This Row],[Disc. Amt.]]+Sales[[#This Row],[GST Amount]]</f>
        <v>74859.199999999997</v>
      </c>
      <c r="O137" s="158" t="s">
        <v>8876</v>
      </c>
      <c r="P137" s="158" t="s">
        <v>1040</v>
      </c>
      <c r="Q137" s="160">
        <f>IF(Sales[[#This Row],[Status]]="Cancelled",0,Sales[[#This Row],[Qty]])</f>
        <v>0</v>
      </c>
      <c r="R137" s="161">
        <f>IF(Sales[[#This Row],[Status]]="Cancelled",0,Sales[[#This Row],[Total Amount]])</f>
        <v>0</v>
      </c>
      <c r="S137" s="162">
        <f>SUM(Sales[Net Amount])</f>
        <v>406839287.73200053</v>
      </c>
    </row>
    <row r="138" spans="1:19" ht="18.75" x14ac:dyDescent="0.25">
      <c r="A138" s="163" t="s">
        <v>3703</v>
      </c>
      <c r="B138" s="164">
        <v>45788</v>
      </c>
      <c r="C138" s="34" t="s">
        <v>922</v>
      </c>
      <c r="D138" s="53" t="str">
        <f>VLOOKUP(Sales[[#This Row],[Customer ID]],Customer[#All],2,0)</f>
        <v>Pooja Patel</v>
      </c>
      <c r="E138" s="34" t="s">
        <v>463</v>
      </c>
      <c r="F138" s="34" t="str">
        <f>VLOOKUP(Sales[[#This Row],[Product ID]],Product[#All],2,0)</f>
        <v>Apc UPS</v>
      </c>
      <c r="G138" s="53">
        <v>5</v>
      </c>
      <c r="H138" s="165">
        <f>VLOOKUP(Sales[[#This Row],[Product ID]],Product[#All],7,0)</f>
        <v>10050</v>
      </c>
      <c r="I138" s="165">
        <f>Sales[[#This Row],[Selling Rate]]*Sales[[#This Row],[Qty]]</f>
        <v>50250</v>
      </c>
      <c r="J138" s="45">
        <v>0</v>
      </c>
      <c r="K138" s="46">
        <f>Sales[[#This Row],[Gross Amount]]*Sales[[#This Row],[Disc %]]</f>
        <v>0</v>
      </c>
      <c r="L138" s="43">
        <v>0.18</v>
      </c>
      <c r="M138" s="46">
        <f>(Sales[[#This Row],[Gross Amount]]-Sales[[#This Row],[Disc. Amt.]])*Sales[[#This Row],[GST %]]</f>
        <v>9045</v>
      </c>
      <c r="N138" s="161">
        <f>Sales[[#This Row],[Gross Amount]]-Sales[[#This Row],[Disc. Amt.]]+Sales[[#This Row],[GST Amount]]</f>
        <v>59295</v>
      </c>
      <c r="O138" s="34" t="s">
        <v>3566</v>
      </c>
      <c r="P138" s="34" t="s">
        <v>3562</v>
      </c>
      <c r="Q138" s="165">
        <f>IF(Sales[[#This Row],[Status]]="Cancelled",0,Sales[[#This Row],[Qty]])</f>
        <v>5</v>
      </c>
      <c r="R138" s="166">
        <f>IF(Sales[[#This Row],[Status]]="Cancelled",0,Sales[[#This Row],[Total Amount]])</f>
        <v>59295</v>
      </c>
      <c r="S138" s="162">
        <f>SUM(Sales[Net Amount])</f>
        <v>406839287.73200053</v>
      </c>
    </row>
    <row r="139" spans="1:19" ht="18.75" x14ac:dyDescent="0.25">
      <c r="A139" s="156" t="s">
        <v>3704</v>
      </c>
      <c r="B139" s="157">
        <v>45788</v>
      </c>
      <c r="C139" s="158" t="s">
        <v>752</v>
      </c>
      <c r="D139" s="159" t="str">
        <f>VLOOKUP(Sales[[#This Row],[Customer ID]],Customer[#All],2,0)</f>
        <v>Pooja Patel</v>
      </c>
      <c r="E139" s="158" t="s">
        <v>434</v>
      </c>
      <c r="F139" s="158" t="str">
        <f>VLOOKUP(Sales[[#This Row],[Product ID]],Product[#All],2,0)</f>
        <v>Logitech Webcam</v>
      </c>
      <c r="G139" s="159">
        <v>3</v>
      </c>
      <c r="H139" s="160">
        <f>VLOOKUP(Sales[[#This Row],[Product ID]],Product[#All],7,0)</f>
        <v>7230</v>
      </c>
      <c r="I139" s="160">
        <f>Sales[[#This Row],[Selling Rate]]*Sales[[#This Row],[Qty]]</f>
        <v>21690</v>
      </c>
      <c r="J139" s="43">
        <v>0</v>
      </c>
      <c r="K139" s="44">
        <f>Sales[[#This Row],[Gross Amount]]*Sales[[#This Row],[Disc %]]</f>
        <v>0</v>
      </c>
      <c r="L139" s="43">
        <v>0.18</v>
      </c>
      <c r="M139" s="44">
        <f>(Sales[[#This Row],[Gross Amount]]-Sales[[#This Row],[Disc. Amt.]])*Sales[[#This Row],[GST %]]</f>
        <v>3904.2</v>
      </c>
      <c r="N139" s="161">
        <f>Sales[[#This Row],[Gross Amount]]-Sales[[#This Row],[Disc. Amt.]]+Sales[[#This Row],[GST Amount]]</f>
        <v>25594.2</v>
      </c>
      <c r="O139" s="158" t="s">
        <v>8876</v>
      </c>
      <c r="P139" s="158" t="s">
        <v>3562</v>
      </c>
      <c r="Q139" s="160">
        <f>IF(Sales[[#This Row],[Status]]="Cancelled",0,Sales[[#This Row],[Qty]])</f>
        <v>3</v>
      </c>
      <c r="R139" s="161">
        <f>IF(Sales[[#This Row],[Status]]="Cancelled",0,Sales[[#This Row],[Total Amount]])</f>
        <v>25594.2</v>
      </c>
      <c r="S139" s="162">
        <f>SUM(Sales[Net Amount])</f>
        <v>406839287.73200053</v>
      </c>
    </row>
    <row r="140" spans="1:19" ht="18.75" x14ac:dyDescent="0.25">
      <c r="A140" s="163" t="s">
        <v>3705</v>
      </c>
      <c r="B140" s="164">
        <v>45788</v>
      </c>
      <c r="C140" s="34" t="s">
        <v>893</v>
      </c>
      <c r="D140" s="53" t="str">
        <f>VLOOKUP(Sales[[#This Row],[Customer ID]],Customer[#All],2,0)</f>
        <v>Sunita Sharma</v>
      </c>
      <c r="E140" s="34" t="s">
        <v>550</v>
      </c>
      <c r="F140" s="34" t="str">
        <f>VLOOKUP(Sales[[#This Row],[Product ID]],Product[#All],2,0)</f>
        <v>TP-link Wi-Fi Adapter</v>
      </c>
      <c r="G140" s="53">
        <v>1</v>
      </c>
      <c r="H140" s="165">
        <f>VLOOKUP(Sales[[#This Row],[Product ID]],Product[#All],7,0)</f>
        <v>1300</v>
      </c>
      <c r="I140" s="165">
        <f>Sales[[#This Row],[Selling Rate]]*Sales[[#This Row],[Qty]]</f>
        <v>1300</v>
      </c>
      <c r="J140" s="45">
        <v>0.12</v>
      </c>
      <c r="K140" s="46">
        <f>Sales[[#This Row],[Gross Amount]]*Sales[[#This Row],[Disc %]]</f>
        <v>156</v>
      </c>
      <c r="L140" s="43">
        <v>0.18</v>
      </c>
      <c r="M140" s="46">
        <f>(Sales[[#This Row],[Gross Amount]]-Sales[[#This Row],[Disc. Amt.]])*Sales[[#This Row],[GST %]]</f>
        <v>205.92</v>
      </c>
      <c r="N140" s="161">
        <f>Sales[[#This Row],[Gross Amount]]-Sales[[#This Row],[Disc. Amt.]]+Sales[[#This Row],[GST Amount]]</f>
        <v>1349.92</v>
      </c>
      <c r="O140" s="34" t="s">
        <v>3566</v>
      </c>
      <c r="P140" s="34" t="s">
        <v>3562</v>
      </c>
      <c r="Q140" s="165">
        <f>IF(Sales[[#This Row],[Status]]="Cancelled",0,Sales[[#This Row],[Qty]])</f>
        <v>1</v>
      </c>
      <c r="R140" s="166">
        <f>IF(Sales[[#This Row],[Status]]="Cancelled",0,Sales[[#This Row],[Total Amount]])</f>
        <v>1349.92</v>
      </c>
      <c r="S140" s="162">
        <f>SUM(Sales[Net Amount])</f>
        <v>406839287.73200053</v>
      </c>
    </row>
    <row r="141" spans="1:19" ht="18.75" x14ac:dyDescent="0.25">
      <c r="A141" s="156" t="s">
        <v>3706</v>
      </c>
      <c r="B141" s="157">
        <v>45788</v>
      </c>
      <c r="C141" s="158" t="s">
        <v>952</v>
      </c>
      <c r="D141" s="159" t="str">
        <f>VLOOKUP(Sales[[#This Row],[Customer ID]],Customer[#All],2,0)</f>
        <v>Pooja Singh</v>
      </c>
      <c r="E141" s="158" t="s">
        <v>553</v>
      </c>
      <c r="F141" s="158" t="str">
        <f>VLOOKUP(Sales[[#This Row],[Product ID]],Product[#All],2,0)</f>
        <v>Logitech Webcam</v>
      </c>
      <c r="G141" s="159">
        <v>8</v>
      </c>
      <c r="H141" s="160">
        <f>VLOOKUP(Sales[[#This Row],[Product ID]],Product[#All],7,0)</f>
        <v>3820</v>
      </c>
      <c r="I141" s="160">
        <f>Sales[[#This Row],[Selling Rate]]*Sales[[#This Row],[Qty]]</f>
        <v>30560</v>
      </c>
      <c r="J141" s="43">
        <v>0.12</v>
      </c>
      <c r="K141" s="44">
        <f>Sales[[#This Row],[Gross Amount]]*Sales[[#This Row],[Disc %]]</f>
        <v>3667.2</v>
      </c>
      <c r="L141" s="43">
        <v>0.18</v>
      </c>
      <c r="M141" s="44">
        <f>(Sales[[#This Row],[Gross Amount]]-Sales[[#This Row],[Disc. Amt.]])*Sales[[#This Row],[GST %]]</f>
        <v>4840.7039999999997</v>
      </c>
      <c r="N141" s="161">
        <f>Sales[[#This Row],[Gross Amount]]-Sales[[#This Row],[Disc. Amt.]]+Sales[[#This Row],[GST Amount]]</f>
        <v>31733.504000000001</v>
      </c>
      <c r="O141" s="158" t="s">
        <v>8876</v>
      </c>
      <c r="P141" s="158" t="s">
        <v>3562</v>
      </c>
      <c r="Q141" s="160">
        <f>IF(Sales[[#This Row],[Status]]="Cancelled",0,Sales[[#This Row],[Qty]])</f>
        <v>8</v>
      </c>
      <c r="R141" s="161">
        <f>IF(Sales[[#This Row],[Status]]="Cancelled",0,Sales[[#This Row],[Total Amount]])</f>
        <v>31733.504000000001</v>
      </c>
      <c r="S141" s="162">
        <f>SUM(Sales[Net Amount])</f>
        <v>406839287.73200053</v>
      </c>
    </row>
    <row r="142" spans="1:19" ht="18.75" x14ac:dyDescent="0.25">
      <c r="A142" s="163" t="s">
        <v>3707</v>
      </c>
      <c r="B142" s="164">
        <v>45788</v>
      </c>
      <c r="C142" s="34" t="s">
        <v>694</v>
      </c>
      <c r="D142" s="53" t="str">
        <f>VLOOKUP(Sales[[#This Row],[Customer ID]],Customer[#All],2,0)</f>
        <v>Amit Sharma</v>
      </c>
      <c r="E142" s="34" t="s">
        <v>496</v>
      </c>
      <c r="F142" s="34" t="str">
        <f>VLOOKUP(Sales[[#This Row],[Product ID]],Product[#All],2,0)</f>
        <v>Boat Speaker</v>
      </c>
      <c r="G142" s="53">
        <v>7</v>
      </c>
      <c r="H142" s="165">
        <f>VLOOKUP(Sales[[#This Row],[Product ID]],Product[#All],7,0)</f>
        <v>2230</v>
      </c>
      <c r="I142" s="165">
        <f>Sales[[#This Row],[Selling Rate]]*Sales[[#This Row],[Qty]]</f>
        <v>15610</v>
      </c>
      <c r="J142" s="45">
        <v>0</v>
      </c>
      <c r="K142" s="46">
        <f>Sales[[#This Row],[Gross Amount]]*Sales[[#This Row],[Disc %]]</f>
        <v>0</v>
      </c>
      <c r="L142" s="43">
        <v>0.18</v>
      </c>
      <c r="M142" s="46">
        <f>(Sales[[#This Row],[Gross Amount]]-Sales[[#This Row],[Disc. Amt.]])*Sales[[#This Row],[GST %]]</f>
        <v>2809.7999999999997</v>
      </c>
      <c r="N142" s="161">
        <f>Sales[[#This Row],[Gross Amount]]-Sales[[#This Row],[Disc. Amt.]]+Sales[[#This Row],[GST Amount]]</f>
        <v>18419.8</v>
      </c>
      <c r="O142" s="34" t="s">
        <v>3566</v>
      </c>
      <c r="P142" s="34" t="s">
        <v>3562</v>
      </c>
      <c r="Q142" s="165">
        <f>IF(Sales[[#This Row],[Status]]="Cancelled",0,Sales[[#This Row],[Qty]])</f>
        <v>7</v>
      </c>
      <c r="R142" s="166">
        <f>IF(Sales[[#This Row],[Status]]="Cancelled",0,Sales[[#This Row],[Total Amount]])</f>
        <v>18419.8</v>
      </c>
      <c r="S142" s="162">
        <f>SUM(Sales[Net Amount])</f>
        <v>406839287.73200053</v>
      </c>
    </row>
    <row r="143" spans="1:19" ht="18.75" x14ac:dyDescent="0.25">
      <c r="A143" s="156" t="s">
        <v>3708</v>
      </c>
      <c r="B143" s="157">
        <v>45788</v>
      </c>
      <c r="C143" s="158" t="s">
        <v>941</v>
      </c>
      <c r="D143" s="159" t="str">
        <f>VLOOKUP(Sales[[#This Row],[Customer ID]],Customer[#All],2,0)</f>
        <v>Sahil Verma</v>
      </c>
      <c r="E143" s="158" t="s">
        <v>216</v>
      </c>
      <c r="F143" s="158" t="str">
        <f>VLOOKUP(Sales[[#This Row],[Product ID]],Product[#All],2,0)</f>
        <v>Amazon Basics Hdmi Cable</v>
      </c>
      <c r="G143" s="159">
        <v>4</v>
      </c>
      <c r="H143" s="160">
        <f>VLOOKUP(Sales[[#This Row],[Product ID]],Product[#All],7,0)</f>
        <v>1080</v>
      </c>
      <c r="I143" s="160">
        <f>Sales[[#This Row],[Selling Rate]]*Sales[[#This Row],[Qty]]</f>
        <v>4320</v>
      </c>
      <c r="J143" s="43">
        <v>0.15</v>
      </c>
      <c r="K143" s="44">
        <f>Sales[[#This Row],[Gross Amount]]*Sales[[#This Row],[Disc %]]</f>
        <v>648</v>
      </c>
      <c r="L143" s="43">
        <v>0.18</v>
      </c>
      <c r="M143" s="44">
        <f>(Sales[[#This Row],[Gross Amount]]-Sales[[#This Row],[Disc. Amt.]])*Sales[[#This Row],[GST %]]</f>
        <v>660.95999999999992</v>
      </c>
      <c r="N143" s="161">
        <f>Sales[[#This Row],[Gross Amount]]-Sales[[#This Row],[Disc. Amt.]]+Sales[[#This Row],[GST Amount]]</f>
        <v>4332.96</v>
      </c>
      <c r="O143" s="158" t="s">
        <v>3566</v>
      </c>
      <c r="P143" s="158" t="s">
        <v>1040</v>
      </c>
      <c r="Q143" s="160">
        <f>IF(Sales[[#This Row],[Status]]="Cancelled",0,Sales[[#This Row],[Qty]])</f>
        <v>0</v>
      </c>
      <c r="R143" s="161">
        <f>IF(Sales[[#This Row],[Status]]="Cancelled",0,Sales[[#This Row],[Total Amount]])</f>
        <v>0</v>
      </c>
      <c r="S143" s="162">
        <f>SUM(Sales[Net Amount])</f>
        <v>406839287.73200053</v>
      </c>
    </row>
    <row r="144" spans="1:19" ht="18.75" x14ac:dyDescent="0.25">
      <c r="A144" s="163" t="s">
        <v>3709</v>
      </c>
      <c r="B144" s="164">
        <v>45788</v>
      </c>
      <c r="C144" s="34" t="s">
        <v>930</v>
      </c>
      <c r="D144" s="53" t="str">
        <f>VLOOKUP(Sales[[#This Row],[Customer ID]],Customer[#All],2,0)</f>
        <v>Rakesh Gupta</v>
      </c>
      <c r="E144" s="34" t="s">
        <v>382</v>
      </c>
      <c r="F144" s="34" t="str">
        <f>VLOOKUP(Sales[[#This Row],[Product ID]],Product[#All],2,0)</f>
        <v>Canon Printer</v>
      </c>
      <c r="G144" s="53">
        <v>3</v>
      </c>
      <c r="H144" s="165">
        <f>VLOOKUP(Sales[[#This Row],[Product ID]],Product[#All],7,0)</f>
        <v>32930</v>
      </c>
      <c r="I144" s="165">
        <f>Sales[[#This Row],[Selling Rate]]*Sales[[#This Row],[Qty]]</f>
        <v>98790</v>
      </c>
      <c r="J144" s="45">
        <v>0.02</v>
      </c>
      <c r="K144" s="46">
        <f>Sales[[#This Row],[Gross Amount]]*Sales[[#This Row],[Disc %]]</f>
        <v>1975.8</v>
      </c>
      <c r="L144" s="43">
        <v>0.18</v>
      </c>
      <c r="M144" s="46">
        <f>(Sales[[#This Row],[Gross Amount]]-Sales[[#This Row],[Disc. Amt.]])*Sales[[#This Row],[GST %]]</f>
        <v>17426.556</v>
      </c>
      <c r="N144" s="161">
        <f>Sales[[#This Row],[Gross Amount]]-Sales[[#This Row],[Disc. Amt.]]+Sales[[#This Row],[GST Amount]]</f>
        <v>114240.75599999999</v>
      </c>
      <c r="O144" s="34" t="s">
        <v>3561</v>
      </c>
      <c r="P144" s="34" t="s">
        <v>3562</v>
      </c>
      <c r="Q144" s="165">
        <f>IF(Sales[[#This Row],[Status]]="Cancelled",0,Sales[[#This Row],[Qty]])</f>
        <v>3</v>
      </c>
      <c r="R144" s="166">
        <f>IF(Sales[[#This Row],[Status]]="Cancelled",0,Sales[[#This Row],[Total Amount]])</f>
        <v>114240.75599999999</v>
      </c>
      <c r="S144" s="162">
        <f>SUM(Sales[Net Amount])</f>
        <v>406839287.73200053</v>
      </c>
    </row>
    <row r="145" spans="1:19" ht="18.75" x14ac:dyDescent="0.25">
      <c r="A145" s="156" t="s">
        <v>3710</v>
      </c>
      <c r="B145" s="157">
        <v>45788</v>
      </c>
      <c r="C145" s="158" t="s">
        <v>652</v>
      </c>
      <c r="D145" s="159" t="str">
        <f>VLOOKUP(Sales[[#This Row],[Customer ID]],Customer[#All],2,0)</f>
        <v>Sahil Kumar</v>
      </c>
      <c r="E145" s="158" t="s">
        <v>336</v>
      </c>
      <c r="F145" s="158" t="str">
        <f>VLOOKUP(Sales[[#This Row],[Product ID]],Product[#All],2,0)</f>
        <v>Boat Headset</v>
      </c>
      <c r="G145" s="159">
        <v>2</v>
      </c>
      <c r="H145" s="160">
        <f>VLOOKUP(Sales[[#This Row],[Product ID]],Product[#All],7,0)</f>
        <v>1380</v>
      </c>
      <c r="I145" s="160">
        <f>Sales[[#This Row],[Selling Rate]]*Sales[[#This Row],[Qty]]</f>
        <v>2760</v>
      </c>
      <c r="J145" s="43">
        <v>0.05</v>
      </c>
      <c r="K145" s="44">
        <f>Sales[[#This Row],[Gross Amount]]*Sales[[#This Row],[Disc %]]</f>
        <v>138</v>
      </c>
      <c r="L145" s="43">
        <v>0.18</v>
      </c>
      <c r="M145" s="44">
        <f>(Sales[[#This Row],[Gross Amount]]-Sales[[#This Row],[Disc. Amt.]])*Sales[[#This Row],[GST %]]</f>
        <v>471.96</v>
      </c>
      <c r="N145" s="161">
        <f>Sales[[#This Row],[Gross Amount]]-Sales[[#This Row],[Disc. Amt.]]+Sales[[#This Row],[GST Amount]]</f>
        <v>3093.96</v>
      </c>
      <c r="O145" s="158" t="s">
        <v>8876</v>
      </c>
      <c r="P145" s="158" t="s">
        <v>3562</v>
      </c>
      <c r="Q145" s="160">
        <f>IF(Sales[[#This Row],[Status]]="Cancelled",0,Sales[[#This Row],[Qty]])</f>
        <v>2</v>
      </c>
      <c r="R145" s="161">
        <f>IF(Sales[[#This Row],[Status]]="Cancelled",0,Sales[[#This Row],[Total Amount]])</f>
        <v>3093.96</v>
      </c>
      <c r="S145" s="162">
        <f>SUM(Sales[Net Amount])</f>
        <v>406839287.73200053</v>
      </c>
    </row>
    <row r="146" spans="1:19" ht="18.75" x14ac:dyDescent="0.25">
      <c r="A146" s="163" t="s">
        <v>3711</v>
      </c>
      <c r="B146" s="164">
        <v>45788</v>
      </c>
      <c r="C146" s="34" t="s">
        <v>838</v>
      </c>
      <c r="D146" s="53" t="str">
        <f>VLOOKUP(Sales[[#This Row],[Customer ID]],Customer[#All],2,0)</f>
        <v>Priya Gupta</v>
      </c>
      <c r="E146" s="34" t="s">
        <v>414</v>
      </c>
      <c r="F146" s="34" t="str">
        <f>VLOOKUP(Sales[[#This Row],[Product ID]],Product[#All],2,0)</f>
        <v>Logitech Keyboard</v>
      </c>
      <c r="G146" s="53">
        <v>8</v>
      </c>
      <c r="H146" s="165">
        <f>VLOOKUP(Sales[[#This Row],[Product ID]],Product[#All],7,0)</f>
        <v>2030</v>
      </c>
      <c r="I146" s="165">
        <f>Sales[[#This Row],[Selling Rate]]*Sales[[#This Row],[Qty]]</f>
        <v>16240</v>
      </c>
      <c r="J146" s="45">
        <v>0.15</v>
      </c>
      <c r="K146" s="46">
        <f>Sales[[#This Row],[Gross Amount]]*Sales[[#This Row],[Disc %]]</f>
        <v>2436</v>
      </c>
      <c r="L146" s="43">
        <v>0.18</v>
      </c>
      <c r="M146" s="46">
        <f>(Sales[[#This Row],[Gross Amount]]-Sales[[#This Row],[Disc. Amt.]])*Sales[[#This Row],[GST %]]</f>
        <v>2484.7199999999998</v>
      </c>
      <c r="N146" s="161">
        <f>Sales[[#This Row],[Gross Amount]]-Sales[[#This Row],[Disc. Amt.]]+Sales[[#This Row],[GST Amount]]</f>
        <v>16288.72</v>
      </c>
      <c r="O146" s="34" t="s">
        <v>3561</v>
      </c>
      <c r="P146" s="34" t="s">
        <v>3562</v>
      </c>
      <c r="Q146" s="165">
        <f>IF(Sales[[#This Row],[Status]]="Cancelled",0,Sales[[#This Row],[Qty]])</f>
        <v>8</v>
      </c>
      <c r="R146" s="166">
        <f>IF(Sales[[#This Row],[Status]]="Cancelled",0,Sales[[#This Row],[Total Amount]])</f>
        <v>16288.72</v>
      </c>
      <c r="S146" s="162">
        <f>SUM(Sales[Net Amount])</f>
        <v>406839287.73200053</v>
      </c>
    </row>
    <row r="147" spans="1:19" ht="18.75" x14ac:dyDescent="0.25">
      <c r="A147" s="156" t="s">
        <v>3712</v>
      </c>
      <c r="B147" s="157">
        <v>45788</v>
      </c>
      <c r="C147" s="158" t="s">
        <v>660</v>
      </c>
      <c r="D147" s="159" t="str">
        <f>VLOOKUP(Sales[[#This Row],[Customer ID]],Customer[#All],2,0)</f>
        <v>Priya Sharma</v>
      </c>
      <c r="E147" s="158" t="s">
        <v>340</v>
      </c>
      <c r="F147" s="158" t="str">
        <f>VLOOKUP(Sales[[#This Row],[Product ID]],Product[#All],2,0)</f>
        <v>Amazon Basics Hdmi Cable</v>
      </c>
      <c r="G147" s="159">
        <v>2</v>
      </c>
      <c r="H147" s="160">
        <f>VLOOKUP(Sales[[#This Row],[Product ID]],Product[#All],7,0)</f>
        <v>1150</v>
      </c>
      <c r="I147" s="160">
        <f>Sales[[#This Row],[Selling Rate]]*Sales[[#This Row],[Qty]]</f>
        <v>2300</v>
      </c>
      <c r="J147" s="43">
        <v>0.05</v>
      </c>
      <c r="K147" s="44">
        <f>Sales[[#This Row],[Gross Amount]]*Sales[[#This Row],[Disc %]]</f>
        <v>115</v>
      </c>
      <c r="L147" s="43">
        <v>0.18</v>
      </c>
      <c r="M147" s="44">
        <f>(Sales[[#This Row],[Gross Amount]]-Sales[[#This Row],[Disc. Amt.]])*Sales[[#This Row],[GST %]]</f>
        <v>393.3</v>
      </c>
      <c r="N147" s="161">
        <f>Sales[[#This Row],[Gross Amount]]-Sales[[#This Row],[Disc. Amt.]]+Sales[[#This Row],[GST Amount]]</f>
        <v>2578.3000000000002</v>
      </c>
      <c r="O147" s="158" t="s">
        <v>3569</v>
      </c>
      <c r="P147" s="158" t="s">
        <v>3562</v>
      </c>
      <c r="Q147" s="160">
        <f>IF(Sales[[#This Row],[Status]]="Cancelled",0,Sales[[#This Row],[Qty]])</f>
        <v>2</v>
      </c>
      <c r="R147" s="161">
        <f>IF(Sales[[#This Row],[Status]]="Cancelled",0,Sales[[#This Row],[Total Amount]])</f>
        <v>2578.3000000000002</v>
      </c>
      <c r="S147" s="162">
        <f>SUM(Sales[Net Amount])</f>
        <v>406839287.73200053</v>
      </c>
    </row>
    <row r="148" spans="1:19" ht="18.75" x14ac:dyDescent="0.25">
      <c r="A148" s="163" t="s">
        <v>3713</v>
      </c>
      <c r="B148" s="164">
        <v>45788</v>
      </c>
      <c r="C148" s="34" t="s">
        <v>751</v>
      </c>
      <c r="D148" s="53" t="str">
        <f>VLOOKUP(Sales[[#This Row],[Customer ID]],Customer[#All],2,0)</f>
        <v>Ankit Verma</v>
      </c>
      <c r="E148" s="34" t="s">
        <v>285</v>
      </c>
      <c r="F148" s="34" t="str">
        <f>VLOOKUP(Sales[[#This Row],[Product ID]],Product[#All],2,0)</f>
        <v>HP Power Adapter</v>
      </c>
      <c r="G148" s="53">
        <v>4</v>
      </c>
      <c r="H148" s="165">
        <f>VLOOKUP(Sales[[#This Row],[Product ID]],Product[#All],7,0)</f>
        <v>2170</v>
      </c>
      <c r="I148" s="165">
        <f>Sales[[#This Row],[Selling Rate]]*Sales[[#This Row],[Qty]]</f>
        <v>8680</v>
      </c>
      <c r="J148" s="45">
        <v>0.12</v>
      </c>
      <c r="K148" s="46">
        <f>Sales[[#This Row],[Gross Amount]]*Sales[[#This Row],[Disc %]]</f>
        <v>1041.5999999999999</v>
      </c>
      <c r="L148" s="43">
        <v>0.18</v>
      </c>
      <c r="M148" s="46">
        <f>(Sales[[#This Row],[Gross Amount]]-Sales[[#This Row],[Disc. Amt.]])*Sales[[#This Row],[GST %]]</f>
        <v>1374.9119999999998</v>
      </c>
      <c r="N148" s="161">
        <f>Sales[[#This Row],[Gross Amount]]-Sales[[#This Row],[Disc. Amt.]]+Sales[[#This Row],[GST Amount]]</f>
        <v>9013.3119999999999</v>
      </c>
      <c r="O148" s="34" t="s">
        <v>3566</v>
      </c>
      <c r="P148" s="34" t="s">
        <v>3562</v>
      </c>
      <c r="Q148" s="165">
        <f>IF(Sales[[#This Row],[Status]]="Cancelled",0,Sales[[#This Row],[Qty]])</f>
        <v>4</v>
      </c>
      <c r="R148" s="166">
        <f>IF(Sales[[#This Row],[Status]]="Cancelled",0,Sales[[#This Row],[Total Amount]])</f>
        <v>9013.3119999999999</v>
      </c>
      <c r="S148" s="162">
        <f>SUM(Sales[Net Amount])</f>
        <v>406839287.73200053</v>
      </c>
    </row>
    <row r="149" spans="1:19" ht="18.75" x14ac:dyDescent="0.25">
      <c r="A149" s="156" t="s">
        <v>3714</v>
      </c>
      <c r="B149" s="157">
        <v>45788</v>
      </c>
      <c r="C149" s="158" t="s">
        <v>839</v>
      </c>
      <c r="D149" s="159" t="str">
        <f>VLOOKUP(Sales[[#This Row],[Customer ID]],Customer[#All],2,0)</f>
        <v>Amit Patel</v>
      </c>
      <c r="E149" s="158" t="s">
        <v>331</v>
      </c>
      <c r="F149" s="158" t="str">
        <f>VLOOKUP(Sales[[#This Row],[Product ID]],Product[#All],2,0)</f>
        <v>Dell Keyboard</v>
      </c>
      <c r="G149" s="159">
        <v>6</v>
      </c>
      <c r="H149" s="160">
        <f>VLOOKUP(Sales[[#This Row],[Product ID]],Product[#All],7,0)</f>
        <v>2070</v>
      </c>
      <c r="I149" s="160">
        <f>Sales[[#This Row],[Selling Rate]]*Sales[[#This Row],[Qty]]</f>
        <v>12420</v>
      </c>
      <c r="J149" s="43">
        <v>0</v>
      </c>
      <c r="K149" s="44">
        <f>Sales[[#This Row],[Gross Amount]]*Sales[[#This Row],[Disc %]]</f>
        <v>0</v>
      </c>
      <c r="L149" s="43">
        <v>0.18</v>
      </c>
      <c r="M149" s="44">
        <f>(Sales[[#This Row],[Gross Amount]]-Sales[[#This Row],[Disc. Amt.]])*Sales[[#This Row],[GST %]]</f>
        <v>2235.6</v>
      </c>
      <c r="N149" s="161">
        <f>Sales[[#This Row],[Gross Amount]]-Sales[[#This Row],[Disc. Amt.]]+Sales[[#This Row],[GST Amount]]</f>
        <v>14655.6</v>
      </c>
      <c r="O149" s="158" t="s">
        <v>3566</v>
      </c>
      <c r="P149" s="158" t="s">
        <v>3562</v>
      </c>
      <c r="Q149" s="160">
        <f>IF(Sales[[#This Row],[Status]]="Cancelled",0,Sales[[#This Row],[Qty]])</f>
        <v>6</v>
      </c>
      <c r="R149" s="161">
        <f>IF(Sales[[#This Row],[Status]]="Cancelled",0,Sales[[#This Row],[Total Amount]])</f>
        <v>14655.6</v>
      </c>
      <c r="S149" s="162">
        <f>SUM(Sales[Net Amount])</f>
        <v>406839287.73200053</v>
      </c>
    </row>
    <row r="150" spans="1:19" ht="18.75" x14ac:dyDescent="0.25">
      <c r="A150" s="163" t="s">
        <v>3715</v>
      </c>
      <c r="B150" s="164">
        <v>45788</v>
      </c>
      <c r="C150" s="34" t="s">
        <v>739</v>
      </c>
      <c r="D150" s="53" t="str">
        <f>VLOOKUP(Sales[[#This Row],[Customer ID]],Customer[#All],2,0)</f>
        <v>Ankit Singh</v>
      </c>
      <c r="E150" s="34" t="s">
        <v>41</v>
      </c>
      <c r="F150" s="34" t="str">
        <f>VLOOKUP(Sales[[#This Row],[Product ID]],Product[#All],2,0)</f>
        <v>HP Laptop</v>
      </c>
      <c r="G150" s="53">
        <v>5</v>
      </c>
      <c r="H150" s="165">
        <f>VLOOKUP(Sales[[#This Row],[Product ID]],Product[#All],7,0)</f>
        <v>74700</v>
      </c>
      <c r="I150" s="165">
        <f>Sales[[#This Row],[Selling Rate]]*Sales[[#This Row],[Qty]]</f>
        <v>373500</v>
      </c>
      <c r="J150" s="45">
        <v>0</v>
      </c>
      <c r="K150" s="46">
        <f>Sales[[#This Row],[Gross Amount]]*Sales[[#This Row],[Disc %]]</f>
        <v>0</v>
      </c>
      <c r="L150" s="43">
        <v>0.18</v>
      </c>
      <c r="M150" s="46">
        <f>(Sales[[#This Row],[Gross Amount]]-Sales[[#This Row],[Disc. Amt.]])*Sales[[#This Row],[GST %]]</f>
        <v>67230</v>
      </c>
      <c r="N150" s="161">
        <f>Sales[[#This Row],[Gross Amount]]-Sales[[#This Row],[Disc. Amt.]]+Sales[[#This Row],[GST Amount]]</f>
        <v>440730</v>
      </c>
      <c r="O150" s="34" t="s">
        <v>8876</v>
      </c>
      <c r="P150" s="34" t="s">
        <v>3562</v>
      </c>
      <c r="Q150" s="165">
        <f>IF(Sales[[#This Row],[Status]]="Cancelled",0,Sales[[#This Row],[Qty]])</f>
        <v>5</v>
      </c>
      <c r="R150" s="166">
        <f>IF(Sales[[#This Row],[Status]]="Cancelled",0,Sales[[#This Row],[Total Amount]])</f>
        <v>440730</v>
      </c>
      <c r="S150" s="162">
        <f>SUM(Sales[Net Amount])</f>
        <v>406839287.73200053</v>
      </c>
    </row>
    <row r="151" spans="1:19" ht="18.75" x14ac:dyDescent="0.25">
      <c r="A151" s="156" t="s">
        <v>3716</v>
      </c>
      <c r="B151" s="157">
        <v>45788</v>
      </c>
      <c r="C151" s="158" t="s">
        <v>778</v>
      </c>
      <c r="D151" s="159" t="str">
        <f>VLOOKUP(Sales[[#This Row],[Customer ID]],Customer[#All],2,0)</f>
        <v>Ankit Gupta</v>
      </c>
      <c r="E151" s="158" t="s">
        <v>279</v>
      </c>
      <c r="F151" s="158" t="str">
        <f>VLOOKUP(Sales[[#This Row],[Product ID]],Product[#All],2,0)</f>
        <v>HP Printer</v>
      </c>
      <c r="G151" s="159">
        <v>1</v>
      </c>
      <c r="H151" s="160">
        <f>VLOOKUP(Sales[[#This Row],[Product ID]],Product[#All],7,0)</f>
        <v>25880</v>
      </c>
      <c r="I151" s="160">
        <f>Sales[[#This Row],[Selling Rate]]*Sales[[#This Row],[Qty]]</f>
        <v>25880</v>
      </c>
      <c r="J151" s="43">
        <v>0.12</v>
      </c>
      <c r="K151" s="44">
        <f>Sales[[#This Row],[Gross Amount]]*Sales[[#This Row],[Disc %]]</f>
        <v>3105.6</v>
      </c>
      <c r="L151" s="43">
        <v>0.18</v>
      </c>
      <c r="M151" s="44">
        <f>(Sales[[#This Row],[Gross Amount]]-Sales[[#This Row],[Disc. Amt.]])*Sales[[#This Row],[GST %]]</f>
        <v>4099.3919999999998</v>
      </c>
      <c r="N151" s="161">
        <f>Sales[[#This Row],[Gross Amount]]-Sales[[#This Row],[Disc. Amt.]]+Sales[[#This Row],[GST Amount]]</f>
        <v>26873.792000000001</v>
      </c>
      <c r="O151" s="158" t="s">
        <v>3569</v>
      </c>
      <c r="P151" s="158" t="s">
        <v>3562</v>
      </c>
      <c r="Q151" s="160">
        <f>IF(Sales[[#This Row],[Status]]="Cancelled",0,Sales[[#This Row],[Qty]])</f>
        <v>1</v>
      </c>
      <c r="R151" s="161">
        <f>IF(Sales[[#This Row],[Status]]="Cancelled",0,Sales[[#This Row],[Total Amount]])</f>
        <v>26873.792000000001</v>
      </c>
      <c r="S151" s="162">
        <f>SUM(Sales[Net Amount])</f>
        <v>406839287.73200053</v>
      </c>
    </row>
    <row r="152" spans="1:19" ht="18.75" x14ac:dyDescent="0.25">
      <c r="A152" s="163" t="s">
        <v>3717</v>
      </c>
      <c r="B152" s="164">
        <v>45788</v>
      </c>
      <c r="C152" s="34" t="s">
        <v>686</v>
      </c>
      <c r="D152" s="53" t="str">
        <f>VLOOKUP(Sales[[#This Row],[Customer ID]],Customer[#All],2,0)</f>
        <v>Priya Gupta</v>
      </c>
      <c r="E152" s="34" t="s">
        <v>495</v>
      </c>
      <c r="F152" s="34" t="str">
        <f>VLOOKUP(Sales[[#This Row],[Product ID]],Product[#All],2,0)</f>
        <v>Dell Laptop</v>
      </c>
      <c r="G152" s="53">
        <v>4</v>
      </c>
      <c r="H152" s="165">
        <f>VLOOKUP(Sales[[#This Row],[Product ID]],Product[#All],7,0)</f>
        <v>63410</v>
      </c>
      <c r="I152" s="165">
        <f>Sales[[#This Row],[Selling Rate]]*Sales[[#This Row],[Qty]]</f>
        <v>253640</v>
      </c>
      <c r="J152" s="45">
        <v>0.05</v>
      </c>
      <c r="K152" s="46">
        <f>Sales[[#This Row],[Gross Amount]]*Sales[[#This Row],[Disc %]]</f>
        <v>12682</v>
      </c>
      <c r="L152" s="43">
        <v>0.18</v>
      </c>
      <c r="M152" s="46">
        <f>(Sales[[#This Row],[Gross Amount]]-Sales[[#This Row],[Disc. Amt.]])*Sales[[#This Row],[GST %]]</f>
        <v>43372.439999999995</v>
      </c>
      <c r="N152" s="161">
        <f>Sales[[#This Row],[Gross Amount]]-Sales[[#This Row],[Disc. Amt.]]+Sales[[#This Row],[GST Amount]]</f>
        <v>284330.44</v>
      </c>
      <c r="O152" s="34" t="s">
        <v>3566</v>
      </c>
      <c r="P152" s="34" t="s">
        <v>3562</v>
      </c>
      <c r="Q152" s="165">
        <f>IF(Sales[[#This Row],[Status]]="Cancelled",0,Sales[[#This Row],[Qty]])</f>
        <v>4</v>
      </c>
      <c r="R152" s="166">
        <f>IF(Sales[[#This Row],[Status]]="Cancelled",0,Sales[[#This Row],[Total Amount]])</f>
        <v>284330.44</v>
      </c>
      <c r="S152" s="162">
        <f>SUM(Sales[Net Amount])</f>
        <v>406839287.73200053</v>
      </c>
    </row>
    <row r="153" spans="1:19" ht="18.75" x14ac:dyDescent="0.25">
      <c r="A153" s="156" t="s">
        <v>3718</v>
      </c>
      <c r="B153" s="157">
        <v>45788</v>
      </c>
      <c r="C153" s="158" t="s">
        <v>751</v>
      </c>
      <c r="D153" s="159" t="str">
        <f>VLOOKUP(Sales[[#This Row],[Customer ID]],Customer[#All],2,0)</f>
        <v>Ankit Verma</v>
      </c>
      <c r="E153" s="158" t="s">
        <v>448</v>
      </c>
      <c r="F153" s="158" t="str">
        <f>VLOOKUP(Sales[[#This Row],[Product ID]],Product[#All],2,0)</f>
        <v>Crucial Ssd</v>
      </c>
      <c r="G153" s="159">
        <v>2</v>
      </c>
      <c r="H153" s="160">
        <f>VLOOKUP(Sales[[#This Row],[Product ID]],Product[#All],7,0)</f>
        <v>7930</v>
      </c>
      <c r="I153" s="160">
        <f>Sales[[#This Row],[Selling Rate]]*Sales[[#This Row],[Qty]]</f>
        <v>15860</v>
      </c>
      <c r="J153" s="43">
        <v>0.15</v>
      </c>
      <c r="K153" s="44">
        <f>Sales[[#This Row],[Gross Amount]]*Sales[[#This Row],[Disc %]]</f>
        <v>2379</v>
      </c>
      <c r="L153" s="43">
        <v>0.18</v>
      </c>
      <c r="M153" s="44">
        <f>(Sales[[#This Row],[Gross Amount]]-Sales[[#This Row],[Disc. Amt.]])*Sales[[#This Row],[GST %]]</f>
        <v>2426.58</v>
      </c>
      <c r="N153" s="161">
        <f>Sales[[#This Row],[Gross Amount]]-Sales[[#This Row],[Disc. Amt.]]+Sales[[#This Row],[GST Amount]]</f>
        <v>15907.58</v>
      </c>
      <c r="O153" s="158" t="s">
        <v>3561</v>
      </c>
      <c r="P153" s="158" t="s">
        <v>3562</v>
      </c>
      <c r="Q153" s="160">
        <f>IF(Sales[[#This Row],[Status]]="Cancelled",0,Sales[[#This Row],[Qty]])</f>
        <v>2</v>
      </c>
      <c r="R153" s="161">
        <f>IF(Sales[[#This Row],[Status]]="Cancelled",0,Sales[[#This Row],[Total Amount]])</f>
        <v>15907.58</v>
      </c>
      <c r="S153" s="162">
        <f>SUM(Sales[Net Amount])</f>
        <v>406839287.73200053</v>
      </c>
    </row>
    <row r="154" spans="1:19" ht="18.75" x14ac:dyDescent="0.25">
      <c r="A154" s="163" t="s">
        <v>3719</v>
      </c>
      <c r="B154" s="164">
        <v>45788</v>
      </c>
      <c r="C154" s="34" t="s">
        <v>754</v>
      </c>
      <c r="D154" s="53" t="str">
        <f>VLOOKUP(Sales[[#This Row],[Customer ID]],Customer[#All],2,0)</f>
        <v>Rakesh Gupta</v>
      </c>
      <c r="E154" s="34" t="s">
        <v>36</v>
      </c>
      <c r="F154" s="34" t="str">
        <f>VLOOKUP(Sales[[#This Row],[Product ID]],Product[#All],2,0)</f>
        <v>TP-link Wi-Fi Adapter</v>
      </c>
      <c r="G154" s="53">
        <v>5</v>
      </c>
      <c r="H154" s="165">
        <f>VLOOKUP(Sales[[#This Row],[Product ID]],Product[#All],7,0)</f>
        <v>2790</v>
      </c>
      <c r="I154" s="165">
        <f>Sales[[#This Row],[Selling Rate]]*Sales[[#This Row],[Qty]]</f>
        <v>13950</v>
      </c>
      <c r="J154" s="45">
        <v>0.15</v>
      </c>
      <c r="K154" s="46">
        <f>Sales[[#This Row],[Gross Amount]]*Sales[[#This Row],[Disc %]]</f>
        <v>2092.5</v>
      </c>
      <c r="L154" s="43">
        <v>0.18</v>
      </c>
      <c r="M154" s="46">
        <f>(Sales[[#This Row],[Gross Amount]]-Sales[[#This Row],[Disc. Amt.]])*Sales[[#This Row],[GST %]]</f>
        <v>2134.35</v>
      </c>
      <c r="N154" s="161">
        <f>Sales[[#This Row],[Gross Amount]]-Sales[[#This Row],[Disc. Amt.]]+Sales[[#This Row],[GST Amount]]</f>
        <v>13991.85</v>
      </c>
      <c r="O154" s="34" t="s">
        <v>3569</v>
      </c>
      <c r="P154" s="34" t="s">
        <v>3562</v>
      </c>
      <c r="Q154" s="165">
        <f>IF(Sales[[#This Row],[Status]]="Cancelled",0,Sales[[#This Row],[Qty]])</f>
        <v>5</v>
      </c>
      <c r="R154" s="166">
        <f>IF(Sales[[#This Row],[Status]]="Cancelled",0,Sales[[#This Row],[Total Amount]])</f>
        <v>13991.85</v>
      </c>
      <c r="S154" s="162">
        <f>SUM(Sales[Net Amount])</f>
        <v>406839287.73200053</v>
      </c>
    </row>
    <row r="155" spans="1:19" ht="18.75" x14ac:dyDescent="0.25">
      <c r="A155" s="156" t="s">
        <v>3720</v>
      </c>
      <c r="B155" s="157">
        <v>45788</v>
      </c>
      <c r="C155" s="158" t="s">
        <v>758</v>
      </c>
      <c r="D155" s="159" t="str">
        <f>VLOOKUP(Sales[[#This Row],[Customer ID]],Customer[#All],2,0)</f>
        <v>Rahul Verma</v>
      </c>
      <c r="E155" s="158" t="s">
        <v>398</v>
      </c>
      <c r="F155" s="158" t="str">
        <f>VLOOKUP(Sales[[#This Row],[Product ID]],Product[#All],2,0)</f>
        <v>D-Link Router</v>
      </c>
      <c r="G155" s="159">
        <v>6</v>
      </c>
      <c r="H155" s="160">
        <f>VLOOKUP(Sales[[#This Row],[Product ID]],Product[#All],7,0)</f>
        <v>5420</v>
      </c>
      <c r="I155" s="160">
        <f>Sales[[#This Row],[Selling Rate]]*Sales[[#This Row],[Qty]]</f>
        <v>32520</v>
      </c>
      <c r="J155" s="43">
        <v>0</v>
      </c>
      <c r="K155" s="44">
        <f>Sales[[#This Row],[Gross Amount]]*Sales[[#This Row],[Disc %]]</f>
        <v>0</v>
      </c>
      <c r="L155" s="43">
        <v>0.18</v>
      </c>
      <c r="M155" s="44">
        <f>(Sales[[#This Row],[Gross Amount]]-Sales[[#This Row],[Disc. Amt.]])*Sales[[#This Row],[GST %]]</f>
        <v>5853.5999999999995</v>
      </c>
      <c r="N155" s="161">
        <f>Sales[[#This Row],[Gross Amount]]-Sales[[#This Row],[Disc. Amt.]]+Sales[[#This Row],[GST Amount]]</f>
        <v>38373.599999999999</v>
      </c>
      <c r="O155" s="158" t="s">
        <v>3561</v>
      </c>
      <c r="P155" s="158" t="s">
        <v>3562</v>
      </c>
      <c r="Q155" s="160">
        <f>IF(Sales[[#This Row],[Status]]="Cancelled",0,Sales[[#This Row],[Qty]])</f>
        <v>6</v>
      </c>
      <c r="R155" s="161">
        <f>IF(Sales[[#This Row],[Status]]="Cancelled",0,Sales[[#This Row],[Total Amount]])</f>
        <v>38373.599999999999</v>
      </c>
      <c r="S155" s="162">
        <f>SUM(Sales[Net Amount])</f>
        <v>406839287.73200053</v>
      </c>
    </row>
    <row r="156" spans="1:19" ht="18.75" x14ac:dyDescent="0.25">
      <c r="A156" s="163" t="s">
        <v>3721</v>
      </c>
      <c r="B156" s="164">
        <v>45789</v>
      </c>
      <c r="C156" s="34" t="s">
        <v>947</v>
      </c>
      <c r="D156" s="53" t="str">
        <f>VLOOKUP(Sales[[#This Row],[Customer ID]],Customer[#All],2,0)</f>
        <v>Sunita Singh</v>
      </c>
      <c r="E156" s="34" t="s">
        <v>512</v>
      </c>
      <c r="F156" s="34" t="str">
        <f>VLOOKUP(Sales[[#This Row],[Product ID]],Product[#All],2,0)</f>
        <v>Logitech Webcam</v>
      </c>
      <c r="G156" s="53">
        <v>8</v>
      </c>
      <c r="H156" s="165">
        <f>VLOOKUP(Sales[[#This Row],[Product ID]],Product[#All],7,0)</f>
        <v>5800</v>
      </c>
      <c r="I156" s="165">
        <f>Sales[[#This Row],[Selling Rate]]*Sales[[#This Row],[Qty]]</f>
        <v>46400</v>
      </c>
      <c r="J156" s="45">
        <v>0.15</v>
      </c>
      <c r="K156" s="46">
        <f>Sales[[#This Row],[Gross Amount]]*Sales[[#This Row],[Disc %]]</f>
        <v>6960</v>
      </c>
      <c r="L156" s="43">
        <v>0.18</v>
      </c>
      <c r="M156" s="46">
        <f>(Sales[[#This Row],[Gross Amount]]-Sales[[#This Row],[Disc. Amt.]])*Sales[[#This Row],[GST %]]</f>
        <v>7099.2</v>
      </c>
      <c r="N156" s="161">
        <f>Sales[[#This Row],[Gross Amount]]-Sales[[#This Row],[Disc. Amt.]]+Sales[[#This Row],[GST Amount]]</f>
        <v>46539.199999999997</v>
      </c>
      <c r="O156" s="34" t="s">
        <v>8876</v>
      </c>
      <c r="P156" s="34" t="s">
        <v>3562</v>
      </c>
      <c r="Q156" s="165">
        <f>IF(Sales[[#This Row],[Status]]="Cancelled",0,Sales[[#This Row],[Qty]])</f>
        <v>8</v>
      </c>
      <c r="R156" s="166">
        <f>IF(Sales[[#This Row],[Status]]="Cancelled",0,Sales[[#This Row],[Total Amount]])</f>
        <v>46539.199999999997</v>
      </c>
      <c r="S156" s="162">
        <f>SUM(Sales[Net Amount])</f>
        <v>406839287.73200053</v>
      </c>
    </row>
    <row r="157" spans="1:19" ht="18.75" x14ac:dyDescent="0.25">
      <c r="A157" s="156" t="s">
        <v>3722</v>
      </c>
      <c r="B157" s="157">
        <v>45789</v>
      </c>
      <c r="C157" s="158" t="s">
        <v>800</v>
      </c>
      <c r="D157" s="159" t="str">
        <f>VLOOKUP(Sales[[#This Row],[Customer ID]],Customer[#All],2,0)</f>
        <v>Priya Gupta</v>
      </c>
      <c r="E157" s="158" t="s">
        <v>165</v>
      </c>
      <c r="F157" s="158" t="str">
        <f>VLOOKUP(Sales[[#This Row],[Product ID]],Product[#All],2,0)</f>
        <v>Kingston Ram</v>
      </c>
      <c r="G157" s="159">
        <v>1</v>
      </c>
      <c r="H157" s="160">
        <f>VLOOKUP(Sales[[#This Row],[Product ID]],Product[#All],7,0)</f>
        <v>8020</v>
      </c>
      <c r="I157" s="160">
        <f>Sales[[#This Row],[Selling Rate]]*Sales[[#This Row],[Qty]]</f>
        <v>8020</v>
      </c>
      <c r="J157" s="43">
        <v>0.15</v>
      </c>
      <c r="K157" s="44">
        <f>Sales[[#This Row],[Gross Amount]]*Sales[[#This Row],[Disc %]]</f>
        <v>1203</v>
      </c>
      <c r="L157" s="43">
        <v>0.18</v>
      </c>
      <c r="M157" s="44">
        <f>(Sales[[#This Row],[Gross Amount]]-Sales[[#This Row],[Disc. Amt.]])*Sales[[#This Row],[GST %]]</f>
        <v>1227.06</v>
      </c>
      <c r="N157" s="161">
        <f>Sales[[#This Row],[Gross Amount]]-Sales[[#This Row],[Disc. Amt.]]+Sales[[#This Row],[GST Amount]]</f>
        <v>8044.0599999999995</v>
      </c>
      <c r="O157" s="158" t="s">
        <v>8876</v>
      </c>
      <c r="P157" s="158" t="s">
        <v>3562</v>
      </c>
      <c r="Q157" s="160">
        <f>IF(Sales[[#This Row],[Status]]="Cancelled",0,Sales[[#This Row],[Qty]])</f>
        <v>1</v>
      </c>
      <c r="R157" s="161">
        <f>IF(Sales[[#This Row],[Status]]="Cancelled",0,Sales[[#This Row],[Total Amount]])</f>
        <v>8044.0599999999995</v>
      </c>
      <c r="S157" s="162">
        <f>SUM(Sales[Net Amount])</f>
        <v>406839287.73200053</v>
      </c>
    </row>
    <row r="158" spans="1:19" ht="18.75" x14ac:dyDescent="0.25">
      <c r="A158" s="163" t="s">
        <v>3723</v>
      </c>
      <c r="B158" s="164">
        <v>45789</v>
      </c>
      <c r="C158" s="34" t="s">
        <v>794</v>
      </c>
      <c r="D158" s="53" t="str">
        <f>VLOOKUP(Sales[[#This Row],[Customer ID]],Customer[#All],2,0)</f>
        <v>Sunita Sharma</v>
      </c>
      <c r="E158" s="34" t="s">
        <v>330</v>
      </c>
      <c r="F158" s="34" t="str">
        <f>VLOOKUP(Sales[[#This Row],[Product ID]],Product[#All],2,0)</f>
        <v>American TouristerLaptopBag</v>
      </c>
      <c r="G158" s="53">
        <v>1</v>
      </c>
      <c r="H158" s="165">
        <f>VLOOKUP(Sales[[#This Row],[Product ID]],Product[#All],7,0)</f>
        <v>4970</v>
      </c>
      <c r="I158" s="165">
        <f>Sales[[#This Row],[Selling Rate]]*Sales[[#This Row],[Qty]]</f>
        <v>4970</v>
      </c>
      <c r="J158" s="45">
        <v>0</v>
      </c>
      <c r="K158" s="46">
        <f>Sales[[#This Row],[Gross Amount]]*Sales[[#This Row],[Disc %]]</f>
        <v>0</v>
      </c>
      <c r="L158" s="43">
        <v>0.18</v>
      </c>
      <c r="M158" s="46">
        <f>(Sales[[#This Row],[Gross Amount]]-Sales[[#This Row],[Disc. Amt.]])*Sales[[#This Row],[GST %]]</f>
        <v>894.6</v>
      </c>
      <c r="N158" s="161">
        <f>Sales[[#This Row],[Gross Amount]]-Sales[[#This Row],[Disc. Amt.]]+Sales[[#This Row],[GST Amount]]</f>
        <v>5864.6</v>
      </c>
      <c r="O158" s="34" t="s">
        <v>8876</v>
      </c>
      <c r="P158" s="34" t="s">
        <v>3562</v>
      </c>
      <c r="Q158" s="165">
        <f>IF(Sales[[#This Row],[Status]]="Cancelled",0,Sales[[#This Row],[Qty]])</f>
        <v>1</v>
      </c>
      <c r="R158" s="166">
        <f>IF(Sales[[#This Row],[Status]]="Cancelled",0,Sales[[#This Row],[Total Amount]])</f>
        <v>5864.6</v>
      </c>
      <c r="S158" s="162">
        <f>SUM(Sales[Net Amount])</f>
        <v>406839287.73200053</v>
      </c>
    </row>
    <row r="159" spans="1:19" ht="18.75" x14ac:dyDescent="0.25">
      <c r="A159" s="156" t="s">
        <v>3724</v>
      </c>
      <c r="B159" s="157">
        <v>45789</v>
      </c>
      <c r="C159" s="158" t="s">
        <v>820</v>
      </c>
      <c r="D159" s="159" t="str">
        <f>VLOOKUP(Sales[[#This Row],[Customer ID]],Customer[#All],2,0)</f>
        <v>Sahil Gupta</v>
      </c>
      <c r="E159" s="158" t="s">
        <v>333</v>
      </c>
      <c r="F159" s="158" t="str">
        <f>VLOOKUP(Sales[[#This Row],[Product ID]],Product[#All],2,0)</f>
        <v>Logitech Keyboard</v>
      </c>
      <c r="G159" s="159">
        <v>1</v>
      </c>
      <c r="H159" s="160">
        <f>VLOOKUP(Sales[[#This Row],[Product ID]],Product[#All],7,0)</f>
        <v>3350</v>
      </c>
      <c r="I159" s="160">
        <f>Sales[[#This Row],[Selling Rate]]*Sales[[#This Row],[Qty]]</f>
        <v>3350</v>
      </c>
      <c r="J159" s="43">
        <v>0.1</v>
      </c>
      <c r="K159" s="44">
        <f>Sales[[#This Row],[Gross Amount]]*Sales[[#This Row],[Disc %]]</f>
        <v>335</v>
      </c>
      <c r="L159" s="43">
        <v>0.18</v>
      </c>
      <c r="M159" s="44">
        <f>(Sales[[#This Row],[Gross Amount]]-Sales[[#This Row],[Disc. Amt.]])*Sales[[#This Row],[GST %]]</f>
        <v>542.69999999999993</v>
      </c>
      <c r="N159" s="161">
        <f>Sales[[#This Row],[Gross Amount]]-Sales[[#This Row],[Disc. Amt.]]+Sales[[#This Row],[GST Amount]]</f>
        <v>3557.7</v>
      </c>
      <c r="O159" s="158" t="s">
        <v>3561</v>
      </c>
      <c r="P159" s="158" t="s">
        <v>3562</v>
      </c>
      <c r="Q159" s="160">
        <f>IF(Sales[[#This Row],[Status]]="Cancelled",0,Sales[[#This Row],[Qty]])</f>
        <v>1</v>
      </c>
      <c r="R159" s="161">
        <f>IF(Sales[[#This Row],[Status]]="Cancelled",0,Sales[[#This Row],[Total Amount]])</f>
        <v>3557.7</v>
      </c>
      <c r="S159" s="162">
        <f>SUM(Sales[Net Amount])</f>
        <v>406839287.73200053</v>
      </c>
    </row>
    <row r="160" spans="1:19" ht="18.75" x14ac:dyDescent="0.25">
      <c r="A160" s="163" t="s">
        <v>3725</v>
      </c>
      <c r="B160" s="164">
        <v>45789</v>
      </c>
      <c r="C160" s="34" t="s">
        <v>751</v>
      </c>
      <c r="D160" s="53" t="str">
        <f>VLOOKUP(Sales[[#This Row],[Customer ID]],Customer[#All],2,0)</f>
        <v>Ankit Verma</v>
      </c>
      <c r="E160" s="34" t="s">
        <v>283</v>
      </c>
      <c r="F160" s="34" t="str">
        <f>VLOOKUP(Sales[[#This Row],[Product ID]],Product[#All],2,0)</f>
        <v>Lenovo Laptop</v>
      </c>
      <c r="G160" s="53">
        <v>6</v>
      </c>
      <c r="H160" s="165">
        <f>VLOOKUP(Sales[[#This Row],[Product ID]],Product[#All],7,0)</f>
        <v>36480</v>
      </c>
      <c r="I160" s="165">
        <f>Sales[[#This Row],[Selling Rate]]*Sales[[#This Row],[Qty]]</f>
        <v>218880</v>
      </c>
      <c r="J160" s="45">
        <v>0.1</v>
      </c>
      <c r="K160" s="46">
        <f>Sales[[#This Row],[Gross Amount]]*Sales[[#This Row],[Disc %]]</f>
        <v>21888</v>
      </c>
      <c r="L160" s="43">
        <v>0.18</v>
      </c>
      <c r="M160" s="46">
        <f>(Sales[[#This Row],[Gross Amount]]-Sales[[#This Row],[Disc. Amt.]])*Sales[[#This Row],[GST %]]</f>
        <v>35458.559999999998</v>
      </c>
      <c r="N160" s="161">
        <f>Sales[[#This Row],[Gross Amount]]-Sales[[#This Row],[Disc. Amt.]]+Sales[[#This Row],[GST Amount]]</f>
        <v>232450.56</v>
      </c>
      <c r="O160" s="34" t="s">
        <v>8876</v>
      </c>
      <c r="P160" s="34" t="s">
        <v>3562</v>
      </c>
      <c r="Q160" s="165">
        <f>IF(Sales[[#This Row],[Status]]="Cancelled",0,Sales[[#This Row],[Qty]])</f>
        <v>6</v>
      </c>
      <c r="R160" s="166">
        <f>IF(Sales[[#This Row],[Status]]="Cancelled",0,Sales[[#This Row],[Total Amount]])</f>
        <v>232450.56</v>
      </c>
      <c r="S160" s="162">
        <f>SUM(Sales[Net Amount])</f>
        <v>406839287.73200053</v>
      </c>
    </row>
    <row r="161" spans="1:19" ht="18.75" x14ac:dyDescent="0.25">
      <c r="A161" s="156" t="s">
        <v>3726</v>
      </c>
      <c r="B161" s="157">
        <v>45789</v>
      </c>
      <c r="C161" s="158" t="s">
        <v>857</v>
      </c>
      <c r="D161" s="159" t="str">
        <f>VLOOKUP(Sales[[#This Row],[Customer ID]],Customer[#All],2,0)</f>
        <v>Pooja Singh</v>
      </c>
      <c r="E161" s="158" t="s">
        <v>113</v>
      </c>
      <c r="F161" s="158" t="str">
        <f>VLOOKUP(Sales[[#This Row],[Product ID]],Product[#All],2,0)</f>
        <v>HP Laptop</v>
      </c>
      <c r="G161" s="159">
        <v>5</v>
      </c>
      <c r="H161" s="160">
        <f>VLOOKUP(Sales[[#This Row],[Product ID]],Product[#All],7,0)</f>
        <v>92470</v>
      </c>
      <c r="I161" s="160">
        <f>Sales[[#This Row],[Selling Rate]]*Sales[[#This Row],[Qty]]</f>
        <v>462350</v>
      </c>
      <c r="J161" s="43">
        <v>0</v>
      </c>
      <c r="K161" s="44">
        <f>Sales[[#This Row],[Gross Amount]]*Sales[[#This Row],[Disc %]]</f>
        <v>0</v>
      </c>
      <c r="L161" s="43">
        <v>0.18</v>
      </c>
      <c r="M161" s="44">
        <f>(Sales[[#This Row],[Gross Amount]]-Sales[[#This Row],[Disc. Amt.]])*Sales[[#This Row],[GST %]]</f>
        <v>83223</v>
      </c>
      <c r="N161" s="161">
        <f>Sales[[#This Row],[Gross Amount]]-Sales[[#This Row],[Disc. Amt.]]+Sales[[#This Row],[GST Amount]]</f>
        <v>545573</v>
      </c>
      <c r="O161" s="158" t="s">
        <v>8876</v>
      </c>
      <c r="P161" s="158" t="s">
        <v>3562</v>
      </c>
      <c r="Q161" s="160">
        <f>IF(Sales[[#This Row],[Status]]="Cancelled",0,Sales[[#This Row],[Qty]])</f>
        <v>5</v>
      </c>
      <c r="R161" s="161">
        <f>IF(Sales[[#This Row],[Status]]="Cancelled",0,Sales[[#This Row],[Total Amount]])</f>
        <v>545573</v>
      </c>
      <c r="S161" s="162">
        <f>SUM(Sales[Net Amount])</f>
        <v>406839287.73200053</v>
      </c>
    </row>
    <row r="162" spans="1:19" ht="18.75" x14ac:dyDescent="0.25">
      <c r="A162" s="163" t="s">
        <v>3727</v>
      </c>
      <c r="B162" s="164">
        <v>45789</v>
      </c>
      <c r="C162" s="34" t="s">
        <v>929</v>
      </c>
      <c r="D162" s="53" t="str">
        <f>VLOOKUP(Sales[[#This Row],[Customer ID]],Customer[#All],2,0)</f>
        <v>Sunita Gupta</v>
      </c>
      <c r="E162" s="34" t="s">
        <v>498</v>
      </c>
      <c r="F162" s="34" t="str">
        <f>VLOOKUP(Sales[[#This Row],[Product ID]],Product[#All],2,0)</f>
        <v>Kingston Ram</v>
      </c>
      <c r="G162" s="53">
        <v>5</v>
      </c>
      <c r="H162" s="165">
        <f>VLOOKUP(Sales[[#This Row],[Product ID]],Product[#All],7,0)</f>
        <v>4750</v>
      </c>
      <c r="I162" s="165">
        <f>Sales[[#This Row],[Selling Rate]]*Sales[[#This Row],[Qty]]</f>
        <v>23750</v>
      </c>
      <c r="J162" s="45">
        <v>0.02</v>
      </c>
      <c r="K162" s="46">
        <f>Sales[[#This Row],[Gross Amount]]*Sales[[#This Row],[Disc %]]</f>
        <v>475</v>
      </c>
      <c r="L162" s="43">
        <v>0.18</v>
      </c>
      <c r="M162" s="46">
        <f>(Sales[[#This Row],[Gross Amount]]-Sales[[#This Row],[Disc. Amt.]])*Sales[[#This Row],[GST %]]</f>
        <v>4189.5</v>
      </c>
      <c r="N162" s="161">
        <f>Sales[[#This Row],[Gross Amount]]-Sales[[#This Row],[Disc. Amt.]]+Sales[[#This Row],[GST Amount]]</f>
        <v>27464.5</v>
      </c>
      <c r="O162" s="34" t="s">
        <v>3561</v>
      </c>
      <c r="P162" s="34" t="s">
        <v>3562</v>
      </c>
      <c r="Q162" s="165">
        <f>IF(Sales[[#This Row],[Status]]="Cancelled",0,Sales[[#This Row],[Qty]])</f>
        <v>5</v>
      </c>
      <c r="R162" s="166">
        <f>IF(Sales[[#This Row],[Status]]="Cancelled",0,Sales[[#This Row],[Total Amount]])</f>
        <v>27464.5</v>
      </c>
      <c r="S162" s="162">
        <f>SUM(Sales[Net Amount])</f>
        <v>406839287.73200053</v>
      </c>
    </row>
    <row r="163" spans="1:19" ht="18.75" x14ac:dyDescent="0.25">
      <c r="A163" s="156" t="s">
        <v>3728</v>
      </c>
      <c r="B163" s="157">
        <v>45789</v>
      </c>
      <c r="C163" s="158" t="s">
        <v>910</v>
      </c>
      <c r="D163" s="159" t="str">
        <f>VLOOKUP(Sales[[#This Row],[Customer ID]],Customer[#All],2,0)</f>
        <v>Sahil Sharma</v>
      </c>
      <c r="E163" s="158" t="s">
        <v>479</v>
      </c>
      <c r="F163" s="158" t="str">
        <f>VLOOKUP(Sales[[#This Row],[Product ID]],Product[#All],2,0)</f>
        <v>TP-link Router</v>
      </c>
      <c r="G163" s="159">
        <v>6</v>
      </c>
      <c r="H163" s="160">
        <f>VLOOKUP(Sales[[#This Row],[Product ID]],Product[#All],7,0)</f>
        <v>5740</v>
      </c>
      <c r="I163" s="160">
        <f>Sales[[#This Row],[Selling Rate]]*Sales[[#This Row],[Qty]]</f>
        <v>34440</v>
      </c>
      <c r="J163" s="43">
        <v>0.05</v>
      </c>
      <c r="K163" s="44">
        <f>Sales[[#This Row],[Gross Amount]]*Sales[[#This Row],[Disc %]]</f>
        <v>1722</v>
      </c>
      <c r="L163" s="43">
        <v>0.18</v>
      </c>
      <c r="M163" s="44">
        <f>(Sales[[#This Row],[Gross Amount]]-Sales[[#This Row],[Disc. Amt.]])*Sales[[#This Row],[GST %]]</f>
        <v>5889.24</v>
      </c>
      <c r="N163" s="161">
        <f>Sales[[#This Row],[Gross Amount]]-Sales[[#This Row],[Disc. Amt.]]+Sales[[#This Row],[GST Amount]]</f>
        <v>38607.24</v>
      </c>
      <c r="O163" s="158" t="s">
        <v>3561</v>
      </c>
      <c r="P163" s="158" t="s">
        <v>3562</v>
      </c>
      <c r="Q163" s="160">
        <f>IF(Sales[[#This Row],[Status]]="Cancelled",0,Sales[[#This Row],[Qty]])</f>
        <v>6</v>
      </c>
      <c r="R163" s="161">
        <f>IF(Sales[[#This Row],[Status]]="Cancelled",0,Sales[[#This Row],[Total Amount]])</f>
        <v>38607.24</v>
      </c>
      <c r="S163" s="162">
        <f>SUM(Sales[Net Amount])</f>
        <v>406839287.73200053</v>
      </c>
    </row>
    <row r="164" spans="1:19" ht="18.75" x14ac:dyDescent="0.25">
      <c r="A164" s="163" t="s">
        <v>3729</v>
      </c>
      <c r="B164" s="164">
        <v>45789</v>
      </c>
      <c r="C164" s="34" t="s">
        <v>815</v>
      </c>
      <c r="D164" s="53" t="str">
        <f>VLOOKUP(Sales[[#This Row],[Customer ID]],Customer[#All],2,0)</f>
        <v>Priya Gupta</v>
      </c>
      <c r="E164" s="34" t="s">
        <v>301</v>
      </c>
      <c r="F164" s="34" t="str">
        <f>VLOOKUP(Sales[[#This Row],[Product ID]],Product[#All],2,0)</f>
        <v>Logitech Keyboard</v>
      </c>
      <c r="G164" s="53">
        <v>3</v>
      </c>
      <c r="H164" s="165">
        <f>VLOOKUP(Sales[[#This Row],[Product ID]],Product[#All],7,0)</f>
        <v>1100</v>
      </c>
      <c r="I164" s="165">
        <f>Sales[[#This Row],[Selling Rate]]*Sales[[#This Row],[Qty]]</f>
        <v>3300</v>
      </c>
      <c r="J164" s="45">
        <v>0</v>
      </c>
      <c r="K164" s="46">
        <f>Sales[[#This Row],[Gross Amount]]*Sales[[#This Row],[Disc %]]</f>
        <v>0</v>
      </c>
      <c r="L164" s="43">
        <v>0.18</v>
      </c>
      <c r="M164" s="46">
        <f>(Sales[[#This Row],[Gross Amount]]-Sales[[#This Row],[Disc. Amt.]])*Sales[[#This Row],[GST %]]</f>
        <v>594</v>
      </c>
      <c r="N164" s="161">
        <f>Sales[[#This Row],[Gross Amount]]-Sales[[#This Row],[Disc. Amt.]]+Sales[[#This Row],[GST Amount]]</f>
        <v>3894</v>
      </c>
      <c r="O164" s="34" t="s">
        <v>3561</v>
      </c>
      <c r="P164" s="34" t="s">
        <v>3562</v>
      </c>
      <c r="Q164" s="165">
        <f>IF(Sales[[#This Row],[Status]]="Cancelled",0,Sales[[#This Row],[Qty]])</f>
        <v>3</v>
      </c>
      <c r="R164" s="166">
        <f>IF(Sales[[#This Row],[Status]]="Cancelled",0,Sales[[#This Row],[Total Amount]])</f>
        <v>3894</v>
      </c>
      <c r="S164" s="162">
        <f>SUM(Sales[Net Amount])</f>
        <v>406839287.73200053</v>
      </c>
    </row>
    <row r="165" spans="1:19" ht="18.75" x14ac:dyDescent="0.25">
      <c r="A165" s="156" t="s">
        <v>3730</v>
      </c>
      <c r="B165" s="157">
        <v>45789</v>
      </c>
      <c r="C165" s="158" t="s">
        <v>887</v>
      </c>
      <c r="D165" s="159" t="str">
        <f>VLOOKUP(Sales[[#This Row],[Customer ID]],Customer[#All],2,0)</f>
        <v>Sahil Verma</v>
      </c>
      <c r="E165" s="158" t="s">
        <v>297</v>
      </c>
      <c r="F165" s="158" t="str">
        <f>VLOOKUP(Sales[[#This Row],[Product ID]],Product[#All],2,0)</f>
        <v>Dell Desktop</v>
      </c>
      <c r="G165" s="159">
        <v>2</v>
      </c>
      <c r="H165" s="160">
        <f>VLOOKUP(Sales[[#This Row],[Product ID]],Product[#All],7,0)</f>
        <v>39300</v>
      </c>
      <c r="I165" s="160">
        <f>Sales[[#This Row],[Selling Rate]]*Sales[[#This Row],[Qty]]</f>
        <v>78600</v>
      </c>
      <c r="J165" s="43">
        <v>0.15</v>
      </c>
      <c r="K165" s="44">
        <f>Sales[[#This Row],[Gross Amount]]*Sales[[#This Row],[Disc %]]</f>
        <v>11790</v>
      </c>
      <c r="L165" s="43">
        <v>0.18</v>
      </c>
      <c r="M165" s="44">
        <f>(Sales[[#This Row],[Gross Amount]]-Sales[[#This Row],[Disc. Amt.]])*Sales[[#This Row],[GST %]]</f>
        <v>12025.8</v>
      </c>
      <c r="N165" s="161">
        <f>Sales[[#This Row],[Gross Amount]]-Sales[[#This Row],[Disc. Amt.]]+Sales[[#This Row],[GST Amount]]</f>
        <v>78835.8</v>
      </c>
      <c r="O165" s="158" t="s">
        <v>8876</v>
      </c>
      <c r="P165" s="158" t="s">
        <v>3562</v>
      </c>
      <c r="Q165" s="160">
        <f>IF(Sales[[#This Row],[Status]]="Cancelled",0,Sales[[#This Row],[Qty]])</f>
        <v>2</v>
      </c>
      <c r="R165" s="161">
        <f>IF(Sales[[#This Row],[Status]]="Cancelled",0,Sales[[#This Row],[Total Amount]])</f>
        <v>78835.8</v>
      </c>
      <c r="S165" s="162">
        <f>SUM(Sales[Net Amount])</f>
        <v>406839287.73200053</v>
      </c>
    </row>
    <row r="166" spans="1:19" ht="18.75" x14ac:dyDescent="0.25">
      <c r="A166" s="163" t="s">
        <v>3731</v>
      </c>
      <c r="B166" s="164">
        <v>45789</v>
      </c>
      <c r="C166" s="34" t="s">
        <v>788</v>
      </c>
      <c r="D166" s="53" t="str">
        <f>VLOOKUP(Sales[[#This Row],[Customer ID]],Customer[#All],2,0)</f>
        <v>Vikas Kumar</v>
      </c>
      <c r="E166" s="34" t="s">
        <v>157</v>
      </c>
      <c r="F166" s="34" t="str">
        <f>VLOOKUP(Sales[[#This Row],[Product ID]],Product[#All],2,0)</f>
        <v>Epson Printer</v>
      </c>
      <c r="G166" s="53">
        <v>2</v>
      </c>
      <c r="H166" s="165">
        <f>VLOOKUP(Sales[[#This Row],[Product ID]],Product[#All],7,0)</f>
        <v>12100</v>
      </c>
      <c r="I166" s="165">
        <f>Sales[[#This Row],[Selling Rate]]*Sales[[#This Row],[Qty]]</f>
        <v>24200</v>
      </c>
      <c r="J166" s="45">
        <v>0.02</v>
      </c>
      <c r="K166" s="46">
        <f>Sales[[#This Row],[Gross Amount]]*Sales[[#This Row],[Disc %]]</f>
        <v>484</v>
      </c>
      <c r="L166" s="43">
        <v>0.18</v>
      </c>
      <c r="M166" s="46">
        <f>(Sales[[#This Row],[Gross Amount]]-Sales[[#This Row],[Disc. Amt.]])*Sales[[#This Row],[GST %]]</f>
        <v>4268.88</v>
      </c>
      <c r="N166" s="161">
        <f>Sales[[#This Row],[Gross Amount]]-Sales[[#This Row],[Disc. Amt.]]+Sales[[#This Row],[GST Amount]]</f>
        <v>27984.880000000001</v>
      </c>
      <c r="O166" s="34" t="s">
        <v>3569</v>
      </c>
      <c r="P166" s="34" t="s">
        <v>3562</v>
      </c>
      <c r="Q166" s="165">
        <f>IF(Sales[[#This Row],[Status]]="Cancelled",0,Sales[[#This Row],[Qty]])</f>
        <v>2</v>
      </c>
      <c r="R166" s="166">
        <f>IF(Sales[[#This Row],[Status]]="Cancelled",0,Sales[[#This Row],[Total Amount]])</f>
        <v>27984.880000000001</v>
      </c>
      <c r="S166" s="162">
        <f>SUM(Sales[Net Amount])</f>
        <v>406839287.73200053</v>
      </c>
    </row>
    <row r="167" spans="1:19" ht="18.75" x14ac:dyDescent="0.25">
      <c r="A167" s="156" t="s">
        <v>3732</v>
      </c>
      <c r="B167" s="157">
        <v>45789</v>
      </c>
      <c r="C167" s="158" t="s">
        <v>657</v>
      </c>
      <c r="D167" s="159" t="str">
        <f>VLOOKUP(Sales[[#This Row],[Customer ID]],Customer[#All],2,0)</f>
        <v>Rahul Verma</v>
      </c>
      <c r="E167" s="158" t="s">
        <v>475</v>
      </c>
      <c r="F167" s="158" t="str">
        <f>VLOOKUP(Sales[[#This Row],[Product ID]],Product[#All],2,0)</f>
        <v>TP-link Bluetooth Adapter</v>
      </c>
      <c r="G167" s="159">
        <v>4</v>
      </c>
      <c r="H167" s="160">
        <f>VLOOKUP(Sales[[#This Row],[Product ID]],Product[#All],7,0)</f>
        <v>1430</v>
      </c>
      <c r="I167" s="160">
        <f>Sales[[#This Row],[Selling Rate]]*Sales[[#This Row],[Qty]]</f>
        <v>5720</v>
      </c>
      <c r="J167" s="43">
        <v>0.05</v>
      </c>
      <c r="K167" s="44">
        <f>Sales[[#This Row],[Gross Amount]]*Sales[[#This Row],[Disc %]]</f>
        <v>286</v>
      </c>
      <c r="L167" s="43">
        <v>0.18</v>
      </c>
      <c r="M167" s="44">
        <f>(Sales[[#This Row],[Gross Amount]]-Sales[[#This Row],[Disc. Amt.]])*Sales[[#This Row],[GST %]]</f>
        <v>978.12</v>
      </c>
      <c r="N167" s="161">
        <f>Sales[[#This Row],[Gross Amount]]-Sales[[#This Row],[Disc. Amt.]]+Sales[[#This Row],[GST Amount]]</f>
        <v>6412.12</v>
      </c>
      <c r="O167" s="158" t="s">
        <v>8876</v>
      </c>
      <c r="P167" s="158" t="s">
        <v>3562</v>
      </c>
      <c r="Q167" s="160">
        <f>IF(Sales[[#This Row],[Status]]="Cancelled",0,Sales[[#This Row],[Qty]])</f>
        <v>4</v>
      </c>
      <c r="R167" s="161">
        <f>IF(Sales[[#This Row],[Status]]="Cancelled",0,Sales[[#This Row],[Total Amount]])</f>
        <v>6412.12</v>
      </c>
      <c r="S167" s="162">
        <f>SUM(Sales[Net Amount])</f>
        <v>406839287.73200053</v>
      </c>
    </row>
    <row r="168" spans="1:19" ht="18.75" x14ac:dyDescent="0.25">
      <c r="A168" s="163" t="s">
        <v>3733</v>
      </c>
      <c r="B168" s="164">
        <v>45789</v>
      </c>
      <c r="C168" s="34" t="s">
        <v>924</v>
      </c>
      <c r="D168" s="53" t="str">
        <f>VLOOKUP(Sales[[#This Row],[Customer ID]],Customer[#All],2,0)</f>
        <v>Rakesh Gupta</v>
      </c>
      <c r="E168" s="34" t="s">
        <v>471</v>
      </c>
      <c r="F168" s="34" t="str">
        <f>VLOOKUP(Sales[[#This Row],[Product ID]],Product[#All],2,0)</f>
        <v>Samsung Monitor</v>
      </c>
      <c r="G168" s="53">
        <v>7</v>
      </c>
      <c r="H168" s="165">
        <f>VLOOKUP(Sales[[#This Row],[Product ID]],Product[#All],7,0)</f>
        <v>10840</v>
      </c>
      <c r="I168" s="165">
        <f>Sales[[#This Row],[Selling Rate]]*Sales[[#This Row],[Qty]]</f>
        <v>75880</v>
      </c>
      <c r="J168" s="45">
        <v>0.05</v>
      </c>
      <c r="K168" s="46">
        <f>Sales[[#This Row],[Gross Amount]]*Sales[[#This Row],[Disc %]]</f>
        <v>3794</v>
      </c>
      <c r="L168" s="43">
        <v>0.18</v>
      </c>
      <c r="M168" s="46">
        <f>(Sales[[#This Row],[Gross Amount]]-Sales[[#This Row],[Disc. Amt.]])*Sales[[#This Row],[GST %]]</f>
        <v>12975.48</v>
      </c>
      <c r="N168" s="161">
        <f>Sales[[#This Row],[Gross Amount]]-Sales[[#This Row],[Disc. Amt.]]+Sales[[#This Row],[GST Amount]]</f>
        <v>85061.48</v>
      </c>
      <c r="O168" s="34" t="s">
        <v>3566</v>
      </c>
      <c r="P168" s="34" t="s">
        <v>3562</v>
      </c>
      <c r="Q168" s="165">
        <f>IF(Sales[[#This Row],[Status]]="Cancelled",0,Sales[[#This Row],[Qty]])</f>
        <v>7</v>
      </c>
      <c r="R168" s="166">
        <f>IF(Sales[[#This Row],[Status]]="Cancelled",0,Sales[[#This Row],[Total Amount]])</f>
        <v>85061.48</v>
      </c>
      <c r="S168" s="162">
        <f>SUM(Sales[Net Amount])</f>
        <v>406839287.73200053</v>
      </c>
    </row>
    <row r="169" spans="1:19" ht="18.75" x14ac:dyDescent="0.25">
      <c r="A169" s="156" t="s">
        <v>3734</v>
      </c>
      <c r="B169" s="157">
        <v>45789</v>
      </c>
      <c r="C169" s="158" t="s">
        <v>946</v>
      </c>
      <c r="D169" s="159" t="str">
        <f>VLOOKUP(Sales[[#This Row],[Customer ID]],Customer[#All],2,0)</f>
        <v>Priya Patel</v>
      </c>
      <c r="E169" s="158" t="s">
        <v>420</v>
      </c>
      <c r="F169" s="158" t="str">
        <f>VLOOKUP(Sales[[#This Row],[Product ID]],Product[#All],2,0)</f>
        <v>Logitech Keyboard</v>
      </c>
      <c r="G169" s="159">
        <v>3</v>
      </c>
      <c r="H169" s="160">
        <f>VLOOKUP(Sales[[#This Row],[Product ID]],Product[#All],7,0)</f>
        <v>3430</v>
      </c>
      <c r="I169" s="160">
        <f>Sales[[#This Row],[Selling Rate]]*Sales[[#This Row],[Qty]]</f>
        <v>10290</v>
      </c>
      <c r="J169" s="43">
        <v>0.05</v>
      </c>
      <c r="K169" s="44">
        <f>Sales[[#This Row],[Gross Amount]]*Sales[[#This Row],[Disc %]]</f>
        <v>514.5</v>
      </c>
      <c r="L169" s="43">
        <v>0.18</v>
      </c>
      <c r="M169" s="44">
        <f>(Sales[[#This Row],[Gross Amount]]-Sales[[#This Row],[Disc. Amt.]])*Sales[[#This Row],[GST %]]</f>
        <v>1759.59</v>
      </c>
      <c r="N169" s="161">
        <f>Sales[[#This Row],[Gross Amount]]-Sales[[#This Row],[Disc. Amt.]]+Sales[[#This Row],[GST Amount]]</f>
        <v>11535.09</v>
      </c>
      <c r="O169" s="158" t="s">
        <v>3561</v>
      </c>
      <c r="P169" s="158" t="s">
        <v>3562</v>
      </c>
      <c r="Q169" s="160">
        <f>IF(Sales[[#This Row],[Status]]="Cancelled",0,Sales[[#This Row],[Qty]])</f>
        <v>3</v>
      </c>
      <c r="R169" s="161">
        <f>IF(Sales[[#This Row],[Status]]="Cancelled",0,Sales[[#This Row],[Total Amount]])</f>
        <v>11535.09</v>
      </c>
      <c r="S169" s="162">
        <f>SUM(Sales[Net Amount])</f>
        <v>406839287.73200053</v>
      </c>
    </row>
    <row r="170" spans="1:19" ht="18.75" x14ac:dyDescent="0.25">
      <c r="A170" s="163" t="s">
        <v>3735</v>
      </c>
      <c r="B170" s="164">
        <v>45789</v>
      </c>
      <c r="C170" s="34" t="s">
        <v>680</v>
      </c>
      <c r="D170" s="53" t="str">
        <f>VLOOKUP(Sales[[#This Row],[Customer ID]],Customer[#All],2,0)</f>
        <v>Rahul Kumar</v>
      </c>
      <c r="E170" s="34" t="s">
        <v>26</v>
      </c>
      <c r="F170" s="34" t="str">
        <f>VLOOKUP(Sales[[#This Row],[Product ID]],Product[#All],2,0)</f>
        <v>Lg Monitor</v>
      </c>
      <c r="G170" s="53">
        <v>2</v>
      </c>
      <c r="H170" s="165">
        <f>VLOOKUP(Sales[[#This Row],[Product ID]],Product[#All],7,0)</f>
        <v>21600</v>
      </c>
      <c r="I170" s="165">
        <f>Sales[[#This Row],[Selling Rate]]*Sales[[#This Row],[Qty]]</f>
        <v>43200</v>
      </c>
      <c r="J170" s="45">
        <v>0.1</v>
      </c>
      <c r="K170" s="46">
        <f>Sales[[#This Row],[Gross Amount]]*Sales[[#This Row],[Disc %]]</f>
        <v>4320</v>
      </c>
      <c r="L170" s="43">
        <v>0.18</v>
      </c>
      <c r="M170" s="46">
        <f>(Sales[[#This Row],[Gross Amount]]-Sales[[#This Row],[Disc. Amt.]])*Sales[[#This Row],[GST %]]</f>
        <v>6998.4</v>
      </c>
      <c r="N170" s="161">
        <f>Sales[[#This Row],[Gross Amount]]-Sales[[#This Row],[Disc. Amt.]]+Sales[[#This Row],[GST Amount]]</f>
        <v>45878.400000000001</v>
      </c>
      <c r="O170" s="34" t="s">
        <v>8876</v>
      </c>
      <c r="P170" s="34" t="s">
        <v>3562</v>
      </c>
      <c r="Q170" s="165">
        <f>IF(Sales[[#This Row],[Status]]="Cancelled",0,Sales[[#This Row],[Qty]])</f>
        <v>2</v>
      </c>
      <c r="R170" s="166">
        <f>IF(Sales[[#This Row],[Status]]="Cancelled",0,Sales[[#This Row],[Total Amount]])</f>
        <v>45878.400000000001</v>
      </c>
      <c r="S170" s="162">
        <f>SUM(Sales[Net Amount])</f>
        <v>406839287.73200053</v>
      </c>
    </row>
    <row r="171" spans="1:19" ht="18.75" x14ac:dyDescent="0.25">
      <c r="A171" s="156" t="s">
        <v>3736</v>
      </c>
      <c r="B171" s="157">
        <v>45789</v>
      </c>
      <c r="C171" s="158" t="s">
        <v>789</v>
      </c>
      <c r="D171" s="159" t="str">
        <f>VLOOKUP(Sales[[#This Row],[Customer ID]],Customer[#All],2,0)</f>
        <v>Ankit Patel</v>
      </c>
      <c r="E171" s="158" t="s">
        <v>91</v>
      </c>
      <c r="F171" s="158" t="str">
        <f>VLOOKUP(Sales[[#This Row],[Product ID]],Product[#All],2,0)</f>
        <v>Logitech Keyboard</v>
      </c>
      <c r="G171" s="159">
        <v>7</v>
      </c>
      <c r="H171" s="160">
        <f>VLOOKUP(Sales[[#This Row],[Product ID]],Product[#All],7,0)</f>
        <v>3950</v>
      </c>
      <c r="I171" s="160">
        <f>Sales[[#This Row],[Selling Rate]]*Sales[[#This Row],[Qty]]</f>
        <v>27650</v>
      </c>
      <c r="J171" s="43">
        <v>0.12</v>
      </c>
      <c r="K171" s="44">
        <f>Sales[[#This Row],[Gross Amount]]*Sales[[#This Row],[Disc %]]</f>
        <v>3318</v>
      </c>
      <c r="L171" s="43">
        <v>0.18</v>
      </c>
      <c r="M171" s="44">
        <f>(Sales[[#This Row],[Gross Amount]]-Sales[[#This Row],[Disc. Amt.]])*Sales[[#This Row],[GST %]]</f>
        <v>4379.76</v>
      </c>
      <c r="N171" s="161">
        <f>Sales[[#This Row],[Gross Amount]]-Sales[[#This Row],[Disc. Amt.]]+Sales[[#This Row],[GST Amount]]</f>
        <v>28711.760000000002</v>
      </c>
      <c r="O171" s="158" t="s">
        <v>8876</v>
      </c>
      <c r="P171" s="158" t="s">
        <v>1040</v>
      </c>
      <c r="Q171" s="160">
        <f>IF(Sales[[#This Row],[Status]]="Cancelled",0,Sales[[#This Row],[Qty]])</f>
        <v>0</v>
      </c>
      <c r="R171" s="161">
        <f>IF(Sales[[#This Row],[Status]]="Cancelled",0,Sales[[#This Row],[Total Amount]])</f>
        <v>0</v>
      </c>
      <c r="S171" s="162">
        <f>SUM(Sales[Net Amount])</f>
        <v>406839287.73200053</v>
      </c>
    </row>
    <row r="172" spans="1:19" ht="18.75" x14ac:dyDescent="0.25">
      <c r="A172" s="163" t="s">
        <v>3737</v>
      </c>
      <c r="B172" s="164">
        <v>45789</v>
      </c>
      <c r="C172" s="34" t="s">
        <v>691</v>
      </c>
      <c r="D172" s="53" t="str">
        <f>VLOOKUP(Sales[[#This Row],[Customer ID]],Customer[#All],2,0)</f>
        <v>Pooja Patel</v>
      </c>
      <c r="E172" s="34" t="s">
        <v>532</v>
      </c>
      <c r="F172" s="34" t="str">
        <f>VLOOKUP(Sales[[#This Row],[Product ID]],Product[#All],2,0)</f>
        <v>Dell Laptop</v>
      </c>
      <c r="G172" s="53">
        <v>2</v>
      </c>
      <c r="H172" s="165">
        <f>VLOOKUP(Sales[[#This Row],[Product ID]],Product[#All],7,0)</f>
        <v>47550</v>
      </c>
      <c r="I172" s="165">
        <f>Sales[[#This Row],[Selling Rate]]*Sales[[#This Row],[Qty]]</f>
        <v>95100</v>
      </c>
      <c r="J172" s="45">
        <v>0</v>
      </c>
      <c r="K172" s="46">
        <f>Sales[[#This Row],[Gross Amount]]*Sales[[#This Row],[Disc %]]</f>
        <v>0</v>
      </c>
      <c r="L172" s="43">
        <v>0.18</v>
      </c>
      <c r="M172" s="46">
        <f>(Sales[[#This Row],[Gross Amount]]-Sales[[#This Row],[Disc. Amt.]])*Sales[[#This Row],[GST %]]</f>
        <v>17118</v>
      </c>
      <c r="N172" s="161">
        <f>Sales[[#This Row],[Gross Amount]]-Sales[[#This Row],[Disc. Amt.]]+Sales[[#This Row],[GST Amount]]</f>
        <v>112218</v>
      </c>
      <c r="O172" s="34" t="s">
        <v>8876</v>
      </c>
      <c r="P172" s="34" t="s">
        <v>3562</v>
      </c>
      <c r="Q172" s="165">
        <f>IF(Sales[[#This Row],[Status]]="Cancelled",0,Sales[[#This Row],[Qty]])</f>
        <v>2</v>
      </c>
      <c r="R172" s="166">
        <f>IF(Sales[[#This Row],[Status]]="Cancelled",0,Sales[[#This Row],[Total Amount]])</f>
        <v>112218</v>
      </c>
      <c r="S172" s="162">
        <f>SUM(Sales[Net Amount])</f>
        <v>406839287.73200053</v>
      </c>
    </row>
    <row r="173" spans="1:19" ht="18.75" x14ac:dyDescent="0.25">
      <c r="A173" s="156" t="s">
        <v>3738</v>
      </c>
      <c r="B173" s="157">
        <v>45789</v>
      </c>
      <c r="C173" s="158" t="s">
        <v>665</v>
      </c>
      <c r="D173" s="159" t="str">
        <f>VLOOKUP(Sales[[#This Row],[Customer ID]],Customer[#All],2,0)</f>
        <v>Vikas Sharma</v>
      </c>
      <c r="E173" s="158" t="s">
        <v>486</v>
      </c>
      <c r="F173" s="158" t="str">
        <f>VLOOKUP(Sales[[#This Row],[Product ID]],Product[#All],2,0)</f>
        <v>Logitech Mouse</v>
      </c>
      <c r="G173" s="159">
        <v>5</v>
      </c>
      <c r="H173" s="160">
        <f>VLOOKUP(Sales[[#This Row],[Product ID]],Product[#All],7,0)</f>
        <v>1650</v>
      </c>
      <c r="I173" s="160">
        <f>Sales[[#This Row],[Selling Rate]]*Sales[[#This Row],[Qty]]</f>
        <v>8250</v>
      </c>
      <c r="J173" s="43">
        <v>0.05</v>
      </c>
      <c r="K173" s="44">
        <f>Sales[[#This Row],[Gross Amount]]*Sales[[#This Row],[Disc %]]</f>
        <v>412.5</v>
      </c>
      <c r="L173" s="43">
        <v>0.18</v>
      </c>
      <c r="M173" s="44">
        <f>(Sales[[#This Row],[Gross Amount]]-Sales[[#This Row],[Disc. Amt.]])*Sales[[#This Row],[GST %]]</f>
        <v>1410.75</v>
      </c>
      <c r="N173" s="161">
        <f>Sales[[#This Row],[Gross Amount]]-Sales[[#This Row],[Disc. Amt.]]+Sales[[#This Row],[GST Amount]]</f>
        <v>9248.25</v>
      </c>
      <c r="O173" s="158" t="s">
        <v>3566</v>
      </c>
      <c r="P173" s="158" t="s">
        <v>3562</v>
      </c>
      <c r="Q173" s="160">
        <f>IF(Sales[[#This Row],[Status]]="Cancelled",0,Sales[[#This Row],[Qty]])</f>
        <v>5</v>
      </c>
      <c r="R173" s="161">
        <f>IF(Sales[[#This Row],[Status]]="Cancelled",0,Sales[[#This Row],[Total Amount]])</f>
        <v>9248.25</v>
      </c>
      <c r="S173" s="162">
        <f>SUM(Sales[Net Amount])</f>
        <v>406839287.73200053</v>
      </c>
    </row>
    <row r="174" spans="1:19" ht="18.75" x14ac:dyDescent="0.25">
      <c r="A174" s="163" t="s">
        <v>3739</v>
      </c>
      <c r="B174" s="164">
        <v>45789</v>
      </c>
      <c r="C174" s="34" t="s">
        <v>878</v>
      </c>
      <c r="D174" s="53" t="str">
        <f>VLOOKUP(Sales[[#This Row],[Customer ID]],Customer[#All],2,0)</f>
        <v>Rahul Singh</v>
      </c>
      <c r="E174" s="34" t="s">
        <v>420</v>
      </c>
      <c r="F174" s="34" t="str">
        <f>VLOOKUP(Sales[[#This Row],[Product ID]],Product[#All],2,0)</f>
        <v>Logitech Keyboard</v>
      </c>
      <c r="G174" s="53">
        <v>8</v>
      </c>
      <c r="H174" s="165">
        <f>VLOOKUP(Sales[[#This Row],[Product ID]],Product[#All],7,0)</f>
        <v>3430</v>
      </c>
      <c r="I174" s="165">
        <f>Sales[[#This Row],[Selling Rate]]*Sales[[#This Row],[Qty]]</f>
        <v>27440</v>
      </c>
      <c r="J174" s="45">
        <v>0</v>
      </c>
      <c r="K174" s="46">
        <f>Sales[[#This Row],[Gross Amount]]*Sales[[#This Row],[Disc %]]</f>
        <v>0</v>
      </c>
      <c r="L174" s="43">
        <v>0.18</v>
      </c>
      <c r="M174" s="46">
        <f>(Sales[[#This Row],[Gross Amount]]-Sales[[#This Row],[Disc. Amt.]])*Sales[[#This Row],[GST %]]</f>
        <v>4939.2</v>
      </c>
      <c r="N174" s="161">
        <f>Sales[[#This Row],[Gross Amount]]-Sales[[#This Row],[Disc. Amt.]]+Sales[[#This Row],[GST Amount]]</f>
        <v>32379.200000000001</v>
      </c>
      <c r="O174" s="34" t="s">
        <v>8876</v>
      </c>
      <c r="P174" s="34" t="s">
        <v>3562</v>
      </c>
      <c r="Q174" s="165">
        <f>IF(Sales[[#This Row],[Status]]="Cancelled",0,Sales[[#This Row],[Qty]])</f>
        <v>8</v>
      </c>
      <c r="R174" s="166">
        <f>IF(Sales[[#This Row],[Status]]="Cancelled",0,Sales[[#This Row],[Total Amount]])</f>
        <v>32379.200000000001</v>
      </c>
      <c r="S174" s="162">
        <f>SUM(Sales[Net Amount])</f>
        <v>406839287.73200053</v>
      </c>
    </row>
    <row r="175" spans="1:19" ht="18.75" x14ac:dyDescent="0.25">
      <c r="A175" s="156" t="s">
        <v>3740</v>
      </c>
      <c r="B175" s="157">
        <v>45789</v>
      </c>
      <c r="C175" s="158" t="s">
        <v>820</v>
      </c>
      <c r="D175" s="159" t="str">
        <f>VLOOKUP(Sales[[#This Row],[Customer ID]],Customer[#All],2,0)</f>
        <v>Sahil Gupta</v>
      </c>
      <c r="E175" s="158" t="s">
        <v>106</v>
      </c>
      <c r="F175" s="158" t="str">
        <f>VLOOKUP(Sales[[#This Row],[Product ID]],Product[#All],2,0)</f>
        <v>Corsair Ram</v>
      </c>
      <c r="G175" s="159">
        <v>1</v>
      </c>
      <c r="H175" s="160">
        <f>VLOOKUP(Sales[[#This Row],[Product ID]],Product[#All],7,0)</f>
        <v>7990</v>
      </c>
      <c r="I175" s="160">
        <f>Sales[[#This Row],[Selling Rate]]*Sales[[#This Row],[Qty]]</f>
        <v>7990</v>
      </c>
      <c r="J175" s="43">
        <v>0.02</v>
      </c>
      <c r="K175" s="44">
        <f>Sales[[#This Row],[Gross Amount]]*Sales[[#This Row],[Disc %]]</f>
        <v>159.80000000000001</v>
      </c>
      <c r="L175" s="43">
        <v>0.18</v>
      </c>
      <c r="M175" s="44">
        <f>(Sales[[#This Row],[Gross Amount]]-Sales[[#This Row],[Disc. Amt.]])*Sales[[#This Row],[GST %]]</f>
        <v>1409.4359999999999</v>
      </c>
      <c r="N175" s="161">
        <f>Sales[[#This Row],[Gross Amount]]-Sales[[#This Row],[Disc. Amt.]]+Sales[[#This Row],[GST Amount]]</f>
        <v>9239.6360000000004</v>
      </c>
      <c r="O175" s="158" t="s">
        <v>8876</v>
      </c>
      <c r="P175" s="158" t="s">
        <v>3562</v>
      </c>
      <c r="Q175" s="160">
        <f>IF(Sales[[#This Row],[Status]]="Cancelled",0,Sales[[#This Row],[Qty]])</f>
        <v>1</v>
      </c>
      <c r="R175" s="161">
        <f>IF(Sales[[#This Row],[Status]]="Cancelled",0,Sales[[#This Row],[Total Amount]])</f>
        <v>9239.6360000000004</v>
      </c>
      <c r="S175" s="162">
        <f>SUM(Sales[Net Amount])</f>
        <v>406839287.73200053</v>
      </c>
    </row>
    <row r="176" spans="1:19" ht="18.75" x14ac:dyDescent="0.25">
      <c r="A176" s="163" t="s">
        <v>3741</v>
      </c>
      <c r="B176" s="164">
        <v>45789</v>
      </c>
      <c r="C176" s="34" t="s">
        <v>869</v>
      </c>
      <c r="D176" s="53" t="str">
        <f>VLOOKUP(Sales[[#This Row],[Customer ID]],Customer[#All],2,0)</f>
        <v>Rakesh Patel</v>
      </c>
      <c r="E176" s="34" t="s">
        <v>521</v>
      </c>
      <c r="F176" s="34" t="str">
        <f>VLOOKUP(Sales[[#This Row],[Product ID]],Product[#All],2,0)</f>
        <v>Sandisk Pen Drive</v>
      </c>
      <c r="G176" s="53">
        <v>5</v>
      </c>
      <c r="H176" s="165">
        <f>VLOOKUP(Sales[[#This Row],[Product ID]],Product[#All],7,0)</f>
        <v>2920</v>
      </c>
      <c r="I176" s="165">
        <f>Sales[[#This Row],[Selling Rate]]*Sales[[#This Row],[Qty]]</f>
        <v>14600</v>
      </c>
      <c r="J176" s="45">
        <v>0.1</v>
      </c>
      <c r="K176" s="46">
        <f>Sales[[#This Row],[Gross Amount]]*Sales[[#This Row],[Disc %]]</f>
        <v>1460</v>
      </c>
      <c r="L176" s="43">
        <v>0.18</v>
      </c>
      <c r="M176" s="46">
        <f>(Sales[[#This Row],[Gross Amount]]-Sales[[#This Row],[Disc. Amt.]])*Sales[[#This Row],[GST %]]</f>
        <v>2365.1999999999998</v>
      </c>
      <c r="N176" s="161">
        <f>Sales[[#This Row],[Gross Amount]]-Sales[[#This Row],[Disc. Amt.]]+Sales[[#This Row],[GST Amount]]</f>
        <v>15505.2</v>
      </c>
      <c r="O176" s="34" t="s">
        <v>3566</v>
      </c>
      <c r="P176" s="34" t="s">
        <v>3562</v>
      </c>
      <c r="Q176" s="165">
        <f>IF(Sales[[#This Row],[Status]]="Cancelled",0,Sales[[#This Row],[Qty]])</f>
        <v>5</v>
      </c>
      <c r="R176" s="166">
        <f>IF(Sales[[#This Row],[Status]]="Cancelled",0,Sales[[#This Row],[Total Amount]])</f>
        <v>15505.2</v>
      </c>
      <c r="S176" s="162">
        <f>SUM(Sales[Net Amount])</f>
        <v>406839287.73200053</v>
      </c>
    </row>
    <row r="177" spans="1:19" ht="18.75" x14ac:dyDescent="0.25">
      <c r="A177" s="156" t="s">
        <v>3742</v>
      </c>
      <c r="B177" s="157">
        <v>45789</v>
      </c>
      <c r="C177" s="158" t="s">
        <v>732</v>
      </c>
      <c r="D177" s="159" t="str">
        <f>VLOOKUP(Sales[[#This Row],[Customer ID]],Customer[#All],2,0)</f>
        <v>Sunita Gupta</v>
      </c>
      <c r="E177" s="158" t="s">
        <v>414</v>
      </c>
      <c r="F177" s="158" t="str">
        <f>VLOOKUP(Sales[[#This Row],[Product ID]],Product[#All],2,0)</f>
        <v>Logitech Keyboard</v>
      </c>
      <c r="G177" s="159">
        <v>6</v>
      </c>
      <c r="H177" s="160">
        <f>VLOOKUP(Sales[[#This Row],[Product ID]],Product[#All],7,0)</f>
        <v>2030</v>
      </c>
      <c r="I177" s="160">
        <f>Sales[[#This Row],[Selling Rate]]*Sales[[#This Row],[Qty]]</f>
        <v>12180</v>
      </c>
      <c r="J177" s="43">
        <v>0.15</v>
      </c>
      <c r="K177" s="44">
        <f>Sales[[#This Row],[Gross Amount]]*Sales[[#This Row],[Disc %]]</f>
        <v>1827</v>
      </c>
      <c r="L177" s="43">
        <v>0.18</v>
      </c>
      <c r="M177" s="44">
        <f>(Sales[[#This Row],[Gross Amount]]-Sales[[#This Row],[Disc. Amt.]])*Sales[[#This Row],[GST %]]</f>
        <v>1863.54</v>
      </c>
      <c r="N177" s="161">
        <f>Sales[[#This Row],[Gross Amount]]-Sales[[#This Row],[Disc. Amt.]]+Sales[[#This Row],[GST Amount]]</f>
        <v>12216.54</v>
      </c>
      <c r="O177" s="158" t="s">
        <v>8876</v>
      </c>
      <c r="P177" s="158" t="s">
        <v>3562</v>
      </c>
      <c r="Q177" s="160">
        <f>IF(Sales[[#This Row],[Status]]="Cancelled",0,Sales[[#This Row],[Qty]])</f>
        <v>6</v>
      </c>
      <c r="R177" s="161">
        <f>IF(Sales[[#This Row],[Status]]="Cancelled",0,Sales[[#This Row],[Total Amount]])</f>
        <v>12216.54</v>
      </c>
      <c r="S177" s="162">
        <f>SUM(Sales[Net Amount])</f>
        <v>406839287.73200053</v>
      </c>
    </row>
    <row r="178" spans="1:19" ht="18.75" x14ac:dyDescent="0.25">
      <c r="A178" s="163" t="s">
        <v>3743</v>
      </c>
      <c r="B178" s="164">
        <v>45789</v>
      </c>
      <c r="C178" s="34" t="s">
        <v>920</v>
      </c>
      <c r="D178" s="53" t="str">
        <f>VLOOKUP(Sales[[#This Row],[Customer ID]],Customer[#All],2,0)</f>
        <v>Rakesh Sharma</v>
      </c>
      <c r="E178" s="34" t="s">
        <v>464</v>
      </c>
      <c r="F178" s="34" t="str">
        <f>VLOOKUP(Sales[[#This Row],[Product ID]],Product[#All],2,0)</f>
        <v>Lg Monitor</v>
      </c>
      <c r="G178" s="53">
        <v>4</v>
      </c>
      <c r="H178" s="165">
        <f>VLOOKUP(Sales[[#This Row],[Product ID]],Product[#All],7,0)</f>
        <v>27140</v>
      </c>
      <c r="I178" s="165">
        <f>Sales[[#This Row],[Selling Rate]]*Sales[[#This Row],[Qty]]</f>
        <v>108560</v>
      </c>
      <c r="J178" s="45">
        <v>0</v>
      </c>
      <c r="K178" s="46">
        <f>Sales[[#This Row],[Gross Amount]]*Sales[[#This Row],[Disc %]]</f>
        <v>0</v>
      </c>
      <c r="L178" s="43">
        <v>0.18</v>
      </c>
      <c r="M178" s="46">
        <f>(Sales[[#This Row],[Gross Amount]]-Sales[[#This Row],[Disc. Amt.]])*Sales[[#This Row],[GST %]]</f>
        <v>19540.8</v>
      </c>
      <c r="N178" s="161">
        <f>Sales[[#This Row],[Gross Amount]]-Sales[[#This Row],[Disc. Amt.]]+Sales[[#This Row],[GST Amount]]</f>
        <v>128100.8</v>
      </c>
      <c r="O178" s="34" t="s">
        <v>3569</v>
      </c>
      <c r="P178" s="34" t="s">
        <v>3562</v>
      </c>
      <c r="Q178" s="165">
        <f>IF(Sales[[#This Row],[Status]]="Cancelled",0,Sales[[#This Row],[Qty]])</f>
        <v>4</v>
      </c>
      <c r="R178" s="166">
        <f>IF(Sales[[#This Row],[Status]]="Cancelled",0,Sales[[#This Row],[Total Amount]])</f>
        <v>128100.8</v>
      </c>
      <c r="S178" s="162">
        <f>SUM(Sales[Net Amount])</f>
        <v>406839287.73200053</v>
      </c>
    </row>
    <row r="179" spans="1:19" ht="18.75" x14ac:dyDescent="0.25">
      <c r="A179" s="156" t="s">
        <v>3744</v>
      </c>
      <c r="B179" s="157">
        <v>45790</v>
      </c>
      <c r="C179" s="158" t="s">
        <v>3745</v>
      </c>
      <c r="D179" s="159" t="str">
        <f>VLOOKUP(Sales[[#This Row],[Customer ID]],Customer[#All],2,0)</f>
        <v>Sahil Singh</v>
      </c>
      <c r="E179" s="158" t="s">
        <v>528</v>
      </c>
      <c r="F179" s="158" t="str">
        <f>VLOOKUP(Sales[[#This Row],[Product ID]],Product[#All],2,0)</f>
        <v>Kingston Ram</v>
      </c>
      <c r="G179" s="159">
        <v>1</v>
      </c>
      <c r="H179" s="160">
        <f>VLOOKUP(Sales[[#This Row],[Product ID]],Product[#All],7,0)</f>
        <v>4750</v>
      </c>
      <c r="I179" s="160">
        <f>Sales[[#This Row],[Selling Rate]]*Sales[[#This Row],[Qty]]</f>
        <v>4750</v>
      </c>
      <c r="J179" s="43">
        <v>0</v>
      </c>
      <c r="K179" s="44">
        <f>Sales[[#This Row],[Gross Amount]]*Sales[[#This Row],[Disc %]]</f>
        <v>0</v>
      </c>
      <c r="L179" s="43">
        <v>0.18</v>
      </c>
      <c r="M179" s="44">
        <f>(Sales[[#This Row],[Gross Amount]]-Sales[[#This Row],[Disc. Amt.]])*Sales[[#This Row],[GST %]]</f>
        <v>855</v>
      </c>
      <c r="N179" s="161">
        <f>Sales[[#This Row],[Gross Amount]]-Sales[[#This Row],[Disc. Amt.]]+Sales[[#This Row],[GST Amount]]</f>
        <v>5605</v>
      </c>
      <c r="O179" s="158" t="s">
        <v>8876</v>
      </c>
      <c r="P179" s="158" t="s">
        <v>3562</v>
      </c>
      <c r="Q179" s="160">
        <f>IF(Sales[[#This Row],[Status]]="Cancelled",0,Sales[[#This Row],[Qty]])</f>
        <v>1</v>
      </c>
      <c r="R179" s="161">
        <f>IF(Sales[[#This Row],[Status]]="Cancelled",0,Sales[[#This Row],[Total Amount]])</f>
        <v>5605</v>
      </c>
      <c r="S179" s="162">
        <f>SUM(Sales[Net Amount])</f>
        <v>406839287.73200053</v>
      </c>
    </row>
    <row r="180" spans="1:19" ht="18.75" x14ac:dyDescent="0.25">
      <c r="A180" s="163" t="s">
        <v>3746</v>
      </c>
      <c r="B180" s="164">
        <v>45790</v>
      </c>
      <c r="C180" s="34" t="s">
        <v>798</v>
      </c>
      <c r="D180" s="53" t="str">
        <f>VLOOKUP(Sales[[#This Row],[Customer ID]],Customer[#All],2,0)</f>
        <v>Amit Singh</v>
      </c>
      <c r="E180" s="34" t="s">
        <v>421</v>
      </c>
      <c r="F180" s="34" t="str">
        <f>VLOOKUP(Sales[[#This Row],[Product ID]],Product[#All],2,0)</f>
        <v>Portronics USB Cable</v>
      </c>
      <c r="G180" s="53">
        <v>7</v>
      </c>
      <c r="H180" s="165">
        <f>VLOOKUP(Sales[[#This Row],[Product ID]],Product[#All],7,0)</f>
        <v>270</v>
      </c>
      <c r="I180" s="165">
        <f>Sales[[#This Row],[Selling Rate]]*Sales[[#This Row],[Qty]]</f>
        <v>1890</v>
      </c>
      <c r="J180" s="45">
        <v>0</v>
      </c>
      <c r="K180" s="46">
        <f>Sales[[#This Row],[Gross Amount]]*Sales[[#This Row],[Disc %]]</f>
        <v>0</v>
      </c>
      <c r="L180" s="43">
        <v>0.18</v>
      </c>
      <c r="M180" s="46">
        <f>(Sales[[#This Row],[Gross Amount]]-Sales[[#This Row],[Disc. Amt.]])*Sales[[#This Row],[GST %]]</f>
        <v>340.2</v>
      </c>
      <c r="N180" s="161">
        <f>Sales[[#This Row],[Gross Amount]]-Sales[[#This Row],[Disc. Amt.]]+Sales[[#This Row],[GST Amount]]</f>
        <v>2230.1999999999998</v>
      </c>
      <c r="O180" s="34" t="s">
        <v>8876</v>
      </c>
      <c r="P180" s="34" t="s">
        <v>3562</v>
      </c>
      <c r="Q180" s="165">
        <f>IF(Sales[[#This Row],[Status]]="Cancelled",0,Sales[[#This Row],[Qty]])</f>
        <v>7</v>
      </c>
      <c r="R180" s="166">
        <f>IF(Sales[[#This Row],[Status]]="Cancelled",0,Sales[[#This Row],[Total Amount]])</f>
        <v>2230.1999999999998</v>
      </c>
      <c r="S180" s="162">
        <f>SUM(Sales[Net Amount])</f>
        <v>406839287.73200053</v>
      </c>
    </row>
    <row r="181" spans="1:19" ht="18.75" x14ac:dyDescent="0.25">
      <c r="A181" s="156" t="s">
        <v>3747</v>
      </c>
      <c r="B181" s="157">
        <v>45790</v>
      </c>
      <c r="C181" s="158" t="s">
        <v>796</v>
      </c>
      <c r="D181" s="159" t="str">
        <f>VLOOKUP(Sales[[#This Row],[Customer ID]],Customer[#All],2,0)</f>
        <v>Rahul Verma</v>
      </c>
      <c r="E181" s="158" t="s">
        <v>403</v>
      </c>
      <c r="F181" s="158" t="str">
        <f>VLOOKUP(Sales[[#This Row],[Product ID]],Product[#All],2,0)</f>
        <v>Apc UPS</v>
      </c>
      <c r="G181" s="159">
        <v>8</v>
      </c>
      <c r="H181" s="160">
        <f>VLOOKUP(Sales[[#This Row],[Product ID]],Product[#All],7,0)</f>
        <v>15810</v>
      </c>
      <c r="I181" s="160">
        <f>Sales[[#This Row],[Selling Rate]]*Sales[[#This Row],[Qty]]</f>
        <v>126480</v>
      </c>
      <c r="J181" s="43">
        <v>0</v>
      </c>
      <c r="K181" s="44">
        <f>Sales[[#This Row],[Gross Amount]]*Sales[[#This Row],[Disc %]]</f>
        <v>0</v>
      </c>
      <c r="L181" s="43">
        <v>0.18</v>
      </c>
      <c r="M181" s="44">
        <f>(Sales[[#This Row],[Gross Amount]]-Sales[[#This Row],[Disc. Amt.]])*Sales[[#This Row],[GST %]]</f>
        <v>22766.399999999998</v>
      </c>
      <c r="N181" s="161">
        <f>Sales[[#This Row],[Gross Amount]]-Sales[[#This Row],[Disc. Amt.]]+Sales[[#This Row],[GST Amount]]</f>
        <v>149246.39999999999</v>
      </c>
      <c r="O181" s="158" t="s">
        <v>8876</v>
      </c>
      <c r="P181" s="158" t="s">
        <v>1040</v>
      </c>
      <c r="Q181" s="160">
        <f>IF(Sales[[#This Row],[Status]]="Cancelled",0,Sales[[#This Row],[Qty]])</f>
        <v>0</v>
      </c>
      <c r="R181" s="161">
        <f>IF(Sales[[#This Row],[Status]]="Cancelled",0,Sales[[#This Row],[Total Amount]])</f>
        <v>0</v>
      </c>
      <c r="S181" s="162">
        <f>SUM(Sales[Net Amount])</f>
        <v>406839287.73200053</v>
      </c>
    </row>
    <row r="182" spans="1:19" ht="18.75" x14ac:dyDescent="0.25">
      <c r="A182" s="163" t="s">
        <v>3748</v>
      </c>
      <c r="B182" s="164">
        <v>45790</v>
      </c>
      <c r="C182" s="34" t="s">
        <v>838</v>
      </c>
      <c r="D182" s="53" t="str">
        <f>VLOOKUP(Sales[[#This Row],[Customer ID]],Customer[#All],2,0)</f>
        <v>Priya Gupta</v>
      </c>
      <c r="E182" s="34" t="s">
        <v>391</v>
      </c>
      <c r="F182" s="34" t="str">
        <f>VLOOKUP(Sales[[#This Row],[Product ID]],Product[#All],2,0)</f>
        <v>Seagate HDD</v>
      </c>
      <c r="G182" s="53">
        <v>1</v>
      </c>
      <c r="H182" s="165">
        <f>VLOOKUP(Sales[[#This Row],[Product ID]],Product[#All],7,0)</f>
        <v>10370</v>
      </c>
      <c r="I182" s="165">
        <f>Sales[[#This Row],[Selling Rate]]*Sales[[#This Row],[Qty]]</f>
        <v>10370</v>
      </c>
      <c r="J182" s="45">
        <v>0.15</v>
      </c>
      <c r="K182" s="46">
        <f>Sales[[#This Row],[Gross Amount]]*Sales[[#This Row],[Disc %]]</f>
        <v>1555.5</v>
      </c>
      <c r="L182" s="43">
        <v>0.18</v>
      </c>
      <c r="M182" s="46">
        <f>(Sales[[#This Row],[Gross Amount]]-Sales[[#This Row],[Disc. Amt.]])*Sales[[#This Row],[GST %]]</f>
        <v>1586.61</v>
      </c>
      <c r="N182" s="161">
        <f>Sales[[#This Row],[Gross Amount]]-Sales[[#This Row],[Disc. Amt.]]+Sales[[#This Row],[GST Amount]]</f>
        <v>10401.11</v>
      </c>
      <c r="O182" s="34" t="s">
        <v>8876</v>
      </c>
      <c r="P182" s="34" t="s">
        <v>3562</v>
      </c>
      <c r="Q182" s="165">
        <f>IF(Sales[[#This Row],[Status]]="Cancelled",0,Sales[[#This Row],[Qty]])</f>
        <v>1</v>
      </c>
      <c r="R182" s="166">
        <f>IF(Sales[[#This Row],[Status]]="Cancelled",0,Sales[[#This Row],[Total Amount]])</f>
        <v>10401.11</v>
      </c>
      <c r="S182" s="162">
        <f>SUM(Sales[Net Amount])</f>
        <v>406839287.73200053</v>
      </c>
    </row>
    <row r="183" spans="1:19" ht="18.75" x14ac:dyDescent="0.25">
      <c r="A183" s="156" t="s">
        <v>3749</v>
      </c>
      <c r="B183" s="157">
        <v>45790</v>
      </c>
      <c r="C183" s="158" t="s">
        <v>699</v>
      </c>
      <c r="D183" s="159" t="str">
        <f>VLOOKUP(Sales[[#This Row],[Customer ID]],Customer[#All],2,0)</f>
        <v>Amit Singh</v>
      </c>
      <c r="E183" s="158" t="s">
        <v>467</v>
      </c>
      <c r="F183" s="158" t="str">
        <f>VLOOKUP(Sales[[#This Row],[Product ID]],Product[#All],2,0)</f>
        <v>Apc UPS</v>
      </c>
      <c r="G183" s="159">
        <v>7</v>
      </c>
      <c r="H183" s="160">
        <f>VLOOKUP(Sales[[#This Row],[Product ID]],Product[#All],7,0)</f>
        <v>6250</v>
      </c>
      <c r="I183" s="160">
        <f>Sales[[#This Row],[Selling Rate]]*Sales[[#This Row],[Qty]]</f>
        <v>43750</v>
      </c>
      <c r="J183" s="43">
        <v>0</v>
      </c>
      <c r="K183" s="44">
        <f>Sales[[#This Row],[Gross Amount]]*Sales[[#This Row],[Disc %]]</f>
        <v>0</v>
      </c>
      <c r="L183" s="43">
        <v>0.18</v>
      </c>
      <c r="M183" s="44">
        <f>(Sales[[#This Row],[Gross Amount]]-Sales[[#This Row],[Disc. Amt.]])*Sales[[#This Row],[GST %]]</f>
        <v>7875</v>
      </c>
      <c r="N183" s="161">
        <f>Sales[[#This Row],[Gross Amount]]-Sales[[#This Row],[Disc. Amt.]]+Sales[[#This Row],[GST Amount]]</f>
        <v>51625</v>
      </c>
      <c r="O183" s="158" t="s">
        <v>3566</v>
      </c>
      <c r="P183" s="158" t="s">
        <v>3562</v>
      </c>
      <c r="Q183" s="160">
        <f>IF(Sales[[#This Row],[Status]]="Cancelled",0,Sales[[#This Row],[Qty]])</f>
        <v>7</v>
      </c>
      <c r="R183" s="161">
        <f>IF(Sales[[#This Row],[Status]]="Cancelled",0,Sales[[#This Row],[Total Amount]])</f>
        <v>51625</v>
      </c>
      <c r="S183" s="162">
        <f>SUM(Sales[Net Amount])</f>
        <v>406839287.73200053</v>
      </c>
    </row>
    <row r="184" spans="1:19" ht="18.75" x14ac:dyDescent="0.25">
      <c r="A184" s="163" t="s">
        <v>3750</v>
      </c>
      <c r="B184" s="164">
        <v>45790</v>
      </c>
      <c r="C184" s="34" t="s">
        <v>718</v>
      </c>
      <c r="D184" s="53" t="str">
        <f>VLOOKUP(Sales[[#This Row],[Customer ID]],Customer[#All],2,0)</f>
        <v>Rakesh Patel</v>
      </c>
      <c r="E184" s="34" t="s">
        <v>89</v>
      </c>
      <c r="F184" s="34" t="str">
        <f>VLOOKUP(Sales[[#This Row],[Product ID]],Product[#All],2,0)</f>
        <v>Portronics USB Cable</v>
      </c>
      <c r="G184" s="53">
        <v>7</v>
      </c>
      <c r="H184" s="165">
        <f>VLOOKUP(Sales[[#This Row],[Product ID]],Product[#All],7,0)</f>
        <v>390</v>
      </c>
      <c r="I184" s="165">
        <f>Sales[[#This Row],[Selling Rate]]*Sales[[#This Row],[Qty]]</f>
        <v>2730</v>
      </c>
      <c r="J184" s="45">
        <v>0.15</v>
      </c>
      <c r="K184" s="46">
        <f>Sales[[#This Row],[Gross Amount]]*Sales[[#This Row],[Disc %]]</f>
        <v>409.5</v>
      </c>
      <c r="L184" s="43">
        <v>0.18</v>
      </c>
      <c r="M184" s="46">
        <f>(Sales[[#This Row],[Gross Amount]]-Sales[[#This Row],[Disc. Amt.]])*Sales[[#This Row],[GST %]]</f>
        <v>417.69</v>
      </c>
      <c r="N184" s="161">
        <f>Sales[[#This Row],[Gross Amount]]-Sales[[#This Row],[Disc. Amt.]]+Sales[[#This Row],[GST Amount]]</f>
        <v>2738.19</v>
      </c>
      <c r="O184" s="34" t="s">
        <v>3561</v>
      </c>
      <c r="P184" s="34" t="s">
        <v>3562</v>
      </c>
      <c r="Q184" s="165">
        <f>IF(Sales[[#This Row],[Status]]="Cancelled",0,Sales[[#This Row],[Qty]])</f>
        <v>7</v>
      </c>
      <c r="R184" s="166">
        <f>IF(Sales[[#This Row],[Status]]="Cancelled",0,Sales[[#This Row],[Total Amount]])</f>
        <v>2738.19</v>
      </c>
      <c r="S184" s="162">
        <f>SUM(Sales[Net Amount])</f>
        <v>406839287.73200053</v>
      </c>
    </row>
    <row r="185" spans="1:19" ht="18.75" x14ac:dyDescent="0.25">
      <c r="A185" s="156" t="s">
        <v>3751</v>
      </c>
      <c r="B185" s="157">
        <v>45790</v>
      </c>
      <c r="C185" s="158" t="s">
        <v>865</v>
      </c>
      <c r="D185" s="159" t="str">
        <f>VLOOKUP(Sales[[#This Row],[Customer ID]],Customer[#All],2,0)</f>
        <v>Sunita Gupta</v>
      </c>
      <c r="E185" s="158" t="s">
        <v>256</v>
      </c>
      <c r="F185" s="158" t="str">
        <f>VLOOKUP(Sales[[#This Row],[Product ID]],Product[#All],2,0)</f>
        <v>HP Laptop</v>
      </c>
      <c r="G185" s="159">
        <v>4</v>
      </c>
      <c r="H185" s="160">
        <f>VLOOKUP(Sales[[#This Row],[Product ID]],Product[#All],7,0)</f>
        <v>106260</v>
      </c>
      <c r="I185" s="160">
        <f>Sales[[#This Row],[Selling Rate]]*Sales[[#This Row],[Qty]]</f>
        <v>425040</v>
      </c>
      <c r="J185" s="43">
        <v>0.1</v>
      </c>
      <c r="K185" s="44">
        <f>Sales[[#This Row],[Gross Amount]]*Sales[[#This Row],[Disc %]]</f>
        <v>42504</v>
      </c>
      <c r="L185" s="43">
        <v>0.18</v>
      </c>
      <c r="M185" s="44">
        <f>(Sales[[#This Row],[Gross Amount]]-Sales[[#This Row],[Disc. Amt.]])*Sales[[#This Row],[GST %]]</f>
        <v>68856.479999999996</v>
      </c>
      <c r="N185" s="161">
        <f>Sales[[#This Row],[Gross Amount]]-Sales[[#This Row],[Disc. Amt.]]+Sales[[#This Row],[GST Amount]]</f>
        <v>451392.48</v>
      </c>
      <c r="O185" s="158" t="s">
        <v>3569</v>
      </c>
      <c r="P185" s="158" t="s">
        <v>3562</v>
      </c>
      <c r="Q185" s="160">
        <f>IF(Sales[[#This Row],[Status]]="Cancelled",0,Sales[[#This Row],[Qty]])</f>
        <v>4</v>
      </c>
      <c r="R185" s="161">
        <f>IF(Sales[[#This Row],[Status]]="Cancelled",0,Sales[[#This Row],[Total Amount]])</f>
        <v>451392.48</v>
      </c>
      <c r="S185" s="162">
        <f>SUM(Sales[Net Amount])</f>
        <v>406839287.73200053</v>
      </c>
    </row>
    <row r="186" spans="1:19" ht="18.75" x14ac:dyDescent="0.25">
      <c r="A186" s="163" t="s">
        <v>3752</v>
      </c>
      <c r="B186" s="164">
        <v>45790</v>
      </c>
      <c r="C186" s="34" t="s">
        <v>840</v>
      </c>
      <c r="D186" s="53" t="str">
        <f>VLOOKUP(Sales[[#This Row],[Customer ID]],Customer[#All],2,0)</f>
        <v>Rakesh Verma</v>
      </c>
      <c r="E186" s="34" t="s">
        <v>471</v>
      </c>
      <c r="F186" s="34" t="str">
        <f>VLOOKUP(Sales[[#This Row],[Product ID]],Product[#All],2,0)</f>
        <v>Samsung Monitor</v>
      </c>
      <c r="G186" s="53">
        <v>3</v>
      </c>
      <c r="H186" s="165">
        <f>VLOOKUP(Sales[[#This Row],[Product ID]],Product[#All],7,0)</f>
        <v>10840</v>
      </c>
      <c r="I186" s="165">
        <f>Sales[[#This Row],[Selling Rate]]*Sales[[#This Row],[Qty]]</f>
        <v>32520</v>
      </c>
      <c r="J186" s="45">
        <v>0.05</v>
      </c>
      <c r="K186" s="46">
        <f>Sales[[#This Row],[Gross Amount]]*Sales[[#This Row],[Disc %]]</f>
        <v>1626</v>
      </c>
      <c r="L186" s="43">
        <v>0.18</v>
      </c>
      <c r="M186" s="46">
        <f>(Sales[[#This Row],[Gross Amount]]-Sales[[#This Row],[Disc. Amt.]])*Sales[[#This Row],[GST %]]</f>
        <v>5560.92</v>
      </c>
      <c r="N186" s="161">
        <f>Sales[[#This Row],[Gross Amount]]-Sales[[#This Row],[Disc. Amt.]]+Sales[[#This Row],[GST Amount]]</f>
        <v>36454.92</v>
      </c>
      <c r="O186" s="34" t="s">
        <v>3561</v>
      </c>
      <c r="P186" s="34" t="s">
        <v>3562</v>
      </c>
      <c r="Q186" s="165">
        <f>IF(Sales[[#This Row],[Status]]="Cancelled",0,Sales[[#This Row],[Qty]])</f>
        <v>3</v>
      </c>
      <c r="R186" s="166">
        <f>IF(Sales[[#This Row],[Status]]="Cancelled",0,Sales[[#This Row],[Total Amount]])</f>
        <v>36454.92</v>
      </c>
      <c r="S186" s="162">
        <f>SUM(Sales[Net Amount])</f>
        <v>406839287.73200053</v>
      </c>
    </row>
    <row r="187" spans="1:19" ht="18.75" x14ac:dyDescent="0.25">
      <c r="A187" s="156" t="s">
        <v>3753</v>
      </c>
      <c r="B187" s="157">
        <v>45790</v>
      </c>
      <c r="C187" s="158" t="s">
        <v>846</v>
      </c>
      <c r="D187" s="159" t="str">
        <f>VLOOKUP(Sales[[#This Row],[Customer ID]],Customer[#All],2,0)</f>
        <v>Ankit Patel</v>
      </c>
      <c r="E187" s="158" t="s">
        <v>491</v>
      </c>
      <c r="F187" s="158" t="str">
        <f>VLOOKUP(Sales[[#This Row],[Product ID]],Product[#All],2,0)</f>
        <v>Boat Speaker</v>
      </c>
      <c r="G187" s="159">
        <v>4</v>
      </c>
      <c r="H187" s="160">
        <f>VLOOKUP(Sales[[#This Row],[Product ID]],Product[#All],7,0)</f>
        <v>2300</v>
      </c>
      <c r="I187" s="160">
        <f>Sales[[#This Row],[Selling Rate]]*Sales[[#This Row],[Qty]]</f>
        <v>9200</v>
      </c>
      <c r="J187" s="43">
        <v>0.15</v>
      </c>
      <c r="K187" s="44">
        <f>Sales[[#This Row],[Gross Amount]]*Sales[[#This Row],[Disc %]]</f>
        <v>1380</v>
      </c>
      <c r="L187" s="43">
        <v>0.18</v>
      </c>
      <c r="M187" s="44">
        <f>(Sales[[#This Row],[Gross Amount]]-Sales[[#This Row],[Disc. Amt.]])*Sales[[#This Row],[GST %]]</f>
        <v>1407.6</v>
      </c>
      <c r="N187" s="161">
        <f>Sales[[#This Row],[Gross Amount]]-Sales[[#This Row],[Disc. Amt.]]+Sales[[#This Row],[GST Amount]]</f>
        <v>9227.6</v>
      </c>
      <c r="O187" s="158" t="s">
        <v>3561</v>
      </c>
      <c r="P187" s="158" t="s">
        <v>3562</v>
      </c>
      <c r="Q187" s="160">
        <f>IF(Sales[[#This Row],[Status]]="Cancelled",0,Sales[[#This Row],[Qty]])</f>
        <v>4</v>
      </c>
      <c r="R187" s="161">
        <f>IF(Sales[[#This Row],[Status]]="Cancelled",0,Sales[[#This Row],[Total Amount]])</f>
        <v>9227.6</v>
      </c>
      <c r="S187" s="162">
        <f>SUM(Sales[Net Amount])</f>
        <v>406839287.73200053</v>
      </c>
    </row>
    <row r="188" spans="1:19" ht="18.75" x14ac:dyDescent="0.25">
      <c r="A188" s="163" t="s">
        <v>3754</v>
      </c>
      <c r="B188" s="164">
        <v>45790</v>
      </c>
      <c r="C188" s="34" t="s">
        <v>950</v>
      </c>
      <c r="D188" s="53" t="str">
        <f>VLOOKUP(Sales[[#This Row],[Customer ID]],Customer[#All],2,0)</f>
        <v>Sunita Sharma</v>
      </c>
      <c r="E188" s="34" t="s">
        <v>10</v>
      </c>
      <c r="F188" s="34" t="str">
        <f>VLOOKUP(Sales[[#This Row],[Product ID]],Product[#All],2,0)</f>
        <v>Dell Monitor</v>
      </c>
      <c r="G188" s="53">
        <v>6</v>
      </c>
      <c r="H188" s="165">
        <f>VLOOKUP(Sales[[#This Row],[Product ID]],Product[#All],7,0)</f>
        <v>17230</v>
      </c>
      <c r="I188" s="165">
        <f>Sales[[#This Row],[Selling Rate]]*Sales[[#This Row],[Qty]]</f>
        <v>103380</v>
      </c>
      <c r="J188" s="45">
        <v>0</v>
      </c>
      <c r="K188" s="46">
        <f>Sales[[#This Row],[Gross Amount]]*Sales[[#This Row],[Disc %]]</f>
        <v>0</v>
      </c>
      <c r="L188" s="43">
        <v>0.18</v>
      </c>
      <c r="M188" s="46">
        <f>(Sales[[#This Row],[Gross Amount]]-Sales[[#This Row],[Disc. Amt.]])*Sales[[#This Row],[GST %]]</f>
        <v>18608.399999999998</v>
      </c>
      <c r="N188" s="161">
        <f>Sales[[#This Row],[Gross Amount]]-Sales[[#This Row],[Disc. Amt.]]+Sales[[#This Row],[GST Amount]]</f>
        <v>121988.4</v>
      </c>
      <c r="O188" s="34" t="s">
        <v>3566</v>
      </c>
      <c r="P188" s="34" t="s">
        <v>3562</v>
      </c>
      <c r="Q188" s="165">
        <f>IF(Sales[[#This Row],[Status]]="Cancelled",0,Sales[[#This Row],[Qty]])</f>
        <v>6</v>
      </c>
      <c r="R188" s="166">
        <f>IF(Sales[[#This Row],[Status]]="Cancelled",0,Sales[[#This Row],[Total Amount]])</f>
        <v>121988.4</v>
      </c>
      <c r="S188" s="162">
        <f>SUM(Sales[Net Amount])</f>
        <v>406839287.73200053</v>
      </c>
    </row>
    <row r="189" spans="1:19" ht="18.75" x14ac:dyDescent="0.25">
      <c r="A189" s="156" t="s">
        <v>3755</v>
      </c>
      <c r="B189" s="157">
        <v>45790</v>
      </c>
      <c r="C189" s="158" t="s">
        <v>876</v>
      </c>
      <c r="D189" s="159" t="str">
        <f>VLOOKUP(Sales[[#This Row],[Customer ID]],Customer[#All],2,0)</f>
        <v>Sahil Verma</v>
      </c>
      <c r="E189" s="158" t="s">
        <v>122</v>
      </c>
      <c r="F189" s="158" t="str">
        <f>VLOOKUP(Sales[[#This Row],[Product ID]],Product[#All],2,0)</f>
        <v>HP Mouse</v>
      </c>
      <c r="G189" s="159">
        <v>7</v>
      </c>
      <c r="H189" s="160">
        <f>VLOOKUP(Sales[[#This Row],[Product ID]],Product[#All],7,0)</f>
        <v>1980</v>
      </c>
      <c r="I189" s="160">
        <f>Sales[[#This Row],[Selling Rate]]*Sales[[#This Row],[Qty]]</f>
        <v>13860</v>
      </c>
      <c r="J189" s="43">
        <v>0.02</v>
      </c>
      <c r="K189" s="44">
        <f>Sales[[#This Row],[Gross Amount]]*Sales[[#This Row],[Disc %]]</f>
        <v>277.2</v>
      </c>
      <c r="L189" s="43">
        <v>0.18</v>
      </c>
      <c r="M189" s="44">
        <f>(Sales[[#This Row],[Gross Amount]]-Sales[[#This Row],[Disc. Amt.]])*Sales[[#This Row],[GST %]]</f>
        <v>2444.904</v>
      </c>
      <c r="N189" s="161">
        <f>Sales[[#This Row],[Gross Amount]]-Sales[[#This Row],[Disc. Amt.]]+Sales[[#This Row],[GST Amount]]</f>
        <v>16027.704</v>
      </c>
      <c r="O189" s="158" t="s">
        <v>3561</v>
      </c>
      <c r="P189" s="158" t="s">
        <v>3562</v>
      </c>
      <c r="Q189" s="160">
        <f>IF(Sales[[#This Row],[Status]]="Cancelled",0,Sales[[#This Row],[Qty]])</f>
        <v>7</v>
      </c>
      <c r="R189" s="161">
        <f>IF(Sales[[#This Row],[Status]]="Cancelled",0,Sales[[#This Row],[Total Amount]])</f>
        <v>16027.704</v>
      </c>
      <c r="S189" s="162">
        <f>SUM(Sales[Net Amount])</f>
        <v>406839287.73200053</v>
      </c>
    </row>
    <row r="190" spans="1:19" ht="18.75" x14ac:dyDescent="0.25">
      <c r="A190" s="163" t="s">
        <v>3756</v>
      </c>
      <c r="B190" s="164">
        <v>45790</v>
      </c>
      <c r="C190" s="34" t="s">
        <v>921</v>
      </c>
      <c r="D190" s="53" t="str">
        <f>VLOOKUP(Sales[[#This Row],[Customer ID]],Customer[#All],2,0)</f>
        <v>Sahil Gupta</v>
      </c>
      <c r="E190" s="34" t="s">
        <v>507</v>
      </c>
      <c r="F190" s="34" t="str">
        <f>VLOOKUP(Sales[[#This Row],[Product ID]],Product[#All],2,0)</f>
        <v>American TouristerLaptopBag</v>
      </c>
      <c r="G190" s="53">
        <v>3</v>
      </c>
      <c r="H190" s="165">
        <f>VLOOKUP(Sales[[#This Row],[Product ID]],Product[#All],7,0)</f>
        <v>2030</v>
      </c>
      <c r="I190" s="165">
        <f>Sales[[#This Row],[Selling Rate]]*Sales[[#This Row],[Qty]]</f>
        <v>6090</v>
      </c>
      <c r="J190" s="45">
        <v>0.15</v>
      </c>
      <c r="K190" s="46">
        <f>Sales[[#This Row],[Gross Amount]]*Sales[[#This Row],[Disc %]]</f>
        <v>913.5</v>
      </c>
      <c r="L190" s="43">
        <v>0.18</v>
      </c>
      <c r="M190" s="46">
        <f>(Sales[[#This Row],[Gross Amount]]-Sales[[#This Row],[Disc. Amt.]])*Sales[[#This Row],[GST %]]</f>
        <v>931.77</v>
      </c>
      <c r="N190" s="161">
        <f>Sales[[#This Row],[Gross Amount]]-Sales[[#This Row],[Disc. Amt.]]+Sales[[#This Row],[GST Amount]]</f>
        <v>6108.27</v>
      </c>
      <c r="O190" s="34" t="s">
        <v>3561</v>
      </c>
      <c r="P190" s="34" t="s">
        <v>3562</v>
      </c>
      <c r="Q190" s="165">
        <f>IF(Sales[[#This Row],[Status]]="Cancelled",0,Sales[[#This Row],[Qty]])</f>
        <v>3</v>
      </c>
      <c r="R190" s="166">
        <f>IF(Sales[[#This Row],[Status]]="Cancelled",0,Sales[[#This Row],[Total Amount]])</f>
        <v>6108.27</v>
      </c>
      <c r="S190" s="162">
        <f>SUM(Sales[Net Amount])</f>
        <v>406839287.73200053</v>
      </c>
    </row>
    <row r="191" spans="1:19" ht="18.75" x14ac:dyDescent="0.25">
      <c r="A191" s="156" t="s">
        <v>3757</v>
      </c>
      <c r="B191" s="157">
        <v>45790</v>
      </c>
      <c r="C191" s="158" t="s">
        <v>847</v>
      </c>
      <c r="D191" s="159" t="str">
        <f>VLOOKUP(Sales[[#This Row],[Customer ID]],Customer[#All],2,0)</f>
        <v>Ankit Gupta</v>
      </c>
      <c r="E191" s="158" t="s">
        <v>221</v>
      </c>
      <c r="F191" s="158" t="str">
        <f>VLOOKUP(Sales[[#This Row],[Product ID]],Product[#All],2,0)</f>
        <v>TP-link Wi-Fi Adapter</v>
      </c>
      <c r="G191" s="159">
        <v>1</v>
      </c>
      <c r="H191" s="160">
        <f>VLOOKUP(Sales[[#This Row],[Product ID]],Product[#All],7,0)</f>
        <v>2920</v>
      </c>
      <c r="I191" s="160">
        <f>Sales[[#This Row],[Selling Rate]]*Sales[[#This Row],[Qty]]</f>
        <v>2920</v>
      </c>
      <c r="J191" s="43">
        <v>0.02</v>
      </c>
      <c r="K191" s="44">
        <f>Sales[[#This Row],[Gross Amount]]*Sales[[#This Row],[Disc %]]</f>
        <v>58.4</v>
      </c>
      <c r="L191" s="43">
        <v>0.18</v>
      </c>
      <c r="M191" s="44">
        <f>(Sales[[#This Row],[Gross Amount]]-Sales[[#This Row],[Disc. Amt.]])*Sales[[#This Row],[GST %]]</f>
        <v>515.08799999999997</v>
      </c>
      <c r="N191" s="161">
        <f>Sales[[#This Row],[Gross Amount]]-Sales[[#This Row],[Disc. Amt.]]+Sales[[#This Row],[GST Amount]]</f>
        <v>3376.6880000000001</v>
      </c>
      <c r="O191" s="158" t="s">
        <v>3566</v>
      </c>
      <c r="P191" s="158" t="s">
        <v>3562</v>
      </c>
      <c r="Q191" s="160">
        <f>IF(Sales[[#This Row],[Status]]="Cancelled",0,Sales[[#This Row],[Qty]])</f>
        <v>1</v>
      </c>
      <c r="R191" s="161">
        <f>IF(Sales[[#This Row],[Status]]="Cancelled",0,Sales[[#This Row],[Total Amount]])</f>
        <v>3376.6880000000001</v>
      </c>
      <c r="S191" s="162">
        <f>SUM(Sales[Net Amount])</f>
        <v>406839287.73200053</v>
      </c>
    </row>
    <row r="192" spans="1:19" ht="18.75" x14ac:dyDescent="0.25">
      <c r="A192" s="163" t="s">
        <v>3758</v>
      </c>
      <c r="B192" s="164">
        <v>45790</v>
      </c>
      <c r="C192" s="34" t="s">
        <v>836</v>
      </c>
      <c r="D192" s="53" t="str">
        <f>VLOOKUP(Sales[[#This Row],[Customer ID]],Customer[#All],2,0)</f>
        <v>Sunita Patel</v>
      </c>
      <c r="E192" s="34" t="s">
        <v>467</v>
      </c>
      <c r="F192" s="34" t="str">
        <f>VLOOKUP(Sales[[#This Row],[Product ID]],Product[#All],2,0)</f>
        <v>Apc UPS</v>
      </c>
      <c r="G192" s="53">
        <v>2</v>
      </c>
      <c r="H192" s="165">
        <f>VLOOKUP(Sales[[#This Row],[Product ID]],Product[#All],7,0)</f>
        <v>6250</v>
      </c>
      <c r="I192" s="165">
        <f>Sales[[#This Row],[Selling Rate]]*Sales[[#This Row],[Qty]]</f>
        <v>12500</v>
      </c>
      <c r="J192" s="45">
        <v>0</v>
      </c>
      <c r="K192" s="46">
        <f>Sales[[#This Row],[Gross Amount]]*Sales[[#This Row],[Disc %]]</f>
        <v>0</v>
      </c>
      <c r="L192" s="43">
        <v>0.18</v>
      </c>
      <c r="M192" s="46">
        <f>(Sales[[#This Row],[Gross Amount]]-Sales[[#This Row],[Disc. Amt.]])*Sales[[#This Row],[GST %]]</f>
        <v>2250</v>
      </c>
      <c r="N192" s="161">
        <f>Sales[[#This Row],[Gross Amount]]-Sales[[#This Row],[Disc. Amt.]]+Sales[[#This Row],[GST Amount]]</f>
        <v>14750</v>
      </c>
      <c r="O192" s="34" t="s">
        <v>3569</v>
      </c>
      <c r="P192" s="34" t="s">
        <v>3562</v>
      </c>
      <c r="Q192" s="165">
        <f>IF(Sales[[#This Row],[Status]]="Cancelled",0,Sales[[#This Row],[Qty]])</f>
        <v>2</v>
      </c>
      <c r="R192" s="166">
        <f>IF(Sales[[#This Row],[Status]]="Cancelled",0,Sales[[#This Row],[Total Amount]])</f>
        <v>14750</v>
      </c>
      <c r="S192" s="162">
        <f>SUM(Sales[Net Amount])</f>
        <v>406839287.73200053</v>
      </c>
    </row>
    <row r="193" spans="1:19" ht="18.75" x14ac:dyDescent="0.25">
      <c r="A193" s="156" t="s">
        <v>3759</v>
      </c>
      <c r="B193" s="157">
        <v>45790</v>
      </c>
      <c r="C193" s="158" t="s">
        <v>707</v>
      </c>
      <c r="D193" s="159" t="str">
        <f>VLOOKUP(Sales[[#This Row],[Customer ID]],Customer[#All],2,0)</f>
        <v>Rahul Verma</v>
      </c>
      <c r="E193" s="158" t="s">
        <v>155</v>
      </c>
      <c r="F193" s="158" t="str">
        <f>VLOOKUP(Sales[[#This Row],[Product ID]],Product[#All],2,0)</f>
        <v>Sandisk Pen Drive</v>
      </c>
      <c r="G193" s="159">
        <v>7</v>
      </c>
      <c r="H193" s="160">
        <f>VLOOKUP(Sales[[#This Row],[Product ID]],Product[#All],7,0)</f>
        <v>3650</v>
      </c>
      <c r="I193" s="160">
        <f>Sales[[#This Row],[Selling Rate]]*Sales[[#This Row],[Qty]]</f>
        <v>25550</v>
      </c>
      <c r="J193" s="43">
        <v>0.1</v>
      </c>
      <c r="K193" s="44">
        <f>Sales[[#This Row],[Gross Amount]]*Sales[[#This Row],[Disc %]]</f>
        <v>2555</v>
      </c>
      <c r="L193" s="43">
        <v>0.18</v>
      </c>
      <c r="M193" s="44">
        <f>(Sales[[#This Row],[Gross Amount]]-Sales[[#This Row],[Disc. Amt.]])*Sales[[#This Row],[GST %]]</f>
        <v>4139.0999999999995</v>
      </c>
      <c r="N193" s="161">
        <f>Sales[[#This Row],[Gross Amount]]-Sales[[#This Row],[Disc. Amt.]]+Sales[[#This Row],[GST Amount]]</f>
        <v>27134.1</v>
      </c>
      <c r="O193" s="158" t="s">
        <v>3561</v>
      </c>
      <c r="P193" s="158" t="s">
        <v>3562</v>
      </c>
      <c r="Q193" s="160">
        <f>IF(Sales[[#This Row],[Status]]="Cancelled",0,Sales[[#This Row],[Qty]])</f>
        <v>7</v>
      </c>
      <c r="R193" s="161">
        <f>IF(Sales[[#This Row],[Status]]="Cancelled",0,Sales[[#This Row],[Total Amount]])</f>
        <v>27134.1</v>
      </c>
      <c r="S193" s="162">
        <f>SUM(Sales[Net Amount])</f>
        <v>406839287.73200053</v>
      </c>
    </row>
    <row r="194" spans="1:19" ht="18.75" x14ac:dyDescent="0.25">
      <c r="A194" s="163" t="s">
        <v>3760</v>
      </c>
      <c r="B194" s="164">
        <v>45790</v>
      </c>
      <c r="C194" s="34" t="s">
        <v>752</v>
      </c>
      <c r="D194" s="53" t="str">
        <f>VLOOKUP(Sales[[#This Row],[Customer ID]],Customer[#All],2,0)</f>
        <v>Pooja Patel</v>
      </c>
      <c r="E194" s="34" t="s">
        <v>301</v>
      </c>
      <c r="F194" s="34" t="str">
        <f>VLOOKUP(Sales[[#This Row],[Product ID]],Product[#All],2,0)</f>
        <v>Logitech Keyboard</v>
      </c>
      <c r="G194" s="53">
        <v>4</v>
      </c>
      <c r="H194" s="165">
        <f>VLOOKUP(Sales[[#This Row],[Product ID]],Product[#All],7,0)</f>
        <v>1100</v>
      </c>
      <c r="I194" s="165">
        <f>Sales[[#This Row],[Selling Rate]]*Sales[[#This Row],[Qty]]</f>
        <v>4400</v>
      </c>
      <c r="J194" s="45">
        <v>0.02</v>
      </c>
      <c r="K194" s="46">
        <f>Sales[[#This Row],[Gross Amount]]*Sales[[#This Row],[Disc %]]</f>
        <v>88</v>
      </c>
      <c r="L194" s="43">
        <v>0.18</v>
      </c>
      <c r="M194" s="46">
        <f>(Sales[[#This Row],[Gross Amount]]-Sales[[#This Row],[Disc. Amt.]])*Sales[[#This Row],[GST %]]</f>
        <v>776.16</v>
      </c>
      <c r="N194" s="161">
        <f>Sales[[#This Row],[Gross Amount]]-Sales[[#This Row],[Disc. Amt.]]+Sales[[#This Row],[GST Amount]]</f>
        <v>5088.16</v>
      </c>
      <c r="O194" s="34" t="s">
        <v>3569</v>
      </c>
      <c r="P194" s="34" t="s">
        <v>3562</v>
      </c>
      <c r="Q194" s="165">
        <f>IF(Sales[[#This Row],[Status]]="Cancelled",0,Sales[[#This Row],[Qty]])</f>
        <v>4</v>
      </c>
      <c r="R194" s="166">
        <f>IF(Sales[[#This Row],[Status]]="Cancelled",0,Sales[[#This Row],[Total Amount]])</f>
        <v>5088.16</v>
      </c>
      <c r="S194" s="162">
        <f>SUM(Sales[Net Amount])</f>
        <v>406839287.73200053</v>
      </c>
    </row>
    <row r="195" spans="1:19" ht="18.75" x14ac:dyDescent="0.25">
      <c r="A195" s="156" t="s">
        <v>3761</v>
      </c>
      <c r="B195" s="157">
        <v>45790</v>
      </c>
      <c r="C195" s="158" t="s">
        <v>942</v>
      </c>
      <c r="D195" s="159" t="str">
        <f>VLOOKUP(Sales[[#This Row],[Customer ID]],Customer[#All],2,0)</f>
        <v>Sunita Kumar</v>
      </c>
      <c r="E195" s="158" t="s">
        <v>375</v>
      </c>
      <c r="F195" s="158" t="str">
        <f>VLOOKUP(Sales[[#This Row],[Product ID]],Product[#All],2,0)</f>
        <v>American TouristerLaptopBag</v>
      </c>
      <c r="G195" s="159">
        <v>6</v>
      </c>
      <c r="H195" s="160">
        <f>VLOOKUP(Sales[[#This Row],[Product ID]],Product[#All],7,0)</f>
        <v>4990</v>
      </c>
      <c r="I195" s="160">
        <f>Sales[[#This Row],[Selling Rate]]*Sales[[#This Row],[Qty]]</f>
        <v>29940</v>
      </c>
      <c r="J195" s="43">
        <v>0.1</v>
      </c>
      <c r="K195" s="44">
        <f>Sales[[#This Row],[Gross Amount]]*Sales[[#This Row],[Disc %]]</f>
        <v>2994</v>
      </c>
      <c r="L195" s="43">
        <v>0.18</v>
      </c>
      <c r="M195" s="44">
        <f>(Sales[[#This Row],[Gross Amount]]-Sales[[#This Row],[Disc. Amt.]])*Sales[[#This Row],[GST %]]</f>
        <v>4850.28</v>
      </c>
      <c r="N195" s="161">
        <f>Sales[[#This Row],[Gross Amount]]-Sales[[#This Row],[Disc. Amt.]]+Sales[[#This Row],[GST Amount]]</f>
        <v>31796.28</v>
      </c>
      <c r="O195" s="158" t="s">
        <v>3569</v>
      </c>
      <c r="P195" s="158" t="s">
        <v>3562</v>
      </c>
      <c r="Q195" s="160">
        <f>IF(Sales[[#This Row],[Status]]="Cancelled",0,Sales[[#This Row],[Qty]])</f>
        <v>6</v>
      </c>
      <c r="R195" s="161">
        <f>IF(Sales[[#This Row],[Status]]="Cancelled",0,Sales[[#This Row],[Total Amount]])</f>
        <v>31796.28</v>
      </c>
      <c r="S195" s="162">
        <f>SUM(Sales[Net Amount])</f>
        <v>406839287.73200053</v>
      </c>
    </row>
    <row r="196" spans="1:19" ht="18.75" x14ac:dyDescent="0.25">
      <c r="A196" s="163" t="s">
        <v>3762</v>
      </c>
      <c r="B196" s="164">
        <v>45790</v>
      </c>
      <c r="C196" s="34" t="s">
        <v>857</v>
      </c>
      <c r="D196" s="53" t="str">
        <f>VLOOKUP(Sales[[#This Row],[Customer ID]],Customer[#All],2,0)</f>
        <v>Pooja Singh</v>
      </c>
      <c r="E196" s="34" t="s">
        <v>466</v>
      </c>
      <c r="F196" s="34" t="str">
        <f>VLOOKUP(Sales[[#This Row],[Product ID]],Product[#All],2,0)</f>
        <v>Lenovo Laptop</v>
      </c>
      <c r="G196" s="53">
        <v>3</v>
      </c>
      <c r="H196" s="165">
        <f>VLOOKUP(Sales[[#This Row],[Product ID]],Product[#All],7,0)</f>
        <v>87730</v>
      </c>
      <c r="I196" s="165">
        <f>Sales[[#This Row],[Selling Rate]]*Sales[[#This Row],[Qty]]</f>
        <v>263190</v>
      </c>
      <c r="J196" s="45">
        <v>0.02</v>
      </c>
      <c r="K196" s="46">
        <f>Sales[[#This Row],[Gross Amount]]*Sales[[#This Row],[Disc %]]</f>
        <v>5263.8</v>
      </c>
      <c r="L196" s="43">
        <v>0.18</v>
      </c>
      <c r="M196" s="46">
        <f>(Sales[[#This Row],[Gross Amount]]-Sales[[#This Row],[Disc. Amt.]])*Sales[[#This Row],[GST %]]</f>
        <v>46426.716</v>
      </c>
      <c r="N196" s="161">
        <f>Sales[[#This Row],[Gross Amount]]-Sales[[#This Row],[Disc. Amt.]]+Sales[[#This Row],[GST Amount]]</f>
        <v>304352.91600000003</v>
      </c>
      <c r="O196" s="34" t="s">
        <v>8876</v>
      </c>
      <c r="P196" s="34" t="s">
        <v>3562</v>
      </c>
      <c r="Q196" s="165">
        <f>IF(Sales[[#This Row],[Status]]="Cancelled",0,Sales[[#This Row],[Qty]])</f>
        <v>3</v>
      </c>
      <c r="R196" s="166">
        <f>IF(Sales[[#This Row],[Status]]="Cancelled",0,Sales[[#This Row],[Total Amount]])</f>
        <v>304352.91600000003</v>
      </c>
      <c r="S196" s="162">
        <f>SUM(Sales[Net Amount])</f>
        <v>406839287.73200053</v>
      </c>
    </row>
    <row r="197" spans="1:19" ht="18.75" x14ac:dyDescent="0.25">
      <c r="A197" s="156" t="s">
        <v>3763</v>
      </c>
      <c r="B197" s="157">
        <v>45790</v>
      </c>
      <c r="C197" s="158" t="s">
        <v>715</v>
      </c>
      <c r="D197" s="159" t="str">
        <f>VLOOKUP(Sales[[#This Row],[Customer ID]],Customer[#All],2,0)</f>
        <v>Sunita Patel</v>
      </c>
      <c r="E197" s="158" t="s">
        <v>448</v>
      </c>
      <c r="F197" s="158" t="str">
        <f>VLOOKUP(Sales[[#This Row],[Product ID]],Product[#All],2,0)</f>
        <v>Crucial Ssd</v>
      </c>
      <c r="G197" s="159">
        <v>4</v>
      </c>
      <c r="H197" s="160">
        <f>VLOOKUP(Sales[[#This Row],[Product ID]],Product[#All],7,0)</f>
        <v>7930</v>
      </c>
      <c r="I197" s="160">
        <f>Sales[[#This Row],[Selling Rate]]*Sales[[#This Row],[Qty]]</f>
        <v>31720</v>
      </c>
      <c r="J197" s="43">
        <v>0</v>
      </c>
      <c r="K197" s="44">
        <f>Sales[[#This Row],[Gross Amount]]*Sales[[#This Row],[Disc %]]</f>
        <v>0</v>
      </c>
      <c r="L197" s="43">
        <v>0.18</v>
      </c>
      <c r="M197" s="44">
        <f>(Sales[[#This Row],[Gross Amount]]-Sales[[#This Row],[Disc. Amt.]])*Sales[[#This Row],[GST %]]</f>
        <v>5709.5999999999995</v>
      </c>
      <c r="N197" s="161">
        <f>Sales[[#This Row],[Gross Amount]]-Sales[[#This Row],[Disc. Amt.]]+Sales[[#This Row],[GST Amount]]</f>
        <v>37429.599999999999</v>
      </c>
      <c r="O197" s="158" t="s">
        <v>8876</v>
      </c>
      <c r="P197" s="158" t="s">
        <v>1040</v>
      </c>
      <c r="Q197" s="160">
        <f>IF(Sales[[#This Row],[Status]]="Cancelled",0,Sales[[#This Row],[Qty]])</f>
        <v>0</v>
      </c>
      <c r="R197" s="161">
        <f>IF(Sales[[#This Row],[Status]]="Cancelled",0,Sales[[#This Row],[Total Amount]])</f>
        <v>0</v>
      </c>
      <c r="S197" s="162">
        <f>SUM(Sales[Net Amount])</f>
        <v>406839287.73200053</v>
      </c>
    </row>
    <row r="198" spans="1:19" ht="18.75" x14ac:dyDescent="0.25">
      <c r="A198" s="163" t="s">
        <v>3764</v>
      </c>
      <c r="B198" s="164">
        <v>45790</v>
      </c>
      <c r="C198" s="34" t="s">
        <v>667</v>
      </c>
      <c r="D198" s="53" t="str">
        <f>VLOOKUP(Sales[[#This Row],[Customer ID]],Customer[#All],2,0)</f>
        <v>Neha Gupta</v>
      </c>
      <c r="E198" s="34" t="s">
        <v>178</v>
      </c>
      <c r="F198" s="34" t="str">
        <f>VLOOKUP(Sales[[#This Row],[Product ID]],Product[#All],2,0)</f>
        <v>Kingston Ram</v>
      </c>
      <c r="G198" s="53">
        <v>6</v>
      </c>
      <c r="H198" s="165">
        <f>VLOOKUP(Sales[[#This Row],[Product ID]],Product[#All],7,0)</f>
        <v>9770</v>
      </c>
      <c r="I198" s="165">
        <f>Sales[[#This Row],[Selling Rate]]*Sales[[#This Row],[Qty]]</f>
        <v>58620</v>
      </c>
      <c r="J198" s="45">
        <v>0.05</v>
      </c>
      <c r="K198" s="46">
        <f>Sales[[#This Row],[Gross Amount]]*Sales[[#This Row],[Disc %]]</f>
        <v>2931</v>
      </c>
      <c r="L198" s="43">
        <v>0.18</v>
      </c>
      <c r="M198" s="46">
        <f>(Sales[[#This Row],[Gross Amount]]-Sales[[#This Row],[Disc. Amt.]])*Sales[[#This Row],[GST %]]</f>
        <v>10024.02</v>
      </c>
      <c r="N198" s="161">
        <f>Sales[[#This Row],[Gross Amount]]-Sales[[#This Row],[Disc. Amt.]]+Sales[[#This Row],[GST Amount]]</f>
        <v>65713.02</v>
      </c>
      <c r="O198" s="34" t="s">
        <v>3569</v>
      </c>
      <c r="P198" s="34" t="s">
        <v>3562</v>
      </c>
      <c r="Q198" s="165">
        <f>IF(Sales[[#This Row],[Status]]="Cancelled",0,Sales[[#This Row],[Qty]])</f>
        <v>6</v>
      </c>
      <c r="R198" s="166">
        <f>IF(Sales[[#This Row],[Status]]="Cancelled",0,Sales[[#This Row],[Total Amount]])</f>
        <v>65713.02</v>
      </c>
      <c r="S198" s="162">
        <f>SUM(Sales[Net Amount])</f>
        <v>406839287.73200053</v>
      </c>
    </row>
    <row r="199" spans="1:19" ht="18.75" x14ac:dyDescent="0.25">
      <c r="A199" s="156" t="s">
        <v>3765</v>
      </c>
      <c r="B199" s="157">
        <v>45790</v>
      </c>
      <c r="C199" s="158" t="s">
        <v>733</v>
      </c>
      <c r="D199" s="159" t="str">
        <f>VLOOKUP(Sales[[#This Row],[Customer ID]],Customer[#All],2,0)</f>
        <v>Vikas Kumar</v>
      </c>
      <c r="E199" s="158" t="s">
        <v>268</v>
      </c>
      <c r="F199" s="158" t="str">
        <f>VLOOKUP(Sales[[#This Row],[Product ID]],Product[#All],2,0)</f>
        <v>American TouristerLaptopBag</v>
      </c>
      <c r="G199" s="159">
        <v>3</v>
      </c>
      <c r="H199" s="160">
        <f>VLOOKUP(Sales[[#This Row],[Product ID]],Product[#All],7,0)</f>
        <v>2080</v>
      </c>
      <c r="I199" s="160">
        <f>Sales[[#This Row],[Selling Rate]]*Sales[[#This Row],[Qty]]</f>
        <v>6240</v>
      </c>
      <c r="J199" s="43">
        <v>0.02</v>
      </c>
      <c r="K199" s="44">
        <f>Sales[[#This Row],[Gross Amount]]*Sales[[#This Row],[Disc %]]</f>
        <v>124.8</v>
      </c>
      <c r="L199" s="43">
        <v>0.18</v>
      </c>
      <c r="M199" s="44">
        <f>(Sales[[#This Row],[Gross Amount]]-Sales[[#This Row],[Disc. Amt.]])*Sales[[#This Row],[GST %]]</f>
        <v>1100.7359999999999</v>
      </c>
      <c r="N199" s="161">
        <f>Sales[[#This Row],[Gross Amount]]-Sales[[#This Row],[Disc. Amt.]]+Sales[[#This Row],[GST Amount]]</f>
        <v>7215.9359999999997</v>
      </c>
      <c r="O199" s="158" t="s">
        <v>3566</v>
      </c>
      <c r="P199" s="158" t="s">
        <v>3562</v>
      </c>
      <c r="Q199" s="160">
        <f>IF(Sales[[#This Row],[Status]]="Cancelled",0,Sales[[#This Row],[Qty]])</f>
        <v>3</v>
      </c>
      <c r="R199" s="161">
        <f>IF(Sales[[#This Row],[Status]]="Cancelled",0,Sales[[#This Row],[Total Amount]])</f>
        <v>7215.9359999999997</v>
      </c>
      <c r="S199" s="162">
        <f>SUM(Sales[Net Amount])</f>
        <v>406839287.73200053</v>
      </c>
    </row>
    <row r="200" spans="1:19" ht="18.75" x14ac:dyDescent="0.25">
      <c r="A200" s="163" t="s">
        <v>3766</v>
      </c>
      <c r="B200" s="164">
        <v>45790</v>
      </c>
      <c r="C200" s="34" t="s">
        <v>905</v>
      </c>
      <c r="D200" s="53" t="str">
        <f>VLOOKUP(Sales[[#This Row],[Customer ID]],Customer[#All],2,0)</f>
        <v>Rakesh Gupta</v>
      </c>
      <c r="E200" s="34" t="s">
        <v>212</v>
      </c>
      <c r="F200" s="34" t="str">
        <f>VLOOKUP(Sales[[#This Row],[Product ID]],Product[#All],2,0)</f>
        <v>Jbl Headset</v>
      </c>
      <c r="G200" s="53">
        <v>4</v>
      </c>
      <c r="H200" s="165">
        <f>VLOOKUP(Sales[[#This Row],[Product ID]],Product[#All],7,0)</f>
        <v>1230</v>
      </c>
      <c r="I200" s="165">
        <f>Sales[[#This Row],[Selling Rate]]*Sales[[#This Row],[Qty]]</f>
        <v>4920</v>
      </c>
      <c r="J200" s="45">
        <v>0</v>
      </c>
      <c r="K200" s="46">
        <f>Sales[[#This Row],[Gross Amount]]*Sales[[#This Row],[Disc %]]</f>
        <v>0</v>
      </c>
      <c r="L200" s="43">
        <v>0.18</v>
      </c>
      <c r="M200" s="46">
        <f>(Sales[[#This Row],[Gross Amount]]-Sales[[#This Row],[Disc. Amt.]])*Sales[[#This Row],[GST %]]</f>
        <v>885.6</v>
      </c>
      <c r="N200" s="161">
        <f>Sales[[#This Row],[Gross Amount]]-Sales[[#This Row],[Disc. Amt.]]+Sales[[#This Row],[GST Amount]]</f>
        <v>5805.6</v>
      </c>
      <c r="O200" s="34" t="s">
        <v>3566</v>
      </c>
      <c r="P200" s="34" t="s">
        <v>3562</v>
      </c>
      <c r="Q200" s="165">
        <f>IF(Sales[[#This Row],[Status]]="Cancelled",0,Sales[[#This Row],[Qty]])</f>
        <v>4</v>
      </c>
      <c r="R200" s="166">
        <f>IF(Sales[[#This Row],[Status]]="Cancelled",0,Sales[[#This Row],[Total Amount]])</f>
        <v>5805.6</v>
      </c>
      <c r="S200" s="162">
        <f>SUM(Sales[Net Amount])</f>
        <v>406839287.73200053</v>
      </c>
    </row>
    <row r="201" spans="1:19" ht="18.75" x14ac:dyDescent="0.25">
      <c r="A201" s="156" t="s">
        <v>3767</v>
      </c>
      <c r="B201" s="157">
        <v>45790</v>
      </c>
      <c r="C201" s="158" t="s">
        <v>774</v>
      </c>
      <c r="D201" s="159" t="str">
        <f>VLOOKUP(Sales[[#This Row],[Customer ID]],Customer[#All],2,0)</f>
        <v>Vikas Patel</v>
      </c>
      <c r="E201" s="158" t="s">
        <v>479</v>
      </c>
      <c r="F201" s="158" t="str">
        <f>VLOOKUP(Sales[[#This Row],[Product ID]],Product[#All],2,0)</f>
        <v>TP-link Router</v>
      </c>
      <c r="G201" s="159">
        <v>1</v>
      </c>
      <c r="H201" s="160">
        <f>VLOOKUP(Sales[[#This Row],[Product ID]],Product[#All],7,0)</f>
        <v>5740</v>
      </c>
      <c r="I201" s="160">
        <f>Sales[[#This Row],[Selling Rate]]*Sales[[#This Row],[Qty]]</f>
        <v>5740</v>
      </c>
      <c r="J201" s="43">
        <v>0.15</v>
      </c>
      <c r="K201" s="44">
        <f>Sales[[#This Row],[Gross Amount]]*Sales[[#This Row],[Disc %]]</f>
        <v>861</v>
      </c>
      <c r="L201" s="43">
        <v>0.18</v>
      </c>
      <c r="M201" s="44">
        <f>(Sales[[#This Row],[Gross Amount]]-Sales[[#This Row],[Disc. Amt.]])*Sales[[#This Row],[GST %]]</f>
        <v>878.21999999999991</v>
      </c>
      <c r="N201" s="161">
        <f>Sales[[#This Row],[Gross Amount]]-Sales[[#This Row],[Disc. Amt.]]+Sales[[#This Row],[GST Amount]]</f>
        <v>5757.22</v>
      </c>
      <c r="O201" s="158" t="s">
        <v>3566</v>
      </c>
      <c r="P201" s="158" t="s">
        <v>1040</v>
      </c>
      <c r="Q201" s="160">
        <f>IF(Sales[[#This Row],[Status]]="Cancelled",0,Sales[[#This Row],[Qty]])</f>
        <v>0</v>
      </c>
      <c r="R201" s="161">
        <f>IF(Sales[[#This Row],[Status]]="Cancelled",0,Sales[[#This Row],[Total Amount]])</f>
        <v>0</v>
      </c>
      <c r="S201" s="162">
        <f>SUM(Sales[Net Amount])</f>
        <v>406839287.73200053</v>
      </c>
    </row>
    <row r="202" spans="1:19" ht="18.75" x14ac:dyDescent="0.25">
      <c r="A202" s="163" t="s">
        <v>3768</v>
      </c>
      <c r="B202" s="164">
        <v>45790</v>
      </c>
      <c r="C202" s="34" t="s">
        <v>870</v>
      </c>
      <c r="D202" s="53" t="str">
        <f>VLOOKUP(Sales[[#This Row],[Customer ID]],Customer[#All],2,0)</f>
        <v>Vikas Singh</v>
      </c>
      <c r="E202" s="34" t="s">
        <v>75</v>
      </c>
      <c r="F202" s="34" t="str">
        <f>VLOOKUP(Sales[[#This Row],[Product ID]],Product[#All],2,0)</f>
        <v>Samsung Monitor</v>
      </c>
      <c r="G202" s="53">
        <v>4</v>
      </c>
      <c r="H202" s="165">
        <f>VLOOKUP(Sales[[#This Row],[Product ID]],Product[#All],7,0)</f>
        <v>30810</v>
      </c>
      <c r="I202" s="165">
        <f>Sales[[#This Row],[Selling Rate]]*Sales[[#This Row],[Qty]]</f>
        <v>123240</v>
      </c>
      <c r="J202" s="45">
        <v>0.15</v>
      </c>
      <c r="K202" s="46">
        <f>Sales[[#This Row],[Gross Amount]]*Sales[[#This Row],[Disc %]]</f>
        <v>18486</v>
      </c>
      <c r="L202" s="43">
        <v>0.18</v>
      </c>
      <c r="M202" s="46">
        <f>(Sales[[#This Row],[Gross Amount]]-Sales[[#This Row],[Disc. Amt.]])*Sales[[#This Row],[GST %]]</f>
        <v>18855.719999999998</v>
      </c>
      <c r="N202" s="161">
        <f>Sales[[#This Row],[Gross Amount]]-Sales[[#This Row],[Disc. Amt.]]+Sales[[#This Row],[GST Amount]]</f>
        <v>123609.72</v>
      </c>
      <c r="O202" s="34" t="s">
        <v>3561</v>
      </c>
      <c r="P202" s="34" t="s">
        <v>3562</v>
      </c>
      <c r="Q202" s="165">
        <f>IF(Sales[[#This Row],[Status]]="Cancelled",0,Sales[[#This Row],[Qty]])</f>
        <v>4</v>
      </c>
      <c r="R202" s="166">
        <f>IF(Sales[[#This Row],[Status]]="Cancelled",0,Sales[[#This Row],[Total Amount]])</f>
        <v>123609.72</v>
      </c>
      <c r="S202" s="162">
        <f>SUM(Sales[Net Amount])</f>
        <v>406839287.73200053</v>
      </c>
    </row>
    <row r="203" spans="1:19" ht="18.75" x14ac:dyDescent="0.25">
      <c r="A203" s="156" t="s">
        <v>3769</v>
      </c>
      <c r="B203" s="157">
        <v>45790</v>
      </c>
      <c r="C203" s="158" t="s">
        <v>702</v>
      </c>
      <c r="D203" s="159" t="str">
        <f>VLOOKUP(Sales[[#This Row],[Customer ID]],Customer[#All],2,0)</f>
        <v>Amit Patel</v>
      </c>
      <c r="E203" s="158" t="s">
        <v>312</v>
      </c>
      <c r="F203" s="158" t="str">
        <f>VLOOKUP(Sales[[#This Row],[Product ID]],Product[#All],2,0)</f>
        <v>Dell Desktop</v>
      </c>
      <c r="G203" s="159">
        <v>2</v>
      </c>
      <c r="H203" s="160">
        <f>VLOOKUP(Sales[[#This Row],[Product ID]],Product[#All],7,0)</f>
        <v>59050</v>
      </c>
      <c r="I203" s="160">
        <f>Sales[[#This Row],[Selling Rate]]*Sales[[#This Row],[Qty]]</f>
        <v>118100</v>
      </c>
      <c r="J203" s="43">
        <v>0.05</v>
      </c>
      <c r="K203" s="44">
        <f>Sales[[#This Row],[Gross Amount]]*Sales[[#This Row],[Disc %]]</f>
        <v>5905</v>
      </c>
      <c r="L203" s="43">
        <v>0.18</v>
      </c>
      <c r="M203" s="44">
        <f>(Sales[[#This Row],[Gross Amount]]-Sales[[#This Row],[Disc. Amt.]])*Sales[[#This Row],[GST %]]</f>
        <v>20195.099999999999</v>
      </c>
      <c r="N203" s="161">
        <f>Sales[[#This Row],[Gross Amount]]-Sales[[#This Row],[Disc. Amt.]]+Sales[[#This Row],[GST Amount]]</f>
        <v>132390.1</v>
      </c>
      <c r="O203" s="158" t="s">
        <v>3569</v>
      </c>
      <c r="P203" s="158" t="s">
        <v>3562</v>
      </c>
      <c r="Q203" s="160">
        <f>IF(Sales[[#This Row],[Status]]="Cancelled",0,Sales[[#This Row],[Qty]])</f>
        <v>2</v>
      </c>
      <c r="R203" s="161">
        <f>IF(Sales[[#This Row],[Status]]="Cancelled",0,Sales[[#This Row],[Total Amount]])</f>
        <v>132390.1</v>
      </c>
      <c r="S203" s="162">
        <f>SUM(Sales[Net Amount])</f>
        <v>406839287.73200053</v>
      </c>
    </row>
    <row r="204" spans="1:19" ht="18.75" x14ac:dyDescent="0.25">
      <c r="A204" s="163" t="s">
        <v>3770</v>
      </c>
      <c r="B204" s="164">
        <v>45790</v>
      </c>
      <c r="C204" s="34" t="s">
        <v>721</v>
      </c>
      <c r="D204" s="53" t="str">
        <f>VLOOKUP(Sales[[#This Row],[Customer ID]],Customer[#All],2,0)</f>
        <v>Sahil Sharma</v>
      </c>
      <c r="E204" s="34" t="s">
        <v>307</v>
      </c>
      <c r="F204" s="34" t="str">
        <f>VLOOKUP(Sales[[#This Row],[Product ID]],Product[#All],2,0)</f>
        <v>Dell Laptop</v>
      </c>
      <c r="G204" s="53">
        <v>1</v>
      </c>
      <c r="H204" s="165">
        <f>VLOOKUP(Sales[[#This Row],[Product ID]],Product[#All],7,0)</f>
        <v>45060</v>
      </c>
      <c r="I204" s="165">
        <f>Sales[[#This Row],[Selling Rate]]*Sales[[#This Row],[Qty]]</f>
        <v>45060</v>
      </c>
      <c r="J204" s="45">
        <v>0</v>
      </c>
      <c r="K204" s="46">
        <f>Sales[[#This Row],[Gross Amount]]*Sales[[#This Row],[Disc %]]</f>
        <v>0</v>
      </c>
      <c r="L204" s="43">
        <v>0.18</v>
      </c>
      <c r="M204" s="46">
        <f>(Sales[[#This Row],[Gross Amount]]-Sales[[#This Row],[Disc. Amt.]])*Sales[[#This Row],[GST %]]</f>
        <v>8110.7999999999993</v>
      </c>
      <c r="N204" s="161">
        <f>Sales[[#This Row],[Gross Amount]]-Sales[[#This Row],[Disc. Amt.]]+Sales[[#This Row],[GST Amount]]</f>
        <v>53170.8</v>
      </c>
      <c r="O204" s="34" t="s">
        <v>3561</v>
      </c>
      <c r="P204" s="34" t="s">
        <v>3562</v>
      </c>
      <c r="Q204" s="165">
        <f>IF(Sales[[#This Row],[Status]]="Cancelled",0,Sales[[#This Row],[Qty]])</f>
        <v>1</v>
      </c>
      <c r="R204" s="166">
        <f>IF(Sales[[#This Row],[Status]]="Cancelled",0,Sales[[#This Row],[Total Amount]])</f>
        <v>53170.8</v>
      </c>
      <c r="S204" s="162">
        <f>SUM(Sales[Net Amount])</f>
        <v>406839287.73200053</v>
      </c>
    </row>
    <row r="205" spans="1:19" ht="18.75" x14ac:dyDescent="0.25">
      <c r="A205" s="156" t="s">
        <v>3771</v>
      </c>
      <c r="B205" s="157">
        <v>45791</v>
      </c>
      <c r="C205" s="158" t="s">
        <v>931</v>
      </c>
      <c r="D205" s="159" t="str">
        <f>VLOOKUP(Sales[[#This Row],[Customer ID]],Customer[#All],2,0)</f>
        <v>Sahil Patel</v>
      </c>
      <c r="E205" s="158" t="s">
        <v>282</v>
      </c>
      <c r="F205" s="158" t="str">
        <f>VLOOKUP(Sales[[#This Row],[Product ID]],Product[#All],2,0)</f>
        <v>Amazon Basics Hdmi Cable</v>
      </c>
      <c r="G205" s="159">
        <v>5</v>
      </c>
      <c r="H205" s="160">
        <f>VLOOKUP(Sales[[#This Row],[Product ID]],Product[#All],7,0)</f>
        <v>760</v>
      </c>
      <c r="I205" s="160">
        <f>Sales[[#This Row],[Selling Rate]]*Sales[[#This Row],[Qty]]</f>
        <v>3800</v>
      </c>
      <c r="J205" s="43">
        <v>0.02</v>
      </c>
      <c r="K205" s="44">
        <f>Sales[[#This Row],[Gross Amount]]*Sales[[#This Row],[Disc %]]</f>
        <v>76</v>
      </c>
      <c r="L205" s="43">
        <v>0.18</v>
      </c>
      <c r="M205" s="44">
        <f>(Sales[[#This Row],[Gross Amount]]-Sales[[#This Row],[Disc. Amt.]])*Sales[[#This Row],[GST %]]</f>
        <v>670.31999999999994</v>
      </c>
      <c r="N205" s="161">
        <f>Sales[[#This Row],[Gross Amount]]-Sales[[#This Row],[Disc. Amt.]]+Sales[[#This Row],[GST Amount]]</f>
        <v>4394.32</v>
      </c>
      <c r="O205" s="158" t="s">
        <v>3566</v>
      </c>
      <c r="P205" s="158" t="s">
        <v>3562</v>
      </c>
      <c r="Q205" s="160">
        <f>IF(Sales[[#This Row],[Status]]="Cancelled",0,Sales[[#This Row],[Qty]])</f>
        <v>5</v>
      </c>
      <c r="R205" s="161">
        <f>IF(Sales[[#This Row],[Status]]="Cancelled",0,Sales[[#This Row],[Total Amount]])</f>
        <v>4394.32</v>
      </c>
      <c r="S205" s="162">
        <f>SUM(Sales[Net Amount])</f>
        <v>406839287.73200053</v>
      </c>
    </row>
    <row r="206" spans="1:19" ht="18.75" x14ac:dyDescent="0.25">
      <c r="A206" s="163" t="s">
        <v>3772</v>
      </c>
      <c r="B206" s="164">
        <v>45791</v>
      </c>
      <c r="C206" s="34" t="s">
        <v>945</v>
      </c>
      <c r="D206" s="53" t="str">
        <f>VLOOKUP(Sales[[#This Row],[Customer ID]],Customer[#All],2,0)</f>
        <v>Rahul Singh</v>
      </c>
      <c r="E206" s="34" t="s">
        <v>273</v>
      </c>
      <c r="F206" s="34" t="str">
        <f>VLOOKUP(Sales[[#This Row],[Product ID]],Product[#All],2,0)</f>
        <v>Boat Headset</v>
      </c>
      <c r="G206" s="53">
        <v>6</v>
      </c>
      <c r="H206" s="165">
        <f>VLOOKUP(Sales[[#This Row],[Product ID]],Product[#All],7,0)</f>
        <v>4970</v>
      </c>
      <c r="I206" s="165">
        <f>Sales[[#This Row],[Selling Rate]]*Sales[[#This Row],[Qty]]</f>
        <v>29820</v>
      </c>
      <c r="J206" s="45">
        <v>0.05</v>
      </c>
      <c r="K206" s="46">
        <f>Sales[[#This Row],[Gross Amount]]*Sales[[#This Row],[Disc %]]</f>
        <v>1491</v>
      </c>
      <c r="L206" s="43">
        <v>0.18</v>
      </c>
      <c r="M206" s="46">
        <f>(Sales[[#This Row],[Gross Amount]]-Sales[[#This Row],[Disc. Amt.]])*Sales[[#This Row],[GST %]]</f>
        <v>5099.22</v>
      </c>
      <c r="N206" s="161">
        <f>Sales[[#This Row],[Gross Amount]]-Sales[[#This Row],[Disc. Amt.]]+Sales[[#This Row],[GST Amount]]</f>
        <v>33428.22</v>
      </c>
      <c r="O206" s="34" t="s">
        <v>8876</v>
      </c>
      <c r="P206" s="34" t="s">
        <v>3562</v>
      </c>
      <c r="Q206" s="165">
        <f>IF(Sales[[#This Row],[Status]]="Cancelled",0,Sales[[#This Row],[Qty]])</f>
        <v>6</v>
      </c>
      <c r="R206" s="166">
        <f>IF(Sales[[#This Row],[Status]]="Cancelled",0,Sales[[#This Row],[Total Amount]])</f>
        <v>33428.22</v>
      </c>
      <c r="S206" s="162">
        <f>SUM(Sales[Net Amount])</f>
        <v>406839287.73200053</v>
      </c>
    </row>
    <row r="207" spans="1:19" ht="18.75" x14ac:dyDescent="0.25">
      <c r="A207" s="156" t="s">
        <v>3773</v>
      </c>
      <c r="B207" s="157">
        <v>45791</v>
      </c>
      <c r="C207" s="158" t="s">
        <v>695</v>
      </c>
      <c r="D207" s="159" t="str">
        <f>VLOOKUP(Sales[[#This Row],[Customer ID]],Customer[#All],2,0)</f>
        <v>Rahul Kumar</v>
      </c>
      <c r="E207" s="158" t="s">
        <v>303</v>
      </c>
      <c r="F207" s="158" t="str">
        <f>VLOOKUP(Sales[[#This Row],[Product ID]],Product[#All],2,0)</f>
        <v>Crucial Ssd</v>
      </c>
      <c r="G207" s="159">
        <v>1</v>
      </c>
      <c r="H207" s="160">
        <f>VLOOKUP(Sales[[#This Row],[Product ID]],Product[#All],7,0)</f>
        <v>7740</v>
      </c>
      <c r="I207" s="160">
        <f>Sales[[#This Row],[Selling Rate]]*Sales[[#This Row],[Qty]]</f>
        <v>7740</v>
      </c>
      <c r="J207" s="43">
        <v>0.15</v>
      </c>
      <c r="K207" s="44">
        <f>Sales[[#This Row],[Gross Amount]]*Sales[[#This Row],[Disc %]]</f>
        <v>1161</v>
      </c>
      <c r="L207" s="43">
        <v>0.18</v>
      </c>
      <c r="M207" s="44">
        <f>(Sales[[#This Row],[Gross Amount]]-Sales[[#This Row],[Disc. Amt.]])*Sales[[#This Row],[GST %]]</f>
        <v>1184.22</v>
      </c>
      <c r="N207" s="161">
        <f>Sales[[#This Row],[Gross Amount]]-Sales[[#This Row],[Disc. Amt.]]+Sales[[#This Row],[GST Amount]]</f>
        <v>7763.22</v>
      </c>
      <c r="O207" s="158" t="s">
        <v>8876</v>
      </c>
      <c r="P207" s="158" t="s">
        <v>3562</v>
      </c>
      <c r="Q207" s="160">
        <f>IF(Sales[[#This Row],[Status]]="Cancelled",0,Sales[[#This Row],[Qty]])</f>
        <v>1</v>
      </c>
      <c r="R207" s="161">
        <f>IF(Sales[[#This Row],[Status]]="Cancelled",0,Sales[[#This Row],[Total Amount]])</f>
        <v>7763.22</v>
      </c>
      <c r="S207" s="162">
        <f>SUM(Sales[Net Amount])</f>
        <v>406839287.73200053</v>
      </c>
    </row>
    <row r="208" spans="1:19" ht="18.75" x14ac:dyDescent="0.25">
      <c r="A208" s="163" t="s">
        <v>3774</v>
      </c>
      <c r="B208" s="164">
        <v>45791</v>
      </c>
      <c r="C208" s="34" t="s">
        <v>921</v>
      </c>
      <c r="D208" s="53" t="str">
        <f>VLOOKUP(Sales[[#This Row],[Customer ID]],Customer[#All],2,0)</f>
        <v>Sahil Gupta</v>
      </c>
      <c r="E208" s="34" t="s">
        <v>297</v>
      </c>
      <c r="F208" s="34" t="str">
        <f>VLOOKUP(Sales[[#This Row],[Product ID]],Product[#All],2,0)</f>
        <v>Dell Desktop</v>
      </c>
      <c r="G208" s="53">
        <v>6</v>
      </c>
      <c r="H208" s="165">
        <f>VLOOKUP(Sales[[#This Row],[Product ID]],Product[#All],7,0)</f>
        <v>39300</v>
      </c>
      <c r="I208" s="165">
        <f>Sales[[#This Row],[Selling Rate]]*Sales[[#This Row],[Qty]]</f>
        <v>235800</v>
      </c>
      <c r="J208" s="45">
        <v>0.1</v>
      </c>
      <c r="K208" s="46">
        <f>Sales[[#This Row],[Gross Amount]]*Sales[[#This Row],[Disc %]]</f>
        <v>23580</v>
      </c>
      <c r="L208" s="43">
        <v>0.18</v>
      </c>
      <c r="M208" s="46">
        <f>(Sales[[#This Row],[Gross Amount]]-Sales[[#This Row],[Disc. Amt.]])*Sales[[#This Row],[GST %]]</f>
        <v>38199.599999999999</v>
      </c>
      <c r="N208" s="161">
        <f>Sales[[#This Row],[Gross Amount]]-Sales[[#This Row],[Disc. Amt.]]+Sales[[#This Row],[GST Amount]]</f>
        <v>250419.6</v>
      </c>
      <c r="O208" s="34" t="s">
        <v>3566</v>
      </c>
      <c r="P208" s="34" t="s">
        <v>3562</v>
      </c>
      <c r="Q208" s="165">
        <f>IF(Sales[[#This Row],[Status]]="Cancelled",0,Sales[[#This Row],[Qty]])</f>
        <v>6</v>
      </c>
      <c r="R208" s="166">
        <f>IF(Sales[[#This Row],[Status]]="Cancelled",0,Sales[[#This Row],[Total Amount]])</f>
        <v>250419.6</v>
      </c>
      <c r="S208" s="162">
        <f>SUM(Sales[Net Amount])</f>
        <v>406839287.73200053</v>
      </c>
    </row>
    <row r="209" spans="1:19" ht="18.75" x14ac:dyDescent="0.25">
      <c r="A209" s="156" t="s">
        <v>3775</v>
      </c>
      <c r="B209" s="157">
        <v>45791</v>
      </c>
      <c r="C209" s="158" t="s">
        <v>795</v>
      </c>
      <c r="D209" s="159" t="str">
        <f>VLOOKUP(Sales[[#This Row],[Customer ID]],Customer[#All],2,0)</f>
        <v>Sahil Gupta</v>
      </c>
      <c r="E209" s="158" t="s">
        <v>389</v>
      </c>
      <c r="F209" s="158" t="str">
        <f>VLOOKUP(Sales[[#This Row],[Product ID]],Product[#All],2,0)</f>
        <v>WD HDD</v>
      </c>
      <c r="G209" s="159">
        <v>7</v>
      </c>
      <c r="H209" s="160">
        <f>VLOOKUP(Sales[[#This Row],[Product ID]],Product[#All],7,0)</f>
        <v>10530</v>
      </c>
      <c r="I209" s="160">
        <f>Sales[[#This Row],[Selling Rate]]*Sales[[#This Row],[Qty]]</f>
        <v>73710</v>
      </c>
      <c r="J209" s="43">
        <v>0.05</v>
      </c>
      <c r="K209" s="44">
        <f>Sales[[#This Row],[Gross Amount]]*Sales[[#This Row],[Disc %]]</f>
        <v>3685.5</v>
      </c>
      <c r="L209" s="43">
        <v>0.18</v>
      </c>
      <c r="M209" s="44">
        <f>(Sales[[#This Row],[Gross Amount]]-Sales[[#This Row],[Disc. Amt.]])*Sales[[#This Row],[GST %]]</f>
        <v>12604.41</v>
      </c>
      <c r="N209" s="161">
        <f>Sales[[#This Row],[Gross Amount]]-Sales[[#This Row],[Disc. Amt.]]+Sales[[#This Row],[GST Amount]]</f>
        <v>82628.91</v>
      </c>
      <c r="O209" s="158" t="s">
        <v>3569</v>
      </c>
      <c r="P209" s="158" t="s">
        <v>1040</v>
      </c>
      <c r="Q209" s="160">
        <f>IF(Sales[[#This Row],[Status]]="Cancelled",0,Sales[[#This Row],[Qty]])</f>
        <v>0</v>
      </c>
      <c r="R209" s="161">
        <f>IF(Sales[[#This Row],[Status]]="Cancelled",0,Sales[[#This Row],[Total Amount]])</f>
        <v>0</v>
      </c>
      <c r="S209" s="162">
        <f>SUM(Sales[Net Amount])</f>
        <v>406839287.73200053</v>
      </c>
    </row>
    <row r="210" spans="1:19" ht="18.75" x14ac:dyDescent="0.25">
      <c r="A210" s="163" t="s">
        <v>3776</v>
      </c>
      <c r="B210" s="164">
        <v>45791</v>
      </c>
      <c r="C210" s="34" t="s">
        <v>879</v>
      </c>
      <c r="D210" s="53" t="str">
        <f>VLOOKUP(Sales[[#This Row],[Customer ID]],Customer[#All],2,0)</f>
        <v>Ankit Patel</v>
      </c>
      <c r="E210" s="34" t="s">
        <v>502</v>
      </c>
      <c r="F210" s="34" t="str">
        <f>VLOOKUP(Sales[[#This Row],[Product ID]],Product[#All],2,0)</f>
        <v>HP Printer</v>
      </c>
      <c r="G210" s="53">
        <v>3</v>
      </c>
      <c r="H210" s="165">
        <f>VLOOKUP(Sales[[#This Row],[Product ID]],Product[#All],7,0)</f>
        <v>32100</v>
      </c>
      <c r="I210" s="165">
        <f>Sales[[#This Row],[Selling Rate]]*Sales[[#This Row],[Qty]]</f>
        <v>96300</v>
      </c>
      <c r="J210" s="45">
        <v>0.12</v>
      </c>
      <c r="K210" s="46">
        <f>Sales[[#This Row],[Gross Amount]]*Sales[[#This Row],[Disc %]]</f>
        <v>11556</v>
      </c>
      <c r="L210" s="43">
        <v>0.18</v>
      </c>
      <c r="M210" s="46">
        <f>(Sales[[#This Row],[Gross Amount]]-Sales[[#This Row],[Disc. Amt.]])*Sales[[#This Row],[GST %]]</f>
        <v>15253.92</v>
      </c>
      <c r="N210" s="161">
        <f>Sales[[#This Row],[Gross Amount]]-Sales[[#This Row],[Disc. Amt.]]+Sales[[#This Row],[GST Amount]]</f>
        <v>99997.92</v>
      </c>
      <c r="O210" s="34" t="s">
        <v>3561</v>
      </c>
      <c r="P210" s="34" t="s">
        <v>3562</v>
      </c>
      <c r="Q210" s="165">
        <f>IF(Sales[[#This Row],[Status]]="Cancelled",0,Sales[[#This Row],[Qty]])</f>
        <v>3</v>
      </c>
      <c r="R210" s="166">
        <f>IF(Sales[[#This Row],[Status]]="Cancelled",0,Sales[[#This Row],[Total Amount]])</f>
        <v>99997.92</v>
      </c>
      <c r="S210" s="162">
        <f>SUM(Sales[Net Amount])</f>
        <v>406839287.73200053</v>
      </c>
    </row>
    <row r="211" spans="1:19" ht="18.75" x14ac:dyDescent="0.25">
      <c r="A211" s="156" t="s">
        <v>3777</v>
      </c>
      <c r="B211" s="157">
        <v>45791</v>
      </c>
      <c r="C211" s="158" t="s">
        <v>827</v>
      </c>
      <c r="D211" s="159" t="str">
        <f>VLOOKUP(Sales[[#This Row],[Customer ID]],Customer[#All],2,0)</f>
        <v>Ankit Gupta</v>
      </c>
      <c r="E211" s="158" t="s">
        <v>99</v>
      </c>
      <c r="F211" s="158" t="str">
        <f>VLOOKUP(Sales[[#This Row],[Product ID]],Product[#All],2,0)</f>
        <v>Dell Laptop</v>
      </c>
      <c r="G211" s="159">
        <v>1</v>
      </c>
      <c r="H211" s="160">
        <f>VLOOKUP(Sales[[#This Row],[Product ID]],Product[#All],7,0)</f>
        <v>34870</v>
      </c>
      <c r="I211" s="160">
        <f>Sales[[#This Row],[Selling Rate]]*Sales[[#This Row],[Qty]]</f>
        <v>34870</v>
      </c>
      <c r="J211" s="43">
        <v>0.1</v>
      </c>
      <c r="K211" s="44">
        <f>Sales[[#This Row],[Gross Amount]]*Sales[[#This Row],[Disc %]]</f>
        <v>3487</v>
      </c>
      <c r="L211" s="43">
        <v>0.18</v>
      </c>
      <c r="M211" s="44">
        <f>(Sales[[#This Row],[Gross Amount]]-Sales[[#This Row],[Disc. Amt.]])*Sales[[#This Row],[GST %]]</f>
        <v>5648.94</v>
      </c>
      <c r="N211" s="161">
        <f>Sales[[#This Row],[Gross Amount]]-Sales[[#This Row],[Disc. Amt.]]+Sales[[#This Row],[GST Amount]]</f>
        <v>37031.94</v>
      </c>
      <c r="O211" s="158" t="s">
        <v>3569</v>
      </c>
      <c r="P211" s="158" t="s">
        <v>3562</v>
      </c>
      <c r="Q211" s="160">
        <f>IF(Sales[[#This Row],[Status]]="Cancelled",0,Sales[[#This Row],[Qty]])</f>
        <v>1</v>
      </c>
      <c r="R211" s="161">
        <f>IF(Sales[[#This Row],[Status]]="Cancelled",0,Sales[[#This Row],[Total Amount]])</f>
        <v>37031.94</v>
      </c>
      <c r="S211" s="162">
        <f>SUM(Sales[Net Amount])</f>
        <v>406839287.73200053</v>
      </c>
    </row>
    <row r="212" spans="1:19" ht="18.75" x14ac:dyDescent="0.25">
      <c r="A212" s="163" t="s">
        <v>3778</v>
      </c>
      <c r="B212" s="164">
        <v>45791</v>
      </c>
      <c r="C212" s="34" t="s">
        <v>792</v>
      </c>
      <c r="D212" s="53" t="str">
        <f>VLOOKUP(Sales[[#This Row],[Customer ID]],Customer[#All],2,0)</f>
        <v>Pooja Sharma</v>
      </c>
      <c r="E212" s="34" t="s">
        <v>444</v>
      </c>
      <c r="F212" s="34" t="str">
        <f>VLOOKUP(Sales[[#This Row],[Product ID]],Product[#All],2,0)</f>
        <v>Dell Desktop</v>
      </c>
      <c r="G212" s="53">
        <v>1</v>
      </c>
      <c r="H212" s="165">
        <f>VLOOKUP(Sales[[#This Row],[Product ID]],Product[#All],7,0)</f>
        <v>55730</v>
      </c>
      <c r="I212" s="165">
        <f>Sales[[#This Row],[Selling Rate]]*Sales[[#This Row],[Qty]]</f>
        <v>55730</v>
      </c>
      <c r="J212" s="45">
        <v>0.02</v>
      </c>
      <c r="K212" s="46">
        <f>Sales[[#This Row],[Gross Amount]]*Sales[[#This Row],[Disc %]]</f>
        <v>1114.6000000000001</v>
      </c>
      <c r="L212" s="43">
        <v>0.18</v>
      </c>
      <c r="M212" s="46">
        <f>(Sales[[#This Row],[Gross Amount]]-Sales[[#This Row],[Disc. Amt.]])*Sales[[#This Row],[GST %]]</f>
        <v>9830.771999999999</v>
      </c>
      <c r="N212" s="161">
        <f>Sales[[#This Row],[Gross Amount]]-Sales[[#This Row],[Disc. Amt.]]+Sales[[#This Row],[GST Amount]]</f>
        <v>64446.171999999999</v>
      </c>
      <c r="O212" s="34" t="s">
        <v>8876</v>
      </c>
      <c r="P212" s="34" t="s">
        <v>3562</v>
      </c>
      <c r="Q212" s="165">
        <f>IF(Sales[[#This Row],[Status]]="Cancelled",0,Sales[[#This Row],[Qty]])</f>
        <v>1</v>
      </c>
      <c r="R212" s="166">
        <f>IF(Sales[[#This Row],[Status]]="Cancelled",0,Sales[[#This Row],[Total Amount]])</f>
        <v>64446.171999999999</v>
      </c>
      <c r="S212" s="162">
        <f>SUM(Sales[Net Amount])</f>
        <v>406839287.73200053</v>
      </c>
    </row>
    <row r="213" spans="1:19" ht="18.75" x14ac:dyDescent="0.25">
      <c r="A213" s="156" t="s">
        <v>3779</v>
      </c>
      <c r="B213" s="157">
        <v>45791</v>
      </c>
      <c r="C213" s="158" t="s">
        <v>743</v>
      </c>
      <c r="D213" s="159" t="str">
        <f>VLOOKUP(Sales[[#This Row],[Customer ID]],Customer[#All],2,0)</f>
        <v>Rahul Gupta</v>
      </c>
      <c r="E213" s="158" t="s">
        <v>248</v>
      </c>
      <c r="F213" s="158" t="str">
        <f>VLOOKUP(Sales[[#This Row],[Product ID]],Product[#All],2,0)</f>
        <v>Amazon Basics Hdmi Cable</v>
      </c>
      <c r="G213" s="159">
        <v>3</v>
      </c>
      <c r="H213" s="160">
        <f>VLOOKUP(Sales[[#This Row],[Product ID]],Product[#All],7,0)</f>
        <v>980</v>
      </c>
      <c r="I213" s="160">
        <f>Sales[[#This Row],[Selling Rate]]*Sales[[#This Row],[Qty]]</f>
        <v>2940</v>
      </c>
      <c r="J213" s="43">
        <v>0</v>
      </c>
      <c r="K213" s="44">
        <f>Sales[[#This Row],[Gross Amount]]*Sales[[#This Row],[Disc %]]</f>
        <v>0</v>
      </c>
      <c r="L213" s="43">
        <v>0.18</v>
      </c>
      <c r="M213" s="44">
        <f>(Sales[[#This Row],[Gross Amount]]-Sales[[#This Row],[Disc. Amt.]])*Sales[[#This Row],[GST %]]</f>
        <v>529.19999999999993</v>
      </c>
      <c r="N213" s="161">
        <f>Sales[[#This Row],[Gross Amount]]-Sales[[#This Row],[Disc. Amt.]]+Sales[[#This Row],[GST Amount]]</f>
        <v>3469.2</v>
      </c>
      <c r="O213" s="158" t="s">
        <v>3561</v>
      </c>
      <c r="P213" s="158" t="s">
        <v>3562</v>
      </c>
      <c r="Q213" s="160">
        <f>IF(Sales[[#This Row],[Status]]="Cancelled",0,Sales[[#This Row],[Qty]])</f>
        <v>3</v>
      </c>
      <c r="R213" s="161">
        <f>IF(Sales[[#This Row],[Status]]="Cancelled",0,Sales[[#This Row],[Total Amount]])</f>
        <v>3469.2</v>
      </c>
      <c r="S213" s="162">
        <f>SUM(Sales[Net Amount])</f>
        <v>406839287.73200053</v>
      </c>
    </row>
    <row r="214" spans="1:19" ht="18.75" x14ac:dyDescent="0.25">
      <c r="A214" s="163" t="s">
        <v>3780</v>
      </c>
      <c r="B214" s="164">
        <v>45791</v>
      </c>
      <c r="C214" s="34" t="s">
        <v>750</v>
      </c>
      <c r="D214" s="53" t="str">
        <f>VLOOKUP(Sales[[#This Row],[Customer ID]],Customer[#All],2,0)</f>
        <v>Rakesh Verma</v>
      </c>
      <c r="E214" s="34" t="s">
        <v>492</v>
      </c>
      <c r="F214" s="34" t="str">
        <f>VLOOKUP(Sales[[#This Row],[Product ID]],Product[#All],2,0)</f>
        <v>Microtek UPS</v>
      </c>
      <c r="G214" s="53">
        <v>2</v>
      </c>
      <c r="H214" s="165">
        <f>VLOOKUP(Sales[[#This Row],[Product ID]],Product[#All],7,0)</f>
        <v>13470</v>
      </c>
      <c r="I214" s="165">
        <f>Sales[[#This Row],[Selling Rate]]*Sales[[#This Row],[Qty]]</f>
        <v>26940</v>
      </c>
      <c r="J214" s="45">
        <v>0.12</v>
      </c>
      <c r="K214" s="46">
        <f>Sales[[#This Row],[Gross Amount]]*Sales[[#This Row],[Disc %]]</f>
        <v>3232.7999999999997</v>
      </c>
      <c r="L214" s="43">
        <v>0.18</v>
      </c>
      <c r="M214" s="46">
        <f>(Sales[[#This Row],[Gross Amount]]-Sales[[#This Row],[Disc. Amt.]])*Sales[[#This Row],[GST %]]</f>
        <v>4267.2960000000003</v>
      </c>
      <c r="N214" s="161">
        <f>Sales[[#This Row],[Gross Amount]]-Sales[[#This Row],[Disc. Amt.]]+Sales[[#This Row],[GST Amount]]</f>
        <v>27974.495999999999</v>
      </c>
      <c r="O214" s="34" t="s">
        <v>8876</v>
      </c>
      <c r="P214" s="34" t="s">
        <v>3562</v>
      </c>
      <c r="Q214" s="165">
        <f>IF(Sales[[#This Row],[Status]]="Cancelled",0,Sales[[#This Row],[Qty]])</f>
        <v>2</v>
      </c>
      <c r="R214" s="166">
        <f>IF(Sales[[#This Row],[Status]]="Cancelled",0,Sales[[#This Row],[Total Amount]])</f>
        <v>27974.495999999999</v>
      </c>
      <c r="S214" s="162">
        <f>SUM(Sales[Net Amount])</f>
        <v>406839287.73200053</v>
      </c>
    </row>
    <row r="215" spans="1:19" ht="18.75" x14ac:dyDescent="0.25">
      <c r="A215" s="156" t="s">
        <v>3781</v>
      </c>
      <c r="B215" s="157">
        <v>45791</v>
      </c>
      <c r="C215" s="158" t="s">
        <v>754</v>
      </c>
      <c r="D215" s="159" t="str">
        <f>VLOOKUP(Sales[[#This Row],[Customer ID]],Customer[#All],2,0)</f>
        <v>Rakesh Gupta</v>
      </c>
      <c r="E215" s="158" t="s">
        <v>64</v>
      </c>
      <c r="F215" s="158" t="str">
        <f>VLOOKUP(Sales[[#This Row],[Product ID]],Product[#All],2,0)</f>
        <v>Jbl Headset</v>
      </c>
      <c r="G215" s="159">
        <v>5</v>
      </c>
      <c r="H215" s="160">
        <f>VLOOKUP(Sales[[#This Row],[Product ID]],Product[#All],7,0)</f>
        <v>930</v>
      </c>
      <c r="I215" s="160">
        <f>Sales[[#This Row],[Selling Rate]]*Sales[[#This Row],[Qty]]</f>
        <v>4650</v>
      </c>
      <c r="J215" s="43">
        <v>0.02</v>
      </c>
      <c r="K215" s="44">
        <f>Sales[[#This Row],[Gross Amount]]*Sales[[#This Row],[Disc %]]</f>
        <v>93</v>
      </c>
      <c r="L215" s="43">
        <v>0.18</v>
      </c>
      <c r="M215" s="44">
        <f>(Sales[[#This Row],[Gross Amount]]-Sales[[#This Row],[Disc. Amt.]])*Sales[[#This Row],[GST %]]</f>
        <v>820.26</v>
      </c>
      <c r="N215" s="161">
        <f>Sales[[#This Row],[Gross Amount]]-Sales[[#This Row],[Disc. Amt.]]+Sales[[#This Row],[GST Amount]]</f>
        <v>5377.26</v>
      </c>
      <c r="O215" s="158" t="s">
        <v>3566</v>
      </c>
      <c r="P215" s="158" t="s">
        <v>3562</v>
      </c>
      <c r="Q215" s="160">
        <f>IF(Sales[[#This Row],[Status]]="Cancelled",0,Sales[[#This Row],[Qty]])</f>
        <v>5</v>
      </c>
      <c r="R215" s="161">
        <f>IF(Sales[[#This Row],[Status]]="Cancelled",0,Sales[[#This Row],[Total Amount]])</f>
        <v>5377.26</v>
      </c>
      <c r="S215" s="162">
        <f>SUM(Sales[Net Amount])</f>
        <v>406839287.73200053</v>
      </c>
    </row>
    <row r="216" spans="1:19" ht="18.75" x14ac:dyDescent="0.25">
      <c r="A216" s="163" t="s">
        <v>3782</v>
      </c>
      <c r="B216" s="164">
        <v>45791</v>
      </c>
      <c r="C216" s="34" t="s">
        <v>765</v>
      </c>
      <c r="D216" s="53" t="str">
        <f>VLOOKUP(Sales[[#This Row],[Customer ID]],Customer[#All],2,0)</f>
        <v>Neha Gupta</v>
      </c>
      <c r="E216" s="34" t="s">
        <v>134</v>
      </c>
      <c r="F216" s="34" t="str">
        <f>VLOOKUP(Sales[[#This Row],[Product ID]],Product[#All],2,0)</f>
        <v>Logitech Keyboard</v>
      </c>
      <c r="G216" s="53">
        <v>2</v>
      </c>
      <c r="H216" s="165">
        <f>VLOOKUP(Sales[[#This Row],[Product ID]],Product[#All],7,0)</f>
        <v>4130</v>
      </c>
      <c r="I216" s="165">
        <f>Sales[[#This Row],[Selling Rate]]*Sales[[#This Row],[Qty]]</f>
        <v>8260</v>
      </c>
      <c r="J216" s="45">
        <v>0.05</v>
      </c>
      <c r="K216" s="46">
        <f>Sales[[#This Row],[Gross Amount]]*Sales[[#This Row],[Disc %]]</f>
        <v>413</v>
      </c>
      <c r="L216" s="43">
        <v>0.18</v>
      </c>
      <c r="M216" s="46">
        <f>(Sales[[#This Row],[Gross Amount]]-Sales[[#This Row],[Disc. Amt.]])*Sales[[#This Row],[GST %]]</f>
        <v>1412.46</v>
      </c>
      <c r="N216" s="161">
        <f>Sales[[#This Row],[Gross Amount]]-Sales[[#This Row],[Disc. Amt.]]+Sales[[#This Row],[GST Amount]]</f>
        <v>9259.4599999999991</v>
      </c>
      <c r="O216" s="34" t="s">
        <v>3569</v>
      </c>
      <c r="P216" s="34" t="s">
        <v>1040</v>
      </c>
      <c r="Q216" s="165">
        <f>IF(Sales[[#This Row],[Status]]="Cancelled",0,Sales[[#This Row],[Qty]])</f>
        <v>0</v>
      </c>
      <c r="R216" s="166">
        <f>IF(Sales[[#This Row],[Status]]="Cancelled",0,Sales[[#This Row],[Total Amount]])</f>
        <v>0</v>
      </c>
      <c r="S216" s="162">
        <f>SUM(Sales[Net Amount])</f>
        <v>406839287.73200053</v>
      </c>
    </row>
    <row r="217" spans="1:19" ht="18.75" x14ac:dyDescent="0.25">
      <c r="A217" s="156" t="s">
        <v>3783</v>
      </c>
      <c r="B217" s="157">
        <v>45791</v>
      </c>
      <c r="C217" s="158" t="s">
        <v>852</v>
      </c>
      <c r="D217" s="159" t="str">
        <f>VLOOKUP(Sales[[#This Row],[Customer ID]],Customer[#All],2,0)</f>
        <v>Neha Singh</v>
      </c>
      <c r="E217" s="158" t="s">
        <v>68</v>
      </c>
      <c r="F217" s="158" t="str">
        <f>VLOOKUP(Sales[[#This Row],[Product ID]],Product[#All],2,0)</f>
        <v>Epson Printer</v>
      </c>
      <c r="G217" s="159">
        <v>6</v>
      </c>
      <c r="H217" s="160">
        <f>VLOOKUP(Sales[[#This Row],[Product ID]],Product[#All],7,0)</f>
        <v>21190</v>
      </c>
      <c r="I217" s="160">
        <f>Sales[[#This Row],[Selling Rate]]*Sales[[#This Row],[Qty]]</f>
        <v>127140</v>
      </c>
      <c r="J217" s="43">
        <v>0.02</v>
      </c>
      <c r="K217" s="44">
        <f>Sales[[#This Row],[Gross Amount]]*Sales[[#This Row],[Disc %]]</f>
        <v>2542.8000000000002</v>
      </c>
      <c r="L217" s="43">
        <v>0.18</v>
      </c>
      <c r="M217" s="44">
        <f>(Sales[[#This Row],[Gross Amount]]-Sales[[#This Row],[Disc. Amt.]])*Sales[[#This Row],[GST %]]</f>
        <v>22427.495999999999</v>
      </c>
      <c r="N217" s="161">
        <f>Sales[[#This Row],[Gross Amount]]-Sales[[#This Row],[Disc. Amt.]]+Sales[[#This Row],[GST Amount]]</f>
        <v>147024.696</v>
      </c>
      <c r="O217" s="158" t="s">
        <v>3569</v>
      </c>
      <c r="P217" s="158" t="s">
        <v>3562</v>
      </c>
      <c r="Q217" s="160">
        <f>IF(Sales[[#This Row],[Status]]="Cancelled",0,Sales[[#This Row],[Qty]])</f>
        <v>6</v>
      </c>
      <c r="R217" s="161">
        <f>IF(Sales[[#This Row],[Status]]="Cancelled",0,Sales[[#This Row],[Total Amount]])</f>
        <v>147024.696</v>
      </c>
      <c r="S217" s="162">
        <f>SUM(Sales[Net Amount])</f>
        <v>406839287.73200053</v>
      </c>
    </row>
    <row r="218" spans="1:19" ht="18.75" x14ac:dyDescent="0.25">
      <c r="A218" s="163" t="s">
        <v>3784</v>
      </c>
      <c r="B218" s="164">
        <v>45791</v>
      </c>
      <c r="C218" s="34" t="s">
        <v>923</v>
      </c>
      <c r="D218" s="53" t="str">
        <f>VLOOKUP(Sales[[#This Row],[Customer ID]],Customer[#All],2,0)</f>
        <v>Rahul Gupta</v>
      </c>
      <c r="E218" s="34" t="s">
        <v>261</v>
      </c>
      <c r="F218" s="34" t="str">
        <f>VLOOKUP(Sales[[#This Row],[Product ID]],Product[#All],2,0)</f>
        <v>American TouristerLaptopBag</v>
      </c>
      <c r="G218" s="53">
        <v>1</v>
      </c>
      <c r="H218" s="165">
        <f>VLOOKUP(Sales[[#This Row],[Product ID]],Product[#All],7,0)</f>
        <v>1320</v>
      </c>
      <c r="I218" s="165">
        <f>Sales[[#This Row],[Selling Rate]]*Sales[[#This Row],[Qty]]</f>
        <v>1320</v>
      </c>
      <c r="J218" s="45">
        <v>0.15</v>
      </c>
      <c r="K218" s="46">
        <f>Sales[[#This Row],[Gross Amount]]*Sales[[#This Row],[Disc %]]</f>
        <v>198</v>
      </c>
      <c r="L218" s="43">
        <v>0.18</v>
      </c>
      <c r="M218" s="46">
        <f>(Sales[[#This Row],[Gross Amount]]-Sales[[#This Row],[Disc. Amt.]])*Sales[[#This Row],[GST %]]</f>
        <v>201.95999999999998</v>
      </c>
      <c r="N218" s="161">
        <f>Sales[[#This Row],[Gross Amount]]-Sales[[#This Row],[Disc. Amt.]]+Sales[[#This Row],[GST Amount]]</f>
        <v>1323.96</v>
      </c>
      <c r="O218" s="34" t="s">
        <v>8876</v>
      </c>
      <c r="P218" s="34" t="s">
        <v>3562</v>
      </c>
      <c r="Q218" s="165">
        <f>IF(Sales[[#This Row],[Status]]="Cancelled",0,Sales[[#This Row],[Qty]])</f>
        <v>1</v>
      </c>
      <c r="R218" s="166">
        <f>IF(Sales[[#This Row],[Status]]="Cancelled",0,Sales[[#This Row],[Total Amount]])</f>
        <v>1323.96</v>
      </c>
      <c r="S218" s="162">
        <f>SUM(Sales[Net Amount])</f>
        <v>406839287.73200053</v>
      </c>
    </row>
    <row r="219" spans="1:19" ht="18.75" x14ac:dyDescent="0.25">
      <c r="A219" s="156" t="s">
        <v>3785</v>
      </c>
      <c r="B219" s="157">
        <v>45791</v>
      </c>
      <c r="C219" s="158" t="s">
        <v>948</v>
      </c>
      <c r="D219" s="159" t="str">
        <f>VLOOKUP(Sales[[#This Row],[Customer ID]],Customer[#All],2,0)</f>
        <v>Pooja Patel</v>
      </c>
      <c r="E219" s="158" t="s">
        <v>392</v>
      </c>
      <c r="F219" s="158" t="str">
        <f>VLOOKUP(Sales[[#This Row],[Product ID]],Product[#All],2,0)</f>
        <v>Apc UPS</v>
      </c>
      <c r="G219" s="159">
        <v>2</v>
      </c>
      <c r="H219" s="160">
        <f>VLOOKUP(Sales[[#This Row],[Product ID]],Product[#All],7,0)</f>
        <v>3320</v>
      </c>
      <c r="I219" s="160">
        <f>Sales[[#This Row],[Selling Rate]]*Sales[[#This Row],[Qty]]</f>
        <v>6640</v>
      </c>
      <c r="J219" s="43">
        <v>0.1</v>
      </c>
      <c r="K219" s="44">
        <f>Sales[[#This Row],[Gross Amount]]*Sales[[#This Row],[Disc %]]</f>
        <v>664</v>
      </c>
      <c r="L219" s="43">
        <v>0.18</v>
      </c>
      <c r="M219" s="44">
        <f>(Sales[[#This Row],[Gross Amount]]-Sales[[#This Row],[Disc. Amt.]])*Sales[[#This Row],[GST %]]</f>
        <v>1075.68</v>
      </c>
      <c r="N219" s="161">
        <f>Sales[[#This Row],[Gross Amount]]-Sales[[#This Row],[Disc. Amt.]]+Sales[[#This Row],[GST Amount]]</f>
        <v>7051.68</v>
      </c>
      <c r="O219" s="158" t="s">
        <v>3566</v>
      </c>
      <c r="P219" s="158" t="s">
        <v>3562</v>
      </c>
      <c r="Q219" s="160">
        <f>IF(Sales[[#This Row],[Status]]="Cancelled",0,Sales[[#This Row],[Qty]])</f>
        <v>2</v>
      </c>
      <c r="R219" s="161">
        <f>IF(Sales[[#This Row],[Status]]="Cancelled",0,Sales[[#This Row],[Total Amount]])</f>
        <v>7051.68</v>
      </c>
      <c r="S219" s="162">
        <f>SUM(Sales[Net Amount])</f>
        <v>406839287.73200053</v>
      </c>
    </row>
    <row r="220" spans="1:19" ht="18.75" x14ac:dyDescent="0.25">
      <c r="A220" s="163" t="s">
        <v>3786</v>
      </c>
      <c r="B220" s="164">
        <v>45791</v>
      </c>
      <c r="C220" s="34" t="s">
        <v>8722</v>
      </c>
      <c r="D220" s="53" t="str">
        <f>VLOOKUP(Sales[[#This Row],[Customer ID]],Customer[#All],2,0)</f>
        <v>Rakesh Sharma</v>
      </c>
      <c r="E220" s="34" t="s">
        <v>497</v>
      </c>
      <c r="F220" s="34" t="str">
        <f>VLOOKUP(Sales[[#This Row],[Product ID]],Product[#All],2,0)</f>
        <v>Boat Headset</v>
      </c>
      <c r="G220" s="53">
        <v>2</v>
      </c>
      <c r="H220" s="165">
        <f>VLOOKUP(Sales[[#This Row],[Product ID]],Product[#All],7,0)</f>
        <v>4930</v>
      </c>
      <c r="I220" s="165">
        <f>Sales[[#This Row],[Selling Rate]]*Sales[[#This Row],[Qty]]</f>
        <v>9860</v>
      </c>
      <c r="J220" s="45">
        <v>0.15</v>
      </c>
      <c r="K220" s="46">
        <f>Sales[[#This Row],[Gross Amount]]*Sales[[#This Row],[Disc %]]</f>
        <v>1479</v>
      </c>
      <c r="L220" s="43">
        <v>0.18</v>
      </c>
      <c r="M220" s="46">
        <f>(Sales[[#This Row],[Gross Amount]]-Sales[[#This Row],[Disc. Amt.]])*Sales[[#This Row],[GST %]]</f>
        <v>1508.58</v>
      </c>
      <c r="N220" s="161">
        <f>Sales[[#This Row],[Gross Amount]]-Sales[[#This Row],[Disc. Amt.]]+Sales[[#This Row],[GST Amount]]</f>
        <v>9889.58</v>
      </c>
      <c r="O220" s="34" t="s">
        <v>8876</v>
      </c>
      <c r="P220" s="34" t="s">
        <v>3562</v>
      </c>
      <c r="Q220" s="165">
        <f>IF(Sales[[#This Row],[Status]]="Cancelled",0,Sales[[#This Row],[Qty]])</f>
        <v>2</v>
      </c>
      <c r="R220" s="166">
        <f>IF(Sales[[#This Row],[Status]]="Cancelled",0,Sales[[#This Row],[Total Amount]])</f>
        <v>9889.58</v>
      </c>
      <c r="S220" s="162">
        <f>SUM(Sales[Net Amount])</f>
        <v>406839287.73200053</v>
      </c>
    </row>
    <row r="221" spans="1:19" ht="18.75" x14ac:dyDescent="0.25">
      <c r="A221" s="156" t="s">
        <v>3787</v>
      </c>
      <c r="B221" s="157">
        <v>45791</v>
      </c>
      <c r="C221" s="158" t="s">
        <v>934</v>
      </c>
      <c r="D221" s="159" t="str">
        <f>VLOOKUP(Sales[[#This Row],[Customer ID]],Customer[#All],2,0)</f>
        <v>Pooja Singh</v>
      </c>
      <c r="E221" s="158" t="s">
        <v>298</v>
      </c>
      <c r="F221" s="158" t="str">
        <f>VLOOKUP(Sales[[#This Row],[Product ID]],Product[#All],2,0)</f>
        <v>Dell Monitor</v>
      </c>
      <c r="G221" s="159">
        <v>7</v>
      </c>
      <c r="H221" s="160">
        <f>VLOOKUP(Sales[[#This Row],[Product ID]],Product[#All],7,0)</f>
        <v>25790</v>
      </c>
      <c r="I221" s="160">
        <f>Sales[[#This Row],[Selling Rate]]*Sales[[#This Row],[Qty]]</f>
        <v>180530</v>
      </c>
      <c r="J221" s="43">
        <v>0.02</v>
      </c>
      <c r="K221" s="44">
        <f>Sales[[#This Row],[Gross Amount]]*Sales[[#This Row],[Disc %]]</f>
        <v>3610.6</v>
      </c>
      <c r="L221" s="43">
        <v>0.18</v>
      </c>
      <c r="M221" s="44">
        <f>(Sales[[#This Row],[Gross Amount]]-Sales[[#This Row],[Disc. Amt.]])*Sales[[#This Row],[GST %]]</f>
        <v>31845.491999999998</v>
      </c>
      <c r="N221" s="161">
        <f>Sales[[#This Row],[Gross Amount]]-Sales[[#This Row],[Disc. Amt.]]+Sales[[#This Row],[GST Amount]]</f>
        <v>208764.89199999999</v>
      </c>
      <c r="O221" s="158" t="s">
        <v>3569</v>
      </c>
      <c r="P221" s="158" t="s">
        <v>3562</v>
      </c>
      <c r="Q221" s="160">
        <f>IF(Sales[[#This Row],[Status]]="Cancelled",0,Sales[[#This Row],[Qty]])</f>
        <v>7</v>
      </c>
      <c r="R221" s="161">
        <f>IF(Sales[[#This Row],[Status]]="Cancelled",0,Sales[[#This Row],[Total Amount]])</f>
        <v>208764.89199999999</v>
      </c>
      <c r="S221" s="162">
        <f>SUM(Sales[Net Amount])</f>
        <v>406839287.73200053</v>
      </c>
    </row>
    <row r="222" spans="1:19" ht="18.75" x14ac:dyDescent="0.25">
      <c r="A222" s="163" t="s">
        <v>3788</v>
      </c>
      <c r="B222" s="164">
        <v>45791</v>
      </c>
      <c r="C222" s="34" t="s">
        <v>736</v>
      </c>
      <c r="D222" s="53" t="str">
        <f>VLOOKUP(Sales[[#This Row],[Customer ID]],Customer[#All],2,0)</f>
        <v>Ankit Verma</v>
      </c>
      <c r="E222" s="34" t="s">
        <v>326</v>
      </c>
      <c r="F222" s="34" t="str">
        <f>VLOOKUP(Sales[[#This Row],[Product ID]],Product[#All],2,0)</f>
        <v>Samsung Ssd</v>
      </c>
      <c r="G222" s="53">
        <v>5</v>
      </c>
      <c r="H222" s="165">
        <f>VLOOKUP(Sales[[#This Row],[Product ID]],Product[#All],7,0)</f>
        <v>8670</v>
      </c>
      <c r="I222" s="165">
        <f>Sales[[#This Row],[Selling Rate]]*Sales[[#This Row],[Qty]]</f>
        <v>43350</v>
      </c>
      <c r="J222" s="45">
        <v>0.02</v>
      </c>
      <c r="K222" s="46">
        <f>Sales[[#This Row],[Gross Amount]]*Sales[[#This Row],[Disc %]]</f>
        <v>867</v>
      </c>
      <c r="L222" s="43">
        <v>0.18</v>
      </c>
      <c r="M222" s="46">
        <f>(Sales[[#This Row],[Gross Amount]]-Sales[[#This Row],[Disc. Amt.]])*Sales[[#This Row],[GST %]]</f>
        <v>7646.94</v>
      </c>
      <c r="N222" s="161">
        <f>Sales[[#This Row],[Gross Amount]]-Sales[[#This Row],[Disc. Amt.]]+Sales[[#This Row],[GST Amount]]</f>
        <v>50129.94</v>
      </c>
      <c r="O222" s="34" t="s">
        <v>3569</v>
      </c>
      <c r="P222" s="34" t="s">
        <v>3562</v>
      </c>
      <c r="Q222" s="165">
        <f>IF(Sales[[#This Row],[Status]]="Cancelled",0,Sales[[#This Row],[Qty]])</f>
        <v>5</v>
      </c>
      <c r="R222" s="166">
        <f>IF(Sales[[#This Row],[Status]]="Cancelled",0,Sales[[#This Row],[Total Amount]])</f>
        <v>50129.94</v>
      </c>
      <c r="S222" s="162">
        <f>SUM(Sales[Net Amount])</f>
        <v>406839287.73200053</v>
      </c>
    </row>
    <row r="223" spans="1:19" ht="18.75" x14ac:dyDescent="0.25">
      <c r="A223" s="156" t="s">
        <v>3789</v>
      </c>
      <c r="B223" s="157">
        <v>45791</v>
      </c>
      <c r="C223" s="158" t="s">
        <v>733</v>
      </c>
      <c r="D223" s="159" t="str">
        <f>VLOOKUP(Sales[[#This Row],[Customer ID]],Customer[#All],2,0)</f>
        <v>Vikas Kumar</v>
      </c>
      <c r="E223" s="158" t="s">
        <v>369</v>
      </c>
      <c r="F223" s="158" t="str">
        <f>VLOOKUP(Sales[[#This Row],[Product ID]],Product[#All],2,0)</f>
        <v>HP Mouse</v>
      </c>
      <c r="G223" s="159">
        <v>4</v>
      </c>
      <c r="H223" s="160">
        <f>VLOOKUP(Sales[[#This Row],[Product ID]],Product[#All],7,0)</f>
        <v>2040</v>
      </c>
      <c r="I223" s="160">
        <f>Sales[[#This Row],[Selling Rate]]*Sales[[#This Row],[Qty]]</f>
        <v>8160</v>
      </c>
      <c r="J223" s="43">
        <v>0.05</v>
      </c>
      <c r="K223" s="44">
        <f>Sales[[#This Row],[Gross Amount]]*Sales[[#This Row],[Disc %]]</f>
        <v>408</v>
      </c>
      <c r="L223" s="43">
        <v>0.18</v>
      </c>
      <c r="M223" s="44">
        <f>(Sales[[#This Row],[Gross Amount]]-Sales[[#This Row],[Disc. Amt.]])*Sales[[#This Row],[GST %]]</f>
        <v>1395.36</v>
      </c>
      <c r="N223" s="161">
        <f>Sales[[#This Row],[Gross Amount]]-Sales[[#This Row],[Disc. Amt.]]+Sales[[#This Row],[GST Amount]]</f>
        <v>9147.36</v>
      </c>
      <c r="O223" s="158" t="s">
        <v>8876</v>
      </c>
      <c r="P223" s="158" t="s">
        <v>3562</v>
      </c>
      <c r="Q223" s="160">
        <f>IF(Sales[[#This Row],[Status]]="Cancelled",0,Sales[[#This Row],[Qty]])</f>
        <v>4</v>
      </c>
      <c r="R223" s="161">
        <f>IF(Sales[[#This Row],[Status]]="Cancelled",0,Sales[[#This Row],[Total Amount]])</f>
        <v>9147.36</v>
      </c>
      <c r="S223" s="162">
        <f>SUM(Sales[Net Amount])</f>
        <v>406839287.73200053</v>
      </c>
    </row>
    <row r="224" spans="1:19" ht="18.75" x14ac:dyDescent="0.25">
      <c r="A224" s="163" t="s">
        <v>3790</v>
      </c>
      <c r="B224" s="164">
        <v>45791</v>
      </c>
      <c r="C224" s="34" t="s">
        <v>693</v>
      </c>
      <c r="D224" s="53" t="str">
        <f>VLOOKUP(Sales[[#This Row],[Customer ID]],Customer[#All],2,0)</f>
        <v>Rahul Gupta</v>
      </c>
      <c r="E224" s="34" t="s">
        <v>245</v>
      </c>
      <c r="F224" s="34" t="str">
        <f>VLOOKUP(Sales[[#This Row],[Product ID]],Product[#All],2,0)</f>
        <v>HP Printer</v>
      </c>
      <c r="G224" s="53">
        <v>3</v>
      </c>
      <c r="H224" s="165">
        <f>VLOOKUP(Sales[[#This Row],[Product ID]],Product[#All],7,0)</f>
        <v>11410</v>
      </c>
      <c r="I224" s="165">
        <f>Sales[[#This Row],[Selling Rate]]*Sales[[#This Row],[Qty]]</f>
        <v>34230</v>
      </c>
      <c r="J224" s="45">
        <v>0</v>
      </c>
      <c r="K224" s="46">
        <f>Sales[[#This Row],[Gross Amount]]*Sales[[#This Row],[Disc %]]</f>
        <v>0</v>
      </c>
      <c r="L224" s="43">
        <v>0.18</v>
      </c>
      <c r="M224" s="46">
        <f>(Sales[[#This Row],[Gross Amount]]-Sales[[#This Row],[Disc. Amt.]])*Sales[[#This Row],[GST %]]</f>
        <v>6161.4</v>
      </c>
      <c r="N224" s="161">
        <f>Sales[[#This Row],[Gross Amount]]-Sales[[#This Row],[Disc. Amt.]]+Sales[[#This Row],[GST Amount]]</f>
        <v>40391.4</v>
      </c>
      <c r="O224" s="34" t="s">
        <v>8876</v>
      </c>
      <c r="P224" s="34" t="s">
        <v>3562</v>
      </c>
      <c r="Q224" s="165">
        <f>IF(Sales[[#This Row],[Status]]="Cancelled",0,Sales[[#This Row],[Qty]])</f>
        <v>3</v>
      </c>
      <c r="R224" s="166">
        <f>IF(Sales[[#This Row],[Status]]="Cancelled",0,Sales[[#This Row],[Total Amount]])</f>
        <v>40391.4</v>
      </c>
      <c r="S224" s="162">
        <f>SUM(Sales[Net Amount])</f>
        <v>406839287.73200053</v>
      </c>
    </row>
    <row r="225" spans="1:19" ht="18.75" x14ac:dyDescent="0.25">
      <c r="A225" s="156" t="s">
        <v>3791</v>
      </c>
      <c r="B225" s="157">
        <v>45791</v>
      </c>
      <c r="C225" s="158" t="s">
        <v>779</v>
      </c>
      <c r="D225" s="159" t="str">
        <f>VLOOKUP(Sales[[#This Row],[Customer ID]],Customer[#All],2,0)</f>
        <v>Rakesh Verma</v>
      </c>
      <c r="E225" s="158" t="s">
        <v>349</v>
      </c>
      <c r="F225" s="158" t="str">
        <f>VLOOKUP(Sales[[#This Row],[Product ID]],Product[#All],2,0)</f>
        <v>Samsung Monitor</v>
      </c>
      <c r="G225" s="159">
        <v>3</v>
      </c>
      <c r="H225" s="160">
        <f>VLOOKUP(Sales[[#This Row],[Product ID]],Product[#All],7,0)</f>
        <v>11070</v>
      </c>
      <c r="I225" s="160">
        <f>Sales[[#This Row],[Selling Rate]]*Sales[[#This Row],[Qty]]</f>
        <v>33210</v>
      </c>
      <c r="J225" s="43">
        <v>0.02</v>
      </c>
      <c r="K225" s="44">
        <f>Sales[[#This Row],[Gross Amount]]*Sales[[#This Row],[Disc %]]</f>
        <v>664.2</v>
      </c>
      <c r="L225" s="43">
        <v>0.18</v>
      </c>
      <c r="M225" s="44">
        <f>(Sales[[#This Row],[Gross Amount]]-Sales[[#This Row],[Disc. Amt.]])*Sales[[#This Row],[GST %]]</f>
        <v>5858.2439999999997</v>
      </c>
      <c r="N225" s="161">
        <f>Sales[[#This Row],[Gross Amount]]-Sales[[#This Row],[Disc. Amt.]]+Sales[[#This Row],[GST Amount]]</f>
        <v>38404.044000000002</v>
      </c>
      <c r="O225" s="158" t="s">
        <v>3561</v>
      </c>
      <c r="P225" s="158" t="s">
        <v>3562</v>
      </c>
      <c r="Q225" s="160">
        <f>IF(Sales[[#This Row],[Status]]="Cancelled",0,Sales[[#This Row],[Qty]])</f>
        <v>3</v>
      </c>
      <c r="R225" s="161">
        <f>IF(Sales[[#This Row],[Status]]="Cancelled",0,Sales[[#This Row],[Total Amount]])</f>
        <v>38404.044000000002</v>
      </c>
      <c r="S225" s="162">
        <f>SUM(Sales[Net Amount])</f>
        <v>406839287.73200053</v>
      </c>
    </row>
    <row r="226" spans="1:19" ht="18.75" x14ac:dyDescent="0.25">
      <c r="A226" s="163" t="s">
        <v>3792</v>
      </c>
      <c r="B226" s="164">
        <v>45791</v>
      </c>
      <c r="C226" s="34" t="s">
        <v>939</v>
      </c>
      <c r="D226" s="53" t="str">
        <f>VLOOKUP(Sales[[#This Row],[Customer ID]],Customer[#All],2,0)</f>
        <v>Sunita Sharma</v>
      </c>
      <c r="E226" s="34" t="s">
        <v>403</v>
      </c>
      <c r="F226" s="34" t="str">
        <f>VLOOKUP(Sales[[#This Row],[Product ID]],Product[#All],2,0)</f>
        <v>Apc UPS</v>
      </c>
      <c r="G226" s="53">
        <v>5</v>
      </c>
      <c r="H226" s="165">
        <f>VLOOKUP(Sales[[#This Row],[Product ID]],Product[#All],7,0)</f>
        <v>15810</v>
      </c>
      <c r="I226" s="165">
        <f>Sales[[#This Row],[Selling Rate]]*Sales[[#This Row],[Qty]]</f>
        <v>79050</v>
      </c>
      <c r="J226" s="45">
        <v>0</v>
      </c>
      <c r="K226" s="46">
        <f>Sales[[#This Row],[Gross Amount]]*Sales[[#This Row],[Disc %]]</f>
        <v>0</v>
      </c>
      <c r="L226" s="43">
        <v>0.18</v>
      </c>
      <c r="M226" s="46">
        <f>(Sales[[#This Row],[Gross Amount]]-Sales[[#This Row],[Disc. Amt.]])*Sales[[#This Row],[GST %]]</f>
        <v>14229</v>
      </c>
      <c r="N226" s="161">
        <f>Sales[[#This Row],[Gross Amount]]-Sales[[#This Row],[Disc. Amt.]]+Sales[[#This Row],[GST Amount]]</f>
        <v>93279</v>
      </c>
      <c r="O226" s="34" t="s">
        <v>3561</v>
      </c>
      <c r="P226" s="34" t="s">
        <v>3562</v>
      </c>
      <c r="Q226" s="165">
        <f>IF(Sales[[#This Row],[Status]]="Cancelled",0,Sales[[#This Row],[Qty]])</f>
        <v>5</v>
      </c>
      <c r="R226" s="166">
        <f>IF(Sales[[#This Row],[Status]]="Cancelled",0,Sales[[#This Row],[Total Amount]])</f>
        <v>93279</v>
      </c>
      <c r="S226" s="162">
        <f>SUM(Sales[Net Amount])</f>
        <v>406839287.73200053</v>
      </c>
    </row>
    <row r="227" spans="1:19" ht="18.75" x14ac:dyDescent="0.25">
      <c r="A227" s="156" t="s">
        <v>3793</v>
      </c>
      <c r="B227" s="157">
        <v>45791</v>
      </c>
      <c r="C227" s="158" t="s">
        <v>708</v>
      </c>
      <c r="D227" s="159" t="str">
        <f>VLOOKUP(Sales[[#This Row],[Customer ID]],Customer[#All],2,0)</f>
        <v>Amit Verma</v>
      </c>
      <c r="E227" s="158" t="s">
        <v>465</v>
      </c>
      <c r="F227" s="158" t="str">
        <f>VLOOKUP(Sales[[#This Row],[Product ID]],Product[#All],2,0)</f>
        <v>Logitech Keyboard</v>
      </c>
      <c r="G227" s="159">
        <v>2</v>
      </c>
      <c r="H227" s="160">
        <f>VLOOKUP(Sales[[#This Row],[Product ID]],Product[#All],7,0)</f>
        <v>2230</v>
      </c>
      <c r="I227" s="160">
        <f>Sales[[#This Row],[Selling Rate]]*Sales[[#This Row],[Qty]]</f>
        <v>4460</v>
      </c>
      <c r="J227" s="43">
        <v>0.02</v>
      </c>
      <c r="K227" s="44">
        <f>Sales[[#This Row],[Gross Amount]]*Sales[[#This Row],[Disc %]]</f>
        <v>89.2</v>
      </c>
      <c r="L227" s="43">
        <v>0.18</v>
      </c>
      <c r="M227" s="44">
        <f>(Sales[[#This Row],[Gross Amount]]-Sales[[#This Row],[Disc. Amt.]])*Sales[[#This Row],[GST %]]</f>
        <v>786.74400000000003</v>
      </c>
      <c r="N227" s="161">
        <f>Sales[[#This Row],[Gross Amount]]-Sales[[#This Row],[Disc. Amt.]]+Sales[[#This Row],[GST Amount]]</f>
        <v>5157.5439999999999</v>
      </c>
      <c r="O227" s="158" t="s">
        <v>8876</v>
      </c>
      <c r="P227" s="158" t="s">
        <v>3562</v>
      </c>
      <c r="Q227" s="160">
        <f>IF(Sales[[#This Row],[Status]]="Cancelled",0,Sales[[#This Row],[Qty]])</f>
        <v>2</v>
      </c>
      <c r="R227" s="161">
        <f>IF(Sales[[#This Row],[Status]]="Cancelled",0,Sales[[#This Row],[Total Amount]])</f>
        <v>5157.5439999999999</v>
      </c>
      <c r="S227" s="162">
        <f>SUM(Sales[Net Amount])</f>
        <v>406839287.73200053</v>
      </c>
    </row>
    <row r="228" spans="1:19" ht="18.75" x14ac:dyDescent="0.25">
      <c r="A228" s="163" t="s">
        <v>3794</v>
      </c>
      <c r="B228" s="164">
        <v>45791</v>
      </c>
      <c r="C228" s="34" t="s">
        <v>659</v>
      </c>
      <c r="D228" s="53" t="str">
        <f>VLOOKUP(Sales[[#This Row],[Customer ID]],Customer[#All],2,0)</f>
        <v>Rakesh Sharma</v>
      </c>
      <c r="E228" s="34" t="s">
        <v>296</v>
      </c>
      <c r="F228" s="34" t="str">
        <f>VLOOKUP(Sales[[#This Row],[Product ID]],Product[#All],2,0)</f>
        <v>Logitech Webcam</v>
      </c>
      <c r="G228" s="53">
        <v>2</v>
      </c>
      <c r="H228" s="165">
        <f>VLOOKUP(Sales[[#This Row],[Product ID]],Product[#All],7,0)</f>
        <v>6060</v>
      </c>
      <c r="I228" s="165">
        <f>Sales[[#This Row],[Selling Rate]]*Sales[[#This Row],[Qty]]</f>
        <v>12120</v>
      </c>
      <c r="J228" s="45">
        <v>0.02</v>
      </c>
      <c r="K228" s="46">
        <f>Sales[[#This Row],[Gross Amount]]*Sales[[#This Row],[Disc %]]</f>
        <v>242.4</v>
      </c>
      <c r="L228" s="43">
        <v>0.18</v>
      </c>
      <c r="M228" s="46">
        <f>(Sales[[#This Row],[Gross Amount]]-Sales[[#This Row],[Disc. Amt.]])*Sales[[#This Row],[GST %]]</f>
        <v>2137.9679999999998</v>
      </c>
      <c r="N228" s="161">
        <f>Sales[[#This Row],[Gross Amount]]-Sales[[#This Row],[Disc. Amt.]]+Sales[[#This Row],[GST Amount]]</f>
        <v>14015.567999999999</v>
      </c>
      <c r="O228" s="34" t="s">
        <v>3561</v>
      </c>
      <c r="P228" s="34" t="s">
        <v>3562</v>
      </c>
      <c r="Q228" s="165">
        <f>IF(Sales[[#This Row],[Status]]="Cancelled",0,Sales[[#This Row],[Qty]])</f>
        <v>2</v>
      </c>
      <c r="R228" s="166">
        <f>IF(Sales[[#This Row],[Status]]="Cancelled",0,Sales[[#This Row],[Total Amount]])</f>
        <v>14015.567999999999</v>
      </c>
      <c r="S228" s="162">
        <f>SUM(Sales[Net Amount])</f>
        <v>406839287.73200053</v>
      </c>
    </row>
    <row r="229" spans="1:19" ht="18.75" x14ac:dyDescent="0.25">
      <c r="A229" s="156" t="s">
        <v>3795</v>
      </c>
      <c r="B229" s="157">
        <v>45792</v>
      </c>
      <c r="C229" s="158" t="s">
        <v>668</v>
      </c>
      <c r="D229" s="159" t="str">
        <f>VLOOKUP(Sales[[#This Row],[Customer ID]],Customer[#All],2,0)</f>
        <v>Rahul Patel</v>
      </c>
      <c r="E229" s="158" t="s">
        <v>305</v>
      </c>
      <c r="F229" s="158" t="str">
        <f>VLOOKUP(Sales[[#This Row],[Product ID]],Product[#All],2,0)</f>
        <v>HP Power Adapter</v>
      </c>
      <c r="G229" s="159">
        <v>3</v>
      </c>
      <c r="H229" s="160">
        <f>VLOOKUP(Sales[[#This Row],[Product ID]],Product[#All],7,0)</f>
        <v>2640</v>
      </c>
      <c r="I229" s="160">
        <f>Sales[[#This Row],[Selling Rate]]*Sales[[#This Row],[Qty]]</f>
        <v>7920</v>
      </c>
      <c r="J229" s="43">
        <v>0.1</v>
      </c>
      <c r="K229" s="44">
        <f>Sales[[#This Row],[Gross Amount]]*Sales[[#This Row],[Disc %]]</f>
        <v>792</v>
      </c>
      <c r="L229" s="43">
        <v>0.18</v>
      </c>
      <c r="M229" s="44">
        <f>(Sales[[#This Row],[Gross Amount]]-Sales[[#This Row],[Disc. Amt.]])*Sales[[#This Row],[GST %]]</f>
        <v>1283.04</v>
      </c>
      <c r="N229" s="161">
        <f>Sales[[#This Row],[Gross Amount]]-Sales[[#This Row],[Disc. Amt.]]+Sales[[#This Row],[GST Amount]]</f>
        <v>8411.0400000000009</v>
      </c>
      <c r="O229" s="158" t="s">
        <v>3566</v>
      </c>
      <c r="P229" s="158" t="s">
        <v>1040</v>
      </c>
      <c r="Q229" s="160">
        <f>IF(Sales[[#This Row],[Status]]="Cancelled",0,Sales[[#This Row],[Qty]])</f>
        <v>0</v>
      </c>
      <c r="R229" s="161">
        <f>IF(Sales[[#This Row],[Status]]="Cancelled",0,Sales[[#This Row],[Total Amount]])</f>
        <v>0</v>
      </c>
      <c r="S229" s="162">
        <f>SUM(Sales[Net Amount])</f>
        <v>406839287.73200053</v>
      </c>
    </row>
    <row r="230" spans="1:19" ht="18.75" x14ac:dyDescent="0.25">
      <c r="A230" s="163" t="s">
        <v>3796</v>
      </c>
      <c r="B230" s="164">
        <v>45792</v>
      </c>
      <c r="C230" s="34" t="s">
        <v>793</v>
      </c>
      <c r="D230" s="53" t="str">
        <f>VLOOKUP(Sales[[#This Row],[Customer ID]],Customer[#All],2,0)</f>
        <v>Neha Verma</v>
      </c>
      <c r="E230" s="34" t="s">
        <v>478</v>
      </c>
      <c r="F230" s="34" t="str">
        <f>VLOOKUP(Sales[[#This Row],[Product ID]],Product[#All],2,0)</f>
        <v>American TouristerLaptopBag</v>
      </c>
      <c r="G230" s="53">
        <v>7</v>
      </c>
      <c r="H230" s="165">
        <f>VLOOKUP(Sales[[#This Row],[Product ID]],Product[#All],7,0)</f>
        <v>6010</v>
      </c>
      <c r="I230" s="165">
        <f>Sales[[#This Row],[Selling Rate]]*Sales[[#This Row],[Qty]]</f>
        <v>42070</v>
      </c>
      <c r="J230" s="45">
        <v>0.15</v>
      </c>
      <c r="K230" s="46">
        <f>Sales[[#This Row],[Gross Amount]]*Sales[[#This Row],[Disc %]]</f>
        <v>6310.5</v>
      </c>
      <c r="L230" s="43">
        <v>0.18</v>
      </c>
      <c r="M230" s="46">
        <f>(Sales[[#This Row],[Gross Amount]]-Sales[[#This Row],[Disc. Amt.]])*Sales[[#This Row],[GST %]]</f>
        <v>6436.71</v>
      </c>
      <c r="N230" s="161">
        <f>Sales[[#This Row],[Gross Amount]]-Sales[[#This Row],[Disc. Amt.]]+Sales[[#This Row],[GST Amount]]</f>
        <v>42196.21</v>
      </c>
      <c r="O230" s="34" t="s">
        <v>3569</v>
      </c>
      <c r="P230" s="34" t="s">
        <v>3562</v>
      </c>
      <c r="Q230" s="165">
        <f>IF(Sales[[#This Row],[Status]]="Cancelled",0,Sales[[#This Row],[Qty]])</f>
        <v>7</v>
      </c>
      <c r="R230" s="166">
        <f>IF(Sales[[#This Row],[Status]]="Cancelled",0,Sales[[#This Row],[Total Amount]])</f>
        <v>42196.21</v>
      </c>
      <c r="S230" s="162">
        <f>SUM(Sales[Net Amount])</f>
        <v>406839287.73200053</v>
      </c>
    </row>
    <row r="231" spans="1:19" ht="18.75" x14ac:dyDescent="0.25">
      <c r="A231" s="156" t="s">
        <v>3797</v>
      </c>
      <c r="B231" s="157">
        <v>45792</v>
      </c>
      <c r="C231" s="158" t="s">
        <v>693</v>
      </c>
      <c r="D231" s="159" t="str">
        <f>VLOOKUP(Sales[[#This Row],[Customer ID]],Customer[#All],2,0)</f>
        <v>Rahul Gupta</v>
      </c>
      <c r="E231" s="158" t="s">
        <v>20</v>
      </c>
      <c r="F231" s="158" t="str">
        <f>VLOOKUP(Sales[[#This Row],[Product ID]],Product[#All],2,0)</f>
        <v>Logitech Keyboard</v>
      </c>
      <c r="G231" s="159">
        <v>8</v>
      </c>
      <c r="H231" s="160">
        <f>VLOOKUP(Sales[[#This Row],[Product ID]],Product[#All],7,0)</f>
        <v>3290</v>
      </c>
      <c r="I231" s="160">
        <f>Sales[[#This Row],[Selling Rate]]*Sales[[#This Row],[Qty]]</f>
        <v>26320</v>
      </c>
      <c r="J231" s="43">
        <v>0.1</v>
      </c>
      <c r="K231" s="44">
        <f>Sales[[#This Row],[Gross Amount]]*Sales[[#This Row],[Disc %]]</f>
        <v>2632</v>
      </c>
      <c r="L231" s="43">
        <v>0.18</v>
      </c>
      <c r="M231" s="44">
        <f>(Sales[[#This Row],[Gross Amount]]-Sales[[#This Row],[Disc. Amt.]])*Sales[[#This Row],[GST %]]</f>
        <v>4263.84</v>
      </c>
      <c r="N231" s="161">
        <f>Sales[[#This Row],[Gross Amount]]-Sales[[#This Row],[Disc. Amt.]]+Sales[[#This Row],[GST Amount]]</f>
        <v>27951.84</v>
      </c>
      <c r="O231" s="158" t="s">
        <v>8876</v>
      </c>
      <c r="P231" s="158" t="s">
        <v>3562</v>
      </c>
      <c r="Q231" s="160">
        <f>IF(Sales[[#This Row],[Status]]="Cancelled",0,Sales[[#This Row],[Qty]])</f>
        <v>8</v>
      </c>
      <c r="R231" s="161">
        <f>IF(Sales[[#This Row],[Status]]="Cancelled",0,Sales[[#This Row],[Total Amount]])</f>
        <v>27951.84</v>
      </c>
      <c r="S231" s="162">
        <f>SUM(Sales[Net Amount])</f>
        <v>406839287.73200053</v>
      </c>
    </row>
    <row r="232" spans="1:19" ht="18.75" x14ac:dyDescent="0.25">
      <c r="A232" s="163" t="s">
        <v>3798</v>
      </c>
      <c r="B232" s="164">
        <v>45792</v>
      </c>
      <c r="C232" s="34" t="s">
        <v>767</v>
      </c>
      <c r="D232" s="53" t="str">
        <f>VLOOKUP(Sales[[#This Row],[Customer ID]],Customer[#All],2,0)</f>
        <v>Sunita Singh</v>
      </c>
      <c r="E232" s="34" t="s">
        <v>398</v>
      </c>
      <c r="F232" s="34" t="str">
        <f>VLOOKUP(Sales[[#This Row],[Product ID]],Product[#All],2,0)</f>
        <v>D-Link Router</v>
      </c>
      <c r="G232" s="53">
        <v>2</v>
      </c>
      <c r="H232" s="165">
        <f>VLOOKUP(Sales[[#This Row],[Product ID]],Product[#All],7,0)</f>
        <v>5420</v>
      </c>
      <c r="I232" s="165">
        <f>Sales[[#This Row],[Selling Rate]]*Sales[[#This Row],[Qty]]</f>
        <v>10840</v>
      </c>
      <c r="J232" s="45">
        <v>0.12</v>
      </c>
      <c r="K232" s="46">
        <f>Sales[[#This Row],[Gross Amount]]*Sales[[#This Row],[Disc %]]</f>
        <v>1300.8</v>
      </c>
      <c r="L232" s="43">
        <v>0.18</v>
      </c>
      <c r="M232" s="46">
        <f>(Sales[[#This Row],[Gross Amount]]-Sales[[#This Row],[Disc. Amt.]])*Sales[[#This Row],[GST %]]</f>
        <v>1717.056</v>
      </c>
      <c r="N232" s="161">
        <f>Sales[[#This Row],[Gross Amount]]-Sales[[#This Row],[Disc. Amt.]]+Sales[[#This Row],[GST Amount]]</f>
        <v>11256.256000000001</v>
      </c>
      <c r="O232" s="34" t="s">
        <v>8876</v>
      </c>
      <c r="P232" s="34" t="s">
        <v>3562</v>
      </c>
      <c r="Q232" s="165">
        <f>IF(Sales[[#This Row],[Status]]="Cancelled",0,Sales[[#This Row],[Qty]])</f>
        <v>2</v>
      </c>
      <c r="R232" s="166">
        <f>IF(Sales[[#This Row],[Status]]="Cancelled",0,Sales[[#This Row],[Total Amount]])</f>
        <v>11256.256000000001</v>
      </c>
      <c r="S232" s="162">
        <f>SUM(Sales[Net Amount])</f>
        <v>406839287.73200053</v>
      </c>
    </row>
    <row r="233" spans="1:19" ht="18.75" x14ac:dyDescent="0.25">
      <c r="A233" s="156" t="s">
        <v>3799</v>
      </c>
      <c r="B233" s="157">
        <v>45792</v>
      </c>
      <c r="C233" s="158" t="s">
        <v>684</v>
      </c>
      <c r="D233" s="159" t="str">
        <f>VLOOKUP(Sales[[#This Row],[Customer ID]],Customer[#All],2,0)</f>
        <v>Rahul Sharma</v>
      </c>
      <c r="E233" s="158" t="s">
        <v>327</v>
      </c>
      <c r="F233" s="158" t="str">
        <f>VLOOKUP(Sales[[#This Row],[Product ID]],Product[#All],2,0)</f>
        <v>Samsung Ssd</v>
      </c>
      <c r="G233" s="159">
        <v>6</v>
      </c>
      <c r="H233" s="160">
        <f>VLOOKUP(Sales[[#This Row],[Product ID]],Product[#All],7,0)</f>
        <v>16390</v>
      </c>
      <c r="I233" s="160">
        <f>Sales[[#This Row],[Selling Rate]]*Sales[[#This Row],[Qty]]</f>
        <v>98340</v>
      </c>
      <c r="J233" s="43">
        <v>0.02</v>
      </c>
      <c r="K233" s="44">
        <f>Sales[[#This Row],[Gross Amount]]*Sales[[#This Row],[Disc %]]</f>
        <v>1966.8</v>
      </c>
      <c r="L233" s="43">
        <v>0.18</v>
      </c>
      <c r="M233" s="44">
        <f>(Sales[[#This Row],[Gross Amount]]-Sales[[#This Row],[Disc. Amt.]])*Sales[[#This Row],[GST %]]</f>
        <v>17347.175999999999</v>
      </c>
      <c r="N233" s="161">
        <f>Sales[[#This Row],[Gross Amount]]-Sales[[#This Row],[Disc. Amt.]]+Sales[[#This Row],[GST Amount]]</f>
        <v>113720.37599999999</v>
      </c>
      <c r="O233" s="158" t="s">
        <v>3569</v>
      </c>
      <c r="P233" s="158" t="s">
        <v>3562</v>
      </c>
      <c r="Q233" s="160">
        <f>IF(Sales[[#This Row],[Status]]="Cancelled",0,Sales[[#This Row],[Qty]])</f>
        <v>6</v>
      </c>
      <c r="R233" s="161">
        <f>IF(Sales[[#This Row],[Status]]="Cancelled",0,Sales[[#This Row],[Total Amount]])</f>
        <v>113720.37599999999</v>
      </c>
      <c r="S233" s="162">
        <f>SUM(Sales[Net Amount])</f>
        <v>406839287.73200053</v>
      </c>
    </row>
    <row r="234" spans="1:19" ht="18.75" x14ac:dyDescent="0.25">
      <c r="A234" s="163" t="s">
        <v>3800</v>
      </c>
      <c r="B234" s="164">
        <v>45792</v>
      </c>
      <c r="C234" s="34" t="s">
        <v>761</v>
      </c>
      <c r="D234" s="53" t="str">
        <f>VLOOKUP(Sales[[#This Row],[Customer ID]],Customer[#All],2,0)</f>
        <v>Priya Verma</v>
      </c>
      <c r="E234" s="34" t="s">
        <v>295</v>
      </c>
      <c r="F234" s="34" t="str">
        <f>VLOOKUP(Sales[[#This Row],[Product ID]],Product[#All],2,0)</f>
        <v>Samsung Monitor</v>
      </c>
      <c r="G234" s="53">
        <v>3</v>
      </c>
      <c r="H234" s="165">
        <f>VLOOKUP(Sales[[#This Row],[Product ID]],Product[#All],7,0)</f>
        <v>7630</v>
      </c>
      <c r="I234" s="165">
        <f>Sales[[#This Row],[Selling Rate]]*Sales[[#This Row],[Qty]]</f>
        <v>22890</v>
      </c>
      <c r="J234" s="45">
        <v>0.02</v>
      </c>
      <c r="K234" s="46">
        <f>Sales[[#This Row],[Gross Amount]]*Sales[[#This Row],[Disc %]]</f>
        <v>457.8</v>
      </c>
      <c r="L234" s="43">
        <v>0.18</v>
      </c>
      <c r="M234" s="46">
        <f>(Sales[[#This Row],[Gross Amount]]-Sales[[#This Row],[Disc. Amt.]])*Sales[[#This Row],[GST %]]</f>
        <v>4037.7959999999998</v>
      </c>
      <c r="N234" s="161">
        <f>Sales[[#This Row],[Gross Amount]]-Sales[[#This Row],[Disc. Amt.]]+Sales[[#This Row],[GST Amount]]</f>
        <v>26469.995999999999</v>
      </c>
      <c r="O234" s="34" t="s">
        <v>8876</v>
      </c>
      <c r="P234" s="34" t="s">
        <v>3562</v>
      </c>
      <c r="Q234" s="165">
        <f>IF(Sales[[#This Row],[Status]]="Cancelled",0,Sales[[#This Row],[Qty]])</f>
        <v>3</v>
      </c>
      <c r="R234" s="166">
        <f>IF(Sales[[#This Row],[Status]]="Cancelled",0,Sales[[#This Row],[Total Amount]])</f>
        <v>26469.995999999999</v>
      </c>
      <c r="S234" s="162">
        <f>SUM(Sales[Net Amount])</f>
        <v>406839287.73200053</v>
      </c>
    </row>
    <row r="235" spans="1:19" ht="18.75" x14ac:dyDescent="0.25">
      <c r="A235" s="156" t="s">
        <v>3801</v>
      </c>
      <c r="B235" s="157">
        <v>45792</v>
      </c>
      <c r="C235" s="158" t="s">
        <v>821</v>
      </c>
      <c r="D235" s="159" t="str">
        <f>VLOOKUP(Sales[[#This Row],[Customer ID]],Customer[#All],2,0)</f>
        <v>Rakesh Sharma</v>
      </c>
      <c r="E235" s="158" t="s">
        <v>156</v>
      </c>
      <c r="F235" s="158" t="str">
        <f>VLOOKUP(Sales[[#This Row],[Product ID]],Product[#All],2,0)</f>
        <v>Boat Speaker</v>
      </c>
      <c r="G235" s="159">
        <v>4</v>
      </c>
      <c r="H235" s="160">
        <f>VLOOKUP(Sales[[#This Row],[Product ID]],Product[#All],7,0)</f>
        <v>3240</v>
      </c>
      <c r="I235" s="160">
        <f>Sales[[#This Row],[Selling Rate]]*Sales[[#This Row],[Qty]]</f>
        <v>12960</v>
      </c>
      <c r="J235" s="43">
        <v>0.02</v>
      </c>
      <c r="K235" s="44">
        <f>Sales[[#This Row],[Gross Amount]]*Sales[[#This Row],[Disc %]]</f>
        <v>259.2</v>
      </c>
      <c r="L235" s="43">
        <v>0.18</v>
      </c>
      <c r="M235" s="44">
        <f>(Sales[[#This Row],[Gross Amount]]-Sales[[#This Row],[Disc. Amt.]])*Sales[[#This Row],[GST %]]</f>
        <v>2286.1439999999998</v>
      </c>
      <c r="N235" s="161">
        <f>Sales[[#This Row],[Gross Amount]]-Sales[[#This Row],[Disc. Amt.]]+Sales[[#This Row],[GST Amount]]</f>
        <v>14986.944</v>
      </c>
      <c r="O235" s="158" t="s">
        <v>3561</v>
      </c>
      <c r="P235" s="158" t="s">
        <v>3562</v>
      </c>
      <c r="Q235" s="160">
        <f>IF(Sales[[#This Row],[Status]]="Cancelled",0,Sales[[#This Row],[Qty]])</f>
        <v>4</v>
      </c>
      <c r="R235" s="161">
        <f>IF(Sales[[#This Row],[Status]]="Cancelled",0,Sales[[#This Row],[Total Amount]])</f>
        <v>14986.944</v>
      </c>
      <c r="S235" s="162">
        <f>SUM(Sales[Net Amount])</f>
        <v>406839287.73200053</v>
      </c>
    </row>
    <row r="236" spans="1:19" ht="18.75" x14ac:dyDescent="0.25">
      <c r="A236" s="163" t="s">
        <v>3802</v>
      </c>
      <c r="B236" s="164">
        <v>45792</v>
      </c>
      <c r="C236" s="34" t="s">
        <v>677</v>
      </c>
      <c r="D236" s="53" t="str">
        <f>VLOOKUP(Sales[[#This Row],[Customer ID]],Customer[#All],2,0)</f>
        <v>Sahil Verma</v>
      </c>
      <c r="E236" s="34" t="s">
        <v>363</v>
      </c>
      <c r="F236" s="34" t="str">
        <f>VLOOKUP(Sales[[#This Row],[Product ID]],Product[#All],2,0)</f>
        <v>Dell Desktop</v>
      </c>
      <c r="G236" s="53">
        <v>3</v>
      </c>
      <c r="H236" s="165">
        <f>VLOOKUP(Sales[[#This Row],[Product ID]],Product[#All],7,0)</f>
        <v>37430</v>
      </c>
      <c r="I236" s="165">
        <f>Sales[[#This Row],[Selling Rate]]*Sales[[#This Row],[Qty]]</f>
        <v>112290</v>
      </c>
      <c r="J236" s="45">
        <v>0.1</v>
      </c>
      <c r="K236" s="46">
        <f>Sales[[#This Row],[Gross Amount]]*Sales[[#This Row],[Disc %]]</f>
        <v>11229</v>
      </c>
      <c r="L236" s="43">
        <v>0.18</v>
      </c>
      <c r="M236" s="46">
        <f>(Sales[[#This Row],[Gross Amount]]-Sales[[#This Row],[Disc. Amt.]])*Sales[[#This Row],[GST %]]</f>
        <v>18190.98</v>
      </c>
      <c r="N236" s="161">
        <f>Sales[[#This Row],[Gross Amount]]-Sales[[#This Row],[Disc. Amt.]]+Sales[[#This Row],[GST Amount]]</f>
        <v>119251.98</v>
      </c>
      <c r="O236" s="34" t="s">
        <v>3561</v>
      </c>
      <c r="P236" s="34" t="s">
        <v>3562</v>
      </c>
      <c r="Q236" s="165">
        <f>IF(Sales[[#This Row],[Status]]="Cancelled",0,Sales[[#This Row],[Qty]])</f>
        <v>3</v>
      </c>
      <c r="R236" s="166">
        <f>IF(Sales[[#This Row],[Status]]="Cancelled",0,Sales[[#This Row],[Total Amount]])</f>
        <v>119251.98</v>
      </c>
      <c r="S236" s="162">
        <f>SUM(Sales[Net Amount])</f>
        <v>406839287.73200053</v>
      </c>
    </row>
    <row r="237" spans="1:19" ht="18.75" x14ac:dyDescent="0.25">
      <c r="A237" s="156" t="s">
        <v>3803</v>
      </c>
      <c r="B237" s="157">
        <v>45792</v>
      </c>
      <c r="C237" s="158" t="s">
        <v>673</v>
      </c>
      <c r="D237" s="159" t="str">
        <f>VLOOKUP(Sales[[#This Row],[Customer ID]],Customer[#All],2,0)</f>
        <v>Sunita Gupta</v>
      </c>
      <c r="E237" s="158" t="s">
        <v>217</v>
      </c>
      <c r="F237" s="158" t="str">
        <f>VLOOKUP(Sales[[#This Row],[Product ID]],Product[#All],2,0)</f>
        <v>Logitech Webcam</v>
      </c>
      <c r="G237" s="159">
        <v>5</v>
      </c>
      <c r="H237" s="160">
        <f>VLOOKUP(Sales[[#This Row],[Product ID]],Product[#All],7,0)</f>
        <v>2420</v>
      </c>
      <c r="I237" s="160">
        <f>Sales[[#This Row],[Selling Rate]]*Sales[[#This Row],[Qty]]</f>
        <v>12100</v>
      </c>
      <c r="J237" s="43">
        <v>0.12</v>
      </c>
      <c r="K237" s="44">
        <f>Sales[[#This Row],[Gross Amount]]*Sales[[#This Row],[Disc %]]</f>
        <v>1452</v>
      </c>
      <c r="L237" s="43">
        <v>0.18</v>
      </c>
      <c r="M237" s="44">
        <f>(Sales[[#This Row],[Gross Amount]]-Sales[[#This Row],[Disc. Amt.]])*Sales[[#This Row],[GST %]]</f>
        <v>1916.6399999999999</v>
      </c>
      <c r="N237" s="161">
        <f>Sales[[#This Row],[Gross Amount]]-Sales[[#This Row],[Disc. Amt.]]+Sales[[#This Row],[GST Amount]]</f>
        <v>12564.64</v>
      </c>
      <c r="O237" s="158" t="s">
        <v>3561</v>
      </c>
      <c r="P237" s="158" t="s">
        <v>3562</v>
      </c>
      <c r="Q237" s="160">
        <f>IF(Sales[[#This Row],[Status]]="Cancelled",0,Sales[[#This Row],[Qty]])</f>
        <v>5</v>
      </c>
      <c r="R237" s="161">
        <f>IF(Sales[[#This Row],[Status]]="Cancelled",0,Sales[[#This Row],[Total Amount]])</f>
        <v>12564.64</v>
      </c>
      <c r="S237" s="162">
        <f>SUM(Sales[Net Amount])</f>
        <v>406839287.73200053</v>
      </c>
    </row>
    <row r="238" spans="1:19" ht="18.75" x14ac:dyDescent="0.25">
      <c r="A238" s="163" t="s">
        <v>3804</v>
      </c>
      <c r="B238" s="164">
        <v>45792</v>
      </c>
      <c r="C238" s="34" t="s">
        <v>734</v>
      </c>
      <c r="D238" s="53" t="str">
        <f>VLOOKUP(Sales[[#This Row],[Customer ID]],Customer[#All],2,0)</f>
        <v>Ankit Sharma</v>
      </c>
      <c r="E238" s="34" t="s">
        <v>493</v>
      </c>
      <c r="F238" s="34" t="str">
        <f>VLOOKUP(Sales[[#This Row],[Product ID]],Product[#All],2,0)</f>
        <v>Logitech Keyboard</v>
      </c>
      <c r="G238" s="53">
        <v>6</v>
      </c>
      <c r="H238" s="165">
        <f>VLOOKUP(Sales[[#This Row],[Product ID]],Product[#All],7,0)</f>
        <v>3040</v>
      </c>
      <c r="I238" s="165">
        <f>Sales[[#This Row],[Selling Rate]]*Sales[[#This Row],[Qty]]</f>
        <v>18240</v>
      </c>
      <c r="J238" s="45">
        <v>0.05</v>
      </c>
      <c r="K238" s="46">
        <f>Sales[[#This Row],[Gross Amount]]*Sales[[#This Row],[Disc %]]</f>
        <v>912</v>
      </c>
      <c r="L238" s="43">
        <v>0.18</v>
      </c>
      <c r="M238" s="46">
        <f>(Sales[[#This Row],[Gross Amount]]-Sales[[#This Row],[Disc. Amt.]])*Sales[[#This Row],[GST %]]</f>
        <v>3119.04</v>
      </c>
      <c r="N238" s="161">
        <f>Sales[[#This Row],[Gross Amount]]-Sales[[#This Row],[Disc. Amt.]]+Sales[[#This Row],[GST Amount]]</f>
        <v>20447.04</v>
      </c>
      <c r="O238" s="34" t="s">
        <v>3569</v>
      </c>
      <c r="P238" s="34" t="s">
        <v>3562</v>
      </c>
      <c r="Q238" s="165">
        <f>IF(Sales[[#This Row],[Status]]="Cancelled",0,Sales[[#This Row],[Qty]])</f>
        <v>6</v>
      </c>
      <c r="R238" s="166">
        <f>IF(Sales[[#This Row],[Status]]="Cancelled",0,Sales[[#This Row],[Total Amount]])</f>
        <v>20447.04</v>
      </c>
      <c r="S238" s="162">
        <f>SUM(Sales[Net Amount])</f>
        <v>406839287.73200053</v>
      </c>
    </row>
    <row r="239" spans="1:19" ht="18.75" x14ac:dyDescent="0.25">
      <c r="A239" s="156" t="s">
        <v>3805</v>
      </c>
      <c r="B239" s="157">
        <v>45792</v>
      </c>
      <c r="C239" s="158" t="s">
        <v>790</v>
      </c>
      <c r="D239" s="159" t="str">
        <f>VLOOKUP(Sales[[#This Row],[Customer ID]],Customer[#All],2,0)</f>
        <v>Pooja Gupta</v>
      </c>
      <c r="E239" s="158" t="s">
        <v>508</v>
      </c>
      <c r="F239" s="158" t="str">
        <f>VLOOKUP(Sales[[#This Row],[Product ID]],Product[#All],2,0)</f>
        <v>American TouristerLaptopBag</v>
      </c>
      <c r="G239" s="159">
        <v>2</v>
      </c>
      <c r="H239" s="160">
        <f>VLOOKUP(Sales[[#This Row],[Product ID]],Product[#All],7,0)</f>
        <v>2340</v>
      </c>
      <c r="I239" s="160">
        <f>Sales[[#This Row],[Selling Rate]]*Sales[[#This Row],[Qty]]</f>
        <v>4680</v>
      </c>
      <c r="J239" s="43">
        <v>0</v>
      </c>
      <c r="K239" s="44">
        <f>Sales[[#This Row],[Gross Amount]]*Sales[[#This Row],[Disc %]]</f>
        <v>0</v>
      </c>
      <c r="L239" s="43">
        <v>0.18</v>
      </c>
      <c r="M239" s="44">
        <f>(Sales[[#This Row],[Gross Amount]]-Sales[[#This Row],[Disc. Amt.]])*Sales[[#This Row],[GST %]]</f>
        <v>842.4</v>
      </c>
      <c r="N239" s="161">
        <f>Sales[[#This Row],[Gross Amount]]-Sales[[#This Row],[Disc. Amt.]]+Sales[[#This Row],[GST Amount]]</f>
        <v>5522.4</v>
      </c>
      <c r="O239" s="158" t="s">
        <v>3569</v>
      </c>
      <c r="P239" s="158" t="s">
        <v>3562</v>
      </c>
      <c r="Q239" s="160">
        <f>IF(Sales[[#This Row],[Status]]="Cancelled",0,Sales[[#This Row],[Qty]])</f>
        <v>2</v>
      </c>
      <c r="R239" s="161">
        <f>IF(Sales[[#This Row],[Status]]="Cancelled",0,Sales[[#This Row],[Total Amount]])</f>
        <v>5522.4</v>
      </c>
      <c r="S239" s="162">
        <f>SUM(Sales[Net Amount])</f>
        <v>406839287.73200053</v>
      </c>
    </row>
    <row r="240" spans="1:19" ht="18.75" x14ac:dyDescent="0.25">
      <c r="A240" s="163" t="s">
        <v>3806</v>
      </c>
      <c r="B240" s="164">
        <v>45792</v>
      </c>
      <c r="C240" s="34" t="s">
        <v>670</v>
      </c>
      <c r="D240" s="53" t="str">
        <f>VLOOKUP(Sales[[#This Row],[Customer ID]],Customer[#All],2,0)</f>
        <v>Rakesh Patel</v>
      </c>
      <c r="E240" s="34" t="s">
        <v>242</v>
      </c>
      <c r="F240" s="34" t="str">
        <f>VLOOKUP(Sales[[#This Row],[Product ID]],Product[#All],2,0)</f>
        <v>HP Printer</v>
      </c>
      <c r="G240" s="53">
        <v>2</v>
      </c>
      <c r="H240" s="165">
        <f>VLOOKUP(Sales[[#This Row],[Product ID]],Product[#All],7,0)</f>
        <v>20380</v>
      </c>
      <c r="I240" s="165">
        <f>Sales[[#This Row],[Selling Rate]]*Sales[[#This Row],[Qty]]</f>
        <v>40760</v>
      </c>
      <c r="J240" s="45">
        <v>0.02</v>
      </c>
      <c r="K240" s="46">
        <f>Sales[[#This Row],[Gross Amount]]*Sales[[#This Row],[Disc %]]</f>
        <v>815.2</v>
      </c>
      <c r="L240" s="43">
        <v>0.18</v>
      </c>
      <c r="M240" s="46">
        <f>(Sales[[#This Row],[Gross Amount]]-Sales[[#This Row],[Disc. Amt.]])*Sales[[#This Row],[GST %]]</f>
        <v>7190.0640000000003</v>
      </c>
      <c r="N240" s="161">
        <f>Sales[[#This Row],[Gross Amount]]-Sales[[#This Row],[Disc. Amt.]]+Sales[[#This Row],[GST Amount]]</f>
        <v>47134.864000000001</v>
      </c>
      <c r="O240" s="34" t="s">
        <v>3561</v>
      </c>
      <c r="P240" s="34" t="s">
        <v>3562</v>
      </c>
      <c r="Q240" s="165">
        <f>IF(Sales[[#This Row],[Status]]="Cancelled",0,Sales[[#This Row],[Qty]])</f>
        <v>2</v>
      </c>
      <c r="R240" s="166">
        <f>IF(Sales[[#This Row],[Status]]="Cancelled",0,Sales[[#This Row],[Total Amount]])</f>
        <v>47134.864000000001</v>
      </c>
      <c r="S240" s="162">
        <f>SUM(Sales[Net Amount])</f>
        <v>406839287.73200053</v>
      </c>
    </row>
    <row r="241" spans="1:19" ht="18.75" x14ac:dyDescent="0.25">
      <c r="A241" s="156" t="s">
        <v>3807</v>
      </c>
      <c r="B241" s="157">
        <v>45792</v>
      </c>
      <c r="C241" s="158" t="s">
        <v>795</v>
      </c>
      <c r="D241" s="159" t="str">
        <f>VLOOKUP(Sales[[#This Row],[Customer ID]],Customer[#All],2,0)</f>
        <v>Sahil Gupta</v>
      </c>
      <c r="E241" s="158" t="s">
        <v>62</v>
      </c>
      <c r="F241" s="158" t="str">
        <f>VLOOKUP(Sales[[#This Row],[Product ID]],Product[#All],2,0)</f>
        <v>Apc UPS</v>
      </c>
      <c r="G241" s="159">
        <v>6</v>
      </c>
      <c r="H241" s="160">
        <f>VLOOKUP(Sales[[#This Row],[Product ID]],Product[#All],7,0)</f>
        <v>7270</v>
      </c>
      <c r="I241" s="160">
        <f>Sales[[#This Row],[Selling Rate]]*Sales[[#This Row],[Qty]]</f>
        <v>43620</v>
      </c>
      <c r="J241" s="43">
        <v>0.02</v>
      </c>
      <c r="K241" s="44">
        <f>Sales[[#This Row],[Gross Amount]]*Sales[[#This Row],[Disc %]]</f>
        <v>872.4</v>
      </c>
      <c r="L241" s="43">
        <v>0.18</v>
      </c>
      <c r="M241" s="44">
        <f>(Sales[[#This Row],[Gross Amount]]-Sales[[#This Row],[Disc. Amt.]])*Sales[[#This Row],[GST %]]</f>
        <v>7694.5679999999993</v>
      </c>
      <c r="N241" s="161">
        <f>Sales[[#This Row],[Gross Amount]]-Sales[[#This Row],[Disc. Amt.]]+Sales[[#This Row],[GST Amount]]</f>
        <v>50442.167999999998</v>
      </c>
      <c r="O241" s="158" t="s">
        <v>3561</v>
      </c>
      <c r="P241" s="158" t="s">
        <v>3562</v>
      </c>
      <c r="Q241" s="160">
        <f>IF(Sales[[#This Row],[Status]]="Cancelled",0,Sales[[#This Row],[Qty]])</f>
        <v>6</v>
      </c>
      <c r="R241" s="161">
        <f>IF(Sales[[#This Row],[Status]]="Cancelled",0,Sales[[#This Row],[Total Amount]])</f>
        <v>50442.167999999998</v>
      </c>
      <c r="S241" s="162">
        <f>SUM(Sales[Net Amount])</f>
        <v>406839287.73200053</v>
      </c>
    </row>
    <row r="242" spans="1:19" ht="18.75" x14ac:dyDescent="0.25">
      <c r="A242" s="163" t="s">
        <v>3808</v>
      </c>
      <c r="B242" s="164">
        <v>45792</v>
      </c>
      <c r="C242" s="34" t="s">
        <v>941</v>
      </c>
      <c r="D242" s="53" t="str">
        <f>VLOOKUP(Sales[[#This Row],[Customer ID]],Customer[#All],2,0)</f>
        <v>Sahil Verma</v>
      </c>
      <c r="E242" s="34" t="s">
        <v>315</v>
      </c>
      <c r="F242" s="34" t="str">
        <f>VLOOKUP(Sales[[#This Row],[Product ID]],Product[#All],2,0)</f>
        <v>Jbl Headset</v>
      </c>
      <c r="G242" s="53">
        <v>2</v>
      </c>
      <c r="H242" s="165">
        <f>VLOOKUP(Sales[[#This Row],[Product ID]],Product[#All],7,0)</f>
        <v>2630</v>
      </c>
      <c r="I242" s="165">
        <f>Sales[[#This Row],[Selling Rate]]*Sales[[#This Row],[Qty]]</f>
        <v>5260</v>
      </c>
      <c r="J242" s="45">
        <v>0.05</v>
      </c>
      <c r="K242" s="46">
        <f>Sales[[#This Row],[Gross Amount]]*Sales[[#This Row],[Disc %]]</f>
        <v>263</v>
      </c>
      <c r="L242" s="43">
        <v>0.18</v>
      </c>
      <c r="M242" s="46">
        <f>(Sales[[#This Row],[Gross Amount]]-Sales[[#This Row],[Disc. Amt.]])*Sales[[#This Row],[GST %]]</f>
        <v>899.45999999999992</v>
      </c>
      <c r="N242" s="161">
        <f>Sales[[#This Row],[Gross Amount]]-Sales[[#This Row],[Disc. Amt.]]+Sales[[#This Row],[GST Amount]]</f>
        <v>5896.46</v>
      </c>
      <c r="O242" s="34" t="s">
        <v>3561</v>
      </c>
      <c r="P242" s="34" t="s">
        <v>3562</v>
      </c>
      <c r="Q242" s="165">
        <f>IF(Sales[[#This Row],[Status]]="Cancelled",0,Sales[[#This Row],[Qty]])</f>
        <v>2</v>
      </c>
      <c r="R242" s="166">
        <f>IF(Sales[[#This Row],[Status]]="Cancelled",0,Sales[[#This Row],[Total Amount]])</f>
        <v>5896.46</v>
      </c>
      <c r="S242" s="162">
        <f>SUM(Sales[Net Amount])</f>
        <v>406839287.73200053</v>
      </c>
    </row>
    <row r="243" spans="1:19" ht="18.75" x14ac:dyDescent="0.25">
      <c r="A243" s="156" t="s">
        <v>3809</v>
      </c>
      <c r="B243" s="157">
        <v>45792</v>
      </c>
      <c r="C243" s="158" t="s">
        <v>861</v>
      </c>
      <c r="D243" s="159" t="str">
        <f>VLOOKUP(Sales[[#This Row],[Customer ID]],Customer[#All],2,0)</f>
        <v>Rakesh Patel</v>
      </c>
      <c r="E243" s="158" t="s">
        <v>473</v>
      </c>
      <c r="F243" s="158" t="str">
        <f>VLOOKUP(Sales[[#This Row],[Product ID]],Product[#All],2,0)</f>
        <v>Boat Headset</v>
      </c>
      <c r="G243" s="159">
        <v>6</v>
      </c>
      <c r="H243" s="160">
        <f>VLOOKUP(Sales[[#This Row],[Product ID]],Product[#All],7,0)</f>
        <v>2840</v>
      </c>
      <c r="I243" s="160">
        <f>Sales[[#This Row],[Selling Rate]]*Sales[[#This Row],[Qty]]</f>
        <v>17040</v>
      </c>
      <c r="J243" s="43">
        <v>0.05</v>
      </c>
      <c r="K243" s="44">
        <f>Sales[[#This Row],[Gross Amount]]*Sales[[#This Row],[Disc %]]</f>
        <v>852</v>
      </c>
      <c r="L243" s="43">
        <v>0.18</v>
      </c>
      <c r="M243" s="44">
        <f>(Sales[[#This Row],[Gross Amount]]-Sales[[#This Row],[Disc. Amt.]])*Sales[[#This Row],[GST %]]</f>
        <v>2913.8399999999997</v>
      </c>
      <c r="N243" s="161">
        <f>Sales[[#This Row],[Gross Amount]]-Sales[[#This Row],[Disc. Amt.]]+Sales[[#This Row],[GST Amount]]</f>
        <v>19101.84</v>
      </c>
      <c r="O243" s="158" t="s">
        <v>3561</v>
      </c>
      <c r="P243" s="158" t="s">
        <v>3562</v>
      </c>
      <c r="Q243" s="160">
        <f>IF(Sales[[#This Row],[Status]]="Cancelled",0,Sales[[#This Row],[Qty]])</f>
        <v>6</v>
      </c>
      <c r="R243" s="161">
        <f>IF(Sales[[#This Row],[Status]]="Cancelled",0,Sales[[#This Row],[Total Amount]])</f>
        <v>19101.84</v>
      </c>
      <c r="S243" s="162">
        <f>SUM(Sales[Net Amount])</f>
        <v>406839287.73200053</v>
      </c>
    </row>
    <row r="244" spans="1:19" ht="18.75" x14ac:dyDescent="0.25">
      <c r="A244" s="163" t="s">
        <v>3810</v>
      </c>
      <c r="B244" s="164">
        <v>45792</v>
      </c>
      <c r="C244" s="34" t="s">
        <v>901</v>
      </c>
      <c r="D244" s="53" t="str">
        <f>VLOOKUP(Sales[[#This Row],[Customer ID]],Customer[#All],2,0)</f>
        <v>Vikas Kumar</v>
      </c>
      <c r="E244" s="34" t="s">
        <v>154</v>
      </c>
      <c r="F244" s="34" t="str">
        <f>VLOOKUP(Sales[[#This Row],[Product ID]],Product[#All],2,0)</f>
        <v>Epson Printer</v>
      </c>
      <c r="G244" s="53">
        <v>1</v>
      </c>
      <c r="H244" s="165">
        <f>VLOOKUP(Sales[[#This Row],[Product ID]],Product[#All],7,0)</f>
        <v>46220</v>
      </c>
      <c r="I244" s="165">
        <f>Sales[[#This Row],[Selling Rate]]*Sales[[#This Row],[Qty]]</f>
        <v>46220</v>
      </c>
      <c r="J244" s="45">
        <v>0.02</v>
      </c>
      <c r="K244" s="46">
        <f>Sales[[#This Row],[Gross Amount]]*Sales[[#This Row],[Disc %]]</f>
        <v>924.4</v>
      </c>
      <c r="L244" s="43">
        <v>0.18</v>
      </c>
      <c r="M244" s="46">
        <f>(Sales[[#This Row],[Gross Amount]]-Sales[[#This Row],[Disc. Amt.]])*Sales[[#This Row],[GST %]]</f>
        <v>8153.2079999999996</v>
      </c>
      <c r="N244" s="161">
        <f>Sales[[#This Row],[Gross Amount]]-Sales[[#This Row],[Disc. Amt.]]+Sales[[#This Row],[GST Amount]]</f>
        <v>53448.807999999997</v>
      </c>
      <c r="O244" s="34" t="s">
        <v>8876</v>
      </c>
      <c r="P244" s="34" t="s">
        <v>3562</v>
      </c>
      <c r="Q244" s="165">
        <f>IF(Sales[[#This Row],[Status]]="Cancelled",0,Sales[[#This Row],[Qty]])</f>
        <v>1</v>
      </c>
      <c r="R244" s="166">
        <f>IF(Sales[[#This Row],[Status]]="Cancelled",0,Sales[[#This Row],[Total Amount]])</f>
        <v>53448.807999999997</v>
      </c>
      <c r="S244" s="162">
        <f>SUM(Sales[Net Amount])</f>
        <v>406839287.73200053</v>
      </c>
    </row>
    <row r="245" spans="1:19" ht="18.75" x14ac:dyDescent="0.25">
      <c r="A245" s="156" t="s">
        <v>3811</v>
      </c>
      <c r="B245" s="157">
        <v>45792</v>
      </c>
      <c r="C245" s="158" t="s">
        <v>801</v>
      </c>
      <c r="D245" s="159" t="str">
        <f>VLOOKUP(Sales[[#This Row],[Customer ID]],Customer[#All],2,0)</f>
        <v>Sunita Verma</v>
      </c>
      <c r="E245" s="158" t="s">
        <v>117</v>
      </c>
      <c r="F245" s="158" t="str">
        <f>VLOOKUP(Sales[[#This Row],[Product ID]],Product[#All],2,0)</f>
        <v>Logitech Mouse</v>
      </c>
      <c r="G245" s="159">
        <v>1</v>
      </c>
      <c r="H245" s="160">
        <f>VLOOKUP(Sales[[#This Row],[Product ID]],Product[#All],7,0)</f>
        <v>2960</v>
      </c>
      <c r="I245" s="160">
        <f>Sales[[#This Row],[Selling Rate]]*Sales[[#This Row],[Qty]]</f>
        <v>2960</v>
      </c>
      <c r="J245" s="43">
        <v>0.15</v>
      </c>
      <c r="K245" s="44">
        <f>Sales[[#This Row],[Gross Amount]]*Sales[[#This Row],[Disc %]]</f>
        <v>444</v>
      </c>
      <c r="L245" s="43">
        <v>0.18</v>
      </c>
      <c r="M245" s="44">
        <f>(Sales[[#This Row],[Gross Amount]]-Sales[[#This Row],[Disc. Amt.]])*Sales[[#This Row],[GST %]]</f>
        <v>452.88</v>
      </c>
      <c r="N245" s="161">
        <f>Sales[[#This Row],[Gross Amount]]-Sales[[#This Row],[Disc. Amt.]]+Sales[[#This Row],[GST Amount]]</f>
        <v>2968.88</v>
      </c>
      <c r="O245" s="158" t="s">
        <v>3569</v>
      </c>
      <c r="P245" s="158" t="s">
        <v>3562</v>
      </c>
      <c r="Q245" s="160">
        <f>IF(Sales[[#This Row],[Status]]="Cancelled",0,Sales[[#This Row],[Qty]])</f>
        <v>1</v>
      </c>
      <c r="R245" s="161">
        <f>IF(Sales[[#This Row],[Status]]="Cancelled",0,Sales[[#This Row],[Total Amount]])</f>
        <v>2968.88</v>
      </c>
      <c r="S245" s="162">
        <f>SUM(Sales[Net Amount])</f>
        <v>406839287.73200053</v>
      </c>
    </row>
    <row r="246" spans="1:19" ht="18.75" x14ac:dyDescent="0.25">
      <c r="A246" s="163" t="s">
        <v>3812</v>
      </c>
      <c r="B246" s="164">
        <v>45792</v>
      </c>
      <c r="C246" s="34" t="s">
        <v>735</v>
      </c>
      <c r="D246" s="53" t="str">
        <f>VLOOKUP(Sales[[#This Row],[Customer ID]],Customer[#All],2,0)</f>
        <v>Amit Singh</v>
      </c>
      <c r="E246" s="34" t="s">
        <v>200</v>
      </c>
      <c r="F246" s="34" t="str">
        <f>VLOOKUP(Sales[[#This Row],[Product ID]],Product[#All],2,0)</f>
        <v>Logitech Webcam</v>
      </c>
      <c r="G246" s="53">
        <v>2</v>
      </c>
      <c r="H246" s="165">
        <f>VLOOKUP(Sales[[#This Row],[Product ID]],Product[#All],7,0)</f>
        <v>5040</v>
      </c>
      <c r="I246" s="165">
        <f>Sales[[#This Row],[Selling Rate]]*Sales[[#This Row],[Qty]]</f>
        <v>10080</v>
      </c>
      <c r="J246" s="45">
        <v>0.02</v>
      </c>
      <c r="K246" s="46">
        <f>Sales[[#This Row],[Gross Amount]]*Sales[[#This Row],[Disc %]]</f>
        <v>201.6</v>
      </c>
      <c r="L246" s="43">
        <v>0.18</v>
      </c>
      <c r="M246" s="46">
        <f>(Sales[[#This Row],[Gross Amount]]-Sales[[#This Row],[Disc. Amt.]])*Sales[[#This Row],[GST %]]</f>
        <v>1778.1119999999999</v>
      </c>
      <c r="N246" s="161">
        <f>Sales[[#This Row],[Gross Amount]]-Sales[[#This Row],[Disc. Amt.]]+Sales[[#This Row],[GST Amount]]</f>
        <v>11656.511999999999</v>
      </c>
      <c r="O246" s="34" t="s">
        <v>8876</v>
      </c>
      <c r="P246" s="34" t="s">
        <v>3562</v>
      </c>
      <c r="Q246" s="165">
        <f>IF(Sales[[#This Row],[Status]]="Cancelled",0,Sales[[#This Row],[Qty]])</f>
        <v>2</v>
      </c>
      <c r="R246" s="166">
        <f>IF(Sales[[#This Row],[Status]]="Cancelled",0,Sales[[#This Row],[Total Amount]])</f>
        <v>11656.511999999999</v>
      </c>
      <c r="S246" s="162">
        <f>SUM(Sales[Net Amount])</f>
        <v>406839287.73200053</v>
      </c>
    </row>
    <row r="247" spans="1:19" ht="18.75" x14ac:dyDescent="0.25">
      <c r="A247" s="156" t="s">
        <v>3813</v>
      </c>
      <c r="B247" s="157">
        <v>45792</v>
      </c>
      <c r="C247" s="158" t="s">
        <v>663</v>
      </c>
      <c r="D247" s="159" t="str">
        <f>VLOOKUP(Sales[[#This Row],[Customer ID]],Customer[#All],2,0)</f>
        <v>Amit Sharma</v>
      </c>
      <c r="E247" s="158" t="s">
        <v>298</v>
      </c>
      <c r="F247" s="158" t="str">
        <f>VLOOKUP(Sales[[#This Row],[Product ID]],Product[#All],2,0)</f>
        <v>Dell Monitor</v>
      </c>
      <c r="G247" s="159">
        <v>8</v>
      </c>
      <c r="H247" s="160">
        <f>VLOOKUP(Sales[[#This Row],[Product ID]],Product[#All],7,0)</f>
        <v>25790</v>
      </c>
      <c r="I247" s="160">
        <f>Sales[[#This Row],[Selling Rate]]*Sales[[#This Row],[Qty]]</f>
        <v>206320</v>
      </c>
      <c r="J247" s="43">
        <v>0.05</v>
      </c>
      <c r="K247" s="44">
        <f>Sales[[#This Row],[Gross Amount]]*Sales[[#This Row],[Disc %]]</f>
        <v>10316</v>
      </c>
      <c r="L247" s="43">
        <v>0.18</v>
      </c>
      <c r="M247" s="44">
        <f>(Sales[[#This Row],[Gross Amount]]-Sales[[#This Row],[Disc. Amt.]])*Sales[[#This Row],[GST %]]</f>
        <v>35280.720000000001</v>
      </c>
      <c r="N247" s="161">
        <f>Sales[[#This Row],[Gross Amount]]-Sales[[#This Row],[Disc. Amt.]]+Sales[[#This Row],[GST Amount]]</f>
        <v>231284.72</v>
      </c>
      <c r="O247" s="158" t="s">
        <v>3561</v>
      </c>
      <c r="P247" s="158" t="s">
        <v>3562</v>
      </c>
      <c r="Q247" s="160">
        <f>IF(Sales[[#This Row],[Status]]="Cancelled",0,Sales[[#This Row],[Qty]])</f>
        <v>8</v>
      </c>
      <c r="R247" s="161">
        <f>IF(Sales[[#This Row],[Status]]="Cancelled",0,Sales[[#This Row],[Total Amount]])</f>
        <v>231284.72</v>
      </c>
      <c r="S247" s="162">
        <f>SUM(Sales[Net Amount])</f>
        <v>406839287.73200053</v>
      </c>
    </row>
    <row r="248" spans="1:19" ht="18.75" x14ac:dyDescent="0.25">
      <c r="A248" s="163" t="s">
        <v>3814</v>
      </c>
      <c r="B248" s="164">
        <v>45792</v>
      </c>
      <c r="C248" s="34" t="s">
        <v>677</v>
      </c>
      <c r="D248" s="53" t="str">
        <f>VLOOKUP(Sales[[#This Row],[Customer ID]],Customer[#All],2,0)</f>
        <v>Sahil Verma</v>
      </c>
      <c r="E248" s="34" t="s">
        <v>465</v>
      </c>
      <c r="F248" s="34" t="str">
        <f>VLOOKUP(Sales[[#This Row],[Product ID]],Product[#All],2,0)</f>
        <v>Logitech Keyboard</v>
      </c>
      <c r="G248" s="53">
        <v>7</v>
      </c>
      <c r="H248" s="165">
        <f>VLOOKUP(Sales[[#This Row],[Product ID]],Product[#All],7,0)</f>
        <v>2230</v>
      </c>
      <c r="I248" s="165">
        <f>Sales[[#This Row],[Selling Rate]]*Sales[[#This Row],[Qty]]</f>
        <v>15610</v>
      </c>
      <c r="J248" s="45">
        <v>0.15</v>
      </c>
      <c r="K248" s="46">
        <f>Sales[[#This Row],[Gross Amount]]*Sales[[#This Row],[Disc %]]</f>
        <v>2341.5</v>
      </c>
      <c r="L248" s="43">
        <v>0.18</v>
      </c>
      <c r="M248" s="46">
        <f>(Sales[[#This Row],[Gross Amount]]-Sales[[#This Row],[Disc. Amt.]])*Sales[[#This Row],[GST %]]</f>
        <v>2388.33</v>
      </c>
      <c r="N248" s="161">
        <f>Sales[[#This Row],[Gross Amount]]-Sales[[#This Row],[Disc. Amt.]]+Sales[[#This Row],[GST Amount]]</f>
        <v>15656.83</v>
      </c>
      <c r="O248" s="34" t="s">
        <v>8876</v>
      </c>
      <c r="P248" s="34" t="s">
        <v>3562</v>
      </c>
      <c r="Q248" s="165">
        <f>IF(Sales[[#This Row],[Status]]="Cancelled",0,Sales[[#This Row],[Qty]])</f>
        <v>7</v>
      </c>
      <c r="R248" s="166">
        <f>IF(Sales[[#This Row],[Status]]="Cancelled",0,Sales[[#This Row],[Total Amount]])</f>
        <v>15656.83</v>
      </c>
      <c r="S248" s="162">
        <f>SUM(Sales[Net Amount])</f>
        <v>406839287.73200053</v>
      </c>
    </row>
    <row r="249" spans="1:19" ht="18.75" x14ac:dyDescent="0.25">
      <c r="A249" s="156" t="s">
        <v>3815</v>
      </c>
      <c r="B249" s="157">
        <v>45792</v>
      </c>
      <c r="C249" s="158" t="s">
        <v>921</v>
      </c>
      <c r="D249" s="159" t="str">
        <f>VLOOKUP(Sales[[#This Row],[Customer ID]],Customer[#All],2,0)</f>
        <v>Sahil Gupta</v>
      </c>
      <c r="E249" s="158" t="s">
        <v>343</v>
      </c>
      <c r="F249" s="158" t="str">
        <f>VLOOKUP(Sales[[#This Row],[Product ID]],Product[#All],2,0)</f>
        <v>Portronics USB Cable</v>
      </c>
      <c r="G249" s="159">
        <v>3</v>
      </c>
      <c r="H249" s="160">
        <f>VLOOKUP(Sales[[#This Row],[Product ID]],Product[#All],7,0)</f>
        <v>780</v>
      </c>
      <c r="I249" s="160">
        <f>Sales[[#This Row],[Selling Rate]]*Sales[[#This Row],[Qty]]</f>
        <v>2340</v>
      </c>
      <c r="J249" s="43">
        <v>0</v>
      </c>
      <c r="K249" s="44">
        <f>Sales[[#This Row],[Gross Amount]]*Sales[[#This Row],[Disc %]]</f>
        <v>0</v>
      </c>
      <c r="L249" s="43">
        <v>0.18</v>
      </c>
      <c r="M249" s="44">
        <f>(Sales[[#This Row],[Gross Amount]]-Sales[[#This Row],[Disc. Amt.]])*Sales[[#This Row],[GST %]]</f>
        <v>421.2</v>
      </c>
      <c r="N249" s="161">
        <f>Sales[[#This Row],[Gross Amount]]-Sales[[#This Row],[Disc. Amt.]]+Sales[[#This Row],[GST Amount]]</f>
        <v>2761.2</v>
      </c>
      <c r="O249" s="158" t="s">
        <v>8876</v>
      </c>
      <c r="P249" s="158" t="s">
        <v>3562</v>
      </c>
      <c r="Q249" s="160">
        <f>IF(Sales[[#This Row],[Status]]="Cancelled",0,Sales[[#This Row],[Qty]])</f>
        <v>3</v>
      </c>
      <c r="R249" s="161">
        <f>IF(Sales[[#This Row],[Status]]="Cancelled",0,Sales[[#This Row],[Total Amount]])</f>
        <v>2761.2</v>
      </c>
      <c r="S249" s="162">
        <f>SUM(Sales[Net Amount])</f>
        <v>406839287.73200053</v>
      </c>
    </row>
    <row r="250" spans="1:19" ht="18.75" x14ac:dyDescent="0.25">
      <c r="A250" s="163" t="s">
        <v>3816</v>
      </c>
      <c r="B250" s="164">
        <v>45792</v>
      </c>
      <c r="C250" s="34" t="s">
        <v>792</v>
      </c>
      <c r="D250" s="53" t="str">
        <f>VLOOKUP(Sales[[#This Row],[Customer ID]],Customer[#All],2,0)</f>
        <v>Pooja Sharma</v>
      </c>
      <c r="E250" s="34" t="s">
        <v>539</v>
      </c>
      <c r="F250" s="34" t="str">
        <f>VLOOKUP(Sales[[#This Row],[Product ID]],Product[#All],2,0)</f>
        <v>Canon Printer</v>
      </c>
      <c r="G250" s="53">
        <v>3</v>
      </c>
      <c r="H250" s="165">
        <f>VLOOKUP(Sales[[#This Row],[Product ID]],Product[#All],7,0)</f>
        <v>25640</v>
      </c>
      <c r="I250" s="165">
        <f>Sales[[#This Row],[Selling Rate]]*Sales[[#This Row],[Qty]]</f>
        <v>76920</v>
      </c>
      <c r="J250" s="45">
        <v>0.15</v>
      </c>
      <c r="K250" s="46">
        <f>Sales[[#This Row],[Gross Amount]]*Sales[[#This Row],[Disc %]]</f>
        <v>11538</v>
      </c>
      <c r="L250" s="43">
        <v>0.18</v>
      </c>
      <c r="M250" s="46">
        <f>(Sales[[#This Row],[Gross Amount]]-Sales[[#This Row],[Disc. Amt.]])*Sales[[#This Row],[GST %]]</f>
        <v>11768.76</v>
      </c>
      <c r="N250" s="161">
        <f>Sales[[#This Row],[Gross Amount]]-Sales[[#This Row],[Disc. Amt.]]+Sales[[#This Row],[GST Amount]]</f>
        <v>77150.759999999995</v>
      </c>
      <c r="O250" s="34" t="s">
        <v>3561</v>
      </c>
      <c r="P250" s="34" t="s">
        <v>3562</v>
      </c>
      <c r="Q250" s="165">
        <f>IF(Sales[[#This Row],[Status]]="Cancelled",0,Sales[[#This Row],[Qty]])</f>
        <v>3</v>
      </c>
      <c r="R250" s="166">
        <f>IF(Sales[[#This Row],[Status]]="Cancelled",0,Sales[[#This Row],[Total Amount]])</f>
        <v>77150.759999999995</v>
      </c>
      <c r="S250" s="162">
        <f>SUM(Sales[Net Amount])</f>
        <v>406839287.73200053</v>
      </c>
    </row>
    <row r="251" spans="1:19" ht="18.75" x14ac:dyDescent="0.25">
      <c r="A251" s="156" t="s">
        <v>3817</v>
      </c>
      <c r="B251" s="157">
        <v>45792</v>
      </c>
      <c r="C251" s="158" t="s">
        <v>750</v>
      </c>
      <c r="D251" s="159" t="str">
        <f>VLOOKUP(Sales[[#This Row],[Customer ID]],Customer[#All],2,0)</f>
        <v>Rakesh Verma</v>
      </c>
      <c r="E251" s="158" t="s">
        <v>280</v>
      </c>
      <c r="F251" s="158" t="str">
        <f>VLOOKUP(Sales[[#This Row],[Product ID]],Product[#All],2,0)</f>
        <v>Epson Printer</v>
      </c>
      <c r="G251" s="159">
        <v>3</v>
      </c>
      <c r="H251" s="160">
        <f>VLOOKUP(Sales[[#This Row],[Product ID]],Product[#All],7,0)</f>
        <v>34550</v>
      </c>
      <c r="I251" s="160">
        <f>Sales[[#This Row],[Selling Rate]]*Sales[[#This Row],[Qty]]</f>
        <v>103650</v>
      </c>
      <c r="J251" s="43">
        <v>0.05</v>
      </c>
      <c r="K251" s="44">
        <f>Sales[[#This Row],[Gross Amount]]*Sales[[#This Row],[Disc %]]</f>
        <v>5182.5</v>
      </c>
      <c r="L251" s="43">
        <v>0.18</v>
      </c>
      <c r="M251" s="44">
        <f>(Sales[[#This Row],[Gross Amount]]-Sales[[#This Row],[Disc. Amt.]])*Sales[[#This Row],[GST %]]</f>
        <v>17724.149999999998</v>
      </c>
      <c r="N251" s="161">
        <f>Sales[[#This Row],[Gross Amount]]-Sales[[#This Row],[Disc. Amt.]]+Sales[[#This Row],[GST Amount]]</f>
        <v>116191.65</v>
      </c>
      <c r="O251" s="158" t="s">
        <v>3566</v>
      </c>
      <c r="P251" s="158" t="s">
        <v>3562</v>
      </c>
      <c r="Q251" s="160">
        <f>IF(Sales[[#This Row],[Status]]="Cancelled",0,Sales[[#This Row],[Qty]])</f>
        <v>3</v>
      </c>
      <c r="R251" s="161">
        <f>IF(Sales[[#This Row],[Status]]="Cancelled",0,Sales[[#This Row],[Total Amount]])</f>
        <v>116191.65</v>
      </c>
      <c r="S251" s="162">
        <f>SUM(Sales[Net Amount])</f>
        <v>406839287.73200053</v>
      </c>
    </row>
    <row r="252" spans="1:19" ht="18.75" x14ac:dyDescent="0.25">
      <c r="A252" s="163" t="s">
        <v>3818</v>
      </c>
      <c r="B252" s="164">
        <v>45792</v>
      </c>
      <c r="C252" s="34" t="s">
        <v>693</v>
      </c>
      <c r="D252" s="53" t="str">
        <f>VLOOKUP(Sales[[#This Row],[Customer ID]],Customer[#All],2,0)</f>
        <v>Rahul Gupta</v>
      </c>
      <c r="E252" s="34" t="s">
        <v>311</v>
      </c>
      <c r="F252" s="34" t="str">
        <f>VLOOKUP(Sales[[#This Row],[Product ID]],Product[#All],2,0)</f>
        <v>Logitech Keyboard</v>
      </c>
      <c r="G252" s="53">
        <v>2</v>
      </c>
      <c r="H252" s="165">
        <f>VLOOKUP(Sales[[#This Row],[Product ID]],Product[#All],7,0)</f>
        <v>530</v>
      </c>
      <c r="I252" s="165">
        <f>Sales[[#This Row],[Selling Rate]]*Sales[[#This Row],[Qty]]</f>
        <v>1060</v>
      </c>
      <c r="J252" s="45">
        <v>0.12</v>
      </c>
      <c r="K252" s="46">
        <f>Sales[[#This Row],[Gross Amount]]*Sales[[#This Row],[Disc %]]</f>
        <v>127.19999999999999</v>
      </c>
      <c r="L252" s="43">
        <v>0.18</v>
      </c>
      <c r="M252" s="46">
        <f>(Sales[[#This Row],[Gross Amount]]-Sales[[#This Row],[Disc. Amt.]])*Sales[[#This Row],[GST %]]</f>
        <v>167.904</v>
      </c>
      <c r="N252" s="161">
        <f>Sales[[#This Row],[Gross Amount]]-Sales[[#This Row],[Disc. Amt.]]+Sales[[#This Row],[GST Amount]]</f>
        <v>1100.704</v>
      </c>
      <c r="O252" s="34" t="s">
        <v>3566</v>
      </c>
      <c r="P252" s="34" t="s">
        <v>3562</v>
      </c>
      <c r="Q252" s="165">
        <f>IF(Sales[[#This Row],[Status]]="Cancelled",0,Sales[[#This Row],[Qty]])</f>
        <v>2</v>
      </c>
      <c r="R252" s="166">
        <f>IF(Sales[[#This Row],[Status]]="Cancelled",0,Sales[[#This Row],[Total Amount]])</f>
        <v>1100.704</v>
      </c>
      <c r="S252" s="162">
        <f>SUM(Sales[Net Amount])</f>
        <v>406839287.73200053</v>
      </c>
    </row>
    <row r="253" spans="1:19" ht="18.75" x14ac:dyDescent="0.25">
      <c r="A253" s="156" t="s">
        <v>3819</v>
      </c>
      <c r="B253" s="157">
        <v>45792</v>
      </c>
      <c r="C253" s="158" t="s">
        <v>827</v>
      </c>
      <c r="D253" s="159" t="str">
        <f>VLOOKUP(Sales[[#This Row],[Customer ID]],Customer[#All],2,0)</f>
        <v>Ankit Gupta</v>
      </c>
      <c r="E253" s="158" t="s">
        <v>462</v>
      </c>
      <c r="F253" s="158" t="str">
        <f>VLOOKUP(Sales[[#This Row],[Product ID]],Product[#All],2,0)</f>
        <v>Dell Keyboard</v>
      </c>
      <c r="G253" s="159">
        <v>8</v>
      </c>
      <c r="H253" s="160">
        <f>VLOOKUP(Sales[[#This Row],[Product ID]],Product[#All],7,0)</f>
        <v>2730</v>
      </c>
      <c r="I253" s="160">
        <f>Sales[[#This Row],[Selling Rate]]*Sales[[#This Row],[Qty]]</f>
        <v>21840</v>
      </c>
      <c r="J253" s="43">
        <v>0.1</v>
      </c>
      <c r="K253" s="44">
        <f>Sales[[#This Row],[Gross Amount]]*Sales[[#This Row],[Disc %]]</f>
        <v>2184</v>
      </c>
      <c r="L253" s="43">
        <v>0.18</v>
      </c>
      <c r="M253" s="44">
        <f>(Sales[[#This Row],[Gross Amount]]-Sales[[#This Row],[Disc. Amt.]])*Sales[[#This Row],[GST %]]</f>
        <v>3538.08</v>
      </c>
      <c r="N253" s="161">
        <f>Sales[[#This Row],[Gross Amount]]-Sales[[#This Row],[Disc. Amt.]]+Sales[[#This Row],[GST Amount]]</f>
        <v>23194.080000000002</v>
      </c>
      <c r="O253" s="158" t="s">
        <v>3569</v>
      </c>
      <c r="P253" s="158" t="s">
        <v>3562</v>
      </c>
      <c r="Q253" s="160">
        <f>IF(Sales[[#This Row],[Status]]="Cancelled",0,Sales[[#This Row],[Qty]])</f>
        <v>8</v>
      </c>
      <c r="R253" s="161">
        <f>IF(Sales[[#This Row],[Status]]="Cancelled",0,Sales[[#This Row],[Total Amount]])</f>
        <v>23194.080000000002</v>
      </c>
      <c r="S253" s="162">
        <f>SUM(Sales[Net Amount])</f>
        <v>406839287.73200053</v>
      </c>
    </row>
    <row r="254" spans="1:19" ht="18.75" x14ac:dyDescent="0.25">
      <c r="A254" s="163" t="s">
        <v>3820</v>
      </c>
      <c r="B254" s="164">
        <v>45792</v>
      </c>
      <c r="C254" s="34" t="s">
        <v>821</v>
      </c>
      <c r="D254" s="53" t="str">
        <f>VLOOKUP(Sales[[#This Row],[Customer ID]],Customer[#All],2,0)</f>
        <v>Rakesh Sharma</v>
      </c>
      <c r="E254" s="34" t="s">
        <v>40</v>
      </c>
      <c r="F254" s="34" t="str">
        <f>VLOOKUP(Sales[[#This Row],[Product ID]],Product[#All],2,0)</f>
        <v>Boat Headset</v>
      </c>
      <c r="G254" s="53">
        <v>6</v>
      </c>
      <c r="H254" s="165">
        <f>VLOOKUP(Sales[[#This Row],[Product ID]],Product[#All],7,0)</f>
        <v>3470</v>
      </c>
      <c r="I254" s="165">
        <f>Sales[[#This Row],[Selling Rate]]*Sales[[#This Row],[Qty]]</f>
        <v>20820</v>
      </c>
      <c r="J254" s="45">
        <v>0.1</v>
      </c>
      <c r="K254" s="46">
        <f>Sales[[#This Row],[Gross Amount]]*Sales[[#This Row],[Disc %]]</f>
        <v>2082</v>
      </c>
      <c r="L254" s="43">
        <v>0.18</v>
      </c>
      <c r="M254" s="46">
        <f>(Sales[[#This Row],[Gross Amount]]-Sales[[#This Row],[Disc. Amt.]])*Sales[[#This Row],[GST %]]</f>
        <v>3372.8399999999997</v>
      </c>
      <c r="N254" s="161">
        <f>Sales[[#This Row],[Gross Amount]]-Sales[[#This Row],[Disc. Amt.]]+Sales[[#This Row],[GST Amount]]</f>
        <v>22110.84</v>
      </c>
      <c r="O254" s="34" t="s">
        <v>8876</v>
      </c>
      <c r="P254" s="34" t="s">
        <v>3562</v>
      </c>
      <c r="Q254" s="165">
        <f>IF(Sales[[#This Row],[Status]]="Cancelled",0,Sales[[#This Row],[Qty]])</f>
        <v>6</v>
      </c>
      <c r="R254" s="166">
        <f>IF(Sales[[#This Row],[Status]]="Cancelled",0,Sales[[#This Row],[Total Amount]])</f>
        <v>22110.84</v>
      </c>
      <c r="S254" s="162">
        <f>SUM(Sales[Net Amount])</f>
        <v>406839287.73200053</v>
      </c>
    </row>
    <row r="255" spans="1:19" ht="18.75" x14ac:dyDescent="0.25">
      <c r="A255" s="156" t="s">
        <v>3821</v>
      </c>
      <c r="B255" s="157">
        <v>45792</v>
      </c>
      <c r="C255" s="158" t="s">
        <v>920</v>
      </c>
      <c r="D255" s="159" t="str">
        <f>VLOOKUP(Sales[[#This Row],[Customer ID]],Customer[#All],2,0)</f>
        <v>Rakesh Sharma</v>
      </c>
      <c r="E255" s="158" t="s">
        <v>295</v>
      </c>
      <c r="F255" s="158" t="str">
        <f>VLOOKUP(Sales[[#This Row],[Product ID]],Product[#All],2,0)</f>
        <v>Samsung Monitor</v>
      </c>
      <c r="G255" s="159">
        <v>2</v>
      </c>
      <c r="H255" s="160">
        <f>VLOOKUP(Sales[[#This Row],[Product ID]],Product[#All],7,0)</f>
        <v>7630</v>
      </c>
      <c r="I255" s="160">
        <f>Sales[[#This Row],[Selling Rate]]*Sales[[#This Row],[Qty]]</f>
        <v>15260</v>
      </c>
      <c r="J255" s="43">
        <v>0</v>
      </c>
      <c r="K255" s="44">
        <f>Sales[[#This Row],[Gross Amount]]*Sales[[#This Row],[Disc %]]</f>
        <v>0</v>
      </c>
      <c r="L255" s="43">
        <v>0.18</v>
      </c>
      <c r="M255" s="44">
        <f>(Sales[[#This Row],[Gross Amount]]-Sales[[#This Row],[Disc. Amt.]])*Sales[[#This Row],[GST %]]</f>
        <v>2746.7999999999997</v>
      </c>
      <c r="N255" s="161">
        <f>Sales[[#This Row],[Gross Amount]]-Sales[[#This Row],[Disc. Amt.]]+Sales[[#This Row],[GST Amount]]</f>
        <v>18006.8</v>
      </c>
      <c r="O255" s="158" t="s">
        <v>8876</v>
      </c>
      <c r="P255" s="158" t="s">
        <v>3562</v>
      </c>
      <c r="Q255" s="160">
        <f>IF(Sales[[#This Row],[Status]]="Cancelled",0,Sales[[#This Row],[Qty]])</f>
        <v>2</v>
      </c>
      <c r="R255" s="161">
        <f>IF(Sales[[#This Row],[Status]]="Cancelled",0,Sales[[#This Row],[Total Amount]])</f>
        <v>18006.8</v>
      </c>
      <c r="S255" s="162">
        <f>SUM(Sales[Net Amount])</f>
        <v>406839287.73200053</v>
      </c>
    </row>
    <row r="256" spans="1:19" ht="18.75" x14ac:dyDescent="0.25">
      <c r="A256" s="163" t="s">
        <v>3822</v>
      </c>
      <c r="B256" s="164">
        <v>45792</v>
      </c>
      <c r="C256" s="34" t="s">
        <v>762</v>
      </c>
      <c r="D256" s="53" t="str">
        <f>VLOOKUP(Sales[[#This Row],[Customer ID]],Customer[#All],2,0)</f>
        <v>Amit Patel</v>
      </c>
      <c r="E256" s="34" t="s">
        <v>217</v>
      </c>
      <c r="F256" s="34" t="str">
        <f>VLOOKUP(Sales[[#This Row],[Product ID]],Product[#All],2,0)</f>
        <v>Logitech Webcam</v>
      </c>
      <c r="G256" s="53">
        <v>5</v>
      </c>
      <c r="H256" s="165">
        <f>VLOOKUP(Sales[[#This Row],[Product ID]],Product[#All],7,0)</f>
        <v>2420</v>
      </c>
      <c r="I256" s="165">
        <f>Sales[[#This Row],[Selling Rate]]*Sales[[#This Row],[Qty]]</f>
        <v>12100</v>
      </c>
      <c r="J256" s="45">
        <v>0.15</v>
      </c>
      <c r="K256" s="46">
        <f>Sales[[#This Row],[Gross Amount]]*Sales[[#This Row],[Disc %]]</f>
        <v>1815</v>
      </c>
      <c r="L256" s="43">
        <v>0.18</v>
      </c>
      <c r="M256" s="46">
        <f>(Sales[[#This Row],[Gross Amount]]-Sales[[#This Row],[Disc. Amt.]])*Sales[[#This Row],[GST %]]</f>
        <v>1851.3</v>
      </c>
      <c r="N256" s="161">
        <f>Sales[[#This Row],[Gross Amount]]-Sales[[#This Row],[Disc. Amt.]]+Sales[[#This Row],[GST Amount]]</f>
        <v>12136.3</v>
      </c>
      <c r="O256" s="34" t="s">
        <v>3569</v>
      </c>
      <c r="P256" s="34" t="s">
        <v>3562</v>
      </c>
      <c r="Q256" s="165">
        <f>IF(Sales[[#This Row],[Status]]="Cancelled",0,Sales[[#This Row],[Qty]])</f>
        <v>5</v>
      </c>
      <c r="R256" s="166">
        <f>IF(Sales[[#This Row],[Status]]="Cancelled",0,Sales[[#This Row],[Total Amount]])</f>
        <v>12136.3</v>
      </c>
      <c r="S256" s="162">
        <f>SUM(Sales[Net Amount])</f>
        <v>406839287.73200053</v>
      </c>
    </row>
    <row r="257" spans="1:19" ht="18.75" x14ac:dyDescent="0.25">
      <c r="A257" s="156" t="s">
        <v>3823</v>
      </c>
      <c r="B257" s="157">
        <v>45792</v>
      </c>
      <c r="C257" s="158" t="s">
        <v>854</v>
      </c>
      <c r="D257" s="159" t="str">
        <f>VLOOKUP(Sales[[#This Row],[Customer ID]],Customer[#All],2,0)</f>
        <v>Neha Sharma</v>
      </c>
      <c r="E257" s="158" t="s">
        <v>326</v>
      </c>
      <c r="F257" s="158" t="str">
        <f>VLOOKUP(Sales[[#This Row],[Product ID]],Product[#All],2,0)</f>
        <v>Samsung Ssd</v>
      </c>
      <c r="G257" s="159">
        <v>5</v>
      </c>
      <c r="H257" s="160">
        <f>VLOOKUP(Sales[[#This Row],[Product ID]],Product[#All],7,0)</f>
        <v>8670</v>
      </c>
      <c r="I257" s="160">
        <f>Sales[[#This Row],[Selling Rate]]*Sales[[#This Row],[Qty]]</f>
        <v>43350</v>
      </c>
      <c r="J257" s="43">
        <v>0.05</v>
      </c>
      <c r="K257" s="44">
        <f>Sales[[#This Row],[Gross Amount]]*Sales[[#This Row],[Disc %]]</f>
        <v>2167.5</v>
      </c>
      <c r="L257" s="43">
        <v>0.18</v>
      </c>
      <c r="M257" s="44">
        <f>(Sales[[#This Row],[Gross Amount]]-Sales[[#This Row],[Disc. Amt.]])*Sales[[#This Row],[GST %]]</f>
        <v>7412.8499999999995</v>
      </c>
      <c r="N257" s="161">
        <f>Sales[[#This Row],[Gross Amount]]-Sales[[#This Row],[Disc. Amt.]]+Sales[[#This Row],[GST Amount]]</f>
        <v>48595.35</v>
      </c>
      <c r="O257" s="158" t="s">
        <v>3561</v>
      </c>
      <c r="P257" s="158" t="s">
        <v>3562</v>
      </c>
      <c r="Q257" s="160">
        <f>IF(Sales[[#This Row],[Status]]="Cancelled",0,Sales[[#This Row],[Qty]])</f>
        <v>5</v>
      </c>
      <c r="R257" s="161">
        <f>IF(Sales[[#This Row],[Status]]="Cancelled",0,Sales[[#This Row],[Total Amount]])</f>
        <v>48595.35</v>
      </c>
      <c r="S257" s="162">
        <f>SUM(Sales[Net Amount])</f>
        <v>406839287.73200053</v>
      </c>
    </row>
    <row r="258" spans="1:19" ht="18.75" x14ac:dyDescent="0.25">
      <c r="A258" s="163" t="s">
        <v>3824</v>
      </c>
      <c r="B258" s="164">
        <v>45792</v>
      </c>
      <c r="C258" s="34" t="s">
        <v>931</v>
      </c>
      <c r="D258" s="53" t="str">
        <f>VLOOKUP(Sales[[#This Row],[Customer ID]],Customer[#All],2,0)</f>
        <v>Sahil Patel</v>
      </c>
      <c r="E258" s="34" t="s">
        <v>387</v>
      </c>
      <c r="F258" s="34" t="str">
        <f>VLOOKUP(Sales[[#This Row],[Product ID]],Product[#All],2,0)</f>
        <v>HP Printer</v>
      </c>
      <c r="G258" s="53">
        <v>5</v>
      </c>
      <c r="H258" s="165">
        <f>VLOOKUP(Sales[[#This Row],[Product ID]],Product[#All],7,0)</f>
        <v>14390</v>
      </c>
      <c r="I258" s="165">
        <f>Sales[[#This Row],[Selling Rate]]*Sales[[#This Row],[Qty]]</f>
        <v>71950</v>
      </c>
      <c r="J258" s="45">
        <v>0.05</v>
      </c>
      <c r="K258" s="46">
        <f>Sales[[#This Row],[Gross Amount]]*Sales[[#This Row],[Disc %]]</f>
        <v>3597.5</v>
      </c>
      <c r="L258" s="43">
        <v>0.18</v>
      </c>
      <c r="M258" s="46">
        <f>(Sales[[#This Row],[Gross Amount]]-Sales[[#This Row],[Disc. Amt.]])*Sales[[#This Row],[GST %]]</f>
        <v>12303.449999999999</v>
      </c>
      <c r="N258" s="161">
        <f>Sales[[#This Row],[Gross Amount]]-Sales[[#This Row],[Disc. Amt.]]+Sales[[#This Row],[GST Amount]]</f>
        <v>80655.95</v>
      </c>
      <c r="O258" s="34" t="s">
        <v>8876</v>
      </c>
      <c r="P258" s="34" t="s">
        <v>3562</v>
      </c>
      <c r="Q258" s="165">
        <f>IF(Sales[[#This Row],[Status]]="Cancelled",0,Sales[[#This Row],[Qty]])</f>
        <v>5</v>
      </c>
      <c r="R258" s="166">
        <f>IF(Sales[[#This Row],[Status]]="Cancelled",0,Sales[[#This Row],[Total Amount]])</f>
        <v>80655.95</v>
      </c>
      <c r="S258" s="162">
        <f>SUM(Sales[Net Amount])</f>
        <v>406839287.73200053</v>
      </c>
    </row>
    <row r="259" spans="1:19" ht="18.75" x14ac:dyDescent="0.25">
      <c r="A259" s="156" t="s">
        <v>3825</v>
      </c>
      <c r="B259" s="157">
        <v>45793</v>
      </c>
      <c r="C259" s="158" t="s">
        <v>818</v>
      </c>
      <c r="D259" s="159" t="str">
        <f>VLOOKUP(Sales[[#This Row],[Customer ID]],Customer[#All],2,0)</f>
        <v>Rahul Sharma</v>
      </c>
      <c r="E259" s="158" t="s">
        <v>446</v>
      </c>
      <c r="F259" s="158" t="str">
        <f>VLOOKUP(Sales[[#This Row],[Product ID]],Product[#All],2,0)</f>
        <v>HP Desktop</v>
      </c>
      <c r="G259" s="159">
        <v>8</v>
      </c>
      <c r="H259" s="160">
        <f>VLOOKUP(Sales[[#This Row],[Product ID]],Product[#All],7,0)</f>
        <v>48280</v>
      </c>
      <c r="I259" s="160">
        <f>Sales[[#This Row],[Selling Rate]]*Sales[[#This Row],[Qty]]</f>
        <v>386240</v>
      </c>
      <c r="J259" s="43">
        <v>0.02</v>
      </c>
      <c r="K259" s="44">
        <f>Sales[[#This Row],[Gross Amount]]*Sales[[#This Row],[Disc %]]</f>
        <v>7724.8</v>
      </c>
      <c r="L259" s="43">
        <v>0.18</v>
      </c>
      <c r="M259" s="44">
        <f>(Sales[[#This Row],[Gross Amount]]-Sales[[#This Row],[Disc. Amt.]])*Sales[[#This Row],[GST %]]</f>
        <v>68132.736000000004</v>
      </c>
      <c r="N259" s="161">
        <f>Sales[[#This Row],[Gross Amount]]-Sales[[#This Row],[Disc. Amt.]]+Sales[[#This Row],[GST Amount]]</f>
        <v>446647.93599999999</v>
      </c>
      <c r="O259" s="158" t="s">
        <v>3561</v>
      </c>
      <c r="P259" s="158" t="s">
        <v>3562</v>
      </c>
      <c r="Q259" s="160">
        <f>IF(Sales[[#This Row],[Status]]="Cancelled",0,Sales[[#This Row],[Qty]])</f>
        <v>8</v>
      </c>
      <c r="R259" s="161">
        <f>IF(Sales[[#This Row],[Status]]="Cancelled",0,Sales[[#This Row],[Total Amount]])</f>
        <v>446647.93599999999</v>
      </c>
      <c r="S259" s="162">
        <f>SUM(Sales[Net Amount])</f>
        <v>406839287.73200053</v>
      </c>
    </row>
    <row r="260" spans="1:19" ht="18.75" x14ac:dyDescent="0.25">
      <c r="A260" s="163" t="s">
        <v>3826</v>
      </c>
      <c r="B260" s="164">
        <v>45793</v>
      </c>
      <c r="C260" s="34" t="s">
        <v>751</v>
      </c>
      <c r="D260" s="53" t="str">
        <f>VLOOKUP(Sales[[#This Row],[Customer ID]],Customer[#All],2,0)</f>
        <v>Ankit Verma</v>
      </c>
      <c r="E260" s="34" t="s">
        <v>68</v>
      </c>
      <c r="F260" s="34" t="str">
        <f>VLOOKUP(Sales[[#This Row],[Product ID]],Product[#All],2,0)</f>
        <v>Epson Printer</v>
      </c>
      <c r="G260" s="53">
        <v>8</v>
      </c>
      <c r="H260" s="165">
        <f>VLOOKUP(Sales[[#This Row],[Product ID]],Product[#All],7,0)</f>
        <v>21190</v>
      </c>
      <c r="I260" s="165">
        <f>Sales[[#This Row],[Selling Rate]]*Sales[[#This Row],[Qty]]</f>
        <v>169520</v>
      </c>
      <c r="J260" s="45">
        <v>0.05</v>
      </c>
      <c r="K260" s="46">
        <f>Sales[[#This Row],[Gross Amount]]*Sales[[#This Row],[Disc %]]</f>
        <v>8476</v>
      </c>
      <c r="L260" s="43">
        <v>0.18</v>
      </c>
      <c r="M260" s="46">
        <f>(Sales[[#This Row],[Gross Amount]]-Sales[[#This Row],[Disc. Amt.]])*Sales[[#This Row],[GST %]]</f>
        <v>28987.919999999998</v>
      </c>
      <c r="N260" s="161">
        <f>Sales[[#This Row],[Gross Amount]]-Sales[[#This Row],[Disc. Amt.]]+Sales[[#This Row],[GST Amount]]</f>
        <v>190031.91999999998</v>
      </c>
      <c r="O260" s="34" t="s">
        <v>3566</v>
      </c>
      <c r="P260" s="34" t="s">
        <v>3562</v>
      </c>
      <c r="Q260" s="165">
        <f>IF(Sales[[#This Row],[Status]]="Cancelled",0,Sales[[#This Row],[Qty]])</f>
        <v>8</v>
      </c>
      <c r="R260" s="166">
        <f>IF(Sales[[#This Row],[Status]]="Cancelled",0,Sales[[#This Row],[Total Amount]])</f>
        <v>190031.91999999998</v>
      </c>
      <c r="S260" s="162">
        <f>SUM(Sales[Net Amount])</f>
        <v>406839287.73200053</v>
      </c>
    </row>
    <row r="261" spans="1:19" ht="18.75" x14ac:dyDescent="0.25">
      <c r="A261" s="156" t="s">
        <v>3827</v>
      </c>
      <c r="B261" s="157">
        <v>45793</v>
      </c>
      <c r="C261" s="158" t="s">
        <v>833</v>
      </c>
      <c r="D261" s="159" t="str">
        <f>VLOOKUP(Sales[[#This Row],[Customer ID]],Customer[#All],2,0)</f>
        <v>Sunita Kumar</v>
      </c>
      <c r="E261" s="158" t="s">
        <v>357</v>
      </c>
      <c r="F261" s="158" t="str">
        <f>VLOOKUP(Sales[[#This Row],[Product ID]],Product[#All],2,0)</f>
        <v>Samsung Ssd</v>
      </c>
      <c r="G261" s="159">
        <v>8</v>
      </c>
      <c r="H261" s="160">
        <f>VLOOKUP(Sales[[#This Row],[Product ID]],Product[#All],7,0)</f>
        <v>9070</v>
      </c>
      <c r="I261" s="160">
        <f>Sales[[#This Row],[Selling Rate]]*Sales[[#This Row],[Qty]]</f>
        <v>72560</v>
      </c>
      <c r="J261" s="43">
        <v>0</v>
      </c>
      <c r="K261" s="44">
        <f>Sales[[#This Row],[Gross Amount]]*Sales[[#This Row],[Disc %]]</f>
        <v>0</v>
      </c>
      <c r="L261" s="43">
        <v>0.18</v>
      </c>
      <c r="M261" s="44">
        <f>(Sales[[#This Row],[Gross Amount]]-Sales[[#This Row],[Disc. Amt.]])*Sales[[#This Row],[GST %]]</f>
        <v>13060.8</v>
      </c>
      <c r="N261" s="161">
        <f>Sales[[#This Row],[Gross Amount]]-Sales[[#This Row],[Disc. Amt.]]+Sales[[#This Row],[GST Amount]]</f>
        <v>85620.800000000003</v>
      </c>
      <c r="O261" s="158" t="s">
        <v>8876</v>
      </c>
      <c r="P261" s="158" t="s">
        <v>3562</v>
      </c>
      <c r="Q261" s="160">
        <f>IF(Sales[[#This Row],[Status]]="Cancelled",0,Sales[[#This Row],[Qty]])</f>
        <v>8</v>
      </c>
      <c r="R261" s="161">
        <f>IF(Sales[[#This Row],[Status]]="Cancelled",0,Sales[[#This Row],[Total Amount]])</f>
        <v>85620.800000000003</v>
      </c>
      <c r="S261" s="162">
        <f>SUM(Sales[Net Amount])</f>
        <v>406839287.73200053</v>
      </c>
    </row>
    <row r="262" spans="1:19" ht="18.75" x14ac:dyDescent="0.25">
      <c r="A262" s="163" t="s">
        <v>3828</v>
      </c>
      <c r="B262" s="164">
        <v>45793</v>
      </c>
      <c r="C262" s="34" t="s">
        <v>904</v>
      </c>
      <c r="D262" s="53" t="str">
        <f>VLOOKUP(Sales[[#This Row],[Customer ID]],Customer[#All],2,0)</f>
        <v>Sahil Patel</v>
      </c>
      <c r="E262" s="34" t="s">
        <v>391</v>
      </c>
      <c r="F262" s="34" t="str">
        <f>VLOOKUP(Sales[[#This Row],[Product ID]],Product[#All],2,0)</f>
        <v>Seagate HDD</v>
      </c>
      <c r="G262" s="53">
        <v>7</v>
      </c>
      <c r="H262" s="165">
        <f>VLOOKUP(Sales[[#This Row],[Product ID]],Product[#All],7,0)</f>
        <v>10370</v>
      </c>
      <c r="I262" s="165">
        <f>Sales[[#This Row],[Selling Rate]]*Sales[[#This Row],[Qty]]</f>
        <v>72590</v>
      </c>
      <c r="J262" s="45">
        <v>0.05</v>
      </c>
      <c r="K262" s="46">
        <f>Sales[[#This Row],[Gross Amount]]*Sales[[#This Row],[Disc %]]</f>
        <v>3629.5</v>
      </c>
      <c r="L262" s="43">
        <v>0.18</v>
      </c>
      <c r="M262" s="46">
        <f>(Sales[[#This Row],[Gross Amount]]-Sales[[#This Row],[Disc. Amt.]])*Sales[[#This Row],[GST %]]</f>
        <v>12412.89</v>
      </c>
      <c r="N262" s="161">
        <f>Sales[[#This Row],[Gross Amount]]-Sales[[#This Row],[Disc. Amt.]]+Sales[[#This Row],[GST Amount]]</f>
        <v>81373.39</v>
      </c>
      <c r="O262" s="34" t="s">
        <v>8876</v>
      </c>
      <c r="P262" s="34" t="s">
        <v>3562</v>
      </c>
      <c r="Q262" s="165">
        <f>IF(Sales[[#This Row],[Status]]="Cancelled",0,Sales[[#This Row],[Qty]])</f>
        <v>7</v>
      </c>
      <c r="R262" s="166">
        <f>IF(Sales[[#This Row],[Status]]="Cancelled",0,Sales[[#This Row],[Total Amount]])</f>
        <v>81373.39</v>
      </c>
      <c r="S262" s="162">
        <f>SUM(Sales[Net Amount])</f>
        <v>406839287.73200053</v>
      </c>
    </row>
    <row r="263" spans="1:19" ht="18.75" x14ac:dyDescent="0.25">
      <c r="A263" s="156" t="s">
        <v>3829</v>
      </c>
      <c r="B263" s="157">
        <v>45793</v>
      </c>
      <c r="C263" s="158" t="s">
        <v>656</v>
      </c>
      <c r="D263" s="159" t="str">
        <f>VLOOKUP(Sales[[#This Row],[Customer ID]],Customer[#All],2,0)</f>
        <v>Rahul Kumar</v>
      </c>
      <c r="E263" s="158" t="s">
        <v>448</v>
      </c>
      <c r="F263" s="158" t="str">
        <f>VLOOKUP(Sales[[#This Row],[Product ID]],Product[#All],2,0)</f>
        <v>Crucial Ssd</v>
      </c>
      <c r="G263" s="159">
        <v>7</v>
      </c>
      <c r="H263" s="160">
        <f>VLOOKUP(Sales[[#This Row],[Product ID]],Product[#All],7,0)</f>
        <v>7930</v>
      </c>
      <c r="I263" s="160">
        <f>Sales[[#This Row],[Selling Rate]]*Sales[[#This Row],[Qty]]</f>
        <v>55510</v>
      </c>
      <c r="J263" s="43">
        <v>0.05</v>
      </c>
      <c r="K263" s="44">
        <f>Sales[[#This Row],[Gross Amount]]*Sales[[#This Row],[Disc %]]</f>
        <v>2775.5</v>
      </c>
      <c r="L263" s="43">
        <v>0.18</v>
      </c>
      <c r="M263" s="44">
        <f>(Sales[[#This Row],[Gross Amount]]-Sales[[#This Row],[Disc. Amt.]])*Sales[[#This Row],[GST %]]</f>
        <v>9492.2099999999991</v>
      </c>
      <c r="N263" s="161">
        <f>Sales[[#This Row],[Gross Amount]]-Sales[[#This Row],[Disc. Amt.]]+Sales[[#This Row],[GST Amount]]</f>
        <v>62226.71</v>
      </c>
      <c r="O263" s="158" t="s">
        <v>8876</v>
      </c>
      <c r="P263" s="158" t="s">
        <v>3562</v>
      </c>
      <c r="Q263" s="160">
        <f>IF(Sales[[#This Row],[Status]]="Cancelled",0,Sales[[#This Row],[Qty]])</f>
        <v>7</v>
      </c>
      <c r="R263" s="161">
        <f>IF(Sales[[#This Row],[Status]]="Cancelled",0,Sales[[#This Row],[Total Amount]])</f>
        <v>62226.71</v>
      </c>
      <c r="S263" s="162">
        <f>SUM(Sales[Net Amount])</f>
        <v>406839287.73200053</v>
      </c>
    </row>
    <row r="264" spans="1:19" ht="18.75" x14ac:dyDescent="0.25">
      <c r="A264" s="163" t="s">
        <v>3830</v>
      </c>
      <c r="B264" s="164">
        <v>45793</v>
      </c>
      <c r="C264" s="34" t="s">
        <v>707</v>
      </c>
      <c r="D264" s="53" t="str">
        <f>VLOOKUP(Sales[[#This Row],[Customer ID]],Customer[#All],2,0)</f>
        <v>Rahul Verma</v>
      </c>
      <c r="E264" s="34" t="s">
        <v>76</v>
      </c>
      <c r="F264" s="34" t="str">
        <f>VLOOKUP(Sales[[#This Row],[Product ID]],Product[#All],2,0)</f>
        <v>Dell Keyboard</v>
      </c>
      <c r="G264" s="53">
        <v>2</v>
      </c>
      <c r="H264" s="165">
        <f>VLOOKUP(Sales[[#This Row],[Product ID]],Product[#All],7,0)</f>
        <v>1740</v>
      </c>
      <c r="I264" s="165">
        <f>Sales[[#This Row],[Selling Rate]]*Sales[[#This Row],[Qty]]</f>
        <v>3480</v>
      </c>
      <c r="J264" s="45">
        <v>0</v>
      </c>
      <c r="K264" s="46">
        <f>Sales[[#This Row],[Gross Amount]]*Sales[[#This Row],[Disc %]]</f>
        <v>0</v>
      </c>
      <c r="L264" s="43">
        <v>0.18</v>
      </c>
      <c r="M264" s="46">
        <f>(Sales[[#This Row],[Gross Amount]]-Sales[[#This Row],[Disc. Amt.]])*Sales[[#This Row],[GST %]]</f>
        <v>626.4</v>
      </c>
      <c r="N264" s="161">
        <f>Sales[[#This Row],[Gross Amount]]-Sales[[#This Row],[Disc. Amt.]]+Sales[[#This Row],[GST Amount]]</f>
        <v>4106.3999999999996</v>
      </c>
      <c r="O264" s="34" t="s">
        <v>3569</v>
      </c>
      <c r="P264" s="34" t="s">
        <v>3562</v>
      </c>
      <c r="Q264" s="165">
        <f>IF(Sales[[#This Row],[Status]]="Cancelled",0,Sales[[#This Row],[Qty]])</f>
        <v>2</v>
      </c>
      <c r="R264" s="166">
        <f>IF(Sales[[#This Row],[Status]]="Cancelled",0,Sales[[#This Row],[Total Amount]])</f>
        <v>4106.3999999999996</v>
      </c>
      <c r="S264" s="162">
        <f>SUM(Sales[Net Amount])</f>
        <v>406839287.73200053</v>
      </c>
    </row>
    <row r="265" spans="1:19" ht="18.75" x14ac:dyDescent="0.25">
      <c r="A265" s="156" t="s">
        <v>3831</v>
      </c>
      <c r="B265" s="157">
        <v>45793</v>
      </c>
      <c r="C265" s="158" t="s">
        <v>892</v>
      </c>
      <c r="D265" s="159" t="str">
        <f>VLOOKUP(Sales[[#This Row],[Customer ID]],Customer[#All],2,0)</f>
        <v>Sahil Verma</v>
      </c>
      <c r="E265" s="158" t="s">
        <v>95</v>
      </c>
      <c r="F265" s="158" t="str">
        <f>VLOOKUP(Sales[[#This Row],[Product ID]],Product[#All],2,0)</f>
        <v>TP-link Router</v>
      </c>
      <c r="G265" s="159">
        <v>3</v>
      </c>
      <c r="H265" s="160">
        <f>VLOOKUP(Sales[[#This Row],[Product ID]],Product[#All],7,0)</f>
        <v>7170</v>
      </c>
      <c r="I265" s="160">
        <f>Sales[[#This Row],[Selling Rate]]*Sales[[#This Row],[Qty]]</f>
        <v>21510</v>
      </c>
      <c r="J265" s="43">
        <v>0.02</v>
      </c>
      <c r="K265" s="44">
        <f>Sales[[#This Row],[Gross Amount]]*Sales[[#This Row],[Disc %]]</f>
        <v>430.2</v>
      </c>
      <c r="L265" s="43">
        <v>0.18</v>
      </c>
      <c r="M265" s="44">
        <f>(Sales[[#This Row],[Gross Amount]]-Sales[[#This Row],[Disc. Amt.]])*Sales[[#This Row],[GST %]]</f>
        <v>3794.3639999999996</v>
      </c>
      <c r="N265" s="161">
        <f>Sales[[#This Row],[Gross Amount]]-Sales[[#This Row],[Disc. Amt.]]+Sales[[#This Row],[GST Amount]]</f>
        <v>24874.163999999997</v>
      </c>
      <c r="O265" s="158" t="s">
        <v>8876</v>
      </c>
      <c r="P265" s="158" t="s">
        <v>3562</v>
      </c>
      <c r="Q265" s="160">
        <f>IF(Sales[[#This Row],[Status]]="Cancelled",0,Sales[[#This Row],[Qty]])</f>
        <v>3</v>
      </c>
      <c r="R265" s="161">
        <f>IF(Sales[[#This Row],[Status]]="Cancelled",0,Sales[[#This Row],[Total Amount]])</f>
        <v>24874.163999999997</v>
      </c>
      <c r="S265" s="162">
        <f>SUM(Sales[Net Amount])</f>
        <v>406839287.73200053</v>
      </c>
    </row>
    <row r="266" spans="1:19" ht="18.75" x14ac:dyDescent="0.25">
      <c r="A266" s="163" t="s">
        <v>3832</v>
      </c>
      <c r="B266" s="164">
        <v>45793</v>
      </c>
      <c r="C266" s="34" t="s">
        <v>914</v>
      </c>
      <c r="D266" s="53" t="str">
        <f>VLOOKUP(Sales[[#This Row],[Customer ID]],Customer[#All],2,0)</f>
        <v>Rakesh Patel</v>
      </c>
      <c r="E266" s="34" t="s">
        <v>489</v>
      </c>
      <c r="F266" s="34" t="str">
        <f>VLOOKUP(Sales[[#This Row],[Product ID]],Product[#All],2,0)</f>
        <v>Microtek UPS</v>
      </c>
      <c r="G266" s="53">
        <v>5</v>
      </c>
      <c r="H266" s="165">
        <f>VLOOKUP(Sales[[#This Row],[Product ID]],Product[#All],7,0)</f>
        <v>8040</v>
      </c>
      <c r="I266" s="165">
        <f>Sales[[#This Row],[Selling Rate]]*Sales[[#This Row],[Qty]]</f>
        <v>40200</v>
      </c>
      <c r="J266" s="45">
        <v>0.12</v>
      </c>
      <c r="K266" s="46">
        <f>Sales[[#This Row],[Gross Amount]]*Sales[[#This Row],[Disc %]]</f>
        <v>4824</v>
      </c>
      <c r="L266" s="43">
        <v>0.18</v>
      </c>
      <c r="M266" s="46">
        <f>(Sales[[#This Row],[Gross Amount]]-Sales[[#This Row],[Disc. Amt.]])*Sales[[#This Row],[GST %]]</f>
        <v>6367.6799999999994</v>
      </c>
      <c r="N266" s="161">
        <f>Sales[[#This Row],[Gross Amount]]-Sales[[#This Row],[Disc. Amt.]]+Sales[[#This Row],[GST Amount]]</f>
        <v>41743.68</v>
      </c>
      <c r="O266" s="34" t="s">
        <v>3566</v>
      </c>
      <c r="P266" s="34" t="s">
        <v>3562</v>
      </c>
      <c r="Q266" s="165">
        <f>IF(Sales[[#This Row],[Status]]="Cancelled",0,Sales[[#This Row],[Qty]])</f>
        <v>5</v>
      </c>
      <c r="R266" s="166">
        <f>IF(Sales[[#This Row],[Status]]="Cancelled",0,Sales[[#This Row],[Total Amount]])</f>
        <v>41743.68</v>
      </c>
      <c r="S266" s="162">
        <f>SUM(Sales[Net Amount])</f>
        <v>406839287.73200053</v>
      </c>
    </row>
    <row r="267" spans="1:19" ht="18.75" x14ac:dyDescent="0.25">
      <c r="A267" s="156" t="s">
        <v>3833</v>
      </c>
      <c r="B267" s="157">
        <v>45793</v>
      </c>
      <c r="C267" s="158" t="s">
        <v>690</v>
      </c>
      <c r="D267" s="159" t="str">
        <f>VLOOKUP(Sales[[#This Row],[Customer ID]],Customer[#All],2,0)</f>
        <v>Priya Patel</v>
      </c>
      <c r="E267" s="158" t="s">
        <v>535</v>
      </c>
      <c r="F267" s="158" t="str">
        <f>VLOOKUP(Sales[[#This Row],[Product ID]],Product[#All],2,0)</f>
        <v>Logitech Keyboard</v>
      </c>
      <c r="G267" s="159">
        <v>7</v>
      </c>
      <c r="H267" s="160">
        <f>VLOOKUP(Sales[[#This Row],[Product ID]],Product[#All],7,0)</f>
        <v>810</v>
      </c>
      <c r="I267" s="160">
        <f>Sales[[#This Row],[Selling Rate]]*Sales[[#This Row],[Qty]]</f>
        <v>5670</v>
      </c>
      <c r="J267" s="43">
        <v>0</v>
      </c>
      <c r="K267" s="44">
        <f>Sales[[#This Row],[Gross Amount]]*Sales[[#This Row],[Disc %]]</f>
        <v>0</v>
      </c>
      <c r="L267" s="43">
        <v>0.18</v>
      </c>
      <c r="M267" s="44">
        <f>(Sales[[#This Row],[Gross Amount]]-Sales[[#This Row],[Disc. Amt.]])*Sales[[#This Row],[GST %]]</f>
        <v>1020.5999999999999</v>
      </c>
      <c r="N267" s="161">
        <f>Sales[[#This Row],[Gross Amount]]-Sales[[#This Row],[Disc. Amt.]]+Sales[[#This Row],[GST Amount]]</f>
        <v>6690.6</v>
      </c>
      <c r="O267" s="158" t="s">
        <v>3566</v>
      </c>
      <c r="P267" s="158" t="s">
        <v>3562</v>
      </c>
      <c r="Q267" s="160">
        <f>IF(Sales[[#This Row],[Status]]="Cancelled",0,Sales[[#This Row],[Qty]])</f>
        <v>7</v>
      </c>
      <c r="R267" s="161">
        <f>IF(Sales[[#This Row],[Status]]="Cancelled",0,Sales[[#This Row],[Total Amount]])</f>
        <v>6690.6</v>
      </c>
      <c r="S267" s="162">
        <f>SUM(Sales[Net Amount])</f>
        <v>406839287.73200053</v>
      </c>
    </row>
    <row r="268" spans="1:19" ht="18.75" x14ac:dyDescent="0.25">
      <c r="A268" s="163" t="s">
        <v>3834</v>
      </c>
      <c r="B268" s="164">
        <v>45793</v>
      </c>
      <c r="C268" s="34" t="s">
        <v>768</v>
      </c>
      <c r="D268" s="53" t="str">
        <f>VLOOKUP(Sales[[#This Row],[Customer ID]],Customer[#All],2,0)</f>
        <v>Priya Kumar</v>
      </c>
      <c r="E268" s="34" t="s">
        <v>133</v>
      </c>
      <c r="F268" s="34" t="str">
        <f>VLOOKUP(Sales[[#This Row],[Product ID]],Product[#All],2,0)</f>
        <v>HP Laptop</v>
      </c>
      <c r="G268" s="53">
        <v>4</v>
      </c>
      <c r="H268" s="165">
        <f>VLOOKUP(Sales[[#This Row],[Product ID]],Product[#All],7,0)</f>
        <v>44790</v>
      </c>
      <c r="I268" s="165">
        <f>Sales[[#This Row],[Selling Rate]]*Sales[[#This Row],[Qty]]</f>
        <v>179160</v>
      </c>
      <c r="J268" s="45">
        <v>0.02</v>
      </c>
      <c r="K268" s="46">
        <f>Sales[[#This Row],[Gross Amount]]*Sales[[#This Row],[Disc %]]</f>
        <v>3583.2000000000003</v>
      </c>
      <c r="L268" s="43">
        <v>0.18</v>
      </c>
      <c r="M268" s="46">
        <f>(Sales[[#This Row],[Gross Amount]]-Sales[[#This Row],[Disc. Amt.]])*Sales[[#This Row],[GST %]]</f>
        <v>31603.823999999997</v>
      </c>
      <c r="N268" s="161">
        <f>Sales[[#This Row],[Gross Amount]]-Sales[[#This Row],[Disc. Amt.]]+Sales[[#This Row],[GST Amount]]</f>
        <v>207180.62399999998</v>
      </c>
      <c r="O268" s="34" t="s">
        <v>3569</v>
      </c>
      <c r="P268" s="34" t="s">
        <v>3562</v>
      </c>
      <c r="Q268" s="165">
        <f>IF(Sales[[#This Row],[Status]]="Cancelled",0,Sales[[#This Row],[Qty]])</f>
        <v>4</v>
      </c>
      <c r="R268" s="166">
        <f>IF(Sales[[#This Row],[Status]]="Cancelled",0,Sales[[#This Row],[Total Amount]])</f>
        <v>207180.62399999998</v>
      </c>
      <c r="S268" s="162">
        <f>SUM(Sales[Net Amount])</f>
        <v>406839287.73200053</v>
      </c>
    </row>
    <row r="269" spans="1:19" ht="18.75" x14ac:dyDescent="0.25">
      <c r="A269" s="156" t="s">
        <v>3835</v>
      </c>
      <c r="B269" s="157">
        <v>45793</v>
      </c>
      <c r="C269" s="158" t="s">
        <v>756</v>
      </c>
      <c r="D269" s="159" t="str">
        <f>VLOOKUP(Sales[[#This Row],[Customer ID]],Customer[#All],2,0)</f>
        <v>Amit Patel</v>
      </c>
      <c r="E269" s="158" t="s">
        <v>463</v>
      </c>
      <c r="F269" s="158" t="str">
        <f>VLOOKUP(Sales[[#This Row],[Product ID]],Product[#All],2,0)</f>
        <v>Apc UPS</v>
      </c>
      <c r="G269" s="159">
        <v>8</v>
      </c>
      <c r="H269" s="160">
        <f>VLOOKUP(Sales[[#This Row],[Product ID]],Product[#All],7,0)</f>
        <v>10050</v>
      </c>
      <c r="I269" s="160">
        <f>Sales[[#This Row],[Selling Rate]]*Sales[[#This Row],[Qty]]</f>
        <v>80400</v>
      </c>
      <c r="J269" s="43">
        <v>0</v>
      </c>
      <c r="K269" s="44">
        <f>Sales[[#This Row],[Gross Amount]]*Sales[[#This Row],[Disc %]]</f>
        <v>0</v>
      </c>
      <c r="L269" s="43">
        <v>0.18</v>
      </c>
      <c r="M269" s="44">
        <f>(Sales[[#This Row],[Gross Amount]]-Sales[[#This Row],[Disc. Amt.]])*Sales[[#This Row],[GST %]]</f>
        <v>14472</v>
      </c>
      <c r="N269" s="161">
        <f>Sales[[#This Row],[Gross Amount]]-Sales[[#This Row],[Disc. Amt.]]+Sales[[#This Row],[GST Amount]]</f>
        <v>94872</v>
      </c>
      <c r="O269" s="158" t="s">
        <v>3566</v>
      </c>
      <c r="P269" s="158" t="s">
        <v>3562</v>
      </c>
      <c r="Q269" s="160">
        <f>IF(Sales[[#This Row],[Status]]="Cancelled",0,Sales[[#This Row],[Qty]])</f>
        <v>8</v>
      </c>
      <c r="R269" s="161">
        <f>IF(Sales[[#This Row],[Status]]="Cancelled",0,Sales[[#This Row],[Total Amount]])</f>
        <v>94872</v>
      </c>
      <c r="S269" s="162">
        <f>SUM(Sales[Net Amount])</f>
        <v>406839287.73200053</v>
      </c>
    </row>
    <row r="270" spans="1:19" ht="18.75" x14ac:dyDescent="0.25">
      <c r="A270" s="163" t="s">
        <v>3836</v>
      </c>
      <c r="B270" s="164">
        <v>45793</v>
      </c>
      <c r="C270" s="34" t="s">
        <v>870</v>
      </c>
      <c r="D270" s="53" t="str">
        <f>VLOOKUP(Sales[[#This Row],[Customer ID]],Customer[#All],2,0)</f>
        <v>Vikas Singh</v>
      </c>
      <c r="E270" s="34" t="s">
        <v>272</v>
      </c>
      <c r="F270" s="34" t="str">
        <f>VLOOKUP(Sales[[#This Row],[Product ID]],Product[#All],2,0)</f>
        <v>Jbl Speaker</v>
      </c>
      <c r="G270" s="53">
        <v>8</v>
      </c>
      <c r="H270" s="165">
        <f>VLOOKUP(Sales[[#This Row],[Product ID]],Product[#All],7,0)</f>
        <v>10960</v>
      </c>
      <c r="I270" s="165">
        <f>Sales[[#This Row],[Selling Rate]]*Sales[[#This Row],[Qty]]</f>
        <v>87680</v>
      </c>
      <c r="J270" s="45">
        <v>0.05</v>
      </c>
      <c r="K270" s="46">
        <f>Sales[[#This Row],[Gross Amount]]*Sales[[#This Row],[Disc %]]</f>
        <v>4384</v>
      </c>
      <c r="L270" s="43">
        <v>0.18</v>
      </c>
      <c r="M270" s="46">
        <f>(Sales[[#This Row],[Gross Amount]]-Sales[[#This Row],[Disc. Amt.]])*Sales[[#This Row],[GST %]]</f>
        <v>14993.279999999999</v>
      </c>
      <c r="N270" s="161">
        <f>Sales[[#This Row],[Gross Amount]]-Sales[[#This Row],[Disc. Amt.]]+Sales[[#This Row],[GST Amount]]</f>
        <v>98289.279999999999</v>
      </c>
      <c r="O270" s="34" t="s">
        <v>3569</v>
      </c>
      <c r="P270" s="34" t="s">
        <v>3562</v>
      </c>
      <c r="Q270" s="165">
        <f>IF(Sales[[#This Row],[Status]]="Cancelled",0,Sales[[#This Row],[Qty]])</f>
        <v>8</v>
      </c>
      <c r="R270" s="166">
        <f>IF(Sales[[#This Row],[Status]]="Cancelled",0,Sales[[#This Row],[Total Amount]])</f>
        <v>98289.279999999999</v>
      </c>
      <c r="S270" s="162">
        <f>SUM(Sales[Net Amount])</f>
        <v>406839287.73200053</v>
      </c>
    </row>
    <row r="271" spans="1:19" ht="18.75" x14ac:dyDescent="0.25">
      <c r="A271" s="156" t="s">
        <v>3837</v>
      </c>
      <c r="B271" s="157">
        <v>45793</v>
      </c>
      <c r="C271" s="158" t="s">
        <v>804</v>
      </c>
      <c r="D271" s="159" t="str">
        <f>VLOOKUP(Sales[[#This Row],[Customer ID]],Customer[#All],2,0)</f>
        <v>Amit Gupta</v>
      </c>
      <c r="E271" s="158" t="s">
        <v>296</v>
      </c>
      <c r="F271" s="158" t="str">
        <f>VLOOKUP(Sales[[#This Row],[Product ID]],Product[#All],2,0)</f>
        <v>Logitech Webcam</v>
      </c>
      <c r="G271" s="159">
        <v>1</v>
      </c>
      <c r="H271" s="160">
        <f>VLOOKUP(Sales[[#This Row],[Product ID]],Product[#All],7,0)</f>
        <v>6060</v>
      </c>
      <c r="I271" s="160">
        <f>Sales[[#This Row],[Selling Rate]]*Sales[[#This Row],[Qty]]</f>
        <v>6060</v>
      </c>
      <c r="J271" s="43">
        <v>0</v>
      </c>
      <c r="K271" s="44">
        <f>Sales[[#This Row],[Gross Amount]]*Sales[[#This Row],[Disc %]]</f>
        <v>0</v>
      </c>
      <c r="L271" s="43">
        <v>0.18</v>
      </c>
      <c r="M271" s="44">
        <f>(Sales[[#This Row],[Gross Amount]]-Sales[[#This Row],[Disc. Amt.]])*Sales[[#This Row],[GST %]]</f>
        <v>1090.8</v>
      </c>
      <c r="N271" s="161">
        <f>Sales[[#This Row],[Gross Amount]]-Sales[[#This Row],[Disc. Amt.]]+Sales[[#This Row],[GST Amount]]</f>
        <v>7150.8</v>
      </c>
      <c r="O271" s="158" t="s">
        <v>3569</v>
      </c>
      <c r="P271" s="158" t="s">
        <v>3562</v>
      </c>
      <c r="Q271" s="160">
        <f>IF(Sales[[#This Row],[Status]]="Cancelled",0,Sales[[#This Row],[Qty]])</f>
        <v>1</v>
      </c>
      <c r="R271" s="161">
        <f>IF(Sales[[#This Row],[Status]]="Cancelled",0,Sales[[#This Row],[Total Amount]])</f>
        <v>7150.8</v>
      </c>
      <c r="S271" s="162">
        <f>SUM(Sales[Net Amount])</f>
        <v>406839287.73200053</v>
      </c>
    </row>
    <row r="272" spans="1:19" ht="18.75" x14ac:dyDescent="0.25">
      <c r="A272" s="163" t="s">
        <v>3838</v>
      </c>
      <c r="B272" s="164">
        <v>45793</v>
      </c>
      <c r="C272" s="34" t="s">
        <v>729</v>
      </c>
      <c r="D272" s="53" t="str">
        <f>VLOOKUP(Sales[[#This Row],[Customer ID]],Customer[#All],2,0)</f>
        <v>Ankit Kumar</v>
      </c>
      <c r="E272" s="34" t="s">
        <v>36</v>
      </c>
      <c r="F272" s="34" t="str">
        <f>VLOOKUP(Sales[[#This Row],[Product ID]],Product[#All],2,0)</f>
        <v>TP-link Wi-Fi Adapter</v>
      </c>
      <c r="G272" s="53">
        <v>3</v>
      </c>
      <c r="H272" s="165">
        <f>VLOOKUP(Sales[[#This Row],[Product ID]],Product[#All],7,0)</f>
        <v>2790</v>
      </c>
      <c r="I272" s="165">
        <f>Sales[[#This Row],[Selling Rate]]*Sales[[#This Row],[Qty]]</f>
        <v>8370</v>
      </c>
      <c r="J272" s="45">
        <v>0.05</v>
      </c>
      <c r="K272" s="46">
        <f>Sales[[#This Row],[Gross Amount]]*Sales[[#This Row],[Disc %]]</f>
        <v>418.5</v>
      </c>
      <c r="L272" s="43">
        <v>0.18</v>
      </c>
      <c r="M272" s="46">
        <f>(Sales[[#This Row],[Gross Amount]]-Sales[[#This Row],[Disc. Amt.]])*Sales[[#This Row],[GST %]]</f>
        <v>1431.27</v>
      </c>
      <c r="N272" s="161">
        <f>Sales[[#This Row],[Gross Amount]]-Sales[[#This Row],[Disc. Amt.]]+Sales[[#This Row],[GST Amount]]</f>
        <v>9382.77</v>
      </c>
      <c r="O272" s="34" t="s">
        <v>3569</v>
      </c>
      <c r="P272" s="34" t="s">
        <v>3562</v>
      </c>
      <c r="Q272" s="165">
        <f>IF(Sales[[#This Row],[Status]]="Cancelled",0,Sales[[#This Row],[Qty]])</f>
        <v>3</v>
      </c>
      <c r="R272" s="166">
        <f>IF(Sales[[#This Row],[Status]]="Cancelled",0,Sales[[#This Row],[Total Amount]])</f>
        <v>9382.77</v>
      </c>
      <c r="S272" s="162">
        <f>SUM(Sales[Net Amount])</f>
        <v>406839287.73200053</v>
      </c>
    </row>
    <row r="273" spans="1:19" ht="18.75" x14ac:dyDescent="0.25">
      <c r="A273" s="156" t="s">
        <v>3839</v>
      </c>
      <c r="B273" s="157">
        <v>45793</v>
      </c>
      <c r="C273" s="158" t="s">
        <v>818</v>
      </c>
      <c r="D273" s="159" t="str">
        <f>VLOOKUP(Sales[[#This Row],[Customer ID]],Customer[#All],2,0)</f>
        <v>Rahul Sharma</v>
      </c>
      <c r="E273" s="158" t="s">
        <v>502</v>
      </c>
      <c r="F273" s="158" t="str">
        <f>VLOOKUP(Sales[[#This Row],[Product ID]],Product[#All],2,0)</f>
        <v>HP Printer</v>
      </c>
      <c r="G273" s="159">
        <v>8</v>
      </c>
      <c r="H273" s="160">
        <f>VLOOKUP(Sales[[#This Row],[Product ID]],Product[#All],7,0)</f>
        <v>32100</v>
      </c>
      <c r="I273" s="160">
        <f>Sales[[#This Row],[Selling Rate]]*Sales[[#This Row],[Qty]]</f>
        <v>256800</v>
      </c>
      <c r="J273" s="43">
        <v>0</v>
      </c>
      <c r="K273" s="44">
        <f>Sales[[#This Row],[Gross Amount]]*Sales[[#This Row],[Disc %]]</f>
        <v>0</v>
      </c>
      <c r="L273" s="43">
        <v>0.18</v>
      </c>
      <c r="M273" s="44">
        <f>(Sales[[#This Row],[Gross Amount]]-Sales[[#This Row],[Disc. Amt.]])*Sales[[#This Row],[GST %]]</f>
        <v>46224</v>
      </c>
      <c r="N273" s="161">
        <f>Sales[[#This Row],[Gross Amount]]-Sales[[#This Row],[Disc. Amt.]]+Sales[[#This Row],[GST Amount]]</f>
        <v>303024</v>
      </c>
      <c r="O273" s="158" t="s">
        <v>3566</v>
      </c>
      <c r="P273" s="158" t="s">
        <v>3562</v>
      </c>
      <c r="Q273" s="160">
        <f>IF(Sales[[#This Row],[Status]]="Cancelled",0,Sales[[#This Row],[Qty]])</f>
        <v>8</v>
      </c>
      <c r="R273" s="161">
        <f>IF(Sales[[#This Row],[Status]]="Cancelled",0,Sales[[#This Row],[Total Amount]])</f>
        <v>303024</v>
      </c>
      <c r="S273" s="162">
        <f>SUM(Sales[Net Amount])</f>
        <v>406839287.73200053</v>
      </c>
    </row>
    <row r="274" spans="1:19" ht="18.75" x14ac:dyDescent="0.25">
      <c r="A274" s="163" t="s">
        <v>3840</v>
      </c>
      <c r="B274" s="164">
        <v>45793</v>
      </c>
      <c r="C274" s="34" t="s">
        <v>774</v>
      </c>
      <c r="D274" s="53" t="str">
        <f>VLOOKUP(Sales[[#This Row],[Customer ID]],Customer[#All],2,0)</f>
        <v>Vikas Patel</v>
      </c>
      <c r="E274" s="34" t="s">
        <v>295</v>
      </c>
      <c r="F274" s="34" t="str">
        <f>VLOOKUP(Sales[[#This Row],[Product ID]],Product[#All],2,0)</f>
        <v>Samsung Monitor</v>
      </c>
      <c r="G274" s="53">
        <v>3</v>
      </c>
      <c r="H274" s="165">
        <f>VLOOKUP(Sales[[#This Row],[Product ID]],Product[#All],7,0)</f>
        <v>7630</v>
      </c>
      <c r="I274" s="165">
        <f>Sales[[#This Row],[Selling Rate]]*Sales[[#This Row],[Qty]]</f>
        <v>22890</v>
      </c>
      <c r="J274" s="45">
        <v>0</v>
      </c>
      <c r="K274" s="46">
        <f>Sales[[#This Row],[Gross Amount]]*Sales[[#This Row],[Disc %]]</f>
        <v>0</v>
      </c>
      <c r="L274" s="43">
        <v>0.18</v>
      </c>
      <c r="M274" s="46">
        <f>(Sales[[#This Row],[Gross Amount]]-Sales[[#This Row],[Disc. Amt.]])*Sales[[#This Row],[GST %]]</f>
        <v>4120.2</v>
      </c>
      <c r="N274" s="161">
        <f>Sales[[#This Row],[Gross Amount]]-Sales[[#This Row],[Disc. Amt.]]+Sales[[#This Row],[GST Amount]]</f>
        <v>27010.2</v>
      </c>
      <c r="O274" s="34" t="s">
        <v>3566</v>
      </c>
      <c r="P274" s="34" t="s">
        <v>3562</v>
      </c>
      <c r="Q274" s="165">
        <f>IF(Sales[[#This Row],[Status]]="Cancelled",0,Sales[[#This Row],[Qty]])</f>
        <v>3</v>
      </c>
      <c r="R274" s="166">
        <f>IF(Sales[[#This Row],[Status]]="Cancelled",0,Sales[[#This Row],[Total Amount]])</f>
        <v>27010.2</v>
      </c>
      <c r="S274" s="162">
        <f>SUM(Sales[Net Amount])</f>
        <v>406839287.73200053</v>
      </c>
    </row>
    <row r="275" spans="1:19" ht="18.75" x14ac:dyDescent="0.25">
      <c r="A275" s="156" t="s">
        <v>3841</v>
      </c>
      <c r="B275" s="157">
        <v>45793</v>
      </c>
      <c r="C275" s="158" t="s">
        <v>655</v>
      </c>
      <c r="D275" s="159" t="str">
        <f>VLOOKUP(Sales[[#This Row],[Customer ID]],Customer[#All],2,0)</f>
        <v>Pooja Singh</v>
      </c>
      <c r="E275" s="158" t="s">
        <v>221</v>
      </c>
      <c r="F275" s="158" t="str">
        <f>VLOOKUP(Sales[[#This Row],[Product ID]],Product[#All],2,0)</f>
        <v>TP-link Wi-Fi Adapter</v>
      </c>
      <c r="G275" s="159">
        <v>7</v>
      </c>
      <c r="H275" s="160">
        <f>VLOOKUP(Sales[[#This Row],[Product ID]],Product[#All],7,0)</f>
        <v>2920</v>
      </c>
      <c r="I275" s="160">
        <f>Sales[[#This Row],[Selling Rate]]*Sales[[#This Row],[Qty]]</f>
        <v>20440</v>
      </c>
      <c r="J275" s="43">
        <v>0.05</v>
      </c>
      <c r="K275" s="44">
        <f>Sales[[#This Row],[Gross Amount]]*Sales[[#This Row],[Disc %]]</f>
        <v>1022</v>
      </c>
      <c r="L275" s="43">
        <v>0.18</v>
      </c>
      <c r="M275" s="44">
        <f>(Sales[[#This Row],[Gross Amount]]-Sales[[#This Row],[Disc. Amt.]])*Sales[[#This Row],[GST %]]</f>
        <v>3495.24</v>
      </c>
      <c r="N275" s="161">
        <f>Sales[[#This Row],[Gross Amount]]-Sales[[#This Row],[Disc. Amt.]]+Sales[[#This Row],[GST Amount]]</f>
        <v>22913.239999999998</v>
      </c>
      <c r="O275" s="158" t="s">
        <v>3566</v>
      </c>
      <c r="P275" s="158" t="s">
        <v>3562</v>
      </c>
      <c r="Q275" s="160">
        <f>IF(Sales[[#This Row],[Status]]="Cancelled",0,Sales[[#This Row],[Qty]])</f>
        <v>7</v>
      </c>
      <c r="R275" s="161">
        <f>IF(Sales[[#This Row],[Status]]="Cancelled",0,Sales[[#This Row],[Total Amount]])</f>
        <v>22913.239999999998</v>
      </c>
      <c r="S275" s="162">
        <f>SUM(Sales[Net Amount])</f>
        <v>406839287.73200053</v>
      </c>
    </row>
    <row r="276" spans="1:19" ht="18.75" x14ac:dyDescent="0.25">
      <c r="A276" s="163" t="s">
        <v>3842</v>
      </c>
      <c r="B276" s="164">
        <v>45793</v>
      </c>
      <c r="C276" s="34" t="s">
        <v>760</v>
      </c>
      <c r="D276" s="53" t="str">
        <f>VLOOKUP(Sales[[#This Row],[Customer ID]],Customer[#All],2,0)</f>
        <v>Pooja Singh</v>
      </c>
      <c r="E276" s="34" t="s">
        <v>389</v>
      </c>
      <c r="F276" s="34" t="str">
        <f>VLOOKUP(Sales[[#This Row],[Product ID]],Product[#All],2,0)</f>
        <v>WD HDD</v>
      </c>
      <c r="G276" s="53">
        <v>8</v>
      </c>
      <c r="H276" s="165">
        <f>VLOOKUP(Sales[[#This Row],[Product ID]],Product[#All],7,0)</f>
        <v>10530</v>
      </c>
      <c r="I276" s="165">
        <f>Sales[[#This Row],[Selling Rate]]*Sales[[#This Row],[Qty]]</f>
        <v>84240</v>
      </c>
      <c r="J276" s="45">
        <v>0.05</v>
      </c>
      <c r="K276" s="46">
        <f>Sales[[#This Row],[Gross Amount]]*Sales[[#This Row],[Disc %]]</f>
        <v>4212</v>
      </c>
      <c r="L276" s="43">
        <v>0.18</v>
      </c>
      <c r="M276" s="46">
        <f>(Sales[[#This Row],[Gross Amount]]-Sales[[#This Row],[Disc. Amt.]])*Sales[[#This Row],[GST %]]</f>
        <v>14405.039999999999</v>
      </c>
      <c r="N276" s="161">
        <f>Sales[[#This Row],[Gross Amount]]-Sales[[#This Row],[Disc. Amt.]]+Sales[[#This Row],[GST Amount]]</f>
        <v>94433.04</v>
      </c>
      <c r="O276" s="34" t="s">
        <v>8876</v>
      </c>
      <c r="P276" s="34" t="s">
        <v>3562</v>
      </c>
      <c r="Q276" s="165">
        <f>IF(Sales[[#This Row],[Status]]="Cancelled",0,Sales[[#This Row],[Qty]])</f>
        <v>8</v>
      </c>
      <c r="R276" s="166">
        <f>IF(Sales[[#This Row],[Status]]="Cancelled",0,Sales[[#This Row],[Total Amount]])</f>
        <v>94433.04</v>
      </c>
      <c r="S276" s="162">
        <f>SUM(Sales[Net Amount])</f>
        <v>406839287.73200053</v>
      </c>
    </row>
    <row r="277" spans="1:19" ht="18.75" x14ac:dyDescent="0.25">
      <c r="A277" s="156" t="s">
        <v>3843</v>
      </c>
      <c r="B277" s="157">
        <v>45794</v>
      </c>
      <c r="C277" s="158" t="s">
        <v>726</v>
      </c>
      <c r="D277" s="159" t="str">
        <f>VLOOKUP(Sales[[#This Row],[Customer ID]],Customer[#All],2,0)</f>
        <v>Priya Singh</v>
      </c>
      <c r="E277" s="158" t="s">
        <v>130</v>
      </c>
      <c r="F277" s="158" t="str">
        <f>VLOOKUP(Sales[[#This Row],[Product ID]],Product[#All],2,0)</f>
        <v>Lenovo Laptop</v>
      </c>
      <c r="G277" s="159">
        <v>7</v>
      </c>
      <c r="H277" s="160">
        <f>VLOOKUP(Sales[[#This Row],[Product ID]],Product[#All],7,0)</f>
        <v>39230</v>
      </c>
      <c r="I277" s="160">
        <f>Sales[[#This Row],[Selling Rate]]*Sales[[#This Row],[Qty]]</f>
        <v>274610</v>
      </c>
      <c r="J277" s="43">
        <v>0.1</v>
      </c>
      <c r="K277" s="44">
        <f>Sales[[#This Row],[Gross Amount]]*Sales[[#This Row],[Disc %]]</f>
        <v>27461</v>
      </c>
      <c r="L277" s="43">
        <v>0.18</v>
      </c>
      <c r="M277" s="44">
        <f>(Sales[[#This Row],[Gross Amount]]-Sales[[#This Row],[Disc. Amt.]])*Sales[[#This Row],[GST %]]</f>
        <v>44486.82</v>
      </c>
      <c r="N277" s="161">
        <f>Sales[[#This Row],[Gross Amount]]-Sales[[#This Row],[Disc. Amt.]]+Sales[[#This Row],[GST Amount]]</f>
        <v>291635.82</v>
      </c>
      <c r="O277" s="158" t="s">
        <v>8876</v>
      </c>
      <c r="P277" s="158" t="s">
        <v>3562</v>
      </c>
      <c r="Q277" s="160">
        <f>IF(Sales[[#This Row],[Status]]="Cancelled",0,Sales[[#This Row],[Qty]])</f>
        <v>7</v>
      </c>
      <c r="R277" s="161">
        <f>IF(Sales[[#This Row],[Status]]="Cancelled",0,Sales[[#This Row],[Total Amount]])</f>
        <v>291635.82</v>
      </c>
      <c r="S277" s="162">
        <f>SUM(Sales[Net Amount])</f>
        <v>406839287.73200053</v>
      </c>
    </row>
    <row r="278" spans="1:19" ht="18.75" x14ac:dyDescent="0.25">
      <c r="A278" s="163" t="s">
        <v>3844</v>
      </c>
      <c r="B278" s="164">
        <v>45794</v>
      </c>
      <c r="C278" s="34" t="s">
        <v>686</v>
      </c>
      <c r="D278" s="53" t="str">
        <f>VLOOKUP(Sales[[#This Row],[Customer ID]],Customer[#All],2,0)</f>
        <v>Priya Gupta</v>
      </c>
      <c r="E278" s="34" t="s">
        <v>244</v>
      </c>
      <c r="F278" s="34" t="str">
        <f>VLOOKUP(Sales[[#This Row],[Product ID]],Product[#All],2,0)</f>
        <v>TP-link Router</v>
      </c>
      <c r="G278" s="53">
        <v>7</v>
      </c>
      <c r="H278" s="165">
        <f>VLOOKUP(Sales[[#This Row],[Product ID]],Product[#All],7,0)</f>
        <v>4220</v>
      </c>
      <c r="I278" s="165">
        <f>Sales[[#This Row],[Selling Rate]]*Sales[[#This Row],[Qty]]</f>
        <v>29540</v>
      </c>
      <c r="J278" s="45">
        <v>0</v>
      </c>
      <c r="K278" s="46">
        <f>Sales[[#This Row],[Gross Amount]]*Sales[[#This Row],[Disc %]]</f>
        <v>0</v>
      </c>
      <c r="L278" s="43">
        <v>0.18</v>
      </c>
      <c r="M278" s="46">
        <f>(Sales[[#This Row],[Gross Amount]]-Sales[[#This Row],[Disc. Amt.]])*Sales[[#This Row],[GST %]]</f>
        <v>5317.2</v>
      </c>
      <c r="N278" s="161">
        <f>Sales[[#This Row],[Gross Amount]]-Sales[[#This Row],[Disc. Amt.]]+Sales[[#This Row],[GST Amount]]</f>
        <v>34857.199999999997</v>
      </c>
      <c r="O278" s="34" t="s">
        <v>3561</v>
      </c>
      <c r="P278" s="34" t="s">
        <v>3562</v>
      </c>
      <c r="Q278" s="165">
        <f>IF(Sales[[#This Row],[Status]]="Cancelled",0,Sales[[#This Row],[Qty]])</f>
        <v>7</v>
      </c>
      <c r="R278" s="166">
        <f>IF(Sales[[#This Row],[Status]]="Cancelled",0,Sales[[#This Row],[Total Amount]])</f>
        <v>34857.199999999997</v>
      </c>
      <c r="S278" s="162">
        <f>SUM(Sales[Net Amount])</f>
        <v>406839287.73200053</v>
      </c>
    </row>
    <row r="279" spans="1:19" ht="18.75" x14ac:dyDescent="0.25">
      <c r="A279" s="156" t="s">
        <v>3845</v>
      </c>
      <c r="B279" s="157">
        <v>45794</v>
      </c>
      <c r="C279" s="158" t="s">
        <v>734</v>
      </c>
      <c r="D279" s="159" t="str">
        <f>VLOOKUP(Sales[[#This Row],[Customer ID]],Customer[#All],2,0)</f>
        <v>Ankit Sharma</v>
      </c>
      <c r="E279" s="158" t="s">
        <v>295</v>
      </c>
      <c r="F279" s="158" t="str">
        <f>VLOOKUP(Sales[[#This Row],[Product ID]],Product[#All],2,0)</f>
        <v>Samsung Monitor</v>
      </c>
      <c r="G279" s="159">
        <v>7</v>
      </c>
      <c r="H279" s="160">
        <f>VLOOKUP(Sales[[#This Row],[Product ID]],Product[#All],7,0)</f>
        <v>7630</v>
      </c>
      <c r="I279" s="160">
        <f>Sales[[#This Row],[Selling Rate]]*Sales[[#This Row],[Qty]]</f>
        <v>53410</v>
      </c>
      <c r="J279" s="43">
        <v>0.05</v>
      </c>
      <c r="K279" s="44">
        <f>Sales[[#This Row],[Gross Amount]]*Sales[[#This Row],[Disc %]]</f>
        <v>2670.5</v>
      </c>
      <c r="L279" s="43">
        <v>0.18</v>
      </c>
      <c r="M279" s="44">
        <f>(Sales[[#This Row],[Gross Amount]]-Sales[[#This Row],[Disc. Amt.]])*Sales[[#This Row],[GST %]]</f>
        <v>9133.1099999999988</v>
      </c>
      <c r="N279" s="161">
        <f>Sales[[#This Row],[Gross Amount]]-Sales[[#This Row],[Disc. Amt.]]+Sales[[#This Row],[GST Amount]]</f>
        <v>59872.61</v>
      </c>
      <c r="O279" s="158" t="s">
        <v>3561</v>
      </c>
      <c r="P279" s="158" t="s">
        <v>3562</v>
      </c>
      <c r="Q279" s="160">
        <f>IF(Sales[[#This Row],[Status]]="Cancelled",0,Sales[[#This Row],[Qty]])</f>
        <v>7</v>
      </c>
      <c r="R279" s="161">
        <f>IF(Sales[[#This Row],[Status]]="Cancelled",0,Sales[[#This Row],[Total Amount]])</f>
        <v>59872.61</v>
      </c>
      <c r="S279" s="162">
        <f>SUM(Sales[Net Amount])</f>
        <v>406839287.73200053</v>
      </c>
    </row>
    <row r="280" spans="1:19" ht="18.75" x14ac:dyDescent="0.25">
      <c r="A280" s="163" t="s">
        <v>3846</v>
      </c>
      <c r="B280" s="164">
        <v>45794</v>
      </c>
      <c r="C280" s="34" t="s">
        <v>818</v>
      </c>
      <c r="D280" s="53" t="str">
        <f>VLOOKUP(Sales[[#This Row],[Customer ID]],Customer[#All],2,0)</f>
        <v>Rahul Sharma</v>
      </c>
      <c r="E280" s="34" t="s">
        <v>495</v>
      </c>
      <c r="F280" s="34" t="str">
        <f>VLOOKUP(Sales[[#This Row],[Product ID]],Product[#All],2,0)</f>
        <v>Dell Laptop</v>
      </c>
      <c r="G280" s="53">
        <v>5</v>
      </c>
      <c r="H280" s="165">
        <f>VLOOKUP(Sales[[#This Row],[Product ID]],Product[#All],7,0)</f>
        <v>63410</v>
      </c>
      <c r="I280" s="165">
        <f>Sales[[#This Row],[Selling Rate]]*Sales[[#This Row],[Qty]]</f>
        <v>317050</v>
      </c>
      <c r="J280" s="45">
        <v>0.12</v>
      </c>
      <c r="K280" s="46">
        <f>Sales[[#This Row],[Gross Amount]]*Sales[[#This Row],[Disc %]]</f>
        <v>38046</v>
      </c>
      <c r="L280" s="43">
        <v>0.18</v>
      </c>
      <c r="M280" s="46">
        <f>(Sales[[#This Row],[Gross Amount]]-Sales[[#This Row],[Disc. Amt.]])*Sales[[#This Row],[GST %]]</f>
        <v>50220.72</v>
      </c>
      <c r="N280" s="161">
        <f>Sales[[#This Row],[Gross Amount]]-Sales[[#This Row],[Disc. Amt.]]+Sales[[#This Row],[GST Amount]]</f>
        <v>329224.71999999997</v>
      </c>
      <c r="O280" s="34" t="s">
        <v>3566</v>
      </c>
      <c r="P280" s="34" t="s">
        <v>3562</v>
      </c>
      <c r="Q280" s="165">
        <f>IF(Sales[[#This Row],[Status]]="Cancelled",0,Sales[[#This Row],[Qty]])</f>
        <v>5</v>
      </c>
      <c r="R280" s="166">
        <f>IF(Sales[[#This Row],[Status]]="Cancelled",0,Sales[[#This Row],[Total Amount]])</f>
        <v>329224.71999999997</v>
      </c>
      <c r="S280" s="162">
        <f>SUM(Sales[Net Amount])</f>
        <v>406839287.73200053</v>
      </c>
    </row>
    <row r="281" spans="1:19" ht="18.75" x14ac:dyDescent="0.25">
      <c r="A281" s="156" t="s">
        <v>3847</v>
      </c>
      <c r="B281" s="157">
        <v>45794</v>
      </c>
      <c r="C281" s="158" t="s">
        <v>679</v>
      </c>
      <c r="D281" s="159" t="str">
        <f>VLOOKUP(Sales[[#This Row],[Customer ID]],Customer[#All],2,0)</f>
        <v>Rahul Singh</v>
      </c>
      <c r="E281" s="158" t="s">
        <v>168</v>
      </c>
      <c r="F281" s="158" t="str">
        <f>VLOOKUP(Sales[[#This Row],[Product ID]],Product[#All],2,0)</f>
        <v>TP-link Wi-Fi Adapter</v>
      </c>
      <c r="G281" s="159">
        <v>1</v>
      </c>
      <c r="H281" s="160">
        <f>VLOOKUP(Sales[[#This Row],[Product ID]],Product[#All],7,0)</f>
        <v>1460</v>
      </c>
      <c r="I281" s="160">
        <f>Sales[[#This Row],[Selling Rate]]*Sales[[#This Row],[Qty]]</f>
        <v>1460</v>
      </c>
      <c r="J281" s="43">
        <v>0.02</v>
      </c>
      <c r="K281" s="44">
        <f>Sales[[#This Row],[Gross Amount]]*Sales[[#This Row],[Disc %]]</f>
        <v>29.2</v>
      </c>
      <c r="L281" s="43">
        <v>0.18</v>
      </c>
      <c r="M281" s="44">
        <f>(Sales[[#This Row],[Gross Amount]]-Sales[[#This Row],[Disc. Amt.]])*Sales[[#This Row],[GST %]]</f>
        <v>257.54399999999998</v>
      </c>
      <c r="N281" s="161">
        <f>Sales[[#This Row],[Gross Amount]]-Sales[[#This Row],[Disc. Amt.]]+Sales[[#This Row],[GST Amount]]</f>
        <v>1688.3440000000001</v>
      </c>
      <c r="O281" s="158" t="s">
        <v>3561</v>
      </c>
      <c r="P281" s="158" t="s">
        <v>3562</v>
      </c>
      <c r="Q281" s="160">
        <f>IF(Sales[[#This Row],[Status]]="Cancelled",0,Sales[[#This Row],[Qty]])</f>
        <v>1</v>
      </c>
      <c r="R281" s="161">
        <f>IF(Sales[[#This Row],[Status]]="Cancelled",0,Sales[[#This Row],[Total Amount]])</f>
        <v>1688.3440000000001</v>
      </c>
      <c r="S281" s="162">
        <f>SUM(Sales[Net Amount])</f>
        <v>406839287.73200053</v>
      </c>
    </row>
    <row r="282" spans="1:19" ht="18.75" x14ac:dyDescent="0.25">
      <c r="A282" s="163" t="s">
        <v>3848</v>
      </c>
      <c r="B282" s="164">
        <v>45794</v>
      </c>
      <c r="C282" s="34" t="s">
        <v>730</v>
      </c>
      <c r="D282" s="53" t="str">
        <f>VLOOKUP(Sales[[#This Row],[Customer ID]],Customer[#All],2,0)</f>
        <v>Neha Verma</v>
      </c>
      <c r="E282" s="34" t="s">
        <v>141</v>
      </c>
      <c r="F282" s="34" t="str">
        <f>VLOOKUP(Sales[[#This Row],[Product ID]],Product[#All],2,0)</f>
        <v>WD HDD</v>
      </c>
      <c r="G282" s="53">
        <v>5</v>
      </c>
      <c r="H282" s="165">
        <f>VLOOKUP(Sales[[#This Row],[Product ID]],Product[#All],7,0)</f>
        <v>15230</v>
      </c>
      <c r="I282" s="165">
        <f>Sales[[#This Row],[Selling Rate]]*Sales[[#This Row],[Qty]]</f>
        <v>76150</v>
      </c>
      <c r="J282" s="45">
        <v>0.05</v>
      </c>
      <c r="K282" s="46">
        <f>Sales[[#This Row],[Gross Amount]]*Sales[[#This Row],[Disc %]]</f>
        <v>3807.5</v>
      </c>
      <c r="L282" s="43">
        <v>0.18</v>
      </c>
      <c r="M282" s="46">
        <f>(Sales[[#This Row],[Gross Amount]]-Sales[[#This Row],[Disc. Amt.]])*Sales[[#This Row],[GST %]]</f>
        <v>13021.65</v>
      </c>
      <c r="N282" s="161">
        <f>Sales[[#This Row],[Gross Amount]]-Sales[[#This Row],[Disc. Amt.]]+Sales[[#This Row],[GST Amount]]</f>
        <v>85364.15</v>
      </c>
      <c r="O282" s="34" t="s">
        <v>3566</v>
      </c>
      <c r="P282" s="34" t="s">
        <v>3562</v>
      </c>
      <c r="Q282" s="165">
        <f>IF(Sales[[#This Row],[Status]]="Cancelled",0,Sales[[#This Row],[Qty]])</f>
        <v>5</v>
      </c>
      <c r="R282" s="166">
        <f>IF(Sales[[#This Row],[Status]]="Cancelled",0,Sales[[#This Row],[Total Amount]])</f>
        <v>85364.15</v>
      </c>
      <c r="S282" s="162">
        <f>SUM(Sales[Net Amount])</f>
        <v>406839287.73200053</v>
      </c>
    </row>
    <row r="283" spans="1:19" ht="18.75" x14ac:dyDescent="0.25">
      <c r="A283" s="156" t="s">
        <v>3849</v>
      </c>
      <c r="B283" s="157">
        <v>45794</v>
      </c>
      <c r="C283" s="158" t="s">
        <v>832</v>
      </c>
      <c r="D283" s="159" t="str">
        <f>VLOOKUP(Sales[[#This Row],[Customer ID]],Customer[#All],2,0)</f>
        <v>Vikas Sharma</v>
      </c>
      <c r="E283" s="158" t="s">
        <v>341</v>
      </c>
      <c r="F283" s="158" t="str">
        <f>VLOOKUP(Sales[[#This Row],[Product ID]],Product[#All],2,0)</f>
        <v>Dell Monitor</v>
      </c>
      <c r="G283" s="159">
        <v>8</v>
      </c>
      <c r="H283" s="160">
        <f>VLOOKUP(Sales[[#This Row],[Product ID]],Product[#All],7,0)</f>
        <v>20280</v>
      </c>
      <c r="I283" s="160">
        <f>Sales[[#This Row],[Selling Rate]]*Sales[[#This Row],[Qty]]</f>
        <v>162240</v>
      </c>
      <c r="J283" s="43">
        <v>0.1</v>
      </c>
      <c r="K283" s="44">
        <f>Sales[[#This Row],[Gross Amount]]*Sales[[#This Row],[Disc %]]</f>
        <v>16224</v>
      </c>
      <c r="L283" s="43">
        <v>0.18</v>
      </c>
      <c r="M283" s="44">
        <f>(Sales[[#This Row],[Gross Amount]]-Sales[[#This Row],[Disc. Amt.]])*Sales[[#This Row],[GST %]]</f>
        <v>26282.879999999997</v>
      </c>
      <c r="N283" s="161">
        <f>Sales[[#This Row],[Gross Amount]]-Sales[[#This Row],[Disc. Amt.]]+Sales[[#This Row],[GST Amount]]</f>
        <v>172298.88</v>
      </c>
      <c r="O283" s="158" t="s">
        <v>3566</v>
      </c>
      <c r="P283" s="158" t="s">
        <v>3562</v>
      </c>
      <c r="Q283" s="160">
        <f>IF(Sales[[#This Row],[Status]]="Cancelled",0,Sales[[#This Row],[Qty]])</f>
        <v>8</v>
      </c>
      <c r="R283" s="161">
        <f>IF(Sales[[#This Row],[Status]]="Cancelled",0,Sales[[#This Row],[Total Amount]])</f>
        <v>172298.88</v>
      </c>
      <c r="S283" s="162">
        <f>SUM(Sales[Net Amount])</f>
        <v>406839287.73200053</v>
      </c>
    </row>
    <row r="284" spans="1:19" ht="18.75" x14ac:dyDescent="0.25">
      <c r="A284" s="163" t="s">
        <v>3850</v>
      </c>
      <c r="B284" s="164">
        <v>45794</v>
      </c>
      <c r="C284" s="34" t="s">
        <v>769</v>
      </c>
      <c r="D284" s="53" t="str">
        <f>VLOOKUP(Sales[[#This Row],[Customer ID]],Customer[#All],2,0)</f>
        <v>Sahil Kumar</v>
      </c>
      <c r="E284" s="34" t="s">
        <v>277</v>
      </c>
      <c r="F284" s="34" t="str">
        <f>VLOOKUP(Sales[[#This Row],[Product ID]],Product[#All],2,0)</f>
        <v>D-Link Router</v>
      </c>
      <c r="G284" s="53">
        <v>5</v>
      </c>
      <c r="H284" s="165">
        <f>VLOOKUP(Sales[[#This Row],[Product ID]],Product[#All],7,0)</f>
        <v>4630</v>
      </c>
      <c r="I284" s="165">
        <f>Sales[[#This Row],[Selling Rate]]*Sales[[#This Row],[Qty]]</f>
        <v>23150</v>
      </c>
      <c r="J284" s="45">
        <v>0.12</v>
      </c>
      <c r="K284" s="46">
        <f>Sales[[#This Row],[Gross Amount]]*Sales[[#This Row],[Disc %]]</f>
        <v>2778</v>
      </c>
      <c r="L284" s="43">
        <v>0.18</v>
      </c>
      <c r="M284" s="46">
        <f>(Sales[[#This Row],[Gross Amount]]-Sales[[#This Row],[Disc. Amt.]])*Sales[[#This Row],[GST %]]</f>
        <v>3666.96</v>
      </c>
      <c r="N284" s="161">
        <f>Sales[[#This Row],[Gross Amount]]-Sales[[#This Row],[Disc. Amt.]]+Sales[[#This Row],[GST Amount]]</f>
        <v>24038.959999999999</v>
      </c>
      <c r="O284" s="34" t="s">
        <v>3569</v>
      </c>
      <c r="P284" s="34" t="s">
        <v>3562</v>
      </c>
      <c r="Q284" s="165">
        <f>IF(Sales[[#This Row],[Status]]="Cancelled",0,Sales[[#This Row],[Qty]])</f>
        <v>5</v>
      </c>
      <c r="R284" s="166">
        <f>IF(Sales[[#This Row],[Status]]="Cancelled",0,Sales[[#This Row],[Total Amount]])</f>
        <v>24038.959999999999</v>
      </c>
      <c r="S284" s="162">
        <f>SUM(Sales[Net Amount])</f>
        <v>406839287.73200053</v>
      </c>
    </row>
    <row r="285" spans="1:19" ht="18.75" x14ac:dyDescent="0.25">
      <c r="A285" s="156" t="s">
        <v>3851</v>
      </c>
      <c r="B285" s="157">
        <v>45794</v>
      </c>
      <c r="C285" s="158" t="s">
        <v>699</v>
      </c>
      <c r="D285" s="159" t="str">
        <f>VLOOKUP(Sales[[#This Row],[Customer ID]],Customer[#All],2,0)</f>
        <v>Amit Singh</v>
      </c>
      <c r="E285" s="158" t="s">
        <v>389</v>
      </c>
      <c r="F285" s="158" t="str">
        <f>VLOOKUP(Sales[[#This Row],[Product ID]],Product[#All],2,0)</f>
        <v>WD HDD</v>
      </c>
      <c r="G285" s="159">
        <v>8</v>
      </c>
      <c r="H285" s="160">
        <f>VLOOKUP(Sales[[#This Row],[Product ID]],Product[#All],7,0)</f>
        <v>10530</v>
      </c>
      <c r="I285" s="160">
        <f>Sales[[#This Row],[Selling Rate]]*Sales[[#This Row],[Qty]]</f>
        <v>84240</v>
      </c>
      <c r="J285" s="43">
        <v>0</v>
      </c>
      <c r="K285" s="44">
        <f>Sales[[#This Row],[Gross Amount]]*Sales[[#This Row],[Disc %]]</f>
        <v>0</v>
      </c>
      <c r="L285" s="43">
        <v>0.18</v>
      </c>
      <c r="M285" s="44">
        <f>(Sales[[#This Row],[Gross Amount]]-Sales[[#This Row],[Disc. Amt.]])*Sales[[#This Row],[GST %]]</f>
        <v>15163.199999999999</v>
      </c>
      <c r="N285" s="161">
        <f>Sales[[#This Row],[Gross Amount]]-Sales[[#This Row],[Disc. Amt.]]+Sales[[#This Row],[GST Amount]]</f>
        <v>99403.199999999997</v>
      </c>
      <c r="O285" s="158" t="s">
        <v>3561</v>
      </c>
      <c r="P285" s="158" t="s">
        <v>3562</v>
      </c>
      <c r="Q285" s="160">
        <f>IF(Sales[[#This Row],[Status]]="Cancelled",0,Sales[[#This Row],[Qty]])</f>
        <v>8</v>
      </c>
      <c r="R285" s="161">
        <f>IF(Sales[[#This Row],[Status]]="Cancelled",0,Sales[[#This Row],[Total Amount]])</f>
        <v>99403.199999999997</v>
      </c>
      <c r="S285" s="162">
        <f>SUM(Sales[Net Amount])</f>
        <v>406839287.73200053</v>
      </c>
    </row>
    <row r="286" spans="1:19" ht="18.75" x14ac:dyDescent="0.25">
      <c r="A286" s="163" t="s">
        <v>3852</v>
      </c>
      <c r="B286" s="164">
        <v>45794</v>
      </c>
      <c r="C286" s="34" t="s">
        <v>891</v>
      </c>
      <c r="D286" s="53" t="str">
        <f>VLOOKUP(Sales[[#This Row],[Customer ID]],Customer[#All],2,0)</f>
        <v>Pooja Verma</v>
      </c>
      <c r="E286" s="34" t="s">
        <v>10</v>
      </c>
      <c r="F286" s="34" t="str">
        <f>VLOOKUP(Sales[[#This Row],[Product ID]],Product[#All],2,0)</f>
        <v>Dell Monitor</v>
      </c>
      <c r="G286" s="53">
        <v>7</v>
      </c>
      <c r="H286" s="165">
        <f>VLOOKUP(Sales[[#This Row],[Product ID]],Product[#All],7,0)</f>
        <v>17230</v>
      </c>
      <c r="I286" s="165">
        <f>Sales[[#This Row],[Selling Rate]]*Sales[[#This Row],[Qty]]</f>
        <v>120610</v>
      </c>
      <c r="J286" s="45">
        <v>0.02</v>
      </c>
      <c r="K286" s="46">
        <f>Sales[[#This Row],[Gross Amount]]*Sales[[#This Row],[Disc %]]</f>
        <v>2412.2000000000003</v>
      </c>
      <c r="L286" s="43">
        <v>0.18</v>
      </c>
      <c r="M286" s="46">
        <f>(Sales[[#This Row],[Gross Amount]]-Sales[[#This Row],[Disc. Amt.]])*Sales[[#This Row],[GST %]]</f>
        <v>21275.603999999999</v>
      </c>
      <c r="N286" s="161">
        <f>Sales[[#This Row],[Gross Amount]]-Sales[[#This Row],[Disc. Amt.]]+Sales[[#This Row],[GST Amount]]</f>
        <v>139473.40400000001</v>
      </c>
      <c r="O286" s="34" t="s">
        <v>3569</v>
      </c>
      <c r="P286" s="34" t="s">
        <v>3562</v>
      </c>
      <c r="Q286" s="165">
        <f>IF(Sales[[#This Row],[Status]]="Cancelled",0,Sales[[#This Row],[Qty]])</f>
        <v>7</v>
      </c>
      <c r="R286" s="166">
        <f>IF(Sales[[#This Row],[Status]]="Cancelled",0,Sales[[#This Row],[Total Amount]])</f>
        <v>139473.40400000001</v>
      </c>
      <c r="S286" s="162">
        <f>SUM(Sales[Net Amount])</f>
        <v>406839287.73200053</v>
      </c>
    </row>
    <row r="287" spans="1:19" ht="18.75" x14ac:dyDescent="0.25">
      <c r="A287" s="156" t="s">
        <v>3853</v>
      </c>
      <c r="B287" s="157">
        <v>45794</v>
      </c>
      <c r="C287" s="158" t="s">
        <v>923</v>
      </c>
      <c r="D287" s="159" t="str">
        <f>VLOOKUP(Sales[[#This Row],[Customer ID]],Customer[#All],2,0)</f>
        <v>Rahul Gupta</v>
      </c>
      <c r="E287" s="158" t="s">
        <v>548</v>
      </c>
      <c r="F287" s="158" t="str">
        <f>VLOOKUP(Sales[[#This Row],[Product ID]],Product[#All],2,0)</f>
        <v>HP Power Adapter</v>
      </c>
      <c r="G287" s="159">
        <v>7</v>
      </c>
      <c r="H287" s="160">
        <f>VLOOKUP(Sales[[#This Row],[Product ID]],Product[#All],7,0)</f>
        <v>2470</v>
      </c>
      <c r="I287" s="160">
        <f>Sales[[#This Row],[Selling Rate]]*Sales[[#This Row],[Qty]]</f>
        <v>17290</v>
      </c>
      <c r="J287" s="43">
        <v>0</v>
      </c>
      <c r="K287" s="44">
        <f>Sales[[#This Row],[Gross Amount]]*Sales[[#This Row],[Disc %]]</f>
        <v>0</v>
      </c>
      <c r="L287" s="43">
        <v>0.18</v>
      </c>
      <c r="M287" s="44">
        <f>(Sales[[#This Row],[Gross Amount]]-Sales[[#This Row],[Disc. Amt.]])*Sales[[#This Row],[GST %]]</f>
        <v>3112.2</v>
      </c>
      <c r="N287" s="161">
        <f>Sales[[#This Row],[Gross Amount]]-Sales[[#This Row],[Disc. Amt.]]+Sales[[#This Row],[GST Amount]]</f>
        <v>20402.2</v>
      </c>
      <c r="O287" s="158" t="s">
        <v>8876</v>
      </c>
      <c r="P287" s="158" t="s">
        <v>3562</v>
      </c>
      <c r="Q287" s="160">
        <f>IF(Sales[[#This Row],[Status]]="Cancelled",0,Sales[[#This Row],[Qty]])</f>
        <v>7</v>
      </c>
      <c r="R287" s="161">
        <f>IF(Sales[[#This Row],[Status]]="Cancelled",0,Sales[[#This Row],[Total Amount]])</f>
        <v>20402.2</v>
      </c>
      <c r="S287" s="162">
        <f>SUM(Sales[Net Amount])</f>
        <v>406839287.73200053</v>
      </c>
    </row>
    <row r="288" spans="1:19" ht="18.75" x14ac:dyDescent="0.25">
      <c r="A288" s="163" t="s">
        <v>3854</v>
      </c>
      <c r="B288" s="164">
        <v>45794</v>
      </c>
      <c r="C288" s="34" t="s">
        <v>847</v>
      </c>
      <c r="D288" s="53" t="str">
        <f>VLOOKUP(Sales[[#This Row],[Customer ID]],Customer[#All],2,0)</f>
        <v>Ankit Gupta</v>
      </c>
      <c r="E288" s="34" t="s">
        <v>470</v>
      </c>
      <c r="F288" s="34" t="str">
        <f>VLOOKUP(Sales[[#This Row],[Product ID]],Product[#All],2,0)</f>
        <v>HP Desktop</v>
      </c>
      <c r="G288" s="53">
        <v>1</v>
      </c>
      <c r="H288" s="165">
        <f>VLOOKUP(Sales[[#This Row],[Product ID]],Product[#All],7,0)</f>
        <v>40330</v>
      </c>
      <c r="I288" s="165">
        <f>Sales[[#This Row],[Selling Rate]]*Sales[[#This Row],[Qty]]</f>
        <v>40330</v>
      </c>
      <c r="J288" s="45">
        <v>0</v>
      </c>
      <c r="K288" s="46">
        <f>Sales[[#This Row],[Gross Amount]]*Sales[[#This Row],[Disc %]]</f>
        <v>0</v>
      </c>
      <c r="L288" s="43">
        <v>0.18</v>
      </c>
      <c r="M288" s="46">
        <f>(Sales[[#This Row],[Gross Amount]]-Sales[[#This Row],[Disc. Amt.]])*Sales[[#This Row],[GST %]]</f>
        <v>7259.4</v>
      </c>
      <c r="N288" s="161">
        <f>Sales[[#This Row],[Gross Amount]]-Sales[[#This Row],[Disc. Amt.]]+Sales[[#This Row],[GST Amount]]</f>
        <v>47589.4</v>
      </c>
      <c r="O288" s="34" t="s">
        <v>3561</v>
      </c>
      <c r="P288" s="34" t="s">
        <v>3562</v>
      </c>
      <c r="Q288" s="165">
        <f>IF(Sales[[#This Row],[Status]]="Cancelled",0,Sales[[#This Row],[Qty]])</f>
        <v>1</v>
      </c>
      <c r="R288" s="166">
        <f>IF(Sales[[#This Row],[Status]]="Cancelled",0,Sales[[#This Row],[Total Amount]])</f>
        <v>47589.4</v>
      </c>
      <c r="S288" s="162">
        <f>SUM(Sales[Net Amount])</f>
        <v>406839287.73200053</v>
      </c>
    </row>
    <row r="289" spans="1:19" ht="18.75" x14ac:dyDescent="0.25">
      <c r="A289" s="156" t="s">
        <v>3855</v>
      </c>
      <c r="B289" s="157">
        <v>45794</v>
      </c>
      <c r="C289" s="158" t="s">
        <v>713</v>
      </c>
      <c r="D289" s="159" t="str">
        <f>VLOOKUP(Sales[[#This Row],[Customer ID]],Customer[#All],2,0)</f>
        <v>Amit Gupta</v>
      </c>
      <c r="E289" s="158" t="s">
        <v>383</v>
      </c>
      <c r="F289" s="158" t="str">
        <f>VLOOKUP(Sales[[#This Row],[Product ID]],Product[#All],2,0)</f>
        <v>Logitech Mouse</v>
      </c>
      <c r="G289" s="159">
        <v>1</v>
      </c>
      <c r="H289" s="160">
        <f>VLOOKUP(Sales[[#This Row],[Product ID]],Product[#All],7,0)</f>
        <v>3080</v>
      </c>
      <c r="I289" s="160">
        <f>Sales[[#This Row],[Selling Rate]]*Sales[[#This Row],[Qty]]</f>
        <v>3080</v>
      </c>
      <c r="J289" s="43">
        <v>0.15</v>
      </c>
      <c r="K289" s="44">
        <f>Sales[[#This Row],[Gross Amount]]*Sales[[#This Row],[Disc %]]</f>
        <v>462</v>
      </c>
      <c r="L289" s="43">
        <v>0.18</v>
      </c>
      <c r="M289" s="44">
        <f>(Sales[[#This Row],[Gross Amount]]-Sales[[#This Row],[Disc. Amt.]])*Sales[[#This Row],[GST %]]</f>
        <v>471.24</v>
      </c>
      <c r="N289" s="161">
        <f>Sales[[#This Row],[Gross Amount]]-Sales[[#This Row],[Disc. Amt.]]+Sales[[#This Row],[GST Amount]]</f>
        <v>3089.24</v>
      </c>
      <c r="O289" s="158" t="s">
        <v>3561</v>
      </c>
      <c r="P289" s="158" t="s">
        <v>3562</v>
      </c>
      <c r="Q289" s="160">
        <f>IF(Sales[[#This Row],[Status]]="Cancelled",0,Sales[[#This Row],[Qty]])</f>
        <v>1</v>
      </c>
      <c r="R289" s="161">
        <f>IF(Sales[[#This Row],[Status]]="Cancelled",0,Sales[[#This Row],[Total Amount]])</f>
        <v>3089.24</v>
      </c>
      <c r="S289" s="162">
        <f>SUM(Sales[Net Amount])</f>
        <v>406839287.73200053</v>
      </c>
    </row>
    <row r="290" spans="1:19" ht="18.75" x14ac:dyDescent="0.25">
      <c r="A290" s="163" t="s">
        <v>3856</v>
      </c>
      <c r="B290" s="164">
        <v>45794</v>
      </c>
      <c r="C290" s="34" t="s">
        <v>702</v>
      </c>
      <c r="D290" s="53" t="str">
        <f>VLOOKUP(Sales[[#This Row],[Customer ID]],Customer[#All],2,0)</f>
        <v>Amit Patel</v>
      </c>
      <c r="E290" s="34" t="s">
        <v>398</v>
      </c>
      <c r="F290" s="34" t="str">
        <f>VLOOKUP(Sales[[#This Row],[Product ID]],Product[#All],2,0)</f>
        <v>D-Link Router</v>
      </c>
      <c r="G290" s="53">
        <v>1</v>
      </c>
      <c r="H290" s="165">
        <f>VLOOKUP(Sales[[#This Row],[Product ID]],Product[#All],7,0)</f>
        <v>5420</v>
      </c>
      <c r="I290" s="165">
        <f>Sales[[#This Row],[Selling Rate]]*Sales[[#This Row],[Qty]]</f>
        <v>5420</v>
      </c>
      <c r="J290" s="45">
        <v>0.12</v>
      </c>
      <c r="K290" s="46">
        <f>Sales[[#This Row],[Gross Amount]]*Sales[[#This Row],[Disc %]]</f>
        <v>650.4</v>
      </c>
      <c r="L290" s="43">
        <v>0.18</v>
      </c>
      <c r="M290" s="46">
        <f>(Sales[[#This Row],[Gross Amount]]-Sales[[#This Row],[Disc. Amt.]])*Sales[[#This Row],[GST %]]</f>
        <v>858.52800000000002</v>
      </c>
      <c r="N290" s="161">
        <f>Sales[[#This Row],[Gross Amount]]-Sales[[#This Row],[Disc. Amt.]]+Sales[[#This Row],[GST Amount]]</f>
        <v>5628.1280000000006</v>
      </c>
      <c r="O290" s="34" t="s">
        <v>8876</v>
      </c>
      <c r="P290" s="34" t="s">
        <v>3562</v>
      </c>
      <c r="Q290" s="165">
        <f>IF(Sales[[#This Row],[Status]]="Cancelled",0,Sales[[#This Row],[Qty]])</f>
        <v>1</v>
      </c>
      <c r="R290" s="166">
        <f>IF(Sales[[#This Row],[Status]]="Cancelled",0,Sales[[#This Row],[Total Amount]])</f>
        <v>5628.1280000000006</v>
      </c>
      <c r="S290" s="162">
        <f>SUM(Sales[Net Amount])</f>
        <v>406839287.73200053</v>
      </c>
    </row>
    <row r="291" spans="1:19" ht="18.75" x14ac:dyDescent="0.25">
      <c r="A291" s="156" t="s">
        <v>3857</v>
      </c>
      <c r="B291" s="157">
        <v>45794</v>
      </c>
      <c r="C291" s="158" t="s">
        <v>653</v>
      </c>
      <c r="D291" s="159" t="str">
        <f>VLOOKUP(Sales[[#This Row],[Customer ID]],Customer[#All],2,0)</f>
        <v>Pooja Patel</v>
      </c>
      <c r="E291" s="158" t="s">
        <v>12</v>
      </c>
      <c r="F291" s="158" t="str">
        <f>VLOOKUP(Sales[[#This Row],[Product ID]],Product[#All],2,0)</f>
        <v>Boat Headset</v>
      </c>
      <c r="G291" s="159">
        <v>3</v>
      </c>
      <c r="H291" s="160">
        <f>VLOOKUP(Sales[[#This Row],[Product ID]],Product[#All],7,0)</f>
        <v>1990</v>
      </c>
      <c r="I291" s="160">
        <f>Sales[[#This Row],[Selling Rate]]*Sales[[#This Row],[Qty]]</f>
        <v>5970</v>
      </c>
      <c r="J291" s="43">
        <v>0</v>
      </c>
      <c r="K291" s="44">
        <f>Sales[[#This Row],[Gross Amount]]*Sales[[#This Row],[Disc %]]</f>
        <v>0</v>
      </c>
      <c r="L291" s="43">
        <v>0.18</v>
      </c>
      <c r="M291" s="44">
        <f>(Sales[[#This Row],[Gross Amount]]-Sales[[#This Row],[Disc. Amt.]])*Sales[[#This Row],[GST %]]</f>
        <v>1074.5999999999999</v>
      </c>
      <c r="N291" s="161">
        <f>Sales[[#This Row],[Gross Amount]]-Sales[[#This Row],[Disc. Amt.]]+Sales[[#This Row],[GST Amount]]</f>
        <v>7044.6</v>
      </c>
      <c r="O291" s="158" t="s">
        <v>3569</v>
      </c>
      <c r="P291" s="158" t="s">
        <v>3562</v>
      </c>
      <c r="Q291" s="160">
        <f>IF(Sales[[#This Row],[Status]]="Cancelled",0,Sales[[#This Row],[Qty]])</f>
        <v>3</v>
      </c>
      <c r="R291" s="161">
        <f>IF(Sales[[#This Row],[Status]]="Cancelled",0,Sales[[#This Row],[Total Amount]])</f>
        <v>7044.6</v>
      </c>
      <c r="S291" s="162">
        <f>SUM(Sales[Net Amount])</f>
        <v>406839287.73200053</v>
      </c>
    </row>
    <row r="292" spans="1:19" ht="18.75" x14ac:dyDescent="0.25">
      <c r="A292" s="163" t="s">
        <v>3858</v>
      </c>
      <c r="B292" s="164">
        <v>45794</v>
      </c>
      <c r="C292" s="34" t="s">
        <v>657</v>
      </c>
      <c r="D292" s="53" t="str">
        <f>VLOOKUP(Sales[[#This Row],[Customer ID]],Customer[#All],2,0)</f>
        <v>Rahul Verma</v>
      </c>
      <c r="E292" s="34" t="s">
        <v>528</v>
      </c>
      <c r="F292" s="34" t="str">
        <f>VLOOKUP(Sales[[#This Row],[Product ID]],Product[#All],2,0)</f>
        <v>Kingston Ram</v>
      </c>
      <c r="G292" s="53">
        <v>2</v>
      </c>
      <c r="H292" s="165">
        <f>VLOOKUP(Sales[[#This Row],[Product ID]],Product[#All],7,0)</f>
        <v>4750</v>
      </c>
      <c r="I292" s="165">
        <f>Sales[[#This Row],[Selling Rate]]*Sales[[#This Row],[Qty]]</f>
        <v>9500</v>
      </c>
      <c r="J292" s="45">
        <v>0.05</v>
      </c>
      <c r="K292" s="46">
        <f>Sales[[#This Row],[Gross Amount]]*Sales[[#This Row],[Disc %]]</f>
        <v>475</v>
      </c>
      <c r="L292" s="43">
        <v>0.18</v>
      </c>
      <c r="M292" s="46">
        <f>(Sales[[#This Row],[Gross Amount]]-Sales[[#This Row],[Disc. Amt.]])*Sales[[#This Row],[GST %]]</f>
        <v>1624.5</v>
      </c>
      <c r="N292" s="161">
        <f>Sales[[#This Row],[Gross Amount]]-Sales[[#This Row],[Disc. Amt.]]+Sales[[#This Row],[GST Amount]]</f>
        <v>10649.5</v>
      </c>
      <c r="O292" s="34" t="s">
        <v>8876</v>
      </c>
      <c r="P292" s="34" t="s">
        <v>3562</v>
      </c>
      <c r="Q292" s="165">
        <f>IF(Sales[[#This Row],[Status]]="Cancelled",0,Sales[[#This Row],[Qty]])</f>
        <v>2</v>
      </c>
      <c r="R292" s="166">
        <f>IF(Sales[[#This Row],[Status]]="Cancelled",0,Sales[[#This Row],[Total Amount]])</f>
        <v>10649.5</v>
      </c>
      <c r="S292" s="162">
        <f>SUM(Sales[Net Amount])</f>
        <v>406839287.73200053</v>
      </c>
    </row>
    <row r="293" spans="1:19" ht="18.75" x14ac:dyDescent="0.25">
      <c r="A293" s="156" t="s">
        <v>3859</v>
      </c>
      <c r="B293" s="157">
        <v>45794</v>
      </c>
      <c r="C293" s="158" t="s">
        <v>824</v>
      </c>
      <c r="D293" s="159" t="str">
        <f>VLOOKUP(Sales[[#This Row],[Customer ID]],Customer[#All],2,0)</f>
        <v>Sunita Verma</v>
      </c>
      <c r="E293" s="158" t="s">
        <v>394</v>
      </c>
      <c r="F293" s="158" t="str">
        <f>VLOOKUP(Sales[[#This Row],[Product ID]],Product[#All],2,0)</f>
        <v>Boat Speaker</v>
      </c>
      <c r="G293" s="159">
        <v>7</v>
      </c>
      <c r="H293" s="160">
        <f>VLOOKUP(Sales[[#This Row],[Product ID]],Product[#All],7,0)</f>
        <v>1720</v>
      </c>
      <c r="I293" s="160">
        <f>Sales[[#This Row],[Selling Rate]]*Sales[[#This Row],[Qty]]</f>
        <v>12040</v>
      </c>
      <c r="J293" s="43">
        <v>0.05</v>
      </c>
      <c r="K293" s="44">
        <f>Sales[[#This Row],[Gross Amount]]*Sales[[#This Row],[Disc %]]</f>
        <v>602</v>
      </c>
      <c r="L293" s="43">
        <v>0.18</v>
      </c>
      <c r="M293" s="44">
        <f>(Sales[[#This Row],[Gross Amount]]-Sales[[#This Row],[Disc. Amt.]])*Sales[[#This Row],[GST %]]</f>
        <v>2058.84</v>
      </c>
      <c r="N293" s="161">
        <f>Sales[[#This Row],[Gross Amount]]-Sales[[#This Row],[Disc. Amt.]]+Sales[[#This Row],[GST Amount]]</f>
        <v>13496.84</v>
      </c>
      <c r="O293" s="158" t="s">
        <v>8876</v>
      </c>
      <c r="P293" s="158" t="s">
        <v>3562</v>
      </c>
      <c r="Q293" s="160">
        <f>IF(Sales[[#This Row],[Status]]="Cancelled",0,Sales[[#This Row],[Qty]])</f>
        <v>7</v>
      </c>
      <c r="R293" s="161">
        <f>IF(Sales[[#This Row],[Status]]="Cancelled",0,Sales[[#This Row],[Total Amount]])</f>
        <v>13496.84</v>
      </c>
      <c r="S293" s="162">
        <f>SUM(Sales[Net Amount])</f>
        <v>406839287.73200053</v>
      </c>
    </row>
    <row r="294" spans="1:19" ht="18.75" x14ac:dyDescent="0.25">
      <c r="A294" s="163" t="s">
        <v>3860</v>
      </c>
      <c r="B294" s="164">
        <v>45794</v>
      </c>
      <c r="C294" s="34" t="s">
        <v>919</v>
      </c>
      <c r="D294" s="53" t="str">
        <f>VLOOKUP(Sales[[#This Row],[Customer ID]],Customer[#All],2,0)</f>
        <v>Pooja Patel</v>
      </c>
      <c r="E294" s="34" t="s">
        <v>222</v>
      </c>
      <c r="F294" s="34" t="str">
        <f>VLOOKUP(Sales[[#This Row],[Product ID]],Product[#All],2,0)</f>
        <v>Jbl Headset</v>
      </c>
      <c r="G294" s="53">
        <v>5</v>
      </c>
      <c r="H294" s="165">
        <f>VLOOKUP(Sales[[#This Row],[Product ID]],Product[#All],7,0)</f>
        <v>8550</v>
      </c>
      <c r="I294" s="165">
        <f>Sales[[#This Row],[Selling Rate]]*Sales[[#This Row],[Qty]]</f>
        <v>42750</v>
      </c>
      <c r="J294" s="45">
        <v>0.1</v>
      </c>
      <c r="K294" s="46">
        <f>Sales[[#This Row],[Gross Amount]]*Sales[[#This Row],[Disc %]]</f>
        <v>4275</v>
      </c>
      <c r="L294" s="43">
        <v>0.18</v>
      </c>
      <c r="M294" s="46">
        <f>(Sales[[#This Row],[Gross Amount]]-Sales[[#This Row],[Disc. Amt.]])*Sales[[#This Row],[GST %]]</f>
        <v>6925.5</v>
      </c>
      <c r="N294" s="161">
        <f>Sales[[#This Row],[Gross Amount]]-Sales[[#This Row],[Disc. Amt.]]+Sales[[#This Row],[GST Amount]]</f>
        <v>45400.5</v>
      </c>
      <c r="O294" s="34" t="s">
        <v>3561</v>
      </c>
      <c r="P294" s="34" t="s">
        <v>3562</v>
      </c>
      <c r="Q294" s="165">
        <f>IF(Sales[[#This Row],[Status]]="Cancelled",0,Sales[[#This Row],[Qty]])</f>
        <v>5</v>
      </c>
      <c r="R294" s="166">
        <f>IF(Sales[[#This Row],[Status]]="Cancelled",0,Sales[[#This Row],[Total Amount]])</f>
        <v>45400.5</v>
      </c>
      <c r="S294" s="162">
        <f>SUM(Sales[Net Amount])</f>
        <v>406839287.73200053</v>
      </c>
    </row>
    <row r="295" spans="1:19" ht="18.75" x14ac:dyDescent="0.25">
      <c r="A295" s="156" t="s">
        <v>3861</v>
      </c>
      <c r="B295" s="157">
        <v>45795</v>
      </c>
      <c r="C295" s="158" t="s">
        <v>948</v>
      </c>
      <c r="D295" s="159" t="str">
        <f>VLOOKUP(Sales[[#This Row],[Customer ID]],Customer[#All],2,0)</f>
        <v>Pooja Patel</v>
      </c>
      <c r="E295" s="158" t="s">
        <v>549</v>
      </c>
      <c r="F295" s="158" t="str">
        <f>VLOOKUP(Sales[[#This Row],[Product ID]],Product[#All],2,0)</f>
        <v>Boat Headset</v>
      </c>
      <c r="G295" s="159">
        <v>1</v>
      </c>
      <c r="H295" s="160">
        <f>VLOOKUP(Sales[[#This Row],[Product ID]],Product[#All],7,0)</f>
        <v>3390</v>
      </c>
      <c r="I295" s="160">
        <f>Sales[[#This Row],[Selling Rate]]*Sales[[#This Row],[Qty]]</f>
        <v>3390</v>
      </c>
      <c r="J295" s="43">
        <v>0.05</v>
      </c>
      <c r="K295" s="44">
        <f>Sales[[#This Row],[Gross Amount]]*Sales[[#This Row],[Disc %]]</f>
        <v>169.5</v>
      </c>
      <c r="L295" s="43">
        <v>0.18</v>
      </c>
      <c r="M295" s="44">
        <f>(Sales[[#This Row],[Gross Amount]]-Sales[[#This Row],[Disc. Amt.]])*Sales[[#This Row],[GST %]]</f>
        <v>579.68999999999994</v>
      </c>
      <c r="N295" s="161">
        <f>Sales[[#This Row],[Gross Amount]]-Sales[[#This Row],[Disc. Amt.]]+Sales[[#This Row],[GST Amount]]</f>
        <v>3800.19</v>
      </c>
      <c r="O295" s="158" t="s">
        <v>8876</v>
      </c>
      <c r="P295" s="158" t="s">
        <v>3562</v>
      </c>
      <c r="Q295" s="160">
        <f>IF(Sales[[#This Row],[Status]]="Cancelled",0,Sales[[#This Row],[Qty]])</f>
        <v>1</v>
      </c>
      <c r="R295" s="161">
        <f>IF(Sales[[#This Row],[Status]]="Cancelled",0,Sales[[#This Row],[Total Amount]])</f>
        <v>3800.19</v>
      </c>
      <c r="S295" s="162">
        <f>SUM(Sales[Net Amount])</f>
        <v>406839287.73200053</v>
      </c>
    </row>
    <row r="296" spans="1:19" ht="18.75" x14ac:dyDescent="0.25">
      <c r="A296" s="163" t="s">
        <v>3862</v>
      </c>
      <c r="B296" s="164">
        <v>45795</v>
      </c>
      <c r="C296" s="34" t="s">
        <v>796</v>
      </c>
      <c r="D296" s="53" t="str">
        <f>VLOOKUP(Sales[[#This Row],[Customer ID]],Customer[#All],2,0)</f>
        <v>Rahul Verma</v>
      </c>
      <c r="E296" s="34" t="s">
        <v>504</v>
      </c>
      <c r="F296" s="34" t="str">
        <f>VLOOKUP(Sales[[#This Row],[Product ID]],Product[#All],2,0)</f>
        <v>Logitech Keyboard</v>
      </c>
      <c r="G296" s="53">
        <v>6</v>
      </c>
      <c r="H296" s="165">
        <f>VLOOKUP(Sales[[#This Row],[Product ID]],Product[#All],7,0)</f>
        <v>3930</v>
      </c>
      <c r="I296" s="165">
        <f>Sales[[#This Row],[Selling Rate]]*Sales[[#This Row],[Qty]]</f>
        <v>23580</v>
      </c>
      <c r="J296" s="45">
        <v>0.1</v>
      </c>
      <c r="K296" s="46">
        <f>Sales[[#This Row],[Gross Amount]]*Sales[[#This Row],[Disc %]]</f>
        <v>2358</v>
      </c>
      <c r="L296" s="43">
        <v>0.18</v>
      </c>
      <c r="M296" s="46">
        <f>(Sales[[#This Row],[Gross Amount]]-Sales[[#This Row],[Disc. Amt.]])*Sales[[#This Row],[GST %]]</f>
        <v>3819.96</v>
      </c>
      <c r="N296" s="161">
        <f>Sales[[#This Row],[Gross Amount]]-Sales[[#This Row],[Disc. Amt.]]+Sales[[#This Row],[GST Amount]]</f>
        <v>25041.96</v>
      </c>
      <c r="O296" s="34" t="s">
        <v>3566</v>
      </c>
      <c r="P296" s="34" t="s">
        <v>3562</v>
      </c>
      <c r="Q296" s="165">
        <f>IF(Sales[[#This Row],[Status]]="Cancelled",0,Sales[[#This Row],[Qty]])</f>
        <v>6</v>
      </c>
      <c r="R296" s="166">
        <f>IF(Sales[[#This Row],[Status]]="Cancelled",0,Sales[[#This Row],[Total Amount]])</f>
        <v>25041.96</v>
      </c>
      <c r="S296" s="162">
        <f>SUM(Sales[Net Amount])</f>
        <v>406839287.73200053</v>
      </c>
    </row>
    <row r="297" spans="1:19" ht="18.75" x14ac:dyDescent="0.25">
      <c r="A297" s="156" t="s">
        <v>3863</v>
      </c>
      <c r="B297" s="157">
        <v>45795</v>
      </c>
      <c r="C297" s="158" t="s">
        <v>911</v>
      </c>
      <c r="D297" s="159" t="str">
        <f>VLOOKUP(Sales[[#This Row],[Customer ID]],Customer[#All],2,0)</f>
        <v>Amit Kumar</v>
      </c>
      <c r="E297" s="158" t="s">
        <v>287</v>
      </c>
      <c r="F297" s="158" t="str">
        <f>VLOOKUP(Sales[[#This Row],[Product ID]],Product[#All],2,0)</f>
        <v>HP Power Adapter</v>
      </c>
      <c r="G297" s="159">
        <v>7</v>
      </c>
      <c r="H297" s="160">
        <f>VLOOKUP(Sales[[#This Row],[Product ID]],Product[#All],7,0)</f>
        <v>2270</v>
      </c>
      <c r="I297" s="160">
        <f>Sales[[#This Row],[Selling Rate]]*Sales[[#This Row],[Qty]]</f>
        <v>15890</v>
      </c>
      <c r="J297" s="43">
        <v>0</v>
      </c>
      <c r="K297" s="44">
        <f>Sales[[#This Row],[Gross Amount]]*Sales[[#This Row],[Disc %]]</f>
        <v>0</v>
      </c>
      <c r="L297" s="43">
        <v>0.18</v>
      </c>
      <c r="M297" s="44">
        <f>(Sales[[#This Row],[Gross Amount]]-Sales[[#This Row],[Disc. Amt.]])*Sales[[#This Row],[GST %]]</f>
        <v>2860.2</v>
      </c>
      <c r="N297" s="161">
        <f>Sales[[#This Row],[Gross Amount]]-Sales[[#This Row],[Disc. Amt.]]+Sales[[#This Row],[GST Amount]]</f>
        <v>18750.2</v>
      </c>
      <c r="O297" s="158" t="s">
        <v>3561</v>
      </c>
      <c r="P297" s="158" t="s">
        <v>3562</v>
      </c>
      <c r="Q297" s="160">
        <f>IF(Sales[[#This Row],[Status]]="Cancelled",0,Sales[[#This Row],[Qty]])</f>
        <v>7</v>
      </c>
      <c r="R297" s="161">
        <f>IF(Sales[[#This Row],[Status]]="Cancelled",0,Sales[[#This Row],[Total Amount]])</f>
        <v>18750.2</v>
      </c>
      <c r="S297" s="162">
        <f>SUM(Sales[Net Amount])</f>
        <v>406839287.73200053</v>
      </c>
    </row>
    <row r="298" spans="1:19" ht="18.75" x14ac:dyDescent="0.25">
      <c r="A298" s="163" t="s">
        <v>3864</v>
      </c>
      <c r="B298" s="164">
        <v>45795</v>
      </c>
      <c r="C298" s="34" t="s">
        <v>663</v>
      </c>
      <c r="D298" s="53" t="str">
        <f>VLOOKUP(Sales[[#This Row],[Customer ID]],Customer[#All],2,0)</f>
        <v>Amit Sharma</v>
      </c>
      <c r="E298" s="34" t="s">
        <v>192</v>
      </c>
      <c r="F298" s="34" t="str">
        <f>VLOOKUP(Sales[[#This Row],[Product ID]],Product[#All],2,0)</f>
        <v>HP Laptop</v>
      </c>
      <c r="G298" s="53">
        <v>5</v>
      </c>
      <c r="H298" s="165">
        <f>VLOOKUP(Sales[[#This Row],[Product ID]],Product[#All],7,0)</f>
        <v>59870</v>
      </c>
      <c r="I298" s="165">
        <f>Sales[[#This Row],[Selling Rate]]*Sales[[#This Row],[Qty]]</f>
        <v>299350</v>
      </c>
      <c r="J298" s="45">
        <v>0</v>
      </c>
      <c r="K298" s="46">
        <f>Sales[[#This Row],[Gross Amount]]*Sales[[#This Row],[Disc %]]</f>
        <v>0</v>
      </c>
      <c r="L298" s="43">
        <v>0.18</v>
      </c>
      <c r="M298" s="46">
        <f>(Sales[[#This Row],[Gross Amount]]-Sales[[#This Row],[Disc. Amt.]])*Sales[[#This Row],[GST %]]</f>
        <v>53883</v>
      </c>
      <c r="N298" s="161">
        <f>Sales[[#This Row],[Gross Amount]]-Sales[[#This Row],[Disc. Amt.]]+Sales[[#This Row],[GST Amount]]</f>
        <v>353233</v>
      </c>
      <c r="O298" s="34" t="s">
        <v>8876</v>
      </c>
      <c r="P298" s="34" t="s">
        <v>3562</v>
      </c>
      <c r="Q298" s="165">
        <f>IF(Sales[[#This Row],[Status]]="Cancelled",0,Sales[[#This Row],[Qty]])</f>
        <v>5</v>
      </c>
      <c r="R298" s="166">
        <f>IF(Sales[[#This Row],[Status]]="Cancelled",0,Sales[[#This Row],[Total Amount]])</f>
        <v>353233</v>
      </c>
      <c r="S298" s="162">
        <f>SUM(Sales[Net Amount])</f>
        <v>406839287.73200053</v>
      </c>
    </row>
    <row r="299" spans="1:19" ht="18.75" x14ac:dyDescent="0.25">
      <c r="A299" s="156" t="s">
        <v>3865</v>
      </c>
      <c r="B299" s="157">
        <v>45795</v>
      </c>
      <c r="C299" s="158" t="s">
        <v>839</v>
      </c>
      <c r="D299" s="159" t="str">
        <f>VLOOKUP(Sales[[#This Row],[Customer ID]],Customer[#All],2,0)</f>
        <v>Amit Patel</v>
      </c>
      <c r="E299" s="158" t="s">
        <v>98</v>
      </c>
      <c r="F299" s="158" t="str">
        <f>VLOOKUP(Sales[[#This Row],[Product ID]],Product[#All],2,0)</f>
        <v>TP-link Bluetooth Adapter</v>
      </c>
      <c r="G299" s="159">
        <v>4</v>
      </c>
      <c r="H299" s="160">
        <f>VLOOKUP(Sales[[#This Row],[Product ID]],Product[#All],7,0)</f>
        <v>1420</v>
      </c>
      <c r="I299" s="160">
        <f>Sales[[#This Row],[Selling Rate]]*Sales[[#This Row],[Qty]]</f>
        <v>5680</v>
      </c>
      <c r="J299" s="43">
        <v>0.15</v>
      </c>
      <c r="K299" s="44">
        <f>Sales[[#This Row],[Gross Amount]]*Sales[[#This Row],[Disc %]]</f>
        <v>852</v>
      </c>
      <c r="L299" s="43">
        <v>0.18</v>
      </c>
      <c r="M299" s="44">
        <f>(Sales[[#This Row],[Gross Amount]]-Sales[[#This Row],[Disc. Amt.]])*Sales[[#This Row],[GST %]]</f>
        <v>869.04</v>
      </c>
      <c r="N299" s="161">
        <f>Sales[[#This Row],[Gross Amount]]-Sales[[#This Row],[Disc. Amt.]]+Sales[[#This Row],[GST Amount]]</f>
        <v>5697.04</v>
      </c>
      <c r="O299" s="158" t="s">
        <v>3569</v>
      </c>
      <c r="P299" s="158" t="s">
        <v>3562</v>
      </c>
      <c r="Q299" s="160">
        <f>IF(Sales[[#This Row],[Status]]="Cancelled",0,Sales[[#This Row],[Qty]])</f>
        <v>4</v>
      </c>
      <c r="R299" s="161">
        <f>IF(Sales[[#This Row],[Status]]="Cancelled",0,Sales[[#This Row],[Total Amount]])</f>
        <v>5697.04</v>
      </c>
      <c r="S299" s="162">
        <f>SUM(Sales[Net Amount])</f>
        <v>406839287.73200053</v>
      </c>
    </row>
    <row r="300" spans="1:19" ht="18.75" x14ac:dyDescent="0.25">
      <c r="A300" s="163" t="s">
        <v>3866</v>
      </c>
      <c r="B300" s="164">
        <v>45795</v>
      </c>
      <c r="C300" s="34" t="s">
        <v>739</v>
      </c>
      <c r="D300" s="53" t="str">
        <f>VLOOKUP(Sales[[#This Row],[Customer ID]],Customer[#All],2,0)</f>
        <v>Ankit Singh</v>
      </c>
      <c r="E300" s="34" t="s">
        <v>131</v>
      </c>
      <c r="F300" s="34" t="str">
        <f>VLOOKUP(Sales[[#This Row],[Product ID]],Product[#All],2,0)</f>
        <v>HP Power Adapter</v>
      </c>
      <c r="G300" s="53">
        <v>5</v>
      </c>
      <c r="H300" s="165">
        <f>VLOOKUP(Sales[[#This Row],[Product ID]],Product[#All],7,0)</f>
        <v>2540</v>
      </c>
      <c r="I300" s="165">
        <f>Sales[[#This Row],[Selling Rate]]*Sales[[#This Row],[Qty]]</f>
        <v>12700</v>
      </c>
      <c r="J300" s="45">
        <v>0.15</v>
      </c>
      <c r="K300" s="46">
        <f>Sales[[#This Row],[Gross Amount]]*Sales[[#This Row],[Disc %]]</f>
        <v>1905</v>
      </c>
      <c r="L300" s="43">
        <v>0.18</v>
      </c>
      <c r="M300" s="46">
        <f>(Sales[[#This Row],[Gross Amount]]-Sales[[#This Row],[Disc. Amt.]])*Sales[[#This Row],[GST %]]</f>
        <v>1943.1</v>
      </c>
      <c r="N300" s="161">
        <f>Sales[[#This Row],[Gross Amount]]-Sales[[#This Row],[Disc. Amt.]]+Sales[[#This Row],[GST Amount]]</f>
        <v>12738.1</v>
      </c>
      <c r="O300" s="34" t="s">
        <v>3566</v>
      </c>
      <c r="P300" s="34" t="s">
        <v>3562</v>
      </c>
      <c r="Q300" s="165">
        <f>IF(Sales[[#This Row],[Status]]="Cancelled",0,Sales[[#This Row],[Qty]])</f>
        <v>5</v>
      </c>
      <c r="R300" s="166">
        <f>IF(Sales[[#This Row],[Status]]="Cancelled",0,Sales[[#This Row],[Total Amount]])</f>
        <v>12738.1</v>
      </c>
      <c r="S300" s="162">
        <f>SUM(Sales[Net Amount])</f>
        <v>406839287.73200053</v>
      </c>
    </row>
    <row r="301" spans="1:19" ht="18.75" x14ac:dyDescent="0.25">
      <c r="A301" s="156" t="s">
        <v>3867</v>
      </c>
      <c r="B301" s="157">
        <v>45795</v>
      </c>
      <c r="C301" s="158" t="s">
        <v>738</v>
      </c>
      <c r="D301" s="159" t="str">
        <f>VLOOKUP(Sales[[#This Row],[Customer ID]],Customer[#All],2,0)</f>
        <v>Pooja Patel</v>
      </c>
      <c r="E301" s="158" t="s">
        <v>51</v>
      </c>
      <c r="F301" s="158" t="str">
        <f>VLOOKUP(Sales[[#This Row],[Product ID]],Product[#All],2,0)</f>
        <v>Boat Speaker</v>
      </c>
      <c r="G301" s="159">
        <v>3</v>
      </c>
      <c r="H301" s="160">
        <f>VLOOKUP(Sales[[#This Row],[Product ID]],Product[#All],7,0)</f>
        <v>4730</v>
      </c>
      <c r="I301" s="160">
        <f>Sales[[#This Row],[Selling Rate]]*Sales[[#This Row],[Qty]]</f>
        <v>14190</v>
      </c>
      <c r="J301" s="43">
        <v>0.12</v>
      </c>
      <c r="K301" s="44">
        <f>Sales[[#This Row],[Gross Amount]]*Sales[[#This Row],[Disc %]]</f>
        <v>1702.8</v>
      </c>
      <c r="L301" s="43">
        <v>0.18</v>
      </c>
      <c r="M301" s="44">
        <f>(Sales[[#This Row],[Gross Amount]]-Sales[[#This Row],[Disc. Amt.]])*Sales[[#This Row],[GST %]]</f>
        <v>2247.6959999999999</v>
      </c>
      <c r="N301" s="161">
        <f>Sales[[#This Row],[Gross Amount]]-Sales[[#This Row],[Disc. Amt.]]+Sales[[#This Row],[GST Amount]]</f>
        <v>14734.896000000001</v>
      </c>
      <c r="O301" s="158" t="s">
        <v>8876</v>
      </c>
      <c r="P301" s="158" t="s">
        <v>3562</v>
      </c>
      <c r="Q301" s="160">
        <f>IF(Sales[[#This Row],[Status]]="Cancelled",0,Sales[[#This Row],[Qty]])</f>
        <v>3</v>
      </c>
      <c r="R301" s="161">
        <f>IF(Sales[[#This Row],[Status]]="Cancelled",0,Sales[[#This Row],[Total Amount]])</f>
        <v>14734.896000000001</v>
      </c>
      <c r="S301" s="162">
        <f>SUM(Sales[Net Amount])</f>
        <v>406839287.73200053</v>
      </c>
    </row>
    <row r="302" spans="1:19" ht="18.75" x14ac:dyDescent="0.25">
      <c r="A302" s="163" t="s">
        <v>3868</v>
      </c>
      <c r="B302" s="164">
        <v>45795</v>
      </c>
      <c r="C302" s="34" t="s">
        <v>3869</v>
      </c>
      <c r="D302" s="53" t="str">
        <f>VLOOKUP(Sales[[#This Row],[Customer ID]],Customer[#All],2,0)</f>
        <v>Sunita Sharma</v>
      </c>
      <c r="E302" s="34" t="s">
        <v>462</v>
      </c>
      <c r="F302" s="34" t="str">
        <f>VLOOKUP(Sales[[#This Row],[Product ID]],Product[#All],2,0)</f>
        <v>Dell Keyboard</v>
      </c>
      <c r="G302" s="53">
        <v>4</v>
      </c>
      <c r="H302" s="165">
        <f>VLOOKUP(Sales[[#This Row],[Product ID]],Product[#All],7,0)</f>
        <v>2730</v>
      </c>
      <c r="I302" s="165">
        <f>Sales[[#This Row],[Selling Rate]]*Sales[[#This Row],[Qty]]</f>
        <v>10920</v>
      </c>
      <c r="J302" s="45">
        <v>0.12</v>
      </c>
      <c r="K302" s="46">
        <f>Sales[[#This Row],[Gross Amount]]*Sales[[#This Row],[Disc %]]</f>
        <v>1310.3999999999999</v>
      </c>
      <c r="L302" s="43">
        <v>0.18</v>
      </c>
      <c r="M302" s="46">
        <f>(Sales[[#This Row],[Gross Amount]]-Sales[[#This Row],[Disc. Amt.]])*Sales[[#This Row],[GST %]]</f>
        <v>1729.7280000000001</v>
      </c>
      <c r="N302" s="161">
        <f>Sales[[#This Row],[Gross Amount]]-Sales[[#This Row],[Disc. Amt.]]+Sales[[#This Row],[GST Amount]]</f>
        <v>11339.328000000001</v>
      </c>
      <c r="O302" s="34" t="s">
        <v>3566</v>
      </c>
      <c r="P302" s="34" t="s">
        <v>3562</v>
      </c>
      <c r="Q302" s="165">
        <f>IF(Sales[[#This Row],[Status]]="Cancelled",0,Sales[[#This Row],[Qty]])</f>
        <v>4</v>
      </c>
      <c r="R302" s="166">
        <f>IF(Sales[[#This Row],[Status]]="Cancelled",0,Sales[[#This Row],[Total Amount]])</f>
        <v>11339.328000000001</v>
      </c>
      <c r="S302" s="162">
        <f>SUM(Sales[Net Amount])</f>
        <v>406839287.73200053</v>
      </c>
    </row>
    <row r="303" spans="1:19" ht="18.75" x14ac:dyDescent="0.25">
      <c r="A303" s="156" t="s">
        <v>3870</v>
      </c>
      <c r="B303" s="157">
        <v>45795</v>
      </c>
      <c r="C303" s="158" t="s">
        <v>880</v>
      </c>
      <c r="D303" s="159" t="str">
        <f>VLOOKUP(Sales[[#This Row],[Customer ID]],Customer[#All],2,0)</f>
        <v>Rahul Sharma</v>
      </c>
      <c r="E303" s="158" t="s">
        <v>527</v>
      </c>
      <c r="F303" s="158" t="str">
        <f>VLOOKUP(Sales[[#This Row],[Product ID]],Product[#All],2,0)</f>
        <v>Acer Laptop</v>
      </c>
      <c r="G303" s="159">
        <v>1</v>
      </c>
      <c r="H303" s="160">
        <f>VLOOKUP(Sales[[#This Row],[Product ID]],Product[#All],7,0)</f>
        <v>29070</v>
      </c>
      <c r="I303" s="160">
        <f>Sales[[#This Row],[Selling Rate]]*Sales[[#This Row],[Qty]]</f>
        <v>29070</v>
      </c>
      <c r="J303" s="43">
        <v>0.15</v>
      </c>
      <c r="K303" s="44">
        <f>Sales[[#This Row],[Gross Amount]]*Sales[[#This Row],[Disc %]]</f>
        <v>4360.5</v>
      </c>
      <c r="L303" s="43">
        <v>0.18</v>
      </c>
      <c r="M303" s="44">
        <f>(Sales[[#This Row],[Gross Amount]]-Sales[[#This Row],[Disc. Amt.]])*Sales[[#This Row],[GST %]]</f>
        <v>4447.71</v>
      </c>
      <c r="N303" s="161">
        <f>Sales[[#This Row],[Gross Amount]]-Sales[[#This Row],[Disc. Amt.]]+Sales[[#This Row],[GST Amount]]</f>
        <v>29157.21</v>
      </c>
      <c r="O303" s="158" t="s">
        <v>8876</v>
      </c>
      <c r="P303" s="158" t="s">
        <v>3562</v>
      </c>
      <c r="Q303" s="160">
        <f>IF(Sales[[#This Row],[Status]]="Cancelled",0,Sales[[#This Row],[Qty]])</f>
        <v>1</v>
      </c>
      <c r="R303" s="161">
        <f>IF(Sales[[#This Row],[Status]]="Cancelled",0,Sales[[#This Row],[Total Amount]])</f>
        <v>29157.21</v>
      </c>
      <c r="S303" s="162">
        <f>SUM(Sales[Net Amount])</f>
        <v>406839287.73200053</v>
      </c>
    </row>
    <row r="304" spans="1:19" ht="18.75" x14ac:dyDescent="0.25">
      <c r="A304" s="163" t="s">
        <v>3871</v>
      </c>
      <c r="B304" s="164">
        <v>45795</v>
      </c>
      <c r="C304" s="34" t="s">
        <v>709</v>
      </c>
      <c r="D304" s="53" t="str">
        <f>VLOOKUP(Sales[[#This Row],[Customer ID]],Customer[#All],2,0)</f>
        <v>Ankit Kumar</v>
      </c>
      <c r="E304" s="34" t="s">
        <v>414</v>
      </c>
      <c r="F304" s="34" t="str">
        <f>VLOOKUP(Sales[[#This Row],[Product ID]],Product[#All],2,0)</f>
        <v>Logitech Keyboard</v>
      </c>
      <c r="G304" s="53">
        <v>1</v>
      </c>
      <c r="H304" s="165">
        <f>VLOOKUP(Sales[[#This Row],[Product ID]],Product[#All],7,0)</f>
        <v>2030</v>
      </c>
      <c r="I304" s="165">
        <f>Sales[[#This Row],[Selling Rate]]*Sales[[#This Row],[Qty]]</f>
        <v>2030</v>
      </c>
      <c r="J304" s="45">
        <v>0.12</v>
      </c>
      <c r="K304" s="46">
        <f>Sales[[#This Row],[Gross Amount]]*Sales[[#This Row],[Disc %]]</f>
        <v>243.6</v>
      </c>
      <c r="L304" s="43">
        <v>0.18</v>
      </c>
      <c r="M304" s="46">
        <f>(Sales[[#This Row],[Gross Amount]]-Sales[[#This Row],[Disc. Amt.]])*Sales[[#This Row],[GST %]]</f>
        <v>321.55200000000002</v>
      </c>
      <c r="N304" s="161">
        <f>Sales[[#This Row],[Gross Amount]]-Sales[[#This Row],[Disc. Amt.]]+Sales[[#This Row],[GST Amount]]</f>
        <v>2107.9520000000002</v>
      </c>
      <c r="O304" s="34" t="s">
        <v>3561</v>
      </c>
      <c r="P304" s="34" t="s">
        <v>3562</v>
      </c>
      <c r="Q304" s="165">
        <f>IF(Sales[[#This Row],[Status]]="Cancelled",0,Sales[[#This Row],[Qty]])</f>
        <v>1</v>
      </c>
      <c r="R304" s="166">
        <f>IF(Sales[[#This Row],[Status]]="Cancelled",0,Sales[[#This Row],[Total Amount]])</f>
        <v>2107.9520000000002</v>
      </c>
      <c r="S304" s="162">
        <f>SUM(Sales[Net Amount])</f>
        <v>406839287.73200053</v>
      </c>
    </row>
    <row r="305" spans="1:19" ht="18.75" x14ac:dyDescent="0.25">
      <c r="A305" s="156" t="s">
        <v>3872</v>
      </c>
      <c r="B305" s="157">
        <v>45795</v>
      </c>
      <c r="C305" s="158" t="s">
        <v>763</v>
      </c>
      <c r="D305" s="159" t="str">
        <f>VLOOKUP(Sales[[#This Row],[Customer ID]],Customer[#All],2,0)</f>
        <v>Pooja Verma</v>
      </c>
      <c r="E305" s="158" t="s">
        <v>110</v>
      </c>
      <c r="F305" s="158" t="str">
        <f>VLOOKUP(Sales[[#This Row],[Product ID]],Product[#All],2,0)</f>
        <v>Lenovo Laptop</v>
      </c>
      <c r="G305" s="159">
        <v>6</v>
      </c>
      <c r="H305" s="160">
        <f>VLOOKUP(Sales[[#This Row],[Product ID]],Product[#All],7,0)</f>
        <v>66670</v>
      </c>
      <c r="I305" s="160">
        <f>Sales[[#This Row],[Selling Rate]]*Sales[[#This Row],[Qty]]</f>
        <v>400020</v>
      </c>
      <c r="J305" s="43">
        <v>0.05</v>
      </c>
      <c r="K305" s="44">
        <f>Sales[[#This Row],[Gross Amount]]*Sales[[#This Row],[Disc %]]</f>
        <v>20001</v>
      </c>
      <c r="L305" s="43">
        <v>0.18</v>
      </c>
      <c r="M305" s="44">
        <f>(Sales[[#This Row],[Gross Amount]]-Sales[[#This Row],[Disc. Amt.]])*Sales[[#This Row],[GST %]]</f>
        <v>68403.42</v>
      </c>
      <c r="N305" s="161">
        <f>Sales[[#This Row],[Gross Amount]]-Sales[[#This Row],[Disc. Amt.]]+Sales[[#This Row],[GST Amount]]</f>
        <v>448422.42</v>
      </c>
      <c r="O305" s="158" t="s">
        <v>8876</v>
      </c>
      <c r="P305" s="158" t="s">
        <v>3562</v>
      </c>
      <c r="Q305" s="160">
        <f>IF(Sales[[#This Row],[Status]]="Cancelled",0,Sales[[#This Row],[Qty]])</f>
        <v>6</v>
      </c>
      <c r="R305" s="161">
        <f>IF(Sales[[#This Row],[Status]]="Cancelled",0,Sales[[#This Row],[Total Amount]])</f>
        <v>448422.42</v>
      </c>
      <c r="S305" s="162">
        <f>SUM(Sales[Net Amount])</f>
        <v>406839287.73200053</v>
      </c>
    </row>
    <row r="306" spans="1:19" ht="18.75" x14ac:dyDescent="0.25">
      <c r="A306" s="163" t="s">
        <v>3873</v>
      </c>
      <c r="B306" s="164">
        <v>45795</v>
      </c>
      <c r="C306" s="34" t="s">
        <v>869</v>
      </c>
      <c r="D306" s="53" t="str">
        <f>VLOOKUP(Sales[[#This Row],[Customer ID]],Customer[#All],2,0)</f>
        <v>Rakesh Patel</v>
      </c>
      <c r="E306" s="34" t="s">
        <v>106</v>
      </c>
      <c r="F306" s="34" t="str">
        <f>VLOOKUP(Sales[[#This Row],[Product ID]],Product[#All],2,0)</f>
        <v>Corsair Ram</v>
      </c>
      <c r="G306" s="53">
        <v>8</v>
      </c>
      <c r="H306" s="165">
        <f>VLOOKUP(Sales[[#This Row],[Product ID]],Product[#All],7,0)</f>
        <v>7990</v>
      </c>
      <c r="I306" s="165">
        <f>Sales[[#This Row],[Selling Rate]]*Sales[[#This Row],[Qty]]</f>
        <v>63920</v>
      </c>
      <c r="J306" s="45">
        <v>0.02</v>
      </c>
      <c r="K306" s="46">
        <f>Sales[[#This Row],[Gross Amount]]*Sales[[#This Row],[Disc %]]</f>
        <v>1278.4000000000001</v>
      </c>
      <c r="L306" s="43">
        <v>0.18</v>
      </c>
      <c r="M306" s="46">
        <f>(Sales[[#This Row],[Gross Amount]]-Sales[[#This Row],[Disc. Amt.]])*Sales[[#This Row],[GST %]]</f>
        <v>11275.487999999999</v>
      </c>
      <c r="N306" s="161">
        <f>Sales[[#This Row],[Gross Amount]]-Sales[[#This Row],[Disc. Amt.]]+Sales[[#This Row],[GST Amount]]</f>
        <v>73917.088000000003</v>
      </c>
      <c r="O306" s="34" t="s">
        <v>3561</v>
      </c>
      <c r="P306" s="34" t="s">
        <v>3562</v>
      </c>
      <c r="Q306" s="165">
        <f>IF(Sales[[#This Row],[Status]]="Cancelled",0,Sales[[#This Row],[Qty]])</f>
        <v>8</v>
      </c>
      <c r="R306" s="166">
        <f>IF(Sales[[#This Row],[Status]]="Cancelled",0,Sales[[#This Row],[Total Amount]])</f>
        <v>73917.088000000003</v>
      </c>
      <c r="S306" s="162">
        <f>SUM(Sales[Net Amount])</f>
        <v>406839287.73200053</v>
      </c>
    </row>
    <row r="307" spans="1:19" ht="18.75" x14ac:dyDescent="0.25">
      <c r="A307" s="156" t="s">
        <v>3874</v>
      </c>
      <c r="B307" s="157">
        <v>45795</v>
      </c>
      <c r="C307" s="158" t="s">
        <v>920</v>
      </c>
      <c r="D307" s="159" t="str">
        <f>VLOOKUP(Sales[[#This Row],[Customer ID]],Customer[#All],2,0)</f>
        <v>Rakesh Sharma</v>
      </c>
      <c r="E307" s="158" t="s">
        <v>478</v>
      </c>
      <c r="F307" s="158" t="str">
        <f>VLOOKUP(Sales[[#This Row],[Product ID]],Product[#All],2,0)</f>
        <v>American TouristerLaptopBag</v>
      </c>
      <c r="G307" s="159">
        <v>7</v>
      </c>
      <c r="H307" s="160">
        <f>VLOOKUP(Sales[[#This Row],[Product ID]],Product[#All],7,0)</f>
        <v>6010</v>
      </c>
      <c r="I307" s="160">
        <f>Sales[[#This Row],[Selling Rate]]*Sales[[#This Row],[Qty]]</f>
        <v>42070</v>
      </c>
      <c r="J307" s="43">
        <v>0.05</v>
      </c>
      <c r="K307" s="44">
        <f>Sales[[#This Row],[Gross Amount]]*Sales[[#This Row],[Disc %]]</f>
        <v>2103.5</v>
      </c>
      <c r="L307" s="43">
        <v>0.18</v>
      </c>
      <c r="M307" s="44">
        <f>(Sales[[#This Row],[Gross Amount]]-Sales[[#This Row],[Disc. Amt.]])*Sales[[#This Row],[GST %]]</f>
        <v>7193.9699999999993</v>
      </c>
      <c r="N307" s="161">
        <f>Sales[[#This Row],[Gross Amount]]-Sales[[#This Row],[Disc. Amt.]]+Sales[[#This Row],[GST Amount]]</f>
        <v>47160.47</v>
      </c>
      <c r="O307" s="158" t="s">
        <v>3566</v>
      </c>
      <c r="P307" s="158" t="s">
        <v>3562</v>
      </c>
      <c r="Q307" s="160">
        <f>IF(Sales[[#This Row],[Status]]="Cancelled",0,Sales[[#This Row],[Qty]])</f>
        <v>7</v>
      </c>
      <c r="R307" s="161">
        <f>IF(Sales[[#This Row],[Status]]="Cancelled",0,Sales[[#This Row],[Total Amount]])</f>
        <v>47160.47</v>
      </c>
      <c r="S307" s="162">
        <f>SUM(Sales[Net Amount])</f>
        <v>406839287.73200053</v>
      </c>
    </row>
    <row r="308" spans="1:19" ht="18.75" x14ac:dyDescent="0.25">
      <c r="A308" s="163" t="s">
        <v>3875</v>
      </c>
      <c r="B308" s="164">
        <v>45795</v>
      </c>
      <c r="C308" s="34" t="s">
        <v>740</v>
      </c>
      <c r="D308" s="53" t="str">
        <f>VLOOKUP(Sales[[#This Row],[Customer ID]],Customer[#All],2,0)</f>
        <v>Vikas Gupta</v>
      </c>
      <c r="E308" s="34" t="s">
        <v>154</v>
      </c>
      <c r="F308" s="34" t="str">
        <f>VLOOKUP(Sales[[#This Row],[Product ID]],Product[#All],2,0)</f>
        <v>Epson Printer</v>
      </c>
      <c r="G308" s="53">
        <v>8</v>
      </c>
      <c r="H308" s="165">
        <f>VLOOKUP(Sales[[#This Row],[Product ID]],Product[#All],7,0)</f>
        <v>46220</v>
      </c>
      <c r="I308" s="165">
        <f>Sales[[#This Row],[Selling Rate]]*Sales[[#This Row],[Qty]]</f>
        <v>369760</v>
      </c>
      <c r="J308" s="45">
        <v>0.02</v>
      </c>
      <c r="K308" s="46">
        <f>Sales[[#This Row],[Gross Amount]]*Sales[[#This Row],[Disc %]]</f>
        <v>7395.2</v>
      </c>
      <c r="L308" s="43">
        <v>0.18</v>
      </c>
      <c r="M308" s="46">
        <f>(Sales[[#This Row],[Gross Amount]]-Sales[[#This Row],[Disc. Amt.]])*Sales[[#This Row],[GST %]]</f>
        <v>65225.663999999997</v>
      </c>
      <c r="N308" s="161">
        <f>Sales[[#This Row],[Gross Amount]]-Sales[[#This Row],[Disc. Amt.]]+Sales[[#This Row],[GST Amount]]</f>
        <v>427590.46399999998</v>
      </c>
      <c r="O308" s="34" t="s">
        <v>3566</v>
      </c>
      <c r="P308" s="34" t="s">
        <v>3562</v>
      </c>
      <c r="Q308" s="165">
        <f>IF(Sales[[#This Row],[Status]]="Cancelled",0,Sales[[#This Row],[Qty]])</f>
        <v>8</v>
      </c>
      <c r="R308" s="166">
        <f>IF(Sales[[#This Row],[Status]]="Cancelled",0,Sales[[#This Row],[Total Amount]])</f>
        <v>427590.46399999998</v>
      </c>
      <c r="S308" s="162">
        <f>SUM(Sales[Net Amount])</f>
        <v>406839287.73200053</v>
      </c>
    </row>
    <row r="309" spans="1:19" ht="18.75" x14ac:dyDescent="0.25">
      <c r="A309" s="156" t="s">
        <v>3876</v>
      </c>
      <c r="B309" s="157">
        <v>45795</v>
      </c>
      <c r="C309" s="158" t="s">
        <v>799</v>
      </c>
      <c r="D309" s="159" t="str">
        <f>VLOOKUP(Sales[[#This Row],[Customer ID]],Customer[#All],2,0)</f>
        <v>Rakesh Gupta</v>
      </c>
      <c r="E309" s="158" t="s">
        <v>547</v>
      </c>
      <c r="F309" s="158" t="str">
        <f>VLOOKUP(Sales[[#This Row],[Product ID]],Product[#All],2,0)</f>
        <v>Samsung Monitor</v>
      </c>
      <c r="G309" s="159">
        <v>2</v>
      </c>
      <c r="H309" s="160">
        <f>VLOOKUP(Sales[[#This Row],[Product ID]],Product[#All],7,0)</f>
        <v>33340</v>
      </c>
      <c r="I309" s="160">
        <f>Sales[[#This Row],[Selling Rate]]*Sales[[#This Row],[Qty]]</f>
        <v>66680</v>
      </c>
      <c r="J309" s="43">
        <v>0.05</v>
      </c>
      <c r="K309" s="44">
        <f>Sales[[#This Row],[Gross Amount]]*Sales[[#This Row],[Disc %]]</f>
        <v>3334</v>
      </c>
      <c r="L309" s="43">
        <v>0.18</v>
      </c>
      <c r="M309" s="44">
        <f>(Sales[[#This Row],[Gross Amount]]-Sales[[#This Row],[Disc. Amt.]])*Sales[[#This Row],[GST %]]</f>
        <v>11402.279999999999</v>
      </c>
      <c r="N309" s="161">
        <f>Sales[[#This Row],[Gross Amount]]-Sales[[#This Row],[Disc. Amt.]]+Sales[[#This Row],[GST Amount]]</f>
        <v>74748.28</v>
      </c>
      <c r="O309" s="158" t="s">
        <v>8876</v>
      </c>
      <c r="P309" s="158" t="s">
        <v>3562</v>
      </c>
      <c r="Q309" s="160">
        <f>IF(Sales[[#This Row],[Status]]="Cancelled",0,Sales[[#This Row],[Qty]])</f>
        <v>2</v>
      </c>
      <c r="R309" s="161">
        <f>IF(Sales[[#This Row],[Status]]="Cancelled",0,Sales[[#This Row],[Total Amount]])</f>
        <v>74748.28</v>
      </c>
      <c r="S309" s="162">
        <f>SUM(Sales[Net Amount])</f>
        <v>406839287.73200053</v>
      </c>
    </row>
    <row r="310" spans="1:19" ht="18.75" x14ac:dyDescent="0.25">
      <c r="A310" s="163" t="s">
        <v>3877</v>
      </c>
      <c r="B310" s="164">
        <v>45795</v>
      </c>
      <c r="C310" s="34" t="s">
        <v>758</v>
      </c>
      <c r="D310" s="53" t="str">
        <f>VLOOKUP(Sales[[#This Row],[Customer ID]],Customer[#All],2,0)</f>
        <v>Rahul Verma</v>
      </c>
      <c r="E310" s="34" t="s">
        <v>141</v>
      </c>
      <c r="F310" s="34" t="str">
        <f>VLOOKUP(Sales[[#This Row],[Product ID]],Product[#All],2,0)</f>
        <v>WD HDD</v>
      </c>
      <c r="G310" s="53">
        <v>2</v>
      </c>
      <c r="H310" s="165">
        <f>VLOOKUP(Sales[[#This Row],[Product ID]],Product[#All],7,0)</f>
        <v>15230</v>
      </c>
      <c r="I310" s="165">
        <f>Sales[[#This Row],[Selling Rate]]*Sales[[#This Row],[Qty]]</f>
        <v>30460</v>
      </c>
      <c r="J310" s="45">
        <v>0</v>
      </c>
      <c r="K310" s="46">
        <f>Sales[[#This Row],[Gross Amount]]*Sales[[#This Row],[Disc %]]</f>
        <v>0</v>
      </c>
      <c r="L310" s="43">
        <v>0.18</v>
      </c>
      <c r="M310" s="46">
        <f>(Sales[[#This Row],[Gross Amount]]-Sales[[#This Row],[Disc. Amt.]])*Sales[[#This Row],[GST %]]</f>
        <v>5482.8</v>
      </c>
      <c r="N310" s="161">
        <f>Sales[[#This Row],[Gross Amount]]-Sales[[#This Row],[Disc. Amt.]]+Sales[[#This Row],[GST Amount]]</f>
        <v>35942.800000000003</v>
      </c>
      <c r="O310" s="34" t="s">
        <v>3566</v>
      </c>
      <c r="P310" s="34" t="s">
        <v>3562</v>
      </c>
      <c r="Q310" s="165">
        <f>IF(Sales[[#This Row],[Status]]="Cancelled",0,Sales[[#This Row],[Qty]])</f>
        <v>2</v>
      </c>
      <c r="R310" s="166">
        <f>IF(Sales[[#This Row],[Status]]="Cancelled",0,Sales[[#This Row],[Total Amount]])</f>
        <v>35942.800000000003</v>
      </c>
      <c r="S310" s="162">
        <f>SUM(Sales[Net Amount])</f>
        <v>406839287.73200053</v>
      </c>
    </row>
    <row r="311" spans="1:19" ht="18.75" x14ac:dyDescent="0.25">
      <c r="A311" s="156" t="s">
        <v>3878</v>
      </c>
      <c r="B311" s="157">
        <v>45795</v>
      </c>
      <c r="C311" s="158" t="s">
        <v>3879</v>
      </c>
      <c r="D311" s="159" t="str">
        <f>VLOOKUP(Sales[[#This Row],[Customer ID]],Customer[#All],2,0)</f>
        <v>Rakesh Kumar</v>
      </c>
      <c r="E311" s="158" t="s">
        <v>554</v>
      </c>
      <c r="F311" s="158" t="str">
        <f>VLOOKUP(Sales[[#This Row],[Product ID]],Product[#All],2,0)</f>
        <v>TP-link Router</v>
      </c>
      <c r="G311" s="159">
        <v>3</v>
      </c>
      <c r="H311" s="160">
        <f>VLOOKUP(Sales[[#This Row],[Product ID]],Product[#All],7,0)</f>
        <v>6320</v>
      </c>
      <c r="I311" s="160">
        <f>Sales[[#This Row],[Selling Rate]]*Sales[[#This Row],[Qty]]</f>
        <v>18960</v>
      </c>
      <c r="J311" s="43">
        <v>0.05</v>
      </c>
      <c r="K311" s="44">
        <f>Sales[[#This Row],[Gross Amount]]*Sales[[#This Row],[Disc %]]</f>
        <v>948</v>
      </c>
      <c r="L311" s="43">
        <v>0.18</v>
      </c>
      <c r="M311" s="44">
        <f>(Sales[[#This Row],[Gross Amount]]-Sales[[#This Row],[Disc. Amt.]])*Sales[[#This Row],[GST %]]</f>
        <v>3242.16</v>
      </c>
      <c r="N311" s="161">
        <f>Sales[[#This Row],[Gross Amount]]-Sales[[#This Row],[Disc. Amt.]]+Sales[[#This Row],[GST Amount]]</f>
        <v>21254.16</v>
      </c>
      <c r="O311" s="158" t="s">
        <v>8876</v>
      </c>
      <c r="P311" s="158" t="s">
        <v>3562</v>
      </c>
      <c r="Q311" s="160">
        <f>IF(Sales[[#This Row],[Status]]="Cancelled",0,Sales[[#This Row],[Qty]])</f>
        <v>3</v>
      </c>
      <c r="R311" s="161">
        <f>IF(Sales[[#This Row],[Status]]="Cancelled",0,Sales[[#This Row],[Total Amount]])</f>
        <v>21254.16</v>
      </c>
      <c r="S311" s="162">
        <f>SUM(Sales[Net Amount])</f>
        <v>406839287.73200053</v>
      </c>
    </row>
    <row r="312" spans="1:19" ht="18.75" x14ac:dyDescent="0.25">
      <c r="A312" s="163" t="s">
        <v>3880</v>
      </c>
      <c r="B312" s="164">
        <v>45795</v>
      </c>
      <c r="C312" s="34" t="s">
        <v>817</v>
      </c>
      <c r="D312" s="53" t="str">
        <f>VLOOKUP(Sales[[#This Row],[Customer ID]],Customer[#All],2,0)</f>
        <v>Ankit Patel</v>
      </c>
      <c r="E312" s="34" t="s">
        <v>136</v>
      </c>
      <c r="F312" s="34" t="str">
        <f>VLOOKUP(Sales[[#This Row],[Product ID]],Product[#All],2,0)</f>
        <v>HP Laptop</v>
      </c>
      <c r="G312" s="53">
        <v>3</v>
      </c>
      <c r="H312" s="165">
        <f>VLOOKUP(Sales[[#This Row],[Product ID]],Product[#All],7,0)</f>
        <v>33050</v>
      </c>
      <c r="I312" s="165">
        <f>Sales[[#This Row],[Selling Rate]]*Sales[[#This Row],[Qty]]</f>
        <v>99150</v>
      </c>
      <c r="J312" s="45">
        <v>0</v>
      </c>
      <c r="K312" s="46">
        <f>Sales[[#This Row],[Gross Amount]]*Sales[[#This Row],[Disc %]]</f>
        <v>0</v>
      </c>
      <c r="L312" s="43">
        <v>0.18</v>
      </c>
      <c r="M312" s="46">
        <f>(Sales[[#This Row],[Gross Amount]]-Sales[[#This Row],[Disc. Amt.]])*Sales[[#This Row],[GST %]]</f>
        <v>17847</v>
      </c>
      <c r="N312" s="161">
        <f>Sales[[#This Row],[Gross Amount]]-Sales[[#This Row],[Disc. Amt.]]+Sales[[#This Row],[GST Amount]]</f>
        <v>116997</v>
      </c>
      <c r="O312" s="34" t="s">
        <v>3561</v>
      </c>
      <c r="P312" s="34" t="s">
        <v>3562</v>
      </c>
      <c r="Q312" s="165">
        <f>IF(Sales[[#This Row],[Status]]="Cancelled",0,Sales[[#This Row],[Qty]])</f>
        <v>3</v>
      </c>
      <c r="R312" s="166">
        <f>IF(Sales[[#This Row],[Status]]="Cancelled",0,Sales[[#This Row],[Total Amount]])</f>
        <v>116997</v>
      </c>
      <c r="S312" s="162">
        <f>SUM(Sales[Net Amount])</f>
        <v>406839287.73200053</v>
      </c>
    </row>
    <row r="313" spans="1:19" ht="18.75" x14ac:dyDescent="0.25">
      <c r="A313" s="156" t="s">
        <v>3881</v>
      </c>
      <c r="B313" s="157">
        <v>45795</v>
      </c>
      <c r="C313" s="158" t="s">
        <v>703</v>
      </c>
      <c r="D313" s="159" t="str">
        <f>VLOOKUP(Sales[[#This Row],[Customer ID]],Customer[#All],2,0)</f>
        <v>Rahul Singh</v>
      </c>
      <c r="E313" s="158" t="s">
        <v>393</v>
      </c>
      <c r="F313" s="158" t="str">
        <f>VLOOKUP(Sales[[#This Row],[Product ID]],Product[#All],2,0)</f>
        <v>American TouristerLaptopBag</v>
      </c>
      <c r="G313" s="159">
        <v>8</v>
      </c>
      <c r="H313" s="160">
        <f>VLOOKUP(Sales[[#This Row],[Product ID]],Product[#All],7,0)</f>
        <v>3240</v>
      </c>
      <c r="I313" s="160">
        <f>Sales[[#This Row],[Selling Rate]]*Sales[[#This Row],[Qty]]</f>
        <v>25920</v>
      </c>
      <c r="J313" s="43">
        <v>0.1</v>
      </c>
      <c r="K313" s="44">
        <f>Sales[[#This Row],[Gross Amount]]*Sales[[#This Row],[Disc %]]</f>
        <v>2592</v>
      </c>
      <c r="L313" s="43">
        <v>0.18</v>
      </c>
      <c r="M313" s="44">
        <f>(Sales[[#This Row],[Gross Amount]]-Sales[[#This Row],[Disc. Amt.]])*Sales[[#This Row],[GST %]]</f>
        <v>4199.04</v>
      </c>
      <c r="N313" s="161">
        <f>Sales[[#This Row],[Gross Amount]]-Sales[[#This Row],[Disc. Amt.]]+Sales[[#This Row],[GST Amount]]</f>
        <v>27527.040000000001</v>
      </c>
      <c r="O313" s="158" t="s">
        <v>3569</v>
      </c>
      <c r="P313" s="158" t="s">
        <v>3562</v>
      </c>
      <c r="Q313" s="160">
        <f>IF(Sales[[#This Row],[Status]]="Cancelled",0,Sales[[#This Row],[Qty]])</f>
        <v>8</v>
      </c>
      <c r="R313" s="161">
        <f>IF(Sales[[#This Row],[Status]]="Cancelled",0,Sales[[#This Row],[Total Amount]])</f>
        <v>27527.040000000001</v>
      </c>
      <c r="S313" s="162">
        <f>SUM(Sales[Net Amount])</f>
        <v>406839287.73200053</v>
      </c>
    </row>
    <row r="314" spans="1:19" ht="18.75" x14ac:dyDescent="0.25">
      <c r="A314" s="163" t="s">
        <v>3882</v>
      </c>
      <c r="B314" s="164">
        <v>45795</v>
      </c>
      <c r="C314" s="34" t="s">
        <v>683</v>
      </c>
      <c r="D314" s="53" t="str">
        <f>VLOOKUP(Sales[[#This Row],[Customer ID]],Customer[#All],2,0)</f>
        <v>Rahul Kumar</v>
      </c>
      <c r="E314" s="34" t="s">
        <v>251</v>
      </c>
      <c r="F314" s="34" t="str">
        <f>VLOOKUP(Sales[[#This Row],[Product ID]],Product[#All],2,0)</f>
        <v>Corsair Ram</v>
      </c>
      <c r="G314" s="53">
        <v>7</v>
      </c>
      <c r="H314" s="165">
        <f>VLOOKUP(Sales[[#This Row],[Product ID]],Product[#All],7,0)</f>
        <v>2890</v>
      </c>
      <c r="I314" s="165">
        <f>Sales[[#This Row],[Selling Rate]]*Sales[[#This Row],[Qty]]</f>
        <v>20230</v>
      </c>
      <c r="J314" s="45">
        <v>0.02</v>
      </c>
      <c r="K314" s="46">
        <f>Sales[[#This Row],[Gross Amount]]*Sales[[#This Row],[Disc %]]</f>
        <v>404.6</v>
      </c>
      <c r="L314" s="43">
        <v>0.18</v>
      </c>
      <c r="M314" s="46">
        <f>(Sales[[#This Row],[Gross Amount]]-Sales[[#This Row],[Disc. Amt.]])*Sales[[#This Row],[GST %]]</f>
        <v>3568.5720000000001</v>
      </c>
      <c r="N314" s="161">
        <f>Sales[[#This Row],[Gross Amount]]-Sales[[#This Row],[Disc. Amt.]]+Sales[[#This Row],[GST Amount]]</f>
        <v>23393.972000000002</v>
      </c>
      <c r="O314" s="34" t="s">
        <v>3569</v>
      </c>
      <c r="P314" s="34" t="s">
        <v>3562</v>
      </c>
      <c r="Q314" s="165">
        <f>IF(Sales[[#This Row],[Status]]="Cancelled",0,Sales[[#This Row],[Qty]])</f>
        <v>7</v>
      </c>
      <c r="R314" s="166">
        <f>IF(Sales[[#This Row],[Status]]="Cancelled",0,Sales[[#This Row],[Total Amount]])</f>
        <v>23393.972000000002</v>
      </c>
      <c r="S314" s="162">
        <f>SUM(Sales[Net Amount])</f>
        <v>406839287.73200053</v>
      </c>
    </row>
    <row r="315" spans="1:19" ht="18.75" x14ac:dyDescent="0.25">
      <c r="A315" s="156" t="s">
        <v>3883</v>
      </c>
      <c r="B315" s="157">
        <v>45795</v>
      </c>
      <c r="C315" s="158" t="s">
        <v>675</v>
      </c>
      <c r="D315" s="159" t="str">
        <f>VLOOKUP(Sales[[#This Row],[Customer ID]],Customer[#All],2,0)</f>
        <v>Rahul Gupta</v>
      </c>
      <c r="E315" s="158" t="s">
        <v>228</v>
      </c>
      <c r="F315" s="158" t="str">
        <f>VLOOKUP(Sales[[#This Row],[Product ID]],Product[#All],2,0)</f>
        <v>Samsung Monitor</v>
      </c>
      <c r="G315" s="159">
        <v>4</v>
      </c>
      <c r="H315" s="160">
        <f>VLOOKUP(Sales[[#This Row],[Product ID]],Product[#All],7,0)</f>
        <v>29600</v>
      </c>
      <c r="I315" s="160">
        <f>Sales[[#This Row],[Selling Rate]]*Sales[[#This Row],[Qty]]</f>
        <v>118400</v>
      </c>
      <c r="J315" s="43">
        <v>0</v>
      </c>
      <c r="K315" s="44">
        <f>Sales[[#This Row],[Gross Amount]]*Sales[[#This Row],[Disc %]]</f>
        <v>0</v>
      </c>
      <c r="L315" s="43">
        <v>0.18</v>
      </c>
      <c r="M315" s="44">
        <f>(Sales[[#This Row],[Gross Amount]]-Sales[[#This Row],[Disc. Amt.]])*Sales[[#This Row],[GST %]]</f>
        <v>21312</v>
      </c>
      <c r="N315" s="161">
        <f>Sales[[#This Row],[Gross Amount]]-Sales[[#This Row],[Disc. Amt.]]+Sales[[#This Row],[GST Amount]]</f>
        <v>139712</v>
      </c>
      <c r="O315" s="158" t="s">
        <v>3566</v>
      </c>
      <c r="P315" s="158" t="s">
        <v>3562</v>
      </c>
      <c r="Q315" s="160">
        <f>IF(Sales[[#This Row],[Status]]="Cancelled",0,Sales[[#This Row],[Qty]])</f>
        <v>4</v>
      </c>
      <c r="R315" s="161">
        <f>IF(Sales[[#This Row],[Status]]="Cancelled",0,Sales[[#This Row],[Total Amount]])</f>
        <v>139712</v>
      </c>
      <c r="S315" s="162">
        <f>SUM(Sales[Net Amount])</f>
        <v>406839287.73200053</v>
      </c>
    </row>
    <row r="316" spans="1:19" ht="18.75" x14ac:dyDescent="0.25">
      <c r="A316" s="163" t="s">
        <v>3884</v>
      </c>
      <c r="B316" s="164">
        <v>45796</v>
      </c>
      <c r="C316" s="34" t="s">
        <v>794</v>
      </c>
      <c r="D316" s="53" t="str">
        <f>VLOOKUP(Sales[[#This Row],[Customer ID]],Customer[#All],2,0)</f>
        <v>Sunita Sharma</v>
      </c>
      <c r="E316" s="34" t="s">
        <v>445</v>
      </c>
      <c r="F316" s="34" t="str">
        <f>VLOOKUP(Sales[[#This Row],[Product ID]],Product[#All],2,0)</f>
        <v>Lenovo Laptop</v>
      </c>
      <c r="G316" s="53">
        <v>7</v>
      </c>
      <c r="H316" s="165">
        <f>VLOOKUP(Sales[[#This Row],[Product ID]],Product[#All],7,0)</f>
        <v>37710</v>
      </c>
      <c r="I316" s="165">
        <f>Sales[[#This Row],[Selling Rate]]*Sales[[#This Row],[Qty]]</f>
        <v>263970</v>
      </c>
      <c r="J316" s="45">
        <v>0.1</v>
      </c>
      <c r="K316" s="46">
        <f>Sales[[#This Row],[Gross Amount]]*Sales[[#This Row],[Disc %]]</f>
        <v>26397</v>
      </c>
      <c r="L316" s="43">
        <v>0.18</v>
      </c>
      <c r="M316" s="46">
        <f>(Sales[[#This Row],[Gross Amount]]-Sales[[#This Row],[Disc. Amt.]])*Sales[[#This Row],[GST %]]</f>
        <v>42763.14</v>
      </c>
      <c r="N316" s="161">
        <f>Sales[[#This Row],[Gross Amount]]-Sales[[#This Row],[Disc. Amt.]]+Sales[[#This Row],[GST Amount]]</f>
        <v>280336.14</v>
      </c>
      <c r="O316" s="34" t="s">
        <v>3569</v>
      </c>
      <c r="P316" s="34" t="s">
        <v>3562</v>
      </c>
      <c r="Q316" s="165">
        <f>IF(Sales[[#This Row],[Status]]="Cancelled",0,Sales[[#This Row],[Qty]])</f>
        <v>7</v>
      </c>
      <c r="R316" s="166">
        <f>IF(Sales[[#This Row],[Status]]="Cancelled",0,Sales[[#This Row],[Total Amount]])</f>
        <v>280336.14</v>
      </c>
      <c r="S316" s="162">
        <f>SUM(Sales[Net Amount])</f>
        <v>406839287.73200053</v>
      </c>
    </row>
    <row r="317" spans="1:19" ht="18.75" x14ac:dyDescent="0.25">
      <c r="A317" s="156" t="s">
        <v>3885</v>
      </c>
      <c r="B317" s="157">
        <v>45796</v>
      </c>
      <c r="C317" s="158" t="s">
        <v>714</v>
      </c>
      <c r="D317" s="159" t="str">
        <f>VLOOKUP(Sales[[#This Row],[Customer ID]],Customer[#All],2,0)</f>
        <v>Rakesh Kumar</v>
      </c>
      <c r="E317" s="158" t="s">
        <v>113</v>
      </c>
      <c r="F317" s="158" t="str">
        <f>VLOOKUP(Sales[[#This Row],[Product ID]],Product[#All],2,0)</f>
        <v>HP Laptop</v>
      </c>
      <c r="G317" s="159">
        <v>1</v>
      </c>
      <c r="H317" s="160">
        <f>VLOOKUP(Sales[[#This Row],[Product ID]],Product[#All],7,0)</f>
        <v>92470</v>
      </c>
      <c r="I317" s="160">
        <f>Sales[[#This Row],[Selling Rate]]*Sales[[#This Row],[Qty]]</f>
        <v>92470</v>
      </c>
      <c r="J317" s="43">
        <v>0</v>
      </c>
      <c r="K317" s="44">
        <f>Sales[[#This Row],[Gross Amount]]*Sales[[#This Row],[Disc %]]</f>
        <v>0</v>
      </c>
      <c r="L317" s="43">
        <v>0.18</v>
      </c>
      <c r="M317" s="44">
        <f>(Sales[[#This Row],[Gross Amount]]-Sales[[#This Row],[Disc. Amt.]])*Sales[[#This Row],[GST %]]</f>
        <v>16644.599999999999</v>
      </c>
      <c r="N317" s="161">
        <f>Sales[[#This Row],[Gross Amount]]-Sales[[#This Row],[Disc. Amt.]]+Sales[[#This Row],[GST Amount]]</f>
        <v>109114.6</v>
      </c>
      <c r="O317" s="158" t="s">
        <v>3569</v>
      </c>
      <c r="P317" s="158" t="s">
        <v>3562</v>
      </c>
      <c r="Q317" s="160">
        <f>IF(Sales[[#This Row],[Status]]="Cancelled",0,Sales[[#This Row],[Qty]])</f>
        <v>1</v>
      </c>
      <c r="R317" s="161">
        <f>IF(Sales[[#This Row],[Status]]="Cancelled",0,Sales[[#This Row],[Total Amount]])</f>
        <v>109114.6</v>
      </c>
      <c r="S317" s="162">
        <f>SUM(Sales[Net Amount])</f>
        <v>406839287.73200053</v>
      </c>
    </row>
    <row r="318" spans="1:19" ht="18.75" x14ac:dyDescent="0.25">
      <c r="A318" s="163" t="s">
        <v>3886</v>
      </c>
      <c r="B318" s="164">
        <v>45796</v>
      </c>
      <c r="C318" s="34" t="s">
        <v>739</v>
      </c>
      <c r="D318" s="53" t="str">
        <f>VLOOKUP(Sales[[#This Row],[Customer ID]],Customer[#All],2,0)</f>
        <v>Ankit Singh</v>
      </c>
      <c r="E318" s="34" t="s">
        <v>242</v>
      </c>
      <c r="F318" s="34" t="str">
        <f>VLOOKUP(Sales[[#This Row],[Product ID]],Product[#All],2,0)</f>
        <v>HP Printer</v>
      </c>
      <c r="G318" s="53">
        <v>8</v>
      </c>
      <c r="H318" s="165">
        <f>VLOOKUP(Sales[[#This Row],[Product ID]],Product[#All],7,0)</f>
        <v>20380</v>
      </c>
      <c r="I318" s="165">
        <f>Sales[[#This Row],[Selling Rate]]*Sales[[#This Row],[Qty]]</f>
        <v>163040</v>
      </c>
      <c r="J318" s="45">
        <v>0.05</v>
      </c>
      <c r="K318" s="46">
        <f>Sales[[#This Row],[Gross Amount]]*Sales[[#This Row],[Disc %]]</f>
        <v>8152</v>
      </c>
      <c r="L318" s="43">
        <v>0.18</v>
      </c>
      <c r="M318" s="46">
        <f>(Sales[[#This Row],[Gross Amount]]-Sales[[#This Row],[Disc. Amt.]])*Sales[[#This Row],[GST %]]</f>
        <v>27879.84</v>
      </c>
      <c r="N318" s="161">
        <f>Sales[[#This Row],[Gross Amount]]-Sales[[#This Row],[Disc. Amt.]]+Sales[[#This Row],[GST Amount]]</f>
        <v>182767.84</v>
      </c>
      <c r="O318" s="34" t="s">
        <v>3561</v>
      </c>
      <c r="P318" s="34" t="s">
        <v>3562</v>
      </c>
      <c r="Q318" s="165">
        <f>IF(Sales[[#This Row],[Status]]="Cancelled",0,Sales[[#This Row],[Qty]])</f>
        <v>8</v>
      </c>
      <c r="R318" s="166">
        <f>IF(Sales[[#This Row],[Status]]="Cancelled",0,Sales[[#This Row],[Total Amount]])</f>
        <v>182767.84</v>
      </c>
      <c r="S318" s="162">
        <f>SUM(Sales[Net Amount])</f>
        <v>406839287.73200053</v>
      </c>
    </row>
    <row r="319" spans="1:19" ht="18.75" x14ac:dyDescent="0.25">
      <c r="A319" s="156" t="s">
        <v>3887</v>
      </c>
      <c r="B319" s="157">
        <v>45796</v>
      </c>
      <c r="C319" s="158" t="s">
        <v>894</v>
      </c>
      <c r="D319" s="159" t="str">
        <f>VLOOKUP(Sales[[#This Row],[Customer ID]],Customer[#All],2,0)</f>
        <v>Sunita Patel</v>
      </c>
      <c r="E319" s="158" t="s">
        <v>385</v>
      </c>
      <c r="F319" s="158" t="str">
        <f>VLOOKUP(Sales[[#This Row],[Product ID]],Product[#All],2,0)</f>
        <v>Boat Headset</v>
      </c>
      <c r="G319" s="159">
        <v>3</v>
      </c>
      <c r="H319" s="160">
        <f>VLOOKUP(Sales[[#This Row],[Product ID]],Product[#All],7,0)</f>
        <v>1280</v>
      </c>
      <c r="I319" s="160">
        <f>Sales[[#This Row],[Selling Rate]]*Sales[[#This Row],[Qty]]</f>
        <v>3840</v>
      </c>
      <c r="J319" s="43">
        <v>0.15</v>
      </c>
      <c r="K319" s="44">
        <f>Sales[[#This Row],[Gross Amount]]*Sales[[#This Row],[Disc %]]</f>
        <v>576</v>
      </c>
      <c r="L319" s="43">
        <v>0.18</v>
      </c>
      <c r="M319" s="44">
        <f>(Sales[[#This Row],[Gross Amount]]-Sales[[#This Row],[Disc. Amt.]])*Sales[[#This Row],[GST %]]</f>
        <v>587.52</v>
      </c>
      <c r="N319" s="161">
        <f>Sales[[#This Row],[Gross Amount]]-Sales[[#This Row],[Disc. Amt.]]+Sales[[#This Row],[GST Amount]]</f>
        <v>3851.52</v>
      </c>
      <c r="O319" s="158" t="s">
        <v>3569</v>
      </c>
      <c r="P319" s="158" t="s">
        <v>3562</v>
      </c>
      <c r="Q319" s="160">
        <f>IF(Sales[[#This Row],[Status]]="Cancelled",0,Sales[[#This Row],[Qty]])</f>
        <v>3</v>
      </c>
      <c r="R319" s="161">
        <f>IF(Sales[[#This Row],[Status]]="Cancelled",0,Sales[[#This Row],[Total Amount]])</f>
        <v>3851.52</v>
      </c>
      <c r="S319" s="162">
        <f>SUM(Sales[Net Amount])</f>
        <v>406839287.73200053</v>
      </c>
    </row>
    <row r="320" spans="1:19" ht="18.75" x14ac:dyDescent="0.25">
      <c r="A320" s="163" t="s">
        <v>3888</v>
      </c>
      <c r="B320" s="164">
        <v>45796</v>
      </c>
      <c r="C320" s="34" t="s">
        <v>694</v>
      </c>
      <c r="D320" s="53" t="str">
        <f>VLOOKUP(Sales[[#This Row],[Customer ID]],Customer[#All],2,0)</f>
        <v>Amit Sharma</v>
      </c>
      <c r="E320" s="34" t="s">
        <v>387</v>
      </c>
      <c r="F320" s="34" t="str">
        <f>VLOOKUP(Sales[[#This Row],[Product ID]],Product[#All],2,0)</f>
        <v>HP Printer</v>
      </c>
      <c r="G320" s="53">
        <v>1</v>
      </c>
      <c r="H320" s="165">
        <f>VLOOKUP(Sales[[#This Row],[Product ID]],Product[#All],7,0)</f>
        <v>14390</v>
      </c>
      <c r="I320" s="165">
        <f>Sales[[#This Row],[Selling Rate]]*Sales[[#This Row],[Qty]]</f>
        <v>14390</v>
      </c>
      <c r="J320" s="45">
        <v>0.02</v>
      </c>
      <c r="K320" s="46">
        <f>Sales[[#This Row],[Gross Amount]]*Sales[[#This Row],[Disc %]]</f>
        <v>287.8</v>
      </c>
      <c r="L320" s="43">
        <v>0.18</v>
      </c>
      <c r="M320" s="46">
        <f>(Sales[[#This Row],[Gross Amount]]-Sales[[#This Row],[Disc. Amt.]])*Sales[[#This Row],[GST %]]</f>
        <v>2538.3960000000002</v>
      </c>
      <c r="N320" s="161">
        <f>Sales[[#This Row],[Gross Amount]]-Sales[[#This Row],[Disc. Amt.]]+Sales[[#This Row],[GST Amount]]</f>
        <v>16640.596000000001</v>
      </c>
      <c r="O320" s="34" t="s">
        <v>3561</v>
      </c>
      <c r="P320" s="34" t="s">
        <v>3562</v>
      </c>
      <c r="Q320" s="165">
        <f>IF(Sales[[#This Row],[Status]]="Cancelled",0,Sales[[#This Row],[Qty]])</f>
        <v>1</v>
      </c>
      <c r="R320" s="166">
        <f>IF(Sales[[#This Row],[Status]]="Cancelled",0,Sales[[#This Row],[Total Amount]])</f>
        <v>16640.596000000001</v>
      </c>
      <c r="S320" s="162">
        <f>SUM(Sales[Net Amount])</f>
        <v>406839287.73200053</v>
      </c>
    </row>
    <row r="321" spans="1:19" ht="18.75" x14ac:dyDescent="0.25">
      <c r="A321" s="156" t="s">
        <v>3889</v>
      </c>
      <c r="B321" s="157">
        <v>45796</v>
      </c>
      <c r="C321" s="158" t="s">
        <v>828</v>
      </c>
      <c r="D321" s="159" t="str">
        <f>VLOOKUP(Sales[[#This Row],[Customer ID]],Customer[#All],2,0)</f>
        <v>Ankit Verma</v>
      </c>
      <c r="E321" s="158" t="s">
        <v>549</v>
      </c>
      <c r="F321" s="158" t="str">
        <f>VLOOKUP(Sales[[#This Row],[Product ID]],Product[#All],2,0)</f>
        <v>Boat Headset</v>
      </c>
      <c r="G321" s="159">
        <v>6</v>
      </c>
      <c r="H321" s="160">
        <f>VLOOKUP(Sales[[#This Row],[Product ID]],Product[#All],7,0)</f>
        <v>3390</v>
      </c>
      <c r="I321" s="160">
        <f>Sales[[#This Row],[Selling Rate]]*Sales[[#This Row],[Qty]]</f>
        <v>20340</v>
      </c>
      <c r="J321" s="43">
        <v>0.12</v>
      </c>
      <c r="K321" s="44">
        <f>Sales[[#This Row],[Gross Amount]]*Sales[[#This Row],[Disc %]]</f>
        <v>2440.7999999999997</v>
      </c>
      <c r="L321" s="43">
        <v>0.18</v>
      </c>
      <c r="M321" s="44">
        <f>(Sales[[#This Row],[Gross Amount]]-Sales[[#This Row],[Disc. Amt.]])*Sales[[#This Row],[GST %]]</f>
        <v>3221.8560000000002</v>
      </c>
      <c r="N321" s="161">
        <f>Sales[[#This Row],[Gross Amount]]-Sales[[#This Row],[Disc. Amt.]]+Sales[[#This Row],[GST Amount]]</f>
        <v>21121.056</v>
      </c>
      <c r="O321" s="158" t="s">
        <v>3561</v>
      </c>
      <c r="P321" s="158" t="s">
        <v>3562</v>
      </c>
      <c r="Q321" s="160">
        <f>IF(Sales[[#This Row],[Status]]="Cancelled",0,Sales[[#This Row],[Qty]])</f>
        <v>6</v>
      </c>
      <c r="R321" s="161">
        <f>IF(Sales[[#This Row],[Status]]="Cancelled",0,Sales[[#This Row],[Total Amount]])</f>
        <v>21121.056</v>
      </c>
      <c r="S321" s="162">
        <f>SUM(Sales[Net Amount])</f>
        <v>406839287.73200053</v>
      </c>
    </row>
    <row r="322" spans="1:19" ht="18.75" x14ac:dyDescent="0.25">
      <c r="A322" s="163" t="s">
        <v>3890</v>
      </c>
      <c r="B322" s="164">
        <v>45796</v>
      </c>
      <c r="C322" s="34" t="s">
        <v>711</v>
      </c>
      <c r="D322" s="53" t="str">
        <f>VLOOKUP(Sales[[#This Row],[Customer ID]],Customer[#All],2,0)</f>
        <v>Priya Verma</v>
      </c>
      <c r="E322" s="34" t="s">
        <v>193</v>
      </c>
      <c r="F322" s="34" t="str">
        <f>VLOOKUP(Sales[[#This Row],[Product ID]],Product[#All],2,0)</f>
        <v>Apc UPS</v>
      </c>
      <c r="G322" s="53">
        <v>6</v>
      </c>
      <c r="H322" s="165">
        <f>VLOOKUP(Sales[[#This Row],[Product ID]],Product[#All],7,0)</f>
        <v>18760</v>
      </c>
      <c r="I322" s="165">
        <f>Sales[[#This Row],[Selling Rate]]*Sales[[#This Row],[Qty]]</f>
        <v>112560</v>
      </c>
      <c r="J322" s="45">
        <v>0.15</v>
      </c>
      <c r="K322" s="46">
        <f>Sales[[#This Row],[Gross Amount]]*Sales[[#This Row],[Disc %]]</f>
        <v>16884</v>
      </c>
      <c r="L322" s="43">
        <v>0.18</v>
      </c>
      <c r="M322" s="46">
        <f>(Sales[[#This Row],[Gross Amount]]-Sales[[#This Row],[Disc. Amt.]])*Sales[[#This Row],[GST %]]</f>
        <v>17221.68</v>
      </c>
      <c r="N322" s="161">
        <f>Sales[[#This Row],[Gross Amount]]-Sales[[#This Row],[Disc. Amt.]]+Sales[[#This Row],[GST Amount]]</f>
        <v>112897.68</v>
      </c>
      <c r="O322" s="34" t="s">
        <v>8876</v>
      </c>
      <c r="P322" s="34" t="s">
        <v>3562</v>
      </c>
      <c r="Q322" s="165">
        <f>IF(Sales[[#This Row],[Status]]="Cancelled",0,Sales[[#This Row],[Qty]])</f>
        <v>6</v>
      </c>
      <c r="R322" s="166">
        <f>IF(Sales[[#This Row],[Status]]="Cancelled",0,Sales[[#This Row],[Total Amount]])</f>
        <v>112897.68</v>
      </c>
      <c r="S322" s="162">
        <f>SUM(Sales[Net Amount])</f>
        <v>406839287.73200053</v>
      </c>
    </row>
    <row r="323" spans="1:19" ht="18.75" x14ac:dyDescent="0.25">
      <c r="A323" s="156" t="s">
        <v>3891</v>
      </c>
      <c r="B323" s="157">
        <v>45796</v>
      </c>
      <c r="C323" s="158" t="s">
        <v>810</v>
      </c>
      <c r="D323" s="159" t="str">
        <f>VLOOKUP(Sales[[#This Row],[Customer ID]],Customer[#All],2,0)</f>
        <v>Rahul Gupta</v>
      </c>
      <c r="E323" s="158" t="s">
        <v>88</v>
      </c>
      <c r="F323" s="158" t="str">
        <f>VLOOKUP(Sales[[#This Row],[Product ID]],Product[#All],2,0)</f>
        <v>Dell Laptop</v>
      </c>
      <c r="G323" s="159">
        <v>6</v>
      </c>
      <c r="H323" s="160">
        <f>VLOOKUP(Sales[[#This Row],[Product ID]],Product[#All],7,0)</f>
        <v>43690</v>
      </c>
      <c r="I323" s="160">
        <f>Sales[[#This Row],[Selling Rate]]*Sales[[#This Row],[Qty]]</f>
        <v>262140</v>
      </c>
      <c r="J323" s="43">
        <v>0.12</v>
      </c>
      <c r="K323" s="44">
        <f>Sales[[#This Row],[Gross Amount]]*Sales[[#This Row],[Disc %]]</f>
        <v>31456.799999999999</v>
      </c>
      <c r="L323" s="43">
        <v>0.18</v>
      </c>
      <c r="M323" s="44">
        <f>(Sales[[#This Row],[Gross Amount]]-Sales[[#This Row],[Disc. Amt.]])*Sales[[#This Row],[GST %]]</f>
        <v>41522.976000000002</v>
      </c>
      <c r="N323" s="161">
        <f>Sales[[#This Row],[Gross Amount]]-Sales[[#This Row],[Disc. Amt.]]+Sales[[#This Row],[GST Amount]]</f>
        <v>272206.17600000004</v>
      </c>
      <c r="O323" s="158" t="s">
        <v>3566</v>
      </c>
      <c r="P323" s="158" t="s">
        <v>3562</v>
      </c>
      <c r="Q323" s="160">
        <f>IF(Sales[[#This Row],[Status]]="Cancelled",0,Sales[[#This Row],[Qty]])</f>
        <v>6</v>
      </c>
      <c r="R323" s="161">
        <f>IF(Sales[[#This Row],[Status]]="Cancelled",0,Sales[[#This Row],[Total Amount]])</f>
        <v>272206.17600000004</v>
      </c>
      <c r="S323" s="162">
        <f>SUM(Sales[Net Amount])</f>
        <v>406839287.73200053</v>
      </c>
    </row>
    <row r="324" spans="1:19" ht="18.75" x14ac:dyDescent="0.25">
      <c r="A324" s="163" t="s">
        <v>3892</v>
      </c>
      <c r="B324" s="164">
        <v>45796</v>
      </c>
      <c r="C324" s="34" t="s">
        <v>754</v>
      </c>
      <c r="D324" s="53" t="str">
        <f>VLOOKUP(Sales[[#This Row],[Customer ID]],Customer[#All],2,0)</f>
        <v>Rakesh Gupta</v>
      </c>
      <c r="E324" s="34" t="s">
        <v>268</v>
      </c>
      <c r="F324" s="34" t="str">
        <f>VLOOKUP(Sales[[#This Row],[Product ID]],Product[#All],2,0)</f>
        <v>American TouristerLaptopBag</v>
      </c>
      <c r="G324" s="53">
        <v>6</v>
      </c>
      <c r="H324" s="165">
        <f>VLOOKUP(Sales[[#This Row],[Product ID]],Product[#All],7,0)</f>
        <v>2080</v>
      </c>
      <c r="I324" s="165">
        <f>Sales[[#This Row],[Selling Rate]]*Sales[[#This Row],[Qty]]</f>
        <v>12480</v>
      </c>
      <c r="J324" s="45">
        <v>0.15</v>
      </c>
      <c r="K324" s="46">
        <f>Sales[[#This Row],[Gross Amount]]*Sales[[#This Row],[Disc %]]</f>
        <v>1872</v>
      </c>
      <c r="L324" s="43">
        <v>0.18</v>
      </c>
      <c r="M324" s="46">
        <f>(Sales[[#This Row],[Gross Amount]]-Sales[[#This Row],[Disc. Amt.]])*Sales[[#This Row],[GST %]]</f>
        <v>1909.4399999999998</v>
      </c>
      <c r="N324" s="161">
        <f>Sales[[#This Row],[Gross Amount]]-Sales[[#This Row],[Disc. Amt.]]+Sales[[#This Row],[GST Amount]]</f>
        <v>12517.44</v>
      </c>
      <c r="O324" s="34" t="s">
        <v>3566</v>
      </c>
      <c r="P324" s="34" t="s">
        <v>3562</v>
      </c>
      <c r="Q324" s="165">
        <f>IF(Sales[[#This Row],[Status]]="Cancelled",0,Sales[[#This Row],[Qty]])</f>
        <v>6</v>
      </c>
      <c r="R324" s="166">
        <f>IF(Sales[[#This Row],[Status]]="Cancelled",0,Sales[[#This Row],[Total Amount]])</f>
        <v>12517.44</v>
      </c>
      <c r="S324" s="162">
        <f>SUM(Sales[Net Amount])</f>
        <v>406839287.73200053</v>
      </c>
    </row>
    <row r="325" spans="1:19" ht="18.75" x14ac:dyDescent="0.25">
      <c r="A325" s="156" t="s">
        <v>3893</v>
      </c>
      <c r="B325" s="157">
        <v>45796</v>
      </c>
      <c r="C325" s="158" t="s">
        <v>693</v>
      </c>
      <c r="D325" s="159" t="str">
        <f>VLOOKUP(Sales[[#This Row],[Customer ID]],Customer[#All],2,0)</f>
        <v>Rahul Gupta</v>
      </c>
      <c r="E325" s="158" t="s">
        <v>73</v>
      </c>
      <c r="F325" s="158" t="str">
        <f>VLOOKUP(Sales[[#This Row],[Product ID]],Product[#All],2,0)</f>
        <v>TP-link Router</v>
      </c>
      <c r="G325" s="159">
        <v>5</v>
      </c>
      <c r="H325" s="160">
        <f>VLOOKUP(Sales[[#This Row],[Product ID]],Product[#All],7,0)</f>
        <v>1770</v>
      </c>
      <c r="I325" s="160">
        <f>Sales[[#This Row],[Selling Rate]]*Sales[[#This Row],[Qty]]</f>
        <v>8850</v>
      </c>
      <c r="J325" s="43">
        <v>0.05</v>
      </c>
      <c r="K325" s="44">
        <f>Sales[[#This Row],[Gross Amount]]*Sales[[#This Row],[Disc %]]</f>
        <v>442.5</v>
      </c>
      <c r="L325" s="43">
        <v>0.18</v>
      </c>
      <c r="M325" s="44">
        <f>(Sales[[#This Row],[Gross Amount]]-Sales[[#This Row],[Disc. Amt.]])*Sales[[#This Row],[GST %]]</f>
        <v>1513.35</v>
      </c>
      <c r="N325" s="161">
        <f>Sales[[#This Row],[Gross Amount]]-Sales[[#This Row],[Disc. Amt.]]+Sales[[#This Row],[GST Amount]]</f>
        <v>9920.85</v>
      </c>
      <c r="O325" s="158" t="s">
        <v>8876</v>
      </c>
      <c r="P325" s="158" t="s">
        <v>3562</v>
      </c>
      <c r="Q325" s="160">
        <f>IF(Sales[[#This Row],[Status]]="Cancelled",0,Sales[[#This Row],[Qty]])</f>
        <v>5</v>
      </c>
      <c r="R325" s="161">
        <f>IF(Sales[[#This Row],[Status]]="Cancelled",0,Sales[[#This Row],[Total Amount]])</f>
        <v>9920.85</v>
      </c>
      <c r="S325" s="162">
        <f>SUM(Sales[Net Amount])</f>
        <v>406839287.73200053</v>
      </c>
    </row>
    <row r="326" spans="1:19" ht="18.75" x14ac:dyDescent="0.25">
      <c r="A326" s="163" t="s">
        <v>3894</v>
      </c>
      <c r="B326" s="164">
        <v>45796</v>
      </c>
      <c r="C326" s="34" t="s">
        <v>677</v>
      </c>
      <c r="D326" s="53" t="str">
        <f>VLOOKUP(Sales[[#This Row],[Customer ID]],Customer[#All],2,0)</f>
        <v>Sahil Verma</v>
      </c>
      <c r="E326" s="34" t="s">
        <v>128</v>
      </c>
      <c r="F326" s="34" t="str">
        <f>VLOOKUP(Sales[[#This Row],[Product ID]],Product[#All],2,0)</f>
        <v>American TouristerLaptopBag</v>
      </c>
      <c r="G326" s="53">
        <v>1</v>
      </c>
      <c r="H326" s="165">
        <f>VLOOKUP(Sales[[#This Row],[Product ID]],Product[#All],7,0)</f>
        <v>2990</v>
      </c>
      <c r="I326" s="165">
        <f>Sales[[#This Row],[Selling Rate]]*Sales[[#This Row],[Qty]]</f>
        <v>2990</v>
      </c>
      <c r="J326" s="45">
        <v>0.02</v>
      </c>
      <c r="K326" s="46">
        <f>Sales[[#This Row],[Gross Amount]]*Sales[[#This Row],[Disc %]]</f>
        <v>59.800000000000004</v>
      </c>
      <c r="L326" s="43">
        <v>0.18</v>
      </c>
      <c r="M326" s="46">
        <f>(Sales[[#This Row],[Gross Amount]]-Sales[[#This Row],[Disc. Amt.]])*Sales[[#This Row],[GST %]]</f>
        <v>527.43599999999992</v>
      </c>
      <c r="N326" s="161">
        <f>Sales[[#This Row],[Gross Amount]]-Sales[[#This Row],[Disc. Amt.]]+Sales[[#This Row],[GST Amount]]</f>
        <v>3457.6359999999995</v>
      </c>
      <c r="O326" s="34" t="s">
        <v>8876</v>
      </c>
      <c r="P326" s="34" t="s">
        <v>3562</v>
      </c>
      <c r="Q326" s="165">
        <f>IF(Sales[[#This Row],[Status]]="Cancelled",0,Sales[[#This Row],[Qty]])</f>
        <v>1</v>
      </c>
      <c r="R326" s="166">
        <f>IF(Sales[[#This Row],[Status]]="Cancelled",0,Sales[[#This Row],[Total Amount]])</f>
        <v>3457.6359999999995</v>
      </c>
      <c r="S326" s="162">
        <f>SUM(Sales[Net Amount])</f>
        <v>406839287.73200053</v>
      </c>
    </row>
    <row r="327" spans="1:19" ht="18.75" x14ac:dyDescent="0.25">
      <c r="A327" s="156" t="s">
        <v>3895</v>
      </c>
      <c r="B327" s="157">
        <v>45796</v>
      </c>
      <c r="C327" s="158" t="s">
        <v>849</v>
      </c>
      <c r="D327" s="159" t="str">
        <f>VLOOKUP(Sales[[#This Row],[Customer ID]],Customer[#All],2,0)</f>
        <v>Sunita Sharma</v>
      </c>
      <c r="E327" s="158" t="s">
        <v>250</v>
      </c>
      <c r="F327" s="158" t="str">
        <f>VLOOKUP(Sales[[#This Row],[Product ID]],Product[#All],2,0)</f>
        <v>Corsair Ram</v>
      </c>
      <c r="G327" s="159">
        <v>3</v>
      </c>
      <c r="H327" s="160">
        <f>VLOOKUP(Sales[[#This Row],[Product ID]],Product[#All],7,0)</f>
        <v>12160</v>
      </c>
      <c r="I327" s="160">
        <f>Sales[[#This Row],[Selling Rate]]*Sales[[#This Row],[Qty]]</f>
        <v>36480</v>
      </c>
      <c r="J327" s="43">
        <v>0.1</v>
      </c>
      <c r="K327" s="44">
        <f>Sales[[#This Row],[Gross Amount]]*Sales[[#This Row],[Disc %]]</f>
        <v>3648</v>
      </c>
      <c r="L327" s="43">
        <v>0.18</v>
      </c>
      <c r="M327" s="44">
        <f>(Sales[[#This Row],[Gross Amount]]-Sales[[#This Row],[Disc. Amt.]])*Sales[[#This Row],[GST %]]</f>
        <v>5909.76</v>
      </c>
      <c r="N327" s="161">
        <f>Sales[[#This Row],[Gross Amount]]-Sales[[#This Row],[Disc. Amt.]]+Sales[[#This Row],[GST Amount]]</f>
        <v>38741.760000000002</v>
      </c>
      <c r="O327" s="158" t="s">
        <v>3561</v>
      </c>
      <c r="P327" s="158" t="s">
        <v>3562</v>
      </c>
      <c r="Q327" s="160">
        <f>IF(Sales[[#This Row],[Status]]="Cancelled",0,Sales[[#This Row],[Qty]])</f>
        <v>3</v>
      </c>
      <c r="R327" s="161">
        <f>IF(Sales[[#This Row],[Status]]="Cancelled",0,Sales[[#This Row],[Total Amount]])</f>
        <v>38741.760000000002</v>
      </c>
      <c r="S327" s="162">
        <f>SUM(Sales[Net Amount])</f>
        <v>406839287.73200053</v>
      </c>
    </row>
    <row r="328" spans="1:19" ht="18.75" x14ac:dyDescent="0.25">
      <c r="A328" s="163" t="s">
        <v>3896</v>
      </c>
      <c r="B328" s="164">
        <v>45796</v>
      </c>
      <c r="C328" s="34" t="s">
        <v>716</v>
      </c>
      <c r="D328" s="53" t="str">
        <f>VLOOKUP(Sales[[#This Row],[Customer ID]],Customer[#All],2,0)</f>
        <v>Ankit Kumar</v>
      </c>
      <c r="E328" s="34" t="s">
        <v>40</v>
      </c>
      <c r="F328" s="34" t="str">
        <f>VLOOKUP(Sales[[#This Row],[Product ID]],Product[#All],2,0)</f>
        <v>Boat Headset</v>
      </c>
      <c r="G328" s="53">
        <v>8</v>
      </c>
      <c r="H328" s="165">
        <f>VLOOKUP(Sales[[#This Row],[Product ID]],Product[#All],7,0)</f>
        <v>3470</v>
      </c>
      <c r="I328" s="165">
        <f>Sales[[#This Row],[Selling Rate]]*Sales[[#This Row],[Qty]]</f>
        <v>27760</v>
      </c>
      <c r="J328" s="45">
        <v>0.12</v>
      </c>
      <c r="K328" s="46">
        <f>Sales[[#This Row],[Gross Amount]]*Sales[[#This Row],[Disc %]]</f>
        <v>3331.2</v>
      </c>
      <c r="L328" s="43">
        <v>0.18</v>
      </c>
      <c r="M328" s="46">
        <f>(Sales[[#This Row],[Gross Amount]]-Sales[[#This Row],[Disc. Amt.]])*Sales[[#This Row],[GST %]]</f>
        <v>4397.1839999999993</v>
      </c>
      <c r="N328" s="161">
        <f>Sales[[#This Row],[Gross Amount]]-Sales[[#This Row],[Disc. Amt.]]+Sales[[#This Row],[GST Amount]]</f>
        <v>28825.983999999997</v>
      </c>
      <c r="O328" s="34" t="s">
        <v>8876</v>
      </c>
      <c r="P328" s="34" t="s">
        <v>3562</v>
      </c>
      <c r="Q328" s="165">
        <f>IF(Sales[[#This Row],[Status]]="Cancelled",0,Sales[[#This Row],[Qty]])</f>
        <v>8</v>
      </c>
      <c r="R328" s="166">
        <f>IF(Sales[[#This Row],[Status]]="Cancelled",0,Sales[[#This Row],[Total Amount]])</f>
        <v>28825.983999999997</v>
      </c>
      <c r="S328" s="162">
        <f>SUM(Sales[Net Amount])</f>
        <v>406839287.73200053</v>
      </c>
    </row>
    <row r="329" spans="1:19" ht="18.75" x14ac:dyDescent="0.25">
      <c r="A329" s="156" t="s">
        <v>3897</v>
      </c>
      <c r="B329" s="157">
        <v>45796</v>
      </c>
      <c r="C329" s="158" t="s">
        <v>772</v>
      </c>
      <c r="D329" s="159" t="str">
        <f>VLOOKUP(Sales[[#This Row],[Customer ID]],Customer[#All],2,0)</f>
        <v>Rahul Patel</v>
      </c>
      <c r="E329" s="158" t="s">
        <v>289</v>
      </c>
      <c r="F329" s="158" t="str">
        <f>VLOOKUP(Sales[[#This Row],[Product ID]],Product[#All],2,0)</f>
        <v>HP Mouse</v>
      </c>
      <c r="G329" s="159">
        <v>2</v>
      </c>
      <c r="H329" s="160">
        <f>VLOOKUP(Sales[[#This Row],[Product ID]],Product[#All],7,0)</f>
        <v>1200</v>
      </c>
      <c r="I329" s="160">
        <f>Sales[[#This Row],[Selling Rate]]*Sales[[#This Row],[Qty]]</f>
        <v>2400</v>
      </c>
      <c r="J329" s="43">
        <v>0</v>
      </c>
      <c r="K329" s="44">
        <f>Sales[[#This Row],[Gross Amount]]*Sales[[#This Row],[Disc %]]</f>
        <v>0</v>
      </c>
      <c r="L329" s="43">
        <v>0.18</v>
      </c>
      <c r="M329" s="44">
        <f>(Sales[[#This Row],[Gross Amount]]-Sales[[#This Row],[Disc. Amt.]])*Sales[[#This Row],[GST %]]</f>
        <v>432</v>
      </c>
      <c r="N329" s="161">
        <f>Sales[[#This Row],[Gross Amount]]-Sales[[#This Row],[Disc. Amt.]]+Sales[[#This Row],[GST Amount]]</f>
        <v>2832</v>
      </c>
      <c r="O329" s="158" t="s">
        <v>8876</v>
      </c>
      <c r="P329" s="158" t="s">
        <v>3562</v>
      </c>
      <c r="Q329" s="160">
        <f>IF(Sales[[#This Row],[Status]]="Cancelled",0,Sales[[#This Row],[Qty]])</f>
        <v>2</v>
      </c>
      <c r="R329" s="161">
        <f>IF(Sales[[#This Row],[Status]]="Cancelled",0,Sales[[#This Row],[Total Amount]])</f>
        <v>2832</v>
      </c>
      <c r="S329" s="162">
        <f>SUM(Sales[Net Amount])</f>
        <v>406839287.73200053</v>
      </c>
    </row>
    <row r="330" spans="1:19" ht="18.75" x14ac:dyDescent="0.25">
      <c r="A330" s="163" t="s">
        <v>3898</v>
      </c>
      <c r="B330" s="164">
        <v>45796</v>
      </c>
      <c r="C330" s="34" t="s">
        <v>790</v>
      </c>
      <c r="D330" s="53" t="str">
        <f>VLOOKUP(Sales[[#This Row],[Customer ID]],Customer[#All],2,0)</f>
        <v>Pooja Gupta</v>
      </c>
      <c r="E330" s="34" t="s">
        <v>384</v>
      </c>
      <c r="F330" s="34" t="str">
        <f>VLOOKUP(Sales[[#This Row],[Product ID]],Product[#All],2,0)</f>
        <v>Samsung Ssd</v>
      </c>
      <c r="G330" s="53">
        <v>8</v>
      </c>
      <c r="H330" s="165">
        <f>VLOOKUP(Sales[[#This Row],[Product ID]],Product[#All],7,0)</f>
        <v>14770</v>
      </c>
      <c r="I330" s="165">
        <f>Sales[[#This Row],[Selling Rate]]*Sales[[#This Row],[Qty]]</f>
        <v>118160</v>
      </c>
      <c r="J330" s="45">
        <v>0.15</v>
      </c>
      <c r="K330" s="46">
        <f>Sales[[#This Row],[Gross Amount]]*Sales[[#This Row],[Disc %]]</f>
        <v>17724</v>
      </c>
      <c r="L330" s="43">
        <v>0.18</v>
      </c>
      <c r="M330" s="46">
        <f>(Sales[[#This Row],[Gross Amount]]-Sales[[#This Row],[Disc. Amt.]])*Sales[[#This Row],[GST %]]</f>
        <v>18078.48</v>
      </c>
      <c r="N330" s="161">
        <f>Sales[[#This Row],[Gross Amount]]-Sales[[#This Row],[Disc. Amt.]]+Sales[[#This Row],[GST Amount]]</f>
        <v>118514.48</v>
      </c>
      <c r="O330" s="34" t="s">
        <v>3566</v>
      </c>
      <c r="P330" s="34" t="s">
        <v>3562</v>
      </c>
      <c r="Q330" s="165">
        <f>IF(Sales[[#This Row],[Status]]="Cancelled",0,Sales[[#This Row],[Qty]])</f>
        <v>8</v>
      </c>
      <c r="R330" s="166">
        <f>IF(Sales[[#This Row],[Status]]="Cancelled",0,Sales[[#This Row],[Total Amount]])</f>
        <v>118514.48</v>
      </c>
      <c r="S330" s="162">
        <f>SUM(Sales[Net Amount])</f>
        <v>406839287.73200053</v>
      </c>
    </row>
    <row r="331" spans="1:19" ht="18.75" x14ac:dyDescent="0.25">
      <c r="A331" s="156" t="s">
        <v>3899</v>
      </c>
      <c r="B331" s="157">
        <v>45796</v>
      </c>
      <c r="C331" s="158" t="s">
        <v>763</v>
      </c>
      <c r="D331" s="159" t="str">
        <f>VLOOKUP(Sales[[#This Row],[Customer ID]],Customer[#All],2,0)</f>
        <v>Pooja Verma</v>
      </c>
      <c r="E331" s="158" t="s">
        <v>192</v>
      </c>
      <c r="F331" s="158" t="str">
        <f>VLOOKUP(Sales[[#This Row],[Product ID]],Product[#All],2,0)</f>
        <v>HP Laptop</v>
      </c>
      <c r="G331" s="159">
        <v>8</v>
      </c>
      <c r="H331" s="160">
        <f>VLOOKUP(Sales[[#This Row],[Product ID]],Product[#All],7,0)</f>
        <v>59870</v>
      </c>
      <c r="I331" s="160">
        <f>Sales[[#This Row],[Selling Rate]]*Sales[[#This Row],[Qty]]</f>
        <v>478960</v>
      </c>
      <c r="J331" s="43">
        <v>0.15</v>
      </c>
      <c r="K331" s="44">
        <f>Sales[[#This Row],[Gross Amount]]*Sales[[#This Row],[Disc %]]</f>
        <v>71844</v>
      </c>
      <c r="L331" s="43">
        <v>0.18</v>
      </c>
      <c r="M331" s="44">
        <f>(Sales[[#This Row],[Gross Amount]]-Sales[[#This Row],[Disc. Amt.]])*Sales[[#This Row],[GST %]]</f>
        <v>73280.87999999999</v>
      </c>
      <c r="N331" s="161">
        <f>Sales[[#This Row],[Gross Amount]]-Sales[[#This Row],[Disc. Amt.]]+Sales[[#This Row],[GST Amount]]</f>
        <v>480396.88</v>
      </c>
      <c r="O331" s="158" t="s">
        <v>3569</v>
      </c>
      <c r="P331" s="158" t="s">
        <v>3562</v>
      </c>
      <c r="Q331" s="160">
        <f>IF(Sales[[#This Row],[Status]]="Cancelled",0,Sales[[#This Row],[Qty]])</f>
        <v>8</v>
      </c>
      <c r="R331" s="161">
        <f>IF(Sales[[#This Row],[Status]]="Cancelled",0,Sales[[#This Row],[Total Amount]])</f>
        <v>480396.88</v>
      </c>
      <c r="S331" s="162">
        <f>SUM(Sales[Net Amount])</f>
        <v>406839287.73200053</v>
      </c>
    </row>
    <row r="332" spans="1:19" ht="18.75" x14ac:dyDescent="0.25">
      <c r="A332" s="163" t="s">
        <v>3900</v>
      </c>
      <c r="B332" s="164">
        <v>45796</v>
      </c>
      <c r="C332" s="34" t="s">
        <v>931</v>
      </c>
      <c r="D332" s="53" t="str">
        <f>VLOOKUP(Sales[[#This Row],[Customer ID]],Customer[#All],2,0)</f>
        <v>Sahil Patel</v>
      </c>
      <c r="E332" s="34" t="s">
        <v>293</v>
      </c>
      <c r="F332" s="34" t="str">
        <f>VLOOKUP(Sales[[#This Row],[Product ID]],Product[#All],2,0)</f>
        <v>Samsung Ssd</v>
      </c>
      <c r="G332" s="53">
        <v>8</v>
      </c>
      <c r="H332" s="165">
        <f>VLOOKUP(Sales[[#This Row],[Product ID]],Product[#All],7,0)</f>
        <v>8530</v>
      </c>
      <c r="I332" s="165">
        <f>Sales[[#This Row],[Selling Rate]]*Sales[[#This Row],[Qty]]</f>
        <v>68240</v>
      </c>
      <c r="J332" s="45">
        <v>0</v>
      </c>
      <c r="K332" s="46">
        <f>Sales[[#This Row],[Gross Amount]]*Sales[[#This Row],[Disc %]]</f>
        <v>0</v>
      </c>
      <c r="L332" s="43">
        <v>0.18</v>
      </c>
      <c r="M332" s="46">
        <f>(Sales[[#This Row],[Gross Amount]]-Sales[[#This Row],[Disc. Amt.]])*Sales[[#This Row],[GST %]]</f>
        <v>12283.199999999999</v>
      </c>
      <c r="N332" s="161">
        <f>Sales[[#This Row],[Gross Amount]]-Sales[[#This Row],[Disc. Amt.]]+Sales[[#This Row],[GST Amount]]</f>
        <v>80523.199999999997</v>
      </c>
      <c r="O332" s="34" t="s">
        <v>3566</v>
      </c>
      <c r="P332" s="34" t="s">
        <v>3562</v>
      </c>
      <c r="Q332" s="165">
        <f>IF(Sales[[#This Row],[Status]]="Cancelled",0,Sales[[#This Row],[Qty]])</f>
        <v>8</v>
      </c>
      <c r="R332" s="166">
        <f>IF(Sales[[#This Row],[Status]]="Cancelled",0,Sales[[#This Row],[Total Amount]])</f>
        <v>80523.199999999997</v>
      </c>
      <c r="S332" s="162">
        <f>SUM(Sales[Net Amount])</f>
        <v>406839287.73200053</v>
      </c>
    </row>
    <row r="333" spans="1:19" ht="18.75" x14ac:dyDescent="0.25">
      <c r="A333" s="156" t="s">
        <v>3901</v>
      </c>
      <c r="B333" s="157">
        <v>45796</v>
      </c>
      <c r="C333" s="158" t="s">
        <v>804</v>
      </c>
      <c r="D333" s="159" t="str">
        <f>VLOOKUP(Sales[[#This Row],[Customer ID]],Customer[#All],2,0)</f>
        <v>Amit Gupta</v>
      </c>
      <c r="E333" s="158" t="s">
        <v>396</v>
      </c>
      <c r="F333" s="158" t="str">
        <f>VLOOKUP(Sales[[#This Row],[Product ID]],Product[#All],2,0)</f>
        <v>HP Laptop</v>
      </c>
      <c r="G333" s="159">
        <v>1</v>
      </c>
      <c r="H333" s="160">
        <f>VLOOKUP(Sales[[#This Row],[Product ID]],Product[#All],7,0)</f>
        <v>77100</v>
      </c>
      <c r="I333" s="160">
        <f>Sales[[#This Row],[Selling Rate]]*Sales[[#This Row],[Qty]]</f>
        <v>77100</v>
      </c>
      <c r="J333" s="43">
        <v>0.15</v>
      </c>
      <c r="K333" s="44">
        <f>Sales[[#This Row],[Gross Amount]]*Sales[[#This Row],[Disc %]]</f>
        <v>11565</v>
      </c>
      <c r="L333" s="43">
        <v>0.18</v>
      </c>
      <c r="M333" s="44">
        <f>(Sales[[#This Row],[Gross Amount]]-Sales[[#This Row],[Disc. Amt.]])*Sales[[#This Row],[GST %]]</f>
        <v>11796.3</v>
      </c>
      <c r="N333" s="161">
        <f>Sales[[#This Row],[Gross Amount]]-Sales[[#This Row],[Disc. Amt.]]+Sales[[#This Row],[GST Amount]]</f>
        <v>77331.3</v>
      </c>
      <c r="O333" s="158" t="s">
        <v>3569</v>
      </c>
      <c r="P333" s="158" t="s">
        <v>3562</v>
      </c>
      <c r="Q333" s="160">
        <f>IF(Sales[[#This Row],[Status]]="Cancelled",0,Sales[[#This Row],[Qty]])</f>
        <v>1</v>
      </c>
      <c r="R333" s="161">
        <f>IF(Sales[[#This Row],[Status]]="Cancelled",0,Sales[[#This Row],[Total Amount]])</f>
        <v>77331.3</v>
      </c>
      <c r="S333" s="162">
        <f>SUM(Sales[Net Amount])</f>
        <v>406839287.73200053</v>
      </c>
    </row>
    <row r="334" spans="1:19" ht="18.75" x14ac:dyDescent="0.25">
      <c r="A334" s="163" t="s">
        <v>3902</v>
      </c>
      <c r="B334" s="164">
        <v>45796</v>
      </c>
      <c r="C334" s="34" t="s">
        <v>699</v>
      </c>
      <c r="D334" s="53" t="str">
        <f>VLOOKUP(Sales[[#This Row],[Customer ID]],Customer[#All],2,0)</f>
        <v>Amit Singh</v>
      </c>
      <c r="E334" s="34" t="s">
        <v>330</v>
      </c>
      <c r="F334" s="34" t="str">
        <f>VLOOKUP(Sales[[#This Row],[Product ID]],Product[#All],2,0)</f>
        <v>American TouristerLaptopBag</v>
      </c>
      <c r="G334" s="53">
        <v>6</v>
      </c>
      <c r="H334" s="165">
        <f>VLOOKUP(Sales[[#This Row],[Product ID]],Product[#All],7,0)</f>
        <v>4970</v>
      </c>
      <c r="I334" s="165">
        <f>Sales[[#This Row],[Selling Rate]]*Sales[[#This Row],[Qty]]</f>
        <v>29820</v>
      </c>
      <c r="J334" s="45">
        <v>0.12</v>
      </c>
      <c r="K334" s="46">
        <f>Sales[[#This Row],[Gross Amount]]*Sales[[#This Row],[Disc %]]</f>
        <v>3578.4</v>
      </c>
      <c r="L334" s="43">
        <v>0.18</v>
      </c>
      <c r="M334" s="46">
        <f>(Sales[[#This Row],[Gross Amount]]-Sales[[#This Row],[Disc. Amt.]])*Sales[[#This Row],[GST %]]</f>
        <v>4723.4879999999994</v>
      </c>
      <c r="N334" s="161">
        <f>Sales[[#This Row],[Gross Amount]]-Sales[[#This Row],[Disc. Amt.]]+Sales[[#This Row],[GST Amount]]</f>
        <v>30965.087999999996</v>
      </c>
      <c r="O334" s="34" t="s">
        <v>3566</v>
      </c>
      <c r="P334" s="34" t="s">
        <v>3562</v>
      </c>
      <c r="Q334" s="165">
        <f>IF(Sales[[#This Row],[Status]]="Cancelled",0,Sales[[#This Row],[Qty]])</f>
        <v>6</v>
      </c>
      <c r="R334" s="166">
        <f>IF(Sales[[#This Row],[Status]]="Cancelled",0,Sales[[#This Row],[Total Amount]])</f>
        <v>30965.087999999996</v>
      </c>
      <c r="S334" s="162">
        <f>SUM(Sales[Net Amount])</f>
        <v>406839287.73200053</v>
      </c>
    </row>
    <row r="335" spans="1:19" ht="18.75" x14ac:dyDescent="0.25">
      <c r="A335" s="156" t="s">
        <v>3903</v>
      </c>
      <c r="B335" s="157">
        <v>45796</v>
      </c>
      <c r="C335" s="158" t="s">
        <v>936</v>
      </c>
      <c r="D335" s="159" t="str">
        <f>VLOOKUP(Sales[[#This Row],[Customer ID]],Customer[#All],2,0)</f>
        <v>Pooja Patel</v>
      </c>
      <c r="E335" s="158" t="s">
        <v>247</v>
      </c>
      <c r="F335" s="158" t="str">
        <f>VLOOKUP(Sales[[#This Row],[Product ID]],Product[#All],2,0)</f>
        <v>Acer Laptop</v>
      </c>
      <c r="G335" s="159">
        <v>7</v>
      </c>
      <c r="H335" s="160">
        <f>VLOOKUP(Sales[[#This Row],[Product ID]],Product[#All],7,0)</f>
        <v>68460</v>
      </c>
      <c r="I335" s="160">
        <f>Sales[[#This Row],[Selling Rate]]*Sales[[#This Row],[Qty]]</f>
        <v>479220</v>
      </c>
      <c r="J335" s="43">
        <v>0</v>
      </c>
      <c r="K335" s="44">
        <f>Sales[[#This Row],[Gross Amount]]*Sales[[#This Row],[Disc %]]</f>
        <v>0</v>
      </c>
      <c r="L335" s="43">
        <v>0.18</v>
      </c>
      <c r="M335" s="44">
        <f>(Sales[[#This Row],[Gross Amount]]-Sales[[#This Row],[Disc. Amt.]])*Sales[[#This Row],[GST %]]</f>
        <v>86259.599999999991</v>
      </c>
      <c r="N335" s="161">
        <f>Sales[[#This Row],[Gross Amount]]-Sales[[#This Row],[Disc. Amt.]]+Sales[[#This Row],[GST Amount]]</f>
        <v>565479.6</v>
      </c>
      <c r="O335" s="158" t="s">
        <v>3569</v>
      </c>
      <c r="P335" s="158" t="s">
        <v>3562</v>
      </c>
      <c r="Q335" s="160">
        <f>IF(Sales[[#This Row],[Status]]="Cancelled",0,Sales[[#This Row],[Qty]])</f>
        <v>7</v>
      </c>
      <c r="R335" s="161">
        <f>IF(Sales[[#This Row],[Status]]="Cancelled",0,Sales[[#This Row],[Total Amount]])</f>
        <v>565479.6</v>
      </c>
      <c r="S335" s="162">
        <f>SUM(Sales[Net Amount])</f>
        <v>406839287.73200053</v>
      </c>
    </row>
    <row r="336" spans="1:19" ht="18.75" x14ac:dyDescent="0.25">
      <c r="A336" s="163" t="s">
        <v>3904</v>
      </c>
      <c r="B336" s="164">
        <v>45796</v>
      </c>
      <c r="C336" s="34" t="s">
        <v>700</v>
      </c>
      <c r="D336" s="53" t="str">
        <f>VLOOKUP(Sales[[#This Row],[Customer ID]],Customer[#All],2,0)</f>
        <v>Ankit Gupta</v>
      </c>
      <c r="E336" s="34" t="s">
        <v>287</v>
      </c>
      <c r="F336" s="34" t="str">
        <f>VLOOKUP(Sales[[#This Row],[Product ID]],Product[#All],2,0)</f>
        <v>HP Power Adapter</v>
      </c>
      <c r="G336" s="53">
        <v>6</v>
      </c>
      <c r="H336" s="165">
        <f>VLOOKUP(Sales[[#This Row],[Product ID]],Product[#All],7,0)</f>
        <v>2270</v>
      </c>
      <c r="I336" s="165">
        <f>Sales[[#This Row],[Selling Rate]]*Sales[[#This Row],[Qty]]</f>
        <v>13620</v>
      </c>
      <c r="J336" s="45">
        <v>0</v>
      </c>
      <c r="K336" s="46">
        <f>Sales[[#This Row],[Gross Amount]]*Sales[[#This Row],[Disc %]]</f>
        <v>0</v>
      </c>
      <c r="L336" s="43">
        <v>0.18</v>
      </c>
      <c r="M336" s="46">
        <f>(Sales[[#This Row],[Gross Amount]]-Sales[[#This Row],[Disc. Amt.]])*Sales[[#This Row],[GST %]]</f>
        <v>2451.6</v>
      </c>
      <c r="N336" s="161">
        <f>Sales[[#This Row],[Gross Amount]]-Sales[[#This Row],[Disc. Amt.]]+Sales[[#This Row],[GST Amount]]</f>
        <v>16071.6</v>
      </c>
      <c r="O336" s="34" t="s">
        <v>3561</v>
      </c>
      <c r="P336" s="34" t="s">
        <v>3562</v>
      </c>
      <c r="Q336" s="165">
        <f>IF(Sales[[#This Row],[Status]]="Cancelled",0,Sales[[#This Row],[Qty]])</f>
        <v>6</v>
      </c>
      <c r="R336" s="166">
        <f>IF(Sales[[#This Row],[Status]]="Cancelled",0,Sales[[#This Row],[Total Amount]])</f>
        <v>16071.6</v>
      </c>
      <c r="S336" s="162">
        <f>SUM(Sales[Net Amount])</f>
        <v>406839287.73200053</v>
      </c>
    </row>
    <row r="337" spans="1:19" ht="18.75" x14ac:dyDescent="0.25">
      <c r="A337" s="156" t="s">
        <v>3905</v>
      </c>
      <c r="B337" s="157">
        <v>45796</v>
      </c>
      <c r="C337" s="158" t="s">
        <v>863</v>
      </c>
      <c r="D337" s="159" t="str">
        <f>VLOOKUP(Sales[[#This Row],[Customer ID]],Customer[#All],2,0)</f>
        <v>Sahil Sharma</v>
      </c>
      <c r="E337" s="158" t="s">
        <v>449</v>
      </c>
      <c r="F337" s="158" t="str">
        <f>VLOOKUP(Sales[[#This Row],[Product ID]],Product[#All],2,0)</f>
        <v>Dell Monitor</v>
      </c>
      <c r="G337" s="159">
        <v>3</v>
      </c>
      <c r="H337" s="160">
        <f>VLOOKUP(Sales[[#This Row],[Product ID]],Product[#All],7,0)</f>
        <v>19520</v>
      </c>
      <c r="I337" s="160">
        <f>Sales[[#This Row],[Selling Rate]]*Sales[[#This Row],[Qty]]</f>
        <v>58560</v>
      </c>
      <c r="J337" s="43">
        <v>0</v>
      </c>
      <c r="K337" s="44">
        <f>Sales[[#This Row],[Gross Amount]]*Sales[[#This Row],[Disc %]]</f>
        <v>0</v>
      </c>
      <c r="L337" s="43">
        <v>0.18</v>
      </c>
      <c r="M337" s="44">
        <f>(Sales[[#This Row],[Gross Amount]]-Sales[[#This Row],[Disc. Amt.]])*Sales[[#This Row],[GST %]]</f>
        <v>10540.8</v>
      </c>
      <c r="N337" s="161">
        <f>Sales[[#This Row],[Gross Amount]]-Sales[[#This Row],[Disc. Amt.]]+Sales[[#This Row],[GST Amount]]</f>
        <v>69100.800000000003</v>
      </c>
      <c r="O337" s="158" t="s">
        <v>3566</v>
      </c>
      <c r="P337" s="158" t="s">
        <v>3562</v>
      </c>
      <c r="Q337" s="160">
        <f>IF(Sales[[#This Row],[Status]]="Cancelled",0,Sales[[#This Row],[Qty]])</f>
        <v>3</v>
      </c>
      <c r="R337" s="161">
        <f>IF(Sales[[#This Row],[Status]]="Cancelled",0,Sales[[#This Row],[Total Amount]])</f>
        <v>69100.800000000003</v>
      </c>
      <c r="S337" s="162">
        <f>SUM(Sales[Net Amount])</f>
        <v>406839287.73200053</v>
      </c>
    </row>
    <row r="338" spans="1:19" ht="18.75" x14ac:dyDescent="0.25">
      <c r="A338" s="163" t="s">
        <v>3906</v>
      </c>
      <c r="B338" s="164">
        <v>45796</v>
      </c>
      <c r="C338" s="34" t="s">
        <v>824</v>
      </c>
      <c r="D338" s="53" t="str">
        <f>VLOOKUP(Sales[[#This Row],[Customer ID]],Customer[#All],2,0)</f>
        <v>Sunita Verma</v>
      </c>
      <c r="E338" s="34" t="s">
        <v>545</v>
      </c>
      <c r="F338" s="34" t="str">
        <f>VLOOKUP(Sales[[#This Row],[Product ID]],Product[#All],2,0)</f>
        <v>WD HDD</v>
      </c>
      <c r="G338" s="53">
        <v>1</v>
      </c>
      <c r="H338" s="165">
        <f>VLOOKUP(Sales[[#This Row],[Product ID]],Product[#All],7,0)</f>
        <v>6720</v>
      </c>
      <c r="I338" s="165">
        <f>Sales[[#This Row],[Selling Rate]]*Sales[[#This Row],[Qty]]</f>
        <v>6720</v>
      </c>
      <c r="J338" s="45">
        <v>0</v>
      </c>
      <c r="K338" s="46">
        <f>Sales[[#This Row],[Gross Amount]]*Sales[[#This Row],[Disc %]]</f>
        <v>0</v>
      </c>
      <c r="L338" s="43">
        <v>0.18</v>
      </c>
      <c r="M338" s="46">
        <f>(Sales[[#This Row],[Gross Amount]]-Sales[[#This Row],[Disc. Amt.]])*Sales[[#This Row],[GST %]]</f>
        <v>1209.5999999999999</v>
      </c>
      <c r="N338" s="161">
        <f>Sales[[#This Row],[Gross Amount]]-Sales[[#This Row],[Disc. Amt.]]+Sales[[#This Row],[GST Amount]]</f>
        <v>7929.6</v>
      </c>
      <c r="O338" s="34" t="s">
        <v>3569</v>
      </c>
      <c r="P338" s="34" t="s">
        <v>3562</v>
      </c>
      <c r="Q338" s="165">
        <f>IF(Sales[[#This Row],[Status]]="Cancelled",0,Sales[[#This Row],[Qty]])</f>
        <v>1</v>
      </c>
      <c r="R338" s="166">
        <f>IF(Sales[[#This Row],[Status]]="Cancelled",0,Sales[[#This Row],[Total Amount]])</f>
        <v>7929.6</v>
      </c>
      <c r="S338" s="162">
        <f>SUM(Sales[Net Amount])</f>
        <v>406839287.73200053</v>
      </c>
    </row>
    <row r="339" spans="1:19" ht="18.75" x14ac:dyDescent="0.25">
      <c r="A339" s="156" t="s">
        <v>3907</v>
      </c>
      <c r="B339" s="157">
        <v>45796</v>
      </c>
      <c r="C339" s="158" t="s">
        <v>774</v>
      </c>
      <c r="D339" s="159" t="str">
        <f>VLOOKUP(Sales[[#This Row],[Customer ID]],Customer[#All],2,0)</f>
        <v>Vikas Patel</v>
      </c>
      <c r="E339" s="158" t="s">
        <v>235</v>
      </c>
      <c r="F339" s="158" t="str">
        <f>VLOOKUP(Sales[[#This Row],[Product ID]],Product[#All],2,0)</f>
        <v>TP-link Router</v>
      </c>
      <c r="G339" s="159">
        <v>3</v>
      </c>
      <c r="H339" s="160">
        <f>VLOOKUP(Sales[[#This Row],[Product ID]],Product[#All],7,0)</f>
        <v>1310</v>
      </c>
      <c r="I339" s="160">
        <f>Sales[[#This Row],[Selling Rate]]*Sales[[#This Row],[Qty]]</f>
        <v>3930</v>
      </c>
      <c r="J339" s="43">
        <v>0</v>
      </c>
      <c r="K339" s="44">
        <f>Sales[[#This Row],[Gross Amount]]*Sales[[#This Row],[Disc %]]</f>
        <v>0</v>
      </c>
      <c r="L339" s="43">
        <v>0.18</v>
      </c>
      <c r="M339" s="44">
        <f>(Sales[[#This Row],[Gross Amount]]-Sales[[#This Row],[Disc. Amt.]])*Sales[[#This Row],[GST %]]</f>
        <v>707.4</v>
      </c>
      <c r="N339" s="161">
        <f>Sales[[#This Row],[Gross Amount]]-Sales[[#This Row],[Disc. Amt.]]+Sales[[#This Row],[GST Amount]]</f>
        <v>4637.3999999999996</v>
      </c>
      <c r="O339" s="158" t="s">
        <v>8876</v>
      </c>
      <c r="P339" s="158" t="s">
        <v>3562</v>
      </c>
      <c r="Q339" s="160">
        <f>IF(Sales[[#This Row],[Status]]="Cancelled",0,Sales[[#This Row],[Qty]])</f>
        <v>3</v>
      </c>
      <c r="R339" s="161">
        <f>IF(Sales[[#This Row],[Status]]="Cancelled",0,Sales[[#This Row],[Total Amount]])</f>
        <v>4637.3999999999996</v>
      </c>
      <c r="S339" s="162">
        <f>SUM(Sales[Net Amount])</f>
        <v>406839287.73200053</v>
      </c>
    </row>
    <row r="340" spans="1:19" ht="18.75" x14ac:dyDescent="0.25">
      <c r="A340" s="163" t="s">
        <v>3908</v>
      </c>
      <c r="B340" s="164">
        <v>45796</v>
      </c>
      <c r="C340" s="34" t="s">
        <v>790</v>
      </c>
      <c r="D340" s="53" t="str">
        <f>VLOOKUP(Sales[[#This Row],[Customer ID]],Customer[#All],2,0)</f>
        <v>Pooja Gupta</v>
      </c>
      <c r="E340" s="34" t="s">
        <v>165</v>
      </c>
      <c r="F340" s="34" t="str">
        <f>VLOOKUP(Sales[[#This Row],[Product ID]],Product[#All],2,0)</f>
        <v>Kingston Ram</v>
      </c>
      <c r="G340" s="53">
        <v>6</v>
      </c>
      <c r="H340" s="165">
        <f>VLOOKUP(Sales[[#This Row],[Product ID]],Product[#All],7,0)</f>
        <v>8020</v>
      </c>
      <c r="I340" s="165">
        <f>Sales[[#This Row],[Selling Rate]]*Sales[[#This Row],[Qty]]</f>
        <v>48120</v>
      </c>
      <c r="J340" s="45">
        <v>0</v>
      </c>
      <c r="K340" s="46">
        <f>Sales[[#This Row],[Gross Amount]]*Sales[[#This Row],[Disc %]]</f>
        <v>0</v>
      </c>
      <c r="L340" s="43">
        <v>0.18</v>
      </c>
      <c r="M340" s="46">
        <f>(Sales[[#This Row],[Gross Amount]]-Sales[[#This Row],[Disc. Amt.]])*Sales[[#This Row],[GST %]]</f>
        <v>8661.6</v>
      </c>
      <c r="N340" s="161">
        <f>Sales[[#This Row],[Gross Amount]]-Sales[[#This Row],[Disc. Amt.]]+Sales[[#This Row],[GST Amount]]</f>
        <v>56781.599999999999</v>
      </c>
      <c r="O340" s="34" t="s">
        <v>8876</v>
      </c>
      <c r="P340" s="34" t="s">
        <v>3562</v>
      </c>
      <c r="Q340" s="165">
        <f>IF(Sales[[#This Row],[Status]]="Cancelled",0,Sales[[#This Row],[Qty]])</f>
        <v>6</v>
      </c>
      <c r="R340" s="166">
        <f>IF(Sales[[#This Row],[Status]]="Cancelled",0,Sales[[#This Row],[Total Amount]])</f>
        <v>56781.599999999999</v>
      </c>
      <c r="S340" s="162">
        <f>SUM(Sales[Net Amount])</f>
        <v>406839287.73200053</v>
      </c>
    </row>
    <row r="341" spans="1:19" ht="18.75" x14ac:dyDescent="0.25">
      <c r="A341" s="156" t="s">
        <v>3909</v>
      </c>
      <c r="B341" s="157">
        <v>45797</v>
      </c>
      <c r="C341" s="158" t="s">
        <v>797</v>
      </c>
      <c r="D341" s="159" t="str">
        <f>VLOOKUP(Sales[[#This Row],[Customer ID]],Customer[#All],2,0)</f>
        <v>Ankit Gupta</v>
      </c>
      <c r="E341" s="158" t="s">
        <v>72</v>
      </c>
      <c r="F341" s="158" t="str">
        <f>VLOOKUP(Sales[[#This Row],[Product ID]],Product[#All],2,0)</f>
        <v>Dell Keyboard</v>
      </c>
      <c r="G341" s="159">
        <v>7</v>
      </c>
      <c r="H341" s="160">
        <f>VLOOKUP(Sales[[#This Row],[Product ID]],Product[#All],7,0)</f>
        <v>1250</v>
      </c>
      <c r="I341" s="160">
        <f>Sales[[#This Row],[Selling Rate]]*Sales[[#This Row],[Qty]]</f>
        <v>8750</v>
      </c>
      <c r="J341" s="43">
        <v>0.05</v>
      </c>
      <c r="K341" s="44">
        <f>Sales[[#This Row],[Gross Amount]]*Sales[[#This Row],[Disc %]]</f>
        <v>437.5</v>
      </c>
      <c r="L341" s="43">
        <v>0.18</v>
      </c>
      <c r="M341" s="44">
        <f>(Sales[[#This Row],[Gross Amount]]-Sales[[#This Row],[Disc. Amt.]])*Sales[[#This Row],[GST %]]</f>
        <v>1496.25</v>
      </c>
      <c r="N341" s="161">
        <f>Sales[[#This Row],[Gross Amount]]-Sales[[#This Row],[Disc. Amt.]]+Sales[[#This Row],[GST Amount]]</f>
        <v>9808.75</v>
      </c>
      <c r="O341" s="158" t="s">
        <v>8876</v>
      </c>
      <c r="P341" s="158" t="s">
        <v>3562</v>
      </c>
      <c r="Q341" s="160">
        <f>IF(Sales[[#This Row],[Status]]="Cancelled",0,Sales[[#This Row],[Qty]])</f>
        <v>7</v>
      </c>
      <c r="R341" s="161">
        <f>IF(Sales[[#This Row],[Status]]="Cancelled",0,Sales[[#This Row],[Total Amount]])</f>
        <v>9808.75</v>
      </c>
      <c r="S341" s="162">
        <f>SUM(Sales[Net Amount])</f>
        <v>406839287.73200053</v>
      </c>
    </row>
    <row r="342" spans="1:19" ht="18.75" x14ac:dyDescent="0.25">
      <c r="A342" s="163" t="s">
        <v>3910</v>
      </c>
      <c r="B342" s="164">
        <v>45797</v>
      </c>
      <c r="C342" s="34" t="s">
        <v>794</v>
      </c>
      <c r="D342" s="53" t="str">
        <f>VLOOKUP(Sales[[#This Row],[Customer ID]],Customer[#All],2,0)</f>
        <v>Sunita Sharma</v>
      </c>
      <c r="E342" s="34" t="s">
        <v>546</v>
      </c>
      <c r="F342" s="34" t="str">
        <f>VLOOKUP(Sales[[#This Row],[Product ID]],Product[#All],2,0)</f>
        <v>Crucial Ssd</v>
      </c>
      <c r="G342" s="53">
        <v>6</v>
      </c>
      <c r="H342" s="165">
        <f>VLOOKUP(Sales[[#This Row],[Product ID]],Product[#All],7,0)</f>
        <v>14200</v>
      </c>
      <c r="I342" s="165">
        <f>Sales[[#This Row],[Selling Rate]]*Sales[[#This Row],[Qty]]</f>
        <v>85200</v>
      </c>
      <c r="J342" s="45">
        <v>0.05</v>
      </c>
      <c r="K342" s="46">
        <f>Sales[[#This Row],[Gross Amount]]*Sales[[#This Row],[Disc %]]</f>
        <v>4260</v>
      </c>
      <c r="L342" s="43">
        <v>0.18</v>
      </c>
      <c r="M342" s="46">
        <f>(Sales[[#This Row],[Gross Amount]]-Sales[[#This Row],[Disc. Amt.]])*Sales[[#This Row],[GST %]]</f>
        <v>14569.199999999999</v>
      </c>
      <c r="N342" s="161">
        <f>Sales[[#This Row],[Gross Amount]]-Sales[[#This Row],[Disc. Amt.]]+Sales[[#This Row],[GST Amount]]</f>
        <v>95509.2</v>
      </c>
      <c r="O342" s="34" t="s">
        <v>3569</v>
      </c>
      <c r="P342" s="34" t="s">
        <v>3562</v>
      </c>
      <c r="Q342" s="165">
        <f>IF(Sales[[#This Row],[Status]]="Cancelled",0,Sales[[#This Row],[Qty]])</f>
        <v>6</v>
      </c>
      <c r="R342" s="166">
        <f>IF(Sales[[#This Row],[Status]]="Cancelled",0,Sales[[#This Row],[Total Amount]])</f>
        <v>95509.2</v>
      </c>
      <c r="S342" s="162">
        <f>SUM(Sales[Net Amount])</f>
        <v>406839287.73200053</v>
      </c>
    </row>
    <row r="343" spans="1:19" ht="18.75" x14ac:dyDescent="0.25">
      <c r="A343" s="156" t="s">
        <v>3911</v>
      </c>
      <c r="B343" s="157">
        <v>45797</v>
      </c>
      <c r="C343" s="158" t="s">
        <v>837</v>
      </c>
      <c r="D343" s="159" t="str">
        <f>VLOOKUP(Sales[[#This Row],[Customer ID]],Customer[#All],2,0)</f>
        <v>Sahil Patel</v>
      </c>
      <c r="E343" s="158" t="s">
        <v>527</v>
      </c>
      <c r="F343" s="158" t="str">
        <f>VLOOKUP(Sales[[#This Row],[Product ID]],Product[#All],2,0)</f>
        <v>Acer Laptop</v>
      </c>
      <c r="G343" s="159">
        <v>6</v>
      </c>
      <c r="H343" s="160">
        <f>VLOOKUP(Sales[[#This Row],[Product ID]],Product[#All],7,0)</f>
        <v>29070</v>
      </c>
      <c r="I343" s="160">
        <f>Sales[[#This Row],[Selling Rate]]*Sales[[#This Row],[Qty]]</f>
        <v>174420</v>
      </c>
      <c r="J343" s="43">
        <v>0</v>
      </c>
      <c r="K343" s="44">
        <f>Sales[[#This Row],[Gross Amount]]*Sales[[#This Row],[Disc %]]</f>
        <v>0</v>
      </c>
      <c r="L343" s="43">
        <v>0.18</v>
      </c>
      <c r="M343" s="44">
        <f>(Sales[[#This Row],[Gross Amount]]-Sales[[#This Row],[Disc. Amt.]])*Sales[[#This Row],[GST %]]</f>
        <v>31395.599999999999</v>
      </c>
      <c r="N343" s="161">
        <f>Sales[[#This Row],[Gross Amount]]-Sales[[#This Row],[Disc. Amt.]]+Sales[[#This Row],[GST Amount]]</f>
        <v>205815.6</v>
      </c>
      <c r="O343" s="158" t="s">
        <v>3561</v>
      </c>
      <c r="P343" s="158" t="s">
        <v>3562</v>
      </c>
      <c r="Q343" s="160">
        <f>IF(Sales[[#This Row],[Status]]="Cancelled",0,Sales[[#This Row],[Qty]])</f>
        <v>6</v>
      </c>
      <c r="R343" s="161">
        <f>IF(Sales[[#This Row],[Status]]="Cancelled",0,Sales[[#This Row],[Total Amount]])</f>
        <v>205815.6</v>
      </c>
      <c r="S343" s="162">
        <f>SUM(Sales[Net Amount])</f>
        <v>406839287.73200053</v>
      </c>
    </row>
    <row r="344" spans="1:19" ht="18.75" x14ac:dyDescent="0.25">
      <c r="A344" s="163" t="s">
        <v>3912</v>
      </c>
      <c r="B344" s="164">
        <v>45797</v>
      </c>
      <c r="C344" s="34" t="s">
        <v>752</v>
      </c>
      <c r="D344" s="53" t="str">
        <f>VLOOKUP(Sales[[#This Row],[Customer ID]],Customer[#All],2,0)</f>
        <v>Pooja Patel</v>
      </c>
      <c r="E344" s="34" t="s">
        <v>214</v>
      </c>
      <c r="F344" s="34" t="str">
        <f>VLOOKUP(Sales[[#This Row],[Product ID]],Product[#All],2,0)</f>
        <v>Microtek UPS</v>
      </c>
      <c r="G344" s="53">
        <v>6</v>
      </c>
      <c r="H344" s="165">
        <f>VLOOKUP(Sales[[#This Row],[Product ID]],Product[#All],7,0)</f>
        <v>10710</v>
      </c>
      <c r="I344" s="165">
        <f>Sales[[#This Row],[Selling Rate]]*Sales[[#This Row],[Qty]]</f>
        <v>64260</v>
      </c>
      <c r="J344" s="45">
        <v>0.1</v>
      </c>
      <c r="K344" s="46">
        <f>Sales[[#This Row],[Gross Amount]]*Sales[[#This Row],[Disc %]]</f>
        <v>6426</v>
      </c>
      <c r="L344" s="43">
        <v>0.18</v>
      </c>
      <c r="M344" s="46">
        <f>(Sales[[#This Row],[Gross Amount]]-Sales[[#This Row],[Disc. Amt.]])*Sales[[#This Row],[GST %]]</f>
        <v>10410.119999999999</v>
      </c>
      <c r="N344" s="161">
        <f>Sales[[#This Row],[Gross Amount]]-Sales[[#This Row],[Disc. Amt.]]+Sales[[#This Row],[GST Amount]]</f>
        <v>68244.12</v>
      </c>
      <c r="O344" s="34" t="s">
        <v>3566</v>
      </c>
      <c r="P344" s="34" t="s">
        <v>3562</v>
      </c>
      <c r="Q344" s="165">
        <f>IF(Sales[[#This Row],[Status]]="Cancelled",0,Sales[[#This Row],[Qty]])</f>
        <v>6</v>
      </c>
      <c r="R344" s="166">
        <f>IF(Sales[[#This Row],[Status]]="Cancelled",0,Sales[[#This Row],[Total Amount]])</f>
        <v>68244.12</v>
      </c>
      <c r="S344" s="162">
        <f>SUM(Sales[Net Amount])</f>
        <v>406839287.73200053</v>
      </c>
    </row>
    <row r="345" spans="1:19" ht="18.75" x14ac:dyDescent="0.25">
      <c r="A345" s="156" t="s">
        <v>3913</v>
      </c>
      <c r="B345" s="157">
        <v>45797</v>
      </c>
      <c r="C345" s="158" t="s">
        <v>673</v>
      </c>
      <c r="D345" s="159" t="str">
        <f>VLOOKUP(Sales[[#This Row],[Customer ID]],Customer[#All],2,0)</f>
        <v>Sunita Gupta</v>
      </c>
      <c r="E345" s="158" t="s">
        <v>155</v>
      </c>
      <c r="F345" s="158" t="str">
        <f>VLOOKUP(Sales[[#This Row],[Product ID]],Product[#All],2,0)</f>
        <v>Sandisk Pen Drive</v>
      </c>
      <c r="G345" s="159">
        <v>2</v>
      </c>
      <c r="H345" s="160">
        <f>VLOOKUP(Sales[[#This Row],[Product ID]],Product[#All],7,0)</f>
        <v>3650</v>
      </c>
      <c r="I345" s="160">
        <f>Sales[[#This Row],[Selling Rate]]*Sales[[#This Row],[Qty]]</f>
        <v>7300</v>
      </c>
      <c r="J345" s="43">
        <v>0.15</v>
      </c>
      <c r="K345" s="44">
        <f>Sales[[#This Row],[Gross Amount]]*Sales[[#This Row],[Disc %]]</f>
        <v>1095</v>
      </c>
      <c r="L345" s="43">
        <v>0.18</v>
      </c>
      <c r="M345" s="44">
        <f>(Sales[[#This Row],[Gross Amount]]-Sales[[#This Row],[Disc. Amt.]])*Sales[[#This Row],[GST %]]</f>
        <v>1116.8999999999999</v>
      </c>
      <c r="N345" s="161">
        <f>Sales[[#This Row],[Gross Amount]]-Sales[[#This Row],[Disc. Amt.]]+Sales[[#This Row],[GST Amount]]</f>
        <v>7321.9</v>
      </c>
      <c r="O345" s="158" t="s">
        <v>3561</v>
      </c>
      <c r="P345" s="158" t="s">
        <v>3562</v>
      </c>
      <c r="Q345" s="160">
        <f>IF(Sales[[#This Row],[Status]]="Cancelled",0,Sales[[#This Row],[Qty]])</f>
        <v>2</v>
      </c>
      <c r="R345" s="161">
        <f>IF(Sales[[#This Row],[Status]]="Cancelled",0,Sales[[#This Row],[Total Amount]])</f>
        <v>7321.9</v>
      </c>
      <c r="S345" s="162">
        <f>SUM(Sales[Net Amount])</f>
        <v>406839287.73200053</v>
      </c>
    </row>
    <row r="346" spans="1:19" ht="18.75" x14ac:dyDescent="0.25">
      <c r="A346" s="163" t="s">
        <v>3914</v>
      </c>
      <c r="B346" s="164">
        <v>45797</v>
      </c>
      <c r="C346" s="34" t="s">
        <v>687</v>
      </c>
      <c r="D346" s="53" t="str">
        <f>VLOOKUP(Sales[[#This Row],[Customer ID]],Customer[#All],2,0)</f>
        <v>Rahul Verma</v>
      </c>
      <c r="E346" s="34" t="s">
        <v>243</v>
      </c>
      <c r="F346" s="34" t="str">
        <f>VLOOKUP(Sales[[#This Row],[Product ID]],Product[#All],2,0)</f>
        <v>TP-link Router</v>
      </c>
      <c r="G346" s="53">
        <v>7</v>
      </c>
      <c r="H346" s="165">
        <f>VLOOKUP(Sales[[#This Row],[Product ID]],Product[#All],7,0)</f>
        <v>3230</v>
      </c>
      <c r="I346" s="165">
        <f>Sales[[#This Row],[Selling Rate]]*Sales[[#This Row],[Qty]]</f>
        <v>22610</v>
      </c>
      <c r="J346" s="45">
        <v>0</v>
      </c>
      <c r="K346" s="46">
        <f>Sales[[#This Row],[Gross Amount]]*Sales[[#This Row],[Disc %]]</f>
        <v>0</v>
      </c>
      <c r="L346" s="43">
        <v>0.18</v>
      </c>
      <c r="M346" s="46">
        <f>(Sales[[#This Row],[Gross Amount]]-Sales[[#This Row],[Disc. Amt.]])*Sales[[#This Row],[GST %]]</f>
        <v>4069.7999999999997</v>
      </c>
      <c r="N346" s="161">
        <f>Sales[[#This Row],[Gross Amount]]-Sales[[#This Row],[Disc. Amt.]]+Sales[[#This Row],[GST Amount]]</f>
        <v>26679.8</v>
      </c>
      <c r="O346" s="34" t="s">
        <v>3569</v>
      </c>
      <c r="P346" s="34" t="s">
        <v>3562</v>
      </c>
      <c r="Q346" s="165">
        <f>IF(Sales[[#This Row],[Status]]="Cancelled",0,Sales[[#This Row],[Qty]])</f>
        <v>7</v>
      </c>
      <c r="R346" s="166">
        <f>IF(Sales[[#This Row],[Status]]="Cancelled",0,Sales[[#This Row],[Total Amount]])</f>
        <v>26679.8</v>
      </c>
      <c r="S346" s="162">
        <f>SUM(Sales[Net Amount])</f>
        <v>406839287.73200053</v>
      </c>
    </row>
    <row r="347" spans="1:19" ht="18.75" x14ac:dyDescent="0.25">
      <c r="A347" s="156" t="s">
        <v>3915</v>
      </c>
      <c r="B347" s="157">
        <v>45797</v>
      </c>
      <c r="C347" s="158" t="s">
        <v>790</v>
      </c>
      <c r="D347" s="159" t="str">
        <f>VLOOKUP(Sales[[#This Row],[Customer ID]],Customer[#All],2,0)</f>
        <v>Pooja Gupta</v>
      </c>
      <c r="E347" s="158" t="s">
        <v>397</v>
      </c>
      <c r="F347" s="158" t="str">
        <f>VLOOKUP(Sales[[#This Row],[Product ID]],Product[#All],2,0)</f>
        <v>Dell Laptop</v>
      </c>
      <c r="G347" s="159">
        <v>5</v>
      </c>
      <c r="H347" s="160">
        <f>VLOOKUP(Sales[[#This Row],[Product ID]],Product[#All],7,0)</f>
        <v>69400</v>
      </c>
      <c r="I347" s="160">
        <f>Sales[[#This Row],[Selling Rate]]*Sales[[#This Row],[Qty]]</f>
        <v>347000</v>
      </c>
      <c r="J347" s="43">
        <v>0.02</v>
      </c>
      <c r="K347" s="44">
        <f>Sales[[#This Row],[Gross Amount]]*Sales[[#This Row],[Disc %]]</f>
        <v>6940</v>
      </c>
      <c r="L347" s="43">
        <v>0.18</v>
      </c>
      <c r="M347" s="44">
        <f>(Sales[[#This Row],[Gross Amount]]-Sales[[#This Row],[Disc. Amt.]])*Sales[[#This Row],[GST %]]</f>
        <v>61210.799999999996</v>
      </c>
      <c r="N347" s="161">
        <f>Sales[[#This Row],[Gross Amount]]-Sales[[#This Row],[Disc. Amt.]]+Sales[[#This Row],[GST Amount]]</f>
        <v>401270.8</v>
      </c>
      <c r="O347" s="158" t="s">
        <v>8876</v>
      </c>
      <c r="P347" s="158" t="s">
        <v>3562</v>
      </c>
      <c r="Q347" s="160">
        <f>IF(Sales[[#This Row],[Status]]="Cancelled",0,Sales[[#This Row],[Qty]])</f>
        <v>5</v>
      </c>
      <c r="R347" s="161">
        <f>IF(Sales[[#This Row],[Status]]="Cancelled",0,Sales[[#This Row],[Total Amount]])</f>
        <v>401270.8</v>
      </c>
      <c r="S347" s="162">
        <f>SUM(Sales[Net Amount])</f>
        <v>406839287.73200053</v>
      </c>
    </row>
    <row r="348" spans="1:19" ht="18.75" x14ac:dyDescent="0.25">
      <c r="A348" s="163" t="s">
        <v>3916</v>
      </c>
      <c r="B348" s="164">
        <v>45797</v>
      </c>
      <c r="C348" s="34" t="s">
        <v>731</v>
      </c>
      <c r="D348" s="53" t="str">
        <f>VLOOKUP(Sales[[#This Row],[Customer ID]],Customer[#All],2,0)</f>
        <v>Neha Singh</v>
      </c>
      <c r="E348" s="34" t="s">
        <v>195</v>
      </c>
      <c r="F348" s="34" t="str">
        <f>VLOOKUP(Sales[[#This Row],[Product ID]],Product[#All],2,0)</f>
        <v>Acer Laptop</v>
      </c>
      <c r="G348" s="53">
        <v>6</v>
      </c>
      <c r="H348" s="165">
        <f>VLOOKUP(Sales[[#This Row],[Product ID]],Product[#All],7,0)</f>
        <v>46790</v>
      </c>
      <c r="I348" s="165">
        <f>Sales[[#This Row],[Selling Rate]]*Sales[[#This Row],[Qty]]</f>
        <v>280740</v>
      </c>
      <c r="J348" s="45">
        <v>0.1</v>
      </c>
      <c r="K348" s="46">
        <f>Sales[[#This Row],[Gross Amount]]*Sales[[#This Row],[Disc %]]</f>
        <v>28074</v>
      </c>
      <c r="L348" s="43">
        <v>0.18</v>
      </c>
      <c r="M348" s="46">
        <f>(Sales[[#This Row],[Gross Amount]]-Sales[[#This Row],[Disc. Amt.]])*Sales[[#This Row],[GST %]]</f>
        <v>45479.88</v>
      </c>
      <c r="N348" s="161">
        <f>Sales[[#This Row],[Gross Amount]]-Sales[[#This Row],[Disc. Amt.]]+Sales[[#This Row],[GST Amount]]</f>
        <v>298145.88</v>
      </c>
      <c r="O348" s="34" t="s">
        <v>3569</v>
      </c>
      <c r="P348" s="34" t="s">
        <v>3562</v>
      </c>
      <c r="Q348" s="165">
        <f>IF(Sales[[#This Row],[Status]]="Cancelled",0,Sales[[#This Row],[Qty]])</f>
        <v>6</v>
      </c>
      <c r="R348" s="166">
        <f>IF(Sales[[#This Row],[Status]]="Cancelled",0,Sales[[#This Row],[Total Amount]])</f>
        <v>298145.88</v>
      </c>
      <c r="S348" s="162">
        <f>SUM(Sales[Net Amount])</f>
        <v>406839287.73200053</v>
      </c>
    </row>
    <row r="349" spans="1:19" ht="18.75" x14ac:dyDescent="0.25">
      <c r="A349" s="156" t="s">
        <v>3917</v>
      </c>
      <c r="B349" s="157">
        <v>45797</v>
      </c>
      <c r="C349" s="158" t="s">
        <v>707</v>
      </c>
      <c r="D349" s="159" t="str">
        <f>VLOOKUP(Sales[[#This Row],[Customer ID]],Customer[#All],2,0)</f>
        <v>Rahul Verma</v>
      </c>
      <c r="E349" s="158" t="s">
        <v>70</v>
      </c>
      <c r="F349" s="158" t="str">
        <f>VLOOKUP(Sales[[#This Row],[Product ID]],Product[#All],2,0)</f>
        <v>Logitech Webcam</v>
      </c>
      <c r="G349" s="159">
        <v>5</v>
      </c>
      <c r="H349" s="160">
        <f>VLOOKUP(Sales[[#This Row],[Product ID]],Product[#All],7,0)</f>
        <v>5200</v>
      </c>
      <c r="I349" s="160">
        <f>Sales[[#This Row],[Selling Rate]]*Sales[[#This Row],[Qty]]</f>
        <v>26000</v>
      </c>
      <c r="J349" s="43">
        <v>0.12</v>
      </c>
      <c r="K349" s="44">
        <f>Sales[[#This Row],[Gross Amount]]*Sales[[#This Row],[Disc %]]</f>
        <v>3120</v>
      </c>
      <c r="L349" s="43">
        <v>0.18</v>
      </c>
      <c r="M349" s="44">
        <f>(Sales[[#This Row],[Gross Amount]]-Sales[[#This Row],[Disc. Amt.]])*Sales[[#This Row],[GST %]]</f>
        <v>4118.3999999999996</v>
      </c>
      <c r="N349" s="161">
        <f>Sales[[#This Row],[Gross Amount]]-Sales[[#This Row],[Disc. Amt.]]+Sales[[#This Row],[GST Amount]]</f>
        <v>26998.400000000001</v>
      </c>
      <c r="O349" s="158" t="s">
        <v>3569</v>
      </c>
      <c r="P349" s="158" t="s">
        <v>3562</v>
      </c>
      <c r="Q349" s="160">
        <f>IF(Sales[[#This Row],[Status]]="Cancelled",0,Sales[[#This Row],[Qty]])</f>
        <v>5</v>
      </c>
      <c r="R349" s="161">
        <f>IF(Sales[[#This Row],[Status]]="Cancelled",0,Sales[[#This Row],[Total Amount]])</f>
        <v>26998.400000000001</v>
      </c>
      <c r="S349" s="162">
        <f>SUM(Sales[Net Amount])</f>
        <v>406839287.73200053</v>
      </c>
    </row>
    <row r="350" spans="1:19" ht="18.75" x14ac:dyDescent="0.25">
      <c r="A350" s="163" t="s">
        <v>3918</v>
      </c>
      <c r="B350" s="164">
        <v>45797</v>
      </c>
      <c r="C350" s="34" t="s">
        <v>849</v>
      </c>
      <c r="D350" s="53" t="str">
        <f>VLOOKUP(Sales[[#This Row],[Customer ID]],Customer[#All],2,0)</f>
        <v>Sunita Sharma</v>
      </c>
      <c r="E350" s="34" t="s">
        <v>41</v>
      </c>
      <c r="F350" s="34" t="str">
        <f>VLOOKUP(Sales[[#This Row],[Product ID]],Product[#All],2,0)</f>
        <v>HP Laptop</v>
      </c>
      <c r="G350" s="53">
        <v>1</v>
      </c>
      <c r="H350" s="165">
        <f>VLOOKUP(Sales[[#This Row],[Product ID]],Product[#All],7,0)</f>
        <v>74700</v>
      </c>
      <c r="I350" s="165">
        <f>Sales[[#This Row],[Selling Rate]]*Sales[[#This Row],[Qty]]</f>
        <v>74700</v>
      </c>
      <c r="J350" s="45">
        <v>0.15</v>
      </c>
      <c r="K350" s="46">
        <f>Sales[[#This Row],[Gross Amount]]*Sales[[#This Row],[Disc %]]</f>
        <v>11205</v>
      </c>
      <c r="L350" s="43">
        <v>0.18</v>
      </c>
      <c r="M350" s="46">
        <f>(Sales[[#This Row],[Gross Amount]]-Sales[[#This Row],[Disc. Amt.]])*Sales[[#This Row],[GST %]]</f>
        <v>11429.1</v>
      </c>
      <c r="N350" s="161">
        <f>Sales[[#This Row],[Gross Amount]]-Sales[[#This Row],[Disc. Amt.]]+Sales[[#This Row],[GST Amount]]</f>
        <v>74924.100000000006</v>
      </c>
      <c r="O350" s="34" t="s">
        <v>3569</v>
      </c>
      <c r="P350" s="34" t="s">
        <v>3562</v>
      </c>
      <c r="Q350" s="165">
        <f>IF(Sales[[#This Row],[Status]]="Cancelled",0,Sales[[#This Row],[Qty]])</f>
        <v>1</v>
      </c>
      <c r="R350" s="166">
        <f>IF(Sales[[#This Row],[Status]]="Cancelled",0,Sales[[#This Row],[Total Amount]])</f>
        <v>74924.100000000006</v>
      </c>
      <c r="S350" s="162">
        <f>SUM(Sales[Net Amount])</f>
        <v>406839287.73200053</v>
      </c>
    </row>
    <row r="351" spans="1:19" ht="18.75" x14ac:dyDescent="0.25">
      <c r="A351" s="156" t="s">
        <v>3919</v>
      </c>
      <c r="B351" s="157">
        <v>45797</v>
      </c>
      <c r="C351" s="158" t="s">
        <v>795</v>
      </c>
      <c r="D351" s="159" t="str">
        <f>VLOOKUP(Sales[[#This Row],[Customer ID]],Customer[#All],2,0)</f>
        <v>Sahil Gupta</v>
      </c>
      <c r="E351" s="158" t="s">
        <v>47</v>
      </c>
      <c r="F351" s="158" t="str">
        <f>VLOOKUP(Sales[[#This Row],[Product ID]],Product[#All],2,0)</f>
        <v>Logitech Keyboard</v>
      </c>
      <c r="G351" s="159">
        <v>3</v>
      </c>
      <c r="H351" s="160">
        <f>VLOOKUP(Sales[[#This Row],[Product ID]],Product[#All],7,0)</f>
        <v>930</v>
      </c>
      <c r="I351" s="160">
        <f>Sales[[#This Row],[Selling Rate]]*Sales[[#This Row],[Qty]]</f>
        <v>2790</v>
      </c>
      <c r="J351" s="43">
        <v>0</v>
      </c>
      <c r="K351" s="44">
        <f>Sales[[#This Row],[Gross Amount]]*Sales[[#This Row],[Disc %]]</f>
        <v>0</v>
      </c>
      <c r="L351" s="43">
        <v>0.18</v>
      </c>
      <c r="M351" s="44">
        <f>(Sales[[#This Row],[Gross Amount]]-Sales[[#This Row],[Disc. Amt.]])*Sales[[#This Row],[GST %]]</f>
        <v>502.2</v>
      </c>
      <c r="N351" s="161">
        <f>Sales[[#This Row],[Gross Amount]]-Sales[[#This Row],[Disc. Amt.]]+Sales[[#This Row],[GST Amount]]</f>
        <v>3292.2</v>
      </c>
      <c r="O351" s="158" t="s">
        <v>3569</v>
      </c>
      <c r="P351" s="158" t="s">
        <v>3562</v>
      </c>
      <c r="Q351" s="160">
        <f>IF(Sales[[#This Row],[Status]]="Cancelled",0,Sales[[#This Row],[Qty]])</f>
        <v>3</v>
      </c>
      <c r="R351" s="161">
        <f>IF(Sales[[#This Row],[Status]]="Cancelled",0,Sales[[#This Row],[Total Amount]])</f>
        <v>3292.2</v>
      </c>
      <c r="S351" s="162">
        <f>SUM(Sales[Net Amount])</f>
        <v>406839287.73200053</v>
      </c>
    </row>
    <row r="352" spans="1:19" ht="18.75" x14ac:dyDescent="0.25">
      <c r="A352" s="163" t="s">
        <v>3920</v>
      </c>
      <c r="B352" s="164">
        <v>45797</v>
      </c>
      <c r="C352" s="34" t="s">
        <v>655</v>
      </c>
      <c r="D352" s="53" t="str">
        <f>VLOOKUP(Sales[[#This Row],[Customer ID]],Customer[#All],2,0)</f>
        <v>Pooja Singh</v>
      </c>
      <c r="E352" s="34" t="s">
        <v>349</v>
      </c>
      <c r="F352" s="34" t="str">
        <f>VLOOKUP(Sales[[#This Row],[Product ID]],Product[#All],2,0)</f>
        <v>Samsung Monitor</v>
      </c>
      <c r="G352" s="53">
        <v>5</v>
      </c>
      <c r="H352" s="165">
        <f>VLOOKUP(Sales[[#This Row],[Product ID]],Product[#All],7,0)</f>
        <v>11070</v>
      </c>
      <c r="I352" s="165">
        <f>Sales[[#This Row],[Selling Rate]]*Sales[[#This Row],[Qty]]</f>
        <v>55350</v>
      </c>
      <c r="J352" s="45">
        <v>0.1</v>
      </c>
      <c r="K352" s="46">
        <f>Sales[[#This Row],[Gross Amount]]*Sales[[#This Row],[Disc %]]</f>
        <v>5535</v>
      </c>
      <c r="L352" s="43">
        <v>0.18</v>
      </c>
      <c r="M352" s="46">
        <f>(Sales[[#This Row],[Gross Amount]]-Sales[[#This Row],[Disc. Amt.]])*Sales[[#This Row],[GST %]]</f>
        <v>8966.6999999999989</v>
      </c>
      <c r="N352" s="161">
        <f>Sales[[#This Row],[Gross Amount]]-Sales[[#This Row],[Disc. Amt.]]+Sales[[#This Row],[GST Amount]]</f>
        <v>58781.7</v>
      </c>
      <c r="O352" s="34" t="s">
        <v>8876</v>
      </c>
      <c r="P352" s="34" t="s">
        <v>3562</v>
      </c>
      <c r="Q352" s="165">
        <f>IF(Sales[[#This Row],[Status]]="Cancelled",0,Sales[[#This Row],[Qty]])</f>
        <v>5</v>
      </c>
      <c r="R352" s="166">
        <f>IF(Sales[[#This Row],[Status]]="Cancelled",0,Sales[[#This Row],[Total Amount]])</f>
        <v>58781.7</v>
      </c>
      <c r="S352" s="162">
        <f>SUM(Sales[Net Amount])</f>
        <v>406839287.73200053</v>
      </c>
    </row>
    <row r="353" spans="1:19" ht="18.75" x14ac:dyDescent="0.25">
      <c r="A353" s="156" t="s">
        <v>3921</v>
      </c>
      <c r="B353" s="157">
        <v>45797</v>
      </c>
      <c r="C353" s="158" t="s">
        <v>787</v>
      </c>
      <c r="D353" s="159" t="str">
        <f>VLOOKUP(Sales[[#This Row],[Customer ID]],Customer[#All],2,0)</f>
        <v>Amit Singh</v>
      </c>
      <c r="E353" s="158" t="s">
        <v>294</v>
      </c>
      <c r="F353" s="158" t="str">
        <f>VLOOKUP(Sales[[#This Row],[Product ID]],Product[#All],2,0)</f>
        <v>Samsung Monitor</v>
      </c>
      <c r="G353" s="159">
        <v>5</v>
      </c>
      <c r="H353" s="160">
        <f>VLOOKUP(Sales[[#This Row],[Product ID]],Product[#All],7,0)</f>
        <v>33870</v>
      </c>
      <c r="I353" s="160">
        <f>Sales[[#This Row],[Selling Rate]]*Sales[[#This Row],[Qty]]</f>
        <v>169350</v>
      </c>
      <c r="J353" s="43">
        <v>0.05</v>
      </c>
      <c r="K353" s="44">
        <f>Sales[[#This Row],[Gross Amount]]*Sales[[#This Row],[Disc %]]</f>
        <v>8467.5</v>
      </c>
      <c r="L353" s="43">
        <v>0.18</v>
      </c>
      <c r="M353" s="44">
        <f>(Sales[[#This Row],[Gross Amount]]-Sales[[#This Row],[Disc. Amt.]])*Sales[[#This Row],[GST %]]</f>
        <v>28958.85</v>
      </c>
      <c r="N353" s="161">
        <f>Sales[[#This Row],[Gross Amount]]-Sales[[#This Row],[Disc. Amt.]]+Sales[[#This Row],[GST Amount]]</f>
        <v>189841.35</v>
      </c>
      <c r="O353" s="158" t="s">
        <v>8876</v>
      </c>
      <c r="P353" s="158" t="s">
        <v>3562</v>
      </c>
      <c r="Q353" s="160">
        <f>IF(Sales[[#This Row],[Status]]="Cancelled",0,Sales[[#This Row],[Qty]])</f>
        <v>5</v>
      </c>
      <c r="R353" s="161">
        <f>IF(Sales[[#This Row],[Status]]="Cancelled",0,Sales[[#This Row],[Total Amount]])</f>
        <v>189841.35</v>
      </c>
      <c r="S353" s="162">
        <f>SUM(Sales[Net Amount])</f>
        <v>406839287.73200053</v>
      </c>
    </row>
    <row r="354" spans="1:19" ht="18.75" x14ac:dyDescent="0.25">
      <c r="A354" s="163" t="s">
        <v>3922</v>
      </c>
      <c r="B354" s="164">
        <v>45797</v>
      </c>
      <c r="C354" s="34" t="s">
        <v>812</v>
      </c>
      <c r="D354" s="53" t="str">
        <f>VLOOKUP(Sales[[#This Row],[Customer ID]],Customer[#All],2,0)</f>
        <v>Neha Gupta</v>
      </c>
      <c r="E354" s="34" t="s">
        <v>161</v>
      </c>
      <c r="F354" s="34" t="str">
        <f>VLOOKUP(Sales[[#This Row],[Product ID]],Product[#All],2,0)</f>
        <v>TP-link Router</v>
      </c>
      <c r="G354" s="53">
        <v>6</v>
      </c>
      <c r="H354" s="165">
        <f>VLOOKUP(Sales[[#This Row],[Product ID]],Product[#All],7,0)</f>
        <v>1330</v>
      </c>
      <c r="I354" s="165">
        <f>Sales[[#This Row],[Selling Rate]]*Sales[[#This Row],[Qty]]</f>
        <v>7980</v>
      </c>
      <c r="J354" s="45">
        <v>0</v>
      </c>
      <c r="K354" s="46">
        <f>Sales[[#This Row],[Gross Amount]]*Sales[[#This Row],[Disc %]]</f>
        <v>0</v>
      </c>
      <c r="L354" s="43">
        <v>0.18</v>
      </c>
      <c r="M354" s="46">
        <f>(Sales[[#This Row],[Gross Amount]]-Sales[[#This Row],[Disc. Amt.]])*Sales[[#This Row],[GST %]]</f>
        <v>1436.3999999999999</v>
      </c>
      <c r="N354" s="161">
        <f>Sales[[#This Row],[Gross Amount]]-Sales[[#This Row],[Disc. Amt.]]+Sales[[#This Row],[GST Amount]]</f>
        <v>9416.4</v>
      </c>
      <c r="O354" s="34" t="s">
        <v>3569</v>
      </c>
      <c r="P354" s="34" t="s">
        <v>3562</v>
      </c>
      <c r="Q354" s="165">
        <f>IF(Sales[[#This Row],[Status]]="Cancelled",0,Sales[[#This Row],[Qty]])</f>
        <v>6</v>
      </c>
      <c r="R354" s="166">
        <f>IF(Sales[[#This Row],[Status]]="Cancelled",0,Sales[[#This Row],[Total Amount]])</f>
        <v>9416.4</v>
      </c>
      <c r="S354" s="162">
        <f>SUM(Sales[Net Amount])</f>
        <v>406839287.73200053</v>
      </c>
    </row>
    <row r="355" spans="1:19" ht="18.75" x14ac:dyDescent="0.25">
      <c r="A355" s="156" t="s">
        <v>3923</v>
      </c>
      <c r="B355" s="157">
        <v>45797</v>
      </c>
      <c r="C355" s="158" t="s">
        <v>805</v>
      </c>
      <c r="D355" s="159" t="str">
        <f>VLOOKUP(Sales[[#This Row],[Customer ID]],Customer[#All],2,0)</f>
        <v>Priya Kumar</v>
      </c>
      <c r="E355" s="158" t="s">
        <v>106</v>
      </c>
      <c r="F355" s="158" t="str">
        <f>VLOOKUP(Sales[[#This Row],[Product ID]],Product[#All],2,0)</f>
        <v>Corsair Ram</v>
      </c>
      <c r="G355" s="159">
        <v>8</v>
      </c>
      <c r="H355" s="160">
        <f>VLOOKUP(Sales[[#This Row],[Product ID]],Product[#All],7,0)</f>
        <v>7990</v>
      </c>
      <c r="I355" s="160">
        <f>Sales[[#This Row],[Selling Rate]]*Sales[[#This Row],[Qty]]</f>
        <v>63920</v>
      </c>
      <c r="J355" s="43">
        <v>0.1</v>
      </c>
      <c r="K355" s="44">
        <f>Sales[[#This Row],[Gross Amount]]*Sales[[#This Row],[Disc %]]</f>
        <v>6392</v>
      </c>
      <c r="L355" s="43">
        <v>0.18</v>
      </c>
      <c r="M355" s="44">
        <f>(Sales[[#This Row],[Gross Amount]]-Sales[[#This Row],[Disc. Amt.]])*Sales[[#This Row],[GST %]]</f>
        <v>10355.039999999999</v>
      </c>
      <c r="N355" s="161">
        <f>Sales[[#This Row],[Gross Amount]]-Sales[[#This Row],[Disc. Amt.]]+Sales[[#This Row],[GST Amount]]</f>
        <v>67883.039999999994</v>
      </c>
      <c r="O355" s="158" t="s">
        <v>3566</v>
      </c>
      <c r="P355" s="158" t="s">
        <v>3562</v>
      </c>
      <c r="Q355" s="160">
        <f>IF(Sales[[#This Row],[Status]]="Cancelled",0,Sales[[#This Row],[Qty]])</f>
        <v>8</v>
      </c>
      <c r="R355" s="161">
        <f>IF(Sales[[#This Row],[Status]]="Cancelled",0,Sales[[#This Row],[Total Amount]])</f>
        <v>67883.039999999994</v>
      </c>
      <c r="S355" s="162">
        <f>SUM(Sales[Net Amount])</f>
        <v>406839287.73200053</v>
      </c>
    </row>
    <row r="356" spans="1:19" ht="18.75" x14ac:dyDescent="0.25">
      <c r="A356" s="163" t="s">
        <v>3924</v>
      </c>
      <c r="B356" s="164">
        <v>45797</v>
      </c>
      <c r="C356" s="34" t="s">
        <v>3925</v>
      </c>
      <c r="D356" s="53" t="str">
        <f>VLOOKUP(Sales[[#This Row],[Customer ID]],Customer[#All],2,0)</f>
        <v>Vikas Patel</v>
      </c>
      <c r="E356" s="34" t="s">
        <v>405</v>
      </c>
      <c r="F356" s="34" t="str">
        <f>VLOOKUP(Sales[[#This Row],[Product ID]],Product[#All],2,0)</f>
        <v>TP-link Bluetooth Adapter</v>
      </c>
      <c r="G356" s="53">
        <v>2</v>
      </c>
      <c r="H356" s="165">
        <f>VLOOKUP(Sales[[#This Row],[Product ID]],Product[#All],7,0)</f>
        <v>1470</v>
      </c>
      <c r="I356" s="165">
        <f>Sales[[#This Row],[Selling Rate]]*Sales[[#This Row],[Qty]]</f>
        <v>2940</v>
      </c>
      <c r="J356" s="45">
        <v>0.05</v>
      </c>
      <c r="K356" s="46">
        <f>Sales[[#This Row],[Gross Amount]]*Sales[[#This Row],[Disc %]]</f>
        <v>147</v>
      </c>
      <c r="L356" s="43">
        <v>0.18</v>
      </c>
      <c r="M356" s="46">
        <f>(Sales[[#This Row],[Gross Amount]]-Sales[[#This Row],[Disc. Amt.]])*Sales[[#This Row],[GST %]]</f>
        <v>502.74</v>
      </c>
      <c r="N356" s="161">
        <f>Sales[[#This Row],[Gross Amount]]-Sales[[#This Row],[Disc. Amt.]]+Sales[[#This Row],[GST Amount]]</f>
        <v>3295.74</v>
      </c>
      <c r="O356" s="34" t="s">
        <v>8876</v>
      </c>
      <c r="P356" s="34" t="s">
        <v>3562</v>
      </c>
      <c r="Q356" s="165">
        <f>IF(Sales[[#This Row],[Status]]="Cancelled",0,Sales[[#This Row],[Qty]])</f>
        <v>2</v>
      </c>
      <c r="R356" s="166">
        <f>IF(Sales[[#This Row],[Status]]="Cancelled",0,Sales[[#This Row],[Total Amount]])</f>
        <v>3295.74</v>
      </c>
      <c r="S356" s="162">
        <f>SUM(Sales[Net Amount])</f>
        <v>406839287.73200053</v>
      </c>
    </row>
    <row r="357" spans="1:19" ht="18.75" x14ac:dyDescent="0.25">
      <c r="A357" s="156" t="s">
        <v>3926</v>
      </c>
      <c r="B357" s="157">
        <v>45797</v>
      </c>
      <c r="C357" s="158" t="s">
        <v>757</v>
      </c>
      <c r="D357" s="159" t="str">
        <f>VLOOKUP(Sales[[#This Row],[Customer ID]],Customer[#All],2,0)</f>
        <v>Amit Singh</v>
      </c>
      <c r="E357" s="158" t="s">
        <v>260</v>
      </c>
      <c r="F357" s="158" t="str">
        <f>VLOOKUP(Sales[[#This Row],[Product ID]],Product[#All],2,0)</f>
        <v>Corsair Ram</v>
      </c>
      <c r="G357" s="159">
        <v>8</v>
      </c>
      <c r="H357" s="160">
        <f>VLOOKUP(Sales[[#This Row],[Product ID]],Product[#All],7,0)</f>
        <v>6010</v>
      </c>
      <c r="I357" s="160">
        <f>Sales[[#This Row],[Selling Rate]]*Sales[[#This Row],[Qty]]</f>
        <v>48080</v>
      </c>
      <c r="J357" s="43">
        <v>0.05</v>
      </c>
      <c r="K357" s="44">
        <f>Sales[[#This Row],[Gross Amount]]*Sales[[#This Row],[Disc %]]</f>
        <v>2404</v>
      </c>
      <c r="L357" s="43">
        <v>0.18</v>
      </c>
      <c r="M357" s="44">
        <f>(Sales[[#This Row],[Gross Amount]]-Sales[[#This Row],[Disc. Amt.]])*Sales[[#This Row],[GST %]]</f>
        <v>8221.68</v>
      </c>
      <c r="N357" s="161">
        <f>Sales[[#This Row],[Gross Amount]]-Sales[[#This Row],[Disc. Amt.]]+Sales[[#This Row],[GST Amount]]</f>
        <v>53897.68</v>
      </c>
      <c r="O357" s="158" t="s">
        <v>8876</v>
      </c>
      <c r="P357" s="158" t="s">
        <v>3562</v>
      </c>
      <c r="Q357" s="160">
        <f>IF(Sales[[#This Row],[Status]]="Cancelled",0,Sales[[#This Row],[Qty]])</f>
        <v>8</v>
      </c>
      <c r="R357" s="161">
        <f>IF(Sales[[#This Row],[Status]]="Cancelled",0,Sales[[#This Row],[Total Amount]])</f>
        <v>53897.68</v>
      </c>
      <c r="S357" s="162">
        <f>SUM(Sales[Net Amount])</f>
        <v>406839287.73200053</v>
      </c>
    </row>
    <row r="358" spans="1:19" ht="18.75" x14ac:dyDescent="0.25">
      <c r="A358" s="163" t="s">
        <v>3927</v>
      </c>
      <c r="B358" s="164">
        <v>45797</v>
      </c>
      <c r="C358" s="34" t="s">
        <v>685</v>
      </c>
      <c r="D358" s="53" t="str">
        <f>VLOOKUP(Sales[[#This Row],[Customer ID]],Customer[#All],2,0)</f>
        <v>Pooja Kumar</v>
      </c>
      <c r="E358" s="34" t="s">
        <v>104</v>
      </c>
      <c r="F358" s="34" t="str">
        <f>VLOOKUP(Sales[[#This Row],[Product ID]],Product[#All],2,0)</f>
        <v>Canon Printer</v>
      </c>
      <c r="G358" s="53">
        <v>2</v>
      </c>
      <c r="H358" s="165">
        <f>VLOOKUP(Sales[[#This Row],[Product ID]],Product[#All],7,0)</f>
        <v>49170</v>
      </c>
      <c r="I358" s="165">
        <f>Sales[[#This Row],[Selling Rate]]*Sales[[#This Row],[Qty]]</f>
        <v>98340</v>
      </c>
      <c r="J358" s="45">
        <v>0.02</v>
      </c>
      <c r="K358" s="46">
        <f>Sales[[#This Row],[Gross Amount]]*Sales[[#This Row],[Disc %]]</f>
        <v>1966.8</v>
      </c>
      <c r="L358" s="43">
        <v>0.18</v>
      </c>
      <c r="M358" s="46">
        <f>(Sales[[#This Row],[Gross Amount]]-Sales[[#This Row],[Disc. Amt.]])*Sales[[#This Row],[GST %]]</f>
        <v>17347.175999999999</v>
      </c>
      <c r="N358" s="161">
        <f>Sales[[#This Row],[Gross Amount]]-Sales[[#This Row],[Disc. Amt.]]+Sales[[#This Row],[GST Amount]]</f>
        <v>113720.37599999999</v>
      </c>
      <c r="O358" s="34" t="s">
        <v>3561</v>
      </c>
      <c r="P358" s="34" t="s">
        <v>3562</v>
      </c>
      <c r="Q358" s="165">
        <f>IF(Sales[[#This Row],[Status]]="Cancelled",0,Sales[[#This Row],[Qty]])</f>
        <v>2</v>
      </c>
      <c r="R358" s="166">
        <f>IF(Sales[[#This Row],[Status]]="Cancelled",0,Sales[[#This Row],[Total Amount]])</f>
        <v>113720.37599999999</v>
      </c>
      <c r="S358" s="162">
        <f>SUM(Sales[Net Amount])</f>
        <v>406839287.73200053</v>
      </c>
    </row>
    <row r="359" spans="1:19" ht="18.75" x14ac:dyDescent="0.25">
      <c r="A359" s="156" t="s">
        <v>3928</v>
      </c>
      <c r="B359" s="157">
        <v>45797</v>
      </c>
      <c r="C359" s="158" t="s">
        <v>911</v>
      </c>
      <c r="D359" s="159" t="str">
        <f>VLOOKUP(Sales[[#This Row],[Customer ID]],Customer[#All],2,0)</f>
        <v>Amit Kumar</v>
      </c>
      <c r="E359" s="158" t="s">
        <v>91</v>
      </c>
      <c r="F359" s="158" t="str">
        <f>VLOOKUP(Sales[[#This Row],[Product ID]],Product[#All],2,0)</f>
        <v>Logitech Keyboard</v>
      </c>
      <c r="G359" s="159">
        <v>4</v>
      </c>
      <c r="H359" s="160">
        <f>VLOOKUP(Sales[[#This Row],[Product ID]],Product[#All],7,0)</f>
        <v>3950</v>
      </c>
      <c r="I359" s="160">
        <f>Sales[[#This Row],[Selling Rate]]*Sales[[#This Row],[Qty]]</f>
        <v>15800</v>
      </c>
      <c r="J359" s="43">
        <v>0.05</v>
      </c>
      <c r="K359" s="44">
        <f>Sales[[#This Row],[Gross Amount]]*Sales[[#This Row],[Disc %]]</f>
        <v>790</v>
      </c>
      <c r="L359" s="43">
        <v>0.18</v>
      </c>
      <c r="M359" s="44">
        <f>(Sales[[#This Row],[Gross Amount]]-Sales[[#This Row],[Disc. Amt.]])*Sales[[#This Row],[GST %]]</f>
        <v>2701.7999999999997</v>
      </c>
      <c r="N359" s="161">
        <f>Sales[[#This Row],[Gross Amount]]-Sales[[#This Row],[Disc. Amt.]]+Sales[[#This Row],[GST Amount]]</f>
        <v>17711.8</v>
      </c>
      <c r="O359" s="158" t="s">
        <v>3569</v>
      </c>
      <c r="P359" s="158" t="s">
        <v>1040</v>
      </c>
      <c r="Q359" s="160">
        <f>IF(Sales[[#This Row],[Status]]="Cancelled",0,Sales[[#This Row],[Qty]])</f>
        <v>0</v>
      </c>
      <c r="R359" s="161">
        <f>IF(Sales[[#This Row],[Status]]="Cancelled",0,Sales[[#This Row],[Total Amount]])</f>
        <v>0</v>
      </c>
      <c r="S359" s="162">
        <f>SUM(Sales[Net Amount])</f>
        <v>406839287.73200053</v>
      </c>
    </row>
    <row r="360" spans="1:19" ht="18.75" x14ac:dyDescent="0.25">
      <c r="A360" s="163" t="s">
        <v>3929</v>
      </c>
      <c r="B360" s="164">
        <v>45797</v>
      </c>
      <c r="C360" s="34" t="s">
        <v>849</v>
      </c>
      <c r="D360" s="53" t="str">
        <f>VLOOKUP(Sales[[#This Row],[Customer ID]],Customer[#All],2,0)</f>
        <v>Sunita Sharma</v>
      </c>
      <c r="E360" s="34" t="s">
        <v>517</v>
      </c>
      <c r="F360" s="34" t="str">
        <f>VLOOKUP(Sales[[#This Row],[Product ID]],Product[#All],2,0)</f>
        <v>Dell Laptop</v>
      </c>
      <c r="G360" s="53">
        <v>3</v>
      </c>
      <c r="H360" s="165">
        <f>VLOOKUP(Sales[[#This Row],[Product ID]],Product[#All],7,0)</f>
        <v>81860</v>
      </c>
      <c r="I360" s="165">
        <f>Sales[[#This Row],[Selling Rate]]*Sales[[#This Row],[Qty]]</f>
        <v>245580</v>
      </c>
      <c r="J360" s="45">
        <v>0</v>
      </c>
      <c r="K360" s="46">
        <f>Sales[[#This Row],[Gross Amount]]*Sales[[#This Row],[Disc %]]</f>
        <v>0</v>
      </c>
      <c r="L360" s="43">
        <v>0.18</v>
      </c>
      <c r="M360" s="46">
        <f>(Sales[[#This Row],[Gross Amount]]-Sales[[#This Row],[Disc. Amt.]])*Sales[[#This Row],[GST %]]</f>
        <v>44204.4</v>
      </c>
      <c r="N360" s="161">
        <f>Sales[[#This Row],[Gross Amount]]-Sales[[#This Row],[Disc. Amt.]]+Sales[[#This Row],[GST Amount]]</f>
        <v>289784.40000000002</v>
      </c>
      <c r="O360" s="34" t="s">
        <v>3566</v>
      </c>
      <c r="P360" s="34" t="s">
        <v>3562</v>
      </c>
      <c r="Q360" s="165">
        <f>IF(Sales[[#This Row],[Status]]="Cancelled",0,Sales[[#This Row],[Qty]])</f>
        <v>3</v>
      </c>
      <c r="R360" s="166">
        <f>IF(Sales[[#This Row],[Status]]="Cancelled",0,Sales[[#This Row],[Total Amount]])</f>
        <v>289784.40000000002</v>
      </c>
      <c r="S360" s="162">
        <f>SUM(Sales[Net Amount])</f>
        <v>406839287.73200053</v>
      </c>
    </row>
    <row r="361" spans="1:19" ht="18.75" x14ac:dyDescent="0.25">
      <c r="A361" s="156" t="s">
        <v>3930</v>
      </c>
      <c r="B361" s="157">
        <v>45797</v>
      </c>
      <c r="C361" s="158" t="s">
        <v>820</v>
      </c>
      <c r="D361" s="159" t="str">
        <f>VLOOKUP(Sales[[#This Row],[Customer ID]],Customer[#All],2,0)</f>
        <v>Sahil Gupta</v>
      </c>
      <c r="E361" s="158" t="s">
        <v>514</v>
      </c>
      <c r="F361" s="158" t="str">
        <f>VLOOKUP(Sales[[#This Row],[Product ID]],Product[#All],2,0)</f>
        <v>Apc UPS</v>
      </c>
      <c r="G361" s="159">
        <v>3</v>
      </c>
      <c r="H361" s="160">
        <f>VLOOKUP(Sales[[#This Row],[Product ID]],Product[#All],7,0)</f>
        <v>4660</v>
      </c>
      <c r="I361" s="160">
        <f>Sales[[#This Row],[Selling Rate]]*Sales[[#This Row],[Qty]]</f>
        <v>13980</v>
      </c>
      <c r="J361" s="43">
        <v>0.05</v>
      </c>
      <c r="K361" s="44">
        <f>Sales[[#This Row],[Gross Amount]]*Sales[[#This Row],[Disc %]]</f>
        <v>699</v>
      </c>
      <c r="L361" s="43">
        <v>0.18</v>
      </c>
      <c r="M361" s="44">
        <f>(Sales[[#This Row],[Gross Amount]]-Sales[[#This Row],[Disc. Amt.]])*Sales[[#This Row],[GST %]]</f>
        <v>2390.58</v>
      </c>
      <c r="N361" s="161">
        <f>Sales[[#This Row],[Gross Amount]]-Sales[[#This Row],[Disc. Amt.]]+Sales[[#This Row],[GST Amount]]</f>
        <v>15671.58</v>
      </c>
      <c r="O361" s="158" t="s">
        <v>3566</v>
      </c>
      <c r="P361" s="158" t="s">
        <v>3562</v>
      </c>
      <c r="Q361" s="160">
        <f>IF(Sales[[#This Row],[Status]]="Cancelled",0,Sales[[#This Row],[Qty]])</f>
        <v>3</v>
      </c>
      <c r="R361" s="161">
        <f>IF(Sales[[#This Row],[Status]]="Cancelled",0,Sales[[#This Row],[Total Amount]])</f>
        <v>15671.58</v>
      </c>
      <c r="S361" s="162">
        <f>SUM(Sales[Net Amount])</f>
        <v>406839287.73200053</v>
      </c>
    </row>
    <row r="362" spans="1:19" ht="18.75" x14ac:dyDescent="0.25">
      <c r="A362" s="163" t="s">
        <v>3931</v>
      </c>
      <c r="B362" s="164">
        <v>45797</v>
      </c>
      <c r="C362" s="34" t="s">
        <v>865</v>
      </c>
      <c r="D362" s="53" t="str">
        <f>VLOOKUP(Sales[[#This Row],[Customer ID]],Customer[#All],2,0)</f>
        <v>Sunita Gupta</v>
      </c>
      <c r="E362" s="34" t="s">
        <v>401</v>
      </c>
      <c r="F362" s="34" t="str">
        <f>VLOOKUP(Sales[[#This Row],[Product ID]],Product[#All],2,0)</f>
        <v>Amazon Basics Hdmi Cable</v>
      </c>
      <c r="G362" s="53">
        <v>6</v>
      </c>
      <c r="H362" s="165">
        <f>VLOOKUP(Sales[[#This Row],[Product ID]],Product[#All],7,0)</f>
        <v>670</v>
      </c>
      <c r="I362" s="165">
        <f>Sales[[#This Row],[Selling Rate]]*Sales[[#This Row],[Qty]]</f>
        <v>4020</v>
      </c>
      <c r="J362" s="45">
        <v>0.02</v>
      </c>
      <c r="K362" s="46">
        <f>Sales[[#This Row],[Gross Amount]]*Sales[[#This Row],[Disc %]]</f>
        <v>80.400000000000006</v>
      </c>
      <c r="L362" s="43">
        <v>0.18</v>
      </c>
      <c r="M362" s="46">
        <f>(Sales[[#This Row],[Gross Amount]]-Sales[[#This Row],[Disc. Amt.]])*Sales[[#This Row],[GST %]]</f>
        <v>709.12799999999993</v>
      </c>
      <c r="N362" s="161">
        <f>Sales[[#This Row],[Gross Amount]]-Sales[[#This Row],[Disc. Amt.]]+Sales[[#This Row],[GST Amount]]</f>
        <v>4648.7280000000001</v>
      </c>
      <c r="O362" s="34" t="s">
        <v>8876</v>
      </c>
      <c r="P362" s="34" t="s">
        <v>3562</v>
      </c>
      <c r="Q362" s="165">
        <f>IF(Sales[[#This Row],[Status]]="Cancelled",0,Sales[[#This Row],[Qty]])</f>
        <v>6</v>
      </c>
      <c r="R362" s="166">
        <f>IF(Sales[[#This Row],[Status]]="Cancelled",0,Sales[[#This Row],[Total Amount]])</f>
        <v>4648.7280000000001</v>
      </c>
      <c r="S362" s="162">
        <f>SUM(Sales[Net Amount])</f>
        <v>406839287.73200053</v>
      </c>
    </row>
    <row r="363" spans="1:19" ht="18.75" x14ac:dyDescent="0.25">
      <c r="A363" s="156" t="s">
        <v>3932</v>
      </c>
      <c r="B363" s="157">
        <v>45797</v>
      </c>
      <c r="C363" s="158" t="s">
        <v>781</v>
      </c>
      <c r="D363" s="159" t="str">
        <f>VLOOKUP(Sales[[#This Row],[Customer ID]],Customer[#All],2,0)</f>
        <v>Vikas Sharma</v>
      </c>
      <c r="E363" s="158" t="s">
        <v>283</v>
      </c>
      <c r="F363" s="158" t="str">
        <f>VLOOKUP(Sales[[#This Row],[Product ID]],Product[#All],2,0)</f>
        <v>Lenovo Laptop</v>
      </c>
      <c r="G363" s="159">
        <v>8</v>
      </c>
      <c r="H363" s="160">
        <f>VLOOKUP(Sales[[#This Row],[Product ID]],Product[#All],7,0)</f>
        <v>36480</v>
      </c>
      <c r="I363" s="160">
        <f>Sales[[#This Row],[Selling Rate]]*Sales[[#This Row],[Qty]]</f>
        <v>291840</v>
      </c>
      <c r="J363" s="43">
        <v>0.02</v>
      </c>
      <c r="K363" s="44">
        <f>Sales[[#This Row],[Gross Amount]]*Sales[[#This Row],[Disc %]]</f>
        <v>5836.8</v>
      </c>
      <c r="L363" s="43">
        <v>0.18</v>
      </c>
      <c r="M363" s="44">
        <f>(Sales[[#This Row],[Gross Amount]]-Sales[[#This Row],[Disc. Amt.]])*Sales[[#This Row],[GST %]]</f>
        <v>51480.576000000001</v>
      </c>
      <c r="N363" s="161">
        <f>Sales[[#This Row],[Gross Amount]]-Sales[[#This Row],[Disc. Amt.]]+Sales[[#This Row],[GST Amount]]</f>
        <v>337483.77600000001</v>
      </c>
      <c r="O363" s="158" t="s">
        <v>8876</v>
      </c>
      <c r="P363" s="158" t="s">
        <v>3562</v>
      </c>
      <c r="Q363" s="160">
        <f>IF(Sales[[#This Row],[Status]]="Cancelled",0,Sales[[#This Row],[Qty]])</f>
        <v>8</v>
      </c>
      <c r="R363" s="161">
        <f>IF(Sales[[#This Row],[Status]]="Cancelled",0,Sales[[#This Row],[Total Amount]])</f>
        <v>337483.77600000001</v>
      </c>
      <c r="S363" s="162">
        <f>SUM(Sales[Net Amount])</f>
        <v>406839287.73200053</v>
      </c>
    </row>
    <row r="364" spans="1:19" ht="18.75" x14ac:dyDescent="0.25">
      <c r="A364" s="163" t="s">
        <v>3933</v>
      </c>
      <c r="B364" s="164">
        <v>45797</v>
      </c>
      <c r="C364" s="34" t="s">
        <v>891</v>
      </c>
      <c r="D364" s="53" t="str">
        <f>VLOOKUP(Sales[[#This Row],[Customer ID]],Customer[#All],2,0)</f>
        <v>Pooja Verma</v>
      </c>
      <c r="E364" s="34" t="s">
        <v>316</v>
      </c>
      <c r="F364" s="34" t="str">
        <f>VLOOKUP(Sales[[#This Row],[Product ID]],Product[#All],2,0)</f>
        <v>TP-link Router</v>
      </c>
      <c r="G364" s="53">
        <v>5</v>
      </c>
      <c r="H364" s="165">
        <f>VLOOKUP(Sales[[#This Row],[Product ID]],Product[#All],7,0)</f>
        <v>3750</v>
      </c>
      <c r="I364" s="165">
        <f>Sales[[#This Row],[Selling Rate]]*Sales[[#This Row],[Qty]]</f>
        <v>18750</v>
      </c>
      <c r="J364" s="45">
        <v>0.15</v>
      </c>
      <c r="K364" s="46">
        <f>Sales[[#This Row],[Gross Amount]]*Sales[[#This Row],[Disc %]]</f>
        <v>2812.5</v>
      </c>
      <c r="L364" s="43">
        <v>0.18</v>
      </c>
      <c r="M364" s="46">
        <f>(Sales[[#This Row],[Gross Amount]]-Sales[[#This Row],[Disc. Amt.]])*Sales[[#This Row],[GST %]]</f>
        <v>2868.75</v>
      </c>
      <c r="N364" s="161">
        <f>Sales[[#This Row],[Gross Amount]]-Sales[[#This Row],[Disc. Amt.]]+Sales[[#This Row],[GST Amount]]</f>
        <v>18806.25</v>
      </c>
      <c r="O364" s="34" t="s">
        <v>8876</v>
      </c>
      <c r="P364" s="34" t="s">
        <v>3562</v>
      </c>
      <c r="Q364" s="165">
        <f>IF(Sales[[#This Row],[Status]]="Cancelled",0,Sales[[#This Row],[Qty]])</f>
        <v>5</v>
      </c>
      <c r="R364" s="166">
        <f>IF(Sales[[#This Row],[Status]]="Cancelled",0,Sales[[#This Row],[Total Amount]])</f>
        <v>18806.25</v>
      </c>
      <c r="S364" s="162">
        <f>SUM(Sales[Net Amount])</f>
        <v>406839287.73200053</v>
      </c>
    </row>
    <row r="365" spans="1:19" ht="18.75" x14ac:dyDescent="0.25">
      <c r="A365" s="156" t="s">
        <v>3934</v>
      </c>
      <c r="B365" s="157">
        <v>45797</v>
      </c>
      <c r="C365" s="158" t="s">
        <v>657</v>
      </c>
      <c r="D365" s="159" t="str">
        <f>VLOOKUP(Sales[[#This Row],[Customer ID]],Customer[#All],2,0)</f>
        <v>Rahul Verma</v>
      </c>
      <c r="E365" s="158" t="s">
        <v>222</v>
      </c>
      <c r="F365" s="158" t="str">
        <f>VLOOKUP(Sales[[#This Row],[Product ID]],Product[#All],2,0)</f>
        <v>Jbl Headset</v>
      </c>
      <c r="G365" s="159">
        <v>5</v>
      </c>
      <c r="H365" s="160">
        <f>VLOOKUP(Sales[[#This Row],[Product ID]],Product[#All],7,0)</f>
        <v>8550</v>
      </c>
      <c r="I365" s="160">
        <f>Sales[[#This Row],[Selling Rate]]*Sales[[#This Row],[Qty]]</f>
        <v>42750</v>
      </c>
      <c r="J365" s="43">
        <v>0.05</v>
      </c>
      <c r="K365" s="44">
        <f>Sales[[#This Row],[Gross Amount]]*Sales[[#This Row],[Disc %]]</f>
        <v>2137.5</v>
      </c>
      <c r="L365" s="43">
        <v>0.18</v>
      </c>
      <c r="M365" s="44">
        <f>(Sales[[#This Row],[Gross Amount]]-Sales[[#This Row],[Disc. Amt.]])*Sales[[#This Row],[GST %]]</f>
        <v>7310.25</v>
      </c>
      <c r="N365" s="161">
        <f>Sales[[#This Row],[Gross Amount]]-Sales[[#This Row],[Disc. Amt.]]+Sales[[#This Row],[GST Amount]]</f>
        <v>47922.75</v>
      </c>
      <c r="O365" s="158" t="s">
        <v>3561</v>
      </c>
      <c r="P365" s="158" t="s">
        <v>3562</v>
      </c>
      <c r="Q365" s="160">
        <f>IF(Sales[[#This Row],[Status]]="Cancelled",0,Sales[[#This Row],[Qty]])</f>
        <v>5</v>
      </c>
      <c r="R365" s="161">
        <f>IF(Sales[[#This Row],[Status]]="Cancelled",0,Sales[[#This Row],[Total Amount]])</f>
        <v>47922.75</v>
      </c>
      <c r="S365" s="162">
        <f>SUM(Sales[Net Amount])</f>
        <v>406839287.73200053</v>
      </c>
    </row>
    <row r="366" spans="1:19" ht="18.75" x14ac:dyDescent="0.25">
      <c r="A366" s="163" t="s">
        <v>3935</v>
      </c>
      <c r="B366" s="164">
        <v>45797</v>
      </c>
      <c r="C366" s="34" t="s">
        <v>793</v>
      </c>
      <c r="D366" s="53" t="str">
        <f>VLOOKUP(Sales[[#This Row],[Customer ID]],Customer[#All],2,0)</f>
        <v>Neha Verma</v>
      </c>
      <c r="E366" s="34" t="s">
        <v>41</v>
      </c>
      <c r="F366" s="34" t="str">
        <f>VLOOKUP(Sales[[#This Row],[Product ID]],Product[#All],2,0)</f>
        <v>HP Laptop</v>
      </c>
      <c r="G366" s="53">
        <v>2</v>
      </c>
      <c r="H366" s="165">
        <f>VLOOKUP(Sales[[#This Row],[Product ID]],Product[#All],7,0)</f>
        <v>74700</v>
      </c>
      <c r="I366" s="165">
        <f>Sales[[#This Row],[Selling Rate]]*Sales[[#This Row],[Qty]]</f>
        <v>149400</v>
      </c>
      <c r="J366" s="45">
        <v>0.02</v>
      </c>
      <c r="K366" s="46">
        <f>Sales[[#This Row],[Gross Amount]]*Sales[[#This Row],[Disc %]]</f>
        <v>2988</v>
      </c>
      <c r="L366" s="43">
        <v>0.18</v>
      </c>
      <c r="M366" s="46">
        <f>(Sales[[#This Row],[Gross Amount]]-Sales[[#This Row],[Disc. Amt.]])*Sales[[#This Row],[GST %]]</f>
        <v>26354.16</v>
      </c>
      <c r="N366" s="161">
        <f>Sales[[#This Row],[Gross Amount]]-Sales[[#This Row],[Disc. Amt.]]+Sales[[#This Row],[GST Amount]]</f>
        <v>172766.16</v>
      </c>
      <c r="O366" s="34" t="s">
        <v>3561</v>
      </c>
      <c r="P366" s="34" t="s">
        <v>3562</v>
      </c>
      <c r="Q366" s="165">
        <f>IF(Sales[[#This Row],[Status]]="Cancelled",0,Sales[[#This Row],[Qty]])</f>
        <v>2</v>
      </c>
      <c r="R366" s="166">
        <f>IF(Sales[[#This Row],[Status]]="Cancelled",0,Sales[[#This Row],[Total Amount]])</f>
        <v>172766.16</v>
      </c>
      <c r="S366" s="162">
        <f>SUM(Sales[Net Amount])</f>
        <v>406839287.73200053</v>
      </c>
    </row>
    <row r="367" spans="1:19" ht="18.75" x14ac:dyDescent="0.25">
      <c r="A367" s="156" t="s">
        <v>3936</v>
      </c>
      <c r="B367" s="157">
        <v>45798</v>
      </c>
      <c r="C367" s="158" t="s">
        <v>804</v>
      </c>
      <c r="D367" s="159" t="str">
        <f>VLOOKUP(Sales[[#This Row],[Customer ID]],Customer[#All],2,0)</f>
        <v>Amit Gupta</v>
      </c>
      <c r="E367" s="158" t="s">
        <v>403</v>
      </c>
      <c r="F367" s="158" t="str">
        <f>VLOOKUP(Sales[[#This Row],[Product ID]],Product[#All],2,0)</f>
        <v>Apc UPS</v>
      </c>
      <c r="G367" s="159">
        <v>3</v>
      </c>
      <c r="H367" s="160">
        <f>VLOOKUP(Sales[[#This Row],[Product ID]],Product[#All],7,0)</f>
        <v>15810</v>
      </c>
      <c r="I367" s="160">
        <f>Sales[[#This Row],[Selling Rate]]*Sales[[#This Row],[Qty]]</f>
        <v>47430</v>
      </c>
      <c r="J367" s="43">
        <v>0</v>
      </c>
      <c r="K367" s="44">
        <f>Sales[[#This Row],[Gross Amount]]*Sales[[#This Row],[Disc %]]</f>
        <v>0</v>
      </c>
      <c r="L367" s="43">
        <v>0.18</v>
      </c>
      <c r="M367" s="44">
        <f>(Sales[[#This Row],[Gross Amount]]-Sales[[#This Row],[Disc. Amt.]])*Sales[[#This Row],[GST %]]</f>
        <v>8537.4</v>
      </c>
      <c r="N367" s="161">
        <f>Sales[[#This Row],[Gross Amount]]-Sales[[#This Row],[Disc. Amt.]]+Sales[[#This Row],[GST Amount]]</f>
        <v>55967.4</v>
      </c>
      <c r="O367" s="158" t="s">
        <v>3569</v>
      </c>
      <c r="P367" s="158" t="s">
        <v>3562</v>
      </c>
      <c r="Q367" s="160">
        <f>IF(Sales[[#This Row],[Status]]="Cancelled",0,Sales[[#This Row],[Qty]])</f>
        <v>3</v>
      </c>
      <c r="R367" s="161">
        <f>IF(Sales[[#This Row],[Status]]="Cancelled",0,Sales[[#This Row],[Total Amount]])</f>
        <v>55967.4</v>
      </c>
      <c r="S367" s="162">
        <f>SUM(Sales[Net Amount])</f>
        <v>406839287.73200053</v>
      </c>
    </row>
    <row r="368" spans="1:19" ht="18.75" x14ac:dyDescent="0.25">
      <c r="A368" s="163" t="s">
        <v>3937</v>
      </c>
      <c r="B368" s="164">
        <v>45798</v>
      </c>
      <c r="C368" s="34" t="s">
        <v>814</v>
      </c>
      <c r="D368" s="53" t="str">
        <f>VLOOKUP(Sales[[#This Row],[Customer ID]],Customer[#All],2,0)</f>
        <v>Amit Kumar</v>
      </c>
      <c r="E368" s="34" t="s">
        <v>522</v>
      </c>
      <c r="F368" s="34" t="str">
        <f>VLOOKUP(Sales[[#This Row],[Product ID]],Product[#All],2,0)</f>
        <v>Dell Keyboard</v>
      </c>
      <c r="G368" s="53">
        <v>7</v>
      </c>
      <c r="H368" s="165">
        <f>VLOOKUP(Sales[[#This Row],[Product ID]],Product[#All],7,0)</f>
        <v>3020</v>
      </c>
      <c r="I368" s="165">
        <f>Sales[[#This Row],[Selling Rate]]*Sales[[#This Row],[Qty]]</f>
        <v>21140</v>
      </c>
      <c r="J368" s="45">
        <v>0.12</v>
      </c>
      <c r="K368" s="46">
        <f>Sales[[#This Row],[Gross Amount]]*Sales[[#This Row],[Disc %]]</f>
        <v>2536.7999999999997</v>
      </c>
      <c r="L368" s="43">
        <v>0.18</v>
      </c>
      <c r="M368" s="46">
        <f>(Sales[[#This Row],[Gross Amount]]-Sales[[#This Row],[Disc. Amt.]])*Sales[[#This Row],[GST %]]</f>
        <v>3348.576</v>
      </c>
      <c r="N368" s="161">
        <f>Sales[[#This Row],[Gross Amount]]-Sales[[#This Row],[Disc. Amt.]]+Sales[[#This Row],[GST Amount]]</f>
        <v>21951.776000000002</v>
      </c>
      <c r="O368" s="34" t="s">
        <v>3566</v>
      </c>
      <c r="P368" s="34" t="s">
        <v>3562</v>
      </c>
      <c r="Q368" s="165">
        <f>IF(Sales[[#This Row],[Status]]="Cancelled",0,Sales[[#This Row],[Qty]])</f>
        <v>7</v>
      </c>
      <c r="R368" s="166">
        <f>IF(Sales[[#This Row],[Status]]="Cancelled",0,Sales[[#This Row],[Total Amount]])</f>
        <v>21951.776000000002</v>
      </c>
      <c r="S368" s="162">
        <f>SUM(Sales[Net Amount])</f>
        <v>406839287.73200053</v>
      </c>
    </row>
    <row r="369" spans="1:19" ht="18.75" x14ac:dyDescent="0.25">
      <c r="A369" s="156" t="s">
        <v>3938</v>
      </c>
      <c r="B369" s="157">
        <v>45798</v>
      </c>
      <c r="C369" s="158" t="s">
        <v>733</v>
      </c>
      <c r="D369" s="159" t="str">
        <f>VLOOKUP(Sales[[#This Row],[Customer ID]],Customer[#All],2,0)</f>
        <v>Vikas Kumar</v>
      </c>
      <c r="E369" s="158" t="s">
        <v>377</v>
      </c>
      <c r="F369" s="158" t="str">
        <f>VLOOKUP(Sales[[#This Row],[Product ID]],Product[#All],2,0)</f>
        <v>Acer Laptop</v>
      </c>
      <c r="G369" s="159">
        <v>6</v>
      </c>
      <c r="H369" s="160">
        <f>VLOOKUP(Sales[[#This Row],[Product ID]],Product[#All],7,0)</f>
        <v>68710</v>
      </c>
      <c r="I369" s="160">
        <f>Sales[[#This Row],[Selling Rate]]*Sales[[#This Row],[Qty]]</f>
        <v>412260</v>
      </c>
      <c r="J369" s="43">
        <v>0</v>
      </c>
      <c r="K369" s="44">
        <f>Sales[[#This Row],[Gross Amount]]*Sales[[#This Row],[Disc %]]</f>
        <v>0</v>
      </c>
      <c r="L369" s="43">
        <v>0.18</v>
      </c>
      <c r="M369" s="44">
        <f>(Sales[[#This Row],[Gross Amount]]-Sales[[#This Row],[Disc. Amt.]])*Sales[[#This Row],[GST %]]</f>
        <v>74206.8</v>
      </c>
      <c r="N369" s="161">
        <f>Sales[[#This Row],[Gross Amount]]-Sales[[#This Row],[Disc. Amt.]]+Sales[[#This Row],[GST Amount]]</f>
        <v>486466.8</v>
      </c>
      <c r="O369" s="158" t="s">
        <v>3569</v>
      </c>
      <c r="P369" s="158" t="s">
        <v>3562</v>
      </c>
      <c r="Q369" s="160">
        <f>IF(Sales[[#This Row],[Status]]="Cancelled",0,Sales[[#This Row],[Qty]])</f>
        <v>6</v>
      </c>
      <c r="R369" s="161">
        <f>IF(Sales[[#This Row],[Status]]="Cancelled",0,Sales[[#This Row],[Total Amount]])</f>
        <v>486466.8</v>
      </c>
      <c r="S369" s="162">
        <f>SUM(Sales[Net Amount])</f>
        <v>406839287.73200053</v>
      </c>
    </row>
    <row r="370" spans="1:19" ht="18.75" x14ac:dyDescent="0.25">
      <c r="A370" s="163" t="s">
        <v>3939</v>
      </c>
      <c r="B370" s="164">
        <v>45798</v>
      </c>
      <c r="C370" s="34" t="s">
        <v>842</v>
      </c>
      <c r="D370" s="53" t="str">
        <f>VLOOKUP(Sales[[#This Row],[Customer ID]],Customer[#All],2,0)</f>
        <v>Priya Gupta</v>
      </c>
      <c r="E370" s="34" t="s">
        <v>73</v>
      </c>
      <c r="F370" s="34" t="str">
        <f>VLOOKUP(Sales[[#This Row],[Product ID]],Product[#All],2,0)</f>
        <v>TP-link Router</v>
      </c>
      <c r="G370" s="53">
        <v>6</v>
      </c>
      <c r="H370" s="165">
        <f>VLOOKUP(Sales[[#This Row],[Product ID]],Product[#All],7,0)</f>
        <v>1770</v>
      </c>
      <c r="I370" s="165">
        <f>Sales[[#This Row],[Selling Rate]]*Sales[[#This Row],[Qty]]</f>
        <v>10620</v>
      </c>
      <c r="J370" s="45">
        <v>0.1</v>
      </c>
      <c r="K370" s="46">
        <f>Sales[[#This Row],[Gross Amount]]*Sales[[#This Row],[Disc %]]</f>
        <v>1062</v>
      </c>
      <c r="L370" s="43">
        <v>0.18</v>
      </c>
      <c r="M370" s="46">
        <f>(Sales[[#This Row],[Gross Amount]]-Sales[[#This Row],[Disc. Amt.]])*Sales[[#This Row],[GST %]]</f>
        <v>1720.4399999999998</v>
      </c>
      <c r="N370" s="161">
        <f>Sales[[#This Row],[Gross Amount]]-Sales[[#This Row],[Disc. Amt.]]+Sales[[#This Row],[GST Amount]]</f>
        <v>11278.44</v>
      </c>
      <c r="O370" s="34" t="s">
        <v>3566</v>
      </c>
      <c r="P370" s="34" t="s">
        <v>3562</v>
      </c>
      <c r="Q370" s="165">
        <f>IF(Sales[[#This Row],[Status]]="Cancelled",0,Sales[[#This Row],[Qty]])</f>
        <v>6</v>
      </c>
      <c r="R370" s="166">
        <f>IF(Sales[[#This Row],[Status]]="Cancelled",0,Sales[[#This Row],[Total Amount]])</f>
        <v>11278.44</v>
      </c>
      <c r="S370" s="162">
        <f>SUM(Sales[Net Amount])</f>
        <v>406839287.73200053</v>
      </c>
    </row>
    <row r="371" spans="1:19" ht="18.75" x14ac:dyDescent="0.25">
      <c r="A371" s="156" t="s">
        <v>3940</v>
      </c>
      <c r="B371" s="157">
        <v>45798</v>
      </c>
      <c r="C371" s="158" t="s">
        <v>936</v>
      </c>
      <c r="D371" s="159" t="str">
        <f>VLOOKUP(Sales[[#This Row],[Customer ID]],Customer[#All],2,0)</f>
        <v>Pooja Patel</v>
      </c>
      <c r="E371" s="158" t="s">
        <v>386</v>
      </c>
      <c r="F371" s="158" t="str">
        <f>VLOOKUP(Sales[[#This Row],[Product ID]],Product[#All],2,0)</f>
        <v>Sandisk Pen Drive</v>
      </c>
      <c r="G371" s="159">
        <v>7</v>
      </c>
      <c r="H371" s="160">
        <f>VLOOKUP(Sales[[#This Row],[Product ID]],Product[#All],7,0)</f>
        <v>700</v>
      </c>
      <c r="I371" s="160">
        <f>Sales[[#This Row],[Selling Rate]]*Sales[[#This Row],[Qty]]</f>
        <v>4900</v>
      </c>
      <c r="J371" s="43">
        <v>0.12</v>
      </c>
      <c r="K371" s="44">
        <f>Sales[[#This Row],[Gross Amount]]*Sales[[#This Row],[Disc %]]</f>
        <v>588</v>
      </c>
      <c r="L371" s="43">
        <v>0.18</v>
      </c>
      <c r="M371" s="44">
        <f>(Sales[[#This Row],[Gross Amount]]-Sales[[#This Row],[Disc. Amt.]])*Sales[[#This Row],[GST %]]</f>
        <v>776.16</v>
      </c>
      <c r="N371" s="161">
        <f>Sales[[#This Row],[Gross Amount]]-Sales[[#This Row],[Disc. Amt.]]+Sales[[#This Row],[GST Amount]]</f>
        <v>5088.16</v>
      </c>
      <c r="O371" s="158" t="s">
        <v>3561</v>
      </c>
      <c r="P371" s="158" t="s">
        <v>3562</v>
      </c>
      <c r="Q371" s="160">
        <f>IF(Sales[[#This Row],[Status]]="Cancelled",0,Sales[[#This Row],[Qty]])</f>
        <v>7</v>
      </c>
      <c r="R371" s="161">
        <f>IF(Sales[[#This Row],[Status]]="Cancelled",0,Sales[[#This Row],[Total Amount]])</f>
        <v>5088.16</v>
      </c>
      <c r="S371" s="162">
        <f>SUM(Sales[Net Amount])</f>
        <v>406839287.73200053</v>
      </c>
    </row>
    <row r="372" spans="1:19" ht="18.75" x14ac:dyDescent="0.25">
      <c r="A372" s="163" t="s">
        <v>3941</v>
      </c>
      <c r="B372" s="164">
        <v>45798</v>
      </c>
      <c r="C372" s="34" t="s">
        <v>710</v>
      </c>
      <c r="D372" s="53" t="str">
        <f>VLOOKUP(Sales[[#This Row],[Customer ID]],Customer[#All],2,0)</f>
        <v>Sunita Patel</v>
      </c>
      <c r="E372" s="34" t="s">
        <v>467</v>
      </c>
      <c r="F372" s="34" t="str">
        <f>VLOOKUP(Sales[[#This Row],[Product ID]],Product[#All],2,0)</f>
        <v>Apc UPS</v>
      </c>
      <c r="G372" s="53">
        <v>3</v>
      </c>
      <c r="H372" s="165">
        <f>VLOOKUP(Sales[[#This Row],[Product ID]],Product[#All],7,0)</f>
        <v>6250</v>
      </c>
      <c r="I372" s="165">
        <f>Sales[[#This Row],[Selling Rate]]*Sales[[#This Row],[Qty]]</f>
        <v>18750</v>
      </c>
      <c r="J372" s="45">
        <v>0.15</v>
      </c>
      <c r="K372" s="46">
        <f>Sales[[#This Row],[Gross Amount]]*Sales[[#This Row],[Disc %]]</f>
        <v>2812.5</v>
      </c>
      <c r="L372" s="43">
        <v>0.18</v>
      </c>
      <c r="M372" s="46">
        <f>(Sales[[#This Row],[Gross Amount]]-Sales[[#This Row],[Disc. Amt.]])*Sales[[#This Row],[GST %]]</f>
        <v>2868.75</v>
      </c>
      <c r="N372" s="161">
        <f>Sales[[#This Row],[Gross Amount]]-Sales[[#This Row],[Disc. Amt.]]+Sales[[#This Row],[GST Amount]]</f>
        <v>18806.25</v>
      </c>
      <c r="O372" s="34" t="s">
        <v>3561</v>
      </c>
      <c r="P372" s="34" t="s">
        <v>3562</v>
      </c>
      <c r="Q372" s="165">
        <f>IF(Sales[[#This Row],[Status]]="Cancelled",0,Sales[[#This Row],[Qty]])</f>
        <v>3</v>
      </c>
      <c r="R372" s="166">
        <f>IF(Sales[[#This Row],[Status]]="Cancelled",0,Sales[[#This Row],[Total Amount]])</f>
        <v>18806.25</v>
      </c>
      <c r="S372" s="162">
        <f>SUM(Sales[Net Amount])</f>
        <v>406839287.73200053</v>
      </c>
    </row>
    <row r="373" spans="1:19" ht="18.75" x14ac:dyDescent="0.25">
      <c r="A373" s="156" t="s">
        <v>3942</v>
      </c>
      <c r="B373" s="157">
        <v>45798</v>
      </c>
      <c r="C373" s="158" t="s">
        <v>819</v>
      </c>
      <c r="D373" s="159" t="str">
        <f>VLOOKUP(Sales[[#This Row],[Customer ID]],Customer[#All],2,0)</f>
        <v>Neha Gupta</v>
      </c>
      <c r="E373" s="158" t="s">
        <v>247</v>
      </c>
      <c r="F373" s="158" t="str">
        <f>VLOOKUP(Sales[[#This Row],[Product ID]],Product[#All],2,0)</f>
        <v>Acer Laptop</v>
      </c>
      <c r="G373" s="159">
        <v>6</v>
      </c>
      <c r="H373" s="160">
        <f>VLOOKUP(Sales[[#This Row],[Product ID]],Product[#All],7,0)</f>
        <v>68460</v>
      </c>
      <c r="I373" s="160">
        <f>Sales[[#This Row],[Selling Rate]]*Sales[[#This Row],[Qty]]</f>
        <v>410760</v>
      </c>
      <c r="J373" s="43">
        <v>0.05</v>
      </c>
      <c r="K373" s="44">
        <f>Sales[[#This Row],[Gross Amount]]*Sales[[#This Row],[Disc %]]</f>
        <v>20538</v>
      </c>
      <c r="L373" s="43">
        <v>0.18</v>
      </c>
      <c r="M373" s="44">
        <f>(Sales[[#This Row],[Gross Amount]]-Sales[[#This Row],[Disc. Amt.]])*Sales[[#This Row],[GST %]]</f>
        <v>70239.959999999992</v>
      </c>
      <c r="N373" s="161">
        <f>Sales[[#This Row],[Gross Amount]]-Sales[[#This Row],[Disc. Amt.]]+Sales[[#This Row],[GST Amount]]</f>
        <v>460461.95999999996</v>
      </c>
      <c r="O373" s="158" t="s">
        <v>3566</v>
      </c>
      <c r="P373" s="158" t="s">
        <v>3562</v>
      </c>
      <c r="Q373" s="160">
        <f>IF(Sales[[#This Row],[Status]]="Cancelled",0,Sales[[#This Row],[Qty]])</f>
        <v>6</v>
      </c>
      <c r="R373" s="161">
        <f>IF(Sales[[#This Row],[Status]]="Cancelled",0,Sales[[#This Row],[Total Amount]])</f>
        <v>460461.95999999996</v>
      </c>
      <c r="S373" s="162">
        <f>SUM(Sales[Net Amount])</f>
        <v>406839287.73200053</v>
      </c>
    </row>
    <row r="374" spans="1:19" ht="18.75" x14ac:dyDescent="0.25">
      <c r="A374" s="163" t="s">
        <v>3943</v>
      </c>
      <c r="B374" s="164">
        <v>45798</v>
      </c>
      <c r="C374" s="34" t="s">
        <v>722</v>
      </c>
      <c r="D374" s="53" t="str">
        <f>VLOOKUP(Sales[[#This Row],[Customer ID]],Customer[#All],2,0)</f>
        <v>Vikas Patel</v>
      </c>
      <c r="E374" s="34" t="s">
        <v>219</v>
      </c>
      <c r="F374" s="34" t="str">
        <f>VLOOKUP(Sales[[#This Row],[Product ID]],Product[#All],2,0)</f>
        <v>Samsung Monitor</v>
      </c>
      <c r="G374" s="53">
        <v>5</v>
      </c>
      <c r="H374" s="165">
        <f>VLOOKUP(Sales[[#This Row],[Product ID]],Product[#All],7,0)</f>
        <v>22630</v>
      </c>
      <c r="I374" s="165">
        <f>Sales[[#This Row],[Selling Rate]]*Sales[[#This Row],[Qty]]</f>
        <v>113150</v>
      </c>
      <c r="J374" s="45">
        <v>0.05</v>
      </c>
      <c r="K374" s="46">
        <f>Sales[[#This Row],[Gross Amount]]*Sales[[#This Row],[Disc %]]</f>
        <v>5657.5</v>
      </c>
      <c r="L374" s="43">
        <v>0.18</v>
      </c>
      <c r="M374" s="46">
        <f>(Sales[[#This Row],[Gross Amount]]-Sales[[#This Row],[Disc. Amt.]])*Sales[[#This Row],[GST %]]</f>
        <v>19348.649999999998</v>
      </c>
      <c r="N374" s="161">
        <f>Sales[[#This Row],[Gross Amount]]-Sales[[#This Row],[Disc. Amt.]]+Sales[[#This Row],[GST Amount]]</f>
        <v>126841.15</v>
      </c>
      <c r="O374" s="34" t="s">
        <v>3561</v>
      </c>
      <c r="P374" s="34" t="s">
        <v>3562</v>
      </c>
      <c r="Q374" s="165">
        <f>IF(Sales[[#This Row],[Status]]="Cancelled",0,Sales[[#This Row],[Qty]])</f>
        <v>5</v>
      </c>
      <c r="R374" s="166">
        <f>IF(Sales[[#This Row],[Status]]="Cancelled",0,Sales[[#This Row],[Total Amount]])</f>
        <v>126841.15</v>
      </c>
      <c r="S374" s="162">
        <f>SUM(Sales[Net Amount])</f>
        <v>406839287.73200053</v>
      </c>
    </row>
    <row r="375" spans="1:19" ht="18.75" x14ac:dyDescent="0.25">
      <c r="A375" s="156" t="s">
        <v>3944</v>
      </c>
      <c r="B375" s="157">
        <v>45798</v>
      </c>
      <c r="C375" s="158" t="s">
        <v>809</v>
      </c>
      <c r="D375" s="159" t="str">
        <f>VLOOKUP(Sales[[#This Row],[Customer ID]],Customer[#All],2,0)</f>
        <v>Priya Patel</v>
      </c>
      <c r="E375" s="158" t="s">
        <v>448</v>
      </c>
      <c r="F375" s="158" t="str">
        <f>VLOOKUP(Sales[[#This Row],[Product ID]],Product[#All],2,0)</f>
        <v>Crucial Ssd</v>
      </c>
      <c r="G375" s="159">
        <v>1</v>
      </c>
      <c r="H375" s="160">
        <f>VLOOKUP(Sales[[#This Row],[Product ID]],Product[#All],7,0)</f>
        <v>7930</v>
      </c>
      <c r="I375" s="160">
        <f>Sales[[#This Row],[Selling Rate]]*Sales[[#This Row],[Qty]]</f>
        <v>7930</v>
      </c>
      <c r="J375" s="43">
        <v>0.05</v>
      </c>
      <c r="K375" s="44">
        <f>Sales[[#This Row],[Gross Amount]]*Sales[[#This Row],[Disc %]]</f>
        <v>396.5</v>
      </c>
      <c r="L375" s="43">
        <v>0.18</v>
      </c>
      <c r="M375" s="44">
        <f>(Sales[[#This Row],[Gross Amount]]-Sales[[#This Row],[Disc. Amt.]])*Sales[[#This Row],[GST %]]</f>
        <v>1356.03</v>
      </c>
      <c r="N375" s="161">
        <f>Sales[[#This Row],[Gross Amount]]-Sales[[#This Row],[Disc. Amt.]]+Sales[[#This Row],[GST Amount]]</f>
        <v>8889.5300000000007</v>
      </c>
      <c r="O375" s="158" t="s">
        <v>3561</v>
      </c>
      <c r="P375" s="158" t="s">
        <v>3562</v>
      </c>
      <c r="Q375" s="160">
        <f>IF(Sales[[#This Row],[Status]]="Cancelled",0,Sales[[#This Row],[Qty]])</f>
        <v>1</v>
      </c>
      <c r="R375" s="161">
        <f>IF(Sales[[#This Row],[Status]]="Cancelled",0,Sales[[#This Row],[Total Amount]])</f>
        <v>8889.5300000000007</v>
      </c>
      <c r="S375" s="162">
        <f>SUM(Sales[Net Amount])</f>
        <v>406839287.73200053</v>
      </c>
    </row>
    <row r="376" spans="1:19" ht="18.75" x14ac:dyDescent="0.25">
      <c r="A376" s="163" t="s">
        <v>3945</v>
      </c>
      <c r="B376" s="164">
        <v>45798</v>
      </c>
      <c r="C376" s="34" t="s">
        <v>757</v>
      </c>
      <c r="D376" s="53" t="str">
        <f>VLOOKUP(Sales[[#This Row],[Customer ID]],Customer[#All],2,0)</f>
        <v>Amit Singh</v>
      </c>
      <c r="E376" s="34" t="s">
        <v>231</v>
      </c>
      <c r="F376" s="34" t="str">
        <f>VLOOKUP(Sales[[#This Row],[Product ID]],Product[#All],2,0)</f>
        <v>TP-link Wi-Fi Adapter</v>
      </c>
      <c r="G376" s="53">
        <v>5</v>
      </c>
      <c r="H376" s="165">
        <f>VLOOKUP(Sales[[#This Row],[Product ID]],Product[#All],7,0)</f>
        <v>2200</v>
      </c>
      <c r="I376" s="165">
        <f>Sales[[#This Row],[Selling Rate]]*Sales[[#This Row],[Qty]]</f>
        <v>11000</v>
      </c>
      <c r="J376" s="45">
        <v>0</v>
      </c>
      <c r="K376" s="46">
        <f>Sales[[#This Row],[Gross Amount]]*Sales[[#This Row],[Disc %]]</f>
        <v>0</v>
      </c>
      <c r="L376" s="43">
        <v>0.18</v>
      </c>
      <c r="M376" s="46">
        <f>(Sales[[#This Row],[Gross Amount]]-Sales[[#This Row],[Disc. Amt.]])*Sales[[#This Row],[GST %]]</f>
        <v>1980</v>
      </c>
      <c r="N376" s="161">
        <f>Sales[[#This Row],[Gross Amount]]-Sales[[#This Row],[Disc. Amt.]]+Sales[[#This Row],[GST Amount]]</f>
        <v>12980</v>
      </c>
      <c r="O376" s="34" t="s">
        <v>3561</v>
      </c>
      <c r="P376" s="34" t="s">
        <v>3562</v>
      </c>
      <c r="Q376" s="165">
        <f>IF(Sales[[#This Row],[Status]]="Cancelled",0,Sales[[#This Row],[Qty]])</f>
        <v>5</v>
      </c>
      <c r="R376" s="166">
        <f>IF(Sales[[#This Row],[Status]]="Cancelled",0,Sales[[#This Row],[Total Amount]])</f>
        <v>12980</v>
      </c>
      <c r="S376" s="162">
        <f>SUM(Sales[Net Amount])</f>
        <v>406839287.73200053</v>
      </c>
    </row>
    <row r="377" spans="1:19" ht="18.75" x14ac:dyDescent="0.25">
      <c r="A377" s="156" t="s">
        <v>3946</v>
      </c>
      <c r="B377" s="157">
        <v>45798</v>
      </c>
      <c r="C377" s="158" t="s">
        <v>940</v>
      </c>
      <c r="D377" s="159" t="str">
        <f>VLOOKUP(Sales[[#This Row],[Customer ID]],Customer[#All],2,0)</f>
        <v>Rakesh Sharma</v>
      </c>
      <c r="E377" s="158" t="s">
        <v>512</v>
      </c>
      <c r="F377" s="158" t="str">
        <f>VLOOKUP(Sales[[#This Row],[Product ID]],Product[#All],2,0)</f>
        <v>Logitech Webcam</v>
      </c>
      <c r="G377" s="159">
        <v>4</v>
      </c>
      <c r="H377" s="160">
        <f>VLOOKUP(Sales[[#This Row],[Product ID]],Product[#All],7,0)</f>
        <v>5800</v>
      </c>
      <c r="I377" s="160">
        <f>Sales[[#This Row],[Selling Rate]]*Sales[[#This Row],[Qty]]</f>
        <v>23200</v>
      </c>
      <c r="J377" s="43">
        <v>0.1</v>
      </c>
      <c r="K377" s="44">
        <f>Sales[[#This Row],[Gross Amount]]*Sales[[#This Row],[Disc %]]</f>
        <v>2320</v>
      </c>
      <c r="L377" s="43">
        <v>0.18</v>
      </c>
      <c r="M377" s="44">
        <f>(Sales[[#This Row],[Gross Amount]]-Sales[[#This Row],[Disc. Amt.]])*Sales[[#This Row],[GST %]]</f>
        <v>3758.3999999999996</v>
      </c>
      <c r="N377" s="161">
        <f>Sales[[#This Row],[Gross Amount]]-Sales[[#This Row],[Disc. Amt.]]+Sales[[#This Row],[GST Amount]]</f>
        <v>24638.400000000001</v>
      </c>
      <c r="O377" s="158" t="s">
        <v>3566</v>
      </c>
      <c r="P377" s="158" t="s">
        <v>3562</v>
      </c>
      <c r="Q377" s="160">
        <f>IF(Sales[[#This Row],[Status]]="Cancelled",0,Sales[[#This Row],[Qty]])</f>
        <v>4</v>
      </c>
      <c r="R377" s="161">
        <f>IF(Sales[[#This Row],[Status]]="Cancelled",0,Sales[[#This Row],[Total Amount]])</f>
        <v>24638.400000000001</v>
      </c>
      <c r="S377" s="162">
        <f>SUM(Sales[Net Amount])</f>
        <v>406839287.73200053</v>
      </c>
    </row>
    <row r="378" spans="1:19" ht="18.75" x14ac:dyDescent="0.25">
      <c r="A378" s="163" t="s">
        <v>3947</v>
      </c>
      <c r="B378" s="164">
        <v>45798</v>
      </c>
      <c r="C378" s="34" t="s">
        <v>669</v>
      </c>
      <c r="D378" s="53" t="str">
        <f>VLOOKUP(Sales[[#This Row],[Customer ID]],Customer[#All],2,0)</f>
        <v>Sahil Kumar</v>
      </c>
      <c r="E378" s="34" t="s">
        <v>491</v>
      </c>
      <c r="F378" s="34" t="str">
        <f>VLOOKUP(Sales[[#This Row],[Product ID]],Product[#All],2,0)</f>
        <v>Boat Speaker</v>
      </c>
      <c r="G378" s="53">
        <v>4</v>
      </c>
      <c r="H378" s="165">
        <f>VLOOKUP(Sales[[#This Row],[Product ID]],Product[#All],7,0)</f>
        <v>2300</v>
      </c>
      <c r="I378" s="165">
        <f>Sales[[#This Row],[Selling Rate]]*Sales[[#This Row],[Qty]]</f>
        <v>9200</v>
      </c>
      <c r="J378" s="45">
        <v>0.02</v>
      </c>
      <c r="K378" s="46">
        <f>Sales[[#This Row],[Gross Amount]]*Sales[[#This Row],[Disc %]]</f>
        <v>184</v>
      </c>
      <c r="L378" s="43">
        <v>0.18</v>
      </c>
      <c r="M378" s="46">
        <f>(Sales[[#This Row],[Gross Amount]]-Sales[[#This Row],[Disc. Amt.]])*Sales[[#This Row],[GST %]]</f>
        <v>1622.8799999999999</v>
      </c>
      <c r="N378" s="161">
        <f>Sales[[#This Row],[Gross Amount]]-Sales[[#This Row],[Disc. Amt.]]+Sales[[#This Row],[GST Amount]]</f>
        <v>10638.88</v>
      </c>
      <c r="O378" s="34" t="s">
        <v>8876</v>
      </c>
      <c r="P378" s="34" t="s">
        <v>3562</v>
      </c>
      <c r="Q378" s="165">
        <f>IF(Sales[[#This Row],[Status]]="Cancelled",0,Sales[[#This Row],[Qty]])</f>
        <v>4</v>
      </c>
      <c r="R378" s="166">
        <f>IF(Sales[[#This Row],[Status]]="Cancelled",0,Sales[[#This Row],[Total Amount]])</f>
        <v>10638.88</v>
      </c>
      <c r="S378" s="162">
        <f>SUM(Sales[Net Amount])</f>
        <v>406839287.73200053</v>
      </c>
    </row>
    <row r="379" spans="1:19" ht="18.75" x14ac:dyDescent="0.25">
      <c r="A379" s="156" t="s">
        <v>3948</v>
      </c>
      <c r="B379" s="157">
        <v>45798</v>
      </c>
      <c r="C379" s="158" t="s">
        <v>807</v>
      </c>
      <c r="D379" s="159" t="str">
        <f>VLOOKUP(Sales[[#This Row],[Customer ID]],Customer[#All],2,0)</f>
        <v>Rakesh Patel</v>
      </c>
      <c r="E379" s="158" t="s">
        <v>126</v>
      </c>
      <c r="F379" s="158" t="str">
        <f>VLOOKUP(Sales[[#This Row],[Product ID]],Product[#All],2,0)</f>
        <v>Epson Printer</v>
      </c>
      <c r="G379" s="159">
        <v>5</v>
      </c>
      <c r="H379" s="160">
        <f>VLOOKUP(Sales[[#This Row],[Product ID]],Product[#All],7,0)</f>
        <v>23980</v>
      </c>
      <c r="I379" s="160">
        <f>Sales[[#This Row],[Selling Rate]]*Sales[[#This Row],[Qty]]</f>
        <v>119900</v>
      </c>
      <c r="J379" s="43">
        <v>0.05</v>
      </c>
      <c r="K379" s="44">
        <f>Sales[[#This Row],[Gross Amount]]*Sales[[#This Row],[Disc %]]</f>
        <v>5995</v>
      </c>
      <c r="L379" s="43">
        <v>0.18</v>
      </c>
      <c r="M379" s="44">
        <f>(Sales[[#This Row],[Gross Amount]]-Sales[[#This Row],[Disc. Amt.]])*Sales[[#This Row],[GST %]]</f>
        <v>20502.899999999998</v>
      </c>
      <c r="N379" s="161">
        <f>Sales[[#This Row],[Gross Amount]]-Sales[[#This Row],[Disc. Amt.]]+Sales[[#This Row],[GST Amount]]</f>
        <v>134407.9</v>
      </c>
      <c r="O379" s="158" t="s">
        <v>8876</v>
      </c>
      <c r="P379" s="158" t="s">
        <v>3562</v>
      </c>
      <c r="Q379" s="160">
        <f>IF(Sales[[#This Row],[Status]]="Cancelled",0,Sales[[#This Row],[Qty]])</f>
        <v>5</v>
      </c>
      <c r="R379" s="161">
        <f>IF(Sales[[#This Row],[Status]]="Cancelled",0,Sales[[#This Row],[Total Amount]])</f>
        <v>134407.9</v>
      </c>
      <c r="S379" s="162">
        <f>SUM(Sales[Net Amount])</f>
        <v>406839287.73200053</v>
      </c>
    </row>
    <row r="380" spans="1:19" ht="18.75" x14ac:dyDescent="0.25">
      <c r="A380" s="163" t="s">
        <v>3949</v>
      </c>
      <c r="B380" s="164">
        <v>45798</v>
      </c>
      <c r="C380" s="34" t="s">
        <v>686</v>
      </c>
      <c r="D380" s="53" t="str">
        <f>VLOOKUP(Sales[[#This Row],[Customer ID]],Customer[#All],2,0)</f>
        <v>Priya Gupta</v>
      </c>
      <c r="E380" s="34" t="s">
        <v>75</v>
      </c>
      <c r="F380" s="34" t="str">
        <f>VLOOKUP(Sales[[#This Row],[Product ID]],Product[#All],2,0)</f>
        <v>Samsung Monitor</v>
      </c>
      <c r="G380" s="53">
        <v>3</v>
      </c>
      <c r="H380" s="165">
        <f>VLOOKUP(Sales[[#This Row],[Product ID]],Product[#All],7,0)</f>
        <v>30810</v>
      </c>
      <c r="I380" s="165">
        <f>Sales[[#This Row],[Selling Rate]]*Sales[[#This Row],[Qty]]</f>
        <v>92430</v>
      </c>
      <c r="J380" s="45">
        <v>0.05</v>
      </c>
      <c r="K380" s="46">
        <f>Sales[[#This Row],[Gross Amount]]*Sales[[#This Row],[Disc %]]</f>
        <v>4621.5</v>
      </c>
      <c r="L380" s="43">
        <v>0.18</v>
      </c>
      <c r="M380" s="46">
        <f>(Sales[[#This Row],[Gross Amount]]-Sales[[#This Row],[Disc. Amt.]])*Sales[[#This Row],[GST %]]</f>
        <v>15805.529999999999</v>
      </c>
      <c r="N380" s="161">
        <f>Sales[[#This Row],[Gross Amount]]-Sales[[#This Row],[Disc. Amt.]]+Sales[[#This Row],[GST Amount]]</f>
        <v>103614.03</v>
      </c>
      <c r="O380" s="34" t="s">
        <v>3566</v>
      </c>
      <c r="P380" s="34" t="s">
        <v>3562</v>
      </c>
      <c r="Q380" s="165">
        <f>IF(Sales[[#This Row],[Status]]="Cancelled",0,Sales[[#This Row],[Qty]])</f>
        <v>3</v>
      </c>
      <c r="R380" s="166">
        <f>IF(Sales[[#This Row],[Status]]="Cancelled",0,Sales[[#This Row],[Total Amount]])</f>
        <v>103614.03</v>
      </c>
      <c r="S380" s="162">
        <f>SUM(Sales[Net Amount])</f>
        <v>406839287.73200053</v>
      </c>
    </row>
    <row r="381" spans="1:19" ht="18.75" x14ac:dyDescent="0.25">
      <c r="A381" s="156" t="s">
        <v>3950</v>
      </c>
      <c r="B381" s="157">
        <v>45798</v>
      </c>
      <c r="C381" s="158" t="s">
        <v>928</v>
      </c>
      <c r="D381" s="159" t="str">
        <f>VLOOKUP(Sales[[#This Row],[Customer ID]],Customer[#All],2,0)</f>
        <v>Rahul Kumar</v>
      </c>
      <c r="E381" s="158" t="s">
        <v>125</v>
      </c>
      <c r="F381" s="158" t="str">
        <f>VLOOKUP(Sales[[#This Row],[Product ID]],Product[#All],2,0)</f>
        <v>HP Printer</v>
      </c>
      <c r="G381" s="159">
        <v>1</v>
      </c>
      <c r="H381" s="160">
        <f>VLOOKUP(Sales[[#This Row],[Product ID]],Product[#All],7,0)</f>
        <v>41620</v>
      </c>
      <c r="I381" s="160">
        <f>Sales[[#This Row],[Selling Rate]]*Sales[[#This Row],[Qty]]</f>
        <v>41620</v>
      </c>
      <c r="J381" s="43">
        <v>0.05</v>
      </c>
      <c r="K381" s="44">
        <f>Sales[[#This Row],[Gross Amount]]*Sales[[#This Row],[Disc %]]</f>
        <v>2081</v>
      </c>
      <c r="L381" s="43">
        <v>0.18</v>
      </c>
      <c r="M381" s="44">
        <f>(Sales[[#This Row],[Gross Amount]]-Sales[[#This Row],[Disc. Amt.]])*Sales[[#This Row],[GST %]]</f>
        <v>7117.0199999999995</v>
      </c>
      <c r="N381" s="161">
        <f>Sales[[#This Row],[Gross Amount]]-Sales[[#This Row],[Disc. Amt.]]+Sales[[#This Row],[GST Amount]]</f>
        <v>46656.02</v>
      </c>
      <c r="O381" s="158" t="s">
        <v>8876</v>
      </c>
      <c r="P381" s="158" t="s">
        <v>3562</v>
      </c>
      <c r="Q381" s="160">
        <f>IF(Sales[[#This Row],[Status]]="Cancelled",0,Sales[[#This Row],[Qty]])</f>
        <v>1</v>
      </c>
      <c r="R381" s="161">
        <f>IF(Sales[[#This Row],[Status]]="Cancelled",0,Sales[[#This Row],[Total Amount]])</f>
        <v>46656.02</v>
      </c>
      <c r="S381" s="162">
        <f>SUM(Sales[Net Amount])</f>
        <v>406839287.73200053</v>
      </c>
    </row>
    <row r="382" spans="1:19" ht="18.75" x14ac:dyDescent="0.25">
      <c r="A382" s="163" t="s">
        <v>3951</v>
      </c>
      <c r="B382" s="164">
        <v>45798</v>
      </c>
      <c r="C382" s="34" t="s">
        <v>3952</v>
      </c>
      <c r="D382" s="53" t="str">
        <f>VLOOKUP(Sales[[#This Row],[Customer ID]],Customer[#All],2,0)</f>
        <v>Vikas Patel</v>
      </c>
      <c r="E382" s="34" t="s">
        <v>365</v>
      </c>
      <c r="F382" s="34" t="str">
        <f>VLOOKUP(Sales[[#This Row],[Product ID]],Product[#All],2,0)</f>
        <v>TP-link Bluetooth Adapter</v>
      </c>
      <c r="G382" s="53">
        <v>5</v>
      </c>
      <c r="H382" s="165">
        <f>VLOOKUP(Sales[[#This Row],[Product ID]],Product[#All],7,0)</f>
        <v>2120</v>
      </c>
      <c r="I382" s="165">
        <f>Sales[[#This Row],[Selling Rate]]*Sales[[#This Row],[Qty]]</f>
        <v>10600</v>
      </c>
      <c r="J382" s="45">
        <v>0</v>
      </c>
      <c r="K382" s="46">
        <f>Sales[[#This Row],[Gross Amount]]*Sales[[#This Row],[Disc %]]</f>
        <v>0</v>
      </c>
      <c r="L382" s="43">
        <v>0.18</v>
      </c>
      <c r="M382" s="46">
        <f>(Sales[[#This Row],[Gross Amount]]-Sales[[#This Row],[Disc. Amt.]])*Sales[[#This Row],[GST %]]</f>
        <v>1908</v>
      </c>
      <c r="N382" s="161">
        <f>Sales[[#This Row],[Gross Amount]]-Sales[[#This Row],[Disc. Amt.]]+Sales[[#This Row],[GST Amount]]</f>
        <v>12508</v>
      </c>
      <c r="O382" s="34" t="s">
        <v>8876</v>
      </c>
      <c r="P382" s="34" t="s">
        <v>3562</v>
      </c>
      <c r="Q382" s="165">
        <f>IF(Sales[[#This Row],[Status]]="Cancelled",0,Sales[[#This Row],[Qty]])</f>
        <v>5</v>
      </c>
      <c r="R382" s="166">
        <f>IF(Sales[[#This Row],[Status]]="Cancelled",0,Sales[[#This Row],[Total Amount]])</f>
        <v>12508</v>
      </c>
      <c r="S382" s="162">
        <f>SUM(Sales[Net Amount])</f>
        <v>406839287.73200053</v>
      </c>
    </row>
    <row r="383" spans="1:19" ht="18.75" x14ac:dyDescent="0.25">
      <c r="A383" s="156" t="s">
        <v>3953</v>
      </c>
      <c r="B383" s="157">
        <v>45798</v>
      </c>
      <c r="C383" s="158" t="s">
        <v>713</v>
      </c>
      <c r="D383" s="159" t="str">
        <f>VLOOKUP(Sales[[#This Row],[Customer ID]],Customer[#All],2,0)</f>
        <v>Amit Gupta</v>
      </c>
      <c r="E383" s="158" t="s">
        <v>554</v>
      </c>
      <c r="F383" s="158" t="str">
        <f>VLOOKUP(Sales[[#This Row],[Product ID]],Product[#All],2,0)</f>
        <v>TP-link Router</v>
      </c>
      <c r="G383" s="159">
        <v>2</v>
      </c>
      <c r="H383" s="160">
        <f>VLOOKUP(Sales[[#This Row],[Product ID]],Product[#All],7,0)</f>
        <v>6320</v>
      </c>
      <c r="I383" s="160">
        <f>Sales[[#This Row],[Selling Rate]]*Sales[[#This Row],[Qty]]</f>
        <v>12640</v>
      </c>
      <c r="J383" s="43">
        <v>0.05</v>
      </c>
      <c r="K383" s="44">
        <f>Sales[[#This Row],[Gross Amount]]*Sales[[#This Row],[Disc %]]</f>
        <v>632</v>
      </c>
      <c r="L383" s="43">
        <v>0.18</v>
      </c>
      <c r="M383" s="44">
        <f>(Sales[[#This Row],[Gross Amount]]-Sales[[#This Row],[Disc. Amt.]])*Sales[[#This Row],[GST %]]</f>
        <v>2161.44</v>
      </c>
      <c r="N383" s="161">
        <f>Sales[[#This Row],[Gross Amount]]-Sales[[#This Row],[Disc. Amt.]]+Sales[[#This Row],[GST Amount]]</f>
        <v>14169.44</v>
      </c>
      <c r="O383" s="158" t="s">
        <v>8876</v>
      </c>
      <c r="P383" s="158" t="s">
        <v>3562</v>
      </c>
      <c r="Q383" s="160">
        <f>IF(Sales[[#This Row],[Status]]="Cancelled",0,Sales[[#This Row],[Qty]])</f>
        <v>2</v>
      </c>
      <c r="R383" s="161">
        <f>IF(Sales[[#This Row],[Status]]="Cancelled",0,Sales[[#This Row],[Total Amount]])</f>
        <v>14169.44</v>
      </c>
      <c r="S383" s="162">
        <f>SUM(Sales[Net Amount])</f>
        <v>406839287.73200053</v>
      </c>
    </row>
    <row r="384" spans="1:19" ht="18.75" x14ac:dyDescent="0.25">
      <c r="A384" s="163" t="s">
        <v>3954</v>
      </c>
      <c r="B384" s="164">
        <v>45798</v>
      </c>
      <c r="C384" s="34" t="s">
        <v>718</v>
      </c>
      <c r="D384" s="53" t="str">
        <f>VLOOKUP(Sales[[#This Row],[Customer ID]],Customer[#All],2,0)</f>
        <v>Rakesh Patel</v>
      </c>
      <c r="E384" s="34" t="s">
        <v>214</v>
      </c>
      <c r="F384" s="34" t="str">
        <f>VLOOKUP(Sales[[#This Row],[Product ID]],Product[#All],2,0)</f>
        <v>Microtek UPS</v>
      </c>
      <c r="G384" s="53">
        <v>2</v>
      </c>
      <c r="H384" s="165">
        <f>VLOOKUP(Sales[[#This Row],[Product ID]],Product[#All],7,0)</f>
        <v>10710</v>
      </c>
      <c r="I384" s="165">
        <f>Sales[[#This Row],[Selling Rate]]*Sales[[#This Row],[Qty]]</f>
        <v>21420</v>
      </c>
      <c r="J384" s="45">
        <v>0.12</v>
      </c>
      <c r="K384" s="46">
        <f>Sales[[#This Row],[Gross Amount]]*Sales[[#This Row],[Disc %]]</f>
        <v>2570.4</v>
      </c>
      <c r="L384" s="43">
        <v>0.18</v>
      </c>
      <c r="M384" s="46">
        <f>(Sales[[#This Row],[Gross Amount]]-Sales[[#This Row],[Disc. Amt.]])*Sales[[#This Row],[GST %]]</f>
        <v>3392.9279999999994</v>
      </c>
      <c r="N384" s="161">
        <f>Sales[[#This Row],[Gross Amount]]-Sales[[#This Row],[Disc. Amt.]]+Sales[[#This Row],[GST Amount]]</f>
        <v>22242.527999999998</v>
      </c>
      <c r="O384" s="34" t="s">
        <v>3569</v>
      </c>
      <c r="P384" s="34" t="s">
        <v>3562</v>
      </c>
      <c r="Q384" s="165">
        <f>IF(Sales[[#This Row],[Status]]="Cancelled",0,Sales[[#This Row],[Qty]])</f>
        <v>2</v>
      </c>
      <c r="R384" s="166">
        <f>IF(Sales[[#This Row],[Status]]="Cancelled",0,Sales[[#This Row],[Total Amount]])</f>
        <v>22242.527999999998</v>
      </c>
      <c r="S384" s="162">
        <f>SUM(Sales[Net Amount])</f>
        <v>406839287.73200053</v>
      </c>
    </row>
    <row r="385" spans="1:19" ht="18.75" x14ac:dyDescent="0.25">
      <c r="A385" s="156" t="s">
        <v>3955</v>
      </c>
      <c r="B385" s="157">
        <v>45798</v>
      </c>
      <c r="C385" s="158" t="s">
        <v>785</v>
      </c>
      <c r="D385" s="159" t="str">
        <f>VLOOKUP(Sales[[#This Row],[Customer ID]],Customer[#All],2,0)</f>
        <v>Ankit Gupta</v>
      </c>
      <c r="E385" s="158" t="s">
        <v>294</v>
      </c>
      <c r="F385" s="158" t="str">
        <f>VLOOKUP(Sales[[#This Row],[Product ID]],Product[#All],2,0)</f>
        <v>Samsung Monitor</v>
      </c>
      <c r="G385" s="159">
        <v>1</v>
      </c>
      <c r="H385" s="160">
        <f>VLOOKUP(Sales[[#This Row],[Product ID]],Product[#All],7,0)</f>
        <v>33870</v>
      </c>
      <c r="I385" s="160">
        <f>Sales[[#This Row],[Selling Rate]]*Sales[[#This Row],[Qty]]</f>
        <v>33870</v>
      </c>
      <c r="J385" s="43">
        <v>0.05</v>
      </c>
      <c r="K385" s="44">
        <f>Sales[[#This Row],[Gross Amount]]*Sales[[#This Row],[Disc %]]</f>
        <v>1693.5</v>
      </c>
      <c r="L385" s="43">
        <v>0.18</v>
      </c>
      <c r="M385" s="44">
        <f>(Sales[[#This Row],[Gross Amount]]-Sales[[#This Row],[Disc. Amt.]])*Sales[[#This Row],[GST %]]</f>
        <v>5791.7699999999995</v>
      </c>
      <c r="N385" s="161">
        <f>Sales[[#This Row],[Gross Amount]]-Sales[[#This Row],[Disc. Amt.]]+Sales[[#This Row],[GST Amount]]</f>
        <v>37968.269999999997</v>
      </c>
      <c r="O385" s="158" t="s">
        <v>3566</v>
      </c>
      <c r="P385" s="158" t="s">
        <v>3562</v>
      </c>
      <c r="Q385" s="160">
        <f>IF(Sales[[#This Row],[Status]]="Cancelled",0,Sales[[#This Row],[Qty]])</f>
        <v>1</v>
      </c>
      <c r="R385" s="161">
        <f>IF(Sales[[#This Row],[Status]]="Cancelled",0,Sales[[#This Row],[Total Amount]])</f>
        <v>37968.269999999997</v>
      </c>
      <c r="S385" s="162">
        <f>SUM(Sales[Net Amount])</f>
        <v>406839287.73200053</v>
      </c>
    </row>
    <row r="386" spans="1:19" ht="18.75" x14ac:dyDescent="0.25">
      <c r="A386" s="163" t="s">
        <v>3956</v>
      </c>
      <c r="B386" s="164">
        <v>45798</v>
      </c>
      <c r="C386" s="34" t="s">
        <v>791</v>
      </c>
      <c r="D386" s="53" t="str">
        <f>VLOOKUP(Sales[[#This Row],[Customer ID]],Customer[#All],2,0)</f>
        <v>Rakesh Sharma</v>
      </c>
      <c r="E386" s="34" t="s">
        <v>543</v>
      </c>
      <c r="F386" s="34" t="str">
        <f>VLOOKUP(Sales[[#This Row],[Product ID]],Product[#All],2,0)</f>
        <v>Logitech Mouse</v>
      </c>
      <c r="G386" s="53">
        <v>6</v>
      </c>
      <c r="H386" s="165">
        <f>VLOOKUP(Sales[[#This Row],[Product ID]],Product[#All],7,0)</f>
        <v>2430</v>
      </c>
      <c r="I386" s="165">
        <f>Sales[[#This Row],[Selling Rate]]*Sales[[#This Row],[Qty]]</f>
        <v>14580</v>
      </c>
      <c r="J386" s="45">
        <v>0.1</v>
      </c>
      <c r="K386" s="46">
        <f>Sales[[#This Row],[Gross Amount]]*Sales[[#This Row],[Disc %]]</f>
        <v>1458</v>
      </c>
      <c r="L386" s="43">
        <v>0.18</v>
      </c>
      <c r="M386" s="46">
        <f>(Sales[[#This Row],[Gross Amount]]-Sales[[#This Row],[Disc. Amt.]])*Sales[[#This Row],[GST %]]</f>
        <v>2361.96</v>
      </c>
      <c r="N386" s="161">
        <f>Sales[[#This Row],[Gross Amount]]-Sales[[#This Row],[Disc. Amt.]]+Sales[[#This Row],[GST Amount]]</f>
        <v>15483.96</v>
      </c>
      <c r="O386" s="34" t="s">
        <v>3569</v>
      </c>
      <c r="P386" s="34" t="s">
        <v>3562</v>
      </c>
      <c r="Q386" s="165">
        <f>IF(Sales[[#This Row],[Status]]="Cancelled",0,Sales[[#This Row],[Qty]])</f>
        <v>6</v>
      </c>
      <c r="R386" s="166">
        <f>IF(Sales[[#This Row],[Status]]="Cancelled",0,Sales[[#This Row],[Total Amount]])</f>
        <v>15483.96</v>
      </c>
      <c r="S386" s="162">
        <f>SUM(Sales[Net Amount])</f>
        <v>406839287.73200053</v>
      </c>
    </row>
    <row r="387" spans="1:19" ht="18.75" x14ac:dyDescent="0.25">
      <c r="A387" s="156" t="s">
        <v>3957</v>
      </c>
      <c r="B387" s="157">
        <v>45798</v>
      </c>
      <c r="C387" s="158" t="s">
        <v>794</v>
      </c>
      <c r="D387" s="159" t="str">
        <f>VLOOKUP(Sales[[#This Row],[Customer ID]],Customer[#All],2,0)</f>
        <v>Sunita Sharma</v>
      </c>
      <c r="E387" s="158" t="s">
        <v>192</v>
      </c>
      <c r="F387" s="158" t="str">
        <f>VLOOKUP(Sales[[#This Row],[Product ID]],Product[#All],2,0)</f>
        <v>HP Laptop</v>
      </c>
      <c r="G387" s="159">
        <v>1</v>
      </c>
      <c r="H387" s="160">
        <f>VLOOKUP(Sales[[#This Row],[Product ID]],Product[#All],7,0)</f>
        <v>59870</v>
      </c>
      <c r="I387" s="160">
        <f>Sales[[#This Row],[Selling Rate]]*Sales[[#This Row],[Qty]]</f>
        <v>59870</v>
      </c>
      <c r="J387" s="43">
        <v>0.15</v>
      </c>
      <c r="K387" s="44">
        <f>Sales[[#This Row],[Gross Amount]]*Sales[[#This Row],[Disc %]]</f>
        <v>8980.5</v>
      </c>
      <c r="L387" s="43">
        <v>0.18</v>
      </c>
      <c r="M387" s="44">
        <f>(Sales[[#This Row],[Gross Amount]]-Sales[[#This Row],[Disc. Amt.]])*Sales[[#This Row],[GST %]]</f>
        <v>9160.1099999999988</v>
      </c>
      <c r="N387" s="161">
        <f>Sales[[#This Row],[Gross Amount]]-Sales[[#This Row],[Disc. Amt.]]+Sales[[#This Row],[GST Amount]]</f>
        <v>60049.61</v>
      </c>
      <c r="O387" s="158" t="s">
        <v>8876</v>
      </c>
      <c r="P387" s="158" t="s">
        <v>3562</v>
      </c>
      <c r="Q387" s="160">
        <f>IF(Sales[[#This Row],[Status]]="Cancelled",0,Sales[[#This Row],[Qty]])</f>
        <v>1</v>
      </c>
      <c r="R387" s="161">
        <f>IF(Sales[[#This Row],[Status]]="Cancelled",0,Sales[[#This Row],[Total Amount]])</f>
        <v>60049.61</v>
      </c>
      <c r="S387" s="162">
        <f>SUM(Sales[Net Amount])</f>
        <v>406839287.73200053</v>
      </c>
    </row>
    <row r="388" spans="1:19" ht="18.75" x14ac:dyDescent="0.25">
      <c r="A388" s="163" t="s">
        <v>3958</v>
      </c>
      <c r="B388" s="164">
        <v>45798</v>
      </c>
      <c r="C388" s="34" t="s">
        <v>681</v>
      </c>
      <c r="D388" s="53" t="str">
        <f>VLOOKUP(Sales[[#This Row],[Customer ID]],Customer[#All],2,0)</f>
        <v>Amit Kumar</v>
      </c>
      <c r="E388" s="34" t="s">
        <v>112</v>
      </c>
      <c r="F388" s="34" t="str">
        <f>VLOOKUP(Sales[[#This Row],[Product ID]],Product[#All],2,0)</f>
        <v>Logitech Keyboard</v>
      </c>
      <c r="G388" s="53">
        <v>8</v>
      </c>
      <c r="H388" s="165">
        <f>VLOOKUP(Sales[[#This Row],[Product ID]],Product[#All],7,0)</f>
        <v>3300</v>
      </c>
      <c r="I388" s="165">
        <f>Sales[[#This Row],[Selling Rate]]*Sales[[#This Row],[Qty]]</f>
        <v>26400</v>
      </c>
      <c r="J388" s="45">
        <v>0</v>
      </c>
      <c r="K388" s="46">
        <f>Sales[[#This Row],[Gross Amount]]*Sales[[#This Row],[Disc %]]</f>
        <v>0</v>
      </c>
      <c r="L388" s="43">
        <v>0.18</v>
      </c>
      <c r="M388" s="46">
        <f>(Sales[[#This Row],[Gross Amount]]-Sales[[#This Row],[Disc. Amt.]])*Sales[[#This Row],[GST %]]</f>
        <v>4752</v>
      </c>
      <c r="N388" s="161">
        <f>Sales[[#This Row],[Gross Amount]]-Sales[[#This Row],[Disc. Amt.]]+Sales[[#This Row],[GST Amount]]</f>
        <v>31152</v>
      </c>
      <c r="O388" s="34" t="s">
        <v>3561</v>
      </c>
      <c r="P388" s="34" t="s">
        <v>3562</v>
      </c>
      <c r="Q388" s="165">
        <f>IF(Sales[[#This Row],[Status]]="Cancelled",0,Sales[[#This Row],[Qty]])</f>
        <v>8</v>
      </c>
      <c r="R388" s="166">
        <f>IF(Sales[[#This Row],[Status]]="Cancelled",0,Sales[[#This Row],[Total Amount]])</f>
        <v>31152</v>
      </c>
      <c r="S388" s="162">
        <f>SUM(Sales[Net Amount])</f>
        <v>406839287.73200053</v>
      </c>
    </row>
    <row r="389" spans="1:19" ht="18.75" x14ac:dyDescent="0.25">
      <c r="A389" s="156" t="s">
        <v>3959</v>
      </c>
      <c r="B389" s="157">
        <v>45798</v>
      </c>
      <c r="C389" s="158" t="s">
        <v>722</v>
      </c>
      <c r="D389" s="159" t="str">
        <f>VLOOKUP(Sales[[#This Row],[Customer ID]],Customer[#All],2,0)</f>
        <v>Vikas Patel</v>
      </c>
      <c r="E389" s="158" t="s">
        <v>483</v>
      </c>
      <c r="F389" s="158" t="str">
        <f>VLOOKUP(Sales[[#This Row],[Product ID]],Product[#All],2,0)</f>
        <v>Kingston Ram</v>
      </c>
      <c r="G389" s="159">
        <v>8</v>
      </c>
      <c r="H389" s="160">
        <f>VLOOKUP(Sales[[#This Row],[Product ID]],Product[#All],7,0)</f>
        <v>8630</v>
      </c>
      <c r="I389" s="160">
        <f>Sales[[#This Row],[Selling Rate]]*Sales[[#This Row],[Qty]]</f>
        <v>69040</v>
      </c>
      <c r="J389" s="43">
        <v>0.05</v>
      </c>
      <c r="K389" s="44">
        <f>Sales[[#This Row],[Gross Amount]]*Sales[[#This Row],[Disc %]]</f>
        <v>3452</v>
      </c>
      <c r="L389" s="43">
        <v>0.18</v>
      </c>
      <c r="M389" s="44">
        <f>(Sales[[#This Row],[Gross Amount]]-Sales[[#This Row],[Disc. Amt.]])*Sales[[#This Row],[GST %]]</f>
        <v>11805.84</v>
      </c>
      <c r="N389" s="161">
        <f>Sales[[#This Row],[Gross Amount]]-Sales[[#This Row],[Disc. Amt.]]+Sales[[#This Row],[GST Amount]]</f>
        <v>77393.84</v>
      </c>
      <c r="O389" s="158" t="s">
        <v>3566</v>
      </c>
      <c r="P389" s="158" t="s">
        <v>3562</v>
      </c>
      <c r="Q389" s="160">
        <f>IF(Sales[[#This Row],[Status]]="Cancelled",0,Sales[[#This Row],[Qty]])</f>
        <v>8</v>
      </c>
      <c r="R389" s="161">
        <f>IF(Sales[[#This Row],[Status]]="Cancelled",0,Sales[[#This Row],[Total Amount]])</f>
        <v>77393.84</v>
      </c>
      <c r="S389" s="162">
        <f>SUM(Sales[Net Amount])</f>
        <v>406839287.73200053</v>
      </c>
    </row>
    <row r="390" spans="1:19" ht="18.75" x14ac:dyDescent="0.25">
      <c r="A390" s="163" t="s">
        <v>3960</v>
      </c>
      <c r="B390" s="164">
        <v>45798</v>
      </c>
      <c r="C390" s="34" t="s">
        <v>926</v>
      </c>
      <c r="D390" s="53" t="str">
        <f>VLOOKUP(Sales[[#This Row],[Customer ID]],Customer[#All],2,0)</f>
        <v>Pooja Singh</v>
      </c>
      <c r="E390" s="34" t="s">
        <v>183</v>
      </c>
      <c r="F390" s="34" t="str">
        <f>VLOOKUP(Sales[[#This Row],[Product ID]],Product[#All],2,0)</f>
        <v>Boat Speaker</v>
      </c>
      <c r="G390" s="53">
        <v>4</v>
      </c>
      <c r="H390" s="165">
        <f>VLOOKUP(Sales[[#This Row],[Product ID]],Product[#All],7,0)</f>
        <v>1430</v>
      </c>
      <c r="I390" s="165">
        <f>Sales[[#This Row],[Selling Rate]]*Sales[[#This Row],[Qty]]</f>
        <v>5720</v>
      </c>
      <c r="J390" s="45">
        <v>0.05</v>
      </c>
      <c r="K390" s="46">
        <f>Sales[[#This Row],[Gross Amount]]*Sales[[#This Row],[Disc %]]</f>
        <v>286</v>
      </c>
      <c r="L390" s="43">
        <v>0.18</v>
      </c>
      <c r="M390" s="46">
        <f>(Sales[[#This Row],[Gross Amount]]-Sales[[#This Row],[Disc. Amt.]])*Sales[[#This Row],[GST %]]</f>
        <v>978.12</v>
      </c>
      <c r="N390" s="161">
        <f>Sales[[#This Row],[Gross Amount]]-Sales[[#This Row],[Disc. Amt.]]+Sales[[#This Row],[GST Amount]]</f>
        <v>6412.12</v>
      </c>
      <c r="O390" s="34" t="s">
        <v>3566</v>
      </c>
      <c r="P390" s="34" t="s">
        <v>3562</v>
      </c>
      <c r="Q390" s="165">
        <f>IF(Sales[[#This Row],[Status]]="Cancelled",0,Sales[[#This Row],[Qty]])</f>
        <v>4</v>
      </c>
      <c r="R390" s="166">
        <f>IF(Sales[[#This Row],[Status]]="Cancelled",0,Sales[[#This Row],[Total Amount]])</f>
        <v>6412.12</v>
      </c>
      <c r="S390" s="162">
        <f>SUM(Sales[Net Amount])</f>
        <v>406839287.73200053</v>
      </c>
    </row>
    <row r="391" spans="1:19" ht="18.75" x14ac:dyDescent="0.25">
      <c r="A391" s="156" t="s">
        <v>3961</v>
      </c>
      <c r="B391" s="157">
        <v>45799</v>
      </c>
      <c r="C391" s="158" t="s">
        <v>772</v>
      </c>
      <c r="D391" s="159" t="str">
        <f>VLOOKUP(Sales[[#This Row],[Customer ID]],Customer[#All],2,0)</f>
        <v>Rahul Patel</v>
      </c>
      <c r="E391" s="158" t="s">
        <v>227</v>
      </c>
      <c r="F391" s="158" t="str">
        <f>VLOOKUP(Sales[[#This Row],[Product ID]],Product[#All],2,0)</f>
        <v>Corsair Ram</v>
      </c>
      <c r="G391" s="159">
        <v>2</v>
      </c>
      <c r="H391" s="160">
        <f>VLOOKUP(Sales[[#This Row],[Product ID]],Product[#All],7,0)</f>
        <v>14420</v>
      </c>
      <c r="I391" s="160">
        <f>Sales[[#This Row],[Selling Rate]]*Sales[[#This Row],[Qty]]</f>
        <v>28840</v>
      </c>
      <c r="J391" s="43">
        <v>0.15</v>
      </c>
      <c r="K391" s="44">
        <f>Sales[[#This Row],[Gross Amount]]*Sales[[#This Row],[Disc %]]</f>
        <v>4326</v>
      </c>
      <c r="L391" s="43">
        <v>0.18</v>
      </c>
      <c r="M391" s="44">
        <f>(Sales[[#This Row],[Gross Amount]]-Sales[[#This Row],[Disc. Amt.]])*Sales[[#This Row],[GST %]]</f>
        <v>4412.5199999999995</v>
      </c>
      <c r="N391" s="161">
        <f>Sales[[#This Row],[Gross Amount]]-Sales[[#This Row],[Disc. Amt.]]+Sales[[#This Row],[GST Amount]]</f>
        <v>28926.52</v>
      </c>
      <c r="O391" s="158" t="s">
        <v>3566</v>
      </c>
      <c r="P391" s="158" t="s">
        <v>3562</v>
      </c>
      <c r="Q391" s="160">
        <f>IF(Sales[[#This Row],[Status]]="Cancelled",0,Sales[[#This Row],[Qty]])</f>
        <v>2</v>
      </c>
      <c r="R391" s="161">
        <f>IF(Sales[[#This Row],[Status]]="Cancelled",0,Sales[[#This Row],[Total Amount]])</f>
        <v>28926.52</v>
      </c>
      <c r="S391" s="162">
        <f>SUM(Sales[Net Amount])</f>
        <v>406839287.73200053</v>
      </c>
    </row>
    <row r="392" spans="1:19" ht="18.75" x14ac:dyDescent="0.25">
      <c r="A392" s="163" t="s">
        <v>3962</v>
      </c>
      <c r="B392" s="164">
        <v>45799</v>
      </c>
      <c r="C392" s="34" t="s">
        <v>740</v>
      </c>
      <c r="D392" s="53" t="str">
        <f>VLOOKUP(Sales[[#This Row],[Customer ID]],Customer[#All],2,0)</f>
        <v>Vikas Gupta</v>
      </c>
      <c r="E392" s="34" t="s">
        <v>317</v>
      </c>
      <c r="F392" s="34" t="str">
        <f>VLOOKUP(Sales[[#This Row],[Product ID]],Product[#All],2,0)</f>
        <v>Amazon Basics Hdmi Cable</v>
      </c>
      <c r="G392" s="53">
        <v>2</v>
      </c>
      <c r="H392" s="165">
        <f>VLOOKUP(Sales[[#This Row],[Product ID]],Product[#All],7,0)</f>
        <v>1010</v>
      </c>
      <c r="I392" s="165">
        <f>Sales[[#This Row],[Selling Rate]]*Sales[[#This Row],[Qty]]</f>
        <v>2020</v>
      </c>
      <c r="J392" s="45">
        <v>0.15</v>
      </c>
      <c r="K392" s="46">
        <f>Sales[[#This Row],[Gross Amount]]*Sales[[#This Row],[Disc %]]</f>
        <v>303</v>
      </c>
      <c r="L392" s="43">
        <v>0.18</v>
      </c>
      <c r="M392" s="46">
        <f>(Sales[[#This Row],[Gross Amount]]-Sales[[#This Row],[Disc. Amt.]])*Sales[[#This Row],[GST %]]</f>
        <v>309.06</v>
      </c>
      <c r="N392" s="161">
        <f>Sales[[#This Row],[Gross Amount]]-Sales[[#This Row],[Disc. Amt.]]+Sales[[#This Row],[GST Amount]]</f>
        <v>2026.06</v>
      </c>
      <c r="O392" s="34" t="s">
        <v>3569</v>
      </c>
      <c r="P392" s="34" t="s">
        <v>3562</v>
      </c>
      <c r="Q392" s="165">
        <f>IF(Sales[[#This Row],[Status]]="Cancelled",0,Sales[[#This Row],[Qty]])</f>
        <v>2</v>
      </c>
      <c r="R392" s="166">
        <f>IF(Sales[[#This Row],[Status]]="Cancelled",0,Sales[[#This Row],[Total Amount]])</f>
        <v>2026.06</v>
      </c>
      <c r="S392" s="162">
        <f>SUM(Sales[Net Amount])</f>
        <v>406839287.73200053</v>
      </c>
    </row>
    <row r="393" spans="1:19" ht="18.75" x14ac:dyDescent="0.25">
      <c r="A393" s="156" t="s">
        <v>3963</v>
      </c>
      <c r="B393" s="157">
        <v>45799</v>
      </c>
      <c r="C393" s="158" t="s">
        <v>661</v>
      </c>
      <c r="D393" s="159" t="str">
        <f>VLOOKUP(Sales[[#This Row],[Customer ID]],Customer[#All],2,0)</f>
        <v>Pooja Gupta</v>
      </c>
      <c r="E393" s="158" t="s">
        <v>153</v>
      </c>
      <c r="F393" s="158" t="str">
        <f>VLOOKUP(Sales[[#This Row],[Product ID]],Product[#All],2,0)</f>
        <v>HP Mouse</v>
      </c>
      <c r="G393" s="159">
        <v>7</v>
      </c>
      <c r="H393" s="160">
        <f>VLOOKUP(Sales[[#This Row],[Product ID]],Product[#All],7,0)</f>
        <v>1070</v>
      </c>
      <c r="I393" s="160">
        <f>Sales[[#This Row],[Selling Rate]]*Sales[[#This Row],[Qty]]</f>
        <v>7490</v>
      </c>
      <c r="J393" s="43">
        <v>0</v>
      </c>
      <c r="K393" s="44">
        <f>Sales[[#This Row],[Gross Amount]]*Sales[[#This Row],[Disc %]]</f>
        <v>0</v>
      </c>
      <c r="L393" s="43">
        <v>0.18</v>
      </c>
      <c r="M393" s="44">
        <f>(Sales[[#This Row],[Gross Amount]]-Sales[[#This Row],[Disc. Amt.]])*Sales[[#This Row],[GST %]]</f>
        <v>1348.2</v>
      </c>
      <c r="N393" s="161">
        <f>Sales[[#This Row],[Gross Amount]]-Sales[[#This Row],[Disc. Amt.]]+Sales[[#This Row],[GST Amount]]</f>
        <v>8838.2000000000007</v>
      </c>
      <c r="O393" s="158" t="s">
        <v>8876</v>
      </c>
      <c r="P393" s="158" t="s">
        <v>3562</v>
      </c>
      <c r="Q393" s="160">
        <f>IF(Sales[[#This Row],[Status]]="Cancelled",0,Sales[[#This Row],[Qty]])</f>
        <v>7</v>
      </c>
      <c r="R393" s="161">
        <f>IF(Sales[[#This Row],[Status]]="Cancelled",0,Sales[[#This Row],[Total Amount]])</f>
        <v>8838.2000000000007</v>
      </c>
      <c r="S393" s="162">
        <f>SUM(Sales[Net Amount])</f>
        <v>406839287.73200053</v>
      </c>
    </row>
    <row r="394" spans="1:19" ht="18.75" x14ac:dyDescent="0.25">
      <c r="A394" s="163" t="s">
        <v>3964</v>
      </c>
      <c r="B394" s="164">
        <v>45799</v>
      </c>
      <c r="C394" s="34" t="s">
        <v>917</v>
      </c>
      <c r="D394" s="53" t="str">
        <f>VLOOKUP(Sales[[#This Row],[Customer ID]],Customer[#All],2,0)</f>
        <v>Sahil Gupta</v>
      </c>
      <c r="E394" s="34" t="s">
        <v>52</v>
      </c>
      <c r="F394" s="34" t="str">
        <f>VLOOKUP(Sales[[#This Row],[Product ID]],Product[#All],2,0)</f>
        <v>HP Power Adapter</v>
      </c>
      <c r="G394" s="53">
        <v>7</v>
      </c>
      <c r="H394" s="165">
        <f>VLOOKUP(Sales[[#This Row],[Product ID]],Product[#All],7,0)</f>
        <v>4510</v>
      </c>
      <c r="I394" s="165">
        <f>Sales[[#This Row],[Selling Rate]]*Sales[[#This Row],[Qty]]</f>
        <v>31570</v>
      </c>
      <c r="J394" s="45">
        <v>0.05</v>
      </c>
      <c r="K394" s="46">
        <f>Sales[[#This Row],[Gross Amount]]*Sales[[#This Row],[Disc %]]</f>
        <v>1578.5</v>
      </c>
      <c r="L394" s="43">
        <v>0.18</v>
      </c>
      <c r="M394" s="46">
        <f>(Sales[[#This Row],[Gross Amount]]-Sales[[#This Row],[Disc. Amt.]])*Sales[[#This Row],[GST %]]</f>
        <v>5398.47</v>
      </c>
      <c r="N394" s="161">
        <f>Sales[[#This Row],[Gross Amount]]-Sales[[#This Row],[Disc. Amt.]]+Sales[[#This Row],[GST Amount]]</f>
        <v>35389.97</v>
      </c>
      <c r="O394" s="34" t="s">
        <v>8876</v>
      </c>
      <c r="P394" s="34" t="s">
        <v>3562</v>
      </c>
      <c r="Q394" s="165">
        <f>IF(Sales[[#This Row],[Status]]="Cancelled",0,Sales[[#This Row],[Qty]])</f>
        <v>7</v>
      </c>
      <c r="R394" s="166">
        <f>IF(Sales[[#This Row],[Status]]="Cancelled",0,Sales[[#This Row],[Total Amount]])</f>
        <v>35389.97</v>
      </c>
      <c r="S394" s="162">
        <f>SUM(Sales[Net Amount])</f>
        <v>406839287.73200053</v>
      </c>
    </row>
    <row r="395" spans="1:19" ht="18.75" x14ac:dyDescent="0.25">
      <c r="A395" s="156" t="s">
        <v>3965</v>
      </c>
      <c r="B395" s="157">
        <v>45799</v>
      </c>
      <c r="C395" s="158" t="s">
        <v>816</v>
      </c>
      <c r="D395" s="159" t="str">
        <f>VLOOKUP(Sales[[#This Row],[Customer ID]],Customer[#All],2,0)</f>
        <v>Amit Patel</v>
      </c>
      <c r="E395" s="158" t="s">
        <v>293</v>
      </c>
      <c r="F395" s="158" t="str">
        <f>VLOOKUP(Sales[[#This Row],[Product ID]],Product[#All],2,0)</f>
        <v>Samsung Ssd</v>
      </c>
      <c r="G395" s="159">
        <v>4</v>
      </c>
      <c r="H395" s="160">
        <f>VLOOKUP(Sales[[#This Row],[Product ID]],Product[#All],7,0)</f>
        <v>8530</v>
      </c>
      <c r="I395" s="160">
        <f>Sales[[#This Row],[Selling Rate]]*Sales[[#This Row],[Qty]]</f>
        <v>34120</v>
      </c>
      <c r="J395" s="43">
        <v>0.1</v>
      </c>
      <c r="K395" s="44">
        <f>Sales[[#This Row],[Gross Amount]]*Sales[[#This Row],[Disc %]]</f>
        <v>3412</v>
      </c>
      <c r="L395" s="43">
        <v>0.18</v>
      </c>
      <c r="M395" s="44">
        <f>(Sales[[#This Row],[Gross Amount]]-Sales[[#This Row],[Disc. Amt.]])*Sales[[#This Row],[GST %]]</f>
        <v>5527.44</v>
      </c>
      <c r="N395" s="161">
        <f>Sales[[#This Row],[Gross Amount]]-Sales[[#This Row],[Disc. Amt.]]+Sales[[#This Row],[GST Amount]]</f>
        <v>36235.440000000002</v>
      </c>
      <c r="O395" s="158" t="s">
        <v>3569</v>
      </c>
      <c r="P395" s="158" t="s">
        <v>3562</v>
      </c>
      <c r="Q395" s="160">
        <f>IF(Sales[[#This Row],[Status]]="Cancelled",0,Sales[[#This Row],[Qty]])</f>
        <v>4</v>
      </c>
      <c r="R395" s="161">
        <f>IF(Sales[[#This Row],[Status]]="Cancelled",0,Sales[[#This Row],[Total Amount]])</f>
        <v>36235.440000000002</v>
      </c>
      <c r="S395" s="162">
        <f>SUM(Sales[Net Amount])</f>
        <v>406839287.73200053</v>
      </c>
    </row>
    <row r="396" spans="1:19" ht="18.75" x14ac:dyDescent="0.25">
      <c r="A396" s="163" t="s">
        <v>3966</v>
      </c>
      <c r="B396" s="164">
        <v>45799</v>
      </c>
      <c r="C396" s="34" t="s">
        <v>679</v>
      </c>
      <c r="D396" s="53" t="str">
        <f>VLOOKUP(Sales[[#This Row],[Customer ID]],Customer[#All],2,0)</f>
        <v>Rahul Singh</v>
      </c>
      <c r="E396" s="34" t="s">
        <v>416</v>
      </c>
      <c r="F396" s="34" t="str">
        <f>VLOOKUP(Sales[[#This Row],[Product ID]],Product[#All],2,0)</f>
        <v>Portronics USB Cable</v>
      </c>
      <c r="G396" s="53">
        <v>5</v>
      </c>
      <c r="H396" s="165">
        <f>VLOOKUP(Sales[[#This Row],[Product ID]],Product[#All],7,0)</f>
        <v>960</v>
      </c>
      <c r="I396" s="165">
        <f>Sales[[#This Row],[Selling Rate]]*Sales[[#This Row],[Qty]]</f>
        <v>4800</v>
      </c>
      <c r="J396" s="45">
        <v>0.12</v>
      </c>
      <c r="K396" s="46">
        <f>Sales[[#This Row],[Gross Amount]]*Sales[[#This Row],[Disc %]]</f>
        <v>576</v>
      </c>
      <c r="L396" s="43">
        <v>0.18</v>
      </c>
      <c r="M396" s="46">
        <f>(Sales[[#This Row],[Gross Amount]]-Sales[[#This Row],[Disc. Amt.]])*Sales[[#This Row],[GST %]]</f>
        <v>760.31999999999994</v>
      </c>
      <c r="N396" s="161">
        <f>Sales[[#This Row],[Gross Amount]]-Sales[[#This Row],[Disc. Amt.]]+Sales[[#This Row],[GST Amount]]</f>
        <v>4984.32</v>
      </c>
      <c r="O396" s="34" t="s">
        <v>3561</v>
      </c>
      <c r="P396" s="34" t="s">
        <v>3562</v>
      </c>
      <c r="Q396" s="165">
        <f>IF(Sales[[#This Row],[Status]]="Cancelled",0,Sales[[#This Row],[Qty]])</f>
        <v>5</v>
      </c>
      <c r="R396" s="166">
        <f>IF(Sales[[#This Row],[Status]]="Cancelled",0,Sales[[#This Row],[Total Amount]])</f>
        <v>4984.32</v>
      </c>
      <c r="S396" s="162">
        <f>SUM(Sales[Net Amount])</f>
        <v>406839287.73200053</v>
      </c>
    </row>
    <row r="397" spans="1:19" ht="18.75" x14ac:dyDescent="0.25">
      <c r="A397" s="156" t="s">
        <v>3967</v>
      </c>
      <c r="B397" s="157">
        <v>45799</v>
      </c>
      <c r="C397" s="158" t="s">
        <v>774</v>
      </c>
      <c r="D397" s="159" t="str">
        <f>VLOOKUP(Sales[[#This Row],[Customer ID]],Customer[#All],2,0)</f>
        <v>Vikas Patel</v>
      </c>
      <c r="E397" s="158" t="s">
        <v>382</v>
      </c>
      <c r="F397" s="158" t="str">
        <f>VLOOKUP(Sales[[#This Row],[Product ID]],Product[#All],2,0)</f>
        <v>Canon Printer</v>
      </c>
      <c r="G397" s="159">
        <v>3</v>
      </c>
      <c r="H397" s="160">
        <f>VLOOKUP(Sales[[#This Row],[Product ID]],Product[#All],7,0)</f>
        <v>32930</v>
      </c>
      <c r="I397" s="160">
        <f>Sales[[#This Row],[Selling Rate]]*Sales[[#This Row],[Qty]]</f>
        <v>98790</v>
      </c>
      <c r="J397" s="43">
        <v>0.05</v>
      </c>
      <c r="K397" s="44">
        <f>Sales[[#This Row],[Gross Amount]]*Sales[[#This Row],[Disc %]]</f>
        <v>4939.5</v>
      </c>
      <c r="L397" s="43">
        <v>0.18</v>
      </c>
      <c r="M397" s="44">
        <f>(Sales[[#This Row],[Gross Amount]]-Sales[[#This Row],[Disc. Amt.]])*Sales[[#This Row],[GST %]]</f>
        <v>16893.09</v>
      </c>
      <c r="N397" s="161">
        <f>Sales[[#This Row],[Gross Amount]]-Sales[[#This Row],[Disc. Amt.]]+Sales[[#This Row],[GST Amount]]</f>
        <v>110743.59</v>
      </c>
      <c r="O397" s="158" t="s">
        <v>3561</v>
      </c>
      <c r="P397" s="158" t="s">
        <v>3562</v>
      </c>
      <c r="Q397" s="160">
        <f>IF(Sales[[#This Row],[Status]]="Cancelled",0,Sales[[#This Row],[Qty]])</f>
        <v>3</v>
      </c>
      <c r="R397" s="161">
        <f>IF(Sales[[#This Row],[Status]]="Cancelled",0,Sales[[#This Row],[Total Amount]])</f>
        <v>110743.59</v>
      </c>
      <c r="S397" s="162">
        <f>SUM(Sales[Net Amount])</f>
        <v>406839287.73200053</v>
      </c>
    </row>
    <row r="398" spans="1:19" ht="18.75" x14ac:dyDescent="0.25">
      <c r="A398" s="163" t="s">
        <v>3968</v>
      </c>
      <c r="B398" s="164">
        <v>45799</v>
      </c>
      <c r="C398" s="34" t="s">
        <v>722</v>
      </c>
      <c r="D398" s="53" t="str">
        <f>VLOOKUP(Sales[[#This Row],[Customer ID]],Customer[#All],2,0)</f>
        <v>Vikas Patel</v>
      </c>
      <c r="E398" s="34" t="s">
        <v>190</v>
      </c>
      <c r="F398" s="34" t="str">
        <f>VLOOKUP(Sales[[#This Row],[Product ID]],Product[#All],2,0)</f>
        <v>Samsung Monitor</v>
      </c>
      <c r="G398" s="53">
        <v>5</v>
      </c>
      <c r="H398" s="165">
        <f>VLOOKUP(Sales[[#This Row],[Product ID]],Product[#All],7,0)</f>
        <v>18190</v>
      </c>
      <c r="I398" s="165">
        <f>Sales[[#This Row],[Selling Rate]]*Sales[[#This Row],[Qty]]</f>
        <v>90950</v>
      </c>
      <c r="J398" s="45">
        <v>0.15</v>
      </c>
      <c r="K398" s="46">
        <f>Sales[[#This Row],[Gross Amount]]*Sales[[#This Row],[Disc %]]</f>
        <v>13642.5</v>
      </c>
      <c r="L398" s="43">
        <v>0.18</v>
      </c>
      <c r="M398" s="46">
        <f>(Sales[[#This Row],[Gross Amount]]-Sales[[#This Row],[Disc. Amt.]])*Sales[[#This Row],[GST %]]</f>
        <v>13915.35</v>
      </c>
      <c r="N398" s="161">
        <f>Sales[[#This Row],[Gross Amount]]-Sales[[#This Row],[Disc. Amt.]]+Sales[[#This Row],[GST Amount]]</f>
        <v>91222.85</v>
      </c>
      <c r="O398" s="34" t="s">
        <v>8876</v>
      </c>
      <c r="P398" s="34" t="s">
        <v>3562</v>
      </c>
      <c r="Q398" s="165">
        <f>IF(Sales[[#This Row],[Status]]="Cancelled",0,Sales[[#This Row],[Qty]])</f>
        <v>5</v>
      </c>
      <c r="R398" s="166">
        <f>IF(Sales[[#This Row],[Status]]="Cancelled",0,Sales[[#This Row],[Total Amount]])</f>
        <v>91222.85</v>
      </c>
      <c r="S398" s="162">
        <f>SUM(Sales[Net Amount])</f>
        <v>406839287.73200053</v>
      </c>
    </row>
    <row r="399" spans="1:19" ht="18.75" x14ac:dyDescent="0.25">
      <c r="A399" s="156" t="s">
        <v>3969</v>
      </c>
      <c r="B399" s="157">
        <v>45799</v>
      </c>
      <c r="C399" s="158" t="s">
        <v>934</v>
      </c>
      <c r="D399" s="159" t="str">
        <f>VLOOKUP(Sales[[#This Row],[Customer ID]],Customer[#All],2,0)</f>
        <v>Pooja Singh</v>
      </c>
      <c r="E399" s="158" t="s">
        <v>251</v>
      </c>
      <c r="F399" s="158" t="str">
        <f>VLOOKUP(Sales[[#This Row],[Product ID]],Product[#All],2,0)</f>
        <v>Corsair Ram</v>
      </c>
      <c r="G399" s="159">
        <v>5</v>
      </c>
      <c r="H399" s="160">
        <f>VLOOKUP(Sales[[#This Row],[Product ID]],Product[#All],7,0)</f>
        <v>2890</v>
      </c>
      <c r="I399" s="160">
        <f>Sales[[#This Row],[Selling Rate]]*Sales[[#This Row],[Qty]]</f>
        <v>14450</v>
      </c>
      <c r="J399" s="43">
        <v>0</v>
      </c>
      <c r="K399" s="44">
        <f>Sales[[#This Row],[Gross Amount]]*Sales[[#This Row],[Disc %]]</f>
        <v>0</v>
      </c>
      <c r="L399" s="43">
        <v>0.18</v>
      </c>
      <c r="M399" s="44">
        <f>(Sales[[#This Row],[Gross Amount]]-Sales[[#This Row],[Disc. Amt.]])*Sales[[#This Row],[GST %]]</f>
        <v>2601</v>
      </c>
      <c r="N399" s="161">
        <f>Sales[[#This Row],[Gross Amount]]-Sales[[#This Row],[Disc. Amt.]]+Sales[[#This Row],[GST Amount]]</f>
        <v>17051</v>
      </c>
      <c r="O399" s="158" t="s">
        <v>8876</v>
      </c>
      <c r="P399" s="158" t="s">
        <v>3562</v>
      </c>
      <c r="Q399" s="160">
        <f>IF(Sales[[#This Row],[Status]]="Cancelled",0,Sales[[#This Row],[Qty]])</f>
        <v>5</v>
      </c>
      <c r="R399" s="161">
        <f>IF(Sales[[#This Row],[Status]]="Cancelled",0,Sales[[#This Row],[Total Amount]])</f>
        <v>17051</v>
      </c>
      <c r="S399" s="162">
        <f>SUM(Sales[Net Amount])</f>
        <v>406839287.73200053</v>
      </c>
    </row>
    <row r="400" spans="1:19" ht="18.75" x14ac:dyDescent="0.25">
      <c r="A400" s="163" t="s">
        <v>3970</v>
      </c>
      <c r="B400" s="164">
        <v>45799</v>
      </c>
      <c r="C400" s="34" t="s">
        <v>904</v>
      </c>
      <c r="D400" s="53" t="str">
        <f>VLOOKUP(Sales[[#This Row],[Customer ID]],Customer[#All],2,0)</f>
        <v>Sahil Patel</v>
      </c>
      <c r="E400" s="34" t="s">
        <v>241</v>
      </c>
      <c r="F400" s="34" t="str">
        <f>VLOOKUP(Sales[[#This Row],[Product ID]],Product[#All],2,0)</f>
        <v>Portronics USB Cable</v>
      </c>
      <c r="G400" s="53">
        <v>2</v>
      </c>
      <c r="H400" s="165">
        <f>VLOOKUP(Sales[[#This Row],[Product ID]],Product[#All],7,0)</f>
        <v>630</v>
      </c>
      <c r="I400" s="165">
        <f>Sales[[#This Row],[Selling Rate]]*Sales[[#This Row],[Qty]]</f>
        <v>1260</v>
      </c>
      <c r="J400" s="45">
        <v>0</v>
      </c>
      <c r="K400" s="46">
        <f>Sales[[#This Row],[Gross Amount]]*Sales[[#This Row],[Disc %]]</f>
        <v>0</v>
      </c>
      <c r="L400" s="43">
        <v>0.18</v>
      </c>
      <c r="M400" s="46">
        <f>(Sales[[#This Row],[Gross Amount]]-Sales[[#This Row],[Disc. Amt.]])*Sales[[#This Row],[GST %]]</f>
        <v>226.79999999999998</v>
      </c>
      <c r="N400" s="161">
        <f>Sales[[#This Row],[Gross Amount]]-Sales[[#This Row],[Disc. Amt.]]+Sales[[#This Row],[GST Amount]]</f>
        <v>1486.8</v>
      </c>
      <c r="O400" s="34" t="s">
        <v>8876</v>
      </c>
      <c r="P400" s="34" t="s">
        <v>3562</v>
      </c>
      <c r="Q400" s="165">
        <f>IF(Sales[[#This Row],[Status]]="Cancelled",0,Sales[[#This Row],[Qty]])</f>
        <v>2</v>
      </c>
      <c r="R400" s="166">
        <f>IF(Sales[[#This Row],[Status]]="Cancelled",0,Sales[[#This Row],[Total Amount]])</f>
        <v>1486.8</v>
      </c>
      <c r="S400" s="162">
        <f>SUM(Sales[Net Amount])</f>
        <v>406839287.73200053</v>
      </c>
    </row>
    <row r="401" spans="1:19" ht="18.75" x14ac:dyDescent="0.25">
      <c r="A401" s="156" t="s">
        <v>3971</v>
      </c>
      <c r="B401" s="157">
        <v>45799</v>
      </c>
      <c r="C401" s="158" t="s">
        <v>732</v>
      </c>
      <c r="D401" s="159" t="str">
        <f>VLOOKUP(Sales[[#This Row],[Customer ID]],Customer[#All],2,0)</f>
        <v>Sunita Gupta</v>
      </c>
      <c r="E401" s="158" t="s">
        <v>229</v>
      </c>
      <c r="F401" s="158" t="str">
        <f>VLOOKUP(Sales[[#This Row],[Product ID]],Product[#All],2,0)</f>
        <v>Jbl Headset</v>
      </c>
      <c r="G401" s="159">
        <v>1</v>
      </c>
      <c r="H401" s="160">
        <f>VLOOKUP(Sales[[#This Row],[Product ID]],Product[#All],7,0)</f>
        <v>3170</v>
      </c>
      <c r="I401" s="160">
        <f>Sales[[#This Row],[Selling Rate]]*Sales[[#This Row],[Qty]]</f>
        <v>3170</v>
      </c>
      <c r="J401" s="43">
        <v>0.1</v>
      </c>
      <c r="K401" s="44">
        <f>Sales[[#This Row],[Gross Amount]]*Sales[[#This Row],[Disc %]]</f>
        <v>317</v>
      </c>
      <c r="L401" s="43">
        <v>0.18</v>
      </c>
      <c r="M401" s="44">
        <f>(Sales[[#This Row],[Gross Amount]]-Sales[[#This Row],[Disc. Amt.]])*Sales[[#This Row],[GST %]]</f>
        <v>513.54</v>
      </c>
      <c r="N401" s="161">
        <f>Sales[[#This Row],[Gross Amount]]-Sales[[#This Row],[Disc. Amt.]]+Sales[[#This Row],[GST Amount]]</f>
        <v>3366.54</v>
      </c>
      <c r="O401" s="158" t="s">
        <v>3566</v>
      </c>
      <c r="P401" s="158" t="s">
        <v>3562</v>
      </c>
      <c r="Q401" s="160">
        <f>IF(Sales[[#This Row],[Status]]="Cancelled",0,Sales[[#This Row],[Qty]])</f>
        <v>1</v>
      </c>
      <c r="R401" s="161">
        <f>IF(Sales[[#This Row],[Status]]="Cancelled",0,Sales[[#This Row],[Total Amount]])</f>
        <v>3366.54</v>
      </c>
      <c r="S401" s="162">
        <f>SUM(Sales[Net Amount])</f>
        <v>406839287.73200053</v>
      </c>
    </row>
    <row r="402" spans="1:19" ht="18.75" x14ac:dyDescent="0.25">
      <c r="A402" s="163" t="s">
        <v>3972</v>
      </c>
      <c r="B402" s="164">
        <v>45799</v>
      </c>
      <c r="C402" s="34" t="s">
        <v>724</v>
      </c>
      <c r="D402" s="53" t="str">
        <f>VLOOKUP(Sales[[#This Row],[Customer ID]],Customer[#All],2,0)</f>
        <v>Sunita Sharma</v>
      </c>
      <c r="E402" s="34" t="s">
        <v>403</v>
      </c>
      <c r="F402" s="34" t="str">
        <f>VLOOKUP(Sales[[#This Row],[Product ID]],Product[#All],2,0)</f>
        <v>Apc UPS</v>
      </c>
      <c r="G402" s="53">
        <v>6</v>
      </c>
      <c r="H402" s="165">
        <f>VLOOKUP(Sales[[#This Row],[Product ID]],Product[#All],7,0)</f>
        <v>15810</v>
      </c>
      <c r="I402" s="165">
        <f>Sales[[#This Row],[Selling Rate]]*Sales[[#This Row],[Qty]]</f>
        <v>94860</v>
      </c>
      <c r="J402" s="45">
        <v>0.15</v>
      </c>
      <c r="K402" s="46">
        <f>Sales[[#This Row],[Gross Amount]]*Sales[[#This Row],[Disc %]]</f>
        <v>14229</v>
      </c>
      <c r="L402" s="43">
        <v>0.18</v>
      </c>
      <c r="M402" s="46">
        <f>(Sales[[#This Row],[Gross Amount]]-Sales[[#This Row],[Disc. Amt.]])*Sales[[#This Row],[GST %]]</f>
        <v>14513.58</v>
      </c>
      <c r="N402" s="161">
        <f>Sales[[#This Row],[Gross Amount]]-Sales[[#This Row],[Disc. Amt.]]+Sales[[#This Row],[GST Amount]]</f>
        <v>95144.58</v>
      </c>
      <c r="O402" s="34" t="s">
        <v>8876</v>
      </c>
      <c r="P402" s="34" t="s">
        <v>3562</v>
      </c>
      <c r="Q402" s="165">
        <f>IF(Sales[[#This Row],[Status]]="Cancelled",0,Sales[[#This Row],[Qty]])</f>
        <v>6</v>
      </c>
      <c r="R402" s="166">
        <f>IF(Sales[[#This Row],[Status]]="Cancelled",0,Sales[[#This Row],[Total Amount]])</f>
        <v>95144.58</v>
      </c>
      <c r="S402" s="162">
        <f>SUM(Sales[Net Amount])</f>
        <v>406839287.73200053</v>
      </c>
    </row>
    <row r="403" spans="1:19" ht="18.75" x14ac:dyDescent="0.25">
      <c r="A403" s="156" t="s">
        <v>3973</v>
      </c>
      <c r="B403" s="157">
        <v>45799</v>
      </c>
      <c r="C403" s="158" t="s">
        <v>926</v>
      </c>
      <c r="D403" s="159" t="str">
        <f>VLOOKUP(Sales[[#This Row],[Customer ID]],Customer[#All],2,0)</f>
        <v>Pooja Singh</v>
      </c>
      <c r="E403" s="158" t="s">
        <v>414</v>
      </c>
      <c r="F403" s="158" t="str">
        <f>VLOOKUP(Sales[[#This Row],[Product ID]],Product[#All],2,0)</f>
        <v>Logitech Keyboard</v>
      </c>
      <c r="G403" s="159">
        <v>3</v>
      </c>
      <c r="H403" s="160">
        <f>VLOOKUP(Sales[[#This Row],[Product ID]],Product[#All],7,0)</f>
        <v>2030</v>
      </c>
      <c r="I403" s="160">
        <f>Sales[[#This Row],[Selling Rate]]*Sales[[#This Row],[Qty]]</f>
        <v>6090</v>
      </c>
      <c r="J403" s="43">
        <v>0.02</v>
      </c>
      <c r="K403" s="44">
        <f>Sales[[#This Row],[Gross Amount]]*Sales[[#This Row],[Disc %]]</f>
        <v>121.8</v>
      </c>
      <c r="L403" s="43">
        <v>0.18</v>
      </c>
      <c r="M403" s="44">
        <f>(Sales[[#This Row],[Gross Amount]]-Sales[[#This Row],[Disc. Amt.]])*Sales[[#This Row],[GST %]]</f>
        <v>1074.2759999999998</v>
      </c>
      <c r="N403" s="161">
        <f>Sales[[#This Row],[Gross Amount]]-Sales[[#This Row],[Disc. Amt.]]+Sales[[#This Row],[GST Amount]]</f>
        <v>7042.4759999999997</v>
      </c>
      <c r="O403" s="158" t="s">
        <v>3561</v>
      </c>
      <c r="P403" s="158" t="s">
        <v>3562</v>
      </c>
      <c r="Q403" s="160">
        <f>IF(Sales[[#This Row],[Status]]="Cancelled",0,Sales[[#This Row],[Qty]])</f>
        <v>3</v>
      </c>
      <c r="R403" s="161">
        <f>IF(Sales[[#This Row],[Status]]="Cancelled",0,Sales[[#This Row],[Total Amount]])</f>
        <v>7042.4759999999997</v>
      </c>
      <c r="S403" s="162">
        <f>SUM(Sales[Net Amount])</f>
        <v>406839287.73200053</v>
      </c>
    </row>
    <row r="404" spans="1:19" ht="18.75" x14ac:dyDescent="0.25">
      <c r="A404" s="163" t="s">
        <v>3974</v>
      </c>
      <c r="B404" s="164">
        <v>45799</v>
      </c>
      <c r="C404" s="34" t="s">
        <v>733</v>
      </c>
      <c r="D404" s="53" t="str">
        <f>VLOOKUP(Sales[[#This Row],[Customer ID]],Customer[#All],2,0)</f>
        <v>Vikas Kumar</v>
      </c>
      <c r="E404" s="34" t="s">
        <v>78</v>
      </c>
      <c r="F404" s="34" t="str">
        <f>VLOOKUP(Sales[[#This Row],[Product ID]],Product[#All],2,0)</f>
        <v>Lg Monitor</v>
      </c>
      <c r="G404" s="53">
        <v>6</v>
      </c>
      <c r="H404" s="165">
        <f>VLOOKUP(Sales[[#This Row],[Product ID]],Product[#All],7,0)</f>
        <v>16690</v>
      </c>
      <c r="I404" s="165">
        <f>Sales[[#This Row],[Selling Rate]]*Sales[[#This Row],[Qty]]</f>
        <v>100140</v>
      </c>
      <c r="J404" s="45">
        <v>0</v>
      </c>
      <c r="K404" s="46">
        <f>Sales[[#This Row],[Gross Amount]]*Sales[[#This Row],[Disc %]]</f>
        <v>0</v>
      </c>
      <c r="L404" s="43">
        <v>0.18</v>
      </c>
      <c r="M404" s="46">
        <f>(Sales[[#This Row],[Gross Amount]]-Sales[[#This Row],[Disc. Amt.]])*Sales[[#This Row],[GST %]]</f>
        <v>18025.2</v>
      </c>
      <c r="N404" s="161">
        <f>Sales[[#This Row],[Gross Amount]]-Sales[[#This Row],[Disc. Amt.]]+Sales[[#This Row],[GST Amount]]</f>
        <v>118165.2</v>
      </c>
      <c r="O404" s="34" t="s">
        <v>3569</v>
      </c>
      <c r="P404" s="34" t="s">
        <v>3562</v>
      </c>
      <c r="Q404" s="165">
        <f>IF(Sales[[#This Row],[Status]]="Cancelled",0,Sales[[#This Row],[Qty]])</f>
        <v>6</v>
      </c>
      <c r="R404" s="166">
        <f>IF(Sales[[#This Row],[Status]]="Cancelled",0,Sales[[#This Row],[Total Amount]])</f>
        <v>118165.2</v>
      </c>
      <c r="S404" s="162">
        <f>SUM(Sales[Net Amount])</f>
        <v>406839287.73200053</v>
      </c>
    </row>
    <row r="405" spans="1:19" ht="18.75" x14ac:dyDescent="0.25">
      <c r="A405" s="156" t="s">
        <v>3975</v>
      </c>
      <c r="B405" s="157">
        <v>45799</v>
      </c>
      <c r="C405" s="158" t="s">
        <v>891</v>
      </c>
      <c r="D405" s="159" t="str">
        <f>VLOOKUP(Sales[[#This Row],[Customer ID]],Customer[#All],2,0)</f>
        <v>Pooja Verma</v>
      </c>
      <c r="E405" s="158" t="s">
        <v>424</v>
      </c>
      <c r="F405" s="158" t="str">
        <f>VLOOKUP(Sales[[#This Row],[Product ID]],Product[#All],2,0)</f>
        <v>TP-link Wi-Fi Adapter</v>
      </c>
      <c r="G405" s="159">
        <v>3</v>
      </c>
      <c r="H405" s="160">
        <f>VLOOKUP(Sales[[#This Row],[Product ID]],Product[#All],7,0)</f>
        <v>690</v>
      </c>
      <c r="I405" s="160">
        <f>Sales[[#This Row],[Selling Rate]]*Sales[[#This Row],[Qty]]</f>
        <v>2070</v>
      </c>
      <c r="J405" s="43">
        <v>0.12</v>
      </c>
      <c r="K405" s="44">
        <f>Sales[[#This Row],[Gross Amount]]*Sales[[#This Row],[Disc %]]</f>
        <v>248.39999999999998</v>
      </c>
      <c r="L405" s="43">
        <v>0.18</v>
      </c>
      <c r="M405" s="44">
        <f>(Sales[[#This Row],[Gross Amount]]-Sales[[#This Row],[Disc. Amt.]])*Sales[[#This Row],[GST %]]</f>
        <v>327.88799999999998</v>
      </c>
      <c r="N405" s="161">
        <f>Sales[[#This Row],[Gross Amount]]-Sales[[#This Row],[Disc. Amt.]]+Sales[[#This Row],[GST Amount]]</f>
        <v>2149.4879999999998</v>
      </c>
      <c r="O405" s="158" t="s">
        <v>3569</v>
      </c>
      <c r="P405" s="158" t="s">
        <v>3562</v>
      </c>
      <c r="Q405" s="160">
        <f>IF(Sales[[#This Row],[Status]]="Cancelled",0,Sales[[#This Row],[Qty]])</f>
        <v>3</v>
      </c>
      <c r="R405" s="161">
        <f>IF(Sales[[#This Row],[Status]]="Cancelled",0,Sales[[#This Row],[Total Amount]])</f>
        <v>2149.4879999999998</v>
      </c>
      <c r="S405" s="162">
        <f>SUM(Sales[Net Amount])</f>
        <v>406839287.73200053</v>
      </c>
    </row>
    <row r="406" spans="1:19" ht="18.75" x14ac:dyDescent="0.25">
      <c r="A406" s="163" t="s">
        <v>3976</v>
      </c>
      <c r="B406" s="164">
        <v>45799</v>
      </c>
      <c r="C406" s="34" t="s">
        <v>729</v>
      </c>
      <c r="D406" s="53" t="str">
        <f>VLOOKUP(Sales[[#This Row],[Customer ID]],Customer[#All],2,0)</f>
        <v>Ankit Kumar</v>
      </c>
      <c r="E406" s="34" t="s">
        <v>343</v>
      </c>
      <c r="F406" s="34" t="str">
        <f>VLOOKUP(Sales[[#This Row],[Product ID]],Product[#All],2,0)</f>
        <v>Portronics USB Cable</v>
      </c>
      <c r="G406" s="53">
        <v>6</v>
      </c>
      <c r="H406" s="165">
        <f>VLOOKUP(Sales[[#This Row],[Product ID]],Product[#All],7,0)</f>
        <v>780</v>
      </c>
      <c r="I406" s="165">
        <f>Sales[[#This Row],[Selling Rate]]*Sales[[#This Row],[Qty]]</f>
        <v>4680</v>
      </c>
      <c r="J406" s="45">
        <v>0</v>
      </c>
      <c r="K406" s="46">
        <f>Sales[[#This Row],[Gross Amount]]*Sales[[#This Row],[Disc %]]</f>
        <v>0</v>
      </c>
      <c r="L406" s="43">
        <v>0.18</v>
      </c>
      <c r="M406" s="46">
        <f>(Sales[[#This Row],[Gross Amount]]-Sales[[#This Row],[Disc. Amt.]])*Sales[[#This Row],[GST %]]</f>
        <v>842.4</v>
      </c>
      <c r="N406" s="161">
        <f>Sales[[#This Row],[Gross Amount]]-Sales[[#This Row],[Disc. Amt.]]+Sales[[#This Row],[GST Amount]]</f>
        <v>5522.4</v>
      </c>
      <c r="O406" s="34" t="s">
        <v>3566</v>
      </c>
      <c r="P406" s="34" t="s">
        <v>3562</v>
      </c>
      <c r="Q406" s="165">
        <f>IF(Sales[[#This Row],[Status]]="Cancelled",0,Sales[[#This Row],[Qty]])</f>
        <v>6</v>
      </c>
      <c r="R406" s="166">
        <f>IF(Sales[[#This Row],[Status]]="Cancelled",0,Sales[[#This Row],[Total Amount]])</f>
        <v>5522.4</v>
      </c>
      <c r="S406" s="162">
        <f>SUM(Sales[Net Amount])</f>
        <v>406839287.73200053</v>
      </c>
    </row>
    <row r="407" spans="1:19" ht="18.75" x14ac:dyDescent="0.25">
      <c r="A407" s="156" t="s">
        <v>3977</v>
      </c>
      <c r="B407" s="157">
        <v>45799</v>
      </c>
      <c r="C407" s="158" t="s">
        <v>712</v>
      </c>
      <c r="D407" s="159" t="str">
        <f>VLOOKUP(Sales[[#This Row],[Customer ID]],Customer[#All],2,0)</f>
        <v>Sahil Verma</v>
      </c>
      <c r="E407" s="158" t="s">
        <v>88</v>
      </c>
      <c r="F407" s="158" t="str">
        <f>VLOOKUP(Sales[[#This Row],[Product ID]],Product[#All],2,0)</f>
        <v>Dell Laptop</v>
      </c>
      <c r="G407" s="159">
        <v>1</v>
      </c>
      <c r="H407" s="160">
        <f>VLOOKUP(Sales[[#This Row],[Product ID]],Product[#All],7,0)</f>
        <v>43690</v>
      </c>
      <c r="I407" s="160">
        <f>Sales[[#This Row],[Selling Rate]]*Sales[[#This Row],[Qty]]</f>
        <v>43690</v>
      </c>
      <c r="J407" s="43">
        <v>0</v>
      </c>
      <c r="K407" s="44">
        <f>Sales[[#This Row],[Gross Amount]]*Sales[[#This Row],[Disc %]]</f>
        <v>0</v>
      </c>
      <c r="L407" s="43">
        <v>0.18</v>
      </c>
      <c r="M407" s="44">
        <f>(Sales[[#This Row],[Gross Amount]]-Sales[[#This Row],[Disc. Amt.]])*Sales[[#This Row],[GST %]]</f>
        <v>7864.2</v>
      </c>
      <c r="N407" s="161">
        <f>Sales[[#This Row],[Gross Amount]]-Sales[[#This Row],[Disc. Amt.]]+Sales[[#This Row],[GST Amount]]</f>
        <v>51554.2</v>
      </c>
      <c r="O407" s="158" t="s">
        <v>3566</v>
      </c>
      <c r="P407" s="158" t="s">
        <v>3562</v>
      </c>
      <c r="Q407" s="160">
        <f>IF(Sales[[#This Row],[Status]]="Cancelled",0,Sales[[#This Row],[Qty]])</f>
        <v>1</v>
      </c>
      <c r="R407" s="161">
        <f>IF(Sales[[#This Row],[Status]]="Cancelled",0,Sales[[#This Row],[Total Amount]])</f>
        <v>51554.2</v>
      </c>
      <c r="S407" s="162">
        <f>SUM(Sales[Net Amount])</f>
        <v>406839287.73200053</v>
      </c>
    </row>
    <row r="408" spans="1:19" ht="18.75" x14ac:dyDescent="0.25">
      <c r="A408" s="163" t="s">
        <v>3978</v>
      </c>
      <c r="B408" s="164">
        <v>45799</v>
      </c>
      <c r="C408" s="34" t="s">
        <v>660</v>
      </c>
      <c r="D408" s="53" t="str">
        <f>VLOOKUP(Sales[[#This Row],[Customer ID]],Customer[#All],2,0)</f>
        <v>Priya Sharma</v>
      </c>
      <c r="E408" s="34" t="s">
        <v>303</v>
      </c>
      <c r="F408" s="34" t="str">
        <f>VLOOKUP(Sales[[#This Row],[Product ID]],Product[#All],2,0)</f>
        <v>Crucial Ssd</v>
      </c>
      <c r="G408" s="53">
        <v>2</v>
      </c>
      <c r="H408" s="165">
        <f>VLOOKUP(Sales[[#This Row],[Product ID]],Product[#All],7,0)</f>
        <v>7740</v>
      </c>
      <c r="I408" s="165">
        <f>Sales[[#This Row],[Selling Rate]]*Sales[[#This Row],[Qty]]</f>
        <v>15480</v>
      </c>
      <c r="J408" s="45">
        <v>0.1</v>
      </c>
      <c r="K408" s="46">
        <f>Sales[[#This Row],[Gross Amount]]*Sales[[#This Row],[Disc %]]</f>
        <v>1548</v>
      </c>
      <c r="L408" s="43">
        <v>0.18</v>
      </c>
      <c r="M408" s="46">
        <f>(Sales[[#This Row],[Gross Amount]]-Sales[[#This Row],[Disc. Amt.]])*Sales[[#This Row],[GST %]]</f>
        <v>2507.7599999999998</v>
      </c>
      <c r="N408" s="161">
        <f>Sales[[#This Row],[Gross Amount]]-Sales[[#This Row],[Disc. Amt.]]+Sales[[#This Row],[GST Amount]]</f>
        <v>16439.759999999998</v>
      </c>
      <c r="O408" s="34" t="s">
        <v>3561</v>
      </c>
      <c r="P408" s="34" t="s">
        <v>1040</v>
      </c>
      <c r="Q408" s="165">
        <f>IF(Sales[[#This Row],[Status]]="Cancelled",0,Sales[[#This Row],[Qty]])</f>
        <v>0</v>
      </c>
      <c r="R408" s="166">
        <f>IF(Sales[[#This Row],[Status]]="Cancelled",0,Sales[[#This Row],[Total Amount]])</f>
        <v>0</v>
      </c>
      <c r="S408" s="162">
        <f>SUM(Sales[Net Amount])</f>
        <v>406839287.73200053</v>
      </c>
    </row>
    <row r="409" spans="1:19" ht="18.75" x14ac:dyDescent="0.25">
      <c r="A409" s="156" t="s">
        <v>3979</v>
      </c>
      <c r="B409" s="157">
        <v>45799</v>
      </c>
      <c r="C409" s="158" t="s">
        <v>683</v>
      </c>
      <c r="D409" s="159" t="str">
        <f>VLOOKUP(Sales[[#This Row],[Customer ID]],Customer[#All],2,0)</f>
        <v>Rahul Kumar</v>
      </c>
      <c r="E409" s="158" t="s">
        <v>286</v>
      </c>
      <c r="F409" s="158" t="str">
        <f>VLOOKUP(Sales[[#This Row],[Product ID]],Product[#All],2,0)</f>
        <v>HP Laptop</v>
      </c>
      <c r="G409" s="159">
        <v>1</v>
      </c>
      <c r="H409" s="160">
        <f>VLOOKUP(Sales[[#This Row],[Product ID]],Product[#All],7,0)</f>
        <v>62100</v>
      </c>
      <c r="I409" s="160">
        <f>Sales[[#This Row],[Selling Rate]]*Sales[[#This Row],[Qty]]</f>
        <v>62100</v>
      </c>
      <c r="J409" s="43">
        <v>0.05</v>
      </c>
      <c r="K409" s="44">
        <f>Sales[[#This Row],[Gross Amount]]*Sales[[#This Row],[Disc %]]</f>
        <v>3105</v>
      </c>
      <c r="L409" s="43">
        <v>0.18</v>
      </c>
      <c r="M409" s="44">
        <f>(Sales[[#This Row],[Gross Amount]]-Sales[[#This Row],[Disc. Amt.]])*Sales[[#This Row],[GST %]]</f>
        <v>10619.1</v>
      </c>
      <c r="N409" s="161">
        <f>Sales[[#This Row],[Gross Amount]]-Sales[[#This Row],[Disc. Amt.]]+Sales[[#This Row],[GST Amount]]</f>
        <v>69614.100000000006</v>
      </c>
      <c r="O409" s="158" t="s">
        <v>8876</v>
      </c>
      <c r="P409" s="158" t="s">
        <v>3562</v>
      </c>
      <c r="Q409" s="160">
        <f>IF(Sales[[#This Row],[Status]]="Cancelled",0,Sales[[#This Row],[Qty]])</f>
        <v>1</v>
      </c>
      <c r="R409" s="161">
        <f>IF(Sales[[#This Row],[Status]]="Cancelled",0,Sales[[#This Row],[Total Amount]])</f>
        <v>69614.100000000006</v>
      </c>
      <c r="S409" s="162">
        <f>SUM(Sales[Net Amount])</f>
        <v>406839287.73200053</v>
      </c>
    </row>
    <row r="410" spans="1:19" ht="18.75" x14ac:dyDescent="0.25">
      <c r="A410" s="163" t="s">
        <v>3980</v>
      </c>
      <c r="B410" s="164">
        <v>45800</v>
      </c>
      <c r="C410" s="34" t="s">
        <v>784</v>
      </c>
      <c r="D410" s="53" t="str">
        <f>VLOOKUP(Sales[[#This Row],[Customer ID]],Customer[#All],2,0)</f>
        <v>Amit Kumar</v>
      </c>
      <c r="E410" s="34" t="s">
        <v>389</v>
      </c>
      <c r="F410" s="34" t="str">
        <f>VLOOKUP(Sales[[#This Row],[Product ID]],Product[#All],2,0)</f>
        <v>WD HDD</v>
      </c>
      <c r="G410" s="53">
        <v>5</v>
      </c>
      <c r="H410" s="165">
        <f>VLOOKUP(Sales[[#This Row],[Product ID]],Product[#All],7,0)</f>
        <v>10530</v>
      </c>
      <c r="I410" s="165">
        <f>Sales[[#This Row],[Selling Rate]]*Sales[[#This Row],[Qty]]</f>
        <v>52650</v>
      </c>
      <c r="J410" s="45">
        <v>0.05</v>
      </c>
      <c r="K410" s="46">
        <f>Sales[[#This Row],[Gross Amount]]*Sales[[#This Row],[Disc %]]</f>
        <v>2632.5</v>
      </c>
      <c r="L410" s="43">
        <v>0.18</v>
      </c>
      <c r="M410" s="46">
        <f>(Sales[[#This Row],[Gross Amount]]-Sales[[#This Row],[Disc. Amt.]])*Sales[[#This Row],[GST %]]</f>
        <v>9003.15</v>
      </c>
      <c r="N410" s="161">
        <f>Sales[[#This Row],[Gross Amount]]-Sales[[#This Row],[Disc. Amt.]]+Sales[[#This Row],[GST Amount]]</f>
        <v>59020.65</v>
      </c>
      <c r="O410" s="34" t="s">
        <v>3566</v>
      </c>
      <c r="P410" s="34" t="s">
        <v>3562</v>
      </c>
      <c r="Q410" s="165">
        <f>IF(Sales[[#This Row],[Status]]="Cancelled",0,Sales[[#This Row],[Qty]])</f>
        <v>5</v>
      </c>
      <c r="R410" s="166">
        <f>IF(Sales[[#This Row],[Status]]="Cancelled",0,Sales[[#This Row],[Total Amount]])</f>
        <v>59020.65</v>
      </c>
      <c r="S410" s="162">
        <f>SUM(Sales[Net Amount])</f>
        <v>406839287.73200053</v>
      </c>
    </row>
    <row r="411" spans="1:19" ht="18.75" x14ac:dyDescent="0.25">
      <c r="A411" s="156" t="s">
        <v>3981</v>
      </c>
      <c r="B411" s="157">
        <v>45800</v>
      </c>
      <c r="C411" s="158" t="s">
        <v>750</v>
      </c>
      <c r="D411" s="159" t="str">
        <f>VLOOKUP(Sales[[#This Row],[Customer ID]],Customer[#All],2,0)</f>
        <v>Rakesh Verma</v>
      </c>
      <c r="E411" s="158" t="s">
        <v>181</v>
      </c>
      <c r="F411" s="158" t="str">
        <f>VLOOKUP(Sales[[#This Row],[Product ID]],Product[#All],2,0)</f>
        <v>Logitech Webcam</v>
      </c>
      <c r="G411" s="159">
        <v>7</v>
      </c>
      <c r="H411" s="160">
        <f>VLOOKUP(Sales[[#This Row],[Product ID]],Product[#All],7,0)</f>
        <v>5880</v>
      </c>
      <c r="I411" s="160">
        <f>Sales[[#This Row],[Selling Rate]]*Sales[[#This Row],[Qty]]</f>
        <v>41160</v>
      </c>
      <c r="J411" s="43">
        <v>0</v>
      </c>
      <c r="K411" s="44">
        <f>Sales[[#This Row],[Gross Amount]]*Sales[[#This Row],[Disc %]]</f>
        <v>0</v>
      </c>
      <c r="L411" s="43">
        <v>0.18</v>
      </c>
      <c r="M411" s="44">
        <f>(Sales[[#This Row],[Gross Amount]]-Sales[[#This Row],[Disc. Amt.]])*Sales[[#This Row],[GST %]]</f>
        <v>7408.7999999999993</v>
      </c>
      <c r="N411" s="161">
        <f>Sales[[#This Row],[Gross Amount]]-Sales[[#This Row],[Disc. Amt.]]+Sales[[#This Row],[GST Amount]]</f>
        <v>48568.800000000003</v>
      </c>
      <c r="O411" s="158" t="s">
        <v>3569</v>
      </c>
      <c r="P411" s="158" t="s">
        <v>1040</v>
      </c>
      <c r="Q411" s="160">
        <f>IF(Sales[[#This Row],[Status]]="Cancelled",0,Sales[[#This Row],[Qty]])</f>
        <v>0</v>
      </c>
      <c r="R411" s="161">
        <f>IF(Sales[[#This Row],[Status]]="Cancelled",0,Sales[[#This Row],[Total Amount]])</f>
        <v>0</v>
      </c>
      <c r="S411" s="162">
        <f>SUM(Sales[Net Amount])</f>
        <v>406839287.73200053</v>
      </c>
    </row>
    <row r="412" spans="1:19" ht="18.75" x14ac:dyDescent="0.25">
      <c r="A412" s="163" t="s">
        <v>3982</v>
      </c>
      <c r="B412" s="164">
        <v>45800</v>
      </c>
      <c r="C412" s="34" t="s">
        <v>835</v>
      </c>
      <c r="D412" s="53" t="str">
        <f>VLOOKUP(Sales[[#This Row],[Customer ID]],Customer[#All],2,0)</f>
        <v>Ankit Kumar</v>
      </c>
      <c r="E412" s="34" t="s">
        <v>444</v>
      </c>
      <c r="F412" s="34" t="str">
        <f>VLOOKUP(Sales[[#This Row],[Product ID]],Product[#All],2,0)</f>
        <v>Dell Desktop</v>
      </c>
      <c r="G412" s="53">
        <v>1</v>
      </c>
      <c r="H412" s="165">
        <f>VLOOKUP(Sales[[#This Row],[Product ID]],Product[#All],7,0)</f>
        <v>55730</v>
      </c>
      <c r="I412" s="165">
        <f>Sales[[#This Row],[Selling Rate]]*Sales[[#This Row],[Qty]]</f>
        <v>55730</v>
      </c>
      <c r="J412" s="45">
        <v>0</v>
      </c>
      <c r="K412" s="46">
        <f>Sales[[#This Row],[Gross Amount]]*Sales[[#This Row],[Disc %]]</f>
        <v>0</v>
      </c>
      <c r="L412" s="43">
        <v>0.18</v>
      </c>
      <c r="M412" s="46">
        <f>(Sales[[#This Row],[Gross Amount]]-Sales[[#This Row],[Disc. Amt.]])*Sales[[#This Row],[GST %]]</f>
        <v>10031.4</v>
      </c>
      <c r="N412" s="161">
        <f>Sales[[#This Row],[Gross Amount]]-Sales[[#This Row],[Disc. Amt.]]+Sales[[#This Row],[GST Amount]]</f>
        <v>65761.399999999994</v>
      </c>
      <c r="O412" s="34" t="s">
        <v>3561</v>
      </c>
      <c r="P412" s="34" t="s">
        <v>3562</v>
      </c>
      <c r="Q412" s="165">
        <f>IF(Sales[[#This Row],[Status]]="Cancelled",0,Sales[[#This Row],[Qty]])</f>
        <v>1</v>
      </c>
      <c r="R412" s="166">
        <f>IF(Sales[[#This Row],[Status]]="Cancelled",0,Sales[[#This Row],[Total Amount]])</f>
        <v>65761.399999999994</v>
      </c>
      <c r="S412" s="162">
        <f>SUM(Sales[Net Amount])</f>
        <v>406839287.73200053</v>
      </c>
    </row>
    <row r="413" spans="1:19" ht="18.75" x14ac:dyDescent="0.25">
      <c r="A413" s="156" t="s">
        <v>3983</v>
      </c>
      <c r="B413" s="157">
        <v>45800</v>
      </c>
      <c r="C413" s="158" t="s">
        <v>783</v>
      </c>
      <c r="D413" s="159" t="str">
        <f>VLOOKUP(Sales[[#This Row],[Customer ID]],Customer[#All],2,0)</f>
        <v>Neha Singh</v>
      </c>
      <c r="E413" s="158" t="s">
        <v>378</v>
      </c>
      <c r="F413" s="158" t="str">
        <f>VLOOKUP(Sales[[#This Row],[Product ID]],Product[#All],2,0)</f>
        <v>Kingston Ram</v>
      </c>
      <c r="G413" s="159">
        <v>4</v>
      </c>
      <c r="H413" s="160">
        <f>VLOOKUP(Sales[[#This Row],[Product ID]],Product[#All],7,0)</f>
        <v>4420</v>
      </c>
      <c r="I413" s="160">
        <f>Sales[[#This Row],[Selling Rate]]*Sales[[#This Row],[Qty]]</f>
        <v>17680</v>
      </c>
      <c r="J413" s="43">
        <v>0.05</v>
      </c>
      <c r="K413" s="44">
        <f>Sales[[#This Row],[Gross Amount]]*Sales[[#This Row],[Disc %]]</f>
        <v>884</v>
      </c>
      <c r="L413" s="43">
        <v>0.18</v>
      </c>
      <c r="M413" s="44">
        <f>(Sales[[#This Row],[Gross Amount]]-Sales[[#This Row],[Disc. Amt.]])*Sales[[#This Row],[GST %]]</f>
        <v>3023.2799999999997</v>
      </c>
      <c r="N413" s="161">
        <f>Sales[[#This Row],[Gross Amount]]-Sales[[#This Row],[Disc. Amt.]]+Sales[[#This Row],[GST Amount]]</f>
        <v>19819.28</v>
      </c>
      <c r="O413" s="158" t="s">
        <v>3566</v>
      </c>
      <c r="P413" s="158" t="s">
        <v>3562</v>
      </c>
      <c r="Q413" s="160">
        <f>IF(Sales[[#This Row],[Status]]="Cancelled",0,Sales[[#This Row],[Qty]])</f>
        <v>4</v>
      </c>
      <c r="R413" s="161">
        <f>IF(Sales[[#This Row],[Status]]="Cancelled",0,Sales[[#This Row],[Total Amount]])</f>
        <v>19819.28</v>
      </c>
      <c r="S413" s="162">
        <f>SUM(Sales[Net Amount])</f>
        <v>406839287.73200053</v>
      </c>
    </row>
    <row r="414" spans="1:19" ht="18.75" x14ac:dyDescent="0.25">
      <c r="A414" s="163" t="s">
        <v>3984</v>
      </c>
      <c r="B414" s="164">
        <v>45800</v>
      </c>
      <c r="C414" s="34" t="s">
        <v>786</v>
      </c>
      <c r="D414" s="53" t="str">
        <f>VLOOKUP(Sales[[#This Row],[Customer ID]],Customer[#All],2,0)</f>
        <v>Pooja Kumar</v>
      </c>
      <c r="E414" s="34" t="s">
        <v>41</v>
      </c>
      <c r="F414" s="34" t="str">
        <f>VLOOKUP(Sales[[#This Row],[Product ID]],Product[#All],2,0)</f>
        <v>HP Laptop</v>
      </c>
      <c r="G414" s="53">
        <v>7</v>
      </c>
      <c r="H414" s="165">
        <f>VLOOKUP(Sales[[#This Row],[Product ID]],Product[#All],7,0)</f>
        <v>74700</v>
      </c>
      <c r="I414" s="165">
        <f>Sales[[#This Row],[Selling Rate]]*Sales[[#This Row],[Qty]]</f>
        <v>522900</v>
      </c>
      <c r="J414" s="45">
        <v>0.12</v>
      </c>
      <c r="K414" s="46">
        <f>Sales[[#This Row],[Gross Amount]]*Sales[[#This Row],[Disc %]]</f>
        <v>62748</v>
      </c>
      <c r="L414" s="43">
        <v>0.18</v>
      </c>
      <c r="M414" s="46">
        <f>(Sales[[#This Row],[Gross Amount]]-Sales[[#This Row],[Disc. Amt.]])*Sales[[#This Row],[GST %]]</f>
        <v>82827.360000000001</v>
      </c>
      <c r="N414" s="161">
        <f>Sales[[#This Row],[Gross Amount]]-Sales[[#This Row],[Disc. Amt.]]+Sales[[#This Row],[GST Amount]]</f>
        <v>542979.36</v>
      </c>
      <c r="O414" s="34" t="s">
        <v>3561</v>
      </c>
      <c r="P414" s="34" t="s">
        <v>3562</v>
      </c>
      <c r="Q414" s="165">
        <f>IF(Sales[[#This Row],[Status]]="Cancelled",0,Sales[[#This Row],[Qty]])</f>
        <v>7</v>
      </c>
      <c r="R414" s="166">
        <f>IF(Sales[[#This Row],[Status]]="Cancelled",0,Sales[[#This Row],[Total Amount]])</f>
        <v>542979.36</v>
      </c>
      <c r="S414" s="162">
        <f>SUM(Sales[Net Amount])</f>
        <v>406839287.73200053</v>
      </c>
    </row>
    <row r="415" spans="1:19" ht="18.75" x14ac:dyDescent="0.25">
      <c r="A415" s="156" t="s">
        <v>3985</v>
      </c>
      <c r="B415" s="157">
        <v>45800</v>
      </c>
      <c r="C415" s="158" t="s">
        <v>871</v>
      </c>
      <c r="D415" s="159" t="str">
        <f>VLOOKUP(Sales[[#This Row],[Customer ID]],Customer[#All],2,0)</f>
        <v>Rakesh Kumar</v>
      </c>
      <c r="E415" s="158" t="s">
        <v>291</v>
      </c>
      <c r="F415" s="158" t="str">
        <f>VLOOKUP(Sales[[#This Row],[Product ID]],Product[#All],2,0)</f>
        <v>Jbl Speaker</v>
      </c>
      <c r="G415" s="159">
        <v>6</v>
      </c>
      <c r="H415" s="160">
        <f>VLOOKUP(Sales[[#This Row],[Product ID]],Product[#All],7,0)</f>
        <v>12040</v>
      </c>
      <c r="I415" s="160">
        <f>Sales[[#This Row],[Selling Rate]]*Sales[[#This Row],[Qty]]</f>
        <v>72240</v>
      </c>
      <c r="J415" s="43">
        <v>0</v>
      </c>
      <c r="K415" s="44">
        <f>Sales[[#This Row],[Gross Amount]]*Sales[[#This Row],[Disc %]]</f>
        <v>0</v>
      </c>
      <c r="L415" s="43">
        <v>0.18</v>
      </c>
      <c r="M415" s="44">
        <f>(Sales[[#This Row],[Gross Amount]]-Sales[[#This Row],[Disc. Amt.]])*Sales[[#This Row],[GST %]]</f>
        <v>13003.199999999999</v>
      </c>
      <c r="N415" s="161">
        <f>Sales[[#This Row],[Gross Amount]]-Sales[[#This Row],[Disc. Amt.]]+Sales[[#This Row],[GST Amount]]</f>
        <v>85243.199999999997</v>
      </c>
      <c r="O415" s="158" t="s">
        <v>3566</v>
      </c>
      <c r="P415" s="158" t="s">
        <v>1040</v>
      </c>
      <c r="Q415" s="160">
        <f>IF(Sales[[#This Row],[Status]]="Cancelled",0,Sales[[#This Row],[Qty]])</f>
        <v>0</v>
      </c>
      <c r="R415" s="161">
        <f>IF(Sales[[#This Row],[Status]]="Cancelled",0,Sales[[#This Row],[Total Amount]])</f>
        <v>0</v>
      </c>
      <c r="S415" s="162">
        <f>SUM(Sales[Net Amount])</f>
        <v>406839287.73200053</v>
      </c>
    </row>
    <row r="416" spans="1:19" ht="18.75" x14ac:dyDescent="0.25">
      <c r="A416" s="163" t="s">
        <v>3986</v>
      </c>
      <c r="B416" s="164">
        <v>45800</v>
      </c>
      <c r="C416" s="34" t="s">
        <v>733</v>
      </c>
      <c r="D416" s="53" t="str">
        <f>VLOOKUP(Sales[[#This Row],[Customer ID]],Customer[#All],2,0)</f>
        <v>Vikas Kumar</v>
      </c>
      <c r="E416" s="34" t="s">
        <v>500</v>
      </c>
      <c r="F416" s="34" t="str">
        <f>VLOOKUP(Sales[[#This Row],[Product ID]],Product[#All],2,0)</f>
        <v>HP Power Adapter</v>
      </c>
      <c r="G416" s="53">
        <v>3</v>
      </c>
      <c r="H416" s="165">
        <f>VLOOKUP(Sales[[#This Row],[Product ID]],Product[#All],7,0)</f>
        <v>3160</v>
      </c>
      <c r="I416" s="165">
        <f>Sales[[#This Row],[Selling Rate]]*Sales[[#This Row],[Qty]]</f>
        <v>9480</v>
      </c>
      <c r="J416" s="45">
        <v>0.05</v>
      </c>
      <c r="K416" s="46">
        <f>Sales[[#This Row],[Gross Amount]]*Sales[[#This Row],[Disc %]]</f>
        <v>474</v>
      </c>
      <c r="L416" s="43">
        <v>0.18</v>
      </c>
      <c r="M416" s="46">
        <f>(Sales[[#This Row],[Gross Amount]]-Sales[[#This Row],[Disc. Amt.]])*Sales[[#This Row],[GST %]]</f>
        <v>1621.08</v>
      </c>
      <c r="N416" s="161">
        <f>Sales[[#This Row],[Gross Amount]]-Sales[[#This Row],[Disc. Amt.]]+Sales[[#This Row],[GST Amount]]</f>
        <v>10627.08</v>
      </c>
      <c r="O416" s="34" t="s">
        <v>8876</v>
      </c>
      <c r="P416" s="34" t="s">
        <v>3562</v>
      </c>
      <c r="Q416" s="165">
        <f>IF(Sales[[#This Row],[Status]]="Cancelled",0,Sales[[#This Row],[Qty]])</f>
        <v>3</v>
      </c>
      <c r="R416" s="166">
        <f>IF(Sales[[#This Row],[Status]]="Cancelled",0,Sales[[#This Row],[Total Amount]])</f>
        <v>10627.08</v>
      </c>
      <c r="S416" s="162">
        <f>SUM(Sales[Net Amount])</f>
        <v>406839287.73200053</v>
      </c>
    </row>
    <row r="417" spans="1:19" ht="18.75" x14ac:dyDescent="0.25">
      <c r="A417" s="156" t="s">
        <v>3987</v>
      </c>
      <c r="B417" s="157">
        <v>45800</v>
      </c>
      <c r="C417" s="158" t="s">
        <v>908</v>
      </c>
      <c r="D417" s="159" t="str">
        <f>VLOOKUP(Sales[[#This Row],[Customer ID]],Customer[#All],2,0)</f>
        <v>Rahul Singh</v>
      </c>
      <c r="E417" s="158" t="s">
        <v>477</v>
      </c>
      <c r="F417" s="158" t="str">
        <f>VLOOKUP(Sales[[#This Row],[Product ID]],Product[#All],2,0)</f>
        <v>Epson Printer</v>
      </c>
      <c r="G417" s="159">
        <v>8</v>
      </c>
      <c r="H417" s="160">
        <f>VLOOKUP(Sales[[#This Row],[Product ID]],Product[#All],7,0)</f>
        <v>17550</v>
      </c>
      <c r="I417" s="160">
        <f>Sales[[#This Row],[Selling Rate]]*Sales[[#This Row],[Qty]]</f>
        <v>140400</v>
      </c>
      <c r="J417" s="43">
        <v>0.15</v>
      </c>
      <c r="K417" s="44">
        <f>Sales[[#This Row],[Gross Amount]]*Sales[[#This Row],[Disc %]]</f>
        <v>21060</v>
      </c>
      <c r="L417" s="43">
        <v>0.18</v>
      </c>
      <c r="M417" s="44">
        <f>(Sales[[#This Row],[Gross Amount]]-Sales[[#This Row],[Disc. Amt.]])*Sales[[#This Row],[GST %]]</f>
        <v>21481.200000000001</v>
      </c>
      <c r="N417" s="161">
        <f>Sales[[#This Row],[Gross Amount]]-Sales[[#This Row],[Disc. Amt.]]+Sales[[#This Row],[GST Amount]]</f>
        <v>140821.20000000001</v>
      </c>
      <c r="O417" s="158" t="s">
        <v>8876</v>
      </c>
      <c r="P417" s="158" t="s">
        <v>3562</v>
      </c>
      <c r="Q417" s="160">
        <f>IF(Sales[[#This Row],[Status]]="Cancelled",0,Sales[[#This Row],[Qty]])</f>
        <v>8</v>
      </c>
      <c r="R417" s="161">
        <f>IF(Sales[[#This Row],[Status]]="Cancelled",0,Sales[[#This Row],[Total Amount]])</f>
        <v>140821.20000000001</v>
      </c>
      <c r="S417" s="162">
        <f>SUM(Sales[Net Amount])</f>
        <v>406839287.73200053</v>
      </c>
    </row>
    <row r="418" spans="1:19" ht="18.75" x14ac:dyDescent="0.25">
      <c r="A418" s="163" t="s">
        <v>3988</v>
      </c>
      <c r="B418" s="164">
        <v>45800</v>
      </c>
      <c r="C418" s="34" t="s">
        <v>825</v>
      </c>
      <c r="D418" s="53" t="str">
        <f>VLOOKUP(Sales[[#This Row],[Customer ID]],Customer[#All],2,0)</f>
        <v>Rahul Kumar</v>
      </c>
      <c r="E418" s="34" t="s">
        <v>410</v>
      </c>
      <c r="F418" s="34" t="str">
        <f>VLOOKUP(Sales[[#This Row],[Product ID]],Product[#All],2,0)</f>
        <v>Microtek UPS</v>
      </c>
      <c r="G418" s="53">
        <v>3</v>
      </c>
      <c r="H418" s="165">
        <f>VLOOKUP(Sales[[#This Row],[Product ID]],Product[#All],7,0)</f>
        <v>12250</v>
      </c>
      <c r="I418" s="165">
        <f>Sales[[#This Row],[Selling Rate]]*Sales[[#This Row],[Qty]]</f>
        <v>36750</v>
      </c>
      <c r="J418" s="45">
        <v>0.12</v>
      </c>
      <c r="K418" s="46">
        <f>Sales[[#This Row],[Gross Amount]]*Sales[[#This Row],[Disc %]]</f>
        <v>4410</v>
      </c>
      <c r="L418" s="43">
        <v>0.18</v>
      </c>
      <c r="M418" s="46">
        <f>(Sales[[#This Row],[Gross Amount]]-Sales[[#This Row],[Disc. Amt.]])*Sales[[#This Row],[GST %]]</f>
        <v>5821.2</v>
      </c>
      <c r="N418" s="161">
        <f>Sales[[#This Row],[Gross Amount]]-Sales[[#This Row],[Disc. Amt.]]+Sales[[#This Row],[GST Amount]]</f>
        <v>38161.199999999997</v>
      </c>
      <c r="O418" s="34" t="s">
        <v>3566</v>
      </c>
      <c r="P418" s="34" t="s">
        <v>3562</v>
      </c>
      <c r="Q418" s="165">
        <f>IF(Sales[[#This Row],[Status]]="Cancelled",0,Sales[[#This Row],[Qty]])</f>
        <v>3</v>
      </c>
      <c r="R418" s="166">
        <f>IF(Sales[[#This Row],[Status]]="Cancelled",0,Sales[[#This Row],[Total Amount]])</f>
        <v>38161.199999999997</v>
      </c>
      <c r="S418" s="162">
        <f>SUM(Sales[Net Amount])</f>
        <v>406839287.73200053</v>
      </c>
    </row>
    <row r="419" spans="1:19" ht="18.75" x14ac:dyDescent="0.25">
      <c r="A419" s="156" t="s">
        <v>3989</v>
      </c>
      <c r="B419" s="157">
        <v>45800</v>
      </c>
      <c r="C419" s="158" t="s">
        <v>784</v>
      </c>
      <c r="D419" s="159" t="str">
        <f>VLOOKUP(Sales[[#This Row],[Customer ID]],Customer[#All],2,0)</f>
        <v>Amit Kumar</v>
      </c>
      <c r="E419" s="158" t="s">
        <v>315</v>
      </c>
      <c r="F419" s="158" t="str">
        <f>VLOOKUP(Sales[[#This Row],[Product ID]],Product[#All],2,0)</f>
        <v>Jbl Headset</v>
      </c>
      <c r="G419" s="159">
        <v>6</v>
      </c>
      <c r="H419" s="160">
        <f>VLOOKUP(Sales[[#This Row],[Product ID]],Product[#All],7,0)</f>
        <v>2630</v>
      </c>
      <c r="I419" s="160">
        <f>Sales[[#This Row],[Selling Rate]]*Sales[[#This Row],[Qty]]</f>
        <v>15780</v>
      </c>
      <c r="J419" s="43">
        <v>0.12</v>
      </c>
      <c r="K419" s="44">
        <f>Sales[[#This Row],[Gross Amount]]*Sales[[#This Row],[Disc %]]</f>
        <v>1893.6</v>
      </c>
      <c r="L419" s="43">
        <v>0.18</v>
      </c>
      <c r="M419" s="44">
        <f>(Sales[[#This Row],[Gross Amount]]-Sales[[#This Row],[Disc. Amt.]])*Sales[[#This Row],[GST %]]</f>
        <v>2499.5519999999997</v>
      </c>
      <c r="N419" s="161">
        <f>Sales[[#This Row],[Gross Amount]]-Sales[[#This Row],[Disc. Amt.]]+Sales[[#This Row],[GST Amount]]</f>
        <v>16385.951999999997</v>
      </c>
      <c r="O419" s="158" t="s">
        <v>3566</v>
      </c>
      <c r="P419" s="158" t="s">
        <v>3562</v>
      </c>
      <c r="Q419" s="160">
        <f>IF(Sales[[#This Row],[Status]]="Cancelled",0,Sales[[#This Row],[Qty]])</f>
        <v>6</v>
      </c>
      <c r="R419" s="161">
        <f>IF(Sales[[#This Row],[Status]]="Cancelled",0,Sales[[#This Row],[Total Amount]])</f>
        <v>16385.951999999997</v>
      </c>
      <c r="S419" s="162">
        <f>SUM(Sales[Net Amount])</f>
        <v>406839287.73200053</v>
      </c>
    </row>
    <row r="420" spans="1:19" ht="18.75" x14ac:dyDescent="0.25">
      <c r="A420" s="163" t="s">
        <v>3990</v>
      </c>
      <c r="B420" s="164">
        <v>45800</v>
      </c>
      <c r="C420" s="34" t="s">
        <v>833</v>
      </c>
      <c r="D420" s="53" t="str">
        <f>VLOOKUP(Sales[[#This Row],[Customer ID]],Customer[#All],2,0)</f>
        <v>Sunita Kumar</v>
      </c>
      <c r="E420" s="34" t="s">
        <v>248</v>
      </c>
      <c r="F420" s="34" t="str">
        <f>VLOOKUP(Sales[[#This Row],[Product ID]],Product[#All],2,0)</f>
        <v>Amazon Basics Hdmi Cable</v>
      </c>
      <c r="G420" s="53">
        <v>7</v>
      </c>
      <c r="H420" s="165">
        <f>VLOOKUP(Sales[[#This Row],[Product ID]],Product[#All],7,0)</f>
        <v>980</v>
      </c>
      <c r="I420" s="165">
        <f>Sales[[#This Row],[Selling Rate]]*Sales[[#This Row],[Qty]]</f>
        <v>6860</v>
      </c>
      <c r="J420" s="45">
        <v>0</v>
      </c>
      <c r="K420" s="46">
        <f>Sales[[#This Row],[Gross Amount]]*Sales[[#This Row],[Disc %]]</f>
        <v>0</v>
      </c>
      <c r="L420" s="43">
        <v>0.18</v>
      </c>
      <c r="M420" s="46">
        <f>(Sales[[#This Row],[Gross Amount]]-Sales[[#This Row],[Disc. Amt.]])*Sales[[#This Row],[GST %]]</f>
        <v>1234.8</v>
      </c>
      <c r="N420" s="161">
        <f>Sales[[#This Row],[Gross Amount]]-Sales[[#This Row],[Disc. Amt.]]+Sales[[#This Row],[GST Amount]]</f>
        <v>8094.8</v>
      </c>
      <c r="O420" s="34" t="s">
        <v>3561</v>
      </c>
      <c r="P420" s="34" t="s">
        <v>3562</v>
      </c>
      <c r="Q420" s="165">
        <f>IF(Sales[[#This Row],[Status]]="Cancelled",0,Sales[[#This Row],[Qty]])</f>
        <v>7</v>
      </c>
      <c r="R420" s="166">
        <f>IF(Sales[[#This Row],[Status]]="Cancelled",0,Sales[[#This Row],[Total Amount]])</f>
        <v>8094.8</v>
      </c>
      <c r="S420" s="162">
        <f>SUM(Sales[Net Amount])</f>
        <v>406839287.73200053</v>
      </c>
    </row>
    <row r="421" spans="1:19" ht="18.75" x14ac:dyDescent="0.25">
      <c r="A421" s="156" t="s">
        <v>3991</v>
      </c>
      <c r="B421" s="157">
        <v>45800</v>
      </c>
      <c r="C421" s="158" t="s">
        <v>735</v>
      </c>
      <c r="D421" s="159" t="str">
        <f>VLOOKUP(Sales[[#This Row],[Customer ID]],Customer[#All],2,0)</f>
        <v>Amit Singh</v>
      </c>
      <c r="E421" s="158" t="s">
        <v>149</v>
      </c>
      <c r="F421" s="158" t="str">
        <f>VLOOKUP(Sales[[#This Row],[Product ID]],Product[#All],2,0)</f>
        <v>Jbl Headset</v>
      </c>
      <c r="G421" s="159">
        <v>2</v>
      </c>
      <c r="H421" s="160">
        <f>VLOOKUP(Sales[[#This Row],[Product ID]],Product[#All],7,0)</f>
        <v>6520</v>
      </c>
      <c r="I421" s="160">
        <f>Sales[[#This Row],[Selling Rate]]*Sales[[#This Row],[Qty]]</f>
        <v>13040</v>
      </c>
      <c r="J421" s="43">
        <v>0.1</v>
      </c>
      <c r="K421" s="44">
        <f>Sales[[#This Row],[Gross Amount]]*Sales[[#This Row],[Disc %]]</f>
        <v>1304</v>
      </c>
      <c r="L421" s="43">
        <v>0.18</v>
      </c>
      <c r="M421" s="44">
        <f>(Sales[[#This Row],[Gross Amount]]-Sales[[#This Row],[Disc. Amt.]])*Sales[[#This Row],[GST %]]</f>
        <v>2112.48</v>
      </c>
      <c r="N421" s="161">
        <f>Sales[[#This Row],[Gross Amount]]-Sales[[#This Row],[Disc. Amt.]]+Sales[[#This Row],[GST Amount]]</f>
        <v>13848.48</v>
      </c>
      <c r="O421" s="158" t="s">
        <v>3561</v>
      </c>
      <c r="P421" s="158" t="s">
        <v>3562</v>
      </c>
      <c r="Q421" s="160">
        <f>IF(Sales[[#This Row],[Status]]="Cancelled",0,Sales[[#This Row],[Qty]])</f>
        <v>2</v>
      </c>
      <c r="R421" s="161">
        <f>IF(Sales[[#This Row],[Status]]="Cancelled",0,Sales[[#This Row],[Total Amount]])</f>
        <v>13848.48</v>
      </c>
      <c r="S421" s="162">
        <f>SUM(Sales[Net Amount])</f>
        <v>406839287.73200053</v>
      </c>
    </row>
    <row r="422" spans="1:19" ht="18.75" x14ac:dyDescent="0.25">
      <c r="A422" s="163" t="s">
        <v>3992</v>
      </c>
      <c r="B422" s="164">
        <v>45800</v>
      </c>
      <c r="C422" s="34" t="s">
        <v>857</v>
      </c>
      <c r="D422" s="53" t="str">
        <f>VLOOKUP(Sales[[#This Row],[Customer ID]],Customer[#All],2,0)</f>
        <v>Pooja Singh</v>
      </c>
      <c r="E422" s="34" t="s">
        <v>456</v>
      </c>
      <c r="F422" s="34" t="str">
        <f>VLOOKUP(Sales[[#This Row],[Product ID]],Product[#All],2,0)</f>
        <v>Acer Laptop</v>
      </c>
      <c r="G422" s="53">
        <v>1</v>
      </c>
      <c r="H422" s="165">
        <f>VLOOKUP(Sales[[#This Row],[Product ID]],Product[#All],7,0)</f>
        <v>66790</v>
      </c>
      <c r="I422" s="165">
        <f>Sales[[#This Row],[Selling Rate]]*Sales[[#This Row],[Qty]]</f>
        <v>66790</v>
      </c>
      <c r="J422" s="45">
        <v>0.02</v>
      </c>
      <c r="K422" s="46">
        <f>Sales[[#This Row],[Gross Amount]]*Sales[[#This Row],[Disc %]]</f>
        <v>1335.8</v>
      </c>
      <c r="L422" s="43">
        <v>0.18</v>
      </c>
      <c r="M422" s="46">
        <f>(Sales[[#This Row],[Gross Amount]]-Sales[[#This Row],[Disc. Amt.]])*Sales[[#This Row],[GST %]]</f>
        <v>11781.755999999999</v>
      </c>
      <c r="N422" s="161">
        <f>Sales[[#This Row],[Gross Amount]]-Sales[[#This Row],[Disc. Amt.]]+Sales[[#This Row],[GST Amount]]</f>
        <v>77235.955999999991</v>
      </c>
      <c r="O422" s="34" t="s">
        <v>3561</v>
      </c>
      <c r="P422" s="34" t="s">
        <v>3562</v>
      </c>
      <c r="Q422" s="165">
        <f>IF(Sales[[#This Row],[Status]]="Cancelled",0,Sales[[#This Row],[Qty]])</f>
        <v>1</v>
      </c>
      <c r="R422" s="166">
        <f>IF(Sales[[#This Row],[Status]]="Cancelled",0,Sales[[#This Row],[Total Amount]])</f>
        <v>77235.955999999991</v>
      </c>
      <c r="S422" s="162">
        <f>SUM(Sales[Net Amount])</f>
        <v>406839287.73200053</v>
      </c>
    </row>
    <row r="423" spans="1:19" ht="18.75" x14ac:dyDescent="0.25">
      <c r="A423" s="156" t="s">
        <v>3993</v>
      </c>
      <c r="B423" s="157">
        <v>45800</v>
      </c>
      <c r="C423" s="158" t="s">
        <v>935</v>
      </c>
      <c r="D423" s="159" t="str">
        <f>VLOOKUP(Sales[[#This Row],[Customer ID]],Customer[#All],2,0)</f>
        <v>Ankit Kumar</v>
      </c>
      <c r="E423" s="158" t="s">
        <v>251</v>
      </c>
      <c r="F423" s="158" t="str">
        <f>VLOOKUP(Sales[[#This Row],[Product ID]],Product[#All],2,0)</f>
        <v>Corsair Ram</v>
      </c>
      <c r="G423" s="159">
        <v>3</v>
      </c>
      <c r="H423" s="160">
        <f>VLOOKUP(Sales[[#This Row],[Product ID]],Product[#All],7,0)</f>
        <v>2890</v>
      </c>
      <c r="I423" s="160">
        <f>Sales[[#This Row],[Selling Rate]]*Sales[[#This Row],[Qty]]</f>
        <v>8670</v>
      </c>
      <c r="J423" s="43">
        <v>0.05</v>
      </c>
      <c r="K423" s="44">
        <f>Sales[[#This Row],[Gross Amount]]*Sales[[#This Row],[Disc %]]</f>
        <v>433.5</v>
      </c>
      <c r="L423" s="43">
        <v>0.18</v>
      </c>
      <c r="M423" s="44">
        <f>(Sales[[#This Row],[Gross Amount]]-Sales[[#This Row],[Disc. Amt.]])*Sales[[#This Row],[GST %]]</f>
        <v>1482.57</v>
      </c>
      <c r="N423" s="161">
        <f>Sales[[#This Row],[Gross Amount]]-Sales[[#This Row],[Disc. Amt.]]+Sales[[#This Row],[GST Amount]]</f>
        <v>9719.07</v>
      </c>
      <c r="O423" s="158" t="s">
        <v>3569</v>
      </c>
      <c r="P423" s="158" t="s">
        <v>3562</v>
      </c>
      <c r="Q423" s="160">
        <f>IF(Sales[[#This Row],[Status]]="Cancelled",0,Sales[[#This Row],[Qty]])</f>
        <v>3</v>
      </c>
      <c r="R423" s="161">
        <f>IF(Sales[[#This Row],[Status]]="Cancelled",0,Sales[[#This Row],[Total Amount]])</f>
        <v>9719.07</v>
      </c>
      <c r="S423" s="162">
        <f>SUM(Sales[Net Amount])</f>
        <v>406839287.73200053</v>
      </c>
    </row>
    <row r="424" spans="1:19" ht="18.75" x14ac:dyDescent="0.25">
      <c r="A424" s="163" t="s">
        <v>3994</v>
      </c>
      <c r="B424" s="164">
        <v>45800</v>
      </c>
      <c r="C424" s="34" t="s">
        <v>8723</v>
      </c>
      <c r="D424" s="53" t="str">
        <f>VLOOKUP(Sales[[#This Row],[Customer ID]],Customer[#All],2,0)</f>
        <v>Rakesh Kumar</v>
      </c>
      <c r="E424" s="34" t="s">
        <v>446</v>
      </c>
      <c r="F424" s="34" t="str">
        <f>VLOOKUP(Sales[[#This Row],[Product ID]],Product[#All],2,0)</f>
        <v>HP Desktop</v>
      </c>
      <c r="G424" s="53">
        <v>4</v>
      </c>
      <c r="H424" s="165">
        <f>VLOOKUP(Sales[[#This Row],[Product ID]],Product[#All],7,0)</f>
        <v>48280</v>
      </c>
      <c r="I424" s="165">
        <f>Sales[[#This Row],[Selling Rate]]*Sales[[#This Row],[Qty]]</f>
        <v>193120</v>
      </c>
      <c r="J424" s="45">
        <v>0.02</v>
      </c>
      <c r="K424" s="46">
        <f>Sales[[#This Row],[Gross Amount]]*Sales[[#This Row],[Disc %]]</f>
        <v>3862.4</v>
      </c>
      <c r="L424" s="43">
        <v>0.18</v>
      </c>
      <c r="M424" s="46">
        <f>(Sales[[#This Row],[Gross Amount]]-Sales[[#This Row],[Disc. Amt.]])*Sales[[#This Row],[GST %]]</f>
        <v>34066.368000000002</v>
      </c>
      <c r="N424" s="161">
        <f>Sales[[#This Row],[Gross Amount]]-Sales[[#This Row],[Disc. Amt.]]+Sales[[#This Row],[GST Amount]]</f>
        <v>223323.96799999999</v>
      </c>
      <c r="O424" s="34" t="s">
        <v>8876</v>
      </c>
      <c r="P424" s="34" t="s">
        <v>3562</v>
      </c>
      <c r="Q424" s="165">
        <f>IF(Sales[[#This Row],[Status]]="Cancelled",0,Sales[[#This Row],[Qty]])</f>
        <v>4</v>
      </c>
      <c r="R424" s="166">
        <f>IF(Sales[[#This Row],[Status]]="Cancelled",0,Sales[[#This Row],[Total Amount]])</f>
        <v>223323.96799999999</v>
      </c>
      <c r="S424" s="162">
        <f>SUM(Sales[Net Amount])</f>
        <v>406839287.73200053</v>
      </c>
    </row>
    <row r="425" spans="1:19" ht="18.75" x14ac:dyDescent="0.25">
      <c r="A425" s="156" t="s">
        <v>3995</v>
      </c>
      <c r="B425" s="157">
        <v>45800</v>
      </c>
      <c r="C425" s="158" t="s">
        <v>767</v>
      </c>
      <c r="D425" s="159" t="str">
        <f>VLOOKUP(Sales[[#This Row],[Customer ID]],Customer[#All],2,0)</f>
        <v>Sunita Singh</v>
      </c>
      <c r="E425" s="158" t="s">
        <v>423</v>
      </c>
      <c r="F425" s="158" t="str">
        <f>VLOOKUP(Sales[[#This Row],[Product ID]],Product[#All],2,0)</f>
        <v>HP Laptop</v>
      </c>
      <c r="G425" s="159">
        <v>2</v>
      </c>
      <c r="H425" s="160">
        <f>VLOOKUP(Sales[[#This Row],[Product ID]],Product[#All],7,0)</f>
        <v>40880</v>
      </c>
      <c r="I425" s="160">
        <f>Sales[[#This Row],[Selling Rate]]*Sales[[#This Row],[Qty]]</f>
        <v>81760</v>
      </c>
      <c r="J425" s="43">
        <v>0</v>
      </c>
      <c r="K425" s="44">
        <f>Sales[[#This Row],[Gross Amount]]*Sales[[#This Row],[Disc %]]</f>
        <v>0</v>
      </c>
      <c r="L425" s="43">
        <v>0.18</v>
      </c>
      <c r="M425" s="44">
        <f>(Sales[[#This Row],[Gross Amount]]-Sales[[#This Row],[Disc. Amt.]])*Sales[[#This Row],[GST %]]</f>
        <v>14716.8</v>
      </c>
      <c r="N425" s="161">
        <f>Sales[[#This Row],[Gross Amount]]-Sales[[#This Row],[Disc. Amt.]]+Sales[[#This Row],[GST Amount]]</f>
        <v>96476.800000000003</v>
      </c>
      <c r="O425" s="158" t="s">
        <v>3561</v>
      </c>
      <c r="P425" s="158" t="s">
        <v>1040</v>
      </c>
      <c r="Q425" s="160">
        <f>IF(Sales[[#This Row],[Status]]="Cancelled",0,Sales[[#This Row],[Qty]])</f>
        <v>0</v>
      </c>
      <c r="R425" s="161">
        <f>IF(Sales[[#This Row],[Status]]="Cancelled",0,Sales[[#This Row],[Total Amount]])</f>
        <v>0</v>
      </c>
      <c r="S425" s="162">
        <f>SUM(Sales[Net Amount])</f>
        <v>406839287.73200053</v>
      </c>
    </row>
    <row r="426" spans="1:19" ht="18.75" x14ac:dyDescent="0.25">
      <c r="A426" s="163" t="s">
        <v>3996</v>
      </c>
      <c r="B426" s="164">
        <v>45800</v>
      </c>
      <c r="C426" s="34" t="s">
        <v>840</v>
      </c>
      <c r="D426" s="53" t="str">
        <f>VLOOKUP(Sales[[#This Row],[Customer ID]],Customer[#All],2,0)</f>
        <v>Rakesh Verma</v>
      </c>
      <c r="E426" s="34" t="s">
        <v>465</v>
      </c>
      <c r="F426" s="34" t="str">
        <f>VLOOKUP(Sales[[#This Row],[Product ID]],Product[#All],2,0)</f>
        <v>Logitech Keyboard</v>
      </c>
      <c r="G426" s="53">
        <v>5</v>
      </c>
      <c r="H426" s="165">
        <f>VLOOKUP(Sales[[#This Row],[Product ID]],Product[#All],7,0)</f>
        <v>2230</v>
      </c>
      <c r="I426" s="165">
        <f>Sales[[#This Row],[Selling Rate]]*Sales[[#This Row],[Qty]]</f>
        <v>11150</v>
      </c>
      <c r="J426" s="45">
        <v>0.15</v>
      </c>
      <c r="K426" s="46">
        <f>Sales[[#This Row],[Gross Amount]]*Sales[[#This Row],[Disc %]]</f>
        <v>1672.5</v>
      </c>
      <c r="L426" s="43">
        <v>0.18</v>
      </c>
      <c r="M426" s="46">
        <f>(Sales[[#This Row],[Gross Amount]]-Sales[[#This Row],[Disc. Amt.]])*Sales[[#This Row],[GST %]]</f>
        <v>1705.95</v>
      </c>
      <c r="N426" s="161">
        <f>Sales[[#This Row],[Gross Amount]]-Sales[[#This Row],[Disc. Amt.]]+Sales[[#This Row],[GST Amount]]</f>
        <v>11183.45</v>
      </c>
      <c r="O426" s="34" t="s">
        <v>3569</v>
      </c>
      <c r="P426" s="34" t="s">
        <v>3562</v>
      </c>
      <c r="Q426" s="165">
        <f>IF(Sales[[#This Row],[Status]]="Cancelled",0,Sales[[#This Row],[Qty]])</f>
        <v>5</v>
      </c>
      <c r="R426" s="166">
        <f>IF(Sales[[#This Row],[Status]]="Cancelled",0,Sales[[#This Row],[Total Amount]])</f>
        <v>11183.45</v>
      </c>
      <c r="S426" s="162">
        <f>SUM(Sales[Net Amount])</f>
        <v>406839287.73200053</v>
      </c>
    </row>
    <row r="427" spans="1:19" ht="18.75" x14ac:dyDescent="0.25">
      <c r="A427" s="156" t="s">
        <v>3997</v>
      </c>
      <c r="B427" s="157">
        <v>45801</v>
      </c>
      <c r="C427" s="158" t="s">
        <v>696</v>
      </c>
      <c r="D427" s="159" t="str">
        <f>VLOOKUP(Sales[[#This Row],[Customer ID]],Customer[#All],2,0)</f>
        <v>Sunita Verma</v>
      </c>
      <c r="E427" s="158" t="s">
        <v>189</v>
      </c>
      <c r="F427" s="158" t="str">
        <f>VLOOKUP(Sales[[#This Row],[Product ID]],Product[#All],2,0)</f>
        <v>Boat Headset</v>
      </c>
      <c r="G427" s="159">
        <v>7</v>
      </c>
      <c r="H427" s="160">
        <f>VLOOKUP(Sales[[#This Row],[Product ID]],Product[#All],7,0)</f>
        <v>1610</v>
      </c>
      <c r="I427" s="160">
        <f>Sales[[#This Row],[Selling Rate]]*Sales[[#This Row],[Qty]]</f>
        <v>11270</v>
      </c>
      <c r="J427" s="43">
        <v>0.15</v>
      </c>
      <c r="K427" s="44">
        <f>Sales[[#This Row],[Gross Amount]]*Sales[[#This Row],[Disc %]]</f>
        <v>1690.5</v>
      </c>
      <c r="L427" s="43">
        <v>0.18</v>
      </c>
      <c r="M427" s="44">
        <f>(Sales[[#This Row],[Gross Amount]]-Sales[[#This Row],[Disc. Amt.]])*Sales[[#This Row],[GST %]]</f>
        <v>1724.31</v>
      </c>
      <c r="N427" s="161">
        <f>Sales[[#This Row],[Gross Amount]]-Sales[[#This Row],[Disc. Amt.]]+Sales[[#This Row],[GST Amount]]</f>
        <v>11303.81</v>
      </c>
      <c r="O427" s="158" t="s">
        <v>3561</v>
      </c>
      <c r="P427" s="158" t="s">
        <v>3562</v>
      </c>
      <c r="Q427" s="160">
        <f>IF(Sales[[#This Row],[Status]]="Cancelled",0,Sales[[#This Row],[Qty]])</f>
        <v>7</v>
      </c>
      <c r="R427" s="161">
        <f>IF(Sales[[#This Row],[Status]]="Cancelled",0,Sales[[#This Row],[Total Amount]])</f>
        <v>11303.81</v>
      </c>
      <c r="S427" s="162">
        <f>SUM(Sales[Net Amount])</f>
        <v>406839287.73200053</v>
      </c>
    </row>
    <row r="428" spans="1:19" ht="18.75" x14ac:dyDescent="0.25">
      <c r="A428" s="163" t="s">
        <v>3998</v>
      </c>
      <c r="B428" s="164">
        <v>45801</v>
      </c>
      <c r="C428" s="34" t="s">
        <v>857</v>
      </c>
      <c r="D428" s="53" t="str">
        <f>VLOOKUP(Sales[[#This Row],[Customer ID]],Customer[#All],2,0)</f>
        <v>Pooja Singh</v>
      </c>
      <c r="E428" s="34" t="s">
        <v>52</v>
      </c>
      <c r="F428" s="34" t="str">
        <f>VLOOKUP(Sales[[#This Row],[Product ID]],Product[#All],2,0)</f>
        <v>HP Power Adapter</v>
      </c>
      <c r="G428" s="53">
        <v>6</v>
      </c>
      <c r="H428" s="165">
        <f>VLOOKUP(Sales[[#This Row],[Product ID]],Product[#All],7,0)</f>
        <v>4510</v>
      </c>
      <c r="I428" s="165">
        <f>Sales[[#This Row],[Selling Rate]]*Sales[[#This Row],[Qty]]</f>
        <v>27060</v>
      </c>
      <c r="J428" s="45">
        <v>0.1</v>
      </c>
      <c r="K428" s="46">
        <f>Sales[[#This Row],[Gross Amount]]*Sales[[#This Row],[Disc %]]</f>
        <v>2706</v>
      </c>
      <c r="L428" s="43">
        <v>0.18</v>
      </c>
      <c r="M428" s="46">
        <f>(Sales[[#This Row],[Gross Amount]]-Sales[[#This Row],[Disc. Amt.]])*Sales[[#This Row],[GST %]]</f>
        <v>4383.72</v>
      </c>
      <c r="N428" s="161">
        <f>Sales[[#This Row],[Gross Amount]]-Sales[[#This Row],[Disc. Amt.]]+Sales[[#This Row],[GST Amount]]</f>
        <v>28737.72</v>
      </c>
      <c r="O428" s="34" t="s">
        <v>3566</v>
      </c>
      <c r="P428" s="34" t="s">
        <v>3562</v>
      </c>
      <c r="Q428" s="165">
        <f>IF(Sales[[#This Row],[Status]]="Cancelled",0,Sales[[#This Row],[Qty]])</f>
        <v>6</v>
      </c>
      <c r="R428" s="166">
        <f>IF(Sales[[#This Row],[Status]]="Cancelled",0,Sales[[#This Row],[Total Amount]])</f>
        <v>28737.72</v>
      </c>
      <c r="S428" s="162">
        <f>SUM(Sales[Net Amount])</f>
        <v>406839287.73200053</v>
      </c>
    </row>
    <row r="429" spans="1:19" ht="18.75" x14ac:dyDescent="0.25">
      <c r="A429" s="156" t="s">
        <v>3999</v>
      </c>
      <c r="B429" s="157">
        <v>45801</v>
      </c>
      <c r="C429" s="158" t="s">
        <v>947</v>
      </c>
      <c r="D429" s="159" t="str">
        <f>VLOOKUP(Sales[[#This Row],[Customer ID]],Customer[#All],2,0)</f>
        <v>Sunita Singh</v>
      </c>
      <c r="E429" s="158" t="s">
        <v>187</v>
      </c>
      <c r="F429" s="158" t="str">
        <f>VLOOKUP(Sales[[#This Row],[Product ID]],Product[#All],2,0)</f>
        <v>American TouristerLaptopBag</v>
      </c>
      <c r="G429" s="159">
        <v>3</v>
      </c>
      <c r="H429" s="160">
        <f>VLOOKUP(Sales[[#This Row],[Product ID]],Product[#All],7,0)</f>
        <v>840</v>
      </c>
      <c r="I429" s="160">
        <f>Sales[[#This Row],[Selling Rate]]*Sales[[#This Row],[Qty]]</f>
        <v>2520</v>
      </c>
      <c r="J429" s="43">
        <v>0.05</v>
      </c>
      <c r="K429" s="44">
        <f>Sales[[#This Row],[Gross Amount]]*Sales[[#This Row],[Disc %]]</f>
        <v>126</v>
      </c>
      <c r="L429" s="43">
        <v>0.18</v>
      </c>
      <c r="M429" s="44">
        <f>(Sales[[#This Row],[Gross Amount]]-Sales[[#This Row],[Disc. Amt.]])*Sales[[#This Row],[GST %]]</f>
        <v>430.91999999999996</v>
      </c>
      <c r="N429" s="161">
        <f>Sales[[#This Row],[Gross Amount]]-Sales[[#This Row],[Disc. Amt.]]+Sales[[#This Row],[GST Amount]]</f>
        <v>2824.92</v>
      </c>
      <c r="O429" s="158" t="s">
        <v>3566</v>
      </c>
      <c r="P429" s="158" t="s">
        <v>3562</v>
      </c>
      <c r="Q429" s="160">
        <f>IF(Sales[[#This Row],[Status]]="Cancelled",0,Sales[[#This Row],[Qty]])</f>
        <v>3</v>
      </c>
      <c r="R429" s="161">
        <f>IF(Sales[[#This Row],[Status]]="Cancelled",0,Sales[[#This Row],[Total Amount]])</f>
        <v>2824.92</v>
      </c>
      <c r="S429" s="162">
        <f>SUM(Sales[Net Amount])</f>
        <v>406839287.73200053</v>
      </c>
    </row>
    <row r="430" spans="1:19" ht="18.75" x14ac:dyDescent="0.25">
      <c r="A430" s="163" t="s">
        <v>4000</v>
      </c>
      <c r="B430" s="164">
        <v>45801</v>
      </c>
      <c r="C430" s="34" t="s">
        <v>934</v>
      </c>
      <c r="D430" s="53" t="str">
        <f>VLOOKUP(Sales[[#This Row],[Customer ID]],Customer[#All],2,0)</f>
        <v>Pooja Singh</v>
      </c>
      <c r="E430" s="34" t="s">
        <v>451</v>
      </c>
      <c r="F430" s="34" t="str">
        <f>VLOOKUP(Sales[[#This Row],[Product ID]],Product[#All],2,0)</f>
        <v>HP Printer</v>
      </c>
      <c r="G430" s="53">
        <v>4</v>
      </c>
      <c r="H430" s="165">
        <f>VLOOKUP(Sales[[#This Row],[Product ID]],Product[#All],7,0)</f>
        <v>36160</v>
      </c>
      <c r="I430" s="165">
        <f>Sales[[#This Row],[Selling Rate]]*Sales[[#This Row],[Qty]]</f>
        <v>144640</v>
      </c>
      <c r="J430" s="45">
        <v>0</v>
      </c>
      <c r="K430" s="46">
        <f>Sales[[#This Row],[Gross Amount]]*Sales[[#This Row],[Disc %]]</f>
        <v>0</v>
      </c>
      <c r="L430" s="43">
        <v>0.18</v>
      </c>
      <c r="M430" s="46">
        <f>(Sales[[#This Row],[Gross Amount]]-Sales[[#This Row],[Disc. Amt.]])*Sales[[#This Row],[GST %]]</f>
        <v>26035.200000000001</v>
      </c>
      <c r="N430" s="161">
        <f>Sales[[#This Row],[Gross Amount]]-Sales[[#This Row],[Disc. Amt.]]+Sales[[#This Row],[GST Amount]]</f>
        <v>170675.20000000001</v>
      </c>
      <c r="O430" s="34" t="s">
        <v>3566</v>
      </c>
      <c r="P430" s="34" t="s">
        <v>3562</v>
      </c>
      <c r="Q430" s="165">
        <f>IF(Sales[[#This Row],[Status]]="Cancelled",0,Sales[[#This Row],[Qty]])</f>
        <v>4</v>
      </c>
      <c r="R430" s="166">
        <f>IF(Sales[[#This Row],[Status]]="Cancelled",0,Sales[[#This Row],[Total Amount]])</f>
        <v>170675.20000000001</v>
      </c>
      <c r="S430" s="162">
        <f>SUM(Sales[Net Amount])</f>
        <v>406839287.73200053</v>
      </c>
    </row>
    <row r="431" spans="1:19" ht="18.75" x14ac:dyDescent="0.25">
      <c r="A431" s="156" t="s">
        <v>4001</v>
      </c>
      <c r="B431" s="157">
        <v>45801</v>
      </c>
      <c r="C431" s="158" t="s">
        <v>770</v>
      </c>
      <c r="D431" s="159" t="str">
        <f>VLOOKUP(Sales[[#This Row],[Customer ID]],Customer[#All],2,0)</f>
        <v>Sunita Sharma</v>
      </c>
      <c r="E431" s="158" t="s">
        <v>470</v>
      </c>
      <c r="F431" s="158" t="str">
        <f>VLOOKUP(Sales[[#This Row],[Product ID]],Product[#All],2,0)</f>
        <v>HP Desktop</v>
      </c>
      <c r="G431" s="159">
        <v>5</v>
      </c>
      <c r="H431" s="160">
        <f>VLOOKUP(Sales[[#This Row],[Product ID]],Product[#All],7,0)</f>
        <v>40330</v>
      </c>
      <c r="I431" s="160">
        <f>Sales[[#This Row],[Selling Rate]]*Sales[[#This Row],[Qty]]</f>
        <v>201650</v>
      </c>
      <c r="J431" s="43">
        <v>0.05</v>
      </c>
      <c r="K431" s="44">
        <f>Sales[[#This Row],[Gross Amount]]*Sales[[#This Row],[Disc %]]</f>
        <v>10082.5</v>
      </c>
      <c r="L431" s="43">
        <v>0.18</v>
      </c>
      <c r="M431" s="44">
        <f>(Sales[[#This Row],[Gross Amount]]-Sales[[#This Row],[Disc. Amt.]])*Sales[[#This Row],[GST %]]</f>
        <v>34482.15</v>
      </c>
      <c r="N431" s="161">
        <f>Sales[[#This Row],[Gross Amount]]-Sales[[#This Row],[Disc. Amt.]]+Sales[[#This Row],[GST Amount]]</f>
        <v>226049.65</v>
      </c>
      <c r="O431" s="158" t="s">
        <v>3566</v>
      </c>
      <c r="P431" s="158" t="s">
        <v>3562</v>
      </c>
      <c r="Q431" s="160">
        <f>IF(Sales[[#This Row],[Status]]="Cancelled",0,Sales[[#This Row],[Qty]])</f>
        <v>5</v>
      </c>
      <c r="R431" s="161">
        <f>IF(Sales[[#This Row],[Status]]="Cancelled",0,Sales[[#This Row],[Total Amount]])</f>
        <v>226049.65</v>
      </c>
      <c r="S431" s="162">
        <f>SUM(Sales[Net Amount])</f>
        <v>406839287.73200053</v>
      </c>
    </row>
    <row r="432" spans="1:19" ht="18.75" x14ac:dyDescent="0.25">
      <c r="A432" s="163" t="s">
        <v>4002</v>
      </c>
      <c r="B432" s="164">
        <v>45801</v>
      </c>
      <c r="C432" s="34" t="s">
        <v>902</v>
      </c>
      <c r="D432" s="53" t="str">
        <f>VLOOKUP(Sales[[#This Row],[Customer ID]],Customer[#All],2,0)</f>
        <v>Sunita Singh</v>
      </c>
      <c r="E432" s="34" t="s">
        <v>217</v>
      </c>
      <c r="F432" s="34" t="str">
        <f>VLOOKUP(Sales[[#This Row],[Product ID]],Product[#All],2,0)</f>
        <v>Logitech Webcam</v>
      </c>
      <c r="G432" s="53">
        <v>6</v>
      </c>
      <c r="H432" s="165">
        <f>VLOOKUP(Sales[[#This Row],[Product ID]],Product[#All],7,0)</f>
        <v>2420</v>
      </c>
      <c r="I432" s="165">
        <f>Sales[[#This Row],[Selling Rate]]*Sales[[#This Row],[Qty]]</f>
        <v>14520</v>
      </c>
      <c r="J432" s="45">
        <v>0.1</v>
      </c>
      <c r="K432" s="46">
        <f>Sales[[#This Row],[Gross Amount]]*Sales[[#This Row],[Disc %]]</f>
        <v>1452</v>
      </c>
      <c r="L432" s="43">
        <v>0.18</v>
      </c>
      <c r="M432" s="46">
        <f>(Sales[[#This Row],[Gross Amount]]-Sales[[#This Row],[Disc. Amt.]])*Sales[[#This Row],[GST %]]</f>
        <v>2352.2399999999998</v>
      </c>
      <c r="N432" s="161">
        <f>Sales[[#This Row],[Gross Amount]]-Sales[[#This Row],[Disc. Amt.]]+Sales[[#This Row],[GST Amount]]</f>
        <v>15420.24</v>
      </c>
      <c r="O432" s="34" t="s">
        <v>3569</v>
      </c>
      <c r="P432" s="34" t="s">
        <v>3562</v>
      </c>
      <c r="Q432" s="165">
        <f>IF(Sales[[#This Row],[Status]]="Cancelled",0,Sales[[#This Row],[Qty]])</f>
        <v>6</v>
      </c>
      <c r="R432" s="166">
        <f>IF(Sales[[#This Row],[Status]]="Cancelled",0,Sales[[#This Row],[Total Amount]])</f>
        <v>15420.24</v>
      </c>
      <c r="S432" s="162">
        <f>SUM(Sales[Net Amount])</f>
        <v>406839287.73200053</v>
      </c>
    </row>
    <row r="433" spans="1:19" ht="18.75" x14ac:dyDescent="0.25">
      <c r="A433" s="156" t="s">
        <v>4003</v>
      </c>
      <c r="B433" s="157">
        <v>45801</v>
      </c>
      <c r="C433" s="158" t="s">
        <v>665</v>
      </c>
      <c r="D433" s="159" t="str">
        <f>VLOOKUP(Sales[[#This Row],[Customer ID]],Customer[#All],2,0)</f>
        <v>Vikas Sharma</v>
      </c>
      <c r="E433" s="158" t="s">
        <v>23</v>
      </c>
      <c r="F433" s="158" t="str">
        <f>VLOOKUP(Sales[[#This Row],[Product ID]],Product[#All],2,0)</f>
        <v>Kingston Ram</v>
      </c>
      <c r="G433" s="159">
        <v>2</v>
      </c>
      <c r="H433" s="160">
        <f>VLOOKUP(Sales[[#This Row],[Product ID]],Product[#All],7,0)</f>
        <v>6040</v>
      </c>
      <c r="I433" s="160">
        <f>Sales[[#This Row],[Selling Rate]]*Sales[[#This Row],[Qty]]</f>
        <v>12080</v>
      </c>
      <c r="J433" s="43">
        <v>0.02</v>
      </c>
      <c r="K433" s="44">
        <f>Sales[[#This Row],[Gross Amount]]*Sales[[#This Row],[Disc %]]</f>
        <v>241.6</v>
      </c>
      <c r="L433" s="43">
        <v>0.18</v>
      </c>
      <c r="M433" s="44">
        <f>(Sales[[#This Row],[Gross Amount]]-Sales[[#This Row],[Disc. Amt.]])*Sales[[#This Row],[GST %]]</f>
        <v>2130.9119999999998</v>
      </c>
      <c r="N433" s="161">
        <f>Sales[[#This Row],[Gross Amount]]-Sales[[#This Row],[Disc. Amt.]]+Sales[[#This Row],[GST Amount]]</f>
        <v>13969.312</v>
      </c>
      <c r="O433" s="158" t="s">
        <v>3566</v>
      </c>
      <c r="P433" s="158" t="s">
        <v>3562</v>
      </c>
      <c r="Q433" s="160">
        <f>IF(Sales[[#This Row],[Status]]="Cancelled",0,Sales[[#This Row],[Qty]])</f>
        <v>2</v>
      </c>
      <c r="R433" s="161">
        <f>IF(Sales[[#This Row],[Status]]="Cancelled",0,Sales[[#This Row],[Total Amount]])</f>
        <v>13969.312</v>
      </c>
      <c r="S433" s="162">
        <f>SUM(Sales[Net Amount])</f>
        <v>406839287.73200053</v>
      </c>
    </row>
    <row r="434" spans="1:19" ht="18.75" x14ac:dyDescent="0.25">
      <c r="A434" s="163" t="s">
        <v>4004</v>
      </c>
      <c r="B434" s="164">
        <v>45801</v>
      </c>
      <c r="C434" s="34" t="s">
        <v>816</v>
      </c>
      <c r="D434" s="53" t="str">
        <f>VLOOKUP(Sales[[#This Row],[Customer ID]],Customer[#All],2,0)</f>
        <v>Amit Patel</v>
      </c>
      <c r="E434" s="34" t="s">
        <v>23</v>
      </c>
      <c r="F434" s="34" t="str">
        <f>VLOOKUP(Sales[[#This Row],[Product ID]],Product[#All],2,0)</f>
        <v>Kingston Ram</v>
      </c>
      <c r="G434" s="53">
        <v>4</v>
      </c>
      <c r="H434" s="165">
        <f>VLOOKUP(Sales[[#This Row],[Product ID]],Product[#All],7,0)</f>
        <v>6040</v>
      </c>
      <c r="I434" s="165">
        <f>Sales[[#This Row],[Selling Rate]]*Sales[[#This Row],[Qty]]</f>
        <v>24160</v>
      </c>
      <c r="J434" s="45">
        <v>0.02</v>
      </c>
      <c r="K434" s="46">
        <f>Sales[[#This Row],[Gross Amount]]*Sales[[#This Row],[Disc %]]</f>
        <v>483.2</v>
      </c>
      <c r="L434" s="43">
        <v>0.18</v>
      </c>
      <c r="M434" s="46">
        <f>(Sales[[#This Row],[Gross Amount]]-Sales[[#This Row],[Disc. Amt.]])*Sales[[#This Row],[GST %]]</f>
        <v>4261.8239999999996</v>
      </c>
      <c r="N434" s="161">
        <f>Sales[[#This Row],[Gross Amount]]-Sales[[#This Row],[Disc. Amt.]]+Sales[[#This Row],[GST Amount]]</f>
        <v>27938.624</v>
      </c>
      <c r="O434" s="34" t="s">
        <v>8876</v>
      </c>
      <c r="P434" s="34" t="s">
        <v>3562</v>
      </c>
      <c r="Q434" s="165">
        <f>IF(Sales[[#This Row],[Status]]="Cancelled",0,Sales[[#This Row],[Qty]])</f>
        <v>4</v>
      </c>
      <c r="R434" s="166">
        <f>IF(Sales[[#This Row],[Status]]="Cancelled",0,Sales[[#This Row],[Total Amount]])</f>
        <v>27938.624</v>
      </c>
      <c r="S434" s="162">
        <f>SUM(Sales[Net Amount])</f>
        <v>406839287.73200053</v>
      </c>
    </row>
    <row r="435" spans="1:19" ht="18.75" x14ac:dyDescent="0.25">
      <c r="A435" s="156" t="s">
        <v>4005</v>
      </c>
      <c r="B435" s="157">
        <v>45801</v>
      </c>
      <c r="C435" s="158" t="s">
        <v>686</v>
      </c>
      <c r="D435" s="159" t="str">
        <f>VLOOKUP(Sales[[#This Row],[Customer ID]],Customer[#All],2,0)</f>
        <v>Priya Gupta</v>
      </c>
      <c r="E435" s="158" t="s">
        <v>498</v>
      </c>
      <c r="F435" s="158" t="str">
        <f>VLOOKUP(Sales[[#This Row],[Product ID]],Product[#All],2,0)</f>
        <v>Kingston Ram</v>
      </c>
      <c r="G435" s="159">
        <v>7</v>
      </c>
      <c r="H435" s="160">
        <f>VLOOKUP(Sales[[#This Row],[Product ID]],Product[#All],7,0)</f>
        <v>4750</v>
      </c>
      <c r="I435" s="160">
        <f>Sales[[#This Row],[Selling Rate]]*Sales[[#This Row],[Qty]]</f>
        <v>33250</v>
      </c>
      <c r="J435" s="43">
        <v>0.05</v>
      </c>
      <c r="K435" s="44">
        <f>Sales[[#This Row],[Gross Amount]]*Sales[[#This Row],[Disc %]]</f>
        <v>1662.5</v>
      </c>
      <c r="L435" s="43">
        <v>0.18</v>
      </c>
      <c r="M435" s="44">
        <f>(Sales[[#This Row],[Gross Amount]]-Sales[[#This Row],[Disc. Amt.]])*Sales[[#This Row],[GST %]]</f>
        <v>5685.75</v>
      </c>
      <c r="N435" s="161">
        <f>Sales[[#This Row],[Gross Amount]]-Sales[[#This Row],[Disc. Amt.]]+Sales[[#This Row],[GST Amount]]</f>
        <v>37273.25</v>
      </c>
      <c r="O435" s="158" t="s">
        <v>8876</v>
      </c>
      <c r="P435" s="158" t="s">
        <v>3562</v>
      </c>
      <c r="Q435" s="160">
        <f>IF(Sales[[#This Row],[Status]]="Cancelled",0,Sales[[#This Row],[Qty]])</f>
        <v>7</v>
      </c>
      <c r="R435" s="161">
        <f>IF(Sales[[#This Row],[Status]]="Cancelled",0,Sales[[#This Row],[Total Amount]])</f>
        <v>37273.25</v>
      </c>
      <c r="S435" s="162">
        <f>SUM(Sales[Net Amount])</f>
        <v>406839287.73200053</v>
      </c>
    </row>
    <row r="436" spans="1:19" ht="18.75" x14ac:dyDescent="0.25">
      <c r="A436" s="163" t="s">
        <v>4006</v>
      </c>
      <c r="B436" s="164">
        <v>45801</v>
      </c>
      <c r="C436" s="34" t="s">
        <v>785</v>
      </c>
      <c r="D436" s="53" t="str">
        <f>VLOOKUP(Sales[[#This Row],[Customer ID]],Customer[#All],2,0)</f>
        <v>Ankit Gupta</v>
      </c>
      <c r="E436" s="34" t="s">
        <v>402</v>
      </c>
      <c r="F436" s="34" t="str">
        <f>VLOOKUP(Sales[[#This Row],[Product ID]],Product[#All],2,0)</f>
        <v>Logitech Keyboard</v>
      </c>
      <c r="G436" s="53">
        <v>3</v>
      </c>
      <c r="H436" s="165">
        <f>VLOOKUP(Sales[[#This Row],[Product ID]],Product[#All],7,0)</f>
        <v>3500</v>
      </c>
      <c r="I436" s="165">
        <f>Sales[[#This Row],[Selling Rate]]*Sales[[#This Row],[Qty]]</f>
        <v>10500</v>
      </c>
      <c r="J436" s="45">
        <v>0.12</v>
      </c>
      <c r="K436" s="46">
        <f>Sales[[#This Row],[Gross Amount]]*Sales[[#This Row],[Disc %]]</f>
        <v>1260</v>
      </c>
      <c r="L436" s="43">
        <v>0.18</v>
      </c>
      <c r="M436" s="46">
        <f>(Sales[[#This Row],[Gross Amount]]-Sales[[#This Row],[Disc. Amt.]])*Sales[[#This Row],[GST %]]</f>
        <v>1663.2</v>
      </c>
      <c r="N436" s="161">
        <f>Sales[[#This Row],[Gross Amount]]-Sales[[#This Row],[Disc. Amt.]]+Sales[[#This Row],[GST Amount]]</f>
        <v>10903.2</v>
      </c>
      <c r="O436" s="34" t="s">
        <v>3561</v>
      </c>
      <c r="P436" s="34" t="s">
        <v>3562</v>
      </c>
      <c r="Q436" s="165">
        <f>IF(Sales[[#This Row],[Status]]="Cancelled",0,Sales[[#This Row],[Qty]])</f>
        <v>3</v>
      </c>
      <c r="R436" s="166">
        <f>IF(Sales[[#This Row],[Status]]="Cancelled",0,Sales[[#This Row],[Total Amount]])</f>
        <v>10903.2</v>
      </c>
      <c r="S436" s="162">
        <f>SUM(Sales[Net Amount])</f>
        <v>406839287.73200053</v>
      </c>
    </row>
    <row r="437" spans="1:19" ht="18.75" x14ac:dyDescent="0.25">
      <c r="A437" s="156" t="s">
        <v>4007</v>
      </c>
      <c r="B437" s="157">
        <v>45801</v>
      </c>
      <c r="C437" s="158" t="s">
        <v>885</v>
      </c>
      <c r="D437" s="159" t="str">
        <f>VLOOKUP(Sales[[#This Row],[Customer ID]],Customer[#All],2,0)</f>
        <v>Pooja Verma</v>
      </c>
      <c r="E437" s="158" t="s">
        <v>230</v>
      </c>
      <c r="F437" s="158" t="str">
        <f>VLOOKUP(Sales[[#This Row],[Product ID]],Product[#All],2,0)</f>
        <v>Dell Desktop</v>
      </c>
      <c r="G437" s="159">
        <v>3</v>
      </c>
      <c r="H437" s="160">
        <f>VLOOKUP(Sales[[#This Row],[Product ID]],Product[#All],7,0)</f>
        <v>69610</v>
      </c>
      <c r="I437" s="160">
        <f>Sales[[#This Row],[Selling Rate]]*Sales[[#This Row],[Qty]]</f>
        <v>208830</v>
      </c>
      <c r="J437" s="43">
        <v>0.02</v>
      </c>
      <c r="K437" s="44">
        <f>Sales[[#This Row],[Gross Amount]]*Sales[[#This Row],[Disc %]]</f>
        <v>4176.6000000000004</v>
      </c>
      <c r="L437" s="43">
        <v>0.18</v>
      </c>
      <c r="M437" s="44">
        <f>(Sales[[#This Row],[Gross Amount]]-Sales[[#This Row],[Disc. Amt.]])*Sales[[#This Row],[GST %]]</f>
        <v>36837.612000000001</v>
      </c>
      <c r="N437" s="161">
        <f>Sales[[#This Row],[Gross Amount]]-Sales[[#This Row],[Disc. Amt.]]+Sales[[#This Row],[GST Amount]]</f>
        <v>241491.01199999999</v>
      </c>
      <c r="O437" s="158" t="s">
        <v>3566</v>
      </c>
      <c r="P437" s="158" t="s">
        <v>3562</v>
      </c>
      <c r="Q437" s="160">
        <f>IF(Sales[[#This Row],[Status]]="Cancelled",0,Sales[[#This Row],[Qty]])</f>
        <v>3</v>
      </c>
      <c r="R437" s="161">
        <f>IF(Sales[[#This Row],[Status]]="Cancelled",0,Sales[[#This Row],[Total Amount]])</f>
        <v>241491.01199999999</v>
      </c>
      <c r="S437" s="162">
        <f>SUM(Sales[Net Amount])</f>
        <v>406839287.73200053</v>
      </c>
    </row>
    <row r="438" spans="1:19" ht="18.75" x14ac:dyDescent="0.25">
      <c r="A438" s="163" t="s">
        <v>4008</v>
      </c>
      <c r="B438" s="164">
        <v>45801</v>
      </c>
      <c r="C438" s="34" t="s">
        <v>809</v>
      </c>
      <c r="D438" s="53" t="str">
        <f>VLOOKUP(Sales[[#This Row],[Customer ID]],Customer[#All],2,0)</f>
        <v>Priya Patel</v>
      </c>
      <c r="E438" s="34" t="s">
        <v>502</v>
      </c>
      <c r="F438" s="34" t="str">
        <f>VLOOKUP(Sales[[#This Row],[Product ID]],Product[#All],2,0)</f>
        <v>HP Printer</v>
      </c>
      <c r="G438" s="53">
        <v>2</v>
      </c>
      <c r="H438" s="165">
        <f>VLOOKUP(Sales[[#This Row],[Product ID]],Product[#All],7,0)</f>
        <v>32100</v>
      </c>
      <c r="I438" s="165">
        <f>Sales[[#This Row],[Selling Rate]]*Sales[[#This Row],[Qty]]</f>
        <v>64200</v>
      </c>
      <c r="J438" s="45">
        <v>0.12</v>
      </c>
      <c r="K438" s="46">
        <f>Sales[[#This Row],[Gross Amount]]*Sales[[#This Row],[Disc %]]</f>
        <v>7704</v>
      </c>
      <c r="L438" s="43">
        <v>0.18</v>
      </c>
      <c r="M438" s="46">
        <f>(Sales[[#This Row],[Gross Amount]]-Sales[[#This Row],[Disc. Amt.]])*Sales[[#This Row],[GST %]]</f>
        <v>10169.279999999999</v>
      </c>
      <c r="N438" s="161">
        <f>Sales[[#This Row],[Gross Amount]]-Sales[[#This Row],[Disc. Amt.]]+Sales[[#This Row],[GST Amount]]</f>
        <v>66665.279999999999</v>
      </c>
      <c r="O438" s="34" t="s">
        <v>3561</v>
      </c>
      <c r="P438" s="34" t="s">
        <v>3562</v>
      </c>
      <c r="Q438" s="165">
        <f>IF(Sales[[#This Row],[Status]]="Cancelled",0,Sales[[#This Row],[Qty]])</f>
        <v>2</v>
      </c>
      <c r="R438" s="166">
        <f>IF(Sales[[#This Row],[Status]]="Cancelled",0,Sales[[#This Row],[Total Amount]])</f>
        <v>66665.279999999999</v>
      </c>
      <c r="S438" s="162">
        <f>SUM(Sales[Net Amount])</f>
        <v>406839287.73200053</v>
      </c>
    </row>
    <row r="439" spans="1:19" ht="18.75" x14ac:dyDescent="0.25">
      <c r="A439" s="156" t="s">
        <v>4009</v>
      </c>
      <c r="B439" s="157">
        <v>45801</v>
      </c>
      <c r="C439" s="158" t="s">
        <v>679</v>
      </c>
      <c r="D439" s="159" t="str">
        <f>VLOOKUP(Sales[[#This Row],[Customer ID]],Customer[#All],2,0)</f>
        <v>Rahul Singh</v>
      </c>
      <c r="E439" s="158" t="s">
        <v>333</v>
      </c>
      <c r="F439" s="158" t="str">
        <f>VLOOKUP(Sales[[#This Row],[Product ID]],Product[#All],2,0)</f>
        <v>Logitech Keyboard</v>
      </c>
      <c r="G439" s="159">
        <v>5</v>
      </c>
      <c r="H439" s="160">
        <f>VLOOKUP(Sales[[#This Row],[Product ID]],Product[#All],7,0)</f>
        <v>3350</v>
      </c>
      <c r="I439" s="160">
        <f>Sales[[#This Row],[Selling Rate]]*Sales[[#This Row],[Qty]]</f>
        <v>16750</v>
      </c>
      <c r="J439" s="43">
        <v>0</v>
      </c>
      <c r="K439" s="44">
        <f>Sales[[#This Row],[Gross Amount]]*Sales[[#This Row],[Disc %]]</f>
        <v>0</v>
      </c>
      <c r="L439" s="43">
        <v>0.18</v>
      </c>
      <c r="M439" s="44">
        <f>(Sales[[#This Row],[Gross Amount]]-Sales[[#This Row],[Disc. Amt.]])*Sales[[#This Row],[GST %]]</f>
        <v>3015</v>
      </c>
      <c r="N439" s="161">
        <f>Sales[[#This Row],[Gross Amount]]-Sales[[#This Row],[Disc. Amt.]]+Sales[[#This Row],[GST Amount]]</f>
        <v>19765</v>
      </c>
      <c r="O439" s="158" t="s">
        <v>3561</v>
      </c>
      <c r="P439" s="158" t="s">
        <v>3562</v>
      </c>
      <c r="Q439" s="160">
        <f>IF(Sales[[#This Row],[Status]]="Cancelled",0,Sales[[#This Row],[Qty]])</f>
        <v>5</v>
      </c>
      <c r="R439" s="161">
        <f>IF(Sales[[#This Row],[Status]]="Cancelled",0,Sales[[#This Row],[Total Amount]])</f>
        <v>19765</v>
      </c>
      <c r="S439" s="162">
        <f>SUM(Sales[Net Amount])</f>
        <v>406839287.73200053</v>
      </c>
    </row>
    <row r="440" spans="1:19" ht="18.75" x14ac:dyDescent="0.25">
      <c r="A440" s="163" t="s">
        <v>4010</v>
      </c>
      <c r="B440" s="164">
        <v>45801</v>
      </c>
      <c r="C440" s="34" t="s">
        <v>839</v>
      </c>
      <c r="D440" s="53" t="str">
        <f>VLOOKUP(Sales[[#This Row],[Customer ID]],Customer[#All],2,0)</f>
        <v>Amit Patel</v>
      </c>
      <c r="E440" s="34" t="s">
        <v>191</v>
      </c>
      <c r="F440" s="34" t="str">
        <f>VLOOKUP(Sales[[#This Row],[Product ID]],Product[#All],2,0)</f>
        <v>Logitech Keyboard</v>
      </c>
      <c r="G440" s="53">
        <v>4</v>
      </c>
      <c r="H440" s="165">
        <f>VLOOKUP(Sales[[#This Row],[Product ID]],Product[#All],7,0)</f>
        <v>2000</v>
      </c>
      <c r="I440" s="165">
        <f>Sales[[#This Row],[Selling Rate]]*Sales[[#This Row],[Qty]]</f>
        <v>8000</v>
      </c>
      <c r="J440" s="45">
        <v>0.05</v>
      </c>
      <c r="K440" s="46">
        <f>Sales[[#This Row],[Gross Amount]]*Sales[[#This Row],[Disc %]]</f>
        <v>400</v>
      </c>
      <c r="L440" s="43">
        <v>0.18</v>
      </c>
      <c r="M440" s="46">
        <f>(Sales[[#This Row],[Gross Amount]]-Sales[[#This Row],[Disc. Amt.]])*Sales[[#This Row],[GST %]]</f>
        <v>1368</v>
      </c>
      <c r="N440" s="161">
        <f>Sales[[#This Row],[Gross Amount]]-Sales[[#This Row],[Disc. Amt.]]+Sales[[#This Row],[GST Amount]]</f>
        <v>8968</v>
      </c>
      <c r="O440" s="34" t="s">
        <v>3566</v>
      </c>
      <c r="P440" s="34" t="s">
        <v>3562</v>
      </c>
      <c r="Q440" s="165">
        <f>IF(Sales[[#This Row],[Status]]="Cancelled",0,Sales[[#This Row],[Qty]])</f>
        <v>4</v>
      </c>
      <c r="R440" s="166">
        <f>IF(Sales[[#This Row],[Status]]="Cancelled",0,Sales[[#This Row],[Total Amount]])</f>
        <v>8968</v>
      </c>
      <c r="S440" s="162">
        <f>SUM(Sales[Net Amount])</f>
        <v>406839287.73200053</v>
      </c>
    </row>
    <row r="441" spans="1:19" ht="18.75" x14ac:dyDescent="0.25">
      <c r="A441" s="156" t="s">
        <v>4011</v>
      </c>
      <c r="B441" s="157">
        <v>45801</v>
      </c>
      <c r="C441" s="158" t="s">
        <v>737</v>
      </c>
      <c r="D441" s="159" t="str">
        <f>VLOOKUP(Sales[[#This Row],[Customer ID]],Customer[#All],2,0)</f>
        <v>Pooja Verma</v>
      </c>
      <c r="E441" s="158" t="s">
        <v>534</v>
      </c>
      <c r="F441" s="158" t="str">
        <f>VLOOKUP(Sales[[#This Row],[Product ID]],Product[#All],2,0)</f>
        <v>Dell Laptop</v>
      </c>
      <c r="G441" s="159">
        <v>5</v>
      </c>
      <c r="H441" s="160">
        <f>VLOOKUP(Sales[[#This Row],[Product ID]],Product[#All],7,0)</f>
        <v>35560</v>
      </c>
      <c r="I441" s="160">
        <f>Sales[[#This Row],[Selling Rate]]*Sales[[#This Row],[Qty]]</f>
        <v>177800</v>
      </c>
      <c r="J441" s="43">
        <v>0</v>
      </c>
      <c r="K441" s="44">
        <f>Sales[[#This Row],[Gross Amount]]*Sales[[#This Row],[Disc %]]</f>
        <v>0</v>
      </c>
      <c r="L441" s="43">
        <v>0.18</v>
      </c>
      <c r="M441" s="44">
        <f>(Sales[[#This Row],[Gross Amount]]-Sales[[#This Row],[Disc. Amt.]])*Sales[[#This Row],[GST %]]</f>
        <v>32004</v>
      </c>
      <c r="N441" s="161">
        <f>Sales[[#This Row],[Gross Amount]]-Sales[[#This Row],[Disc. Amt.]]+Sales[[#This Row],[GST Amount]]</f>
        <v>209804</v>
      </c>
      <c r="O441" s="158" t="s">
        <v>3561</v>
      </c>
      <c r="P441" s="158" t="s">
        <v>3562</v>
      </c>
      <c r="Q441" s="160">
        <f>IF(Sales[[#This Row],[Status]]="Cancelled",0,Sales[[#This Row],[Qty]])</f>
        <v>5</v>
      </c>
      <c r="R441" s="161">
        <f>IF(Sales[[#This Row],[Status]]="Cancelled",0,Sales[[#This Row],[Total Amount]])</f>
        <v>209804</v>
      </c>
      <c r="S441" s="162">
        <f>SUM(Sales[Net Amount])</f>
        <v>406839287.73200053</v>
      </c>
    </row>
    <row r="442" spans="1:19" ht="18.75" x14ac:dyDescent="0.25">
      <c r="A442" s="163" t="s">
        <v>4012</v>
      </c>
      <c r="B442" s="164">
        <v>45801</v>
      </c>
      <c r="C442" s="34" t="s">
        <v>952</v>
      </c>
      <c r="D442" s="53" t="str">
        <f>VLOOKUP(Sales[[#This Row],[Customer ID]],Customer[#All],2,0)</f>
        <v>Pooja Singh</v>
      </c>
      <c r="E442" s="34" t="s">
        <v>102</v>
      </c>
      <c r="F442" s="34" t="str">
        <f>VLOOKUP(Sales[[#This Row],[Product ID]],Product[#All],2,0)</f>
        <v>Canon Printer</v>
      </c>
      <c r="G442" s="53">
        <v>6</v>
      </c>
      <c r="H442" s="165">
        <f>VLOOKUP(Sales[[#This Row],[Product ID]],Product[#All],7,0)</f>
        <v>13010</v>
      </c>
      <c r="I442" s="165">
        <f>Sales[[#This Row],[Selling Rate]]*Sales[[#This Row],[Qty]]</f>
        <v>78060</v>
      </c>
      <c r="J442" s="45">
        <v>0.02</v>
      </c>
      <c r="K442" s="46">
        <f>Sales[[#This Row],[Gross Amount]]*Sales[[#This Row],[Disc %]]</f>
        <v>1561.2</v>
      </c>
      <c r="L442" s="43">
        <v>0.18</v>
      </c>
      <c r="M442" s="46">
        <f>(Sales[[#This Row],[Gross Amount]]-Sales[[#This Row],[Disc. Amt.]])*Sales[[#This Row],[GST %]]</f>
        <v>13769.784</v>
      </c>
      <c r="N442" s="161">
        <f>Sales[[#This Row],[Gross Amount]]-Sales[[#This Row],[Disc. Amt.]]+Sales[[#This Row],[GST Amount]]</f>
        <v>90268.584000000003</v>
      </c>
      <c r="O442" s="34" t="s">
        <v>3569</v>
      </c>
      <c r="P442" s="34" t="s">
        <v>3562</v>
      </c>
      <c r="Q442" s="165">
        <f>IF(Sales[[#This Row],[Status]]="Cancelled",0,Sales[[#This Row],[Qty]])</f>
        <v>6</v>
      </c>
      <c r="R442" s="166">
        <f>IF(Sales[[#This Row],[Status]]="Cancelled",0,Sales[[#This Row],[Total Amount]])</f>
        <v>90268.584000000003</v>
      </c>
      <c r="S442" s="162">
        <f>SUM(Sales[Net Amount])</f>
        <v>406839287.73200053</v>
      </c>
    </row>
    <row r="443" spans="1:19" ht="18.75" x14ac:dyDescent="0.25">
      <c r="A443" s="156" t="s">
        <v>4013</v>
      </c>
      <c r="B443" s="157">
        <v>45801</v>
      </c>
      <c r="C443" s="158" t="s">
        <v>795</v>
      </c>
      <c r="D443" s="159" t="str">
        <f>VLOOKUP(Sales[[#This Row],[Customer ID]],Customer[#All],2,0)</f>
        <v>Sahil Gupta</v>
      </c>
      <c r="E443" s="158" t="s">
        <v>305</v>
      </c>
      <c r="F443" s="158" t="str">
        <f>VLOOKUP(Sales[[#This Row],[Product ID]],Product[#All],2,0)</f>
        <v>HP Power Adapter</v>
      </c>
      <c r="G443" s="159">
        <v>5</v>
      </c>
      <c r="H443" s="160">
        <f>VLOOKUP(Sales[[#This Row],[Product ID]],Product[#All],7,0)</f>
        <v>2640</v>
      </c>
      <c r="I443" s="160">
        <f>Sales[[#This Row],[Selling Rate]]*Sales[[#This Row],[Qty]]</f>
        <v>13200</v>
      </c>
      <c r="J443" s="43">
        <v>0</v>
      </c>
      <c r="K443" s="44">
        <f>Sales[[#This Row],[Gross Amount]]*Sales[[#This Row],[Disc %]]</f>
        <v>0</v>
      </c>
      <c r="L443" s="43">
        <v>0.18</v>
      </c>
      <c r="M443" s="44">
        <f>(Sales[[#This Row],[Gross Amount]]-Sales[[#This Row],[Disc. Amt.]])*Sales[[#This Row],[GST %]]</f>
        <v>2376</v>
      </c>
      <c r="N443" s="161">
        <f>Sales[[#This Row],[Gross Amount]]-Sales[[#This Row],[Disc. Amt.]]+Sales[[#This Row],[GST Amount]]</f>
        <v>15576</v>
      </c>
      <c r="O443" s="158" t="s">
        <v>3569</v>
      </c>
      <c r="P443" s="158" t="s">
        <v>3562</v>
      </c>
      <c r="Q443" s="160">
        <f>IF(Sales[[#This Row],[Status]]="Cancelled",0,Sales[[#This Row],[Qty]])</f>
        <v>5</v>
      </c>
      <c r="R443" s="161">
        <f>IF(Sales[[#This Row],[Status]]="Cancelled",0,Sales[[#This Row],[Total Amount]])</f>
        <v>15576</v>
      </c>
      <c r="S443" s="162">
        <f>SUM(Sales[Net Amount])</f>
        <v>406839287.73200053</v>
      </c>
    </row>
    <row r="444" spans="1:19" ht="18.75" x14ac:dyDescent="0.25">
      <c r="A444" s="163" t="s">
        <v>4014</v>
      </c>
      <c r="B444" s="164">
        <v>45801</v>
      </c>
      <c r="C444" s="34" t="s">
        <v>843</v>
      </c>
      <c r="D444" s="53" t="str">
        <f>VLOOKUP(Sales[[#This Row],[Customer ID]],Customer[#All],2,0)</f>
        <v>Amit Verma</v>
      </c>
      <c r="E444" s="34" t="s">
        <v>457</v>
      </c>
      <c r="F444" s="34" t="str">
        <f>VLOOKUP(Sales[[#This Row],[Product ID]],Product[#All],2,0)</f>
        <v>Dell Monitor</v>
      </c>
      <c r="G444" s="53">
        <v>5</v>
      </c>
      <c r="H444" s="165">
        <f>VLOOKUP(Sales[[#This Row],[Product ID]],Product[#All],7,0)</f>
        <v>25230</v>
      </c>
      <c r="I444" s="165">
        <f>Sales[[#This Row],[Selling Rate]]*Sales[[#This Row],[Qty]]</f>
        <v>126150</v>
      </c>
      <c r="J444" s="45">
        <v>0.1</v>
      </c>
      <c r="K444" s="46">
        <f>Sales[[#This Row],[Gross Amount]]*Sales[[#This Row],[Disc %]]</f>
        <v>12615</v>
      </c>
      <c r="L444" s="43">
        <v>0.18</v>
      </c>
      <c r="M444" s="46">
        <f>(Sales[[#This Row],[Gross Amount]]-Sales[[#This Row],[Disc. Amt.]])*Sales[[#This Row],[GST %]]</f>
        <v>20436.3</v>
      </c>
      <c r="N444" s="161">
        <f>Sales[[#This Row],[Gross Amount]]-Sales[[#This Row],[Disc. Amt.]]+Sales[[#This Row],[GST Amount]]</f>
        <v>133971.29999999999</v>
      </c>
      <c r="O444" s="34" t="s">
        <v>3569</v>
      </c>
      <c r="P444" s="34" t="s">
        <v>3562</v>
      </c>
      <c r="Q444" s="165">
        <f>IF(Sales[[#This Row],[Status]]="Cancelled",0,Sales[[#This Row],[Qty]])</f>
        <v>5</v>
      </c>
      <c r="R444" s="166">
        <f>IF(Sales[[#This Row],[Status]]="Cancelled",0,Sales[[#This Row],[Total Amount]])</f>
        <v>133971.29999999999</v>
      </c>
      <c r="S444" s="162">
        <f>SUM(Sales[Net Amount])</f>
        <v>406839287.73200053</v>
      </c>
    </row>
    <row r="445" spans="1:19" ht="18.75" x14ac:dyDescent="0.25">
      <c r="A445" s="156" t="s">
        <v>4015</v>
      </c>
      <c r="B445" s="157">
        <v>45801</v>
      </c>
      <c r="C445" s="158" t="s">
        <v>710</v>
      </c>
      <c r="D445" s="159" t="str">
        <f>VLOOKUP(Sales[[#This Row],[Customer ID]],Customer[#All],2,0)</f>
        <v>Sunita Patel</v>
      </c>
      <c r="E445" s="158" t="s">
        <v>411</v>
      </c>
      <c r="F445" s="158" t="str">
        <f>VLOOKUP(Sales[[#This Row],[Product ID]],Product[#All],2,0)</f>
        <v>Logitech Webcam</v>
      </c>
      <c r="G445" s="159">
        <v>5</v>
      </c>
      <c r="H445" s="160">
        <f>VLOOKUP(Sales[[#This Row],[Product ID]],Product[#All],7,0)</f>
        <v>2350</v>
      </c>
      <c r="I445" s="160">
        <f>Sales[[#This Row],[Selling Rate]]*Sales[[#This Row],[Qty]]</f>
        <v>11750</v>
      </c>
      <c r="J445" s="43">
        <v>0.05</v>
      </c>
      <c r="K445" s="44">
        <f>Sales[[#This Row],[Gross Amount]]*Sales[[#This Row],[Disc %]]</f>
        <v>587.5</v>
      </c>
      <c r="L445" s="43">
        <v>0.18</v>
      </c>
      <c r="M445" s="44">
        <f>(Sales[[#This Row],[Gross Amount]]-Sales[[#This Row],[Disc. Amt.]])*Sales[[#This Row],[GST %]]</f>
        <v>2009.25</v>
      </c>
      <c r="N445" s="161">
        <f>Sales[[#This Row],[Gross Amount]]-Sales[[#This Row],[Disc. Amt.]]+Sales[[#This Row],[GST Amount]]</f>
        <v>13171.75</v>
      </c>
      <c r="O445" s="158" t="s">
        <v>3566</v>
      </c>
      <c r="P445" s="158" t="s">
        <v>3562</v>
      </c>
      <c r="Q445" s="160">
        <f>IF(Sales[[#This Row],[Status]]="Cancelled",0,Sales[[#This Row],[Qty]])</f>
        <v>5</v>
      </c>
      <c r="R445" s="161">
        <f>IF(Sales[[#This Row],[Status]]="Cancelled",0,Sales[[#This Row],[Total Amount]])</f>
        <v>13171.75</v>
      </c>
      <c r="S445" s="162">
        <f>SUM(Sales[Net Amount])</f>
        <v>406839287.73200053</v>
      </c>
    </row>
    <row r="446" spans="1:19" ht="18.75" x14ac:dyDescent="0.25">
      <c r="A446" s="163" t="s">
        <v>4016</v>
      </c>
      <c r="B446" s="164">
        <v>45801</v>
      </c>
      <c r="C446" s="34" t="s">
        <v>764</v>
      </c>
      <c r="D446" s="53" t="str">
        <f>VLOOKUP(Sales[[#This Row],[Customer ID]],Customer[#All],2,0)</f>
        <v>Priya Gupta</v>
      </c>
      <c r="E446" s="34" t="s">
        <v>117</v>
      </c>
      <c r="F446" s="34" t="str">
        <f>VLOOKUP(Sales[[#This Row],[Product ID]],Product[#All],2,0)</f>
        <v>Logitech Mouse</v>
      </c>
      <c r="G446" s="53">
        <v>7</v>
      </c>
      <c r="H446" s="165">
        <f>VLOOKUP(Sales[[#This Row],[Product ID]],Product[#All],7,0)</f>
        <v>2960</v>
      </c>
      <c r="I446" s="165">
        <f>Sales[[#This Row],[Selling Rate]]*Sales[[#This Row],[Qty]]</f>
        <v>20720</v>
      </c>
      <c r="J446" s="45">
        <v>0.12</v>
      </c>
      <c r="K446" s="46">
        <f>Sales[[#This Row],[Gross Amount]]*Sales[[#This Row],[Disc %]]</f>
        <v>2486.4</v>
      </c>
      <c r="L446" s="43">
        <v>0.18</v>
      </c>
      <c r="M446" s="46">
        <f>(Sales[[#This Row],[Gross Amount]]-Sales[[#This Row],[Disc. Amt.]])*Sales[[#This Row],[GST %]]</f>
        <v>3282.0479999999998</v>
      </c>
      <c r="N446" s="161">
        <f>Sales[[#This Row],[Gross Amount]]-Sales[[#This Row],[Disc. Amt.]]+Sales[[#This Row],[GST Amount]]</f>
        <v>21515.647999999997</v>
      </c>
      <c r="O446" s="34" t="s">
        <v>3566</v>
      </c>
      <c r="P446" s="34" t="s">
        <v>3562</v>
      </c>
      <c r="Q446" s="165">
        <f>IF(Sales[[#This Row],[Status]]="Cancelled",0,Sales[[#This Row],[Qty]])</f>
        <v>7</v>
      </c>
      <c r="R446" s="166">
        <f>IF(Sales[[#This Row],[Status]]="Cancelled",0,Sales[[#This Row],[Total Amount]])</f>
        <v>21515.647999999997</v>
      </c>
      <c r="S446" s="162">
        <f>SUM(Sales[Net Amount])</f>
        <v>406839287.73200053</v>
      </c>
    </row>
    <row r="447" spans="1:19" ht="18.75" x14ac:dyDescent="0.25">
      <c r="A447" s="156" t="s">
        <v>4017</v>
      </c>
      <c r="B447" s="157">
        <v>45801</v>
      </c>
      <c r="C447" s="158" t="s">
        <v>664</v>
      </c>
      <c r="D447" s="159" t="str">
        <f>VLOOKUP(Sales[[#This Row],[Customer ID]],Customer[#All],2,0)</f>
        <v>Sahil Singh</v>
      </c>
      <c r="E447" s="158" t="s">
        <v>165</v>
      </c>
      <c r="F447" s="158" t="str">
        <f>VLOOKUP(Sales[[#This Row],[Product ID]],Product[#All],2,0)</f>
        <v>Kingston Ram</v>
      </c>
      <c r="G447" s="159">
        <v>6</v>
      </c>
      <c r="H447" s="160">
        <f>VLOOKUP(Sales[[#This Row],[Product ID]],Product[#All],7,0)</f>
        <v>8020</v>
      </c>
      <c r="I447" s="160">
        <f>Sales[[#This Row],[Selling Rate]]*Sales[[#This Row],[Qty]]</f>
        <v>48120</v>
      </c>
      <c r="J447" s="43">
        <v>0</v>
      </c>
      <c r="K447" s="44">
        <f>Sales[[#This Row],[Gross Amount]]*Sales[[#This Row],[Disc %]]</f>
        <v>0</v>
      </c>
      <c r="L447" s="43">
        <v>0.18</v>
      </c>
      <c r="M447" s="44">
        <f>(Sales[[#This Row],[Gross Amount]]-Sales[[#This Row],[Disc. Amt.]])*Sales[[#This Row],[GST %]]</f>
        <v>8661.6</v>
      </c>
      <c r="N447" s="161">
        <f>Sales[[#This Row],[Gross Amount]]-Sales[[#This Row],[Disc. Amt.]]+Sales[[#This Row],[GST Amount]]</f>
        <v>56781.599999999999</v>
      </c>
      <c r="O447" s="158" t="s">
        <v>8876</v>
      </c>
      <c r="P447" s="158" t="s">
        <v>3562</v>
      </c>
      <c r="Q447" s="160">
        <f>IF(Sales[[#This Row],[Status]]="Cancelled",0,Sales[[#This Row],[Qty]])</f>
        <v>6</v>
      </c>
      <c r="R447" s="161">
        <f>IF(Sales[[#This Row],[Status]]="Cancelled",0,Sales[[#This Row],[Total Amount]])</f>
        <v>56781.599999999999</v>
      </c>
      <c r="S447" s="162">
        <f>SUM(Sales[Net Amount])</f>
        <v>406839287.73200053</v>
      </c>
    </row>
    <row r="448" spans="1:19" ht="18.75" x14ac:dyDescent="0.25">
      <c r="A448" s="163" t="s">
        <v>4018</v>
      </c>
      <c r="B448" s="164">
        <v>45801</v>
      </c>
      <c r="C448" s="34" t="s">
        <v>927</v>
      </c>
      <c r="D448" s="53" t="str">
        <f>VLOOKUP(Sales[[#This Row],[Customer ID]],Customer[#All],2,0)</f>
        <v>Sunita Patel</v>
      </c>
      <c r="E448" s="34" t="s">
        <v>190</v>
      </c>
      <c r="F448" s="34" t="str">
        <f>VLOOKUP(Sales[[#This Row],[Product ID]],Product[#All],2,0)</f>
        <v>Samsung Monitor</v>
      </c>
      <c r="G448" s="53">
        <v>3</v>
      </c>
      <c r="H448" s="165">
        <f>VLOOKUP(Sales[[#This Row],[Product ID]],Product[#All],7,0)</f>
        <v>18190</v>
      </c>
      <c r="I448" s="165">
        <f>Sales[[#This Row],[Selling Rate]]*Sales[[#This Row],[Qty]]</f>
        <v>54570</v>
      </c>
      <c r="J448" s="45">
        <v>0.02</v>
      </c>
      <c r="K448" s="46">
        <f>Sales[[#This Row],[Gross Amount]]*Sales[[#This Row],[Disc %]]</f>
        <v>1091.4000000000001</v>
      </c>
      <c r="L448" s="43">
        <v>0.18</v>
      </c>
      <c r="M448" s="46">
        <f>(Sales[[#This Row],[Gross Amount]]-Sales[[#This Row],[Disc. Amt.]])*Sales[[#This Row],[GST %]]</f>
        <v>9626.1479999999992</v>
      </c>
      <c r="N448" s="161">
        <f>Sales[[#This Row],[Gross Amount]]-Sales[[#This Row],[Disc. Amt.]]+Sales[[#This Row],[GST Amount]]</f>
        <v>63104.748</v>
      </c>
      <c r="O448" s="34" t="s">
        <v>3566</v>
      </c>
      <c r="P448" s="34" t="s">
        <v>3562</v>
      </c>
      <c r="Q448" s="165">
        <f>IF(Sales[[#This Row],[Status]]="Cancelled",0,Sales[[#This Row],[Qty]])</f>
        <v>3</v>
      </c>
      <c r="R448" s="166">
        <f>IF(Sales[[#This Row],[Status]]="Cancelled",0,Sales[[#This Row],[Total Amount]])</f>
        <v>63104.748</v>
      </c>
      <c r="S448" s="162">
        <f>SUM(Sales[Net Amount])</f>
        <v>406839287.73200053</v>
      </c>
    </row>
    <row r="449" spans="1:19" ht="18.75" x14ac:dyDescent="0.25">
      <c r="A449" s="156" t="s">
        <v>4019</v>
      </c>
      <c r="B449" s="157">
        <v>45801</v>
      </c>
      <c r="C449" s="158" t="s">
        <v>719</v>
      </c>
      <c r="D449" s="159" t="str">
        <f>VLOOKUP(Sales[[#This Row],[Customer ID]],Customer[#All],2,0)</f>
        <v>Priya Verma</v>
      </c>
      <c r="E449" s="158" t="s">
        <v>512</v>
      </c>
      <c r="F449" s="158" t="str">
        <f>VLOOKUP(Sales[[#This Row],[Product ID]],Product[#All],2,0)</f>
        <v>Logitech Webcam</v>
      </c>
      <c r="G449" s="159">
        <v>4</v>
      </c>
      <c r="H449" s="160">
        <f>VLOOKUP(Sales[[#This Row],[Product ID]],Product[#All],7,0)</f>
        <v>5800</v>
      </c>
      <c r="I449" s="160">
        <f>Sales[[#This Row],[Selling Rate]]*Sales[[#This Row],[Qty]]</f>
        <v>23200</v>
      </c>
      <c r="J449" s="43">
        <v>0.12</v>
      </c>
      <c r="K449" s="44">
        <f>Sales[[#This Row],[Gross Amount]]*Sales[[#This Row],[Disc %]]</f>
        <v>2784</v>
      </c>
      <c r="L449" s="43">
        <v>0.18</v>
      </c>
      <c r="M449" s="44">
        <f>(Sales[[#This Row],[Gross Amount]]-Sales[[#This Row],[Disc. Amt.]])*Sales[[#This Row],[GST %]]</f>
        <v>3674.8799999999997</v>
      </c>
      <c r="N449" s="161">
        <f>Sales[[#This Row],[Gross Amount]]-Sales[[#This Row],[Disc. Amt.]]+Sales[[#This Row],[GST Amount]]</f>
        <v>24090.880000000001</v>
      </c>
      <c r="O449" s="158" t="s">
        <v>8876</v>
      </c>
      <c r="P449" s="158" t="s">
        <v>3562</v>
      </c>
      <c r="Q449" s="160">
        <f>IF(Sales[[#This Row],[Status]]="Cancelled",0,Sales[[#This Row],[Qty]])</f>
        <v>4</v>
      </c>
      <c r="R449" s="161">
        <f>IF(Sales[[#This Row],[Status]]="Cancelled",0,Sales[[#This Row],[Total Amount]])</f>
        <v>24090.880000000001</v>
      </c>
      <c r="S449" s="162">
        <f>SUM(Sales[Net Amount])</f>
        <v>406839287.73200053</v>
      </c>
    </row>
    <row r="450" spans="1:19" ht="18.75" x14ac:dyDescent="0.25">
      <c r="A450" s="163" t="s">
        <v>4020</v>
      </c>
      <c r="B450" s="164">
        <v>45801</v>
      </c>
      <c r="C450" s="34" t="s">
        <v>7489</v>
      </c>
      <c r="D450" s="53" t="str">
        <f>VLOOKUP(Sales[[#This Row],[Customer ID]],Customer[#All],2,0)</f>
        <v>Rahul Gupta</v>
      </c>
      <c r="E450" s="34" t="s">
        <v>209</v>
      </c>
      <c r="F450" s="34" t="str">
        <f>VLOOKUP(Sales[[#This Row],[Product ID]],Product[#All],2,0)</f>
        <v>HP Laptop</v>
      </c>
      <c r="G450" s="53">
        <v>3</v>
      </c>
      <c r="H450" s="165">
        <f>VLOOKUP(Sales[[#This Row],[Product ID]],Product[#All],7,0)</f>
        <v>60780</v>
      </c>
      <c r="I450" s="165">
        <f>Sales[[#This Row],[Selling Rate]]*Sales[[#This Row],[Qty]]</f>
        <v>182340</v>
      </c>
      <c r="J450" s="45">
        <v>0.12</v>
      </c>
      <c r="K450" s="46">
        <f>Sales[[#This Row],[Gross Amount]]*Sales[[#This Row],[Disc %]]</f>
        <v>21880.799999999999</v>
      </c>
      <c r="L450" s="43">
        <v>0.18</v>
      </c>
      <c r="M450" s="46">
        <f>(Sales[[#This Row],[Gross Amount]]-Sales[[#This Row],[Disc. Amt.]])*Sales[[#This Row],[GST %]]</f>
        <v>28882.656000000003</v>
      </c>
      <c r="N450" s="161">
        <f>Sales[[#This Row],[Gross Amount]]-Sales[[#This Row],[Disc. Amt.]]+Sales[[#This Row],[GST Amount]]</f>
        <v>189341.85600000003</v>
      </c>
      <c r="O450" s="34" t="s">
        <v>3561</v>
      </c>
      <c r="P450" s="34" t="s">
        <v>3562</v>
      </c>
      <c r="Q450" s="165">
        <f>IF(Sales[[#This Row],[Status]]="Cancelled",0,Sales[[#This Row],[Qty]])</f>
        <v>3</v>
      </c>
      <c r="R450" s="166">
        <f>IF(Sales[[#This Row],[Status]]="Cancelled",0,Sales[[#This Row],[Total Amount]])</f>
        <v>189341.85600000003</v>
      </c>
      <c r="S450" s="162">
        <f>SUM(Sales[Net Amount])</f>
        <v>406839287.73200053</v>
      </c>
    </row>
    <row r="451" spans="1:19" ht="18.75" x14ac:dyDescent="0.25">
      <c r="A451" s="156" t="s">
        <v>4021</v>
      </c>
      <c r="B451" s="157">
        <v>45801</v>
      </c>
      <c r="C451" s="158" t="s">
        <v>797</v>
      </c>
      <c r="D451" s="159" t="str">
        <f>VLOOKUP(Sales[[#This Row],[Customer ID]],Customer[#All],2,0)</f>
        <v>Ankit Gupta</v>
      </c>
      <c r="E451" s="158" t="s">
        <v>182</v>
      </c>
      <c r="F451" s="158" t="str">
        <f>VLOOKUP(Sales[[#This Row],[Product ID]],Product[#All],2,0)</f>
        <v>Kingston Ram</v>
      </c>
      <c r="G451" s="159">
        <v>5</v>
      </c>
      <c r="H451" s="160">
        <f>VLOOKUP(Sales[[#This Row],[Product ID]],Product[#All],7,0)</f>
        <v>10690</v>
      </c>
      <c r="I451" s="160">
        <f>Sales[[#This Row],[Selling Rate]]*Sales[[#This Row],[Qty]]</f>
        <v>53450</v>
      </c>
      <c r="J451" s="43">
        <v>0</v>
      </c>
      <c r="K451" s="44">
        <f>Sales[[#This Row],[Gross Amount]]*Sales[[#This Row],[Disc %]]</f>
        <v>0</v>
      </c>
      <c r="L451" s="43">
        <v>0.18</v>
      </c>
      <c r="M451" s="44">
        <f>(Sales[[#This Row],[Gross Amount]]-Sales[[#This Row],[Disc. Amt.]])*Sales[[#This Row],[GST %]]</f>
        <v>9621</v>
      </c>
      <c r="N451" s="161">
        <f>Sales[[#This Row],[Gross Amount]]-Sales[[#This Row],[Disc. Amt.]]+Sales[[#This Row],[GST Amount]]</f>
        <v>63071</v>
      </c>
      <c r="O451" s="158" t="s">
        <v>3561</v>
      </c>
      <c r="P451" s="158" t="s">
        <v>3562</v>
      </c>
      <c r="Q451" s="160">
        <f>IF(Sales[[#This Row],[Status]]="Cancelled",0,Sales[[#This Row],[Qty]])</f>
        <v>5</v>
      </c>
      <c r="R451" s="161">
        <f>IF(Sales[[#This Row],[Status]]="Cancelled",0,Sales[[#This Row],[Total Amount]])</f>
        <v>63071</v>
      </c>
      <c r="S451" s="162">
        <f>SUM(Sales[Net Amount])</f>
        <v>406839287.73200053</v>
      </c>
    </row>
    <row r="452" spans="1:19" ht="18.75" x14ac:dyDescent="0.25">
      <c r="A452" s="163" t="s">
        <v>4022</v>
      </c>
      <c r="B452" s="164">
        <v>45801</v>
      </c>
      <c r="C452" s="34" t="s">
        <v>905</v>
      </c>
      <c r="D452" s="53" t="str">
        <f>VLOOKUP(Sales[[#This Row],[Customer ID]],Customer[#All],2,0)</f>
        <v>Rakesh Gupta</v>
      </c>
      <c r="E452" s="34" t="s">
        <v>502</v>
      </c>
      <c r="F452" s="34" t="str">
        <f>VLOOKUP(Sales[[#This Row],[Product ID]],Product[#All],2,0)</f>
        <v>HP Printer</v>
      </c>
      <c r="G452" s="53">
        <v>7</v>
      </c>
      <c r="H452" s="165">
        <f>VLOOKUP(Sales[[#This Row],[Product ID]],Product[#All],7,0)</f>
        <v>32100</v>
      </c>
      <c r="I452" s="165">
        <f>Sales[[#This Row],[Selling Rate]]*Sales[[#This Row],[Qty]]</f>
        <v>224700</v>
      </c>
      <c r="J452" s="45">
        <v>0.12</v>
      </c>
      <c r="K452" s="46">
        <f>Sales[[#This Row],[Gross Amount]]*Sales[[#This Row],[Disc %]]</f>
        <v>26964</v>
      </c>
      <c r="L452" s="43">
        <v>0.18</v>
      </c>
      <c r="M452" s="46">
        <f>(Sales[[#This Row],[Gross Amount]]-Sales[[#This Row],[Disc. Amt.]])*Sales[[#This Row],[GST %]]</f>
        <v>35592.479999999996</v>
      </c>
      <c r="N452" s="161">
        <f>Sales[[#This Row],[Gross Amount]]-Sales[[#This Row],[Disc. Amt.]]+Sales[[#This Row],[GST Amount]]</f>
        <v>233328.47999999998</v>
      </c>
      <c r="O452" s="34" t="s">
        <v>3566</v>
      </c>
      <c r="P452" s="34" t="s">
        <v>1040</v>
      </c>
      <c r="Q452" s="165">
        <f>IF(Sales[[#This Row],[Status]]="Cancelled",0,Sales[[#This Row],[Qty]])</f>
        <v>0</v>
      </c>
      <c r="R452" s="166">
        <f>IF(Sales[[#This Row],[Status]]="Cancelled",0,Sales[[#This Row],[Total Amount]])</f>
        <v>0</v>
      </c>
      <c r="S452" s="162">
        <f>SUM(Sales[Net Amount])</f>
        <v>406839287.73200053</v>
      </c>
    </row>
    <row r="453" spans="1:19" ht="18.75" x14ac:dyDescent="0.25">
      <c r="A453" s="156" t="s">
        <v>4023</v>
      </c>
      <c r="B453" s="157">
        <v>45801</v>
      </c>
      <c r="C453" s="158" t="s">
        <v>723</v>
      </c>
      <c r="D453" s="159" t="str">
        <f>VLOOKUP(Sales[[#This Row],[Customer ID]],Customer[#All],2,0)</f>
        <v>Sahil Gupta</v>
      </c>
      <c r="E453" s="158" t="s">
        <v>486</v>
      </c>
      <c r="F453" s="158" t="str">
        <f>VLOOKUP(Sales[[#This Row],[Product ID]],Product[#All],2,0)</f>
        <v>Logitech Mouse</v>
      </c>
      <c r="G453" s="159">
        <v>6</v>
      </c>
      <c r="H453" s="160">
        <f>VLOOKUP(Sales[[#This Row],[Product ID]],Product[#All],7,0)</f>
        <v>1650</v>
      </c>
      <c r="I453" s="160">
        <f>Sales[[#This Row],[Selling Rate]]*Sales[[#This Row],[Qty]]</f>
        <v>9900</v>
      </c>
      <c r="J453" s="43">
        <v>0.02</v>
      </c>
      <c r="K453" s="44">
        <f>Sales[[#This Row],[Gross Amount]]*Sales[[#This Row],[Disc %]]</f>
        <v>198</v>
      </c>
      <c r="L453" s="43">
        <v>0.18</v>
      </c>
      <c r="M453" s="44">
        <f>(Sales[[#This Row],[Gross Amount]]-Sales[[#This Row],[Disc. Amt.]])*Sales[[#This Row],[GST %]]</f>
        <v>1746.36</v>
      </c>
      <c r="N453" s="161">
        <f>Sales[[#This Row],[Gross Amount]]-Sales[[#This Row],[Disc. Amt.]]+Sales[[#This Row],[GST Amount]]</f>
        <v>11448.36</v>
      </c>
      <c r="O453" s="158" t="s">
        <v>3569</v>
      </c>
      <c r="P453" s="158" t="s">
        <v>3562</v>
      </c>
      <c r="Q453" s="160">
        <f>IF(Sales[[#This Row],[Status]]="Cancelled",0,Sales[[#This Row],[Qty]])</f>
        <v>6</v>
      </c>
      <c r="R453" s="161">
        <f>IF(Sales[[#This Row],[Status]]="Cancelled",0,Sales[[#This Row],[Total Amount]])</f>
        <v>11448.36</v>
      </c>
      <c r="S453" s="162">
        <f>SUM(Sales[Net Amount])</f>
        <v>406839287.73200053</v>
      </c>
    </row>
    <row r="454" spans="1:19" ht="18.75" x14ac:dyDescent="0.25">
      <c r="A454" s="163" t="s">
        <v>4024</v>
      </c>
      <c r="B454" s="164">
        <v>45801</v>
      </c>
      <c r="C454" s="34" t="s">
        <v>952</v>
      </c>
      <c r="D454" s="53" t="str">
        <f>VLOOKUP(Sales[[#This Row],[Customer ID]],Customer[#All],2,0)</f>
        <v>Pooja Singh</v>
      </c>
      <c r="E454" s="34" t="s">
        <v>371</v>
      </c>
      <c r="F454" s="34" t="str">
        <f>VLOOKUP(Sales[[#This Row],[Product ID]],Product[#All],2,0)</f>
        <v>Portronics USB Cable</v>
      </c>
      <c r="G454" s="53">
        <v>3</v>
      </c>
      <c r="H454" s="165">
        <f>VLOOKUP(Sales[[#This Row],[Product ID]],Product[#All],7,0)</f>
        <v>440</v>
      </c>
      <c r="I454" s="165">
        <f>Sales[[#This Row],[Selling Rate]]*Sales[[#This Row],[Qty]]</f>
        <v>1320</v>
      </c>
      <c r="J454" s="45">
        <v>0.12</v>
      </c>
      <c r="K454" s="46">
        <f>Sales[[#This Row],[Gross Amount]]*Sales[[#This Row],[Disc %]]</f>
        <v>158.4</v>
      </c>
      <c r="L454" s="43">
        <v>0.18</v>
      </c>
      <c r="M454" s="46">
        <f>(Sales[[#This Row],[Gross Amount]]-Sales[[#This Row],[Disc. Amt.]])*Sales[[#This Row],[GST %]]</f>
        <v>209.08799999999997</v>
      </c>
      <c r="N454" s="161">
        <f>Sales[[#This Row],[Gross Amount]]-Sales[[#This Row],[Disc. Amt.]]+Sales[[#This Row],[GST Amount]]</f>
        <v>1370.6879999999999</v>
      </c>
      <c r="O454" s="34" t="s">
        <v>3569</v>
      </c>
      <c r="P454" s="34" t="s">
        <v>3562</v>
      </c>
      <c r="Q454" s="165">
        <f>IF(Sales[[#This Row],[Status]]="Cancelled",0,Sales[[#This Row],[Qty]])</f>
        <v>3</v>
      </c>
      <c r="R454" s="166">
        <f>IF(Sales[[#This Row],[Status]]="Cancelled",0,Sales[[#This Row],[Total Amount]])</f>
        <v>1370.6879999999999</v>
      </c>
      <c r="S454" s="162">
        <f>SUM(Sales[Net Amount])</f>
        <v>406839287.73200053</v>
      </c>
    </row>
    <row r="455" spans="1:19" ht="18.75" x14ac:dyDescent="0.25">
      <c r="A455" s="156" t="s">
        <v>4025</v>
      </c>
      <c r="B455" s="157">
        <v>45802</v>
      </c>
      <c r="C455" s="158" t="s">
        <v>865</v>
      </c>
      <c r="D455" s="159" t="str">
        <f>VLOOKUP(Sales[[#This Row],[Customer ID]],Customer[#All],2,0)</f>
        <v>Sunita Gupta</v>
      </c>
      <c r="E455" s="158" t="s">
        <v>299</v>
      </c>
      <c r="F455" s="158" t="str">
        <f>VLOOKUP(Sales[[#This Row],[Product ID]],Product[#All],2,0)</f>
        <v>HP Printer</v>
      </c>
      <c r="G455" s="159">
        <v>2</v>
      </c>
      <c r="H455" s="160">
        <f>VLOOKUP(Sales[[#This Row],[Product ID]],Product[#All],7,0)</f>
        <v>15800</v>
      </c>
      <c r="I455" s="160">
        <f>Sales[[#This Row],[Selling Rate]]*Sales[[#This Row],[Qty]]</f>
        <v>31600</v>
      </c>
      <c r="J455" s="43">
        <v>0.05</v>
      </c>
      <c r="K455" s="44">
        <f>Sales[[#This Row],[Gross Amount]]*Sales[[#This Row],[Disc %]]</f>
        <v>1580</v>
      </c>
      <c r="L455" s="43">
        <v>0.18</v>
      </c>
      <c r="M455" s="44">
        <f>(Sales[[#This Row],[Gross Amount]]-Sales[[#This Row],[Disc. Amt.]])*Sales[[#This Row],[GST %]]</f>
        <v>5403.5999999999995</v>
      </c>
      <c r="N455" s="161">
        <f>Sales[[#This Row],[Gross Amount]]-Sales[[#This Row],[Disc. Amt.]]+Sales[[#This Row],[GST Amount]]</f>
        <v>35423.599999999999</v>
      </c>
      <c r="O455" s="158" t="s">
        <v>3561</v>
      </c>
      <c r="P455" s="158" t="s">
        <v>3562</v>
      </c>
      <c r="Q455" s="160">
        <f>IF(Sales[[#This Row],[Status]]="Cancelled",0,Sales[[#This Row],[Qty]])</f>
        <v>2</v>
      </c>
      <c r="R455" s="161">
        <f>IF(Sales[[#This Row],[Status]]="Cancelled",0,Sales[[#This Row],[Total Amount]])</f>
        <v>35423.599999999999</v>
      </c>
      <c r="S455" s="162">
        <f>SUM(Sales[Net Amount])</f>
        <v>406839287.73200053</v>
      </c>
    </row>
    <row r="456" spans="1:19" ht="18.75" x14ac:dyDescent="0.25">
      <c r="A456" s="163" t="s">
        <v>4026</v>
      </c>
      <c r="B456" s="164">
        <v>45802</v>
      </c>
      <c r="C456" s="34" t="s">
        <v>730</v>
      </c>
      <c r="D456" s="53" t="str">
        <f>VLOOKUP(Sales[[#This Row],[Customer ID]],Customer[#All],2,0)</f>
        <v>Neha Verma</v>
      </c>
      <c r="E456" s="34" t="s">
        <v>239</v>
      </c>
      <c r="F456" s="34" t="str">
        <f>VLOOKUP(Sales[[#This Row],[Product ID]],Product[#All],2,0)</f>
        <v>Microtek UPS</v>
      </c>
      <c r="G456" s="53">
        <v>5</v>
      </c>
      <c r="H456" s="165">
        <f>VLOOKUP(Sales[[#This Row],[Product ID]],Product[#All],7,0)</f>
        <v>7570</v>
      </c>
      <c r="I456" s="165">
        <f>Sales[[#This Row],[Selling Rate]]*Sales[[#This Row],[Qty]]</f>
        <v>37850</v>
      </c>
      <c r="J456" s="45">
        <v>0.1</v>
      </c>
      <c r="K456" s="46">
        <f>Sales[[#This Row],[Gross Amount]]*Sales[[#This Row],[Disc %]]</f>
        <v>3785</v>
      </c>
      <c r="L456" s="43">
        <v>0.18</v>
      </c>
      <c r="M456" s="46">
        <f>(Sales[[#This Row],[Gross Amount]]-Sales[[#This Row],[Disc. Amt.]])*Sales[[#This Row],[GST %]]</f>
        <v>6131.7</v>
      </c>
      <c r="N456" s="161">
        <f>Sales[[#This Row],[Gross Amount]]-Sales[[#This Row],[Disc. Amt.]]+Sales[[#This Row],[GST Amount]]</f>
        <v>40196.699999999997</v>
      </c>
      <c r="O456" s="34" t="s">
        <v>3561</v>
      </c>
      <c r="P456" s="34" t="s">
        <v>3562</v>
      </c>
      <c r="Q456" s="165">
        <f>IF(Sales[[#This Row],[Status]]="Cancelled",0,Sales[[#This Row],[Qty]])</f>
        <v>5</v>
      </c>
      <c r="R456" s="166">
        <f>IF(Sales[[#This Row],[Status]]="Cancelled",0,Sales[[#This Row],[Total Amount]])</f>
        <v>40196.699999999997</v>
      </c>
      <c r="S456" s="162">
        <f>SUM(Sales[Net Amount])</f>
        <v>406839287.73200053</v>
      </c>
    </row>
    <row r="457" spans="1:19" ht="18.75" x14ac:dyDescent="0.25">
      <c r="A457" s="156" t="s">
        <v>4027</v>
      </c>
      <c r="B457" s="157">
        <v>45802</v>
      </c>
      <c r="C457" s="158" t="s">
        <v>876</v>
      </c>
      <c r="D457" s="159" t="str">
        <f>VLOOKUP(Sales[[#This Row],[Customer ID]],Customer[#All],2,0)</f>
        <v>Sahil Verma</v>
      </c>
      <c r="E457" s="158" t="s">
        <v>70</v>
      </c>
      <c r="F457" s="158" t="str">
        <f>VLOOKUP(Sales[[#This Row],[Product ID]],Product[#All],2,0)</f>
        <v>Logitech Webcam</v>
      </c>
      <c r="G457" s="159">
        <v>2</v>
      </c>
      <c r="H457" s="160">
        <f>VLOOKUP(Sales[[#This Row],[Product ID]],Product[#All],7,0)</f>
        <v>5200</v>
      </c>
      <c r="I457" s="160">
        <f>Sales[[#This Row],[Selling Rate]]*Sales[[#This Row],[Qty]]</f>
        <v>10400</v>
      </c>
      <c r="J457" s="43">
        <v>0.05</v>
      </c>
      <c r="K457" s="44">
        <f>Sales[[#This Row],[Gross Amount]]*Sales[[#This Row],[Disc %]]</f>
        <v>520</v>
      </c>
      <c r="L457" s="43">
        <v>0.18</v>
      </c>
      <c r="M457" s="44">
        <f>(Sales[[#This Row],[Gross Amount]]-Sales[[#This Row],[Disc. Amt.]])*Sales[[#This Row],[GST %]]</f>
        <v>1778.3999999999999</v>
      </c>
      <c r="N457" s="161">
        <f>Sales[[#This Row],[Gross Amount]]-Sales[[#This Row],[Disc. Amt.]]+Sales[[#This Row],[GST Amount]]</f>
        <v>11658.4</v>
      </c>
      <c r="O457" s="158" t="s">
        <v>3569</v>
      </c>
      <c r="P457" s="158" t="s">
        <v>3562</v>
      </c>
      <c r="Q457" s="160">
        <f>IF(Sales[[#This Row],[Status]]="Cancelled",0,Sales[[#This Row],[Qty]])</f>
        <v>2</v>
      </c>
      <c r="R457" s="161">
        <f>IF(Sales[[#This Row],[Status]]="Cancelled",0,Sales[[#This Row],[Total Amount]])</f>
        <v>11658.4</v>
      </c>
      <c r="S457" s="162">
        <f>SUM(Sales[Net Amount])</f>
        <v>406839287.73200053</v>
      </c>
    </row>
    <row r="458" spans="1:19" ht="18.75" x14ac:dyDescent="0.25">
      <c r="A458" s="163" t="s">
        <v>4028</v>
      </c>
      <c r="B458" s="164">
        <v>45802</v>
      </c>
      <c r="C458" s="34" t="s">
        <v>737</v>
      </c>
      <c r="D458" s="53" t="str">
        <f>VLOOKUP(Sales[[#This Row],[Customer ID]],Customer[#All],2,0)</f>
        <v>Pooja Verma</v>
      </c>
      <c r="E458" s="34" t="s">
        <v>432</v>
      </c>
      <c r="F458" s="34" t="str">
        <f>VLOOKUP(Sales[[#This Row],[Product ID]],Product[#All],2,0)</f>
        <v>Boat Speaker</v>
      </c>
      <c r="G458" s="53">
        <v>1</v>
      </c>
      <c r="H458" s="165">
        <f>VLOOKUP(Sales[[#This Row],[Product ID]],Product[#All],7,0)</f>
        <v>750</v>
      </c>
      <c r="I458" s="165">
        <f>Sales[[#This Row],[Selling Rate]]*Sales[[#This Row],[Qty]]</f>
        <v>750</v>
      </c>
      <c r="J458" s="45">
        <v>0.1</v>
      </c>
      <c r="K458" s="46">
        <f>Sales[[#This Row],[Gross Amount]]*Sales[[#This Row],[Disc %]]</f>
        <v>75</v>
      </c>
      <c r="L458" s="43">
        <v>0.18</v>
      </c>
      <c r="M458" s="46">
        <f>(Sales[[#This Row],[Gross Amount]]-Sales[[#This Row],[Disc. Amt.]])*Sales[[#This Row],[GST %]]</f>
        <v>121.5</v>
      </c>
      <c r="N458" s="161">
        <f>Sales[[#This Row],[Gross Amount]]-Sales[[#This Row],[Disc. Amt.]]+Sales[[#This Row],[GST Amount]]</f>
        <v>796.5</v>
      </c>
      <c r="O458" s="34" t="s">
        <v>3566</v>
      </c>
      <c r="P458" s="34" t="s">
        <v>3562</v>
      </c>
      <c r="Q458" s="165">
        <f>IF(Sales[[#This Row],[Status]]="Cancelled",0,Sales[[#This Row],[Qty]])</f>
        <v>1</v>
      </c>
      <c r="R458" s="166">
        <f>IF(Sales[[#This Row],[Status]]="Cancelled",0,Sales[[#This Row],[Total Amount]])</f>
        <v>796.5</v>
      </c>
      <c r="S458" s="162">
        <f>SUM(Sales[Net Amount])</f>
        <v>406839287.73200053</v>
      </c>
    </row>
    <row r="459" spans="1:19" ht="18.75" x14ac:dyDescent="0.25">
      <c r="A459" s="156" t="s">
        <v>4029</v>
      </c>
      <c r="B459" s="157">
        <v>45802</v>
      </c>
      <c r="C459" s="158" t="s">
        <v>684</v>
      </c>
      <c r="D459" s="159" t="str">
        <f>VLOOKUP(Sales[[#This Row],[Customer ID]],Customer[#All],2,0)</f>
        <v>Rahul Sharma</v>
      </c>
      <c r="E459" s="158" t="s">
        <v>207</v>
      </c>
      <c r="F459" s="158" t="str">
        <f>VLOOKUP(Sales[[#This Row],[Product ID]],Product[#All],2,0)</f>
        <v>Jbl Headset</v>
      </c>
      <c r="G459" s="159">
        <v>4</v>
      </c>
      <c r="H459" s="160">
        <f>VLOOKUP(Sales[[#This Row],[Product ID]],Product[#All],7,0)</f>
        <v>1400</v>
      </c>
      <c r="I459" s="160">
        <f>Sales[[#This Row],[Selling Rate]]*Sales[[#This Row],[Qty]]</f>
        <v>5600</v>
      </c>
      <c r="J459" s="43">
        <v>0.05</v>
      </c>
      <c r="K459" s="44">
        <f>Sales[[#This Row],[Gross Amount]]*Sales[[#This Row],[Disc %]]</f>
        <v>280</v>
      </c>
      <c r="L459" s="43">
        <v>0.18</v>
      </c>
      <c r="M459" s="44">
        <f>(Sales[[#This Row],[Gross Amount]]-Sales[[#This Row],[Disc. Amt.]])*Sales[[#This Row],[GST %]]</f>
        <v>957.59999999999991</v>
      </c>
      <c r="N459" s="161">
        <f>Sales[[#This Row],[Gross Amount]]-Sales[[#This Row],[Disc. Amt.]]+Sales[[#This Row],[GST Amount]]</f>
        <v>6277.6</v>
      </c>
      <c r="O459" s="158" t="s">
        <v>3561</v>
      </c>
      <c r="P459" s="158" t="s">
        <v>3562</v>
      </c>
      <c r="Q459" s="160">
        <f>IF(Sales[[#This Row],[Status]]="Cancelled",0,Sales[[#This Row],[Qty]])</f>
        <v>4</v>
      </c>
      <c r="R459" s="161">
        <f>IF(Sales[[#This Row],[Status]]="Cancelled",0,Sales[[#This Row],[Total Amount]])</f>
        <v>6277.6</v>
      </c>
      <c r="S459" s="162">
        <f>SUM(Sales[Net Amount])</f>
        <v>406839287.73200053</v>
      </c>
    </row>
    <row r="460" spans="1:19" ht="18.75" x14ac:dyDescent="0.25">
      <c r="A460" s="163" t="s">
        <v>4030</v>
      </c>
      <c r="B460" s="164">
        <v>45802</v>
      </c>
      <c r="C460" s="34" t="s">
        <v>892</v>
      </c>
      <c r="D460" s="53" t="str">
        <f>VLOOKUP(Sales[[#This Row],[Customer ID]],Customer[#All],2,0)</f>
        <v>Sahil Verma</v>
      </c>
      <c r="E460" s="34" t="s">
        <v>7</v>
      </c>
      <c r="F460" s="34" t="str">
        <f>VLOOKUP(Sales[[#This Row],[Product ID]],Product[#All],2,0)</f>
        <v>Dell Desktop</v>
      </c>
      <c r="G460" s="53">
        <v>2</v>
      </c>
      <c r="H460" s="165">
        <f>VLOOKUP(Sales[[#This Row],[Product ID]],Product[#All],7,0)</f>
        <v>33010</v>
      </c>
      <c r="I460" s="165">
        <f>Sales[[#This Row],[Selling Rate]]*Sales[[#This Row],[Qty]]</f>
        <v>66020</v>
      </c>
      <c r="J460" s="45">
        <v>0.12</v>
      </c>
      <c r="K460" s="46">
        <f>Sales[[#This Row],[Gross Amount]]*Sales[[#This Row],[Disc %]]</f>
        <v>7922.4</v>
      </c>
      <c r="L460" s="43">
        <v>0.18</v>
      </c>
      <c r="M460" s="46">
        <f>(Sales[[#This Row],[Gross Amount]]-Sales[[#This Row],[Disc. Amt.]])*Sales[[#This Row],[GST %]]</f>
        <v>10457.567999999999</v>
      </c>
      <c r="N460" s="161">
        <f>Sales[[#This Row],[Gross Amount]]-Sales[[#This Row],[Disc. Amt.]]+Sales[[#This Row],[GST Amount]]</f>
        <v>68555.168000000005</v>
      </c>
      <c r="O460" s="34" t="s">
        <v>3561</v>
      </c>
      <c r="P460" s="34" t="s">
        <v>3562</v>
      </c>
      <c r="Q460" s="165">
        <f>IF(Sales[[#This Row],[Status]]="Cancelled",0,Sales[[#This Row],[Qty]])</f>
        <v>2</v>
      </c>
      <c r="R460" s="166">
        <f>IF(Sales[[#This Row],[Status]]="Cancelled",0,Sales[[#This Row],[Total Amount]])</f>
        <v>68555.168000000005</v>
      </c>
      <c r="S460" s="162">
        <f>SUM(Sales[Net Amount])</f>
        <v>406839287.73200053</v>
      </c>
    </row>
    <row r="461" spans="1:19" ht="18.75" x14ac:dyDescent="0.25">
      <c r="A461" s="156" t="s">
        <v>4031</v>
      </c>
      <c r="B461" s="157">
        <v>45802</v>
      </c>
      <c r="C461" s="158" t="s">
        <v>680</v>
      </c>
      <c r="D461" s="159" t="str">
        <f>VLOOKUP(Sales[[#This Row],[Customer ID]],Customer[#All],2,0)</f>
        <v>Rahul Kumar</v>
      </c>
      <c r="E461" s="158" t="s">
        <v>203</v>
      </c>
      <c r="F461" s="158" t="str">
        <f>VLOOKUP(Sales[[#This Row],[Product ID]],Product[#All],2,0)</f>
        <v>Logitech Mouse</v>
      </c>
      <c r="G461" s="159">
        <v>3</v>
      </c>
      <c r="H461" s="160">
        <f>VLOOKUP(Sales[[#This Row],[Product ID]],Product[#All],7,0)</f>
        <v>2110</v>
      </c>
      <c r="I461" s="160">
        <f>Sales[[#This Row],[Selling Rate]]*Sales[[#This Row],[Qty]]</f>
        <v>6330</v>
      </c>
      <c r="J461" s="43">
        <v>0.12</v>
      </c>
      <c r="K461" s="44">
        <f>Sales[[#This Row],[Gross Amount]]*Sales[[#This Row],[Disc %]]</f>
        <v>759.6</v>
      </c>
      <c r="L461" s="43">
        <v>0.18</v>
      </c>
      <c r="M461" s="44">
        <f>(Sales[[#This Row],[Gross Amount]]-Sales[[#This Row],[Disc. Amt.]])*Sales[[#This Row],[GST %]]</f>
        <v>1002.6719999999999</v>
      </c>
      <c r="N461" s="161">
        <f>Sales[[#This Row],[Gross Amount]]-Sales[[#This Row],[Disc. Amt.]]+Sales[[#This Row],[GST Amount]]</f>
        <v>6573.0719999999992</v>
      </c>
      <c r="O461" s="158" t="s">
        <v>3561</v>
      </c>
      <c r="P461" s="158" t="s">
        <v>3562</v>
      </c>
      <c r="Q461" s="160">
        <f>IF(Sales[[#This Row],[Status]]="Cancelled",0,Sales[[#This Row],[Qty]])</f>
        <v>3</v>
      </c>
      <c r="R461" s="161">
        <f>IF(Sales[[#This Row],[Status]]="Cancelled",0,Sales[[#This Row],[Total Amount]])</f>
        <v>6573.0719999999992</v>
      </c>
      <c r="S461" s="162">
        <f>SUM(Sales[Net Amount])</f>
        <v>406839287.73200053</v>
      </c>
    </row>
    <row r="462" spans="1:19" ht="18.75" x14ac:dyDescent="0.25">
      <c r="A462" s="163" t="s">
        <v>4032</v>
      </c>
      <c r="B462" s="164">
        <v>45802</v>
      </c>
      <c r="C462" s="34" t="s">
        <v>951</v>
      </c>
      <c r="D462" s="53" t="str">
        <f>VLOOKUP(Sales[[#This Row],[Customer ID]],Customer[#All],2,0)</f>
        <v>Rahul Singh</v>
      </c>
      <c r="E462" s="34" t="s">
        <v>99</v>
      </c>
      <c r="F462" s="34" t="str">
        <f>VLOOKUP(Sales[[#This Row],[Product ID]],Product[#All],2,0)</f>
        <v>Dell Laptop</v>
      </c>
      <c r="G462" s="53">
        <v>2</v>
      </c>
      <c r="H462" s="165">
        <f>VLOOKUP(Sales[[#This Row],[Product ID]],Product[#All],7,0)</f>
        <v>34870</v>
      </c>
      <c r="I462" s="165">
        <f>Sales[[#This Row],[Selling Rate]]*Sales[[#This Row],[Qty]]</f>
        <v>69740</v>
      </c>
      <c r="J462" s="45">
        <v>0.05</v>
      </c>
      <c r="K462" s="46">
        <f>Sales[[#This Row],[Gross Amount]]*Sales[[#This Row],[Disc %]]</f>
        <v>3487</v>
      </c>
      <c r="L462" s="43">
        <v>0.18</v>
      </c>
      <c r="M462" s="46">
        <f>(Sales[[#This Row],[Gross Amount]]-Sales[[#This Row],[Disc. Amt.]])*Sales[[#This Row],[GST %]]</f>
        <v>11925.539999999999</v>
      </c>
      <c r="N462" s="161">
        <f>Sales[[#This Row],[Gross Amount]]-Sales[[#This Row],[Disc. Amt.]]+Sales[[#This Row],[GST Amount]]</f>
        <v>78178.539999999994</v>
      </c>
      <c r="O462" s="34" t="s">
        <v>8876</v>
      </c>
      <c r="P462" s="34" t="s">
        <v>3562</v>
      </c>
      <c r="Q462" s="165">
        <f>IF(Sales[[#This Row],[Status]]="Cancelled",0,Sales[[#This Row],[Qty]])</f>
        <v>2</v>
      </c>
      <c r="R462" s="166">
        <f>IF(Sales[[#This Row],[Status]]="Cancelled",0,Sales[[#This Row],[Total Amount]])</f>
        <v>78178.539999999994</v>
      </c>
      <c r="S462" s="162">
        <f>SUM(Sales[Net Amount])</f>
        <v>406839287.73200053</v>
      </c>
    </row>
    <row r="463" spans="1:19" ht="18.75" x14ac:dyDescent="0.25">
      <c r="A463" s="156" t="s">
        <v>4033</v>
      </c>
      <c r="B463" s="157">
        <v>45802</v>
      </c>
      <c r="C463" s="158" t="s">
        <v>4034</v>
      </c>
      <c r="D463" s="159" t="str">
        <f>VLOOKUP(Sales[[#This Row],[Customer ID]],Customer[#All],2,0)</f>
        <v>Vikas Sharma</v>
      </c>
      <c r="E463" s="158" t="s">
        <v>40</v>
      </c>
      <c r="F463" s="158" t="str">
        <f>VLOOKUP(Sales[[#This Row],[Product ID]],Product[#All],2,0)</f>
        <v>Boat Headset</v>
      </c>
      <c r="G463" s="159">
        <v>6</v>
      </c>
      <c r="H463" s="160">
        <f>VLOOKUP(Sales[[#This Row],[Product ID]],Product[#All],7,0)</f>
        <v>3470</v>
      </c>
      <c r="I463" s="160">
        <f>Sales[[#This Row],[Selling Rate]]*Sales[[#This Row],[Qty]]</f>
        <v>20820</v>
      </c>
      <c r="J463" s="43">
        <v>0</v>
      </c>
      <c r="K463" s="44">
        <f>Sales[[#This Row],[Gross Amount]]*Sales[[#This Row],[Disc %]]</f>
        <v>0</v>
      </c>
      <c r="L463" s="43">
        <v>0.18</v>
      </c>
      <c r="M463" s="44">
        <f>(Sales[[#This Row],[Gross Amount]]-Sales[[#This Row],[Disc. Amt.]])*Sales[[#This Row],[GST %]]</f>
        <v>3747.6</v>
      </c>
      <c r="N463" s="161">
        <f>Sales[[#This Row],[Gross Amount]]-Sales[[#This Row],[Disc. Amt.]]+Sales[[#This Row],[GST Amount]]</f>
        <v>24567.599999999999</v>
      </c>
      <c r="O463" s="158" t="s">
        <v>3561</v>
      </c>
      <c r="P463" s="158" t="s">
        <v>3562</v>
      </c>
      <c r="Q463" s="160">
        <f>IF(Sales[[#This Row],[Status]]="Cancelled",0,Sales[[#This Row],[Qty]])</f>
        <v>6</v>
      </c>
      <c r="R463" s="161">
        <f>IF(Sales[[#This Row],[Status]]="Cancelled",0,Sales[[#This Row],[Total Amount]])</f>
        <v>24567.599999999999</v>
      </c>
      <c r="S463" s="162">
        <f>SUM(Sales[Net Amount])</f>
        <v>406839287.73200053</v>
      </c>
    </row>
    <row r="464" spans="1:19" ht="18.75" x14ac:dyDescent="0.25">
      <c r="A464" s="163" t="s">
        <v>4035</v>
      </c>
      <c r="B464" s="164">
        <v>45802</v>
      </c>
      <c r="C464" s="34" t="s">
        <v>938</v>
      </c>
      <c r="D464" s="53" t="str">
        <f>VLOOKUP(Sales[[#This Row],[Customer ID]],Customer[#All],2,0)</f>
        <v>Sunita Sharma</v>
      </c>
      <c r="E464" s="34" t="s">
        <v>375</v>
      </c>
      <c r="F464" s="34" t="str">
        <f>VLOOKUP(Sales[[#This Row],[Product ID]],Product[#All],2,0)</f>
        <v>American TouristerLaptopBag</v>
      </c>
      <c r="G464" s="53">
        <v>3</v>
      </c>
      <c r="H464" s="165">
        <f>VLOOKUP(Sales[[#This Row],[Product ID]],Product[#All],7,0)</f>
        <v>4990</v>
      </c>
      <c r="I464" s="165">
        <f>Sales[[#This Row],[Selling Rate]]*Sales[[#This Row],[Qty]]</f>
        <v>14970</v>
      </c>
      <c r="J464" s="45">
        <v>0.1</v>
      </c>
      <c r="K464" s="46">
        <f>Sales[[#This Row],[Gross Amount]]*Sales[[#This Row],[Disc %]]</f>
        <v>1497</v>
      </c>
      <c r="L464" s="43">
        <v>0.18</v>
      </c>
      <c r="M464" s="46">
        <f>(Sales[[#This Row],[Gross Amount]]-Sales[[#This Row],[Disc. Amt.]])*Sales[[#This Row],[GST %]]</f>
        <v>2425.14</v>
      </c>
      <c r="N464" s="161">
        <f>Sales[[#This Row],[Gross Amount]]-Sales[[#This Row],[Disc. Amt.]]+Sales[[#This Row],[GST Amount]]</f>
        <v>15898.14</v>
      </c>
      <c r="O464" s="34" t="s">
        <v>3569</v>
      </c>
      <c r="P464" s="34" t="s">
        <v>3562</v>
      </c>
      <c r="Q464" s="165">
        <f>IF(Sales[[#This Row],[Status]]="Cancelled",0,Sales[[#This Row],[Qty]])</f>
        <v>3</v>
      </c>
      <c r="R464" s="166">
        <f>IF(Sales[[#This Row],[Status]]="Cancelled",0,Sales[[#This Row],[Total Amount]])</f>
        <v>15898.14</v>
      </c>
      <c r="S464" s="162">
        <f>SUM(Sales[Net Amount])</f>
        <v>406839287.73200053</v>
      </c>
    </row>
    <row r="465" spans="1:19" ht="18.75" x14ac:dyDescent="0.25">
      <c r="A465" s="156" t="s">
        <v>4036</v>
      </c>
      <c r="B465" s="157">
        <v>45802</v>
      </c>
      <c r="C465" s="158" t="s">
        <v>936</v>
      </c>
      <c r="D465" s="159" t="str">
        <f>VLOOKUP(Sales[[#This Row],[Customer ID]],Customer[#All],2,0)</f>
        <v>Pooja Patel</v>
      </c>
      <c r="E465" s="158" t="s">
        <v>59</v>
      </c>
      <c r="F465" s="158" t="str">
        <f>VLOOKUP(Sales[[#This Row],[Product ID]],Product[#All],2,0)</f>
        <v>Amazon Basics Hdmi Cable</v>
      </c>
      <c r="G465" s="159">
        <v>5</v>
      </c>
      <c r="H465" s="160">
        <f>VLOOKUP(Sales[[#This Row],[Product ID]],Product[#All],7,0)</f>
        <v>1160</v>
      </c>
      <c r="I465" s="160">
        <f>Sales[[#This Row],[Selling Rate]]*Sales[[#This Row],[Qty]]</f>
        <v>5800</v>
      </c>
      <c r="J465" s="43">
        <v>0</v>
      </c>
      <c r="K465" s="44">
        <f>Sales[[#This Row],[Gross Amount]]*Sales[[#This Row],[Disc %]]</f>
        <v>0</v>
      </c>
      <c r="L465" s="43">
        <v>0.18</v>
      </c>
      <c r="M465" s="44">
        <f>(Sales[[#This Row],[Gross Amount]]-Sales[[#This Row],[Disc. Amt.]])*Sales[[#This Row],[GST %]]</f>
        <v>1044</v>
      </c>
      <c r="N465" s="161">
        <f>Sales[[#This Row],[Gross Amount]]-Sales[[#This Row],[Disc. Amt.]]+Sales[[#This Row],[GST Amount]]</f>
        <v>6844</v>
      </c>
      <c r="O465" s="158" t="s">
        <v>3561</v>
      </c>
      <c r="P465" s="158" t="s">
        <v>1040</v>
      </c>
      <c r="Q465" s="160">
        <f>IF(Sales[[#This Row],[Status]]="Cancelled",0,Sales[[#This Row],[Qty]])</f>
        <v>0</v>
      </c>
      <c r="R465" s="161">
        <f>IF(Sales[[#This Row],[Status]]="Cancelled",0,Sales[[#This Row],[Total Amount]])</f>
        <v>0</v>
      </c>
      <c r="S465" s="162">
        <f>SUM(Sales[Net Amount])</f>
        <v>406839287.73200053</v>
      </c>
    </row>
    <row r="466" spans="1:19" ht="18.75" x14ac:dyDescent="0.25">
      <c r="A466" s="163" t="s">
        <v>4037</v>
      </c>
      <c r="B466" s="164">
        <v>45802</v>
      </c>
      <c r="C466" s="34" t="s">
        <v>779</v>
      </c>
      <c r="D466" s="53" t="str">
        <f>VLOOKUP(Sales[[#This Row],[Customer ID]],Customer[#All],2,0)</f>
        <v>Rakesh Verma</v>
      </c>
      <c r="E466" s="34" t="s">
        <v>379</v>
      </c>
      <c r="F466" s="34" t="str">
        <f>VLOOKUP(Sales[[#This Row],[Product ID]],Product[#All],2,0)</f>
        <v>Acer Laptop</v>
      </c>
      <c r="G466" s="53">
        <v>1</v>
      </c>
      <c r="H466" s="165">
        <f>VLOOKUP(Sales[[#This Row],[Product ID]],Product[#All],7,0)</f>
        <v>74390</v>
      </c>
      <c r="I466" s="165">
        <f>Sales[[#This Row],[Selling Rate]]*Sales[[#This Row],[Qty]]</f>
        <v>74390</v>
      </c>
      <c r="J466" s="45">
        <v>0.15</v>
      </c>
      <c r="K466" s="46">
        <f>Sales[[#This Row],[Gross Amount]]*Sales[[#This Row],[Disc %]]</f>
        <v>11158.5</v>
      </c>
      <c r="L466" s="43">
        <v>0.18</v>
      </c>
      <c r="M466" s="46">
        <f>(Sales[[#This Row],[Gross Amount]]-Sales[[#This Row],[Disc. Amt.]])*Sales[[#This Row],[GST %]]</f>
        <v>11381.67</v>
      </c>
      <c r="N466" s="161">
        <f>Sales[[#This Row],[Gross Amount]]-Sales[[#This Row],[Disc. Amt.]]+Sales[[#This Row],[GST Amount]]</f>
        <v>74613.17</v>
      </c>
      <c r="O466" s="34" t="s">
        <v>3561</v>
      </c>
      <c r="P466" s="34" t="s">
        <v>3562</v>
      </c>
      <c r="Q466" s="165">
        <f>IF(Sales[[#This Row],[Status]]="Cancelled",0,Sales[[#This Row],[Qty]])</f>
        <v>1</v>
      </c>
      <c r="R466" s="166">
        <f>IF(Sales[[#This Row],[Status]]="Cancelled",0,Sales[[#This Row],[Total Amount]])</f>
        <v>74613.17</v>
      </c>
      <c r="S466" s="162">
        <f>SUM(Sales[Net Amount])</f>
        <v>406839287.73200053</v>
      </c>
    </row>
    <row r="467" spans="1:19" ht="18.75" x14ac:dyDescent="0.25">
      <c r="A467" s="156" t="s">
        <v>4038</v>
      </c>
      <c r="B467" s="157">
        <v>45802</v>
      </c>
      <c r="C467" s="158" t="s">
        <v>765</v>
      </c>
      <c r="D467" s="159" t="str">
        <f>VLOOKUP(Sales[[#This Row],[Customer ID]],Customer[#All],2,0)</f>
        <v>Neha Gupta</v>
      </c>
      <c r="E467" s="158" t="s">
        <v>384</v>
      </c>
      <c r="F467" s="158" t="str">
        <f>VLOOKUP(Sales[[#This Row],[Product ID]],Product[#All],2,0)</f>
        <v>Samsung Ssd</v>
      </c>
      <c r="G467" s="159">
        <v>8</v>
      </c>
      <c r="H467" s="160">
        <f>VLOOKUP(Sales[[#This Row],[Product ID]],Product[#All],7,0)</f>
        <v>14770</v>
      </c>
      <c r="I467" s="160">
        <f>Sales[[#This Row],[Selling Rate]]*Sales[[#This Row],[Qty]]</f>
        <v>118160</v>
      </c>
      <c r="J467" s="43">
        <v>0</v>
      </c>
      <c r="K467" s="44">
        <f>Sales[[#This Row],[Gross Amount]]*Sales[[#This Row],[Disc %]]</f>
        <v>0</v>
      </c>
      <c r="L467" s="43">
        <v>0.18</v>
      </c>
      <c r="M467" s="44">
        <f>(Sales[[#This Row],[Gross Amount]]-Sales[[#This Row],[Disc. Amt.]])*Sales[[#This Row],[GST %]]</f>
        <v>21268.799999999999</v>
      </c>
      <c r="N467" s="161">
        <f>Sales[[#This Row],[Gross Amount]]-Sales[[#This Row],[Disc. Amt.]]+Sales[[#This Row],[GST Amount]]</f>
        <v>139428.79999999999</v>
      </c>
      <c r="O467" s="158" t="s">
        <v>3566</v>
      </c>
      <c r="P467" s="158" t="s">
        <v>3562</v>
      </c>
      <c r="Q467" s="160">
        <f>IF(Sales[[#This Row],[Status]]="Cancelled",0,Sales[[#This Row],[Qty]])</f>
        <v>8</v>
      </c>
      <c r="R467" s="161">
        <f>IF(Sales[[#This Row],[Status]]="Cancelled",0,Sales[[#This Row],[Total Amount]])</f>
        <v>139428.79999999999</v>
      </c>
      <c r="S467" s="162">
        <f>SUM(Sales[Net Amount])</f>
        <v>406839287.73200053</v>
      </c>
    </row>
    <row r="468" spans="1:19" ht="18.75" x14ac:dyDescent="0.25">
      <c r="A468" s="163" t="s">
        <v>4039</v>
      </c>
      <c r="B468" s="164">
        <v>45802</v>
      </c>
      <c r="C468" s="34" t="s">
        <v>803</v>
      </c>
      <c r="D468" s="53" t="str">
        <f>VLOOKUP(Sales[[#This Row],[Customer ID]],Customer[#All],2,0)</f>
        <v>Pooja Singh</v>
      </c>
      <c r="E468" s="34" t="s">
        <v>388</v>
      </c>
      <c r="F468" s="34" t="str">
        <f>VLOOKUP(Sales[[#This Row],[Product ID]],Product[#All],2,0)</f>
        <v>Dell Laptop</v>
      </c>
      <c r="G468" s="53">
        <v>7</v>
      </c>
      <c r="H468" s="165">
        <f>VLOOKUP(Sales[[#This Row],[Product ID]],Product[#All],7,0)</f>
        <v>68790</v>
      </c>
      <c r="I468" s="165">
        <f>Sales[[#This Row],[Selling Rate]]*Sales[[#This Row],[Qty]]</f>
        <v>481530</v>
      </c>
      <c r="J468" s="45">
        <v>0.05</v>
      </c>
      <c r="K468" s="46">
        <f>Sales[[#This Row],[Gross Amount]]*Sales[[#This Row],[Disc %]]</f>
        <v>24076.5</v>
      </c>
      <c r="L468" s="43">
        <v>0.18</v>
      </c>
      <c r="M468" s="46">
        <f>(Sales[[#This Row],[Gross Amount]]-Sales[[#This Row],[Disc. Amt.]])*Sales[[#This Row],[GST %]]</f>
        <v>82341.62999999999</v>
      </c>
      <c r="N468" s="161">
        <f>Sales[[#This Row],[Gross Amount]]-Sales[[#This Row],[Disc. Amt.]]+Sales[[#This Row],[GST Amount]]</f>
        <v>539795.13</v>
      </c>
      <c r="O468" s="34" t="s">
        <v>8876</v>
      </c>
      <c r="P468" s="34" t="s">
        <v>3562</v>
      </c>
      <c r="Q468" s="165">
        <f>IF(Sales[[#This Row],[Status]]="Cancelled",0,Sales[[#This Row],[Qty]])</f>
        <v>7</v>
      </c>
      <c r="R468" s="166">
        <f>IF(Sales[[#This Row],[Status]]="Cancelled",0,Sales[[#This Row],[Total Amount]])</f>
        <v>539795.13</v>
      </c>
      <c r="S468" s="162">
        <f>SUM(Sales[Net Amount])</f>
        <v>406839287.73200053</v>
      </c>
    </row>
    <row r="469" spans="1:19" ht="18.75" x14ac:dyDescent="0.25">
      <c r="A469" s="156" t="s">
        <v>4040</v>
      </c>
      <c r="B469" s="157">
        <v>45802</v>
      </c>
      <c r="C469" s="158" t="s">
        <v>660</v>
      </c>
      <c r="D469" s="159" t="str">
        <f>VLOOKUP(Sales[[#This Row],[Customer ID]],Customer[#All],2,0)</f>
        <v>Priya Sharma</v>
      </c>
      <c r="E469" s="158" t="s">
        <v>76</v>
      </c>
      <c r="F469" s="158" t="str">
        <f>VLOOKUP(Sales[[#This Row],[Product ID]],Product[#All],2,0)</f>
        <v>Dell Keyboard</v>
      </c>
      <c r="G469" s="159">
        <v>5</v>
      </c>
      <c r="H469" s="160">
        <f>VLOOKUP(Sales[[#This Row],[Product ID]],Product[#All],7,0)</f>
        <v>1740</v>
      </c>
      <c r="I469" s="160">
        <f>Sales[[#This Row],[Selling Rate]]*Sales[[#This Row],[Qty]]</f>
        <v>8700</v>
      </c>
      <c r="J469" s="43">
        <v>0.15</v>
      </c>
      <c r="K469" s="44">
        <f>Sales[[#This Row],[Gross Amount]]*Sales[[#This Row],[Disc %]]</f>
        <v>1305</v>
      </c>
      <c r="L469" s="43">
        <v>0.18</v>
      </c>
      <c r="M469" s="44">
        <f>(Sales[[#This Row],[Gross Amount]]-Sales[[#This Row],[Disc. Amt.]])*Sales[[#This Row],[GST %]]</f>
        <v>1331.1</v>
      </c>
      <c r="N469" s="161">
        <f>Sales[[#This Row],[Gross Amount]]-Sales[[#This Row],[Disc. Amt.]]+Sales[[#This Row],[GST Amount]]</f>
        <v>8726.1</v>
      </c>
      <c r="O469" s="158" t="s">
        <v>3561</v>
      </c>
      <c r="P469" s="158" t="s">
        <v>3562</v>
      </c>
      <c r="Q469" s="160">
        <f>IF(Sales[[#This Row],[Status]]="Cancelled",0,Sales[[#This Row],[Qty]])</f>
        <v>5</v>
      </c>
      <c r="R469" s="161">
        <f>IF(Sales[[#This Row],[Status]]="Cancelled",0,Sales[[#This Row],[Total Amount]])</f>
        <v>8726.1</v>
      </c>
      <c r="S469" s="162">
        <f>SUM(Sales[Net Amount])</f>
        <v>406839287.73200053</v>
      </c>
    </row>
    <row r="470" spans="1:19" ht="18.75" x14ac:dyDescent="0.25">
      <c r="A470" s="163" t="s">
        <v>4041</v>
      </c>
      <c r="B470" s="164">
        <v>45802</v>
      </c>
      <c r="C470" s="34" t="s">
        <v>868</v>
      </c>
      <c r="D470" s="53" t="str">
        <f>VLOOKUP(Sales[[#This Row],[Customer ID]],Customer[#All],2,0)</f>
        <v>Rahul Verma</v>
      </c>
      <c r="E470" s="34" t="s">
        <v>495</v>
      </c>
      <c r="F470" s="34" t="str">
        <f>VLOOKUP(Sales[[#This Row],[Product ID]],Product[#All],2,0)</f>
        <v>Dell Laptop</v>
      </c>
      <c r="G470" s="53">
        <v>3</v>
      </c>
      <c r="H470" s="165">
        <f>VLOOKUP(Sales[[#This Row],[Product ID]],Product[#All],7,0)</f>
        <v>63410</v>
      </c>
      <c r="I470" s="165">
        <f>Sales[[#This Row],[Selling Rate]]*Sales[[#This Row],[Qty]]</f>
        <v>190230</v>
      </c>
      <c r="J470" s="45">
        <v>0.12</v>
      </c>
      <c r="K470" s="46">
        <f>Sales[[#This Row],[Gross Amount]]*Sales[[#This Row],[Disc %]]</f>
        <v>22827.599999999999</v>
      </c>
      <c r="L470" s="43">
        <v>0.18</v>
      </c>
      <c r="M470" s="46">
        <f>(Sales[[#This Row],[Gross Amount]]-Sales[[#This Row],[Disc. Amt.]])*Sales[[#This Row],[GST %]]</f>
        <v>30132.431999999997</v>
      </c>
      <c r="N470" s="161">
        <f>Sales[[#This Row],[Gross Amount]]-Sales[[#This Row],[Disc. Amt.]]+Sales[[#This Row],[GST Amount]]</f>
        <v>197534.83199999999</v>
      </c>
      <c r="O470" s="34" t="s">
        <v>3566</v>
      </c>
      <c r="P470" s="34" t="s">
        <v>3562</v>
      </c>
      <c r="Q470" s="165">
        <f>IF(Sales[[#This Row],[Status]]="Cancelled",0,Sales[[#This Row],[Qty]])</f>
        <v>3</v>
      </c>
      <c r="R470" s="166">
        <f>IF(Sales[[#This Row],[Status]]="Cancelled",0,Sales[[#This Row],[Total Amount]])</f>
        <v>197534.83199999999</v>
      </c>
      <c r="S470" s="162">
        <f>SUM(Sales[Net Amount])</f>
        <v>406839287.73200053</v>
      </c>
    </row>
    <row r="471" spans="1:19" ht="18.75" x14ac:dyDescent="0.25">
      <c r="A471" s="156" t="s">
        <v>4042</v>
      </c>
      <c r="B471" s="157">
        <v>45802</v>
      </c>
      <c r="C471" s="158" t="s">
        <v>673</v>
      </c>
      <c r="D471" s="159" t="str">
        <f>VLOOKUP(Sales[[#This Row],[Customer ID]],Customer[#All],2,0)</f>
        <v>Sunita Gupta</v>
      </c>
      <c r="E471" s="158" t="s">
        <v>471</v>
      </c>
      <c r="F471" s="158" t="str">
        <f>VLOOKUP(Sales[[#This Row],[Product ID]],Product[#All],2,0)</f>
        <v>Samsung Monitor</v>
      </c>
      <c r="G471" s="159">
        <v>7</v>
      </c>
      <c r="H471" s="160">
        <f>VLOOKUP(Sales[[#This Row],[Product ID]],Product[#All],7,0)</f>
        <v>10840</v>
      </c>
      <c r="I471" s="160">
        <f>Sales[[#This Row],[Selling Rate]]*Sales[[#This Row],[Qty]]</f>
        <v>75880</v>
      </c>
      <c r="J471" s="43">
        <v>0</v>
      </c>
      <c r="K471" s="44">
        <f>Sales[[#This Row],[Gross Amount]]*Sales[[#This Row],[Disc %]]</f>
        <v>0</v>
      </c>
      <c r="L471" s="43">
        <v>0.18</v>
      </c>
      <c r="M471" s="44">
        <f>(Sales[[#This Row],[Gross Amount]]-Sales[[#This Row],[Disc. Amt.]])*Sales[[#This Row],[GST %]]</f>
        <v>13658.4</v>
      </c>
      <c r="N471" s="161">
        <f>Sales[[#This Row],[Gross Amount]]-Sales[[#This Row],[Disc. Amt.]]+Sales[[#This Row],[GST Amount]]</f>
        <v>89538.4</v>
      </c>
      <c r="O471" s="158" t="s">
        <v>3561</v>
      </c>
      <c r="P471" s="158" t="s">
        <v>3562</v>
      </c>
      <c r="Q471" s="160">
        <f>IF(Sales[[#This Row],[Status]]="Cancelled",0,Sales[[#This Row],[Qty]])</f>
        <v>7</v>
      </c>
      <c r="R471" s="161">
        <f>IF(Sales[[#This Row],[Status]]="Cancelled",0,Sales[[#This Row],[Total Amount]])</f>
        <v>89538.4</v>
      </c>
      <c r="S471" s="162">
        <f>SUM(Sales[Net Amount])</f>
        <v>406839287.73200053</v>
      </c>
    </row>
    <row r="472" spans="1:19" ht="18.75" x14ac:dyDescent="0.25">
      <c r="A472" s="163" t="s">
        <v>4043</v>
      </c>
      <c r="B472" s="164">
        <v>45802</v>
      </c>
      <c r="C472" s="34" t="s">
        <v>715</v>
      </c>
      <c r="D472" s="53" t="str">
        <f>VLOOKUP(Sales[[#This Row],[Customer ID]],Customer[#All],2,0)</f>
        <v>Sunita Patel</v>
      </c>
      <c r="E472" s="34" t="s">
        <v>528</v>
      </c>
      <c r="F472" s="34" t="str">
        <f>VLOOKUP(Sales[[#This Row],[Product ID]],Product[#All],2,0)</f>
        <v>Kingston Ram</v>
      </c>
      <c r="G472" s="53">
        <v>1</v>
      </c>
      <c r="H472" s="165">
        <f>VLOOKUP(Sales[[#This Row],[Product ID]],Product[#All],7,0)</f>
        <v>4750</v>
      </c>
      <c r="I472" s="165">
        <f>Sales[[#This Row],[Selling Rate]]*Sales[[#This Row],[Qty]]</f>
        <v>4750</v>
      </c>
      <c r="J472" s="45">
        <v>0.15</v>
      </c>
      <c r="K472" s="46">
        <f>Sales[[#This Row],[Gross Amount]]*Sales[[#This Row],[Disc %]]</f>
        <v>712.5</v>
      </c>
      <c r="L472" s="43">
        <v>0.18</v>
      </c>
      <c r="M472" s="46">
        <f>(Sales[[#This Row],[Gross Amount]]-Sales[[#This Row],[Disc. Amt.]])*Sales[[#This Row],[GST %]]</f>
        <v>726.75</v>
      </c>
      <c r="N472" s="161">
        <f>Sales[[#This Row],[Gross Amount]]-Sales[[#This Row],[Disc. Amt.]]+Sales[[#This Row],[GST Amount]]</f>
        <v>4764.25</v>
      </c>
      <c r="O472" s="34" t="s">
        <v>8876</v>
      </c>
      <c r="P472" s="34" t="s">
        <v>3562</v>
      </c>
      <c r="Q472" s="165">
        <f>IF(Sales[[#This Row],[Status]]="Cancelled",0,Sales[[#This Row],[Qty]])</f>
        <v>1</v>
      </c>
      <c r="R472" s="166">
        <f>IF(Sales[[#This Row],[Status]]="Cancelled",0,Sales[[#This Row],[Total Amount]])</f>
        <v>4764.25</v>
      </c>
      <c r="S472" s="162">
        <f>SUM(Sales[Net Amount])</f>
        <v>406839287.73200053</v>
      </c>
    </row>
    <row r="473" spans="1:19" ht="18.75" x14ac:dyDescent="0.25">
      <c r="A473" s="156" t="s">
        <v>4044</v>
      </c>
      <c r="B473" s="157">
        <v>45802</v>
      </c>
      <c r="C473" s="158" t="s">
        <v>756</v>
      </c>
      <c r="D473" s="159" t="str">
        <f>VLOOKUP(Sales[[#This Row],[Customer ID]],Customer[#All],2,0)</f>
        <v>Amit Patel</v>
      </c>
      <c r="E473" s="158" t="s">
        <v>153</v>
      </c>
      <c r="F473" s="158" t="str">
        <f>VLOOKUP(Sales[[#This Row],[Product ID]],Product[#All],2,0)</f>
        <v>HP Mouse</v>
      </c>
      <c r="G473" s="159">
        <v>2</v>
      </c>
      <c r="H473" s="160">
        <f>VLOOKUP(Sales[[#This Row],[Product ID]],Product[#All],7,0)</f>
        <v>1070</v>
      </c>
      <c r="I473" s="160">
        <f>Sales[[#This Row],[Selling Rate]]*Sales[[#This Row],[Qty]]</f>
        <v>2140</v>
      </c>
      <c r="J473" s="43">
        <v>0.02</v>
      </c>
      <c r="K473" s="44">
        <f>Sales[[#This Row],[Gross Amount]]*Sales[[#This Row],[Disc %]]</f>
        <v>42.800000000000004</v>
      </c>
      <c r="L473" s="43">
        <v>0.18</v>
      </c>
      <c r="M473" s="44">
        <f>(Sales[[#This Row],[Gross Amount]]-Sales[[#This Row],[Disc. Amt.]])*Sales[[#This Row],[GST %]]</f>
        <v>377.49599999999998</v>
      </c>
      <c r="N473" s="161">
        <f>Sales[[#This Row],[Gross Amount]]-Sales[[#This Row],[Disc. Amt.]]+Sales[[#This Row],[GST Amount]]</f>
        <v>2474.6959999999999</v>
      </c>
      <c r="O473" s="158" t="s">
        <v>3566</v>
      </c>
      <c r="P473" s="158" t="s">
        <v>3562</v>
      </c>
      <c r="Q473" s="160">
        <f>IF(Sales[[#This Row],[Status]]="Cancelled",0,Sales[[#This Row],[Qty]])</f>
        <v>2</v>
      </c>
      <c r="R473" s="161">
        <f>IF(Sales[[#This Row],[Status]]="Cancelled",0,Sales[[#This Row],[Total Amount]])</f>
        <v>2474.6959999999999</v>
      </c>
      <c r="S473" s="162">
        <f>SUM(Sales[Net Amount])</f>
        <v>406839287.73200053</v>
      </c>
    </row>
    <row r="474" spans="1:19" ht="18.75" x14ac:dyDescent="0.25">
      <c r="A474" s="163" t="s">
        <v>4045</v>
      </c>
      <c r="B474" s="164">
        <v>45802</v>
      </c>
      <c r="C474" s="34" t="s">
        <v>848</v>
      </c>
      <c r="D474" s="53" t="str">
        <f>VLOOKUP(Sales[[#This Row],[Customer ID]],Customer[#All],2,0)</f>
        <v>Rakesh Patel</v>
      </c>
      <c r="E474" s="34" t="s">
        <v>222</v>
      </c>
      <c r="F474" s="34" t="str">
        <f>VLOOKUP(Sales[[#This Row],[Product ID]],Product[#All],2,0)</f>
        <v>Jbl Headset</v>
      </c>
      <c r="G474" s="53">
        <v>1</v>
      </c>
      <c r="H474" s="165">
        <f>VLOOKUP(Sales[[#This Row],[Product ID]],Product[#All],7,0)</f>
        <v>8550</v>
      </c>
      <c r="I474" s="165">
        <f>Sales[[#This Row],[Selling Rate]]*Sales[[#This Row],[Qty]]</f>
        <v>8550</v>
      </c>
      <c r="J474" s="45">
        <v>0.12</v>
      </c>
      <c r="K474" s="46">
        <f>Sales[[#This Row],[Gross Amount]]*Sales[[#This Row],[Disc %]]</f>
        <v>1026</v>
      </c>
      <c r="L474" s="43">
        <v>0.18</v>
      </c>
      <c r="M474" s="46">
        <f>(Sales[[#This Row],[Gross Amount]]-Sales[[#This Row],[Disc. Amt.]])*Sales[[#This Row],[GST %]]</f>
        <v>1354.32</v>
      </c>
      <c r="N474" s="161">
        <f>Sales[[#This Row],[Gross Amount]]-Sales[[#This Row],[Disc. Amt.]]+Sales[[#This Row],[GST Amount]]</f>
        <v>8878.32</v>
      </c>
      <c r="O474" s="34" t="s">
        <v>3561</v>
      </c>
      <c r="P474" s="34" t="s">
        <v>3562</v>
      </c>
      <c r="Q474" s="165">
        <f>IF(Sales[[#This Row],[Status]]="Cancelled",0,Sales[[#This Row],[Qty]])</f>
        <v>1</v>
      </c>
      <c r="R474" s="166">
        <f>IF(Sales[[#This Row],[Status]]="Cancelled",0,Sales[[#This Row],[Total Amount]])</f>
        <v>8878.32</v>
      </c>
      <c r="S474" s="162">
        <f>SUM(Sales[Net Amount])</f>
        <v>406839287.73200053</v>
      </c>
    </row>
    <row r="475" spans="1:19" ht="18.75" x14ac:dyDescent="0.25">
      <c r="A475" s="156" t="s">
        <v>4046</v>
      </c>
      <c r="B475" s="157">
        <v>45803</v>
      </c>
      <c r="C475" s="158" t="s">
        <v>693</v>
      </c>
      <c r="D475" s="159" t="str">
        <f>VLOOKUP(Sales[[#This Row],[Customer ID]],Customer[#All],2,0)</f>
        <v>Rahul Gupta</v>
      </c>
      <c r="E475" s="158" t="s">
        <v>532</v>
      </c>
      <c r="F475" s="158" t="str">
        <f>VLOOKUP(Sales[[#This Row],[Product ID]],Product[#All],2,0)</f>
        <v>Dell Laptop</v>
      </c>
      <c r="G475" s="159">
        <v>3</v>
      </c>
      <c r="H475" s="160">
        <f>VLOOKUP(Sales[[#This Row],[Product ID]],Product[#All],7,0)</f>
        <v>47550</v>
      </c>
      <c r="I475" s="160">
        <f>Sales[[#This Row],[Selling Rate]]*Sales[[#This Row],[Qty]]</f>
        <v>142650</v>
      </c>
      <c r="J475" s="43">
        <v>0</v>
      </c>
      <c r="K475" s="44">
        <f>Sales[[#This Row],[Gross Amount]]*Sales[[#This Row],[Disc %]]</f>
        <v>0</v>
      </c>
      <c r="L475" s="43">
        <v>0.18</v>
      </c>
      <c r="M475" s="44">
        <f>(Sales[[#This Row],[Gross Amount]]-Sales[[#This Row],[Disc. Amt.]])*Sales[[#This Row],[GST %]]</f>
        <v>25677</v>
      </c>
      <c r="N475" s="161">
        <f>Sales[[#This Row],[Gross Amount]]-Sales[[#This Row],[Disc. Amt.]]+Sales[[#This Row],[GST Amount]]</f>
        <v>168327</v>
      </c>
      <c r="O475" s="158" t="s">
        <v>3566</v>
      </c>
      <c r="P475" s="158" t="s">
        <v>3562</v>
      </c>
      <c r="Q475" s="160">
        <f>IF(Sales[[#This Row],[Status]]="Cancelled",0,Sales[[#This Row],[Qty]])</f>
        <v>3</v>
      </c>
      <c r="R475" s="161">
        <f>IF(Sales[[#This Row],[Status]]="Cancelled",0,Sales[[#This Row],[Total Amount]])</f>
        <v>168327</v>
      </c>
      <c r="S475" s="162">
        <f>SUM(Sales[Net Amount])</f>
        <v>406839287.73200053</v>
      </c>
    </row>
    <row r="476" spans="1:19" ht="18.75" x14ac:dyDescent="0.25">
      <c r="A476" s="163" t="s">
        <v>4047</v>
      </c>
      <c r="B476" s="164">
        <v>45803</v>
      </c>
      <c r="C476" s="34" t="s">
        <v>880</v>
      </c>
      <c r="D476" s="53" t="str">
        <f>VLOOKUP(Sales[[#This Row],[Customer ID]],Customer[#All],2,0)</f>
        <v>Rahul Sharma</v>
      </c>
      <c r="E476" s="34" t="s">
        <v>522</v>
      </c>
      <c r="F476" s="34" t="str">
        <f>VLOOKUP(Sales[[#This Row],[Product ID]],Product[#All],2,0)</f>
        <v>Dell Keyboard</v>
      </c>
      <c r="G476" s="53">
        <v>7</v>
      </c>
      <c r="H476" s="165">
        <f>VLOOKUP(Sales[[#This Row],[Product ID]],Product[#All],7,0)</f>
        <v>3020</v>
      </c>
      <c r="I476" s="165">
        <f>Sales[[#This Row],[Selling Rate]]*Sales[[#This Row],[Qty]]</f>
        <v>21140</v>
      </c>
      <c r="J476" s="45">
        <v>0</v>
      </c>
      <c r="K476" s="46">
        <f>Sales[[#This Row],[Gross Amount]]*Sales[[#This Row],[Disc %]]</f>
        <v>0</v>
      </c>
      <c r="L476" s="43">
        <v>0.18</v>
      </c>
      <c r="M476" s="46">
        <f>(Sales[[#This Row],[Gross Amount]]-Sales[[#This Row],[Disc. Amt.]])*Sales[[#This Row],[GST %]]</f>
        <v>3805.2</v>
      </c>
      <c r="N476" s="161">
        <f>Sales[[#This Row],[Gross Amount]]-Sales[[#This Row],[Disc. Amt.]]+Sales[[#This Row],[GST Amount]]</f>
        <v>24945.200000000001</v>
      </c>
      <c r="O476" s="34" t="s">
        <v>3566</v>
      </c>
      <c r="P476" s="34" t="s">
        <v>3562</v>
      </c>
      <c r="Q476" s="165">
        <f>IF(Sales[[#This Row],[Status]]="Cancelled",0,Sales[[#This Row],[Qty]])</f>
        <v>7</v>
      </c>
      <c r="R476" s="166">
        <f>IF(Sales[[#This Row],[Status]]="Cancelled",0,Sales[[#This Row],[Total Amount]])</f>
        <v>24945.200000000001</v>
      </c>
      <c r="S476" s="162">
        <f>SUM(Sales[Net Amount])</f>
        <v>406839287.73200053</v>
      </c>
    </row>
    <row r="477" spans="1:19" ht="18.75" x14ac:dyDescent="0.25">
      <c r="A477" s="156" t="s">
        <v>4048</v>
      </c>
      <c r="B477" s="157">
        <v>45803</v>
      </c>
      <c r="C477" s="158" t="s">
        <v>710</v>
      </c>
      <c r="D477" s="159" t="str">
        <f>VLOOKUP(Sales[[#This Row],[Customer ID]],Customer[#All],2,0)</f>
        <v>Sunita Patel</v>
      </c>
      <c r="E477" s="158" t="s">
        <v>553</v>
      </c>
      <c r="F477" s="158" t="str">
        <f>VLOOKUP(Sales[[#This Row],[Product ID]],Product[#All],2,0)</f>
        <v>Logitech Webcam</v>
      </c>
      <c r="G477" s="159">
        <v>7</v>
      </c>
      <c r="H477" s="160">
        <f>VLOOKUP(Sales[[#This Row],[Product ID]],Product[#All],7,0)</f>
        <v>3820</v>
      </c>
      <c r="I477" s="160">
        <f>Sales[[#This Row],[Selling Rate]]*Sales[[#This Row],[Qty]]</f>
        <v>26740</v>
      </c>
      <c r="J477" s="43">
        <v>0.15</v>
      </c>
      <c r="K477" s="44">
        <f>Sales[[#This Row],[Gross Amount]]*Sales[[#This Row],[Disc %]]</f>
        <v>4011</v>
      </c>
      <c r="L477" s="43">
        <v>0.18</v>
      </c>
      <c r="M477" s="44">
        <f>(Sales[[#This Row],[Gross Amount]]-Sales[[#This Row],[Disc. Amt.]])*Sales[[#This Row],[GST %]]</f>
        <v>4091.22</v>
      </c>
      <c r="N477" s="161">
        <f>Sales[[#This Row],[Gross Amount]]-Sales[[#This Row],[Disc. Amt.]]+Sales[[#This Row],[GST Amount]]</f>
        <v>26820.22</v>
      </c>
      <c r="O477" s="158" t="s">
        <v>3561</v>
      </c>
      <c r="P477" s="158" t="s">
        <v>3562</v>
      </c>
      <c r="Q477" s="160">
        <f>IF(Sales[[#This Row],[Status]]="Cancelled",0,Sales[[#This Row],[Qty]])</f>
        <v>7</v>
      </c>
      <c r="R477" s="161">
        <f>IF(Sales[[#This Row],[Status]]="Cancelled",0,Sales[[#This Row],[Total Amount]])</f>
        <v>26820.22</v>
      </c>
      <c r="S477" s="162">
        <f>SUM(Sales[Net Amount])</f>
        <v>406839287.73200053</v>
      </c>
    </row>
    <row r="478" spans="1:19" ht="18.75" x14ac:dyDescent="0.25">
      <c r="A478" s="163" t="s">
        <v>4049</v>
      </c>
      <c r="B478" s="164">
        <v>45803</v>
      </c>
      <c r="C478" s="34" t="s">
        <v>871</v>
      </c>
      <c r="D478" s="53" t="str">
        <f>VLOOKUP(Sales[[#This Row],[Customer ID]],Customer[#All],2,0)</f>
        <v>Rakesh Kumar</v>
      </c>
      <c r="E478" s="34" t="s">
        <v>481</v>
      </c>
      <c r="F478" s="34" t="str">
        <f>VLOOKUP(Sales[[#This Row],[Product ID]],Product[#All],2,0)</f>
        <v>Dell Laptop</v>
      </c>
      <c r="G478" s="53">
        <v>2</v>
      </c>
      <c r="H478" s="165">
        <f>VLOOKUP(Sales[[#This Row],[Product ID]],Product[#All],7,0)</f>
        <v>36050</v>
      </c>
      <c r="I478" s="165">
        <f>Sales[[#This Row],[Selling Rate]]*Sales[[#This Row],[Qty]]</f>
        <v>72100</v>
      </c>
      <c r="J478" s="45">
        <v>0</v>
      </c>
      <c r="K478" s="46">
        <f>Sales[[#This Row],[Gross Amount]]*Sales[[#This Row],[Disc %]]</f>
        <v>0</v>
      </c>
      <c r="L478" s="43">
        <v>0.18</v>
      </c>
      <c r="M478" s="46">
        <f>(Sales[[#This Row],[Gross Amount]]-Sales[[#This Row],[Disc. Amt.]])*Sales[[#This Row],[GST %]]</f>
        <v>12978</v>
      </c>
      <c r="N478" s="161">
        <f>Sales[[#This Row],[Gross Amount]]-Sales[[#This Row],[Disc. Amt.]]+Sales[[#This Row],[GST Amount]]</f>
        <v>85078</v>
      </c>
      <c r="O478" s="34" t="s">
        <v>8876</v>
      </c>
      <c r="P478" s="34" t="s">
        <v>3562</v>
      </c>
      <c r="Q478" s="165">
        <f>IF(Sales[[#This Row],[Status]]="Cancelled",0,Sales[[#This Row],[Qty]])</f>
        <v>2</v>
      </c>
      <c r="R478" s="166">
        <f>IF(Sales[[#This Row],[Status]]="Cancelled",0,Sales[[#This Row],[Total Amount]])</f>
        <v>85078</v>
      </c>
      <c r="S478" s="162">
        <f>SUM(Sales[Net Amount])</f>
        <v>406839287.73200053</v>
      </c>
    </row>
    <row r="479" spans="1:19" ht="18.75" x14ac:dyDescent="0.25">
      <c r="A479" s="156" t="s">
        <v>4050</v>
      </c>
      <c r="B479" s="157">
        <v>45803</v>
      </c>
      <c r="C479" s="158" t="s">
        <v>840</v>
      </c>
      <c r="D479" s="159" t="str">
        <f>VLOOKUP(Sales[[#This Row],[Customer ID]],Customer[#All],2,0)</f>
        <v>Rakesh Verma</v>
      </c>
      <c r="E479" s="158" t="s">
        <v>462</v>
      </c>
      <c r="F479" s="158" t="str">
        <f>VLOOKUP(Sales[[#This Row],[Product ID]],Product[#All],2,0)</f>
        <v>Dell Keyboard</v>
      </c>
      <c r="G479" s="159">
        <v>8</v>
      </c>
      <c r="H479" s="160">
        <f>VLOOKUP(Sales[[#This Row],[Product ID]],Product[#All],7,0)</f>
        <v>2730</v>
      </c>
      <c r="I479" s="160">
        <f>Sales[[#This Row],[Selling Rate]]*Sales[[#This Row],[Qty]]</f>
        <v>21840</v>
      </c>
      <c r="J479" s="43">
        <v>0.12</v>
      </c>
      <c r="K479" s="44">
        <f>Sales[[#This Row],[Gross Amount]]*Sales[[#This Row],[Disc %]]</f>
        <v>2620.7999999999997</v>
      </c>
      <c r="L479" s="43">
        <v>0.18</v>
      </c>
      <c r="M479" s="44">
        <f>(Sales[[#This Row],[Gross Amount]]-Sales[[#This Row],[Disc. Amt.]])*Sales[[#This Row],[GST %]]</f>
        <v>3459.4560000000001</v>
      </c>
      <c r="N479" s="161">
        <f>Sales[[#This Row],[Gross Amount]]-Sales[[#This Row],[Disc. Amt.]]+Sales[[#This Row],[GST Amount]]</f>
        <v>22678.656000000003</v>
      </c>
      <c r="O479" s="158" t="s">
        <v>8876</v>
      </c>
      <c r="P479" s="158" t="s">
        <v>3562</v>
      </c>
      <c r="Q479" s="160">
        <f>IF(Sales[[#This Row],[Status]]="Cancelled",0,Sales[[#This Row],[Qty]])</f>
        <v>8</v>
      </c>
      <c r="R479" s="161">
        <f>IF(Sales[[#This Row],[Status]]="Cancelled",0,Sales[[#This Row],[Total Amount]])</f>
        <v>22678.656000000003</v>
      </c>
      <c r="S479" s="162">
        <f>SUM(Sales[Net Amount])</f>
        <v>406839287.73200053</v>
      </c>
    </row>
    <row r="480" spans="1:19" ht="18.75" x14ac:dyDescent="0.25">
      <c r="A480" s="163" t="s">
        <v>4051</v>
      </c>
      <c r="B480" s="164">
        <v>45803</v>
      </c>
      <c r="C480" s="34" t="s">
        <v>807</v>
      </c>
      <c r="D480" s="53" t="str">
        <f>VLOOKUP(Sales[[#This Row],[Customer ID]],Customer[#All],2,0)</f>
        <v>Rakesh Patel</v>
      </c>
      <c r="E480" s="34" t="s">
        <v>151</v>
      </c>
      <c r="F480" s="34" t="str">
        <f>VLOOKUP(Sales[[#This Row],[Product ID]],Product[#All],2,0)</f>
        <v>Jbl Speaker</v>
      </c>
      <c r="G480" s="53">
        <v>7</v>
      </c>
      <c r="H480" s="165">
        <f>VLOOKUP(Sales[[#This Row],[Product ID]],Product[#All],7,0)</f>
        <v>7010</v>
      </c>
      <c r="I480" s="165">
        <f>Sales[[#This Row],[Selling Rate]]*Sales[[#This Row],[Qty]]</f>
        <v>49070</v>
      </c>
      <c r="J480" s="45">
        <v>0.05</v>
      </c>
      <c r="K480" s="46">
        <f>Sales[[#This Row],[Gross Amount]]*Sales[[#This Row],[Disc %]]</f>
        <v>2453.5</v>
      </c>
      <c r="L480" s="43">
        <v>0.18</v>
      </c>
      <c r="M480" s="46">
        <f>(Sales[[#This Row],[Gross Amount]]-Sales[[#This Row],[Disc. Amt.]])*Sales[[#This Row],[GST %]]</f>
        <v>8390.9699999999993</v>
      </c>
      <c r="N480" s="161">
        <f>Sales[[#This Row],[Gross Amount]]-Sales[[#This Row],[Disc. Amt.]]+Sales[[#This Row],[GST Amount]]</f>
        <v>55007.47</v>
      </c>
      <c r="O480" s="34" t="s">
        <v>3566</v>
      </c>
      <c r="P480" s="34" t="s">
        <v>3562</v>
      </c>
      <c r="Q480" s="165">
        <f>IF(Sales[[#This Row],[Status]]="Cancelled",0,Sales[[#This Row],[Qty]])</f>
        <v>7</v>
      </c>
      <c r="R480" s="166">
        <f>IF(Sales[[#This Row],[Status]]="Cancelled",0,Sales[[#This Row],[Total Amount]])</f>
        <v>55007.47</v>
      </c>
      <c r="S480" s="162">
        <f>SUM(Sales[Net Amount])</f>
        <v>406839287.73200053</v>
      </c>
    </row>
    <row r="481" spans="1:19" ht="18.75" x14ac:dyDescent="0.25">
      <c r="A481" s="156" t="s">
        <v>4052</v>
      </c>
      <c r="B481" s="157">
        <v>45803</v>
      </c>
      <c r="C481" s="158" t="s">
        <v>872</v>
      </c>
      <c r="D481" s="159" t="str">
        <f>VLOOKUP(Sales[[#This Row],[Customer ID]],Customer[#All],2,0)</f>
        <v>Rahul Verma</v>
      </c>
      <c r="E481" s="158" t="s">
        <v>334</v>
      </c>
      <c r="F481" s="158" t="str">
        <f>VLOOKUP(Sales[[#This Row],[Product ID]],Product[#All],2,0)</f>
        <v>Jbl Headset</v>
      </c>
      <c r="G481" s="159">
        <v>8</v>
      </c>
      <c r="H481" s="160">
        <f>VLOOKUP(Sales[[#This Row],[Product ID]],Product[#All],7,0)</f>
        <v>3150</v>
      </c>
      <c r="I481" s="160">
        <f>Sales[[#This Row],[Selling Rate]]*Sales[[#This Row],[Qty]]</f>
        <v>25200</v>
      </c>
      <c r="J481" s="43">
        <v>0.02</v>
      </c>
      <c r="K481" s="44">
        <f>Sales[[#This Row],[Gross Amount]]*Sales[[#This Row],[Disc %]]</f>
        <v>504</v>
      </c>
      <c r="L481" s="43">
        <v>0.18</v>
      </c>
      <c r="M481" s="44">
        <f>(Sales[[#This Row],[Gross Amount]]-Sales[[#This Row],[Disc. Amt.]])*Sales[[#This Row],[GST %]]</f>
        <v>4445.28</v>
      </c>
      <c r="N481" s="161">
        <f>Sales[[#This Row],[Gross Amount]]-Sales[[#This Row],[Disc. Amt.]]+Sales[[#This Row],[GST Amount]]</f>
        <v>29141.279999999999</v>
      </c>
      <c r="O481" s="158" t="s">
        <v>3569</v>
      </c>
      <c r="P481" s="158" t="s">
        <v>3562</v>
      </c>
      <c r="Q481" s="160">
        <f>IF(Sales[[#This Row],[Status]]="Cancelled",0,Sales[[#This Row],[Qty]])</f>
        <v>8</v>
      </c>
      <c r="R481" s="161">
        <f>IF(Sales[[#This Row],[Status]]="Cancelled",0,Sales[[#This Row],[Total Amount]])</f>
        <v>29141.279999999999</v>
      </c>
      <c r="S481" s="162">
        <f>SUM(Sales[Net Amount])</f>
        <v>406839287.73200053</v>
      </c>
    </row>
    <row r="482" spans="1:19" ht="18.75" x14ac:dyDescent="0.25">
      <c r="A482" s="163" t="s">
        <v>4053</v>
      </c>
      <c r="B482" s="164">
        <v>45803</v>
      </c>
      <c r="C482" s="34" t="s">
        <v>4054</v>
      </c>
      <c r="D482" s="53" t="str">
        <f>VLOOKUP(Sales[[#This Row],[Customer ID]],Customer[#All],2,0)</f>
        <v>Pooja Patel</v>
      </c>
      <c r="E482" s="34" t="s">
        <v>240</v>
      </c>
      <c r="F482" s="34" t="str">
        <f>VLOOKUP(Sales[[#This Row],[Product ID]],Product[#All],2,0)</f>
        <v>Crucial Ssd</v>
      </c>
      <c r="G482" s="53">
        <v>4</v>
      </c>
      <c r="H482" s="165">
        <f>VLOOKUP(Sales[[#This Row],[Product ID]],Product[#All],7,0)</f>
        <v>3310</v>
      </c>
      <c r="I482" s="165">
        <f>Sales[[#This Row],[Selling Rate]]*Sales[[#This Row],[Qty]]</f>
        <v>13240</v>
      </c>
      <c r="J482" s="45">
        <v>0.05</v>
      </c>
      <c r="K482" s="46">
        <f>Sales[[#This Row],[Gross Amount]]*Sales[[#This Row],[Disc %]]</f>
        <v>662</v>
      </c>
      <c r="L482" s="43">
        <v>0.18</v>
      </c>
      <c r="M482" s="46">
        <f>(Sales[[#This Row],[Gross Amount]]-Sales[[#This Row],[Disc. Amt.]])*Sales[[#This Row],[GST %]]</f>
        <v>2264.04</v>
      </c>
      <c r="N482" s="161">
        <f>Sales[[#This Row],[Gross Amount]]-Sales[[#This Row],[Disc. Amt.]]+Sales[[#This Row],[GST Amount]]</f>
        <v>14842.04</v>
      </c>
      <c r="O482" s="34" t="s">
        <v>3561</v>
      </c>
      <c r="P482" s="34" t="s">
        <v>3562</v>
      </c>
      <c r="Q482" s="165">
        <f>IF(Sales[[#This Row],[Status]]="Cancelled",0,Sales[[#This Row],[Qty]])</f>
        <v>4</v>
      </c>
      <c r="R482" s="166">
        <f>IF(Sales[[#This Row],[Status]]="Cancelled",0,Sales[[#This Row],[Total Amount]])</f>
        <v>14842.04</v>
      </c>
      <c r="S482" s="162">
        <f>SUM(Sales[Net Amount])</f>
        <v>406839287.73200053</v>
      </c>
    </row>
    <row r="483" spans="1:19" ht="18.75" x14ac:dyDescent="0.25">
      <c r="A483" s="156" t="s">
        <v>4055</v>
      </c>
      <c r="B483" s="157">
        <v>45803</v>
      </c>
      <c r="C483" s="158" t="s">
        <v>792</v>
      </c>
      <c r="D483" s="159" t="str">
        <f>VLOOKUP(Sales[[#This Row],[Customer ID]],Customer[#All],2,0)</f>
        <v>Pooja Sharma</v>
      </c>
      <c r="E483" s="158" t="s">
        <v>193</v>
      </c>
      <c r="F483" s="158" t="str">
        <f>VLOOKUP(Sales[[#This Row],[Product ID]],Product[#All],2,0)</f>
        <v>Apc UPS</v>
      </c>
      <c r="G483" s="159">
        <v>6</v>
      </c>
      <c r="H483" s="160">
        <f>VLOOKUP(Sales[[#This Row],[Product ID]],Product[#All],7,0)</f>
        <v>18760</v>
      </c>
      <c r="I483" s="160">
        <f>Sales[[#This Row],[Selling Rate]]*Sales[[#This Row],[Qty]]</f>
        <v>112560</v>
      </c>
      <c r="J483" s="43">
        <v>0.1</v>
      </c>
      <c r="K483" s="44">
        <f>Sales[[#This Row],[Gross Amount]]*Sales[[#This Row],[Disc %]]</f>
        <v>11256</v>
      </c>
      <c r="L483" s="43">
        <v>0.18</v>
      </c>
      <c r="M483" s="44">
        <f>(Sales[[#This Row],[Gross Amount]]-Sales[[#This Row],[Disc. Amt.]])*Sales[[#This Row],[GST %]]</f>
        <v>18234.719999999998</v>
      </c>
      <c r="N483" s="161">
        <f>Sales[[#This Row],[Gross Amount]]-Sales[[#This Row],[Disc. Amt.]]+Sales[[#This Row],[GST Amount]]</f>
        <v>119538.72</v>
      </c>
      <c r="O483" s="158" t="s">
        <v>3566</v>
      </c>
      <c r="P483" s="158" t="s">
        <v>3562</v>
      </c>
      <c r="Q483" s="160">
        <f>IF(Sales[[#This Row],[Status]]="Cancelled",0,Sales[[#This Row],[Qty]])</f>
        <v>6</v>
      </c>
      <c r="R483" s="161">
        <f>IF(Sales[[#This Row],[Status]]="Cancelled",0,Sales[[#This Row],[Total Amount]])</f>
        <v>119538.72</v>
      </c>
      <c r="S483" s="162">
        <f>SUM(Sales[Net Amount])</f>
        <v>406839287.73200053</v>
      </c>
    </row>
    <row r="484" spans="1:19" ht="18.75" x14ac:dyDescent="0.25">
      <c r="A484" s="163" t="s">
        <v>4056</v>
      </c>
      <c r="B484" s="164">
        <v>45803</v>
      </c>
      <c r="C484" s="34" t="s">
        <v>686</v>
      </c>
      <c r="D484" s="53" t="str">
        <f>VLOOKUP(Sales[[#This Row],[Customer ID]],Customer[#All],2,0)</f>
        <v>Priya Gupta</v>
      </c>
      <c r="E484" s="34" t="s">
        <v>184</v>
      </c>
      <c r="F484" s="34" t="str">
        <f>VLOOKUP(Sales[[#This Row],[Product ID]],Product[#All],2,0)</f>
        <v>Seagate HDD</v>
      </c>
      <c r="G484" s="53">
        <v>2</v>
      </c>
      <c r="H484" s="165">
        <f>VLOOKUP(Sales[[#This Row],[Product ID]],Product[#All],7,0)</f>
        <v>11550</v>
      </c>
      <c r="I484" s="165">
        <f>Sales[[#This Row],[Selling Rate]]*Sales[[#This Row],[Qty]]</f>
        <v>23100</v>
      </c>
      <c r="J484" s="45">
        <v>0</v>
      </c>
      <c r="K484" s="46">
        <f>Sales[[#This Row],[Gross Amount]]*Sales[[#This Row],[Disc %]]</f>
        <v>0</v>
      </c>
      <c r="L484" s="43">
        <v>0.18</v>
      </c>
      <c r="M484" s="46">
        <f>(Sales[[#This Row],[Gross Amount]]-Sales[[#This Row],[Disc. Amt.]])*Sales[[#This Row],[GST %]]</f>
        <v>4158</v>
      </c>
      <c r="N484" s="161">
        <f>Sales[[#This Row],[Gross Amount]]-Sales[[#This Row],[Disc. Amt.]]+Sales[[#This Row],[GST Amount]]</f>
        <v>27258</v>
      </c>
      <c r="O484" s="34" t="s">
        <v>3569</v>
      </c>
      <c r="P484" s="34" t="s">
        <v>3562</v>
      </c>
      <c r="Q484" s="165">
        <f>IF(Sales[[#This Row],[Status]]="Cancelled",0,Sales[[#This Row],[Qty]])</f>
        <v>2</v>
      </c>
      <c r="R484" s="166">
        <f>IF(Sales[[#This Row],[Status]]="Cancelled",0,Sales[[#This Row],[Total Amount]])</f>
        <v>27258</v>
      </c>
      <c r="S484" s="162">
        <f>SUM(Sales[Net Amount])</f>
        <v>406839287.73200053</v>
      </c>
    </row>
    <row r="485" spans="1:19" ht="18.75" x14ac:dyDescent="0.25">
      <c r="A485" s="156" t="s">
        <v>4057</v>
      </c>
      <c r="B485" s="157">
        <v>45803</v>
      </c>
      <c r="C485" s="158" t="s">
        <v>934</v>
      </c>
      <c r="D485" s="159" t="str">
        <f>VLOOKUP(Sales[[#This Row],[Customer ID]],Customer[#All],2,0)</f>
        <v>Pooja Singh</v>
      </c>
      <c r="E485" s="158" t="s">
        <v>363</v>
      </c>
      <c r="F485" s="158" t="str">
        <f>VLOOKUP(Sales[[#This Row],[Product ID]],Product[#All],2,0)</f>
        <v>Dell Desktop</v>
      </c>
      <c r="G485" s="159">
        <v>4</v>
      </c>
      <c r="H485" s="160">
        <f>VLOOKUP(Sales[[#This Row],[Product ID]],Product[#All],7,0)</f>
        <v>37430</v>
      </c>
      <c r="I485" s="160">
        <f>Sales[[#This Row],[Selling Rate]]*Sales[[#This Row],[Qty]]</f>
        <v>149720</v>
      </c>
      <c r="J485" s="43">
        <v>0.12</v>
      </c>
      <c r="K485" s="44">
        <f>Sales[[#This Row],[Gross Amount]]*Sales[[#This Row],[Disc %]]</f>
        <v>17966.399999999998</v>
      </c>
      <c r="L485" s="43">
        <v>0.18</v>
      </c>
      <c r="M485" s="44">
        <f>(Sales[[#This Row],[Gross Amount]]-Sales[[#This Row],[Disc. Amt.]])*Sales[[#This Row],[GST %]]</f>
        <v>23715.648000000001</v>
      </c>
      <c r="N485" s="161">
        <f>Sales[[#This Row],[Gross Amount]]-Sales[[#This Row],[Disc. Amt.]]+Sales[[#This Row],[GST Amount]]</f>
        <v>155469.24800000002</v>
      </c>
      <c r="O485" s="158" t="s">
        <v>8876</v>
      </c>
      <c r="P485" s="158" t="s">
        <v>3562</v>
      </c>
      <c r="Q485" s="160">
        <f>IF(Sales[[#This Row],[Status]]="Cancelled",0,Sales[[#This Row],[Qty]])</f>
        <v>4</v>
      </c>
      <c r="R485" s="161">
        <f>IF(Sales[[#This Row],[Status]]="Cancelled",0,Sales[[#This Row],[Total Amount]])</f>
        <v>155469.24800000002</v>
      </c>
      <c r="S485" s="162">
        <f>SUM(Sales[Net Amount])</f>
        <v>406839287.73200053</v>
      </c>
    </row>
    <row r="486" spans="1:19" ht="18.75" x14ac:dyDescent="0.25">
      <c r="A486" s="163" t="s">
        <v>4058</v>
      </c>
      <c r="B486" s="164">
        <v>45803</v>
      </c>
      <c r="C486" s="34" t="s">
        <v>872</v>
      </c>
      <c r="D486" s="53" t="str">
        <f>VLOOKUP(Sales[[#This Row],[Customer ID]],Customer[#All],2,0)</f>
        <v>Rahul Verma</v>
      </c>
      <c r="E486" s="34" t="s">
        <v>438</v>
      </c>
      <c r="F486" s="34" t="str">
        <f>VLOOKUP(Sales[[#This Row],[Product ID]],Product[#All],2,0)</f>
        <v>Jbl Headset</v>
      </c>
      <c r="G486" s="53">
        <v>4</v>
      </c>
      <c r="H486" s="165">
        <f>VLOOKUP(Sales[[#This Row],[Product ID]],Product[#All],7,0)</f>
        <v>1670</v>
      </c>
      <c r="I486" s="165">
        <f>Sales[[#This Row],[Selling Rate]]*Sales[[#This Row],[Qty]]</f>
        <v>6680</v>
      </c>
      <c r="J486" s="45">
        <v>0.05</v>
      </c>
      <c r="K486" s="46">
        <f>Sales[[#This Row],[Gross Amount]]*Sales[[#This Row],[Disc %]]</f>
        <v>334</v>
      </c>
      <c r="L486" s="43">
        <v>0.18</v>
      </c>
      <c r="M486" s="46">
        <f>(Sales[[#This Row],[Gross Amount]]-Sales[[#This Row],[Disc. Amt.]])*Sales[[#This Row],[GST %]]</f>
        <v>1142.28</v>
      </c>
      <c r="N486" s="161">
        <f>Sales[[#This Row],[Gross Amount]]-Sales[[#This Row],[Disc. Amt.]]+Sales[[#This Row],[GST Amount]]</f>
        <v>7488.28</v>
      </c>
      <c r="O486" s="34" t="s">
        <v>3561</v>
      </c>
      <c r="P486" s="34" t="s">
        <v>3562</v>
      </c>
      <c r="Q486" s="165">
        <f>IF(Sales[[#This Row],[Status]]="Cancelled",0,Sales[[#This Row],[Qty]])</f>
        <v>4</v>
      </c>
      <c r="R486" s="166">
        <f>IF(Sales[[#This Row],[Status]]="Cancelled",0,Sales[[#This Row],[Total Amount]])</f>
        <v>7488.28</v>
      </c>
      <c r="S486" s="162">
        <f>SUM(Sales[Net Amount])</f>
        <v>406839287.73200053</v>
      </c>
    </row>
    <row r="487" spans="1:19" ht="18.75" x14ac:dyDescent="0.25">
      <c r="A487" s="156" t="s">
        <v>4059</v>
      </c>
      <c r="B487" s="157">
        <v>45803</v>
      </c>
      <c r="C487" s="158" t="s">
        <v>928</v>
      </c>
      <c r="D487" s="159" t="str">
        <f>VLOOKUP(Sales[[#This Row],[Customer ID]],Customer[#All],2,0)</f>
        <v>Rahul Kumar</v>
      </c>
      <c r="E487" s="158" t="s">
        <v>205</v>
      </c>
      <c r="F487" s="158" t="str">
        <f>VLOOKUP(Sales[[#This Row],[Product ID]],Product[#All],2,0)</f>
        <v>HP Power Adapter</v>
      </c>
      <c r="G487" s="159">
        <v>5</v>
      </c>
      <c r="H487" s="160">
        <f>VLOOKUP(Sales[[#This Row],[Product ID]],Product[#All],7,0)</f>
        <v>4820</v>
      </c>
      <c r="I487" s="160">
        <f>Sales[[#This Row],[Selling Rate]]*Sales[[#This Row],[Qty]]</f>
        <v>24100</v>
      </c>
      <c r="J487" s="43">
        <v>0.15</v>
      </c>
      <c r="K487" s="44">
        <f>Sales[[#This Row],[Gross Amount]]*Sales[[#This Row],[Disc %]]</f>
        <v>3615</v>
      </c>
      <c r="L487" s="43">
        <v>0.18</v>
      </c>
      <c r="M487" s="44">
        <f>(Sales[[#This Row],[Gross Amount]]-Sales[[#This Row],[Disc. Amt.]])*Sales[[#This Row],[GST %]]</f>
        <v>3687.2999999999997</v>
      </c>
      <c r="N487" s="161">
        <f>Sales[[#This Row],[Gross Amount]]-Sales[[#This Row],[Disc. Amt.]]+Sales[[#This Row],[GST Amount]]</f>
        <v>24172.3</v>
      </c>
      <c r="O487" s="158" t="s">
        <v>3569</v>
      </c>
      <c r="P487" s="158" t="s">
        <v>3562</v>
      </c>
      <c r="Q487" s="160">
        <f>IF(Sales[[#This Row],[Status]]="Cancelled",0,Sales[[#This Row],[Qty]])</f>
        <v>5</v>
      </c>
      <c r="R487" s="161">
        <f>IF(Sales[[#This Row],[Status]]="Cancelled",0,Sales[[#This Row],[Total Amount]])</f>
        <v>24172.3</v>
      </c>
      <c r="S487" s="162">
        <f>SUM(Sales[Net Amount])</f>
        <v>406839287.73200053</v>
      </c>
    </row>
    <row r="488" spans="1:19" ht="18.75" x14ac:dyDescent="0.25">
      <c r="A488" s="163" t="s">
        <v>4060</v>
      </c>
      <c r="B488" s="164">
        <v>45803</v>
      </c>
      <c r="C488" s="34" t="s">
        <v>841</v>
      </c>
      <c r="D488" s="53" t="str">
        <f>VLOOKUP(Sales[[#This Row],[Customer ID]],Customer[#All],2,0)</f>
        <v>Pooja Verma</v>
      </c>
      <c r="E488" s="34" t="s">
        <v>230</v>
      </c>
      <c r="F488" s="34" t="str">
        <f>VLOOKUP(Sales[[#This Row],[Product ID]],Product[#All],2,0)</f>
        <v>Dell Desktop</v>
      </c>
      <c r="G488" s="53">
        <v>4</v>
      </c>
      <c r="H488" s="165">
        <f>VLOOKUP(Sales[[#This Row],[Product ID]],Product[#All],7,0)</f>
        <v>69610</v>
      </c>
      <c r="I488" s="165">
        <f>Sales[[#This Row],[Selling Rate]]*Sales[[#This Row],[Qty]]</f>
        <v>278440</v>
      </c>
      <c r="J488" s="45">
        <v>0.1</v>
      </c>
      <c r="K488" s="46">
        <f>Sales[[#This Row],[Gross Amount]]*Sales[[#This Row],[Disc %]]</f>
        <v>27844</v>
      </c>
      <c r="L488" s="43">
        <v>0.18</v>
      </c>
      <c r="M488" s="46">
        <f>(Sales[[#This Row],[Gross Amount]]-Sales[[#This Row],[Disc. Amt.]])*Sales[[#This Row],[GST %]]</f>
        <v>45107.28</v>
      </c>
      <c r="N488" s="161">
        <f>Sales[[#This Row],[Gross Amount]]-Sales[[#This Row],[Disc. Amt.]]+Sales[[#This Row],[GST Amount]]</f>
        <v>295703.28000000003</v>
      </c>
      <c r="O488" s="34" t="s">
        <v>8876</v>
      </c>
      <c r="P488" s="34" t="s">
        <v>3562</v>
      </c>
      <c r="Q488" s="165">
        <f>IF(Sales[[#This Row],[Status]]="Cancelled",0,Sales[[#This Row],[Qty]])</f>
        <v>4</v>
      </c>
      <c r="R488" s="166">
        <f>IF(Sales[[#This Row],[Status]]="Cancelled",0,Sales[[#This Row],[Total Amount]])</f>
        <v>295703.28000000003</v>
      </c>
      <c r="S488" s="162">
        <f>SUM(Sales[Net Amount])</f>
        <v>406839287.73200053</v>
      </c>
    </row>
    <row r="489" spans="1:19" ht="18.75" x14ac:dyDescent="0.25">
      <c r="A489" s="156" t="s">
        <v>4061</v>
      </c>
      <c r="B489" s="157">
        <v>45803</v>
      </c>
      <c r="C489" s="158" t="s">
        <v>881</v>
      </c>
      <c r="D489" s="159" t="str">
        <f>VLOOKUP(Sales[[#This Row],[Customer ID]],Customer[#All],2,0)</f>
        <v>Vikas Verma</v>
      </c>
      <c r="E489" s="158" t="s">
        <v>270</v>
      </c>
      <c r="F489" s="158" t="str">
        <f>VLOOKUP(Sales[[#This Row],[Product ID]],Product[#All],2,0)</f>
        <v>Samsung Ssd</v>
      </c>
      <c r="G489" s="159">
        <v>5</v>
      </c>
      <c r="H489" s="160">
        <f>VLOOKUP(Sales[[#This Row],[Product ID]],Product[#All],7,0)</f>
        <v>6090</v>
      </c>
      <c r="I489" s="160">
        <f>Sales[[#This Row],[Selling Rate]]*Sales[[#This Row],[Qty]]</f>
        <v>30450</v>
      </c>
      <c r="J489" s="43">
        <v>0.15</v>
      </c>
      <c r="K489" s="44">
        <f>Sales[[#This Row],[Gross Amount]]*Sales[[#This Row],[Disc %]]</f>
        <v>4567.5</v>
      </c>
      <c r="L489" s="43">
        <v>0.18</v>
      </c>
      <c r="M489" s="44">
        <f>(Sales[[#This Row],[Gross Amount]]-Sales[[#This Row],[Disc. Amt.]])*Sales[[#This Row],[GST %]]</f>
        <v>4658.8499999999995</v>
      </c>
      <c r="N489" s="161">
        <f>Sales[[#This Row],[Gross Amount]]-Sales[[#This Row],[Disc. Amt.]]+Sales[[#This Row],[GST Amount]]</f>
        <v>30541.35</v>
      </c>
      <c r="O489" s="158" t="s">
        <v>3569</v>
      </c>
      <c r="P489" s="158" t="s">
        <v>3562</v>
      </c>
      <c r="Q489" s="160">
        <f>IF(Sales[[#This Row],[Status]]="Cancelled",0,Sales[[#This Row],[Qty]])</f>
        <v>5</v>
      </c>
      <c r="R489" s="161">
        <f>IF(Sales[[#This Row],[Status]]="Cancelled",0,Sales[[#This Row],[Total Amount]])</f>
        <v>30541.35</v>
      </c>
      <c r="S489" s="162">
        <f>SUM(Sales[Net Amount])</f>
        <v>406839287.73200053</v>
      </c>
    </row>
    <row r="490" spans="1:19" ht="18.75" x14ac:dyDescent="0.25">
      <c r="A490" s="163" t="s">
        <v>4062</v>
      </c>
      <c r="B490" s="164">
        <v>45803</v>
      </c>
      <c r="C490" s="34" t="s">
        <v>687</v>
      </c>
      <c r="D490" s="53" t="str">
        <f>VLOOKUP(Sales[[#This Row],[Customer ID]],Customer[#All],2,0)</f>
        <v>Rahul Verma</v>
      </c>
      <c r="E490" s="34" t="s">
        <v>79</v>
      </c>
      <c r="F490" s="34" t="str">
        <f>VLOOKUP(Sales[[#This Row],[Product ID]],Product[#All],2,0)</f>
        <v>Samsung Monitor</v>
      </c>
      <c r="G490" s="53">
        <v>3</v>
      </c>
      <c r="H490" s="165">
        <f>VLOOKUP(Sales[[#This Row],[Product ID]],Product[#All],7,0)</f>
        <v>32480</v>
      </c>
      <c r="I490" s="165">
        <f>Sales[[#This Row],[Selling Rate]]*Sales[[#This Row],[Qty]]</f>
        <v>97440</v>
      </c>
      <c r="J490" s="45">
        <v>0.15</v>
      </c>
      <c r="K490" s="46">
        <f>Sales[[#This Row],[Gross Amount]]*Sales[[#This Row],[Disc %]]</f>
        <v>14616</v>
      </c>
      <c r="L490" s="43">
        <v>0.18</v>
      </c>
      <c r="M490" s="46">
        <f>(Sales[[#This Row],[Gross Amount]]-Sales[[#This Row],[Disc. Amt.]])*Sales[[#This Row],[GST %]]</f>
        <v>14908.32</v>
      </c>
      <c r="N490" s="161">
        <f>Sales[[#This Row],[Gross Amount]]-Sales[[#This Row],[Disc. Amt.]]+Sales[[#This Row],[GST Amount]]</f>
        <v>97732.32</v>
      </c>
      <c r="O490" s="34" t="s">
        <v>3561</v>
      </c>
      <c r="P490" s="34" t="s">
        <v>3562</v>
      </c>
      <c r="Q490" s="165">
        <f>IF(Sales[[#This Row],[Status]]="Cancelled",0,Sales[[#This Row],[Qty]])</f>
        <v>3</v>
      </c>
      <c r="R490" s="166">
        <f>IF(Sales[[#This Row],[Status]]="Cancelled",0,Sales[[#This Row],[Total Amount]])</f>
        <v>97732.32</v>
      </c>
      <c r="S490" s="162">
        <f>SUM(Sales[Net Amount])</f>
        <v>406839287.73200053</v>
      </c>
    </row>
    <row r="491" spans="1:19" ht="18.75" x14ac:dyDescent="0.25">
      <c r="A491" s="156" t="s">
        <v>4063</v>
      </c>
      <c r="B491" s="157">
        <v>45803</v>
      </c>
      <c r="C491" s="158" t="s">
        <v>883</v>
      </c>
      <c r="D491" s="159" t="str">
        <f>VLOOKUP(Sales[[#This Row],[Customer ID]],Customer[#All],2,0)</f>
        <v>Rahul Verma</v>
      </c>
      <c r="E491" s="158" t="s">
        <v>252</v>
      </c>
      <c r="F491" s="158" t="str">
        <f>VLOOKUP(Sales[[#This Row],[Product ID]],Product[#All],2,0)</f>
        <v>Dell Laptop</v>
      </c>
      <c r="G491" s="159">
        <v>2</v>
      </c>
      <c r="H491" s="160">
        <f>VLOOKUP(Sales[[#This Row],[Product ID]],Product[#All],7,0)</f>
        <v>61580</v>
      </c>
      <c r="I491" s="160">
        <f>Sales[[#This Row],[Selling Rate]]*Sales[[#This Row],[Qty]]</f>
        <v>123160</v>
      </c>
      <c r="J491" s="43">
        <v>0.15</v>
      </c>
      <c r="K491" s="44">
        <f>Sales[[#This Row],[Gross Amount]]*Sales[[#This Row],[Disc %]]</f>
        <v>18474</v>
      </c>
      <c r="L491" s="43">
        <v>0.18</v>
      </c>
      <c r="M491" s="44">
        <f>(Sales[[#This Row],[Gross Amount]]-Sales[[#This Row],[Disc. Amt.]])*Sales[[#This Row],[GST %]]</f>
        <v>18843.48</v>
      </c>
      <c r="N491" s="161">
        <f>Sales[[#This Row],[Gross Amount]]-Sales[[#This Row],[Disc. Amt.]]+Sales[[#This Row],[GST Amount]]</f>
        <v>123529.48</v>
      </c>
      <c r="O491" s="158" t="s">
        <v>3569</v>
      </c>
      <c r="P491" s="158" t="s">
        <v>3562</v>
      </c>
      <c r="Q491" s="160">
        <f>IF(Sales[[#This Row],[Status]]="Cancelled",0,Sales[[#This Row],[Qty]])</f>
        <v>2</v>
      </c>
      <c r="R491" s="161">
        <f>IF(Sales[[#This Row],[Status]]="Cancelled",0,Sales[[#This Row],[Total Amount]])</f>
        <v>123529.48</v>
      </c>
      <c r="S491" s="162">
        <f>SUM(Sales[Net Amount])</f>
        <v>406839287.73200053</v>
      </c>
    </row>
    <row r="492" spans="1:19" ht="18.75" x14ac:dyDescent="0.25">
      <c r="A492" s="163" t="s">
        <v>4064</v>
      </c>
      <c r="B492" s="164">
        <v>45803</v>
      </c>
      <c r="C492" s="34" t="s">
        <v>688</v>
      </c>
      <c r="D492" s="53" t="str">
        <f>VLOOKUP(Sales[[#This Row],[Customer ID]],Customer[#All],2,0)</f>
        <v>Rahul Verma</v>
      </c>
      <c r="E492" s="34" t="s">
        <v>237</v>
      </c>
      <c r="F492" s="34" t="str">
        <f>VLOOKUP(Sales[[#This Row],[Product ID]],Product[#All],2,0)</f>
        <v>Jbl Headset</v>
      </c>
      <c r="G492" s="53">
        <v>8</v>
      </c>
      <c r="H492" s="165">
        <f>VLOOKUP(Sales[[#This Row],[Product ID]],Product[#All],7,0)</f>
        <v>5520</v>
      </c>
      <c r="I492" s="165">
        <f>Sales[[#This Row],[Selling Rate]]*Sales[[#This Row],[Qty]]</f>
        <v>44160</v>
      </c>
      <c r="J492" s="45">
        <v>0</v>
      </c>
      <c r="K492" s="46">
        <f>Sales[[#This Row],[Gross Amount]]*Sales[[#This Row],[Disc %]]</f>
        <v>0</v>
      </c>
      <c r="L492" s="43">
        <v>0.18</v>
      </c>
      <c r="M492" s="46">
        <f>(Sales[[#This Row],[Gross Amount]]-Sales[[#This Row],[Disc. Amt.]])*Sales[[#This Row],[GST %]]</f>
        <v>7948.7999999999993</v>
      </c>
      <c r="N492" s="161">
        <f>Sales[[#This Row],[Gross Amount]]-Sales[[#This Row],[Disc. Amt.]]+Sales[[#This Row],[GST Amount]]</f>
        <v>52108.800000000003</v>
      </c>
      <c r="O492" s="34" t="s">
        <v>3566</v>
      </c>
      <c r="P492" s="34" t="s">
        <v>3562</v>
      </c>
      <c r="Q492" s="165">
        <f>IF(Sales[[#This Row],[Status]]="Cancelled",0,Sales[[#This Row],[Qty]])</f>
        <v>8</v>
      </c>
      <c r="R492" s="166">
        <f>IF(Sales[[#This Row],[Status]]="Cancelled",0,Sales[[#This Row],[Total Amount]])</f>
        <v>52108.800000000003</v>
      </c>
      <c r="S492" s="162">
        <f>SUM(Sales[Net Amount])</f>
        <v>406839287.73200053</v>
      </c>
    </row>
    <row r="493" spans="1:19" ht="18.75" x14ac:dyDescent="0.25">
      <c r="A493" s="156" t="s">
        <v>4065</v>
      </c>
      <c r="B493" s="157">
        <v>45804</v>
      </c>
      <c r="C493" s="158" t="s">
        <v>790</v>
      </c>
      <c r="D493" s="159" t="str">
        <f>VLOOKUP(Sales[[#This Row],[Customer ID]],Customer[#All],2,0)</f>
        <v>Pooja Gupta</v>
      </c>
      <c r="E493" s="158" t="s">
        <v>428</v>
      </c>
      <c r="F493" s="158" t="str">
        <f>VLOOKUP(Sales[[#This Row],[Product ID]],Product[#All],2,0)</f>
        <v>Microtek UPS</v>
      </c>
      <c r="G493" s="159">
        <v>5</v>
      </c>
      <c r="H493" s="160">
        <f>VLOOKUP(Sales[[#This Row],[Product ID]],Product[#All],7,0)</f>
        <v>8450</v>
      </c>
      <c r="I493" s="160">
        <f>Sales[[#This Row],[Selling Rate]]*Sales[[#This Row],[Qty]]</f>
        <v>42250</v>
      </c>
      <c r="J493" s="43">
        <v>0.15</v>
      </c>
      <c r="K493" s="44">
        <f>Sales[[#This Row],[Gross Amount]]*Sales[[#This Row],[Disc %]]</f>
        <v>6337.5</v>
      </c>
      <c r="L493" s="43">
        <v>0.18</v>
      </c>
      <c r="M493" s="44">
        <f>(Sales[[#This Row],[Gross Amount]]-Sales[[#This Row],[Disc. Amt.]])*Sales[[#This Row],[GST %]]</f>
        <v>6464.25</v>
      </c>
      <c r="N493" s="161">
        <f>Sales[[#This Row],[Gross Amount]]-Sales[[#This Row],[Disc. Amt.]]+Sales[[#This Row],[GST Amount]]</f>
        <v>42376.75</v>
      </c>
      <c r="O493" s="158" t="s">
        <v>3566</v>
      </c>
      <c r="P493" s="158" t="s">
        <v>3562</v>
      </c>
      <c r="Q493" s="160">
        <f>IF(Sales[[#This Row],[Status]]="Cancelled",0,Sales[[#This Row],[Qty]])</f>
        <v>5</v>
      </c>
      <c r="R493" s="161">
        <f>IF(Sales[[#This Row],[Status]]="Cancelled",0,Sales[[#This Row],[Total Amount]])</f>
        <v>42376.75</v>
      </c>
      <c r="S493" s="162">
        <f>SUM(Sales[Net Amount])</f>
        <v>406839287.73200053</v>
      </c>
    </row>
    <row r="494" spans="1:19" ht="18.75" x14ac:dyDescent="0.25">
      <c r="A494" s="163" t="s">
        <v>4066</v>
      </c>
      <c r="B494" s="164">
        <v>45804</v>
      </c>
      <c r="C494" s="34" t="s">
        <v>668</v>
      </c>
      <c r="D494" s="53" t="str">
        <f>VLOOKUP(Sales[[#This Row],[Customer ID]],Customer[#All],2,0)</f>
        <v>Rahul Patel</v>
      </c>
      <c r="E494" s="34" t="s">
        <v>286</v>
      </c>
      <c r="F494" s="34" t="str">
        <f>VLOOKUP(Sales[[#This Row],[Product ID]],Product[#All],2,0)</f>
        <v>HP Laptop</v>
      </c>
      <c r="G494" s="53">
        <v>3</v>
      </c>
      <c r="H494" s="165">
        <f>VLOOKUP(Sales[[#This Row],[Product ID]],Product[#All],7,0)</f>
        <v>62100</v>
      </c>
      <c r="I494" s="165">
        <f>Sales[[#This Row],[Selling Rate]]*Sales[[#This Row],[Qty]]</f>
        <v>186300</v>
      </c>
      <c r="J494" s="45">
        <v>0</v>
      </c>
      <c r="K494" s="46">
        <f>Sales[[#This Row],[Gross Amount]]*Sales[[#This Row],[Disc %]]</f>
        <v>0</v>
      </c>
      <c r="L494" s="43">
        <v>0.18</v>
      </c>
      <c r="M494" s="46">
        <f>(Sales[[#This Row],[Gross Amount]]-Sales[[#This Row],[Disc. Amt.]])*Sales[[#This Row],[GST %]]</f>
        <v>33534</v>
      </c>
      <c r="N494" s="161">
        <f>Sales[[#This Row],[Gross Amount]]-Sales[[#This Row],[Disc. Amt.]]+Sales[[#This Row],[GST Amount]]</f>
        <v>219834</v>
      </c>
      <c r="O494" s="34" t="s">
        <v>3566</v>
      </c>
      <c r="P494" s="34" t="s">
        <v>3562</v>
      </c>
      <c r="Q494" s="165">
        <f>IF(Sales[[#This Row],[Status]]="Cancelled",0,Sales[[#This Row],[Qty]])</f>
        <v>3</v>
      </c>
      <c r="R494" s="166">
        <f>IF(Sales[[#This Row],[Status]]="Cancelled",0,Sales[[#This Row],[Total Amount]])</f>
        <v>219834</v>
      </c>
      <c r="S494" s="162">
        <f>SUM(Sales[Net Amount])</f>
        <v>406839287.73200053</v>
      </c>
    </row>
    <row r="495" spans="1:19" ht="18.75" x14ac:dyDescent="0.25">
      <c r="A495" s="156" t="s">
        <v>4067</v>
      </c>
      <c r="B495" s="157">
        <v>45804</v>
      </c>
      <c r="C495" s="158" t="s">
        <v>873</v>
      </c>
      <c r="D495" s="159" t="str">
        <f>VLOOKUP(Sales[[#This Row],[Customer ID]],Customer[#All],2,0)</f>
        <v>Sahil Verma</v>
      </c>
      <c r="E495" s="158" t="s">
        <v>187</v>
      </c>
      <c r="F495" s="158" t="str">
        <f>VLOOKUP(Sales[[#This Row],[Product ID]],Product[#All],2,0)</f>
        <v>American TouristerLaptopBag</v>
      </c>
      <c r="G495" s="159">
        <v>5</v>
      </c>
      <c r="H495" s="160">
        <f>VLOOKUP(Sales[[#This Row],[Product ID]],Product[#All],7,0)</f>
        <v>840</v>
      </c>
      <c r="I495" s="160">
        <f>Sales[[#This Row],[Selling Rate]]*Sales[[#This Row],[Qty]]</f>
        <v>4200</v>
      </c>
      <c r="J495" s="43">
        <v>0.05</v>
      </c>
      <c r="K495" s="44">
        <f>Sales[[#This Row],[Gross Amount]]*Sales[[#This Row],[Disc %]]</f>
        <v>210</v>
      </c>
      <c r="L495" s="43">
        <v>0.18</v>
      </c>
      <c r="M495" s="44">
        <f>(Sales[[#This Row],[Gross Amount]]-Sales[[#This Row],[Disc. Amt.]])*Sales[[#This Row],[GST %]]</f>
        <v>718.19999999999993</v>
      </c>
      <c r="N495" s="161">
        <f>Sales[[#This Row],[Gross Amount]]-Sales[[#This Row],[Disc. Amt.]]+Sales[[#This Row],[GST Amount]]</f>
        <v>4708.2</v>
      </c>
      <c r="O495" s="158" t="s">
        <v>3561</v>
      </c>
      <c r="P495" s="158" t="s">
        <v>3562</v>
      </c>
      <c r="Q495" s="160">
        <f>IF(Sales[[#This Row],[Status]]="Cancelled",0,Sales[[#This Row],[Qty]])</f>
        <v>5</v>
      </c>
      <c r="R495" s="161">
        <f>IF(Sales[[#This Row],[Status]]="Cancelled",0,Sales[[#This Row],[Total Amount]])</f>
        <v>4708.2</v>
      </c>
      <c r="S495" s="162">
        <f>SUM(Sales[Net Amount])</f>
        <v>406839287.73200053</v>
      </c>
    </row>
    <row r="496" spans="1:19" ht="18.75" x14ac:dyDescent="0.25">
      <c r="A496" s="163" t="s">
        <v>4068</v>
      </c>
      <c r="B496" s="164">
        <v>45804</v>
      </c>
      <c r="C496" s="34" t="s">
        <v>815</v>
      </c>
      <c r="D496" s="53" t="str">
        <f>VLOOKUP(Sales[[#This Row],[Customer ID]],Customer[#All],2,0)</f>
        <v>Priya Gupta</v>
      </c>
      <c r="E496" s="34" t="s">
        <v>459</v>
      </c>
      <c r="F496" s="34" t="str">
        <f>VLOOKUP(Sales[[#This Row],[Product ID]],Product[#All],2,0)</f>
        <v>Logitech Mouse</v>
      </c>
      <c r="G496" s="53">
        <v>6</v>
      </c>
      <c r="H496" s="165">
        <f>VLOOKUP(Sales[[#This Row],[Product ID]],Product[#All],7,0)</f>
        <v>1680</v>
      </c>
      <c r="I496" s="165">
        <f>Sales[[#This Row],[Selling Rate]]*Sales[[#This Row],[Qty]]</f>
        <v>10080</v>
      </c>
      <c r="J496" s="45">
        <v>0.05</v>
      </c>
      <c r="K496" s="46">
        <f>Sales[[#This Row],[Gross Amount]]*Sales[[#This Row],[Disc %]]</f>
        <v>504</v>
      </c>
      <c r="L496" s="43">
        <v>0.18</v>
      </c>
      <c r="M496" s="46">
        <f>(Sales[[#This Row],[Gross Amount]]-Sales[[#This Row],[Disc. Amt.]])*Sales[[#This Row],[GST %]]</f>
        <v>1723.6799999999998</v>
      </c>
      <c r="N496" s="161">
        <f>Sales[[#This Row],[Gross Amount]]-Sales[[#This Row],[Disc. Amt.]]+Sales[[#This Row],[GST Amount]]</f>
        <v>11299.68</v>
      </c>
      <c r="O496" s="34" t="s">
        <v>8876</v>
      </c>
      <c r="P496" s="34" t="s">
        <v>3562</v>
      </c>
      <c r="Q496" s="165">
        <f>IF(Sales[[#This Row],[Status]]="Cancelled",0,Sales[[#This Row],[Qty]])</f>
        <v>6</v>
      </c>
      <c r="R496" s="166">
        <f>IF(Sales[[#This Row],[Status]]="Cancelled",0,Sales[[#This Row],[Total Amount]])</f>
        <v>11299.68</v>
      </c>
      <c r="S496" s="162">
        <f>SUM(Sales[Net Amount])</f>
        <v>406839287.73200053</v>
      </c>
    </row>
    <row r="497" spans="1:19" ht="18.75" x14ac:dyDescent="0.25">
      <c r="A497" s="156" t="s">
        <v>4069</v>
      </c>
      <c r="B497" s="157">
        <v>45804</v>
      </c>
      <c r="C497" s="158" t="s">
        <v>734</v>
      </c>
      <c r="D497" s="159" t="str">
        <f>VLOOKUP(Sales[[#This Row],[Customer ID]],Customer[#All],2,0)</f>
        <v>Ankit Sharma</v>
      </c>
      <c r="E497" s="158" t="s">
        <v>432</v>
      </c>
      <c r="F497" s="158" t="str">
        <f>VLOOKUP(Sales[[#This Row],[Product ID]],Product[#All],2,0)</f>
        <v>Boat Speaker</v>
      </c>
      <c r="G497" s="159">
        <v>7</v>
      </c>
      <c r="H497" s="160">
        <f>VLOOKUP(Sales[[#This Row],[Product ID]],Product[#All],7,0)</f>
        <v>750</v>
      </c>
      <c r="I497" s="160">
        <f>Sales[[#This Row],[Selling Rate]]*Sales[[#This Row],[Qty]]</f>
        <v>5250</v>
      </c>
      <c r="J497" s="43">
        <v>0.05</v>
      </c>
      <c r="K497" s="44">
        <f>Sales[[#This Row],[Gross Amount]]*Sales[[#This Row],[Disc %]]</f>
        <v>262.5</v>
      </c>
      <c r="L497" s="43">
        <v>0.18</v>
      </c>
      <c r="M497" s="44">
        <f>(Sales[[#This Row],[Gross Amount]]-Sales[[#This Row],[Disc. Amt.]])*Sales[[#This Row],[GST %]]</f>
        <v>897.75</v>
      </c>
      <c r="N497" s="161">
        <f>Sales[[#This Row],[Gross Amount]]-Sales[[#This Row],[Disc. Amt.]]+Sales[[#This Row],[GST Amount]]</f>
        <v>5885.25</v>
      </c>
      <c r="O497" s="158" t="s">
        <v>8876</v>
      </c>
      <c r="P497" s="158" t="s">
        <v>3562</v>
      </c>
      <c r="Q497" s="160">
        <f>IF(Sales[[#This Row],[Status]]="Cancelled",0,Sales[[#This Row],[Qty]])</f>
        <v>7</v>
      </c>
      <c r="R497" s="161">
        <f>IF(Sales[[#This Row],[Status]]="Cancelled",0,Sales[[#This Row],[Total Amount]])</f>
        <v>5885.25</v>
      </c>
      <c r="S497" s="162">
        <f>SUM(Sales[Net Amount])</f>
        <v>406839287.73200053</v>
      </c>
    </row>
    <row r="498" spans="1:19" ht="18.75" x14ac:dyDescent="0.25">
      <c r="A498" s="163" t="s">
        <v>4070</v>
      </c>
      <c r="B498" s="164">
        <v>45804</v>
      </c>
      <c r="C498" s="34" t="s">
        <v>753</v>
      </c>
      <c r="D498" s="53" t="str">
        <f>VLOOKUP(Sales[[#This Row],[Customer ID]],Customer[#All],2,0)</f>
        <v>Sunita Gupta</v>
      </c>
      <c r="E498" s="34" t="s">
        <v>247</v>
      </c>
      <c r="F498" s="34" t="str">
        <f>VLOOKUP(Sales[[#This Row],[Product ID]],Product[#All],2,0)</f>
        <v>Acer Laptop</v>
      </c>
      <c r="G498" s="53">
        <v>6</v>
      </c>
      <c r="H498" s="165">
        <f>VLOOKUP(Sales[[#This Row],[Product ID]],Product[#All],7,0)</f>
        <v>68460</v>
      </c>
      <c r="I498" s="165">
        <f>Sales[[#This Row],[Selling Rate]]*Sales[[#This Row],[Qty]]</f>
        <v>410760</v>
      </c>
      <c r="J498" s="45">
        <v>0.1</v>
      </c>
      <c r="K498" s="46">
        <f>Sales[[#This Row],[Gross Amount]]*Sales[[#This Row],[Disc %]]</f>
        <v>41076</v>
      </c>
      <c r="L498" s="43">
        <v>0.18</v>
      </c>
      <c r="M498" s="46">
        <f>(Sales[[#This Row],[Gross Amount]]-Sales[[#This Row],[Disc. Amt.]])*Sales[[#This Row],[GST %]]</f>
        <v>66543.12</v>
      </c>
      <c r="N498" s="161">
        <f>Sales[[#This Row],[Gross Amount]]-Sales[[#This Row],[Disc. Amt.]]+Sales[[#This Row],[GST Amount]]</f>
        <v>436227.12</v>
      </c>
      <c r="O498" s="34" t="s">
        <v>3561</v>
      </c>
      <c r="P498" s="34" t="s">
        <v>3562</v>
      </c>
      <c r="Q498" s="165">
        <f>IF(Sales[[#This Row],[Status]]="Cancelled",0,Sales[[#This Row],[Qty]])</f>
        <v>6</v>
      </c>
      <c r="R498" s="166">
        <f>IF(Sales[[#This Row],[Status]]="Cancelled",0,Sales[[#This Row],[Total Amount]])</f>
        <v>436227.12</v>
      </c>
      <c r="S498" s="162">
        <f>SUM(Sales[Net Amount])</f>
        <v>406839287.73200053</v>
      </c>
    </row>
    <row r="499" spans="1:19" ht="18.75" x14ac:dyDescent="0.25">
      <c r="A499" s="156" t="s">
        <v>4071</v>
      </c>
      <c r="B499" s="157">
        <v>45804</v>
      </c>
      <c r="C499" s="158" t="s">
        <v>814</v>
      </c>
      <c r="D499" s="159" t="str">
        <f>VLOOKUP(Sales[[#This Row],[Customer ID]],Customer[#All],2,0)</f>
        <v>Amit Kumar</v>
      </c>
      <c r="E499" s="158" t="s">
        <v>38</v>
      </c>
      <c r="F499" s="158" t="str">
        <f>VLOOKUP(Sales[[#This Row],[Product ID]],Product[#All],2,0)</f>
        <v>Lenovo Laptop</v>
      </c>
      <c r="G499" s="159">
        <v>5</v>
      </c>
      <c r="H499" s="160">
        <f>VLOOKUP(Sales[[#This Row],[Product ID]],Product[#All],7,0)</f>
        <v>77490</v>
      </c>
      <c r="I499" s="160">
        <f>Sales[[#This Row],[Selling Rate]]*Sales[[#This Row],[Qty]]</f>
        <v>387450</v>
      </c>
      <c r="J499" s="43">
        <v>0.05</v>
      </c>
      <c r="K499" s="44">
        <f>Sales[[#This Row],[Gross Amount]]*Sales[[#This Row],[Disc %]]</f>
        <v>19372.5</v>
      </c>
      <c r="L499" s="43">
        <v>0.18</v>
      </c>
      <c r="M499" s="44">
        <f>(Sales[[#This Row],[Gross Amount]]-Sales[[#This Row],[Disc. Amt.]])*Sales[[#This Row],[GST %]]</f>
        <v>66253.95</v>
      </c>
      <c r="N499" s="161">
        <f>Sales[[#This Row],[Gross Amount]]-Sales[[#This Row],[Disc. Amt.]]+Sales[[#This Row],[GST Amount]]</f>
        <v>434331.45</v>
      </c>
      <c r="O499" s="158" t="s">
        <v>3566</v>
      </c>
      <c r="P499" s="158" t="s">
        <v>3562</v>
      </c>
      <c r="Q499" s="160">
        <f>IF(Sales[[#This Row],[Status]]="Cancelled",0,Sales[[#This Row],[Qty]])</f>
        <v>5</v>
      </c>
      <c r="R499" s="161">
        <f>IF(Sales[[#This Row],[Status]]="Cancelled",0,Sales[[#This Row],[Total Amount]])</f>
        <v>434331.45</v>
      </c>
      <c r="S499" s="162">
        <f>SUM(Sales[Net Amount])</f>
        <v>406839287.73200053</v>
      </c>
    </row>
    <row r="500" spans="1:19" ht="18.75" x14ac:dyDescent="0.25">
      <c r="A500" s="163" t="s">
        <v>4072</v>
      </c>
      <c r="B500" s="164">
        <v>45804</v>
      </c>
      <c r="C500" s="34" t="s">
        <v>4348</v>
      </c>
      <c r="D500" s="53" t="str">
        <f>VLOOKUP(Sales[[#This Row],[Customer ID]],Customer[#All],2,0)</f>
        <v>Neha Verma</v>
      </c>
      <c r="E500" s="34" t="s">
        <v>148</v>
      </c>
      <c r="F500" s="34" t="str">
        <f>VLOOKUP(Sales[[#This Row],[Product ID]],Product[#All],2,0)</f>
        <v>Dell Monitor</v>
      </c>
      <c r="G500" s="53">
        <v>3</v>
      </c>
      <c r="H500" s="165">
        <f>VLOOKUP(Sales[[#This Row],[Product ID]],Product[#All],7,0)</f>
        <v>20170</v>
      </c>
      <c r="I500" s="165">
        <f>Sales[[#This Row],[Selling Rate]]*Sales[[#This Row],[Qty]]</f>
        <v>60510</v>
      </c>
      <c r="J500" s="45">
        <v>0</v>
      </c>
      <c r="K500" s="46">
        <f>Sales[[#This Row],[Gross Amount]]*Sales[[#This Row],[Disc %]]</f>
        <v>0</v>
      </c>
      <c r="L500" s="43">
        <v>0.18</v>
      </c>
      <c r="M500" s="46">
        <f>(Sales[[#This Row],[Gross Amount]]-Sales[[#This Row],[Disc. Amt.]])*Sales[[#This Row],[GST %]]</f>
        <v>10891.8</v>
      </c>
      <c r="N500" s="161">
        <f>Sales[[#This Row],[Gross Amount]]-Sales[[#This Row],[Disc. Amt.]]+Sales[[#This Row],[GST Amount]]</f>
        <v>71401.8</v>
      </c>
      <c r="O500" s="34" t="s">
        <v>8876</v>
      </c>
      <c r="P500" s="34" t="s">
        <v>3562</v>
      </c>
      <c r="Q500" s="165">
        <f>IF(Sales[[#This Row],[Status]]="Cancelled",0,Sales[[#This Row],[Qty]])</f>
        <v>3</v>
      </c>
      <c r="R500" s="166">
        <f>IF(Sales[[#This Row],[Status]]="Cancelled",0,Sales[[#This Row],[Total Amount]])</f>
        <v>71401.8</v>
      </c>
      <c r="S500" s="162">
        <f>SUM(Sales[Net Amount])</f>
        <v>406839287.73200053</v>
      </c>
    </row>
    <row r="501" spans="1:19" ht="18.75" x14ac:dyDescent="0.25">
      <c r="A501" s="156" t="s">
        <v>4073</v>
      </c>
      <c r="B501" s="157">
        <v>45804</v>
      </c>
      <c r="C501" s="158" t="s">
        <v>657</v>
      </c>
      <c r="D501" s="159" t="str">
        <f>VLOOKUP(Sales[[#This Row],[Customer ID]],Customer[#All],2,0)</f>
        <v>Rahul Verma</v>
      </c>
      <c r="E501" s="158" t="s">
        <v>214</v>
      </c>
      <c r="F501" s="158" t="str">
        <f>VLOOKUP(Sales[[#This Row],[Product ID]],Product[#All],2,0)</f>
        <v>Microtek UPS</v>
      </c>
      <c r="G501" s="159">
        <v>2</v>
      </c>
      <c r="H501" s="160">
        <f>VLOOKUP(Sales[[#This Row],[Product ID]],Product[#All],7,0)</f>
        <v>10710</v>
      </c>
      <c r="I501" s="160">
        <f>Sales[[#This Row],[Selling Rate]]*Sales[[#This Row],[Qty]]</f>
        <v>21420</v>
      </c>
      <c r="J501" s="43">
        <v>0.15</v>
      </c>
      <c r="K501" s="44">
        <f>Sales[[#This Row],[Gross Amount]]*Sales[[#This Row],[Disc %]]</f>
        <v>3213</v>
      </c>
      <c r="L501" s="43">
        <v>0.18</v>
      </c>
      <c r="M501" s="44">
        <f>(Sales[[#This Row],[Gross Amount]]-Sales[[#This Row],[Disc. Amt.]])*Sales[[#This Row],[GST %]]</f>
        <v>3277.2599999999998</v>
      </c>
      <c r="N501" s="161">
        <f>Sales[[#This Row],[Gross Amount]]-Sales[[#This Row],[Disc. Amt.]]+Sales[[#This Row],[GST Amount]]</f>
        <v>21484.26</v>
      </c>
      <c r="O501" s="158" t="s">
        <v>3569</v>
      </c>
      <c r="P501" s="158" t="s">
        <v>3562</v>
      </c>
      <c r="Q501" s="160">
        <f>IF(Sales[[#This Row],[Status]]="Cancelled",0,Sales[[#This Row],[Qty]])</f>
        <v>2</v>
      </c>
      <c r="R501" s="161">
        <f>IF(Sales[[#This Row],[Status]]="Cancelled",0,Sales[[#This Row],[Total Amount]])</f>
        <v>21484.26</v>
      </c>
      <c r="S501" s="162">
        <f>SUM(Sales[Net Amount])</f>
        <v>406839287.73200053</v>
      </c>
    </row>
    <row r="502" spans="1:19" ht="18.75" x14ac:dyDescent="0.25">
      <c r="A502" s="163" t="s">
        <v>4074</v>
      </c>
      <c r="B502" s="164">
        <v>45804</v>
      </c>
      <c r="C502" s="34" t="s">
        <v>871</v>
      </c>
      <c r="D502" s="53" t="str">
        <f>VLOOKUP(Sales[[#This Row],[Customer ID]],Customer[#All],2,0)</f>
        <v>Rakesh Kumar</v>
      </c>
      <c r="E502" s="34" t="s">
        <v>47</v>
      </c>
      <c r="F502" s="34" t="str">
        <f>VLOOKUP(Sales[[#This Row],[Product ID]],Product[#All],2,0)</f>
        <v>Logitech Keyboard</v>
      </c>
      <c r="G502" s="53">
        <v>6</v>
      </c>
      <c r="H502" s="165">
        <f>VLOOKUP(Sales[[#This Row],[Product ID]],Product[#All],7,0)</f>
        <v>930</v>
      </c>
      <c r="I502" s="165">
        <f>Sales[[#This Row],[Selling Rate]]*Sales[[#This Row],[Qty]]</f>
        <v>5580</v>
      </c>
      <c r="J502" s="45">
        <v>0</v>
      </c>
      <c r="K502" s="46">
        <f>Sales[[#This Row],[Gross Amount]]*Sales[[#This Row],[Disc %]]</f>
        <v>0</v>
      </c>
      <c r="L502" s="43">
        <v>0.18</v>
      </c>
      <c r="M502" s="46">
        <f>(Sales[[#This Row],[Gross Amount]]-Sales[[#This Row],[Disc. Amt.]])*Sales[[#This Row],[GST %]]</f>
        <v>1004.4</v>
      </c>
      <c r="N502" s="161">
        <f>Sales[[#This Row],[Gross Amount]]-Sales[[#This Row],[Disc. Amt.]]+Sales[[#This Row],[GST Amount]]</f>
        <v>6584.4</v>
      </c>
      <c r="O502" s="34" t="s">
        <v>8876</v>
      </c>
      <c r="P502" s="34" t="s">
        <v>3562</v>
      </c>
      <c r="Q502" s="165">
        <f>IF(Sales[[#This Row],[Status]]="Cancelled",0,Sales[[#This Row],[Qty]])</f>
        <v>6</v>
      </c>
      <c r="R502" s="166">
        <f>IF(Sales[[#This Row],[Status]]="Cancelled",0,Sales[[#This Row],[Total Amount]])</f>
        <v>6584.4</v>
      </c>
      <c r="S502" s="162">
        <f>SUM(Sales[Net Amount])</f>
        <v>406839287.73200053</v>
      </c>
    </row>
    <row r="503" spans="1:19" ht="18.75" x14ac:dyDescent="0.25">
      <c r="A503" s="156" t="s">
        <v>4075</v>
      </c>
      <c r="B503" s="157">
        <v>45804</v>
      </c>
      <c r="C503" s="158" t="s">
        <v>943</v>
      </c>
      <c r="D503" s="159" t="str">
        <f>VLOOKUP(Sales[[#This Row],[Customer ID]],Customer[#All],2,0)</f>
        <v>Sahil Singh</v>
      </c>
      <c r="E503" s="158" t="s">
        <v>527</v>
      </c>
      <c r="F503" s="158" t="str">
        <f>VLOOKUP(Sales[[#This Row],[Product ID]],Product[#All],2,0)</f>
        <v>Acer Laptop</v>
      </c>
      <c r="G503" s="159">
        <v>8</v>
      </c>
      <c r="H503" s="160">
        <f>VLOOKUP(Sales[[#This Row],[Product ID]],Product[#All],7,0)</f>
        <v>29070</v>
      </c>
      <c r="I503" s="160">
        <f>Sales[[#This Row],[Selling Rate]]*Sales[[#This Row],[Qty]]</f>
        <v>232560</v>
      </c>
      <c r="J503" s="43">
        <v>0.12</v>
      </c>
      <c r="K503" s="44">
        <f>Sales[[#This Row],[Gross Amount]]*Sales[[#This Row],[Disc %]]</f>
        <v>27907.200000000001</v>
      </c>
      <c r="L503" s="43">
        <v>0.18</v>
      </c>
      <c r="M503" s="44">
        <f>(Sales[[#This Row],[Gross Amount]]-Sales[[#This Row],[Disc. Amt.]])*Sales[[#This Row],[GST %]]</f>
        <v>36837.503999999994</v>
      </c>
      <c r="N503" s="161">
        <f>Sales[[#This Row],[Gross Amount]]-Sales[[#This Row],[Disc. Amt.]]+Sales[[#This Row],[GST Amount]]</f>
        <v>241490.30399999997</v>
      </c>
      <c r="O503" s="158" t="s">
        <v>3561</v>
      </c>
      <c r="P503" s="158" t="s">
        <v>3562</v>
      </c>
      <c r="Q503" s="160">
        <f>IF(Sales[[#This Row],[Status]]="Cancelled",0,Sales[[#This Row],[Qty]])</f>
        <v>8</v>
      </c>
      <c r="R503" s="161">
        <f>IF(Sales[[#This Row],[Status]]="Cancelled",0,Sales[[#This Row],[Total Amount]])</f>
        <v>241490.30399999997</v>
      </c>
      <c r="S503" s="162">
        <f>SUM(Sales[Net Amount])</f>
        <v>406839287.73200053</v>
      </c>
    </row>
    <row r="504" spans="1:19" ht="18.75" x14ac:dyDescent="0.25">
      <c r="A504" s="163" t="s">
        <v>4076</v>
      </c>
      <c r="B504" s="164">
        <v>45804</v>
      </c>
      <c r="C504" s="34" t="s">
        <v>880</v>
      </c>
      <c r="D504" s="53" t="str">
        <f>VLOOKUP(Sales[[#This Row],[Customer ID]],Customer[#All],2,0)</f>
        <v>Rahul Sharma</v>
      </c>
      <c r="E504" s="34" t="s">
        <v>425</v>
      </c>
      <c r="F504" s="34" t="str">
        <f>VLOOKUP(Sales[[#This Row],[Product ID]],Product[#All],2,0)</f>
        <v>WD HDD</v>
      </c>
      <c r="G504" s="53">
        <v>6</v>
      </c>
      <c r="H504" s="165">
        <f>VLOOKUP(Sales[[#This Row],[Product ID]],Product[#All],7,0)</f>
        <v>7660</v>
      </c>
      <c r="I504" s="165">
        <f>Sales[[#This Row],[Selling Rate]]*Sales[[#This Row],[Qty]]</f>
        <v>45960</v>
      </c>
      <c r="J504" s="45">
        <v>0.02</v>
      </c>
      <c r="K504" s="46">
        <f>Sales[[#This Row],[Gross Amount]]*Sales[[#This Row],[Disc %]]</f>
        <v>919.2</v>
      </c>
      <c r="L504" s="43">
        <v>0.18</v>
      </c>
      <c r="M504" s="46">
        <f>(Sales[[#This Row],[Gross Amount]]-Sales[[#This Row],[Disc. Amt.]])*Sales[[#This Row],[GST %]]</f>
        <v>8107.3440000000001</v>
      </c>
      <c r="N504" s="161">
        <f>Sales[[#This Row],[Gross Amount]]-Sales[[#This Row],[Disc. Amt.]]+Sales[[#This Row],[GST Amount]]</f>
        <v>53148.144</v>
      </c>
      <c r="O504" s="34" t="s">
        <v>8876</v>
      </c>
      <c r="P504" s="34" t="s">
        <v>3562</v>
      </c>
      <c r="Q504" s="165">
        <f>IF(Sales[[#This Row],[Status]]="Cancelled",0,Sales[[#This Row],[Qty]])</f>
        <v>6</v>
      </c>
      <c r="R504" s="166">
        <f>IF(Sales[[#This Row],[Status]]="Cancelled",0,Sales[[#This Row],[Total Amount]])</f>
        <v>53148.144</v>
      </c>
      <c r="S504" s="162">
        <f>SUM(Sales[Net Amount])</f>
        <v>406839287.73200053</v>
      </c>
    </row>
    <row r="505" spans="1:19" ht="18.75" x14ac:dyDescent="0.25">
      <c r="A505" s="156" t="s">
        <v>4077</v>
      </c>
      <c r="B505" s="157">
        <v>45804</v>
      </c>
      <c r="C505" s="158" t="s">
        <v>812</v>
      </c>
      <c r="D505" s="159" t="str">
        <f>VLOOKUP(Sales[[#This Row],[Customer ID]],Customer[#All],2,0)</f>
        <v>Neha Gupta</v>
      </c>
      <c r="E505" s="158" t="s">
        <v>267</v>
      </c>
      <c r="F505" s="158" t="str">
        <f>VLOOKUP(Sales[[#This Row],[Product ID]],Product[#All],2,0)</f>
        <v>Boat Speaker</v>
      </c>
      <c r="G505" s="159">
        <v>2</v>
      </c>
      <c r="H505" s="160">
        <f>VLOOKUP(Sales[[#This Row],[Product ID]],Product[#All],7,0)</f>
        <v>2230</v>
      </c>
      <c r="I505" s="160">
        <f>Sales[[#This Row],[Selling Rate]]*Sales[[#This Row],[Qty]]</f>
        <v>4460</v>
      </c>
      <c r="J505" s="43">
        <v>0</v>
      </c>
      <c r="K505" s="44">
        <f>Sales[[#This Row],[Gross Amount]]*Sales[[#This Row],[Disc %]]</f>
        <v>0</v>
      </c>
      <c r="L505" s="43">
        <v>0.18</v>
      </c>
      <c r="M505" s="44">
        <f>(Sales[[#This Row],[Gross Amount]]-Sales[[#This Row],[Disc. Amt.]])*Sales[[#This Row],[GST %]]</f>
        <v>802.8</v>
      </c>
      <c r="N505" s="161">
        <f>Sales[[#This Row],[Gross Amount]]-Sales[[#This Row],[Disc. Amt.]]+Sales[[#This Row],[GST Amount]]</f>
        <v>5262.8</v>
      </c>
      <c r="O505" s="158" t="s">
        <v>3569</v>
      </c>
      <c r="P505" s="158" t="s">
        <v>3562</v>
      </c>
      <c r="Q505" s="160">
        <f>IF(Sales[[#This Row],[Status]]="Cancelled",0,Sales[[#This Row],[Qty]])</f>
        <v>2</v>
      </c>
      <c r="R505" s="161">
        <f>IF(Sales[[#This Row],[Status]]="Cancelled",0,Sales[[#This Row],[Total Amount]])</f>
        <v>5262.8</v>
      </c>
      <c r="S505" s="162">
        <f>SUM(Sales[Net Amount])</f>
        <v>406839287.73200053</v>
      </c>
    </row>
    <row r="506" spans="1:19" ht="18.75" x14ac:dyDescent="0.25">
      <c r="A506" s="163" t="s">
        <v>4078</v>
      </c>
      <c r="B506" s="164">
        <v>45804</v>
      </c>
      <c r="C506" s="34" t="s">
        <v>932</v>
      </c>
      <c r="D506" s="53" t="str">
        <f>VLOOKUP(Sales[[#This Row],[Customer ID]],Customer[#All],2,0)</f>
        <v>Vikas Gupta</v>
      </c>
      <c r="E506" s="34" t="s">
        <v>476</v>
      </c>
      <c r="F506" s="34" t="str">
        <f>VLOOKUP(Sales[[#This Row],[Product ID]],Product[#All],2,0)</f>
        <v>Sandisk Pen Drive</v>
      </c>
      <c r="G506" s="53">
        <v>7</v>
      </c>
      <c r="H506" s="165">
        <f>VLOOKUP(Sales[[#This Row],[Product ID]],Product[#All],7,0)</f>
        <v>650</v>
      </c>
      <c r="I506" s="165">
        <f>Sales[[#This Row],[Selling Rate]]*Sales[[#This Row],[Qty]]</f>
        <v>4550</v>
      </c>
      <c r="J506" s="45">
        <v>0.1</v>
      </c>
      <c r="K506" s="46">
        <f>Sales[[#This Row],[Gross Amount]]*Sales[[#This Row],[Disc %]]</f>
        <v>455</v>
      </c>
      <c r="L506" s="43">
        <v>0.18</v>
      </c>
      <c r="M506" s="46">
        <f>(Sales[[#This Row],[Gross Amount]]-Sales[[#This Row],[Disc. Amt.]])*Sales[[#This Row],[GST %]]</f>
        <v>737.1</v>
      </c>
      <c r="N506" s="161">
        <f>Sales[[#This Row],[Gross Amount]]-Sales[[#This Row],[Disc. Amt.]]+Sales[[#This Row],[GST Amount]]</f>
        <v>4832.1000000000004</v>
      </c>
      <c r="O506" s="34" t="s">
        <v>3569</v>
      </c>
      <c r="P506" s="34" t="s">
        <v>3562</v>
      </c>
      <c r="Q506" s="165">
        <f>IF(Sales[[#This Row],[Status]]="Cancelled",0,Sales[[#This Row],[Qty]])</f>
        <v>7</v>
      </c>
      <c r="R506" s="166">
        <f>IF(Sales[[#This Row],[Status]]="Cancelled",0,Sales[[#This Row],[Total Amount]])</f>
        <v>4832.1000000000004</v>
      </c>
      <c r="S506" s="162">
        <f>SUM(Sales[Net Amount])</f>
        <v>406839287.73200053</v>
      </c>
    </row>
    <row r="507" spans="1:19" ht="18.75" x14ac:dyDescent="0.25">
      <c r="A507" s="156" t="s">
        <v>4079</v>
      </c>
      <c r="B507" s="157">
        <v>45804</v>
      </c>
      <c r="C507" s="158" t="s">
        <v>748</v>
      </c>
      <c r="D507" s="159" t="str">
        <f>VLOOKUP(Sales[[#This Row],[Customer ID]],Customer[#All],2,0)</f>
        <v>Priya Singh</v>
      </c>
      <c r="E507" s="158" t="s">
        <v>192</v>
      </c>
      <c r="F507" s="158" t="str">
        <f>VLOOKUP(Sales[[#This Row],[Product ID]],Product[#All],2,0)</f>
        <v>HP Laptop</v>
      </c>
      <c r="G507" s="159">
        <v>3</v>
      </c>
      <c r="H507" s="160">
        <f>VLOOKUP(Sales[[#This Row],[Product ID]],Product[#All],7,0)</f>
        <v>59870</v>
      </c>
      <c r="I507" s="160">
        <f>Sales[[#This Row],[Selling Rate]]*Sales[[#This Row],[Qty]]</f>
        <v>179610</v>
      </c>
      <c r="J507" s="43">
        <v>0.02</v>
      </c>
      <c r="K507" s="44">
        <f>Sales[[#This Row],[Gross Amount]]*Sales[[#This Row],[Disc %]]</f>
        <v>3592.2000000000003</v>
      </c>
      <c r="L507" s="43">
        <v>0.18</v>
      </c>
      <c r="M507" s="44">
        <f>(Sales[[#This Row],[Gross Amount]]-Sales[[#This Row],[Disc. Amt.]])*Sales[[#This Row],[GST %]]</f>
        <v>31683.203999999998</v>
      </c>
      <c r="N507" s="161">
        <f>Sales[[#This Row],[Gross Amount]]-Sales[[#This Row],[Disc. Amt.]]+Sales[[#This Row],[GST Amount]]</f>
        <v>207701.00399999999</v>
      </c>
      <c r="O507" s="158" t="s">
        <v>3566</v>
      </c>
      <c r="P507" s="158" t="s">
        <v>3562</v>
      </c>
      <c r="Q507" s="160">
        <f>IF(Sales[[#This Row],[Status]]="Cancelled",0,Sales[[#This Row],[Qty]])</f>
        <v>3</v>
      </c>
      <c r="R507" s="161">
        <f>IF(Sales[[#This Row],[Status]]="Cancelled",0,Sales[[#This Row],[Total Amount]])</f>
        <v>207701.00399999999</v>
      </c>
      <c r="S507" s="162">
        <f>SUM(Sales[Net Amount])</f>
        <v>406839287.73200053</v>
      </c>
    </row>
    <row r="508" spans="1:19" ht="18.75" x14ac:dyDescent="0.25">
      <c r="A508" s="163" t="s">
        <v>4080</v>
      </c>
      <c r="B508" s="164">
        <v>45804</v>
      </c>
      <c r="C508" s="34" t="s">
        <v>761</v>
      </c>
      <c r="D508" s="53" t="str">
        <f>VLOOKUP(Sales[[#This Row],[Customer ID]],Customer[#All],2,0)</f>
        <v>Priya Verma</v>
      </c>
      <c r="E508" s="34" t="s">
        <v>129</v>
      </c>
      <c r="F508" s="34" t="str">
        <f>VLOOKUP(Sales[[#This Row],[Product ID]],Product[#All],2,0)</f>
        <v>Logitech Mouse</v>
      </c>
      <c r="G508" s="53">
        <v>7</v>
      </c>
      <c r="H508" s="165">
        <f>VLOOKUP(Sales[[#This Row],[Product ID]],Product[#All],7,0)</f>
        <v>2000</v>
      </c>
      <c r="I508" s="165">
        <f>Sales[[#This Row],[Selling Rate]]*Sales[[#This Row],[Qty]]</f>
        <v>14000</v>
      </c>
      <c r="J508" s="45">
        <v>0.15</v>
      </c>
      <c r="K508" s="46">
        <f>Sales[[#This Row],[Gross Amount]]*Sales[[#This Row],[Disc %]]</f>
        <v>2100</v>
      </c>
      <c r="L508" s="43">
        <v>0.18</v>
      </c>
      <c r="M508" s="46">
        <f>(Sales[[#This Row],[Gross Amount]]-Sales[[#This Row],[Disc. Amt.]])*Sales[[#This Row],[GST %]]</f>
        <v>2142</v>
      </c>
      <c r="N508" s="161">
        <f>Sales[[#This Row],[Gross Amount]]-Sales[[#This Row],[Disc. Amt.]]+Sales[[#This Row],[GST Amount]]</f>
        <v>14042</v>
      </c>
      <c r="O508" s="34" t="s">
        <v>3566</v>
      </c>
      <c r="P508" s="34" t="s">
        <v>3562</v>
      </c>
      <c r="Q508" s="165">
        <f>IF(Sales[[#This Row],[Status]]="Cancelled",0,Sales[[#This Row],[Qty]])</f>
        <v>7</v>
      </c>
      <c r="R508" s="166">
        <f>IF(Sales[[#This Row],[Status]]="Cancelled",0,Sales[[#This Row],[Total Amount]])</f>
        <v>14042</v>
      </c>
      <c r="S508" s="162">
        <f>SUM(Sales[Net Amount])</f>
        <v>406839287.73200053</v>
      </c>
    </row>
    <row r="509" spans="1:19" ht="18.75" x14ac:dyDescent="0.25">
      <c r="A509" s="156" t="s">
        <v>4081</v>
      </c>
      <c r="B509" s="157">
        <v>45804</v>
      </c>
      <c r="C509" s="158" t="s">
        <v>764</v>
      </c>
      <c r="D509" s="159" t="str">
        <f>VLOOKUP(Sales[[#This Row],[Customer ID]],Customer[#All],2,0)</f>
        <v>Priya Gupta</v>
      </c>
      <c r="E509" s="158" t="s">
        <v>46</v>
      </c>
      <c r="F509" s="158" t="str">
        <f>VLOOKUP(Sales[[#This Row],[Product ID]],Product[#All],2,0)</f>
        <v>HP Printer</v>
      </c>
      <c r="G509" s="159">
        <v>2</v>
      </c>
      <c r="H509" s="160">
        <f>VLOOKUP(Sales[[#This Row],[Product ID]],Product[#All],7,0)</f>
        <v>35170</v>
      </c>
      <c r="I509" s="160">
        <f>Sales[[#This Row],[Selling Rate]]*Sales[[#This Row],[Qty]]</f>
        <v>70340</v>
      </c>
      <c r="J509" s="43">
        <v>0.02</v>
      </c>
      <c r="K509" s="44">
        <f>Sales[[#This Row],[Gross Amount]]*Sales[[#This Row],[Disc %]]</f>
        <v>1406.8</v>
      </c>
      <c r="L509" s="43">
        <v>0.18</v>
      </c>
      <c r="M509" s="44">
        <f>(Sales[[#This Row],[Gross Amount]]-Sales[[#This Row],[Disc. Amt.]])*Sales[[#This Row],[GST %]]</f>
        <v>12407.975999999999</v>
      </c>
      <c r="N509" s="161">
        <f>Sales[[#This Row],[Gross Amount]]-Sales[[#This Row],[Disc. Amt.]]+Sales[[#This Row],[GST Amount]]</f>
        <v>81341.175999999992</v>
      </c>
      <c r="O509" s="158" t="s">
        <v>3566</v>
      </c>
      <c r="P509" s="158" t="s">
        <v>3562</v>
      </c>
      <c r="Q509" s="160">
        <f>IF(Sales[[#This Row],[Status]]="Cancelled",0,Sales[[#This Row],[Qty]])</f>
        <v>2</v>
      </c>
      <c r="R509" s="161">
        <f>IF(Sales[[#This Row],[Status]]="Cancelled",0,Sales[[#This Row],[Total Amount]])</f>
        <v>81341.175999999992</v>
      </c>
      <c r="S509" s="162">
        <f>SUM(Sales[Net Amount])</f>
        <v>406839287.73200053</v>
      </c>
    </row>
    <row r="510" spans="1:19" ht="18.75" x14ac:dyDescent="0.25">
      <c r="A510" s="163" t="s">
        <v>4082</v>
      </c>
      <c r="B510" s="164">
        <v>45804</v>
      </c>
      <c r="C510" s="34" t="s">
        <v>752</v>
      </c>
      <c r="D510" s="53" t="str">
        <f>VLOOKUP(Sales[[#This Row],[Customer ID]],Customer[#All],2,0)</f>
        <v>Pooja Patel</v>
      </c>
      <c r="E510" s="34" t="s">
        <v>28</v>
      </c>
      <c r="F510" s="34" t="str">
        <f>VLOOKUP(Sales[[#This Row],[Product ID]],Product[#All],2,0)</f>
        <v>Lenovo Laptop</v>
      </c>
      <c r="G510" s="53">
        <v>1</v>
      </c>
      <c r="H510" s="165">
        <f>VLOOKUP(Sales[[#This Row],[Product ID]],Product[#All],7,0)</f>
        <v>86330</v>
      </c>
      <c r="I510" s="165">
        <f>Sales[[#This Row],[Selling Rate]]*Sales[[#This Row],[Qty]]</f>
        <v>86330</v>
      </c>
      <c r="J510" s="45">
        <v>0</v>
      </c>
      <c r="K510" s="46">
        <f>Sales[[#This Row],[Gross Amount]]*Sales[[#This Row],[Disc %]]</f>
        <v>0</v>
      </c>
      <c r="L510" s="43">
        <v>0.18</v>
      </c>
      <c r="M510" s="46">
        <f>(Sales[[#This Row],[Gross Amount]]-Sales[[#This Row],[Disc. Amt.]])*Sales[[#This Row],[GST %]]</f>
        <v>15539.4</v>
      </c>
      <c r="N510" s="161">
        <f>Sales[[#This Row],[Gross Amount]]-Sales[[#This Row],[Disc. Amt.]]+Sales[[#This Row],[GST Amount]]</f>
        <v>101869.4</v>
      </c>
      <c r="O510" s="34" t="s">
        <v>3566</v>
      </c>
      <c r="P510" s="34" t="s">
        <v>3562</v>
      </c>
      <c r="Q510" s="165">
        <f>IF(Sales[[#This Row],[Status]]="Cancelled",0,Sales[[#This Row],[Qty]])</f>
        <v>1</v>
      </c>
      <c r="R510" s="166">
        <f>IF(Sales[[#This Row],[Status]]="Cancelled",0,Sales[[#This Row],[Total Amount]])</f>
        <v>101869.4</v>
      </c>
      <c r="S510" s="162">
        <f>SUM(Sales[Net Amount])</f>
        <v>406839287.73200053</v>
      </c>
    </row>
    <row r="511" spans="1:19" ht="18.75" x14ac:dyDescent="0.25">
      <c r="A511" s="156" t="s">
        <v>4083</v>
      </c>
      <c r="B511" s="157">
        <v>45805</v>
      </c>
      <c r="C511" s="158" t="s">
        <v>774</v>
      </c>
      <c r="D511" s="159" t="str">
        <f>VLOOKUP(Sales[[#This Row],[Customer ID]],Customer[#All],2,0)</f>
        <v>Vikas Patel</v>
      </c>
      <c r="E511" s="158" t="s">
        <v>188</v>
      </c>
      <c r="F511" s="158" t="str">
        <f>VLOOKUP(Sales[[#This Row],[Product ID]],Product[#All],2,0)</f>
        <v>Crucial Ssd</v>
      </c>
      <c r="G511" s="159">
        <v>8</v>
      </c>
      <c r="H511" s="160">
        <f>VLOOKUP(Sales[[#This Row],[Product ID]],Product[#All],7,0)</f>
        <v>14390</v>
      </c>
      <c r="I511" s="160">
        <f>Sales[[#This Row],[Selling Rate]]*Sales[[#This Row],[Qty]]</f>
        <v>115120</v>
      </c>
      <c r="J511" s="43">
        <v>0.12</v>
      </c>
      <c r="K511" s="44">
        <f>Sales[[#This Row],[Gross Amount]]*Sales[[#This Row],[Disc %]]</f>
        <v>13814.4</v>
      </c>
      <c r="L511" s="43">
        <v>0.18</v>
      </c>
      <c r="M511" s="44">
        <f>(Sales[[#This Row],[Gross Amount]]-Sales[[#This Row],[Disc. Amt.]])*Sales[[#This Row],[GST %]]</f>
        <v>18235.008000000002</v>
      </c>
      <c r="N511" s="161">
        <f>Sales[[#This Row],[Gross Amount]]-Sales[[#This Row],[Disc. Amt.]]+Sales[[#This Row],[GST Amount]]</f>
        <v>119540.60800000001</v>
      </c>
      <c r="O511" s="158" t="s">
        <v>3569</v>
      </c>
      <c r="P511" s="158" t="s">
        <v>3562</v>
      </c>
      <c r="Q511" s="160">
        <f>IF(Sales[[#This Row],[Status]]="Cancelled",0,Sales[[#This Row],[Qty]])</f>
        <v>8</v>
      </c>
      <c r="R511" s="161">
        <f>IF(Sales[[#This Row],[Status]]="Cancelled",0,Sales[[#This Row],[Total Amount]])</f>
        <v>119540.60800000001</v>
      </c>
      <c r="S511" s="162">
        <f>SUM(Sales[Net Amount])</f>
        <v>406839287.73200053</v>
      </c>
    </row>
    <row r="512" spans="1:19" ht="18.75" x14ac:dyDescent="0.25">
      <c r="A512" s="163" t="s">
        <v>4084</v>
      </c>
      <c r="B512" s="164">
        <v>45805</v>
      </c>
      <c r="C512" s="34" t="s">
        <v>722</v>
      </c>
      <c r="D512" s="53" t="str">
        <f>VLOOKUP(Sales[[#This Row],[Customer ID]],Customer[#All],2,0)</f>
        <v>Vikas Patel</v>
      </c>
      <c r="E512" s="34" t="s">
        <v>453</v>
      </c>
      <c r="F512" s="34" t="str">
        <f>VLOOKUP(Sales[[#This Row],[Product ID]],Product[#All],2,0)</f>
        <v>American TouristerLaptopBag</v>
      </c>
      <c r="G512" s="53">
        <v>1</v>
      </c>
      <c r="H512" s="165">
        <f>VLOOKUP(Sales[[#This Row],[Product ID]],Product[#All],7,0)</f>
        <v>3050</v>
      </c>
      <c r="I512" s="165">
        <f>Sales[[#This Row],[Selling Rate]]*Sales[[#This Row],[Qty]]</f>
        <v>3050</v>
      </c>
      <c r="J512" s="45">
        <v>0</v>
      </c>
      <c r="K512" s="46">
        <f>Sales[[#This Row],[Gross Amount]]*Sales[[#This Row],[Disc %]]</f>
        <v>0</v>
      </c>
      <c r="L512" s="43">
        <v>0.18</v>
      </c>
      <c r="M512" s="46">
        <f>(Sales[[#This Row],[Gross Amount]]-Sales[[#This Row],[Disc. Amt.]])*Sales[[#This Row],[GST %]]</f>
        <v>549</v>
      </c>
      <c r="N512" s="161">
        <f>Sales[[#This Row],[Gross Amount]]-Sales[[#This Row],[Disc. Amt.]]+Sales[[#This Row],[GST Amount]]</f>
        <v>3599</v>
      </c>
      <c r="O512" s="34" t="s">
        <v>8876</v>
      </c>
      <c r="P512" s="34" t="s">
        <v>3562</v>
      </c>
      <c r="Q512" s="165">
        <f>IF(Sales[[#This Row],[Status]]="Cancelled",0,Sales[[#This Row],[Qty]])</f>
        <v>1</v>
      </c>
      <c r="R512" s="166">
        <f>IF(Sales[[#This Row],[Status]]="Cancelled",0,Sales[[#This Row],[Total Amount]])</f>
        <v>3599</v>
      </c>
      <c r="S512" s="162">
        <f>SUM(Sales[Net Amount])</f>
        <v>406839287.73200053</v>
      </c>
    </row>
    <row r="513" spans="1:19" ht="18.75" x14ac:dyDescent="0.25">
      <c r="A513" s="156" t="s">
        <v>4085</v>
      </c>
      <c r="B513" s="157">
        <v>45805</v>
      </c>
      <c r="C513" s="158" t="s">
        <v>779</v>
      </c>
      <c r="D513" s="159" t="str">
        <f>VLOOKUP(Sales[[#This Row],[Customer ID]],Customer[#All],2,0)</f>
        <v>Rakesh Verma</v>
      </c>
      <c r="E513" s="158" t="s">
        <v>266</v>
      </c>
      <c r="F513" s="158" t="str">
        <f>VLOOKUP(Sales[[#This Row],[Product ID]],Product[#All],2,0)</f>
        <v>American TouristerLaptopBag</v>
      </c>
      <c r="G513" s="159">
        <v>6</v>
      </c>
      <c r="H513" s="160">
        <f>VLOOKUP(Sales[[#This Row],[Product ID]],Product[#All],7,0)</f>
        <v>4170</v>
      </c>
      <c r="I513" s="160">
        <f>Sales[[#This Row],[Selling Rate]]*Sales[[#This Row],[Qty]]</f>
        <v>25020</v>
      </c>
      <c r="J513" s="43">
        <v>0.15</v>
      </c>
      <c r="K513" s="44">
        <f>Sales[[#This Row],[Gross Amount]]*Sales[[#This Row],[Disc %]]</f>
        <v>3753</v>
      </c>
      <c r="L513" s="43">
        <v>0.18</v>
      </c>
      <c r="M513" s="44">
        <f>(Sales[[#This Row],[Gross Amount]]-Sales[[#This Row],[Disc. Amt.]])*Sales[[#This Row],[GST %]]</f>
        <v>3828.06</v>
      </c>
      <c r="N513" s="161">
        <f>Sales[[#This Row],[Gross Amount]]-Sales[[#This Row],[Disc. Amt.]]+Sales[[#This Row],[GST Amount]]</f>
        <v>25095.06</v>
      </c>
      <c r="O513" s="158" t="s">
        <v>3566</v>
      </c>
      <c r="P513" s="158" t="s">
        <v>3562</v>
      </c>
      <c r="Q513" s="160">
        <f>IF(Sales[[#This Row],[Status]]="Cancelled",0,Sales[[#This Row],[Qty]])</f>
        <v>6</v>
      </c>
      <c r="R513" s="161">
        <f>IF(Sales[[#This Row],[Status]]="Cancelled",0,Sales[[#This Row],[Total Amount]])</f>
        <v>25095.06</v>
      </c>
      <c r="S513" s="162">
        <f>SUM(Sales[Net Amount])</f>
        <v>406839287.73200053</v>
      </c>
    </row>
    <row r="514" spans="1:19" ht="18.75" x14ac:dyDescent="0.25">
      <c r="A514" s="163" t="s">
        <v>4086</v>
      </c>
      <c r="B514" s="164">
        <v>45805</v>
      </c>
      <c r="C514" s="34" t="s">
        <v>828</v>
      </c>
      <c r="D514" s="53" t="str">
        <f>VLOOKUP(Sales[[#This Row],[Customer ID]],Customer[#All],2,0)</f>
        <v>Ankit Verma</v>
      </c>
      <c r="E514" s="34" t="s">
        <v>87</v>
      </c>
      <c r="F514" s="34" t="str">
        <f>VLOOKUP(Sales[[#This Row],[Product ID]],Product[#All],2,0)</f>
        <v>Boat Headset</v>
      </c>
      <c r="G514" s="53">
        <v>2</v>
      </c>
      <c r="H514" s="165">
        <f>VLOOKUP(Sales[[#This Row],[Product ID]],Product[#All],7,0)</f>
        <v>1040</v>
      </c>
      <c r="I514" s="165">
        <f>Sales[[#This Row],[Selling Rate]]*Sales[[#This Row],[Qty]]</f>
        <v>2080</v>
      </c>
      <c r="J514" s="45">
        <v>0</v>
      </c>
      <c r="K514" s="46">
        <f>Sales[[#This Row],[Gross Amount]]*Sales[[#This Row],[Disc %]]</f>
        <v>0</v>
      </c>
      <c r="L514" s="43">
        <v>0.18</v>
      </c>
      <c r="M514" s="46">
        <f>(Sales[[#This Row],[Gross Amount]]-Sales[[#This Row],[Disc. Amt.]])*Sales[[#This Row],[GST %]]</f>
        <v>374.4</v>
      </c>
      <c r="N514" s="161">
        <f>Sales[[#This Row],[Gross Amount]]-Sales[[#This Row],[Disc. Amt.]]+Sales[[#This Row],[GST Amount]]</f>
        <v>2454.4</v>
      </c>
      <c r="O514" s="34" t="s">
        <v>3566</v>
      </c>
      <c r="P514" s="34" t="s">
        <v>3562</v>
      </c>
      <c r="Q514" s="165">
        <f>IF(Sales[[#This Row],[Status]]="Cancelled",0,Sales[[#This Row],[Qty]])</f>
        <v>2</v>
      </c>
      <c r="R514" s="166">
        <f>IF(Sales[[#This Row],[Status]]="Cancelled",0,Sales[[#This Row],[Total Amount]])</f>
        <v>2454.4</v>
      </c>
      <c r="S514" s="162">
        <f>SUM(Sales[Net Amount])</f>
        <v>406839287.73200053</v>
      </c>
    </row>
    <row r="515" spans="1:19" ht="18.75" x14ac:dyDescent="0.25">
      <c r="A515" s="156" t="s">
        <v>4087</v>
      </c>
      <c r="B515" s="157">
        <v>45805</v>
      </c>
      <c r="C515" s="158" t="s">
        <v>794</v>
      </c>
      <c r="D515" s="159" t="str">
        <f>VLOOKUP(Sales[[#This Row],[Customer ID]],Customer[#All],2,0)</f>
        <v>Sunita Sharma</v>
      </c>
      <c r="E515" s="158" t="s">
        <v>98</v>
      </c>
      <c r="F515" s="158" t="str">
        <f>VLOOKUP(Sales[[#This Row],[Product ID]],Product[#All],2,0)</f>
        <v>TP-link Bluetooth Adapter</v>
      </c>
      <c r="G515" s="159">
        <v>1</v>
      </c>
      <c r="H515" s="160">
        <f>VLOOKUP(Sales[[#This Row],[Product ID]],Product[#All],7,0)</f>
        <v>1420</v>
      </c>
      <c r="I515" s="160">
        <f>Sales[[#This Row],[Selling Rate]]*Sales[[#This Row],[Qty]]</f>
        <v>1420</v>
      </c>
      <c r="J515" s="43">
        <v>0.15</v>
      </c>
      <c r="K515" s="44">
        <f>Sales[[#This Row],[Gross Amount]]*Sales[[#This Row],[Disc %]]</f>
        <v>213</v>
      </c>
      <c r="L515" s="43">
        <v>0.18</v>
      </c>
      <c r="M515" s="44">
        <f>(Sales[[#This Row],[Gross Amount]]-Sales[[#This Row],[Disc. Amt.]])*Sales[[#This Row],[GST %]]</f>
        <v>217.26</v>
      </c>
      <c r="N515" s="161">
        <f>Sales[[#This Row],[Gross Amount]]-Sales[[#This Row],[Disc. Amt.]]+Sales[[#This Row],[GST Amount]]</f>
        <v>1424.26</v>
      </c>
      <c r="O515" s="158" t="s">
        <v>8876</v>
      </c>
      <c r="P515" s="158" t="s">
        <v>3562</v>
      </c>
      <c r="Q515" s="160">
        <f>IF(Sales[[#This Row],[Status]]="Cancelled",0,Sales[[#This Row],[Qty]])</f>
        <v>1</v>
      </c>
      <c r="R515" s="161">
        <f>IF(Sales[[#This Row],[Status]]="Cancelled",0,Sales[[#This Row],[Total Amount]])</f>
        <v>1424.26</v>
      </c>
      <c r="S515" s="162">
        <f>SUM(Sales[Net Amount])</f>
        <v>406839287.73200053</v>
      </c>
    </row>
    <row r="516" spans="1:19" ht="18.75" x14ac:dyDescent="0.25">
      <c r="A516" s="163" t="s">
        <v>4088</v>
      </c>
      <c r="B516" s="164">
        <v>45805</v>
      </c>
      <c r="C516" s="34" t="s">
        <v>882</v>
      </c>
      <c r="D516" s="53" t="str">
        <f>VLOOKUP(Sales[[#This Row],[Customer ID]],Customer[#All],2,0)</f>
        <v>Rahul Sharma</v>
      </c>
      <c r="E516" s="34" t="s">
        <v>137</v>
      </c>
      <c r="F516" s="34" t="str">
        <f>VLOOKUP(Sales[[#This Row],[Product ID]],Product[#All],2,0)</f>
        <v>Seagate HDD</v>
      </c>
      <c r="G516" s="53">
        <v>8</v>
      </c>
      <c r="H516" s="165">
        <f>VLOOKUP(Sales[[#This Row],[Product ID]],Product[#All],7,0)</f>
        <v>7940</v>
      </c>
      <c r="I516" s="165">
        <f>Sales[[#This Row],[Selling Rate]]*Sales[[#This Row],[Qty]]</f>
        <v>63520</v>
      </c>
      <c r="J516" s="45">
        <v>0.02</v>
      </c>
      <c r="K516" s="46">
        <f>Sales[[#This Row],[Gross Amount]]*Sales[[#This Row],[Disc %]]</f>
        <v>1270.4000000000001</v>
      </c>
      <c r="L516" s="43">
        <v>0.18</v>
      </c>
      <c r="M516" s="46">
        <f>(Sales[[#This Row],[Gross Amount]]-Sales[[#This Row],[Disc. Amt.]])*Sales[[#This Row],[GST %]]</f>
        <v>11204.928</v>
      </c>
      <c r="N516" s="161">
        <f>Sales[[#This Row],[Gross Amount]]-Sales[[#This Row],[Disc. Amt.]]+Sales[[#This Row],[GST Amount]]</f>
        <v>73454.527999999991</v>
      </c>
      <c r="O516" s="34" t="s">
        <v>8876</v>
      </c>
      <c r="P516" s="34" t="s">
        <v>3562</v>
      </c>
      <c r="Q516" s="165">
        <f>IF(Sales[[#This Row],[Status]]="Cancelled",0,Sales[[#This Row],[Qty]])</f>
        <v>8</v>
      </c>
      <c r="R516" s="166">
        <f>IF(Sales[[#This Row],[Status]]="Cancelled",0,Sales[[#This Row],[Total Amount]])</f>
        <v>73454.527999999991</v>
      </c>
      <c r="S516" s="162">
        <f>SUM(Sales[Net Amount])</f>
        <v>406839287.73200053</v>
      </c>
    </row>
    <row r="517" spans="1:19" ht="18.75" x14ac:dyDescent="0.25">
      <c r="A517" s="156" t="s">
        <v>4089</v>
      </c>
      <c r="B517" s="157">
        <v>45805</v>
      </c>
      <c r="C517" s="158" t="s">
        <v>725</v>
      </c>
      <c r="D517" s="159" t="str">
        <f>VLOOKUP(Sales[[#This Row],[Customer ID]],Customer[#All],2,0)</f>
        <v>Ankit Kumar</v>
      </c>
      <c r="E517" s="158" t="s">
        <v>237</v>
      </c>
      <c r="F517" s="158" t="str">
        <f>VLOOKUP(Sales[[#This Row],[Product ID]],Product[#All],2,0)</f>
        <v>Jbl Headset</v>
      </c>
      <c r="G517" s="159">
        <v>1</v>
      </c>
      <c r="H517" s="160">
        <f>VLOOKUP(Sales[[#This Row],[Product ID]],Product[#All],7,0)</f>
        <v>5520</v>
      </c>
      <c r="I517" s="160">
        <f>Sales[[#This Row],[Selling Rate]]*Sales[[#This Row],[Qty]]</f>
        <v>5520</v>
      </c>
      <c r="J517" s="43">
        <v>0.12</v>
      </c>
      <c r="K517" s="44">
        <f>Sales[[#This Row],[Gross Amount]]*Sales[[#This Row],[Disc %]]</f>
        <v>662.4</v>
      </c>
      <c r="L517" s="43">
        <v>0.18</v>
      </c>
      <c r="M517" s="44">
        <f>(Sales[[#This Row],[Gross Amount]]-Sales[[#This Row],[Disc. Amt.]])*Sales[[#This Row],[GST %]]</f>
        <v>874.36800000000005</v>
      </c>
      <c r="N517" s="161">
        <f>Sales[[#This Row],[Gross Amount]]-Sales[[#This Row],[Disc. Amt.]]+Sales[[#This Row],[GST Amount]]</f>
        <v>5731.9680000000008</v>
      </c>
      <c r="O517" s="158" t="s">
        <v>3561</v>
      </c>
      <c r="P517" s="158" t="s">
        <v>3562</v>
      </c>
      <c r="Q517" s="160">
        <f>IF(Sales[[#This Row],[Status]]="Cancelled",0,Sales[[#This Row],[Qty]])</f>
        <v>1</v>
      </c>
      <c r="R517" s="161">
        <f>IF(Sales[[#This Row],[Status]]="Cancelled",0,Sales[[#This Row],[Total Amount]])</f>
        <v>5731.9680000000008</v>
      </c>
      <c r="S517" s="162">
        <f>SUM(Sales[Net Amount])</f>
        <v>406839287.73200053</v>
      </c>
    </row>
    <row r="518" spans="1:19" ht="18.75" x14ac:dyDescent="0.25">
      <c r="A518" s="163" t="s">
        <v>4090</v>
      </c>
      <c r="B518" s="164">
        <v>45805</v>
      </c>
      <c r="C518" s="34" t="s">
        <v>668</v>
      </c>
      <c r="D518" s="53" t="str">
        <f>VLOOKUP(Sales[[#This Row],[Customer ID]],Customer[#All],2,0)</f>
        <v>Rahul Patel</v>
      </c>
      <c r="E518" s="34" t="s">
        <v>461</v>
      </c>
      <c r="F518" s="34" t="str">
        <f>VLOOKUP(Sales[[#This Row],[Product ID]],Product[#All],2,0)</f>
        <v>TP-link Wi-Fi Adapter</v>
      </c>
      <c r="G518" s="53">
        <v>7</v>
      </c>
      <c r="H518" s="165">
        <f>VLOOKUP(Sales[[#This Row],[Product ID]],Product[#All],7,0)</f>
        <v>2500</v>
      </c>
      <c r="I518" s="165">
        <f>Sales[[#This Row],[Selling Rate]]*Sales[[#This Row],[Qty]]</f>
        <v>17500</v>
      </c>
      <c r="J518" s="45">
        <v>0</v>
      </c>
      <c r="K518" s="46">
        <f>Sales[[#This Row],[Gross Amount]]*Sales[[#This Row],[Disc %]]</f>
        <v>0</v>
      </c>
      <c r="L518" s="43">
        <v>0.18</v>
      </c>
      <c r="M518" s="46">
        <f>(Sales[[#This Row],[Gross Amount]]-Sales[[#This Row],[Disc. Amt.]])*Sales[[#This Row],[GST %]]</f>
        <v>3150</v>
      </c>
      <c r="N518" s="161">
        <f>Sales[[#This Row],[Gross Amount]]-Sales[[#This Row],[Disc. Amt.]]+Sales[[#This Row],[GST Amount]]</f>
        <v>20650</v>
      </c>
      <c r="O518" s="34" t="s">
        <v>3561</v>
      </c>
      <c r="P518" s="34" t="s">
        <v>3562</v>
      </c>
      <c r="Q518" s="165">
        <f>IF(Sales[[#This Row],[Status]]="Cancelled",0,Sales[[#This Row],[Qty]])</f>
        <v>7</v>
      </c>
      <c r="R518" s="166">
        <f>IF(Sales[[#This Row],[Status]]="Cancelled",0,Sales[[#This Row],[Total Amount]])</f>
        <v>20650</v>
      </c>
      <c r="S518" s="162">
        <f>SUM(Sales[Net Amount])</f>
        <v>406839287.73200053</v>
      </c>
    </row>
    <row r="519" spans="1:19" ht="18.75" x14ac:dyDescent="0.25">
      <c r="A519" s="156" t="s">
        <v>4091</v>
      </c>
      <c r="B519" s="157">
        <v>45805</v>
      </c>
      <c r="C519" s="158" t="s">
        <v>891</v>
      </c>
      <c r="D519" s="159" t="str">
        <f>VLOOKUP(Sales[[#This Row],[Customer ID]],Customer[#All],2,0)</f>
        <v>Pooja Verma</v>
      </c>
      <c r="E519" s="158" t="s">
        <v>388</v>
      </c>
      <c r="F519" s="158" t="str">
        <f>VLOOKUP(Sales[[#This Row],[Product ID]],Product[#All],2,0)</f>
        <v>Dell Laptop</v>
      </c>
      <c r="G519" s="159">
        <v>7</v>
      </c>
      <c r="H519" s="160">
        <f>VLOOKUP(Sales[[#This Row],[Product ID]],Product[#All],7,0)</f>
        <v>68790</v>
      </c>
      <c r="I519" s="160">
        <f>Sales[[#This Row],[Selling Rate]]*Sales[[#This Row],[Qty]]</f>
        <v>481530</v>
      </c>
      <c r="J519" s="43">
        <v>0.02</v>
      </c>
      <c r="K519" s="44">
        <f>Sales[[#This Row],[Gross Amount]]*Sales[[#This Row],[Disc %]]</f>
        <v>9630.6</v>
      </c>
      <c r="L519" s="43">
        <v>0.18</v>
      </c>
      <c r="M519" s="44">
        <f>(Sales[[#This Row],[Gross Amount]]-Sales[[#This Row],[Disc. Amt.]])*Sales[[#This Row],[GST %]]</f>
        <v>84941.892000000007</v>
      </c>
      <c r="N519" s="161">
        <f>Sales[[#This Row],[Gross Amount]]-Sales[[#This Row],[Disc. Amt.]]+Sales[[#This Row],[GST Amount]]</f>
        <v>556841.29200000002</v>
      </c>
      <c r="O519" s="158" t="s">
        <v>3561</v>
      </c>
      <c r="P519" s="158" t="s">
        <v>3562</v>
      </c>
      <c r="Q519" s="160">
        <f>IF(Sales[[#This Row],[Status]]="Cancelled",0,Sales[[#This Row],[Qty]])</f>
        <v>7</v>
      </c>
      <c r="R519" s="161">
        <f>IF(Sales[[#This Row],[Status]]="Cancelled",0,Sales[[#This Row],[Total Amount]])</f>
        <v>556841.29200000002</v>
      </c>
      <c r="S519" s="162">
        <f>SUM(Sales[Net Amount])</f>
        <v>406839287.73200053</v>
      </c>
    </row>
    <row r="520" spans="1:19" ht="18.75" x14ac:dyDescent="0.25">
      <c r="A520" s="163" t="s">
        <v>4092</v>
      </c>
      <c r="B520" s="164">
        <v>45805</v>
      </c>
      <c r="C520" s="34" t="s">
        <v>790</v>
      </c>
      <c r="D520" s="53" t="str">
        <f>VLOOKUP(Sales[[#This Row],[Customer ID]],Customer[#All],2,0)</f>
        <v>Pooja Gupta</v>
      </c>
      <c r="E520" s="34" t="s">
        <v>552</v>
      </c>
      <c r="F520" s="34" t="str">
        <f>VLOOKUP(Sales[[#This Row],[Product ID]],Product[#All],2,0)</f>
        <v>American TouristerLaptopBag</v>
      </c>
      <c r="G520" s="53">
        <v>3</v>
      </c>
      <c r="H520" s="165">
        <f>VLOOKUP(Sales[[#This Row],[Product ID]],Product[#All],7,0)</f>
        <v>5080</v>
      </c>
      <c r="I520" s="165">
        <f>Sales[[#This Row],[Selling Rate]]*Sales[[#This Row],[Qty]]</f>
        <v>15240</v>
      </c>
      <c r="J520" s="45">
        <v>0.12</v>
      </c>
      <c r="K520" s="46">
        <f>Sales[[#This Row],[Gross Amount]]*Sales[[#This Row],[Disc %]]</f>
        <v>1828.8</v>
      </c>
      <c r="L520" s="43">
        <v>0.18</v>
      </c>
      <c r="M520" s="46">
        <f>(Sales[[#This Row],[Gross Amount]]-Sales[[#This Row],[Disc. Amt.]])*Sales[[#This Row],[GST %]]</f>
        <v>2414.0160000000001</v>
      </c>
      <c r="N520" s="161">
        <f>Sales[[#This Row],[Gross Amount]]-Sales[[#This Row],[Disc. Amt.]]+Sales[[#This Row],[GST Amount]]</f>
        <v>15825.216</v>
      </c>
      <c r="O520" s="34" t="s">
        <v>3561</v>
      </c>
      <c r="P520" s="34" t="s">
        <v>3562</v>
      </c>
      <c r="Q520" s="165">
        <f>IF(Sales[[#This Row],[Status]]="Cancelled",0,Sales[[#This Row],[Qty]])</f>
        <v>3</v>
      </c>
      <c r="R520" s="166">
        <f>IF(Sales[[#This Row],[Status]]="Cancelled",0,Sales[[#This Row],[Total Amount]])</f>
        <v>15825.216</v>
      </c>
      <c r="S520" s="162">
        <f>SUM(Sales[Net Amount])</f>
        <v>406839287.73200053</v>
      </c>
    </row>
    <row r="521" spans="1:19" ht="18.75" x14ac:dyDescent="0.25">
      <c r="A521" s="156" t="s">
        <v>4093</v>
      </c>
      <c r="B521" s="157">
        <v>45805</v>
      </c>
      <c r="C521" s="158" t="s">
        <v>757</v>
      </c>
      <c r="D521" s="159" t="str">
        <f>VLOOKUP(Sales[[#This Row],[Customer ID]],Customer[#All],2,0)</f>
        <v>Amit Singh</v>
      </c>
      <c r="E521" s="158" t="s">
        <v>425</v>
      </c>
      <c r="F521" s="158" t="str">
        <f>VLOOKUP(Sales[[#This Row],[Product ID]],Product[#All],2,0)</f>
        <v>WD HDD</v>
      </c>
      <c r="G521" s="159">
        <v>3</v>
      </c>
      <c r="H521" s="160">
        <f>VLOOKUP(Sales[[#This Row],[Product ID]],Product[#All],7,0)</f>
        <v>7660</v>
      </c>
      <c r="I521" s="160">
        <f>Sales[[#This Row],[Selling Rate]]*Sales[[#This Row],[Qty]]</f>
        <v>22980</v>
      </c>
      <c r="J521" s="43">
        <v>0.02</v>
      </c>
      <c r="K521" s="44">
        <f>Sales[[#This Row],[Gross Amount]]*Sales[[#This Row],[Disc %]]</f>
        <v>459.6</v>
      </c>
      <c r="L521" s="43">
        <v>0.18</v>
      </c>
      <c r="M521" s="44">
        <f>(Sales[[#This Row],[Gross Amount]]-Sales[[#This Row],[Disc. Amt.]])*Sales[[#This Row],[GST %]]</f>
        <v>4053.672</v>
      </c>
      <c r="N521" s="161">
        <f>Sales[[#This Row],[Gross Amount]]-Sales[[#This Row],[Disc. Amt.]]+Sales[[#This Row],[GST Amount]]</f>
        <v>26574.072</v>
      </c>
      <c r="O521" s="158" t="s">
        <v>3561</v>
      </c>
      <c r="P521" s="158" t="s">
        <v>3562</v>
      </c>
      <c r="Q521" s="160">
        <f>IF(Sales[[#This Row],[Status]]="Cancelled",0,Sales[[#This Row],[Qty]])</f>
        <v>3</v>
      </c>
      <c r="R521" s="161">
        <f>IF(Sales[[#This Row],[Status]]="Cancelled",0,Sales[[#This Row],[Total Amount]])</f>
        <v>26574.072</v>
      </c>
      <c r="S521" s="162">
        <f>SUM(Sales[Net Amount])</f>
        <v>406839287.73200053</v>
      </c>
    </row>
    <row r="522" spans="1:19" ht="18.75" x14ac:dyDescent="0.25">
      <c r="A522" s="163" t="s">
        <v>4094</v>
      </c>
      <c r="B522" s="164">
        <v>45805</v>
      </c>
      <c r="C522" s="34" t="s">
        <v>876</v>
      </c>
      <c r="D522" s="53" t="str">
        <f>VLOOKUP(Sales[[#This Row],[Customer ID]],Customer[#All],2,0)</f>
        <v>Sahil Verma</v>
      </c>
      <c r="E522" s="34" t="s">
        <v>219</v>
      </c>
      <c r="F522" s="34" t="str">
        <f>VLOOKUP(Sales[[#This Row],[Product ID]],Product[#All],2,0)</f>
        <v>Samsung Monitor</v>
      </c>
      <c r="G522" s="53">
        <v>6</v>
      </c>
      <c r="H522" s="165">
        <f>VLOOKUP(Sales[[#This Row],[Product ID]],Product[#All],7,0)</f>
        <v>22630</v>
      </c>
      <c r="I522" s="165">
        <f>Sales[[#This Row],[Selling Rate]]*Sales[[#This Row],[Qty]]</f>
        <v>135780</v>
      </c>
      <c r="J522" s="45">
        <v>0.15</v>
      </c>
      <c r="K522" s="46">
        <f>Sales[[#This Row],[Gross Amount]]*Sales[[#This Row],[Disc %]]</f>
        <v>20367</v>
      </c>
      <c r="L522" s="43">
        <v>0.18</v>
      </c>
      <c r="M522" s="46">
        <f>(Sales[[#This Row],[Gross Amount]]-Sales[[#This Row],[Disc. Amt.]])*Sales[[#This Row],[GST %]]</f>
        <v>20774.34</v>
      </c>
      <c r="N522" s="161">
        <f>Sales[[#This Row],[Gross Amount]]-Sales[[#This Row],[Disc. Amt.]]+Sales[[#This Row],[GST Amount]]</f>
        <v>136187.34</v>
      </c>
      <c r="O522" s="34" t="s">
        <v>3566</v>
      </c>
      <c r="P522" s="34" t="s">
        <v>3562</v>
      </c>
      <c r="Q522" s="165">
        <f>IF(Sales[[#This Row],[Status]]="Cancelled",0,Sales[[#This Row],[Qty]])</f>
        <v>6</v>
      </c>
      <c r="R522" s="166">
        <f>IF(Sales[[#This Row],[Status]]="Cancelled",0,Sales[[#This Row],[Total Amount]])</f>
        <v>136187.34</v>
      </c>
      <c r="S522" s="162">
        <f>SUM(Sales[Net Amount])</f>
        <v>406839287.73200053</v>
      </c>
    </row>
    <row r="523" spans="1:19" ht="18.75" x14ac:dyDescent="0.25">
      <c r="A523" s="156" t="s">
        <v>4095</v>
      </c>
      <c r="B523" s="157">
        <v>45805</v>
      </c>
      <c r="C523" s="158" t="s">
        <v>711</v>
      </c>
      <c r="D523" s="159" t="str">
        <f>VLOOKUP(Sales[[#This Row],[Customer ID]],Customer[#All],2,0)</f>
        <v>Priya Verma</v>
      </c>
      <c r="E523" s="158" t="s">
        <v>418</v>
      </c>
      <c r="F523" s="158" t="str">
        <f>VLOOKUP(Sales[[#This Row],[Product ID]],Product[#All],2,0)</f>
        <v>TP-link Router</v>
      </c>
      <c r="G523" s="159">
        <v>8</v>
      </c>
      <c r="H523" s="160">
        <f>VLOOKUP(Sales[[#This Row],[Product ID]],Product[#All],7,0)</f>
        <v>6750</v>
      </c>
      <c r="I523" s="160">
        <f>Sales[[#This Row],[Selling Rate]]*Sales[[#This Row],[Qty]]</f>
        <v>54000</v>
      </c>
      <c r="J523" s="43">
        <v>0.1</v>
      </c>
      <c r="K523" s="44">
        <f>Sales[[#This Row],[Gross Amount]]*Sales[[#This Row],[Disc %]]</f>
        <v>5400</v>
      </c>
      <c r="L523" s="43">
        <v>0.18</v>
      </c>
      <c r="M523" s="44">
        <f>(Sales[[#This Row],[Gross Amount]]-Sales[[#This Row],[Disc. Amt.]])*Sales[[#This Row],[GST %]]</f>
        <v>8748</v>
      </c>
      <c r="N523" s="161">
        <f>Sales[[#This Row],[Gross Amount]]-Sales[[#This Row],[Disc. Amt.]]+Sales[[#This Row],[GST Amount]]</f>
        <v>57348</v>
      </c>
      <c r="O523" s="158" t="s">
        <v>3569</v>
      </c>
      <c r="P523" s="158" t="s">
        <v>3562</v>
      </c>
      <c r="Q523" s="160">
        <f>IF(Sales[[#This Row],[Status]]="Cancelled",0,Sales[[#This Row],[Qty]])</f>
        <v>8</v>
      </c>
      <c r="R523" s="161">
        <f>IF(Sales[[#This Row],[Status]]="Cancelled",0,Sales[[#This Row],[Total Amount]])</f>
        <v>57348</v>
      </c>
      <c r="S523" s="162">
        <f>SUM(Sales[Net Amount])</f>
        <v>406839287.73200053</v>
      </c>
    </row>
    <row r="524" spans="1:19" ht="18.75" x14ac:dyDescent="0.25">
      <c r="A524" s="163" t="s">
        <v>4096</v>
      </c>
      <c r="B524" s="164">
        <v>45805</v>
      </c>
      <c r="C524" s="34" t="s">
        <v>911</v>
      </c>
      <c r="D524" s="53" t="str">
        <f>VLOOKUP(Sales[[#This Row],[Customer ID]],Customer[#All],2,0)</f>
        <v>Amit Kumar</v>
      </c>
      <c r="E524" s="34" t="s">
        <v>207</v>
      </c>
      <c r="F524" s="34" t="str">
        <f>VLOOKUP(Sales[[#This Row],[Product ID]],Product[#All],2,0)</f>
        <v>Jbl Headset</v>
      </c>
      <c r="G524" s="53">
        <v>5</v>
      </c>
      <c r="H524" s="165">
        <f>VLOOKUP(Sales[[#This Row],[Product ID]],Product[#All],7,0)</f>
        <v>1400</v>
      </c>
      <c r="I524" s="165">
        <f>Sales[[#This Row],[Selling Rate]]*Sales[[#This Row],[Qty]]</f>
        <v>7000</v>
      </c>
      <c r="J524" s="45">
        <v>0.02</v>
      </c>
      <c r="K524" s="46">
        <f>Sales[[#This Row],[Gross Amount]]*Sales[[#This Row],[Disc %]]</f>
        <v>140</v>
      </c>
      <c r="L524" s="43">
        <v>0.18</v>
      </c>
      <c r="M524" s="46">
        <f>(Sales[[#This Row],[Gross Amount]]-Sales[[#This Row],[Disc. Amt.]])*Sales[[#This Row],[GST %]]</f>
        <v>1234.8</v>
      </c>
      <c r="N524" s="161">
        <f>Sales[[#This Row],[Gross Amount]]-Sales[[#This Row],[Disc. Amt.]]+Sales[[#This Row],[GST Amount]]</f>
        <v>8094.8</v>
      </c>
      <c r="O524" s="34" t="s">
        <v>3569</v>
      </c>
      <c r="P524" s="34" t="s">
        <v>3562</v>
      </c>
      <c r="Q524" s="165">
        <f>IF(Sales[[#This Row],[Status]]="Cancelled",0,Sales[[#This Row],[Qty]])</f>
        <v>5</v>
      </c>
      <c r="R524" s="166">
        <f>IF(Sales[[#This Row],[Status]]="Cancelled",0,Sales[[#This Row],[Total Amount]])</f>
        <v>8094.8</v>
      </c>
      <c r="S524" s="162">
        <f>SUM(Sales[Net Amount])</f>
        <v>406839287.73200053</v>
      </c>
    </row>
    <row r="525" spans="1:19" ht="18.75" x14ac:dyDescent="0.25">
      <c r="A525" s="156" t="s">
        <v>4097</v>
      </c>
      <c r="B525" s="157">
        <v>45805</v>
      </c>
      <c r="C525" s="158" t="s">
        <v>685</v>
      </c>
      <c r="D525" s="159" t="str">
        <f>VLOOKUP(Sales[[#This Row],[Customer ID]],Customer[#All],2,0)</f>
        <v>Pooja Kumar</v>
      </c>
      <c r="E525" s="158" t="s">
        <v>537</v>
      </c>
      <c r="F525" s="158" t="str">
        <f>VLOOKUP(Sales[[#This Row],[Product ID]],Product[#All],2,0)</f>
        <v>Dell Laptop</v>
      </c>
      <c r="G525" s="159">
        <v>8</v>
      </c>
      <c r="H525" s="160">
        <f>VLOOKUP(Sales[[#This Row],[Product ID]],Product[#All],7,0)</f>
        <v>90420</v>
      </c>
      <c r="I525" s="160">
        <f>Sales[[#This Row],[Selling Rate]]*Sales[[#This Row],[Qty]]</f>
        <v>723360</v>
      </c>
      <c r="J525" s="43">
        <v>0</v>
      </c>
      <c r="K525" s="44">
        <f>Sales[[#This Row],[Gross Amount]]*Sales[[#This Row],[Disc %]]</f>
        <v>0</v>
      </c>
      <c r="L525" s="43">
        <v>0.18</v>
      </c>
      <c r="M525" s="44">
        <f>(Sales[[#This Row],[Gross Amount]]-Sales[[#This Row],[Disc. Amt.]])*Sales[[#This Row],[GST %]]</f>
        <v>130204.79999999999</v>
      </c>
      <c r="N525" s="161">
        <f>Sales[[#This Row],[Gross Amount]]-Sales[[#This Row],[Disc. Amt.]]+Sales[[#This Row],[GST Amount]]</f>
        <v>853564.8</v>
      </c>
      <c r="O525" s="158" t="s">
        <v>8876</v>
      </c>
      <c r="P525" s="158" t="s">
        <v>3562</v>
      </c>
      <c r="Q525" s="160">
        <f>IF(Sales[[#This Row],[Status]]="Cancelled",0,Sales[[#This Row],[Qty]])</f>
        <v>8</v>
      </c>
      <c r="R525" s="161">
        <f>IF(Sales[[#This Row],[Status]]="Cancelled",0,Sales[[#This Row],[Total Amount]])</f>
        <v>853564.8</v>
      </c>
      <c r="S525" s="162">
        <f>SUM(Sales[Net Amount])</f>
        <v>406839287.73200053</v>
      </c>
    </row>
    <row r="526" spans="1:19" ht="18.75" x14ac:dyDescent="0.25">
      <c r="A526" s="163" t="s">
        <v>4098</v>
      </c>
      <c r="B526" s="164">
        <v>45805</v>
      </c>
      <c r="C526" s="34" t="s">
        <v>826</v>
      </c>
      <c r="D526" s="53" t="str">
        <f>VLOOKUP(Sales[[#This Row],[Customer ID]],Customer[#All],2,0)</f>
        <v>Sahil Sharma</v>
      </c>
      <c r="E526" s="34" t="s">
        <v>342</v>
      </c>
      <c r="F526" s="34" t="str">
        <f>VLOOKUP(Sales[[#This Row],[Product ID]],Product[#All],2,0)</f>
        <v>HP Laptop</v>
      </c>
      <c r="G526" s="53">
        <v>6</v>
      </c>
      <c r="H526" s="165">
        <f>VLOOKUP(Sales[[#This Row],[Product ID]],Product[#All],7,0)</f>
        <v>66290</v>
      </c>
      <c r="I526" s="165">
        <f>Sales[[#This Row],[Selling Rate]]*Sales[[#This Row],[Qty]]</f>
        <v>397740</v>
      </c>
      <c r="J526" s="45">
        <v>0.15</v>
      </c>
      <c r="K526" s="46">
        <f>Sales[[#This Row],[Gross Amount]]*Sales[[#This Row],[Disc %]]</f>
        <v>59661</v>
      </c>
      <c r="L526" s="43">
        <v>0.18</v>
      </c>
      <c r="M526" s="46">
        <f>(Sales[[#This Row],[Gross Amount]]-Sales[[#This Row],[Disc. Amt.]])*Sales[[#This Row],[GST %]]</f>
        <v>60854.22</v>
      </c>
      <c r="N526" s="161">
        <f>Sales[[#This Row],[Gross Amount]]-Sales[[#This Row],[Disc. Amt.]]+Sales[[#This Row],[GST Amount]]</f>
        <v>398933.22</v>
      </c>
      <c r="O526" s="34" t="s">
        <v>8876</v>
      </c>
      <c r="P526" s="34" t="s">
        <v>3562</v>
      </c>
      <c r="Q526" s="165">
        <f>IF(Sales[[#This Row],[Status]]="Cancelled",0,Sales[[#This Row],[Qty]])</f>
        <v>6</v>
      </c>
      <c r="R526" s="166">
        <f>IF(Sales[[#This Row],[Status]]="Cancelled",0,Sales[[#This Row],[Total Amount]])</f>
        <v>398933.22</v>
      </c>
      <c r="S526" s="162">
        <f>SUM(Sales[Net Amount])</f>
        <v>406839287.73200053</v>
      </c>
    </row>
    <row r="527" spans="1:19" ht="18.75" x14ac:dyDescent="0.25">
      <c r="A527" s="156" t="s">
        <v>4099</v>
      </c>
      <c r="B527" s="157">
        <v>45805</v>
      </c>
      <c r="C527" s="158" t="s">
        <v>871</v>
      </c>
      <c r="D527" s="159" t="str">
        <f>VLOOKUP(Sales[[#This Row],[Customer ID]],Customer[#All],2,0)</f>
        <v>Rakesh Kumar</v>
      </c>
      <c r="E527" s="158" t="s">
        <v>43</v>
      </c>
      <c r="F527" s="158" t="str">
        <f>VLOOKUP(Sales[[#This Row],[Product ID]],Product[#All],2,0)</f>
        <v>Jbl Speaker</v>
      </c>
      <c r="G527" s="159">
        <v>5</v>
      </c>
      <c r="H527" s="160">
        <f>VLOOKUP(Sales[[#This Row],[Product ID]],Product[#All],7,0)</f>
        <v>11310</v>
      </c>
      <c r="I527" s="160">
        <f>Sales[[#This Row],[Selling Rate]]*Sales[[#This Row],[Qty]]</f>
        <v>56550</v>
      </c>
      <c r="J527" s="43">
        <v>0</v>
      </c>
      <c r="K527" s="44">
        <f>Sales[[#This Row],[Gross Amount]]*Sales[[#This Row],[Disc %]]</f>
        <v>0</v>
      </c>
      <c r="L527" s="43">
        <v>0.18</v>
      </c>
      <c r="M527" s="44">
        <f>(Sales[[#This Row],[Gross Amount]]-Sales[[#This Row],[Disc. Amt.]])*Sales[[#This Row],[GST %]]</f>
        <v>10179</v>
      </c>
      <c r="N527" s="161">
        <f>Sales[[#This Row],[Gross Amount]]-Sales[[#This Row],[Disc. Amt.]]+Sales[[#This Row],[GST Amount]]</f>
        <v>66729</v>
      </c>
      <c r="O527" s="158" t="s">
        <v>3566</v>
      </c>
      <c r="P527" s="158" t="s">
        <v>3562</v>
      </c>
      <c r="Q527" s="160">
        <f>IF(Sales[[#This Row],[Status]]="Cancelled",0,Sales[[#This Row],[Qty]])</f>
        <v>5</v>
      </c>
      <c r="R527" s="161">
        <f>IF(Sales[[#This Row],[Status]]="Cancelled",0,Sales[[#This Row],[Total Amount]])</f>
        <v>66729</v>
      </c>
      <c r="S527" s="162">
        <f>SUM(Sales[Net Amount])</f>
        <v>406839287.73200053</v>
      </c>
    </row>
    <row r="528" spans="1:19" ht="18.75" x14ac:dyDescent="0.25">
      <c r="A528" s="163" t="s">
        <v>4100</v>
      </c>
      <c r="B528" s="164">
        <v>45805</v>
      </c>
      <c r="C528" s="34" t="s">
        <v>688</v>
      </c>
      <c r="D528" s="53" t="str">
        <f>VLOOKUP(Sales[[#This Row],[Customer ID]],Customer[#All],2,0)</f>
        <v>Rahul Verma</v>
      </c>
      <c r="E528" s="34" t="s">
        <v>343</v>
      </c>
      <c r="F528" s="34" t="str">
        <f>VLOOKUP(Sales[[#This Row],[Product ID]],Product[#All],2,0)</f>
        <v>Portronics USB Cable</v>
      </c>
      <c r="G528" s="53">
        <v>5</v>
      </c>
      <c r="H528" s="165">
        <f>VLOOKUP(Sales[[#This Row],[Product ID]],Product[#All],7,0)</f>
        <v>780</v>
      </c>
      <c r="I528" s="165">
        <f>Sales[[#This Row],[Selling Rate]]*Sales[[#This Row],[Qty]]</f>
        <v>3900</v>
      </c>
      <c r="J528" s="45">
        <v>0.05</v>
      </c>
      <c r="K528" s="46">
        <f>Sales[[#This Row],[Gross Amount]]*Sales[[#This Row],[Disc %]]</f>
        <v>195</v>
      </c>
      <c r="L528" s="43">
        <v>0.18</v>
      </c>
      <c r="M528" s="46">
        <f>(Sales[[#This Row],[Gross Amount]]-Sales[[#This Row],[Disc. Amt.]])*Sales[[#This Row],[GST %]]</f>
        <v>666.9</v>
      </c>
      <c r="N528" s="161">
        <f>Sales[[#This Row],[Gross Amount]]-Sales[[#This Row],[Disc. Amt.]]+Sales[[#This Row],[GST Amount]]</f>
        <v>4371.8999999999996</v>
      </c>
      <c r="O528" s="34" t="s">
        <v>3561</v>
      </c>
      <c r="P528" s="34" t="s">
        <v>3562</v>
      </c>
      <c r="Q528" s="165">
        <f>IF(Sales[[#This Row],[Status]]="Cancelled",0,Sales[[#This Row],[Qty]])</f>
        <v>5</v>
      </c>
      <c r="R528" s="166">
        <f>IF(Sales[[#This Row],[Status]]="Cancelled",0,Sales[[#This Row],[Total Amount]])</f>
        <v>4371.8999999999996</v>
      </c>
      <c r="S528" s="162">
        <f>SUM(Sales[Net Amount])</f>
        <v>406839287.73200053</v>
      </c>
    </row>
    <row r="529" spans="1:19" ht="18.75" x14ac:dyDescent="0.25">
      <c r="A529" s="156" t="s">
        <v>4101</v>
      </c>
      <c r="B529" s="157">
        <v>45805</v>
      </c>
      <c r="C529" s="158" t="s">
        <v>806</v>
      </c>
      <c r="D529" s="159" t="str">
        <f>VLOOKUP(Sales[[#This Row],[Customer ID]],Customer[#All],2,0)</f>
        <v>Vikas Singh</v>
      </c>
      <c r="E529" s="158" t="s">
        <v>104</v>
      </c>
      <c r="F529" s="158" t="str">
        <f>VLOOKUP(Sales[[#This Row],[Product ID]],Product[#All],2,0)</f>
        <v>Canon Printer</v>
      </c>
      <c r="G529" s="159">
        <v>5</v>
      </c>
      <c r="H529" s="160">
        <f>VLOOKUP(Sales[[#This Row],[Product ID]],Product[#All],7,0)</f>
        <v>49170</v>
      </c>
      <c r="I529" s="160">
        <f>Sales[[#This Row],[Selling Rate]]*Sales[[#This Row],[Qty]]</f>
        <v>245850</v>
      </c>
      <c r="J529" s="43">
        <v>0.02</v>
      </c>
      <c r="K529" s="44">
        <f>Sales[[#This Row],[Gross Amount]]*Sales[[#This Row],[Disc %]]</f>
        <v>4917</v>
      </c>
      <c r="L529" s="43">
        <v>0.18</v>
      </c>
      <c r="M529" s="44">
        <f>(Sales[[#This Row],[Gross Amount]]-Sales[[#This Row],[Disc. Amt.]])*Sales[[#This Row],[GST %]]</f>
        <v>43367.939999999995</v>
      </c>
      <c r="N529" s="161">
        <f>Sales[[#This Row],[Gross Amount]]-Sales[[#This Row],[Disc. Amt.]]+Sales[[#This Row],[GST Amount]]</f>
        <v>284300.94</v>
      </c>
      <c r="O529" s="158" t="s">
        <v>3561</v>
      </c>
      <c r="P529" s="158" t="s">
        <v>3562</v>
      </c>
      <c r="Q529" s="160">
        <f>IF(Sales[[#This Row],[Status]]="Cancelled",0,Sales[[#This Row],[Qty]])</f>
        <v>5</v>
      </c>
      <c r="R529" s="161">
        <f>IF(Sales[[#This Row],[Status]]="Cancelled",0,Sales[[#This Row],[Total Amount]])</f>
        <v>284300.94</v>
      </c>
      <c r="S529" s="162">
        <f>SUM(Sales[Net Amount])</f>
        <v>406839287.73200053</v>
      </c>
    </row>
    <row r="530" spans="1:19" ht="18.75" x14ac:dyDescent="0.25">
      <c r="A530" s="163" t="s">
        <v>4102</v>
      </c>
      <c r="B530" s="164">
        <v>45805</v>
      </c>
      <c r="C530" s="34" t="s">
        <v>868</v>
      </c>
      <c r="D530" s="53" t="str">
        <f>VLOOKUP(Sales[[#This Row],[Customer ID]],Customer[#All],2,0)</f>
        <v>Rahul Verma</v>
      </c>
      <c r="E530" s="34" t="s">
        <v>482</v>
      </c>
      <c r="F530" s="34" t="str">
        <f>VLOOKUP(Sales[[#This Row],[Product ID]],Product[#All],2,0)</f>
        <v>HP Mouse</v>
      </c>
      <c r="G530" s="53">
        <v>1</v>
      </c>
      <c r="H530" s="165">
        <f>VLOOKUP(Sales[[#This Row],[Product ID]],Product[#All],7,0)</f>
        <v>790</v>
      </c>
      <c r="I530" s="165">
        <f>Sales[[#This Row],[Selling Rate]]*Sales[[#This Row],[Qty]]</f>
        <v>790</v>
      </c>
      <c r="J530" s="45">
        <v>0.05</v>
      </c>
      <c r="K530" s="46">
        <f>Sales[[#This Row],[Gross Amount]]*Sales[[#This Row],[Disc %]]</f>
        <v>39.5</v>
      </c>
      <c r="L530" s="43">
        <v>0.18</v>
      </c>
      <c r="M530" s="46">
        <f>(Sales[[#This Row],[Gross Amount]]-Sales[[#This Row],[Disc. Amt.]])*Sales[[#This Row],[GST %]]</f>
        <v>135.09</v>
      </c>
      <c r="N530" s="161">
        <f>Sales[[#This Row],[Gross Amount]]-Sales[[#This Row],[Disc. Amt.]]+Sales[[#This Row],[GST Amount]]</f>
        <v>885.59</v>
      </c>
      <c r="O530" s="34" t="s">
        <v>3561</v>
      </c>
      <c r="P530" s="34" t="s">
        <v>3562</v>
      </c>
      <c r="Q530" s="165">
        <f>IF(Sales[[#This Row],[Status]]="Cancelled",0,Sales[[#This Row],[Qty]])</f>
        <v>1</v>
      </c>
      <c r="R530" s="166">
        <f>IF(Sales[[#This Row],[Status]]="Cancelled",0,Sales[[#This Row],[Total Amount]])</f>
        <v>885.59</v>
      </c>
      <c r="S530" s="162">
        <f>SUM(Sales[Net Amount])</f>
        <v>406839287.73200053</v>
      </c>
    </row>
    <row r="531" spans="1:19" ht="18.75" x14ac:dyDescent="0.25">
      <c r="A531" s="156" t="s">
        <v>4103</v>
      </c>
      <c r="B531" s="157">
        <v>45805</v>
      </c>
      <c r="C531" s="158" t="s">
        <v>659</v>
      </c>
      <c r="D531" s="159" t="str">
        <f>VLOOKUP(Sales[[#This Row],[Customer ID]],Customer[#All],2,0)</f>
        <v>Rakesh Sharma</v>
      </c>
      <c r="E531" s="158" t="s">
        <v>166</v>
      </c>
      <c r="F531" s="158" t="str">
        <f>VLOOKUP(Sales[[#This Row],[Product ID]],Product[#All],2,0)</f>
        <v>Canon Printer</v>
      </c>
      <c r="G531" s="159">
        <v>1</v>
      </c>
      <c r="H531" s="160">
        <f>VLOOKUP(Sales[[#This Row],[Product ID]],Product[#All],7,0)</f>
        <v>36680</v>
      </c>
      <c r="I531" s="160">
        <f>Sales[[#This Row],[Selling Rate]]*Sales[[#This Row],[Qty]]</f>
        <v>36680</v>
      </c>
      <c r="J531" s="43">
        <v>0.15</v>
      </c>
      <c r="K531" s="44">
        <f>Sales[[#This Row],[Gross Amount]]*Sales[[#This Row],[Disc %]]</f>
        <v>5502</v>
      </c>
      <c r="L531" s="43">
        <v>0.18</v>
      </c>
      <c r="M531" s="44">
        <f>(Sales[[#This Row],[Gross Amount]]-Sales[[#This Row],[Disc. Amt.]])*Sales[[#This Row],[GST %]]</f>
        <v>5612.04</v>
      </c>
      <c r="N531" s="161">
        <f>Sales[[#This Row],[Gross Amount]]-Sales[[#This Row],[Disc. Amt.]]+Sales[[#This Row],[GST Amount]]</f>
        <v>36790.04</v>
      </c>
      <c r="O531" s="158" t="s">
        <v>3561</v>
      </c>
      <c r="P531" s="158" t="s">
        <v>3562</v>
      </c>
      <c r="Q531" s="160">
        <f>IF(Sales[[#This Row],[Status]]="Cancelled",0,Sales[[#This Row],[Qty]])</f>
        <v>1</v>
      </c>
      <c r="R531" s="161">
        <f>IF(Sales[[#This Row],[Status]]="Cancelled",0,Sales[[#This Row],[Total Amount]])</f>
        <v>36790.04</v>
      </c>
      <c r="S531" s="162">
        <f>SUM(Sales[Net Amount])</f>
        <v>406839287.73200053</v>
      </c>
    </row>
    <row r="532" spans="1:19" ht="18.75" x14ac:dyDescent="0.25">
      <c r="A532" s="163" t="s">
        <v>4104</v>
      </c>
      <c r="B532" s="164">
        <v>45805</v>
      </c>
      <c r="C532" s="34" t="s">
        <v>794</v>
      </c>
      <c r="D532" s="53" t="str">
        <f>VLOOKUP(Sales[[#This Row],[Customer ID]],Customer[#All],2,0)</f>
        <v>Sunita Sharma</v>
      </c>
      <c r="E532" s="34" t="s">
        <v>456</v>
      </c>
      <c r="F532" s="34" t="str">
        <f>VLOOKUP(Sales[[#This Row],[Product ID]],Product[#All],2,0)</f>
        <v>Acer Laptop</v>
      </c>
      <c r="G532" s="53">
        <v>3</v>
      </c>
      <c r="H532" s="165">
        <f>VLOOKUP(Sales[[#This Row],[Product ID]],Product[#All],7,0)</f>
        <v>66790</v>
      </c>
      <c r="I532" s="165">
        <f>Sales[[#This Row],[Selling Rate]]*Sales[[#This Row],[Qty]]</f>
        <v>200370</v>
      </c>
      <c r="J532" s="45">
        <v>0.1</v>
      </c>
      <c r="K532" s="46">
        <f>Sales[[#This Row],[Gross Amount]]*Sales[[#This Row],[Disc %]]</f>
        <v>20037</v>
      </c>
      <c r="L532" s="43">
        <v>0.18</v>
      </c>
      <c r="M532" s="46">
        <f>(Sales[[#This Row],[Gross Amount]]-Sales[[#This Row],[Disc. Amt.]])*Sales[[#This Row],[GST %]]</f>
        <v>32459.94</v>
      </c>
      <c r="N532" s="161">
        <f>Sales[[#This Row],[Gross Amount]]-Sales[[#This Row],[Disc. Amt.]]+Sales[[#This Row],[GST Amount]]</f>
        <v>212792.94</v>
      </c>
      <c r="O532" s="34" t="s">
        <v>8876</v>
      </c>
      <c r="P532" s="34" t="s">
        <v>3562</v>
      </c>
      <c r="Q532" s="165">
        <f>IF(Sales[[#This Row],[Status]]="Cancelled",0,Sales[[#This Row],[Qty]])</f>
        <v>3</v>
      </c>
      <c r="R532" s="166">
        <f>IF(Sales[[#This Row],[Status]]="Cancelled",0,Sales[[#This Row],[Total Amount]])</f>
        <v>212792.94</v>
      </c>
      <c r="S532" s="162">
        <f>SUM(Sales[Net Amount])</f>
        <v>406839287.73200053</v>
      </c>
    </row>
    <row r="533" spans="1:19" ht="18.75" x14ac:dyDescent="0.25">
      <c r="A533" s="156" t="s">
        <v>4105</v>
      </c>
      <c r="B533" s="157">
        <v>45805</v>
      </c>
      <c r="C533" s="158" t="s">
        <v>716</v>
      </c>
      <c r="D533" s="159" t="str">
        <f>VLOOKUP(Sales[[#This Row],[Customer ID]],Customer[#All],2,0)</f>
        <v>Ankit Kumar</v>
      </c>
      <c r="E533" s="158" t="s">
        <v>292</v>
      </c>
      <c r="F533" s="158" t="str">
        <f>VLOOKUP(Sales[[#This Row],[Product ID]],Product[#All],2,0)</f>
        <v>Microtek UPS</v>
      </c>
      <c r="G533" s="159">
        <v>6</v>
      </c>
      <c r="H533" s="160">
        <f>VLOOKUP(Sales[[#This Row],[Product ID]],Product[#All],7,0)</f>
        <v>6260</v>
      </c>
      <c r="I533" s="160">
        <f>Sales[[#This Row],[Selling Rate]]*Sales[[#This Row],[Qty]]</f>
        <v>37560</v>
      </c>
      <c r="J533" s="43">
        <v>0.02</v>
      </c>
      <c r="K533" s="44">
        <f>Sales[[#This Row],[Gross Amount]]*Sales[[#This Row],[Disc %]]</f>
        <v>751.2</v>
      </c>
      <c r="L533" s="43">
        <v>0.18</v>
      </c>
      <c r="M533" s="44">
        <f>(Sales[[#This Row],[Gross Amount]]-Sales[[#This Row],[Disc. Amt.]])*Sales[[#This Row],[GST %]]</f>
        <v>6625.5839999999998</v>
      </c>
      <c r="N533" s="161">
        <f>Sales[[#This Row],[Gross Amount]]-Sales[[#This Row],[Disc. Amt.]]+Sales[[#This Row],[GST Amount]]</f>
        <v>43434.384000000005</v>
      </c>
      <c r="O533" s="158" t="s">
        <v>8876</v>
      </c>
      <c r="P533" s="158" t="s">
        <v>3562</v>
      </c>
      <c r="Q533" s="160">
        <f>IF(Sales[[#This Row],[Status]]="Cancelled",0,Sales[[#This Row],[Qty]])</f>
        <v>6</v>
      </c>
      <c r="R533" s="161">
        <f>IF(Sales[[#This Row],[Status]]="Cancelled",0,Sales[[#This Row],[Total Amount]])</f>
        <v>43434.384000000005</v>
      </c>
      <c r="S533" s="162">
        <f>SUM(Sales[Net Amount])</f>
        <v>406839287.73200053</v>
      </c>
    </row>
    <row r="534" spans="1:19" ht="18.75" x14ac:dyDescent="0.25">
      <c r="A534" s="163" t="s">
        <v>4106</v>
      </c>
      <c r="B534" s="164">
        <v>45805</v>
      </c>
      <c r="C534" s="34" t="s">
        <v>860</v>
      </c>
      <c r="D534" s="53" t="str">
        <f>VLOOKUP(Sales[[#This Row],[Customer ID]],Customer[#All],2,0)</f>
        <v>Rakesh Verma</v>
      </c>
      <c r="E534" s="34" t="s">
        <v>145</v>
      </c>
      <c r="F534" s="34" t="str">
        <f>VLOOKUP(Sales[[#This Row],[Product ID]],Product[#All],2,0)</f>
        <v>Crucial Ssd</v>
      </c>
      <c r="G534" s="53">
        <v>4</v>
      </c>
      <c r="H534" s="165">
        <f>VLOOKUP(Sales[[#This Row],[Product ID]],Product[#All],7,0)</f>
        <v>9790</v>
      </c>
      <c r="I534" s="165">
        <f>Sales[[#This Row],[Selling Rate]]*Sales[[#This Row],[Qty]]</f>
        <v>39160</v>
      </c>
      <c r="J534" s="45">
        <v>0.12</v>
      </c>
      <c r="K534" s="46">
        <f>Sales[[#This Row],[Gross Amount]]*Sales[[#This Row],[Disc %]]</f>
        <v>4699.2</v>
      </c>
      <c r="L534" s="43">
        <v>0.18</v>
      </c>
      <c r="M534" s="46">
        <f>(Sales[[#This Row],[Gross Amount]]-Sales[[#This Row],[Disc. Amt.]])*Sales[[#This Row],[GST %]]</f>
        <v>6202.9440000000004</v>
      </c>
      <c r="N534" s="161">
        <f>Sales[[#This Row],[Gross Amount]]-Sales[[#This Row],[Disc. Amt.]]+Sales[[#This Row],[GST Amount]]</f>
        <v>40663.744000000006</v>
      </c>
      <c r="O534" s="34" t="s">
        <v>8876</v>
      </c>
      <c r="P534" s="34" t="s">
        <v>3562</v>
      </c>
      <c r="Q534" s="165">
        <f>IF(Sales[[#This Row],[Status]]="Cancelled",0,Sales[[#This Row],[Qty]])</f>
        <v>4</v>
      </c>
      <c r="R534" s="166">
        <f>IF(Sales[[#This Row],[Status]]="Cancelled",0,Sales[[#This Row],[Total Amount]])</f>
        <v>40663.744000000006</v>
      </c>
      <c r="S534" s="162">
        <f>SUM(Sales[Net Amount])</f>
        <v>406839287.73200053</v>
      </c>
    </row>
    <row r="535" spans="1:19" ht="18.75" x14ac:dyDescent="0.25">
      <c r="A535" s="156" t="s">
        <v>4107</v>
      </c>
      <c r="B535" s="157">
        <v>45806</v>
      </c>
      <c r="C535" s="158" t="s">
        <v>894</v>
      </c>
      <c r="D535" s="159" t="str">
        <f>VLOOKUP(Sales[[#This Row],[Customer ID]],Customer[#All],2,0)</f>
        <v>Sunita Patel</v>
      </c>
      <c r="E535" s="158" t="s">
        <v>88</v>
      </c>
      <c r="F535" s="158" t="str">
        <f>VLOOKUP(Sales[[#This Row],[Product ID]],Product[#All],2,0)</f>
        <v>Dell Laptop</v>
      </c>
      <c r="G535" s="159">
        <v>4</v>
      </c>
      <c r="H535" s="160">
        <f>VLOOKUP(Sales[[#This Row],[Product ID]],Product[#All],7,0)</f>
        <v>43690</v>
      </c>
      <c r="I535" s="160">
        <f>Sales[[#This Row],[Selling Rate]]*Sales[[#This Row],[Qty]]</f>
        <v>174760</v>
      </c>
      <c r="J535" s="43">
        <v>0.05</v>
      </c>
      <c r="K535" s="44">
        <f>Sales[[#This Row],[Gross Amount]]*Sales[[#This Row],[Disc %]]</f>
        <v>8738</v>
      </c>
      <c r="L535" s="43">
        <v>0.18</v>
      </c>
      <c r="M535" s="44">
        <f>(Sales[[#This Row],[Gross Amount]]-Sales[[#This Row],[Disc. Amt.]])*Sales[[#This Row],[GST %]]</f>
        <v>29883.96</v>
      </c>
      <c r="N535" s="161">
        <f>Sales[[#This Row],[Gross Amount]]-Sales[[#This Row],[Disc. Amt.]]+Sales[[#This Row],[GST Amount]]</f>
        <v>195905.96</v>
      </c>
      <c r="O535" s="158" t="s">
        <v>8876</v>
      </c>
      <c r="P535" s="158" t="s">
        <v>3562</v>
      </c>
      <c r="Q535" s="160">
        <f>IF(Sales[[#This Row],[Status]]="Cancelled",0,Sales[[#This Row],[Qty]])</f>
        <v>4</v>
      </c>
      <c r="R535" s="161">
        <f>IF(Sales[[#This Row],[Status]]="Cancelled",0,Sales[[#This Row],[Total Amount]])</f>
        <v>195905.96</v>
      </c>
      <c r="S535" s="162">
        <f>SUM(Sales[Net Amount])</f>
        <v>406839287.73200053</v>
      </c>
    </row>
    <row r="536" spans="1:19" ht="18.75" x14ac:dyDescent="0.25">
      <c r="A536" s="163" t="s">
        <v>4108</v>
      </c>
      <c r="B536" s="164">
        <v>45806</v>
      </c>
      <c r="C536" s="34" t="s">
        <v>771</v>
      </c>
      <c r="D536" s="53" t="str">
        <f>VLOOKUP(Sales[[#This Row],[Customer ID]],Customer[#All],2,0)</f>
        <v>Pooja Sharma</v>
      </c>
      <c r="E536" s="34" t="s">
        <v>324</v>
      </c>
      <c r="F536" s="34" t="str">
        <f>VLOOKUP(Sales[[#This Row],[Product ID]],Product[#All],2,0)</f>
        <v>Sandisk Pen Drive</v>
      </c>
      <c r="G536" s="53">
        <v>5</v>
      </c>
      <c r="H536" s="165">
        <f>VLOOKUP(Sales[[#This Row],[Product ID]],Product[#All],7,0)</f>
        <v>4150</v>
      </c>
      <c r="I536" s="165">
        <f>Sales[[#This Row],[Selling Rate]]*Sales[[#This Row],[Qty]]</f>
        <v>20750</v>
      </c>
      <c r="J536" s="45">
        <v>0</v>
      </c>
      <c r="K536" s="46">
        <f>Sales[[#This Row],[Gross Amount]]*Sales[[#This Row],[Disc %]]</f>
        <v>0</v>
      </c>
      <c r="L536" s="43">
        <v>0.18</v>
      </c>
      <c r="M536" s="46">
        <f>(Sales[[#This Row],[Gross Amount]]-Sales[[#This Row],[Disc. Amt.]])*Sales[[#This Row],[GST %]]</f>
        <v>3735</v>
      </c>
      <c r="N536" s="161">
        <f>Sales[[#This Row],[Gross Amount]]-Sales[[#This Row],[Disc. Amt.]]+Sales[[#This Row],[GST Amount]]</f>
        <v>24485</v>
      </c>
      <c r="O536" s="34" t="s">
        <v>3569</v>
      </c>
      <c r="P536" s="34" t="s">
        <v>3562</v>
      </c>
      <c r="Q536" s="165">
        <f>IF(Sales[[#This Row],[Status]]="Cancelled",0,Sales[[#This Row],[Qty]])</f>
        <v>5</v>
      </c>
      <c r="R536" s="166">
        <f>IF(Sales[[#This Row],[Status]]="Cancelled",0,Sales[[#This Row],[Total Amount]])</f>
        <v>24485</v>
      </c>
      <c r="S536" s="162">
        <f>SUM(Sales[Net Amount])</f>
        <v>406839287.73200053</v>
      </c>
    </row>
    <row r="537" spans="1:19" ht="18.75" x14ac:dyDescent="0.25">
      <c r="A537" s="156" t="s">
        <v>4109</v>
      </c>
      <c r="B537" s="157">
        <v>45806</v>
      </c>
      <c r="C537" s="158" t="s">
        <v>800</v>
      </c>
      <c r="D537" s="159" t="str">
        <f>VLOOKUP(Sales[[#This Row],[Customer ID]],Customer[#All],2,0)</f>
        <v>Priya Gupta</v>
      </c>
      <c r="E537" s="158" t="s">
        <v>247</v>
      </c>
      <c r="F537" s="158" t="str">
        <f>VLOOKUP(Sales[[#This Row],[Product ID]],Product[#All],2,0)</f>
        <v>Acer Laptop</v>
      </c>
      <c r="G537" s="159">
        <v>1</v>
      </c>
      <c r="H537" s="160">
        <f>VLOOKUP(Sales[[#This Row],[Product ID]],Product[#All],7,0)</f>
        <v>68460</v>
      </c>
      <c r="I537" s="160">
        <f>Sales[[#This Row],[Selling Rate]]*Sales[[#This Row],[Qty]]</f>
        <v>68460</v>
      </c>
      <c r="J537" s="43">
        <v>0.05</v>
      </c>
      <c r="K537" s="44">
        <f>Sales[[#This Row],[Gross Amount]]*Sales[[#This Row],[Disc %]]</f>
        <v>3423</v>
      </c>
      <c r="L537" s="43">
        <v>0.18</v>
      </c>
      <c r="M537" s="44">
        <f>(Sales[[#This Row],[Gross Amount]]-Sales[[#This Row],[Disc. Amt.]])*Sales[[#This Row],[GST %]]</f>
        <v>11706.66</v>
      </c>
      <c r="N537" s="161">
        <f>Sales[[#This Row],[Gross Amount]]-Sales[[#This Row],[Disc. Amt.]]+Sales[[#This Row],[GST Amount]]</f>
        <v>76743.66</v>
      </c>
      <c r="O537" s="158" t="s">
        <v>3566</v>
      </c>
      <c r="P537" s="158" t="s">
        <v>3562</v>
      </c>
      <c r="Q537" s="160">
        <f>IF(Sales[[#This Row],[Status]]="Cancelled",0,Sales[[#This Row],[Qty]])</f>
        <v>1</v>
      </c>
      <c r="R537" s="161">
        <f>IF(Sales[[#This Row],[Status]]="Cancelled",0,Sales[[#This Row],[Total Amount]])</f>
        <v>76743.66</v>
      </c>
      <c r="S537" s="162">
        <f>SUM(Sales[Net Amount])</f>
        <v>406839287.73200053</v>
      </c>
    </row>
    <row r="538" spans="1:19" ht="18.75" x14ac:dyDescent="0.25">
      <c r="A538" s="163" t="s">
        <v>4110</v>
      </c>
      <c r="B538" s="164">
        <v>45806</v>
      </c>
      <c r="C538" s="34" t="s">
        <v>852</v>
      </c>
      <c r="D538" s="53" t="str">
        <f>VLOOKUP(Sales[[#This Row],[Customer ID]],Customer[#All],2,0)</f>
        <v>Neha Singh</v>
      </c>
      <c r="E538" s="34" t="s">
        <v>58</v>
      </c>
      <c r="F538" s="34" t="str">
        <f>VLOOKUP(Sales[[#This Row],[Product ID]],Product[#All],2,0)</f>
        <v>Lenovo Laptop</v>
      </c>
      <c r="G538" s="53">
        <v>4</v>
      </c>
      <c r="H538" s="165">
        <f>VLOOKUP(Sales[[#This Row],[Product ID]],Product[#All],7,0)</f>
        <v>50200</v>
      </c>
      <c r="I538" s="165">
        <f>Sales[[#This Row],[Selling Rate]]*Sales[[#This Row],[Qty]]</f>
        <v>200800</v>
      </c>
      <c r="J538" s="45">
        <v>0.12</v>
      </c>
      <c r="K538" s="46">
        <f>Sales[[#This Row],[Gross Amount]]*Sales[[#This Row],[Disc %]]</f>
        <v>24096</v>
      </c>
      <c r="L538" s="43">
        <v>0.18</v>
      </c>
      <c r="M538" s="46">
        <f>(Sales[[#This Row],[Gross Amount]]-Sales[[#This Row],[Disc. Amt.]])*Sales[[#This Row],[GST %]]</f>
        <v>31806.719999999998</v>
      </c>
      <c r="N538" s="161">
        <f>Sales[[#This Row],[Gross Amount]]-Sales[[#This Row],[Disc. Amt.]]+Sales[[#This Row],[GST Amount]]</f>
        <v>208510.72</v>
      </c>
      <c r="O538" s="34" t="s">
        <v>3566</v>
      </c>
      <c r="P538" s="34" t="s">
        <v>3562</v>
      </c>
      <c r="Q538" s="165">
        <f>IF(Sales[[#This Row],[Status]]="Cancelled",0,Sales[[#This Row],[Qty]])</f>
        <v>4</v>
      </c>
      <c r="R538" s="166">
        <f>IF(Sales[[#This Row],[Status]]="Cancelled",0,Sales[[#This Row],[Total Amount]])</f>
        <v>208510.72</v>
      </c>
      <c r="S538" s="162">
        <f>SUM(Sales[Net Amount])</f>
        <v>406839287.73200053</v>
      </c>
    </row>
    <row r="539" spans="1:19" ht="18.75" x14ac:dyDescent="0.25">
      <c r="A539" s="156" t="s">
        <v>4111</v>
      </c>
      <c r="B539" s="157">
        <v>45806</v>
      </c>
      <c r="C539" s="158" t="s">
        <v>726</v>
      </c>
      <c r="D539" s="159" t="str">
        <f>VLOOKUP(Sales[[#This Row],[Customer ID]],Customer[#All],2,0)</f>
        <v>Priya Singh</v>
      </c>
      <c r="E539" s="158" t="s">
        <v>203</v>
      </c>
      <c r="F539" s="158" t="str">
        <f>VLOOKUP(Sales[[#This Row],[Product ID]],Product[#All],2,0)</f>
        <v>Logitech Mouse</v>
      </c>
      <c r="G539" s="159">
        <v>2</v>
      </c>
      <c r="H539" s="160">
        <f>VLOOKUP(Sales[[#This Row],[Product ID]],Product[#All],7,0)</f>
        <v>2110</v>
      </c>
      <c r="I539" s="160">
        <f>Sales[[#This Row],[Selling Rate]]*Sales[[#This Row],[Qty]]</f>
        <v>4220</v>
      </c>
      <c r="J539" s="43">
        <v>0.05</v>
      </c>
      <c r="K539" s="44">
        <f>Sales[[#This Row],[Gross Amount]]*Sales[[#This Row],[Disc %]]</f>
        <v>211</v>
      </c>
      <c r="L539" s="43">
        <v>0.18</v>
      </c>
      <c r="M539" s="44">
        <f>(Sales[[#This Row],[Gross Amount]]-Sales[[#This Row],[Disc. Amt.]])*Sales[[#This Row],[GST %]]</f>
        <v>721.62</v>
      </c>
      <c r="N539" s="161">
        <f>Sales[[#This Row],[Gross Amount]]-Sales[[#This Row],[Disc. Amt.]]+Sales[[#This Row],[GST Amount]]</f>
        <v>4730.62</v>
      </c>
      <c r="O539" s="158" t="s">
        <v>3566</v>
      </c>
      <c r="P539" s="158" t="s">
        <v>3562</v>
      </c>
      <c r="Q539" s="160">
        <f>IF(Sales[[#This Row],[Status]]="Cancelled",0,Sales[[#This Row],[Qty]])</f>
        <v>2</v>
      </c>
      <c r="R539" s="161">
        <f>IF(Sales[[#This Row],[Status]]="Cancelled",0,Sales[[#This Row],[Total Amount]])</f>
        <v>4730.62</v>
      </c>
      <c r="S539" s="162">
        <f>SUM(Sales[Net Amount])</f>
        <v>406839287.73200053</v>
      </c>
    </row>
    <row r="540" spans="1:19" ht="18.75" x14ac:dyDescent="0.25">
      <c r="A540" s="163" t="s">
        <v>4112</v>
      </c>
      <c r="B540" s="164">
        <v>45806</v>
      </c>
      <c r="C540" s="34" t="s">
        <v>952</v>
      </c>
      <c r="D540" s="53" t="str">
        <f>VLOOKUP(Sales[[#This Row],[Customer ID]],Customer[#All],2,0)</f>
        <v>Pooja Singh</v>
      </c>
      <c r="E540" s="34" t="s">
        <v>165</v>
      </c>
      <c r="F540" s="34" t="str">
        <f>VLOOKUP(Sales[[#This Row],[Product ID]],Product[#All],2,0)</f>
        <v>Kingston Ram</v>
      </c>
      <c r="G540" s="53">
        <v>2</v>
      </c>
      <c r="H540" s="165">
        <f>VLOOKUP(Sales[[#This Row],[Product ID]],Product[#All],7,0)</f>
        <v>8020</v>
      </c>
      <c r="I540" s="165">
        <f>Sales[[#This Row],[Selling Rate]]*Sales[[#This Row],[Qty]]</f>
        <v>16040</v>
      </c>
      <c r="J540" s="45">
        <v>0.15</v>
      </c>
      <c r="K540" s="46">
        <f>Sales[[#This Row],[Gross Amount]]*Sales[[#This Row],[Disc %]]</f>
        <v>2406</v>
      </c>
      <c r="L540" s="43">
        <v>0.18</v>
      </c>
      <c r="M540" s="46">
        <f>(Sales[[#This Row],[Gross Amount]]-Sales[[#This Row],[Disc. Amt.]])*Sales[[#This Row],[GST %]]</f>
        <v>2454.12</v>
      </c>
      <c r="N540" s="161">
        <f>Sales[[#This Row],[Gross Amount]]-Sales[[#This Row],[Disc. Amt.]]+Sales[[#This Row],[GST Amount]]</f>
        <v>16088.119999999999</v>
      </c>
      <c r="O540" s="34" t="s">
        <v>3561</v>
      </c>
      <c r="P540" s="34" t="s">
        <v>3562</v>
      </c>
      <c r="Q540" s="165">
        <f>IF(Sales[[#This Row],[Status]]="Cancelled",0,Sales[[#This Row],[Qty]])</f>
        <v>2</v>
      </c>
      <c r="R540" s="166">
        <f>IF(Sales[[#This Row],[Status]]="Cancelled",0,Sales[[#This Row],[Total Amount]])</f>
        <v>16088.119999999999</v>
      </c>
      <c r="S540" s="162">
        <f>SUM(Sales[Net Amount])</f>
        <v>406839287.73200053</v>
      </c>
    </row>
    <row r="541" spans="1:19" ht="18.75" x14ac:dyDescent="0.25">
      <c r="A541" s="156" t="s">
        <v>4113</v>
      </c>
      <c r="B541" s="157">
        <v>45806</v>
      </c>
      <c r="C541" s="158" t="s">
        <v>905</v>
      </c>
      <c r="D541" s="159" t="str">
        <f>VLOOKUP(Sales[[#This Row],[Customer ID]],Customer[#All],2,0)</f>
        <v>Rakesh Gupta</v>
      </c>
      <c r="E541" s="158" t="s">
        <v>471</v>
      </c>
      <c r="F541" s="158" t="str">
        <f>VLOOKUP(Sales[[#This Row],[Product ID]],Product[#All],2,0)</f>
        <v>Samsung Monitor</v>
      </c>
      <c r="G541" s="159">
        <v>7</v>
      </c>
      <c r="H541" s="160">
        <f>VLOOKUP(Sales[[#This Row],[Product ID]],Product[#All],7,0)</f>
        <v>10840</v>
      </c>
      <c r="I541" s="160">
        <f>Sales[[#This Row],[Selling Rate]]*Sales[[#This Row],[Qty]]</f>
        <v>75880</v>
      </c>
      <c r="J541" s="43">
        <v>0.02</v>
      </c>
      <c r="K541" s="44">
        <f>Sales[[#This Row],[Gross Amount]]*Sales[[#This Row],[Disc %]]</f>
        <v>1517.6000000000001</v>
      </c>
      <c r="L541" s="43">
        <v>0.18</v>
      </c>
      <c r="M541" s="44">
        <f>(Sales[[#This Row],[Gross Amount]]-Sales[[#This Row],[Disc. Amt.]])*Sales[[#This Row],[GST %]]</f>
        <v>13385.231999999998</v>
      </c>
      <c r="N541" s="161">
        <f>Sales[[#This Row],[Gross Amount]]-Sales[[#This Row],[Disc. Amt.]]+Sales[[#This Row],[GST Amount]]</f>
        <v>87747.631999999998</v>
      </c>
      <c r="O541" s="158" t="s">
        <v>3566</v>
      </c>
      <c r="P541" s="158" t="s">
        <v>3562</v>
      </c>
      <c r="Q541" s="160">
        <f>IF(Sales[[#This Row],[Status]]="Cancelled",0,Sales[[#This Row],[Qty]])</f>
        <v>7</v>
      </c>
      <c r="R541" s="161">
        <f>IF(Sales[[#This Row],[Status]]="Cancelled",0,Sales[[#This Row],[Total Amount]])</f>
        <v>87747.631999999998</v>
      </c>
      <c r="S541" s="162">
        <f>SUM(Sales[Net Amount])</f>
        <v>406839287.73200053</v>
      </c>
    </row>
    <row r="542" spans="1:19" ht="18.75" x14ac:dyDescent="0.25">
      <c r="A542" s="163" t="s">
        <v>4114</v>
      </c>
      <c r="B542" s="164">
        <v>45806</v>
      </c>
      <c r="C542" s="34" t="s">
        <v>661</v>
      </c>
      <c r="D542" s="53" t="str">
        <f>VLOOKUP(Sales[[#This Row],[Customer ID]],Customer[#All],2,0)</f>
        <v>Pooja Gupta</v>
      </c>
      <c r="E542" s="34" t="s">
        <v>261</v>
      </c>
      <c r="F542" s="34" t="str">
        <f>VLOOKUP(Sales[[#This Row],[Product ID]],Product[#All],2,0)</f>
        <v>American TouristerLaptopBag</v>
      </c>
      <c r="G542" s="53">
        <v>2</v>
      </c>
      <c r="H542" s="165">
        <f>VLOOKUP(Sales[[#This Row],[Product ID]],Product[#All],7,0)</f>
        <v>1320</v>
      </c>
      <c r="I542" s="165">
        <f>Sales[[#This Row],[Selling Rate]]*Sales[[#This Row],[Qty]]</f>
        <v>2640</v>
      </c>
      <c r="J542" s="45">
        <v>0</v>
      </c>
      <c r="K542" s="46">
        <f>Sales[[#This Row],[Gross Amount]]*Sales[[#This Row],[Disc %]]</f>
        <v>0</v>
      </c>
      <c r="L542" s="43">
        <v>0.18</v>
      </c>
      <c r="M542" s="46">
        <f>(Sales[[#This Row],[Gross Amount]]-Sales[[#This Row],[Disc. Amt.]])*Sales[[#This Row],[GST %]]</f>
        <v>475.2</v>
      </c>
      <c r="N542" s="161">
        <f>Sales[[#This Row],[Gross Amount]]-Sales[[#This Row],[Disc. Amt.]]+Sales[[#This Row],[GST Amount]]</f>
        <v>3115.2</v>
      </c>
      <c r="O542" s="34" t="s">
        <v>8876</v>
      </c>
      <c r="P542" s="34" t="s">
        <v>3562</v>
      </c>
      <c r="Q542" s="165">
        <f>IF(Sales[[#This Row],[Status]]="Cancelled",0,Sales[[#This Row],[Qty]])</f>
        <v>2</v>
      </c>
      <c r="R542" s="166">
        <f>IF(Sales[[#This Row],[Status]]="Cancelled",0,Sales[[#This Row],[Total Amount]])</f>
        <v>3115.2</v>
      </c>
      <c r="S542" s="162">
        <f>SUM(Sales[Net Amount])</f>
        <v>406839287.73200053</v>
      </c>
    </row>
    <row r="543" spans="1:19" ht="18.75" x14ac:dyDescent="0.25">
      <c r="A543" s="156" t="s">
        <v>4115</v>
      </c>
      <c r="B543" s="157">
        <v>45806</v>
      </c>
      <c r="C543" s="158" t="s">
        <v>783</v>
      </c>
      <c r="D543" s="159" t="str">
        <f>VLOOKUP(Sales[[#This Row],[Customer ID]],Customer[#All],2,0)</f>
        <v>Neha Singh</v>
      </c>
      <c r="E543" s="158" t="s">
        <v>444</v>
      </c>
      <c r="F543" s="158" t="str">
        <f>VLOOKUP(Sales[[#This Row],[Product ID]],Product[#All],2,0)</f>
        <v>Dell Desktop</v>
      </c>
      <c r="G543" s="159">
        <v>5</v>
      </c>
      <c r="H543" s="160">
        <f>VLOOKUP(Sales[[#This Row],[Product ID]],Product[#All],7,0)</f>
        <v>55730</v>
      </c>
      <c r="I543" s="160">
        <f>Sales[[#This Row],[Selling Rate]]*Sales[[#This Row],[Qty]]</f>
        <v>278650</v>
      </c>
      <c r="J543" s="43">
        <v>0</v>
      </c>
      <c r="K543" s="44">
        <f>Sales[[#This Row],[Gross Amount]]*Sales[[#This Row],[Disc %]]</f>
        <v>0</v>
      </c>
      <c r="L543" s="43">
        <v>0.18</v>
      </c>
      <c r="M543" s="44">
        <f>(Sales[[#This Row],[Gross Amount]]-Sales[[#This Row],[Disc. Amt.]])*Sales[[#This Row],[GST %]]</f>
        <v>50157</v>
      </c>
      <c r="N543" s="161">
        <f>Sales[[#This Row],[Gross Amount]]-Sales[[#This Row],[Disc. Amt.]]+Sales[[#This Row],[GST Amount]]</f>
        <v>328807</v>
      </c>
      <c r="O543" s="158" t="s">
        <v>3569</v>
      </c>
      <c r="P543" s="158" t="s">
        <v>3562</v>
      </c>
      <c r="Q543" s="160">
        <f>IF(Sales[[#This Row],[Status]]="Cancelled",0,Sales[[#This Row],[Qty]])</f>
        <v>5</v>
      </c>
      <c r="R543" s="161">
        <f>IF(Sales[[#This Row],[Status]]="Cancelled",0,Sales[[#This Row],[Total Amount]])</f>
        <v>328807</v>
      </c>
      <c r="S543" s="162">
        <f>SUM(Sales[Net Amount])</f>
        <v>406839287.73200053</v>
      </c>
    </row>
    <row r="544" spans="1:19" ht="18.75" x14ac:dyDescent="0.25">
      <c r="A544" s="163" t="s">
        <v>4116</v>
      </c>
      <c r="B544" s="164">
        <v>45806</v>
      </c>
      <c r="C544" s="34" t="s">
        <v>682</v>
      </c>
      <c r="D544" s="53" t="str">
        <f>VLOOKUP(Sales[[#This Row],[Customer ID]],Customer[#All],2,0)</f>
        <v>Rahul Sharma</v>
      </c>
      <c r="E544" s="34" t="s">
        <v>213</v>
      </c>
      <c r="F544" s="34" t="str">
        <f>VLOOKUP(Sales[[#This Row],[Product ID]],Product[#All],2,0)</f>
        <v>Dell Power Adapter</v>
      </c>
      <c r="G544" s="53">
        <v>6</v>
      </c>
      <c r="H544" s="165">
        <f>VLOOKUP(Sales[[#This Row],[Product ID]],Product[#All],7,0)</f>
        <v>3740</v>
      </c>
      <c r="I544" s="165">
        <f>Sales[[#This Row],[Selling Rate]]*Sales[[#This Row],[Qty]]</f>
        <v>22440</v>
      </c>
      <c r="J544" s="45">
        <v>0.05</v>
      </c>
      <c r="K544" s="46">
        <f>Sales[[#This Row],[Gross Amount]]*Sales[[#This Row],[Disc %]]</f>
        <v>1122</v>
      </c>
      <c r="L544" s="43">
        <v>0.18</v>
      </c>
      <c r="M544" s="46">
        <f>(Sales[[#This Row],[Gross Amount]]-Sales[[#This Row],[Disc. Amt.]])*Sales[[#This Row],[GST %]]</f>
        <v>3837.24</v>
      </c>
      <c r="N544" s="161">
        <f>Sales[[#This Row],[Gross Amount]]-Sales[[#This Row],[Disc. Amt.]]+Sales[[#This Row],[GST Amount]]</f>
        <v>25155.239999999998</v>
      </c>
      <c r="O544" s="34" t="s">
        <v>8876</v>
      </c>
      <c r="P544" s="34" t="s">
        <v>3562</v>
      </c>
      <c r="Q544" s="165">
        <f>IF(Sales[[#This Row],[Status]]="Cancelled",0,Sales[[#This Row],[Qty]])</f>
        <v>6</v>
      </c>
      <c r="R544" s="166">
        <f>IF(Sales[[#This Row],[Status]]="Cancelled",0,Sales[[#This Row],[Total Amount]])</f>
        <v>25155.239999999998</v>
      </c>
      <c r="S544" s="162">
        <f>SUM(Sales[Net Amount])</f>
        <v>406839287.73200053</v>
      </c>
    </row>
    <row r="545" spans="1:19" ht="18.75" x14ac:dyDescent="0.25">
      <c r="A545" s="156" t="s">
        <v>4117</v>
      </c>
      <c r="B545" s="157">
        <v>45806</v>
      </c>
      <c r="C545" s="158" t="s">
        <v>698</v>
      </c>
      <c r="D545" s="159" t="str">
        <f>VLOOKUP(Sales[[#This Row],[Customer ID]],Customer[#All],2,0)</f>
        <v>Neha Sharma</v>
      </c>
      <c r="E545" s="158" t="s">
        <v>489</v>
      </c>
      <c r="F545" s="158" t="str">
        <f>VLOOKUP(Sales[[#This Row],[Product ID]],Product[#All],2,0)</f>
        <v>Microtek UPS</v>
      </c>
      <c r="G545" s="159">
        <v>3</v>
      </c>
      <c r="H545" s="160">
        <f>VLOOKUP(Sales[[#This Row],[Product ID]],Product[#All],7,0)</f>
        <v>8040</v>
      </c>
      <c r="I545" s="160">
        <f>Sales[[#This Row],[Selling Rate]]*Sales[[#This Row],[Qty]]</f>
        <v>24120</v>
      </c>
      <c r="J545" s="43">
        <v>0.02</v>
      </c>
      <c r="K545" s="44">
        <f>Sales[[#This Row],[Gross Amount]]*Sales[[#This Row],[Disc %]]</f>
        <v>482.40000000000003</v>
      </c>
      <c r="L545" s="43">
        <v>0.18</v>
      </c>
      <c r="M545" s="44">
        <f>(Sales[[#This Row],[Gross Amount]]-Sales[[#This Row],[Disc. Amt.]])*Sales[[#This Row],[GST %]]</f>
        <v>4254.768</v>
      </c>
      <c r="N545" s="161">
        <f>Sales[[#This Row],[Gross Amount]]-Sales[[#This Row],[Disc. Amt.]]+Sales[[#This Row],[GST Amount]]</f>
        <v>27892.367999999999</v>
      </c>
      <c r="O545" s="158" t="s">
        <v>3566</v>
      </c>
      <c r="P545" s="158" t="s">
        <v>3562</v>
      </c>
      <c r="Q545" s="160">
        <f>IF(Sales[[#This Row],[Status]]="Cancelled",0,Sales[[#This Row],[Qty]])</f>
        <v>3</v>
      </c>
      <c r="R545" s="161">
        <f>IF(Sales[[#This Row],[Status]]="Cancelled",0,Sales[[#This Row],[Total Amount]])</f>
        <v>27892.367999999999</v>
      </c>
      <c r="S545" s="162">
        <f>SUM(Sales[Net Amount])</f>
        <v>406839287.73200053</v>
      </c>
    </row>
    <row r="546" spans="1:19" ht="18.75" x14ac:dyDescent="0.25">
      <c r="A546" s="163" t="s">
        <v>4118</v>
      </c>
      <c r="B546" s="164">
        <v>45806</v>
      </c>
      <c r="C546" s="34" t="s">
        <v>734</v>
      </c>
      <c r="D546" s="53" t="str">
        <f>VLOOKUP(Sales[[#This Row],[Customer ID]],Customer[#All],2,0)</f>
        <v>Ankit Sharma</v>
      </c>
      <c r="E546" s="34" t="s">
        <v>232</v>
      </c>
      <c r="F546" s="34" t="str">
        <f>VLOOKUP(Sales[[#This Row],[Product ID]],Product[#All],2,0)</f>
        <v>HP Printer</v>
      </c>
      <c r="G546" s="53">
        <v>3</v>
      </c>
      <c r="H546" s="165">
        <f>VLOOKUP(Sales[[#This Row],[Product ID]],Product[#All],7,0)</f>
        <v>35700</v>
      </c>
      <c r="I546" s="165">
        <f>Sales[[#This Row],[Selling Rate]]*Sales[[#This Row],[Qty]]</f>
        <v>107100</v>
      </c>
      <c r="J546" s="45">
        <v>0</v>
      </c>
      <c r="K546" s="46">
        <f>Sales[[#This Row],[Gross Amount]]*Sales[[#This Row],[Disc %]]</f>
        <v>0</v>
      </c>
      <c r="L546" s="43">
        <v>0.18</v>
      </c>
      <c r="M546" s="46">
        <f>(Sales[[#This Row],[Gross Amount]]-Sales[[#This Row],[Disc. Amt.]])*Sales[[#This Row],[GST %]]</f>
        <v>19278</v>
      </c>
      <c r="N546" s="161">
        <f>Sales[[#This Row],[Gross Amount]]-Sales[[#This Row],[Disc. Amt.]]+Sales[[#This Row],[GST Amount]]</f>
        <v>126378</v>
      </c>
      <c r="O546" s="34" t="s">
        <v>3569</v>
      </c>
      <c r="P546" s="34" t="s">
        <v>3562</v>
      </c>
      <c r="Q546" s="165">
        <f>IF(Sales[[#This Row],[Status]]="Cancelled",0,Sales[[#This Row],[Qty]])</f>
        <v>3</v>
      </c>
      <c r="R546" s="166">
        <f>IF(Sales[[#This Row],[Status]]="Cancelled",0,Sales[[#This Row],[Total Amount]])</f>
        <v>126378</v>
      </c>
      <c r="S546" s="162">
        <f>SUM(Sales[Net Amount])</f>
        <v>406839287.73200053</v>
      </c>
    </row>
    <row r="547" spans="1:19" ht="18.75" x14ac:dyDescent="0.25">
      <c r="A547" s="156" t="s">
        <v>4119</v>
      </c>
      <c r="B547" s="157">
        <v>45806</v>
      </c>
      <c r="C547" s="158" t="s">
        <v>760</v>
      </c>
      <c r="D547" s="159" t="str">
        <f>VLOOKUP(Sales[[#This Row],[Customer ID]],Customer[#All],2,0)</f>
        <v>Pooja Singh</v>
      </c>
      <c r="E547" s="158" t="s">
        <v>316</v>
      </c>
      <c r="F547" s="158" t="str">
        <f>VLOOKUP(Sales[[#This Row],[Product ID]],Product[#All],2,0)</f>
        <v>TP-link Router</v>
      </c>
      <c r="G547" s="159">
        <v>3</v>
      </c>
      <c r="H547" s="160">
        <f>VLOOKUP(Sales[[#This Row],[Product ID]],Product[#All],7,0)</f>
        <v>3750</v>
      </c>
      <c r="I547" s="160">
        <f>Sales[[#This Row],[Selling Rate]]*Sales[[#This Row],[Qty]]</f>
        <v>11250</v>
      </c>
      <c r="J547" s="43">
        <v>0.05</v>
      </c>
      <c r="K547" s="44">
        <f>Sales[[#This Row],[Gross Amount]]*Sales[[#This Row],[Disc %]]</f>
        <v>562.5</v>
      </c>
      <c r="L547" s="43">
        <v>0.18</v>
      </c>
      <c r="M547" s="44">
        <f>(Sales[[#This Row],[Gross Amount]]-Sales[[#This Row],[Disc. Amt.]])*Sales[[#This Row],[GST %]]</f>
        <v>1923.75</v>
      </c>
      <c r="N547" s="161">
        <f>Sales[[#This Row],[Gross Amount]]-Sales[[#This Row],[Disc. Amt.]]+Sales[[#This Row],[GST Amount]]</f>
        <v>12611.25</v>
      </c>
      <c r="O547" s="158" t="s">
        <v>3569</v>
      </c>
      <c r="P547" s="158" t="s">
        <v>3562</v>
      </c>
      <c r="Q547" s="160">
        <f>IF(Sales[[#This Row],[Status]]="Cancelled",0,Sales[[#This Row],[Qty]])</f>
        <v>3</v>
      </c>
      <c r="R547" s="161">
        <f>IF(Sales[[#This Row],[Status]]="Cancelled",0,Sales[[#This Row],[Total Amount]])</f>
        <v>12611.25</v>
      </c>
      <c r="S547" s="162">
        <f>SUM(Sales[Net Amount])</f>
        <v>406839287.73200053</v>
      </c>
    </row>
    <row r="548" spans="1:19" ht="18.75" x14ac:dyDescent="0.25">
      <c r="A548" s="163" t="s">
        <v>4120</v>
      </c>
      <c r="B548" s="164">
        <v>45806</v>
      </c>
      <c r="C548" s="34" t="s">
        <v>820</v>
      </c>
      <c r="D548" s="53" t="str">
        <f>VLOOKUP(Sales[[#This Row],[Customer ID]],Customer[#All],2,0)</f>
        <v>Sahil Gupta</v>
      </c>
      <c r="E548" s="34" t="s">
        <v>337</v>
      </c>
      <c r="F548" s="34" t="str">
        <f>VLOOKUP(Sales[[#This Row],[Product ID]],Product[#All],2,0)</f>
        <v>Corsair Ram</v>
      </c>
      <c r="G548" s="53">
        <v>4</v>
      </c>
      <c r="H548" s="165">
        <f>VLOOKUP(Sales[[#This Row],[Product ID]],Product[#All],7,0)</f>
        <v>10500</v>
      </c>
      <c r="I548" s="165">
        <f>Sales[[#This Row],[Selling Rate]]*Sales[[#This Row],[Qty]]</f>
        <v>42000</v>
      </c>
      <c r="J548" s="45">
        <v>0.15</v>
      </c>
      <c r="K548" s="46">
        <f>Sales[[#This Row],[Gross Amount]]*Sales[[#This Row],[Disc %]]</f>
        <v>6300</v>
      </c>
      <c r="L548" s="43">
        <v>0.18</v>
      </c>
      <c r="M548" s="46">
        <f>(Sales[[#This Row],[Gross Amount]]-Sales[[#This Row],[Disc. Amt.]])*Sales[[#This Row],[GST %]]</f>
        <v>6426</v>
      </c>
      <c r="N548" s="161">
        <f>Sales[[#This Row],[Gross Amount]]-Sales[[#This Row],[Disc. Amt.]]+Sales[[#This Row],[GST Amount]]</f>
        <v>42126</v>
      </c>
      <c r="O548" s="34" t="s">
        <v>3569</v>
      </c>
      <c r="P548" s="34" t="s">
        <v>3562</v>
      </c>
      <c r="Q548" s="165">
        <f>IF(Sales[[#This Row],[Status]]="Cancelled",0,Sales[[#This Row],[Qty]])</f>
        <v>4</v>
      </c>
      <c r="R548" s="166">
        <f>IF(Sales[[#This Row],[Status]]="Cancelled",0,Sales[[#This Row],[Total Amount]])</f>
        <v>42126</v>
      </c>
      <c r="S548" s="162">
        <f>SUM(Sales[Net Amount])</f>
        <v>406839287.73200053</v>
      </c>
    </row>
    <row r="549" spans="1:19" ht="18.75" x14ac:dyDescent="0.25">
      <c r="A549" s="156" t="s">
        <v>4121</v>
      </c>
      <c r="B549" s="157">
        <v>45806</v>
      </c>
      <c r="C549" s="158" t="s">
        <v>794</v>
      </c>
      <c r="D549" s="159" t="str">
        <f>VLOOKUP(Sales[[#This Row],[Customer ID]],Customer[#All],2,0)</f>
        <v>Sunita Sharma</v>
      </c>
      <c r="E549" s="158" t="s">
        <v>91</v>
      </c>
      <c r="F549" s="158" t="str">
        <f>VLOOKUP(Sales[[#This Row],[Product ID]],Product[#All],2,0)</f>
        <v>Logitech Keyboard</v>
      </c>
      <c r="G549" s="159">
        <v>2</v>
      </c>
      <c r="H549" s="160">
        <f>VLOOKUP(Sales[[#This Row],[Product ID]],Product[#All],7,0)</f>
        <v>3950</v>
      </c>
      <c r="I549" s="160">
        <f>Sales[[#This Row],[Selling Rate]]*Sales[[#This Row],[Qty]]</f>
        <v>7900</v>
      </c>
      <c r="J549" s="43">
        <v>0.12</v>
      </c>
      <c r="K549" s="44">
        <f>Sales[[#This Row],[Gross Amount]]*Sales[[#This Row],[Disc %]]</f>
        <v>948</v>
      </c>
      <c r="L549" s="43">
        <v>0.18</v>
      </c>
      <c r="M549" s="44">
        <f>(Sales[[#This Row],[Gross Amount]]-Sales[[#This Row],[Disc. Amt.]])*Sales[[#This Row],[GST %]]</f>
        <v>1251.3599999999999</v>
      </c>
      <c r="N549" s="161">
        <f>Sales[[#This Row],[Gross Amount]]-Sales[[#This Row],[Disc. Amt.]]+Sales[[#This Row],[GST Amount]]</f>
        <v>8203.36</v>
      </c>
      <c r="O549" s="158" t="s">
        <v>3566</v>
      </c>
      <c r="P549" s="158" t="s">
        <v>3562</v>
      </c>
      <c r="Q549" s="160">
        <f>IF(Sales[[#This Row],[Status]]="Cancelled",0,Sales[[#This Row],[Qty]])</f>
        <v>2</v>
      </c>
      <c r="R549" s="161">
        <f>IF(Sales[[#This Row],[Status]]="Cancelled",0,Sales[[#This Row],[Total Amount]])</f>
        <v>8203.36</v>
      </c>
      <c r="S549" s="162">
        <f>SUM(Sales[Net Amount])</f>
        <v>406839287.73200053</v>
      </c>
    </row>
    <row r="550" spans="1:19" ht="18.75" x14ac:dyDescent="0.25">
      <c r="A550" s="163" t="s">
        <v>4122</v>
      </c>
      <c r="B550" s="164">
        <v>45806</v>
      </c>
      <c r="C550" s="34" t="s">
        <v>5578</v>
      </c>
      <c r="D550" s="53" t="str">
        <f>VLOOKUP(Sales[[#This Row],[Customer ID]],Customer[#All],2,0)</f>
        <v>Sunita Verma</v>
      </c>
      <c r="E550" s="34" t="s">
        <v>438</v>
      </c>
      <c r="F550" s="34" t="str">
        <f>VLOOKUP(Sales[[#This Row],[Product ID]],Product[#All],2,0)</f>
        <v>Jbl Headset</v>
      </c>
      <c r="G550" s="53">
        <v>7</v>
      </c>
      <c r="H550" s="165">
        <f>VLOOKUP(Sales[[#This Row],[Product ID]],Product[#All],7,0)</f>
        <v>1670</v>
      </c>
      <c r="I550" s="165">
        <f>Sales[[#This Row],[Selling Rate]]*Sales[[#This Row],[Qty]]</f>
        <v>11690</v>
      </c>
      <c r="J550" s="45">
        <v>0.15</v>
      </c>
      <c r="K550" s="46">
        <f>Sales[[#This Row],[Gross Amount]]*Sales[[#This Row],[Disc %]]</f>
        <v>1753.5</v>
      </c>
      <c r="L550" s="43">
        <v>0.18</v>
      </c>
      <c r="M550" s="46">
        <f>(Sales[[#This Row],[Gross Amount]]-Sales[[#This Row],[Disc. Amt.]])*Sales[[#This Row],[GST %]]</f>
        <v>1788.57</v>
      </c>
      <c r="N550" s="161">
        <f>Sales[[#This Row],[Gross Amount]]-Sales[[#This Row],[Disc. Amt.]]+Sales[[#This Row],[GST Amount]]</f>
        <v>11725.07</v>
      </c>
      <c r="O550" s="34" t="s">
        <v>8876</v>
      </c>
      <c r="P550" s="34" t="s">
        <v>3562</v>
      </c>
      <c r="Q550" s="165">
        <f>IF(Sales[[#This Row],[Status]]="Cancelled",0,Sales[[#This Row],[Qty]])</f>
        <v>7</v>
      </c>
      <c r="R550" s="166">
        <f>IF(Sales[[#This Row],[Status]]="Cancelled",0,Sales[[#This Row],[Total Amount]])</f>
        <v>11725.07</v>
      </c>
      <c r="S550" s="162">
        <f>SUM(Sales[Net Amount])</f>
        <v>406839287.73200053</v>
      </c>
    </row>
    <row r="551" spans="1:19" ht="18.75" x14ac:dyDescent="0.25">
      <c r="A551" s="156" t="s">
        <v>4123</v>
      </c>
      <c r="B551" s="157">
        <v>45806</v>
      </c>
      <c r="C551" s="158" t="s">
        <v>687</v>
      </c>
      <c r="D551" s="159" t="str">
        <f>VLOOKUP(Sales[[#This Row],[Customer ID]],Customer[#All],2,0)</f>
        <v>Rahul Verma</v>
      </c>
      <c r="E551" s="158" t="s">
        <v>345</v>
      </c>
      <c r="F551" s="158" t="str">
        <f>VLOOKUP(Sales[[#This Row],[Product ID]],Product[#All],2,0)</f>
        <v>Amazon Basics Hdmi Cable</v>
      </c>
      <c r="G551" s="159">
        <v>5</v>
      </c>
      <c r="H551" s="160">
        <f>VLOOKUP(Sales[[#This Row],[Product ID]],Product[#All],7,0)</f>
        <v>190</v>
      </c>
      <c r="I551" s="160">
        <f>Sales[[#This Row],[Selling Rate]]*Sales[[#This Row],[Qty]]</f>
        <v>950</v>
      </c>
      <c r="J551" s="43">
        <v>0.15</v>
      </c>
      <c r="K551" s="44">
        <f>Sales[[#This Row],[Gross Amount]]*Sales[[#This Row],[Disc %]]</f>
        <v>142.5</v>
      </c>
      <c r="L551" s="43">
        <v>0.18</v>
      </c>
      <c r="M551" s="44">
        <f>(Sales[[#This Row],[Gross Amount]]-Sales[[#This Row],[Disc. Amt.]])*Sales[[#This Row],[GST %]]</f>
        <v>145.35</v>
      </c>
      <c r="N551" s="161">
        <f>Sales[[#This Row],[Gross Amount]]-Sales[[#This Row],[Disc. Amt.]]+Sales[[#This Row],[GST Amount]]</f>
        <v>952.85</v>
      </c>
      <c r="O551" s="158" t="s">
        <v>8876</v>
      </c>
      <c r="P551" s="158" t="s">
        <v>3562</v>
      </c>
      <c r="Q551" s="160">
        <f>IF(Sales[[#This Row],[Status]]="Cancelled",0,Sales[[#This Row],[Qty]])</f>
        <v>5</v>
      </c>
      <c r="R551" s="161">
        <f>IF(Sales[[#This Row],[Status]]="Cancelled",0,Sales[[#This Row],[Total Amount]])</f>
        <v>952.85</v>
      </c>
      <c r="S551" s="162">
        <f>SUM(Sales[Net Amount])</f>
        <v>406839287.73200053</v>
      </c>
    </row>
    <row r="552" spans="1:19" ht="18.75" x14ac:dyDescent="0.25">
      <c r="A552" s="163" t="s">
        <v>4124</v>
      </c>
      <c r="B552" s="164">
        <v>45806</v>
      </c>
      <c r="C552" s="34" t="s">
        <v>873</v>
      </c>
      <c r="D552" s="53" t="str">
        <f>VLOOKUP(Sales[[#This Row],[Customer ID]],Customer[#All],2,0)</f>
        <v>Sahil Verma</v>
      </c>
      <c r="E552" s="34" t="s">
        <v>480</v>
      </c>
      <c r="F552" s="34" t="str">
        <f>VLOOKUP(Sales[[#This Row],[Product ID]],Product[#All],2,0)</f>
        <v>TP-link Bluetooth Adapter</v>
      </c>
      <c r="G552" s="53">
        <v>4</v>
      </c>
      <c r="H552" s="165">
        <f>VLOOKUP(Sales[[#This Row],[Product ID]],Product[#All],7,0)</f>
        <v>1670</v>
      </c>
      <c r="I552" s="165">
        <f>Sales[[#This Row],[Selling Rate]]*Sales[[#This Row],[Qty]]</f>
        <v>6680</v>
      </c>
      <c r="J552" s="45">
        <v>0.15</v>
      </c>
      <c r="K552" s="46">
        <f>Sales[[#This Row],[Gross Amount]]*Sales[[#This Row],[Disc %]]</f>
        <v>1002</v>
      </c>
      <c r="L552" s="43">
        <v>0.18</v>
      </c>
      <c r="M552" s="46">
        <f>(Sales[[#This Row],[Gross Amount]]-Sales[[#This Row],[Disc. Amt.]])*Sales[[#This Row],[GST %]]</f>
        <v>1022.04</v>
      </c>
      <c r="N552" s="161">
        <f>Sales[[#This Row],[Gross Amount]]-Sales[[#This Row],[Disc. Amt.]]+Sales[[#This Row],[GST Amount]]</f>
        <v>6700.04</v>
      </c>
      <c r="O552" s="34" t="s">
        <v>3569</v>
      </c>
      <c r="P552" s="34" t="s">
        <v>3562</v>
      </c>
      <c r="Q552" s="165">
        <f>IF(Sales[[#This Row],[Status]]="Cancelled",0,Sales[[#This Row],[Qty]])</f>
        <v>4</v>
      </c>
      <c r="R552" s="166">
        <f>IF(Sales[[#This Row],[Status]]="Cancelled",0,Sales[[#This Row],[Total Amount]])</f>
        <v>6700.04</v>
      </c>
      <c r="S552" s="162">
        <f>SUM(Sales[Net Amount])</f>
        <v>406839287.73200053</v>
      </c>
    </row>
    <row r="553" spans="1:19" ht="18.75" x14ac:dyDescent="0.25">
      <c r="A553" s="156" t="s">
        <v>4125</v>
      </c>
      <c r="B553" s="157">
        <v>45806</v>
      </c>
      <c r="C553" s="158" t="s">
        <v>891</v>
      </c>
      <c r="D553" s="159" t="str">
        <f>VLOOKUP(Sales[[#This Row],[Customer ID]],Customer[#All],2,0)</f>
        <v>Pooja Verma</v>
      </c>
      <c r="E553" s="158" t="s">
        <v>7</v>
      </c>
      <c r="F553" s="158" t="str">
        <f>VLOOKUP(Sales[[#This Row],[Product ID]],Product[#All],2,0)</f>
        <v>Dell Desktop</v>
      </c>
      <c r="G553" s="159">
        <v>7</v>
      </c>
      <c r="H553" s="160">
        <f>VLOOKUP(Sales[[#This Row],[Product ID]],Product[#All],7,0)</f>
        <v>33010</v>
      </c>
      <c r="I553" s="160">
        <f>Sales[[#This Row],[Selling Rate]]*Sales[[#This Row],[Qty]]</f>
        <v>231070</v>
      </c>
      <c r="J553" s="43">
        <v>0.1</v>
      </c>
      <c r="K553" s="44">
        <f>Sales[[#This Row],[Gross Amount]]*Sales[[#This Row],[Disc %]]</f>
        <v>23107</v>
      </c>
      <c r="L553" s="43">
        <v>0.18</v>
      </c>
      <c r="M553" s="44">
        <f>(Sales[[#This Row],[Gross Amount]]-Sales[[#This Row],[Disc. Amt.]])*Sales[[#This Row],[GST %]]</f>
        <v>37433.339999999997</v>
      </c>
      <c r="N553" s="161">
        <f>Sales[[#This Row],[Gross Amount]]-Sales[[#This Row],[Disc. Amt.]]+Sales[[#This Row],[GST Amount]]</f>
        <v>245396.34</v>
      </c>
      <c r="O553" s="158" t="s">
        <v>3566</v>
      </c>
      <c r="P553" s="158" t="s">
        <v>3562</v>
      </c>
      <c r="Q553" s="160">
        <f>IF(Sales[[#This Row],[Status]]="Cancelled",0,Sales[[#This Row],[Qty]])</f>
        <v>7</v>
      </c>
      <c r="R553" s="161">
        <f>IF(Sales[[#This Row],[Status]]="Cancelled",0,Sales[[#This Row],[Total Amount]])</f>
        <v>245396.34</v>
      </c>
      <c r="S553" s="162">
        <f>SUM(Sales[Net Amount])</f>
        <v>406839287.73200053</v>
      </c>
    </row>
    <row r="554" spans="1:19" ht="18.75" x14ac:dyDescent="0.25">
      <c r="A554" s="163" t="s">
        <v>4126</v>
      </c>
      <c r="B554" s="164">
        <v>45806</v>
      </c>
      <c r="C554" s="34" t="s">
        <v>733</v>
      </c>
      <c r="D554" s="53" t="str">
        <f>VLOOKUP(Sales[[#This Row],[Customer ID]],Customer[#All],2,0)</f>
        <v>Vikas Kumar</v>
      </c>
      <c r="E554" s="34" t="s">
        <v>187</v>
      </c>
      <c r="F554" s="34" t="str">
        <f>VLOOKUP(Sales[[#This Row],[Product ID]],Product[#All],2,0)</f>
        <v>American TouristerLaptopBag</v>
      </c>
      <c r="G554" s="53">
        <v>1</v>
      </c>
      <c r="H554" s="165">
        <f>VLOOKUP(Sales[[#This Row],[Product ID]],Product[#All],7,0)</f>
        <v>840</v>
      </c>
      <c r="I554" s="165">
        <f>Sales[[#This Row],[Selling Rate]]*Sales[[#This Row],[Qty]]</f>
        <v>840</v>
      </c>
      <c r="J554" s="45">
        <v>0.15</v>
      </c>
      <c r="K554" s="46">
        <f>Sales[[#This Row],[Gross Amount]]*Sales[[#This Row],[Disc %]]</f>
        <v>126</v>
      </c>
      <c r="L554" s="43">
        <v>0.18</v>
      </c>
      <c r="M554" s="46">
        <f>(Sales[[#This Row],[Gross Amount]]-Sales[[#This Row],[Disc. Amt.]])*Sales[[#This Row],[GST %]]</f>
        <v>128.51999999999998</v>
      </c>
      <c r="N554" s="161">
        <f>Sales[[#This Row],[Gross Amount]]-Sales[[#This Row],[Disc. Amt.]]+Sales[[#This Row],[GST Amount]]</f>
        <v>842.52</v>
      </c>
      <c r="O554" s="34" t="s">
        <v>3561</v>
      </c>
      <c r="P554" s="34" t="s">
        <v>3562</v>
      </c>
      <c r="Q554" s="165">
        <f>IF(Sales[[#This Row],[Status]]="Cancelled",0,Sales[[#This Row],[Qty]])</f>
        <v>1</v>
      </c>
      <c r="R554" s="166">
        <f>IF(Sales[[#This Row],[Status]]="Cancelled",0,Sales[[#This Row],[Total Amount]])</f>
        <v>842.52</v>
      </c>
      <c r="S554" s="162">
        <f>SUM(Sales[Net Amount])</f>
        <v>406839287.73200053</v>
      </c>
    </row>
    <row r="555" spans="1:19" ht="18.75" x14ac:dyDescent="0.25">
      <c r="A555" s="156" t="s">
        <v>4127</v>
      </c>
      <c r="B555" s="157">
        <v>45807</v>
      </c>
      <c r="C555" s="158" t="s">
        <v>739</v>
      </c>
      <c r="D555" s="159" t="str">
        <f>VLOOKUP(Sales[[#This Row],[Customer ID]],Customer[#All],2,0)</f>
        <v>Ankit Singh</v>
      </c>
      <c r="E555" s="158" t="s">
        <v>469</v>
      </c>
      <c r="F555" s="158" t="str">
        <f>VLOOKUP(Sales[[#This Row],[Product ID]],Product[#All],2,0)</f>
        <v>WD HDD</v>
      </c>
      <c r="G555" s="159">
        <v>4</v>
      </c>
      <c r="H555" s="160">
        <f>VLOOKUP(Sales[[#This Row],[Product ID]],Product[#All],7,0)</f>
        <v>6930</v>
      </c>
      <c r="I555" s="160">
        <f>Sales[[#This Row],[Selling Rate]]*Sales[[#This Row],[Qty]]</f>
        <v>27720</v>
      </c>
      <c r="J555" s="43">
        <v>0.05</v>
      </c>
      <c r="K555" s="44">
        <f>Sales[[#This Row],[Gross Amount]]*Sales[[#This Row],[Disc %]]</f>
        <v>1386</v>
      </c>
      <c r="L555" s="43">
        <v>0.18</v>
      </c>
      <c r="M555" s="44">
        <f>(Sales[[#This Row],[Gross Amount]]-Sales[[#This Row],[Disc. Amt.]])*Sales[[#This Row],[GST %]]</f>
        <v>4740.12</v>
      </c>
      <c r="N555" s="161">
        <f>Sales[[#This Row],[Gross Amount]]-Sales[[#This Row],[Disc. Amt.]]+Sales[[#This Row],[GST Amount]]</f>
        <v>31074.12</v>
      </c>
      <c r="O555" s="158" t="s">
        <v>3569</v>
      </c>
      <c r="P555" s="158" t="s">
        <v>3562</v>
      </c>
      <c r="Q555" s="160">
        <f>IF(Sales[[#This Row],[Status]]="Cancelled",0,Sales[[#This Row],[Qty]])</f>
        <v>4</v>
      </c>
      <c r="R555" s="161">
        <f>IF(Sales[[#This Row],[Status]]="Cancelled",0,Sales[[#This Row],[Total Amount]])</f>
        <v>31074.12</v>
      </c>
      <c r="S555" s="162">
        <f>SUM(Sales[Net Amount])</f>
        <v>406839287.73200053</v>
      </c>
    </row>
    <row r="556" spans="1:19" ht="18.75" x14ac:dyDescent="0.25">
      <c r="A556" s="163" t="s">
        <v>4128</v>
      </c>
      <c r="B556" s="164">
        <v>45807</v>
      </c>
      <c r="C556" s="34" t="s">
        <v>714</v>
      </c>
      <c r="D556" s="53" t="str">
        <f>VLOOKUP(Sales[[#This Row],[Customer ID]],Customer[#All],2,0)</f>
        <v>Rakesh Kumar</v>
      </c>
      <c r="E556" s="34" t="s">
        <v>246</v>
      </c>
      <c r="F556" s="34" t="str">
        <f>VLOOKUP(Sales[[#This Row],[Product ID]],Product[#All],2,0)</f>
        <v>PortronicsLaptopStand</v>
      </c>
      <c r="G556" s="53">
        <v>5</v>
      </c>
      <c r="H556" s="165">
        <f>VLOOKUP(Sales[[#This Row],[Product ID]],Product[#All],7,0)</f>
        <v>1600</v>
      </c>
      <c r="I556" s="165">
        <f>Sales[[#This Row],[Selling Rate]]*Sales[[#This Row],[Qty]]</f>
        <v>8000</v>
      </c>
      <c r="J556" s="45">
        <v>0.12</v>
      </c>
      <c r="K556" s="46">
        <f>Sales[[#This Row],[Gross Amount]]*Sales[[#This Row],[Disc %]]</f>
        <v>960</v>
      </c>
      <c r="L556" s="43">
        <v>0.18</v>
      </c>
      <c r="M556" s="46">
        <f>(Sales[[#This Row],[Gross Amount]]-Sales[[#This Row],[Disc. Amt.]])*Sales[[#This Row],[GST %]]</f>
        <v>1267.2</v>
      </c>
      <c r="N556" s="161">
        <f>Sales[[#This Row],[Gross Amount]]-Sales[[#This Row],[Disc. Amt.]]+Sales[[#This Row],[GST Amount]]</f>
        <v>8307.2000000000007</v>
      </c>
      <c r="O556" s="34" t="s">
        <v>3569</v>
      </c>
      <c r="P556" s="34" t="s">
        <v>3562</v>
      </c>
      <c r="Q556" s="165">
        <f>IF(Sales[[#This Row],[Status]]="Cancelled",0,Sales[[#This Row],[Qty]])</f>
        <v>5</v>
      </c>
      <c r="R556" s="166">
        <f>IF(Sales[[#This Row],[Status]]="Cancelled",0,Sales[[#This Row],[Total Amount]])</f>
        <v>8307.2000000000007</v>
      </c>
      <c r="S556" s="162">
        <f>SUM(Sales[Net Amount])</f>
        <v>406839287.73200053</v>
      </c>
    </row>
    <row r="557" spans="1:19" ht="18.75" x14ac:dyDescent="0.25">
      <c r="A557" s="156" t="s">
        <v>4129</v>
      </c>
      <c r="B557" s="157">
        <v>45807</v>
      </c>
      <c r="C557" s="158" t="s">
        <v>679</v>
      </c>
      <c r="D557" s="159" t="str">
        <f>VLOOKUP(Sales[[#This Row],[Customer ID]],Customer[#All],2,0)</f>
        <v>Rahul Singh</v>
      </c>
      <c r="E557" s="158" t="s">
        <v>449</v>
      </c>
      <c r="F557" s="158" t="str">
        <f>VLOOKUP(Sales[[#This Row],[Product ID]],Product[#All],2,0)</f>
        <v>Dell Monitor</v>
      </c>
      <c r="G557" s="159">
        <v>5</v>
      </c>
      <c r="H557" s="160">
        <f>VLOOKUP(Sales[[#This Row],[Product ID]],Product[#All],7,0)</f>
        <v>19520</v>
      </c>
      <c r="I557" s="160">
        <f>Sales[[#This Row],[Selling Rate]]*Sales[[#This Row],[Qty]]</f>
        <v>97600</v>
      </c>
      <c r="J557" s="43">
        <v>0.05</v>
      </c>
      <c r="K557" s="44">
        <f>Sales[[#This Row],[Gross Amount]]*Sales[[#This Row],[Disc %]]</f>
        <v>4880</v>
      </c>
      <c r="L557" s="43">
        <v>0.18</v>
      </c>
      <c r="M557" s="44">
        <f>(Sales[[#This Row],[Gross Amount]]-Sales[[#This Row],[Disc. Amt.]])*Sales[[#This Row],[GST %]]</f>
        <v>16689.599999999999</v>
      </c>
      <c r="N557" s="161">
        <f>Sales[[#This Row],[Gross Amount]]-Sales[[#This Row],[Disc. Amt.]]+Sales[[#This Row],[GST Amount]]</f>
        <v>109409.60000000001</v>
      </c>
      <c r="O557" s="158" t="s">
        <v>3569</v>
      </c>
      <c r="P557" s="158" t="s">
        <v>3562</v>
      </c>
      <c r="Q557" s="160">
        <f>IF(Sales[[#This Row],[Status]]="Cancelled",0,Sales[[#This Row],[Qty]])</f>
        <v>5</v>
      </c>
      <c r="R557" s="161">
        <f>IF(Sales[[#This Row],[Status]]="Cancelled",0,Sales[[#This Row],[Total Amount]])</f>
        <v>109409.60000000001</v>
      </c>
      <c r="S557" s="162">
        <f>SUM(Sales[Net Amount])</f>
        <v>406839287.73200053</v>
      </c>
    </row>
    <row r="558" spans="1:19" ht="18.75" x14ac:dyDescent="0.25">
      <c r="A558" s="163" t="s">
        <v>4130</v>
      </c>
      <c r="B558" s="164">
        <v>45807</v>
      </c>
      <c r="C558" s="34" t="s">
        <v>905</v>
      </c>
      <c r="D558" s="53" t="str">
        <f>VLOOKUP(Sales[[#This Row],[Customer ID]],Customer[#All],2,0)</f>
        <v>Rakesh Gupta</v>
      </c>
      <c r="E558" s="34" t="s">
        <v>381</v>
      </c>
      <c r="F558" s="34" t="str">
        <f>VLOOKUP(Sales[[#This Row],[Product ID]],Product[#All],2,0)</f>
        <v>HP Power Adapter</v>
      </c>
      <c r="G558" s="53">
        <v>1</v>
      </c>
      <c r="H558" s="165">
        <f>VLOOKUP(Sales[[#This Row],[Product ID]],Product[#All],7,0)</f>
        <v>990</v>
      </c>
      <c r="I558" s="165">
        <f>Sales[[#This Row],[Selling Rate]]*Sales[[#This Row],[Qty]]</f>
        <v>990</v>
      </c>
      <c r="J558" s="45">
        <v>0</v>
      </c>
      <c r="K558" s="46">
        <f>Sales[[#This Row],[Gross Amount]]*Sales[[#This Row],[Disc %]]</f>
        <v>0</v>
      </c>
      <c r="L558" s="43">
        <v>0.18</v>
      </c>
      <c r="M558" s="46">
        <f>(Sales[[#This Row],[Gross Amount]]-Sales[[#This Row],[Disc. Amt.]])*Sales[[#This Row],[GST %]]</f>
        <v>178.2</v>
      </c>
      <c r="N558" s="161">
        <f>Sales[[#This Row],[Gross Amount]]-Sales[[#This Row],[Disc. Amt.]]+Sales[[#This Row],[GST Amount]]</f>
        <v>1168.2</v>
      </c>
      <c r="O558" s="34" t="s">
        <v>3561</v>
      </c>
      <c r="P558" s="34" t="s">
        <v>3562</v>
      </c>
      <c r="Q558" s="165">
        <f>IF(Sales[[#This Row],[Status]]="Cancelled",0,Sales[[#This Row],[Qty]])</f>
        <v>1</v>
      </c>
      <c r="R558" s="166">
        <f>IF(Sales[[#This Row],[Status]]="Cancelled",0,Sales[[#This Row],[Total Amount]])</f>
        <v>1168.2</v>
      </c>
      <c r="S558" s="162">
        <f>SUM(Sales[Net Amount])</f>
        <v>406839287.73200053</v>
      </c>
    </row>
    <row r="559" spans="1:19" ht="18.75" x14ac:dyDescent="0.25">
      <c r="A559" s="156" t="s">
        <v>4131</v>
      </c>
      <c r="B559" s="157">
        <v>45807</v>
      </c>
      <c r="C559" s="158" t="s">
        <v>950</v>
      </c>
      <c r="D559" s="159" t="str">
        <f>VLOOKUP(Sales[[#This Row],[Customer ID]],Customer[#All],2,0)</f>
        <v>Sunita Sharma</v>
      </c>
      <c r="E559" s="158" t="s">
        <v>525</v>
      </c>
      <c r="F559" s="158" t="str">
        <f>VLOOKUP(Sales[[#This Row],[Product ID]],Product[#All],2,0)</f>
        <v>TP-link Wi-Fi Adapter</v>
      </c>
      <c r="G559" s="159">
        <v>4</v>
      </c>
      <c r="H559" s="160">
        <f>VLOOKUP(Sales[[#This Row],[Product ID]],Product[#All],7,0)</f>
        <v>1910</v>
      </c>
      <c r="I559" s="160">
        <f>Sales[[#This Row],[Selling Rate]]*Sales[[#This Row],[Qty]]</f>
        <v>7640</v>
      </c>
      <c r="J559" s="43">
        <v>0.15</v>
      </c>
      <c r="K559" s="44">
        <f>Sales[[#This Row],[Gross Amount]]*Sales[[#This Row],[Disc %]]</f>
        <v>1146</v>
      </c>
      <c r="L559" s="43">
        <v>0.18</v>
      </c>
      <c r="M559" s="44">
        <f>(Sales[[#This Row],[Gross Amount]]-Sales[[#This Row],[Disc. Amt.]])*Sales[[#This Row],[GST %]]</f>
        <v>1168.9199999999998</v>
      </c>
      <c r="N559" s="161">
        <f>Sales[[#This Row],[Gross Amount]]-Sales[[#This Row],[Disc. Amt.]]+Sales[[#This Row],[GST Amount]]</f>
        <v>7662.92</v>
      </c>
      <c r="O559" s="158" t="s">
        <v>8876</v>
      </c>
      <c r="P559" s="158" t="s">
        <v>3562</v>
      </c>
      <c r="Q559" s="160">
        <f>IF(Sales[[#This Row],[Status]]="Cancelled",0,Sales[[#This Row],[Qty]])</f>
        <v>4</v>
      </c>
      <c r="R559" s="161">
        <f>IF(Sales[[#This Row],[Status]]="Cancelled",0,Sales[[#This Row],[Total Amount]])</f>
        <v>7662.92</v>
      </c>
      <c r="S559" s="162">
        <f>SUM(Sales[Net Amount])</f>
        <v>406839287.73200053</v>
      </c>
    </row>
    <row r="560" spans="1:19" ht="18.75" x14ac:dyDescent="0.25">
      <c r="A560" s="163" t="s">
        <v>4132</v>
      </c>
      <c r="B560" s="164">
        <v>45807</v>
      </c>
      <c r="C560" s="34" t="s">
        <v>906</v>
      </c>
      <c r="D560" s="53" t="str">
        <f>VLOOKUP(Sales[[#This Row],[Customer ID]],Customer[#All],2,0)</f>
        <v>Ankit Sharma</v>
      </c>
      <c r="E560" s="34" t="s">
        <v>234</v>
      </c>
      <c r="F560" s="34" t="str">
        <f>VLOOKUP(Sales[[#This Row],[Product ID]],Product[#All],2,0)</f>
        <v>HP Desktop</v>
      </c>
      <c r="G560" s="53">
        <v>6</v>
      </c>
      <c r="H560" s="165">
        <f>VLOOKUP(Sales[[#This Row],[Product ID]],Product[#All],7,0)</f>
        <v>76930</v>
      </c>
      <c r="I560" s="165">
        <f>Sales[[#This Row],[Selling Rate]]*Sales[[#This Row],[Qty]]</f>
        <v>461580</v>
      </c>
      <c r="J560" s="45">
        <v>0</v>
      </c>
      <c r="K560" s="46">
        <f>Sales[[#This Row],[Gross Amount]]*Sales[[#This Row],[Disc %]]</f>
        <v>0</v>
      </c>
      <c r="L560" s="43">
        <v>0.18</v>
      </c>
      <c r="M560" s="46">
        <f>(Sales[[#This Row],[Gross Amount]]-Sales[[#This Row],[Disc. Amt.]])*Sales[[#This Row],[GST %]]</f>
        <v>83084.399999999994</v>
      </c>
      <c r="N560" s="161">
        <f>Sales[[#This Row],[Gross Amount]]-Sales[[#This Row],[Disc. Amt.]]+Sales[[#This Row],[GST Amount]]</f>
        <v>544664.4</v>
      </c>
      <c r="O560" s="34" t="s">
        <v>8876</v>
      </c>
      <c r="P560" s="34" t="s">
        <v>3562</v>
      </c>
      <c r="Q560" s="165">
        <f>IF(Sales[[#This Row],[Status]]="Cancelled",0,Sales[[#This Row],[Qty]])</f>
        <v>6</v>
      </c>
      <c r="R560" s="166">
        <f>IF(Sales[[#This Row],[Status]]="Cancelled",0,Sales[[#This Row],[Total Amount]])</f>
        <v>544664.4</v>
      </c>
      <c r="S560" s="162">
        <f>SUM(Sales[Net Amount])</f>
        <v>406839287.73200053</v>
      </c>
    </row>
    <row r="561" spans="1:19" ht="18.75" x14ac:dyDescent="0.25">
      <c r="A561" s="156" t="s">
        <v>4133</v>
      </c>
      <c r="B561" s="157">
        <v>45807</v>
      </c>
      <c r="C561" s="158" t="s">
        <v>668</v>
      </c>
      <c r="D561" s="159" t="str">
        <f>VLOOKUP(Sales[[#This Row],[Customer ID]],Customer[#All],2,0)</f>
        <v>Rahul Patel</v>
      </c>
      <c r="E561" s="158" t="s">
        <v>517</v>
      </c>
      <c r="F561" s="158" t="str">
        <f>VLOOKUP(Sales[[#This Row],[Product ID]],Product[#All],2,0)</f>
        <v>Dell Laptop</v>
      </c>
      <c r="G561" s="159">
        <v>8</v>
      </c>
      <c r="H561" s="160">
        <f>VLOOKUP(Sales[[#This Row],[Product ID]],Product[#All],7,0)</f>
        <v>81860</v>
      </c>
      <c r="I561" s="160">
        <f>Sales[[#This Row],[Selling Rate]]*Sales[[#This Row],[Qty]]</f>
        <v>654880</v>
      </c>
      <c r="J561" s="43">
        <v>0.15</v>
      </c>
      <c r="K561" s="44">
        <f>Sales[[#This Row],[Gross Amount]]*Sales[[#This Row],[Disc %]]</f>
        <v>98232</v>
      </c>
      <c r="L561" s="43">
        <v>0.18</v>
      </c>
      <c r="M561" s="44">
        <f>(Sales[[#This Row],[Gross Amount]]-Sales[[#This Row],[Disc. Amt.]])*Sales[[#This Row],[GST %]]</f>
        <v>100196.64</v>
      </c>
      <c r="N561" s="161">
        <f>Sales[[#This Row],[Gross Amount]]-Sales[[#This Row],[Disc. Amt.]]+Sales[[#This Row],[GST Amount]]</f>
        <v>656844.64</v>
      </c>
      <c r="O561" s="158" t="s">
        <v>8876</v>
      </c>
      <c r="P561" s="158" t="s">
        <v>3562</v>
      </c>
      <c r="Q561" s="160">
        <f>IF(Sales[[#This Row],[Status]]="Cancelled",0,Sales[[#This Row],[Qty]])</f>
        <v>8</v>
      </c>
      <c r="R561" s="161">
        <f>IF(Sales[[#This Row],[Status]]="Cancelled",0,Sales[[#This Row],[Total Amount]])</f>
        <v>656844.64</v>
      </c>
      <c r="S561" s="162">
        <f>SUM(Sales[Net Amount])</f>
        <v>406839287.73200053</v>
      </c>
    </row>
    <row r="562" spans="1:19" ht="18.75" x14ac:dyDescent="0.25">
      <c r="A562" s="163" t="s">
        <v>4134</v>
      </c>
      <c r="B562" s="164">
        <v>45807</v>
      </c>
      <c r="C562" s="34" t="s">
        <v>654</v>
      </c>
      <c r="D562" s="53" t="str">
        <f>VLOOKUP(Sales[[#This Row],[Customer ID]],Customer[#All],2,0)</f>
        <v>Sunita Verma</v>
      </c>
      <c r="E562" s="34" t="s">
        <v>543</v>
      </c>
      <c r="F562" s="34" t="str">
        <f>VLOOKUP(Sales[[#This Row],[Product ID]],Product[#All],2,0)</f>
        <v>Logitech Mouse</v>
      </c>
      <c r="G562" s="53">
        <v>1</v>
      </c>
      <c r="H562" s="165">
        <f>VLOOKUP(Sales[[#This Row],[Product ID]],Product[#All],7,0)</f>
        <v>2430</v>
      </c>
      <c r="I562" s="165">
        <f>Sales[[#This Row],[Selling Rate]]*Sales[[#This Row],[Qty]]</f>
        <v>2430</v>
      </c>
      <c r="J562" s="45">
        <v>0.02</v>
      </c>
      <c r="K562" s="46">
        <f>Sales[[#This Row],[Gross Amount]]*Sales[[#This Row],[Disc %]]</f>
        <v>48.6</v>
      </c>
      <c r="L562" s="43">
        <v>0.18</v>
      </c>
      <c r="M562" s="46">
        <f>(Sales[[#This Row],[Gross Amount]]-Sales[[#This Row],[Disc. Amt.]])*Sales[[#This Row],[GST %]]</f>
        <v>428.65199999999999</v>
      </c>
      <c r="N562" s="161">
        <f>Sales[[#This Row],[Gross Amount]]-Sales[[#This Row],[Disc. Amt.]]+Sales[[#This Row],[GST Amount]]</f>
        <v>2810.0520000000001</v>
      </c>
      <c r="O562" s="34" t="s">
        <v>8876</v>
      </c>
      <c r="P562" s="34" t="s">
        <v>3562</v>
      </c>
      <c r="Q562" s="165">
        <f>IF(Sales[[#This Row],[Status]]="Cancelled",0,Sales[[#This Row],[Qty]])</f>
        <v>1</v>
      </c>
      <c r="R562" s="166">
        <f>IF(Sales[[#This Row],[Status]]="Cancelled",0,Sales[[#This Row],[Total Amount]])</f>
        <v>2810.0520000000001</v>
      </c>
      <c r="S562" s="162">
        <f>SUM(Sales[Net Amount])</f>
        <v>406839287.73200053</v>
      </c>
    </row>
    <row r="563" spans="1:19" ht="18.75" x14ac:dyDescent="0.25">
      <c r="A563" s="156" t="s">
        <v>4135</v>
      </c>
      <c r="B563" s="157">
        <v>45807</v>
      </c>
      <c r="C563" s="158" t="s">
        <v>923</v>
      </c>
      <c r="D563" s="159" t="str">
        <f>VLOOKUP(Sales[[#This Row],[Customer ID]],Customer[#All],2,0)</f>
        <v>Rahul Gupta</v>
      </c>
      <c r="E563" s="158" t="s">
        <v>527</v>
      </c>
      <c r="F563" s="158" t="str">
        <f>VLOOKUP(Sales[[#This Row],[Product ID]],Product[#All],2,0)</f>
        <v>Acer Laptop</v>
      </c>
      <c r="G563" s="159">
        <v>8</v>
      </c>
      <c r="H563" s="160">
        <f>VLOOKUP(Sales[[#This Row],[Product ID]],Product[#All],7,0)</f>
        <v>29070</v>
      </c>
      <c r="I563" s="160">
        <f>Sales[[#This Row],[Selling Rate]]*Sales[[#This Row],[Qty]]</f>
        <v>232560</v>
      </c>
      <c r="J563" s="43">
        <v>0.05</v>
      </c>
      <c r="K563" s="44">
        <f>Sales[[#This Row],[Gross Amount]]*Sales[[#This Row],[Disc %]]</f>
        <v>11628</v>
      </c>
      <c r="L563" s="43">
        <v>0.18</v>
      </c>
      <c r="M563" s="44">
        <f>(Sales[[#This Row],[Gross Amount]]-Sales[[#This Row],[Disc. Amt.]])*Sales[[#This Row],[GST %]]</f>
        <v>39767.760000000002</v>
      </c>
      <c r="N563" s="161">
        <f>Sales[[#This Row],[Gross Amount]]-Sales[[#This Row],[Disc. Amt.]]+Sales[[#This Row],[GST Amount]]</f>
        <v>260699.76</v>
      </c>
      <c r="O563" s="158" t="s">
        <v>8876</v>
      </c>
      <c r="P563" s="158" t="s">
        <v>3562</v>
      </c>
      <c r="Q563" s="160">
        <f>IF(Sales[[#This Row],[Status]]="Cancelled",0,Sales[[#This Row],[Qty]])</f>
        <v>8</v>
      </c>
      <c r="R563" s="161">
        <f>IF(Sales[[#This Row],[Status]]="Cancelled",0,Sales[[#This Row],[Total Amount]])</f>
        <v>260699.76</v>
      </c>
      <c r="S563" s="162">
        <f>SUM(Sales[Net Amount])</f>
        <v>406839287.73200053</v>
      </c>
    </row>
    <row r="564" spans="1:19" ht="18.75" x14ac:dyDescent="0.25">
      <c r="A564" s="163" t="s">
        <v>4136</v>
      </c>
      <c r="B564" s="164">
        <v>45807</v>
      </c>
      <c r="C564" s="34" t="s">
        <v>824</v>
      </c>
      <c r="D564" s="53" t="str">
        <f>VLOOKUP(Sales[[#This Row],[Customer ID]],Customer[#All],2,0)</f>
        <v>Sunita Verma</v>
      </c>
      <c r="E564" s="34" t="s">
        <v>235</v>
      </c>
      <c r="F564" s="34" t="str">
        <f>VLOOKUP(Sales[[#This Row],[Product ID]],Product[#All],2,0)</f>
        <v>TP-link Router</v>
      </c>
      <c r="G564" s="53">
        <v>4</v>
      </c>
      <c r="H564" s="165">
        <f>VLOOKUP(Sales[[#This Row],[Product ID]],Product[#All],7,0)</f>
        <v>1310</v>
      </c>
      <c r="I564" s="165">
        <f>Sales[[#This Row],[Selling Rate]]*Sales[[#This Row],[Qty]]</f>
        <v>5240</v>
      </c>
      <c r="J564" s="45">
        <v>0.05</v>
      </c>
      <c r="K564" s="46">
        <f>Sales[[#This Row],[Gross Amount]]*Sales[[#This Row],[Disc %]]</f>
        <v>262</v>
      </c>
      <c r="L564" s="43">
        <v>0.18</v>
      </c>
      <c r="M564" s="46">
        <f>(Sales[[#This Row],[Gross Amount]]-Sales[[#This Row],[Disc. Amt.]])*Sales[[#This Row],[GST %]]</f>
        <v>896.04</v>
      </c>
      <c r="N564" s="161">
        <f>Sales[[#This Row],[Gross Amount]]-Sales[[#This Row],[Disc. Amt.]]+Sales[[#This Row],[GST Amount]]</f>
        <v>5874.04</v>
      </c>
      <c r="O564" s="34" t="s">
        <v>8876</v>
      </c>
      <c r="P564" s="34" t="s">
        <v>3562</v>
      </c>
      <c r="Q564" s="165">
        <f>IF(Sales[[#This Row],[Status]]="Cancelled",0,Sales[[#This Row],[Qty]])</f>
        <v>4</v>
      </c>
      <c r="R564" s="166">
        <f>IF(Sales[[#This Row],[Status]]="Cancelled",0,Sales[[#This Row],[Total Amount]])</f>
        <v>5874.04</v>
      </c>
      <c r="S564" s="162">
        <f>SUM(Sales[Net Amount])</f>
        <v>406839287.73200053</v>
      </c>
    </row>
    <row r="565" spans="1:19" ht="18.75" x14ac:dyDescent="0.25">
      <c r="A565" s="156" t="s">
        <v>4137</v>
      </c>
      <c r="B565" s="157">
        <v>45807</v>
      </c>
      <c r="C565" s="158" t="s">
        <v>718</v>
      </c>
      <c r="D565" s="159" t="str">
        <f>VLOOKUP(Sales[[#This Row],[Customer ID]],Customer[#All],2,0)</f>
        <v>Rakesh Patel</v>
      </c>
      <c r="E565" s="158" t="s">
        <v>414</v>
      </c>
      <c r="F565" s="158" t="str">
        <f>VLOOKUP(Sales[[#This Row],[Product ID]],Product[#All],2,0)</f>
        <v>Logitech Keyboard</v>
      </c>
      <c r="G565" s="159">
        <v>2</v>
      </c>
      <c r="H565" s="160">
        <f>VLOOKUP(Sales[[#This Row],[Product ID]],Product[#All],7,0)</f>
        <v>2030</v>
      </c>
      <c r="I565" s="160">
        <f>Sales[[#This Row],[Selling Rate]]*Sales[[#This Row],[Qty]]</f>
        <v>4060</v>
      </c>
      <c r="J565" s="43">
        <v>0.05</v>
      </c>
      <c r="K565" s="44">
        <f>Sales[[#This Row],[Gross Amount]]*Sales[[#This Row],[Disc %]]</f>
        <v>203</v>
      </c>
      <c r="L565" s="43">
        <v>0.18</v>
      </c>
      <c r="M565" s="44">
        <f>(Sales[[#This Row],[Gross Amount]]-Sales[[#This Row],[Disc. Amt.]])*Sales[[#This Row],[GST %]]</f>
        <v>694.26</v>
      </c>
      <c r="N565" s="161">
        <f>Sales[[#This Row],[Gross Amount]]-Sales[[#This Row],[Disc. Amt.]]+Sales[[#This Row],[GST Amount]]</f>
        <v>4551.26</v>
      </c>
      <c r="O565" s="158" t="s">
        <v>8876</v>
      </c>
      <c r="P565" s="158" t="s">
        <v>1040</v>
      </c>
      <c r="Q565" s="160">
        <f>IF(Sales[[#This Row],[Status]]="Cancelled",0,Sales[[#This Row],[Qty]])</f>
        <v>0</v>
      </c>
      <c r="R565" s="161">
        <f>IF(Sales[[#This Row],[Status]]="Cancelled",0,Sales[[#This Row],[Total Amount]])</f>
        <v>0</v>
      </c>
      <c r="S565" s="162">
        <f>SUM(Sales[Net Amount])</f>
        <v>406839287.73200053</v>
      </c>
    </row>
    <row r="566" spans="1:19" ht="18.75" x14ac:dyDescent="0.25">
      <c r="A566" s="163" t="s">
        <v>4138</v>
      </c>
      <c r="B566" s="164">
        <v>45807</v>
      </c>
      <c r="C566" s="34" t="s">
        <v>4139</v>
      </c>
      <c r="D566" s="53" t="str">
        <f>VLOOKUP(Sales[[#This Row],[Customer ID]],Customer[#All],2,0)</f>
        <v>Sahil Patel</v>
      </c>
      <c r="E566" s="34" t="s">
        <v>450</v>
      </c>
      <c r="F566" s="34" t="str">
        <f>VLOOKUP(Sales[[#This Row],[Product ID]],Product[#All],2,0)</f>
        <v>TP-link Bluetooth Adapter</v>
      </c>
      <c r="G566" s="53">
        <v>3</v>
      </c>
      <c r="H566" s="165">
        <f>VLOOKUP(Sales[[#This Row],[Product ID]],Product[#All],7,0)</f>
        <v>1270</v>
      </c>
      <c r="I566" s="165">
        <f>Sales[[#This Row],[Selling Rate]]*Sales[[#This Row],[Qty]]</f>
        <v>3810</v>
      </c>
      <c r="J566" s="45">
        <v>0.02</v>
      </c>
      <c r="K566" s="46">
        <f>Sales[[#This Row],[Gross Amount]]*Sales[[#This Row],[Disc %]]</f>
        <v>76.2</v>
      </c>
      <c r="L566" s="43">
        <v>0.18</v>
      </c>
      <c r="M566" s="46">
        <f>(Sales[[#This Row],[Gross Amount]]-Sales[[#This Row],[Disc. Amt.]])*Sales[[#This Row],[GST %]]</f>
        <v>672.08400000000006</v>
      </c>
      <c r="N566" s="161">
        <f>Sales[[#This Row],[Gross Amount]]-Sales[[#This Row],[Disc. Amt.]]+Sales[[#This Row],[GST Amount]]</f>
        <v>4405.884</v>
      </c>
      <c r="O566" s="34" t="s">
        <v>3566</v>
      </c>
      <c r="P566" s="34" t="s">
        <v>3562</v>
      </c>
      <c r="Q566" s="165">
        <f>IF(Sales[[#This Row],[Status]]="Cancelled",0,Sales[[#This Row],[Qty]])</f>
        <v>3</v>
      </c>
      <c r="R566" s="166">
        <f>IF(Sales[[#This Row],[Status]]="Cancelled",0,Sales[[#This Row],[Total Amount]])</f>
        <v>4405.884</v>
      </c>
      <c r="S566" s="162">
        <f>SUM(Sales[Net Amount])</f>
        <v>406839287.73200053</v>
      </c>
    </row>
    <row r="567" spans="1:19" ht="18.75" x14ac:dyDescent="0.25">
      <c r="A567" s="156" t="s">
        <v>4140</v>
      </c>
      <c r="B567" s="157">
        <v>45807</v>
      </c>
      <c r="C567" s="158" t="s">
        <v>883</v>
      </c>
      <c r="D567" s="159" t="str">
        <f>VLOOKUP(Sales[[#This Row],[Customer ID]],Customer[#All],2,0)</f>
        <v>Rahul Verma</v>
      </c>
      <c r="E567" s="158" t="s">
        <v>484</v>
      </c>
      <c r="F567" s="158" t="str">
        <f>VLOOKUP(Sales[[#This Row],[Product ID]],Product[#All],2,0)</f>
        <v>Dell Desktop</v>
      </c>
      <c r="G567" s="159">
        <v>1</v>
      </c>
      <c r="H567" s="160">
        <f>VLOOKUP(Sales[[#This Row],[Product ID]],Product[#All],7,0)</f>
        <v>68710</v>
      </c>
      <c r="I567" s="160">
        <f>Sales[[#This Row],[Selling Rate]]*Sales[[#This Row],[Qty]]</f>
        <v>68710</v>
      </c>
      <c r="J567" s="43">
        <v>0.05</v>
      </c>
      <c r="K567" s="44">
        <f>Sales[[#This Row],[Gross Amount]]*Sales[[#This Row],[Disc %]]</f>
        <v>3435.5</v>
      </c>
      <c r="L567" s="43">
        <v>0.18</v>
      </c>
      <c r="M567" s="44">
        <f>(Sales[[#This Row],[Gross Amount]]-Sales[[#This Row],[Disc. Amt.]])*Sales[[#This Row],[GST %]]</f>
        <v>11749.41</v>
      </c>
      <c r="N567" s="161">
        <f>Sales[[#This Row],[Gross Amount]]-Sales[[#This Row],[Disc. Amt.]]+Sales[[#This Row],[GST Amount]]</f>
        <v>77023.91</v>
      </c>
      <c r="O567" s="158" t="s">
        <v>3569</v>
      </c>
      <c r="P567" s="158" t="s">
        <v>3562</v>
      </c>
      <c r="Q567" s="160">
        <f>IF(Sales[[#This Row],[Status]]="Cancelled",0,Sales[[#This Row],[Qty]])</f>
        <v>1</v>
      </c>
      <c r="R567" s="161">
        <f>IF(Sales[[#This Row],[Status]]="Cancelled",0,Sales[[#This Row],[Total Amount]])</f>
        <v>77023.91</v>
      </c>
      <c r="S567" s="162">
        <f>SUM(Sales[Net Amount])</f>
        <v>406839287.73200053</v>
      </c>
    </row>
    <row r="568" spans="1:19" ht="18.75" x14ac:dyDescent="0.25">
      <c r="A568" s="163" t="s">
        <v>4141</v>
      </c>
      <c r="B568" s="164">
        <v>45807</v>
      </c>
      <c r="C568" s="34" t="s">
        <v>680</v>
      </c>
      <c r="D568" s="53" t="str">
        <f>VLOOKUP(Sales[[#This Row],[Customer ID]],Customer[#All],2,0)</f>
        <v>Rahul Kumar</v>
      </c>
      <c r="E568" s="34" t="s">
        <v>389</v>
      </c>
      <c r="F568" s="34" t="str">
        <f>VLOOKUP(Sales[[#This Row],[Product ID]],Product[#All],2,0)</f>
        <v>WD HDD</v>
      </c>
      <c r="G568" s="53">
        <v>3</v>
      </c>
      <c r="H568" s="165">
        <f>VLOOKUP(Sales[[#This Row],[Product ID]],Product[#All],7,0)</f>
        <v>10530</v>
      </c>
      <c r="I568" s="165">
        <f>Sales[[#This Row],[Selling Rate]]*Sales[[#This Row],[Qty]]</f>
        <v>31590</v>
      </c>
      <c r="J568" s="45">
        <v>0.12</v>
      </c>
      <c r="K568" s="46">
        <f>Sales[[#This Row],[Gross Amount]]*Sales[[#This Row],[Disc %]]</f>
        <v>3790.7999999999997</v>
      </c>
      <c r="L568" s="43">
        <v>0.18</v>
      </c>
      <c r="M568" s="46">
        <f>(Sales[[#This Row],[Gross Amount]]-Sales[[#This Row],[Disc. Amt.]])*Sales[[#This Row],[GST %]]</f>
        <v>5003.8559999999998</v>
      </c>
      <c r="N568" s="161">
        <f>Sales[[#This Row],[Gross Amount]]-Sales[[#This Row],[Disc. Amt.]]+Sales[[#This Row],[GST Amount]]</f>
        <v>32803.055999999997</v>
      </c>
      <c r="O568" s="34" t="s">
        <v>3569</v>
      </c>
      <c r="P568" s="34" t="s">
        <v>3562</v>
      </c>
      <c r="Q568" s="165">
        <f>IF(Sales[[#This Row],[Status]]="Cancelled",0,Sales[[#This Row],[Qty]])</f>
        <v>3</v>
      </c>
      <c r="R568" s="166">
        <f>IF(Sales[[#This Row],[Status]]="Cancelled",0,Sales[[#This Row],[Total Amount]])</f>
        <v>32803.055999999997</v>
      </c>
      <c r="S568" s="162">
        <f>SUM(Sales[Net Amount])</f>
        <v>406839287.73200053</v>
      </c>
    </row>
    <row r="569" spans="1:19" ht="18.75" x14ac:dyDescent="0.25">
      <c r="A569" s="156" t="s">
        <v>4142</v>
      </c>
      <c r="B569" s="157">
        <v>45807</v>
      </c>
      <c r="C569" s="158" t="s">
        <v>693</v>
      </c>
      <c r="D569" s="159" t="str">
        <f>VLOOKUP(Sales[[#This Row],[Customer ID]],Customer[#All],2,0)</f>
        <v>Rahul Gupta</v>
      </c>
      <c r="E569" s="158" t="s">
        <v>488</v>
      </c>
      <c r="F569" s="158" t="str">
        <f>VLOOKUP(Sales[[#This Row],[Product ID]],Product[#All],2,0)</f>
        <v>Samsung Monitor</v>
      </c>
      <c r="G569" s="159">
        <v>2</v>
      </c>
      <c r="H569" s="160">
        <f>VLOOKUP(Sales[[#This Row],[Product ID]],Product[#All],7,0)</f>
        <v>32720</v>
      </c>
      <c r="I569" s="160">
        <f>Sales[[#This Row],[Selling Rate]]*Sales[[#This Row],[Qty]]</f>
        <v>65440</v>
      </c>
      <c r="J569" s="43">
        <v>0</v>
      </c>
      <c r="K569" s="44">
        <f>Sales[[#This Row],[Gross Amount]]*Sales[[#This Row],[Disc %]]</f>
        <v>0</v>
      </c>
      <c r="L569" s="43">
        <v>0.18</v>
      </c>
      <c r="M569" s="44">
        <f>(Sales[[#This Row],[Gross Amount]]-Sales[[#This Row],[Disc. Amt.]])*Sales[[#This Row],[GST %]]</f>
        <v>11779.199999999999</v>
      </c>
      <c r="N569" s="161">
        <f>Sales[[#This Row],[Gross Amount]]-Sales[[#This Row],[Disc. Amt.]]+Sales[[#This Row],[GST Amount]]</f>
        <v>77219.199999999997</v>
      </c>
      <c r="O569" s="158" t="s">
        <v>3569</v>
      </c>
      <c r="P569" s="158" t="s">
        <v>3562</v>
      </c>
      <c r="Q569" s="160">
        <f>IF(Sales[[#This Row],[Status]]="Cancelled",0,Sales[[#This Row],[Qty]])</f>
        <v>2</v>
      </c>
      <c r="R569" s="161">
        <f>IF(Sales[[#This Row],[Status]]="Cancelled",0,Sales[[#This Row],[Total Amount]])</f>
        <v>77219.199999999997</v>
      </c>
      <c r="S569" s="162">
        <f>SUM(Sales[Net Amount])</f>
        <v>406839287.73200053</v>
      </c>
    </row>
    <row r="570" spans="1:19" ht="18.75" x14ac:dyDescent="0.25">
      <c r="A570" s="163" t="s">
        <v>4143</v>
      </c>
      <c r="B570" s="164">
        <v>45807</v>
      </c>
      <c r="C570" s="34" t="s">
        <v>848</v>
      </c>
      <c r="D570" s="53" t="str">
        <f>VLOOKUP(Sales[[#This Row],[Customer ID]],Customer[#All],2,0)</f>
        <v>Rakesh Patel</v>
      </c>
      <c r="E570" s="34" t="s">
        <v>453</v>
      </c>
      <c r="F570" s="34" t="str">
        <f>VLOOKUP(Sales[[#This Row],[Product ID]],Product[#All],2,0)</f>
        <v>American TouristerLaptopBag</v>
      </c>
      <c r="G570" s="53">
        <v>3</v>
      </c>
      <c r="H570" s="165">
        <f>VLOOKUP(Sales[[#This Row],[Product ID]],Product[#All],7,0)</f>
        <v>3050</v>
      </c>
      <c r="I570" s="165">
        <f>Sales[[#This Row],[Selling Rate]]*Sales[[#This Row],[Qty]]</f>
        <v>9150</v>
      </c>
      <c r="J570" s="45">
        <v>0.02</v>
      </c>
      <c r="K570" s="46">
        <f>Sales[[#This Row],[Gross Amount]]*Sales[[#This Row],[Disc %]]</f>
        <v>183</v>
      </c>
      <c r="L570" s="43">
        <v>0.18</v>
      </c>
      <c r="M570" s="46">
        <f>(Sales[[#This Row],[Gross Amount]]-Sales[[#This Row],[Disc. Amt.]])*Sales[[#This Row],[GST %]]</f>
        <v>1614.06</v>
      </c>
      <c r="N570" s="161">
        <f>Sales[[#This Row],[Gross Amount]]-Sales[[#This Row],[Disc. Amt.]]+Sales[[#This Row],[GST Amount]]</f>
        <v>10581.06</v>
      </c>
      <c r="O570" s="34" t="s">
        <v>3569</v>
      </c>
      <c r="P570" s="34" t="s">
        <v>3562</v>
      </c>
      <c r="Q570" s="165">
        <f>IF(Sales[[#This Row],[Status]]="Cancelled",0,Sales[[#This Row],[Qty]])</f>
        <v>3</v>
      </c>
      <c r="R570" s="166">
        <f>IF(Sales[[#This Row],[Status]]="Cancelled",0,Sales[[#This Row],[Total Amount]])</f>
        <v>10581.06</v>
      </c>
      <c r="S570" s="162">
        <f>SUM(Sales[Net Amount])</f>
        <v>406839287.73200053</v>
      </c>
    </row>
    <row r="571" spans="1:19" ht="18.75" x14ac:dyDescent="0.25">
      <c r="A571" s="156" t="s">
        <v>4144</v>
      </c>
      <c r="B571" s="157">
        <v>45808</v>
      </c>
      <c r="C571" s="158" t="s">
        <v>923</v>
      </c>
      <c r="D571" s="159" t="str">
        <f>VLOOKUP(Sales[[#This Row],[Customer ID]],Customer[#All],2,0)</f>
        <v>Rahul Gupta</v>
      </c>
      <c r="E571" s="158" t="s">
        <v>543</v>
      </c>
      <c r="F571" s="158" t="str">
        <f>VLOOKUP(Sales[[#This Row],[Product ID]],Product[#All],2,0)</f>
        <v>Logitech Mouse</v>
      </c>
      <c r="G571" s="159">
        <v>5</v>
      </c>
      <c r="H571" s="160">
        <f>VLOOKUP(Sales[[#This Row],[Product ID]],Product[#All],7,0)</f>
        <v>2430</v>
      </c>
      <c r="I571" s="160">
        <f>Sales[[#This Row],[Selling Rate]]*Sales[[#This Row],[Qty]]</f>
        <v>12150</v>
      </c>
      <c r="J571" s="43">
        <v>0.15</v>
      </c>
      <c r="K571" s="44">
        <f>Sales[[#This Row],[Gross Amount]]*Sales[[#This Row],[Disc %]]</f>
        <v>1822.5</v>
      </c>
      <c r="L571" s="43">
        <v>0.18</v>
      </c>
      <c r="M571" s="44">
        <f>(Sales[[#This Row],[Gross Amount]]-Sales[[#This Row],[Disc. Amt.]])*Sales[[#This Row],[GST %]]</f>
        <v>1858.9499999999998</v>
      </c>
      <c r="N571" s="161">
        <f>Sales[[#This Row],[Gross Amount]]-Sales[[#This Row],[Disc. Amt.]]+Sales[[#This Row],[GST Amount]]</f>
        <v>12186.45</v>
      </c>
      <c r="O571" s="158" t="s">
        <v>3566</v>
      </c>
      <c r="P571" s="158" t="s">
        <v>3562</v>
      </c>
      <c r="Q571" s="160">
        <f>IF(Sales[[#This Row],[Status]]="Cancelled",0,Sales[[#This Row],[Qty]])</f>
        <v>5</v>
      </c>
      <c r="R571" s="161">
        <f>IF(Sales[[#This Row],[Status]]="Cancelled",0,Sales[[#This Row],[Total Amount]])</f>
        <v>12186.45</v>
      </c>
      <c r="S571" s="162">
        <f>SUM(Sales[Net Amount])</f>
        <v>406839287.73200053</v>
      </c>
    </row>
    <row r="572" spans="1:19" ht="18.75" x14ac:dyDescent="0.25">
      <c r="A572" s="163" t="s">
        <v>4145</v>
      </c>
      <c r="B572" s="164">
        <v>45808</v>
      </c>
      <c r="C572" s="34" t="s">
        <v>861</v>
      </c>
      <c r="D572" s="53" t="str">
        <f>VLOOKUP(Sales[[#This Row],[Customer ID]],Customer[#All],2,0)</f>
        <v>Rakesh Patel</v>
      </c>
      <c r="E572" s="34" t="s">
        <v>213</v>
      </c>
      <c r="F572" s="34" t="str">
        <f>VLOOKUP(Sales[[#This Row],[Product ID]],Product[#All],2,0)</f>
        <v>Dell Power Adapter</v>
      </c>
      <c r="G572" s="53">
        <v>3</v>
      </c>
      <c r="H572" s="165">
        <f>VLOOKUP(Sales[[#This Row],[Product ID]],Product[#All],7,0)</f>
        <v>3740</v>
      </c>
      <c r="I572" s="165">
        <f>Sales[[#This Row],[Selling Rate]]*Sales[[#This Row],[Qty]]</f>
        <v>11220</v>
      </c>
      <c r="J572" s="45">
        <v>0</v>
      </c>
      <c r="K572" s="46">
        <f>Sales[[#This Row],[Gross Amount]]*Sales[[#This Row],[Disc %]]</f>
        <v>0</v>
      </c>
      <c r="L572" s="43">
        <v>0.18</v>
      </c>
      <c r="M572" s="46">
        <f>(Sales[[#This Row],[Gross Amount]]-Sales[[#This Row],[Disc. Amt.]])*Sales[[#This Row],[GST %]]</f>
        <v>2019.6</v>
      </c>
      <c r="N572" s="161">
        <f>Sales[[#This Row],[Gross Amount]]-Sales[[#This Row],[Disc. Amt.]]+Sales[[#This Row],[GST Amount]]</f>
        <v>13239.6</v>
      </c>
      <c r="O572" s="34" t="s">
        <v>8876</v>
      </c>
      <c r="P572" s="34" t="s">
        <v>3562</v>
      </c>
      <c r="Q572" s="165">
        <f>IF(Sales[[#This Row],[Status]]="Cancelled",0,Sales[[#This Row],[Qty]])</f>
        <v>3</v>
      </c>
      <c r="R572" s="166">
        <f>IF(Sales[[#This Row],[Status]]="Cancelled",0,Sales[[#This Row],[Total Amount]])</f>
        <v>13239.6</v>
      </c>
      <c r="S572" s="162">
        <f>SUM(Sales[Net Amount])</f>
        <v>406839287.73200053</v>
      </c>
    </row>
    <row r="573" spans="1:19" ht="18.75" x14ac:dyDescent="0.25">
      <c r="A573" s="156" t="s">
        <v>4146</v>
      </c>
      <c r="B573" s="157">
        <v>45808</v>
      </c>
      <c r="C573" s="158" t="s">
        <v>667</v>
      </c>
      <c r="D573" s="159" t="str">
        <f>VLOOKUP(Sales[[#This Row],[Customer ID]],Customer[#All],2,0)</f>
        <v>Neha Gupta</v>
      </c>
      <c r="E573" s="158" t="s">
        <v>499</v>
      </c>
      <c r="F573" s="158" t="str">
        <f>VLOOKUP(Sales[[#This Row],[Product ID]],Product[#All],2,0)</f>
        <v>HP Laptop</v>
      </c>
      <c r="G573" s="159">
        <v>5</v>
      </c>
      <c r="H573" s="160">
        <f>VLOOKUP(Sales[[#This Row],[Product ID]],Product[#All],7,0)</f>
        <v>83390</v>
      </c>
      <c r="I573" s="160">
        <f>Sales[[#This Row],[Selling Rate]]*Sales[[#This Row],[Qty]]</f>
        <v>416950</v>
      </c>
      <c r="J573" s="43">
        <v>0.12</v>
      </c>
      <c r="K573" s="44">
        <f>Sales[[#This Row],[Gross Amount]]*Sales[[#This Row],[Disc %]]</f>
        <v>50034</v>
      </c>
      <c r="L573" s="43">
        <v>0.18</v>
      </c>
      <c r="M573" s="44">
        <f>(Sales[[#This Row],[Gross Amount]]-Sales[[#This Row],[Disc. Amt.]])*Sales[[#This Row],[GST %]]</f>
        <v>66044.88</v>
      </c>
      <c r="N573" s="161">
        <f>Sales[[#This Row],[Gross Amount]]-Sales[[#This Row],[Disc. Amt.]]+Sales[[#This Row],[GST Amount]]</f>
        <v>432960.88</v>
      </c>
      <c r="O573" s="158" t="s">
        <v>3561</v>
      </c>
      <c r="P573" s="158" t="s">
        <v>3562</v>
      </c>
      <c r="Q573" s="160">
        <f>IF(Sales[[#This Row],[Status]]="Cancelled",0,Sales[[#This Row],[Qty]])</f>
        <v>5</v>
      </c>
      <c r="R573" s="161">
        <f>IF(Sales[[#This Row],[Status]]="Cancelled",0,Sales[[#This Row],[Total Amount]])</f>
        <v>432960.88</v>
      </c>
      <c r="S573" s="162">
        <f>SUM(Sales[Net Amount])</f>
        <v>406839287.73200053</v>
      </c>
    </row>
    <row r="574" spans="1:19" ht="18.75" x14ac:dyDescent="0.25">
      <c r="A574" s="163" t="s">
        <v>4147</v>
      </c>
      <c r="B574" s="164">
        <v>45808</v>
      </c>
      <c r="C574" s="34" t="s">
        <v>738</v>
      </c>
      <c r="D574" s="53" t="str">
        <f>VLOOKUP(Sales[[#This Row],[Customer ID]],Customer[#All],2,0)</f>
        <v>Pooja Patel</v>
      </c>
      <c r="E574" s="34" t="s">
        <v>135</v>
      </c>
      <c r="F574" s="34" t="str">
        <f>VLOOKUP(Sales[[#This Row],[Product ID]],Product[#All],2,0)</f>
        <v>Kingston Ram</v>
      </c>
      <c r="G574" s="53">
        <v>5</v>
      </c>
      <c r="H574" s="165">
        <f>VLOOKUP(Sales[[#This Row],[Product ID]],Product[#All],7,0)</f>
        <v>3100</v>
      </c>
      <c r="I574" s="165">
        <f>Sales[[#This Row],[Selling Rate]]*Sales[[#This Row],[Qty]]</f>
        <v>15500</v>
      </c>
      <c r="J574" s="45">
        <v>0.15</v>
      </c>
      <c r="K574" s="46">
        <f>Sales[[#This Row],[Gross Amount]]*Sales[[#This Row],[Disc %]]</f>
        <v>2325</v>
      </c>
      <c r="L574" s="43">
        <v>0.18</v>
      </c>
      <c r="M574" s="46">
        <f>(Sales[[#This Row],[Gross Amount]]-Sales[[#This Row],[Disc. Amt.]])*Sales[[#This Row],[GST %]]</f>
        <v>2371.5</v>
      </c>
      <c r="N574" s="161">
        <f>Sales[[#This Row],[Gross Amount]]-Sales[[#This Row],[Disc. Amt.]]+Sales[[#This Row],[GST Amount]]</f>
        <v>15546.5</v>
      </c>
      <c r="O574" s="34" t="s">
        <v>8876</v>
      </c>
      <c r="P574" s="34" t="s">
        <v>3562</v>
      </c>
      <c r="Q574" s="165">
        <f>IF(Sales[[#This Row],[Status]]="Cancelled",0,Sales[[#This Row],[Qty]])</f>
        <v>5</v>
      </c>
      <c r="R574" s="166">
        <f>IF(Sales[[#This Row],[Status]]="Cancelled",0,Sales[[#This Row],[Total Amount]])</f>
        <v>15546.5</v>
      </c>
      <c r="S574" s="162">
        <f>SUM(Sales[Net Amount])</f>
        <v>406839287.73200053</v>
      </c>
    </row>
    <row r="575" spans="1:19" ht="18.75" x14ac:dyDescent="0.25">
      <c r="A575" s="156" t="s">
        <v>4148</v>
      </c>
      <c r="B575" s="157">
        <v>45808</v>
      </c>
      <c r="C575" s="158" t="s">
        <v>814</v>
      </c>
      <c r="D575" s="159" t="str">
        <f>VLOOKUP(Sales[[#This Row],[Customer ID]],Customer[#All],2,0)</f>
        <v>Amit Kumar</v>
      </c>
      <c r="E575" s="158" t="s">
        <v>516</v>
      </c>
      <c r="F575" s="158" t="str">
        <f>VLOOKUP(Sales[[#This Row],[Product ID]],Product[#All],2,0)</f>
        <v>Boat Headset</v>
      </c>
      <c r="G575" s="159">
        <v>5</v>
      </c>
      <c r="H575" s="160">
        <f>VLOOKUP(Sales[[#This Row],[Product ID]],Product[#All],7,0)</f>
        <v>2690</v>
      </c>
      <c r="I575" s="160">
        <f>Sales[[#This Row],[Selling Rate]]*Sales[[#This Row],[Qty]]</f>
        <v>13450</v>
      </c>
      <c r="J575" s="43">
        <v>0</v>
      </c>
      <c r="K575" s="44">
        <f>Sales[[#This Row],[Gross Amount]]*Sales[[#This Row],[Disc %]]</f>
        <v>0</v>
      </c>
      <c r="L575" s="43">
        <v>0.18</v>
      </c>
      <c r="M575" s="44">
        <f>(Sales[[#This Row],[Gross Amount]]-Sales[[#This Row],[Disc. Amt.]])*Sales[[#This Row],[GST %]]</f>
        <v>2421</v>
      </c>
      <c r="N575" s="161">
        <f>Sales[[#This Row],[Gross Amount]]-Sales[[#This Row],[Disc. Amt.]]+Sales[[#This Row],[GST Amount]]</f>
        <v>15871</v>
      </c>
      <c r="O575" s="158" t="s">
        <v>3569</v>
      </c>
      <c r="P575" s="158" t="s">
        <v>3562</v>
      </c>
      <c r="Q575" s="160">
        <f>IF(Sales[[#This Row],[Status]]="Cancelled",0,Sales[[#This Row],[Qty]])</f>
        <v>5</v>
      </c>
      <c r="R575" s="161">
        <f>IF(Sales[[#This Row],[Status]]="Cancelled",0,Sales[[#This Row],[Total Amount]])</f>
        <v>15871</v>
      </c>
      <c r="S575" s="162">
        <f>SUM(Sales[Net Amount])</f>
        <v>406839287.73200053</v>
      </c>
    </row>
    <row r="576" spans="1:19" ht="18.75" x14ac:dyDescent="0.25">
      <c r="A576" s="163" t="s">
        <v>4149</v>
      </c>
      <c r="B576" s="164">
        <v>45808</v>
      </c>
      <c r="C576" s="34" t="s">
        <v>750</v>
      </c>
      <c r="D576" s="53" t="str">
        <f>VLOOKUP(Sales[[#This Row],[Customer ID]],Customer[#All],2,0)</f>
        <v>Rakesh Verma</v>
      </c>
      <c r="E576" s="34" t="s">
        <v>508</v>
      </c>
      <c r="F576" s="34" t="str">
        <f>VLOOKUP(Sales[[#This Row],[Product ID]],Product[#All],2,0)</f>
        <v>American TouristerLaptopBag</v>
      </c>
      <c r="G576" s="53">
        <v>3</v>
      </c>
      <c r="H576" s="165">
        <f>VLOOKUP(Sales[[#This Row],[Product ID]],Product[#All],7,0)</f>
        <v>2340</v>
      </c>
      <c r="I576" s="165">
        <f>Sales[[#This Row],[Selling Rate]]*Sales[[#This Row],[Qty]]</f>
        <v>7020</v>
      </c>
      <c r="J576" s="45">
        <v>0.12</v>
      </c>
      <c r="K576" s="46">
        <f>Sales[[#This Row],[Gross Amount]]*Sales[[#This Row],[Disc %]]</f>
        <v>842.4</v>
      </c>
      <c r="L576" s="43">
        <v>0.18</v>
      </c>
      <c r="M576" s="46">
        <f>(Sales[[#This Row],[Gross Amount]]-Sales[[#This Row],[Disc. Amt.]])*Sales[[#This Row],[GST %]]</f>
        <v>1111.9680000000001</v>
      </c>
      <c r="N576" s="161">
        <f>Sales[[#This Row],[Gross Amount]]-Sales[[#This Row],[Disc. Amt.]]+Sales[[#This Row],[GST Amount]]</f>
        <v>7289.5680000000002</v>
      </c>
      <c r="O576" s="34" t="s">
        <v>3566</v>
      </c>
      <c r="P576" s="34" t="s">
        <v>3562</v>
      </c>
      <c r="Q576" s="165">
        <f>IF(Sales[[#This Row],[Status]]="Cancelled",0,Sales[[#This Row],[Qty]])</f>
        <v>3</v>
      </c>
      <c r="R576" s="166">
        <f>IF(Sales[[#This Row],[Status]]="Cancelled",0,Sales[[#This Row],[Total Amount]])</f>
        <v>7289.5680000000002</v>
      </c>
      <c r="S576" s="162">
        <f>SUM(Sales[Net Amount])</f>
        <v>406839287.73200053</v>
      </c>
    </row>
    <row r="577" spans="1:19" ht="18.75" x14ac:dyDescent="0.25">
      <c r="A577" s="156" t="s">
        <v>4150</v>
      </c>
      <c r="B577" s="157">
        <v>45808</v>
      </c>
      <c r="C577" s="158" t="s">
        <v>796</v>
      </c>
      <c r="D577" s="159" t="str">
        <f>VLOOKUP(Sales[[#This Row],[Customer ID]],Customer[#All],2,0)</f>
        <v>Rahul Verma</v>
      </c>
      <c r="E577" s="158" t="s">
        <v>347</v>
      </c>
      <c r="F577" s="158" t="str">
        <f>VLOOKUP(Sales[[#This Row],[Product ID]],Product[#All],2,0)</f>
        <v>Logitech Mouse</v>
      </c>
      <c r="G577" s="159">
        <v>4</v>
      </c>
      <c r="H577" s="160">
        <f>VLOOKUP(Sales[[#This Row],[Product ID]],Product[#All],7,0)</f>
        <v>680</v>
      </c>
      <c r="I577" s="160">
        <f>Sales[[#This Row],[Selling Rate]]*Sales[[#This Row],[Qty]]</f>
        <v>2720</v>
      </c>
      <c r="J577" s="43">
        <v>0</v>
      </c>
      <c r="K577" s="44">
        <f>Sales[[#This Row],[Gross Amount]]*Sales[[#This Row],[Disc %]]</f>
        <v>0</v>
      </c>
      <c r="L577" s="43">
        <v>0.18</v>
      </c>
      <c r="M577" s="44">
        <f>(Sales[[#This Row],[Gross Amount]]-Sales[[#This Row],[Disc. Amt.]])*Sales[[#This Row],[GST %]]</f>
        <v>489.59999999999997</v>
      </c>
      <c r="N577" s="161">
        <f>Sales[[#This Row],[Gross Amount]]-Sales[[#This Row],[Disc. Amt.]]+Sales[[#This Row],[GST Amount]]</f>
        <v>3209.6</v>
      </c>
      <c r="O577" s="158" t="s">
        <v>3561</v>
      </c>
      <c r="P577" s="158" t="s">
        <v>3562</v>
      </c>
      <c r="Q577" s="160">
        <f>IF(Sales[[#This Row],[Status]]="Cancelled",0,Sales[[#This Row],[Qty]])</f>
        <v>4</v>
      </c>
      <c r="R577" s="161">
        <f>IF(Sales[[#This Row],[Status]]="Cancelled",0,Sales[[#This Row],[Total Amount]])</f>
        <v>3209.6</v>
      </c>
      <c r="S577" s="162">
        <f>SUM(Sales[Net Amount])</f>
        <v>406839287.73200053</v>
      </c>
    </row>
    <row r="578" spans="1:19" ht="18.75" x14ac:dyDescent="0.25">
      <c r="A578" s="163" t="s">
        <v>4151</v>
      </c>
      <c r="B578" s="164">
        <v>45808</v>
      </c>
      <c r="C578" s="34" t="s">
        <v>702</v>
      </c>
      <c r="D578" s="53" t="str">
        <f>VLOOKUP(Sales[[#This Row],[Customer ID]],Customer[#All],2,0)</f>
        <v>Amit Patel</v>
      </c>
      <c r="E578" s="34" t="s">
        <v>340</v>
      </c>
      <c r="F578" s="34" t="str">
        <f>VLOOKUP(Sales[[#This Row],[Product ID]],Product[#All],2,0)</f>
        <v>Amazon Basics Hdmi Cable</v>
      </c>
      <c r="G578" s="53">
        <v>8</v>
      </c>
      <c r="H578" s="165">
        <f>VLOOKUP(Sales[[#This Row],[Product ID]],Product[#All],7,0)</f>
        <v>1150</v>
      </c>
      <c r="I578" s="165">
        <f>Sales[[#This Row],[Selling Rate]]*Sales[[#This Row],[Qty]]</f>
        <v>9200</v>
      </c>
      <c r="J578" s="45">
        <v>0.05</v>
      </c>
      <c r="K578" s="46">
        <f>Sales[[#This Row],[Gross Amount]]*Sales[[#This Row],[Disc %]]</f>
        <v>460</v>
      </c>
      <c r="L578" s="43">
        <v>0.18</v>
      </c>
      <c r="M578" s="46">
        <f>(Sales[[#This Row],[Gross Amount]]-Sales[[#This Row],[Disc. Amt.]])*Sales[[#This Row],[GST %]]</f>
        <v>1573.2</v>
      </c>
      <c r="N578" s="161">
        <f>Sales[[#This Row],[Gross Amount]]-Sales[[#This Row],[Disc. Amt.]]+Sales[[#This Row],[GST Amount]]</f>
        <v>10313.200000000001</v>
      </c>
      <c r="O578" s="34" t="s">
        <v>3566</v>
      </c>
      <c r="P578" s="34" t="s">
        <v>3562</v>
      </c>
      <c r="Q578" s="165">
        <f>IF(Sales[[#This Row],[Status]]="Cancelled",0,Sales[[#This Row],[Qty]])</f>
        <v>8</v>
      </c>
      <c r="R578" s="166">
        <f>IF(Sales[[#This Row],[Status]]="Cancelled",0,Sales[[#This Row],[Total Amount]])</f>
        <v>10313.200000000001</v>
      </c>
      <c r="S578" s="162">
        <f>SUM(Sales[Net Amount])</f>
        <v>406839287.73200053</v>
      </c>
    </row>
    <row r="579" spans="1:19" ht="18.75" x14ac:dyDescent="0.25">
      <c r="A579" s="156" t="s">
        <v>4152</v>
      </c>
      <c r="B579" s="157">
        <v>45808</v>
      </c>
      <c r="C579" s="158" t="s">
        <v>767</v>
      </c>
      <c r="D579" s="159" t="str">
        <f>VLOOKUP(Sales[[#This Row],[Customer ID]],Customer[#All],2,0)</f>
        <v>Sunita Singh</v>
      </c>
      <c r="E579" s="158" t="s">
        <v>285</v>
      </c>
      <c r="F579" s="158" t="str">
        <f>VLOOKUP(Sales[[#This Row],[Product ID]],Product[#All],2,0)</f>
        <v>HP Power Adapter</v>
      </c>
      <c r="G579" s="159">
        <v>3</v>
      </c>
      <c r="H579" s="160">
        <f>VLOOKUP(Sales[[#This Row],[Product ID]],Product[#All],7,0)</f>
        <v>2170</v>
      </c>
      <c r="I579" s="160">
        <f>Sales[[#This Row],[Selling Rate]]*Sales[[#This Row],[Qty]]</f>
        <v>6510</v>
      </c>
      <c r="J579" s="43">
        <v>0.1</v>
      </c>
      <c r="K579" s="44">
        <f>Sales[[#This Row],[Gross Amount]]*Sales[[#This Row],[Disc %]]</f>
        <v>651</v>
      </c>
      <c r="L579" s="43">
        <v>0.18</v>
      </c>
      <c r="M579" s="44">
        <f>(Sales[[#This Row],[Gross Amount]]-Sales[[#This Row],[Disc. Amt.]])*Sales[[#This Row],[GST %]]</f>
        <v>1054.6199999999999</v>
      </c>
      <c r="N579" s="161">
        <f>Sales[[#This Row],[Gross Amount]]-Sales[[#This Row],[Disc. Amt.]]+Sales[[#This Row],[GST Amount]]</f>
        <v>6913.62</v>
      </c>
      <c r="O579" s="158" t="s">
        <v>3569</v>
      </c>
      <c r="P579" s="158" t="s">
        <v>3562</v>
      </c>
      <c r="Q579" s="160">
        <f>IF(Sales[[#This Row],[Status]]="Cancelled",0,Sales[[#This Row],[Qty]])</f>
        <v>3</v>
      </c>
      <c r="R579" s="161">
        <f>IF(Sales[[#This Row],[Status]]="Cancelled",0,Sales[[#This Row],[Total Amount]])</f>
        <v>6913.62</v>
      </c>
      <c r="S579" s="162">
        <f>SUM(Sales[Net Amount])</f>
        <v>406839287.73200053</v>
      </c>
    </row>
    <row r="580" spans="1:19" ht="18.75" x14ac:dyDescent="0.25">
      <c r="A580" s="163" t="s">
        <v>4153</v>
      </c>
      <c r="B580" s="164">
        <v>45808</v>
      </c>
      <c r="C580" s="34" t="s">
        <v>930</v>
      </c>
      <c r="D580" s="53" t="str">
        <f>VLOOKUP(Sales[[#This Row],[Customer ID]],Customer[#All],2,0)</f>
        <v>Rakesh Gupta</v>
      </c>
      <c r="E580" s="34" t="s">
        <v>255</v>
      </c>
      <c r="F580" s="34" t="str">
        <f>VLOOKUP(Sales[[#This Row],[Product ID]],Product[#All],2,0)</f>
        <v>Acer Laptop</v>
      </c>
      <c r="G580" s="53">
        <v>4</v>
      </c>
      <c r="H580" s="165">
        <f>VLOOKUP(Sales[[#This Row],[Product ID]],Product[#All],7,0)</f>
        <v>62430</v>
      </c>
      <c r="I580" s="165">
        <f>Sales[[#This Row],[Selling Rate]]*Sales[[#This Row],[Qty]]</f>
        <v>249720</v>
      </c>
      <c r="J580" s="45">
        <v>0.15</v>
      </c>
      <c r="K580" s="46">
        <f>Sales[[#This Row],[Gross Amount]]*Sales[[#This Row],[Disc %]]</f>
        <v>37458</v>
      </c>
      <c r="L580" s="43">
        <v>0.18</v>
      </c>
      <c r="M580" s="46">
        <f>(Sales[[#This Row],[Gross Amount]]-Sales[[#This Row],[Disc. Amt.]])*Sales[[#This Row],[GST %]]</f>
        <v>38207.159999999996</v>
      </c>
      <c r="N580" s="161">
        <f>Sales[[#This Row],[Gross Amount]]-Sales[[#This Row],[Disc. Amt.]]+Sales[[#This Row],[GST Amount]]</f>
        <v>250469.16</v>
      </c>
      <c r="O580" s="34" t="s">
        <v>8876</v>
      </c>
      <c r="P580" s="34" t="s">
        <v>3562</v>
      </c>
      <c r="Q580" s="165">
        <f>IF(Sales[[#This Row],[Status]]="Cancelled",0,Sales[[#This Row],[Qty]])</f>
        <v>4</v>
      </c>
      <c r="R580" s="166">
        <f>IF(Sales[[#This Row],[Status]]="Cancelled",0,Sales[[#This Row],[Total Amount]])</f>
        <v>250469.16</v>
      </c>
      <c r="S580" s="162">
        <f>SUM(Sales[Net Amount])</f>
        <v>406839287.73200053</v>
      </c>
    </row>
    <row r="581" spans="1:19" ht="18.75" x14ac:dyDescent="0.25">
      <c r="A581" s="156" t="s">
        <v>4154</v>
      </c>
      <c r="B581" s="157">
        <v>45808</v>
      </c>
      <c r="C581" s="158" t="s">
        <v>682</v>
      </c>
      <c r="D581" s="159" t="str">
        <f>VLOOKUP(Sales[[#This Row],[Customer ID]],Customer[#All],2,0)</f>
        <v>Rahul Sharma</v>
      </c>
      <c r="E581" s="158" t="s">
        <v>110</v>
      </c>
      <c r="F581" s="158" t="str">
        <f>VLOOKUP(Sales[[#This Row],[Product ID]],Product[#All],2,0)</f>
        <v>Lenovo Laptop</v>
      </c>
      <c r="G581" s="159">
        <v>1</v>
      </c>
      <c r="H581" s="160">
        <f>VLOOKUP(Sales[[#This Row],[Product ID]],Product[#All],7,0)</f>
        <v>66670</v>
      </c>
      <c r="I581" s="160">
        <f>Sales[[#This Row],[Selling Rate]]*Sales[[#This Row],[Qty]]</f>
        <v>66670</v>
      </c>
      <c r="J581" s="43">
        <v>0.05</v>
      </c>
      <c r="K581" s="44">
        <f>Sales[[#This Row],[Gross Amount]]*Sales[[#This Row],[Disc %]]</f>
        <v>3333.5</v>
      </c>
      <c r="L581" s="43">
        <v>0.18</v>
      </c>
      <c r="M581" s="44">
        <f>(Sales[[#This Row],[Gross Amount]]-Sales[[#This Row],[Disc. Amt.]])*Sales[[#This Row],[GST %]]</f>
        <v>11400.57</v>
      </c>
      <c r="N581" s="161">
        <f>Sales[[#This Row],[Gross Amount]]-Sales[[#This Row],[Disc. Amt.]]+Sales[[#This Row],[GST Amount]]</f>
        <v>74737.070000000007</v>
      </c>
      <c r="O581" s="158" t="s">
        <v>3566</v>
      </c>
      <c r="P581" s="158" t="s">
        <v>3562</v>
      </c>
      <c r="Q581" s="160">
        <f>IF(Sales[[#This Row],[Status]]="Cancelled",0,Sales[[#This Row],[Qty]])</f>
        <v>1</v>
      </c>
      <c r="R581" s="161">
        <f>IF(Sales[[#This Row],[Status]]="Cancelled",0,Sales[[#This Row],[Total Amount]])</f>
        <v>74737.070000000007</v>
      </c>
      <c r="S581" s="162">
        <f>SUM(Sales[Net Amount])</f>
        <v>406839287.73200053</v>
      </c>
    </row>
    <row r="582" spans="1:19" ht="18.75" x14ac:dyDescent="0.25">
      <c r="A582" s="163" t="s">
        <v>4155</v>
      </c>
      <c r="B582" s="164">
        <v>45808</v>
      </c>
      <c r="C582" s="34" t="s">
        <v>902</v>
      </c>
      <c r="D582" s="53" t="str">
        <f>VLOOKUP(Sales[[#This Row],[Customer ID]],Customer[#All],2,0)</f>
        <v>Sunita Singh</v>
      </c>
      <c r="E582" s="34" t="s">
        <v>463</v>
      </c>
      <c r="F582" s="34" t="str">
        <f>VLOOKUP(Sales[[#This Row],[Product ID]],Product[#All],2,0)</f>
        <v>Apc UPS</v>
      </c>
      <c r="G582" s="53">
        <v>5</v>
      </c>
      <c r="H582" s="165">
        <f>VLOOKUP(Sales[[#This Row],[Product ID]],Product[#All],7,0)</f>
        <v>10050</v>
      </c>
      <c r="I582" s="165">
        <f>Sales[[#This Row],[Selling Rate]]*Sales[[#This Row],[Qty]]</f>
        <v>50250</v>
      </c>
      <c r="J582" s="45">
        <v>0</v>
      </c>
      <c r="K582" s="46">
        <f>Sales[[#This Row],[Gross Amount]]*Sales[[#This Row],[Disc %]]</f>
        <v>0</v>
      </c>
      <c r="L582" s="43">
        <v>0.18</v>
      </c>
      <c r="M582" s="46">
        <f>(Sales[[#This Row],[Gross Amount]]-Sales[[#This Row],[Disc. Amt.]])*Sales[[#This Row],[GST %]]</f>
        <v>9045</v>
      </c>
      <c r="N582" s="161">
        <f>Sales[[#This Row],[Gross Amount]]-Sales[[#This Row],[Disc. Amt.]]+Sales[[#This Row],[GST Amount]]</f>
        <v>59295</v>
      </c>
      <c r="O582" s="34" t="s">
        <v>3569</v>
      </c>
      <c r="P582" s="34" t="s">
        <v>3562</v>
      </c>
      <c r="Q582" s="165">
        <f>IF(Sales[[#This Row],[Status]]="Cancelled",0,Sales[[#This Row],[Qty]])</f>
        <v>5</v>
      </c>
      <c r="R582" s="166">
        <f>IF(Sales[[#This Row],[Status]]="Cancelled",0,Sales[[#This Row],[Total Amount]])</f>
        <v>59295</v>
      </c>
      <c r="S582" s="162">
        <f>SUM(Sales[Net Amount])</f>
        <v>406839287.73200053</v>
      </c>
    </row>
    <row r="583" spans="1:19" ht="18.75" x14ac:dyDescent="0.25">
      <c r="A583" s="156" t="s">
        <v>4156</v>
      </c>
      <c r="B583" s="157">
        <v>45808</v>
      </c>
      <c r="C583" s="158" t="s">
        <v>945</v>
      </c>
      <c r="D583" s="159" t="str">
        <f>VLOOKUP(Sales[[#This Row],[Customer ID]],Customer[#All],2,0)</f>
        <v>Rahul Singh</v>
      </c>
      <c r="E583" s="158" t="s">
        <v>56</v>
      </c>
      <c r="F583" s="158" t="str">
        <f>VLOOKUP(Sales[[#This Row],[Product ID]],Product[#All],2,0)</f>
        <v>Boat Headset</v>
      </c>
      <c r="G583" s="159">
        <v>7</v>
      </c>
      <c r="H583" s="160">
        <f>VLOOKUP(Sales[[#This Row],[Product ID]],Product[#All],7,0)</f>
        <v>4140</v>
      </c>
      <c r="I583" s="160">
        <f>Sales[[#This Row],[Selling Rate]]*Sales[[#This Row],[Qty]]</f>
        <v>28980</v>
      </c>
      <c r="J583" s="43">
        <v>0.05</v>
      </c>
      <c r="K583" s="44">
        <f>Sales[[#This Row],[Gross Amount]]*Sales[[#This Row],[Disc %]]</f>
        <v>1449</v>
      </c>
      <c r="L583" s="43">
        <v>0.18</v>
      </c>
      <c r="M583" s="44">
        <f>(Sales[[#This Row],[Gross Amount]]-Sales[[#This Row],[Disc. Amt.]])*Sales[[#This Row],[GST %]]</f>
        <v>4955.58</v>
      </c>
      <c r="N583" s="161">
        <f>Sales[[#This Row],[Gross Amount]]-Sales[[#This Row],[Disc. Amt.]]+Sales[[#This Row],[GST Amount]]</f>
        <v>32486.58</v>
      </c>
      <c r="O583" s="158" t="s">
        <v>3566</v>
      </c>
      <c r="P583" s="158" t="s">
        <v>3562</v>
      </c>
      <c r="Q583" s="160">
        <f>IF(Sales[[#This Row],[Status]]="Cancelled",0,Sales[[#This Row],[Qty]])</f>
        <v>7</v>
      </c>
      <c r="R583" s="161">
        <f>IF(Sales[[#This Row],[Status]]="Cancelled",0,Sales[[#This Row],[Total Amount]])</f>
        <v>32486.58</v>
      </c>
      <c r="S583" s="162">
        <f>SUM(Sales[Net Amount])</f>
        <v>406839287.73200053</v>
      </c>
    </row>
    <row r="584" spans="1:19" ht="18.75" x14ac:dyDescent="0.25">
      <c r="A584" s="163" t="s">
        <v>4157</v>
      </c>
      <c r="B584" s="164">
        <v>45808</v>
      </c>
      <c r="C584" s="34" t="s">
        <v>916</v>
      </c>
      <c r="D584" s="53" t="str">
        <f>VLOOKUP(Sales[[#This Row],[Customer ID]],Customer[#All],2,0)</f>
        <v>Ankit Singh</v>
      </c>
      <c r="E584" s="34" t="s">
        <v>61</v>
      </c>
      <c r="F584" s="34" t="str">
        <f>VLOOKUP(Sales[[#This Row],[Product ID]],Product[#All],2,0)</f>
        <v>Boat Headset</v>
      </c>
      <c r="G584" s="53">
        <v>2</v>
      </c>
      <c r="H584" s="165">
        <f>VLOOKUP(Sales[[#This Row],[Product ID]],Product[#All],7,0)</f>
        <v>3570</v>
      </c>
      <c r="I584" s="165">
        <f>Sales[[#This Row],[Selling Rate]]*Sales[[#This Row],[Qty]]</f>
        <v>7140</v>
      </c>
      <c r="J584" s="45">
        <v>0.05</v>
      </c>
      <c r="K584" s="46">
        <f>Sales[[#This Row],[Gross Amount]]*Sales[[#This Row],[Disc %]]</f>
        <v>357</v>
      </c>
      <c r="L584" s="43">
        <v>0.18</v>
      </c>
      <c r="M584" s="46">
        <f>(Sales[[#This Row],[Gross Amount]]-Sales[[#This Row],[Disc. Amt.]])*Sales[[#This Row],[GST %]]</f>
        <v>1220.94</v>
      </c>
      <c r="N584" s="161">
        <f>Sales[[#This Row],[Gross Amount]]-Sales[[#This Row],[Disc. Amt.]]+Sales[[#This Row],[GST Amount]]</f>
        <v>8003.9400000000005</v>
      </c>
      <c r="O584" s="34" t="s">
        <v>3569</v>
      </c>
      <c r="P584" s="34" t="s">
        <v>1040</v>
      </c>
      <c r="Q584" s="165">
        <f>IF(Sales[[#This Row],[Status]]="Cancelled",0,Sales[[#This Row],[Qty]])</f>
        <v>0</v>
      </c>
      <c r="R584" s="166">
        <f>IF(Sales[[#This Row],[Status]]="Cancelled",0,Sales[[#This Row],[Total Amount]])</f>
        <v>0</v>
      </c>
      <c r="S584" s="162">
        <f>SUM(Sales[Net Amount])</f>
        <v>406839287.73200053</v>
      </c>
    </row>
    <row r="585" spans="1:19" ht="18.75" x14ac:dyDescent="0.25">
      <c r="A585" s="156" t="s">
        <v>4158</v>
      </c>
      <c r="B585" s="157">
        <v>45808</v>
      </c>
      <c r="C585" s="158" t="s">
        <v>667</v>
      </c>
      <c r="D585" s="159" t="str">
        <f>VLOOKUP(Sales[[#This Row],[Customer ID]],Customer[#All],2,0)</f>
        <v>Neha Gupta</v>
      </c>
      <c r="E585" s="158" t="s">
        <v>105</v>
      </c>
      <c r="F585" s="158" t="str">
        <f>VLOOKUP(Sales[[#This Row],[Product ID]],Product[#All],2,0)</f>
        <v>HP Power Adapter</v>
      </c>
      <c r="G585" s="159">
        <v>8</v>
      </c>
      <c r="H585" s="160">
        <f>VLOOKUP(Sales[[#This Row],[Product ID]],Product[#All],7,0)</f>
        <v>3280</v>
      </c>
      <c r="I585" s="160">
        <f>Sales[[#This Row],[Selling Rate]]*Sales[[#This Row],[Qty]]</f>
        <v>26240</v>
      </c>
      <c r="J585" s="43">
        <v>0.05</v>
      </c>
      <c r="K585" s="44">
        <f>Sales[[#This Row],[Gross Amount]]*Sales[[#This Row],[Disc %]]</f>
        <v>1312</v>
      </c>
      <c r="L585" s="43">
        <v>0.18</v>
      </c>
      <c r="M585" s="44">
        <f>(Sales[[#This Row],[Gross Amount]]-Sales[[#This Row],[Disc. Amt.]])*Sales[[#This Row],[GST %]]</f>
        <v>4487.04</v>
      </c>
      <c r="N585" s="161">
        <f>Sales[[#This Row],[Gross Amount]]-Sales[[#This Row],[Disc. Amt.]]+Sales[[#This Row],[GST Amount]]</f>
        <v>29415.040000000001</v>
      </c>
      <c r="O585" s="158" t="s">
        <v>3566</v>
      </c>
      <c r="P585" s="158" t="s">
        <v>3562</v>
      </c>
      <c r="Q585" s="160">
        <f>IF(Sales[[#This Row],[Status]]="Cancelled",0,Sales[[#This Row],[Qty]])</f>
        <v>8</v>
      </c>
      <c r="R585" s="161">
        <f>IF(Sales[[#This Row],[Status]]="Cancelled",0,Sales[[#This Row],[Total Amount]])</f>
        <v>29415.040000000001</v>
      </c>
      <c r="S585" s="162">
        <f>SUM(Sales[Net Amount])</f>
        <v>406839287.73200053</v>
      </c>
    </row>
    <row r="586" spans="1:19" ht="18.75" x14ac:dyDescent="0.25">
      <c r="A586" s="163" t="s">
        <v>4159</v>
      </c>
      <c r="B586" s="164">
        <v>45808</v>
      </c>
      <c r="C586" s="34" t="s">
        <v>740</v>
      </c>
      <c r="D586" s="53" t="str">
        <f>VLOOKUP(Sales[[#This Row],[Customer ID]],Customer[#All],2,0)</f>
        <v>Vikas Gupta</v>
      </c>
      <c r="E586" s="34" t="s">
        <v>99</v>
      </c>
      <c r="F586" s="34" t="str">
        <f>VLOOKUP(Sales[[#This Row],[Product ID]],Product[#All],2,0)</f>
        <v>Dell Laptop</v>
      </c>
      <c r="G586" s="53">
        <v>5</v>
      </c>
      <c r="H586" s="165">
        <f>VLOOKUP(Sales[[#This Row],[Product ID]],Product[#All],7,0)</f>
        <v>34870</v>
      </c>
      <c r="I586" s="165">
        <f>Sales[[#This Row],[Selling Rate]]*Sales[[#This Row],[Qty]]</f>
        <v>174350</v>
      </c>
      <c r="J586" s="45">
        <v>0</v>
      </c>
      <c r="K586" s="46">
        <f>Sales[[#This Row],[Gross Amount]]*Sales[[#This Row],[Disc %]]</f>
        <v>0</v>
      </c>
      <c r="L586" s="43">
        <v>0.18</v>
      </c>
      <c r="M586" s="46">
        <f>(Sales[[#This Row],[Gross Amount]]-Sales[[#This Row],[Disc. Amt.]])*Sales[[#This Row],[GST %]]</f>
        <v>31383</v>
      </c>
      <c r="N586" s="161">
        <f>Sales[[#This Row],[Gross Amount]]-Sales[[#This Row],[Disc. Amt.]]+Sales[[#This Row],[GST Amount]]</f>
        <v>205733</v>
      </c>
      <c r="O586" s="34" t="s">
        <v>3566</v>
      </c>
      <c r="P586" s="34" t="s">
        <v>3562</v>
      </c>
      <c r="Q586" s="165">
        <f>IF(Sales[[#This Row],[Status]]="Cancelled",0,Sales[[#This Row],[Qty]])</f>
        <v>5</v>
      </c>
      <c r="R586" s="166">
        <f>IF(Sales[[#This Row],[Status]]="Cancelled",0,Sales[[#This Row],[Total Amount]])</f>
        <v>205733</v>
      </c>
      <c r="S586" s="162">
        <f>SUM(Sales[Net Amount])</f>
        <v>406839287.73200053</v>
      </c>
    </row>
    <row r="587" spans="1:19" ht="18.75" x14ac:dyDescent="0.25">
      <c r="A587" s="156" t="s">
        <v>4160</v>
      </c>
      <c r="B587" s="157">
        <v>45808</v>
      </c>
      <c r="C587" s="158" t="s">
        <v>937</v>
      </c>
      <c r="D587" s="159" t="str">
        <f>VLOOKUP(Sales[[#This Row],[Customer ID]],Customer[#All],2,0)</f>
        <v>Rahul Singh</v>
      </c>
      <c r="E587" s="158" t="s">
        <v>505</v>
      </c>
      <c r="F587" s="158" t="str">
        <f>VLOOKUP(Sales[[#This Row],[Product ID]],Product[#All],2,0)</f>
        <v>Dell Monitor</v>
      </c>
      <c r="G587" s="159">
        <v>4</v>
      </c>
      <c r="H587" s="160">
        <f>VLOOKUP(Sales[[#This Row],[Product ID]],Product[#All],7,0)</f>
        <v>12790</v>
      </c>
      <c r="I587" s="160">
        <f>Sales[[#This Row],[Selling Rate]]*Sales[[#This Row],[Qty]]</f>
        <v>51160</v>
      </c>
      <c r="J587" s="43">
        <v>0.05</v>
      </c>
      <c r="K587" s="44">
        <f>Sales[[#This Row],[Gross Amount]]*Sales[[#This Row],[Disc %]]</f>
        <v>2558</v>
      </c>
      <c r="L587" s="43">
        <v>0.18</v>
      </c>
      <c r="M587" s="44">
        <f>(Sales[[#This Row],[Gross Amount]]-Sales[[#This Row],[Disc. Amt.]])*Sales[[#This Row],[GST %]]</f>
        <v>8748.36</v>
      </c>
      <c r="N587" s="161">
        <f>Sales[[#This Row],[Gross Amount]]-Sales[[#This Row],[Disc. Amt.]]+Sales[[#This Row],[GST Amount]]</f>
        <v>57350.36</v>
      </c>
      <c r="O587" s="158" t="s">
        <v>8876</v>
      </c>
      <c r="P587" s="158" t="s">
        <v>3562</v>
      </c>
      <c r="Q587" s="160">
        <f>IF(Sales[[#This Row],[Status]]="Cancelled",0,Sales[[#This Row],[Qty]])</f>
        <v>4</v>
      </c>
      <c r="R587" s="161">
        <f>IF(Sales[[#This Row],[Status]]="Cancelled",0,Sales[[#This Row],[Total Amount]])</f>
        <v>57350.36</v>
      </c>
      <c r="S587" s="162">
        <f>SUM(Sales[Net Amount])</f>
        <v>406839287.73200053</v>
      </c>
    </row>
    <row r="588" spans="1:19" ht="18.75" x14ac:dyDescent="0.25">
      <c r="A588" s="163" t="s">
        <v>4161</v>
      </c>
      <c r="B588" s="164">
        <v>45808</v>
      </c>
      <c r="C588" s="34" t="s">
        <v>805</v>
      </c>
      <c r="D588" s="53" t="str">
        <f>VLOOKUP(Sales[[#This Row],[Customer ID]],Customer[#All],2,0)</f>
        <v>Priya Kumar</v>
      </c>
      <c r="E588" s="34" t="s">
        <v>387</v>
      </c>
      <c r="F588" s="34" t="str">
        <f>VLOOKUP(Sales[[#This Row],[Product ID]],Product[#All],2,0)</f>
        <v>HP Printer</v>
      </c>
      <c r="G588" s="53">
        <v>3</v>
      </c>
      <c r="H588" s="165">
        <f>VLOOKUP(Sales[[#This Row],[Product ID]],Product[#All],7,0)</f>
        <v>14390</v>
      </c>
      <c r="I588" s="165">
        <f>Sales[[#This Row],[Selling Rate]]*Sales[[#This Row],[Qty]]</f>
        <v>43170</v>
      </c>
      <c r="J588" s="45">
        <v>0.12</v>
      </c>
      <c r="K588" s="46">
        <f>Sales[[#This Row],[Gross Amount]]*Sales[[#This Row],[Disc %]]</f>
        <v>5180.3999999999996</v>
      </c>
      <c r="L588" s="43">
        <v>0.18</v>
      </c>
      <c r="M588" s="46">
        <f>(Sales[[#This Row],[Gross Amount]]-Sales[[#This Row],[Disc. Amt.]])*Sales[[#This Row],[GST %]]</f>
        <v>6838.1279999999997</v>
      </c>
      <c r="N588" s="161">
        <f>Sales[[#This Row],[Gross Amount]]-Sales[[#This Row],[Disc. Amt.]]+Sales[[#This Row],[GST Amount]]</f>
        <v>44827.727999999996</v>
      </c>
      <c r="O588" s="34" t="s">
        <v>3566</v>
      </c>
      <c r="P588" s="34" t="s">
        <v>3562</v>
      </c>
      <c r="Q588" s="165">
        <f>IF(Sales[[#This Row],[Status]]="Cancelled",0,Sales[[#This Row],[Qty]])</f>
        <v>3</v>
      </c>
      <c r="R588" s="166">
        <f>IF(Sales[[#This Row],[Status]]="Cancelled",0,Sales[[#This Row],[Total Amount]])</f>
        <v>44827.727999999996</v>
      </c>
      <c r="S588" s="162">
        <f>SUM(Sales[Net Amount])</f>
        <v>406839287.73200053</v>
      </c>
    </row>
    <row r="589" spans="1:19" ht="18.75" x14ac:dyDescent="0.25">
      <c r="A589" s="156" t="s">
        <v>4162</v>
      </c>
      <c r="B589" s="157">
        <v>45808</v>
      </c>
      <c r="C589" s="158" t="s">
        <v>922</v>
      </c>
      <c r="D589" s="159" t="str">
        <f>VLOOKUP(Sales[[#This Row],[Customer ID]],Customer[#All],2,0)</f>
        <v>Pooja Patel</v>
      </c>
      <c r="E589" s="158" t="s">
        <v>240</v>
      </c>
      <c r="F589" s="158" t="str">
        <f>VLOOKUP(Sales[[#This Row],[Product ID]],Product[#All],2,0)</f>
        <v>Crucial Ssd</v>
      </c>
      <c r="G589" s="159">
        <v>8</v>
      </c>
      <c r="H589" s="160">
        <f>VLOOKUP(Sales[[#This Row],[Product ID]],Product[#All],7,0)</f>
        <v>3310</v>
      </c>
      <c r="I589" s="160">
        <f>Sales[[#This Row],[Selling Rate]]*Sales[[#This Row],[Qty]]</f>
        <v>26480</v>
      </c>
      <c r="J589" s="43">
        <v>0.05</v>
      </c>
      <c r="K589" s="44">
        <f>Sales[[#This Row],[Gross Amount]]*Sales[[#This Row],[Disc %]]</f>
        <v>1324</v>
      </c>
      <c r="L589" s="43">
        <v>0.18</v>
      </c>
      <c r="M589" s="44">
        <f>(Sales[[#This Row],[Gross Amount]]-Sales[[#This Row],[Disc. Amt.]])*Sales[[#This Row],[GST %]]</f>
        <v>4528.08</v>
      </c>
      <c r="N589" s="161">
        <f>Sales[[#This Row],[Gross Amount]]-Sales[[#This Row],[Disc. Amt.]]+Sales[[#This Row],[GST Amount]]</f>
        <v>29684.080000000002</v>
      </c>
      <c r="O589" s="158" t="s">
        <v>3566</v>
      </c>
      <c r="P589" s="158" t="s">
        <v>3562</v>
      </c>
      <c r="Q589" s="160">
        <f>IF(Sales[[#This Row],[Status]]="Cancelled",0,Sales[[#This Row],[Qty]])</f>
        <v>8</v>
      </c>
      <c r="R589" s="161">
        <f>IF(Sales[[#This Row],[Status]]="Cancelled",0,Sales[[#This Row],[Total Amount]])</f>
        <v>29684.080000000002</v>
      </c>
      <c r="S589" s="162">
        <f>SUM(Sales[Net Amount])</f>
        <v>406839287.73200053</v>
      </c>
    </row>
    <row r="590" spans="1:19" ht="18.75" x14ac:dyDescent="0.25">
      <c r="A590" s="163" t="s">
        <v>4163</v>
      </c>
      <c r="B590" s="164">
        <v>45808</v>
      </c>
      <c r="C590" s="34" t="s">
        <v>875</v>
      </c>
      <c r="D590" s="53" t="str">
        <f>VLOOKUP(Sales[[#This Row],[Customer ID]],Customer[#All],2,0)</f>
        <v>Rahul Verma</v>
      </c>
      <c r="E590" s="34" t="s">
        <v>297</v>
      </c>
      <c r="F590" s="34" t="str">
        <f>VLOOKUP(Sales[[#This Row],[Product ID]],Product[#All],2,0)</f>
        <v>Dell Desktop</v>
      </c>
      <c r="G590" s="53">
        <v>1</v>
      </c>
      <c r="H590" s="165">
        <f>VLOOKUP(Sales[[#This Row],[Product ID]],Product[#All],7,0)</f>
        <v>39300</v>
      </c>
      <c r="I590" s="165">
        <f>Sales[[#This Row],[Selling Rate]]*Sales[[#This Row],[Qty]]</f>
        <v>39300</v>
      </c>
      <c r="J590" s="45">
        <v>0.15</v>
      </c>
      <c r="K590" s="46">
        <f>Sales[[#This Row],[Gross Amount]]*Sales[[#This Row],[Disc %]]</f>
        <v>5895</v>
      </c>
      <c r="L590" s="43">
        <v>0.18</v>
      </c>
      <c r="M590" s="46">
        <f>(Sales[[#This Row],[Gross Amount]]-Sales[[#This Row],[Disc. Amt.]])*Sales[[#This Row],[GST %]]</f>
        <v>6012.9</v>
      </c>
      <c r="N590" s="161">
        <f>Sales[[#This Row],[Gross Amount]]-Sales[[#This Row],[Disc. Amt.]]+Sales[[#This Row],[GST Amount]]</f>
        <v>39417.9</v>
      </c>
      <c r="O590" s="34" t="s">
        <v>3569</v>
      </c>
      <c r="P590" s="34" t="s">
        <v>3562</v>
      </c>
      <c r="Q590" s="165">
        <f>IF(Sales[[#This Row],[Status]]="Cancelled",0,Sales[[#This Row],[Qty]])</f>
        <v>1</v>
      </c>
      <c r="R590" s="166">
        <f>IF(Sales[[#This Row],[Status]]="Cancelled",0,Sales[[#This Row],[Total Amount]])</f>
        <v>39417.9</v>
      </c>
      <c r="S590" s="162">
        <f>SUM(Sales[Net Amount])</f>
        <v>406839287.73200053</v>
      </c>
    </row>
    <row r="591" spans="1:19" ht="18.75" x14ac:dyDescent="0.25">
      <c r="A591" s="156" t="s">
        <v>4164</v>
      </c>
      <c r="B591" s="157">
        <v>45808</v>
      </c>
      <c r="C591" s="158" t="s">
        <v>653</v>
      </c>
      <c r="D591" s="159" t="str">
        <f>VLOOKUP(Sales[[#This Row],[Customer ID]],Customer[#All],2,0)</f>
        <v>Pooja Patel</v>
      </c>
      <c r="E591" s="158" t="s">
        <v>485</v>
      </c>
      <c r="F591" s="158" t="str">
        <f>VLOOKUP(Sales[[#This Row],[Product ID]],Product[#All],2,0)</f>
        <v>Lenovo Laptop</v>
      </c>
      <c r="G591" s="159">
        <v>1</v>
      </c>
      <c r="H591" s="160">
        <f>VLOOKUP(Sales[[#This Row],[Product ID]],Product[#All],7,0)</f>
        <v>55360</v>
      </c>
      <c r="I591" s="160">
        <f>Sales[[#This Row],[Selling Rate]]*Sales[[#This Row],[Qty]]</f>
        <v>55360</v>
      </c>
      <c r="J591" s="43">
        <v>0.05</v>
      </c>
      <c r="K591" s="44">
        <f>Sales[[#This Row],[Gross Amount]]*Sales[[#This Row],[Disc %]]</f>
        <v>2768</v>
      </c>
      <c r="L591" s="43">
        <v>0.18</v>
      </c>
      <c r="M591" s="44">
        <f>(Sales[[#This Row],[Gross Amount]]-Sales[[#This Row],[Disc. Amt.]])*Sales[[#This Row],[GST %]]</f>
        <v>9466.56</v>
      </c>
      <c r="N591" s="161">
        <f>Sales[[#This Row],[Gross Amount]]-Sales[[#This Row],[Disc. Amt.]]+Sales[[#This Row],[GST Amount]]</f>
        <v>62058.559999999998</v>
      </c>
      <c r="O591" s="158" t="s">
        <v>3566</v>
      </c>
      <c r="P591" s="158" t="s">
        <v>3562</v>
      </c>
      <c r="Q591" s="160">
        <f>IF(Sales[[#This Row],[Status]]="Cancelled",0,Sales[[#This Row],[Qty]])</f>
        <v>1</v>
      </c>
      <c r="R591" s="161">
        <f>IF(Sales[[#This Row],[Status]]="Cancelled",0,Sales[[#This Row],[Total Amount]])</f>
        <v>62058.559999999998</v>
      </c>
      <c r="S591" s="162">
        <f>SUM(Sales[Net Amount])</f>
        <v>406839287.73200053</v>
      </c>
    </row>
    <row r="592" spans="1:19" ht="18.75" x14ac:dyDescent="0.25">
      <c r="A592" s="163" t="s">
        <v>4165</v>
      </c>
      <c r="B592" s="164">
        <v>45808</v>
      </c>
      <c r="C592" s="34" t="s">
        <v>795</v>
      </c>
      <c r="D592" s="53" t="str">
        <f>VLOOKUP(Sales[[#This Row],[Customer ID]],Customer[#All],2,0)</f>
        <v>Sahil Gupta</v>
      </c>
      <c r="E592" s="34" t="s">
        <v>383</v>
      </c>
      <c r="F592" s="34" t="str">
        <f>VLOOKUP(Sales[[#This Row],[Product ID]],Product[#All],2,0)</f>
        <v>Logitech Mouse</v>
      </c>
      <c r="G592" s="53">
        <v>2</v>
      </c>
      <c r="H592" s="165">
        <f>VLOOKUP(Sales[[#This Row],[Product ID]],Product[#All],7,0)</f>
        <v>3080</v>
      </c>
      <c r="I592" s="165">
        <f>Sales[[#This Row],[Selling Rate]]*Sales[[#This Row],[Qty]]</f>
        <v>6160</v>
      </c>
      <c r="J592" s="45">
        <v>0.05</v>
      </c>
      <c r="K592" s="46">
        <f>Sales[[#This Row],[Gross Amount]]*Sales[[#This Row],[Disc %]]</f>
        <v>308</v>
      </c>
      <c r="L592" s="43">
        <v>0.18</v>
      </c>
      <c r="M592" s="46">
        <f>(Sales[[#This Row],[Gross Amount]]-Sales[[#This Row],[Disc. Amt.]])*Sales[[#This Row],[GST %]]</f>
        <v>1053.3599999999999</v>
      </c>
      <c r="N592" s="161">
        <f>Sales[[#This Row],[Gross Amount]]-Sales[[#This Row],[Disc. Amt.]]+Sales[[#This Row],[GST Amount]]</f>
        <v>6905.36</v>
      </c>
      <c r="O592" s="34" t="s">
        <v>3569</v>
      </c>
      <c r="P592" s="34" t="s">
        <v>3562</v>
      </c>
      <c r="Q592" s="165">
        <f>IF(Sales[[#This Row],[Status]]="Cancelled",0,Sales[[#This Row],[Qty]])</f>
        <v>2</v>
      </c>
      <c r="R592" s="166">
        <f>IF(Sales[[#This Row],[Status]]="Cancelled",0,Sales[[#This Row],[Total Amount]])</f>
        <v>6905.36</v>
      </c>
      <c r="S592" s="162">
        <f>SUM(Sales[Net Amount])</f>
        <v>406839287.73200053</v>
      </c>
    </row>
    <row r="593" spans="1:19" ht="18.75" x14ac:dyDescent="0.25">
      <c r="A593" s="156" t="s">
        <v>4166</v>
      </c>
      <c r="B593" s="157">
        <v>45808</v>
      </c>
      <c r="C593" s="158" t="s">
        <v>4167</v>
      </c>
      <c r="D593" s="159" t="str">
        <f>VLOOKUP(Sales[[#This Row],[Customer ID]],Customer[#All],2,0)</f>
        <v>Rahul Verma</v>
      </c>
      <c r="E593" s="158" t="s">
        <v>485</v>
      </c>
      <c r="F593" s="158" t="str">
        <f>VLOOKUP(Sales[[#This Row],[Product ID]],Product[#All],2,0)</f>
        <v>Lenovo Laptop</v>
      </c>
      <c r="G593" s="159">
        <v>7</v>
      </c>
      <c r="H593" s="160">
        <f>VLOOKUP(Sales[[#This Row],[Product ID]],Product[#All],7,0)</f>
        <v>55360</v>
      </c>
      <c r="I593" s="160">
        <f>Sales[[#This Row],[Selling Rate]]*Sales[[#This Row],[Qty]]</f>
        <v>387520</v>
      </c>
      <c r="J593" s="43">
        <v>0.15</v>
      </c>
      <c r="K593" s="44">
        <f>Sales[[#This Row],[Gross Amount]]*Sales[[#This Row],[Disc %]]</f>
        <v>58128</v>
      </c>
      <c r="L593" s="43">
        <v>0.18</v>
      </c>
      <c r="M593" s="44">
        <f>(Sales[[#This Row],[Gross Amount]]-Sales[[#This Row],[Disc. Amt.]])*Sales[[#This Row],[GST %]]</f>
        <v>59290.559999999998</v>
      </c>
      <c r="N593" s="161">
        <f>Sales[[#This Row],[Gross Amount]]-Sales[[#This Row],[Disc. Amt.]]+Sales[[#This Row],[GST Amount]]</f>
        <v>388682.56</v>
      </c>
      <c r="O593" s="158" t="s">
        <v>8876</v>
      </c>
      <c r="P593" s="158" t="s">
        <v>3562</v>
      </c>
      <c r="Q593" s="160">
        <f>IF(Sales[[#This Row],[Status]]="Cancelled",0,Sales[[#This Row],[Qty]])</f>
        <v>7</v>
      </c>
      <c r="R593" s="161">
        <f>IF(Sales[[#This Row],[Status]]="Cancelled",0,Sales[[#This Row],[Total Amount]])</f>
        <v>388682.56</v>
      </c>
      <c r="S593" s="162">
        <f>SUM(Sales[Net Amount])</f>
        <v>406839287.73200053</v>
      </c>
    </row>
    <row r="594" spans="1:19" ht="18.75" x14ac:dyDescent="0.25">
      <c r="A594" s="163" t="s">
        <v>4168</v>
      </c>
      <c r="B594" s="164">
        <v>45809</v>
      </c>
      <c r="C594" s="34" t="s">
        <v>935</v>
      </c>
      <c r="D594" s="53" t="str">
        <f>VLOOKUP(Sales[[#This Row],[Customer ID]],Customer[#All],2,0)</f>
        <v>Ankit Kumar</v>
      </c>
      <c r="E594" s="34" t="s">
        <v>231</v>
      </c>
      <c r="F594" s="34" t="str">
        <f>VLOOKUP(Sales[[#This Row],[Product ID]],Product[#All],2,0)</f>
        <v>TP-link Wi-Fi Adapter</v>
      </c>
      <c r="G594" s="53">
        <v>5</v>
      </c>
      <c r="H594" s="165">
        <f>VLOOKUP(Sales[[#This Row],[Product ID]],Product[#All],7,0)</f>
        <v>2200</v>
      </c>
      <c r="I594" s="165">
        <f>Sales[[#This Row],[Selling Rate]]*Sales[[#This Row],[Qty]]</f>
        <v>11000</v>
      </c>
      <c r="J594" s="45">
        <v>0</v>
      </c>
      <c r="K594" s="46">
        <f>Sales[[#This Row],[Gross Amount]]*Sales[[#This Row],[Disc %]]</f>
        <v>0</v>
      </c>
      <c r="L594" s="43">
        <v>0.18</v>
      </c>
      <c r="M594" s="46">
        <f>(Sales[[#This Row],[Gross Amount]]-Sales[[#This Row],[Disc. Amt.]])*Sales[[#This Row],[GST %]]</f>
        <v>1980</v>
      </c>
      <c r="N594" s="161">
        <f>Sales[[#This Row],[Gross Amount]]-Sales[[#This Row],[Disc. Amt.]]+Sales[[#This Row],[GST Amount]]</f>
        <v>12980</v>
      </c>
      <c r="O594" s="34" t="s">
        <v>3566</v>
      </c>
      <c r="P594" s="34" t="s">
        <v>3562</v>
      </c>
      <c r="Q594" s="165">
        <f>IF(Sales[[#This Row],[Status]]="Cancelled",0,Sales[[#This Row],[Qty]])</f>
        <v>5</v>
      </c>
      <c r="R594" s="166">
        <f>IF(Sales[[#This Row],[Status]]="Cancelled",0,Sales[[#This Row],[Total Amount]])</f>
        <v>12980</v>
      </c>
      <c r="S594" s="162">
        <f>SUM(Sales[Net Amount])</f>
        <v>406839287.73200053</v>
      </c>
    </row>
    <row r="595" spans="1:19" ht="18.75" x14ac:dyDescent="0.25">
      <c r="A595" s="156" t="s">
        <v>4169</v>
      </c>
      <c r="B595" s="157">
        <v>45809</v>
      </c>
      <c r="C595" s="158" t="s">
        <v>660</v>
      </c>
      <c r="D595" s="159" t="str">
        <f>VLOOKUP(Sales[[#This Row],[Customer ID]],Customer[#All],2,0)</f>
        <v>Priya Sharma</v>
      </c>
      <c r="E595" s="158" t="s">
        <v>260</v>
      </c>
      <c r="F595" s="158" t="str">
        <f>VLOOKUP(Sales[[#This Row],[Product ID]],Product[#All],2,0)</f>
        <v>Corsair Ram</v>
      </c>
      <c r="G595" s="159">
        <v>7</v>
      </c>
      <c r="H595" s="160">
        <f>VLOOKUP(Sales[[#This Row],[Product ID]],Product[#All],7,0)</f>
        <v>6010</v>
      </c>
      <c r="I595" s="160">
        <f>Sales[[#This Row],[Selling Rate]]*Sales[[#This Row],[Qty]]</f>
        <v>42070</v>
      </c>
      <c r="J595" s="43">
        <v>0</v>
      </c>
      <c r="K595" s="44">
        <f>Sales[[#This Row],[Gross Amount]]*Sales[[#This Row],[Disc %]]</f>
        <v>0</v>
      </c>
      <c r="L595" s="43">
        <v>0.18</v>
      </c>
      <c r="M595" s="44">
        <f>(Sales[[#This Row],[Gross Amount]]-Sales[[#This Row],[Disc. Amt.]])*Sales[[#This Row],[GST %]]</f>
        <v>7572.5999999999995</v>
      </c>
      <c r="N595" s="161">
        <f>Sales[[#This Row],[Gross Amount]]-Sales[[#This Row],[Disc. Amt.]]+Sales[[#This Row],[GST Amount]]</f>
        <v>49642.6</v>
      </c>
      <c r="O595" s="158" t="s">
        <v>3566</v>
      </c>
      <c r="P595" s="158" t="s">
        <v>3562</v>
      </c>
      <c r="Q595" s="160">
        <f>IF(Sales[[#This Row],[Status]]="Cancelled",0,Sales[[#This Row],[Qty]])</f>
        <v>7</v>
      </c>
      <c r="R595" s="161">
        <f>IF(Sales[[#This Row],[Status]]="Cancelled",0,Sales[[#This Row],[Total Amount]])</f>
        <v>49642.6</v>
      </c>
      <c r="S595" s="162">
        <f>SUM(Sales[Net Amount])</f>
        <v>406839287.73200053</v>
      </c>
    </row>
    <row r="596" spans="1:19" ht="18.75" x14ac:dyDescent="0.25">
      <c r="A596" s="163" t="s">
        <v>4170</v>
      </c>
      <c r="B596" s="164">
        <v>45809</v>
      </c>
      <c r="C596" s="34" t="s">
        <v>852</v>
      </c>
      <c r="D596" s="53" t="str">
        <f>VLOOKUP(Sales[[#This Row],[Customer ID]],Customer[#All],2,0)</f>
        <v>Neha Singh</v>
      </c>
      <c r="E596" s="34" t="s">
        <v>95</v>
      </c>
      <c r="F596" s="34" t="str">
        <f>VLOOKUP(Sales[[#This Row],[Product ID]],Product[#All],2,0)</f>
        <v>TP-link Router</v>
      </c>
      <c r="G596" s="53">
        <v>5</v>
      </c>
      <c r="H596" s="165">
        <f>VLOOKUP(Sales[[#This Row],[Product ID]],Product[#All],7,0)</f>
        <v>7170</v>
      </c>
      <c r="I596" s="165">
        <f>Sales[[#This Row],[Selling Rate]]*Sales[[#This Row],[Qty]]</f>
        <v>35850</v>
      </c>
      <c r="J596" s="45">
        <v>0.05</v>
      </c>
      <c r="K596" s="46">
        <f>Sales[[#This Row],[Gross Amount]]*Sales[[#This Row],[Disc %]]</f>
        <v>1792.5</v>
      </c>
      <c r="L596" s="43">
        <v>0.18</v>
      </c>
      <c r="M596" s="46">
        <f>(Sales[[#This Row],[Gross Amount]]-Sales[[#This Row],[Disc. Amt.]])*Sales[[#This Row],[GST %]]</f>
        <v>6130.3499999999995</v>
      </c>
      <c r="N596" s="161">
        <f>Sales[[#This Row],[Gross Amount]]-Sales[[#This Row],[Disc. Amt.]]+Sales[[#This Row],[GST Amount]]</f>
        <v>40187.85</v>
      </c>
      <c r="O596" s="34" t="s">
        <v>3566</v>
      </c>
      <c r="P596" s="34" t="s">
        <v>3562</v>
      </c>
      <c r="Q596" s="165">
        <f>IF(Sales[[#This Row],[Status]]="Cancelled",0,Sales[[#This Row],[Qty]])</f>
        <v>5</v>
      </c>
      <c r="R596" s="166">
        <f>IF(Sales[[#This Row],[Status]]="Cancelled",0,Sales[[#This Row],[Total Amount]])</f>
        <v>40187.85</v>
      </c>
      <c r="S596" s="162">
        <f>SUM(Sales[Net Amount])</f>
        <v>406839287.73200053</v>
      </c>
    </row>
    <row r="597" spans="1:19" ht="18.75" x14ac:dyDescent="0.25">
      <c r="A597" s="156" t="s">
        <v>4171</v>
      </c>
      <c r="B597" s="157">
        <v>45809</v>
      </c>
      <c r="C597" s="158" t="s">
        <v>756</v>
      </c>
      <c r="D597" s="159" t="str">
        <f>VLOOKUP(Sales[[#This Row],[Customer ID]],Customer[#All],2,0)</f>
        <v>Amit Patel</v>
      </c>
      <c r="E597" s="158" t="s">
        <v>400</v>
      </c>
      <c r="F597" s="158" t="str">
        <f>VLOOKUP(Sales[[#This Row],[Product ID]],Product[#All],2,0)</f>
        <v>TP-link Bluetooth Adapter</v>
      </c>
      <c r="G597" s="159">
        <v>4</v>
      </c>
      <c r="H597" s="160">
        <f>VLOOKUP(Sales[[#This Row],[Product ID]],Product[#All],7,0)</f>
        <v>1320</v>
      </c>
      <c r="I597" s="160">
        <f>Sales[[#This Row],[Selling Rate]]*Sales[[#This Row],[Qty]]</f>
        <v>5280</v>
      </c>
      <c r="J597" s="43">
        <v>0.02</v>
      </c>
      <c r="K597" s="44">
        <f>Sales[[#This Row],[Gross Amount]]*Sales[[#This Row],[Disc %]]</f>
        <v>105.60000000000001</v>
      </c>
      <c r="L597" s="43">
        <v>0.18</v>
      </c>
      <c r="M597" s="44">
        <f>(Sales[[#This Row],[Gross Amount]]-Sales[[#This Row],[Disc. Amt.]])*Sales[[#This Row],[GST %]]</f>
        <v>931.39199999999994</v>
      </c>
      <c r="N597" s="161">
        <f>Sales[[#This Row],[Gross Amount]]-Sales[[#This Row],[Disc. Amt.]]+Sales[[#This Row],[GST Amount]]</f>
        <v>6105.7919999999995</v>
      </c>
      <c r="O597" s="158" t="s">
        <v>3561</v>
      </c>
      <c r="P597" s="158" t="s">
        <v>3562</v>
      </c>
      <c r="Q597" s="160">
        <f>IF(Sales[[#This Row],[Status]]="Cancelled",0,Sales[[#This Row],[Qty]])</f>
        <v>4</v>
      </c>
      <c r="R597" s="161">
        <f>IF(Sales[[#This Row],[Status]]="Cancelled",0,Sales[[#This Row],[Total Amount]])</f>
        <v>6105.7919999999995</v>
      </c>
      <c r="S597" s="162">
        <f>SUM(Sales[Net Amount])</f>
        <v>406839287.73200053</v>
      </c>
    </row>
    <row r="598" spans="1:19" ht="18.75" x14ac:dyDescent="0.25">
      <c r="A598" s="163" t="s">
        <v>4172</v>
      </c>
      <c r="B598" s="164">
        <v>45809</v>
      </c>
      <c r="C598" s="34" t="s">
        <v>675</v>
      </c>
      <c r="D598" s="53" t="str">
        <f>VLOOKUP(Sales[[#This Row],[Customer ID]],Customer[#All],2,0)</f>
        <v>Rahul Gupta</v>
      </c>
      <c r="E598" s="34" t="s">
        <v>360</v>
      </c>
      <c r="F598" s="34" t="str">
        <f>VLOOKUP(Sales[[#This Row],[Product ID]],Product[#All],2,0)</f>
        <v>Canon Printer</v>
      </c>
      <c r="G598" s="53">
        <v>8</v>
      </c>
      <c r="H598" s="165">
        <f>VLOOKUP(Sales[[#This Row],[Product ID]],Product[#All],7,0)</f>
        <v>29670</v>
      </c>
      <c r="I598" s="165">
        <f>Sales[[#This Row],[Selling Rate]]*Sales[[#This Row],[Qty]]</f>
        <v>237360</v>
      </c>
      <c r="J598" s="45">
        <v>0.1</v>
      </c>
      <c r="K598" s="46">
        <f>Sales[[#This Row],[Gross Amount]]*Sales[[#This Row],[Disc %]]</f>
        <v>23736</v>
      </c>
      <c r="L598" s="43">
        <v>0.18</v>
      </c>
      <c r="M598" s="46">
        <f>(Sales[[#This Row],[Gross Amount]]-Sales[[#This Row],[Disc. Amt.]])*Sales[[#This Row],[GST %]]</f>
        <v>38452.32</v>
      </c>
      <c r="N598" s="161">
        <f>Sales[[#This Row],[Gross Amount]]-Sales[[#This Row],[Disc. Amt.]]+Sales[[#This Row],[GST Amount]]</f>
        <v>252076.32</v>
      </c>
      <c r="O598" s="34" t="s">
        <v>3561</v>
      </c>
      <c r="P598" s="34" t="s">
        <v>3562</v>
      </c>
      <c r="Q598" s="165">
        <f>IF(Sales[[#This Row],[Status]]="Cancelled",0,Sales[[#This Row],[Qty]])</f>
        <v>8</v>
      </c>
      <c r="R598" s="166">
        <f>IF(Sales[[#This Row],[Status]]="Cancelled",0,Sales[[#This Row],[Total Amount]])</f>
        <v>252076.32</v>
      </c>
      <c r="S598" s="162">
        <f>SUM(Sales[Net Amount])</f>
        <v>406839287.73200053</v>
      </c>
    </row>
    <row r="599" spans="1:19" ht="18.75" x14ac:dyDescent="0.25">
      <c r="A599" s="156" t="s">
        <v>4173</v>
      </c>
      <c r="B599" s="157">
        <v>45809</v>
      </c>
      <c r="C599" s="158" t="s">
        <v>872</v>
      </c>
      <c r="D599" s="159" t="str">
        <f>VLOOKUP(Sales[[#This Row],[Customer ID]],Customer[#All],2,0)</f>
        <v>Rahul Verma</v>
      </c>
      <c r="E599" s="158" t="s">
        <v>450</v>
      </c>
      <c r="F599" s="158" t="str">
        <f>VLOOKUP(Sales[[#This Row],[Product ID]],Product[#All],2,0)</f>
        <v>TP-link Bluetooth Adapter</v>
      </c>
      <c r="G599" s="159">
        <v>8</v>
      </c>
      <c r="H599" s="160">
        <f>VLOOKUP(Sales[[#This Row],[Product ID]],Product[#All],7,0)</f>
        <v>1270</v>
      </c>
      <c r="I599" s="160">
        <f>Sales[[#This Row],[Selling Rate]]*Sales[[#This Row],[Qty]]</f>
        <v>10160</v>
      </c>
      <c r="J599" s="43">
        <v>0</v>
      </c>
      <c r="K599" s="44">
        <f>Sales[[#This Row],[Gross Amount]]*Sales[[#This Row],[Disc %]]</f>
        <v>0</v>
      </c>
      <c r="L599" s="43">
        <v>0.18</v>
      </c>
      <c r="M599" s="44">
        <f>(Sales[[#This Row],[Gross Amount]]-Sales[[#This Row],[Disc. Amt.]])*Sales[[#This Row],[GST %]]</f>
        <v>1828.8</v>
      </c>
      <c r="N599" s="161">
        <f>Sales[[#This Row],[Gross Amount]]-Sales[[#This Row],[Disc. Amt.]]+Sales[[#This Row],[GST Amount]]</f>
        <v>11988.8</v>
      </c>
      <c r="O599" s="158" t="s">
        <v>3561</v>
      </c>
      <c r="P599" s="158" t="s">
        <v>3562</v>
      </c>
      <c r="Q599" s="160">
        <f>IF(Sales[[#This Row],[Status]]="Cancelled",0,Sales[[#This Row],[Qty]])</f>
        <v>8</v>
      </c>
      <c r="R599" s="161">
        <f>IF(Sales[[#This Row],[Status]]="Cancelled",0,Sales[[#This Row],[Total Amount]])</f>
        <v>11988.8</v>
      </c>
      <c r="S599" s="162">
        <f>SUM(Sales[Net Amount])</f>
        <v>406839287.73200053</v>
      </c>
    </row>
    <row r="600" spans="1:19" ht="18.75" x14ac:dyDescent="0.25">
      <c r="A600" s="163" t="s">
        <v>4174</v>
      </c>
      <c r="B600" s="164">
        <v>45809</v>
      </c>
      <c r="C600" s="34" t="s">
        <v>4175</v>
      </c>
      <c r="D600" s="53" t="str">
        <f>VLOOKUP(Sales[[#This Row],[Customer ID]],Customer[#All],2,0)</f>
        <v>Pooja Singh</v>
      </c>
      <c r="E600" s="34" t="s">
        <v>170</v>
      </c>
      <c r="F600" s="34" t="str">
        <f>VLOOKUP(Sales[[#This Row],[Product ID]],Product[#All],2,0)</f>
        <v>Lenovo Laptop</v>
      </c>
      <c r="G600" s="53">
        <v>7</v>
      </c>
      <c r="H600" s="165">
        <f>VLOOKUP(Sales[[#This Row],[Product ID]],Product[#All],7,0)</f>
        <v>29710</v>
      </c>
      <c r="I600" s="165">
        <f>Sales[[#This Row],[Selling Rate]]*Sales[[#This Row],[Qty]]</f>
        <v>207970</v>
      </c>
      <c r="J600" s="45">
        <v>0.05</v>
      </c>
      <c r="K600" s="46">
        <f>Sales[[#This Row],[Gross Amount]]*Sales[[#This Row],[Disc %]]</f>
        <v>10398.5</v>
      </c>
      <c r="L600" s="43">
        <v>0.18</v>
      </c>
      <c r="M600" s="46">
        <f>(Sales[[#This Row],[Gross Amount]]-Sales[[#This Row],[Disc. Amt.]])*Sales[[#This Row],[GST %]]</f>
        <v>35562.869999999995</v>
      </c>
      <c r="N600" s="161">
        <f>Sales[[#This Row],[Gross Amount]]-Sales[[#This Row],[Disc. Amt.]]+Sales[[#This Row],[GST Amount]]</f>
        <v>233134.37</v>
      </c>
      <c r="O600" s="34" t="s">
        <v>3566</v>
      </c>
      <c r="P600" s="34" t="s">
        <v>3562</v>
      </c>
      <c r="Q600" s="165">
        <f>IF(Sales[[#This Row],[Status]]="Cancelled",0,Sales[[#This Row],[Qty]])</f>
        <v>7</v>
      </c>
      <c r="R600" s="166">
        <f>IF(Sales[[#This Row],[Status]]="Cancelled",0,Sales[[#This Row],[Total Amount]])</f>
        <v>233134.37</v>
      </c>
      <c r="S600" s="162">
        <f>SUM(Sales[Net Amount])</f>
        <v>406839287.73200053</v>
      </c>
    </row>
    <row r="601" spans="1:19" ht="18.75" x14ac:dyDescent="0.25">
      <c r="A601" s="156" t="s">
        <v>4176</v>
      </c>
      <c r="B601" s="157">
        <v>45809</v>
      </c>
      <c r="C601" s="158" t="s">
        <v>699</v>
      </c>
      <c r="D601" s="159" t="str">
        <f>VLOOKUP(Sales[[#This Row],[Customer ID]],Customer[#All],2,0)</f>
        <v>Amit Singh</v>
      </c>
      <c r="E601" s="158" t="s">
        <v>123</v>
      </c>
      <c r="F601" s="158" t="str">
        <f>VLOOKUP(Sales[[#This Row],[Product ID]],Product[#All],2,0)</f>
        <v>HP Mouse</v>
      </c>
      <c r="G601" s="159">
        <v>1</v>
      </c>
      <c r="H601" s="160">
        <f>VLOOKUP(Sales[[#This Row],[Product ID]],Product[#All],7,0)</f>
        <v>2480</v>
      </c>
      <c r="I601" s="160">
        <f>Sales[[#This Row],[Selling Rate]]*Sales[[#This Row],[Qty]]</f>
        <v>2480</v>
      </c>
      <c r="J601" s="43">
        <v>0.15</v>
      </c>
      <c r="K601" s="44">
        <f>Sales[[#This Row],[Gross Amount]]*Sales[[#This Row],[Disc %]]</f>
        <v>372</v>
      </c>
      <c r="L601" s="43">
        <v>0.18</v>
      </c>
      <c r="M601" s="44">
        <f>(Sales[[#This Row],[Gross Amount]]-Sales[[#This Row],[Disc. Amt.]])*Sales[[#This Row],[GST %]]</f>
        <v>379.44</v>
      </c>
      <c r="N601" s="161">
        <f>Sales[[#This Row],[Gross Amount]]-Sales[[#This Row],[Disc. Amt.]]+Sales[[#This Row],[GST Amount]]</f>
        <v>2487.44</v>
      </c>
      <c r="O601" s="158" t="s">
        <v>8876</v>
      </c>
      <c r="P601" s="158" t="s">
        <v>3562</v>
      </c>
      <c r="Q601" s="160">
        <f>IF(Sales[[#This Row],[Status]]="Cancelled",0,Sales[[#This Row],[Qty]])</f>
        <v>1</v>
      </c>
      <c r="R601" s="161">
        <f>IF(Sales[[#This Row],[Status]]="Cancelled",0,Sales[[#This Row],[Total Amount]])</f>
        <v>2487.44</v>
      </c>
      <c r="S601" s="162">
        <f>SUM(Sales[Net Amount])</f>
        <v>406839287.73200053</v>
      </c>
    </row>
    <row r="602" spans="1:19" ht="18.75" x14ac:dyDescent="0.25">
      <c r="A602" s="163" t="s">
        <v>4177</v>
      </c>
      <c r="B602" s="164">
        <v>45809</v>
      </c>
      <c r="C602" s="34" t="s">
        <v>681</v>
      </c>
      <c r="D602" s="53" t="str">
        <f>VLOOKUP(Sales[[#This Row],[Customer ID]],Customer[#All],2,0)</f>
        <v>Amit Kumar</v>
      </c>
      <c r="E602" s="34" t="s">
        <v>474</v>
      </c>
      <c r="F602" s="34" t="str">
        <f>VLOOKUP(Sales[[#This Row],[Product ID]],Product[#All],2,0)</f>
        <v>Logitech Mouse</v>
      </c>
      <c r="G602" s="53">
        <v>2</v>
      </c>
      <c r="H602" s="165">
        <f>VLOOKUP(Sales[[#This Row],[Product ID]],Product[#All],7,0)</f>
        <v>1320</v>
      </c>
      <c r="I602" s="165">
        <f>Sales[[#This Row],[Selling Rate]]*Sales[[#This Row],[Qty]]</f>
        <v>2640</v>
      </c>
      <c r="J602" s="45">
        <v>0</v>
      </c>
      <c r="K602" s="46">
        <f>Sales[[#This Row],[Gross Amount]]*Sales[[#This Row],[Disc %]]</f>
        <v>0</v>
      </c>
      <c r="L602" s="43">
        <v>0.18</v>
      </c>
      <c r="M602" s="46">
        <f>(Sales[[#This Row],[Gross Amount]]-Sales[[#This Row],[Disc. Amt.]])*Sales[[#This Row],[GST %]]</f>
        <v>475.2</v>
      </c>
      <c r="N602" s="161">
        <f>Sales[[#This Row],[Gross Amount]]-Sales[[#This Row],[Disc. Amt.]]+Sales[[#This Row],[GST Amount]]</f>
        <v>3115.2</v>
      </c>
      <c r="O602" s="34" t="s">
        <v>3561</v>
      </c>
      <c r="P602" s="34" t="s">
        <v>3562</v>
      </c>
      <c r="Q602" s="165">
        <f>IF(Sales[[#This Row],[Status]]="Cancelled",0,Sales[[#This Row],[Qty]])</f>
        <v>2</v>
      </c>
      <c r="R602" s="166">
        <f>IF(Sales[[#This Row],[Status]]="Cancelled",0,Sales[[#This Row],[Total Amount]])</f>
        <v>3115.2</v>
      </c>
      <c r="S602" s="162">
        <f>SUM(Sales[Net Amount])</f>
        <v>406839287.73200053</v>
      </c>
    </row>
    <row r="603" spans="1:19" ht="18.75" x14ac:dyDescent="0.25">
      <c r="A603" s="156" t="s">
        <v>4178</v>
      </c>
      <c r="B603" s="157">
        <v>45809</v>
      </c>
      <c r="C603" s="158" t="s">
        <v>815</v>
      </c>
      <c r="D603" s="159" t="str">
        <f>VLOOKUP(Sales[[#This Row],[Customer ID]],Customer[#All],2,0)</f>
        <v>Priya Gupta</v>
      </c>
      <c r="E603" s="158" t="s">
        <v>530</v>
      </c>
      <c r="F603" s="158" t="str">
        <f>VLOOKUP(Sales[[#This Row],[Product ID]],Product[#All],2,0)</f>
        <v>Acer Laptop</v>
      </c>
      <c r="G603" s="159">
        <v>6</v>
      </c>
      <c r="H603" s="160">
        <f>VLOOKUP(Sales[[#This Row],[Product ID]],Product[#All],7,0)</f>
        <v>31390</v>
      </c>
      <c r="I603" s="160">
        <f>Sales[[#This Row],[Selling Rate]]*Sales[[#This Row],[Qty]]</f>
        <v>188340</v>
      </c>
      <c r="J603" s="43">
        <v>0</v>
      </c>
      <c r="K603" s="44">
        <f>Sales[[#This Row],[Gross Amount]]*Sales[[#This Row],[Disc %]]</f>
        <v>0</v>
      </c>
      <c r="L603" s="43">
        <v>0.18</v>
      </c>
      <c r="M603" s="44">
        <f>(Sales[[#This Row],[Gross Amount]]-Sales[[#This Row],[Disc. Amt.]])*Sales[[#This Row],[GST %]]</f>
        <v>33901.199999999997</v>
      </c>
      <c r="N603" s="161">
        <f>Sales[[#This Row],[Gross Amount]]-Sales[[#This Row],[Disc. Amt.]]+Sales[[#This Row],[GST Amount]]</f>
        <v>222241.2</v>
      </c>
      <c r="O603" s="158" t="s">
        <v>3566</v>
      </c>
      <c r="P603" s="158" t="s">
        <v>3562</v>
      </c>
      <c r="Q603" s="160">
        <f>IF(Sales[[#This Row],[Status]]="Cancelled",0,Sales[[#This Row],[Qty]])</f>
        <v>6</v>
      </c>
      <c r="R603" s="161">
        <f>IF(Sales[[#This Row],[Status]]="Cancelled",0,Sales[[#This Row],[Total Amount]])</f>
        <v>222241.2</v>
      </c>
      <c r="S603" s="162">
        <f>SUM(Sales[Net Amount])</f>
        <v>406839287.73200053</v>
      </c>
    </row>
    <row r="604" spans="1:19" ht="18.75" x14ac:dyDescent="0.25">
      <c r="A604" s="163" t="s">
        <v>4179</v>
      </c>
      <c r="B604" s="164">
        <v>45809</v>
      </c>
      <c r="C604" s="34" t="s">
        <v>812</v>
      </c>
      <c r="D604" s="53" t="str">
        <f>VLOOKUP(Sales[[#This Row],[Customer ID]],Customer[#All],2,0)</f>
        <v>Neha Gupta</v>
      </c>
      <c r="E604" s="34" t="s">
        <v>418</v>
      </c>
      <c r="F604" s="34" t="str">
        <f>VLOOKUP(Sales[[#This Row],[Product ID]],Product[#All],2,0)</f>
        <v>TP-link Router</v>
      </c>
      <c r="G604" s="53">
        <v>7</v>
      </c>
      <c r="H604" s="165">
        <f>VLOOKUP(Sales[[#This Row],[Product ID]],Product[#All],7,0)</f>
        <v>6750</v>
      </c>
      <c r="I604" s="165">
        <f>Sales[[#This Row],[Selling Rate]]*Sales[[#This Row],[Qty]]</f>
        <v>47250</v>
      </c>
      <c r="J604" s="45">
        <v>0</v>
      </c>
      <c r="K604" s="46">
        <f>Sales[[#This Row],[Gross Amount]]*Sales[[#This Row],[Disc %]]</f>
        <v>0</v>
      </c>
      <c r="L604" s="43">
        <v>0.18</v>
      </c>
      <c r="M604" s="46">
        <f>(Sales[[#This Row],[Gross Amount]]-Sales[[#This Row],[Disc. Amt.]])*Sales[[#This Row],[GST %]]</f>
        <v>8505</v>
      </c>
      <c r="N604" s="161">
        <f>Sales[[#This Row],[Gross Amount]]-Sales[[#This Row],[Disc. Amt.]]+Sales[[#This Row],[GST Amount]]</f>
        <v>55755</v>
      </c>
      <c r="O604" s="34" t="s">
        <v>3569</v>
      </c>
      <c r="P604" s="34" t="s">
        <v>3562</v>
      </c>
      <c r="Q604" s="165">
        <f>IF(Sales[[#This Row],[Status]]="Cancelled",0,Sales[[#This Row],[Qty]])</f>
        <v>7</v>
      </c>
      <c r="R604" s="166">
        <f>IF(Sales[[#This Row],[Status]]="Cancelled",0,Sales[[#This Row],[Total Amount]])</f>
        <v>55755</v>
      </c>
      <c r="S604" s="162">
        <f>SUM(Sales[Net Amount])</f>
        <v>406839287.73200053</v>
      </c>
    </row>
    <row r="605" spans="1:19" ht="18.75" x14ac:dyDescent="0.25">
      <c r="A605" s="156" t="s">
        <v>4180</v>
      </c>
      <c r="B605" s="157">
        <v>45809</v>
      </c>
      <c r="C605" s="158" t="s">
        <v>670</v>
      </c>
      <c r="D605" s="159" t="str">
        <f>VLOOKUP(Sales[[#This Row],[Customer ID]],Customer[#All],2,0)</f>
        <v>Rakesh Patel</v>
      </c>
      <c r="E605" s="158" t="s">
        <v>251</v>
      </c>
      <c r="F605" s="158" t="str">
        <f>VLOOKUP(Sales[[#This Row],[Product ID]],Product[#All],2,0)</f>
        <v>Corsair Ram</v>
      </c>
      <c r="G605" s="159">
        <v>1</v>
      </c>
      <c r="H605" s="160">
        <f>VLOOKUP(Sales[[#This Row],[Product ID]],Product[#All],7,0)</f>
        <v>2890</v>
      </c>
      <c r="I605" s="160">
        <f>Sales[[#This Row],[Selling Rate]]*Sales[[#This Row],[Qty]]</f>
        <v>2890</v>
      </c>
      <c r="J605" s="43">
        <v>0.15</v>
      </c>
      <c r="K605" s="44">
        <f>Sales[[#This Row],[Gross Amount]]*Sales[[#This Row],[Disc %]]</f>
        <v>433.5</v>
      </c>
      <c r="L605" s="43">
        <v>0.18</v>
      </c>
      <c r="M605" s="44">
        <f>(Sales[[#This Row],[Gross Amount]]-Sales[[#This Row],[Disc. Amt.]])*Sales[[#This Row],[GST %]]</f>
        <v>442.16999999999996</v>
      </c>
      <c r="N605" s="161">
        <f>Sales[[#This Row],[Gross Amount]]-Sales[[#This Row],[Disc. Amt.]]+Sales[[#This Row],[GST Amount]]</f>
        <v>2898.67</v>
      </c>
      <c r="O605" s="158" t="s">
        <v>3569</v>
      </c>
      <c r="P605" s="158" t="s">
        <v>1040</v>
      </c>
      <c r="Q605" s="160">
        <f>IF(Sales[[#This Row],[Status]]="Cancelled",0,Sales[[#This Row],[Qty]])</f>
        <v>0</v>
      </c>
      <c r="R605" s="161">
        <f>IF(Sales[[#This Row],[Status]]="Cancelled",0,Sales[[#This Row],[Total Amount]])</f>
        <v>0</v>
      </c>
      <c r="S605" s="162">
        <f>SUM(Sales[Net Amount])</f>
        <v>406839287.73200053</v>
      </c>
    </row>
    <row r="606" spans="1:19" ht="18.75" x14ac:dyDescent="0.25">
      <c r="A606" s="163" t="s">
        <v>4181</v>
      </c>
      <c r="B606" s="164">
        <v>45809</v>
      </c>
      <c r="C606" s="34" t="s">
        <v>807</v>
      </c>
      <c r="D606" s="53" t="str">
        <f>VLOOKUP(Sales[[#This Row],[Customer ID]],Customer[#All],2,0)</f>
        <v>Rakesh Patel</v>
      </c>
      <c r="E606" s="34" t="s">
        <v>362</v>
      </c>
      <c r="F606" s="34" t="str">
        <f>VLOOKUP(Sales[[#This Row],[Product ID]],Product[#All],2,0)</f>
        <v>Dell Power Adapter</v>
      </c>
      <c r="G606" s="53">
        <v>2</v>
      </c>
      <c r="H606" s="165">
        <f>VLOOKUP(Sales[[#This Row],[Product ID]],Product[#All],7,0)</f>
        <v>4050</v>
      </c>
      <c r="I606" s="165">
        <f>Sales[[#This Row],[Selling Rate]]*Sales[[#This Row],[Qty]]</f>
        <v>8100</v>
      </c>
      <c r="J606" s="45">
        <v>0.15</v>
      </c>
      <c r="K606" s="46">
        <f>Sales[[#This Row],[Gross Amount]]*Sales[[#This Row],[Disc %]]</f>
        <v>1215</v>
      </c>
      <c r="L606" s="43">
        <v>0.18</v>
      </c>
      <c r="M606" s="46">
        <f>(Sales[[#This Row],[Gross Amount]]-Sales[[#This Row],[Disc. Amt.]])*Sales[[#This Row],[GST %]]</f>
        <v>1239.3</v>
      </c>
      <c r="N606" s="161">
        <f>Sales[[#This Row],[Gross Amount]]-Sales[[#This Row],[Disc. Amt.]]+Sales[[#This Row],[GST Amount]]</f>
        <v>8124.3</v>
      </c>
      <c r="O606" s="34" t="s">
        <v>3561</v>
      </c>
      <c r="P606" s="34" t="s">
        <v>3562</v>
      </c>
      <c r="Q606" s="165">
        <f>IF(Sales[[#This Row],[Status]]="Cancelled",0,Sales[[#This Row],[Qty]])</f>
        <v>2</v>
      </c>
      <c r="R606" s="166">
        <f>IF(Sales[[#This Row],[Status]]="Cancelled",0,Sales[[#This Row],[Total Amount]])</f>
        <v>8124.3</v>
      </c>
      <c r="S606" s="162">
        <f>SUM(Sales[Net Amount])</f>
        <v>406839287.73200053</v>
      </c>
    </row>
    <row r="607" spans="1:19" ht="18.75" x14ac:dyDescent="0.25">
      <c r="A607" s="156" t="s">
        <v>4182</v>
      </c>
      <c r="B607" s="157">
        <v>45809</v>
      </c>
      <c r="C607" s="158" t="s">
        <v>787</v>
      </c>
      <c r="D607" s="159" t="str">
        <f>VLOOKUP(Sales[[#This Row],[Customer ID]],Customer[#All],2,0)</f>
        <v>Amit Singh</v>
      </c>
      <c r="E607" s="158" t="s">
        <v>109</v>
      </c>
      <c r="F607" s="158" t="str">
        <f>VLOOKUP(Sales[[#This Row],[Product ID]],Product[#All],2,0)</f>
        <v>Kingston Ram</v>
      </c>
      <c r="G607" s="159">
        <v>3</v>
      </c>
      <c r="H607" s="160">
        <f>VLOOKUP(Sales[[#This Row],[Product ID]],Product[#All],7,0)</f>
        <v>2290</v>
      </c>
      <c r="I607" s="160">
        <f>Sales[[#This Row],[Selling Rate]]*Sales[[#This Row],[Qty]]</f>
        <v>6870</v>
      </c>
      <c r="J607" s="43">
        <v>0.02</v>
      </c>
      <c r="K607" s="44">
        <f>Sales[[#This Row],[Gross Amount]]*Sales[[#This Row],[Disc %]]</f>
        <v>137.4</v>
      </c>
      <c r="L607" s="43">
        <v>0.18</v>
      </c>
      <c r="M607" s="44">
        <f>(Sales[[#This Row],[Gross Amount]]-Sales[[#This Row],[Disc. Amt.]])*Sales[[#This Row],[GST %]]</f>
        <v>1211.8679999999999</v>
      </c>
      <c r="N607" s="161">
        <f>Sales[[#This Row],[Gross Amount]]-Sales[[#This Row],[Disc. Amt.]]+Sales[[#This Row],[GST Amount]]</f>
        <v>7944.4680000000008</v>
      </c>
      <c r="O607" s="158" t="s">
        <v>8876</v>
      </c>
      <c r="P607" s="158" t="s">
        <v>3562</v>
      </c>
      <c r="Q607" s="160">
        <f>IF(Sales[[#This Row],[Status]]="Cancelled",0,Sales[[#This Row],[Qty]])</f>
        <v>3</v>
      </c>
      <c r="R607" s="161">
        <f>IF(Sales[[#This Row],[Status]]="Cancelled",0,Sales[[#This Row],[Total Amount]])</f>
        <v>7944.4680000000008</v>
      </c>
      <c r="S607" s="162">
        <f>SUM(Sales[Net Amount])</f>
        <v>406839287.73200053</v>
      </c>
    </row>
    <row r="608" spans="1:19" ht="18.75" x14ac:dyDescent="0.25">
      <c r="A608" s="163" t="s">
        <v>4183</v>
      </c>
      <c r="B608" s="164">
        <v>45809</v>
      </c>
      <c r="C608" s="34" t="s">
        <v>732</v>
      </c>
      <c r="D608" s="53" t="str">
        <f>VLOOKUP(Sales[[#This Row],[Customer ID]],Customer[#All],2,0)</f>
        <v>Sunita Gupta</v>
      </c>
      <c r="E608" s="34" t="s">
        <v>47</v>
      </c>
      <c r="F608" s="34" t="str">
        <f>VLOOKUP(Sales[[#This Row],[Product ID]],Product[#All],2,0)</f>
        <v>Logitech Keyboard</v>
      </c>
      <c r="G608" s="53">
        <v>7</v>
      </c>
      <c r="H608" s="165">
        <f>VLOOKUP(Sales[[#This Row],[Product ID]],Product[#All],7,0)</f>
        <v>930</v>
      </c>
      <c r="I608" s="165">
        <f>Sales[[#This Row],[Selling Rate]]*Sales[[#This Row],[Qty]]</f>
        <v>6510</v>
      </c>
      <c r="J608" s="45">
        <v>0</v>
      </c>
      <c r="K608" s="46">
        <f>Sales[[#This Row],[Gross Amount]]*Sales[[#This Row],[Disc %]]</f>
        <v>0</v>
      </c>
      <c r="L608" s="43">
        <v>0.18</v>
      </c>
      <c r="M608" s="46">
        <f>(Sales[[#This Row],[Gross Amount]]-Sales[[#This Row],[Disc. Amt.]])*Sales[[#This Row],[GST %]]</f>
        <v>1171.8</v>
      </c>
      <c r="N608" s="161">
        <f>Sales[[#This Row],[Gross Amount]]-Sales[[#This Row],[Disc. Amt.]]+Sales[[#This Row],[GST Amount]]</f>
        <v>7681.8</v>
      </c>
      <c r="O608" s="34" t="s">
        <v>8876</v>
      </c>
      <c r="P608" s="34" t="s">
        <v>3562</v>
      </c>
      <c r="Q608" s="165">
        <f>IF(Sales[[#This Row],[Status]]="Cancelled",0,Sales[[#This Row],[Qty]])</f>
        <v>7</v>
      </c>
      <c r="R608" s="166">
        <f>IF(Sales[[#This Row],[Status]]="Cancelled",0,Sales[[#This Row],[Total Amount]])</f>
        <v>7681.8</v>
      </c>
      <c r="S608" s="162">
        <f>SUM(Sales[Net Amount])</f>
        <v>406839287.73200053</v>
      </c>
    </row>
    <row r="609" spans="1:19" ht="18.75" x14ac:dyDescent="0.25">
      <c r="A609" s="156" t="s">
        <v>4184</v>
      </c>
      <c r="B609" s="157">
        <v>45809</v>
      </c>
      <c r="C609" s="158" t="s">
        <v>853</v>
      </c>
      <c r="D609" s="159" t="str">
        <f>VLOOKUP(Sales[[#This Row],[Customer ID]],Customer[#All],2,0)</f>
        <v>Amit Singh</v>
      </c>
      <c r="E609" s="158" t="s">
        <v>516</v>
      </c>
      <c r="F609" s="158" t="str">
        <f>VLOOKUP(Sales[[#This Row],[Product ID]],Product[#All],2,0)</f>
        <v>Boat Headset</v>
      </c>
      <c r="G609" s="159">
        <v>1</v>
      </c>
      <c r="H609" s="160">
        <f>VLOOKUP(Sales[[#This Row],[Product ID]],Product[#All],7,0)</f>
        <v>2690</v>
      </c>
      <c r="I609" s="160">
        <f>Sales[[#This Row],[Selling Rate]]*Sales[[#This Row],[Qty]]</f>
        <v>2690</v>
      </c>
      <c r="J609" s="43">
        <v>0.05</v>
      </c>
      <c r="K609" s="44">
        <f>Sales[[#This Row],[Gross Amount]]*Sales[[#This Row],[Disc %]]</f>
        <v>134.5</v>
      </c>
      <c r="L609" s="43">
        <v>0.18</v>
      </c>
      <c r="M609" s="44">
        <f>(Sales[[#This Row],[Gross Amount]]-Sales[[#This Row],[Disc. Amt.]])*Sales[[#This Row],[GST %]]</f>
        <v>459.99</v>
      </c>
      <c r="N609" s="161">
        <f>Sales[[#This Row],[Gross Amount]]-Sales[[#This Row],[Disc. Amt.]]+Sales[[#This Row],[GST Amount]]</f>
        <v>3015.49</v>
      </c>
      <c r="O609" s="158" t="s">
        <v>3569</v>
      </c>
      <c r="P609" s="158" t="s">
        <v>3562</v>
      </c>
      <c r="Q609" s="160">
        <f>IF(Sales[[#This Row],[Status]]="Cancelled",0,Sales[[#This Row],[Qty]])</f>
        <v>1</v>
      </c>
      <c r="R609" s="161">
        <f>IF(Sales[[#This Row],[Status]]="Cancelled",0,Sales[[#This Row],[Total Amount]])</f>
        <v>3015.49</v>
      </c>
      <c r="S609" s="162">
        <f>SUM(Sales[Net Amount])</f>
        <v>406839287.73200053</v>
      </c>
    </row>
    <row r="610" spans="1:19" ht="18.75" x14ac:dyDescent="0.25">
      <c r="A610" s="163" t="s">
        <v>4185</v>
      </c>
      <c r="B610" s="164">
        <v>45809</v>
      </c>
      <c r="C610" s="34" t="s">
        <v>764</v>
      </c>
      <c r="D610" s="53" t="str">
        <f>VLOOKUP(Sales[[#This Row],[Customer ID]],Customer[#All],2,0)</f>
        <v>Priya Gupta</v>
      </c>
      <c r="E610" s="34" t="s">
        <v>78</v>
      </c>
      <c r="F610" s="34" t="str">
        <f>VLOOKUP(Sales[[#This Row],[Product ID]],Product[#All],2,0)</f>
        <v>Lg Monitor</v>
      </c>
      <c r="G610" s="53">
        <v>1</v>
      </c>
      <c r="H610" s="165">
        <f>VLOOKUP(Sales[[#This Row],[Product ID]],Product[#All],7,0)</f>
        <v>16690</v>
      </c>
      <c r="I610" s="165">
        <f>Sales[[#This Row],[Selling Rate]]*Sales[[#This Row],[Qty]]</f>
        <v>16690</v>
      </c>
      <c r="J610" s="45">
        <v>0</v>
      </c>
      <c r="K610" s="46">
        <f>Sales[[#This Row],[Gross Amount]]*Sales[[#This Row],[Disc %]]</f>
        <v>0</v>
      </c>
      <c r="L610" s="43">
        <v>0.18</v>
      </c>
      <c r="M610" s="46">
        <f>(Sales[[#This Row],[Gross Amount]]-Sales[[#This Row],[Disc. Amt.]])*Sales[[#This Row],[GST %]]</f>
        <v>3004.2</v>
      </c>
      <c r="N610" s="161">
        <f>Sales[[#This Row],[Gross Amount]]-Sales[[#This Row],[Disc. Amt.]]+Sales[[#This Row],[GST Amount]]</f>
        <v>19694.2</v>
      </c>
      <c r="O610" s="34" t="s">
        <v>3569</v>
      </c>
      <c r="P610" s="34" t="s">
        <v>3562</v>
      </c>
      <c r="Q610" s="165">
        <f>IF(Sales[[#This Row],[Status]]="Cancelled",0,Sales[[#This Row],[Qty]])</f>
        <v>1</v>
      </c>
      <c r="R610" s="166">
        <f>IF(Sales[[#This Row],[Status]]="Cancelled",0,Sales[[#This Row],[Total Amount]])</f>
        <v>19694.2</v>
      </c>
      <c r="S610" s="162">
        <f>SUM(Sales[Net Amount])</f>
        <v>406839287.73200053</v>
      </c>
    </row>
    <row r="611" spans="1:19" ht="18.75" x14ac:dyDescent="0.25">
      <c r="A611" s="156" t="s">
        <v>4186</v>
      </c>
      <c r="B611" s="157">
        <v>45809</v>
      </c>
      <c r="C611" s="158" t="s">
        <v>903</v>
      </c>
      <c r="D611" s="159" t="str">
        <f>VLOOKUP(Sales[[#This Row],[Customer ID]],Customer[#All],2,0)</f>
        <v>Sahil Singh</v>
      </c>
      <c r="E611" s="158" t="s">
        <v>393</v>
      </c>
      <c r="F611" s="158" t="str">
        <f>VLOOKUP(Sales[[#This Row],[Product ID]],Product[#All],2,0)</f>
        <v>American TouristerLaptopBag</v>
      </c>
      <c r="G611" s="159">
        <v>4</v>
      </c>
      <c r="H611" s="160">
        <f>VLOOKUP(Sales[[#This Row],[Product ID]],Product[#All],7,0)</f>
        <v>3240</v>
      </c>
      <c r="I611" s="160">
        <f>Sales[[#This Row],[Selling Rate]]*Sales[[#This Row],[Qty]]</f>
        <v>12960</v>
      </c>
      <c r="J611" s="43">
        <v>0</v>
      </c>
      <c r="K611" s="44">
        <f>Sales[[#This Row],[Gross Amount]]*Sales[[#This Row],[Disc %]]</f>
        <v>0</v>
      </c>
      <c r="L611" s="43">
        <v>0.18</v>
      </c>
      <c r="M611" s="44">
        <f>(Sales[[#This Row],[Gross Amount]]-Sales[[#This Row],[Disc. Amt.]])*Sales[[#This Row],[GST %]]</f>
        <v>2332.7999999999997</v>
      </c>
      <c r="N611" s="161">
        <f>Sales[[#This Row],[Gross Amount]]-Sales[[#This Row],[Disc. Amt.]]+Sales[[#This Row],[GST Amount]]</f>
        <v>15292.8</v>
      </c>
      <c r="O611" s="158" t="s">
        <v>8876</v>
      </c>
      <c r="P611" s="158" t="s">
        <v>3562</v>
      </c>
      <c r="Q611" s="160">
        <f>IF(Sales[[#This Row],[Status]]="Cancelled",0,Sales[[#This Row],[Qty]])</f>
        <v>4</v>
      </c>
      <c r="R611" s="161">
        <f>IF(Sales[[#This Row],[Status]]="Cancelled",0,Sales[[#This Row],[Total Amount]])</f>
        <v>15292.8</v>
      </c>
      <c r="S611" s="162">
        <f>SUM(Sales[Net Amount])</f>
        <v>406839287.73200053</v>
      </c>
    </row>
    <row r="612" spans="1:19" ht="18.75" x14ac:dyDescent="0.25">
      <c r="A612" s="163" t="s">
        <v>4187</v>
      </c>
      <c r="B612" s="164">
        <v>45809</v>
      </c>
      <c r="C612" s="34" t="s">
        <v>904</v>
      </c>
      <c r="D612" s="53" t="str">
        <f>VLOOKUP(Sales[[#This Row],[Customer ID]],Customer[#All],2,0)</f>
        <v>Sahil Patel</v>
      </c>
      <c r="E612" s="34" t="s">
        <v>505</v>
      </c>
      <c r="F612" s="34" t="str">
        <f>VLOOKUP(Sales[[#This Row],[Product ID]],Product[#All],2,0)</f>
        <v>Dell Monitor</v>
      </c>
      <c r="G612" s="53">
        <v>1</v>
      </c>
      <c r="H612" s="165">
        <f>VLOOKUP(Sales[[#This Row],[Product ID]],Product[#All],7,0)</f>
        <v>12790</v>
      </c>
      <c r="I612" s="165">
        <f>Sales[[#This Row],[Selling Rate]]*Sales[[#This Row],[Qty]]</f>
        <v>12790</v>
      </c>
      <c r="J612" s="45">
        <v>0.05</v>
      </c>
      <c r="K612" s="46">
        <f>Sales[[#This Row],[Gross Amount]]*Sales[[#This Row],[Disc %]]</f>
        <v>639.5</v>
      </c>
      <c r="L612" s="43">
        <v>0.18</v>
      </c>
      <c r="M612" s="46">
        <f>(Sales[[#This Row],[Gross Amount]]-Sales[[#This Row],[Disc. Amt.]])*Sales[[#This Row],[GST %]]</f>
        <v>2187.09</v>
      </c>
      <c r="N612" s="161">
        <f>Sales[[#This Row],[Gross Amount]]-Sales[[#This Row],[Disc. Amt.]]+Sales[[#This Row],[GST Amount]]</f>
        <v>14337.59</v>
      </c>
      <c r="O612" s="34" t="s">
        <v>3561</v>
      </c>
      <c r="P612" s="34" t="s">
        <v>3562</v>
      </c>
      <c r="Q612" s="165">
        <f>IF(Sales[[#This Row],[Status]]="Cancelled",0,Sales[[#This Row],[Qty]])</f>
        <v>1</v>
      </c>
      <c r="R612" s="166">
        <f>IF(Sales[[#This Row],[Status]]="Cancelled",0,Sales[[#This Row],[Total Amount]])</f>
        <v>14337.59</v>
      </c>
      <c r="S612" s="162">
        <f>SUM(Sales[Net Amount])</f>
        <v>406839287.73200053</v>
      </c>
    </row>
    <row r="613" spans="1:19" ht="18.75" x14ac:dyDescent="0.25">
      <c r="A613" s="156" t="s">
        <v>4188</v>
      </c>
      <c r="B613" s="157">
        <v>45809</v>
      </c>
      <c r="C613" s="158" t="s">
        <v>933</v>
      </c>
      <c r="D613" s="159" t="str">
        <f>VLOOKUP(Sales[[#This Row],[Customer ID]],Customer[#All],2,0)</f>
        <v>Vikas Verma</v>
      </c>
      <c r="E613" s="158" t="s">
        <v>228</v>
      </c>
      <c r="F613" s="158" t="str">
        <f>VLOOKUP(Sales[[#This Row],[Product ID]],Product[#All],2,0)</f>
        <v>Samsung Monitor</v>
      </c>
      <c r="G613" s="159">
        <v>2</v>
      </c>
      <c r="H613" s="160">
        <f>VLOOKUP(Sales[[#This Row],[Product ID]],Product[#All],7,0)</f>
        <v>29600</v>
      </c>
      <c r="I613" s="160">
        <f>Sales[[#This Row],[Selling Rate]]*Sales[[#This Row],[Qty]]</f>
        <v>59200</v>
      </c>
      <c r="J613" s="43">
        <v>0.05</v>
      </c>
      <c r="K613" s="44">
        <f>Sales[[#This Row],[Gross Amount]]*Sales[[#This Row],[Disc %]]</f>
        <v>2960</v>
      </c>
      <c r="L613" s="43">
        <v>0.18</v>
      </c>
      <c r="M613" s="44">
        <f>(Sales[[#This Row],[Gross Amount]]-Sales[[#This Row],[Disc. Amt.]])*Sales[[#This Row],[GST %]]</f>
        <v>10123.199999999999</v>
      </c>
      <c r="N613" s="161">
        <f>Sales[[#This Row],[Gross Amount]]-Sales[[#This Row],[Disc. Amt.]]+Sales[[#This Row],[GST Amount]]</f>
        <v>66363.199999999997</v>
      </c>
      <c r="O613" s="158" t="s">
        <v>3566</v>
      </c>
      <c r="P613" s="158" t="s">
        <v>3562</v>
      </c>
      <c r="Q613" s="160">
        <f>IF(Sales[[#This Row],[Status]]="Cancelled",0,Sales[[#This Row],[Qty]])</f>
        <v>2</v>
      </c>
      <c r="R613" s="161">
        <f>IF(Sales[[#This Row],[Status]]="Cancelled",0,Sales[[#This Row],[Total Amount]])</f>
        <v>66363.199999999997</v>
      </c>
      <c r="S613" s="162">
        <f>SUM(Sales[Net Amount])</f>
        <v>406839287.73200053</v>
      </c>
    </row>
    <row r="614" spans="1:19" ht="18.75" x14ac:dyDescent="0.25">
      <c r="A614" s="163" t="s">
        <v>4189</v>
      </c>
      <c r="B614" s="164">
        <v>45809</v>
      </c>
      <c r="C614" s="34" t="s">
        <v>901</v>
      </c>
      <c r="D614" s="53" t="str">
        <f>VLOOKUP(Sales[[#This Row],[Customer ID]],Customer[#All],2,0)</f>
        <v>Vikas Kumar</v>
      </c>
      <c r="E614" s="34" t="s">
        <v>547</v>
      </c>
      <c r="F614" s="34" t="str">
        <f>VLOOKUP(Sales[[#This Row],[Product ID]],Product[#All],2,0)</f>
        <v>Samsung Monitor</v>
      </c>
      <c r="G614" s="53">
        <v>5</v>
      </c>
      <c r="H614" s="165">
        <f>VLOOKUP(Sales[[#This Row],[Product ID]],Product[#All],7,0)</f>
        <v>33340</v>
      </c>
      <c r="I614" s="165">
        <f>Sales[[#This Row],[Selling Rate]]*Sales[[#This Row],[Qty]]</f>
        <v>166700</v>
      </c>
      <c r="J614" s="45">
        <v>0</v>
      </c>
      <c r="K614" s="46">
        <f>Sales[[#This Row],[Gross Amount]]*Sales[[#This Row],[Disc %]]</f>
        <v>0</v>
      </c>
      <c r="L614" s="43">
        <v>0.18</v>
      </c>
      <c r="M614" s="46">
        <f>(Sales[[#This Row],[Gross Amount]]-Sales[[#This Row],[Disc. Amt.]])*Sales[[#This Row],[GST %]]</f>
        <v>30006</v>
      </c>
      <c r="N614" s="161">
        <f>Sales[[#This Row],[Gross Amount]]-Sales[[#This Row],[Disc. Amt.]]+Sales[[#This Row],[GST Amount]]</f>
        <v>196706</v>
      </c>
      <c r="O614" s="34" t="s">
        <v>8876</v>
      </c>
      <c r="P614" s="34" t="s">
        <v>3562</v>
      </c>
      <c r="Q614" s="165">
        <f>IF(Sales[[#This Row],[Status]]="Cancelled",0,Sales[[#This Row],[Qty]])</f>
        <v>5</v>
      </c>
      <c r="R614" s="166">
        <f>IF(Sales[[#This Row],[Status]]="Cancelled",0,Sales[[#This Row],[Total Amount]])</f>
        <v>196706</v>
      </c>
      <c r="S614" s="162">
        <f>SUM(Sales[Net Amount])</f>
        <v>406839287.73200053</v>
      </c>
    </row>
    <row r="615" spans="1:19" ht="18.75" x14ac:dyDescent="0.25">
      <c r="A615" s="156" t="s">
        <v>4190</v>
      </c>
      <c r="B615" s="157">
        <v>45809</v>
      </c>
      <c r="C615" s="158" t="s">
        <v>807</v>
      </c>
      <c r="D615" s="159" t="str">
        <f>VLOOKUP(Sales[[#This Row],[Customer ID]],Customer[#All],2,0)</f>
        <v>Rakesh Patel</v>
      </c>
      <c r="E615" s="158" t="s">
        <v>353</v>
      </c>
      <c r="F615" s="158" t="str">
        <f>VLOOKUP(Sales[[#This Row],[Product ID]],Product[#All],2,0)</f>
        <v>HP Desktop</v>
      </c>
      <c r="G615" s="159">
        <v>5</v>
      </c>
      <c r="H615" s="160">
        <f>VLOOKUP(Sales[[#This Row],[Product ID]],Product[#All],7,0)</f>
        <v>60910</v>
      </c>
      <c r="I615" s="160">
        <f>Sales[[#This Row],[Selling Rate]]*Sales[[#This Row],[Qty]]</f>
        <v>304550</v>
      </c>
      <c r="J615" s="43">
        <v>0.12</v>
      </c>
      <c r="K615" s="44">
        <f>Sales[[#This Row],[Gross Amount]]*Sales[[#This Row],[Disc %]]</f>
        <v>36546</v>
      </c>
      <c r="L615" s="43">
        <v>0.18</v>
      </c>
      <c r="M615" s="44">
        <f>(Sales[[#This Row],[Gross Amount]]-Sales[[#This Row],[Disc. Amt.]])*Sales[[#This Row],[GST %]]</f>
        <v>48240.72</v>
      </c>
      <c r="N615" s="161">
        <f>Sales[[#This Row],[Gross Amount]]-Sales[[#This Row],[Disc. Amt.]]+Sales[[#This Row],[GST Amount]]</f>
        <v>316244.71999999997</v>
      </c>
      <c r="O615" s="158" t="s">
        <v>3566</v>
      </c>
      <c r="P615" s="158" t="s">
        <v>3562</v>
      </c>
      <c r="Q615" s="160">
        <f>IF(Sales[[#This Row],[Status]]="Cancelled",0,Sales[[#This Row],[Qty]])</f>
        <v>5</v>
      </c>
      <c r="R615" s="161">
        <f>IF(Sales[[#This Row],[Status]]="Cancelled",0,Sales[[#This Row],[Total Amount]])</f>
        <v>316244.71999999997</v>
      </c>
      <c r="S615" s="162">
        <f>SUM(Sales[Net Amount])</f>
        <v>406839287.73200053</v>
      </c>
    </row>
    <row r="616" spans="1:19" ht="18.75" x14ac:dyDescent="0.25">
      <c r="A616" s="163" t="s">
        <v>4191</v>
      </c>
      <c r="B616" s="164">
        <v>45809</v>
      </c>
      <c r="C616" s="34" t="s">
        <v>877</v>
      </c>
      <c r="D616" s="53" t="str">
        <f>VLOOKUP(Sales[[#This Row],[Customer ID]],Customer[#All],2,0)</f>
        <v>Sahil Patel</v>
      </c>
      <c r="E616" s="34" t="s">
        <v>120</v>
      </c>
      <c r="F616" s="34" t="str">
        <f>VLOOKUP(Sales[[#This Row],[Product ID]],Product[#All],2,0)</f>
        <v>Boat Speaker</v>
      </c>
      <c r="G616" s="53">
        <v>3</v>
      </c>
      <c r="H616" s="165">
        <f>VLOOKUP(Sales[[#This Row],[Product ID]],Product[#All],7,0)</f>
        <v>6610</v>
      </c>
      <c r="I616" s="165">
        <f>Sales[[#This Row],[Selling Rate]]*Sales[[#This Row],[Qty]]</f>
        <v>19830</v>
      </c>
      <c r="J616" s="45">
        <v>0.02</v>
      </c>
      <c r="K616" s="46">
        <f>Sales[[#This Row],[Gross Amount]]*Sales[[#This Row],[Disc %]]</f>
        <v>396.6</v>
      </c>
      <c r="L616" s="43">
        <v>0.18</v>
      </c>
      <c r="M616" s="46">
        <f>(Sales[[#This Row],[Gross Amount]]-Sales[[#This Row],[Disc. Amt.]])*Sales[[#This Row],[GST %]]</f>
        <v>3498.0120000000002</v>
      </c>
      <c r="N616" s="161">
        <f>Sales[[#This Row],[Gross Amount]]-Sales[[#This Row],[Disc. Amt.]]+Sales[[#This Row],[GST Amount]]</f>
        <v>22931.412</v>
      </c>
      <c r="O616" s="34" t="s">
        <v>8876</v>
      </c>
      <c r="P616" s="34" t="s">
        <v>3562</v>
      </c>
      <c r="Q616" s="165">
        <f>IF(Sales[[#This Row],[Status]]="Cancelled",0,Sales[[#This Row],[Qty]])</f>
        <v>3</v>
      </c>
      <c r="R616" s="166">
        <f>IF(Sales[[#This Row],[Status]]="Cancelled",0,Sales[[#This Row],[Total Amount]])</f>
        <v>22931.412</v>
      </c>
      <c r="S616" s="162">
        <f>SUM(Sales[Net Amount])</f>
        <v>406839287.73200053</v>
      </c>
    </row>
    <row r="617" spans="1:19" ht="18.75" x14ac:dyDescent="0.25">
      <c r="A617" s="156" t="s">
        <v>4192</v>
      </c>
      <c r="B617" s="157">
        <v>45810</v>
      </c>
      <c r="C617" s="158" t="s">
        <v>727</v>
      </c>
      <c r="D617" s="159" t="str">
        <f>VLOOKUP(Sales[[#This Row],[Customer ID]],Customer[#All],2,0)</f>
        <v>Sahil Sharma</v>
      </c>
      <c r="E617" s="158" t="s">
        <v>301</v>
      </c>
      <c r="F617" s="158" t="str">
        <f>VLOOKUP(Sales[[#This Row],[Product ID]],Product[#All],2,0)</f>
        <v>Logitech Keyboard</v>
      </c>
      <c r="G617" s="159">
        <v>2</v>
      </c>
      <c r="H617" s="160">
        <f>VLOOKUP(Sales[[#This Row],[Product ID]],Product[#All],7,0)</f>
        <v>1100</v>
      </c>
      <c r="I617" s="160">
        <f>Sales[[#This Row],[Selling Rate]]*Sales[[#This Row],[Qty]]</f>
        <v>2200</v>
      </c>
      <c r="J617" s="43">
        <v>0.12</v>
      </c>
      <c r="K617" s="44">
        <f>Sales[[#This Row],[Gross Amount]]*Sales[[#This Row],[Disc %]]</f>
        <v>264</v>
      </c>
      <c r="L617" s="43">
        <v>0.18</v>
      </c>
      <c r="M617" s="44">
        <f>(Sales[[#This Row],[Gross Amount]]-Sales[[#This Row],[Disc. Amt.]])*Sales[[#This Row],[GST %]]</f>
        <v>348.47999999999996</v>
      </c>
      <c r="N617" s="161">
        <f>Sales[[#This Row],[Gross Amount]]-Sales[[#This Row],[Disc. Amt.]]+Sales[[#This Row],[GST Amount]]</f>
        <v>2284.48</v>
      </c>
      <c r="O617" s="158" t="s">
        <v>8876</v>
      </c>
      <c r="P617" s="158" t="s">
        <v>3562</v>
      </c>
      <c r="Q617" s="160">
        <f>IF(Sales[[#This Row],[Status]]="Cancelled",0,Sales[[#This Row],[Qty]])</f>
        <v>2</v>
      </c>
      <c r="R617" s="161">
        <f>IF(Sales[[#This Row],[Status]]="Cancelled",0,Sales[[#This Row],[Total Amount]])</f>
        <v>2284.48</v>
      </c>
      <c r="S617" s="162">
        <f>SUM(Sales[Net Amount])</f>
        <v>406839287.73200053</v>
      </c>
    </row>
    <row r="618" spans="1:19" ht="18.75" x14ac:dyDescent="0.25">
      <c r="A618" s="163" t="s">
        <v>4193</v>
      </c>
      <c r="B618" s="164">
        <v>45810</v>
      </c>
      <c r="C618" s="34" t="s">
        <v>795</v>
      </c>
      <c r="D618" s="53" t="str">
        <f>VLOOKUP(Sales[[#This Row],[Customer ID]],Customer[#All],2,0)</f>
        <v>Sahil Gupta</v>
      </c>
      <c r="E618" s="34" t="s">
        <v>259</v>
      </c>
      <c r="F618" s="34" t="str">
        <f>VLOOKUP(Sales[[#This Row],[Product ID]],Product[#All],2,0)</f>
        <v>Lg Monitor</v>
      </c>
      <c r="G618" s="53">
        <v>6</v>
      </c>
      <c r="H618" s="165">
        <f>VLOOKUP(Sales[[#This Row],[Product ID]],Product[#All],7,0)</f>
        <v>28600</v>
      </c>
      <c r="I618" s="165">
        <f>Sales[[#This Row],[Selling Rate]]*Sales[[#This Row],[Qty]]</f>
        <v>171600</v>
      </c>
      <c r="J618" s="45">
        <v>0.05</v>
      </c>
      <c r="K618" s="46">
        <f>Sales[[#This Row],[Gross Amount]]*Sales[[#This Row],[Disc %]]</f>
        <v>8580</v>
      </c>
      <c r="L618" s="43">
        <v>0.18</v>
      </c>
      <c r="M618" s="46">
        <f>(Sales[[#This Row],[Gross Amount]]-Sales[[#This Row],[Disc. Amt.]])*Sales[[#This Row],[GST %]]</f>
        <v>29343.599999999999</v>
      </c>
      <c r="N618" s="161">
        <f>Sales[[#This Row],[Gross Amount]]-Sales[[#This Row],[Disc. Amt.]]+Sales[[#This Row],[GST Amount]]</f>
        <v>192363.6</v>
      </c>
      <c r="O618" s="34" t="s">
        <v>3566</v>
      </c>
      <c r="P618" s="34" t="s">
        <v>3562</v>
      </c>
      <c r="Q618" s="165">
        <f>IF(Sales[[#This Row],[Status]]="Cancelled",0,Sales[[#This Row],[Qty]])</f>
        <v>6</v>
      </c>
      <c r="R618" s="166">
        <f>IF(Sales[[#This Row],[Status]]="Cancelled",0,Sales[[#This Row],[Total Amount]])</f>
        <v>192363.6</v>
      </c>
      <c r="S618" s="162">
        <f>SUM(Sales[Net Amount])</f>
        <v>406839287.73200053</v>
      </c>
    </row>
    <row r="619" spans="1:19" ht="18.75" x14ac:dyDescent="0.25">
      <c r="A619" s="156" t="s">
        <v>4194</v>
      </c>
      <c r="B619" s="157">
        <v>45810</v>
      </c>
      <c r="C619" s="158" t="s">
        <v>891</v>
      </c>
      <c r="D619" s="159" t="str">
        <f>VLOOKUP(Sales[[#This Row],[Customer ID]],Customer[#All],2,0)</f>
        <v>Pooja Verma</v>
      </c>
      <c r="E619" s="158" t="s">
        <v>61</v>
      </c>
      <c r="F619" s="158" t="str">
        <f>VLOOKUP(Sales[[#This Row],[Product ID]],Product[#All],2,0)</f>
        <v>Boat Headset</v>
      </c>
      <c r="G619" s="159">
        <v>7</v>
      </c>
      <c r="H619" s="160">
        <f>VLOOKUP(Sales[[#This Row],[Product ID]],Product[#All],7,0)</f>
        <v>3570</v>
      </c>
      <c r="I619" s="160">
        <f>Sales[[#This Row],[Selling Rate]]*Sales[[#This Row],[Qty]]</f>
        <v>24990</v>
      </c>
      <c r="J619" s="43">
        <v>0.1</v>
      </c>
      <c r="K619" s="44">
        <f>Sales[[#This Row],[Gross Amount]]*Sales[[#This Row],[Disc %]]</f>
        <v>2499</v>
      </c>
      <c r="L619" s="43">
        <v>0.18</v>
      </c>
      <c r="M619" s="44">
        <f>(Sales[[#This Row],[Gross Amount]]-Sales[[#This Row],[Disc. Amt.]])*Sales[[#This Row],[GST %]]</f>
        <v>4048.3799999999997</v>
      </c>
      <c r="N619" s="161">
        <f>Sales[[#This Row],[Gross Amount]]-Sales[[#This Row],[Disc. Amt.]]+Sales[[#This Row],[GST Amount]]</f>
        <v>26539.38</v>
      </c>
      <c r="O619" s="158" t="s">
        <v>3566</v>
      </c>
      <c r="P619" s="158" t="s">
        <v>3562</v>
      </c>
      <c r="Q619" s="160">
        <f>IF(Sales[[#This Row],[Status]]="Cancelled",0,Sales[[#This Row],[Qty]])</f>
        <v>7</v>
      </c>
      <c r="R619" s="161">
        <f>IF(Sales[[#This Row],[Status]]="Cancelled",0,Sales[[#This Row],[Total Amount]])</f>
        <v>26539.38</v>
      </c>
      <c r="S619" s="162">
        <f>SUM(Sales[Net Amount])</f>
        <v>406839287.73200053</v>
      </c>
    </row>
    <row r="620" spans="1:19" ht="18.75" x14ac:dyDescent="0.25">
      <c r="A620" s="163" t="s">
        <v>4195</v>
      </c>
      <c r="B620" s="164">
        <v>45810</v>
      </c>
      <c r="C620" s="34" t="s">
        <v>844</v>
      </c>
      <c r="D620" s="53" t="str">
        <f>VLOOKUP(Sales[[#This Row],[Customer ID]],Customer[#All],2,0)</f>
        <v>Rahul Sharma</v>
      </c>
      <c r="E620" s="34" t="s">
        <v>259</v>
      </c>
      <c r="F620" s="34" t="str">
        <f>VLOOKUP(Sales[[#This Row],[Product ID]],Product[#All],2,0)</f>
        <v>Lg Monitor</v>
      </c>
      <c r="G620" s="53">
        <v>6</v>
      </c>
      <c r="H620" s="165">
        <f>VLOOKUP(Sales[[#This Row],[Product ID]],Product[#All],7,0)</f>
        <v>28600</v>
      </c>
      <c r="I620" s="165">
        <f>Sales[[#This Row],[Selling Rate]]*Sales[[#This Row],[Qty]]</f>
        <v>171600</v>
      </c>
      <c r="J620" s="45">
        <v>0.05</v>
      </c>
      <c r="K620" s="46">
        <f>Sales[[#This Row],[Gross Amount]]*Sales[[#This Row],[Disc %]]</f>
        <v>8580</v>
      </c>
      <c r="L620" s="43">
        <v>0.18</v>
      </c>
      <c r="M620" s="46">
        <f>(Sales[[#This Row],[Gross Amount]]-Sales[[#This Row],[Disc. Amt.]])*Sales[[#This Row],[GST %]]</f>
        <v>29343.599999999999</v>
      </c>
      <c r="N620" s="161">
        <f>Sales[[#This Row],[Gross Amount]]-Sales[[#This Row],[Disc. Amt.]]+Sales[[#This Row],[GST Amount]]</f>
        <v>192363.6</v>
      </c>
      <c r="O620" s="34" t="s">
        <v>8876</v>
      </c>
      <c r="P620" s="34" t="s">
        <v>3562</v>
      </c>
      <c r="Q620" s="165">
        <f>IF(Sales[[#This Row],[Status]]="Cancelled",0,Sales[[#This Row],[Qty]])</f>
        <v>6</v>
      </c>
      <c r="R620" s="166">
        <f>IF(Sales[[#This Row],[Status]]="Cancelled",0,Sales[[#This Row],[Total Amount]])</f>
        <v>192363.6</v>
      </c>
      <c r="S620" s="162">
        <f>SUM(Sales[Net Amount])</f>
        <v>406839287.73200053</v>
      </c>
    </row>
    <row r="621" spans="1:19" ht="18.75" x14ac:dyDescent="0.25">
      <c r="A621" s="156" t="s">
        <v>4196</v>
      </c>
      <c r="B621" s="157">
        <v>45810</v>
      </c>
      <c r="C621" s="158" t="s">
        <v>951</v>
      </c>
      <c r="D621" s="159" t="str">
        <f>VLOOKUP(Sales[[#This Row],[Customer ID]],Customer[#All],2,0)</f>
        <v>Rahul Singh</v>
      </c>
      <c r="E621" s="158" t="s">
        <v>476</v>
      </c>
      <c r="F621" s="158" t="str">
        <f>VLOOKUP(Sales[[#This Row],[Product ID]],Product[#All],2,0)</f>
        <v>Sandisk Pen Drive</v>
      </c>
      <c r="G621" s="159">
        <v>8</v>
      </c>
      <c r="H621" s="160">
        <f>VLOOKUP(Sales[[#This Row],[Product ID]],Product[#All],7,0)</f>
        <v>650</v>
      </c>
      <c r="I621" s="160">
        <f>Sales[[#This Row],[Selling Rate]]*Sales[[#This Row],[Qty]]</f>
        <v>5200</v>
      </c>
      <c r="J621" s="43">
        <v>0.1</v>
      </c>
      <c r="K621" s="44">
        <f>Sales[[#This Row],[Gross Amount]]*Sales[[#This Row],[Disc %]]</f>
        <v>520</v>
      </c>
      <c r="L621" s="43">
        <v>0.18</v>
      </c>
      <c r="M621" s="44">
        <f>(Sales[[#This Row],[Gross Amount]]-Sales[[#This Row],[Disc. Amt.]])*Sales[[#This Row],[GST %]]</f>
        <v>842.4</v>
      </c>
      <c r="N621" s="161">
        <f>Sales[[#This Row],[Gross Amount]]-Sales[[#This Row],[Disc. Amt.]]+Sales[[#This Row],[GST Amount]]</f>
        <v>5522.4</v>
      </c>
      <c r="O621" s="158" t="s">
        <v>3569</v>
      </c>
      <c r="P621" s="158" t="s">
        <v>3562</v>
      </c>
      <c r="Q621" s="160">
        <f>IF(Sales[[#This Row],[Status]]="Cancelled",0,Sales[[#This Row],[Qty]])</f>
        <v>8</v>
      </c>
      <c r="R621" s="161">
        <f>IF(Sales[[#This Row],[Status]]="Cancelled",0,Sales[[#This Row],[Total Amount]])</f>
        <v>5522.4</v>
      </c>
      <c r="S621" s="162">
        <f>SUM(Sales[Net Amount])</f>
        <v>406839287.73200053</v>
      </c>
    </row>
    <row r="622" spans="1:19" ht="18.75" x14ac:dyDescent="0.25">
      <c r="A622" s="163" t="s">
        <v>4197</v>
      </c>
      <c r="B622" s="164">
        <v>45810</v>
      </c>
      <c r="C622" s="34" t="s">
        <v>732</v>
      </c>
      <c r="D622" s="53" t="str">
        <f>VLOOKUP(Sales[[#This Row],[Customer ID]],Customer[#All],2,0)</f>
        <v>Sunita Gupta</v>
      </c>
      <c r="E622" s="34" t="s">
        <v>251</v>
      </c>
      <c r="F622" s="34" t="str">
        <f>VLOOKUP(Sales[[#This Row],[Product ID]],Product[#All],2,0)</f>
        <v>Corsair Ram</v>
      </c>
      <c r="G622" s="53">
        <v>4</v>
      </c>
      <c r="H622" s="165">
        <f>VLOOKUP(Sales[[#This Row],[Product ID]],Product[#All],7,0)</f>
        <v>2890</v>
      </c>
      <c r="I622" s="165">
        <f>Sales[[#This Row],[Selling Rate]]*Sales[[#This Row],[Qty]]</f>
        <v>11560</v>
      </c>
      <c r="J622" s="45">
        <v>0.05</v>
      </c>
      <c r="K622" s="46">
        <f>Sales[[#This Row],[Gross Amount]]*Sales[[#This Row],[Disc %]]</f>
        <v>578</v>
      </c>
      <c r="L622" s="43">
        <v>0.18</v>
      </c>
      <c r="M622" s="46">
        <f>(Sales[[#This Row],[Gross Amount]]-Sales[[#This Row],[Disc. Amt.]])*Sales[[#This Row],[GST %]]</f>
        <v>1976.76</v>
      </c>
      <c r="N622" s="161">
        <f>Sales[[#This Row],[Gross Amount]]-Sales[[#This Row],[Disc. Amt.]]+Sales[[#This Row],[GST Amount]]</f>
        <v>12958.76</v>
      </c>
      <c r="O622" s="34" t="s">
        <v>3569</v>
      </c>
      <c r="P622" s="34" t="s">
        <v>3562</v>
      </c>
      <c r="Q622" s="165">
        <f>IF(Sales[[#This Row],[Status]]="Cancelled",0,Sales[[#This Row],[Qty]])</f>
        <v>4</v>
      </c>
      <c r="R622" s="166">
        <f>IF(Sales[[#This Row],[Status]]="Cancelled",0,Sales[[#This Row],[Total Amount]])</f>
        <v>12958.76</v>
      </c>
      <c r="S622" s="162">
        <f>SUM(Sales[Net Amount])</f>
        <v>406839287.73200053</v>
      </c>
    </row>
    <row r="623" spans="1:19" ht="18.75" x14ac:dyDescent="0.25">
      <c r="A623" s="156" t="s">
        <v>4198</v>
      </c>
      <c r="B623" s="157">
        <v>45810</v>
      </c>
      <c r="C623" s="158" t="s">
        <v>846</v>
      </c>
      <c r="D623" s="159" t="str">
        <f>VLOOKUP(Sales[[#This Row],[Customer ID]],Customer[#All],2,0)</f>
        <v>Ankit Patel</v>
      </c>
      <c r="E623" s="158" t="s">
        <v>525</v>
      </c>
      <c r="F623" s="158" t="str">
        <f>VLOOKUP(Sales[[#This Row],[Product ID]],Product[#All],2,0)</f>
        <v>TP-link Wi-Fi Adapter</v>
      </c>
      <c r="G623" s="159">
        <v>8</v>
      </c>
      <c r="H623" s="160">
        <f>VLOOKUP(Sales[[#This Row],[Product ID]],Product[#All],7,0)</f>
        <v>1910</v>
      </c>
      <c r="I623" s="160">
        <f>Sales[[#This Row],[Selling Rate]]*Sales[[#This Row],[Qty]]</f>
        <v>15280</v>
      </c>
      <c r="J623" s="43">
        <v>0.15</v>
      </c>
      <c r="K623" s="44">
        <f>Sales[[#This Row],[Gross Amount]]*Sales[[#This Row],[Disc %]]</f>
        <v>2292</v>
      </c>
      <c r="L623" s="43">
        <v>0.18</v>
      </c>
      <c r="M623" s="44">
        <f>(Sales[[#This Row],[Gross Amount]]-Sales[[#This Row],[Disc. Amt.]])*Sales[[#This Row],[GST %]]</f>
        <v>2337.8399999999997</v>
      </c>
      <c r="N623" s="161">
        <f>Sales[[#This Row],[Gross Amount]]-Sales[[#This Row],[Disc. Amt.]]+Sales[[#This Row],[GST Amount]]</f>
        <v>15325.84</v>
      </c>
      <c r="O623" s="158" t="s">
        <v>8876</v>
      </c>
      <c r="P623" s="158" t="s">
        <v>3562</v>
      </c>
      <c r="Q623" s="160">
        <f>IF(Sales[[#This Row],[Status]]="Cancelled",0,Sales[[#This Row],[Qty]])</f>
        <v>8</v>
      </c>
      <c r="R623" s="161">
        <f>IF(Sales[[#This Row],[Status]]="Cancelled",0,Sales[[#This Row],[Total Amount]])</f>
        <v>15325.84</v>
      </c>
      <c r="S623" s="162">
        <f>SUM(Sales[Net Amount])</f>
        <v>406839287.73200053</v>
      </c>
    </row>
    <row r="624" spans="1:19" ht="18.75" x14ac:dyDescent="0.25">
      <c r="A624" s="163" t="s">
        <v>4199</v>
      </c>
      <c r="B624" s="164">
        <v>45810</v>
      </c>
      <c r="C624" s="34" t="s">
        <v>4200</v>
      </c>
      <c r="D624" s="53" t="str">
        <f>VLOOKUP(Sales[[#This Row],[Customer ID]],Customer[#All],2,0)</f>
        <v>Neha Gupta</v>
      </c>
      <c r="E624" s="34" t="s">
        <v>318</v>
      </c>
      <c r="F624" s="34" t="str">
        <f>VLOOKUP(Sales[[#This Row],[Product ID]],Product[#All],2,0)</f>
        <v>HP Printer</v>
      </c>
      <c r="G624" s="53">
        <v>7</v>
      </c>
      <c r="H624" s="165">
        <f>VLOOKUP(Sales[[#This Row],[Product ID]],Product[#All],7,0)</f>
        <v>30590</v>
      </c>
      <c r="I624" s="165">
        <f>Sales[[#This Row],[Selling Rate]]*Sales[[#This Row],[Qty]]</f>
        <v>214130</v>
      </c>
      <c r="J624" s="45">
        <v>0.12</v>
      </c>
      <c r="K624" s="46">
        <f>Sales[[#This Row],[Gross Amount]]*Sales[[#This Row],[Disc %]]</f>
        <v>25695.599999999999</v>
      </c>
      <c r="L624" s="43">
        <v>0.18</v>
      </c>
      <c r="M624" s="46">
        <f>(Sales[[#This Row],[Gross Amount]]-Sales[[#This Row],[Disc. Amt.]])*Sales[[#This Row],[GST %]]</f>
        <v>33918.191999999995</v>
      </c>
      <c r="N624" s="161">
        <f>Sales[[#This Row],[Gross Amount]]-Sales[[#This Row],[Disc. Amt.]]+Sales[[#This Row],[GST Amount]]</f>
        <v>222352.592</v>
      </c>
      <c r="O624" s="34" t="s">
        <v>3569</v>
      </c>
      <c r="P624" s="34" t="s">
        <v>3562</v>
      </c>
      <c r="Q624" s="165">
        <f>IF(Sales[[#This Row],[Status]]="Cancelled",0,Sales[[#This Row],[Qty]])</f>
        <v>7</v>
      </c>
      <c r="R624" s="166">
        <f>IF(Sales[[#This Row],[Status]]="Cancelled",0,Sales[[#This Row],[Total Amount]])</f>
        <v>222352.592</v>
      </c>
      <c r="S624" s="162">
        <f>SUM(Sales[Net Amount])</f>
        <v>406839287.73200053</v>
      </c>
    </row>
    <row r="625" spans="1:19" ht="18.75" x14ac:dyDescent="0.25">
      <c r="A625" s="156" t="s">
        <v>4201</v>
      </c>
      <c r="B625" s="157">
        <v>45810</v>
      </c>
      <c r="C625" s="158" t="s">
        <v>891</v>
      </c>
      <c r="D625" s="159" t="str">
        <f>VLOOKUP(Sales[[#This Row],[Customer ID]],Customer[#All],2,0)</f>
        <v>Pooja Verma</v>
      </c>
      <c r="E625" s="158" t="s">
        <v>351</v>
      </c>
      <c r="F625" s="158" t="str">
        <f>VLOOKUP(Sales[[#This Row],[Product ID]],Product[#All],2,0)</f>
        <v>Logitech Mouse</v>
      </c>
      <c r="G625" s="159">
        <v>8</v>
      </c>
      <c r="H625" s="160">
        <f>VLOOKUP(Sales[[#This Row],[Product ID]],Product[#All],7,0)</f>
        <v>2130</v>
      </c>
      <c r="I625" s="160">
        <f>Sales[[#This Row],[Selling Rate]]*Sales[[#This Row],[Qty]]</f>
        <v>17040</v>
      </c>
      <c r="J625" s="43">
        <v>0.05</v>
      </c>
      <c r="K625" s="44">
        <f>Sales[[#This Row],[Gross Amount]]*Sales[[#This Row],[Disc %]]</f>
        <v>852</v>
      </c>
      <c r="L625" s="43">
        <v>0.18</v>
      </c>
      <c r="M625" s="44">
        <f>(Sales[[#This Row],[Gross Amount]]-Sales[[#This Row],[Disc. Amt.]])*Sales[[#This Row],[GST %]]</f>
        <v>2913.8399999999997</v>
      </c>
      <c r="N625" s="161">
        <f>Sales[[#This Row],[Gross Amount]]-Sales[[#This Row],[Disc. Amt.]]+Sales[[#This Row],[GST Amount]]</f>
        <v>19101.84</v>
      </c>
      <c r="O625" s="158" t="s">
        <v>3566</v>
      </c>
      <c r="P625" s="158" t="s">
        <v>3562</v>
      </c>
      <c r="Q625" s="160">
        <f>IF(Sales[[#This Row],[Status]]="Cancelled",0,Sales[[#This Row],[Qty]])</f>
        <v>8</v>
      </c>
      <c r="R625" s="161">
        <f>IF(Sales[[#This Row],[Status]]="Cancelled",0,Sales[[#This Row],[Total Amount]])</f>
        <v>19101.84</v>
      </c>
      <c r="S625" s="162">
        <f>SUM(Sales[Net Amount])</f>
        <v>406839287.73200053</v>
      </c>
    </row>
    <row r="626" spans="1:19" ht="18.75" x14ac:dyDescent="0.25">
      <c r="A626" s="163" t="s">
        <v>4202</v>
      </c>
      <c r="B626" s="164">
        <v>45810</v>
      </c>
      <c r="C626" s="34" t="s">
        <v>676</v>
      </c>
      <c r="D626" s="53" t="str">
        <f>VLOOKUP(Sales[[#This Row],[Customer ID]],Customer[#All],2,0)</f>
        <v>Neha Singh</v>
      </c>
      <c r="E626" s="34" t="s">
        <v>35</v>
      </c>
      <c r="F626" s="34" t="str">
        <f>VLOOKUP(Sales[[#This Row],[Product ID]],Product[#All],2,0)</f>
        <v>Dell Keyboard</v>
      </c>
      <c r="G626" s="53">
        <v>6</v>
      </c>
      <c r="H626" s="165">
        <f>VLOOKUP(Sales[[#This Row],[Product ID]],Product[#All],7,0)</f>
        <v>3560</v>
      </c>
      <c r="I626" s="165">
        <f>Sales[[#This Row],[Selling Rate]]*Sales[[#This Row],[Qty]]</f>
        <v>21360</v>
      </c>
      <c r="J626" s="45">
        <v>0.12</v>
      </c>
      <c r="K626" s="46">
        <f>Sales[[#This Row],[Gross Amount]]*Sales[[#This Row],[Disc %]]</f>
        <v>2563.1999999999998</v>
      </c>
      <c r="L626" s="43">
        <v>0.18</v>
      </c>
      <c r="M626" s="46">
        <f>(Sales[[#This Row],[Gross Amount]]-Sales[[#This Row],[Disc. Amt.]])*Sales[[#This Row],[GST %]]</f>
        <v>3383.4239999999995</v>
      </c>
      <c r="N626" s="161">
        <f>Sales[[#This Row],[Gross Amount]]-Sales[[#This Row],[Disc. Amt.]]+Sales[[#This Row],[GST Amount]]</f>
        <v>22180.223999999998</v>
      </c>
      <c r="O626" s="34" t="s">
        <v>3566</v>
      </c>
      <c r="P626" s="34" t="s">
        <v>3562</v>
      </c>
      <c r="Q626" s="165">
        <f>IF(Sales[[#This Row],[Status]]="Cancelled",0,Sales[[#This Row],[Qty]])</f>
        <v>6</v>
      </c>
      <c r="R626" s="166">
        <f>IF(Sales[[#This Row],[Status]]="Cancelled",0,Sales[[#This Row],[Total Amount]])</f>
        <v>22180.223999999998</v>
      </c>
      <c r="S626" s="162">
        <f>SUM(Sales[Net Amount])</f>
        <v>406839287.73200053</v>
      </c>
    </row>
    <row r="627" spans="1:19" ht="18.75" x14ac:dyDescent="0.25">
      <c r="A627" s="156" t="s">
        <v>4203</v>
      </c>
      <c r="B627" s="157">
        <v>45810</v>
      </c>
      <c r="C627" s="158" t="s">
        <v>774</v>
      </c>
      <c r="D627" s="159" t="str">
        <f>VLOOKUP(Sales[[#This Row],[Customer ID]],Customer[#All],2,0)</f>
        <v>Vikas Patel</v>
      </c>
      <c r="E627" s="158" t="s">
        <v>290</v>
      </c>
      <c r="F627" s="158" t="str">
        <f>VLOOKUP(Sales[[#This Row],[Product ID]],Product[#All],2,0)</f>
        <v>Crucial Ssd</v>
      </c>
      <c r="G627" s="159">
        <v>5</v>
      </c>
      <c r="H627" s="160">
        <f>VLOOKUP(Sales[[#This Row],[Product ID]],Product[#All],7,0)</f>
        <v>7650</v>
      </c>
      <c r="I627" s="160">
        <f>Sales[[#This Row],[Selling Rate]]*Sales[[#This Row],[Qty]]</f>
        <v>38250</v>
      </c>
      <c r="J627" s="43">
        <v>0.02</v>
      </c>
      <c r="K627" s="44">
        <f>Sales[[#This Row],[Gross Amount]]*Sales[[#This Row],[Disc %]]</f>
        <v>765</v>
      </c>
      <c r="L627" s="43">
        <v>0.18</v>
      </c>
      <c r="M627" s="44">
        <f>(Sales[[#This Row],[Gross Amount]]-Sales[[#This Row],[Disc. Amt.]])*Sales[[#This Row],[GST %]]</f>
        <v>6747.3</v>
      </c>
      <c r="N627" s="161">
        <f>Sales[[#This Row],[Gross Amount]]-Sales[[#This Row],[Disc. Amt.]]+Sales[[#This Row],[GST Amount]]</f>
        <v>44232.3</v>
      </c>
      <c r="O627" s="158" t="s">
        <v>3569</v>
      </c>
      <c r="P627" s="158" t="s">
        <v>3562</v>
      </c>
      <c r="Q627" s="160">
        <f>IF(Sales[[#This Row],[Status]]="Cancelled",0,Sales[[#This Row],[Qty]])</f>
        <v>5</v>
      </c>
      <c r="R627" s="161">
        <f>IF(Sales[[#This Row],[Status]]="Cancelled",0,Sales[[#This Row],[Total Amount]])</f>
        <v>44232.3</v>
      </c>
      <c r="S627" s="162">
        <f>SUM(Sales[Net Amount])</f>
        <v>406839287.73200053</v>
      </c>
    </row>
    <row r="628" spans="1:19" ht="18.75" x14ac:dyDescent="0.25">
      <c r="A628" s="163" t="s">
        <v>4204</v>
      </c>
      <c r="B628" s="164">
        <v>45810</v>
      </c>
      <c r="C628" s="34" t="s">
        <v>705</v>
      </c>
      <c r="D628" s="53" t="str">
        <f>VLOOKUP(Sales[[#This Row],[Customer ID]],Customer[#All],2,0)</f>
        <v>Priya Verma</v>
      </c>
      <c r="E628" s="34" t="s">
        <v>476</v>
      </c>
      <c r="F628" s="34" t="str">
        <f>VLOOKUP(Sales[[#This Row],[Product ID]],Product[#All],2,0)</f>
        <v>Sandisk Pen Drive</v>
      </c>
      <c r="G628" s="53">
        <v>6</v>
      </c>
      <c r="H628" s="165">
        <f>VLOOKUP(Sales[[#This Row],[Product ID]],Product[#All],7,0)</f>
        <v>650</v>
      </c>
      <c r="I628" s="165">
        <f>Sales[[#This Row],[Selling Rate]]*Sales[[#This Row],[Qty]]</f>
        <v>3900</v>
      </c>
      <c r="J628" s="45">
        <v>0.05</v>
      </c>
      <c r="K628" s="46">
        <f>Sales[[#This Row],[Gross Amount]]*Sales[[#This Row],[Disc %]]</f>
        <v>195</v>
      </c>
      <c r="L628" s="43">
        <v>0.18</v>
      </c>
      <c r="M628" s="46">
        <f>(Sales[[#This Row],[Gross Amount]]-Sales[[#This Row],[Disc. Amt.]])*Sales[[#This Row],[GST %]]</f>
        <v>666.9</v>
      </c>
      <c r="N628" s="161">
        <f>Sales[[#This Row],[Gross Amount]]-Sales[[#This Row],[Disc. Amt.]]+Sales[[#This Row],[GST Amount]]</f>
        <v>4371.8999999999996</v>
      </c>
      <c r="O628" s="34" t="s">
        <v>8876</v>
      </c>
      <c r="P628" s="34" t="s">
        <v>3562</v>
      </c>
      <c r="Q628" s="165">
        <f>IF(Sales[[#This Row],[Status]]="Cancelled",0,Sales[[#This Row],[Qty]])</f>
        <v>6</v>
      </c>
      <c r="R628" s="166">
        <f>IF(Sales[[#This Row],[Status]]="Cancelled",0,Sales[[#This Row],[Total Amount]])</f>
        <v>4371.8999999999996</v>
      </c>
      <c r="S628" s="162">
        <f>SUM(Sales[Net Amount])</f>
        <v>406839287.73200053</v>
      </c>
    </row>
    <row r="629" spans="1:19" ht="18.75" x14ac:dyDescent="0.25">
      <c r="A629" s="156" t="s">
        <v>4205</v>
      </c>
      <c r="B629" s="157">
        <v>45810</v>
      </c>
      <c r="C629" s="158" t="s">
        <v>832</v>
      </c>
      <c r="D629" s="159" t="str">
        <f>VLOOKUP(Sales[[#This Row],[Customer ID]],Customer[#All],2,0)</f>
        <v>Vikas Sharma</v>
      </c>
      <c r="E629" s="158" t="s">
        <v>288</v>
      </c>
      <c r="F629" s="158" t="str">
        <f>VLOOKUP(Sales[[#This Row],[Product ID]],Product[#All],2,0)</f>
        <v>Canon Printer</v>
      </c>
      <c r="G629" s="159">
        <v>3</v>
      </c>
      <c r="H629" s="160">
        <f>VLOOKUP(Sales[[#This Row],[Product ID]],Product[#All],7,0)</f>
        <v>41150</v>
      </c>
      <c r="I629" s="160">
        <f>Sales[[#This Row],[Selling Rate]]*Sales[[#This Row],[Qty]]</f>
        <v>123450</v>
      </c>
      <c r="J629" s="43">
        <v>0.05</v>
      </c>
      <c r="K629" s="44">
        <f>Sales[[#This Row],[Gross Amount]]*Sales[[#This Row],[Disc %]]</f>
        <v>6172.5</v>
      </c>
      <c r="L629" s="43">
        <v>0.18</v>
      </c>
      <c r="M629" s="44">
        <f>(Sales[[#This Row],[Gross Amount]]-Sales[[#This Row],[Disc. Amt.]])*Sales[[#This Row],[GST %]]</f>
        <v>21109.95</v>
      </c>
      <c r="N629" s="161">
        <f>Sales[[#This Row],[Gross Amount]]-Sales[[#This Row],[Disc. Amt.]]+Sales[[#This Row],[GST Amount]]</f>
        <v>138387.45000000001</v>
      </c>
      <c r="O629" s="158" t="s">
        <v>8876</v>
      </c>
      <c r="P629" s="158" t="s">
        <v>3562</v>
      </c>
      <c r="Q629" s="160">
        <f>IF(Sales[[#This Row],[Status]]="Cancelled",0,Sales[[#This Row],[Qty]])</f>
        <v>3</v>
      </c>
      <c r="R629" s="161">
        <f>IF(Sales[[#This Row],[Status]]="Cancelled",0,Sales[[#This Row],[Total Amount]])</f>
        <v>138387.45000000001</v>
      </c>
      <c r="S629" s="162">
        <f>SUM(Sales[Net Amount])</f>
        <v>406839287.73200053</v>
      </c>
    </row>
    <row r="630" spans="1:19" ht="18.75" x14ac:dyDescent="0.25">
      <c r="A630" s="163" t="s">
        <v>4206</v>
      </c>
      <c r="B630" s="164">
        <v>45810</v>
      </c>
      <c r="C630" s="34" t="s">
        <v>690</v>
      </c>
      <c r="D630" s="53" t="str">
        <f>VLOOKUP(Sales[[#This Row],[Customer ID]],Customer[#All],2,0)</f>
        <v>Priya Patel</v>
      </c>
      <c r="E630" s="34" t="s">
        <v>153</v>
      </c>
      <c r="F630" s="34" t="str">
        <f>VLOOKUP(Sales[[#This Row],[Product ID]],Product[#All],2,0)</f>
        <v>HP Mouse</v>
      </c>
      <c r="G630" s="53">
        <v>6</v>
      </c>
      <c r="H630" s="165">
        <f>VLOOKUP(Sales[[#This Row],[Product ID]],Product[#All],7,0)</f>
        <v>1070</v>
      </c>
      <c r="I630" s="165">
        <f>Sales[[#This Row],[Selling Rate]]*Sales[[#This Row],[Qty]]</f>
        <v>6420</v>
      </c>
      <c r="J630" s="45">
        <v>0</v>
      </c>
      <c r="K630" s="46">
        <f>Sales[[#This Row],[Gross Amount]]*Sales[[#This Row],[Disc %]]</f>
        <v>0</v>
      </c>
      <c r="L630" s="43">
        <v>0.18</v>
      </c>
      <c r="M630" s="46">
        <f>(Sales[[#This Row],[Gross Amount]]-Sales[[#This Row],[Disc. Amt.]])*Sales[[#This Row],[GST %]]</f>
        <v>1155.5999999999999</v>
      </c>
      <c r="N630" s="161">
        <f>Sales[[#This Row],[Gross Amount]]-Sales[[#This Row],[Disc. Amt.]]+Sales[[#This Row],[GST Amount]]</f>
        <v>7575.6</v>
      </c>
      <c r="O630" s="34" t="s">
        <v>8876</v>
      </c>
      <c r="P630" s="34" t="s">
        <v>3562</v>
      </c>
      <c r="Q630" s="165">
        <f>IF(Sales[[#This Row],[Status]]="Cancelled",0,Sales[[#This Row],[Qty]])</f>
        <v>6</v>
      </c>
      <c r="R630" s="166">
        <f>IF(Sales[[#This Row],[Status]]="Cancelled",0,Sales[[#This Row],[Total Amount]])</f>
        <v>7575.6</v>
      </c>
      <c r="S630" s="162">
        <f>SUM(Sales[Net Amount])</f>
        <v>406839287.73200053</v>
      </c>
    </row>
    <row r="631" spans="1:19" ht="18.75" x14ac:dyDescent="0.25">
      <c r="A631" s="156" t="s">
        <v>4207</v>
      </c>
      <c r="B631" s="157">
        <v>45810</v>
      </c>
      <c r="C631" s="158" t="s">
        <v>784</v>
      </c>
      <c r="D631" s="159" t="str">
        <f>VLOOKUP(Sales[[#This Row],[Customer ID]],Customer[#All],2,0)</f>
        <v>Amit Kumar</v>
      </c>
      <c r="E631" s="158" t="s">
        <v>500</v>
      </c>
      <c r="F631" s="158" t="str">
        <f>VLOOKUP(Sales[[#This Row],[Product ID]],Product[#All],2,0)</f>
        <v>HP Power Adapter</v>
      </c>
      <c r="G631" s="159">
        <v>8</v>
      </c>
      <c r="H631" s="160">
        <f>VLOOKUP(Sales[[#This Row],[Product ID]],Product[#All],7,0)</f>
        <v>3160</v>
      </c>
      <c r="I631" s="160">
        <f>Sales[[#This Row],[Selling Rate]]*Sales[[#This Row],[Qty]]</f>
        <v>25280</v>
      </c>
      <c r="J631" s="43">
        <v>0.02</v>
      </c>
      <c r="K631" s="44">
        <f>Sales[[#This Row],[Gross Amount]]*Sales[[#This Row],[Disc %]]</f>
        <v>505.6</v>
      </c>
      <c r="L631" s="43">
        <v>0.18</v>
      </c>
      <c r="M631" s="44">
        <f>(Sales[[#This Row],[Gross Amount]]-Sales[[#This Row],[Disc. Amt.]])*Sales[[#This Row],[GST %]]</f>
        <v>4459.3919999999998</v>
      </c>
      <c r="N631" s="161">
        <f>Sales[[#This Row],[Gross Amount]]-Sales[[#This Row],[Disc. Amt.]]+Sales[[#This Row],[GST Amount]]</f>
        <v>29233.792000000001</v>
      </c>
      <c r="O631" s="158" t="s">
        <v>3569</v>
      </c>
      <c r="P631" s="158" t="s">
        <v>3562</v>
      </c>
      <c r="Q631" s="160">
        <f>IF(Sales[[#This Row],[Status]]="Cancelled",0,Sales[[#This Row],[Qty]])</f>
        <v>8</v>
      </c>
      <c r="R631" s="161">
        <f>IF(Sales[[#This Row],[Status]]="Cancelled",0,Sales[[#This Row],[Total Amount]])</f>
        <v>29233.792000000001</v>
      </c>
      <c r="S631" s="162">
        <f>SUM(Sales[Net Amount])</f>
        <v>406839287.73200053</v>
      </c>
    </row>
    <row r="632" spans="1:19" ht="18.75" x14ac:dyDescent="0.25">
      <c r="A632" s="163" t="s">
        <v>4208</v>
      </c>
      <c r="B632" s="164">
        <v>45810</v>
      </c>
      <c r="C632" s="34" t="s">
        <v>858</v>
      </c>
      <c r="D632" s="53" t="str">
        <f>VLOOKUP(Sales[[#This Row],[Customer ID]],Customer[#All],2,0)</f>
        <v>Neha Sharma</v>
      </c>
      <c r="E632" s="34" t="s">
        <v>76</v>
      </c>
      <c r="F632" s="34" t="str">
        <f>VLOOKUP(Sales[[#This Row],[Product ID]],Product[#All],2,0)</f>
        <v>Dell Keyboard</v>
      </c>
      <c r="G632" s="53">
        <v>3</v>
      </c>
      <c r="H632" s="165">
        <f>VLOOKUP(Sales[[#This Row],[Product ID]],Product[#All],7,0)</f>
        <v>1740</v>
      </c>
      <c r="I632" s="165">
        <f>Sales[[#This Row],[Selling Rate]]*Sales[[#This Row],[Qty]]</f>
        <v>5220</v>
      </c>
      <c r="J632" s="45">
        <v>0.05</v>
      </c>
      <c r="K632" s="46">
        <f>Sales[[#This Row],[Gross Amount]]*Sales[[#This Row],[Disc %]]</f>
        <v>261</v>
      </c>
      <c r="L632" s="43">
        <v>0.18</v>
      </c>
      <c r="M632" s="46">
        <f>(Sales[[#This Row],[Gross Amount]]-Sales[[#This Row],[Disc. Amt.]])*Sales[[#This Row],[GST %]]</f>
        <v>892.62</v>
      </c>
      <c r="N632" s="161">
        <f>Sales[[#This Row],[Gross Amount]]-Sales[[#This Row],[Disc. Amt.]]+Sales[[#This Row],[GST Amount]]</f>
        <v>5851.62</v>
      </c>
      <c r="O632" s="34" t="s">
        <v>3569</v>
      </c>
      <c r="P632" s="34" t="s">
        <v>3562</v>
      </c>
      <c r="Q632" s="165">
        <f>IF(Sales[[#This Row],[Status]]="Cancelled",0,Sales[[#This Row],[Qty]])</f>
        <v>3</v>
      </c>
      <c r="R632" s="166">
        <f>IF(Sales[[#This Row],[Status]]="Cancelled",0,Sales[[#This Row],[Total Amount]])</f>
        <v>5851.62</v>
      </c>
      <c r="S632" s="162">
        <f>SUM(Sales[Net Amount])</f>
        <v>406839287.73200053</v>
      </c>
    </row>
    <row r="633" spans="1:19" ht="18.75" x14ac:dyDescent="0.25">
      <c r="A633" s="156" t="s">
        <v>4209</v>
      </c>
      <c r="B633" s="157">
        <v>45811</v>
      </c>
      <c r="C633" s="158" t="s">
        <v>948</v>
      </c>
      <c r="D633" s="159" t="str">
        <f>VLOOKUP(Sales[[#This Row],[Customer ID]],Customer[#All],2,0)</f>
        <v>Pooja Patel</v>
      </c>
      <c r="E633" s="158" t="s">
        <v>396</v>
      </c>
      <c r="F633" s="158" t="str">
        <f>VLOOKUP(Sales[[#This Row],[Product ID]],Product[#All],2,0)</f>
        <v>HP Laptop</v>
      </c>
      <c r="G633" s="159">
        <v>3</v>
      </c>
      <c r="H633" s="160">
        <f>VLOOKUP(Sales[[#This Row],[Product ID]],Product[#All],7,0)</f>
        <v>77100</v>
      </c>
      <c r="I633" s="160">
        <f>Sales[[#This Row],[Selling Rate]]*Sales[[#This Row],[Qty]]</f>
        <v>231300</v>
      </c>
      <c r="J633" s="43">
        <v>0.15</v>
      </c>
      <c r="K633" s="44">
        <f>Sales[[#This Row],[Gross Amount]]*Sales[[#This Row],[Disc %]]</f>
        <v>34695</v>
      </c>
      <c r="L633" s="43">
        <v>0.18</v>
      </c>
      <c r="M633" s="44">
        <f>(Sales[[#This Row],[Gross Amount]]-Sales[[#This Row],[Disc. Amt.]])*Sales[[#This Row],[GST %]]</f>
        <v>35388.9</v>
      </c>
      <c r="N633" s="161">
        <f>Sales[[#This Row],[Gross Amount]]-Sales[[#This Row],[Disc. Amt.]]+Sales[[#This Row],[GST Amount]]</f>
        <v>231993.9</v>
      </c>
      <c r="O633" s="158" t="s">
        <v>3561</v>
      </c>
      <c r="P633" s="158" t="s">
        <v>3562</v>
      </c>
      <c r="Q633" s="160">
        <f>IF(Sales[[#This Row],[Status]]="Cancelled",0,Sales[[#This Row],[Qty]])</f>
        <v>3</v>
      </c>
      <c r="R633" s="161">
        <f>IF(Sales[[#This Row],[Status]]="Cancelled",0,Sales[[#This Row],[Total Amount]])</f>
        <v>231993.9</v>
      </c>
      <c r="S633" s="162">
        <f>SUM(Sales[Net Amount])</f>
        <v>406839287.73200053</v>
      </c>
    </row>
    <row r="634" spans="1:19" ht="18.75" x14ac:dyDescent="0.25">
      <c r="A634" s="163" t="s">
        <v>4210</v>
      </c>
      <c r="B634" s="164">
        <v>45811</v>
      </c>
      <c r="C634" s="34" t="s">
        <v>802</v>
      </c>
      <c r="D634" s="53" t="str">
        <f>VLOOKUP(Sales[[#This Row],[Customer ID]],Customer[#All],2,0)</f>
        <v>Rakesh Patel</v>
      </c>
      <c r="E634" s="34" t="s">
        <v>227</v>
      </c>
      <c r="F634" s="34" t="str">
        <f>VLOOKUP(Sales[[#This Row],[Product ID]],Product[#All],2,0)</f>
        <v>Corsair Ram</v>
      </c>
      <c r="G634" s="53">
        <v>6</v>
      </c>
      <c r="H634" s="165">
        <f>VLOOKUP(Sales[[#This Row],[Product ID]],Product[#All],7,0)</f>
        <v>14420</v>
      </c>
      <c r="I634" s="165">
        <f>Sales[[#This Row],[Selling Rate]]*Sales[[#This Row],[Qty]]</f>
        <v>86520</v>
      </c>
      <c r="J634" s="45">
        <v>0.02</v>
      </c>
      <c r="K634" s="46">
        <f>Sales[[#This Row],[Gross Amount]]*Sales[[#This Row],[Disc %]]</f>
        <v>1730.4</v>
      </c>
      <c r="L634" s="43">
        <v>0.18</v>
      </c>
      <c r="M634" s="46">
        <f>(Sales[[#This Row],[Gross Amount]]-Sales[[#This Row],[Disc. Amt.]])*Sales[[#This Row],[GST %]]</f>
        <v>15262.128000000001</v>
      </c>
      <c r="N634" s="161">
        <f>Sales[[#This Row],[Gross Amount]]-Sales[[#This Row],[Disc. Amt.]]+Sales[[#This Row],[GST Amount]]</f>
        <v>100051.728</v>
      </c>
      <c r="O634" s="34" t="s">
        <v>3566</v>
      </c>
      <c r="P634" s="34" t="s">
        <v>3562</v>
      </c>
      <c r="Q634" s="165">
        <f>IF(Sales[[#This Row],[Status]]="Cancelled",0,Sales[[#This Row],[Qty]])</f>
        <v>6</v>
      </c>
      <c r="R634" s="166">
        <f>IF(Sales[[#This Row],[Status]]="Cancelled",0,Sales[[#This Row],[Total Amount]])</f>
        <v>100051.728</v>
      </c>
      <c r="S634" s="162">
        <f>SUM(Sales[Net Amount])</f>
        <v>406839287.73200053</v>
      </c>
    </row>
    <row r="635" spans="1:19" ht="18.75" x14ac:dyDescent="0.25">
      <c r="A635" s="156" t="s">
        <v>4211</v>
      </c>
      <c r="B635" s="157">
        <v>45811</v>
      </c>
      <c r="C635" s="158" t="s">
        <v>906</v>
      </c>
      <c r="D635" s="159" t="str">
        <f>VLOOKUP(Sales[[#This Row],[Customer ID]],Customer[#All],2,0)</f>
        <v>Ankit Sharma</v>
      </c>
      <c r="E635" s="158" t="s">
        <v>343</v>
      </c>
      <c r="F635" s="158" t="str">
        <f>VLOOKUP(Sales[[#This Row],[Product ID]],Product[#All],2,0)</f>
        <v>Portronics USB Cable</v>
      </c>
      <c r="G635" s="159">
        <v>8</v>
      </c>
      <c r="H635" s="160">
        <f>VLOOKUP(Sales[[#This Row],[Product ID]],Product[#All],7,0)</f>
        <v>780</v>
      </c>
      <c r="I635" s="160">
        <f>Sales[[#This Row],[Selling Rate]]*Sales[[#This Row],[Qty]]</f>
        <v>6240</v>
      </c>
      <c r="J635" s="43">
        <v>0.02</v>
      </c>
      <c r="K635" s="44">
        <f>Sales[[#This Row],[Gross Amount]]*Sales[[#This Row],[Disc %]]</f>
        <v>124.8</v>
      </c>
      <c r="L635" s="43">
        <v>0.18</v>
      </c>
      <c r="M635" s="44">
        <f>(Sales[[#This Row],[Gross Amount]]-Sales[[#This Row],[Disc. Amt.]])*Sales[[#This Row],[GST %]]</f>
        <v>1100.7359999999999</v>
      </c>
      <c r="N635" s="161">
        <f>Sales[[#This Row],[Gross Amount]]-Sales[[#This Row],[Disc. Amt.]]+Sales[[#This Row],[GST Amount]]</f>
        <v>7215.9359999999997</v>
      </c>
      <c r="O635" s="158" t="s">
        <v>3569</v>
      </c>
      <c r="P635" s="158" t="s">
        <v>3562</v>
      </c>
      <c r="Q635" s="160">
        <f>IF(Sales[[#This Row],[Status]]="Cancelled",0,Sales[[#This Row],[Qty]])</f>
        <v>8</v>
      </c>
      <c r="R635" s="161">
        <f>IF(Sales[[#This Row],[Status]]="Cancelled",0,Sales[[#This Row],[Total Amount]])</f>
        <v>7215.9359999999997</v>
      </c>
      <c r="S635" s="162">
        <f>SUM(Sales[Net Amount])</f>
        <v>406839287.73200053</v>
      </c>
    </row>
    <row r="636" spans="1:19" ht="18.75" x14ac:dyDescent="0.25">
      <c r="A636" s="163" t="s">
        <v>4212</v>
      </c>
      <c r="B636" s="164">
        <v>45811</v>
      </c>
      <c r="C636" s="34" t="s">
        <v>946</v>
      </c>
      <c r="D636" s="53" t="str">
        <f>VLOOKUP(Sales[[#This Row],[Customer ID]],Customer[#All],2,0)</f>
        <v>Priya Patel</v>
      </c>
      <c r="E636" s="34" t="s">
        <v>178</v>
      </c>
      <c r="F636" s="34" t="str">
        <f>VLOOKUP(Sales[[#This Row],[Product ID]],Product[#All],2,0)</f>
        <v>Kingston Ram</v>
      </c>
      <c r="G636" s="53">
        <v>5</v>
      </c>
      <c r="H636" s="165">
        <f>VLOOKUP(Sales[[#This Row],[Product ID]],Product[#All],7,0)</f>
        <v>9770</v>
      </c>
      <c r="I636" s="165">
        <f>Sales[[#This Row],[Selling Rate]]*Sales[[#This Row],[Qty]]</f>
        <v>48850</v>
      </c>
      <c r="J636" s="45">
        <v>0</v>
      </c>
      <c r="K636" s="46">
        <f>Sales[[#This Row],[Gross Amount]]*Sales[[#This Row],[Disc %]]</f>
        <v>0</v>
      </c>
      <c r="L636" s="43">
        <v>0.18</v>
      </c>
      <c r="M636" s="46">
        <f>(Sales[[#This Row],[Gross Amount]]-Sales[[#This Row],[Disc. Amt.]])*Sales[[#This Row],[GST %]]</f>
        <v>8793</v>
      </c>
      <c r="N636" s="161">
        <f>Sales[[#This Row],[Gross Amount]]-Sales[[#This Row],[Disc. Amt.]]+Sales[[#This Row],[GST Amount]]</f>
        <v>57643</v>
      </c>
      <c r="O636" s="34" t="s">
        <v>3569</v>
      </c>
      <c r="P636" s="34" t="s">
        <v>3562</v>
      </c>
      <c r="Q636" s="165">
        <f>IF(Sales[[#This Row],[Status]]="Cancelled",0,Sales[[#This Row],[Qty]])</f>
        <v>5</v>
      </c>
      <c r="R636" s="166">
        <f>IF(Sales[[#This Row],[Status]]="Cancelled",0,Sales[[#This Row],[Total Amount]])</f>
        <v>57643</v>
      </c>
      <c r="S636" s="162">
        <f>SUM(Sales[Net Amount])</f>
        <v>406839287.73200053</v>
      </c>
    </row>
    <row r="637" spans="1:19" ht="18.75" x14ac:dyDescent="0.25">
      <c r="A637" s="156" t="s">
        <v>4213</v>
      </c>
      <c r="B637" s="157">
        <v>45811</v>
      </c>
      <c r="C637" s="158" t="s">
        <v>862</v>
      </c>
      <c r="D637" s="159" t="str">
        <f>VLOOKUP(Sales[[#This Row],[Customer ID]],Customer[#All],2,0)</f>
        <v>Rakesh Sharma</v>
      </c>
      <c r="E637" s="158" t="s">
        <v>321</v>
      </c>
      <c r="F637" s="158" t="str">
        <f>VLOOKUP(Sales[[#This Row],[Product ID]],Product[#All],2,0)</f>
        <v>WD HDD</v>
      </c>
      <c r="G637" s="159">
        <v>5</v>
      </c>
      <c r="H637" s="160">
        <f>VLOOKUP(Sales[[#This Row],[Product ID]],Product[#All],7,0)</f>
        <v>6810</v>
      </c>
      <c r="I637" s="160">
        <f>Sales[[#This Row],[Selling Rate]]*Sales[[#This Row],[Qty]]</f>
        <v>34050</v>
      </c>
      <c r="J637" s="43">
        <v>0.12</v>
      </c>
      <c r="K637" s="44">
        <f>Sales[[#This Row],[Gross Amount]]*Sales[[#This Row],[Disc %]]</f>
        <v>4086</v>
      </c>
      <c r="L637" s="43">
        <v>0.18</v>
      </c>
      <c r="M637" s="44">
        <f>(Sales[[#This Row],[Gross Amount]]-Sales[[#This Row],[Disc. Amt.]])*Sales[[#This Row],[GST %]]</f>
        <v>5393.5199999999995</v>
      </c>
      <c r="N637" s="161">
        <f>Sales[[#This Row],[Gross Amount]]-Sales[[#This Row],[Disc. Amt.]]+Sales[[#This Row],[GST Amount]]</f>
        <v>35357.519999999997</v>
      </c>
      <c r="O637" s="158" t="s">
        <v>3561</v>
      </c>
      <c r="P637" s="158" t="s">
        <v>3562</v>
      </c>
      <c r="Q637" s="160">
        <f>IF(Sales[[#This Row],[Status]]="Cancelled",0,Sales[[#This Row],[Qty]])</f>
        <v>5</v>
      </c>
      <c r="R637" s="161">
        <f>IF(Sales[[#This Row],[Status]]="Cancelled",0,Sales[[#This Row],[Total Amount]])</f>
        <v>35357.519999999997</v>
      </c>
      <c r="S637" s="162">
        <f>SUM(Sales[Net Amount])</f>
        <v>406839287.73200053</v>
      </c>
    </row>
    <row r="638" spans="1:19" ht="18.75" x14ac:dyDescent="0.25">
      <c r="A638" s="163" t="s">
        <v>4214</v>
      </c>
      <c r="B638" s="164">
        <v>45811</v>
      </c>
      <c r="C638" s="34" t="s">
        <v>4215</v>
      </c>
      <c r="D638" s="53" t="str">
        <f>VLOOKUP(Sales[[#This Row],[Customer ID]],Customer[#All],2,0)</f>
        <v>Sahil Verma</v>
      </c>
      <c r="E638" s="34" t="s">
        <v>552</v>
      </c>
      <c r="F638" s="34" t="str">
        <f>VLOOKUP(Sales[[#This Row],[Product ID]],Product[#All],2,0)</f>
        <v>American TouristerLaptopBag</v>
      </c>
      <c r="G638" s="53">
        <v>1</v>
      </c>
      <c r="H638" s="165">
        <f>VLOOKUP(Sales[[#This Row],[Product ID]],Product[#All],7,0)</f>
        <v>5080</v>
      </c>
      <c r="I638" s="165">
        <f>Sales[[#This Row],[Selling Rate]]*Sales[[#This Row],[Qty]]</f>
        <v>5080</v>
      </c>
      <c r="J638" s="45">
        <v>0.02</v>
      </c>
      <c r="K638" s="46">
        <f>Sales[[#This Row],[Gross Amount]]*Sales[[#This Row],[Disc %]]</f>
        <v>101.60000000000001</v>
      </c>
      <c r="L638" s="43">
        <v>0.18</v>
      </c>
      <c r="M638" s="46">
        <f>(Sales[[#This Row],[Gross Amount]]-Sales[[#This Row],[Disc. Amt.]])*Sales[[#This Row],[GST %]]</f>
        <v>896.11199999999985</v>
      </c>
      <c r="N638" s="161">
        <f>Sales[[#This Row],[Gross Amount]]-Sales[[#This Row],[Disc. Amt.]]+Sales[[#This Row],[GST Amount]]</f>
        <v>5874.5119999999997</v>
      </c>
      <c r="O638" s="34" t="s">
        <v>8876</v>
      </c>
      <c r="P638" s="34" t="s">
        <v>3562</v>
      </c>
      <c r="Q638" s="165">
        <f>IF(Sales[[#This Row],[Status]]="Cancelled",0,Sales[[#This Row],[Qty]])</f>
        <v>1</v>
      </c>
      <c r="R638" s="166">
        <f>IF(Sales[[#This Row],[Status]]="Cancelled",0,Sales[[#This Row],[Total Amount]])</f>
        <v>5874.5119999999997</v>
      </c>
      <c r="S638" s="162">
        <f>SUM(Sales[Net Amount])</f>
        <v>406839287.73200053</v>
      </c>
    </row>
    <row r="639" spans="1:19" ht="18.75" x14ac:dyDescent="0.25">
      <c r="A639" s="156" t="s">
        <v>4216</v>
      </c>
      <c r="B639" s="157">
        <v>45811</v>
      </c>
      <c r="C639" s="158" t="s">
        <v>772</v>
      </c>
      <c r="D639" s="159" t="str">
        <f>VLOOKUP(Sales[[#This Row],[Customer ID]],Customer[#All],2,0)</f>
        <v>Rahul Patel</v>
      </c>
      <c r="E639" s="158" t="s">
        <v>214</v>
      </c>
      <c r="F639" s="158" t="str">
        <f>VLOOKUP(Sales[[#This Row],[Product ID]],Product[#All],2,0)</f>
        <v>Microtek UPS</v>
      </c>
      <c r="G639" s="159">
        <v>4</v>
      </c>
      <c r="H639" s="160">
        <f>VLOOKUP(Sales[[#This Row],[Product ID]],Product[#All],7,0)</f>
        <v>10710</v>
      </c>
      <c r="I639" s="160">
        <f>Sales[[#This Row],[Selling Rate]]*Sales[[#This Row],[Qty]]</f>
        <v>42840</v>
      </c>
      <c r="J639" s="43">
        <v>0.05</v>
      </c>
      <c r="K639" s="44">
        <f>Sales[[#This Row],[Gross Amount]]*Sales[[#This Row],[Disc %]]</f>
        <v>2142</v>
      </c>
      <c r="L639" s="43">
        <v>0.18</v>
      </c>
      <c r="M639" s="44">
        <f>(Sales[[#This Row],[Gross Amount]]-Sales[[#This Row],[Disc. Amt.]])*Sales[[#This Row],[GST %]]</f>
        <v>7325.6399999999994</v>
      </c>
      <c r="N639" s="161">
        <f>Sales[[#This Row],[Gross Amount]]-Sales[[#This Row],[Disc. Amt.]]+Sales[[#This Row],[GST Amount]]</f>
        <v>48023.64</v>
      </c>
      <c r="O639" s="158" t="s">
        <v>3566</v>
      </c>
      <c r="P639" s="158" t="s">
        <v>3562</v>
      </c>
      <c r="Q639" s="160">
        <f>IF(Sales[[#This Row],[Status]]="Cancelled",0,Sales[[#This Row],[Qty]])</f>
        <v>4</v>
      </c>
      <c r="R639" s="161">
        <f>IF(Sales[[#This Row],[Status]]="Cancelled",0,Sales[[#This Row],[Total Amount]])</f>
        <v>48023.64</v>
      </c>
      <c r="S639" s="162">
        <f>SUM(Sales[Net Amount])</f>
        <v>406839287.73200053</v>
      </c>
    </row>
    <row r="640" spans="1:19" ht="18.75" x14ac:dyDescent="0.25">
      <c r="A640" s="163" t="s">
        <v>4217</v>
      </c>
      <c r="B640" s="164">
        <v>45811</v>
      </c>
      <c r="C640" s="34" t="s">
        <v>866</v>
      </c>
      <c r="D640" s="53" t="str">
        <f>VLOOKUP(Sales[[#This Row],[Customer ID]],Customer[#All],2,0)</f>
        <v>Priya Patel</v>
      </c>
      <c r="E640" s="34" t="s">
        <v>52</v>
      </c>
      <c r="F640" s="34" t="str">
        <f>VLOOKUP(Sales[[#This Row],[Product ID]],Product[#All],2,0)</f>
        <v>HP Power Adapter</v>
      </c>
      <c r="G640" s="53">
        <v>8</v>
      </c>
      <c r="H640" s="165">
        <f>VLOOKUP(Sales[[#This Row],[Product ID]],Product[#All],7,0)</f>
        <v>4510</v>
      </c>
      <c r="I640" s="165">
        <f>Sales[[#This Row],[Selling Rate]]*Sales[[#This Row],[Qty]]</f>
        <v>36080</v>
      </c>
      <c r="J640" s="45">
        <v>0</v>
      </c>
      <c r="K640" s="46">
        <f>Sales[[#This Row],[Gross Amount]]*Sales[[#This Row],[Disc %]]</f>
        <v>0</v>
      </c>
      <c r="L640" s="43">
        <v>0.18</v>
      </c>
      <c r="M640" s="46">
        <f>(Sales[[#This Row],[Gross Amount]]-Sales[[#This Row],[Disc. Amt.]])*Sales[[#This Row],[GST %]]</f>
        <v>6494.4</v>
      </c>
      <c r="N640" s="161">
        <f>Sales[[#This Row],[Gross Amount]]-Sales[[#This Row],[Disc. Amt.]]+Sales[[#This Row],[GST Amount]]</f>
        <v>42574.400000000001</v>
      </c>
      <c r="O640" s="34" t="s">
        <v>8876</v>
      </c>
      <c r="P640" s="34" t="s">
        <v>3562</v>
      </c>
      <c r="Q640" s="165">
        <f>IF(Sales[[#This Row],[Status]]="Cancelled",0,Sales[[#This Row],[Qty]])</f>
        <v>8</v>
      </c>
      <c r="R640" s="166">
        <f>IF(Sales[[#This Row],[Status]]="Cancelled",0,Sales[[#This Row],[Total Amount]])</f>
        <v>42574.400000000001</v>
      </c>
      <c r="S640" s="162">
        <f>SUM(Sales[Net Amount])</f>
        <v>406839287.73200053</v>
      </c>
    </row>
    <row r="641" spans="1:19" ht="18.75" x14ac:dyDescent="0.25">
      <c r="A641" s="156" t="s">
        <v>4218</v>
      </c>
      <c r="B641" s="157">
        <v>45811</v>
      </c>
      <c r="C641" s="158" t="s">
        <v>809</v>
      </c>
      <c r="D641" s="159" t="str">
        <f>VLOOKUP(Sales[[#This Row],[Customer ID]],Customer[#All],2,0)</f>
        <v>Priya Patel</v>
      </c>
      <c r="E641" s="158" t="s">
        <v>263</v>
      </c>
      <c r="F641" s="158" t="str">
        <f>VLOOKUP(Sales[[#This Row],[Product ID]],Product[#All],2,0)</f>
        <v>Amazon Basics Hdmi Cable</v>
      </c>
      <c r="G641" s="159">
        <v>6</v>
      </c>
      <c r="H641" s="160">
        <f>VLOOKUP(Sales[[#This Row],[Product ID]],Product[#All],7,0)</f>
        <v>770</v>
      </c>
      <c r="I641" s="160">
        <f>Sales[[#This Row],[Selling Rate]]*Sales[[#This Row],[Qty]]</f>
        <v>4620</v>
      </c>
      <c r="J641" s="43">
        <v>0.05</v>
      </c>
      <c r="K641" s="44">
        <f>Sales[[#This Row],[Gross Amount]]*Sales[[#This Row],[Disc %]]</f>
        <v>231</v>
      </c>
      <c r="L641" s="43">
        <v>0.18</v>
      </c>
      <c r="M641" s="44">
        <f>(Sales[[#This Row],[Gross Amount]]-Sales[[#This Row],[Disc. Amt.]])*Sales[[#This Row],[GST %]]</f>
        <v>790.02</v>
      </c>
      <c r="N641" s="161">
        <f>Sales[[#This Row],[Gross Amount]]-Sales[[#This Row],[Disc. Amt.]]+Sales[[#This Row],[GST Amount]]</f>
        <v>5179.0200000000004</v>
      </c>
      <c r="O641" s="158" t="s">
        <v>3561</v>
      </c>
      <c r="P641" s="158" t="s">
        <v>3562</v>
      </c>
      <c r="Q641" s="160">
        <f>IF(Sales[[#This Row],[Status]]="Cancelled",0,Sales[[#This Row],[Qty]])</f>
        <v>6</v>
      </c>
      <c r="R641" s="161">
        <f>IF(Sales[[#This Row],[Status]]="Cancelled",0,Sales[[#This Row],[Total Amount]])</f>
        <v>5179.0200000000004</v>
      </c>
      <c r="S641" s="162">
        <f>SUM(Sales[Net Amount])</f>
        <v>406839287.73200053</v>
      </c>
    </row>
    <row r="642" spans="1:19" ht="18.75" x14ac:dyDescent="0.25">
      <c r="A642" s="163" t="s">
        <v>4219</v>
      </c>
      <c r="B642" s="164">
        <v>45811</v>
      </c>
      <c r="C642" s="34" t="s">
        <v>734</v>
      </c>
      <c r="D642" s="53" t="str">
        <f>VLOOKUP(Sales[[#This Row],[Customer ID]],Customer[#All],2,0)</f>
        <v>Ankit Sharma</v>
      </c>
      <c r="E642" s="34" t="s">
        <v>172</v>
      </c>
      <c r="F642" s="34" t="str">
        <f>VLOOKUP(Sales[[#This Row],[Product ID]],Product[#All],2,0)</f>
        <v>Jbl Headset</v>
      </c>
      <c r="G642" s="53">
        <v>7</v>
      </c>
      <c r="H642" s="165">
        <f>VLOOKUP(Sales[[#This Row],[Product ID]],Product[#All],7,0)</f>
        <v>7300</v>
      </c>
      <c r="I642" s="165">
        <f>Sales[[#This Row],[Selling Rate]]*Sales[[#This Row],[Qty]]</f>
        <v>51100</v>
      </c>
      <c r="J642" s="45">
        <v>0.1</v>
      </c>
      <c r="K642" s="46">
        <f>Sales[[#This Row],[Gross Amount]]*Sales[[#This Row],[Disc %]]</f>
        <v>5110</v>
      </c>
      <c r="L642" s="43">
        <v>0.18</v>
      </c>
      <c r="M642" s="46">
        <f>(Sales[[#This Row],[Gross Amount]]-Sales[[#This Row],[Disc. Amt.]])*Sales[[#This Row],[GST %]]</f>
        <v>8278.1999999999989</v>
      </c>
      <c r="N642" s="161">
        <f>Sales[[#This Row],[Gross Amount]]-Sales[[#This Row],[Disc. Amt.]]+Sales[[#This Row],[GST Amount]]</f>
        <v>54268.2</v>
      </c>
      <c r="O642" s="34" t="s">
        <v>3569</v>
      </c>
      <c r="P642" s="34" t="s">
        <v>3562</v>
      </c>
      <c r="Q642" s="165">
        <f>IF(Sales[[#This Row],[Status]]="Cancelled",0,Sales[[#This Row],[Qty]])</f>
        <v>7</v>
      </c>
      <c r="R642" s="166">
        <f>IF(Sales[[#This Row],[Status]]="Cancelled",0,Sales[[#This Row],[Total Amount]])</f>
        <v>54268.2</v>
      </c>
      <c r="S642" s="162">
        <f>SUM(Sales[Net Amount])</f>
        <v>406839287.73200053</v>
      </c>
    </row>
    <row r="643" spans="1:19" ht="18.75" x14ac:dyDescent="0.25">
      <c r="A643" s="156" t="s">
        <v>4220</v>
      </c>
      <c r="B643" s="157">
        <v>45811</v>
      </c>
      <c r="C643" s="158" t="s">
        <v>912</v>
      </c>
      <c r="D643" s="159" t="str">
        <f>VLOOKUP(Sales[[#This Row],[Customer ID]],Customer[#All],2,0)</f>
        <v>Sunita Verma</v>
      </c>
      <c r="E643" s="158" t="s">
        <v>116</v>
      </c>
      <c r="F643" s="158" t="str">
        <f>VLOOKUP(Sales[[#This Row],[Product ID]],Product[#All],2,0)</f>
        <v>Epson Printer</v>
      </c>
      <c r="G643" s="159">
        <v>6</v>
      </c>
      <c r="H643" s="160">
        <f>VLOOKUP(Sales[[#This Row],[Product ID]],Product[#All],7,0)</f>
        <v>38550</v>
      </c>
      <c r="I643" s="160">
        <f>Sales[[#This Row],[Selling Rate]]*Sales[[#This Row],[Qty]]</f>
        <v>231300</v>
      </c>
      <c r="J643" s="43">
        <v>0.12</v>
      </c>
      <c r="K643" s="44">
        <f>Sales[[#This Row],[Gross Amount]]*Sales[[#This Row],[Disc %]]</f>
        <v>27756</v>
      </c>
      <c r="L643" s="43">
        <v>0.18</v>
      </c>
      <c r="M643" s="44">
        <f>(Sales[[#This Row],[Gross Amount]]-Sales[[#This Row],[Disc. Amt.]])*Sales[[#This Row],[GST %]]</f>
        <v>36637.919999999998</v>
      </c>
      <c r="N643" s="161">
        <f>Sales[[#This Row],[Gross Amount]]-Sales[[#This Row],[Disc. Amt.]]+Sales[[#This Row],[GST Amount]]</f>
        <v>240181.91999999998</v>
      </c>
      <c r="O643" s="158" t="s">
        <v>3566</v>
      </c>
      <c r="P643" s="158" t="s">
        <v>3562</v>
      </c>
      <c r="Q643" s="160">
        <f>IF(Sales[[#This Row],[Status]]="Cancelled",0,Sales[[#This Row],[Qty]])</f>
        <v>6</v>
      </c>
      <c r="R643" s="161">
        <f>IF(Sales[[#This Row],[Status]]="Cancelled",0,Sales[[#This Row],[Total Amount]])</f>
        <v>240181.91999999998</v>
      </c>
      <c r="S643" s="162">
        <f>SUM(Sales[Net Amount])</f>
        <v>406839287.73200053</v>
      </c>
    </row>
    <row r="644" spans="1:19" ht="18.75" x14ac:dyDescent="0.25">
      <c r="A644" s="163" t="s">
        <v>4221</v>
      </c>
      <c r="B644" s="164">
        <v>45811</v>
      </c>
      <c r="C644" s="34" t="s">
        <v>831</v>
      </c>
      <c r="D644" s="53" t="str">
        <f>VLOOKUP(Sales[[#This Row],[Customer ID]],Customer[#All],2,0)</f>
        <v>Vikas Gupta</v>
      </c>
      <c r="E644" s="34" t="s">
        <v>391</v>
      </c>
      <c r="F644" s="34" t="str">
        <f>VLOOKUP(Sales[[#This Row],[Product ID]],Product[#All],2,0)</f>
        <v>Seagate HDD</v>
      </c>
      <c r="G644" s="53">
        <v>4</v>
      </c>
      <c r="H644" s="165">
        <f>VLOOKUP(Sales[[#This Row],[Product ID]],Product[#All],7,0)</f>
        <v>10370</v>
      </c>
      <c r="I644" s="165">
        <f>Sales[[#This Row],[Selling Rate]]*Sales[[#This Row],[Qty]]</f>
        <v>41480</v>
      </c>
      <c r="J644" s="45">
        <v>0</v>
      </c>
      <c r="K644" s="46">
        <f>Sales[[#This Row],[Gross Amount]]*Sales[[#This Row],[Disc %]]</f>
        <v>0</v>
      </c>
      <c r="L644" s="43">
        <v>0.18</v>
      </c>
      <c r="M644" s="46">
        <f>(Sales[[#This Row],[Gross Amount]]-Sales[[#This Row],[Disc. Amt.]])*Sales[[#This Row],[GST %]]</f>
        <v>7466.4</v>
      </c>
      <c r="N644" s="161">
        <f>Sales[[#This Row],[Gross Amount]]-Sales[[#This Row],[Disc. Amt.]]+Sales[[#This Row],[GST Amount]]</f>
        <v>48946.400000000001</v>
      </c>
      <c r="O644" s="34" t="s">
        <v>3569</v>
      </c>
      <c r="P644" s="34" t="s">
        <v>3562</v>
      </c>
      <c r="Q644" s="165">
        <f>IF(Sales[[#This Row],[Status]]="Cancelled",0,Sales[[#This Row],[Qty]])</f>
        <v>4</v>
      </c>
      <c r="R644" s="166">
        <f>IF(Sales[[#This Row],[Status]]="Cancelled",0,Sales[[#This Row],[Total Amount]])</f>
        <v>48946.400000000001</v>
      </c>
      <c r="S644" s="162">
        <f>SUM(Sales[Net Amount])</f>
        <v>406839287.73200053</v>
      </c>
    </row>
    <row r="645" spans="1:19" ht="18.75" x14ac:dyDescent="0.25">
      <c r="A645" s="156" t="s">
        <v>4222</v>
      </c>
      <c r="B645" s="157">
        <v>45811</v>
      </c>
      <c r="C645" s="158" t="s">
        <v>705</v>
      </c>
      <c r="D645" s="159" t="str">
        <f>VLOOKUP(Sales[[#This Row],[Customer ID]],Customer[#All],2,0)</f>
        <v>Priya Verma</v>
      </c>
      <c r="E645" s="158" t="s">
        <v>159</v>
      </c>
      <c r="F645" s="158" t="str">
        <f>VLOOKUP(Sales[[#This Row],[Product ID]],Product[#All],2,0)</f>
        <v>HP Laptop</v>
      </c>
      <c r="G645" s="159">
        <v>6</v>
      </c>
      <c r="H645" s="160">
        <f>VLOOKUP(Sales[[#This Row],[Product ID]],Product[#All],7,0)</f>
        <v>90020</v>
      </c>
      <c r="I645" s="160">
        <f>Sales[[#This Row],[Selling Rate]]*Sales[[#This Row],[Qty]]</f>
        <v>540120</v>
      </c>
      <c r="J645" s="43">
        <v>0</v>
      </c>
      <c r="K645" s="44">
        <f>Sales[[#This Row],[Gross Amount]]*Sales[[#This Row],[Disc %]]</f>
        <v>0</v>
      </c>
      <c r="L645" s="43">
        <v>0.18</v>
      </c>
      <c r="M645" s="44">
        <f>(Sales[[#This Row],[Gross Amount]]-Sales[[#This Row],[Disc. Amt.]])*Sales[[#This Row],[GST %]]</f>
        <v>97221.599999999991</v>
      </c>
      <c r="N645" s="161">
        <f>Sales[[#This Row],[Gross Amount]]-Sales[[#This Row],[Disc. Amt.]]+Sales[[#This Row],[GST Amount]]</f>
        <v>637341.6</v>
      </c>
      <c r="O645" s="158" t="s">
        <v>8876</v>
      </c>
      <c r="P645" s="158" t="s">
        <v>3562</v>
      </c>
      <c r="Q645" s="160">
        <f>IF(Sales[[#This Row],[Status]]="Cancelled",0,Sales[[#This Row],[Qty]])</f>
        <v>6</v>
      </c>
      <c r="R645" s="161">
        <f>IF(Sales[[#This Row],[Status]]="Cancelled",0,Sales[[#This Row],[Total Amount]])</f>
        <v>637341.6</v>
      </c>
      <c r="S645" s="162">
        <f>SUM(Sales[Net Amount])</f>
        <v>406839287.73200053</v>
      </c>
    </row>
    <row r="646" spans="1:19" ht="18.75" x14ac:dyDescent="0.25">
      <c r="A646" s="163" t="s">
        <v>4223</v>
      </c>
      <c r="B646" s="164">
        <v>45812</v>
      </c>
      <c r="C646" s="34" t="s">
        <v>732</v>
      </c>
      <c r="D646" s="53" t="str">
        <f>VLOOKUP(Sales[[#This Row],[Customer ID]],Customer[#All],2,0)</f>
        <v>Sunita Gupta</v>
      </c>
      <c r="E646" s="34" t="s">
        <v>33</v>
      </c>
      <c r="F646" s="34" t="str">
        <f>VLOOKUP(Sales[[#This Row],[Product ID]],Product[#All],2,0)</f>
        <v>Samsung Monitor</v>
      </c>
      <c r="G646" s="53">
        <v>7</v>
      </c>
      <c r="H646" s="165">
        <f>VLOOKUP(Sales[[#This Row],[Product ID]],Product[#All],7,0)</f>
        <v>9840</v>
      </c>
      <c r="I646" s="165">
        <f>Sales[[#This Row],[Selling Rate]]*Sales[[#This Row],[Qty]]</f>
        <v>68880</v>
      </c>
      <c r="J646" s="45">
        <v>0.15</v>
      </c>
      <c r="K646" s="46">
        <f>Sales[[#This Row],[Gross Amount]]*Sales[[#This Row],[Disc %]]</f>
        <v>10332</v>
      </c>
      <c r="L646" s="43">
        <v>0.18</v>
      </c>
      <c r="M646" s="46">
        <f>(Sales[[#This Row],[Gross Amount]]-Sales[[#This Row],[Disc. Amt.]])*Sales[[#This Row],[GST %]]</f>
        <v>10538.64</v>
      </c>
      <c r="N646" s="161">
        <f>Sales[[#This Row],[Gross Amount]]-Sales[[#This Row],[Disc. Amt.]]+Sales[[#This Row],[GST Amount]]</f>
        <v>69086.64</v>
      </c>
      <c r="O646" s="34" t="s">
        <v>3561</v>
      </c>
      <c r="P646" s="34" t="s">
        <v>3562</v>
      </c>
      <c r="Q646" s="165">
        <f>IF(Sales[[#This Row],[Status]]="Cancelled",0,Sales[[#This Row],[Qty]])</f>
        <v>7</v>
      </c>
      <c r="R646" s="166">
        <f>IF(Sales[[#This Row],[Status]]="Cancelled",0,Sales[[#This Row],[Total Amount]])</f>
        <v>69086.64</v>
      </c>
      <c r="S646" s="162">
        <f>SUM(Sales[Net Amount])</f>
        <v>406839287.73200053</v>
      </c>
    </row>
    <row r="647" spans="1:19" ht="18.75" x14ac:dyDescent="0.25">
      <c r="A647" s="156" t="s">
        <v>4224</v>
      </c>
      <c r="B647" s="157">
        <v>45812</v>
      </c>
      <c r="C647" s="158" t="s">
        <v>783</v>
      </c>
      <c r="D647" s="159" t="str">
        <f>VLOOKUP(Sales[[#This Row],[Customer ID]],Customer[#All],2,0)</f>
        <v>Neha Singh</v>
      </c>
      <c r="E647" s="158" t="s">
        <v>526</v>
      </c>
      <c r="F647" s="158" t="str">
        <f>VLOOKUP(Sales[[#This Row],[Product ID]],Product[#All],2,0)</f>
        <v>American TouristerLaptopBag</v>
      </c>
      <c r="G647" s="159">
        <v>3</v>
      </c>
      <c r="H647" s="160">
        <f>VLOOKUP(Sales[[#This Row],[Product ID]],Product[#All],7,0)</f>
        <v>2280</v>
      </c>
      <c r="I647" s="160">
        <f>Sales[[#This Row],[Selling Rate]]*Sales[[#This Row],[Qty]]</f>
        <v>6840</v>
      </c>
      <c r="J647" s="43">
        <v>0</v>
      </c>
      <c r="K647" s="44">
        <f>Sales[[#This Row],[Gross Amount]]*Sales[[#This Row],[Disc %]]</f>
        <v>0</v>
      </c>
      <c r="L647" s="43">
        <v>0.18</v>
      </c>
      <c r="M647" s="44">
        <f>(Sales[[#This Row],[Gross Amount]]-Sales[[#This Row],[Disc. Amt.]])*Sales[[#This Row],[GST %]]</f>
        <v>1231.2</v>
      </c>
      <c r="N647" s="161">
        <f>Sales[[#This Row],[Gross Amount]]-Sales[[#This Row],[Disc. Amt.]]+Sales[[#This Row],[GST Amount]]</f>
        <v>8071.2</v>
      </c>
      <c r="O647" s="158" t="s">
        <v>8876</v>
      </c>
      <c r="P647" s="158" t="s">
        <v>3562</v>
      </c>
      <c r="Q647" s="160">
        <f>IF(Sales[[#This Row],[Status]]="Cancelled",0,Sales[[#This Row],[Qty]])</f>
        <v>3</v>
      </c>
      <c r="R647" s="161">
        <f>IF(Sales[[#This Row],[Status]]="Cancelled",0,Sales[[#This Row],[Total Amount]])</f>
        <v>8071.2</v>
      </c>
      <c r="S647" s="162">
        <f>SUM(Sales[Net Amount])</f>
        <v>406839287.73200053</v>
      </c>
    </row>
    <row r="648" spans="1:19" ht="18.75" x14ac:dyDescent="0.25">
      <c r="A648" s="163" t="s">
        <v>4225</v>
      </c>
      <c r="B648" s="164">
        <v>45812</v>
      </c>
      <c r="C648" s="34" t="s">
        <v>782</v>
      </c>
      <c r="D648" s="53" t="str">
        <f>VLOOKUP(Sales[[#This Row],[Customer ID]],Customer[#All],2,0)</f>
        <v>Vikas Singh</v>
      </c>
      <c r="E648" s="34" t="s">
        <v>363</v>
      </c>
      <c r="F648" s="34" t="str">
        <f>VLOOKUP(Sales[[#This Row],[Product ID]],Product[#All],2,0)</f>
        <v>Dell Desktop</v>
      </c>
      <c r="G648" s="53">
        <v>6</v>
      </c>
      <c r="H648" s="165">
        <f>VLOOKUP(Sales[[#This Row],[Product ID]],Product[#All],7,0)</f>
        <v>37430</v>
      </c>
      <c r="I648" s="165">
        <f>Sales[[#This Row],[Selling Rate]]*Sales[[#This Row],[Qty]]</f>
        <v>224580</v>
      </c>
      <c r="J648" s="45">
        <v>0.05</v>
      </c>
      <c r="K648" s="46">
        <f>Sales[[#This Row],[Gross Amount]]*Sales[[#This Row],[Disc %]]</f>
        <v>11229</v>
      </c>
      <c r="L648" s="43">
        <v>0.18</v>
      </c>
      <c r="M648" s="46">
        <f>(Sales[[#This Row],[Gross Amount]]-Sales[[#This Row],[Disc. Amt.]])*Sales[[#This Row],[GST %]]</f>
        <v>38403.18</v>
      </c>
      <c r="N648" s="161">
        <f>Sales[[#This Row],[Gross Amount]]-Sales[[#This Row],[Disc. Amt.]]+Sales[[#This Row],[GST Amount]]</f>
        <v>251754.18</v>
      </c>
      <c r="O648" s="34" t="s">
        <v>8876</v>
      </c>
      <c r="P648" s="34" t="s">
        <v>3562</v>
      </c>
      <c r="Q648" s="165">
        <f>IF(Sales[[#This Row],[Status]]="Cancelled",0,Sales[[#This Row],[Qty]])</f>
        <v>6</v>
      </c>
      <c r="R648" s="166">
        <f>IF(Sales[[#This Row],[Status]]="Cancelled",0,Sales[[#This Row],[Total Amount]])</f>
        <v>251754.18</v>
      </c>
      <c r="S648" s="162">
        <f>SUM(Sales[Net Amount])</f>
        <v>406839287.73200053</v>
      </c>
    </row>
    <row r="649" spans="1:19" ht="18.75" x14ac:dyDescent="0.25">
      <c r="A649" s="156" t="s">
        <v>4226</v>
      </c>
      <c r="B649" s="157">
        <v>45812</v>
      </c>
      <c r="C649" s="158" t="s">
        <v>919</v>
      </c>
      <c r="D649" s="159" t="str">
        <f>VLOOKUP(Sales[[#This Row],[Customer ID]],Customer[#All],2,0)</f>
        <v>Pooja Patel</v>
      </c>
      <c r="E649" s="158" t="s">
        <v>161</v>
      </c>
      <c r="F649" s="158" t="str">
        <f>VLOOKUP(Sales[[#This Row],[Product ID]],Product[#All],2,0)</f>
        <v>TP-link Router</v>
      </c>
      <c r="G649" s="159">
        <v>8</v>
      </c>
      <c r="H649" s="160">
        <f>VLOOKUP(Sales[[#This Row],[Product ID]],Product[#All],7,0)</f>
        <v>1330</v>
      </c>
      <c r="I649" s="160">
        <f>Sales[[#This Row],[Selling Rate]]*Sales[[#This Row],[Qty]]</f>
        <v>10640</v>
      </c>
      <c r="J649" s="43">
        <v>0.05</v>
      </c>
      <c r="K649" s="44">
        <f>Sales[[#This Row],[Gross Amount]]*Sales[[#This Row],[Disc %]]</f>
        <v>532</v>
      </c>
      <c r="L649" s="43">
        <v>0.18</v>
      </c>
      <c r="M649" s="44">
        <f>(Sales[[#This Row],[Gross Amount]]-Sales[[#This Row],[Disc. Amt.]])*Sales[[#This Row],[GST %]]</f>
        <v>1819.4399999999998</v>
      </c>
      <c r="N649" s="161">
        <f>Sales[[#This Row],[Gross Amount]]-Sales[[#This Row],[Disc. Amt.]]+Sales[[#This Row],[GST Amount]]</f>
        <v>11927.44</v>
      </c>
      <c r="O649" s="158" t="s">
        <v>8876</v>
      </c>
      <c r="P649" s="158" t="s">
        <v>1040</v>
      </c>
      <c r="Q649" s="160">
        <f>IF(Sales[[#This Row],[Status]]="Cancelled",0,Sales[[#This Row],[Qty]])</f>
        <v>0</v>
      </c>
      <c r="R649" s="161">
        <f>IF(Sales[[#This Row],[Status]]="Cancelled",0,Sales[[#This Row],[Total Amount]])</f>
        <v>0</v>
      </c>
      <c r="S649" s="162">
        <f>SUM(Sales[Net Amount])</f>
        <v>406839287.73200053</v>
      </c>
    </row>
    <row r="650" spans="1:19" ht="18.75" x14ac:dyDescent="0.25">
      <c r="A650" s="163" t="s">
        <v>4227</v>
      </c>
      <c r="B650" s="164">
        <v>45812</v>
      </c>
      <c r="C650" s="34" t="s">
        <v>828</v>
      </c>
      <c r="D650" s="53" t="str">
        <f>VLOOKUP(Sales[[#This Row],[Customer ID]],Customer[#All],2,0)</f>
        <v>Ankit Verma</v>
      </c>
      <c r="E650" s="34" t="s">
        <v>47</v>
      </c>
      <c r="F650" s="34" t="str">
        <f>VLOOKUP(Sales[[#This Row],[Product ID]],Product[#All],2,0)</f>
        <v>Logitech Keyboard</v>
      </c>
      <c r="G650" s="53">
        <v>1</v>
      </c>
      <c r="H650" s="165">
        <f>VLOOKUP(Sales[[#This Row],[Product ID]],Product[#All],7,0)</f>
        <v>930</v>
      </c>
      <c r="I650" s="165">
        <f>Sales[[#This Row],[Selling Rate]]*Sales[[#This Row],[Qty]]</f>
        <v>930</v>
      </c>
      <c r="J650" s="45">
        <v>0.05</v>
      </c>
      <c r="K650" s="46">
        <f>Sales[[#This Row],[Gross Amount]]*Sales[[#This Row],[Disc %]]</f>
        <v>46.5</v>
      </c>
      <c r="L650" s="43">
        <v>0.18</v>
      </c>
      <c r="M650" s="46">
        <f>(Sales[[#This Row],[Gross Amount]]-Sales[[#This Row],[Disc. Amt.]])*Sales[[#This Row],[GST %]]</f>
        <v>159.03</v>
      </c>
      <c r="N650" s="161">
        <f>Sales[[#This Row],[Gross Amount]]-Sales[[#This Row],[Disc. Amt.]]+Sales[[#This Row],[GST Amount]]</f>
        <v>1042.53</v>
      </c>
      <c r="O650" s="34" t="s">
        <v>8876</v>
      </c>
      <c r="P650" s="34" t="s">
        <v>3562</v>
      </c>
      <c r="Q650" s="165">
        <f>IF(Sales[[#This Row],[Status]]="Cancelled",0,Sales[[#This Row],[Qty]])</f>
        <v>1</v>
      </c>
      <c r="R650" s="166">
        <f>IF(Sales[[#This Row],[Status]]="Cancelled",0,Sales[[#This Row],[Total Amount]])</f>
        <v>1042.53</v>
      </c>
      <c r="S650" s="162">
        <f>SUM(Sales[Net Amount])</f>
        <v>406839287.73200053</v>
      </c>
    </row>
    <row r="651" spans="1:19" ht="18.75" x14ac:dyDescent="0.25">
      <c r="A651" s="156" t="s">
        <v>4228</v>
      </c>
      <c r="B651" s="157">
        <v>45812</v>
      </c>
      <c r="C651" s="158" t="s">
        <v>914</v>
      </c>
      <c r="D651" s="159" t="str">
        <f>VLOOKUP(Sales[[#This Row],[Customer ID]],Customer[#All],2,0)</f>
        <v>Rakesh Patel</v>
      </c>
      <c r="E651" s="158" t="s">
        <v>322</v>
      </c>
      <c r="F651" s="158" t="str">
        <f>VLOOKUP(Sales[[#This Row],[Product ID]],Product[#All],2,0)</f>
        <v>Jbl Speaker</v>
      </c>
      <c r="G651" s="159">
        <v>7</v>
      </c>
      <c r="H651" s="160">
        <f>VLOOKUP(Sales[[#This Row],[Product ID]],Product[#All],7,0)</f>
        <v>10370</v>
      </c>
      <c r="I651" s="160">
        <f>Sales[[#This Row],[Selling Rate]]*Sales[[#This Row],[Qty]]</f>
        <v>72590</v>
      </c>
      <c r="J651" s="43">
        <v>0.05</v>
      </c>
      <c r="K651" s="44">
        <f>Sales[[#This Row],[Gross Amount]]*Sales[[#This Row],[Disc %]]</f>
        <v>3629.5</v>
      </c>
      <c r="L651" s="43">
        <v>0.18</v>
      </c>
      <c r="M651" s="44">
        <f>(Sales[[#This Row],[Gross Amount]]-Sales[[#This Row],[Disc. Amt.]])*Sales[[#This Row],[GST %]]</f>
        <v>12412.89</v>
      </c>
      <c r="N651" s="161">
        <f>Sales[[#This Row],[Gross Amount]]-Sales[[#This Row],[Disc. Amt.]]+Sales[[#This Row],[GST Amount]]</f>
        <v>81373.39</v>
      </c>
      <c r="O651" s="158" t="s">
        <v>8876</v>
      </c>
      <c r="P651" s="158" t="s">
        <v>3562</v>
      </c>
      <c r="Q651" s="160">
        <f>IF(Sales[[#This Row],[Status]]="Cancelled",0,Sales[[#This Row],[Qty]])</f>
        <v>7</v>
      </c>
      <c r="R651" s="161">
        <f>IF(Sales[[#This Row],[Status]]="Cancelled",0,Sales[[#This Row],[Total Amount]])</f>
        <v>81373.39</v>
      </c>
      <c r="S651" s="162">
        <f>SUM(Sales[Net Amount])</f>
        <v>406839287.73200053</v>
      </c>
    </row>
    <row r="652" spans="1:19" ht="18.75" x14ac:dyDescent="0.25">
      <c r="A652" s="163" t="s">
        <v>4229</v>
      </c>
      <c r="B652" s="164">
        <v>45812</v>
      </c>
      <c r="C652" s="34" t="s">
        <v>673</v>
      </c>
      <c r="D652" s="53" t="str">
        <f>VLOOKUP(Sales[[#This Row],[Customer ID]],Customer[#All],2,0)</f>
        <v>Sunita Gupta</v>
      </c>
      <c r="E652" s="34" t="s">
        <v>513</v>
      </c>
      <c r="F652" s="34" t="str">
        <f>VLOOKUP(Sales[[#This Row],[Product ID]],Product[#All],2,0)</f>
        <v>HP Power Adapter</v>
      </c>
      <c r="G652" s="53">
        <v>4</v>
      </c>
      <c r="H652" s="165">
        <f>VLOOKUP(Sales[[#This Row],[Product ID]],Product[#All],7,0)</f>
        <v>2470</v>
      </c>
      <c r="I652" s="165">
        <f>Sales[[#This Row],[Selling Rate]]*Sales[[#This Row],[Qty]]</f>
        <v>9880</v>
      </c>
      <c r="J652" s="45">
        <v>0.05</v>
      </c>
      <c r="K652" s="46">
        <f>Sales[[#This Row],[Gross Amount]]*Sales[[#This Row],[Disc %]]</f>
        <v>494</v>
      </c>
      <c r="L652" s="43">
        <v>0.18</v>
      </c>
      <c r="M652" s="46">
        <f>(Sales[[#This Row],[Gross Amount]]-Sales[[#This Row],[Disc. Amt.]])*Sales[[#This Row],[GST %]]</f>
        <v>1689.48</v>
      </c>
      <c r="N652" s="161">
        <f>Sales[[#This Row],[Gross Amount]]-Sales[[#This Row],[Disc. Amt.]]+Sales[[#This Row],[GST Amount]]</f>
        <v>11075.48</v>
      </c>
      <c r="O652" s="34" t="s">
        <v>3566</v>
      </c>
      <c r="P652" s="34" t="s">
        <v>3562</v>
      </c>
      <c r="Q652" s="165">
        <f>IF(Sales[[#This Row],[Status]]="Cancelled",0,Sales[[#This Row],[Qty]])</f>
        <v>4</v>
      </c>
      <c r="R652" s="166">
        <f>IF(Sales[[#This Row],[Status]]="Cancelled",0,Sales[[#This Row],[Total Amount]])</f>
        <v>11075.48</v>
      </c>
      <c r="S652" s="162">
        <f>SUM(Sales[Net Amount])</f>
        <v>406839287.73200053</v>
      </c>
    </row>
    <row r="653" spans="1:19" ht="18.75" x14ac:dyDescent="0.25">
      <c r="A653" s="156" t="s">
        <v>4230</v>
      </c>
      <c r="B653" s="157">
        <v>45812</v>
      </c>
      <c r="C653" s="158" t="s">
        <v>654</v>
      </c>
      <c r="D653" s="159" t="str">
        <f>VLOOKUP(Sales[[#This Row],[Customer ID]],Customer[#All],2,0)</f>
        <v>Sunita Verma</v>
      </c>
      <c r="E653" s="158" t="s">
        <v>299</v>
      </c>
      <c r="F653" s="158" t="str">
        <f>VLOOKUP(Sales[[#This Row],[Product ID]],Product[#All],2,0)</f>
        <v>HP Printer</v>
      </c>
      <c r="G653" s="159">
        <v>5</v>
      </c>
      <c r="H653" s="160">
        <f>VLOOKUP(Sales[[#This Row],[Product ID]],Product[#All],7,0)</f>
        <v>15800</v>
      </c>
      <c r="I653" s="160">
        <f>Sales[[#This Row],[Selling Rate]]*Sales[[#This Row],[Qty]]</f>
        <v>79000</v>
      </c>
      <c r="J653" s="43">
        <v>0</v>
      </c>
      <c r="K653" s="44">
        <f>Sales[[#This Row],[Gross Amount]]*Sales[[#This Row],[Disc %]]</f>
        <v>0</v>
      </c>
      <c r="L653" s="43">
        <v>0.18</v>
      </c>
      <c r="M653" s="44">
        <f>(Sales[[#This Row],[Gross Amount]]-Sales[[#This Row],[Disc. Amt.]])*Sales[[#This Row],[GST %]]</f>
        <v>14220</v>
      </c>
      <c r="N653" s="161">
        <f>Sales[[#This Row],[Gross Amount]]-Sales[[#This Row],[Disc. Amt.]]+Sales[[#This Row],[GST Amount]]</f>
        <v>93220</v>
      </c>
      <c r="O653" s="158" t="s">
        <v>8876</v>
      </c>
      <c r="P653" s="158" t="s">
        <v>3562</v>
      </c>
      <c r="Q653" s="160">
        <f>IF(Sales[[#This Row],[Status]]="Cancelled",0,Sales[[#This Row],[Qty]])</f>
        <v>5</v>
      </c>
      <c r="R653" s="161">
        <f>IF(Sales[[#This Row],[Status]]="Cancelled",0,Sales[[#This Row],[Total Amount]])</f>
        <v>93220</v>
      </c>
      <c r="S653" s="162">
        <f>SUM(Sales[Net Amount])</f>
        <v>406839287.73200053</v>
      </c>
    </row>
    <row r="654" spans="1:19" ht="18.75" x14ac:dyDescent="0.25">
      <c r="A654" s="163" t="s">
        <v>4231</v>
      </c>
      <c r="B654" s="164">
        <v>45812</v>
      </c>
      <c r="C654" s="34" t="s">
        <v>4232</v>
      </c>
      <c r="D654" s="53" t="str">
        <f>VLOOKUP(Sales[[#This Row],[Customer ID]],Customer[#All],2,0)</f>
        <v>Sunita Verma</v>
      </c>
      <c r="E654" s="34" t="s">
        <v>381</v>
      </c>
      <c r="F654" s="34" t="str">
        <f>VLOOKUP(Sales[[#This Row],[Product ID]],Product[#All],2,0)</f>
        <v>HP Power Adapter</v>
      </c>
      <c r="G654" s="53">
        <v>3</v>
      </c>
      <c r="H654" s="165">
        <f>VLOOKUP(Sales[[#This Row],[Product ID]],Product[#All],7,0)</f>
        <v>990</v>
      </c>
      <c r="I654" s="165">
        <f>Sales[[#This Row],[Selling Rate]]*Sales[[#This Row],[Qty]]</f>
        <v>2970</v>
      </c>
      <c r="J654" s="45">
        <v>0</v>
      </c>
      <c r="K654" s="46">
        <f>Sales[[#This Row],[Gross Amount]]*Sales[[#This Row],[Disc %]]</f>
        <v>0</v>
      </c>
      <c r="L654" s="43">
        <v>0.18</v>
      </c>
      <c r="M654" s="46">
        <f>(Sales[[#This Row],[Gross Amount]]-Sales[[#This Row],[Disc. Amt.]])*Sales[[#This Row],[GST %]]</f>
        <v>534.6</v>
      </c>
      <c r="N654" s="161">
        <f>Sales[[#This Row],[Gross Amount]]-Sales[[#This Row],[Disc. Amt.]]+Sales[[#This Row],[GST Amount]]</f>
        <v>3504.6</v>
      </c>
      <c r="O654" s="34" t="s">
        <v>8876</v>
      </c>
      <c r="P654" s="34" t="s">
        <v>3562</v>
      </c>
      <c r="Q654" s="165">
        <f>IF(Sales[[#This Row],[Status]]="Cancelled",0,Sales[[#This Row],[Qty]])</f>
        <v>3</v>
      </c>
      <c r="R654" s="166">
        <f>IF(Sales[[#This Row],[Status]]="Cancelled",0,Sales[[#This Row],[Total Amount]])</f>
        <v>3504.6</v>
      </c>
      <c r="S654" s="162">
        <f>SUM(Sales[Net Amount])</f>
        <v>406839287.73200053</v>
      </c>
    </row>
    <row r="655" spans="1:19" ht="18.75" x14ac:dyDescent="0.25">
      <c r="A655" s="156" t="s">
        <v>4233</v>
      </c>
      <c r="B655" s="157">
        <v>45812</v>
      </c>
      <c r="C655" s="158" t="s">
        <v>743</v>
      </c>
      <c r="D655" s="159" t="str">
        <f>VLOOKUP(Sales[[#This Row],[Customer ID]],Customer[#All],2,0)</f>
        <v>Rahul Gupta</v>
      </c>
      <c r="E655" s="158" t="s">
        <v>310</v>
      </c>
      <c r="F655" s="158" t="str">
        <f>VLOOKUP(Sales[[#This Row],[Product ID]],Product[#All],2,0)</f>
        <v>TP-link Wi-Fi Adapter</v>
      </c>
      <c r="G655" s="159">
        <v>5</v>
      </c>
      <c r="H655" s="160">
        <f>VLOOKUP(Sales[[#This Row],[Product ID]],Product[#All],7,0)</f>
        <v>700</v>
      </c>
      <c r="I655" s="160">
        <f>Sales[[#This Row],[Selling Rate]]*Sales[[#This Row],[Qty]]</f>
        <v>3500</v>
      </c>
      <c r="J655" s="43">
        <v>0</v>
      </c>
      <c r="K655" s="44">
        <f>Sales[[#This Row],[Gross Amount]]*Sales[[#This Row],[Disc %]]</f>
        <v>0</v>
      </c>
      <c r="L655" s="43">
        <v>0.18</v>
      </c>
      <c r="M655" s="44">
        <f>(Sales[[#This Row],[Gross Amount]]-Sales[[#This Row],[Disc. Amt.]])*Sales[[#This Row],[GST %]]</f>
        <v>630</v>
      </c>
      <c r="N655" s="161">
        <f>Sales[[#This Row],[Gross Amount]]-Sales[[#This Row],[Disc. Amt.]]+Sales[[#This Row],[GST Amount]]</f>
        <v>4130</v>
      </c>
      <c r="O655" s="158" t="s">
        <v>3561</v>
      </c>
      <c r="P655" s="158" t="s">
        <v>3562</v>
      </c>
      <c r="Q655" s="160">
        <f>IF(Sales[[#This Row],[Status]]="Cancelled",0,Sales[[#This Row],[Qty]])</f>
        <v>5</v>
      </c>
      <c r="R655" s="161">
        <f>IF(Sales[[#This Row],[Status]]="Cancelled",0,Sales[[#This Row],[Total Amount]])</f>
        <v>4130</v>
      </c>
      <c r="S655" s="162">
        <f>SUM(Sales[Net Amount])</f>
        <v>406839287.73200053</v>
      </c>
    </row>
    <row r="656" spans="1:19" ht="18.75" x14ac:dyDescent="0.25">
      <c r="A656" s="163" t="s">
        <v>4234</v>
      </c>
      <c r="B656" s="164">
        <v>45812</v>
      </c>
      <c r="C656" s="34" t="s">
        <v>713</v>
      </c>
      <c r="D656" s="53" t="str">
        <f>VLOOKUP(Sales[[#This Row],[Customer ID]],Customer[#All],2,0)</f>
        <v>Amit Gupta</v>
      </c>
      <c r="E656" s="34" t="s">
        <v>511</v>
      </c>
      <c r="F656" s="34" t="str">
        <f>VLOOKUP(Sales[[#This Row],[Product ID]],Product[#All],2,0)</f>
        <v>Amazon Basics Hdmi Cable</v>
      </c>
      <c r="G656" s="53">
        <v>6</v>
      </c>
      <c r="H656" s="165">
        <f>VLOOKUP(Sales[[#This Row],[Product ID]],Product[#All],7,0)</f>
        <v>1240</v>
      </c>
      <c r="I656" s="165">
        <f>Sales[[#This Row],[Selling Rate]]*Sales[[#This Row],[Qty]]</f>
        <v>7440</v>
      </c>
      <c r="J656" s="45">
        <v>0</v>
      </c>
      <c r="K656" s="46">
        <f>Sales[[#This Row],[Gross Amount]]*Sales[[#This Row],[Disc %]]</f>
        <v>0</v>
      </c>
      <c r="L656" s="43">
        <v>0.18</v>
      </c>
      <c r="M656" s="46">
        <f>(Sales[[#This Row],[Gross Amount]]-Sales[[#This Row],[Disc. Amt.]])*Sales[[#This Row],[GST %]]</f>
        <v>1339.2</v>
      </c>
      <c r="N656" s="161">
        <f>Sales[[#This Row],[Gross Amount]]-Sales[[#This Row],[Disc. Amt.]]+Sales[[#This Row],[GST Amount]]</f>
        <v>8779.2000000000007</v>
      </c>
      <c r="O656" s="34" t="s">
        <v>8876</v>
      </c>
      <c r="P656" s="34" t="s">
        <v>3562</v>
      </c>
      <c r="Q656" s="165">
        <f>IF(Sales[[#This Row],[Status]]="Cancelled",0,Sales[[#This Row],[Qty]])</f>
        <v>6</v>
      </c>
      <c r="R656" s="166">
        <f>IF(Sales[[#This Row],[Status]]="Cancelled",0,Sales[[#This Row],[Total Amount]])</f>
        <v>8779.2000000000007</v>
      </c>
      <c r="S656" s="162">
        <f>SUM(Sales[Net Amount])</f>
        <v>406839287.73200053</v>
      </c>
    </row>
    <row r="657" spans="1:19" ht="18.75" x14ac:dyDescent="0.25">
      <c r="A657" s="156" t="s">
        <v>4235</v>
      </c>
      <c r="B657" s="157">
        <v>45812</v>
      </c>
      <c r="C657" s="158" t="s">
        <v>933</v>
      </c>
      <c r="D657" s="159" t="str">
        <f>VLOOKUP(Sales[[#This Row],[Customer ID]],Customer[#All],2,0)</f>
        <v>Vikas Verma</v>
      </c>
      <c r="E657" s="158" t="s">
        <v>244</v>
      </c>
      <c r="F657" s="158" t="str">
        <f>VLOOKUP(Sales[[#This Row],[Product ID]],Product[#All],2,0)</f>
        <v>TP-link Router</v>
      </c>
      <c r="G657" s="159">
        <v>1</v>
      </c>
      <c r="H657" s="160">
        <f>VLOOKUP(Sales[[#This Row],[Product ID]],Product[#All],7,0)</f>
        <v>4220</v>
      </c>
      <c r="I657" s="160">
        <f>Sales[[#This Row],[Selling Rate]]*Sales[[#This Row],[Qty]]</f>
        <v>4220</v>
      </c>
      <c r="J657" s="43">
        <v>0.02</v>
      </c>
      <c r="K657" s="44">
        <f>Sales[[#This Row],[Gross Amount]]*Sales[[#This Row],[Disc %]]</f>
        <v>84.4</v>
      </c>
      <c r="L657" s="43">
        <v>0.18</v>
      </c>
      <c r="M657" s="44">
        <f>(Sales[[#This Row],[Gross Amount]]-Sales[[#This Row],[Disc. Amt.]])*Sales[[#This Row],[GST %]]</f>
        <v>744.40800000000002</v>
      </c>
      <c r="N657" s="161">
        <f>Sales[[#This Row],[Gross Amount]]-Sales[[#This Row],[Disc. Amt.]]+Sales[[#This Row],[GST Amount]]</f>
        <v>4880.0080000000007</v>
      </c>
      <c r="O657" s="158" t="s">
        <v>8876</v>
      </c>
      <c r="P657" s="158" t="s">
        <v>3562</v>
      </c>
      <c r="Q657" s="160">
        <f>IF(Sales[[#This Row],[Status]]="Cancelled",0,Sales[[#This Row],[Qty]])</f>
        <v>1</v>
      </c>
      <c r="R657" s="161">
        <f>IF(Sales[[#This Row],[Status]]="Cancelled",0,Sales[[#This Row],[Total Amount]])</f>
        <v>4880.0080000000007</v>
      </c>
      <c r="S657" s="162">
        <f>SUM(Sales[Net Amount])</f>
        <v>406839287.73200053</v>
      </c>
    </row>
    <row r="658" spans="1:19" ht="18.75" x14ac:dyDescent="0.25">
      <c r="A658" s="163" t="s">
        <v>4236</v>
      </c>
      <c r="B658" s="164">
        <v>45812</v>
      </c>
      <c r="C658" s="34" t="s">
        <v>827</v>
      </c>
      <c r="D658" s="53" t="str">
        <f>VLOOKUP(Sales[[#This Row],[Customer ID]],Customer[#All],2,0)</f>
        <v>Ankit Gupta</v>
      </c>
      <c r="E658" s="34" t="s">
        <v>418</v>
      </c>
      <c r="F658" s="34" t="str">
        <f>VLOOKUP(Sales[[#This Row],[Product ID]],Product[#All],2,0)</f>
        <v>TP-link Router</v>
      </c>
      <c r="G658" s="53">
        <v>2</v>
      </c>
      <c r="H658" s="165">
        <f>VLOOKUP(Sales[[#This Row],[Product ID]],Product[#All],7,0)</f>
        <v>6750</v>
      </c>
      <c r="I658" s="165">
        <f>Sales[[#This Row],[Selling Rate]]*Sales[[#This Row],[Qty]]</f>
        <v>13500</v>
      </c>
      <c r="J658" s="45">
        <v>0.12</v>
      </c>
      <c r="K658" s="46">
        <f>Sales[[#This Row],[Gross Amount]]*Sales[[#This Row],[Disc %]]</f>
        <v>1620</v>
      </c>
      <c r="L658" s="43">
        <v>0.18</v>
      </c>
      <c r="M658" s="46">
        <f>(Sales[[#This Row],[Gross Amount]]-Sales[[#This Row],[Disc. Amt.]])*Sales[[#This Row],[GST %]]</f>
        <v>2138.4</v>
      </c>
      <c r="N658" s="161">
        <f>Sales[[#This Row],[Gross Amount]]-Sales[[#This Row],[Disc. Amt.]]+Sales[[#This Row],[GST Amount]]</f>
        <v>14018.4</v>
      </c>
      <c r="O658" s="34" t="s">
        <v>3569</v>
      </c>
      <c r="P658" s="34" t="s">
        <v>3562</v>
      </c>
      <c r="Q658" s="165">
        <f>IF(Sales[[#This Row],[Status]]="Cancelled",0,Sales[[#This Row],[Qty]])</f>
        <v>2</v>
      </c>
      <c r="R658" s="166">
        <f>IF(Sales[[#This Row],[Status]]="Cancelled",0,Sales[[#This Row],[Total Amount]])</f>
        <v>14018.4</v>
      </c>
      <c r="S658" s="162">
        <f>SUM(Sales[Net Amount])</f>
        <v>406839287.73200053</v>
      </c>
    </row>
    <row r="659" spans="1:19" ht="18.75" x14ac:dyDescent="0.25">
      <c r="A659" s="156" t="s">
        <v>4237</v>
      </c>
      <c r="B659" s="157">
        <v>45812</v>
      </c>
      <c r="C659" s="158" t="s">
        <v>734</v>
      </c>
      <c r="D659" s="159" t="str">
        <f>VLOOKUP(Sales[[#This Row],[Customer ID]],Customer[#All],2,0)</f>
        <v>Ankit Sharma</v>
      </c>
      <c r="E659" s="158" t="s">
        <v>393</v>
      </c>
      <c r="F659" s="158" t="str">
        <f>VLOOKUP(Sales[[#This Row],[Product ID]],Product[#All],2,0)</f>
        <v>American TouristerLaptopBag</v>
      </c>
      <c r="G659" s="159">
        <v>1</v>
      </c>
      <c r="H659" s="160">
        <f>VLOOKUP(Sales[[#This Row],[Product ID]],Product[#All],7,0)</f>
        <v>3240</v>
      </c>
      <c r="I659" s="160">
        <f>Sales[[#This Row],[Selling Rate]]*Sales[[#This Row],[Qty]]</f>
        <v>3240</v>
      </c>
      <c r="J659" s="43">
        <v>0</v>
      </c>
      <c r="K659" s="44">
        <f>Sales[[#This Row],[Gross Amount]]*Sales[[#This Row],[Disc %]]</f>
        <v>0</v>
      </c>
      <c r="L659" s="43">
        <v>0.18</v>
      </c>
      <c r="M659" s="44">
        <f>(Sales[[#This Row],[Gross Amount]]-Sales[[#This Row],[Disc. Amt.]])*Sales[[#This Row],[GST %]]</f>
        <v>583.19999999999993</v>
      </c>
      <c r="N659" s="161">
        <f>Sales[[#This Row],[Gross Amount]]-Sales[[#This Row],[Disc. Amt.]]+Sales[[#This Row],[GST Amount]]</f>
        <v>3823.2</v>
      </c>
      <c r="O659" s="158" t="s">
        <v>8876</v>
      </c>
      <c r="P659" s="158" t="s">
        <v>3562</v>
      </c>
      <c r="Q659" s="160">
        <f>IF(Sales[[#This Row],[Status]]="Cancelled",0,Sales[[#This Row],[Qty]])</f>
        <v>1</v>
      </c>
      <c r="R659" s="161">
        <f>IF(Sales[[#This Row],[Status]]="Cancelled",0,Sales[[#This Row],[Total Amount]])</f>
        <v>3823.2</v>
      </c>
      <c r="S659" s="162">
        <f>SUM(Sales[Net Amount])</f>
        <v>406839287.73200053</v>
      </c>
    </row>
    <row r="660" spans="1:19" ht="18.75" x14ac:dyDescent="0.25">
      <c r="A660" s="163" t="s">
        <v>4238</v>
      </c>
      <c r="B660" s="164">
        <v>45813</v>
      </c>
      <c r="C660" s="34" t="s">
        <v>769</v>
      </c>
      <c r="D660" s="53" t="str">
        <f>VLOOKUP(Sales[[#This Row],[Customer ID]],Customer[#All],2,0)</f>
        <v>Sahil Kumar</v>
      </c>
      <c r="E660" s="34" t="s">
        <v>400</v>
      </c>
      <c r="F660" s="34" t="str">
        <f>VLOOKUP(Sales[[#This Row],[Product ID]],Product[#All],2,0)</f>
        <v>TP-link Bluetooth Adapter</v>
      </c>
      <c r="G660" s="53">
        <v>1</v>
      </c>
      <c r="H660" s="165">
        <f>VLOOKUP(Sales[[#This Row],[Product ID]],Product[#All],7,0)</f>
        <v>1320</v>
      </c>
      <c r="I660" s="165">
        <f>Sales[[#This Row],[Selling Rate]]*Sales[[#This Row],[Qty]]</f>
        <v>1320</v>
      </c>
      <c r="J660" s="45">
        <v>0</v>
      </c>
      <c r="K660" s="46">
        <f>Sales[[#This Row],[Gross Amount]]*Sales[[#This Row],[Disc %]]</f>
        <v>0</v>
      </c>
      <c r="L660" s="43">
        <v>0.18</v>
      </c>
      <c r="M660" s="46">
        <f>(Sales[[#This Row],[Gross Amount]]-Sales[[#This Row],[Disc. Amt.]])*Sales[[#This Row],[GST %]]</f>
        <v>237.6</v>
      </c>
      <c r="N660" s="161">
        <f>Sales[[#This Row],[Gross Amount]]-Sales[[#This Row],[Disc. Amt.]]+Sales[[#This Row],[GST Amount]]</f>
        <v>1557.6</v>
      </c>
      <c r="O660" s="34" t="s">
        <v>3569</v>
      </c>
      <c r="P660" s="34" t="s">
        <v>3562</v>
      </c>
      <c r="Q660" s="165">
        <f>IF(Sales[[#This Row],[Status]]="Cancelled",0,Sales[[#This Row],[Qty]])</f>
        <v>1</v>
      </c>
      <c r="R660" s="166">
        <f>IF(Sales[[#This Row],[Status]]="Cancelled",0,Sales[[#This Row],[Total Amount]])</f>
        <v>1557.6</v>
      </c>
      <c r="S660" s="162">
        <f>SUM(Sales[Net Amount])</f>
        <v>406839287.73200053</v>
      </c>
    </row>
    <row r="661" spans="1:19" ht="18.75" x14ac:dyDescent="0.25">
      <c r="A661" s="156" t="s">
        <v>4239</v>
      </c>
      <c r="B661" s="157">
        <v>45813</v>
      </c>
      <c r="C661" s="158" t="s">
        <v>889</v>
      </c>
      <c r="D661" s="159" t="str">
        <f>VLOOKUP(Sales[[#This Row],[Customer ID]],Customer[#All],2,0)</f>
        <v>Rakesh Sharma</v>
      </c>
      <c r="E661" s="158" t="s">
        <v>510</v>
      </c>
      <c r="F661" s="158" t="str">
        <f>VLOOKUP(Sales[[#This Row],[Product ID]],Product[#All],2,0)</f>
        <v>American TouristerLaptopBag</v>
      </c>
      <c r="G661" s="159">
        <v>2</v>
      </c>
      <c r="H661" s="160">
        <f>VLOOKUP(Sales[[#This Row],[Product ID]],Product[#All],7,0)</f>
        <v>5010</v>
      </c>
      <c r="I661" s="160">
        <f>Sales[[#This Row],[Selling Rate]]*Sales[[#This Row],[Qty]]</f>
        <v>10020</v>
      </c>
      <c r="J661" s="43">
        <v>0.05</v>
      </c>
      <c r="K661" s="44">
        <f>Sales[[#This Row],[Gross Amount]]*Sales[[#This Row],[Disc %]]</f>
        <v>501</v>
      </c>
      <c r="L661" s="43">
        <v>0.18</v>
      </c>
      <c r="M661" s="44">
        <f>(Sales[[#This Row],[Gross Amount]]-Sales[[#This Row],[Disc. Amt.]])*Sales[[#This Row],[GST %]]</f>
        <v>1713.4199999999998</v>
      </c>
      <c r="N661" s="161">
        <f>Sales[[#This Row],[Gross Amount]]-Sales[[#This Row],[Disc. Amt.]]+Sales[[#This Row],[GST Amount]]</f>
        <v>11232.42</v>
      </c>
      <c r="O661" s="158" t="s">
        <v>3566</v>
      </c>
      <c r="P661" s="158" t="s">
        <v>3562</v>
      </c>
      <c r="Q661" s="160">
        <f>IF(Sales[[#This Row],[Status]]="Cancelled",0,Sales[[#This Row],[Qty]])</f>
        <v>2</v>
      </c>
      <c r="R661" s="161">
        <f>IF(Sales[[#This Row],[Status]]="Cancelled",0,Sales[[#This Row],[Total Amount]])</f>
        <v>11232.42</v>
      </c>
      <c r="S661" s="162">
        <f>SUM(Sales[Net Amount])</f>
        <v>406839287.73200053</v>
      </c>
    </row>
    <row r="662" spans="1:19" ht="18.75" x14ac:dyDescent="0.25">
      <c r="A662" s="163" t="s">
        <v>4240</v>
      </c>
      <c r="B662" s="164">
        <v>45813</v>
      </c>
      <c r="C662" s="34" t="s">
        <v>817</v>
      </c>
      <c r="D662" s="53" t="str">
        <f>VLOOKUP(Sales[[#This Row],[Customer ID]],Customer[#All],2,0)</f>
        <v>Ankit Patel</v>
      </c>
      <c r="E662" s="34" t="s">
        <v>346</v>
      </c>
      <c r="F662" s="34" t="str">
        <f>VLOOKUP(Sales[[#This Row],[Product ID]],Product[#All],2,0)</f>
        <v>HP Laptop</v>
      </c>
      <c r="G662" s="53">
        <v>4</v>
      </c>
      <c r="H662" s="165">
        <f>VLOOKUP(Sales[[#This Row],[Product ID]],Product[#All],7,0)</f>
        <v>88550</v>
      </c>
      <c r="I662" s="165">
        <f>Sales[[#This Row],[Selling Rate]]*Sales[[#This Row],[Qty]]</f>
        <v>354200</v>
      </c>
      <c r="J662" s="45">
        <v>0</v>
      </c>
      <c r="K662" s="46">
        <f>Sales[[#This Row],[Gross Amount]]*Sales[[#This Row],[Disc %]]</f>
        <v>0</v>
      </c>
      <c r="L662" s="43">
        <v>0.18</v>
      </c>
      <c r="M662" s="46">
        <f>(Sales[[#This Row],[Gross Amount]]-Sales[[#This Row],[Disc. Amt.]])*Sales[[#This Row],[GST %]]</f>
        <v>63756</v>
      </c>
      <c r="N662" s="161">
        <f>Sales[[#This Row],[Gross Amount]]-Sales[[#This Row],[Disc. Amt.]]+Sales[[#This Row],[GST Amount]]</f>
        <v>417956</v>
      </c>
      <c r="O662" s="34" t="s">
        <v>3561</v>
      </c>
      <c r="P662" s="34" t="s">
        <v>3562</v>
      </c>
      <c r="Q662" s="165">
        <f>IF(Sales[[#This Row],[Status]]="Cancelled",0,Sales[[#This Row],[Qty]])</f>
        <v>4</v>
      </c>
      <c r="R662" s="166">
        <f>IF(Sales[[#This Row],[Status]]="Cancelled",0,Sales[[#This Row],[Total Amount]])</f>
        <v>417956</v>
      </c>
      <c r="S662" s="162">
        <f>SUM(Sales[Net Amount])</f>
        <v>406839287.73200053</v>
      </c>
    </row>
    <row r="663" spans="1:19" ht="18.75" x14ac:dyDescent="0.25">
      <c r="A663" s="156" t="s">
        <v>4241</v>
      </c>
      <c r="B663" s="157">
        <v>45813</v>
      </c>
      <c r="C663" s="158" t="s">
        <v>816</v>
      </c>
      <c r="D663" s="159" t="str">
        <f>VLOOKUP(Sales[[#This Row],[Customer ID]],Customer[#All],2,0)</f>
        <v>Amit Patel</v>
      </c>
      <c r="E663" s="158" t="s">
        <v>327</v>
      </c>
      <c r="F663" s="158" t="str">
        <f>VLOOKUP(Sales[[#This Row],[Product ID]],Product[#All],2,0)</f>
        <v>Samsung Ssd</v>
      </c>
      <c r="G663" s="159">
        <v>1</v>
      </c>
      <c r="H663" s="160">
        <f>VLOOKUP(Sales[[#This Row],[Product ID]],Product[#All],7,0)</f>
        <v>16390</v>
      </c>
      <c r="I663" s="160">
        <f>Sales[[#This Row],[Selling Rate]]*Sales[[#This Row],[Qty]]</f>
        <v>16390</v>
      </c>
      <c r="J663" s="43">
        <v>0.05</v>
      </c>
      <c r="K663" s="44">
        <f>Sales[[#This Row],[Gross Amount]]*Sales[[#This Row],[Disc %]]</f>
        <v>819.5</v>
      </c>
      <c r="L663" s="43">
        <v>0.18</v>
      </c>
      <c r="M663" s="44">
        <f>(Sales[[#This Row],[Gross Amount]]-Sales[[#This Row],[Disc. Amt.]])*Sales[[#This Row],[GST %]]</f>
        <v>2802.69</v>
      </c>
      <c r="N663" s="161">
        <f>Sales[[#This Row],[Gross Amount]]-Sales[[#This Row],[Disc. Amt.]]+Sales[[#This Row],[GST Amount]]</f>
        <v>18373.189999999999</v>
      </c>
      <c r="O663" s="158" t="s">
        <v>3566</v>
      </c>
      <c r="P663" s="158" t="s">
        <v>3562</v>
      </c>
      <c r="Q663" s="160">
        <f>IF(Sales[[#This Row],[Status]]="Cancelled",0,Sales[[#This Row],[Qty]])</f>
        <v>1</v>
      </c>
      <c r="R663" s="161">
        <f>IF(Sales[[#This Row],[Status]]="Cancelled",0,Sales[[#This Row],[Total Amount]])</f>
        <v>18373.189999999999</v>
      </c>
      <c r="S663" s="162">
        <f>SUM(Sales[Net Amount])</f>
        <v>406839287.73200053</v>
      </c>
    </row>
    <row r="664" spans="1:19" ht="18.75" x14ac:dyDescent="0.25">
      <c r="A664" s="163" t="s">
        <v>4242</v>
      </c>
      <c r="B664" s="164">
        <v>45813</v>
      </c>
      <c r="C664" s="34" t="s">
        <v>939</v>
      </c>
      <c r="D664" s="53" t="str">
        <f>VLOOKUP(Sales[[#This Row],[Customer ID]],Customer[#All],2,0)</f>
        <v>Sunita Sharma</v>
      </c>
      <c r="E664" s="34" t="s">
        <v>306</v>
      </c>
      <c r="F664" s="34" t="str">
        <f>VLOOKUP(Sales[[#This Row],[Product ID]],Product[#All],2,0)</f>
        <v>Portronics USB Cable</v>
      </c>
      <c r="G664" s="53">
        <v>6</v>
      </c>
      <c r="H664" s="165">
        <f>VLOOKUP(Sales[[#This Row],[Product ID]],Product[#All],7,0)</f>
        <v>200</v>
      </c>
      <c r="I664" s="165">
        <f>Sales[[#This Row],[Selling Rate]]*Sales[[#This Row],[Qty]]</f>
        <v>1200</v>
      </c>
      <c r="J664" s="45">
        <v>0.02</v>
      </c>
      <c r="K664" s="46">
        <f>Sales[[#This Row],[Gross Amount]]*Sales[[#This Row],[Disc %]]</f>
        <v>24</v>
      </c>
      <c r="L664" s="43">
        <v>0.18</v>
      </c>
      <c r="M664" s="46">
        <f>(Sales[[#This Row],[Gross Amount]]-Sales[[#This Row],[Disc. Amt.]])*Sales[[#This Row],[GST %]]</f>
        <v>211.67999999999998</v>
      </c>
      <c r="N664" s="161">
        <f>Sales[[#This Row],[Gross Amount]]-Sales[[#This Row],[Disc. Amt.]]+Sales[[#This Row],[GST Amount]]</f>
        <v>1387.68</v>
      </c>
      <c r="O664" s="34" t="s">
        <v>8876</v>
      </c>
      <c r="P664" s="34" t="s">
        <v>3562</v>
      </c>
      <c r="Q664" s="165">
        <f>IF(Sales[[#This Row],[Status]]="Cancelled",0,Sales[[#This Row],[Qty]])</f>
        <v>6</v>
      </c>
      <c r="R664" s="166">
        <f>IF(Sales[[#This Row],[Status]]="Cancelled",0,Sales[[#This Row],[Total Amount]])</f>
        <v>1387.68</v>
      </c>
      <c r="S664" s="162">
        <f>SUM(Sales[Net Amount])</f>
        <v>406839287.73200053</v>
      </c>
    </row>
    <row r="665" spans="1:19" ht="18.75" x14ac:dyDescent="0.25">
      <c r="A665" s="156" t="s">
        <v>4243</v>
      </c>
      <c r="B665" s="157">
        <v>45813</v>
      </c>
      <c r="C665" s="158" t="s">
        <v>890</v>
      </c>
      <c r="D665" s="159" t="str">
        <f>VLOOKUP(Sales[[#This Row],[Customer ID]],Customer[#All],2,0)</f>
        <v>Rakesh Patel</v>
      </c>
      <c r="E665" s="158" t="s">
        <v>514</v>
      </c>
      <c r="F665" s="158" t="str">
        <f>VLOOKUP(Sales[[#This Row],[Product ID]],Product[#All],2,0)</f>
        <v>Apc UPS</v>
      </c>
      <c r="G665" s="159">
        <v>8</v>
      </c>
      <c r="H665" s="160">
        <f>VLOOKUP(Sales[[#This Row],[Product ID]],Product[#All],7,0)</f>
        <v>4660</v>
      </c>
      <c r="I665" s="160">
        <f>Sales[[#This Row],[Selling Rate]]*Sales[[#This Row],[Qty]]</f>
        <v>37280</v>
      </c>
      <c r="J665" s="43">
        <v>0.05</v>
      </c>
      <c r="K665" s="44">
        <f>Sales[[#This Row],[Gross Amount]]*Sales[[#This Row],[Disc %]]</f>
        <v>1864</v>
      </c>
      <c r="L665" s="43">
        <v>0.18</v>
      </c>
      <c r="M665" s="44">
        <f>(Sales[[#This Row],[Gross Amount]]-Sales[[#This Row],[Disc. Amt.]])*Sales[[#This Row],[GST %]]</f>
        <v>6374.88</v>
      </c>
      <c r="N665" s="161">
        <f>Sales[[#This Row],[Gross Amount]]-Sales[[#This Row],[Disc. Amt.]]+Sales[[#This Row],[GST Amount]]</f>
        <v>41790.879999999997</v>
      </c>
      <c r="O665" s="158" t="s">
        <v>3566</v>
      </c>
      <c r="P665" s="158" t="s">
        <v>3562</v>
      </c>
      <c r="Q665" s="160">
        <f>IF(Sales[[#This Row],[Status]]="Cancelled",0,Sales[[#This Row],[Qty]])</f>
        <v>8</v>
      </c>
      <c r="R665" s="161">
        <f>IF(Sales[[#This Row],[Status]]="Cancelled",0,Sales[[#This Row],[Total Amount]])</f>
        <v>41790.879999999997</v>
      </c>
      <c r="S665" s="162">
        <f>SUM(Sales[Net Amount])</f>
        <v>406839287.73200053</v>
      </c>
    </row>
    <row r="666" spans="1:19" ht="18.75" x14ac:dyDescent="0.25">
      <c r="A666" s="163" t="s">
        <v>4244</v>
      </c>
      <c r="B666" s="164">
        <v>45813</v>
      </c>
      <c r="C666" s="34" t="s">
        <v>937</v>
      </c>
      <c r="D666" s="53" t="str">
        <f>VLOOKUP(Sales[[#This Row],[Customer ID]],Customer[#All],2,0)</f>
        <v>Rahul Singh</v>
      </c>
      <c r="E666" s="34" t="s">
        <v>387</v>
      </c>
      <c r="F666" s="34" t="str">
        <f>VLOOKUP(Sales[[#This Row],[Product ID]],Product[#All],2,0)</f>
        <v>HP Printer</v>
      </c>
      <c r="G666" s="53">
        <v>8</v>
      </c>
      <c r="H666" s="165">
        <f>VLOOKUP(Sales[[#This Row],[Product ID]],Product[#All],7,0)</f>
        <v>14390</v>
      </c>
      <c r="I666" s="165">
        <f>Sales[[#This Row],[Selling Rate]]*Sales[[#This Row],[Qty]]</f>
        <v>115120</v>
      </c>
      <c r="J666" s="45">
        <v>0</v>
      </c>
      <c r="K666" s="46">
        <f>Sales[[#This Row],[Gross Amount]]*Sales[[#This Row],[Disc %]]</f>
        <v>0</v>
      </c>
      <c r="L666" s="43">
        <v>0.18</v>
      </c>
      <c r="M666" s="46">
        <f>(Sales[[#This Row],[Gross Amount]]-Sales[[#This Row],[Disc. Amt.]])*Sales[[#This Row],[GST %]]</f>
        <v>20721.599999999999</v>
      </c>
      <c r="N666" s="161">
        <f>Sales[[#This Row],[Gross Amount]]-Sales[[#This Row],[Disc. Amt.]]+Sales[[#This Row],[GST Amount]]</f>
        <v>135841.60000000001</v>
      </c>
      <c r="O666" s="34" t="s">
        <v>3569</v>
      </c>
      <c r="P666" s="34" t="s">
        <v>3562</v>
      </c>
      <c r="Q666" s="165">
        <f>IF(Sales[[#This Row],[Status]]="Cancelled",0,Sales[[#This Row],[Qty]])</f>
        <v>8</v>
      </c>
      <c r="R666" s="166">
        <f>IF(Sales[[#This Row],[Status]]="Cancelled",0,Sales[[#This Row],[Total Amount]])</f>
        <v>135841.60000000001</v>
      </c>
      <c r="S666" s="162">
        <f>SUM(Sales[Net Amount])</f>
        <v>406839287.73200053</v>
      </c>
    </row>
    <row r="667" spans="1:19" ht="18.75" x14ac:dyDescent="0.25">
      <c r="A667" s="156" t="s">
        <v>4245</v>
      </c>
      <c r="B667" s="157">
        <v>45813</v>
      </c>
      <c r="C667" s="158" t="s">
        <v>868</v>
      </c>
      <c r="D667" s="159" t="str">
        <f>VLOOKUP(Sales[[#This Row],[Customer ID]],Customer[#All],2,0)</f>
        <v>Rahul Verma</v>
      </c>
      <c r="E667" s="158" t="s">
        <v>301</v>
      </c>
      <c r="F667" s="158" t="str">
        <f>VLOOKUP(Sales[[#This Row],[Product ID]],Product[#All],2,0)</f>
        <v>Logitech Keyboard</v>
      </c>
      <c r="G667" s="159">
        <v>2</v>
      </c>
      <c r="H667" s="160">
        <f>VLOOKUP(Sales[[#This Row],[Product ID]],Product[#All],7,0)</f>
        <v>1100</v>
      </c>
      <c r="I667" s="160">
        <f>Sales[[#This Row],[Selling Rate]]*Sales[[#This Row],[Qty]]</f>
        <v>2200</v>
      </c>
      <c r="J667" s="43">
        <v>0.05</v>
      </c>
      <c r="K667" s="44">
        <f>Sales[[#This Row],[Gross Amount]]*Sales[[#This Row],[Disc %]]</f>
        <v>110</v>
      </c>
      <c r="L667" s="43">
        <v>0.18</v>
      </c>
      <c r="M667" s="44">
        <f>(Sales[[#This Row],[Gross Amount]]-Sales[[#This Row],[Disc. Amt.]])*Sales[[#This Row],[GST %]]</f>
        <v>376.2</v>
      </c>
      <c r="N667" s="161">
        <f>Sales[[#This Row],[Gross Amount]]-Sales[[#This Row],[Disc. Amt.]]+Sales[[#This Row],[GST Amount]]</f>
        <v>2466.1999999999998</v>
      </c>
      <c r="O667" s="158" t="s">
        <v>3566</v>
      </c>
      <c r="P667" s="158" t="s">
        <v>3562</v>
      </c>
      <c r="Q667" s="160">
        <f>IF(Sales[[#This Row],[Status]]="Cancelled",0,Sales[[#This Row],[Qty]])</f>
        <v>2</v>
      </c>
      <c r="R667" s="161">
        <f>IF(Sales[[#This Row],[Status]]="Cancelled",0,Sales[[#This Row],[Total Amount]])</f>
        <v>2466.1999999999998</v>
      </c>
      <c r="S667" s="162">
        <f>SUM(Sales[Net Amount])</f>
        <v>406839287.73200053</v>
      </c>
    </row>
    <row r="668" spans="1:19" ht="18.75" x14ac:dyDescent="0.25">
      <c r="A668" s="163" t="s">
        <v>4246</v>
      </c>
      <c r="B668" s="164">
        <v>45813</v>
      </c>
      <c r="C668" s="34" t="s">
        <v>844</v>
      </c>
      <c r="D668" s="53" t="str">
        <f>VLOOKUP(Sales[[#This Row],[Customer ID]],Customer[#All],2,0)</f>
        <v>Rahul Sharma</v>
      </c>
      <c r="E668" s="34" t="s">
        <v>100</v>
      </c>
      <c r="F668" s="34" t="str">
        <f>VLOOKUP(Sales[[#This Row],[Product ID]],Product[#All],2,0)</f>
        <v>Portronics USB Cable</v>
      </c>
      <c r="G668" s="53">
        <v>4</v>
      </c>
      <c r="H668" s="165">
        <f>VLOOKUP(Sales[[#This Row],[Product ID]],Product[#All],7,0)</f>
        <v>210</v>
      </c>
      <c r="I668" s="165">
        <f>Sales[[#This Row],[Selling Rate]]*Sales[[#This Row],[Qty]]</f>
        <v>840</v>
      </c>
      <c r="J668" s="45">
        <v>0.12</v>
      </c>
      <c r="K668" s="46">
        <f>Sales[[#This Row],[Gross Amount]]*Sales[[#This Row],[Disc %]]</f>
        <v>100.8</v>
      </c>
      <c r="L668" s="43">
        <v>0.18</v>
      </c>
      <c r="M668" s="46">
        <f>(Sales[[#This Row],[Gross Amount]]-Sales[[#This Row],[Disc. Amt.]])*Sales[[#This Row],[GST %]]</f>
        <v>133.05600000000001</v>
      </c>
      <c r="N668" s="161">
        <f>Sales[[#This Row],[Gross Amount]]-Sales[[#This Row],[Disc. Amt.]]+Sales[[#This Row],[GST Amount]]</f>
        <v>872.25600000000009</v>
      </c>
      <c r="O668" s="34" t="s">
        <v>3569</v>
      </c>
      <c r="P668" s="34" t="s">
        <v>3562</v>
      </c>
      <c r="Q668" s="165">
        <f>IF(Sales[[#This Row],[Status]]="Cancelled",0,Sales[[#This Row],[Qty]])</f>
        <v>4</v>
      </c>
      <c r="R668" s="166">
        <f>IF(Sales[[#This Row],[Status]]="Cancelled",0,Sales[[#This Row],[Total Amount]])</f>
        <v>872.25600000000009</v>
      </c>
      <c r="S668" s="162">
        <f>SUM(Sales[Net Amount])</f>
        <v>406839287.73200053</v>
      </c>
    </row>
    <row r="669" spans="1:19" ht="18.75" x14ac:dyDescent="0.25">
      <c r="A669" s="156" t="s">
        <v>4247</v>
      </c>
      <c r="B669" s="157">
        <v>45813</v>
      </c>
      <c r="C669" s="158" t="s">
        <v>758</v>
      </c>
      <c r="D669" s="159" t="str">
        <f>VLOOKUP(Sales[[#This Row],[Customer ID]],Customer[#All],2,0)</f>
        <v>Rahul Verma</v>
      </c>
      <c r="E669" s="158" t="s">
        <v>495</v>
      </c>
      <c r="F669" s="158" t="str">
        <f>VLOOKUP(Sales[[#This Row],[Product ID]],Product[#All],2,0)</f>
        <v>Dell Laptop</v>
      </c>
      <c r="G669" s="159">
        <v>2</v>
      </c>
      <c r="H669" s="160">
        <f>VLOOKUP(Sales[[#This Row],[Product ID]],Product[#All],7,0)</f>
        <v>63410</v>
      </c>
      <c r="I669" s="160">
        <f>Sales[[#This Row],[Selling Rate]]*Sales[[#This Row],[Qty]]</f>
        <v>126820</v>
      </c>
      <c r="J669" s="43">
        <v>0.1</v>
      </c>
      <c r="K669" s="44">
        <f>Sales[[#This Row],[Gross Amount]]*Sales[[#This Row],[Disc %]]</f>
        <v>12682</v>
      </c>
      <c r="L669" s="43">
        <v>0.18</v>
      </c>
      <c r="M669" s="44">
        <f>(Sales[[#This Row],[Gross Amount]]-Sales[[#This Row],[Disc. Amt.]])*Sales[[#This Row],[GST %]]</f>
        <v>20544.84</v>
      </c>
      <c r="N669" s="161">
        <f>Sales[[#This Row],[Gross Amount]]-Sales[[#This Row],[Disc. Amt.]]+Sales[[#This Row],[GST Amount]]</f>
        <v>134682.84</v>
      </c>
      <c r="O669" s="158" t="s">
        <v>8876</v>
      </c>
      <c r="P669" s="158" t="s">
        <v>3562</v>
      </c>
      <c r="Q669" s="160">
        <f>IF(Sales[[#This Row],[Status]]="Cancelled",0,Sales[[#This Row],[Qty]])</f>
        <v>2</v>
      </c>
      <c r="R669" s="161">
        <f>IF(Sales[[#This Row],[Status]]="Cancelled",0,Sales[[#This Row],[Total Amount]])</f>
        <v>134682.84</v>
      </c>
      <c r="S669" s="162">
        <f>SUM(Sales[Net Amount])</f>
        <v>406839287.73200053</v>
      </c>
    </row>
    <row r="670" spans="1:19" ht="18.75" x14ac:dyDescent="0.25">
      <c r="A670" s="163" t="s">
        <v>4248</v>
      </c>
      <c r="B670" s="164">
        <v>45813</v>
      </c>
      <c r="C670" s="34" t="s">
        <v>683</v>
      </c>
      <c r="D670" s="53" t="str">
        <f>VLOOKUP(Sales[[#This Row],[Customer ID]],Customer[#All],2,0)</f>
        <v>Rahul Kumar</v>
      </c>
      <c r="E670" s="34" t="s">
        <v>205</v>
      </c>
      <c r="F670" s="34" t="str">
        <f>VLOOKUP(Sales[[#This Row],[Product ID]],Product[#All],2,0)</f>
        <v>HP Power Adapter</v>
      </c>
      <c r="G670" s="53">
        <v>8</v>
      </c>
      <c r="H670" s="165">
        <f>VLOOKUP(Sales[[#This Row],[Product ID]],Product[#All],7,0)</f>
        <v>4820</v>
      </c>
      <c r="I670" s="165">
        <f>Sales[[#This Row],[Selling Rate]]*Sales[[#This Row],[Qty]]</f>
        <v>38560</v>
      </c>
      <c r="J670" s="45">
        <v>0</v>
      </c>
      <c r="K670" s="46">
        <f>Sales[[#This Row],[Gross Amount]]*Sales[[#This Row],[Disc %]]</f>
        <v>0</v>
      </c>
      <c r="L670" s="43">
        <v>0.18</v>
      </c>
      <c r="M670" s="46">
        <f>(Sales[[#This Row],[Gross Amount]]-Sales[[#This Row],[Disc. Amt.]])*Sales[[#This Row],[GST %]]</f>
        <v>6940.8</v>
      </c>
      <c r="N670" s="161">
        <f>Sales[[#This Row],[Gross Amount]]-Sales[[#This Row],[Disc. Amt.]]+Sales[[#This Row],[GST Amount]]</f>
        <v>45500.800000000003</v>
      </c>
      <c r="O670" s="34" t="s">
        <v>8876</v>
      </c>
      <c r="P670" s="34" t="s">
        <v>3562</v>
      </c>
      <c r="Q670" s="165">
        <f>IF(Sales[[#This Row],[Status]]="Cancelled",0,Sales[[#This Row],[Qty]])</f>
        <v>8</v>
      </c>
      <c r="R670" s="166">
        <f>IF(Sales[[#This Row],[Status]]="Cancelled",0,Sales[[#This Row],[Total Amount]])</f>
        <v>45500.800000000003</v>
      </c>
      <c r="S670" s="162">
        <f>SUM(Sales[Net Amount])</f>
        <v>406839287.73200053</v>
      </c>
    </row>
    <row r="671" spans="1:19" ht="18.75" x14ac:dyDescent="0.25">
      <c r="A671" s="156" t="s">
        <v>4249</v>
      </c>
      <c r="B671" s="157">
        <v>45813</v>
      </c>
      <c r="C671" s="158" t="s">
        <v>893</v>
      </c>
      <c r="D671" s="159" t="str">
        <f>VLOOKUP(Sales[[#This Row],[Customer ID]],Customer[#All],2,0)</f>
        <v>Sunita Sharma</v>
      </c>
      <c r="E671" s="158" t="s">
        <v>509</v>
      </c>
      <c r="F671" s="158" t="str">
        <f>VLOOKUP(Sales[[#This Row],[Product ID]],Product[#All],2,0)</f>
        <v>D-Link Router</v>
      </c>
      <c r="G671" s="159">
        <v>8</v>
      </c>
      <c r="H671" s="160">
        <f>VLOOKUP(Sales[[#This Row],[Product ID]],Product[#All],7,0)</f>
        <v>3460</v>
      </c>
      <c r="I671" s="160">
        <f>Sales[[#This Row],[Selling Rate]]*Sales[[#This Row],[Qty]]</f>
        <v>27680</v>
      </c>
      <c r="J671" s="43">
        <v>0.05</v>
      </c>
      <c r="K671" s="44">
        <f>Sales[[#This Row],[Gross Amount]]*Sales[[#This Row],[Disc %]]</f>
        <v>1384</v>
      </c>
      <c r="L671" s="43">
        <v>0.18</v>
      </c>
      <c r="M671" s="44">
        <f>(Sales[[#This Row],[Gross Amount]]-Sales[[#This Row],[Disc. Amt.]])*Sales[[#This Row],[GST %]]</f>
        <v>4733.28</v>
      </c>
      <c r="N671" s="161">
        <f>Sales[[#This Row],[Gross Amount]]-Sales[[#This Row],[Disc. Amt.]]+Sales[[#This Row],[GST Amount]]</f>
        <v>31029.279999999999</v>
      </c>
      <c r="O671" s="158" t="s">
        <v>3561</v>
      </c>
      <c r="P671" s="158" t="s">
        <v>3562</v>
      </c>
      <c r="Q671" s="160">
        <f>IF(Sales[[#This Row],[Status]]="Cancelled",0,Sales[[#This Row],[Qty]])</f>
        <v>8</v>
      </c>
      <c r="R671" s="161">
        <f>IF(Sales[[#This Row],[Status]]="Cancelled",0,Sales[[#This Row],[Total Amount]])</f>
        <v>31029.279999999999</v>
      </c>
      <c r="S671" s="162">
        <f>SUM(Sales[Net Amount])</f>
        <v>406839287.73200053</v>
      </c>
    </row>
    <row r="672" spans="1:19" ht="18.75" x14ac:dyDescent="0.25">
      <c r="A672" s="163" t="s">
        <v>4250</v>
      </c>
      <c r="B672" s="164">
        <v>45813</v>
      </c>
      <c r="C672" s="34" t="s">
        <v>866</v>
      </c>
      <c r="D672" s="53" t="str">
        <f>VLOOKUP(Sales[[#This Row],[Customer ID]],Customer[#All],2,0)</f>
        <v>Priya Patel</v>
      </c>
      <c r="E672" s="34" t="s">
        <v>522</v>
      </c>
      <c r="F672" s="34" t="str">
        <f>VLOOKUP(Sales[[#This Row],[Product ID]],Product[#All],2,0)</f>
        <v>Dell Keyboard</v>
      </c>
      <c r="G672" s="53">
        <v>5</v>
      </c>
      <c r="H672" s="165">
        <f>VLOOKUP(Sales[[#This Row],[Product ID]],Product[#All],7,0)</f>
        <v>3020</v>
      </c>
      <c r="I672" s="165">
        <f>Sales[[#This Row],[Selling Rate]]*Sales[[#This Row],[Qty]]</f>
        <v>15100</v>
      </c>
      <c r="J672" s="45">
        <v>0.15</v>
      </c>
      <c r="K672" s="46">
        <f>Sales[[#This Row],[Gross Amount]]*Sales[[#This Row],[Disc %]]</f>
        <v>2265</v>
      </c>
      <c r="L672" s="43">
        <v>0.18</v>
      </c>
      <c r="M672" s="46">
        <f>(Sales[[#This Row],[Gross Amount]]-Sales[[#This Row],[Disc. Amt.]])*Sales[[#This Row],[GST %]]</f>
        <v>2310.2999999999997</v>
      </c>
      <c r="N672" s="161">
        <f>Sales[[#This Row],[Gross Amount]]-Sales[[#This Row],[Disc. Amt.]]+Sales[[#This Row],[GST Amount]]</f>
        <v>15145.3</v>
      </c>
      <c r="O672" s="34" t="s">
        <v>3566</v>
      </c>
      <c r="P672" s="34" t="s">
        <v>3562</v>
      </c>
      <c r="Q672" s="165">
        <f>IF(Sales[[#This Row],[Status]]="Cancelled",0,Sales[[#This Row],[Qty]])</f>
        <v>5</v>
      </c>
      <c r="R672" s="166">
        <f>IF(Sales[[#This Row],[Status]]="Cancelled",0,Sales[[#This Row],[Total Amount]])</f>
        <v>15145.3</v>
      </c>
      <c r="S672" s="162">
        <f>SUM(Sales[Net Amount])</f>
        <v>406839287.73200053</v>
      </c>
    </row>
    <row r="673" spans="1:19" ht="18.75" x14ac:dyDescent="0.25">
      <c r="A673" s="156" t="s">
        <v>4251</v>
      </c>
      <c r="B673" s="157">
        <v>45813</v>
      </c>
      <c r="C673" s="158" t="s">
        <v>653</v>
      </c>
      <c r="D673" s="159" t="str">
        <f>VLOOKUP(Sales[[#This Row],[Customer ID]],Customer[#All],2,0)</f>
        <v>Pooja Patel</v>
      </c>
      <c r="E673" s="158" t="s">
        <v>301</v>
      </c>
      <c r="F673" s="158" t="str">
        <f>VLOOKUP(Sales[[#This Row],[Product ID]],Product[#All],2,0)</f>
        <v>Logitech Keyboard</v>
      </c>
      <c r="G673" s="159">
        <v>4</v>
      </c>
      <c r="H673" s="160">
        <f>VLOOKUP(Sales[[#This Row],[Product ID]],Product[#All],7,0)</f>
        <v>1100</v>
      </c>
      <c r="I673" s="160">
        <f>Sales[[#This Row],[Selling Rate]]*Sales[[#This Row],[Qty]]</f>
        <v>4400</v>
      </c>
      <c r="J673" s="43">
        <v>0</v>
      </c>
      <c r="K673" s="44">
        <f>Sales[[#This Row],[Gross Amount]]*Sales[[#This Row],[Disc %]]</f>
        <v>0</v>
      </c>
      <c r="L673" s="43">
        <v>0.18</v>
      </c>
      <c r="M673" s="44">
        <f>(Sales[[#This Row],[Gross Amount]]-Sales[[#This Row],[Disc. Amt.]])*Sales[[#This Row],[GST %]]</f>
        <v>792</v>
      </c>
      <c r="N673" s="161">
        <f>Sales[[#This Row],[Gross Amount]]-Sales[[#This Row],[Disc. Amt.]]+Sales[[#This Row],[GST Amount]]</f>
        <v>5192</v>
      </c>
      <c r="O673" s="158" t="s">
        <v>3566</v>
      </c>
      <c r="P673" s="158" t="s">
        <v>3562</v>
      </c>
      <c r="Q673" s="160">
        <f>IF(Sales[[#This Row],[Status]]="Cancelled",0,Sales[[#This Row],[Qty]])</f>
        <v>4</v>
      </c>
      <c r="R673" s="161">
        <f>IF(Sales[[#This Row],[Status]]="Cancelled",0,Sales[[#This Row],[Total Amount]])</f>
        <v>5192</v>
      </c>
      <c r="S673" s="162">
        <f>SUM(Sales[Net Amount])</f>
        <v>406839287.73200053</v>
      </c>
    </row>
    <row r="674" spans="1:19" ht="18.75" x14ac:dyDescent="0.25">
      <c r="A674" s="163" t="s">
        <v>4252</v>
      </c>
      <c r="B674" s="164">
        <v>45813</v>
      </c>
      <c r="C674" s="34" t="s">
        <v>862</v>
      </c>
      <c r="D674" s="53" t="str">
        <f>VLOOKUP(Sales[[#This Row],[Customer ID]],Customer[#All],2,0)</f>
        <v>Rakesh Sharma</v>
      </c>
      <c r="E674" s="34" t="s">
        <v>72</v>
      </c>
      <c r="F674" s="34" t="str">
        <f>VLOOKUP(Sales[[#This Row],[Product ID]],Product[#All],2,0)</f>
        <v>Dell Keyboard</v>
      </c>
      <c r="G674" s="53">
        <v>5</v>
      </c>
      <c r="H674" s="165">
        <f>VLOOKUP(Sales[[#This Row],[Product ID]],Product[#All],7,0)</f>
        <v>1250</v>
      </c>
      <c r="I674" s="165">
        <f>Sales[[#This Row],[Selling Rate]]*Sales[[#This Row],[Qty]]</f>
        <v>6250</v>
      </c>
      <c r="J674" s="45">
        <v>0.02</v>
      </c>
      <c r="K674" s="46">
        <f>Sales[[#This Row],[Gross Amount]]*Sales[[#This Row],[Disc %]]</f>
        <v>125</v>
      </c>
      <c r="L674" s="43">
        <v>0.18</v>
      </c>
      <c r="M674" s="46">
        <f>(Sales[[#This Row],[Gross Amount]]-Sales[[#This Row],[Disc. Amt.]])*Sales[[#This Row],[GST %]]</f>
        <v>1102.5</v>
      </c>
      <c r="N674" s="161">
        <f>Sales[[#This Row],[Gross Amount]]-Sales[[#This Row],[Disc. Amt.]]+Sales[[#This Row],[GST Amount]]</f>
        <v>7227.5</v>
      </c>
      <c r="O674" s="34" t="s">
        <v>8876</v>
      </c>
      <c r="P674" s="34" t="s">
        <v>3562</v>
      </c>
      <c r="Q674" s="165">
        <f>IF(Sales[[#This Row],[Status]]="Cancelled",0,Sales[[#This Row],[Qty]])</f>
        <v>5</v>
      </c>
      <c r="R674" s="166">
        <f>IF(Sales[[#This Row],[Status]]="Cancelled",0,Sales[[#This Row],[Total Amount]])</f>
        <v>7227.5</v>
      </c>
      <c r="S674" s="162">
        <f>SUM(Sales[Net Amount])</f>
        <v>406839287.73200053</v>
      </c>
    </row>
    <row r="675" spans="1:19" ht="18.75" x14ac:dyDescent="0.25">
      <c r="A675" s="156" t="s">
        <v>4253</v>
      </c>
      <c r="B675" s="157">
        <v>45813</v>
      </c>
      <c r="C675" s="158" t="s">
        <v>911</v>
      </c>
      <c r="D675" s="159" t="str">
        <f>VLOOKUP(Sales[[#This Row],[Customer ID]],Customer[#All],2,0)</f>
        <v>Amit Kumar</v>
      </c>
      <c r="E675" s="158" t="s">
        <v>465</v>
      </c>
      <c r="F675" s="158" t="str">
        <f>VLOOKUP(Sales[[#This Row],[Product ID]],Product[#All],2,0)</f>
        <v>Logitech Keyboard</v>
      </c>
      <c r="G675" s="159">
        <v>4</v>
      </c>
      <c r="H675" s="160">
        <f>VLOOKUP(Sales[[#This Row],[Product ID]],Product[#All],7,0)</f>
        <v>2230</v>
      </c>
      <c r="I675" s="160">
        <f>Sales[[#This Row],[Selling Rate]]*Sales[[#This Row],[Qty]]</f>
        <v>8920</v>
      </c>
      <c r="J675" s="43">
        <v>0</v>
      </c>
      <c r="K675" s="44">
        <f>Sales[[#This Row],[Gross Amount]]*Sales[[#This Row],[Disc %]]</f>
        <v>0</v>
      </c>
      <c r="L675" s="43">
        <v>0.18</v>
      </c>
      <c r="M675" s="44">
        <f>(Sales[[#This Row],[Gross Amount]]-Sales[[#This Row],[Disc. Amt.]])*Sales[[#This Row],[GST %]]</f>
        <v>1605.6</v>
      </c>
      <c r="N675" s="161">
        <f>Sales[[#This Row],[Gross Amount]]-Sales[[#This Row],[Disc. Amt.]]+Sales[[#This Row],[GST Amount]]</f>
        <v>10525.6</v>
      </c>
      <c r="O675" s="158" t="s">
        <v>8876</v>
      </c>
      <c r="P675" s="158" t="s">
        <v>3562</v>
      </c>
      <c r="Q675" s="160">
        <f>IF(Sales[[#This Row],[Status]]="Cancelled",0,Sales[[#This Row],[Qty]])</f>
        <v>4</v>
      </c>
      <c r="R675" s="161">
        <f>IF(Sales[[#This Row],[Status]]="Cancelled",0,Sales[[#This Row],[Total Amount]])</f>
        <v>10525.6</v>
      </c>
      <c r="S675" s="162">
        <f>SUM(Sales[Net Amount])</f>
        <v>406839287.73200053</v>
      </c>
    </row>
    <row r="676" spans="1:19" ht="18.75" x14ac:dyDescent="0.25">
      <c r="A676" s="163" t="s">
        <v>4254</v>
      </c>
      <c r="B676" s="164">
        <v>45813</v>
      </c>
      <c r="C676" s="34" t="s">
        <v>859</v>
      </c>
      <c r="D676" s="53" t="str">
        <f>VLOOKUP(Sales[[#This Row],[Customer ID]],Customer[#All],2,0)</f>
        <v>Rakesh Kumar</v>
      </c>
      <c r="E676" s="34" t="s">
        <v>431</v>
      </c>
      <c r="F676" s="34" t="str">
        <f>VLOOKUP(Sales[[#This Row],[Product ID]],Product[#All],2,0)</f>
        <v>Canon Printer</v>
      </c>
      <c r="G676" s="53">
        <v>7</v>
      </c>
      <c r="H676" s="165">
        <f>VLOOKUP(Sales[[#This Row],[Product ID]],Product[#All],7,0)</f>
        <v>17260</v>
      </c>
      <c r="I676" s="165">
        <f>Sales[[#This Row],[Selling Rate]]*Sales[[#This Row],[Qty]]</f>
        <v>120820</v>
      </c>
      <c r="J676" s="45">
        <v>0.02</v>
      </c>
      <c r="K676" s="46">
        <f>Sales[[#This Row],[Gross Amount]]*Sales[[#This Row],[Disc %]]</f>
        <v>2416.4</v>
      </c>
      <c r="L676" s="43">
        <v>0.18</v>
      </c>
      <c r="M676" s="46">
        <f>(Sales[[#This Row],[Gross Amount]]-Sales[[#This Row],[Disc. Amt.]])*Sales[[#This Row],[GST %]]</f>
        <v>21312.648000000001</v>
      </c>
      <c r="N676" s="161">
        <f>Sales[[#This Row],[Gross Amount]]-Sales[[#This Row],[Disc. Amt.]]+Sales[[#This Row],[GST Amount]]</f>
        <v>139716.24800000002</v>
      </c>
      <c r="O676" s="34" t="s">
        <v>3561</v>
      </c>
      <c r="P676" s="34" t="s">
        <v>3562</v>
      </c>
      <c r="Q676" s="165">
        <f>IF(Sales[[#This Row],[Status]]="Cancelled",0,Sales[[#This Row],[Qty]])</f>
        <v>7</v>
      </c>
      <c r="R676" s="166">
        <f>IF(Sales[[#This Row],[Status]]="Cancelled",0,Sales[[#This Row],[Total Amount]])</f>
        <v>139716.24800000002</v>
      </c>
      <c r="S676" s="162">
        <f>SUM(Sales[Net Amount])</f>
        <v>406839287.73200053</v>
      </c>
    </row>
    <row r="677" spans="1:19" ht="18.75" x14ac:dyDescent="0.25">
      <c r="A677" s="156" t="s">
        <v>4255</v>
      </c>
      <c r="B677" s="157">
        <v>45813</v>
      </c>
      <c r="C677" s="158" t="s">
        <v>827</v>
      </c>
      <c r="D677" s="159" t="str">
        <f>VLOOKUP(Sales[[#This Row],[Customer ID]],Customer[#All],2,0)</f>
        <v>Ankit Gupta</v>
      </c>
      <c r="E677" s="158" t="s">
        <v>426</v>
      </c>
      <c r="F677" s="158" t="str">
        <f>VLOOKUP(Sales[[#This Row],[Product ID]],Product[#All],2,0)</f>
        <v>Jbl Speaker</v>
      </c>
      <c r="G677" s="159">
        <v>4</v>
      </c>
      <c r="H677" s="160">
        <f>VLOOKUP(Sales[[#This Row],[Product ID]],Product[#All],7,0)</f>
        <v>5260</v>
      </c>
      <c r="I677" s="160">
        <f>Sales[[#This Row],[Selling Rate]]*Sales[[#This Row],[Qty]]</f>
        <v>21040</v>
      </c>
      <c r="J677" s="43">
        <v>0.1</v>
      </c>
      <c r="K677" s="44">
        <f>Sales[[#This Row],[Gross Amount]]*Sales[[#This Row],[Disc %]]</f>
        <v>2104</v>
      </c>
      <c r="L677" s="43">
        <v>0.18</v>
      </c>
      <c r="M677" s="44">
        <f>(Sales[[#This Row],[Gross Amount]]-Sales[[#This Row],[Disc. Amt.]])*Sales[[#This Row],[GST %]]</f>
        <v>3408.48</v>
      </c>
      <c r="N677" s="161">
        <f>Sales[[#This Row],[Gross Amount]]-Sales[[#This Row],[Disc. Amt.]]+Sales[[#This Row],[GST Amount]]</f>
        <v>22344.48</v>
      </c>
      <c r="O677" s="158" t="s">
        <v>3569</v>
      </c>
      <c r="P677" s="158" t="s">
        <v>3562</v>
      </c>
      <c r="Q677" s="160">
        <f>IF(Sales[[#This Row],[Status]]="Cancelled",0,Sales[[#This Row],[Qty]])</f>
        <v>4</v>
      </c>
      <c r="R677" s="161">
        <f>IF(Sales[[#This Row],[Status]]="Cancelled",0,Sales[[#This Row],[Total Amount]])</f>
        <v>22344.48</v>
      </c>
      <c r="S677" s="162">
        <f>SUM(Sales[Net Amount])</f>
        <v>406839287.73200053</v>
      </c>
    </row>
    <row r="678" spans="1:19" ht="18.75" x14ac:dyDescent="0.25">
      <c r="A678" s="163" t="s">
        <v>4256</v>
      </c>
      <c r="B678" s="164">
        <v>45813</v>
      </c>
      <c r="C678" s="34" t="s">
        <v>684</v>
      </c>
      <c r="D678" s="53" t="str">
        <f>VLOOKUP(Sales[[#This Row],[Customer ID]],Customer[#All],2,0)</f>
        <v>Rahul Sharma</v>
      </c>
      <c r="E678" s="34" t="s">
        <v>109</v>
      </c>
      <c r="F678" s="34" t="str">
        <f>VLOOKUP(Sales[[#This Row],[Product ID]],Product[#All],2,0)</f>
        <v>Kingston Ram</v>
      </c>
      <c r="G678" s="53">
        <v>6</v>
      </c>
      <c r="H678" s="165">
        <f>VLOOKUP(Sales[[#This Row],[Product ID]],Product[#All],7,0)</f>
        <v>2290</v>
      </c>
      <c r="I678" s="165">
        <f>Sales[[#This Row],[Selling Rate]]*Sales[[#This Row],[Qty]]</f>
        <v>13740</v>
      </c>
      <c r="J678" s="45">
        <v>0.05</v>
      </c>
      <c r="K678" s="46">
        <f>Sales[[#This Row],[Gross Amount]]*Sales[[#This Row],[Disc %]]</f>
        <v>687</v>
      </c>
      <c r="L678" s="43">
        <v>0.18</v>
      </c>
      <c r="M678" s="46">
        <f>(Sales[[#This Row],[Gross Amount]]-Sales[[#This Row],[Disc. Amt.]])*Sales[[#This Row],[GST %]]</f>
        <v>2349.54</v>
      </c>
      <c r="N678" s="161">
        <f>Sales[[#This Row],[Gross Amount]]-Sales[[#This Row],[Disc. Amt.]]+Sales[[#This Row],[GST Amount]]</f>
        <v>15402.54</v>
      </c>
      <c r="O678" s="34" t="s">
        <v>8876</v>
      </c>
      <c r="P678" s="34" t="s">
        <v>3562</v>
      </c>
      <c r="Q678" s="165">
        <f>IF(Sales[[#This Row],[Status]]="Cancelled",0,Sales[[#This Row],[Qty]])</f>
        <v>6</v>
      </c>
      <c r="R678" s="166">
        <f>IF(Sales[[#This Row],[Status]]="Cancelled",0,Sales[[#This Row],[Total Amount]])</f>
        <v>15402.54</v>
      </c>
      <c r="S678" s="162">
        <f>SUM(Sales[Net Amount])</f>
        <v>406839287.73200053</v>
      </c>
    </row>
    <row r="679" spans="1:19" ht="18.75" x14ac:dyDescent="0.25">
      <c r="A679" s="156" t="s">
        <v>4257</v>
      </c>
      <c r="B679" s="157">
        <v>45813</v>
      </c>
      <c r="C679" s="158" t="s">
        <v>801</v>
      </c>
      <c r="D679" s="159" t="str">
        <f>VLOOKUP(Sales[[#This Row],[Customer ID]],Customer[#All],2,0)</f>
        <v>Sunita Verma</v>
      </c>
      <c r="E679" s="158" t="s">
        <v>498</v>
      </c>
      <c r="F679" s="158" t="str">
        <f>VLOOKUP(Sales[[#This Row],[Product ID]],Product[#All],2,0)</f>
        <v>Kingston Ram</v>
      </c>
      <c r="G679" s="159">
        <v>4</v>
      </c>
      <c r="H679" s="160">
        <f>VLOOKUP(Sales[[#This Row],[Product ID]],Product[#All],7,0)</f>
        <v>4750</v>
      </c>
      <c r="I679" s="160">
        <f>Sales[[#This Row],[Selling Rate]]*Sales[[#This Row],[Qty]]</f>
        <v>19000</v>
      </c>
      <c r="J679" s="43">
        <v>0</v>
      </c>
      <c r="K679" s="44">
        <f>Sales[[#This Row],[Gross Amount]]*Sales[[#This Row],[Disc %]]</f>
        <v>0</v>
      </c>
      <c r="L679" s="43">
        <v>0.18</v>
      </c>
      <c r="M679" s="44">
        <f>(Sales[[#This Row],[Gross Amount]]-Sales[[#This Row],[Disc. Amt.]])*Sales[[#This Row],[GST %]]</f>
        <v>3420</v>
      </c>
      <c r="N679" s="161">
        <f>Sales[[#This Row],[Gross Amount]]-Sales[[#This Row],[Disc. Amt.]]+Sales[[#This Row],[GST Amount]]</f>
        <v>22420</v>
      </c>
      <c r="O679" s="158" t="s">
        <v>3569</v>
      </c>
      <c r="P679" s="158" t="s">
        <v>3562</v>
      </c>
      <c r="Q679" s="160">
        <f>IF(Sales[[#This Row],[Status]]="Cancelled",0,Sales[[#This Row],[Qty]])</f>
        <v>4</v>
      </c>
      <c r="R679" s="161">
        <f>IF(Sales[[#This Row],[Status]]="Cancelled",0,Sales[[#This Row],[Total Amount]])</f>
        <v>22420</v>
      </c>
      <c r="S679" s="162">
        <f>SUM(Sales[Net Amount])</f>
        <v>406839287.73200053</v>
      </c>
    </row>
    <row r="680" spans="1:19" ht="18.75" x14ac:dyDescent="0.25">
      <c r="A680" s="163" t="s">
        <v>4258</v>
      </c>
      <c r="B680" s="164">
        <v>45813</v>
      </c>
      <c r="C680" s="34" t="s">
        <v>719</v>
      </c>
      <c r="D680" s="53" t="str">
        <f>VLOOKUP(Sales[[#This Row],[Customer ID]],Customer[#All],2,0)</f>
        <v>Priya Verma</v>
      </c>
      <c r="E680" s="34" t="s">
        <v>526</v>
      </c>
      <c r="F680" s="34" t="str">
        <f>VLOOKUP(Sales[[#This Row],[Product ID]],Product[#All],2,0)</f>
        <v>American TouristerLaptopBag</v>
      </c>
      <c r="G680" s="53">
        <v>6</v>
      </c>
      <c r="H680" s="165">
        <f>VLOOKUP(Sales[[#This Row],[Product ID]],Product[#All],7,0)</f>
        <v>2280</v>
      </c>
      <c r="I680" s="165">
        <f>Sales[[#This Row],[Selling Rate]]*Sales[[#This Row],[Qty]]</f>
        <v>13680</v>
      </c>
      <c r="J680" s="45">
        <v>0.15</v>
      </c>
      <c r="K680" s="46">
        <f>Sales[[#This Row],[Gross Amount]]*Sales[[#This Row],[Disc %]]</f>
        <v>2052</v>
      </c>
      <c r="L680" s="43">
        <v>0.18</v>
      </c>
      <c r="M680" s="46">
        <f>(Sales[[#This Row],[Gross Amount]]-Sales[[#This Row],[Disc. Amt.]])*Sales[[#This Row],[GST %]]</f>
        <v>2093.04</v>
      </c>
      <c r="N680" s="161">
        <f>Sales[[#This Row],[Gross Amount]]-Sales[[#This Row],[Disc. Amt.]]+Sales[[#This Row],[GST Amount]]</f>
        <v>13721.04</v>
      </c>
      <c r="O680" s="34" t="s">
        <v>3569</v>
      </c>
      <c r="P680" s="34" t="s">
        <v>3562</v>
      </c>
      <c r="Q680" s="165">
        <f>IF(Sales[[#This Row],[Status]]="Cancelled",0,Sales[[#This Row],[Qty]])</f>
        <v>6</v>
      </c>
      <c r="R680" s="166">
        <f>IF(Sales[[#This Row],[Status]]="Cancelled",0,Sales[[#This Row],[Total Amount]])</f>
        <v>13721.04</v>
      </c>
      <c r="S680" s="162">
        <f>SUM(Sales[Net Amount])</f>
        <v>406839287.73200053</v>
      </c>
    </row>
    <row r="681" spans="1:19" ht="18.75" x14ac:dyDescent="0.25">
      <c r="A681" s="156" t="s">
        <v>4259</v>
      </c>
      <c r="B681" s="157">
        <v>45813</v>
      </c>
      <c r="C681" s="158" t="s">
        <v>699</v>
      </c>
      <c r="D681" s="159" t="str">
        <f>VLOOKUP(Sales[[#This Row],[Customer ID]],Customer[#All],2,0)</f>
        <v>Amit Singh</v>
      </c>
      <c r="E681" s="158" t="s">
        <v>397</v>
      </c>
      <c r="F681" s="158" t="str">
        <f>VLOOKUP(Sales[[#This Row],[Product ID]],Product[#All],2,0)</f>
        <v>Dell Laptop</v>
      </c>
      <c r="G681" s="159">
        <v>8</v>
      </c>
      <c r="H681" s="160">
        <f>VLOOKUP(Sales[[#This Row],[Product ID]],Product[#All],7,0)</f>
        <v>69400</v>
      </c>
      <c r="I681" s="160">
        <f>Sales[[#This Row],[Selling Rate]]*Sales[[#This Row],[Qty]]</f>
        <v>555200</v>
      </c>
      <c r="J681" s="43">
        <v>0</v>
      </c>
      <c r="K681" s="44">
        <f>Sales[[#This Row],[Gross Amount]]*Sales[[#This Row],[Disc %]]</f>
        <v>0</v>
      </c>
      <c r="L681" s="43">
        <v>0.18</v>
      </c>
      <c r="M681" s="44">
        <f>(Sales[[#This Row],[Gross Amount]]-Sales[[#This Row],[Disc. Amt.]])*Sales[[#This Row],[GST %]]</f>
        <v>99936</v>
      </c>
      <c r="N681" s="161">
        <f>Sales[[#This Row],[Gross Amount]]-Sales[[#This Row],[Disc. Amt.]]+Sales[[#This Row],[GST Amount]]</f>
        <v>655136</v>
      </c>
      <c r="O681" s="158" t="s">
        <v>8876</v>
      </c>
      <c r="P681" s="158" t="s">
        <v>3562</v>
      </c>
      <c r="Q681" s="160">
        <f>IF(Sales[[#This Row],[Status]]="Cancelled",0,Sales[[#This Row],[Qty]])</f>
        <v>8</v>
      </c>
      <c r="R681" s="161">
        <f>IF(Sales[[#This Row],[Status]]="Cancelled",0,Sales[[#This Row],[Total Amount]])</f>
        <v>655136</v>
      </c>
      <c r="S681" s="162">
        <f>SUM(Sales[Net Amount])</f>
        <v>406839287.73200053</v>
      </c>
    </row>
    <row r="682" spans="1:19" ht="18.75" x14ac:dyDescent="0.25">
      <c r="A682" s="163" t="s">
        <v>4260</v>
      </c>
      <c r="B682" s="164">
        <v>45814</v>
      </c>
      <c r="C682" s="34" t="s">
        <v>919</v>
      </c>
      <c r="D682" s="53" t="str">
        <f>VLOOKUP(Sales[[#This Row],[Customer ID]],Customer[#All],2,0)</f>
        <v>Pooja Patel</v>
      </c>
      <c r="E682" s="34" t="s">
        <v>430</v>
      </c>
      <c r="F682" s="34" t="str">
        <f>VLOOKUP(Sales[[#This Row],[Product ID]],Product[#All],2,0)</f>
        <v>Jbl Speaker</v>
      </c>
      <c r="G682" s="53">
        <v>1</v>
      </c>
      <c r="H682" s="165">
        <f>VLOOKUP(Sales[[#This Row],[Product ID]],Product[#All],7,0)</f>
        <v>6890</v>
      </c>
      <c r="I682" s="165">
        <f>Sales[[#This Row],[Selling Rate]]*Sales[[#This Row],[Qty]]</f>
        <v>6890</v>
      </c>
      <c r="J682" s="45">
        <v>0.05</v>
      </c>
      <c r="K682" s="46">
        <f>Sales[[#This Row],[Gross Amount]]*Sales[[#This Row],[Disc %]]</f>
        <v>344.5</v>
      </c>
      <c r="L682" s="43">
        <v>0.18</v>
      </c>
      <c r="M682" s="46">
        <f>(Sales[[#This Row],[Gross Amount]]-Sales[[#This Row],[Disc. Amt.]])*Sales[[#This Row],[GST %]]</f>
        <v>1178.19</v>
      </c>
      <c r="N682" s="161">
        <f>Sales[[#This Row],[Gross Amount]]-Sales[[#This Row],[Disc. Amt.]]+Sales[[#This Row],[GST Amount]]</f>
        <v>7723.6900000000005</v>
      </c>
      <c r="O682" s="34" t="s">
        <v>8876</v>
      </c>
      <c r="P682" s="34" t="s">
        <v>3562</v>
      </c>
      <c r="Q682" s="165">
        <f>IF(Sales[[#This Row],[Status]]="Cancelled",0,Sales[[#This Row],[Qty]])</f>
        <v>1</v>
      </c>
      <c r="R682" s="166">
        <f>IF(Sales[[#This Row],[Status]]="Cancelled",0,Sales[[#This Row],[Total Amount]])</f>
        <v>7723.6900000000005</v>
      </c>
      <c r="S682" s="162">
        <f>SUM(Sales[Net Amount])</f>
        <v>406839287.73200053</v>
      </c>
    </row>
    <row r="683" spans="1:19" ht="18.75" x14ac:dyDescent="0.25">
      <c r="A683" s="156" t="s">
        <v>4261</v>
      </c>
      <c r="B683" s="157">
        <v>45814</v>
      </c>
      <c r="C683" s="158" t="s">
        <v>664</v>
      </c>
      <c r="D683" s="159" t="str">
        <f>VLOOKUP(Sales[[#This Row],[Customer ID]],Customer[#All],2,0)</f>
        <v>Sahil Singh</v>
      </c>
      <c r="E683" s="158" t="s">
        <v>416</v>
      </c>
      <c r="F683" s="158" t="str">
        <f>VLOOKUP(Sales[[#This Row],[Product ID]],Product[#All],2,0)</f>
        <v>Portronics USB Cable</v>
      </c>
      <c r="G683" s="159">
        <v>8</v>
      </c>
      <c r="H683" s="160">
        <f>VLOOKUP(Sales[[#This Row],[Product ID]],Product[#All],7,0)</f>
        <v>960</v>
      </c>
      <c r="I683" s="160">
        <f>Sales[[#This Row],[Selling Rate]]*Sales[[#This Row],[Qty]]</f>
        <v>7680</v>
      </c>
      <c r="J683" s="43">
        <v>0.15</v>
      </c>
      <c r="K683" s="44">
        <f>Sales[[#This Row],[Gross Amount]]*Sales[[#This Row],[Disc %]]</f>
        <v>1152</v>
      </c>
      <c r="L683" s="43">
        <v>0.18</v>
      </c>
      <c r="M683" s="44">
        <f>(Sales[[#This Row],[Gross Amount]]-Sales[[#This Row],[Disc. Amt.]])*Sales[[#This Row],[GST %]]</f>
        <v>1175.04</v>
      </c>
      <c r="N683" s="161">
        <f>Sales[[#This Row],[Gross Amount]]-Sales[[#This Row],[Disc. Amt.]]+Sales[[#This Row],[GST Amount]]</f>
        <v>7703.04</v>
      </c>
      <c r="O683" s="158" t="s">
        <v>3566</v>
      </c>
      <c r="P683" s="158" t="s">
        <v>3562</v>
      </c>
      <c r="Q683" s="160">
        <f>IF(Sales[[#This Row],[Status]]="Cancelled",0,Sales[[#This Row],[Qty]])</f>
        <v>8</v>
      </c>
      <c r="R683" s="161">
        <f>IF(Sales[[#This Row],[Status]]="Cancelled",0,Sales[[#This Row],[Total Amount]])</f>
        <v>7703.04</v>
      </c>
      <c r="S683" s="162">
        <f>SUM(Sales[Net Amount])</f>
        <v>406839287.73200053</v>
      </c>
    </row>
    <row r="684" spans="1:19" ht="18.75" x14ac:dyDescent="0.25">
      <c r="A684" s="163" t="s">
        <v>4262</v>
      </c>
      <c r="B684" s="164">
        <v>45814</v>
      </c>
      <c r="C684" s="34" t="s">
        <v>731</v>
      </c>
      <c r="D684" s="53" t="str">
        <f>VLOOKUP(Sales[[#This Row],[Customer ID]],Customer[#All],2,0)</f>
        <v>Neha Singh</v>
      </c>
      <c r="E684" s="34" t="s">
        <v>463</v>
      </c>
      <c r="F684" s="34" t="str">
        <f>VLOOKUP(Sales[[#This Row],[Product ID]],Product[#All],2,0)</f>
        <v>Apc UPS</v>
      </c>
      <c r="G684" s="53">
        <v>3</v>
      </c>
      <c r="H684" s="165">
        <f>VLOOKUP(Sales[[#This Row],[Product ID]],Product[#All],7,0)</f>
        <v>10050</v>
      </c>
      <c r="I684" s="165">
        <f>Sales[[#This Row],[Selling Rate]]*Sales[[#This Row],[Qty]]</f>
        <v>30150</v>
      </c>
      <c r="J684" s="45">
        <v>0.05</v>
      </c>
      <c r="K684" s="46">
        <f>Sales[[#This Row],[Gross Amount]]*Sales[[#This Row],[Disc %]]</f>
        <v>1507.5</v>
      </c>
      <c r="L684" s="43">
        <v>0.18</v>
      </c>
      <c r="M684" s="46">
        <f>(Sales[[#This Row],[Gross Amount]]-Sales[[#This Row],[Disc. Amt.]])*Sales[[#This Row],[GST %]]</f>
        <v>5155.6499999999996</v>
      </c>
      <c r="N684" s="161">
        <f>Sales[[#This Row],[Gross Amount]]-Sales[[#This Row],[Disc. Amt.]]+Sales[[#This Row],[GST Amount]]</f>
        <v>33798.15</v>
      </c>
      <c r="O684" s="34" t="s">
        <v>8876</v>
      </c>
      <c r="P684" s="34" t="s">
        <v>3562</v>
      </c>
      <c r="Q684" s="165">
        <f>IF(Sales[[#This Row],[Status]]="Cancelled",0,Sales[[#This Row],[Qty]])</f>
        <v>3</v>
      </c>
      <c r="R684" s="166">
        <f>IF(Sales[[#This Row],[Status]]="Cancelled",0,Sales[[#This Row],[Total Amount]])</f>
        <v>33798.15</v>
      </c>
      <c r="S684" s="162">
        <f>SUM(Sales[Net Amount])</f>
        <v>406839287.73200053</v>
      </c>
    </row>
    <row r="685" spans="1:19" ht="18.75" x14ac:dyDescent="0.25">
      <c r="A685" s="156" t="s">
        <v>4263</v>
      </c>
      <c r="B685" s="157">
        <v>45814</v>
      </c>
      <c r="C685" s="158" t="s">
        <v>935</v>
      </c>
      <c r="D685" s="159" t="str">
        <f>VLOOKUP(Sales[[#This Row],[Customer ID]],Customer[#All],2,0)</f>
        <v>Ankit Kumar</v>
      </c>
      <c r="E685" s="158" t="s">
        <v>242</v>
      </c>
      <c r="F685" s="158" t="str">
        <f>VLOOKUP(Sales[[#This Row],[Product ID]],Product[#All],2,0)</f>
        <v>HP Printer</v>
      </c>
      <c r="G685" s="159">
        <v>2</v>
      </c>
      <c r="H685" s="160">
        <f>VLOOKUP(Sales[[#This Row],[Product ID]],Product[#All],7,0)</f>
        <v>20380</v>
      </c>
      <c r="I685" s="160">
        <f>Sales[[#This Row],[Selling Rate]]*Sales[[#This Row],[Qty]]</f>
        <v>40760</v>
      </c>
      <c r="J685" s="43">
        <v>0.05</v>
      </c>
      <c r="K685" s="44">
        <f>Sales[[#This Row],[Gross Amount]]*Sales[[#This Row],[Disc %]]</f>
        <v>2038</v>
      </c>
      <c r="L685" s="43">
        <v>0.18</v>
      </c>
      <c r="M685" s="44">
        <f>(Sales[[#This Row],[Gross Amount]]-Sales[[#This Row],[Disc. Amt.]])*Sales[[#This Row],[GST %]]</f>
        <v>6969.96</v>
      </c>
      <c r="N685" s="161">
        <f>Sales[[#This Row],[Gross Amount]]-Sales[[#This Row],[Disc. Amt.]]+Sales[[#This Row],[GST Amount]]</f>
        <v>45691.96</v>
      </c>
      <c r="O685" s="158" t="s">
        <v>3561</v>
      </c>
      <c r="P685" s="158" t="s">
        <v>3562</v>
      </c>
      <c r="Q685" s="160">
        <f>IF(Sales[[#This Row],[Status]]="Cancelled",0,Sales[[#This Row],[Qty]])</f>
        <v>2</v>
      </c>
      <c r="R685" s="161">
        <f>IF(Sales[[#This Row],[Status]]="Cancelled",0,Sales[[#This Row],[Total Amount]])</f>
        <v>45691.96</v>
      </c>
      <c r="S685" s="162">
        <f>SUM(Sales[Net Amount])</f>
        <v>406839287.73200053</v>
      </c>
    </row>
    <row r="686" spans="1:19" ht="18.75" x14ac:dyDescent="0.25">
      <c r="A686" s="163" t="s">
        <v>4264</v>
      </c>
      <c r="B686" s="164">
        <v>45814</v>
      </c>
      <c r="C686" s="34" t="s">
        <v>796</v>
      </c>
      <c r="D686" s="53" t="str">
        <f>VLOOKUP(Sales[[#This Row],[Customer ID]],Customer[#All],2,0)</f>
        <v>Rahul Verma</v>
      </c>
      <c r="E686" s="34" t="s">
        <v>520</v>
      </c>
      <c r="F686" s="34" t="str">
        <f>VLOOKUP(Sales[[#This Row],[Product ID]],Product[#All],2,0)</f>
        <v>HP Desktop</v>
      </c>
      <c r="G686" s="53">
        <v>8</v>
      </c>
      <c r="H686" s="165">
        <f>VLOOKUP(Sales[[#This Row],[Product ID]],Product[#All],7,0)</f>
        <v>40200</v>
      </c>
      <c r="I686" s="165">
        <f>Sales[[#This Row],[Selling Rate]]*Sales[[#This Row],[Qty]]</f>
        <v>321600</v>
      </c>
      <c r="J686" s="45">
        <v>0</v>
      </c>
      <c r="K686" s="46">
        <f>Sales[[#This Row],[Gross Amount]]*Sales[[#This Row],[Disc %]]</f>
        <v>0</v>
      </c>
      <c r="L686" s="43">
        <v>0.18</v>
      </c>
      <c r="M686" s="46">
        <f>(Sales[[#This Row],[Gross Amount]]-Sales[[#This Row],[Disc. Amt.]])*Sales[[#This Row],[GST %]]</f>
        <v>57888</v>
      </c>
      <c r="N686" s="161">
        <f>Sales[[#This Row],[Gross Amount]]-Sales[[#This Row],[Disc. Amt.]]+Sales[[#This Row],[GST Amount]]</f>
        <v>379488</v>
      </c>
      <c r="O686" s="34" t="s">
        <v>8876</v>
      </c>
      <c r="P686" s="34" t="s">
        <v>1040</v>
      </c>
      <c r="Q686" s="165">
        <f>IF(Sales[[#This Row],[Status]]="Cancelled",0,Sales[[#This Row],[Qty]])</f>
        <v>0</v>
      </c>
      <c r="R686" s="166">
        <f>IF(Sales[[#This Row],[Status]]="Cancelled",0,Sales[[#This Row],[Total Amount]])</f>
        <v>0</v>
      </c>
      <c r="S686" s="162">
        <f>SUM(Sales[Net Amount])</f>
        <v>406839287.73200053</v>
      </c>
    </row>
    <row r="687" spans="1:19" ht="18.75" x14ac:dyDescent="0.25">
      <c r="A687" s="156" t="s">
        <v>4265</v>
      </c>
      <c r="B687" s="157">
        <v>45814</v>
      </c>
      <c r="C687" s="158" t="s">
        <v>786</v>
      </c>
      <c r="D687" s="159" t="str">
        <f>VLOOKUP(Sales[[#This Row],[Customer ID]],Customer[#All],2,0)</f>
        <v>Pooja Kumar</v>
      </c>
      <c r="E687" s="158" t="s">
        <v>46</v>
      </c>
      <c r="F687" s="158" t="str">
        <f>VLOOKUP(Sales[[#This Row],[Product ID]],Product[#All],2,0)</f>
        <v>HP Printer</v>
      </c>
      <c r="G687" s="159">
        <v>4</v>
      </c>
      <c r="H687" s="160">
        <f>VLOOKUP(Sales[[#This Row],[Product ID]],Product[#All],7,0)</f>
        <v>35170</v>
      </c>
      <c r="I687" s="160">
        <f>Sales[[#This Row],[Selling Rate]]*Sales[[#This Row],[Qty]]</f>
        <v>140680</v>
      </c>
      <c r="J687" s="43">
        <v>0.02</v>
      </c>
      <c r="K687" s="44">
        <f>Sales[[#This Row],[Gross Amount]]*Sales[[#This Row],[Disc %]]</f>
        <v>2813.6</v>
      </c>
      <c r="L687" s="43">
        <v>0.18</v>
      </c>
      <c r="M687" s="44">
        <f>(Sales[[#This Row],[Gross Amount]]-Sales[[#This Row],[Disc. Amt.]])*Sales[[#This Row],[GST %]]</f>
        <v>24815.951999999997</v>
      </c>
      <c r="N687" s="161">
        <f>Sales[[#This Row],[Gross Amount]]-Sales[[#This Row],[Disc. Amt.]]+Sales[[#This Row],[GST Amount]]</f>
        <v>162682.35199999998</v>
      </c>
      <c r="O687" s="158" t="s">
        <v>3566</v>
      </c>
      <c r="P687" s="158" t="s">
        <v>3562</v>
      </c>
      <c r="Q687" s="160">
        <f>IF(Sales[[#This Row],[Status]]="Cancelled",0,Sales[[#This Row],[Qty]])</f>
        <v>4</v>
      </c>
      <c r="R687" s="161">
        <f>IF(Sales[[#This Row],[Status]]="Cancelled",0,Sales[[#This Row],[Total Amount]])</f>
        <v>162682.35199999998</v>
      </c>
      <c r="S687" s="162">
        <f>SUM(Sales[Net Amount])</f>
        <v>406839287.73200053</v>
      </c>
    </row>
    <row r="688" spans="1:19" ht="18.75" x14ac:dyDescent="0.25">
      <c r="A688" s="163" t="s">
        <v>4266</v>
      </c>
      <c r="B688" s="164">
        <v>45814</v>
      </c>
      <c r="C688" s="34" t="s">
        <v>917</v>
      </c>
      <c r="D688" s="53" t="str">
        <f>VLOOKUP(Sales[[#This Row],[Customer ID]],Customer[#All],2,0)</f>
        <v>Sahil Gupta</v>
      </c>
      <c r="E688" s="34" t="s">
        <v>452</v>
      </c>
      <c r="F688" s="34" t="str">
        <f>VLOOKUP(Sales[[#This Row],[Product ID]],Product[#All],2,0)</f>
        <v>Amazon Basics Hdmi Cable</v>
      </c>
      <c r="G688" s="53">
        <v>5</v>
      </c>
      <c r="H688" s="165">
        <f>VLOOKUP(Sales[[#This Row],[Product ID]],Product[#All],7,0)</f>
        <v>920</v>
      </c>
      <c r="I688" s="165">
        <f>Sales[[#This Row],[Selling Rate]]*Sales[[#This Row],[Qty]]</f>
        <v>4600</v>
      </c>
      <c r="J688" s="45">
        <v>0.02</v>
      </c>
      <c r="K688" s="46">
        <f>Sales[[#This Row],[Gross Amount]]*Sales[[#This Row],[Disc %]]</f>
        <v>92</v>
      </c>
      <c r="L688" s="43">
        <v>0.18</v>
      </c>
      <c r="M688" s="46">
        <f>(Sales[[#This Row],[Gross Amount]]-Sales[[#This Row],[Disc. Amt.]])*Sales[[#This Row],[GST %]]</f>
        <v>811.43999999999994</v>
      </c>
      <c r="N688" s="161">
        <f>Sales[[#This Row],[Gross Amount]]-Sales[[#This Row],[Disc. Amt.]]+Sales[[#This Row],[GST Amount]]</f>
        <v>5319.44</v>
      </c>
      <c r="O688" s="34" t="s">
        <v>3569</v>
      </c>
      <c r="P688" s="34" t="s">
        <v>3562</v>
      </c>
      <c r="Q688" s="165">
        <f>IF(Sales[[#This Row],[Status]]="Cancelled",0,Sales[[#This Row],[Qty]])</f>
        <v>5</v>
      </c>
      <c r="R688" s="166">
        <f>IF(Sales[[#This Row],[Status]]="Cancelled",0,Sales[[#This Row],[Total Amount]])</f>
        <v>5319.44</v>
      </c>
      <c r="S688" s="162">
        <f>SUM(Sales[Net Amount])</f>
        <v>406839287.73200053</v>
      </c>
    </row>
    <row r="689" spans="1:19" ht="18.75" x14ac:dyDescent="0.25">
      <c r="A689" s="156" t="s">
        <v>4267</v>
      </c>
      <c r="B689" s="157">
        <v>45814</v>
      </c>
      <c r="C689" s="158" t="s">
        <v>903</v>
      </c>
      <c r="D689" s="159" t="str">
        <f>VLOOKUP(Sales[[#This Row],[Customer ID]],Customer[#All],2,0)</f>
        <v>Sahil Singh</v>
      </c>
      <c r="E689" s="158" t="s">
        <v>20</v>
      </c>
      <c r="F689" s="158" t="str">
        <f>VLOOKUP(Sales[[#This Row],[Product ID]],Product[#All],2,0)</f>
        <v>Logitech Keyboard</v>
      </c>
      <c r="G689" s="159">
        <v>2</v>
      </c>
      <c r="H689" s="160">
        <f>VLOOKUP(Sales[[#This Row],[Product ID]],Product[#All],7,0)</f>
        <v>3290</v>
      </c>
      <c r="I689" s="160">
        <f>Sales[[#This Row],[Selling Rate]]*Sales[[#This Row],[Qty]]</f>
        <v>6580</v>
      </c>
      <c r="J689" s="43">
        <v>0.05</v>
      </c>
      <c r="K689" s="44">
        <f>Sales[[#This Row],[Gross Amount]]*Sales[[#This Row],[Disc %]]</f>
        <v>329</v>
      </c>
      <c r="L689" s="43">
        <v>0.18</v>
      </c>
      <c r="M689" s="44">
        <f>(Sales[[#This Row],[Gross Amount]]-Sales[[#This Row],[Disc. Amt.]])*Sales[[#This Row],[GST %]]</f>
        <v>1125.18</v>
      </c>
      <c r="N689" s="161">
        <f>Sales[[#This Row],[Gross Amount]]-Sales[[#This Row],[Disc. Amt.]]+Sales[[#This Row],[GST Amount]]</f>
        <v>7376.18</v>
      </c>
      <c r="O689" s="158" t="s">
        <v>8876</v>
      </c>
      <c r="P689" s="158" t="s">
        <v>3562</v>
      </c>
      <c r="Q689" s="160">
        <f>IF(Sales[[#This Row],[Status]]="Cancelled",0,Sales[[#This Row],[Qty]])</f>
        <v>2</v>
      </c>
      <c r="R689" s="161">
        <f>IF(Sales[[#This Row],[Status]]="Cancelled",0,Sales[[#This Row],[Total Amount]])</f>
        <v>7376.18</v>
      </c>
      <c r="S689" s="162">
        <f>SUM(Sales[Net Amount])</f>
        <v>406839287.73200053</v>
      </c>
    </row>
    <row r="690" spans="1:19" ht="18.75" x14ac:dyDescent="0.25">
      <c r="A690" s="163" t="s">
        <v>4268</v>
      </c>
      <c r="B690" s="164">
        <v>45814</v>
      </c>
      <c r="C690" s="34" t="s">
        <v>659</v>
      </c>
      <c r="D690" s="53" t="str">
        <f>VLOOKUP(Sales[[#This Row],[Customer ID]],Customer[#All],2,0)</f>
        <v>Rakesh Sharma</v>
      </c>
      <c r="E690" s="34" t="s">
        <v>270</v>
      </c>
      <c r="F690" s="34" t="str">
        <f>VLOOKUP(Sales[[#This Row],[Product ID]],Product[#All],2,0)</f>
        <v>Samsung Ssd</v>
      </c>
      <c r="G690" s="53">
        <v>6</v>
      </c>
      <c r="H690" s="165">
        <f>VLOOKUP(Sales[[#This Row],[Product ID]],Product[#All],7,0)</f>
        <v>6090</v>
      </c>
      <c r="I690" s="165">
        <f>Sales[[#This Row],[Selling Rate]]*Sales[[#This Row],[Qty]]</f>
        <v>36540</v>
      </c>
      <c r="J690" s="45">
        <v>0.12</v>
      </c>
      <c r="K690" s="46">
        <f>Sales[[#This Row],[Gross Amount]]*Sales[[#This Row],[Disc %]]</f>
        <v>4384.8</v>
      </c>
      <c r="L690" s="43">
        <v>0.18</v>
      </c>
      <c r="M690" s="46">
        <f>(Sales[[#This Row],[Gross Amount]]-Sales[[#This Row],[Disc. Amt.]])*Sales[[#This Row],[GST %]]</f>
        <v>5787.9359999999997</v>
      </c>
      <c r="N690" s="161">
        <f>Sales[[#This Row],[Gross Amount]]-Sales[[#This Row],[Disc. Amt.]]+Sales[[#This Row],[GST Amount]]</f>
        <v>37943.135999999999</v>
      </c>
      <c r="O690" s="34" t="s">
        <v>3566</v>
      </c>
      <c r="P690" s="34" t="s">
        <v>3562</v>
      </c>
      <c r="Q690" s="165">
        <f>IF(Sales[[#This Row],[Status]]="Cancelled",0,Sales[[#This Row],[Qty]])</f>
        <v>6</v>
      </c>
      <c r="R690" s="166">
        <f>IF(Sales[[#This Row],[Status]]="Cancelled",0,Sales[[#This Row],[Total Amount]])</f>
        <v>37943.135999999999</v>
      </c>
      <c r="S690" s="162">
        <f>SUM(Sales[Net Amount])</f>
        <v>406839287.73200053</v>
      </c>
    </row>
    <row r="691" spans="1:19" ht="18.75" x14ac:dyDescent="0.25">
      <c r="A691" s="156" t="s">
        <v>4269</v>
      </c>
      <c r="B691" s="157">
        <v>45814</v>
      </c>
      <c r="C691" s="158" t="s">
        <v>697</v>
      </c>
      <c r="D691" s="159" t="str">
        <f>VLOOKUP(Sales[[#This Row],[Customer ID]],Customer[#All],2,0)</f>
        <v>Priya Kumar</v>
      </c>
      <c r="E691" s="158" t="s">
        <v>210</v>
      </c>
      <c r="F691" s="158" t="str">
        <f>VLOOKUP(Sales[[#This Row],[Product ID]],Product[#All],2,0)</f>
        <v>Jbl Headset</v>
      </c>
      <c r="G691" s="159">
        <v>4</v>
      </c>
      <c r="H691" s="160">
        <f>VLOOKUP(Sales[[#This Row],[Product ID]],Product[#All],7,0)</f>
        <v>1130</v>
      </c>
      <c r="I691" s="160">
        <f>Sales[[#This Row],[Selling Rate]]*Sales[[#This Row],[Qty]]</f>
        <v>4520</v>
      </c>
      <c r="J691" s="43">
        <v>0.05</v>
      </c>
      <c r="K691" s="44">
        <f>Sales[[#This Row],[Gross Amount]]*Sales[[#This Row],[Disc %]]</f>
        <v>226</v>
      </c>
      <c r="L691" s="43">
        <v>0.18</v>
      </c>
      <c r="M691" s="44">
        <f>(Sales[[#This Row],[Gross Amount]]-Sales[[#This Row],[Disc. Amt.]])*Sales[[#This Row],[GST %]]</f>
        <v>772.92</v>
      </c>
      <c r="N691" s="161">
        <f>Sales[[#This Row],[Gross Amount]]-Sales[[#This Row],[Disc. Amt.]]+Sales[[#This Row],[GST Amount]]</f>
        <v>5066.92</v>
      </c>
      <c r="O691" s="158" t="s">
        <v>3566</v>
      </c>
      <c r="P691" s="158" t="s">
        <v>3562</v>
      </c>
      <c r="Q691" s="160">
        <f>IF(Sales[[#This Row],[Status]]="Cancelled",0,Sales[[#This Row],[Qty]])</f>
        <v>4</v>
      </c>
      <c r="R691" s="161">
        <f>IF(Sales[[#This Row],[Status]]="Cancelled",0,Sales[[#This Row],[Total Amount]])</f>
        <v>5066.92</v>
      </c>
      <c r="S691" s="162">
        <f>SUM(Sales[Net Amount])</f>
        <v>406839287.73200053</v>
      </c>
    </row>
    <row r="692" spans="1:19" ht="18.75" x14ac:dyDescent="0.25">
      <c r="A692" s="163" t="s">
        <v>4270</v>
      </c>
      <c r="B692" s="164">
        <v>45814</v>
      </c>
      <c r="C692" s="34" t="s">
        <v>934</v>
      </c>
      <c r="D692" s="53" t="str">
        <f>VLOOKUP(Sales[[#This Row],[Customer ID]],Customer[#All],2,0)</f>
        <v>Pooja Singh</v>
      </c>
      <c r="E692" s="34" t="s">
        <v>323</v>
      </c>
      <c r="F692" s="34" t="str">
        <f>VLOOKUP(Sales[[#This Row],[Product ID]],Product[#All],2,0)</f>
        <v>Dell Desktop</v>
      </c>
      <c r="G692" s="53">
        <v>6</v>
      </c>
      <c r="H692" s="165">
        <f>VLOOKUP(Sales[[#This Row],[Product ID]],Product[#All],7,0)</f>
        <v>45070</v>
      </c>
      <c r="I692" s="165">
        <f>Sales[[#This Row],[Selling Rate]]*Sales[[#This Row],[Qty]]</f>
        <v>270420</v>
      </c>
      <c r="J692" s="45">
        <v>0</v>
      </c>
      <c r="K692" s="46">
        <f>Sales[[#This Row],[Gross Amount]]*Sales[[#This Row],[Disc %]]</f>
        <v>0</v>
      </c>
      <c r="L692" s="43">
        <v>0.18</v>
      </c>
      <c r="M692" s="46">
        <f>(Sales[[#This Row],[Gross Amount]]-Sales[[#This Row],[Disc. Amt.]])*Sales[[#This Row],[GST %]]</f>
        <v>48675.6</v>
      </c>
      <c r="N692" s="161">
        <f>Sales[[#This Row],[Gross Amount]]-Sales[[#This Row],[Disc. Amt.]]+Sales[[#This Row],[GST Amount]]</f>
        <v>319095.59999999998</v>
      </c>
      <c r="O692" s="34" t="s">
        <v>3561</v>
      </c>
      <c r="P692" s="34" t="s">
        <v>3562</v>
      </c>
      <c r="Q692" s="165">
        <f>IF(Sales[[#This Row],[Status]]="Cancelled",0,Sales[[#This Row],[Qty]])</f>
        <v>6</v>
      </c>
      <c r="R692" s="166">
        <f>IF(Sales[[#This Row],[Status]]="Cancelled",0,Sales[[#This Row],[Total Amount]])</f>
        <v>319095.59999999998</v>
      </c>
      <c r="S692" s="162">
        <f>SUM(Sales[Net Amount])</f>
        <v>406839287.73200053</v>
      </c>
    </row>
    <row r="693" spans="1:19" ht="18.75" x14ac:dyDescent="0.25">
      <c r="A693" s="156" t="s">
        <v>4271</v>
      </c>
      <c r="B693" s="157">
        <v>45814</v>
      </c>
      <c r="C693" s="158" t="s">
        <v>825</v>
      </c>
      <c r="D693" s="159" t="str">
        <f>VLOOKUP(Sales[[#This Row],[Customer ID]],Customer[#All],2,0)</f>
        <v>Rahul Kumar</v>
      </c>
      <c r="E693" s="158" t="s">
        <v>219</v>
      </c>
      <c r="F693" s="158" t="str">
        <f>VLOOKUP(Sales[[#This Row],[Product ID]],Product[#All],2,0)</f>
        <v>Samsung Monitor</v>
      </c>
      <c r="G693" s="159">
        <v>4</v>
      </c>
      <c r="H693" s="160">
        <f>VLOOKUP(Sales[[#This Row],[Product ID]],Product[#All],7,0)</f>
        <v>22630</v>
      </c>
      <c r="I693" s="160">
        <f>Sales[[#This Row],[Selling Rate]]*Sales[[#This Row],[Qty]]</f>
        <v>90520</v>
      </c>
      <c r="J693" s="43">
        <v>0.15</v>
      </c>
      <c r="K693" s="44">
        <f>Sales[[#This Row],[Gross Amount]]*Sales[[#This Row],[Disc %]]</f>
        <v>13578</v>
      </c>
      <c r="L693" s="43">
        <v>0.18</v>
      </c>
      <c r="M693" s="44">
        <f>(Sales[[#This Row],[Gross Amount]]-Sales[[#This Row],[Disc. Amt.]])*Sales[[#This Row],[GST %]]</f>
        <v>13849.56</v>
      </c>
      <c r="N693" s="161">
        <f>Sales[[#This Row],[Gross Amount]]-Sales[[#This Row],[Disc. Amt.]]+Sales[[#This Row],[GST Amount]]</f>
        <v>90791.56</v>
      </c>
      <c r="O693" s="158" t="s">
        <v>3569</v>
      </c>
      <c r="P693" s="158" t="s">
        <v>1040</v>
      </c>
      <c r="Q693" s="160">
        <f>IF(Sales[[#This Row],[Status]]="Cancelled",0,Sales[[#This Row],[Qty]])</f>
        <v>0</v>
      </c>
      <c r="R693" s="161">
        <f>IF(Sales[[#This Row],[Status]]="Cancelled",0,Sales[[#This Row],[Total Amount]])</f>
        <v>0</v>
      </c>
      <c r="S693" s="162">
        <f>SUM(Sales[Net Amount])</f>
        <v>406839287.73200053</v>
      </c>
    </row>
    <row r="694" spans="1:19" ht="18.75" x14ac:dyDescent="0.25">
      <c r="A694" s="163" t="s">
        <v>4272</v>
      </c>
      <c r="B694" s="164">
        <v>45814</v>
      </c>
      <c r="C694" s="34" t="s">
        <v>750</v>
      </c>
      <c r="D694" s="53" t="str">
        <f>VLOOKUP(Sales[[#This Row],[Customer ID]],Customer[#All],2,0)</f>
        <v>Rakesh Verma</v>
      </c>
      <c r="E694" s="34" t="s">
        <v>523</v>
      </c>
      <c r="F694" s="34" t="str">
        <f>VLOOKUP(Sales[[#This Row],[Product ID]],Product[#All],2,0)</f>
        <v>Logitech Mouse</v>
      </c>
      <c r="G694" s="53">
        <v>4</v>
      </c>
      <c r="H694" s="165">
        <f>VLOOKUP(Sales[[#This Row],[Product ID]],Product[#All],7,0)</f>
        <v>1300</v>
      </c>
      <c r="I694" s="165">
        <f>Sales[[#This Row],[Selling Rate]]*Sales[[#This Row],[Qty]]</f>
        <v>5200</v>
      </c>
      <c r="J694" s="45">
        <v>0</v>
      </c>
      <c r="K694" s="46">
        <f>Sales[[#This Row],[Gross Amount]]*Sales[[#This Row],[Disc %]]</f>
        <v>0</v>
      </c>
      <c r="L694" s="43">
        <v>0.18</v>
      </c>
      <c r="M694" s="46">
        <f>(Sales[[#This Row],[Gross Amount]]-Sales[[#This Row],[Disc. Amt.]])*Sales[[#This Row],[GST %]]</f>
        <v>936</v>
      </c>
      <c r="N694" s="161">
        <f>Sales[[#This Row],[Gross Amount]]-Sales[[#This Row],[Disc. Amt.]]+Sales[[#This Row],[GST Amount]]</f>
        <v>6136</v>
      </c>
      <c r="O694" s="34" t="s">
        <v>3569</v>
      </c>
      <c r="P694" s="34" t="s">
        <v>3562</v>
      </c>
      <c r="Q694" s="165">
        <f>IF(Sales[[#This Row],[Status]]="Cancelled",0,Sales[[#This Row],[Qty]])</f>
        <v>4</v>
      </c>
      <c r="R694" s="166">
        <f>IF(Sales[[#This Row],[Status]]="Cancelled",0,Sales[[#This Row],[Total Amount]])</f>
        <v>6136</v>
      </c>
      <c r="S694" s="162">
        <f>SUM(Sales[Net Amount])</f>
        <v>406839287.73200053</v>
      </c>
    </row>
    <row r="695" spans="1:19" ht="18.75" x14ac:dyDescent="0.25">
      <c r="A695" s="156" t="s">
        <v>4273</v>
      </c>
      <c r="B695" s="157">
        <v>45814</v>
      </c>
      <c r="C695" s="158" t="s">
        <v>797</v>
      </c>
      <c r="D695" s="159" t="str">
        <f>VLOOKUP(Sales[[#This Row],[Customer ID]],Customer[#All],2,0)</f>
        <v>Ankit Gupta</v>
      </c>
      <c r="E695" s="158" t="s">
        <v>130</v>
      </c>
      <c r="F695" s="158" t="str">
        <f>VLOOKUP(Sales[[#This Row],[Product ID]],Product[#All],2,0)</f>
        <v>Lenovo Laptop</v>
      </c>
      <c r="G695" s="159">
        <v>6</v>
      </c>
      <c r="H695" s="160">
        <f>VLOOKUP(Sales[[#This Row],[Product ID]],Product[#All],7,0)</f>
        <v>39230</v>
      </c>
      <c r="I695" s="160">
        <f>Sales[[#This Row],[Selling Rate]]*Sales[[#This Row],[Qty]]</f>
        <v>235380</v>
      </c>
      <c r="J695" s="43">
        <v>0.12</v>
      </c>
      <c r="K695" s="44">
        <f>Sales[[#This Row],[Gross Amount]]*Sales[[#This Row],[Disc %]]</f>
        <v>28245.599999999999</v>
      </c>
      <c r="L695" s="43">
        <v>0.18</v>
      </c>
      <c r="M695" s="44">
        <f>(Sales[[#This Row],[Gross Amount]]-Sales[[#This Row],[Disc. Amt.]])*Sales[[#This Row],[GST %]]</f>
        <v>37284.191999999995</v>
      </c>
      <c r="N695" s="161">
        <f>Sales[[#This Row],[Gross Amount]]-Sales[[#This Row],[Disc. Amt.]]+Sales[[#This Row],[GST Amount]]</f>
        <v>244418.592</v>
      </c>
      <c r="O695" s="158" t="s">
        <v>8876</v>
      </c>
      <c r="P695" s="158" t="s">
        <v>3562</v>
      </c>
      <c r="Q695" s="160">
        <f>IF(Sales[[#This Row],[Status]]="Cancelled",0,Sales[[#This Row],[Qty]])</f>
        <v>6</v>
      </c>
      <c r="R695" s="161">
        <f>IF(Sales[[#This Row],[Status]]="Cancelled",0,Sales[[#This Row],[Total Amount]])</f>
        <v>244418.592</v>
      </c>
      <c r="S695" s="162">
        <f>SUM(Sales[Net Amount])</f>
        <v>406839287.73200053</v>
      </c>
    </row>
    <row r="696" spans="1:19" ht="18.75" x14ac:dyDescent="0.25">
      <c r="A696" s="163" t="s">
        <v>4274</v>
      </c>
      <c r="B696" s="164">
        <v>45814</v>
      </c>
      <c r="C696" s="34" t="s">
        <v>795</v>
      </c>
      <c r="D696" s="53" t="str">
        <f>VLOOKUP(Sales[[#This Row],[Customer ID]],Customer[#All],2,0)</f>
        <v>Sahil Gupta</v>
      </c>
      <c r="E696" s="34" t="s">
        <v>338</v>
      </c>
      <c r="F696" s="34" t="str">
        <f>VLOOKUP(Sales[[#This Row],[Product ID]],Product[#All],2,0)</f>
        <v>Canon Printer</v>
      </c>
      <c r="G696" s="53">
        <v>4</v>
      </c>
      <c r="H696" s="165">
        <f>VLOOKUP(Sales[[#This Row],[Product ID]],Product[#All],7,0)</f>
        <v>13780</v>
      </c>
      <c r="I696" s="165">
        <f>Sales[[#This Row],[Selling Rate]]*Sales[[#This Row],[Qty]]</f>
        <v>55120</v>
      </c>
      <c r="J696" s="45">
        <v>0.05</v>
      </c>
      <c r="K696" s="46">
        <f>Sales[[#This Row],[Gross Amount]]*Sales[[#This Row],[Disc %]]</f>
        <v>2756</v>
      </c>
      <c r="L696" s="43">
        <v>0.18</v>
      </c>
      <c r="M696" s="46">
        <f>(Sales[[#This Row],[Gross Amount]]-Sales[[#This Row],[Disc. Amt.]])*Sales[[#This Row],[GST %]]</f>
        <v>9425.52</v>
      </c>
      <c r="N696" s="161">
        <f>Sales[[#This Row],[Gross Amount]]-Sales[[#This Row],[Disc. Amt.]]+Sales[[#This Row],[GST Amount]]</f>
        <v>61789.520000000004</v>
      </c>
      <c r="O696" s="34" t="s">
        <v>3561</v>
      </c>
      <c r="P696" s="34" t="s">
        <v>3562</v>
      </c>
      <c r="Q696" s="165">
        <f>IF(Sales[[#This Row],[Status]]="Cancelled",0,Sales[[#This Row],[Qty]])</f>
        <v>4</v>
      </c>
      <c r="R696" s="166">
        <f>IF(Sales[[#This Row],[Status]]="Cancelled",0,Sales[[#This Row],[Total Amount]])</f>
        <v>61789.520000000004</v>
      </c>
      <c r="S696" s="162">
        <f>SUM(Sales[Net Amount])</f>
        <v>406839287.73200053</v>
      </c>
    </row>
    <row r="697" spans="1:19" ht="18.75" x14ac:dyDescent="0.25">
      <c r="A697" s="156" t="s">
        <v>4275</v>
      </c>
      <c r="B697" s="157">
        <v>45814</v>
      </c>
      <c r="C697" s="158" t="s">
        <v>911</v>
      </c>
      <c r="D697" s="159" t="str">
        <f>VLOOKUP(Sales[[#This Row],[Customer ID]],Customer[#All],2,0)</f>
        <v>Amit Kumar</v>
      </c>
      <c r="E697" s="158" t="s">
        <v>495</v>
      </c>
      <c r="F697" s="158" t="str">
        <f>VLOOKUP(Sales[[#This Row],[Product ID]],Product[#All],2,0)</f>
        <v>Dell Laptop</v>
      </c>
      <c r="G697" s="159">
        <v>7</v>
      </c>
      <c r="H697" s="160">
        <f>VLOOKUP(Sales[[#This Row],[Product ID]],Product[#All],7,0)</f>
        <v>63410</v>
      </c>
      <c r="I697" s="160">
        <f>Sales[[#This Row],[Selling Rate]]*Sales[[#This Row],[Qty]]</f>
        <v>443870</v>
      </c>
      <c r="J697" s="43">
        <v>0.02</v>
      </c>
      <c r="K697" s="44">
        <f>Sales[[#This Row],[Gross Amount]]*Sales[[#This Row],[Disc %]]</f>
        <v>8877.4</v>
      </c>
      <c r="L697" s="43">
        <v>0.18</v>
      </c>
      <c r="M697" s="44">
        <f>(Sales[[#This Row],[Gross Amount]]-Sales[[#This Row],[Disc. Amt.]])*Sales[[#This Row],[GST %]]</f>
        <v>78298.667999999991</v>
      </c>
      <c r="N697" s="161">
        <f>Sales[[#This Row],[Gross Amount]]-Sales[[#This Row],[Disc. Amt.]]+Sales[[#This Row],[GST Amount]]</f>
        <v>513291.26799999998</v>
      </c>
      <c r="O697" s="158" t="s">
        <v>3561</v>
      </c>
      <c r="P697" s="158" t="s">
        <v>3562</v>
      </c>
      <c r="Q697" s="160">
        <f>IF(Sales[[#This Row],[Status]]="Cancelled",0,Sales[[#This Row],[Qty]])</f>
        <v>7</v>
      </c>
      <c r="R697" s="161">
        <f>IF(Sales[[#This Row],[Status]]="Cancelled",0,Sales[[#This Row],[Total Amount]])</f>
        <v>513291.26799999998</v>
      </c>
      <c r="S697" s="162">
        <f>SUM(Sales[Net Amount])</f>
        <v>406839287.73200053</v>
      </c>
    </row>
    <row r="698" spans="1:19" ht="18.75" x14ac:dyDescent="0.25">
      <c r="A698" s="163" t="s">
        <v>4276</v>
      </c>
      <c r="B698" s="164">
        <v>45814</v>
      </c>
      <c r="C698" s="34" t="s">
        <v>690</v>
      </c>
      <c r="D698" s="53" t="str">
        <f>VLOOKUP(Sales[[#This Row],[Customer ID]],Customer[#All],2,0)</f>
        <v>Priya Patel</v>
      </c>
      <c r="E698" s="34" t="s">
        <v>67</v>
      </c>
      <c r="F698" s="34" t="str">
        <f>VLOOKUP(Sales[[#This Row],[Product ID]],Product[#All],2,0)</f>
        <v>TP-link Wi-Fi Adapter</v>
      </c>
      <c r="G698" s="53">
        <v>1</v>
      </c>
      <c r="H698" s="165">
        <f>VLOOKUP(Sales[[#This Row],[Product ID]],Product[#All],7,0)</f>
        <v>2990</v>
      </c>
      <c r="I698" s="165">
        <f>Sales[[#This Row],[Selling Rate]]*Sales[[#This Row],[Qty]]</f>
        <v>2990</v>
      </c>
      <c r="J698" s="45">
        <v>0</v>
      </c>
      <c r="K698" s="46">
        <f>Sales[[#This Row],[Gross Amount]]*Sales[[#This Row],[Disc %]]</f>
        <v>0</v>
      </c>
      <c r="L698" s="43">
        <v>0.18</v>
      </c>
      <c r="M698" s="46">
        <f>(Sales[[#This Row],[Gross Amount]]-Sales[[#This Row],[Disc. Amt.]])*Sales[[#This Row],[GST %]]</f>
        <v>538.19999999999993</v>
      </c>
      <c r="N698" s="161">
        <f>Sales[[#This Row],[Gross Amount]]-Sales[[#This Row],[Disc. Amt.]]+Sales[[#This Row],[GST Amount]]</f>
        <v>3528.2</v>
      </c>
      <c r="O698" s="34" t="s">
        <v>3566</v>
      </c>
      <c r="P698" s="34" t="s">
        <v>3562</v>
      </c>
      <c r="Q698" s="165">
        <f>IF(Sales[[#This Row],[Status]]="Cancelled",0,Sales[[#This Row],[Qty]])</f>
        <v>1</v>
      </c>
      <c r="R698" s="166">
        <f>IF(Sales[[#This Row],[Status]]="Cancelled",0,Sales[[#This Row],[Total Amount]])</f>
        <v>3528.2</v>
      </c>
      <c r="S698" s="162">
        <f>SUM(Sales[Net Amount])</f>
        <v>406839287.73200053</v>
      </c>
    </row>
    <row r="699" spans="1:19" ht="18.75" x14ac:dyDescent="0.25">
      <c r="A699" s="156" t="s">
        <v>4277</v>
      </c>
      <c r="B699" s="157">
        <v>45814</v>
      </c>
      <c r="C699" s="158" t="s">
        <v>793</v>
      </c>
      <c r="D699" s="159" t="str">
        <f>VLOOKUP(Sales[[#This Row],[Customer ID]],Customer[#All],2,0)</f>
        <v>Neha Verma</v>
      </c>
      <c r="E699" s="158" t="s">
        <v>528</v>
      </c>
      <c r="F699" s="158" t="str">
        <f>VLOOKUP(Sales[[#This Row],[Product ID]],Product[#All],2,0)</f>
        <v>Kingston Ram</v>
      </c>
      <c r="G699" s="159">
        <v>3</v>
      </c>
      <c r="H699" s="160">
        <f>VLOOKUP(Sales[[#This Row],[Product ID]],Product[#All],7,0)</f>
        <v>4750</v>
      </c>
      <c r="I699" s="160">
        <f>Sales[[#This Row],[Selling Rate]]*Sales[[#This Row],[Qty]]</f>
        <v>14250</v>
      </c>
      <c r="J699" s="43">
        <v>0.1</v>
      </c>
      <c r="K699" s="44">
        <f>Sales[[#This Row],[Gross Amount]]*Sales[[#This Row],[Disc %]]</f>
        <v>1425</v>
      </c>
      <c r="L699" s="43">
        <v>0.18</v>
      </c>
      <c r="M699" s="44">
        <f>(Sales[[#This Row],[Gross Amount]]-Sales[[#This Row],[Disc. Amt.]])*Sales[[#This Row],[GST %]]</f>
        <v>2308.5</v>
      </c>
      <c r="N699" s="161">
        <f>Sales[[#This Row],[Gross Amount]]-Sales[[#This Row],[Disc. Amt.]]+Sales[[#This Row],[GST Amount]]</f>
        <v>15133.5</v>
      </c>
      <c r="O699" s="158" t="s">
        <v>3561</v>
      </c>
      <c r="P699" s="158" t="s">
        <v>3562</v>
      </c>
      <c r="Q699" s="160">
        <f>IF(Sales[[#This Row],[Status]]="Cancelled",0,Sales[[#This Row],[Qty]])</f>
        <v>3</v>
      </c>
      <c r="R699" s="161">
        <f>IF(Sales[[#This Row],[Status]]="Cancelled",0,Sales[[#This Row],[Total Amount]])</f>
        <v>15133.5</v>
      </c>
      <c r="S699" s="162">
        <f>SUM(Sales[Net Amount])</f>
        <v>406839287.73200053</v>
      </c>
    </row>
    <row r="700" spans="1:19" ht="18.75" x14ac:dyDescent="0.25">
      <c r="A700" s="163" t="s">
        <v>4278</v>
      </c>
      <c r="B700" s="164">
        <v>45814</v>
      </c>
      <c r="C700" s="34" t="s">
        <v>718</v>
      </c>
      <c r="D700" s="53" t="str">
        <f>VLOOKUP(Sales[[#This Row],[Customer ID]],Customer[#All],2,0)</f>
        <v>Rakesh Patel</v>
      </c>
      <c r="E700" s="34" t="s">
        <v>463</v>
      </c>
      <c r="F700" s="34" t="str">
        <f>VLOOKUP(Sales[[#This Row],[Product ID]],Product[#All],2,0)</f>
        <v>Apc UPS</v>
      </c>
      <c r="G700" s="53">
        <v>4</v>
      </c>
      <c r="H700" s="165">
        <f>VLOOKUP(Sales[[#This Row],[Product ID]],Product[#All],7,0)</f>
        <v>10050</v>
      </c>
      <c r="I700" s="165">
        <f>Sales[[#This Row],[Selling Rate]]*Sales[[#This Row],[Qty]]</f>
        <v>40200</v>
      </c>
      <c r="J700" s="45">
        <v>0.02</v>
      </c>
      <c r="K700" s="46">
        <f>Sales[[#This Row],[Gross Amount]]*Sales[[#This Row],[Disc %]]</f>
        <v>804</v>
      </c>
      <c r="L700" s="43">
        <v>0.18</v>
      </c>
      <c r="M700" s="46">
        <f>(Sales[[#This Row],[Gross Amount]]-Sales[[#This Row],[Disc. Amt.]])*Sales[[#This Row],[GST %]]</f>
        <v>7091.28</v>
      </c>
      <c r="N700" s="161">
        <f>Sales[[#This Row],[Gross Amount]]-Sales[[#This Row],[Disc. Amt.]]+Sales[[#This Row],[GST Amount]]</f>
        <v>46487.28</v>
      </c>
      <c r="O700" s="34" t="s">
        <v>8876</v>
      </c>
      <c r="P700" s="34" t="s">
        <v>3562</v>
      </c>
      <c r="Q700" s="165">
        <f>IF(Sales[[#This Row],[Status]]="Cancelled",0,Sales[[#This Row],[Qty]])</f>
        <v>4</v>
      </c>
      <c r="R700" s="166">
        <f>IF(Sales[[#This Row],[Status]]="Cancelled",0,Sales[[#This Row],[Total Amount]])</f>
        <v>46487.28</v>
      </c>
      <c r="S700" s="162">
        <f>SUM(Sales[Net Amount])</f>
        <v>406839287.73200053</v>
      </c>
    </row>
    <row r="701" spans="1:19" ht="18.75" x14ac:dyDescent="0.25">
      <c r="A701" s="156" t="s">
        <v>4279</v>
      </c>
      <c r="B701" s="157">
        <v>45814</v>
      </c>
      <c r="C701" s="158" t="s">
        <v>666</v>
      </c>
      <c r="D701" s="159" t="str">
        <f>VLOOKUP(Sales[[#This Row],[Customer ID]],Customer[#All],2,0)</f>
        <v>Sahil Gupta</v>
      </c>
      <c r="E701" s="158" t="s">
        <v>312</v>
      </c>
      <c r="F701" s="158" t="str">
        <f>VLOOKUP(Sales[[#This Row],[Product ID]],Product[#All],2,0)</f>
        <v>Dell Desktop</v>
      </c>
      <c r="G701" s="159">
        <v>6</v>
      </c>
      <c r="H701" s="160">
        <f>VLOOKUP(Sales[[#This Row],[Product ID]],Product[#All],7,0)</f>
        <v>59050</v>
      </c>
      <c r="I701" s="160">
        <f>Sales[[#This Row],[Selling Rate]]*Sales[[#This Row],[Qty]]</f>
        <v>354300</v>
      </c>
      <c r="J701" s="43">
        <v>0.15</v>
      </c>
      <c r="K701" s="44">
        <f>Sales[[#This Row],[Gross Amount]]*Sales[[#This Row],[Disc %]]</f>
        <v>53145</v>
      </c>
      <c r="L701" s="43">
        <v>0.18</v>
      </c>
      <c r="M701" s="44">
        <f>(Sales[[#This Row],[Gross Amount]]-Sales[[#This Row],[Disc. Amt.]])*Sales[[#This Row],[GST %]]</f>
        <v>54207.9</v>
      </c>
      <c r="N701" s="161">
        <f>Sales[[#This Row],[Gross Amount]]-Sales[[#This Row],[Disc. Amt.]]+Sales[[#This Row],[GST Amount]]</f>
        <v>355362.9</v>
      </c>
      <c r="O701" s="158" t="s">
        <v>3561</v>
      </c>
      <c r="P701" s="158" t="s">
        <v>3562</v>
      </c>
      <c r="Q701" s="160">
        <f>IF(Sales[[#This Row],[Status]]="Cancelled",0,Sales[[#This Row],[Qty]])</f>
        <v>6</v>
      </c>
      <c r="R701" s="161">
        <f>IF(Sales[[#This Row],[Status]]="Cancelled",0,Sales[[#This Row],[Total Amount]])</f>
        <v>355362.9</v>
      </c>
      <c r="S701" s="162">
        <f>SUM(Sales[Net Amount])</f>
        <v>406839287.73200053</v>
      </c>
    </row>
    <row r="702" spans="1:19" ht="18.75" x14ac:dyDescent="0.25">
      <c r="A702" s="163" t="s">
        <v>4280</v>
      </c>
      <c r="B702" s="164">
        <v>45814</v>
      </c>
      <c r="C702" s="34" t="s">
        <v>939</v>
      </c>
      <c r="D702" s="53" t="str">
        <f>VLOOKUP(Sales[[#This Row],[Customer ID]],Customer[#All],2,0)</f>
        <v>Sunita Sharma</v>
      </c>
      <c r="E702" s="34" t="s">
        <v>315</v>
      </c>
      <c r="F702" s="34" t="str">
        <f>VLOOKUP(Sales[[#This Row],[Product ID]],Product[#All],2,0)</f>
        <v>Jbl Headset</v>
      </c>
      <c r="G702" s="53">
        <v>6</v>
      </c>
      <c r="H702" s="165">
        <f>VLOOKUP(Sales[[#This Row],[Product ID]],Product[#All],7,0)</f>
        <v>2630</v>
      </c>
      <c r="I702" s="165">
        <f>Sales[[#This Row],[Selling Rate]]*Sales[[#This Row],[Qty]]</f>
        <v>15780</v>
      </c>
      <c r="J702" s="45">
        <v>0</v>
      </c>
      <c r="K702" s="46">
        <f>Sales[[#This Row],[Gross Amount]]*Sales[[#This Row],[Disc %]]</f>
        <v>0</v>
      </c>
      <c r="L702" s="43">
        <v>0.18</v>
      </c>
      <c r="M702" s="46">
        <f>(Sales[[#This Row],[Gross Amount]]-Sales[[#This Row],[Disc. Amt.]])*Sales[[#This Row],[GST %]]</f>
        <v>2840.4</v>
      </c>
      <c r="N702" s="161">
        <f>Sales[[#This Row],[Gross Amount]]-Sales[[#This Row],[Disc. Amt.]]+Sales[[#This Row],[GST Amount]]</f>
        <v>18620.400000000001</v>
      </c>
      <c r="O702" s="34" t="s">
        <v>3561</v>
      </c>
      <c r="P702" s="34" t="s">
        <v>3562</v>
      </c>
      <c r="Q702" s="165">
        <f>IF(Sales[[#This Row],[Status]]="Cancelled",0,Sales[[#This Row],[Qty]])</f>
        <v>6</v>
      </c>
      <c r="R702" s="166">
        <f>IF(Sales[[#This Row],[Status]]="Cancelled",0,Sales[[#This Row],[Total Amount]])</f>
        <v>18620.400000000001</v>
      </c>
      <c r="S702" s="162">
        <f>SUM(Sales[Net Amount])</f>
        <v>406839287.73200053</v>
      </c>
    </row>
    <row r="703" spans="1:19" ht="18.75" x14ac:dyDescent="0.25">
      <c r="A703" s="156" t="s">
        <v>4281</v>
      </c>
      <c r="B703" s="157">
        <v>45814</v>
      </c>
      <c r="C703" s="158" t="s">
        <v>711</v>
      </c>
      <c r="D703" s="159" t="str">
        <f>VLOOKUP(Sales[[#This Row],[Customer ID]],Customer[#All],2,0)</f>
        <v>Priya Verma</v>
      </c>
      <c r="E703" s="158" t="s">
        <v>381</v>
      </c>
      <c r="F703" s="158" t="str">
        <f>VLOOKUP(Sales[[#This Row],[Product ID]],Product[#All],2,0)</f>
        <v>HP Power Adapter</v>
      </c>
      <c r="G703" s="159">
        <v>5</v>
      </c>
      <c r="H703" s="160">
        <f>VLOOKUP(Sales[[#This Row],[Product ID]],Product[#All],7,0)</f>
        <v>990</v>
      </c>
      <c r="I703" s="160">
        <f>Sales[[#This Row],[Selling Rate]]*Sales[[#This Row],[Qty]]</f>
        <v>4950</v>
      </c>
      <c r="J703" s="43">
        <v>0.05</v>
      </c>
      <c r="K703" s="44">
        <f>Sales[[#This Row],[Gross Amount]]*Sales[[#This Row],[Disc %]]</f>
        <v>247.5</v>
      </c>
      <c r="L703" s="43">
        <v>0.18</v>
      </c>
      <c r="M703" s="44">
        <f>(Sales[[#This Row],[Gross Amount]]-Sales[[#This Row],[Disc. Amt.]])*Sales[[#This Row],[GST %]]</f>
        <v>846.44999999999993</v>
      </c>
      <c r="N703" s="161">
        <f>Sales[[#This Row],[Gross Amount]]-Sales[[#This Row],[Disc. Amt.]]+Sales[[#This Row],[GST Amount]]</f>
        <v>5548.95</v>
      </c>
      <c r="O703" s="158" t="s">
        <v>3569</v>
      </c>
      <c r="P703" s="158" t="s">
        <v>3562</v>
      </c>
      <c r="Q703" s="160">
        <f>IF(Sales[[#This Row],[Status]]="Cancelled",0,Sales[[#This Row],[Qty]])</f>
        <v>5</v>
      </c>
      <c r="R703" s="161">
        <f>IF(Sales[[#This Row],[Status]]="Cancelled",0,Sales[[#This Row],[Total Amount]])</f>
        <v>5548.95</v>
      </c>
      <c r="S703" s="162">
        <f>SUM(Sales[Net Amount])</f>
        <v>406839287.73200053</v>
      </c>
    </row>
    <row r="704" spans="1:19" ht="18.75" x14ac:dyDescent="0.25">
      <c r="A704" s="163" t="s">
        <v>4282</v>
      </c>
      <c r="B704" s="164">
        <v>45814</v>
      </c>
      <c r="C704" s="34" t="s">
        <v>949</v>
      </c>
      <c r="D704" s="53" t="str">
        <f>VLOOKUP(Sales[[#This Row],[Customer ID]],Customer[#All],2,0)</f>
        <v>Amit Patel</v>
      </c>
      <c r="E704" s="34" t="s">
        <v>535</v>
      </c>
      <c r="F704" s="34" t="str">
        <f>VLOOKUP(Sales[[#This Row],[Product ID]],Product[#All],2,0)</f>
        <v>Logitech Keyboard</v>
      </c>
      <c r="G704" s="53">
        <v>6</v>
      </c>
      <c r="H704" s="165">
        <f>VLOOKUP(Sales[[#This Row],[Product ID]],Product[#All],7,0)</f>
        <v>810</v>
      </c>
      <c r="I704" s="165">
        <f>Sales[[#This Row],[Selling Rate]]*Sales[[#This Row],[Qty]]</f>
        <v>4860</v>
      </c>
      <c r="J704" s="45">
        <v>0.1</v>
      </c>
      <c r="K704" s="46">
        <f>Sales[[#This Row],[Gross Amount]]*Sales[[#This Row],[Disc %]]</f>
        <v>486</v>
      </c>
      <c r="L704" s="43">
        <v>0.18</v>
      </c>
      <c r="M704" s="46">
        <f>(Sales[[#This Row],[Gross Amount]]-Sales[[#This Row],[Disc. Amt.]])*Sales[[#This Row],[GST %]]</f>
        <v>787.31999999999994</v>
      </c>
      <c r="N704" s="161">
        <f>Sales[[#This Row],[Gross Amount]]-Sales[[#This Row],[Disc. Amt.]]+Sales[[#This Row],[GST Amount]]</f>
        <v>5161.32</v>
      </c>
      <c r="O704" s="34" t="s">
        <v>8876</v>
      </c>
      <c r="P704" s="34" t="s">
        <v>3562</v>
      </c>
      <c r="Q704" s="165">
        <f>IF(Sales[[#This Row],[Status]]="Cancelled",0,Sales[[#This Row],[Qty]])</f>
        <v>6</v>
      </c>
      <c r="R704" s="166">
        <f>IF(Sales[[#This Row],[Status]]="Cancelled",0,Sales[[#This Row],[Total Amount]])</f>
        <v>5161.32</v>
      </c>
      <c r="S704" s="162">
        <f>SUM(Sales[Net Amount])</f>
        <v>406839287.73200053</v>
      </c>
    </row>
    <row r="705" spans="1:19" ht="18.75" x14ac:dyDescent="0.25">
      <c r="A705" s="156" t="s">
        <v>4283</v>
      </c>
      <c r="B705" s="157">
        <v>45814</v>
      </c>
      <c r="C705" s="158" t="s">
        <v>820</v>
      </c>
      <c r="D705" s="159" t="str">
        <f>VLOOKUP(Sales[[#This Row],[Customer ID]],Customer[#All],2,0)</f>
        <v>Sahil Gupta</v>
      </c>
      <c r="E705" s="158" t="s">
        <v>439</v>
      </c>
      <c r="F705" s="158" t="str">
        <f>VLOOKUP(Sales[[#This Row],[Product ID]],Product[#All],2,0)</f>
        <v>HP Laptop</v>
      </c>
      <c r="G705" s="159">
        <v>1</v>
      </c>
      <c r="H705" s="160">
        <f>VLOOKUP(Sales[[#This Row],[Product ID]],Product[#All],7,0)</f>
        <v>83330</v>
      </c>
      <c r="I705" s="160">
        <f>Sales[[#This Row],[Selling Rate]]*Sales[[#This Row],[Qty]]</f>
        <v>83330</v>
      </c>
      <c r="J705" s="43">
        <v>0</v>
      </c>
      <c r="K705" s="44">
        <f>Sales[[#This Row],[Gross Amount]]*Sales[[#This Row],[Disc %]]</f>
        <v>0</v>
      </c>
      <c r="L705" s="43">
        <v>0.18</v>
      </c>
      <c r="M705" s="44">
        <f>(Sales[[#This Row],[Gross Amount]]-Sales[[#This Row],[Disc. Amt.]])*Sales[[#This Row],[GST %]]</f>
        <v>14999.4</v>
      </c>
      <c r="N705" s="161">
        <f>Sales[[#This Row],[Gross Amount]]-Sales[[#This Row],[Disc. Amt.]]+Sales[[#This Row],[GST Amount]]</f>
        <v>98329.4</v>
      </c>
      <c r="O705" s="158" t="s">
        <v>3569</v>
      </c>
      <c r="P705" s="158" t="s">
        <v>3562</v>
      </c>
      <c r="Q705" s="160">
        <f>IF(Sales[[#This Row],[Status]]="Cancelled",0,Sales[[#This Row],[Qty]])</f>
        <v>1</v>
      </c>
      <c r="R705" s="161">
        <f>IF(Sales[[#This Row],[Status]]="Cancelled",0,Sales[[#This Row],[Total Amount]])</f>
        <v>98329.4</v>
      </c>
      <c r="S705" s="162">
        <f>SUM(Sales[Net Amount])</f>
        <v>406839287.73200053</v>
      </c>
    </row>
    <row r="706" spans="1:19" ht="18.75" x14ac:dyDescent="0.25">
      <c r="A706" s="163" t="s">
        <v>4284</v>
      </c>
      <c r="B706" s="164">
        <v>45815</v>
      </c>
      <c r="C706" s="34" t="s">
        <v>892</v>
      </c>
      <c r="D706" s="53" t="str">
        <f>VLOOKUP(Sales[[#This Row],[Customer ID]],Customer[#All],2,0)</f>
        <v>Sahil Verma</v>
      </c>
      <c r="E706" s="34" t="s">
        <v>511</v>
      </c>
      <c r="F706" s="34" t="str">
        <f>VLOOKUP(Sales[[#This Row],[Product ID]],Product[#All],2,0)</f>
        <v>Amazon Basics Hdmi Cable</v>
      </c>
      <c r="G706" s="53">
        <v>7</v>
      </c>
      <c r="H706" s="165">
        <f>VLOOKUP(Sales[[#This Row],[Product ID]],Product[#All],7,0)</f>
        <v>1240</v>
      </c>
      <c r="I706" s="165">
        <f>Sales[[#This Row],[Selling Rate]]*Sales[[#This Row],[Qty]]</f>
        <v>8680</v>
      </c>
      <c r="J706" s="45">
        <v>0.12</v>
      </c>
      <c r="K706" s="46">
        <f>Sales[[#This Row],[Gross Amount]]*Sales[[#This Row],[Disc %]]</f>
        <v>1041.5999999999999</v>
      </c>
      <c r="L706" s="43">
        <v>0.18</v>
      </c>
      <c r="M706" s="46">
        <f>(Sales[[#This Row],[Gross Amount]]-Sales[[#This Row],[Disc. Amt.]])*Sales[[#This Row],[GST %]]</f>
        <v>1374.9119999999998</v>
      </c>
      <c r="N706" s="161">
        <f>Sales[[#This Row],[Gross Amount]]-Sales[[#This Row],[Disc. Amt.]]+Sales[[#This Row],[GST Amount]]</f>
        <v>9013.3119999999999</v>
      </c>
      <c r="O706" s="34" t="s">
        <v>8876</v>
      </c>
      <c r="P706" s="34" t="s">
        <v>3562</v>
      </c>
      <c r="Q706" s="165">
        <f>IF(Sales[[#This Row],[Status]]="Cancelled",0,Sales[[#This Row],[Qty]])</f>
        <v>7</v>
      </c>
      <c r="R706" s="166">
        <f>IF(Sales[[#This Row],[Status]]="Cancelled",0,Sales[[#This Row],[Total Amount]])</f>
        <v>9013.3119999999999</v>
      </c>
      <c r="S706" s="162">
        <f>SUM(Sales[Net Amount])</f>
        <v>406839287.73200053</v>
      </c>
    </row>
    <row r="707" spans="1:19" ht="18.75" x14ac:dyDescent="0.25">
      <c r="A707" s="156" t="s">
        <v>4285</v>
      </c>
      <c r="B707" s="157">
        <v>45815</v>
      </c>
      <c r="C707" s="158" t="s">
        <v>883</v>
      </c>
      <c r="D707" s="159" t="str">
        <f>VLOOKUP(Sales[[#This Row],[Customer ID]],Customer[#All],2,0)</f>
        <v>Rahul Verma</v>
      </c>
      <c r="E707" s="158" t="s">
        <v>270</v>
      </c>
      <c r="F707" s="158" t="str">
        <f>VLOOKUP(Sales[[#This Row],[Product ID]],Product[#All],2,0)</f>
        <v>Samsung Ssd</v>
      </c>
      <c r="G707" s="159">
        <v>4</v>
      </c>
      <c r="H707" s="160">
        <f>VLOOKUP(Sales[[#This Row],[Product ID]],Product[#All],7,0)</f>
        <v>6090</v>
      </c>
      <c r="I707" s="160">
        <f>Sales[[#This Row],[Selling Rate]]*Sales[[#This Row],[Qty]]</f>
        <v>24360</v>
      </c>
      <c r="J707" s="43">
        <v>0.1</v>
      </c>
      <c r="K707" s="44">
        <f>Sales[[#This Row],[Gross Amount]]*Sales[[#This Row],[Disc %]]</f>
        <v>2436</v>
      </c>
      <c r="L707" s="43">
        <v>0.18</v>
      </c>
      <c r="M707" s="44">
        <f>(Sales[[#This Row],[Gross Amount]]-Sales[[#This Row],[Disc. Amt.]])*Sales[[#This Row],[GST %]]</f>
        <v>3946.3199999999997</v>
      </c>
      <c r="N707" s="161">
        <f>Sales[[#This Row],[Gross Amount]]-Sales[[#This Row],[Disc. Amt.]]+Sales[[#This Row],[GST Amount]]</f>
        <v>25870.32</v>
      </c>
      <c r="O707" s="158" t="s">
        <v>8876</v>
      </c>
      <c r="P707" s="158" t="s">
        <v>3562</v>
      </c>
      <c r="Q707" s="160">
        <f>IF(Sales[[#This Row],[Status]]="Cancelled",0,Sales[[#This Row],[Qty]])</f>
        <v>4</v>
      </c>
      <c r="R707" s="161">
        <f>IF(Sales[[#This Row],[Status]]="Cancelled",0,Sales[[#This Row],[Total Amount]])</f>
        <v>25870.32</v>
      </c>
      <c r="S707" s="162">
        <f>SUM(Sales[Net Amount])</f>
        <v>406839287.73200053</v>
      </c>
    </row>
    <row r="708" spans="1:19" ht="18.75" x14ac:dyDescent="0.25">
      <c r="A708" s="163" t="s">
        <v>4286</v>
      </c>
      <c r="B708" s="164">
        <v>45815</v>
      </c>
      <c r="C708" s="34" t="s">
        <v>651</v>
      </c>
      <c r="D708" s="53" t="str">
        <f>VLOOKUP(Sales[[#This Row],[Customer ID]],Customer[#All],2,0)</f>
        <v>Sahil Verma</v>
      </c>
      <c r="E708" s="34" t="s">
        <v>338</v>
      </c>
      <c r="F708" s="34" t="str">
        <f>VLOOKUP(Sales[[#This Row],[Product ID]],Product[#All],2,0)</f>
        <v>Canon Printer</v>
      </c>
      <c r="G708" s="53">
        <v>7</v>
      </c>
      <c r="H708" s="165">
        <f>VLOOKUP(Sales[[#This Row],[Product ID]],Product[#All],7,0)</f>
        <v>13780</v>
      </c>
      <c r="I708" s="165">
        <f>Sales[[#This Row],[Selling Rate]]*Sales[[#This Row],[Qty]]</f>
        <v>96460</v>
      </c>
      <c r="J708" s="45">
        <v>0.02</v>
      </c>
      <c r="K708" s="46">
        <f>Sales[[#This Row],[Gross Amount]]*Sales[[#This Row],[Disc %]]</f>
        <v>1929.2</v>
      </c>
      <c r="L708" s="43">
        <v>0.18</v>
      </c>
      <c r="M708" s="46">
        <f>(Sales[[#This Row],[Gross Amount]]-Sales[[#This Row],[Disc. Amt.]])*Sales[[#This Row],[GST %]]</f>
        <v>17015.544000000002</v>
      </c>
      <c r="N708" s="161">
        <f>Sales[[#This Row],[Gross Amount]]-Sales[[#This Row],[Disc. Amt.]]+Sales[[#This Row],[GST Amount]]</f>
        <v>111546.34400000001</v>
      </c>
      <c r="O708" s="34" t="s">
        <v>8876</v>
      </c>
      <c r="P708" s="34" t="s">
        <v>3562</v>
      </c>
      <c r="Q708" s="165">
        <f>IF(Sales[[#This Row],[Status]]="Cancelled",0,Sales[[#This Row],[Qty]])</f>
        <v>7</v>
      </c>
      <c r="R708" s="166">
        <f>IF(Sales[[#This Row],[Status]]="Cancelled",0,Sales[[#This Row],[Total Amount]])</f>
        <v>111546.34400000001</v>
      </c>
      <c r="S708" s="162">
        <f>SUM(Sales[Net Amount])</f>
        <v>406839287.73200053</v>
      </c>
    </row>
    <row r="709" spans="1:19" ht="18.75" x14ac:dyDescent="0.25">
      <c r="A709" s="156" t="s">
        <v>4287</v>
      </c>
      <c r="B709" s="157">
        <v>45815</v>
      </c>
      <c r="C709" s="158" t="s">
        <v>806</v>
      </c>
      <c r="D709" s="159" t="str">
        <f>VLOOKUP(Sales[[#This Row],[Customer ID]],Customer[#All],2,0)</f>
        <v>Vikas Singh</v>
      </c>
      <c r="E709" s="158" t="s">
        <v>492</v>
      </c>
      <c r="F709" s="158" t="str">
        <f>VLOOKUP(Sales[[#This Row],[Product ID]],Product[#All],2,0)</f>
        <v>Microtek UPS</v>
      </c>
      <c r="G709" s="159">
        <v>3</v>
      </c>
      <c r="H709" s="160">
        <f>VLOOKUP(Sales[[#This Row],[Product ID]],Product[#All],7,0)</f>
        <v>13470</v>
      </c>
      <c r="I709" s="160">
        <f>Sales[[#This Row],[Selling Rate]]*Sales[[#This Row],[Qty]]</f>
        <v>40410</v>
      </c>
      <c r="J709" s="43">
        <v>0.05</v>
      </c>
      <c r="K709" s="44">
        <f>Sales[[#This Row],[Gross Amount]]*Sales[[#This Row],[Disc %]]</f>
        <v>2020.5</v>
      </c>
      <c r="L709" s="43">
        <v>0.18</v>
      </c>
      <c r="M709" s="44">
        <f>(Sales[[#This Row],[Gross Amount]]-Sales[[#This Row],[Disc. Amt.]])*Sales[[#This Row],[GST %]]</f>
        <v>6910.11</v>
      </c>
      <c r="N709" s="161">
        <f>Sales[[#This Row],[Gross Amount]]-Sales[[#This Row],[Disc. Amt.]]+Sales[[#This Row],[GST Amount]]</f>
        <v>45299.61</v>
      </c>
      <c r="O709" s="158" t="s">
        <v>8876</v>
      </c>
      <c r="P709" s="158" t="s">
        <v>3562</v>
      </c>
      <c r="Q709" s="160">
        <f>IF(Sales[[#This Row],[Status]]="Cancelled",0,Sales[[#This Row],[Qty]])</f>
        <v>3</v>
      </c>
      <c r="R709" s="161">
        <f>IF(Sales[[#This Row],[Status]]="Cancelled",0,Sales[[#This Row],[Total Amount]])</f>
        <v>45299.61</v>
      </c>
      <c r="S709" s="162">
        <f>SUM(Sales[Net Amount])</f>
        <v>406839287.73200053</v>
      </c>
    </row>
    <row r="710" spans="1:19" ht="18.75" x14ac:dyDescent="0.25">
      <c r="A710" s="163" t="s">
        <v>4288</v>
      </c>
      <c r="B710" s="164">
        <v>45815</v>
      </c>
      <c r="C710" s="34" t="s">
        <v>846</v>
      </c>
      <c r="D710" s="53" t="str">
        <f>VLOOKUP(Sales[[#This Row],[Customer ID]],Customer[#All],2,0)</f>
        <v>Ankit Patel</v>
      </c>
      <c r="E710" s="34" t="s">
        <v>318</v>
      </c>
      <c r="F710" s="34" t="str">
        <f>VLOOKUP(Sales[[#This Row],[Product ID]],Product[#All],2,0)</f>
        <v>HP Printer</v>
      </c>
      <c r="G710" s="53">
        <v>5</v>
      </c>
      <c r="H710" s="165">
        <f>VLOOKUP(Sales[[#This Row],[Product ID]],Product[#All],7,0)</f>
        <v>30590</v>
      </c>
      <c r="I710" s="165">
        <f>Sales[[#This Row],[Selling Rate]]*Sales[[#This Row],[Qty]]</f>
        <v>152950</v>
      </c>
      <c r="J710" s="45">
        <v>0</v>
      </c>
      <c r="K710" s="46">
        <f>Sales[[#This Row],[Gross Amount]]*Sales[[#This Row],[Disc %]]</f>
        <v>0</v>
      </c>
      <c r="L710" s="43">
        <v>0.18</v>
      </c>
      <c r="M710" s="46">
        <f>(Sales[[#This Row],[Gross Amount]]-Sales[[#This Row],[Disc. Amt.]])*Sales[[#This Row],[GST %]]</f>
        <v>27531</v>
      </c>
      <c r="N710" s="161">
        <f>Sales[[#This Row],[Gross Amount]]-Sales[[#This Row],[Disc. Amt.]]+Sales[[#This Row],[GST Amount]]</f>
        <v>180481</v>
      </c>
      <c r="O710" s="34" t="s">
        <v>8876</v>
      </c>
      <c r="P710" s="34" t="s">
        <v>3562</v>
      </c>
      <c r="Q710" s="165">
        <f>IF(Sales[[#This Row],[Status]]="Cancelled",0,Sales[[#This Row],[Qty]])</f>
        <v>5</v>
      </c>
      <c r="R710" s="166">
        <f>IF(Sales[[#This Row],[Status]]="Cancelled",0,Sales[[#This Row],[Total Amount]])</f>
        <v>180481</v>
      </c>
      <c r="S710" s="162">
        <f>SUM(Sales[Net Amount])</f>
        <v>406839287.73200053</v>
      </c>
    </row>
    <row r="711" spans="1:19" ht="18.75" x14ac:dyDescent="0.25">
      <c r="A711" s="156" t="s">
        <v>4289</v>
      </c>
      <c r="B711" s="157">
        <v>45815</v>
      </c>
      <c r="C711" s="158" t="s">
        <v>755</v>
      </c>
      <c r="D711" s="159" t="str">
        <f>VLOOKUP(Sales[[#This Row],[Customer ID]],Customer[#All],2,0)</f>
        <v>Sunita Gupta</v>
      </c>
      <c r="E711" s="158" t="s">
        <v>505</v>
      </c>
      <c r="F711" s="158" t="str">
        <f>VLOOKUP(Sales[[#This Row],[Product ID]],Product[#All],2,0)</f>
        <v>Dell Monitor</v>
      </c>
      <c r="G711" s="159">
        <v>6</v>
      </c>
      <c r="H711" s="160">
        <f>VLOOKUP(Sales[[#This Row],[Product ID]],Product[#All],7,0)</f>
        <v>12790</v>
      </c>
      <c r="I711" s="160">
        <f>Sales[[#This Row],[Selling Rate]]*Sales[[#This Row],[Qty]]</f>
        <v>76740</v>
      </c>
      <c r="J711" s="43">
        <v>0.05</v>
      </c>
      <c r="K711" s="44">
        <f>Sales[[#This Row],[Gross Amount]]*Sales[[#This Row],[Disc %]]</f>
        <v>3837</v>
      </c>
      <c r="L711" s="43">
        <v>0.18</v>
      </c>
      <c r="M711" s="44">
        <f>(Sales[[#This Row],[Gross Amount]]-Sales[[#This Row],[Disc. Amt.]])*Sales[[#This Row],[GST %]]</f>
        <v>13122.539999999999</v>
      </c>
      <c r="N711" s="161">
        <f>Sales[[#This Row],[Gross Amount]]-Sales[[#This Row],[Disc. Amt.]]+Sales[[#This Row],[GST Amount]]</f>
        <v>86025.54</v>
      </c>
      <c r="O711" s="158" t="s">
        <v>3569</v>
      </c>
      <c r="P711" s="158" t="s">
        <v>3562</v>
      </c>
      <c r="Q711" s="160">
        <f>IF(Sales[[#This Row],[Status]]="Cancelled",0,Sales[[#This Row],[Qty]])</f>
        <v>6</v>
      </c>
      <c r="R711" s="161">
        <f>IF(Sales[[#This Row],[Status]]="Cancelled",0,Sales[[#This Row],[Total Amount]])</f>
        <v>86025.54</v>
      </c>
      <c r="S711" s="162">
        <f>SUM(Sales[Net Amount])</f>
        <v>406839287.73200053</v>
      </c>
    </row>
    <row r="712" spans="1:19" ht="18.75" x14ac:dyDescent="0.25">
      <c r="A712" s="163" t="s">
        <v>4290</v>
      </c>
      <c r="B712" s="164">
        <v>45815</v>
      </c>
      <c r="C712" s="34" t="s">
        <v>872</v>
      </c>
      <c r="D712" s="53" t="str">
        <f>VLOOKUP(Sales[[#This Row],[Customer ID]],Customer[#All],2,0)</f>
        <v>Rahul Verma</v>
      </c>
      <c r="E712" s="34" t="s">
        <v>213</v>
      </c>
      <c r="F712" s="34" t="str">
        <f>VLOOKUP(Sales[[#This Row],[Product ID]],Product[#All],2,0)</f>
        <v>Dell Power Adapter</v>
      </c>
      <c r="G712" s="53">
        <v>4</v>
      </c>
      <c r="H712" s="165">
        <f>VLOOKUP(Sales[[#This Row],[Product ID]],Product[#All],7,0)</f>
        <v>3740</v>
      </c>
      <c r="I712" s="165">
        <f>Sales[[#This Row],[Selling Rate]]*Sales[[#This Row],[Qty]]</f>
        <v>14960</v>
      </c>
      <c r="J712" s="45">
        <v>0.1</v>
      </c>
      <c r="K712" s="46">
        <f>Sales[[#This Row],[Gross Amount]]*Sales[[#This Row],[Disc %]]</f>
        <v>1496</v>
      </c>
      <c r="L712" s="43">
        <v>0.18</v>
      </c>
      <c r="M712" s="46">
        <f>(Sales[[#This Row],[Gross Amount]]-Sales[[#This Row],[Disc. Amt.]])*Sales[[#This Row],[GST %]]</f>
        <v>2423.52</v>
      </c>
      <c r="N712" s="161">
        <f>Sales[[#This Row],[Gross Amount]]-Sales[[#This Row],[Disc. Amt.]]+Sales[[#This Row],[GST Amount]]</f>
        <v>15887.52</v>
      </c>
      <c r="O712" s="34" t="s">
        <v>3561</v>
      </c>
      <c r="P712" s="34" t="s">
        <v>3562</v>
      </c>
      <c r="Q712" s="165">
        <f>IF(Sales[[#This Row],[Status]]="Cancelled",0,Sales[[#This Row],[Qty]])</f>
        <v>4</v>
      </c>
      <c r="R712" s="166">
        <f>IF(Sales[[#This Row],[Status]]="Cancelled",0,Sales[[#This Row],[Total Amount]])</f>
        <v>15887.52</v>
      </c>
      <c r="S712" s="162">
        <f>SUM(Sales[Net Amount])</f>
        <v>406839287.73200053</v>
      </c>
    </row>
    <row r="713" spans="1:19" ht="18.75" x14ac:dyDescent="0.25">
      <c r="A713" s="156" t="s">
        <v>4291</v>
      </c>
      <c r="B713" s="157">
        <v>45815</v>
      </c>
      <c r="C713" s="158" t="s">
        <v>763</v>
      </c>
      <c r="D713" s="159" t="str">
        <f>VLOOKUP(Sales[[#This Row],[Customer ID]],Customer[#All],2,0)</f>
        <v>Pooja Verma</v>
      </c>
      <c r="E713" s="158" t="s">
        <v>401</v>
      </c>
      <c r="F713" s="158" t="str">
        <f>VLOOKUP(Sales[[#This Row],[Product ID]],Product[#All],2,0)</f>
        <v>Amazon Basics Hdmi Cable</v>
      </c>
      <c r="G713" s="159">
        <v>5</v>
      </c>
      <c r="H713" s="160">
        <f>VLOOKUP(Sales[[#This Row],[Product ID]],Product[#All],7,0)</f>
        <v>670</v>
      </c>
      <c r="I713" s="160">
        <f>Sales[[#This Row],[Selling Rate]]*Sales[[#This Row],[Qty]]</f>
        <v>3350</v>
      </c>
      <c r="J713" s="43">
        <v>0.02</v>
      </c>
      <c r="K713" s="44">
        <f>Sales[[#This Row],[Gross Amount]]*Sales[[#This Row],[Disc %]]</f>
        <v>67</v>
      </c>
      <c r="L713" s="43">
        <v>0.18</v>
      </c>
      <c r="M713" s="44">
        <f>(Sales[[#This Row],[Gross Amount]]-Sales[[#This Row],[Disc. Amt.]])*Sales[[#This Row],[GST %]]</f>
        <v>590.93999999999994</v>
      </c>
      <c r="N713" s="161">
        <f>Sales[[#This Row],[Gross Amount]]-Sales[[#This Row],[Disc. Amt.]]+Sales[[#This Row],[GST Amount]]</f>
        <v>3873.94</v>
      </c>
      <c r="O713" s="158" t="s">
        <v>3561</v>
      </c>
      <c r="P713" s="158" t="s">
        <v>3562</v>
      </c>
      <c r="Q713" s="160">
        <f>IF(Sales[[#This Row],[Status]]="Cancelled",0,Sales[[#This Row],[Qty]])</f>
        <v>5</v>
      </c>
      <c r="R713" s="161">
        <f>IF(Sales[[#This Row],[Status]]="Cancelled",0,Sales[[#This Row],[Total Amount]])</f>
        <v>3873.94</v>
      </c>
      <c r="S713" s="162">
        <f>SUM(Sales[Net Amount])</f>
        <v>406839287.73200053</v>
      </c>
    </row>
    <row r="714" spans="1:19" ht="18.75" x14ac:dyDescent="0.25">
      <c r="A714" s="163" t="s">
        <v>4292</v>
      </c>
      <c r="B714" s="164">
        <v>45815</v>
      </c>
      <c r="C714" s="34" t="s">
        <v>855</v>
      </c>
      <c r="D714" s="53" t="str">
        <f>VLOOKUP(Sales[[#This Row],[Customer ID]],Customer[#All],2,0)</f>
        <v>Sahil Singh</v>
      </c>
      <c r="E714" s="34" t="s">
        <v>36</v>
      </c>
      <c r="F714" s="34" t="str">
        <f>VLOOKUP(Sales[[#This Row],[Product ID]],Product[#All],2,0)</f>
        <v>TP-link Wi-Fi Adapter</v>
      </c>
      <c r="G714" s="53">
        <v>8</v>
      </c>
      <c r="H714" s="165">
        <f>VLOOKUP(Sales[[#This Row],[Product ID]],Product[#All],7,0)</f>
        <v>2790</v>
      </c>
      <c r="I714" s="165">
        <f>Sales[[#This Row],[Selling Rate]]*Sales[[#This Row],[Qty]]</f>
        <v>22320</v>
      </c>
      <c r="J714" s="45">
        <v>0.05</v>
      </c>
      <c r="K714" s="46">
        <f>Sales[[#This Row],[Gross Amount]]*Sales[[#This Row],[Disc %]]</f>
        <v>1116</v>
      </c>
      <c r="L714" s="43">
        <v>0.18</v>
      </c>
      <c r="M714" s="46">
        <f>(Sales[[#This Row],[Gross Amount]]-Sales[[#This Row],[Disc. Amt.]])*Sales[[#This Row],[GST %]]</f>
        <v>3816.72</v>
      </c>
      <c r="N714" s="161">
        <f>Sales[[#This Row],[Gross Amount]]-Sales[[#This Row],[Disc. Amt.]]+Sales[[#This Row],[GST Amount]]</f>
        <v>25020.720000000001</v>
      </c>
      <c r="O714" s="34" t="s">
        <v>3561</v>
      </c>
      <c r="P714" s="34" t="s">
        <v>3562</v>
      </c>
      <c r="Q714" s="165">
        <f>IF(Sales[[#This Row],[Status]]="Cancelled",0,Sales[[#This Row],[Qty]])</f>
        <v>8</v>
      </c>
      <c r="R714" s="166">
        <f>IF(Sales[[#This Row],[Status]]="Cancelled",0,Sales[[#This Row],[Total Amount]])</f>
        <v>25020.720000000001</v>
      </c>
      <c r="S714" s="162">
        <f>SUM(Sales[Net Amount])</f>
        <v>406839287.73200053</v>
      </c>
    </row>
    <row r="715" spans="1:19" ht="18.75" x14ac:dyDescent="0.25">
      <c r="A715" s="156" t="s">
        <v>4293</v>
      </c>
      <c r="B715" s="157">
        <v>45815</v>
      </c>
      <c r="C715" s="158" t="s">
        <v>949</v>
      </c>
      <c r="D715" s="159" t="str">
        <f>VLOOKUP(Sales[[#This Row],[Customer ID]],Customer[#All],2,0)</f>
        <v>Amit Patel</v>
      </c>
      <c r="E715" s="158" t="s">
        <v>547</v>
      </c>
      <c r="F715" s="158" t="str">
        <f>VLOOKUP(Sales[[#This Row],[Product ID]],Product[#All],2,0)</f>
        <v>Samsung Monitor</v>
      </c>
      <c r="G715" s="159">
        <v>1</v>
      </c>
      <c r="H715" s="160">
        <f>VLOOKUP(Sales[[#This Row],[Product ID]],Product[#All],7,0)</f>
        <v>33340</v>
      </c>
      <c r="I715" s="160">
        <f>Sales[[#This Row],[Selling Rate]]*Sales[[#This Row],[Qty]]</f>
        <v>33340</v>
      </c>
      <c r="J715" s="43">
        <v>0</v>
      </c>
      <c r="K715" s="44">
        <f>Sales[[#This Row],[Gross Amount]]*Sales[[#This Row],[Disc %]]</f>
        <v>0</v>
      </c>
      <c r="L715" s="43">
        <v>0.18</v>
      </c>
      <c r="M715" s="44">
        <f>(Sales[[#This Row],[Gross Amount]]-Sales[[#This Row],[Disc. Amt.]])*Sales[[#This Row],[GST %]]</f>
        <v>6001.2</v>
      </c>
      <c r="N715" s="161">
        <f>Sales[[#This Row],[Gross Amount]]-Sales[[#This Row],[Disc. Amt.]]+Sales[[#This Row],[GST Amount]]</f>
        <v>39341.199999999997</v>
      </c>
      <c r="O715" s="158" t="s">
        <v>3566</v>
      </c>
      <c r="P715" s="158" t="s">
        <v>3562</v>
      </c>
      <c r="Q715" s="160">
        <f>IF(Sales[[#This Row],[Status]]="Cancelled",0,Sales[[#This Row],[Qty]])</f>
        <v>1</v>
      </c>
      <c r="R715" s="161">
        <f>IF(Sales[[#This Row],[Status]]="Cancelled",0,Sales[[#This Row],[Total Amount]])</f>
        <v>39341.199999999997</v>
      </c>
      <c r="S715" s="162">
        <f>SUM(Sales[Net Amount])</f>
        <v>406839287.73200053</v>
      </c>
    </row>
    <row r="716" spans="1:19" ht="18.75" x14ac:dyDescent="0.25">
      <c r="A716" s="163" t="s">
        <v>4294</v>
      </c>
      <c r="B716" s="164">
        <v>45815</v>
      </c>
      <c r="C716" s="34" t="s">
        <v>687</v>
      </c>
      <c r="D716" s="53" t="str">
        <f>VLOOKUP(Sales[[#This Row],[Customer ID]],Customer[#All],2,0)</f>
        <v>Rahul Verma</v>
      </c>
      <c r="E716" s="34" t="s">
        <v>350</v>
      </c>
      <c r="F716" s="34" t="str">
        <f>VLOOKUP(Sales[[#This Row],[Product ID]],Product[#All],2,0)</f>
        <v>Apc UPS</v>
      </c>
      <c r="G716" s="53">
        <v>1</v>
      </c>
      <c r="H716" s="165">
        <f>VLOOKUP(Sales[[#This Row],[Product ID]],Product[#All],7,0)</f>
        <v>18110</v>
      </c>
      <c r="I716" s="165">
        <f>Sales[[#This Row],[Selling Rate]]*Sales[[#This Row],[Qty]]</f>
        <v>18110</v>
      </c>
      <c r="J716" s="45">
        <v>0.12</v>
      </c>
      <c r="K716" s="46">
        <f>Sales[[#This Row],[Gross Amount]]*Sales[[#This Row],[Disc %]]</f>
        <v>2173.1999999999998</v>
      </c>
      <c r="L716" s="43">
        <v>0.18</v>
      </c>
      <c r="M716" s="46">
        <f>(Sales[[#This Row],[Gross Amount]]-Sales[[#This Row],[Disc. Amt.]])*Sales[[#This Row],[GST %]]</f>
        <v>2868.6239999999998</v>
      </c>
      <c r="N716" s="161">
        <f>Sales[[#This Row],[Gross Amount]]-Sales[[#This Row],[Disc. Amt.]]+Sales[[#This Row],[GST Amount]]</f>
        <v>18805.423999999999</v>
      </c>
      <c r="O716" s="34" t="s">
        <v>3566</v>
      </c>
      <c r="P716" s="34" t="s">
        <v>3562</v>
      </c>
      <c r="Q716" s="165">
        <f>IF(Sales[[#This Row],[Status]]="Cancelled",0,Sales[[#This Row],[Qty]])</f>
        <v>1</v>
      </c>
      <c r="R716" s="166">
        <f>IF(Sales[[#This Row],[Status]]="Cancelled",0,Sales[[#This Row],[Total Amount]])</f>
        <v>18805.423999999999</v>
      </c>
      <c r="S716" s="162">
        <f>SUM(Sales[Net Amount])</f>
        <v>406839287.73200053</v>
      </c>
    </row>
    <row r="717" spans="1:19" ht="18.75" x14ac:dyDescent="0.25">
      <c r="A717" s="156" t="s">
        <v>4295</v>
      </c>
      <c r="B717" s="157">
        <v>45815</v>
      </c>
      <c r="C717" s="158" t="s">
        <v>871</v>
      </c>
      <c r="D717" s="159" t="str">
        <f>VLOOKUP(Sales[[#This Row],[Customer ID]],Customer[#All],2,0)</f>
        <v>Rakesh Kumar</v>
      </c>
      <c r="E717" s="158" t="s">
        <v>530</v>
      </c>
      <c r="F717" s="158" t="str">
        <f>VLOOKUP(Sales[[#This Row],[Product ID]],Product[#All],2,0)</f>
        <v>Acer Laptop</v>
      </c>
      <c r="G717" s="159">
        <v>3</v>
      </c>
      <c r="H717" s="160">
        <f>VLOOKUP(Sales[[#This Row],[Product ID]],Product[#All],7,0)</f>
        <v>31390</v>
      </c>
      <c r="I717" s="160">
        <f>Sales[[#This Row],[Selling Rate]]*Sales[[#This Row],[Qty]]</f>
        <v>94170</v>
      </c>
      <c r="J717" s="43">
        <v>0.15</v>
      </c>
      <c r="K717" s="44">
        <f>Sales[[#This Row],[Gross Amount]]*Sales[[#This Row],[Disc %]]</f>
        <v>14125.5</v>
      </c>
      <c r="L717" s="43">
        <v>0.18</v>
      </c>
      <c r="M717" s="44">
        <f>(Sales[[#This Row],[Gross Amount]]-Sales[[#This Row],[Disc. Amt.]])*Sales[[#This Row],[GST %]]</f>
        <v>14408.01</v>
      </c>
      <c r="N717" s="161">
        <f>Sales[[#This Row],[Gross Amount]]-Sales[[#This Row],[Disc. Amt.]]+Sales[[#This Row],[GST Amount]]</f>
        <v>94452.51</v>
      </c>
      <c r="O717" s="158" t="s">
        <v>3561</v>
      </c>
      <c r="P717" s="158" t="s">
        <v>3562</v>
      </c>
      <c r="Q717" s="160">
        <f>IF(Sales[[#This Row],[Status]]="Cancelled",0,Sales[[#This Row],[Qty]])</f>
        <v>3</v>
      </c>
      <c r="R717" s="161">
        <f>IF(Sales[[#This Row],[Status]]="Cancelled",0,Sales[[#This Row],[Total Amount]])</f>
        <v>94452.51</v>
      </c>
      <c r="S717" s="162">
        <f>SUM(Sales[Net Amount])</f>
        <v>406839287.73200053</v>
      </c>
    </row>
    <row r="718" spans="1:19" ht="18.75" x14ac:dyDescent="0.25">
      <c r="A718" s="163" t="s">
        <v>4296</v>
      </c>
      <c r="B718" s="164">
        <v>45815</v>
      </c>
      <c r="C718" s="34" t="s">
        <v>837</v>
      </c>
      <c r="D718" s="53" t="str">
        <f>VLOOKUP(Sales[[#This Row],[Customer ID]],Customer[#All],2,0)</f>
        <v>Sahil Patel</v>
      </c>
      <c r="E718" s="34" t="s">
        <v>462</v>
      </c>
      <c r="F718" s="34" t="str">
        <f>VLOOKUP(Sales[[#This Row],[Product ID]],Product[#All],2,0)</f>
        <v>Dell Keyboard</v>
      </c>
      <c r="G718" s="53">
        <v>3</v>
      </c>
      <c r="H718" s="165">
        <f>VLOOKUP(Sales[[#This Row],[Product ID]],Product[#All],7,0)</f>
        <v>2730</v>
      </c>
      <c r="I718" s="165">
        <f>Sales[[#This Row],[Selling Rate]]*Sales[[#This Row],[Qty]]</f>
        <v>8190</v>
      </c>
      <c r="J718" s="45">
        <v>0</v>
      </c>
      <c r="K718" s="46">
        <f>Sales[[#This Row],[Gross Amount]]*Sales[[#This Row],[Disc %]]</f>
        <v>0</v>
      </c>
      <c r="L718" s="43">
        <v>0.18</v>
      </c>
      <c r="M718" s="46">
        <f>(Sales[[#This Row],[Gross Amount]]-Sales[[#This Row],[Disc. Amt.]])*Sales[[#This Row],[GST %]]</f>
        <v>1474.2</v>
      </c>
      <c r="N718" s="161">
        <f>Sales[[#This Row],[Gross Amount]]-Sales[[#This Row],[Disc. Amt.]]+Sales[[#This Row],[GST Amount]]</f>
        <v>9664.2000000000007</v>
      </c>
      <c r="O718" s="34" t="s">
        <v>3569</v>
      </c>
      <c r="P718" s="34" t="s">
        <v>3562</v>
      </c>
      <c r="Q718" s="165">
        <f>IF(Sales[[#This Row],[Status]]="Cancelled",0,Sales[[#This Row],[Qty]])</f>
        <v>3</v>
      </c>
      <c r="R718" s="166">
        <f>IF(Sales[[#This Row],[Status]]="Cancelled",0,Sales[[#This Row],[Total Amount]])</f>
        <v>9664.2000000000007</v>
      </c>
      <c r="S718" s="162">
        <f>SUM(Sales[Net Amount])</f>
        <v>406839287.73200053</v>
      </c>
    </row>
    <row r="719" spans="1:19" ht="18.75" x14ac:dyDescent="0.25">
      <c r="A719" s="156" t="s">
        <v>4297</v>
      </c>
      <c r="B719" s="157">
        <v>45815</v>
      </c>
      <c r="C719" s="158" t="s">
        <v>4298</v>
      </c>
      <c r="D719" s="159" t="str">
        <f>VLOOKUP(Sales[[#This Row],[Customer ID]],Customer[#All],2,0)</f>
        <v>Rakesh Patel</v>
      </c>
      <c r="E719" s="158" t="s">
        <v>509</v>
      </c>
      <c r="F719" s="158" t="str">
        <f>VLOOKUP(Sales[[#This Row],[Product ID]],Product[#All],2,0)</f>
        <v>D-Link Router</v>
      </c>
      <c r="G719" s="159">
        <v>6</v>
      </c>
      <c r="H719" s="160">
        <f>VLOOKUP(Sales[[#This Row],[Product ID]],Product[#All],7,0)</f>
        <v>3460</v>
      </c>
      <c r="I719" s="160">
        <f>Sales[[#This Row],[Selling Rate]]*Sales[[#This Row],[Qty]]</f>
        <v>20760</v>
      </c>
      <c r="J719" s="43">
        <v>0.12</v>
      </c>
      <c r="K719" s="44">
        <f>Sales[[#This Row],[Gross Amount]]*Sales[[#This Row],[Disc %]]</f>
        <v>2491.1999999999998</v>
      </c>
      <c r="L719" s="43">
        <v>0.18</v>
      </c>
      <c r="M719" s="44">
        <f>(Sales[[#This Row],[Gross Amount]]-Sales[[#This Row],[Disc. Amt.]])*Sales[[#This Row],[GST %]]</f>
        <v>3288.3839999999996</v>
      </c>
      <c r="N719" s="161">
        <f>Sales[[#This Row],[Gross Amount]]-Sales[[#This Row],[Disc. Amt.]]+Sales[[#This Row],[GST Amount]]</f>
        <v>21557.183999999997</v>
      </c>
      <c r="O719" s="158" t="s">
        <v>8876</v>
      </c>
      <c r="P719" s="158" t="s">
        <v>3562</v>
      </c>
      <c r="Q719" s="160">
        <f>IF(Sales[[#This Row],[Status]]="Cancelled",0,Sales[[#This Row],[Qty]])</f>
        <v>6</v>
      </c>
      <c r="R719" s="161">
        <f>IF(Sales[[#This Row],[Status]]="Cancelled",0,Sales[[#This Row],[Total Amount]])</f>
        <v>21557.183999999997</v>
      </c>
      <c r="S719" s="162">
        <f>SUM(Sales[Net Amount])</f>
        <v>406839287.73200053</v>
      </c>
    </row>
    <row r="720" spans="1:19" ht="18.75" x14ac:dyDescent="0.25">
      <c r="A720" s="163" t="s">
        <v>4299</v>
      </c>
      <c r="B720" s="164">
        <v>45815</v>
      </c>
      <c r="C720" s="34" t="s">
        <v>941</v>
      </c>
      <c r="D720" s="53" t="str">
        <f>VLOOKUP(Sales[[#This Row],[Customer ID]],Customer[#All],2,0)</f>
        <v>Sahil Verma</v>
      </c>
      <c r="E720" s="34" t="s">
        <v>368</v>
      </c>
      <c r="F720" s="34" t="str">
        <f>VLOOKUP(Sales[[#This Row],[Product ID]],Product[#All],2,0)</f>
        <v>Sandisk Pen Drive</v>
      </c>
      <c r="G720" s="53">
        <v>2</v>
      </c>
      <c r="H720" s="165">
        <f>VLOOKUP(Sales[[#This Row],[Product ID]],Product[#All],7,0)</f>
        <v>1270</v>
      </c>
      <c r="I720" s="165">
        <f>Sales[[#This Row],[Selling Rate]]*Sales[[#This Row],[Qty]]</f>
        <v>2540</v>
      </c>
      <c r="J720" s="45">
        <v>0</v>
      </c>
      <c r="K720" s="46">
        <f>Sales[[#This Row],[Gross Amount]]*Sales[[#This Row],[Disc %]]</f>
        <v>0</v>
      </c>
      <c r="L720" s="43">
        <v>0.18</v>
      </c>
      <c r="M720" s="46">
        <f>(Sales[[#This Row],[Gross Amount]]-Sales[[#This Row],[Disc. Amt.]])*Sales[[#This Row],[GST %]]</f>
        <v>457.2</v>
      </c>
      <c r="N720" s="161">
        <f>Sales[[#This Row],[Gross Amount]]-Sales[[#This Row],[Disc. Amt.]]+Sales[[#This Row],[GST Amount]]</f>
        <v>2997.2</v>
      </c>
      <c r="O720" s="34" t="s">
        <v>3561</v>
      </c>
      <c r="P720" s="34" t="s">
        <v>3562</v>
      </c>
      <c r="Q720" s="165">
        <f>IF(Sales[[#This Row],[Status]]="Cancelled",0,Sales[[#This Row],[Qty]])</f>
        <v>2</v>
      </c>
      <c r="R720" s="166">
        <f>IF(Sales[[#This Row],[Status]]="Cancelled",0,Sales[[#This Row],[Total Amount]])</f>
        <v>2997.2</v>
      </c>
      <c r="S720" s="162">
        <f>SUM(Sales[Net Amount])</f>
        <v>406839287.73200053</v>
      </c>
    </row>
    <row r="721" spans="1:19" ht="18.75" x14ac:dyDescent="0.25">
      <c r="A721" s="156" t="s">
        <v>4300</v>
      </c>
      <c r="B721" s="157">
        <v>45815</v>
      </c>
      <c r="C721" s="158" t="s">
        <v>842</v>
      </c>
      <c r="D721" s="159" t="str">
        <f>VLOOKUP(Sales[[#This Row],[Customer ID]],Customer[#All],2,0)</f>
        <v>Priya Gupta</v>
      </c>
      <c r="E721" s="158" t="s">
        <v>305</v>
      </c>
      <c r="F721" s="158" t="str">
        <f>VLOOKUP(Sales[[#This Row],[Product ID]],Product[#All],2,0)</f>
        <v>HP Power Adapter</v>
      </c>
      <c r="G721" s="159">
        <v>4</v>
      </c>
      <c r="H721" s="160">
        <f>VLOOKUP(Sales[[#This Row],[Product ID]],Product[#All],7,0)</f>
        <v>2640</v>
      </c>
      <c r="I721" s="160">
        <f>Sales[[#This Row],[Selling Rate]]*Sales[[#This Row],[Qty]]</f>
        <v>10560</v>
      </c>
      <c r="J721" s="43">
        <v>0</v>
      </c>
      <c r="K721" s="44">
        <f>Sales[[#This Row],[Gross Amount]]*Sales[[#This Row],[Disc %]]</f>
        <v>0</v>
      </c>
      <c r="L721" s="43">
        <v>0.18</v>
      </c>
      <c r="M721" s="44">
        <f>(Sales[[#This Row],[Gross Amount]]-Sales[[#This Row],[Disc. Amt.]])*Sales[[#This Row],[GST %]]</f>
        <v>1900.8</v>
      </c>
      <c r="N721" s="161">
        <f>Sales[[#This Row],[Gross Amount]]-Sales[[#This Row],[Disc. Amt.]]+Sales[[#This Row],[GST Amount]]</f>
        <v>12460.8</v>
      </c>
      <c r="O721" s="158" t="s">
        <v>3566</v>
      </c>
      <c r="P721" s="158" t="s">
        <v>3562</v>
      </c>
      <c r="Q721" s="160">
        <f>IF(Sales[[#This Row],[Status]]="Cancelled",0,Sales[[#This Row],[Qty]])</f>
        <v>4</v>
      </c>
      <c r="R721" s="161">
        <f>IF(Sales[[#This Row],[Status]]="Cancelled",0,Sales[[#This Row],[Total Amount]])</f>
        <v>12460.8</v>
      </c>
      <c r="S721" s="162">
        <f>SUM(Sales[Net Amount])</f>
        <v>406839287.73200053</v>
      </c>
    </row>
    <row r="722" spans="1:19" ht="18.75" x14ac:dyDescent="0.25">
      <c r="A722" s="163" t="s">
        <v>4301</v>
      </c>
      <c r="B722" s="164">
        <v>45815</v>
      </c>
      <c r="C722" s="34" t="s">
        <v>653</v>
      </c>
      <c r="D722" s="53" t="str">
        <f>VLOOKUP(Sales[[#This Row],[Customer ID]],Customer[#All],2,0)</f>
        <v>Pooja Patel</v>
      </c>
      <c r="E722" s="34" t="s">
        <v>538</v>
      </c>
      <c r="F722" s="34" t="str">
        <f>VLOOKUP(Sales[[#This Row],[Product ID]],Product[#All],2,0)</f>
        <v>Acer Laptop</v>
      </c>
      <c r="G722" s="53">
        <v>8</v>
      </c>
      <c r="H722" s="165">
        <f>VLOOKUP(Sales[[#This Row],[Product ID]],Product[#All],7,0)</f>
        <v>46800</v>
      </c>
      <c r="I722" s="165">
        <f>Sales[[#This Row],[Selling Rate]]*Sales[[#This Row],[Qty]]</f>
        <v>374400</v>
      </c>
      <c r="J722" s="45">
        <v>0.05</v>
      </c>
      <c r="K722" s="46">
        <f>Sales[[#This Row],[Gross Amount]]*Sales[[#This Row],[Disc %]]</f>
        <v>18720</v>
      </c>
      <c r="L722" s="43">
        <v>0.18</v>
      </c>
      <c r="M722" s="46">
        <f>(Sales[[#This Row],[Gross Amount]]-Sales[[#This Row],[Disc. Amt.]])*Sales[[#This Row],[GST %]]</f>
        <v>64022.399999999994</v>
      </c>
      <c r="N722" s="161">
        <f>Sales[[#This Row],[Gross Amount]]-Sales[[#This Row],[Disc. Amt.]]+Sales[[#This Row],[GST Amount]]</f>
        <v>419702.4</v>
      </c>
      <c r="O722" s="34" t="s">
        <v>3569</v>
      </c>
      <c r="P722" s="34" t="s">
        <v>3562</v>
      </c>
      <c r="Q722" s="165">
        <f>IF(Sales[[#This Row],[Status]]="Cancelled",0,Sales[[#This Row],[Qty]])</f>
        <v>8</v>
      </c>
      <c r="R722" s="166">
        <f>IF(Sales[[#This Row],[Status]]="Cancelled",0,Sales[[#This Row],[Total Amount]])</f>
        <v>419702.4</v>
      </c>
      <c r="S722" s="162">
        <f>SUM(Sales[Net Amount])</f>
        <v>406839287.73200053</v>
      </c>
    </row>
    <row r="723" spans="1:19" ht="18.75" x14ac:dyDescent="0.25">
      <c r="A723" s="156" t="s">
        <v>4302</v>
      </c>
      <c r="B723" s="157">
        <v>45815</v>
      </c>
      <c r="C723" s="158" t="s">
        <v>4303</v>
      </c>
      <c r="D723" s="159" t="str">
        <f>VLOOKUP(Sales[[#This Row],[Customer ID]],Customer[#All],2,0)</f>
        <v>Priya Sharma</v>
      </c>
      <c r="E723" s="158" t="s">
        <v>124</v>
      </c>
      <c r="F723" s="158" t="str">
        <f>VLOOKUP(Sales[[#This Row],[Product ID]],Product[#All],2,0)</f>
        <v>Crucial Ssd</v>
      </c>
      <c r="G723" s="159">
        <v>1</v>
      </c>
      <c r="H723" s="160">
        <f>VLOOKUP(Sales[[#This Row],[Product ID]],Product[#All],7,0)</f>
        <v>14820</v>
      </c>
      <c r="I723" s="160">
        <f>Sales[[#This Row],[Selling Rate]]*Sales[[#This Row],[Qty]]</f>
        <v>14820</v>
      </c>
      <c r="J723" s="43">
        <v>0.05</v>
      </c>
      <c r="K723" s="44">
        <f>Sales[[#This Row],[Gross Amount]]*Sales[[#This Row],[Disc %]]</f>
        <v>741</v>
      </c>
      <c r="L723" s="43">
        <v>0.18</v>
      </c>
      <c r="M723" s="44">
        <f>(Sales[[#This Row],[Gross Amount]]-Sales[[#This Row],[Disc. Amt.]])*Sales[[#This Row],[GST %]]</f>
        <v>2534.2199999999998</v>
      </c>
      <c r="N723" s="161">
        <f>Sales[[#This Row],[Gross Amount]]-Sales[[#This Row],[Disc. Amt.]]+Sales[[#This Row],[GST Amount]]</f>
        <v>16613.22</v>
      </c>
      <c r="O723" s="158" t="s">
        <v>3566</v>
      </c>
      <c r="P723" s="158" t="s">
        <v>3562</v>
      </c>
      <c r="Q723" s="160">
        <f>IF(Sales[[#This Row],[Status]]="Cancelled",0,Sales[[#This Row],[Qty]])</f>
        <v>1</v>
      </c>
      <c r="R723" s="161">
        <f>IF(Sales[[#This Row],[Status]]="Cancelled",0,Sales[[#This Row],[Total Amount]])</f>
        <v>16613.22</v>
      </c>
      <c r="S723" s="162">
        <f>SUM(Sales[Net Amount])</f>
        <v>406839287.73200053</v>
      </c>
    </row>
    <row r="724" spans="1:19" ht="18.75" x14ac:dyDescent="0.25">
      <c r="A724" s="163" t="s">
        <v>4304</v>
      </c>
      <c r="B724" s="164">
        <v>45815</v>
      </c>
      <c r="C724" s="34" t="s">
        <v>799</v>
      </c>
      <c r="D724" s="53" t="str">
        <f>VLOOKUP(Sales[[#This Row],[Customer ID]],Customer[#All],2,0)</f>
        <v>Rakesh Gupta</v>
      </c>
      <c r="E724" s="34" t="s">
        <v>229</v>
      </c>
      <c r="F724" s="34" t="str">
        <f>VLOOKUP(Sales[[#This Row],[Product ID]],Product[#All],2,0)</f>
        <v>Jbl Headset</v>
      </c>
      <c r="G724" s="53">
        <v>6</v>
      </c>
      <c r="H724" s="165">
        <f>VLOOKUP(Sales[[#This Row],[Product ID]],Product[#All],7,0)</f>
        <v>3170</v>
      </c>
      <c r="I724" s="165">
        <f>Sales[[#This Row],[Selling Rate]]*Sales[[#This Row],[Qty]]</f>
        <v>19020</v>
      </c>
      <c r="J724" s="45">
        <v>0.1</v>
      </c>
      <c r="K724" s="46">
        <f>Sales[[#This Row],[Gross Amount]]*Sales[[#This Row],[Disc %]]</f>
        <v>1902</v>
      </c>
      <c r="L724" s="43">
        <v>0.18</v>
      </c>
      <c r="M724" s="46">
        <f>(Sales[[#This Row],[Gross Amount]]-Sales[[#This Row],[Disc. Amt.]])*Sales[[#This Row],[GST %]]</f>
        <v>3081.24</v>
      </c>
      <c r="N724" s="161">
        <f>Sales[[#This Row],[Gross Amount]]-Sales[[#This Row],[Disc. Amt.]]+Sales[[#This Row],[GST Amount]]</f>
        <v>20199.239999999998</v>
      </c>
      <c r="O724" s="34" t="s">
        <v>3561</v>
      </c>
      <c r="P724" s="34" t="s">
        <v>3562</v>
      </c>
      <c r="Q724" s="165">
        <f>IF(Sales[[#This Row],[Status]]="Cancelled",0,Sales[[#This Row],[Qty]])</f>
        <v>6</v>
      </c>
      <c r="R724" s="166">
        <f>IF(Sales[[#This Row],[Status]]="Cancelled",0,Sales[[#This Row],[Total Amount]])</f>
        <v>20199.239999999998</v>
      </c>
      <c r="S724" s="162">
        <f>SUM(Sales[Net Amount])</f>
        <v>406839287.73200053</v>
      </c>
    </row>
    <row r="725" spans="1:19" ht="18.75" x14ac:dyDescent="0.25">
      <c r="A725" s="156" t="s">
        <v>4305</v>
      </c>
      <c r="B725" s="157">
        <v>45815</v>
      </c>
      <c r="C725" s="158" t="s">
        <v>893</v>
      </c>
      <c r="D725" s="159" t="str">
        <f>VLOOKUP(Sales[[#This Row],[Customer ID]],Customer[#All],2,0)</f>
        <v>Sunita Sharma</v>
      </c>
      <c r="E725" s="158" t="s">
        <v>413</v>
      </c>
      <c r="F725" s="158" t="str">
        <f>VLOOKUP(Sales[[#This Row],[Product ID]],Product[#All],2,0)</f>
        <v>Crucial Ssd</v>
      </c>
      <c r="G725" s="159">
        <v>6</v>
      </c>
      <c r="H725" s="160">
        <f>VLOOKUP(Sales[[#This Row],[Product ID]],Product[#All],7,0)</f>
        <v>10780</v>
      </c>
      <c r="I725" s="160">
        <f>Sales[[#This Row],[Selling Rate]]*Sales[[#This Row],[Qty]]</f>
        <v>64680</v>
      </c>
      <c r="J725" s="43">
        <v>0.02</v>
      </c>
      <c r="K725" s="44">
        <f>Sales[[#This Row],[Gross Amount]]*Sales[[#This Row],[Disc %]]</f>
        <v>1293.6000000000001</v>
      </c>
      <c r="L725" s="43">
        <v>0.18</v>
      </c>
      <c r="M725" s="44">
        <f>(Sales[[#This Row],[Gross Amount]]-Sales[[#This Row],[Disc. Amt.]])*Sales[[#This Row],[GST %]]</f>
        <v>11409.552</v>
      </c>
      <c r="N725" s="161">
        <f>Sales[[#This Row],[Gross Amount]]-Sales[[#This Row],[Disc. Amt.]]+Sales[[#This Row],[GST Amount]]</f>
        <v>74795.952000000005</v>
      </c>
      <c r="O725" s="158" t="s">
        <v>3561</v>
      </c>
      <c r="P725" s="158" t="s">
        <v>3562</v>
      </c>
      <c r="Q725" s="160">
        <f>IF(Sales[[#This Row],[Status]]="Cancelled",0,Sales[[#This Row],[Qty]])</f>
        <v>6</v>
      </c>
      <c r="R725" s="161">
        <f>IF(Sales[[#This Row],[Status]]="Cancelled",0,Sales[[#This Row],[Total Amount]])</f>
        <v>74795.952000000005</v>
      </c>
      <c r="S725" s="162">
        <f>SUM(Sales[Net Amount])</f>
        <v>406839287.73200053</v>
      </c>
    </row>
    <row r="726" spans="1:19" ht="18.75" x14ac:dyDescent="0.25">
      <c r="A726" s="163" t="s">
        <v>4306</v>
      </c>
      <c r="B726" s="164">
        <v>45815</v>
      </c>
      <c r="C726" s="34" t="s">
        <v>834</v>
      </c>
      <c r="D726" s="53" t="str">
        <f>VLOOKUP(Sales[[#This Row],[Customer ID]],Customer[#All],2,0)</f>
        <v>Rahul Verma</v>
      </c>
      <c r="E726" s="34" t="s">
        <v>159</v>
      </c>
      <c r="F726" s="34" t="str">
        <f>VLOOKUP(Sales[[#This Row],[Product ID]],Product[#All],2,0)</f>
        <v>HP Laptop</v>
      </c>
      <c r="G726" s="53">
        <v>5</v>
      </c>
      <c r="H726" s="165">
        <f>VLOOKUP(Sales[[#This Row],[Product ID]],Product[#All],7,0)</f>
        <v>90020</v>
      </c>
      <c r="I726" s="165">
        <f>Sales[[#This Row],[Selling Rate]]*Sales[[#This Row],[Qty]]</f>
        <v>450100</v>
      </c>
      <c r="J726" s="45">
        <v>0.05</v>
      </c>
      <c r="K726" s="46">
        <f>Sales[[#This Row],[Gross Amount]]*Sales[[#This Row],[Disc %]]</f>
        <v>22505</v>
      </c>
      <c r="L726" s="43">
        <v>0.18</v>
      </c>
      <c r="M726" s="46">
        <f>(Sales[[#This Row],[Gross Amount]]-Sales[[#This Row],[Disc. Amt.]])*Sales[[#This Row],[GST %]]</f>
        <v>76967.099999999991</v>
      </c>
      <c r="N726" s="161">
        <f>Sales[[#This Row],[Gross Amount]]-Sales[[#This Row],[Disc. Amt.]]+Sales[[#This Row],[GST Amount]]</f>
        <v>504562.1</v>
      </c>
      <c r="O726" s="34" t="s">
        <v>3566</v>
      </c>
      <c r="P726" s="34" t="s">
        <v>3562</v>
      </c>
      <c r="Q726" s="165">
        <f>IF(Sales[[#This Row],[Status]]="Cancelled",0,Sales[[#This Row],[Qty]])</f>
        <v>5</v>
      </c>
      <c r="R726" s="166">
        <f>IF(Sales[[#This Row],[Status]]="Cancelled",0,Sales[[#This Row],[Total Amount]])</f>
        <v>504562.1</v>
      </c>
      <c r="S726" s="162">
        <f>SUM(Sales[Net Amount])</f>
        <v>406839287.73200053</v>
      </c>
    </row>
    <row r="727" spans="1:19" ht="18.75" x14ac:dyDescent="0.25">
      <c r="A727" s="156" t="s">
        <v>4307</v>
      </c>
      <c r="B727" s="157">
        <v>45815</v>
      </c>
      <c r="C727" s="158" t="s">
        <v>817</v>
      </c>
      <c r="D727" s="159" t="str">
        <f>VLOOKUP(Sales[[#This Row],[Customer ID]],Customer[#All],2,0)</f>
        <v>Ankit Patel</v>
      </c>
      <c r="E727" s="158" t="s">
        <v>406</v>
      </c>
      <c r="F727" s="158" t="str">
        <f>VLOOKUP(Sales[[#This Row],[Product ID]],Product[#All],2,0)</f>
        <v>American TouristerLaptopBag</v>
      </c>
      <c r="G727" s="159">
        <v>6</v>
      </c>
      <c r="H727" s="160">
        <f>VLOOKUP(Sales[[#This Row],[Product ID]],Product[#All],7,0)</f>
        <v>1710</v>
      </c>
      <c r="I727" s="160">
        <f>Sales[[#This Row],[Selling Rate]]*Sales[[#This Row],[Qty]]</f>
        <v>10260</v>
      </c>
      <c r="J727" s="43">
        <v>0.02</v>
      </c>
      <c r="K727" s="44">
        <f>Sales[[#This Row],[Gross Amount]]*Sales[[#This Row],[Disc %]]</f>
        <v>205.20000000000002</v>
      </c>
      <c r="L727" s="43">
        <v>0.18</v>
      </c>
      <c r="M727" s="44">
        <f>(Sales[[#This Row],[Gross Amount]]-Sales[[#This Row],[Disc. Amt.]])*Sales[[#This Row],[GST %]]</f>
        <v>1809.8639999999998</v>
      </c>
      <c r="N727" s="161">
        <f>Sales[[#This Row],[Gross Amount]]-Sales[[#This Row],[Disc. Amt.]]+Sales[[#This Row],[GST Amount]]</f>
        <v>11864.663999999999</v>
      </c>
      <c r="O727" s="158" t="s">
        <v>3569</v>
      </c>
      <c r="P727" s="158" t="s">
        <v>3562</v>
      </c>
      <c r="Q727" s="160">
        <f>IF(Sales[[#This Row],[Status]]="Cancelled",0,Sales[[#This Row],[Qty]])</f>
        <v>6</v>
      </c>
      <c r="R727" s="161">
        <f>IF(Sales[[#This Row],[Status]]="Cancelled",0,Sales[[#This Row],[Total Amount]])</f>
        <v>11864.663999999999</v>
      </c>
      <c r="S727" s="162">
        <f>SUM(Sales[Net Amount])</f>
        <v>406839287.73200053</v>
      </c>
    </row>
    <row r="728" spans="1:19" ht="18.75" x14ac:dyDescent="0.25">
      <c r="A728" s="163" t="s">
        <v>4308</v>
      </c>
      <c r="B728" s="164">
        <v>45816</v>
      </c>
      <c r="C728" s="34" t="s">
        <v>4309</v>
      </c>
      <c r="D728" s="53" t="str">
        <f>VLOOKUP(Sales[[#This Row],[Customer ID]],Customer[#All],2,0)</f>
        <v>Pooja Verma</v>
      </c>
      <c r="E728" s="34" t="s">
        <v>322</v>
      </c>
      <c r="F728" s="34" t="str">
        <f>VLOOKUP(Sales[[#This Row],[Product ID]],Product[#All],2,0)</f>
        <v>Jbl Speaker</v>
      </c>
      <c r="G728" s="53">
        <v>6</v>
      </c>
      <c r="H728" s="165">
        <f>VLOOKUP(Sales[[#This Row],[Product ID]],Product[#All],7,0)</f>
        <v>10370</v>
      </c>
      <c r="I728" s="165">
        <f>Sales[[#This Row],[Selling Rate]]*Sales[[#This Row],[Qty]]</f>
        <v>62220</v>
      </c>
      <c r="J728" s="45">
        <v>0.15</v>
      </c>
      <c r="K728" s="46">
        <f>Sales[[#This Row],[Gross Amount]]*Sales[[#This Row],[Disc %]]</f>
        <v>9333</v>
      </c>
      <c r="L728" s="43">
        <v>0.18</v>
      </c>
      <c r="M728" s="46">
        <f>(Sales[[#This Row],[Gross Amount]]-Sales[[#This Row],[Disc. Amt.]])*Sales[[#This Row],[GST %]]</f>
        <v>9519.66</v>
      </c>
      <c r="N728" s="161">
        <f>Sales[[#This Row],[Gross Amount]]-Sales[[#This Row],[Disc. Amt.]]+Sales[[#This Row],[GST Amount]]</f>
        <v>62406.66</v>
      </c>
      <c r="O728" s="34" t="s">
        <v>8876</v>
      </c>
      <c r="P728" s="34" t="s">
        <v>3562</v>
      </c>
      <c r="Q728" s="165">
        <f>IF(Sales[[#This Row],[Status]]="Cancelled",0,Sales[[#This Row],[Qty]])</f>
        <v>6</v>
      </c>
      <c r="R728" s="166">
        <f>IF(Sales[[#This Row],[Status]]="Cancelled",0,Sales[[#This Row],[Total Amount]])</f>
        <v>62406.66</v>
      </c>
      <c r="S728" s="162">
        <f>SUM(Sales[Net Amount])</f>
        <v>406839287.73200053</v>
      </c>
    </row>
    <row r="729" spans="1:19" ht="18.75" x14ac:dyDescent="0.25">
      <c r="A729" s="156" t="s">
        <v>4310</v>
      </c>
      <c r="B729" s="157">
        <v>45816</v>
      </c>
      <c r="C729" s="158" t="s">
        <v>4311</v>
      </c>
      <c r="D729" s="159" t="str">
        <f>VLOOKUP(Sales[[#This Row],[Customer ID]],Customer[#All],2,0)</f>
        <v>Ankit Sharma</v>
      </c>
      <c r="E729" s="158" t="s">
        <v>499</v>
      </c>
      <c r="F729" s="158" t="str">
        <f>VLOOKUP(Sales[[#This Row],[Product ID]],Product[#All],2,0)</f>
        <v>HP Laptop</v>
      </c>
      <c r="G729" s="159">
        <v>7</v>
      </c>
      <c r="H729" s="160">
        <f>VLOOKUP(Sales[[#This Row],[Product ID]],Product[#All],7,0)</f>
        <v>83390</v>
      </c>
      <c r="I729" s="160">
        <f>Sales[[#This Row],[Selling Rate]]*Sales[[#This Row],[Qty]]</f>
        <v>583730</v>
      </c>
      <c r="J729" s="43">
        <v>0.1</v>
      </c>
      <c r="K729" s="44">
        <f>Sales[[#This Row],[Gross Amount]]*Sales[[#This Row],[Disc %]]</f>
        <v>58373</v>
      </c>
      <c r="L729" s="43">
        <v>0.18</v>
      </c>
      <c r="M729" s="44">
        <f>(Sales[[#This Row],[Gross Amount]]-Sales[[#This Row],[Disc. Amt.]])*Sales[[#This Row],[GST %]]</f>
        <v>94564.26</v>
      </c>
      <c r="N729" s="161">
        <f>Sales[[#This Row],[Gross Amount]]-Sales[[#This Row],[Disc. Amt.]]+Sales[[#This Row],[GST Amount]]</f>
        <v>619921.26</v>
      </c>
      <c r="O729" s="158" t="s">
        <v>3561</v>
      </c>
      <c r="P729" s="158" t="s">
        <v>3562</v>
      </c>
      <c r="Q729" s="160">
        <f>IF(Sales[[#This Row],[Status]]="Cancelled",0,Sales[[#This Row],[Qty]])</f>
        <v>7</v>
      </c>
      <c r="R729" s="161">
        <f>IF(Sales[[#This Row],[Status]]="Cancelled",0,Sales[[#This Row],[Total Amount]])</f>
        <v>619921.26</v>
      </c>
      <c r="S729" s="162">
        <f>SUM(Sales[Net Amount])</f>
        <v>406839287.73200053</v>
      </c>
    </row>
    <row r="730" spans="1:19" ht="18.75" x14ac:dyDescent="0.25">
      <c r="A730" s="163" t="s">
        <v>4312</v>
      </c>
      <c r="B730" s="164">
        <v>45816</v>
      </c>
      <c r="C730" s="34" t="s">
        <v>933</v>
      </c>
      <c r="D730" s="53" t="str">
        <f>VLOOKUP(Sales[[#This Row],[Customer ID]],Customer[#All],2,0)</f>
        <v>Vikas Verma</v>
      </c>
      <c r="E730" s="34" t="s">
        <v>388</v>
      </c>
      <c r="F730" s="34" t="str">
        <f>VLOOKUP(Sales[[#This Row],[Product ID]],Product[#All],2,0)</f>
        <v>Dell Laptop</v>
      </c>
      <c r="G730" s="53">
        <v>1</v>
      </c>
      <c r="H730" s="165">
        <f>VLOOKUP(Sales[[#This Row],[Product ID]],Product[#All],7,0)</f>
        <v>68790</v>
      </c>
      <c r="I730" s="165">
        <f>Sales[[#This Row],[Selling Rate]]*Sales[[#This Row],[Qty]]</f>
        <v>68790</v>
      </c>
      <c r="J730" s="45">
        <v>0.02</v>
      </c>
      <c r="K730" s="46">
        <f>Sales[[#This Row],[Gross Amount]]*Sales[[#This Row],[Disc %]]</f>
        <v>1375.8</v>
      </c>
      <c r="L730" s="43">
        <v>0.18</v>
      </c>
      <c r="M730" s="46">
        <f>(Sales[[#This Row],[Gross Amount]]-Sales[[#This Row],[Disc. Amt.]])*Sales[[#This Row],[GST %]]</f>
        <v>12134.555999999999</v>
      </c>
      <c r="N730" s="161">
        <f>Sales[[#This Row],[Gross Amount]]-Sales[[#This Row],[Disc. Amt.]]+Sales[[#This Row],[GST Amount]]</f>
        <v>79548.755999999994</v>
      </c>
      <c r="O730" s="34" t="s">
        <v>3569</v>
      </c>
      <c r="P730" s="34" t="s">
        <v>3562</v>
      </c>
      <c r="Q730" s="165">
        <f>IF(Sales[[#This Row],[Status]]="Cancelled",0,Sales[[#This Row],[Qty]])</f>
        <v>1</v>
      </c>
      <c r="R730" s="166">
        <f>IF(Sales[[#This Row],[Status]]="Cancelled",0,Sales[[#This Row],[Total Amount]])</f>
        <v>79548.755999999994</v>
      </c>
      <c r="S730" s="162">
        <f>SUM(Sales[Net Amount])</f>
        <v>406839287.73200053</v>
      </c>
    </row>
    <row r="731" spans="1:19" ht="18.75" x14ac:dyDescent="0.25">
      <c r="A731" s="156" t="s">
        <v>4313</v>
      </c>
      <c r="B731" s="157">
        <v>45816</v>
      </c>
      <c r="C731" s="158" t="s">
        <v>841</v>
      </c>
      <c r="D731" s="159" t="str">
        <f>VLOOKUP(Sales[[#This Row],[Customer ID]],Customer[#All],2,0)</f>
        <v>Pooja Verma</v>
      </c>
      <c r="E731" s="158" t="s">
        <v>234</v>
      </c>
      <c r="F731" s="158" t="str">
        <f>VLOOKUP(Sales[[#This Row],[Product ID]],Product[#All],2,0)</f>
        <v>HP Desktop</v>
      </c>
      <c r="G731" s="159">
        <v>3</v>
      </c>
      <c r="H731" s="160">
        <f>VLOOKUP(Sales[[#This Row],[Product ID]],Product[#All],7,0)</f>
        <v>76930</v>
      </c>
      <c r="I731" s="160">
        <f>Sales[[#This Row],[Selling Rate]]*Sales[[#This Row],[Qty]]</f>
        <v>230790</v>
      </c>
      <c r="J731" s="43">
        <v>0.05</v>
      </c>
      <c r="K731" s="44">
        <f>Sales[[#This Row],[Gross Amount]]*Sales[[#This Row],[Disc %]]</f>
        <v>11539.5</v>
      </c>
      <c r="L731" s="43">
        <v>0.18</v>
      </c>
      <c r="M731" s="44">
        <f>(Sales[[#This Row],[Gross Amount]]-Sales[[#This Row],[Disc. Amt.]])*Sales[[#This Row],[GST %]]</f>
        <v>39465.089999999997</v>
      </c>
      <c r="N731" s="161">
        <f>Sales[[#This Row],[Gross Amount]]-Sales[[#This Row],[Disc. Amt.]]+Sales[[#This Row],[GST Amount]]</f>
        <v>258715.59</v>
      </c>
      <c r="O731" s="158" t="s">
        <v>3569</v>
      </c>
      <c r="P731" s="158" t="s">
        <v>3562</v>
      </c>
      <c r="Q731" s="160">
        <f>IF(Sales[[#This Row],[Status]]="Cancelled",0,Sales[[#This Row],[Qty]])</f>
        <v>3</v>
      </c>
      <c r="R731" s="161">
        <f>IF(Sales[[#This Row],[Status]]="Cancelled",0,Sales[[#This Row],[Total Amount]])</f>
        <v>258715.59</v>
      </c>
      <c r="S731" s="162">
        <f>SUM(Sales[Net Amount])</f>
        <v>406839287.73200053</v>
      </c>
    </row>
    <row r="732" spans="1:19" ht="18.75" x14ac:dyDescent="0.25">
      <c r="A732" s="163" t="s">
        <v>4314</v>
      </c>
      <c r="B732" s="164">
        <v>45816</v>
      </c>
      <c r="C732" s="34" t="s">
        <v>913</v>
      </c>
      <c r="D732" s="53" t="str">
        <f>VLOOKUP(Sales[[#This Row],[Customer ID]],Customer[#All],2,0)</f>
        <v>Pooja Kumar</v>
      </c>
      <c r="E732" s="34" t="s">
        <v>194</v>
      </c>
      <c r="F732" s="34" t="str">
        <f>VLOOKUP(Sales[[#This Row],[Product ID]],Product[#All],2,0)</f>
        <v>Crucial Ssd</v>
      </c>
      <c r="G732" s="53">
        <v>3</v>
      </c>
      <c r="H732" s="165">
        <f>VLOOKUP(Sales[[#This Row],[Product ID]],Product[#All],7,0)</f>
        <v>6290</v>
      </c>
      <c r="I732" s="165">
        <f>Sales[[#This Row],[Selling Rate]]*Sales[[#This Row],[Qty]]</f>
        <v>18870</v>
      </c>
      <c r="J732" s="45">
        <v>0.12</v>
      </c>
      <c r="K732" s="46">
        <f>Sales[[#This Row],[Gross Amount]]*Sales[[#This Row],[Disc %]]</f>
        <v>2264.4</v>
      </c>
      <c r="L732" s="43">
        <v>0.18</v>
      </c>
      <c r="M732" s="46">
        <f>(Sales[[#This Row],[Gross Amount]]-Sales[[#This Row],[Disc. Amt.]])*Sales[[#This Row],[GST %]]</f>
        <v>2989.0079999999998</v>
      </c>
      <c r="N732" s="161">
        <f>Sales[[#This Row],[Gross Amount]]-Sales[[#This Row],[Disc. Amt.]]+Sales[[#This Row],[GST Amount]]</f>
        <v>19594.608</v>
      </c>
      <c r="O732" s="34" t="s">
        <v>3561</v>
      </c>
      <c r="P732" s="34" t="s">
        <v>3562</v>
      </c>
      <c r="Q732" s="165">
        <f>IF(Sales[[#This Row],[Status]]="Cancelled",0,Sales[[#This Row],[Qty]])</f>
        <v>3</v>
      </c>
      <c r="R732" s="166">
        <f>IF(Sales[[#This Row],[Status]]="Cancelled",0,Sales[[#This Row],[Total Amount]])</f>
        <v>19594.608</v>
      </c>
      <c r="S732" s="162">
        <f>SUM(Sales[Net Amount])</f>
        <v>406839287.73200053</v>
      </c>
    </row>
    <row r="733" spans="1:19" ht="18.75" x14ac:dyDescent="0.25">
      <c r="A733" s="156" t="s">
        <v>4315</v>
      </c>
      <c r="B733" s="157">
        <v>45816</v>
      </c>
      <c r="C733" s="158" t="s">
        <v>936</v>
      </c>
      <c r="D733" s="159" t="str">
        <f>VLOOKUP(Sales[[#This Row],[Customer ID]],Customer[#All],2,0)</f>
        <v>Pooja Patel</v>
      </c>
      <c r="E733" s="158" t="s">
        <v>440</v>
      </c>
      <c r="F733" s="158" t="str">
        <f>VLOOKUP(Sales[[#This Row],[Product ID]],Product[#All],2,0)</f>
        <v>Dell Monitor</v>
      </c>
      <c r="G733" s="159">
        <v>1</v>
      </c>
      <c r="H733" s="160">
        <f>VLOOKUP(Sales[[#This Row],[Product ID]],Product[#All],7,0)</f>
        <v>22810</v>
      </c>
      <c r="I733" s="160">
        <f>Sales[[#This Row],[Selling Rate]]*Sales[[#This Row],[Qty]]</f>
        <v>22810</v>
      </c>
      <c r="J733" s="43">
        <v>0.02</v>
      </c>
      <c r="K733" s="44">
        <f>Sales[[#This Row],[Gross Amount]]*Sales[[#This Row],[Disc %]]</f>
        <v>456.2</v>
      </c>
      <c r="L733" s="43">
        <v>0.18</v>
      </c>
      <c r="M733" s="44">
        <f>(Sales[[#This Row],[Gross Amount]]-Sales[[#This Row],[Disc. Amt.]])*Sales[[#This Row],[GST %]]</f>
        <v>4023.6839999999997</v>
      </c>
      <c r="N733" s="161">
        <f>Sales[[#This Row],[Gross Amount]]-Sales[[#This Row],[Disc. Amt.]]+Sales[[#This Row],[GST Amount]]</f>
        <v>26377.484</v>
      </c>
      <c r="O733" s="158" t="s">
        <v>3569</v>
      </c>
      <c r="P733" s="158" t="s">
        <v>3562</v>
      </c>
      <c r="Q733" s="160">
        <f>IF(Sales[[#This Row],[Status]]="Cancelled",0,Sales[[#This Row],[Qty]])</f>
        <v>1</v>
      </c>
      <c r="R733" s="161">
        <f>IF(Sales[[#This Row],[Status]]="Cancelled",0,Sales[[#This Row],[Total Amount]])</f>
        <v>26377.484</v>
      </c>
      <c r="S733" s="162">
        <f>SUM(Sales[Net Amount])</f>
        <v>406839287.73200053</v>
      </c>
    </row>
    <row r="734" spans="1:19" ht="18.75" x14ac:dyDescent="0.25">
      <c r="A734" s="163" t="s">
        <v>4316</v>
      </c>
      <c r="B734" s="164">
        <v>45816</v>
      </c>
      <c r="C734" s="34" t="s">
        <v>806</v>
      </c>
      <c r="D734" s="53" t="str">
        <f>VLOOKUP(Sales[[#This Row],[Customer ID]],Customer[#All],2,0)</f>
        <v>Vikas Singh</v>
      </c>
      <c r="E734" s="34" t="s">
        <v>190</v>
      </c>
      <c r="F734" s="34" t="str">
        <f>VLOOKUP(Sales[[#This Row],[Product ID]],Product[#All],2,0)</f>
        <v>Samsung Monitor</v>
      </c>
      <c r="G734" s="53">
        <v>1</v>
      </c>
      <c r="H734" s="165">
        <f>VLOOKUP(Sales[[#This Row],[Product ID]],Product[#All],7,0)</f>
        <v>18190</v>
      </c>
      <c r="I734" s="165">
        <f>Sales[[#This Row],[Selling Rate]]*Sales[[#This Row],[Qty]]</f>
        <v>18190</v>
      </c>
      <c r="J734" s="45">
        <v>0</v>
      </c>
      <c r="K734" s="46">
        <f>Sales[[#This Row],[Gross Amount]]*Sales[[#This Row],[Disc %]]</f>
        <v>0</v>
      </c>
      <c r="L734" s="43">
        <v>0.18</v>
      </c>
      <c r="M734" s="46">
        <f>(Sales[[#This Row],[Gross Amount]]-Sales[[#This Row],[Disc. Amt.]])*Sales[[#This Row],[GST %]]</f>
        <v>3274.2</v>
      </c>
      <c r="N734" s="161">
        <f>Sales[[#This Row],[Gross Amount]]-Sales[[#This Row],[Disc. Amt.]]+Sales[[#This Row],[GST Amount]]</f>
        <v>21464.2</v>
      </c>
      <c r="O734" s="34" t="s">
        <v>8876</v>
      </c>
      <c r="P734" s="34" t="s">
        <v>3562</v>
      </c>
      <c r="Q734" s="165">
        <f>IF(Sales[[#This Row],[Status]]="Cancelled",0,Sales[[#This Row],[Qty]])</f>
        <v>1</v>
      </c>
      <c r="R734" s="166">
        <f>IF(Sales[[#This Row],[Status]]="Cancelled",0,Sales[[#This Row],[Total Amount]])</f>
        <v>21464.2</v>
      </c>
      <c r="S734" s="162">
        <f>SUM(Sales[Net Amount])</f>
        <v>406839287.73200053</v>
      </c>
    </row>
    <row r="735" spans="1:19" ht="18.75" x14ac:dyDescent="0.25">
      <c r="A735" s="156" t="s">
        <v>4317</v>
      </c>
      <c r="B735" s="157">
        <v>45816</v>
      </c>
      <c r="C735" s="158" t="s">
        <v>707</v>
      </c>
      <c r="D735" s="159" t="str">
        <f>VLOOKUP(Sales[[#This Row],[Customer ID]],Customer[#All],2,0)</f>
        <v>Rahul Verma</v>
      </c>
      <c r="E735" s="158" t="s">
        <v>487</v>
      </c>
      <c r="F735" s="158" t="str">
        <f>VLOOKUP(Sales[[#This Row],[Product ID]],Product[#All],2,0)</f>
        <v>TP-link Bluetooth Adapter</v>
      </c>
      <c r="G735" s="159">
        <v>5</v>
      </c>
      <c r="H735" s="160">
        <f>VLOOKUP(Sales[[#This Row],[Product ID]],Product[#All],7,0)</f>
        <v>660</v>
      </c>
      <c r="I735" s="160">
        <f>Sales[[#This Row],[Selling Rate]]*Sales[[#This Row],[Qty]]</f>
        <v>3300</v>
      </c>
      <c r="J735" s="43">
        <v>0.1</v>
      </c>
      <c r="K735" s="44">
        <f>Sales[[#This Row],[Gross Amount]]*Sales[[#This Row],[Disc %]]</f>
        <v>330</v>
      </c>
      <c r="L735" s="43">
        <v>0.18</v>
      </c>
      <c r="M735" s="44">
        <f>(Sales[[#This Row],[Gross Amount]]-Sales[[#This Row],[Disc. Amt.]])*Sales[[#This Row],[GST %]]</f>
        <v>534.6</v>
      </c>
      <c r="N735" s="161">
        <f>Sales[[#This Row],[Gross Amount]]-Sales[[#This Row],[Disc. Amt.]]+Sales[[#This Row],[GST Amount]]</f>
        <v>3504.6</v>
      </c>
      <c r="O735" s="158" t="s">
        <v>3561</v>
      </c>
      <c r="P735" s="158" t="s">
        <v>3562</v>
      </c>
      <c r="Q735" s="160">
        <f>IF(Sales[[#This Row],[Status]]="Cancelled",0,Sales[[#This Row],[Qty]])</f>
        <v>5</v>
      </c>
      <c r="R735" s="161">
        <f>IF(Sales[[#This Row],[Status]]="Cancelled",0,Sales[[#This Row],[Total Amount]])</f>
        <v>3504.6</v>
      </c>
      <c r="S735" s="162">
        <f>SUM(Sales[Net Amount])</f>
        <v>406839287.73200053</v>
      </c>
    </row>
    <row r="736" spans="1:19" ht="18.75" x14ac:dyDescent="0.25">
      <c r="A736" s="163" t="s">
        <v>4318</v>
      </c>
      <c r="B736" s="164">
        <v>45816</v>
      </c>
      <c r="C736" s="34" t="s">
        <v>670</v>
      </c>
      <c r="D736" s="53" t="str">
        <f>VLOOKUP(Sales[[#This Row],[Customer ID]],Customer[#All],2,0)</f>
        <v>Rakesh Patel</v>
      </c>
      <c r="E736" s="34" t="s">
        <v>50</v>
      </c>
      <c r="F736" s="34" t="str">
        <f>VLOOKUP(Sales[[#This Row],[Product ID]],Product[#All],2,0)</f>
        <v>Lg Monitor</v>
      </c>
      <c r="G736" s="53">
        <v>4</v>
      </c>
      <c r="H736" s="165">
        <f>VLOOKUP(Sales[[#This Row],[Product ID]],Product[#All],7,0)</f>
        <v>35670</v>
      </c>
      <c r="I736" s="165">
        <f>Sales[[#This Row],[Selling Rate]]*Sales[[#This Row],[Qty]]</f>
        <v>142680</v>
      </c>
      <c r="J736" s="45">
        <v>0.12</v>
      </c>
      <c r="K736" s="46">
        <f>Sales[[#This Row],[Gross Amount]]*Sales[[#This Row],[Disc %]]</f>
        <v>17121.599999999999</v>
      </c>
      <c r="L736" s="43">
        <v>0.18</v>
      </c>
      <c r="M736" s="46">
        <f>(Sales[[#This Row],[Gross Amount]]-Sales[[#This Row],[Disc. Amt.]])*Sales[[#This Row],[GST %]]</f>
        <v>22600.511999999999</v>
      </c>
      <c r="N736" s="161">
        <f>Sales[[#This Row],[Gross Amount]]-Sales[[#This Row],[Disc. Amt.]]+Sales[[#This Row],[GST Amount]]</f>
        <v>148158.91199999998</v>
      </c>
      <c r="O736" s="34" t="s">
        <v>3566</v>
      </c>
      <c r="P736" s="34" t="s">
        <v>3562</v>
      </c>
      <c r="Q736" s="165">
        <f>IF(Sales[[#This Row],[Status]]="Cancelled",0,Sales[[#This Row],[Qty]])</f>
        <v>4</v>
      </c>
      <c r="R736" s="166">
        <f>IF(Sales[[#This Row],[Status]]="Cancelled",0,Sales[[#This Row],[Total Amount]])</f>
        <v>148158.91199999998</v>
      </c>
      <c r="S736" s="162">
        <f>SUM(Sales[Net Amount])</f>
        <v>406839287.73200053</v>
      </c>
    </row>
    <row r="737" spans="1:19" ht="18.75" x14ac:dyDescent="0.25">
      <c r="A737" s="156" t="s">
        <v>4319</v>
      </c>
      <c r="B737" s="157">
        <v>45816</v>
      </c>
      <c r="C737" s="158" t="s">
        <v>790</v>
      </c>
      <c r="D737" s="159" t="str">
        <f>VLOOKUP(Sales[[#This Row],[Customer ID]],Customer[#All],2,0)</f>
        <v>Pooja Gupta</v>
      </c>
      <c r="E737" s="158" t="s">
        <v>295</v>
      </c>
      <c r="F737" s="158" t="str">
        <f>VLOOKUP(Sales[[#This Row],[Product ID]],Product[#All],2,0)</f>
        <v>Samsung Monitor</v>
      </c>
      <c r="G737" s="159">
        <v>5</v>
      </c>
      <c r="H737" s="160">
        <f>VLOOKUP(Sales[[#This Row],[Product ID]],Product[#All],7,0)</f>
        <v>7630</v>
      </c>
      <c r="I737" s="160">
        <f>Sales[[#This Row],[Selling Rate]]*Sales[[#This Row],[Qty]]</f>
        <v>38150</v>
      </c>
      <c r="J737" s="43">
        <v>0</v>
      </c>
      <c r="K737" s="44">
        <f>Sales[[#This Row],[Gross Amount]]*Sales[[#This Row],[Disc %]]</f>
        <v>0</v>
      </c>
      <c r="L737" s="43">
        <v>0.18</v>
      </c>
      <c r="M737" s="44">
        <f>(Sales[[#This Row],[Gross Amount]]-Sales[[#This Row],[Disc. Amt.]])*Sales[[#This Row],[GST %]]</f>
        <v>6867</v>
      </c>
      <c r="N737" s="161">
        <f>Sales[[#This Row],[Gross Amount]]-Sales[[#This Row],[Disc. Amt.]]+Sales[[#This Row],[GST Amount]]</f>
        <v>45017</v>
      </c>
      <c r="O737" s="158" t="s">
        <v>8876</v>
      </c>
      <c r="P737" s="158" t="s">
        <v>3562</v>
      </c>
      <c r="Q737" s="160">
        <f>IF(Sales[[#This Row],[Status]]="Cancelled",0,Sales[[#This Row],[Qty]])</f>
        <v>5</v>
      </c>
      <c r="R737" s="161">
        <f>IF(Sales[[#This Row],[Status]]="Cancelled",0,Sales[[#This Row],[Total Amount]])</f>
        <v>45017</v>
      </c>
      <c r="S737" s="162">
        <f>SUM(Sales[Net Amount])</f>
        <v>406839287.73200053</v>
      </c>
    </row>
    <row r="738" spans="1:19" ht="18.75" x14ac:dyDescent="0.25">
      <c r="A738" s="163" t="s">
        <v>4320</v>
      </c>
      <c r="B738" s="164">
        <v>45816</v>
      </c>
      <c r="C738" s="34" t="s">
        <v>817</v>
      </c>
      <c r="D738" s="53" t="str">
        <f>VLOOKUP(Sales[[#This Row],[Customer ID]],Customer[#All],2,0)</f>
        <v>Ankit Patel</v>
      </c>
      <c r="E738" s="34" t="s">
        <v>505</v>
      </c>
      <c r="F738" s="34" t="str">
        <f>VLOOKUP(Sales[[#This Row],[Product ID]],Product[#All],2,0)</f>
        <v>Dell Monitor</v>
      </c>
      <c r="G738" s="53">
        <v>4</v>
      </c>
      <c r="H738" s="165">
        <f>VLOOKUP(Sales[[#This Row],[Product ID]],Product[#All],7,0)</f>
        <v>12790</v>
      </c>
      <c r="I738" s="165">
        <f>Sales[[#This Row],[Selling Rate]]*Sales[[#This Row],[Qty]]</f>
        <v>51160</v>
      </c>
      <c r="J738" s="45">
        <v>0.12</v>
      </c>
      <c r="K738" s="46">
        <f>Sales[[#This Row],[Gross Amount]]*Sales[[#This Row],[Disc %]]</f>
        <v>6139.2</v>
      </c>
      <c r="L738" s="43">
        <v>0.18</v>
      </c>
      <c r="M738" s="46">
        <f>(Sales[[#This Row],[Gross Amount]]-Sales[[#This Row],[Disc. Amt.]])*Sales[[#This Row],[GST %]]</f>
        <v>8103.7440000000006</v>
      </c>
      <c r="N738" s="161">
        <f>Sales[[#This Row],[Gross Amount]]-Sales[[#This Row],[Disc. Amt.]]+Sales[[#This Row],[GST Amount]]</f>
        <v>53124.544000000002</v>
      </c>
      <c r="O738" s="34" t="s">
        <v>3566</v>
      </c>
      <c r="P738" s="34" t="s">
        <v>1040</v>
      </c>
      <c r="Q738" s="165">
        <f>IF(Sales[[#This Row],[Status]]="Cancelled",0,Sales[[#This Row],[Qty]])</f>
        <v>0</v>
      </c>
      <c r="R738" s="166">
        <f>IF(Sales[[#This Row],[Status]]="Cancelled",0,Sales[[#This Row],[Total Amount]])</f>
        <v>0</v>
      </c>
      <c r="S738" s="162">
        <f>SUM(Sales[Net Amount])</f>
        <v>406839287.73200053</v>
      </c>
    </row>
    <row r="739" spans="1:19" ht="18.75" x14ac:dyDescent="0.25">
      <c r="A739" s="156" t="s">
        <v>4321</v>
      </c>
      <c r="B739" s="157">
        <v>45816</v>
      </c>
      <c r="C739" s="158" t="s">
        <v>825</v>
      </c>
      <c r="D739" s="159" t="str">
        <f>VLOOKUP(Sales[[#This Row],[Customer ID]],Customer[#All],2,0)</f>
        <v>Rahul Kumar</v>
      </c>
      <c r="E739" s="158" t="s">
        <v>356</v>
      </c>
      <c r="F739" s="158" t="str">
        <f>VLOOKUP(Sales[[#This Row],[Product ID]],Product[#All],2,0)</f>
        <v>Corsair Ram</v>
      </c>
      <c r="G739" s="159">
        <v>8</v>
      </c>
      <c r="H739" s="160">
        <f>VLOOKUP(Sales[[#This Row],[Product ID]],Product[#All],7,0)</f>
        <v>8460</v>
      </c>
      <c r="I739" s="160">
        <f>Sales[[#This Row],[Selling Rate]]*Sales[[#This Row],[Qty]]</f>
        <v>67680</v>
      </c>
      <c r="J739" s="43">
        <v>0.05</v>
      </c>
      <c r="K739" s="44">
        <f>Sales[[#This Row],[Gross Amount]]*Sales[[#This Row],[Disc %]]</f>
        <v>3384</v>
      </c>
      <c r="L739" s="43">
        <v>0.18</v>
      </c>
      <c r="M739" s="44">
        <f>(Sales[[#This Row],[Gross Amount]]-Sales[[#This Row],[Disc. Amt.]])*Sales[[#This Row],[GST %]]</f>
        <v>11573.279999999999</v>
      </c>
      <c r="N739" s="161">
        <f>Sales[[#This Row],[Gross Amount]]-Sales[[#This Row],[Disc. Amt.]]+Sales[[#This Row],[GST Amount]]</f>
        <v>75869.279999999999</v>
      </c>
      <c r="O739" s="158" t="s">
        <v>8876</v>
      </c>
      <c r="P739" s="158" t="s">
        <v>3562</v>
      </c>
      <c r="Q739" s="160">
        <f>IF(Sales[[#This Row],[Status]]="Cancelled",0,Sales[[#This Row],[Qty]])</f>
        <v>8</v>
      </c>
      <c r="R739" s="161">
        <f>IF(Sales[[#This Row],[Status]]="Cancelled",0,Sales[[#This Row],[Total Amount]])</f>
        <v>75869.279999999999</v>
      </c>
      <c r="S739" s="162">
        <f>SUM(Sales[Net Amount])</f>
        <v>406839287.73200053</v>
      </c>
    </row>
    <row r="740" spans="1:19" ht="18.75" x14ac:dyDescent="0.25">
      <c r="A740" s="163" t="s">
        <v>4322</v>
      </c>
      <c r="B740" s="164">
        <v>45816</v>
      </c>
      <c r="C740" s="34" t="s">
        <v>725</v>
      </c>
      <c r="D740" s="53" t="str">
        <f>VLOOKUP(Sales[[#This Row],[Customer ID]],Customer[#All],2,0)</f>
        <v>Ankit Kumar</v>
      </c>
      <c r="E740" s="34" t="s">
        <v>382</v>
      </c>
      <c r="F740" s="34" t="str">
        <f>VLOOKUP(Sales[[#This Row],[Product ID]],Product[#All],2,0)</f>
        <v>Canon Printer</v>
      </c>
      <c r="G740" s="53">
        <v>4</v>
      </c>
      <c r="H740" s="165">
        <f>VLOOKUP(Sales[[#This Row],[Product ID]],Product[#All],7,0)</f>
        <v>32930</v>
      </c>
      <c r="I740" s="165">
        <f>Sales[[#This Row],[Selling Rate]]*Sales[[#This Row],[Qty]]</f>
        <v>131720</v>
      </c>
      <c r="J740" s="45">
        <v>0</v>
      </c>
      <c r="K740" s="46">
        <f>Sales[[#This Row],[Gross Amount]]*Sales[[#This Row],[Disc %]]</f>
        <v>0</v>
      </c>
      <c r="L740" s="43">
        <v>0.18</v>
      </c>
      <c r="M740" s="46">
        <f>(Sales[[#This Row],[Gross Amount]]-Sales[[#This Row],[Disc. Amt.]])*Sales[[#This Row],[GST %]]</f>
        <v>23709.599999999999</v>
      </c>
      <c r="N740" s="161">
        <f>Sales[[#This Row],[Gross Amount]]-Sales[[#This Row],[Disc. Amt.]]+Sales[[#This Row],[GST Amount]]</f>
        <v>155429.6</v>
      </c>
      <c r="O740" s="34" t="s">
        <v>3569</v>
      </c>
      <c r="P740" s="34" t="s">
        <v>3562</v>
      </c>
      <c r="Q740" s="165">
        <f>IF(Sales[[#This Row],[Status]]="Cancelled",0,Sales[[#This Row],[Qty]])</f>
        <v>4</v>
      </c>
      <c r="R740" s="166">
        <f>IF(Sales[[#This Row],[Status]]="Cancelled",0,Sales[[#This Row],[Total Amount]])</f>
        <v>155429.6</v>
      </c>
      <c r="S740" s="162">
        <f>SUM(Sales[Net Amount])</f>
        <v>406839287.73200053</v>
      </c>
    </row>
    <row r="741" spans="1:19" ht="18.75" x14ac:dyDescent="0.25">
      <c r="A741" s="156" t="s">
        <v>4323</v>
      </c>
      <c r="B741" s="157">
        <v>45816</v>
      </c>
      <c r="C741" s="158" t="s">
        <v>672</v>
      </c>
      <c r="D741" s="159" t="str">
        <f>VLOOKUP(Sales[[#This Row],[Customer ID]],Customer[#All],2,0)</f>
        <v>Rahul Patel</v>
      </c>
      <c r="E741" s="158" t="s">
        <v>310</v>
      </c>
      <c r="F741" s="158" t="str">
        <f>VLOOKUP(Sales[[#This Row],[Product ID]],Product[#All],2,0)</f>
        <v>TP-link Wi-Fi Adapter</v>
      </c>
      <c r="G741" s="159">
        <v>6</v>
      </c>
      <c r="H741" s="160">
        <f>VLOOKUP(Sales[[#This Row],[Product ID]],Product[#All],7,0)</f>
        <v>700</v>
      </c>
      <c r="I741" s="160">
        <f>Sales[[#This Row],[Selling Rate]]*Sales[[#This Row],[Qty]]</f>
        <v>4200</v>
      </c>
      <c r="J741" s="43">
        <v>0.02</v>
      </c>
      <c r="K741" s="44">
        <f>Sales[[#This Row],[Gross Amount]]*Sales[[#This Row],[Disc %]]</f>
        <v>84</v>
      </c>
      <c r="L741" s="43">
        <v>0.18</v>
      </c>
      <c r="M741" s="44">
        <f>(Sales[[#This Row],[Gross Amount]]-Sales[[#This Row],[Disc. Amt.]])*Sales[[#This Row],[GST %]]</f>
        <v>740.88</v>
      </c>
      <c r="N741" s="161">
        <f>Sales[[#This Row],[Gross Amount]]-Sales[[#This Row],[Disc. Amt.]]+Sales[[#This Row],[GST Amount]]</f>
        <v>4856.88</v>
      </c>
      <c r="O741" s="158" t="s">
        <v>8876</v>
      </c>
      <c r="P741" s="158" t="s">
        <v>3562</v>
      </c>
      <c r="Q741" s="160">
        <f>IF(Sales[[#This Row],[Status]]="Cancelled",0,Sales[[#This Row],[Qty]])</f>
        <v>6</v>
      </c>
      <c r="R741" s="161">
        <f>IF(Sales[[#This Row],[Status]]="Cancelled",0,Sales[[#This Row],[Total Amount]])</f>
        <v>4856.88</v>
      </c>
      <c r="S741" s="162">
        <f>SUM(Sales[Net Amount])</f>
        <v>406839287.73200053</v>
      </c>
    </row>
    <row r="742" spans="1:19" ht="18.75" x14ac:dyDescent="0.25">
      <c r="A742" s="163" t="s">
        <v>4324</v>
      </c>
      <c r="B742" s="164">
        <v>45816</v>
      </c>
      <c r="C742" s="34" t="s">
        <v>731</v>
      </c>
      <c r="D742" s="53" t="str">
        <f>VLOOKUP(Sales[[#This Row],[Customer ID]],Customer[#All],2,0)</f>
        <v>Neha Singh</v>
      </c>
      <c r="E742" s="34" t="s">
        <v>433</v>
      </c>
      <c r="F742" s="34" t="str">
        <f>VLOOKUP(Sales[[#This Row],[Product ID]],Product[#All],2,0)</f>
        <v>Seagate HDD</v>
      </c>
      <c r="G742" s="53">
        <v>6</v>
      </c>
      <c r="H742" s="165">
        <f>VLOOKUP(Sales[[#This Row],[Product ID]],Product[#All],7,0)</f>
        <v>13910</v>
      </c>
      <c r="I742" s="165">
        <f>Sales[[#This Row],[Selling Rate]]*Sales[[#This Row],[Qty]]</f>
        <v>83460</v>
      </c>
      <c r="J742" s="45">
        <v>0</v>
      </c>
      <c r="K742" s="46">
        <f>Sales[[#This Row],[Gross Amount]]*Sales[[#This Row],[Disc %]]</f>
        <v>0</v>
      </c>
      <c r="L742" s="43">
        <v>0.18</v>
      </c>
      <c r="M742" s="46">
        <f>(Sales[[#This Row],[Gross Amount]]-Sales[[#This Row],[Disc. Amt.]])*Sales[[#This Row],[GST %]]</f>
        <v>15022.8</v>
      </c>
      <c r="N742" s="161">
        <f>Sales[[#This Row],[Gross Amount]]-Sales[[#This Row],[Disc. Amt.]]+Sales[[#This Row],[GST Amount]]</f>
        <v>98482.8</v>
      </c>
      <c r="O742" s="34" t="s">
        <v>3566</v>
      </c>
      <c r="P742" s="34" t="s">
        <v>3562</v>
      </c>
      <c r="Q742" s="165">
        <f>IF(Sales[[#This Row],[Status]]="Cancelled",0,Sales[[#This Row],[Qty]])</f>
        <v>6</v>
      </c>
      <c r="R742" s="166">
        <f>IF(Sales[[#This Row],[Status]]="Cancelled",0,Sales[[#This Row],[Total Amount]])</f>
        <v>98482.8</v>
      </c>
      <c r="S742" s="162">
        <f>SUM(Sales[Net Amount])</f>
        <v>406839287.73200053</v>
      </c>
    </row>
    <row r="743" spans="1:19" ht="18.75" x14ac:dyDescent="0.25">
      <c r="A743" s="156" t="s">
        <v>4325</v>
      </c>
      <c r="B743" s="157">
        <v>45816</v>
      </c>
      <c r="C743" s="158" t="s">
        <v>913</v>
      </c>
      <c r="D743" s="159" t="str">
        <f>VLOOKUP(Sales[[#This Row],[Customer ID]],Customer[#All],2,0)</f>
        <v>Pooja Kumar</v>
      </c>
      <c r="E743" s="158" t="s">
        <v>475</v>
      </c>
      <c r="F743" s="158" t="str">
        <f>VLOOKUP(Sales[[#This Row],[Product ID]],Product[#All],2,0)</f>
        <v>TP-link Bluetooth Adapter</v>
      </c>
      <c r="G743" s="159">
        <v>8</v>
      </c>
      <c r="H743" s="160">
        <f>VLOOKUP(Sales[[#This Row],[Product ID]],Product[#All],7,0)</f>
        <v>1430</v>
      </c>
      <c r="I743" s="160">
        <f>Sales[[#This Row],[Selling Rate]]*Sales[[#This Row],[Qty]]</f>
        <v>11440</v>
      </c>
      <c r="J743" s="43">
        <v>0</v>
      </c>
      <c r="K743" s="44">
        <f>Sales[[#This Row],[Gross Amount]]*Sales[[#This Row],[Disc %]]</f>
        <v>0</v>
      </c>
      <c r="L743" s="43">
        <v>0.18</v>
      </c>
      <c r="M743" s="44">
        <f>(Sales[[#This Row],[Gross Amount]]-Sales[[#This Row],[Disc. Amt.]])*Sales[[#This Row],[GST %]]</f>
        <v>2059.1999999999998</v>
      </c>
      <c r="N743" s="161">
        <f>Sales[[#This Row],[Gross Amount]]-Sales[[#This Row],[Disc. Amt.]]+Sales[[#This Row],[GST Amount]]</f>
        <v>13499.2</v>
      </c>
      <c r="O743" s="158" t="s">
        <v>3566</v>
      </c>
      <c r="P743" s="158" t="s">
        <v>3562</v>
      </c>
      <c r="Q743" s="160">
        <f>IF(Sales[[#This Row],[Status]]="Cancelled",0,Sales[[#This Row],[Qty]])</f>
        <v>8</v>
      </c>
      <c r="R743" s="161">
        <f>IF(Sales[[#This Row],[Status]]="Cancelled",0,Sales[[#This Row],[Total Amount]])</f>
        <v>13499.2</v>
      </c>
      <c r="S743" s="162">
        <f>SUM(Sales[Net Amount])</f>
        <v>406839287.73200053</v>
      </c>
    </row>
    <row r="744" spans="1:19" ht="18.75" x14ac:dyDescent="0.25">
      <c r="A744" s="163" t="s">
        <v>4326</v>
      </c>
      <c r="B744" s="164">
        <v>45816</v>
      </c>
      <c r="C744" s="34" t="s">
        <v>767</v>
      </c>
      <c r="D744" s="53" t="str">
        <f>VLOOKUP(Sales[[#This Row],[Customer ID]],Customer[#All],2,0)</f>
        <v>Sunita Singh</v>
      </c>
      <c r="E744" s="34" t="s">
        <v>247</v>
      </c>
      <c r="F744" s="34" t="str">
        <f>VLOOKUP(Sales[[#This Row],[Product ID]],Product[#All],2,0)</f>
        <v>Acer Laptop</v>
      </c>
      <c r="G744" s="53">
        <v>1</v>
      </c>
      <c r="H744" s="165">
        <f>VLOOKUP(Sales[[#This Row],[Product ID]],Product[#All],7,0)</f>
        <v>68460</v>
      </c>
      <c r="I744" s="165">
        <f>Sales[[#This Row],[Selling Rate]]*Sales[[#This Row],[Qty]]</f>
        <v>68460</v>
      </c>
      <c r="J744" s="45">
        <v>0.12</v>
      </c>
      <c r="K744" s="46">
        <f>Sales[[#This Row],[Gross Amount]]*Sales[[#This Row],[Disc %]]</f>
        <v>8215.1999999999989</v>
      </c>
      <c r="L744" s="43">
        <v>0.18</v>
      </c>
      <c r="M744" s="46">
        <f>(Sales[[#This Row],[Gross Amount]]-Sales[[#This Row],[Disc. Amt.]])*Sales[[#This Row],[GST %]]</f>
        <v>10844.064</v>
      </c>
      <c r="N744" s="161">
        <f>Sales[[#This Row],[Gross Amount]]-Sales[[#This Row],[Disc. Amt.]]+Sales[[#This Row],[GST Amount]]</f>
        <v>71088.864000000001</v>
      </c>
      <c r="O744" s="34" t="s">
        <v>8876</v>
      </c>
      <c r="P744" s="34" t="s">
        <v>3562</v>
      </c>
      <c r="Q744" s="165">
        <f>IF(Sales[[#This Row],[Status]]="Cancelled",0,Sales[[#This Row],[Qty]])</f>
        <v>1</v>
      </c>
      <c r="R744" s="166">
        <f>IF(Sales[[#This Row],[Status]]="Cancelled",0,Sales[[#This Row],[Total Amount]])</f>
        <v>71088.864000000001</v>
      </c>
      <c r="S744" s="162">
        <f>SUM(Sales[Net Amount])</f>
        <v>406839287.73200053</v>
      </c>
    </row>
    <row r="745" spans="1:19" ht="18.75" x14ac:dyDescent="0.25">
      <c r="A745" s="156" t="s">
        <v>4327</v>
      </c>
      <c r="B745" s="157">
        <v>45816</v>
      </c>
      <c r="C745" s="158" t="s">
        <v>820</v>
      </c>
      <c r="D745" s="159" t="str">
        <f>VLOOKUP(Sales[[#This Row],[Customer ID]],Customer[#All],2,0)</f>
        <v>Sahil Gupta</v>
      </c>
      <c r="E745" s="158" t="s">
        <v>95</v>
      </c>
      <c r="F745" s="158" t="str">
        <f>VLOOKUP(Sales[[#This Row],[Product ID]],Product[#All],2,0)</f>
        <v>TP-link Router</v>
      </c>
      <c r="G745" s="159">
        <v>5</v>
      </c>
      <c r="H745" s="160">
        <f>VLOOKUP(Sales[[#This Row],[Product ID]],Product[#All],7,0)</f>
        <v>7170</v>
      </c>
      <c r="I745" s="160">
        <f>Sales[[#This Row],[Selling Rate]]*Sales[[#This Row],[Qty]]</f>
        <v>35850</v>
      </c>
      <c r="J745" s="43">
        <v>0.02</v>
      </c>
      <c r="K745" s="44">
        <f>Sales[[#This Row],[Gross Amount]]*Sales[[#This Row],[Disc %]]</f>
        <v>717</v>
      </c>
      <c r="L745" s="43">
        <v>0.18</v>
      </c>
      <c r="M745" s="44">
        <f>(Sales[[#This Row],[Gross Amount]]-Sales[[#This Row],[Disc. Amt.]])*Sales[[#This Row],[GST %]]</f>
        <v>6323.94</v>
      </c>
      <c r="N745" s="161">
        <f>Sales[[#This Row],[Gross Amount]]-Sales[[#This Row],[Disc. Amt.]]+Sales[[#This Row],[GST Amount]]</f>
        <v>41456.94</v>
      </c>
      <c r="O745" s="158" t="s">
        <v>3566</v>
      </c>
      <c r="P745" s="158" t="s">
        <v>3562</v>
      </c>
      <c r="Q745" s="160">
        <f>IF(Sales[[#This Row],[Status]]="Cancelled",0,Sales[[#This Row],[Qty]])</f>
        <v>5</v>
      </c>
      <c r="R745" s="161">
        <f>IF(Sales[[#This Row],[Status]]="Cancelled",0,Sales[[#This Row],[Total Amount]])</f>
        <v>41456.94</v>
      </c>
      <c r="S745" s="162">
        <f>SUM(Sales[Net Amount])</f>
        <v>406839287.73200053</v>
      </c>
    </row>
    <row r="746" spans="1:19" ht="18.75" x14ac:dyDescent="0.25">
      <c r="A746" s="163" t="s">
        <v>4328</v>
      </c>
      <c r="B746" s="164">
        <v>45817</v>
      </c>
      <c r="C746" s="34" t="s">
        <v>910</v>
      </c>
      <c r="D746" s="53" t="str">
        <f>VLOOKUP(Sales[[#This Row],[Customer ID]],Customer[#All],2,0)</f>
        <v>Sahil Sharma</v>
      </c>
      <c r="E746" s="34" t="s">
        <v>367</v>
      </c>
      <c r="F746" s="34" t="str">
        <f>VLOOKUP(Sales[[#This Row],[Product ID]],Product[#All],2,0)</f>
        <v>Jbl Speaker</v>
      </c>
      <c r="G746" s="53">
        <v>8</v>
      </c>
      <c r="H746" s="165">
        <f>VLOOKUP(Sales[[#This Row],[Product ID]],Product[#All],7,0)</f>
        <v>4880</v>
      </c>
      <c r="I746" s="165">
        <f>Sales[[#This Row],[Selling Rate]]*Sales[[#This Row],[Qty]]</f>
        <v>39040</v>
      </c>
      <c r="J746" s="45">
        <v>0.05</v>
      </c>
      <c r="K746" s="46">
        <f>Sales[[#This Row],[Gross Amount]]*Sales[[#This Row],[Disc %]]</f>
        <v>1952</v>
      </c>
      <c r="L746" s="43">
        <v>0.18</v>
      </c>
      <c r="M746" s="46">
        <f>(Sales[[#This Row],[Gross Amount]]-Sales[[#This Row],[Disc. Amt.]])*Sales[[#This Row],[GST %]]</f>
        <v>6675.84</v>
      </c>
      <c r="N746" s="161">
        <f>Sales[[#This Row],[Gross Amount]]-Sales[[#This Row],[Disc. Amt.]]+Sales[[#This Row],[GST Amount]]</f>
        <v>43763.839999999997</v>
      </c>
      <c r="O746" s="34" t="s">
        <v>3566</v>
      </c>
      <c r="P746" s="34" t="s">
        <v>3562</v>
      </c>
      <c r="Q746" s="165">
        <f>IF(Sales[[#This Row],[Status]]="Cancelled",0,Sales[[#This Row],[Qty]])</f>
        <v>8</v>
      </c>
      <c r="R746" s="166">
        <f>IF(Sales[[#This Row],[Status]]="Cancelled",0,Sales[[#This Row],[Total Amount]])</f>
        <v>43763.839999999997</v>
      </c>
      <c r="S746" s="162">
        <f>SUM(Sales[Net Amount])</f>
        <v>406839287.73200053</v>
      </c>
    </row>
    <row r="747" spans="1:19" ht="18.75" x14ac:dyDescent="0.25">
      <c r="A747" s="156" t="s">
        <v>4329</v>
      </c>
      <c r="B747" s="157">
        <v>45817</v>
      </c>
      <c r="C747" s="158" t="s">
        <v>781</v>
      </c>
      <c r="D747" s="159" t="str">
        <f>VLOOKUP(Sales[[#This Row],[Customer ID]],Customer[#All],2,0)</f>
        <v>Vikas Sharma</v>
      </c>
      <c r="E747" s="158" t="s">
        <v>297</v>
      </c>
      <c r="F747" s="158" t="str">
        <f>VLOOKUP(Sales[[#This Row],[Product ID]],Product[#All],2,0)</f>
        <v>Dell Desktop</v>
      </c>
      <c r="G747" s="159">
        <v>7</v>
      </c>
      <c r="H747" s="160">
        <f>VLOOKUP(Sales[[#This Row],[Product ID]],Product[#All],7,0)</f>
        <v>39300</v>
      </c>
      <c r="I747" s="160">
        <f>Sales[[#This Row],[Selling Rate]]*Sales[[#This Row],[Qty]]</f>
        <v>275100</v>
      </c>
      <c r="J747" s="43">
        <v>0.05</v>
      </c>
      <c r="K747" s="44">
        <f>Sales[[#This Row],[Gross Amount]]*Sales[[#This Row],[Disc %]]</f>
        <v>13755</v>
      </c>
      <c r="L747" s="43">
        <v>0.18</v>
      </c>
      <c r="M747" s="44">
        <f>(Sales[[#This Row],[Gross Amount]]-Sales[[#This Row],[Disc. Amt.]])*Sales[[#This Row],[GST %]]</f>
        <v>47042.1</v>
      </c>
      <c r="N747" s="161">
        <f>Sales[[#This Row],[Gross Amount]]-Sales[[#This Row],[Disc. Amt.]]+Sales[[#This Row],[GST Amount]]</f>
        <v>308387.09999999998</v>
      </c>
      <c r="O747" s="158" t="s">
        <v>3561</v>
      </c>
      <c r="P747" s="158" t="s">
        <v>3562</v>
      </c>
      <c r="Q747" s="160">
        <f>IF(Sales[[#This Row],[Status]]="Cancelled",0,Sales[[#This Row],[Qty]])</f>
        <v>7</v>
      </c>
      <c r="R747" s="161">
        <f>IF(Sales[[#This Row],[Status]]="Cancelled",0,Sales[[#This Row],[Total Amount]])</f>
        <v>308387.09999999998</v>
      </c>
      <c r="S747" s="162">
        <f>SUM(Sales[Net Amount])</f>
        <v>406839287.73200053</v>
      </c>
    </row>
    <row r="748" spans="1:19" ht="18.75" x14ac:dyDescent="0.25">
      <c r="A748" s="163" t="s">
        <v>4330</v>
      </c>
      <c r="B748" s="164">
        <v>45817</v>
      </c>
      <c r="C748" s="34" t="s">
        <v>669</v>
      </c>
      <c r="D748" s="53" t="str">
        <f>VLOOKUP(Sales[[#This Row],[Customer ID]],Customer[#All],2,0)</f>
        <v>Sahil Kumar</v>
      </c>
      <c r="E748" s="34" t="s">
        <v>336</v>
      </c>
      <c r="F748" s="34" t="str">
        <f>VLOOKUP(Sales[[#This Row],[Product ID]],Product[#All],2,0)</f>
        <v>Boat Headset</v>
      </c>
      <c r="G748" s="53">
        <v>2</v>
      </c>
      <c r="H748" s="165">
        <f>VLOOKUP(Sales[[#This Row],[Product ID]],Product[#All],7,0)</f>
        <v>1380</v>
      </c>
      <c r="I748" s="165">
        <f>Sales[[#This Row],[Selling Rate]]*Sales[[#This Row],[Qty]]</f>
        <v>2760</v>
      </c>
      <c r="J748" s="45">
        <v>0.02</v>
      </c>
      <c r="K748" s="46">
        <f>Sales[[#This Row],[Gross Amount]]*Sales[[#This Row],[Disc %]]</f>
        <v>55.2</v>
      </c>
      <c r="L748" s="43">
        <v>0.18</v>
      </c>
      <c r="M748" s="46">
        <f>(Sales[[#This Row],[Gross Amount]]-Sales[[#This Row],[Disc. Amt.]])*Sales[[#This Row],[GST %]]</f>
        <v>486.86400000000003</v>
      </c>
      <c r="N748" s="161">
        <f>Sales[[#This Row],[Gross Amount]]-Sales[[#This Row],[Disc. Amt.]]+Sales[[#This Row],[GST Amount]]</f>
        <v>3191.6640000000002</v>
      </c>
      <c r="O748" s="34" t="s">
        <v>3561</v>
      </c>
      <c r="P748" s="34" t="s">
        <v>3562</v>
      </c>
      <c r="Q748" s="165">
        <f>IF(Sales[[#This Row],[Status]]="Cancelled",0,Sales[[#This Row],[Qty]])</f>
        <v>2</v>
      </c>
      <c r="R748" s="166">
        <f>IF(Sales[[#This Row],[Status]]="Cancelled",0,Sales[[#This Row],[Total Amount]])</f>
        <v>3191.6640000000002</v>
      </c>
      <c r="S748" s="162">
        <f>SUM(Sales[Net Amount])</f>
        <v>406839287.73200053</v>
      </c>
    </row>
    <row r="749" spans="1:19" ht="18.75" x14ac:dyDescent="0.25">
      <c r="A749" s="156" t="s">
        <v>4331</v>
      </c>
      <c r="B749" s="157">
        <v>45817</v>
      </c>
      <c r="C749" s="158" t="s">
        <v>4332</v>
      </c>
      <c r="D749" s="159" t="str">
        <f>VLOOKUP(Sales[[#This Row],[Customer ID]],Customer[#All],2,0)</f>
        <v>Sunita Verma</v>
      </c>
      <c r="E749" s="158" t="s">
        <v>341</v>
      </c>
      <c r="F749" s="158" t="str">
        <f>VLOOKUP(Sales[[#This Row],[Product ID]],Product[#All],2,0)</f>
        <v>Dell Monitor</v>
      </c>
      <c r="G749" s="159">
        <v>5</v>
      </c>
      <c r="H749" s="160">
        <f>VLOOKUP(Sales[[#This Row],[Product ID]],Product[#All],7,0)</f>
        <v>20280</v>
      </c>
      <c r="I749" s="160">
        <f>Sales[[#This Row],[Selling Rate]]*Sales[[#This Row],[Qty]]</f>
        <v>101400</v>
      </c>
      <c r="J749" s="43">
        <v>0.05</v>
      </c>
      <c r="K749" s="44">
        <f>Sales[[#This Row],[Gross Amount]]*Sales[[#This Row],[Disc %]]</f>
        <v>5070</v>
      </c>
      <c r="L749" s="43">
        <v>0.18</v>
      </c>
      <c r="M749" s="44">
        <f>(Sales[[#This Row],[Gross Amount]]-Sales[[#This Row],[Disc. Amt.]])*Sales[[#This Row],[GST %]]</f>
        <v>17339.399999999998</v>
      </c>
      <c r="N749" s="161">
        <f>Sales[[#This Row],[Gross Amount]]-Sales[[#This Row],[Disc. Amt.]]+Sales[[#This Row],[GST Amount]]</f>
        <v>113669.4</v>
      </c>
      <c r="O749" s="158" t="s">
        <v>3561</v>
      </c>
      <c r="P749" s="158" t="s">
        <v>3562</v>
      </c>
      <c r="Q749" s="160">
        <f>IF(Sales[[#This Row],[Status]]="Cancelled",0,Sales[[#This Row],[Qty]])</f>
        <v>5</v>
      </c>
      <c r="R749" s="161">
        <f>IF(Sales[[#This Row],[Status]]="Cancelled",0,Sales[[#This Row],[Total Amount]])</f>
        <v>113669.4</v>
      </c>
      <c r="S749" s="162">
        <f>SUM(Sales[Net Amount])</f>
        <v>406839287.73200053</v>
      </c>
    </row>
    <row r="750" spans="1:19" ht="18.75" x14ac:dyDescent="0.25">
      <c r="A750" s="163" t="s">
        <v>4333</v>
      </c>
      <c r="B750" s="164">
        <v>45817</v>
      </c>
      <c r="C750" s="34" t="s">
        <v>938</v>
      </c>
      <c r="D750" s="53" t="str">
        <f>VLOOKUP(Sales[[#This Row],[Customer ID]],Customer[#All],2,0)</f>
        <v>Sunita Sharma</v>
      </c>
      <c r="E750" s="34" t="s">
        <v>533</v>
      </c>
      <c r="F750" s="34" t="str">
        <f>VLOOKUP(Sales[[#This Row],[Product ID]],Product[#All],2,0)</f>
        <v>HP Desktop</v>
      </c>
      <c r="G750" s="53">
        <v>2</v>
      </c>
      <c r="H750" s="165">
        <f>VLOOKUP(Sales[[#This Row],[Product ID]],Product[#All],7,0)</f>
        <v>72430</v>
      </c>
      <c r="I750" s="165">
        <f>Sales[[#This Row],[Selling Rate]]*Sales[[#This Row],[Qty]]</f>
        <v>144860</v>
      </c>
      <c r="J750" s="45">
        <v>0.05</v>
      </c>
      <c r="K750" s="46">
        <f>Sales[[#This Row],[Gross Amount]]*Sales[[#This Row],[Disc %]]</f>
        <v>7243</v>
      </c>
      <c r="L750" s="43">
        <v>0.18</v>
      </c>
      <c r="M750" s="46">
        <f>(Sales[[#This Row],[Gross Amount]]-Sales[[#This Row],[Disc. Amt.]])*Sales[[#This Row],[GST %]]</f>
        <v>24771.059999999998</v>
      </c>
      <c r="N750" s="161">
        <f>Sales[[#This Row],[Gross Amount]]-Sales[[#This Row],[Disc. Amt.]]+Sales[[#This Row],[GST Amount]]</f>
        <v>162388.06</v>
      </c>
      <c r="O750" s="34" t="s">
        <v>3561</v>
      </c>
      <c r="P750" s="34" t="s">
        <v>3562</v>
      </c>
      <c r="Q750" s="165">
        <f>IF(Sales[[#This Row],[Status]]="Cancelled",0,Sales[[#This Row],[Qty]])</f>
        <v>2</v>
      </c>
      <c r="R750" s="166">
        <f>IF(Sales[[#This Row],[Status]]="Cancelled",0,Sales[[#This Row],[Total Amount]])</f>
        <v>162388.06</v>
      </c>
      <c r="S750" s="162">
        <f>SUM(Sales[Net Amount])</f>
        <v>406839287.73200053</v>
      </c>
    </row>
    <row r="751" spans="1:19" ht="18.75" x14ac:dyDescent="0.25">
      <c r="A751" s="156" t="s">
        <v>4334</v>
      </c>
      <c r="B751" s="157">
        <v>45817</v>
      </c>
      <c r="C751" s="158" t="s">
        <v>751</v>
      </c>
      <c r="D751" s="159" t="str">
        <f>VLOOKUP(Sales[[#This Row],[Customer ID]],Customer[#All],2,0)</f>
        <v>Ankit Verma</v>
      </c>
      <c r="E751" s="158" t="s">
        <v>337</v>
      </c>
      <c r="F751" s="158" t="str">
        <f>VLOOKUP(Sales[[#This Row],[Product ID]],Product[#All],2,0)</f>
        <v>Corsair Ram</v>
      </c>
      <c r="G751" s="159">
        <v>2</v>
      </c>
      <c r="H751" s="160">
        <f>VLOOKUP(Sales[[#This Row],[Product ID]],Product[#All],7,0)</f>
        <v>10500</v>
      </c>
      <c r="I751" s="160">
        <f>Sales[[#This Row],[Selling Rate]]*Sales[[#This Row],[Qty]]</f>
        <v>21000</v>
      </c>
      <c r="J751" s="43">
        <v>0.12</v>
      </c>
      <c r="K751" s="44">
        <f>Sales[[#This Row],[Gross Amount]]*Sales[[#This Row],[Disc %]]</f>
        <v>2520</v>
      </c>
      <c r="L751" s="43">
        <v>0.18</v>
      </c>
      <c r="M751" s="44">
        <f>(Sales[[#This Row],[Gross Amount]]-Sales[[#This Row],[Disc. Amt.]])*Sales[[#This Row],[GST %]]</f>
        <v>3326.4</v>
      </c>
      <c r="N751" s="161">
        <f>Sales[[#This Row],[Gross Amount]]-Sales[[#This Row],[Disc. Amt.]]+Sales[[#This Row],[GST Amount]]</f>
        <v>21806.400000000001</v>
      </c>
      <c r="O751" s="158" t="s">
        <v>3566</v>
      </c>
      <c r="P751" s="158" t="s">
        <v>3562</v>
      </c>
      <c r="Q751" s="160">
        <f>IF(Sales[[#This Row],[Status]]="Cancelled",0,Sales[[#This Row],[Qty]])</f>
        <v>2</v>
      </c>
      <c r="R751" s="161">
        <f>IF(Sales[[#This Row],[Status]]="Cancelled",0,Sales[[#This Row],[Total Amount]])</f>
        <v>21806.400000000001</v>
      </c>
      <c r="S751" s="162">
        <f>SUM(Sales[Net Amount])</f>
        <v>406839287.73200053</v>
      </c>
    </row>
    <row r="752" spans="1:19" ht="18.75" x14ac:dyDescent="0.25">
      <c r="A752" s="163" t="s">
        <v>4335</v>
      </c>
      <c r="B752" s="164">
        <v>45817</v>
      </c>
      <c r="C752" s="34" t="s">
        <v>811</v>
      </c>
      <c r="D752" s="53" t="str">
        <f>VLOOKUP(Sales[[#This Row],[Customer ID]],Customer[#All],2,0)</f>
        <v>Rahul Sharma</v>
      </c>
      <c r="E752" s="34" t="s">
        <v>406</v>
      </c>
      <c r="F752" s="34" t="str">
        <f>VLOOKUP(Sales[[#This Row],[Product ID]],Product[#All],2,0)</f>
        <v>American TouristerLaptopBag</v>
      </c>
      <c r="G752" s="53">
        <v>4</v>
      </c>
      <c r="H752" s="165">
        <f>VLOOKUP(Sales[[#This Row],[Product ID]],Product[#All],7,0)</f>
        <v>1710</v>
      </c>
      <c r="I752" s="165">
        <f>Sales[[#This Row],[Selling Rate]]*Sales[[#This Row],[Qty]]</f>
        <v>6840</v>
      </c>
      <c r="J752" s="45">
        <v>0.05</v>
      </c>
      <c r="K752" s="46">
        <f>Sales[[#This Row],[Gross Amount]]*Sales[[#This Row],[Disc %]]</f>
        <v>342</v>
      </c>
      <c r="L752" s="43">
        <v>0.18</v>
      </c>
      <c r="M752" s="46">
        <f>(Sales[[#This Row],[Gross Amount]]-Sales[[#This Row],[Disc. Amt.]])*Sales[[#This Row],[GST %]]</f>
        <v>1169.6399999999999</v>
      </c>
      <c r="N752" s="161">
        <f>Sales[[#This Row],[Gross Amount]]-Sales[[#This Row],[Disc. Amt.]]+Sales[[#This Row],[GST Amount]]</f>
        <v>7667.6399999999994</v>
      </c>
      <c r="O752" s="34" t="s">
        <v>3561</v>
      </c>
      <c r="P752" s="34" t="s">
        <v>3562</v>
      </c>
      <c r="Q752" s="165">
        <f>IF(Sales[[#This Row],[Status]]="Cancelled",0,Sales[[#This Row],[Qty]])</f>
        <v>4</v>
      </c>
      <c r="R752" s="166">
        <f>IF(Sales[[#This Row],[Status]]="Cancelled",0,Sales[[#This Row],[Total Amount]])</f>
        <v>7667.6399999999994</v>
      </c>
      <c r="S752" s="162">
        <f>SUM(Sales[Net Amount])</f>
        <v>406839287.73200053</v>
      </c>
    </row>
    <row r="753" spans="1:19" ht="18.75" x14ac:dyDescent="0.25">
      <c r="A753" s="156" t="s">
        <v>4336</v>
      </c>
      <c r="B753" s="157">
        <v>45817</v>
      </c>
      <c r="C753" s="158" t="s">
        <v>657</v>
      </c>
      <c r="D753" s="159" t="str">
        <f>VLOOKUP(Sales[[#This Row],[Customer ID]],Customer[#All],2,0)</f>
        <v>Rahul Verma</v>
      </c>
      <c r="E753" s="158" t="s">
        <v>198</v>
      </c>
      <c r="F753" s="158" t="str">
        <f>VLOOKUP(Sales[[#This Row],[Product ID]],Product[#All],2,0)</f>
        <v>PortronicsLaptopStand</v>
      </c>
      <c r="G753" s="159">
        <v>2</v>
      </c>
      <c r="H753" s="160">
        <f>VLOOKUP(Sales[[#This Row],[Product ID]],Product[#All],7,0)</f>
        <v>2240</v>
      </c>
      <c r="I753" s="160">
        <f>Sales[[#This Row],[Selling Rate]]*Sales[[#This Row],[Qty]]</f>
        <v>4480</v>
      </c>
      <c r="J753" s="43">
        <v>0</v>
      </c>
      <c r="K753" s="44">
        <f>Sales[[#This Row],[Gross Amount]]*Sales[[#This Row],[Disc %]]</f>
        <v>0</v>
      </c>
      <c r="L753" s="43">
        <v>0.18</v>
      </c>
      <c r="M753" s="44">
        <f>(Sales[[#This Row],[Gross Amount]]-Sales[[#This Row],[Disc. Amt.]])*Sales[[#This Row],[GST %]]</f>
        <v>806.4</v>
      </c>
      <c r="N753" s="161">
        <f>Sales[[#This Row],[Gross Amount]]-Sales[[#This Row],[Disc. Amt.]]+Sales[[#This Row],[GST Amount]]</f>
        <v>5286.4</v>
      </c>
      <c r="O753" s="158" t="s">
        <v>3561</v>
      </c>
      <c r="P753" s="158" t="s">
        <v>3562</v>
      </c>
      <c r="Q753" s="160">
        <f>IF(Sales[[#This Row],[Status]]="Cancelled",0,Sales[[#This Row],[Qty]])</f>
        <v>2</v>
      </c>
      <c r="R753" s="161">
        <f>IF(Sales[[#This Row],[Status]]="Cancelled",0,Sales[[#This Row],[Total Amount]])</f>
        <v>5286.4</v>
      </c>
      <c r="S753" s="162">
        <f>SUM(Sales[Net Amount])</f>
        <v>406839287.73200053</v>
      </c>
    </row>
    <row r="754" spans="1:19" ht="18.75" x14ac:dyDescent="0.25">
      <c r="A754" s="163" t="s">
        <v>4337</v>
      </c>
      <c r="B754" s="164">
        <v>45817</v>
      </c>
      <c r="C754" s="34" t="s">
        <v>842</v>
      </c>
      <c r="D754" s="53" t="str">
        <f>VLOOKUP(Sales[[#This Row],[Customer ID]],Customer[#All],2,0)</f>
        <v>Priya Gupta</v>
      </c>
      <c r="E754" s="34" t="s">
        <v>406</v>
      </c>
      <c r="F754" s="34" t="str">
        <f>VLOOKUP(Sales[[#This Row],[Product ID]],Product[#All],2,0)</f>
        <v>American TouristerLaptopBag</v>
      </c>
      <c r="G754" s="53">
        <v>8</v>
      </c>
      <c r="H754" s="165">
        <f>VLOOKUP(Sales[[#This Row],[Product ID]],Product[#All],7,0)</f>
        <v>1710</v>
      </c>
      <c r="I754" s="165">
        <f>Sales[[#This Row],[Selling Rate]]*Sales[[#This Row],[Qty]]</f>
        <v>13680</v>
      </c>
      <c r="J754" s="45">
        <v>0.1</v>
      </c>
      <c r="K754" s="46">
        <f>Sales[[#This Row],[Gross Amount]]*Sales[[#This Row],[Disc %]]</f>
        <v>1368</v>
      </c>
      <c r="L754" s="43">
        <v>0.18</v>
      </c>
      <c r="M754" s="46">
        <f>(Sales[[#This Row],[Gross Amount]]-Sales[[#This Row],[Disc. Amt.]])*Sales[[#This Row],[GST %]]</f>
        <v>2216.16</v>
      </c>
      <c r="N754" s="161">
        <f>Sales[[#This Row],[Gross Amount]]-Sales[[#This Row],[Disc. Amt.]]+Sales[[#This Row],[GST Amount]]</f>
        <v>14528.16</v>
      </c>
      <c r="O754" s="34" t="s">
        <v>3561</v>
      </c>
      <c r="P754" s="34" t="s">
        <v>3562</v>
      </c>
      <c r="Q754" s="165">
        <f>IF(Sales[[#This Row],[Status]]="Cancelled",0,Sales[[#This Row],[Qty]])</f>
        <v>8</v>
      </c>
      <c r="R754" s="166">
        <f>IF(Sales[[#This Row],[Status]]="Cancelled",0,Sales[[#This Row],[Total Amount]])</f>
        <v>14528.16</v>
      </c>
      <c r="S754" s="162">
        <f>SUM(Sales[Net Amount])</f>
        <v>406839287.73200053</v>
      </c>
    </row>
    <row r="755" spans="1:19" ht="18.75" x14ac:dyDescent="0.25">
      <c r="A755" s="156" t="s">
        <v>4338</v>
      </c>
      <c r="B755" s="157">
        <v>45817</v>
      </c>
      <c r="C755" s="158" t="s">
        <v>759</v>
      </c>
      <c r="D755" s="159" t="str">
        <f>VLOOKUP(Sales[[#This Row],[Customer ID]],Customer[#All],2,0)</f>
        <v>Ankit Sharma</v>
      </c>
      <c r="E755" s="158" t="s">
        <v>251</v>
      </c>
      <c r="F755" s="158" t="str">
        <f>VLOOKUP(Sales[[#This Row],[Product ID]],Product[#All],2,0)</f>
        <v>Corsair Ram</v>
      </c>
      <c r="G755" s="159">
        <v>1</v>
      </c>
      <c r="H755" s="160">
        <f>VLOOKUP(Sales[[#This Row],[Product ID]],Product[#All],7,0)</f>
        <v>2890</v>
      </c>
      <c r="I755" s="160">
        <f>Sales[[#This Row],[Selling Rate]]*Sales[[#This Row],[Qty]]</f>
        <v>2890</v>
      </c>
      <c r="J755" s="43">
        <v>0.15</v>
      </c>
      <c r="K755" s="44">
        <f>Sales[[#This Row],[Gross Amount]]*Sales[[#This Row],[Disc %]]</f>
        <v>433.5</v>
      </c>
      <c r="L755" s="43">
        <v>0.18</v>
      </c>
      <c r="M755" s="44">
        <f>(Sales[[#This Row],[Gross Amount]]-Sales[[#This Row],[Disc. Amt.]])*Sales[[#This Row],[GST %]]</f>
        <v>442.16999999999996</v>
      </c>
      <c r="N755" s="161">
        <f>Sales[[#This Row],[Gross Amount]]-Sales[[#This Row],[Disc. Amt.]]+Sales[[#This Row],[GST Amount]]</f>
        <v>2898.67</v>
      </c>
      <c r="O755" s="158" t="s">
        <v>3561</v>
      </c>
      <c r="P755" s="158" t="s">
        <v>3562</v>
      </c>
      <c r="Q755" s="160">
        <f>IF(Sales[[#This Row],[Status]]="Cancelled",0,Sales[[#This Row],[Qty]])</f>
        <v>1</v>
      </c>
      <c r="R755" s="161">
        <f>IF(Sales[[#This Row],[Status]]="Cancelled",0,Sales[[#This Row],[Total Amount]])</f>
        <v>2898.67</v>
      </c>
      <c r="S755" s="162">
        <f>SUM(Sales[Net Amount])</f>
        <v>406839287.73200053</v>
      </c>
    </row>
    <row r="756" spans="1:19" ht="18.75" x14ac:dyDescent="0.25">
      <c r="A756" s="163" t="s">
        <v>4339</v>
      </c>
      <c r="B756" s="164">
        <v>45817</v>
      </c>
      <c r="C756" s="34" t="s">
        <v>916</v>
      </c>
      <c r="D756" s="53" t="str">
        <f>VLOOKUP(Sales[[#This Row],[Customer ID]],Customer[#All],2,0)</f>
        <v>Ankit Singh</v>
      </c>
      <c r="E756" s="34" t="s">
        <v>176</v>
      </c>
      <c r="F756" s="34" t="str">
        <f>VLOOKUP(Sales[[#This Row],[Product ID]],Product[#All],2,0)</f>
        <v>Dell Monitor</v>
      </c>
      <c r="G756" s="53">
        <v>8</v>
      </c>
      <c r="H756" s="165">
        <f>VLOOKUP(Sales[[#This Row],[Product ID]],Product[#All],7,0)</f>
        <v>18900</v>
      </c>
      <c r="I756" s="165">
        <f>Sales[[#This Row],[Selling Rate]]*Sales[[#This Row],[Qty]]</f>
        <v>151200</v>
      </c>
      <c r="J756" s="45">
        <v>0.1</v>
      </c>
      <c r="K756" s="46">
        <f>Sales[[#This Row],[Gross Amount]]*Sales[[#This Row],[Disc %]]</f>
        <v>15120</v>
      </c>
      <c r="L756" s="43">
        <v>0.18</v>
      </c>
      <c r="M756" s="46">
        <f>(Sales[[#This Row],[Gross Amount]]-Sales[[#This Row],[Disc. Amt.]])*Sales[[#This Row],[GST %]]</f>
        <v>24494.399999999998</v>
      </c>
      <c r="N756" s="161">
        <f>Sales[[#This Row],[Gross Amount]]-Sales[[#This Row],[Disc. Amt.]]+Sales[[#This Row],[GST Amount]]</f>
        <v>160574.39999999999</v>
      </c>
      <c r="O756" s="34" t="s">
        <v>3561</v>
      </c>
      <c r="P756" s="34" t="s">
        <v>3562</v>
      </c>
      <c r="Q756" s="165">
        <f>IF(Sales[[#This Row],[Status]]="Cancelled",0,Sales[[#This Row],[Qty]])</f>
        <v>8</v>
      </c>
      <c r="R756" s="166">
        <f>IF(Sales[[#This Row],[Status]]="Cancelled",0,Sales[[#This Row],[Total Amount]])</f>
        <v>160574.39999999999</v>
      </c>
      <c r="S756" s="162">
        <f>SUM(Sales[Net Amount])</f>
        <v>406839287.73200053</v>
      </c>
    </row>
    <row r="757" spans="1:19" ht="18.75" x14ac:dyDescent="0.25">
      <c r="A757" s="156" t="s">
        <v>4340</v>
      </c>
      <c r="B757" s="157">
        <v>45817</v>
      </c>
      <c r="C757" s="158" t="s">
        <v>744</v>
      </c>
      <c r="D757" s="159" t="str">
        <f>VLOOKUP(Sales[[#This Row],[Customer ID]],Customer[#All],2,0)</f>
        <v>Rakesh Patel</v>
      </c>
      <c r="E757" s="158" t="s">
        <v>535</v>
      </c>
      <c r="F757" s="158" t="str">
        <f>VLOOKUP(Sales[[#This Row],[Product ID]],Product[#All],2,0)</f>
        <v>Logitech Keyboard</v>
      </c>
      <c r="G757" s="159">
        <v>7</v>
      </c>
      <c r="H757" s="160">
        <f>VLOOKUP(Sales[[#This Row],[Product ID]],Product[#All],7,0)</f>
        <v>810</v>
      </c>
      <c r="I757" s="160">
        <f>Sales[[#This Row],[Selling Rate]]*Sales[[#This Row],[Qty]]</f>
        <v>5670</v>
      </c>
      <c r="J757" s="43">
        <v>0.05</v>
      </c>
      <c r="K757" s="44">
        <f>Sales[[#This Row],[Gross Amount]]*Sales[[#This Row],[Disc %]]</f>
        <v>283.5</v>
      </c>
      <c r="L757" s="43">
        <v>0.18</v>
      </c>
      <c r="M757" s="44">
        <f>(Sales[[#This Row],[Gross Amount]]-Sales[[#This Row],[Disc. Amt.]])*Sales[[#This Row],[GST %]]</f>
        <v>969.56999999999994</v>
      </c>
      <c r="N757" s="161">
        <f>Sales[[#This Row],[Gross Amount]]-Sales[[#This Row],[Disc. Amt.]]+Sales[[#This Row],[GST Amount]]</f>
        <v>6356.07</v>
      </c>
      <c r="O757" s="158" t="s">
        <v>3569</v>
      </c>
      <c r="P757" s="158" t="s">
        <v>3562</v>
      </c>
      <c r="Q757" s="160">
        <f>IF(Sales[[#This Row],[Status]]="Cancelled",0,Sales[[#This Row],[Qty]])</f>
        <v>7</v>
      </c>
      <c r="R757" s="161">
        <f>IF(Sales[[#This Row],[Status]]="Cancelled",0,Sales[[#This Row],[Total Amount]])</f>
        <v>6356.07</v>
      </c>
      <c r="S757" s="162">
        <f>SUM(Sales[Net Amount])</f>
        <v>406839287.73200053</v>
      </c>
    </row>
    <row r="758" spans="1:19" ht="18.75" x14ac:dyDescent="0.25">
      <c r="A758" s="163" t="s">
        <v>4341</v>
      </c>
      <c r="B758" s="164">
        <v>45817</v>
      </c>
      <c r="C758" s="34" t="s">
        <v>895</v>
      </c>
      <c r="D758" s="53" t="str">
        <f>VLOOKUP(Sales[[#This Row],[Customer ID]],Customer[#All],2,0)</f>
        <v>Pooja Patel</v>
      </c>
      <c r="E758" s="34" t="s">
        <v>251</v>
      </c>
      <c r="F758" s="34" t="str">
        <f>VLOOKUP(Sales[[#This Row],[Product ID]],Product[#All],2,0)</f>
        <v>Corsair Ram</v>
      </c>
      <c r="G758" s="53">
        <v>5</v>
      </c>
      <c r="H758" s="165">
        <f>VLOOKUP(Sales[[#This Row],[Product ID]],Product[#All],7,0)</f>
        <v>2890</v>
      </c>
      <c r="I758" s="165">
        <f>Sales[[#This Row],[Selling Rate]]*Sales[[#This Row],[Qty]]</f>
        <v>14450</v>
      </c>
      <c r="J758" s="45">
        <v>0.1</v>
      </c>
      <c r="K758" s="46">
        <f>Sales[[#This Row],[Gross Amount]]*Sales[[#This Row],[Disc %]]</f>
        <v>1445</v>
      </c>
      <c r="L758" s="43">
        <v>0.18</v>
      </c>
      <c r="M758" s="46">
        <f>(Sales[[#This Row],[Gross Amount]]-Sales[[#This Row],[Disc. Amt.]])*Sales[[#This Row],[GST %]]</f>
        <v>2340.9</v>
      </c>
      <c r="N758" s="161">
        <f>Sales[[#This Row],[Gross Amount]]-Sales[[#This Row],[Disc. Amt.]]+Sales[[#This Row],[GST Amount]]</f>
        <v>15345.9</v>
      </c>
      <c r="O758" s="34" t="s">
        <v>3569</v>
      </c>
      <c r="P758" s="34" t="s">
        <v>3562</v>
      </c>
      <c r="Q758" s="165">
        <f>IF(Sales[[#This Row],[Status]]="Cancelled",0,Sales[[#This Row],[Qty]])</f>
        <v>5</v>
      </c>
      <c r="R758" s="166">
        <f>IF(Sales[[#This Row],[Status]]="Cancelled",0,Sales[[#This Row],[Total Amount]])</f>
        <v>15345.9</v>
      </c>
      <c r="S758" s="162">
        <f>SUM(Sales[Net Amount])</f>
        <v>406839287.73200053</v>
      </c>
    </row>
    <row r="759" spans="1:19" ht="18.75" x14ac:dyDescent="0.25">
      <c r="A759" s="156" t="s">
        <v>4342</v>
      </c>
      <c r="B759" s="157">
        <v>45817</v>
      </c>
      <c r="C759" s="158" t="s">
        <v>666</v>
      </c>
      <c r="D759" s="159" t="str">
        <f>VLOOKUP(Sales[[#This Row],[Customer ID]],Customer[#All],2,0)</f>
        <v>Sahil Gupta</v>
      </c>
      <c r="E759" s="158" t="s">
        <v>111</v>
      </c>
      <c r="F759" s="158" t="str">
        <f>VLOOKUP(Sales[[#This Row],[Product ID]],Product[#All],2,0)</f>
        <v>Microtek UPS</v>
      </c>
      <c r="G759" s="159">
        <v>1</v>
      </c>
      <c r="H759" s="160">
        <f>VLOOKUP(Sales[[#This Row],[Product ID]],Product[#All],7,0)</f>
        <v>16680</v>
      </c>
      <c r="I759" s="160">
        <f>Sales[[#This Row],[Selling Rate]]*Sales[[#This Row],[Qty]]</f>
        <v>16680</v>
      </c>
      <c r="J759" s="43">
        <v>0</v>
      </c>
      <c r="K759" s="44">
        <f>Sales[[#This Row],[Gross Amount]]*Sales[[#This Row],[Disc %]]</f>
        <v>0</v>
      </c>
      <c r="L759" s="43">
        <v>0.18</v>
      </c>
      <c r="M759" s="44">
        <f>(Sales[[#This Row],[Gross Amount]]-Sales[[#This Row],[Disc. Amt.]])*Sales[[#This Row],[GST %]]</f>
        <v>3002.4</v>
      </c>
      <c r="N759" s="161">
        <f>Sales[[#This Row],[Gross Amount]]-Sales[[#This Row],[Disc. Amt.]]+Sales[[#This Row],[GST Amount]]</f>
        <v>19682.400000000001</v>
      </c>
      <c r="O759" s="158" t="s">
        <v>8876</v>
      </c>
      <c r="P759" s="158" t="s">
        <v>3562</v>
      </c>
      <c r="Q759" s="160">
        <f>IF(Sales[[#This Row],[Status]]="Cancelled",0,Sales[[#This Row],[Qty]])</f>
        <v>1</v>
      </c>
      <c r="R759" s="161">
        <f>IF(Sales[[#This Row],[Status]]="Cancelled",0,Sales[[#This Row],[Total Amount]])</f>
        <v>19682.400000000001</v>
      </c>
      <c r="S759" s="162">
        <f>SUM(Sales[Net Amount])</f>
        <v>406839287.73200053</v>
      </c>
    </row>
    <row r="760" spans="1:19" ht="18.75" x14ac:dyDescent="0.25">
      <c r="A760" s="163" t="s">
        <v>4343</v>
      </c>
      <c r="B760" s="164">
        <v>45818</v>
      </c>
      <c r="C760" s="34" t="s">
        <v>779</v>
      </c>
      <c r="D760" s="53" t="str">
        <f>VLOOKUP(Sales[[#This Row],[Customer ID]],Customer[#All],2,0)</f>
        <v>Rakesh Verma</v>
      </c>
      <c r="E760" s="34" t="s">
        <v>70</v>
      </c>
      <c r="F760" s="34" t="str">
        <f>VLOOKUP(Sales[[#This Row],[Product ID]],Product[#All],2,0)</f>
        <v>Logitech Webcam</v>
      </c>
      <c r="G760" s="53">
        <v>1</v>
      </c>
      <c r="H760" s="165">
        <f>VLOOKUP(Sales[[#This Row],[Product ID]],Product[#All],7,0)</f>
        <v>5200</v>
      </c>
      <c r="I760" s="165">
        <f>Sales[[#This Row],[Selling Rate]]*Sales[[#This Row],[Qty]]</f>
        <v>5200</v>
      </c>
      <c r="J760" s="45">
        <v>0</v>
      </c>
      <c r="K760" s="46">
        <f>Sales[[#This Row],[Gross Amount]]*Sales[[#This Row],[Disc %]]</f>
        <v>0</v>
      </c>
      <c r="L760" s="43">
        <v>0.18</v>
      </c>
      <c r="M760" s="46">
        <f>(Sales[[#This Row],[Gross Amount]]-Sales[[#This Row],[Disc. Amt.]])*Sales[[#This Row],[GST %]]</f>
        <v>936</v>
      </c>
      <c r="N760" s="161">
        <f>Sales[[#This Row],[Gross Amount]]-Sales[[#This Row],[Disc. Amt.]]+Sales[[#This Row],[GST Amount]]</f>
        <v>6136</v>
      </c>
      <c r="O760" s="34" t="s">
        <v>3566</v>
      </c>
      <c r="P760" s="34" t="s">
        <v>3562</v>
      </c>
      <c r="Q760" s="165">
        <f>IF(Sales[[#This Row],[Status]]="Cancelled",0,Sales[[#This Row],[Qty]])</f>
        <v>1</v>
      </c>
      <c r="R760" s="166">
        <f>IF(Sales[[#This Row],[Status]]="Cancelled",0,Sales[[#This Row],[Total Amount]])</f>
        <v>6136</v>
      </c>
      <c r="S760" s="162">
        <f>SUM(Sales[Net Amount])</f>
        <v>406839287.73200053</v>
      </c>
    </row>
    <row r="761" spans="1:19" ht="18.75" x14ac:dyDescent="0.25">
      <c r="A761" s="156" t="s">
        <v>4344</v>
      </c>
      <c r="B761" s="157">
        <v>45818</v>
      </c>
      <c r="C761" s="158" t="s">
        <v>844</v>
      </c>
      <c r="D761" s="159" t="str">
        <f>VLOOKUP(Sales[[#This Row],[Customer ID]],Customer[#All],2,0)</f>
        <v>Rahul Sharma</v>
      </c>
      <c r="E761" s="158" t="s">
        <v>478</v>
      </c>
      <c r="F761" s="158" t="str">
        <f>VLOOKUP(Sales[[#This Row],[Product ID]],Product[#All],2,0)</f>
        <v>American TouristerLaptopBag</v>
      </c>
      <c r="G761" s="159">
        <v>4</v>
      </c>
      <c r="H761" s="160">
        <f>VLOOKUP(Sales[[#This Row],[Product ID]],Product[#All],7,0)</f>
        <v>6010</v>
      </c>
      <c r="I761" s="160">
        <f>Sales[[#This Row],[Selling Rate]]*Sales[[#This Row],[Qty]]</f>
        <v>24040</v>
      </c>
      <c r="J761" s="43">
        <v>0.05</v>
      </c>
      <c r="K761" s="44">
        <f>Sales[[#This Row],[Gross Amount]]*Sales[[#This Row],[Disc %]]</f>
        <v>1202</v>
      </c>
      <c r="L761" s="43">
        <v>0.18</v>
      </c>
      <c r="M761" s="44">
        <f>(Sales[[#This Row],[Gross Amount]]-Sales[[#This Row],[Disc. Amt.]])*Sales[[#This Row],[GST %]]</f>
        <v>4110.84</v>
      </c>
      <c r="N761" s="161">
        <f>Sales[[#This Row],[Gross Amount]]-Sales[[#This Row],[Disc. Amt.]]+Sales[[#This Row],[GST Amount]]</f>
        <v>26948.84</v>
      </c>
      <c r="O761" s="158" t="s">
        <v>3569</v>
      </c>
      <c r="P761" s="158" t="s">
        <v>3562</v>
      </c>
      <c r="Q761" s="160">
        <f>IF(Sales[[#This Row],[Status]]="Cancelled",0,Sales[[#This Row],[Qty]])</f>
        <v>4</v>
      </c>
      <c r="R761" s="161">
        <f>IF(Sales[[#This Row],[Status]]="Cancelled",0,Sales[[#This Row],[Total Amount]])</f>
        <v>26948.84</v>
      </c>
      <c r="S761" s="162">
        <f>SUM(Sales[Net Amount])</f>
        <v>406839287.73200053</v>
      </c>
    </row>
    <row r="762" spans="1:19" ht="18.75" x14ac:dyDescent="0.25">
      <c r="A762" s="163" t="s">
        <v>4345</v>
      </c>
      <c r="B762" s="164">
        <v>45818</v>
      </c>
      <c r="C762" s="34" t="s">
        <v>756</v>
      </c>
      <c r="D762" s="53" t="str">
        <f>VLOOKUP(Sales[[#This Row],[Customer ID]],Customer[#All],2,0)</f>
        <v>Amit Patel</v>
      </c>
      <c r="E762" s="34" t="s">
        <v>137</v>
      </c>
      <c r="F762" s="34" t="str">
        <f>VLOOKUP(Sales[[#This Row],[Product ID]],Product[#All],2,0)</f>
        <v>Seagate HDD</v>
      </c>
      <c r="G762" s="53">
        <v>5</v>
      </c>
      <c r="H762" s="165">
        <f>VLOOKUP(Sales[[#This Row],[Product ID]],Product[#All],7,0)</f>
        <v>7940</v>
      </c>
      <c r="I762" s="165">
        <f>Sales[[#This Row],[Selling Rate]]*Sales[[#This Row],[Qty]]</f>
        <v>39700</v>
      </c>
      <c r="J762" s="45">
        <v>0</v>
      </c>
      <c r="K762" s="46">
        <f>Sales[[#This Row],[Gross Amount]]*Sales[[#This Row],[Disc %]]</f>
        <v>0</v>
      </c>
      <c r="L762" s="43">
        <v>0.18</v>
      </c>
      <c r="M762" s="46">
        <f>(Sales[[#This Row],[Gross Amount]]-Sales[[#This Row],[Disc. Amt.]])*Sales[[#This Row],[GST %]]</f>
        <v>7146</v>
      </c>
      <c r="N762" s="161">
        <f>Sales[[#This Row],[Gross Amount]]-Sales[[#This Row],[Disc. Amt.]]+Sales[[#This Row],[GST Amount]]</f>
        <v>46846</v>
      </c>
      <c r="O762" s="34" t="s">
        <v>8876</v>
      </c>
      <c r="P762" s="34" t="s">
        <v>3562</v>
      </c>
      <c r="Q762" s="165">
        <f>IF(Sales[[#This Row],[Status]]="Cancelled",0,Sales[[#This Row],[Qty]])</f>
        <v>5</v>
      </c>
      <c r="R762" s="166">
        <f>IF(Sales[[#This Row],[Status]]="Cancelled",0,Sales[[#This Row],[Total Amount]])</f>
        <v>46846</v>
      </c>
      <c r="S762" s="162">
        <f>SUM(Sales[Net Amount])</f>
        <v>406839287.73200053</v>
      </c>
    </row>
    <row r="763" spans="1:19" ht="18.75" x14ac:dyDescent="0.25">
      <c r="A763" s="156" t="s">
        <v>4346</v>
      </c>
      <c r="B763" s="157">
        <v>45818</v>
      </c>
      <c r="C763" s="158" t="s">
        <v>790</v>
      </c>
      <c r="D763" s="159" t="str">
        <f>VLOOKUP(Sales[[#This Row],[Customer ID]],Customer[#All],2,0)</f>
        <v>Pooja Gupta</v>
      </c>
      <c r="E763" s="158" t="s">
        <v>508</v>
      </c>
      <c r="F763" s="158" t="str">
        <f>VLOOKUP(Sales[[#This Row],[Product ID]],Product[#All],2,0)</f>
        <v>American TouristerLaptopBag</v>
      </c>
      <c r="G763" s="159">
        <v>5</v>
      </c>
      <c r="H763" s="160">
        <f>VLOOKUP(Sales[[#This Row],[Product ID]],Product[#All],7,0)</f>
        <v>2340</v>
      </c>
      <c r="I763" s="160">
        <f>Sales[[#This Row],[Selling Rate]]*Sales[[#This Row],[Qty]]</f>
        <v>11700</v>
      </c>
      <c r="J763" s="43">
        <v>0.15</v>
      </c>
      <c r="K763" s="44">
        <f>Sales[[#This Row],[Gross Amount]]*Sales[[#This Row],[Disc %]]</f>
        <v>1755</v>
      </c>
      <c r="L763" s="43">
        <v>0.18</v>
      </c>
      <c r="M763" s="44">
        <f>(Sales[[#This Row],[Gross Amount]]-Sales[[#This Row],[Disc. Amt.]])*Sales[[#This Row],[GST %]]</f>
        <v>1790.1</v>
      </c>
      <c r="N763" s="161">
        <f>Sales[[#This Row],[Gross Amount]]-Sales[[#This Row],[Disc. Amt.]]+Sales[[#This Row],[GST Amount]]</f>
        <v>11735.1</v>
      </c>
      <c r="O763" s="158" t="s">
        <v>3561</v>
      </c>
      <c r="P763" s="158" t="s">
        <v>3562</v>
      </c>
      <c r="Q763" s="160">
        <f>IF(Sales[[#This Row],[Status]]="Cancelled",0,Sales[[#This Row],[Qty]])</f>
        <v>5</v>
      </c>
      <c r="R763" s="161">
        <f>IF(Sales[[#This Row],[Status]]="Cancelled",0,Sales[[#This Row],[Total Amount]])</f>
        <v>11735.1</v>
      </c>
      <c r="S763" s="162">
        <f>SUM(Sales[Net Amount])</f>
        <v>406839287.73200053</v>
      </c>
    </row>
    <row r="764" spans="1:19" ht="18.75" x14ac:dyDescent="0.25">
      <c r="A764" s="163" t="s">
        <v>4347</v>
      </c>
      <c r="B764" s="164">
        <v>45818</v>
      </c>
      <c r="C764" s="34" t="s">
        <v>4348</v>
      </c>
      <c r="D764" s="53" t="str">
        <f>VLOOKUP(Sales[[#This Row],[Customer ID]],Customer[#All],2,0)</f>
        <v>Neha Verma</v>
      </c>
      <c r="E764" s="34" t="s">
        <v>155</v>
      </c>
      <c r="F764" s="34" t="str">
        <f>VLOOKUP(Sales[[#This Row],[Product ID]],Product[#All],2,0)</f>
        <v>Sandisk Pen Drive</v>
      </c>
      <c r="G764" s="53">
        <v>8</v>
      </c>
      <c r="H764" s="165">
        <f>VLOOKUP(Sales[[#This Row],[Product ID]],Product[#All],7,0)</f>
        <v>3650</v>
      </c>
      <c r="I764" s="165">
        <f>Sales[[#This Row],[Selling Rate]]*Sales[[#This Row],[Qty]]</f>
        <v>29200</v>
      </c>
      <c r="J764" s="45">
        <v>0</v>
      </c>
      <c r="K764" s="46">
        <f>Sales[[#This Row],[Gross Amount]]*Sales[[#This Row],[Disc %]]</f>
        <v>0</v>
      </c>
      <c r="L764" s="43">
        <v>0.18</v>
      </c>
      <c r="M764" s="46">
        <f>(Sales[[#This Row],[Gross Amount]]-Sales[[#This Row],[Disc. Amt.]])*Sales[[#This Row],[GST %]]</f>
        <v>5256</v>
      </c>
      <c r="N764" s="161">
        <f>Sales[[#This Row],[Gross Amount]]-Sales[[#This Row],[Disc. Amt.]]+Sales[[#This Row],[GST Amount]]</f>
        <v>34456</v>
      </c>
      <c r="O764" s="34" t="s">
        <v>3569</v>
      </c>
      <c r="P764" s="34" t="s">
        <v>3562</v>
      </c>
      <c r="Q764" s="165">
        <f>IF(Sales[[#This Row],[Status]]="Cancelled",0,Sales[[#This Row],[Qty]])</f>
        <v>8</v>
      </c>
      <c r="R764" s="166">
        <f>IF(Sales[[#This Row],[Status]]="Cancelled",0,Sales[[#This Row],[Total Amount]])</f>
        <v>34456</v>
      </c>
      <c r="S764" s="162">
        <f>SUM(Sales[Net Amount])</f>
        <v>406839287.73200053</v>
      </c>
    </row>
    <row r="765" spans="1:19" ht="18.75" x14ac:dyDescent="0.25">
      <c r="A765" s="156" t="s">
        <v>4349</v>
      </c>
      <c r="B765" s="157">
        <v>45818</v>
      </c>
      <c r="C765" s="158" t="s">
        <v>760</v>
      </c>
      <c r="D765" s="159" t="str">
        <f>VLOOKUP(Sales[[#This Row],[Customer ID]],Customer[#All],2,0)</f>
        <v>Pooja Singh</v>
      </c>
      <c r="E765" s="158" t="s">
        <v>483</v>
      </c>
      <c r="F765" s="158" t="str">
        <f>VLOOKUP(Sales[[#This Row],[Product ID]],Product[#All],2,0)</f>
        <v>Kingston Ram</v>
      </c>
      <c r="G765" s="159">
        <v>4</v>
      </c>
      <c r="H765" s="160">
        <f>VLOOKUP(Sales[[#This Row],[Product ID]],Product[#All],7,0)</f>
        <v>8630</v>
      </c>
      <c r="I765" s="160">
        <f>Sales[[#This Row],[Selling Rate]]*Sales[[#This Row],[Qty]]</f>
        <v>34520</v>
      </c>
      <c r="J765" s="43">
        <v>0.15</v>
      </c>
      <c r="K765" s="44">
        <f>Sales[[#This Row],[Gross Amount]]*Sales[[#This Row],[Disc %]]</f>
        <v>5178</v>
      </c>
      <c r="L765" s="43">
        <v>0.18</v>
      </c>
      <c r="M765" s="44">
        <f>(Sales[[#This Row],[Gross Amount]]-Sales[[#This Row],[Disc. Amt.]])*Sales[[#This Row],[GST %]]</f>
        <v>5281.5599999999995</v>
      </c>
      <c r="N765" s="161">
        <f>Sales[[#This Row],[Gross Amount]]-Sales[[#This Row],[Disc. Amt.]]+Sales[[#This Row],[GST Amount]]</f>
        <v>34623.56</v>
      </c>
      <c r="O765" s="158" t="s">
        <v>8876</v>
      </c>
      <c r="P765" s="158" t="s">
        <v>3562</v>
      </c>
      <c r="Q765" s="160">
        <f>IF(Sales[[#This Row],[Status]]="Cancelled",0,Sales[[#This Row],[Qty]])</f>
        <v>4</v>
      </c>
      <c r="R765" s="161">
        <f>IF(Sales[[#This Row],[Status]]="Cancelled",0,Sales[[#This Row],[Total Amount]])</f>
        <v>34623.56</v>
      </c>
      <c r="S765" s="162">
        <f>SUM(Sales[Net Amount])</f>
        <v>406839287.73200053</v>
      </c>
    </row>
    <row r="766" spans="1:19" ht="18.75" x14ac:dyDescent="0.25">
      <c r="A766" s="163" t="s">
        <v>4350</v>
      </c>
      <c r="B766" s="164">
        <v>45818</v>
      </c>
      <c r="C766" s="34" t="s">
        <v>828</v>
      </c>
      <c r="D766" s="53" t="str">
        <f>VLOOKUP(Sales[[#This Row],[Customer ID]],Customer[#All],2,0)</f>
        <v>Ankit Verma</v>
      </c>
      <c r="E766" s="34" t="s">
        <v>53</v>
      </c>
      <c r="F766" s="34" t="str">
        <f>VLOOKUP(Sales[[#This Row],[Product ID]],Product[#All],2,0)</f>
        <v>Microtek UPS</v>
      </c>
      <c r="G766" s="53">
        <v>4</v>
      </c>
      <c r="H766" s="165">
        <f>VLOOKUP(Sales[[#This Row],[Product ID]],Product[#All],7,0)</f>
        <v>13040</v>
      </c>
      <c r="I766" s="165">
        <f>Sales[[#This Row],[Selling Rate]]*Sales[[#This Row],[Qty]]</f>
        <v>52160</v>
      </c>
      <c r="J766" s="45">
        <v>0</v>
      </c>
      <c r="K766" s="46">
        <f>Sales[[#This Row],[Gross Amount]]*Sales[[#This Row],[Disc %]]</f>
        <v>0</v>
      </c>
      <c r="L766" s="43">
        <v>0.18</v>
      </c>
      <c r="M766" s="46">
        <f>(Sales[[#This Row],[Gross Amount]]-Sales[[#This Row],[Disc. Amt.]])*Sales[[#This Row],[GST %]]</f>
        <v>9388.7999999999993</v>
      </c>
      <c r="N766" s="161">
        <f>Sales[[#This Row],[Gross Amount]]-Sales[[#This Row],[Disc. Amt.]]+Sales[[#This Row],[GST Amount]]</f>
        <v>61548.800000000003</v>
      </c>
      <c r="O766" s="34" t="s">
        <v>8876</v>
      </c>
      <c r="P766" s="34" t="s">
        <v>3562</v>
      </c>
      <c r="Q766" s="165">
        <f>IF(Sales[[#This Row],[Status]]="Cancelled",0,Sales[[#This Row],[Qty]])</f>
        <v>4</v>
      </c>
      <c r="R766" s="166">
        <f>IF(Sales[[#This Row],[Status]]="Cancelled",0,Sales[[#This Row],[Total Amount]])</f>
        <v>61548.800000000003</v>
      </c>
      <c r="S766" s="162">
        <f>SUM(Sales[Net Amount])</f>
        <v>406839287.73200053</v>
      </c>
    </row>
    <row r="767" spans="1:19" ht="18.75" x14ac:dyDescent="0.25">
      <c r="A767" s="156" t="s">
        <v>4351</v>
      </c>
      <c r="B767" s="157">
        <v>45818</v>
      </c>
      <c r="C767" s="158" t="s">
        <v>724</v>
      </c>
      <c r="D767" s="159" t="str">
        <f>VLOOKUP(Sales[[#This Row],[Customer ID]],Customer[#All],2,0)</f>
        <v>Sunita Sharma</v>
      </c>
      <c r="E767" s="158" t="s">
        <v>325</v>
      </c>
      <c r="F767" s="158" t="str">
        <f>VLOOKUP(Sales[[#This Row],[Product ID]],Product[#All],2,0)</f>
        <v>Dell Power Adapter</v>
      </c>
      <c r="G767" s="159">
        <v>2</v>
      </c>
      <c r="H767" s="160">
        <f>VLOOKUP(Sales[[#This Row],[Product ID]],Product[#All],7,0)</f>
        <v>1630</v>
      </c>
      <c r="I767" s="160">
        <f>Sales[[#This Row],[Selling Rate]]*Sales[[#This Row],[Qty]]</f>
        <v>3260</v>
      </c>
      <c r="J767" s="43">
        <v>0.05</v>
      </c>
      <c r="K767" s="44">
        <f>Sales[[#This Row],[Gross Amount]]*Sales[[#This Row],[Disc %]]</f>
        <v>163</v>
      </c>
      <c r="L767" s="43">
        <v>0.18</v>
      </c>
      <c r="M767" s="44">
        <f>(Sales[[#This Row],[Gross Amount]]-Sales[[#This Row],[Disc. Amt.]])*Sales[[#This Row],[GST %]]</f>
        <v>557.45999999999992</v>
      </c>
      <c r="N767" s="161">
        <f>Sales[[#This Row],[Gross Amount]]-Sales[[#This Row],[Disc. Amt.]]+Sales[[#This Row],[GST Amount]]</f>
        <v>3654.46</v>
      </c>
      <c r="O767" s="158" t="s">
        <v>3566</v>
      </c>
      <c r="P767" s="158" t="s">
        <v>3562</v>
      </c>
      <c r="Q767" s="160">
        <f>IF(Sales[[#This Row],[Status]]="Cancelled",0,Sales[[#This Row],[Qty]])</f>
        <v>2</v>
      </c>
      <c r="R767" s="161">
        <f>IF(Sales[[#This Row],[Status]]="Cancelled",0,Sales[[#This Row],[Total Amount]])</f>
        <v>3654.46</v>
      </c>
      <c r="S767" s="162">
        <f>SUM(Sales[Net Amount])</f>
        <v>406839287.73200053</v>
      </c>
    </row>
    <row r="768" spans="1:19" ht="18.75" x14ac:dyDescent="0.25">
      <c r="A768" s="163" t="s">
        <v>4352</v>
      </c>
      <c r="B768" s="164">
        <v>45818</v>
      </c>
      <c r="C768" s="34" t="s">
        <v>943</v>
      </c>
      <c r="D768" s="53" t="str">
        <f>VLOOKUP(Sales[[#This Row],[Customer ID]],Customer[#All],2,0)</f>
        <v>Sahil Singh</v>
      </c>
      <c r="E768" s="34" t="s">
        <v>62</v>
      </c>
      <c r="F768" s="34" t="str">
        <f>VLOOKUP(Sales[[#This Row],[Product ID]],Product[#All],2,0)</f>
        <v>Apc UPS</v>
      </c>
      <c r="G768" s="53">
        <v>6</v>
      </c>
      <c r="H768" s="165">
        <f>VLOOKUP(Sales[[#This Row],[Product ID]],Product[#All],7,0)</f>
        <v>7270</v>
      </c>
      <c r="I768" s="165">
        <f>Sales[[#This Row],[Selling Rate]]*Sales[[#This Row],[Qty]]</f>
        <v>43620</v>
      </c>
      <c r="J768" s="45">
        <v>0</v>
      </c>
      <c r="K768" s="46">
        <f>Sales[[#This Row],[Gross Amount]]*Sales[[#This Row],[Disc %]]</f>
        <v>0</v>
      </c>
      <c r="L768" s="43">
        <v>0.18</v>
      </c>
      <c r="M768" s="46">
        <f>(Sales[[#This Row],[Gross Amount]]-Sales[[#This Row],[Disc. Amt.]])*Sales[[#This Row],[GST %]]</f>
        <v>7851.5999999999995</v>
      </c>
      <c r="N768" s="161">
        <f>Sales[[#This Row],[Gross Amount]]-Sales[[#This Row],[Disc. Amt.]]+Sales[[#This Row],[GST Amount]]</f>
        <v>51471.6</v>
      </c>
      <c r="O768" s="34" t="s">
        <v>3561</v>
      </c>
      <c r="P768" s="34" t="s">
        <v>3562</v>
      </c>
      <c r="Q768" s="165">
        <f>IF(Sales[[#This Row],[Status]]="Cancelled",0,Sales[[#This Row],[Qty]])</f>
        <v>6</v>
      </c>
      <c r="R768" s="166">
        <f>IF(Sales[[#This Row],[Status]]="Cancelled",0,Sales[[#This Row],[Total Amount]])</f>
        <v>51471.6</v>
      </c>
      <c r="S768" s="162">
        <f>SUM(Sales[Net Amount])</f>
        <v>406839287.73200053</v>
      </c>
    </row>
    <row r="769" spans="1:19" ht="18.75" x14ac:dyDescent="0.25">
      <c r="A769" s="156" t="s">
        <v>4353</v>
      </c>
      <c r="B769" s="157">
        <v>45818</v>
      </c>
      <c r="C769" s="158" t="s">
        <v>931</v>
      </c>
      <c r="D769" s="159" t="str">
        <f>VLOOKUP(Sales[[#This Row],[Customer ID]],Customer[#All],2,0)</f>
        <v>Sahil Patel</v>
      </c>
      <c r="E769" s="158" t="s">
        <v>147</v>
      </c>
      <c r="F769" s="158" t="str">
        <f>VLOOKUP(Sales[[#This Row],[Product ID]],Product[#All],2,0)</f>
        <v>HP Power Adapter</v>
      </c>
      <c r="G769" s="159">
        <v>6</v>
      </c>
      <c r="H769" s="160">
        <f>VLOOKUP(Sales[[#This Row],[Product ID]],Product[#All],7,0)</f>
        <v>4680</v>
      </c>
      <c r="I769" s="160">
        <f>Sales[[#This Row],[Selling Rate]]*Sales[[#This Row],[Qty]]</f>
        <v>28080</v>
      </c>
      <c r="J769" s="43">
        <v>0.05</v>
      </c>
      <c r="K769" s="44">
        <f>Sales[[#This Row],[Gross Amount]]*Sales[[#This Row],[Disc %]]</f>
        <v>1404</v>
      </c>
      <c r="L769" s="43">
        <v>0.18</v>
      </c>
      <c r="M769" s="44">
        <f>(Sales[[#This Row],[Gross Amount]]-Sales[[#This Row],[Disc. Amt.]])*Sales[[#This Row],[GST %]]</f>
        <v>4801.6799999999994</v>
      </c>
      <c r="N769" s="161">
        <f>Sales[[#This Row],[Gross Amount]]-Sales[[#This Row],[Disc. Amt.]]+Sales[[#This Row],[GST Amount]]</f>
        <v>31477.68</v>
      </c>
      <c r="O769" s="158" t="s">
        <v>8876</v>
      </c>
      <c r="P769" s="158" t="s">
        <v>3562</v>
      </c>
      <c r="Q769" s="160">
        <f>IF(Sales[[#This Row],[Status]]="Cancelled",0,Sales[[#This Row],[Qty]])</f>
        <v>6</v>
      </c>
      <c r="R769" s="161">
        <f>IF(Sales[[#This Row],[Status]]="Cancelled",0,Sales[[#This Row],[Total Amount]])</f>
        <v>31477.68</v>
      </c>
      <c r="S769" s="162">
        <f>SUM(Sales[Net Amount])</f>
        <v>406839287.73200053</v>
      </c>
    </row>
    <row r="770" spans="1:19" ht="18.75" x14ac:dyDescent="0.25">
      <c r="A770" s="163" t="s">
        <v>4354</v>
      </c>
      <c r="B770" s="164">
        <v>45818</v>
      </c>
      <c r="C770" s="34" t="s">
        <v>707</v>
      </c>
      <c r="D770" s="53" t="str">
        <f>VLOOKUP(Sales[[#This Row],[Customer ID]],Customer[#All],2,0)</f>
        <v>Rahul Verma</v>
      </c>
      <c r="E770" s="34" t="s">
        <v>43</v>
      </c>
      <c r="F770" s="34" t="str">
        <f>VLOOKUP(Sales[[#This Row],[Product ID]],Product[#All],2,0)</f>
        <v>Jbl Speaker</v>
      </c>
      <c r="G770" s="53">
        <v>7</v>
      </c>
      <c r="H770" s="165">
        <f>VLOOKUP(Sales[[#This Row],[Product ID]],Product[#All],7,0)</f>
        <v>11310</v>
      </c>
      <c r="I770" s="165">
        <f>Sales[[#This Row],[Selling Rate]]*Sales[[#This Row],[Qty]]</f>
        <v>79170</v>
      </c>
      <c r="J770" s="45">
        <v>0.1</v>
      </c>
      <c r="K770" s="46">
        <f>Sales[[#This Row],[Gross Amount]]*Sales[[#This Row],[Disc %]]</f>
        <v>7917</v>
      </c>
      <c r="L770" s="43">
        <v>0.18</v>
      </c>
      <c r="M770" s="46">
        <f>(Sales[[#This Row],[Gross Amount]]-Sales[[#This Row],[Disc. Amt.]])*Sales[[#This Row],[GST %]]</f>
        <v>12825.539999999999</v>
      </c>
      <c r="N770" s="161">
        <f>Sales[[#This Row],[Gross Amount]]-Sales[[#This Row],[Disc. Amt.]]+Sales[[#This Row],[GST Amount]]</f>
        <v>84078.54</v>
      </c>
      <c r="O770" s="34" t="s">
        <v>8876</v>
      </c>
      <c r="P770" s="34" t="s">
        <v>3562</v>
      </c>
      <c r="Q770" s="165">
        <f>IF(Sales[[#This Row],[Status]]="Cancelled",0,Sales[[#This Row],[Qty]])</f>
        <v>7</v>
      </c>
      <c r="R770" s="166">
        <f>IF(Sales[[#This Row],[Status]]="Cancelled",0,Sales[[#This Row],[Total Amount]])</f>
        <v>84078.54</v>
      </c>
      <c r="S770" s="162">
        <f>SUM(Sales[Net Amount])</f>
        <v>406839287.73200053</v>
      </c>
    </row>
    <row r="771" spans="1:19" ht="18.75" x14ac:dyDescent="0.25">
      <c r="A771" s="156" t="s">
        <v>4355</v>
      </c>
      <c r="B771" s="157">
        <v>45818</v>
      </c>
      <c r="C771" s="158" t="s">
        <v>790</v>
      </c>
      <c r="D771" s="159" t="str">
        <f>VLOOKUP(Sales[[#This Row],[Customer ID]],Customer[#All],2,0)</f>
        <v>Pooja Gupta</v>
      </c>
      <c r="E771" s="158" t="s">
        <v>157</v>
      </c>
      <c r="F771" s="158" t="str">
        <f>VLOOKUP(Sales[[#This Row],[Product ID]],Product[#All],2,0)</f>
        <v>Epson Printer</v>
      </c>
      <c r="G771" s="159">
        <v>5</v>
      </c>
      <c r="H771" s="160">
        <f>VLOOKUP(Sales[[#This Row],[Product ID]],Product[#All],7,0)</f>
        <v>12100</v>
      </c>
      <c r="I771" s="160">
        <f>Sales[[#This Row],[Selling Rate]]*Sales[[#This Row],[Qty]]</f>
        <v>60500</v>
      </c>
      <c r="J771" s="43">
        <v>0.05</v>
      </c>
      <c r="K771" s="44">
        <f>Sales[[#This Row],[Gross Amount]]*Sales[[#This Row],[Disc %]]</f>
        <v>3025</v>
      </c>
      <c r="L771" s="43">
        <v>0.18</v>
      </c>
      <c r="M771" s="44">
        <f>(Sales[[#This Row],[Gross Amount]]-Sales[[#This Row],[Disc. Amt.]])*Sales[[#This Row],[GST %]]</f>
        <v>10345.5</v>
      </c>
      <c r="N771" s="161">
        <f>Sales[[#This Row],[Gross Amount]]-Sales[[#This Row],[Disc. Amt.]]+Sales[[#This Row],[GST Amount]]</f>
        <v>67820.5</v>
      </c>
      <c r="O771" s="158" t="s">
        <v>3561</v>
      </c>
      <c r="P771" s="158" t="s">
        <v>3562</v>
      </c>
      <c r="Q771" s="160">
        <f>IF(Sales[[#This Row],[Status]]="Cancelled",0,Sales[[#This Row],[Qty]])</f>
        <v>5</v>
      </c>
      <c r="R771" s="161">
        <f>IF(Sales[[#This Row],[Status]]="Cancelled",0,Sales[[#This Row],[Total Amount]])</f>
        <v>67820.5</v>
      </c>
      <c r="S771" s="162">
        <f>SUM(Sales[Net Amount])</f>
        <v>406839287.73200053</v>
      </c>
    </row>
    <row r="772" spans="1:19" ht="18.75" x14ac:dyDescent="0.25">
      <c r="A772" s="163" t="s">
        <v>4356</v>
      </c>
      <c r="B772" s="164">
        <v>45818</v>
      </c>
      <c r="C772" s="34" t="s">
        <v>774</v>
      </c>
      <c r="D772" s="53" t="str">
        <f>VLOOKUP(Sales[[#This Row],[Customer ID]],Customer[#All],2,0)</f>
        <v>Vikas Patel</v>
      </c>
      <c r="E772" s="34" t="s">
        <v>212</v>
      </c>
      <c r="F772" s="34" t="str">
        <f>VLOOKUP(Sales[[#This Row],[Product ID]],Product[#All],2,0)</f>
        <v>Jbl Headset</v>
      </c>
      <c r="G772" s="53">
        <v>5</v>
      </c>
      <c r="H772" s="165">
        <f>VLOOKUP(Sales[[#This Row],[Product ID]],Product[#All],7,0)</f>
        <v>1230</v>
      </c>
      <c r="I772" s="165">
        <f>Sales[[#This Row],[Selling Rate]]*Sales[[#This Row],[Qty]]</f>
        <v>6150</v>
      </c>
      <c r="J772" s="45">
        <v>0.15</v>
      </c>
      <c r="K772" s="46">
        <f>Sales[[#This Row],[Gross Amount]]*Sales[[#This Row],[Disc %]]</f>
        <v>922.5</v>
      </c>
      <c r="L772" s="43">
        <v>0.18</v>
      </c>
      <c r="M772" s="46">
        <f>(Sales[[#This Row],[Gross Amount]]-Sales[[#This Row],[Disc. Amt.]])*Sales[[#This Row],[GST %]]</f>
        <v>940.94999999999993</v>
      </c>
      <c r="N772" s="161">
        <f>Sales[[#This Row],[Gross Amount]]-Sales[[#This Row],[Disc. Amt.]]+Sales[[#This Row],[GST Amount]]</f>
        <v>6168.45</v>
      </c>
      <c r="O772" s="34" t="s">
        <v>3561</v>
      </c>
      <c r="P772" s="34" t="s">
        <v>3562</v>
      </c>
      <c r="Q772" s="165">
        <f>IF(Sales[[#This Row],[Status]]="Cancelled",0,Sales[[#This Row],[Qty]])</f>
        <v>5</v>
      </c>
      <c r="R772" s="166">
        <f>IF(Sales[[#This Row],[Status]]="Cancelled",0,Sales[[#This Row],[Total Amount]])</f>
        <v>6168.45</v>
      </c>
      <c r="S772" s="162">
        <f>SUM(Sales[Net Amount])</f>
        <v>406839287.73200053</v>
      </c>
    </row>
    <row r="773" spans="1:19" ht="18.75" x14ac:dyDescent="0.25">
      <c r="A773" s="156" t="s">
        <v>4357</v>
      </c>
      <c r="B773" s="157">
        <v>45818</v>
      </c>
      <c r="C773" s="158" t="s">
        <v>928</v>
      </c>
      <c r="D773" s="159" t="str">
        <f>VLOOKUP(Sales[[#This Row],[Customer ID]],Customer[#All],2,0)</f>
        <v>Rahul Kumar</v>
      </c>
      <c r="E773" s="158" t="s">
        <v>89</v>
      </c>
      <c r="F773" s="158" t="str">
        <f>VLOOKUP(Sales[[#This Row],[Product ID]],Product[#All],2,0)</f>
        <v>Portronics USB Cable</v>
      </c>
      <c r="G773" s="159">
        <v>7</v>
      </c>
      <c r="H773" s="160">
        <f>VLOOKUP(Sales[[#This Row],[Product ID]],Product[#All],7,0)</f>
        <v>390</v>
      </c>
      <c r="I773" s="160">
        <f>Sales[[#This Row],[Selling Rate]]*Sales[[#This Row],[Qty]]</f>
        <v>2730</v>
      </c>
      <c r="J773" s="43">
        <v>0.15</v>
      </c>
      <c r="K773" s="44">
        <f>Sales[[#This Row],[Gross Amount]]*Sales[[#This Row],[Disc %]]</f>
        <v>409.5</v>
      </c>
      <c r="L773" s="43">
        <v>0.18</v>
      </c>
      <c r="M773" s="44">
        <f>(Sales[[#This Row],[Gross Amount]]-Sales[[#This Row],[Disc. Amt.]])*Sales[[#This Row],[GST %]]</f>
        <v>417.69</v>
      </c>
      <c r="N773" s="161">
        <f>Sales[[#This Row],[Gross Amount]]-Sales[[#This Row],[Disc. Amt.]]+Sales[[#This Row],[GST Amount]]</f>
        <v>2738.19</v>
      </c>
      <c r="O773" s="158" t="s">
        <v>3566</v>
      </c>
      <c r="P773" s="158" t="s">
        <v>3562</v>
      </c>
      <c r="Q773" s="160">
        <f>IF(Sales[[#This Row],[Status]]="Cancelled",0,Sales[[#This Row],[Qty]])</f>
        <v>7</v>
      </c>
      <c r="R773" s="161">
        <f>IF(Sales[[#This Row],[Status]]="Cancelled",0,Sales[[#This Row],[Total Amount]])</f>
        <v>2738.19</v>
      </c>
      <c r="S773" s="162">
        <f>SUM(Sales[Net Amount])</f>
        <v>406839287.73200053</v>
      </c>
    </row>
    <row r="774" spans="1:19" ht="18.75" x14ac:dyDescent="0.25">
      <c r="A774" s="163" t="s">
        <v>4358</v>
      </c>
      <c r="B774" s="164">
        <v>45818</v>
      </c>
      <c r="C774" s="34" t="s">
        <v>904</v>
      </c>
      <c r="D774" s="53" t="str">
        <f>VLOOKUP(Sales[[#This Row],[Customer ID]],Customer[#All],2,0)</f>
        <v>Sahil Patel</v>
      </c>
      <c r="E774" s="34" t="s">
        <v>186</v>
      </c>
      <c r="F774" s="34" t="str">
        <f>VLOOKUP(Sales[[#This Row],[Product ID]],Product[#All],2,0)</f>
        <v>Corsair Ram</v>
      </c>
      <c r="G774" s="53">
        <v>2</v>
      </c>
      <c r="H774" s="165">
        <f>VLOOKUP(Sales[[#This Row],[Product ID]],Product[#All],7,0)</f>
        <v>11620</v>
      </c>
      <c r="I774" s="165">
        <f>Sales[[#This Row],[Selling Rate]]*Sales[[#This Row],[Qty]]</f>
        <v>23240</v>
      </c>
      <c r="J774" s="45">
        <v>0.15</v>
      </c>
      <c r="K774" s="46">
        <f>Sales[[#This Row],[Gross Amount]]*Sales[[#This Row],[Disc %]]</f>
        <v>3486</v>
      </c>
      <c r="L774" s="43">
        <v>0.18</v>
      </c>
      <c r="M774" s="46">
        <f>(Sales[[#This Row],[Gross Amount]]-Sales[[#This Row],[Disc. Amt.]])*Sales[[#This Row],[GST %]]</f>
        <v>3555.72</v>
      </c>
      <c r="N774" s="161">
        <f>Sales[[#This Row],[Gross Amount]]-Sales[[#This Row],[Disc. Amt.]]+Sales[[#This Row],[GST Amount]]</f>
        <v>23309.72</v>
      </c>
      <c r="O774" s="34" t="s">
        <v>3561</v>
      </c>
      <c r="P774" s="34" t="s">
        <v>3562</v>
      </c>
      <c r="Q774" s="165">
        <f>IF(Sales[[#This Row],[Status]]="Cancelled",0,Sales[[#This Row],[Qty]])</f>
        <v>2</v>
      </c>
      <c r="R774" s="166">
        <f>IF(Sales[[#This Row],[Status]]="Cancelled",0,Sales[[#This Row],[Total Amount]])</f>
        <v>23309.72</v>
      </c>
      <c r="S774" s="162">
        <f>SUM(Sales[Net Amount])</f>
        <v>406839287.73200053</v>
      </c>
    </row>
    <row r="775" spans="1:19" ht="18.75" x14ac:dyDescent="0.25">
      <c r="A775" s="156" t="s">
        <v>4359</v>
      </c>
      <c r="B775" s="157">
        <v>45818</v>
      </c>
      <c r="C775" s="158" t="s">
        <v>913</v>
      </c>
      <c r="D775" s="159" t="str">
        <f>VLOOKUP(Sales[[#This Row],[Customer ID]],Customer[#All],2,0)</f>
        <v>Pooja Kumar</v>
      </c>
      <c r="E775" s="158" t="s">
        <v>80</v>
      </c>
      <c r="F775" s="158" t="str">
        <f>VLOOKUP(Sales[[#This Row],[Product ID]],Product[#All],2,0)</f>
        <v>Epson Printer</v>
      </c>
      <c r="G775" s="159">
        <v>7</v>
      </c>
      <c r="H775" s="160">
        <f>VLOOKUP(Sales[[#This Row],[Product ID]],Product[#All],7,0)</f>
        <v>41620</v>
      </c>
      <c r="I775" s="160">
        <f>Sales[[#This Row],[Selling Rate]]*Sales[[#This Row],[Qty]]</f>
        <v>291340</v>
      </c>
      <c r="J775" s="43">
        <v>0.05</v>
      </c>
      <c r="K775" s="44">
        <f>Sales[[#This Row],[Gross Amount]]*Sales[[#This Row],[Disc %]]</f>
        <v>14567</v>
      </c>
      <c r="L775" s="43">
        <v>0.18</v>
      </c>
      <c r="M775" s="44">
        <f>(Sales[[#This Row],[Gross Amount]]-Sales[[#This Row],[Disc. Amt.]])*Sales[[#This Row],[GST %]]</f>
        <v>49819.14</v>
      </c>
      <c r="N775" s="161">
        <f>Sales[[#This Row],[Gross Amount]]-Sales[[#This Row],[Disc. Amt.]]+Sales[[#This Row],[GST Amount]]</f>
        <v>326592.14</v>
      </c>
      <c r="O775" s="158" t="s">
        <v>3566</v>
      </c>
      <c r="P775" s="158" t="s">
        <v>3562</v>
      </c>
      <c r="Q775" s="160">
        <f>IF(Sales[[#This Row],[Status]]="Cancelled",0,Sales[[#This Row],[Qty]])</f>
        <v>7</v>
      </c>
      <c r="R775" s="161">
        <f>IF(Sales[[#This Row],[Status]]="Cancelled",0,Sales[[#This Row],[Total Amount]])</f>
        <v>326592.14</v>
      </c>
      <c r="S775" s="162">
        <f>SUM(Sales[Net Amount])</f>
        <v>406839287.73200053</v>
      </c>
    </row>
    <row r="776" spans="1:19" ht="18.75" x14ac:dyDescent="0.25">
      <c r="A776" s="163" t="s">
        <v>4360</v>
      </c>
      <c r="B776" s="164">
        <v>45818</v>
      </c>
      <c r="C776" s="34" t="s">
        <v>878</v>
      </c>
      <c r="D776" s="53" t="str">
        <f>VLOOKUP(Sales[[#This Row],[Customer ID]],Customer[#All],2,0)</f>
        <v>Rahul Singh</v>
      </c>
      <c r="E776" s="34" t="s">
        <v>237</v>
      </c>
      <c r="F776" s="34" t="str">
        <f>VLOOKUP(Sales[[#This Row],[Product ID]],Product[#All],2,0)</f>
        <v>Jbl Headset</v>
      </c>
      <c r="G776" s="53">
        <v>5</v>
      </c>
      <c r="H776" s="165">
        <f>VLOOKUP(Sales[[#This Row],[Product ID]],Product[#All],7,0)</f>
        <v>5520</v>
      </c>
      <c r="I776" s="165">
        <f>Sales[[#This Row],[Selling Rate]]*Sales[[#This Row],[Qty]]</f>
        <v>27600</v>
      </c>
      <c r="J776" s="45">
        <v>0.12</v>
      </c>
      <c r="K776" s="46">
        <f>Sales[[#This Row],[Gross Amount]]*Sales[[#This Row],[Disc %]]</f>
        <v>3312</v>
      </c>
      <c r="L776" s="43">
        <v>0.18</v>
      </c>
      <c r="M776" s="46">
        <f>(Sales[[#This Row],[Gross Amount]]-Sales[[#This Row],[Disc. Amt.]])*Sales[[#This Row],[GST %]]</f>
        <v>4371.84</v>
      </c>
      <c r="N776" s="161">
        <f>Sales[[#This Row],[Gross Amount]]-Sales[[#This Row],[Disc. Amt.]]+Sales[[#This Row],[GST Amount]]</f>
        <v>28659.84</v>
      </c>
      <c r="O776" s="34" t="s">
        <v>3569</v>
      </c>
      <c r="P776" s="34" t="s">
        <v>3562</v>
      </c>
      <c r="Q776" s="165">
        <f>IF(Sales[[#This Row],[Status]]="Cancelled",0,Sales[[#This Row],[Qty]])</f>
        <v>5</v>
      </c>
      <c r="R776" s="166">
        <f>IF(Sales[[#This Row],[Status]]="Cancelled",0,Sales[[#This Row],[Total Amount]])</f>
        <v>28659.84</v>
      </c>
      <c r="S776" s="162">
        <f>SUM(Sales[Net Amount])</f>
        <v>406839287.73200053</v>
      </c>
    </row>
    <row r="777" spans="1:19" ht="18.75" x14ac:dyDescent="0.25">
      <c r="A777" s="156" t="s">
        <v>4361</v>
      </c>
      <c r="B777" s="157">
        <v>45818</v>
      </c>
      <c r="C777" s="158" t="s">
        <v>949</v>
      </c>
      <c r="D777" s="159" t="str">
        <f>VLOOKUP(Sales[[#This Row],[Customer ID]],Customer[#All],2,0)</f>
        <v>Amit Patel</v>
      </c>
      <c r="E777" s="158" t="s">
        <v>376</v>
      </c>
      <c r="F777" s="158" t="str">
        <f>VLOOKUP(Sales[[#This Row],[Product ID]],Product[#All],2,0)</f>
        <v>Lenovo Laptop</v>
      </c>
      <c r="G777" s="159">
        <v>1</v>
      </c>
      <c r="H777" s="160">
        <f>VLOOKUP(Sales[[#This Row],[Product ID]],Product[#All],7,0)</f>
        <v>38140</v>
      </c>
      <c r="I777" s="160">
        <f>Sales[[#This Row],[Selling Rate]]*Sales[[#This Row],[Qty]]</f>
        <v>38140</v>
      </c>
      <c r="J777" s="43">
        <v>0.05</v>
      </c>
      <c r="K777" s="44">
        <f>Sales[[#This Row],[Gross Amount]]*Sales[[#This Row],[Disc %]]</f>
        <v>1907</v>
      </c>
      <c r="L777" s="43">
        <v>0.18</v>
      </c>
      <c r="M777" s="44">
        <f>(Sales[[#This Row],[Gross Amount]]-Sales[[#This Row],[Disc. Amt.]])*Sales[[#This Row],[GST %]]</f>
        <v>6521.94</v>
      </c>
      <c r="N777" s="161">
        <f>Sales[[#This Row],[Gross Amount]]-Sales[[#This Row],[Disc. Amt.]]+Sales[[#This Row],[GST Amount]]</f>
        <v>42754.94</v>
      </c>
      <c r="O777" s="158" t="s">
        <v>3566</v>
      </c>
      <c r="P777" s="158" t="s">
        <v>3562</v>
      </c>
      <c r="Q777" s="160">
        <f>IF(Sales[[#This Row],[Status]]="Cancelled",0,Sales[[#This Row],[Qty]])</f>
        <v>1</v>
      </c>
      <c r="R777" s="161">
        <f>IF(Sales[[#This Row],[Status]]="Cancelled",0,Sales[[#This Row],[Total Amount]])</f>
        <v>42754.94</v>
      </c>
      <c r="S777" s="162">
        <f>SUM(Sales[Net Amount])</f>
        <v>406839287.73200053</v>
      </c>
    </row>
    <row r="778" spans="1:19" ht="18.75" x14ac:dyDescent="0.25">
      <c r="A778" s="163" t="s">
        <v>4362</v>
      </c>
      <c r="B778" s="164">
        <v>45818</v>
      </c>
      <c r="C778" s="34" t="s">
        <v>905</v>
      </c>
      <c r="D778" s="53" t="str">
        <f>VLOOKUP(Sales[[#This Row],[Customer ID]],Customer[#All],2,0)</f>
        <v>Rakesh Gupta</v>
      </c>
      <c r="E778" s="34" t="s">
        <v>57</v>
      </c>
      <c r="F778" s="34" t="str">
        <f>VLOOKUP(Sales[[#This Row],[Product ID]],Product[#All],2,0)</f>
        <v>Dell Desktop</v>
      </c>
      <c r="G778" s="53">
        <v>1</v>
      </c>
      <c r="H778" s="165">
        <f>VLOOKUP(Sales[[#This Row],[Product ID]],Product[#All],7,0)</f>
        <v>56600</v>
      </c>
      <c r="I778" s="165">
        <f>Sales[[#This Row],[Selling Rate]]*Sales[[#This Row],[Qty]]</f>
        <v>56600</v>
      </c>
      <c r="J778" s="45">
        <v>0.15</v>
      </c>
      <c r="K778" s="46">
        <f>Sales[[#This Row],[Gross Amount]]*Sales[[#This Row],[Disc %]]</f>
        <v>8490</v>
      </c>
      <c r="L778" s="43">
        <v>0.18</v>
      </c>
      <c r="M778" s="46">
        <f>(Sales[[#This Row],[Gross Amount]]-Sales[[#This Row],[Disc. Amt.]])*Sales[[#This Row],[GST %]]</f>
        <v>8659.7999999999993</v>
      </c>
      <c r="N778" s="161">
        <f>Sales[[#This Row],[Gross Amount]]-Sales[[#This Row],[Disc. Amt.]]+Sales[[#This Row],[GST Amount]]</f>
        <v>56769.8</v>
      </c>
      <c r="O778" s="34" t="s">
        <v>3566</v>
      </c>
      <c r="P778" s="34" t="s">
        <v>3562</v>
      </c>
      <c r="Q778" s="165">
        <f>IF(Sales[[#This Row],[Status]]="Cancelled",0,Sales[[#This Row],[Qty]])</f>
        <v>1</v>
      </c>
      <c r="R778" s="166">
        <f>IF(Sales[[#This Row],[Status]]="Cancelled",0,Sales[[#This Row],[Total Amount]])</f>
        <v>56769.8</v>
      </c>
      <c r="S778" s="162">
        <f>SUM(Sales[Net Amount])</f>
        <v>406839287.73200053</v>
      </c>
    </row>
    <row r="779" spans="1:19" ht="18.75" x14ac:dyDescent="0.25">
      <c r="A779" s="156" t="s">
        <v>4363</v>
      </c>
      <c r="B779" s="157">
        <v>45818</v>
      </c>
      <c r="C779" s="158" t="s">
        <v>756</v>
      </c>
      <c r="D779" s="159" t="str">
        <f>VLOOKUP(Sales[[#This Row],[Customer ID]],Customer[#All],2,0)</f>
        <v>Amit Patel</v>
      </c>
      <c r="E779" s="158" t="s">
        <v>397</v>
      </c>
      <c r="F779" s="158" t="str">
        <f>VLOOKUP(Sales[[#This Row],[Product ID]],Product[#All],2,0)</f>
        <v>Dell Laptop</v>
      </c>
      <c r="G779" s="159">
        <v>1</v>
      </c>
      <c r="H779" s="160">
        <f>VLOOKUP(Sales[[#This Row],[Product ID]],Product[#All],7,0)</f>
        <v>69400</v>
      </c>
      <c r="I779" s="160">
        <f>Sales[[#This Row],[Selling Rate]]*Sales[[#This Row],[Qty]]</f>
        <v>69400</v>
      </c>
      <c r="J779" s="43">
        <v>0.1</v>
      </c>
      <c r="K779" s="44">
        <f>Sales[[#This Row],[Gross Amount]]*Sales[[#This Row],[Disc %]]</f>
        <v>6940</v>
      </c>
      <c r="L779" s="43">
        <v>0.18</v>
      </c>
      <c r="M779" s="44">
        <f>(Sales[[#This Row],[Gross Amount]]-Sales[[#This Row],[Disc. Amt.]])*Sales[[#This Row],[GST %]]</f>
        <v>11242.8</v>
      </c>
      <c r="N779" s="161">
        <f>Sales[[#This Row],[Gross Amount]]-Sales[[#This Row],[Disc. Amt.]]+Sales[[#This Row],[GST Amount]]</f>
        <v>73702.8</v>
      </c>
      <c r="O779" s="158" t="s">
        <v>3561</v>
      </c>
      <c r="P779" s="158" t="s">
        <v>3562</v>
      </c>
      <c r="Q779" s="160">
        <f>IF(Sales[[#This Row],[Status]]="Cancelled",0,Sales[[#This Row],[Qty]])</f>
        <v>1</v>
      </c>
      <c r="R779" s="161">
        <f>IF(Sales[[#This Row],[Status]]="Cancelled",0,Sales[[#This Row],[Total Amount]])</f>
        <v>73702.8</v>
      </c>
      <c r="S779" s="162">
        <f>SUM(Sales[Net Amount])</f>
        <v>406839287.73200053</v>
      </c>
    </row>
    <row r="780" spans="1:19" ht="18.75" x14ac:dyDescent="0.25">
      <c r="A780" s="163" t="s">
        <v>4364</v>
      </c>
      <c r="B780" s="164">
        <v>45818</v>
      </c>
      <c r="C780" s="34" t="s">
        <v>677</v>
      </c>
      <c r="D780" s="53" t="str">
        <f>VLOOKUP(Sales[[#This Row],[Customer ID]],Customer[#All],2,0)</f>
        <v>Sahil Verma</v>
      </c>
      <c r="E780" s="34" t="s">
        <v>377</v>
      </c>
      <c r="F780" s="34" t="str">
        <f>VLOOKUP(Sales[[#This Row],[Product ID]],Product[#All],2,0)</f>
        <v>Acer Laptop</v>
      </c>
      <c r="G780" s="53">
        <v>5</v>
      </c>
      <c r="H780" s="165">
        <f>VLOOKUP(Sales[[#This Row],[Product ID]],Product[#All],7,0)</f>
        <v>68710</v>
      </c>
      <c r="I780" s="165">
        <f>Sales[[#This Row],[Selling Rate]]*Sales[[#This Row],[Qty]]</f>
        <v>343550</v>
      </c>
      <c r="J780" s="45">
        <v>0.05</v>
      </c>
      <c r="K780" s="46">
        <f>Sales[[#This Row],[Gross Amount]]*Sales[[#This Row],[Disc %]]</f>
        <v>17177.5</v>
      </c>
      <c r="L780" s="43">
        <v>0.18</v>
      </c>
      <c r="M780" s="46">
        <f>(Sales[[#This Row],[Gross Amount]]-Sales[[#This Row],[Disc. Amt.]])*Sales[[#This Row],[GST %]]</f>
        <v>58747.049999999996</v>
      </c>
      <c r="N780" s="161">
        <f>Sales[[#This Row],[Gross Amount]]-Sales[[#This Row],[Disc. Amt.]]+Sales[[#This Row],[GST Amount]]</f>
        <v>385119.55</v>
      </c>
      <c r="O780" s="34" t="s">
        <v>3569</v>
      </c>
      <c r="P780" s="34" t="s">
        <v>3562</v>
      </c>
      <c r="Q780" s="165">
        <f>IF(Sales[[#This Row],[Status]]="Cancelled",0,Sales[[#This Row],[Qty]])</f>
        <v>5</v>
      </c>
      <c r="R780" s="166">
        <f>IF(Sales[[#This Row],[Status]]="Cancelled",0,Sales[[#This Row],[Total Amount]])</f>
        <v>385119.55</v>
      </c>
      <c r="S780" s="162">
        <f>SUM(Sales[Net Amount])</f>
        <v>406839287.73200053</v>
      </c>
    </row>
    <row r="781" spans="1:19" ht="18.75" x14ac:dyDescent="0.25">
      <c r="A781" s="156" t="s">
        <v>4365</v>
      </c>
      <c r="B781" s="157">
        <v>45818</v>
      </c>
      <c r="C781" s="158" t="s">
        <v>922</v>
      </c>
      <c r="D781" s="159" t="str">
        <f>VLOOKUP(Sales[[#This Row],[Customer ID]],Customer[#All],2,0)</f>
        <v>Pooja Patel</v>
      </c>
      <c r="E781" s="158" t="s">
        <v>515</v>
      </c>
      <c r="F781" s="158" t="str">
        <f>VLOOKUP(Sales[[#This Row],[Product ID]],Product[#All],2,0)</f>
        <v>HP Mouse</v>
      </c>
      <c r="G781" s="159">
        <v>6</v>
      </c>
      <c r="H781" s="160">
        <f>VLOOKUP(Sales[[#This Row],[Product ID]],Product[#All],7,0)</f>
        <v>2520</v>
      </c>
      <c r="I781" s="160">
        <f>Sales[[#This Row],[Selling Rate]]*Sales[[#This Row],[Qty]]</f>
        <v>15120</v>
      </c>
      <c r="J781" s="43">
        <v>0</v>
      </c>
      <c r="K781" s="44">
        <f>Sales[[#This Row],[Gross Amount]]*Sales[[#This Row],[Disc %]]</f>
        <v>0</v>
      </c>
      <c r="L781" s="43">
        <v>0.18</v>
      </c>
      <c r="M781" s="44">
        <f>(Sales[[#This Row],[Gross Amount]]-Sales[[#This Row],[Disc. Amt.]])*Sales[[#This Row],[GST %]]</f>
        <v>2721.6</v>
      </c>
      <c r="N781" s="161">
        <f>Sales[[#This Row],[Gross Amount]]-Sales[[#This Row],[Disc. Amt.]]+Sales[[#This Row],[GST Amount]]</f>
        <v>17841.599999999999</v>
      </c>
      <c r="O781" s="158" t="s">
        <v>3561</v>
      </c>
      <c r="P781" s="158" t="s">
        <v>3562</v>
      </c>
      <c r="Q781" s="160">
        <f>IF(Sales[[#This Row],[Status]]="Cancelled",0,Sales[[#This Row],[Qty]])</f>
        <v>6</v>
      </c>
      <c r="R781" s="161">
        <f>IF(Sales[[#This Row],[Status]]="Cancelled",0,Sales[[#This Row],[Total Amount]])</f>
        <v>17841.599999999999</v>
      </c>
      <c r="S781" s="162">
        <f>SUM(Sales[Net Amount])</f>
        <v>406839287.73200053</v>
      </c>
    </row>
    <row r="782" spans="1:19" ht="18.75" x14ac:dyDescent="0.25">
      <c r="A782" s="163" t="s">
        <v>4366</v>
      </c>
      <c r="B782" s="164">
        <v>45818</v>
      </c>
      <c r="C782" s="34" t="s">
        <v>4367</v>
      </c>
      <c r="D782" s="53" t="str">
        <f>VLOOKUP(Sales[[#This Row],[Customer ID]],Customer[#All],2,0)</f>
        <v>Pooja Singh</v>
      </c>
      <c r="E782" s="34" t="s">
        <v>208</v>
      </c>
      <c r="F782" s="34" t="str">
        <f>VLOOKUP(Sales[[#This Row],[Product ID]],Product[#All],2,0)</f>
        <v>Dell Laptop</v>
      </c>
      <c r="G782" s="53">
        <v>2</v>
      </c>
      <c r="H782" s="165">
        <f>VLOOKUP(Sales[[#This Row],[Product ID]],Product[#All],7,0)</f>
        <v>67000</v>
      </c>
      <c r="I782" s="165">
        <f>Sales[[#This Row],[Selling Rate]]*Sales[[#This Row],[Qty]]</f>
        <v>134000</v>
      </c>
      <c r="J782" s="45">
        <v>0.05</v>
      </c>
      <c r="K782" s="46">
        <f>Sales[[#This Row],[Gross Amount]]*Sales[[#This Row],[Disc %]]</f>
        <v>6700</v>
      </c>
      <c r="L782" s="43">
        <v>0.18</v>
      </c>
      <c r="M782" s="46">
        <f>(Sales[[#This Row],[Gross Amount]]-Sales[[#This Row],[Disc. Amt.]])*Sales[[#This Row],[GST %]]</f>
        <v>22914</v>
      </c>
      <c r="N782" s="161">
        <f>Sales[[#This Row],[Gross Amount]]-Sales[[#This Row],[Disc. Amt.]]+Sales[[#This Row],[GST Amount]]</f>
        <v>150214</v>
      </c>
      <c r="O782" s="34" t="s">
        <v>3566</v>
      </c>
      <c r="P782" s="34" t="s">
        <v>1040</v>
      </c>
      <c r="Q782" s="165">
        <f>IF(Sales[[#This Row],[Status]]="Cancelled",0,Sales[[#This Row],[Qty]])</f>
        <v>0</v>
      </c>
      <c r="R782" s="166">
        <f>IF(Sales[[#This Row],[Status]]="Cancelled",0,Sales[[#This Row],[Total Amount]])</f>
        <v>0</v>
      </c>
      <c r="S782" s="162">
        <f>SUM(Sales[Net Amount])</f>
        <v>406839287.73200053</v>
      </c>
    </row>
    <row r="783" spans="1:19" ht="18.75" x14ac:dyDescent="0.25">
      <c r="A783" s="156" t="s">
        <v>4368</v>
      </c>
      <c r="B783" s="157">
        <v>45818</v>
      </c>
      <c r="C783" s="158" t="s">
        <v>691</v>
      </c>
      <c r="D783" s="159" t="str">
        <f>VLOOKUP(Sales[[#This Row],[Customer ID]],Customer[#All],2,0)</f>
        <v>Pooja Patel</v>
      </c>
      <c r="E783" s="158" t="s">
        <v>504</v>
      </c>
      <c r="F783" s="158" t="str">
        <f>VLOOKUP(Sales[[#This Row],[Product ID]],Product[#All],2,0)</f>
        <v>Logitech Keyboard</v>
      </c>
      <c r="G783" s="159">
        <v>8</v>
      </c>
      <c r="H783" s="160">
        <f>VLOOKUP(Sales[[#This Row],[Product ID]],Product[#All],7,0)</f>
        <v>3930</v>
      </c>
      <c r="I783" s="160">
        <f>Sales[[#This Row],[Selling Rate]]*Sales[[#This Row],[Qty]]</f>
        <v>31440</v>
      </c>
      <c r="J783" s="43">
        <v>0.12</v>
      </c>
      <c r="K783" s="44">
        <f>Sales[[#This Row],[Gross Amount]]*Sales[[#This Row],[Disc %]]</f>
        <v>3772.7999999999997</v>
      </c>
      <c r="L783" s="43">
        <v>0.18</v>
      </c>
      <c r="M783" s="44">
        <f>(Sales[[#This Row],[Gross Amount]]-Sales[[#This Row],[Disc. Amt.]])*Sales[[#This Row],[GST %]]</f>
        <v>4980.0959999999995</v>
      </c>
      <c r="N783" s="161">
        <f>Sales[[#This Row],[Gross Amount]]-Sales[[#This Row],[Disc. Amt.]]+Sales[[#This Row],[GST Amount]]</f>
        <v>32647.296000000002</v>
      </c>
      <c r="O783" s="158" t="s">
        <v>3561</v>
      </c>
      <c r="P783" s="158" t="s">
        <v>3562</v>
      </c>
      <c r="Q783" s="160">
        <f>IF(Sales[[#This Row],[Status]]="Cancelled",0,Sales[[#This Row],[Qty]])</f>
        <v>8</v>
      </c>
      <c r="R783" s="161">
        <f>IF(Sales[[#This Row],[Status]]="Cancelled",0,Sales[[#This Row],[Total Amount]])</f>
        <v>32647.296000000002</v>
      </c>
      <c r="S783" s="162">
        <f>SUM(Sales[Net Amount])</f>
        <v>406839287.73200053</v>
      </c>
    </row>
    <row r="784" spans="1:19" ht="18.75" x14ac:dyDescent="0.25">
      <c r="A784" s="163" t="s">
        <v>4369</v>
      </c>
      <c r="B784" s="164">
        <v>45818</v>
      </c>
      <c r="C784" s="34" t="s">
        <v>663</v>
      </c>
      <c r="D784" s="53" t="str">
        <f>VLOOKUP(Sales[[#This Row],[Customer ID]],Customer[#All],2,0)</f>
        <v>Amit Sharma</v>
      </c>
      <c r="E784" s="34" t="s">
        <v>433</v>
      </c>
      <c r="F784" s="34" t="str">
        <f>VLOOKUP(Sales[[#This Row],[Product ID]],Product[#All],2,0)</f>
        <v>Seagate HDD</v>
      </c>
      <c r="G784" s="53">
        <v>8</v>
      </c>
      <c r="H784" s="165">
        <f>VLOOKUP(Sales[[#This Row],[Product ID]],Product[#All],7,0)</f>
        <v>13910</v>
      </c>
      <c r="I784" s="165">
        <f>Sales[[#This Row],[Selling Rate]]*Sales[[#This Row],[Qty]]</f>
        <v>111280</v>
      </c>
      <c r="J784" s="45">
        <v>0.05</v>
      </c>
      <c r="K784" s="46">
        <f>Sales[[#This Row],[Gross Amount]]*Sales[[#This Row],[Disc %]]</f>
        <v>5564</v>
      </c>
      <c r="L784" s="43">
        <v>0.18</v>
      </c>
      <c r="M784" s="46">
        <f>(Sales[[#This Row],[Gross Amount]]-Sales[[#This Row],[Disc. Amt.]])*Sales[[#This Row],[GST %]]</f>
        <v>19028.88</v>
      </c>
      <c r="N784" s="161">
        <f>Sales[[#This Row],[Gross Amount]]-Sales[[#This Row],[Disc. Amt.]]+Sales[[#This Row],[GST Amount]]</f>
        <v>124744.88</v>
      </c>
      <c r="O784" s="34" t="s">
        <v>3569</v>
      </c>
      <c r="P784" s="34" t="s">
        <v>3562</v>
      </c>
      <c r="Q784" s="165">
        <f>IF(Sales[[#This Row],[Status]]="Cancelled",0,Sales[[#This Row],[Qty]])</f>
        <v>8</v>
      </c>
      <c r="R784" s="166">
        <f>IF(Sales[[#This Row],[Status]]="Cancelled",0,Sales[[#This Row],[Total Amount]])</f>
        <v>124744.88</v>
      </c>
      <c r="S784" s="162">
        <f>SUM(Sales[Net Amount])</f>
        <v>406839287.73200053</v>
      </c>
    </row>
    <row r="785" spans="1:19" ht="18.75" x14ac:dyDescent="0.25">
      <c r="A785" s="156" t="s">
        <v>4370</v>
      </c>
      <c r="B785" s="157">
        <v>45819</v>
      </c>
      <c r="C785" s="158" t="s">
        <v>814</v>
      </c>
      <c r="D785" s="159" t="str">
        <f>VLOOKUP(Sales[[#This Row],[Customer ID]],Customer[#All],2,0)</f>
        <v>Amit Kumar</v>
      </c>
      <c r="E785" s="158" t="s">
        <v>234</v>
      </c>
      <c r="F785" s="158" t="str">
        <f>VLOOKUP(Sales[[#This Row],[Product ID]],Product[#All],2,0)</f>
        <v>HP Desktop</v>
      </c>
      <c r="G785" s="159">
        <v>2</v>
      </c>
      <c r="H785" s="160">
        <f>VLOOKUP(Sales[[#This Row],[Product ID]],Product[#All],7,0)</f>
        <v>76930</v>
      </c>
      <c r="I785" s="160">
        <f>Sales[[#This Row],[Selling Rate]]*Sales[[#This Row],[Qty]]</f>
        <v>153860</v>
      </c>
      <c r="J785" s="43">
        <v>0</v>
      </c>
      <c r="K785" s="44">
        <f>Sales[[#This Row],[Gross Amount]]*Sales[[#This Row],[Disc %]]</f>
        <v>0</v>
      </c>
      <c r="L785" s="43">
        <v>0.18</v>
      </c>
      <c r="M785" s="44">
        <f>(Sales[[#This Row],[Gross Amount]]-Sales[[#This Row],[Disc. Amt.]])*Sales[[#This Row],[GST %]]</f>
        <v>27694.799999999999</v>
      </c>
      <c r="N785" s="161">
        <f>Sales[[#This Row],[Gross Amount]]-Sales[[#This Row],[Disc. Amt.]]+Sales[[#This Row],[GST Amount]]</f>
        <v>181554.8</v>
      </c>
      <c r="O785" s="158" t="s">
        <v>8876</v>
      </c>
      <c r="P785" s="158" t="s">
        <v>3562</v>
      </c>
      <c r="Q785" s="160">
        <f>IF(Sales[[#This Row],[Status]]="Cancelled",0,Sales[[#This Row],[Qty]])</f>
        <v>2</v>
      </c>
      <c r="R785" s="161">
        <f>IF(Sales[[#This Row],[Status]]="Cancelled",0,Sales[[#This Row],[Total Amount]])</f>
        <v>181554.8</v>
      </c>
      <c r="S785" s="162">
        <f>SUM(Sales[Net Amount])</f>
        <v>406839287.73200053</v>
      </c>
    </row>
    <row r="786" spans="1:19" ht="18.75" x14ac:dyDescent="0.25">
      <c r="A786" s="163" t="s">
        <v>4371</v>
      </c>
      <c r="B786" s="164">
        <v>45819</v>
      </c>
      <c r="C786" s="34" t="s">
        <v>725</v>
      </c>
      <c r="D786" s="53" t="str">
        <f>VLOOKUP(Sales[[#This Row],[Customer ID]],Customer[#All],2,0)</f>
        <v>Ankit Kumar</v>
      </c>
      <c r="E786" s="34" t="s">
        <v>412</v>
      </c>
      <c r="F786" s="34" t="str">
        <f>VLOOKUP(Sales[[#This Row],[Product ID]],Product[#All],2,0)</f>
        <v>Dell Monitor</v>
      </c>
      <c r="G786" s="53">
        <v>6</v>
      </c>
      <c r="H786" s="165">
        <f>VLOOKUP(Sales[[#This Row],[Product ID]],Product[#All],7,0)</f>
        <v>30230</v>
      </c>
      <c r="I786" s="165">
        <f>Sales[[#This Row],[Selling Rate]]*Sales[[#This Row],[Qty]]</f>
        <v>181380</v>
      </c>
      <c r="J786" s="45">
        <v>0.15</v>
      </c>
      <c r="K786" s="46">
        <f>Sales[[#This Row],[Gross Amount]]*Sales[[#This Row],[Disc %]]</f>
        <v>27207</v>
      </c>
      <c r="L786" s="43">
        <v>0.18</v>
      </c>
      <c r="M786" s="46">
        <f>(Sales[[#This Row],[Gross Amount]]-Sales[[#This Row],[Disc. Amt.]])*Sales[[#This Row],[GST %]]</f>
        <v>27751.14</v>
      </c>
      <c r="N786" s="161">
        <f>Sales[[#This Row],[Gross Amount]]-Sales[[#This Row],[Disc. Amt.]]+Sales[[#This Row],[GST Amount]]</f>
        <v>181924.14</v>
      </c>
      <c r="O786" s="34" t="s">
        <v>8876</v>
      </c>
      <c r="P786" s="34" t="s">
        <v>3562</v>
      </c>
      <c r="Q786" s="165">
        <f>IF(Sales[[#This Row],[Status]]="Cancelled",0,Sales[[#This Row],[Qty]])</f>
        <v>6</v>
      </c>
      <c r="R786" s="166">
        <f>IF(Sales[[#This Row],[Status]]="Cancelled",0,Sales[[#This Row],[Total Amount]])</f>
        <v>181924.14</v>
      </c>
      <c r="S786" s="162">
        <f>SUM(Sales[Net Amount])</f>
        <v>406839287.73200053</v>
      </c>
    </row>
    <row r="787" spans="1:19" ht="18.75" x14ac:dyDescent="0.25">
      <c r="A787" s="156" t="s">
        <v>4372</v>
      </c>
      <c r="B787" s="157">
        <v>45819</v>
      </c>
      <c r="C787" s="158" t="s">
        <v>931</v>
      </c>
      <c r="D787" s="159" t="str">
        <f>VLOOKUP(Sales[[#This Row],[Customer ID]],Customer[#All],2,0)</f>
        <v>Sahil Patel</v>
      </c>
      <c r="E787" s="158" t="s">
        <v>388</v>
      </c>
      <c r="F787" s="158" t="str">
        <f>VLOOKUP(Sales[[#This Row],[Product ID]],Product[#All],2,0)</f>
        <v>Dell Laptop</v>
      </c>
      <c r="G787" s="159">
        <v>5</v>
      </c>
      <c r="H787" s="160">
        <f>VLOOKUP(Sales[[#This Row],[Product ID]],Product[#All],7,0)</f>
        <v>68790</v>
      </c>
      <c r="I787" s="160">
        <f>Sales[[#This Row],[Selling Rate]]*Sales[[#This Row],[Qty]]</f>
        <v>343950</v>
      </c>
      <c r="J787" s="43">
        <v>0.05</v>
      </c>
      <c r="K787" s="44">
        <f>Sales[[#This Row],[Gross Amount]]*Sales[[#This Row],[Disc %]]</f>
        <v>17197.5</v>
      </c>
      <c r="L787" s="43">
        <v>0.18</v>
      </c>
      <c r="M787" s="44">
        <f>(Sales[[#This Row],[Gross Amount]]-Sales[[#This Row],[Disc. Amt.]])*Sales[[#This Row],[GST %]]</f>
        <v>58815.45</v>
      </c>
      <c r="N787" s="161">
        <f>Sales[[#This Row],[Gross Amount]]-Sales[[#This Row],[Disc. Amt.]]+Sales[[#This Row],[GST Amount]]</f>
        <v>385567.95</v>
      </c>
      <c r="O787" s="158" t="s">
        <v>3569</v>
      </c>
      <c r="P787" s="158" t="s">
        <v>3562</v>
      </c>
      <c r="Q787" s="160">
        <f>IF(Sales[[#This Row],[Status]]="Cancelled",0,Sales[[#This Row],[Qty]])</f>
        <v>5</v>
      </c>
      <c r="R787" s="161">
        <f>IF(Sales[[#This Row],[Status]]="Cancelled",0,Sales[[#This Row],[Total Amount]])</f>
        <v>385567.95</v>
      </c>
      <c r="S787" s="162">
        <f>SUM(Sales[Net Amount])</f>
        <v>406839287.73200053</v>
      </c>
    </row>
    <row r="788" spans="1:19" ht="18.75" x14ac:dyDescent="0.25">
      <c r="A788" s="163" t="s">
        <v>4373</v>
      </c>
      <c r="B788" s="164">
        <v>45819</v>
      </c>
      <c r="C788" s="34" t="s">
        <v>759</v>
      </c>
      <c r="D788" s="53" t="str">
        <f>VLOOKUP(Sales[[#This Row],[Customer ID]],Customer[#All],2,0)</f>
        <v>Ankit Sharma</v>
      </c>
      <c r="E788" s="34" t="s">
        <v>499</v>
      </c>
      <c r="F788" s="34" t="str">
        <f>VLOOKUP(Sales[[#This Row],[Product ID]],Product[#All],2,0)</f>
        <v>HP Laptop</v>
      </c>
      <c r="G788" s="53">
        <v>1</v>
      </c>
      <c r="H788" s="165">
        <f>VLOOKUP(Sales[[#This Row],[Product ID]],Product[#All],7,0)</f>
        <v>83390</v>
      </c>
      <c r="I788" s="165">
        <f>Sales[[#This Row],[Selling Rate]]*Sales[[#This Row],[Qty]]</f>
        <v>83390</v>
      </c>
      <c r="J788" s="45">
        <v>0</v>
      </c>
      <c r="K788" s="46">
        <f>Sales[[#This Row],[Gross Amount]]*Sales[[#This Row],[Disc %]]</f>
        <v>0</v>
      </c>
      <c r="L788" s="43">
        <v>0.18</v>
      </c>
      <c r="M788" s="46">
        <f>(Sales[[#This Row],[Gross Amount]]-Sales[[#This Row],[Disc. Amt.]])*Sales[[#This Row],[GST %]]</f>
        <v>15010.199999999999</v>
      </c>
      <c r="N788" s="161">
        <f>Sales[[#This Row],[Gross Amount]]-Sales[[#This Row],[Disc. Amt.]]+Sales[[#This Row],[GST Amount]]</f>
        <v>98400.2</v>
      </c>
      <c r="O788" s="34" t="s">
        <v>3566</v>
      </c>
      <c r="P788" s="34" t="s">
        <v>3562</v>
      </c>
      <c r="Q788" s="165">
        <f>IF(Sales[[#This Row],[Status]]="Cancelled",0,Sales[[#This Row],[Qty]])</f>
        <v>1</v>
      </c>
      <c r="R788" s="166">
        <f>IF(Sales[[#This Row],[Status]]="Cancelled",0,Sales[[#This Row],[Total Amount]])</f>
        <v>98400.2</v>
      </c>
      <c r="S788" s="162">
        <f>SUM(Sales[Net Amount])</f>
        <v>406839287.73200053</v>
      </c>
    </row>
    <row r="789" spans="1:19" ht="18.75" x14ac:dyDescent="0.25">
      <c r="A789" s="156" t="s">
        <v>4374</v>
      </c>
      <c r="B789" s="157">
        <v>45819</v>
      </c>
      <c r="C789" s="158" t="s">
        <v>828</v>
      </c>
      <c r="D789" s="159" t="str">
        <f>VLOOKUP(Sales[[#This Row],[Customer ID]],Customer[#All],2,0)</f>
        <v>Ankit Verma</v>
      </c>
      <c r="E789" s="158" t="s">
        <v>490</v>
      </c>
      <c r="F789" s="158" t="str">
        <f>VLOOKUP(Sales[[#This Row],[Product ID]],Product[#All],2,0)</f>
        <v>Acer Laptop</v>
      </c>
      <c r="G789" s="159">
        <v>7</v>
      </c>
      <c r="H789" s="160">
        <f>VLOOKUP(Sales[[#This Row],[Product ID]],Product[#All],7,0)</f>
        <v>38490</v>
      </c>
      <c r="I789" s="160">
        <f>Sales[[#This Row],[Selling Rate]]*Sales[[#This Row],[Qty]]</f>
        <v>269430</v>
      </c>
      <c r="J789" s="43">
        <v>0.05</v>
      </c>
      <c r="K789" s="44">
        <f>Sales[[#This Row],[Gross Amount]]*Sales[[#This Row],[Disc %]]</f>
        <v>13471.5</v>
      </c>
      <c r="L789" s="43">
        <v>0.18</v>
      </c>
      <c r="M789" s="44">
        <f>(Sales[[#This Row],[Gross Amount]]-Sales[[#This Row],[Disc. Amt.]])*Sales[[#This Row],[GST %]]</f>
        <v>46072.53</v>
      </c>
      <c r="N789" s="161">
        <f>Sales[[#This Row],[Gross Amount]]-Sales[[#This Row],[Disc. Amt.]]+Sales[[#This Row],[GST Amount]]</f>
        <v>302031.03000000003</v>
      </c>
      <c r="O789" s="158" t="s">
        <v>3569</v>
      </c>
      <c r="P789" s="158" t="s">
        <v>3562</v>
      </c>
      <c r="Q789" s="160">
        <f>IF(Sales[[#This Row],[Status]]="Cancelled",0,Sales[[#This Row],[Qty]])</f>
        <v>7</v>
      </c>
      <c r="R789" s="161">
        <f>IF(Sales[[#This Row],[Status]]="Cancelled",0,Sales[[#This Row],[Total Amount]])</f>
        <v>302031.03000000003</v>
      </c>
      <c r="S789" s="162">
        <f>SUM(Sales[Net Amount])</f>
        <v>406839287.73200053</v>
      </c>
    </row>
    <row r="790" spans="1:19" ht="18.75" x14ac:dyDescent="0.25">
      <c r="A790" s="163" t="s">
        <v>4375</v>
      </c>
      <c r="B790" s="164">
        <v>45819</v>
      </c>
      <c r="C790" s="34" t="s">
        <v>704</v>
      </c>
      <c r="D790" s="53" t="str">
        <f>VLOOKUP(Sales[[#This Row],[Customer ID]],Customer[#All],2,0)</f>
        <v>Rahul Gupta</v>
      </c>
      <c r="E790" s="34" t="s">
        <v>453</v>
      </c>
      <c r="F790" s="34" t="str">
        <f>VLOOKUP(Sales[[#This Row],[Product ID]],Product[#All],2,0)</f>
        <v>American TouristerLaptopBag</v>
      </c>
      <c r="G790" s="53">
        <v>3</v>
      </c>
      <c r="H790" s="165">
        <f>VLOOKUP(Sales[[#This Row],[Product ID]],Product[#All],7,0)</f>
        <v>3050</v>
      </c>
      <c r="I790" s="165">
        <f>Sales[[#This Row],[Selling Rate]]*Sales[[#This Row],[Qty]]</f>
        <v>9150</v>
      </c>
      <c r="J790" s="45">
        <v>0.02</v>
      </c>
      <c r="K790" s="46">
        <f>Sales[[#This Row],[Gross Amount]]*Sales[[#This Row],[Disc %]]</f>
        <v>183</v>
      </c>
      <c r="L790" s="43">
        <v>0.18</v>
      </c>
      <c r="M790" s="46">
        <f>(Sales[[#This Row],[Gross Amount]]-Sales[[#This Row],[Disc. Amt.]])*Sales[[#This Row],[GST %]]</f>
        <v>1614.06</v>
      </c>
      <c r="N790" s="161">
        <f>Sales[[#This Row],[Gross Amount]]-Sales[[#This Row],[Disc. Amt.]]+Sales[[#This Row],[GST Amount]]</f>
        <v>10581.06</v>
      </c>
      <c r="O790" s="34" t="s">
        <v>3569</v>
      </c>
      <c r="P790" s="34" t="s">
        <v>3562</v>
      </c>
      <c r="Q790" s="165">
        <f>IF(Sales[[#This Row],[Status]]="Cancelled",0,Sales[[#This Row],[Qty]])</f>
        <v>3</v>
      </c>
      <c r="R790" s="166">
        <f>IF(Sales[[#This Row],[Status]]="Cancelled",0,Sales[[#This Row],[Total Amount]])</f>
        <v>10581.06</v>
      </c>
      <c r="S790" s="162">
        <f>SUM(Sales[Net Amount])</f>
        <v>406839287.73200053</v>
      </c>
    </row>
    <row r="791" spans="1:19" ht="18.75" x14ac:dyDescent="0.25">
      <c r="A791" s="156" t="s">
        <v>4376</v>
      </c>
      <c r="B791" s="157">
        <v>45819</v>
      </c>
      <c r="C791" s="158" t="s">
        <v>924</v>
      </c>
      <c r="D791" s="159" t="str">
        <f>VLOOKUP(Sales[[#This Row],[Customer ID]],Customer[#All],2,0)</f>
        <v>Rakesh Gupta</v>
      </c>
      <c r="E791" s="158" t="s">
        <v>182</v>
      </c>
      <c r="F791" s="158" t="str">
        <f>VLOOKUP(Sales[[#This Row],[Product ID]],Product[#All],2,0)</f>
        <v>Kingston Ram</v>
      </c>
      <c r="G791" s="159">
        <v>7</v>
      </c>
      <c r="H791" s="160">
        <f>VLOOKUP(Sales[[#This Row],[Product ID]],Product[#All],7,0)</f>
        <v>10690</v>
      </c>
      <c r="I791" s="160">
        <f>Sales[[#This Row],[Selling Rate]]*Sales[[#This Row],[Qty]]</f>
        <v>74830</v>
      </c>
      <c r="J791" s="43">
        <v>0.12</v>
      </c>
      <c r="K791" s="44">
        <f>Sales[[#This Row],[Gross Amount]]*Sales[[#This Row],[Disc %]]</f>
        <v>8979.6</v>
      </c>
      <c r="L791" s="43">
        <v>0.18</v>
      </c>
      <c r="M791" s="44">
        <f>(Sales[[#This Row],[Gross Amount]]-Sales[[#This Row],[Disc. Amt.]])*Sales[[#This Row],[GST %]]</f>
        <v>11853.071999999998</v>
      </c>
      <c r="N791" s="161">
        <f>Sales[[#This Row],[Gross Amount]]-Sales[[#This Row],[Disc. Amt.]]+Sales[[#This Row],[GST Amount]]</f>
        <v>77703.471999999994</v>
      </c>
      <c r="O791" s="158" t="s">
        <v>3569</v>
      </c>
      <c r="P791" s="158" t="s">
        <v>3562</v>
      </c>
      <c r="Q791" s="160">
        <f>IF(Sales[[#This Row],[Status]]="Cancelled",0,Sales[[#This Row],[Qty]])</f>
        <v>7</v>
      </c>
      <c r="R791" s="161">
        <f>IF(Sales[[#This Row],[Status]]="Cancelled",0,Sales[[#This Row],[Total Amount]])</f>
        <v>77703.471999999994</v>
      </c>
      <c r="S791" s="162">
        <f>SUM(Sales[Net Amount])</f>
        <v>406839287.73200053</v>
      </c>
    </row>
    <row r="792" spans="1:19" ht="18.75" x14ac:dyDescent="0.25">
      <c r="A792" s="163" t="s">
        <v>4377</v>
      </c>
      <c r="B792" s="164">
        <v>45819</v>
      </c>
      <c r="C792" s="34" t="s">
        <v>697</v>
      </c>
      <c r="D792" s="53" t="str">
        <f>VLOOKUP(Sales[[#This Row],[Customer ID]],Customer[#All],2,0)</f>
        <v>Priya Kumar</v>
      </c>
      <c r="E792" s="34" t="s">
        <v>148</v>
      </c>
      <c r="F792" s="34" t="str">
        <f>VLOOKUP(Sales[[#This Row],[Product ID]],Product[#All],2,0)</f>
        <v>Dell Monitor</v>
      </c>
      <c r="G792" s="53">
        <v>3</v>
      </c>
      <c r="H792" s="165">
        <f>VLOOKUP(Sales[[#This Row],[Product ID]],Product[#All],7,0)</f>
        <v>20170</v>
      </c>
      <c r="I792" s="165">
        <f>Sales[[#This Row],[Selling Rate]]*Sales[[#This Row],[Qty]]</f>
        <v>60510</v>
      </c>
      <c r="J792" s="45">
        <v>0.05</v>
      </c>
      <c r="K792" s="46">
        <f>Sales[[#This Row],[Gross Amount]]*Sales[[#This Row],[Disc %]]</f>
        <v>3025.5</v>
      </c>
      <c r="L792" s="43">
        <v>0.18</v>
      </c>
      <c r="M792" s="46">
        <f>(Sales[[#This Row],[Gross Amount]]-Sales[[#This Row],[Disc. Amt.]])*Sales[[#This Row],[GST %]]</f>
        <v>10347.209999999999</v>
      </c>
      <c r="N792" s="161">
        <f>Sales[[#This Row],[Gross Amount]]-Sales[[#This Row],[Disc. Amt.]]+Sales[[#This Row],[GST Amount]]</f>
        <v>67831.709999999992</v>
      </c>
      <c r="O792" s="34" t="s">
        <v>3569</v>
      </c>
      <c r="P792" s="34" t="s">
        <v>3562</v>
      </c>
      <c r="Q792" s="165">
        <f>IF(Sales[[#This Row],[Status]]="Cancelled",0,Sales[[#This Row],[Qty]])</f>
        <v>3</v>
      </c>
      <c r="R792" s="166">
        <f>IF(Sales[[#This Row],[Status]]="Cancelled",0,Sales[[#This Row],[Total Amount]])</f>
        <v>67831.709999999992</v>
      </c>
      <c r="S792" s="162">
        <f>SUM(Sales[Net Amount])</f>
        <v>406839287.73200053</v>
      </c>
    </row>
    <row r="793" spans="1:19" ht="18.75" x14ac:dyDescent="0.25">
      <c r="A793" s="156" t="s">
        <v>4378</v>
      </c>
      <c r="B793" s="157">
        <v>45819</v>
      </c>
      <c r="C793" s="158" t="s">
        <v>938</v>
      </c>
      <c r="D793" s="159" t="str">
        <f>VLOOKUP(Sales[[#This Row],[Customer ID]],Customer[#All],2,0)</f>
        <v>Sunita Sharma</v>
      </c>
      <c r="E793" s="158" t="s">
        <v>283</v>
      </c>
      <c r="F793" s="158" t="str">
        <f>VLOOKUP(Sales[[#This Row],[Product ID]],Product[#All],2,0)</f>
        <v>Lenovo Laptop</v>
      </c>
      <c r="G793" s="159">
        <v>5</v>
      </c>
      <c r="H793" s="160">
        <f>VLOOKUP(Sales[[#This Row],[Product ID]],Product[#All],7,0)</f>
        <v>36480</v>
      </c>
      <c r="I793" s="160">
        <f>Sales[[#This Row],[Selling Rate]]*Sales[[#This Row],[Qty]]</f>
        <v>182400</v>
      </c>
      <c r="J793" s="43">
        <v>0</v>
      </c>
      <c r="K793" s="44">
        <f>Sales[[#This Row],[Gross Amount]]*Sales[[#This Row],[Disc %]]</f>
        <v>0</v>
      </c>
      <c r="L793" s="43">
        <v>0.18</v>
      </c>
      <c r="M793" s="44">
        <f>(Sales[[#This Row],[Gross Amount]]-Sales[[#This Row],[Disc. Amt.]])*Sales[[#This Row],[GST %]]</f>
        <v>32832</v>
      </c>
      <c r="N793" s="161">
        <f>Sales[[#This Row],[Gross Amount]]-Sales[[#This Row],[Disc. Amt.]]+Sales[[#This Row],[GST Amount]]</f>
        <v>215232</v>
      </c>
      <c r="O793" s="158" t="s">
        <v>3561</v>
      </c>
      <c r="P793" s="158" t="s">
        <v>3562</v>
      </c>
      <c r="Q793" s="160">
        <f>IF(Sales[[#This Row],[Status]]="Cancelled",0,Sales[[#This Row],[Qty]])</f>
        <v>5</v>
      </c>
      <c r="R793" s="161">
        <f>IF(Sales[[#This Row],[Status]]="Cancelled",0,Sales[[#This Row],[Total Amount]])</f>
        <v>215232</v>
      </c>
      <c r="S793" s="162">
        <f>SUM(Sales[Net Amount])</f>
        <v>406839287.73200053</v>
      </c>
    </row>
    <row r="794" spans="1:19" ht="18.75" x14ac:dyDescent="0.25">
      <c r="A794" s="163" t="s">
        <v>4379</v>
      </c>
      <c r="B794" s="164">
        <v>45819</v>
      </c>
      <c r="C794" s="34" t="s">
        <v>686</v>
      </c>
      <c r="D794" s="53" t="str">
        <f>VLOOKUP(Sales[[#This Row],[Customer ID]],Customer[#All],2,0)</f>
        <v>Priya Gupta</v>
      </c>
      <c r="E794" s="34" t="s">
        <v>402</v>
      </c>
      <c r="F794" s="34" t="str">
        <f>VLOOKUP(Sales[[#This Row],[Product ID]],Product[#All],2,0)</f>
        <v>Logitech Keyboard</v>
      </c>
      <c r="G794" s="53">
        <v>3</v>
      </c>
      <c r="H794" s="165">
        <f>VLOOKUP(Sales[[#This Row],[Product ID]],Product[#All],7,0)</f>
        <v>3500</v>
      </c>
      <c r="I794" s="165">
        <f>Sales[[#This Row],[Selling Rate]]*Sales[[#This Row],[Qty]]</f>
        <v>10500</v>
      </c>
      <c r="J794" s="45">
        <v>0.1</v>
      </c>
      <c r="K794" s="46">
        <f>Sales[[#This Row],[Gross Amount]]*Sales[[#This Row],[Disc %]]</f>
        <v>1050</v>
      </c>
      <c r="L794" s="43">
        <v>0.18</v>
      </c>
      <c r="M794" s="46">
        <f>(Sales[[#This Row],[Gross Amount]]-Sales[[#This Row],[Disc. Amt.]])*Sales[[#This Row],[GST %]]</f>
        <v>1701</v>
      </c>
      <c r="N794" s="161">
        <f>Sales[[#This Row],[Gross Amount]]-Sales[[#This Row],[Disc. Amt.]]+Sales[[#This Row],[GST Amount]]</f>
        <v>11151</v>
      </c>
      <c r="O794" s="34" t="s">
        <v>8876</v>
      </c>
      <c r="P794" s="34" t="s">
        <v>3562</v>
      </c>
      <c r="Q794" s="165">
        <f>IF(Sales[[#This Row],[Status]]="Cancelled",0,Sales[[#This Row],[Qty]])</f>
        <v>3</v>
      </c>
      <c r="R794" s="166">
        <f>IF(Sales[[#This Row],[Status]]="Cancelled",0,Sales[[#This Row],[Total Amount]])</f>
        <v>11151</v>
      </c>
      <c r="S794" s="162">
        <f>SUM(Sales[Net Amount])</f>
        <v>406839287.73200053</v>
      </c>
    </row>
    <row r="795" spans="1:19" ht="18.75" x14ac:dyDescent="0.25">
      <c r="A795" s="156" t="s">
        <v>4380</v>
      </c>
      <c r="B795" s="157">
        <v>45819</v>
      </c>
      <c r="C795" s="158" t="s">
        <v>672</v>
      </c>
      <c r="D795" s="159" t="str">
        <f>VLOOKUP(Sales[[#This Row],[Customer ID]],Customer[#All],2,0)</f>
        <v>Rahul Patel</v>
      </c>
      <c r="E795" s="158" t="s">
        <v>190</v>
      </c>
      <c r="F795" s="158" t="str">
        <f>VLOOKUP(Sales[[#This Row],[Product ID]],Product[#All],2,0)</f>
        <v>Samsung Monitor</v>
      </c>
      <c r="G795" s="159">
        <v>5</v>
      </c>
      <c r="H795" s="160">
        <f>VLOOKUP(Sales[[#This Row],[Product ID]],Product[#All],7,0)</f>
        <v>18190</v>
      </c>
      <c r="I795" s="160">
        <f>Sales[[#This Row],[Selling Rate]]*Sales[[#This Row],[Qty]]</f>
        <v>90950</v>
      </c>
      <c r="J795" s="43">
        <v>0</v>
      </c>
      <c r="K795" s="44">
        <f>Sales[[#This Row],[Gross Amount]]*Sales[[#This Row],[Disc %]]</f>
        <v>0</v>
      </c>
      <c r="L795" s="43">
        <v>0.18</v>
      </c>
      <c r="M795" s="44">
        <f>(Sales[[#This Row],[Gross Amount]]-Sales[[#This Row],[Disc. Amt.]])*Sales[[#This Row],[GST %]]</f>
        <v>16371</v>
      </c>
      <c r="N795" s="161">
        <f>Sales[[#This Row],[Gross Amount]]-Sales[[#This Row],[Disc. Amt.]]+Sales[[#This Row],[GST Amount]]</f>
        <v>107321</v>
      </c>
      <c r="O795" s="158" t="s">
        <v>3566</v>
      </c>
      <c r="P795" s="158" t="s">
        <v>3562</v>
      </c>
      <c r="Q795" s="160">
        <f>IF(Sales[[#This Row],[Status]]="Cancelled",0,Sales[[#This Row],[Qty]])</f>
        <v>5</v>
      </c>
      <c r="R795" s="161">
        <f>IF(Sales[[#This Row],[Status]]="Cancelled",0,Sales[[#This Row],[Total Amount]])</f>
        <v>107321</v>
      </c>
      <c r="S795" s="162">
        <f>SUM(Sales[Net Amount])</f>
        <v>406839287.73200053</v>
      </c>
    </row>
    <row r="796" spans="1:19" ht="18.75" x14ac:dyDescent="0.25">
      <c r="A796" s="163" t="s">
        <v>4381</v>
      </c>
      <c r="B796" s="164">
        <v>45819</v>
      </c>
      <c r="C796" s="34" t="s">
        <v>897</v>
      </c>
      <c r="D796" s="53" t="str">
        <f>VLOOKUP(Sales[[#This Row],[Customer ID]],Customer[#All],2,0)</f>
        <v>Amit Patel</v>
      </c>
      <c r="E796" s="34" t="s">
        <v>269</v>
      </c>
      <c r="F796" s="34" t="str">
        <f>VLOOKUP(Sales[[#This Row],[Product ID]],Product[#All],2,0)</f>
        <v>Dell Monitor</v>
      </c>
      <c r="G796" s="53">
        <v>1</v>
      </c>
      <c r="H796" s="165">
        <f>VLOOKUP(Sales[[#This Row],[Product ID]],Product[#All],7,0)</f>
        <v>11390</v>
      </c>
      <c r="I796" s="165">
        <f>Sales[[#This Row],[Selling Rate]]*Sales[[#This Row],[Qty]]</f>
        <v>11390</v>
      </c>
      <c r="J796" s="45">
        <v>0.05</v>
      </c>
      <c r="K796" s="46">
        <f>Sales[[#This Row],[Gross Amount]]*Sales[[#This Row],[Disc %]]</f>
        <v>569.5</v>
      </c>
      <c r="L796" s="43">
        <v>0.18</v>
      </c>
      <c r="M796" s="46">
        <f>(Sales[[#This Row],[Gross Amount]]-Sales[[#This Row],[Disc. Amt.]])*Sales[[#This Row],[GST %]]</f>
        <v>1947.6899999999998</v>
      </c>
      <c r="N796" s="161">
        <f>Sales[[#This Row],[Gross Amount]]-Sales[[#This Row],[Disc. Amt.]]+Sales[[#This Row],[GST Amount]]</f>
        <v>12768.19</v>
      </c>
      <c r="O796" s="34" t="s">
        <v>3569</v>
      </c>
      <c r="P796" s="34" t="s">
        <v>3562</v>
      </c>
      <c r="Q796" s="165">
        <f>IF(Sales[[#This Row],[Status]]="Cancelled",0,Sales[[#This Row],[Qty]])</f>
        <v>1</v>
      </c>
      <c r="R796" s="166">
        <f>IF(Sales[[#This Row],[Status]]="Cancelled",0,Sales[[#This Row],[Total Amount]])</f>
        <v>12768.19</v>
      </c>
      <c r="S796" s="162">
        <f>SUM(Sales[Net Amount])</f>
        <v>406839287.73200053</v>
      </c>
    </row>
    <row r="797" spans="1:19" ht="18.75" x14ac:dyDescent="0.25">
      <c r="A797" s="156" t="s">
        <v>4382</v>
      </c>
      <c r="B797" s="157">
        <v>45819</v>
      </c>
      <c r="C797" s="158" t="s">
        <v>728</v>
      </c>
      <c r="D797" s="159" t="str">
        <f>VLOOKUP(Sales[[#This Row],[Customer ID]],Customer[#All],2,0)</f>
        <v>Rahul Gupta</v>
      </c>
      <c r="E797" s="158" t="s">
        <v>82</v>
      </c>
      <c r="F797" s="158" t="str">
        <f>VLOOKUP(Sales[[#This Row],[Product ID]],Product[#All],2,0)</f>
        <v>American TouristerLaptopBag</v>
      </c>
      <c r="G797" s="159">
        <v>6</v>
      </c>
      <c r="H797" s="160">
        <f>VLOOKUP(Sales[[#This Row],[Product ID]],Product[#All],7,0)</f>
        <v>5480</v>
      </c>
      <c r="I797" s="160">
        <f>Sales[[#This Row],[Selling Rate]]*Sales[[#This Row],[Qty]]</f>
        <v>32880</v>
      </c>
      <c r="J797" s="43">
        <v>0.02</v>
      </c>
      <c r="K797" s="44">
        <f>Sales[[#This Row],[Gross Amount]]*Sales[[#This Row],[Disc %]]</f>
        <v>657.6</v>
      </c>
      <c r="L797" s="43">
        <v>0.18</v>
      </c>
      <c r="M797" s="44">
        <f>(Sales[[#This Row],[Gross Amount]]-Sales[[#This Row],[Disc. Amt.]])*Sales[[#This Row],[GST %]]</f>
        <v>5800.0320000000002</v>
      </c>
      <c r="N797" s="161">
        <f>Sales[[#This Row],[Gross Amount]]-Sales[[#This Row],[Disc. Amt.]]+Sales[[#This Row],[GST Amount]]</f>
        <v>38022.432000000001</v>
      </c>
      <c r="O797" s="158" t="s">
        <v>3561</v>
      </c>
      <c r="P797" s="158" t="s">
        <v>3562</v>
      </c>
      <c r="Q797" s="160">
        <f>IF(Sales[[#This Row],[Status]]="Cancelled",0,Sales[[#This Row],[Qty]])</f>
        <v>6</v>
      </c>
      <c r="R797" s="161">
        <f>IF(Sales[[#This Row],[Status]]="Cancelled",0,Sales[[#This Row],[Total Amount]])</f>
        <v>38022.432000000001</v>
      </c>
      <c r="S797" s="162">
        <f>SUM(Sales[Net Amount])</f>
        <v>406839287.73200053</v>
      </c>
    </row>
    <row r="798" spans="1:19" ht="18.75" x14ac:dyDescent="0.25">
      <c r="A798" s="163" t="s">
        <v>4383</v>
      </c>
      <c r="B798" s="164">
        <v>45819</v>
      </c>
      <c r="C798" s="34" t="s">
        <v>772</v>
      </c>
      <c r="D798" s="53" t="str">
        <f>VLOOKUP(Sales[[#This Row],[Customer ID]],Customer[#All],2,0)</f>
        <v>Rahul Patel</v>
      </c>
      <c r="E798" s="34" t="s">
        <v>546</v>
      </c>
      <c r="F798" s="34" t="str">
        <f>VLOOKUP(Sales[[#This Row],[Product ID]],Product[#All],2,0)</f>
        <v>Crucial Ssd</v>
      </c>
      <c r="G798" s="53">
        <v>1</v>
      </c>
      <c r="H798" s="165">
        <f>VLOOKUP(Sales[[#This Row],[Product ID]],Product[#All],7,0)</f>
        <v>14200</v>
      </c>
      <c r="I798" s="165">
        <f>Sales[[#This Row],[Selling Rate]]*Sales[[#This Row],[Qty]]</f>
        <v>14200</v>
      </c>
      <c r="J798" s="45">
        <v>0.12</v>
      </c>
      <c r="K798" s="46">
        <f>Sales[[#This Row],[Gross Amount]]*Sales[[#This Row],[Disc %]]</f>
        <v>1704</v>
      </c>
      <c r="L798" s="43">
        <v>0.18</v>
      </c>
      <c r="M798" s="46">
        <f>(Sales[[#This Row],[Gross Amount]]-Sales[[#This Row],[Disc. Amt.]])*Sales[[#This Row],[GST %]]</f>
        <v>2249.2799999999997</v>
      </c>
      <c r="N798" s="161">
        <f>Sales[[#This Row],[Gross Amount]]-Sales[[#This Row],[Disc. Amt.]]+Sales[[#This Row],[GST Amount]]</f>
        <v>14745.279999999999</v>
      </c>
      <c r="O798" s="34" t="s">
        <v>3561</v>
      </c>
      <c r="P798" s="34" t="s">
        <v>3562</v>
      </c>
      <c r="Q798" s="165">
        <f>IF(Sales[[#This Row],[Status]]="Cancelled",0,Sales[[#This Row],[Qty]])</f>
        <v>1</v>
      </c>
      <c r="R798" s="166">
        <f>IF(Sales[[#This Row],[Status]]="Cancelled",0,Sales[[#This Row],[Total Amount]])</f>
        <v>14745.279999999999</v>
      </c>
      <c r="S798" s="162">
        <f>SUM(Sales[Net Amount])</f>
        <v>406839287.73200053</v>
      </c>
    </row>
    <row r="799" spans="1:19" ht="18.75" x14ac:dyDescent="0.25">
      <c r="A799" s="156" t="s">
        <v>4384</v>
      </c>
      <c r="B799" s="157">
        <v>45819</v>
      </c>
      <c r="C799" s="158" t="s">
        <v>917</v>
      </c>
      <c r="D799" s="159" t="str">
        <f>VLOOKUP(Sales[[#This Row],[Customer ID]],Customer[#All],2,0)</f>
        <v>Sahil Gupta</v>
      </c>
      <c r="E799" s="158" t="s">
        <v>47</v>
      </c>
      <c r="F799" s="158" t="str">
        <f>VLOOKUP(Sales[[#This Row],[Product ID]],Product[#All],2,0)</f>
        <v>Logitech Keyboard</v>
      </c>
      <c r="G799" s="159">
        <v>4</v>
      </c>
      <c r="H799" s="160">
        <f>VLOOKUP(Sales[[#This Row],[Product ID]],Product[#All],7,0)</f>
        <v>930</v>
      </c>
      <c r="I799" s="160">
        <f>Sales[[#This Row],[Selling Rate]]*Sales[[#This Row],[Qty]]</f>
        <v>3720</v>
      </c>
      <c r="J799" s="43">
        <v>0.1</v>
      </c>
      <c r="K799" s="44">
        <f>Sales[[#This Row],[Gross Amount]]*Sales[[#This Row],[Disc %]]</f>
        <v>372</v>
      </c>
      <c r="L799" s="43">
        <v>0.18</v>
      </c>
      <c r="M799" s="44">
        <f>(Sales[[#This Row],[Gross Amount]]-Sales[[#This Row],[Disc. Amt.]])*Sales[[#This Row],[GST %]]</f>
        <v>602.64</v>
      </c>
      <c r="N799" s="161">
        <f>Sales[[#This Row],[Gross Amount]]-Sales[[#This Row],[Disc. Amt.]]+Sales[[#This Row],[GST Amount]]</f>
        <v>3950.64</v>
      </c>
      <c r="O799" s="158" t="s">
        <v>3569</v>
      </c>
      <c r="P799" s="158" t="s">
        <v>3562</v>
      </c>
      <c r="Q799" s="160">
        <f>IF(Sales[[#This Row],[Status]]="Cancelled",0,Sales[[#This Row],[Qty]])</f>
        <v>4</v>
      </c>
      <c r="R799" s="161">
        <f>IF(Sales[[#This Row],[Status]]="Cancelled",0,Sales[[#This Row],[Total Amount]])</f>
        <v>3950.64</v>
      </c>
      <c r="S799" s="162">
        <f>SUM(Sales[Net Amount])</f>
        <v>406839287.73200053</v>
      </c>
    </row>
    <row r="800" spans="1:19" ht="18.75" x14ac:dyDescent="0.25">
      <c r="A800" s="163" t="s">
        <v>4385</v>
      </c>
      <c r="B800" s="164">
        <v>45819</v>
      </c>
      <c r="C800" s="34" t="s">
        <v>920</v>
      </c>
      <c r="D800" s="53" t="str">
        <f>VLOOKUP(Sales[[#This Row],[Customer ID]],Customer[#All],2,0)</f>
        <v>Rakesh Sharma</v>
      </c>
      <c r="E800" s="34" t="s">
        <v>428</v>
      </c>
      <c r="F800" s="34" t="str">
        <f>VLOOKUP(Sales[[#This Row],[Product ID]],Product[#All],2,0)</f>
        <v>Microtek UPS</v>
      </c>
      <c r="G800" s="53">
        <v>3</v>
      </c>
      <c r="H800" s="165">
        <f>VLOOKUP(Sales[[#This Row],[Product ID]],Product[#All],7,0)</f>
        <v>8450</v>
      </c>
      <c r="I800" s="165">
        <f>Sales[[#This Row],[Selling Rate]]*Sales[[#This Row],[Qty]]</f>
        <v>25350</v>
      </c>
      <c r="J800" s="45">
        <v>0.12</v>
      </c>
      <c r="K800" s="46">
        <f>Sales[[#This Row],[Gross Amount]]*Sales[[#This Row],[Disc %]]</f>
        <v>3042</v>
      </c>
      <c r="L800" s="43">
        <v>0.18</v>
      </c>
      <c r="M800" s="46">
        <f>(Sales[[#This Row],[Gross Amount]]-Sales[[#This Row],[Disc. Amt.]])*Sales[[#This Row],[GST %]]</f>
        <v>4015.44</v>
      </c>
      <c r="N800" s="161">
        <f>Sales[[#This Row],[Gross Amount]]-Sales[[#This Row],[Disc. Amt.]]+Sales[[#This Row],[GST Amount]]</f>
        <v>26323.439999999999</v>
      </c>
      <c r="O800" s="34" t="s">
        <v>8876</v>
      </c>
      <c r="P800" s="34" t="s">
        <v>3562</v>
      </c>
      <c r="Q800" s="165">
        <f>IF(Sales[[#This Row],[Status]]="Cancelled",0,Sales[[#This Row],[Qty]])</f>
        <v>3</v>
      </c>
      <c r="R800" s="166">
        <f>IF(Sales[[#This Row],[Status]]="Cancelled",0,Sales[[#This Row],[Total Amount]])</f>
        <v>26323.439999999999</v>
      </c>
      <c r="S800" s="162">
        <f>SUM(Sales[Net Amount])</f>
        <v>406839287.73200053</v>
      </c>
    </row>
    <row r="801" spans="1:19" ht="18.75" x14ac:dyDescent="0.25">
      <c r="A801" s="156" t="s">
        <v>4386</v>
      </c>
      <c r="B801" s="157">
        <v>45819</v>
      </c>
      <c r="C801" s="158" t="s">
        <v>744</v>
      </c>
      <c r="D801" s="159" t="str">
        <f>VLOOKUP(Sales[[#This Row],[Customer ID]],Customer[#All],2,0)</f>
        <v>Rakesh Patel</v>
      </c>
      <c r="E801" s="158" t="s">
        <v>92</v>
      </c>
      <c r="F801" s="158" t="str">
        <f>VLOOKUP(Sales[[#This Row],[Product ID]],Product[#All],2,0)</f>
        <v>Jbl Headset</v>
      </c>
      <c r="G801" s="159">
        <v>2</v>
      </c>
      <c r="H801" s="160">
        <f>VLOOKUP(Sales[[#This Row],[Product ID]],Product[#All],7,0)</f>
        <v>6180</v>
      </c>
      <c r="I801" s="160">
        <f>Sales[[#This Row],[Selling Rate]]*Sales[[#This Row],[Qty]]</f>
        <v>12360</v>
      </c>
      <c r="J801" s="43">
        <v>0.1</v>
      </c>
      <c r="K801" s="44">
        <f>Sales[[#This Row],[Gross Amount]]*Sales[[#This Row],[Disc %]]</f>
        <v>1236</v>
      </c>
      <c r="L801" s="43">
        <v>0.18</v>
      </c>
      <c r="M801" s="44">
        <f>(Sales[[#This Row],[Gross Amount]]-Sales[[#This Row],[Disc. Amt.]])*Sales[[#This Row],[GST %]]</f>
        <v>2002.32</v>
      </c>
      <c r="N801" s="161">
        <f>Sales[[#This Row],[Gross Amount]]-Sales[[#This Row],[Disc. Amt.]]+Sales[[#This Row],[GST Amount]]</f>
        <v>13126.32</v>
      </c>
      <c r="O801" s="158" t="s">
        <v>3566</v>
      </c>
      <c r="P801" s="158" t="s">
        <v>3562</v>
      </c>
      <c r="Q801" s="160">
        <f>IF(Sales[[#This Row],[Status]]="Cancelled",0,Sales[[#This Row],[Qty]])</f>
        <v>2</v>
      </c>
      <c r="R801" s="161">
        <f>IF(Sales[[#This Row],[Status]]="Cancelled",0,Sales[[#This Row],[Total Amount]])</f>
        <v>13126.32</v>
      </c>
      <c r="S801" s="162">
        <f>SUM(Sales[Net Amount])</f>
        <v>406839287.73200053</v>
      </c>
    </row>
    <row r="802" spans="1:19" ht="18.75" x14ac:dyDescent="0.25">
      <c r="A802" s="163" t="s">
        <v>4387</v>
      </c>
      <c r="B802" s="164">
        <v>45819</v>
      </c>
      <c r="C802" s="34" t="s">
        <v>828</v>
      </c>
      <c r="D802" s="53" t="str">
        <f>VLOOKUP(Sales[[#This Row],[Customer ID]],Customer[#All],2,0)</f>
        <v>Ankit Verma</v>
      </c>
      <c r="E802" s="34" t="s">
        <v>502</v>
      </c>
      <c r="F802" s="34" t="str">
        <f>VLOOKUP(Sales[[#This Row],[Product ID]],Product[#All],2,0)</f>
        <v>HP Printer</v>
      </c>
      <c r="G802" s="53">
        <v>2</v>
      </c>
      <c r="H802" s="165">
        <f>VLOOKUP(Sales[[#This Row],[Product ID]],Product[#All],7,0)</f>
        <v>32100</v>
      </c>
      <c r="I802" s="165">
        <f>Sales[[#This Row],[Selling Rate]]*Sales[[#This Row],[Qty]]</f>
        <v>64200</v>
      </c>
      <c r="J802" s="45">
        <v>0</v>
      </c>
      <c r="K802" s="46">
        <f>Sales[[#This Row],[Gross Amount]]*Sales[[#This Row],[Disc %]]</f>
        <v>0</v>
      </c>
      <c r="L802" s="43">
        <v>0.18</v>
      </c>
      <c r="M802" s="46">
        <f>(Sales[[#This Row],[Gross Amount]]-Sales[[#This Row],[Disc. Amt.]])*Sales[[#This Row],[GST %]]</f>
        <v>11556</v>
      </c>
      <c r="N802" s="161">
        <f>Sales[[#This Row],[Gross Amount]]-Sales[[#This Row],[Disc. Amt.]]+Sales[[#This Row],[GST Amount]]</f>
        <v>75756</v>
      </c>
      <c r="O802" s="34" t="s">
        <v>3566</v>
      </c>
      <c r="P802" s="34" t="s">
        <v>3562</v>
      </c>
      <c r="Q802" s="165">
        <f>IF(Sales[[#This Row],[Status]]="Cancelled",0,Sales[[#This Row],[Qty]])</f>
        <v>2</v>
      </c>
      <c r="R802" s="166">
        <f>IF(Sales[[#This Row],[Status]]="Cancelled",0,Sales[[#This Row],[Total Amount]])</f>
        <v>75756</v>
      </c>
      <c r="S802" s="162">
        <f>SUM(Sales[Net Amount])</f>
        <v>406839287.73200053</v>
      </c>
    </row>
    <row r="803" spans="1:19" ht="18.75" x14ac:dyDescent="0.25">
      <c r="A803" s="156" t="s">
        <v>4388</v>
      </c>
      <c r="B803" s="157">
        <v>45820</v>
      </c>
      <c r="C803" s="158" t="s">
        <v>931</v>
      </c>
      <c r="D803" s="159" t="str">
        <f>VLOOKUP(Sales[[#This Row],[Customer ID]],Customer[#All],2,0)</f>
        <v>Sahil Patel</v>
      </c>
      <c r="E803" s="158" t="s">
        <v>211</v>
      </c>
      <c r="F803" s="158" t="str">
        <f>VLOOKUP(Sales[[#This Row],[Product ID]],Product[#All],2,0)</f>
        <v>Samsung Ssd</v>
      </c>
      <c r="G803" s="159">
        <v>3</v>
      </c>
      <c r="H803" s="160">
        <f>VLOOKUP(Sales[[#This Row],[Product ID]],Product[#All],7,0)</f>
        <v>16100</v>
      </c>
      <c r="I803" s="160">
        <f>Sales[[#This Row],[Selling Rate]]*Sales[[#This Row],[Qty]]</f>
        <v>48300</v>
      </c>
      <c r="J803" s="43">
        <v>0.12</v>
      </c>
      <c r="K803" s="44">
        <f>Sales[[#This Row],[Gross Amount]]*Sales[[#This Row],[Disc %]]</f>
        <v>5796</v>
      </c>
      <c r="L803" s="43">
        <v>0.18</v>
      </c>
      <c r="M803" s="44">
        <f>(Sales[[#This Row],[Gross Amount]]-Sales[[#This Row],[Disc. Amt.]])*Sales[[#This Row],[GST %]]</f>
        <v>7650.7199999999993</v>
      </c>
      <c r="N803" s="161">
        <f>Sales[[#This Row],[Gross Amount]]-Sales[[#This Row],[Disc. Amt.]]+Sales[[#This Row],[GST Amount]]</f>
        <v>50154.720000000001</v>
      </c>
      <c r="O803" s="158" t="s">
        <v>3561</v>
      </c>
      <c r="P803" s="158" t="s">
        <v>3562</v>
      </c>
      <c r="Q803" s="160">
        <f>IF(Sales[[#This Row],[Status]]="Cancelled",0,Sales[[#This Row],[Qty]])</f>
        <v>3</v>
      </c>
      <c r="R803" s="161">
        <f>IF(Sales[[#This Row],[Status]]="Cancelled",0,Sales[[#This Row],[Total Amount]])</f>
        <v>50154.720000000001</v>
      </c>
      <c r="S803" s="162">
        <f>SUM(Sales[Net Amount])</f>
        <v>406839287.73200053</v>
      </c>
    </row>
    <row r="804" spans="1:19" ht="18.75" x14ac:dyDescent="0.25">
      <c r="A804" s="163" t="s">
        <v>4389</v>
      </c>
      <c r="B804" s="164">
        <v>45820</v>
      </c>
      <c r="C804" s="34" t="s">
        <v>652</v>
      </c>
      <c r="D804" s="53" t="str">
        <f>VLOOKUP(Sales[[#This Row],[Customer ID]],Customer[#All],2,0)</f>
        <v>Sahil Kumar</v>
      </c>
      <c r="E804" s="34" t="s">
        <v>484</v>
      </c>
      <c r="F804" s="34" t="str">
        <f>VLOOKUP(Sales[[#This Row],[Product ID]],Product[#All],2,0)</f>
        <v>Dell Desktop</v>
      </c>
      <c r="G804" s="53">
        <v>5</v>
      </c>
      <c r="H804" s="165">
        <f>VLOOKUP(Sales[[#This Row],[Product ID]],Product[#All],7,0)</f>
        <v>68710</v>
      </c>
      <c r="I804" s="165">
        <f>Sales[[#This Row],[Selling Rate]]*Sales[[#This Row],[Qty]]</f>
        <v>343550</v>
      </c>
      <c r="J804" s="45">
        <v>0.1</v>
      </c>
      <c r="K804" s="46">
        <f>Sales[[#This Row],[Gross Amount]]*Sales[[#This Row],[Disc %]]</f>
        <v>34355</v>
      </c>
      <c r="L804" s="43">
        <v>0.18</v>
      </c>
      <c r="M804" s="46">
        <f>(Sales[[#This Row],[Gross Amount]]-Sales[[#This Row],[Disc. Amt.]])*Sales[[#This Row],[GST %]]</f>
        <v>55655.1</v>
      </c>
      <c r="N804" s="161">
        <f>Sales[[#This Row],[Gross Amount]]-Sales[[#This Row],[Disc. Amt.]]+Sales[[#This Row],[GST Amount]]</f>
        <v>364850.1</v>
      </c>
      <c r="O804" s="34" t="s">
        <v>8876</v>
      </c>
      <c r="P804" s="34" t="s">
        <v>3562</v>
      </c>
      <c r="Q804" s="165">
        <f>IF(Sales[[#This Row],[Status]]="Cancelled",0,Sales[[#This Row],[Qty]])</f>
        <v>5</v>
      </c>
      <c r="R804" s="166">
        <f>IF(Sales[[#This Row],[Status]]="Cancelled",0,Sales[[#This Row],[Total Amount]])</f>
        <v>364850.1</v>
      </c>
      <c r="S804" s="162">
        <f>SUM(Sales[Net Amount])</f>
        <v>406839287.73200053</v>
      </c>
    </row>
    <row r="805" spans="1:19" ht="18.75" x14ac:dyDescent="0.25">
      <c r="A805" s="156" t="s">
        <v>4390</v>
      </c>
      <c r="B805" s="157">
        <v>45820</v>
      </c>
      <c r="C805" s="158" t="s">
        <v>756</v>
      </c>
      <c r="D805" s="159" t="str">
        <f>VLOOKUP(Sales[[#This Row],[Customer ID]],Customer[#All],2,0)</f>
        <v>Amit Patel</v>
      </c>
      <c r="E805" s="158" t="s">
        <v>214</v>
      </c>
      <c r="F805" s="158" t="str">
        <f>VLOOKUP(Sales[[#This Row],[Product ID]],Product[#All],2,0)</f>
        <v>Microtek UPS</v>
      </c>
      <c r="G805" s="159">
        <v>3</v>
      </c>
      <c r="H805" s="160">
        <f>VLOOKUP(Sales[[#This Row],[Product ID]],Product[#All],7,0)</f>
        <v>10710</v>
      </c>
      <c r="I805" s="160">
        <f>Sales[[#This Row],[Selling Rate]]*Sales[[#This Row],[Qty]]</f>
        <v>32130</v>
      </c>
      <c r="J805" s="43">
        <v>0.15</v>
      </c>
      <c r="K805" s="44">
        <f>Sales[[#This Row],[Gross Amount]]*Sales[[#This Row],[Disc %]]</f>
        <v>4819.5</v>
      </c>
      <c r="L805" s="43">
        <v>0.18</v>
      </c>
      <c r="M805" s="44">
        <f>(Sales[[#This Row],[Gross Amount]]-Sales[[#This Row],[Disc. Amt.]])*Sales[[#This Row],[GST %]]</f>
        <v>4915.8899999999994</v>
      </c>
      <c r="N805" s="161">
        <f>Sales[[#This Row],[Gross Amount]]-Sales[[#This Row],[Disc. Amt.]]+Sales[[#This Row],[GST Amount]]</f>
        <v>32226.39</v>
      </c>
      <c r="O805" s="158" t="s">
        <v>3566</v>
      </c>
      <c r="P805" s="158" t="s">
        <v>3562</v>
      </c>
      <c r="Q805" s="160">
        <f>IF(Sales[[#This Row],[Status]]="Cancelled",0,Sales[[#This Row],[Qty]])</f>
        <v>3</v>
      </c>
      <c r="R805" s="161">
        <f>IF(Sales[[#This Row],[Status]]="Cancelled",0,Sales[[#This Row],[Total Amount]])</f>
        <v>32226.39</v>
      </c>
      <c r="S805" s="162">
        <f>SUM(Sales[Net Amount])</f>
        <v>406839287.73200053</v>
      </c>
    </row>
    <row r="806" spans="1:19" ht="18.75" x14ac:dyDescent="0.25">
      <c r="A806" s="163" t="s">
        <v>4391</v>
      </c>
      <c r="B806" s="164">
        <v>45820</v>
      </c>
      <c r="C806" s="34" t="s">
        <v>801</v>
      </c>
      <c r="D806" s="53" t="str">
        <f>VLOOKUP(Sales[[#This Row],[Customer ID]],Customer[#All],2,0)</f>
        <v>Sunita Verma</v>
      </c>
      <c r="E806" s="34" t="s">
        <v>375</v>
      </c>
      <c r="F806" s="34" t="str">
        <f>VLOOKUP(Sales[[#This Row],[Product ID]],Product[#All],2,0)</f>
        <v>American TouristerLaptopBag</v>
      </c>
      <c r="G806" s="53">
        <v>3</v>
      </c>
      <c r="H806" s="165">
        <f>VLOOKUP(Sales[[#This Row],[Product ID]],Product[#All],7,0)</f>
        <v>4990</v>
      </c>
      <c r="I806" s="165">
        <f>Sales[[#This Row],[Selling Rate]]*Sales[[#This Row],[Qty]]</f>
        <v>14970</v>
      </c>
      <c r="J806" s="45">
        <v>0.15</v>
      </c>
      <c r="K806" s="46">
        <f>Sales[[#This Row],[Gross Amount]]*Sales[[#This Row],[Disc %]]</f>
        <v>2245.5</v>
      </c>
      <c r="L806" s="43">
        <v>0.18</v>
      </c>
      <c r="M806" s="46">
        <f>(Sales[[#This Row],[Gross Amount]]-Sales[[#This Row],[Disc. Amt.]])*Sales[[#This Row],[GST %]]</f>
        <v>2290.41</v>
      </c>
      <c r="N806" s="161">
        <f>Sales[[#This Row],[Gross Amount]]-Sales[[#This Row],[Disc. Amt.]]+Sales[[#This Row],[GST Amount]]</f>
        <v>15014.91</v>
      </c>
      <c r="O806" s="34" t="s">
        <v>3569</v>
      </c>
      <c r="P806" s="34" t="s">
        <v>3562</v>
      </c>
      <c r="Q806" s="165">
        <f>IF(Sales[[#This Row],[Status]]="Cancelled",0,Sales[[#This Row],[Qty]])</f>
        <v>3</v>
      </c>
      <c r="R806" s="166">
        <f>IF(Sales[[#This Row],[Status]]="Cancelled",0,Sales[[#This Row],[Total Amount]])</f>
        <v>15014.91</v>
      </c>
      <c r="S806" s="162">
        <f>SUM(Sales[Net Amount])</f>
        <v>406839287.73200053</v>
      </c>
    </row>
    <row r="807" spans="1:19" ht="18.75" x14ac:dyDescent="0.25">
      <c r="A807" s="156" t="s">
        <v>4392</v>
      </c>
      <c r="B807" s="157">
        <v>45820</v>
      </c>
      <c r="C807" s="158" t="s">
        <v>937</v>
      </c>
      <c r="D807" s="159" t="str">
        <f>VLOOKUP(Sales[[#This Row],[Customer ID]],Customer[#All],2,0)</f>
        <v>Rahul Singh</v>
      </c>
      <c r="E807" s="158" t="s">
        <v>161</v>
      </c>
      <c r="F807" s="158" t="str">
        <f>VLOOKUP(Sales[[#This Row],[Product ID]],Product[#All],2,0)</f>
        <v>TP-link Router</v>
      </c>
      <c r="G807" s="159">
        <v>5</v>
      </c>
      <c r="H807" s="160">
        <f>VLOOKUP(Sales[[#This Row],[Product ID]],Product[#All],7,0)</f>
        <v>1330</v>
      </c>
      <c r="I807" s="160">
        <f>Sales[[#This Row],[Selling Rate]]*Sales[[#This Row],[Qty]]</f>
        <v>6650</v>
      </c>
      <c r="J807" s="43">
        <v>0.15</v>
      </c>
      <c r="K807" s="44">
        <f>Sales[[#This Row],[Gross Amount]]*Sales[[#This Row],[Disc %]]</f>
        <v>997.5</v>
      </c>
      <c r="L807" s="43">
        <v>0.18</v>
      </c>
      <c r="M807" s="44">
        <f>(Sales[[#This Row],[Gross Amount]]-Sales[[#This Row],[Disc. Amt.]])*Sales[[#This Row],[GST %]]</f>
        <v>1017.4499999999999</v>
      </c>
      <c r="N807" s="161">
        <f>Sales[[#This Row],[Gross Amount]]-Sales[[#This Row],[Disc. Amt.]]+Sales[[#This Row],[GST Amount]]</f>
        <v>6669.95</v>
      </c>
      <c r="O807" s="158" t="s">
        <v>8876</v>
      </c>
      <c r="P807" s="158" t="s">
        <v>3562</v>
      </c>
      <c r="Q807" s="160">
        <f>IF(Sales[[#This Row],[Status]]="Cancelled",0,Sales[[#This Row],[Qty]])</f>
        <v>5</v>
      </c>
      <c r="R807" s="161">
        <f>IF(Sales[[#This Row],[Status]]="Cancelled",0,Sales[[#This Row],[Total Amount]])</f>
        <v>6669.95</v>
      </c>
      <c r="S807" s="162">
        <f>SUM(Sales[Net Amount])</f>
        <v>406839287.73200053</v>
      </c>
    </row>
    <row r="808" spans="1:19" ht="18.75" x14ac:dyDescent="0.25">
      <c r="A808" s="163" t="s">
        <v>4393</v>
      </c>
      <c r="B808" s="164">
        <v>45820</v>
      </c>
      <c r="C808" s="34" t="s">
        <v>912</v>
      </c>
      <c r="D808" s="53" t="str">
        <f>VLOOKUP(Sales[[#This Row],[Customer ID]],Customer[#All],2,0)</f>
        <v>Sunita Verma</v>
      </c>
      <c r="E808" s="34" t="s">
        <v>554</v>
      </c>
      <c r="F808" s="34" t="str">
        <f>VLOOKUP(Sales[[#This Row],[Product ID]],Product[#All],2,0)</f>
        <v>TP-link Router</v>
      </c>
      <c r="G808" s="53">
        <v>8</v>
      </c>
      <c r="H808" s="165">
        <f>VLOOKUP(Sales[[#This Row],[Product ID]],Product[#All],7,0)</f>
        <v>6320</v>
      </c>
      <c r="I808" s="165">
        <f>Sales[[#This Row],[Selling Rate]]*Sales[[#This Row],[Qty]]</f>
        <v>50560</v>
      </c>
      <c r="J808" s="45">
        <v>0</v>
      </c>
      <c r="K808" s="46">
        <f>Sales[[#This Row],[Gross Amount]]*Sales[[#This Row],[Disc %]]</f>
        <v>0</v>
      </c>
      <c r="L808" s="43">
        <v>0.18</v>
      </c>
      <c r="M808" s="46">
        <f>(Sales[[#This Row],[Gross Amount]]-Sales[[#This Row],[Disc. Amt.]])*Sales[[#This Row],[GST %]]</f>
        <v>9100.7999999999993</v>
      </c>
      <c r="N808" s="161">
        <f>Sales[[#This Row],[Gross Amount]]-Sales[[#This Row],[Disc. Amt.]]+Sales[[#This Row],[GST Amount]]</f>
        <v>59660.800000000003</v>
      </c>
      <c r="O808" s="34" t="s">
        <v>3561</v>
      </c>
      <c r="P808" s="34" t="s">
        <v>3562</v>
      </c>
      <c r="Q808" s="165">
        <f>IF(Sales[[#This Row],[Status]]="Cancelled",0,Sales[[#This Row],[Qty]])</f>
        <v>8</v>
      </c>
      <c r="R808" s="166">
        <f>IF(Sales[[#This Row],[Status]]="Cancelled",0,Sales[[#This Row],[Total Amount]])</f>
        <v>59660.800000000003</v>
      </c>
      <c r="S808" s="162">
        <f>SUM(Sales[Net Amount])</f>
        <v>406839287.73200053</v>
      </c>
    </row>
    <row r="809" spans="1:19" ht="18.75" x14ac:dyDescent="0.25">
      <c r="A809" s="156" t="s">
        <v>4394</v>
      </c>
      <c r="B809" s="157">
        <v>45820</v>
      </c>
      <c r="C809" s="158" t="s">
        <v>813</v>
      </c>
      <c r="D809" s="159" t="str">
        <f>VLOOKUP(Sales[[#This Row],[Customer ID]],Customer[#All],2,0)</f>
        <v>Neha Verma</v>
      </c>
      <c r="E809" s="158" t="s">
        <v>107</v>
      </c>
      <c r="F809" s="158" t="str">
        <f>VLOOKUP(Sales[[#This Row],[Product ID]],Product[#All],2,0)</f>
        <v>Samsung Ssd</v>
      </c>
      <c r="G809" s="159">
        <v>4</v>
      </c>
      <c r="H809" s="160">
        <f>VLOOKUP(Sales[[#This Row],[Product ID]],Product[#All],7,0)</f>
        <v>15030</v>
      </c>
      <c r="I809" s="160">
        <f>Sales[[#This Row],[Selling Rate]]*Sales[[#This Row],[Qty]]</f>
        <v>60120</v>
      </c>
      <c r="J809" s="43">
        <v>0.02</v>
      </c>
      <c r="K809" s="44">
        <f>Sales[[#This Row],[Gross Amount]]*Sales[[#This Row],[Disc %]]</f>
        <v>1202.4000000000001</v>
      </c>
      <c r="L809" s="43">
        <v>0.18</v>
      </c>
      <c r="M809" s="44">
        <f>(Sales[[#This Row],[Gross Amount]]-Sales[[#This Row],[Disc. Amt.]])*Sales[[#This Row],[GST %]]</f>
        <v>10605.168</v>
      </c>
      <c r="N809" s="161">
        <f>Sales[[#This Row],[Gross Amount]]-Sales[[#This Row],[Disc. Amt.]]+Sales[[#This Row],[GST Amount]]</f>
        <v>69522.767999999996</v>
      </c>
      <c r="O809" s="158" t="s">
        <v>3561</v>
      </c>
      <c r="P809" s="158" t="s">
        <v>3562</v>
      </c>
      <c r="Q809" s="160">
        <f>IF(Sales[[#This Row],[Status]]="Cancelled",0,Sales[[#This Row],[Qty]])</f>
        <v>4</v>
      </c>
      <c r="R809" s="161">
        <f>IF(Sales[[#This Row],[Status]]="Cancelled",0,Sales[[#This Row],[Total Amount]])</f>
        <v>69522.767999999996</v>
      </c>
      <c r="S809" s="162">
        <f>SUM(Sales[Net Amount])</f>
        <v>406839287.73200053</v>
      </c>
    </row>
    <row r="810" spans="1:19" ht="18.75" x14ac:dyDescent="0.25">
      <c r="A810" s="163" t="s">
        <v>4395</v>
      </c>
      <c r="B810" s="164">
        <v>45820</v>
      </c>
      <c r="C810" s="34" t="s">
        <v>823</v>
      </c>
      <c r="D810" s="53" t="str">
        <f>VLOOKUP(Sales[[#This Row],[Customer ID]],Customer[#All],2,0)</f>
        <v>Pooja Singh</v>
      </c>
      <c r="E810" s="34" t="s">
        <v>531</v>
      </c>
      <c r="F810" s="34" t="str">
        <f>VLOOKUP(Sales[[#This Row],[Product ID]],Product[#All],2,0)</f>
        <v>TP-link Router</v>
      </c>
      <c r="G810" s="53">
        <v>7</v>
      </c>
      <c r="H810" s="165">
        <f>VLOOKUP(Sales[[#This Row],[Product ID]],Product[#All],7,0)</f>
        <v>6730</v>
      </c>
      <c r="I810" s="165">
        <f>Sales[[#This Row],[Selling Rate]]*Sales[[#This Row],[Qty]]</f>
        <v>47110</v>
      </c>
      <c r="J810" s="45">
        <v>0.15</v>
      </c>
      <c r="K810" s="46">
        <f>Sales[[#This Row],[Gross Amount]]*Sales[[#This Row],[Disc %]]</f>
        <v>7066.5</v>
      </c>
      <c r="L810" s="43">
        <v>0.18</v>
      </c>
      <c r="M810" s="46">
        <f>(Sales[[#This Row],[Gross Amount]]-Sales[[#This Row],[Disc. Amt.]])*Sales[[#This Row],[GST %]]</f>
        <v>7207.83</v>
      </c>
      <c r="N810" s="161">
        <f>Sales[[#This Row],[Gross Amount]]-Sales[[#This Row],[Disc. Amt.]]+Sales[[#This Row],[GST Amount]]</f>
        <v>47251.33</v>
      </c>
      <c r="O810" s="34" t="s">
        <v>3566</v>
      </c>
      <c r="P810" s="34" t="s">
        <v>3562</v>
      </c>
      <c r="Q810" s="165">
        <f>IF(Sales[[#This Row],[Status]]="Cancelled",0,Sales[[#This Row],[Qty]])</f>
        <v>7</v>
      </c>
      <c r="R810" s="166">
        <f>IF(Sales[[#This Row],[Status]]="Cancelled",0,Sales[[#This Row],[Total Amount]])</f>
        <v>47251.33</v>
      </c>
      <c r="S810" s="162">
        <f>SUM(Sales[Net Amount])</f>
        <v>406839287.73200053</v>
      </c>
    </row>
    <row r="811" spans="1:19" ht="18.75" x14ac:dyDescent="0.25">
      <c r="A811" s="156" t="s">
        <v>4396</v>
      </c>
      <c r="B811" s="157">
        <v>45820</v>
      </c>
      <c r="C811" s="158" t="s">
        <v>882</v>
      </c>
      <c r="D811" s="159" t="str">
        <f>VLOOKUP(Sales[[#This Row],[Customer ID]],Customer[#All],2,0)</f>
        <v>Rahul Sharma</v>
      </c>
      <c r="E811" s="158" t="s">
        <v>12</v>
      </c>
      <c r="F811" s="158" t="str">
        <f>VLOOKUP(Sales[[#This Row],[Product ID]],Product[#All],2,0)</f>
        <v>Boat Headset</v>
      </c>
      <c r="G811" s="159">
        <v>8</v>
      </c>
      <c r="H811" s="160">
        <f>VLOOKUP(Sales[[#This Row],[Product ID]],Product[#All],7,0)</f>
        <v>1990</v>
      </c>
      <c r="I811" s="160">
        <f>Sales[[#This Row],[Selling Rate]]*Sales[[#This Row],[Qty]]</f>
        <v>15920</v>
      </c>
      <c r="J811" s="43">
        <v>0</v>
      </c>
      <c r="K811" s="44">
        <f>Sales[[#This Row],[Gross Amount]]*Sales[[#This Row],[Disc %]]</f>
        <v>0</v>
      </c>
      <c r="L811" s="43">
        <v>0.18</v>
      </c>
      <c r="M811" s="44">
        <f>(Sales[[#This Row],[Gross Amount]]-Sales[[#This Row],[Disc. Amt.]])*Sales[[#This Row],[GST %]]</f>
        <v>2865.6</v>
      </c>
      <c r="N811" s="161">
        <f>Sales[[#This Row],[Gross Amount]]-Sales[[#This Row],[Disc. Amt.]]+Sales[[#This Row],[GST Amount]]</f>
        <v>18785.599999999999</v>
      </c>
      <c r="O811" s="158" t="s">
        <v>8876</v>
      </c>
      <c r="P811" s="158" t="s">
        <v>3562</v>
      </c>
      <c r="Q811" s="160">
        <f>IF(Sales[[#This Row],[Status]]="Cancelled",0,Sales[[#This Row],[Qty]])</f>
        <v>8</v>
      </c>
      <c r="R811" s="161">
        <f>IF(Sales[[#This Row],[Status]]="Cancelled",0,Sales[[#This Row],[Total Amount]])</f>
        <v>18785.599999999999</v>
      </c>
      <c r="S811" s="162">
        <f>SUM(Sales[Net Amount])</f>
        <v>406839287.73200053</v>
      </c>
    </row>
    <row r="812" spans="1:19" ht="18.75" x14ac:dyDescent="0.25">
      <c r="A812" s="163" t="s">
        <v>4397</v>
      </c>
      <c r="B812" s="164">
        <v>45820</v>
      </c>
      <c r="C812" s="34" t="s">
        <v>930</v>
      </c>
      <c r="D812" s="53" t="str">
        <f>VLOOKUP(Sales[[#This Row],[Customer ID]],Customer[#All],2,0)</f>
        <v>Rakesh Gupta</v>
      </c>
      <c r="E812" s="34" t="s">
        <v>231</v>
      </c>
      <c r="F812" s="34" t="str">
        <f>VLOOKUP(Sales[[#This Row],[Product ID]],Product[#All],2,0)</f>
        <v>TP-link Wi-Fi Adapter</v>
      </c>
      <c r="G812" s="53">
        <v>3</v>
      </c>
      <c r="H812" s="165">
        <f>VLOOKUP(Sales[[#This Row],[Product ID]],Product[#All],7,0)</f>
        <v>2200</v>
      </c>
      <c r="I812" s="165">
        <f>Sales[[#This Row],[Selling Rate]]*Sales[[#This Row],[Qty]]</f>
        <v>6600</v>
      </c>
      <c r="J812" s="45">
        <v>0</v>
      </c>
      <c r="K812" s="46">
        <f>Sales[[#This Row],[Gross Amount]]*Sales[[#This Row],[Disc %]]</f>
        <v>0</v>
      </c>
      <c r="L812" s="43">
        <v>0.18</v>
      </c>
      <c r="M812" s="46">
        <f>(Sales[[#This Row],[Gross Amount]]-Sales[[#This Row],[Disc. Amt.]])*Sales[[#This Row],[GST %]]</f>
        <v>1188</v>
      </c>
      <c r="N812" s="161">
        <f>Sales[[#This Row],[Gross Amount]]-Sales[[#This Row],[Disc. Amt.]]+Sales[[#This Row],[GST Amount]]</f>
        <v>7788</v>
      </c>
      <c r="O812" s="34" t="s">
        <v>3566</v>
      </c>
      <c r="P812" s="34" t="s">
        <v>3562</v>
      </c>
      <c r="Q812" s="165">
        <f>IF(Sales[[#This Row],[Status]]="Cancelled",0,Sales[[#This Row],[Qty]])</f>
        <v>3</v>
      </c>
      <c r="R812" s="166">
        <f>IF(Sales[[#This Row],[Status]]="Cancelled",0,Sales[[#This Row],[Total Amount]])</f>
        <v>7788</v>
      </c>
      <c r="S812" s="162">
        <f>SUM(Sales[Net Amount])</f>
        <v>406839287.73200053</v>
      </c>
    </row>
    <row r="813" spans="1:19" ht="18.75" x14ac:dyDescent="0.25">
      <c r="A813" s="156" t="s">
        <v>4398</v>
      </c>
      <c r="B813" s="157">
        <v>45820</v>
      </c>
      <c r="C813" s="158" t="s">
        <v>761</v>
      </c>
      <c r="D813" s="159" t="str">
        <f>VLOOKUP(Sales[[#This Row],[Customer ID]],Customer[#All],2,0)</f>
        <v>Priya Verma</v>
      </c>
      <c r="E813" s="158" t="s">
        <v>270</v>
      </c>
      <c r="F813" s="158" t="str">
        <f>VLOOKUP(Sales[[#This Row],[Product ID]],Product[#All],2,0)</f>
        <v>Samsung Ssd</v>
      </c>
      <c r="G813" s="159">
        <v>2</v>
      </c>
      <c r="H813" s="160">
        <f>VLOOKUP(Sales[[#This Row],[Product ID]],Product[#All],7,0)</f>
        <v>6090</v>
      </c>
      <c r="I813" s="160">
        <f>Sales[[#This Row],[Selling Rate]]*Sales[[#This Row],[Qty]]</f>
        <v>12180</v>
      </c>
      <c r="J813" s="43">
        <v>0.12</v>
      </c>
      <c r="K813" s="44">
        <f>Sales[[#This Row],[Gross Amount]]*Sales[[#This Row],[Disc %]]</f>
        <v>1461.6</v>
      </c>
      <c r="L813" s="43">
        <v>0.18</v>
      </c>
      <c r="M813" s="44">
        <f>(Sales[[#This Row],[Gross Amount]]-Sales[[#This Row],[Disc. Amt.]])*Sales[[#This Row],[GST %]]</f>
        <v>1929.3119999999999</v>
      </c>
      <c r="N813" s="161">
        <f>Sales[[#This Row],[Gross Amount]]-Sales[[#This Row],[Disc. Amt.]]+Sales[[#This Row],[GST Amount]]</f>
        <v>12647.712</v>
      </c>
      <c r="O813" s="158" t="s">
        <v>8876</v>
      </c>
      <c r="P813" s="158" t="s">
        <v>3562</v>
      </c>
      <c r="Q813" s="160">
        <f>IF(Sales[[#This Row],[Status]]="Cancelled",0,Sales[[#This Row],[Qty]])</f>
        <v>2</v>
      </c>
      <c r="R813" s="161">
        <f>IF(Sales[[#This Row],[Status]]="Cancelled",0,Sales[[#This Row],[Total Amount]])</f>
        <v>12647.712</v>
      </c>
      <c r="S813" s="162">
        <f>SUM(Sales[Net Amount])</f>
        <v>406839287.73200053</v>
      </c>
    </row>
    <row r="814" spans="1:19" ht="18.75" x14ac:dyDescent="0.25">
      <c r="A814" s="163" t="s">
        <v>4399</v>
      </c>
      <c r="B814" s="164">
        <v>45820</v>
      </c>
      <c r="C814" s="34" t="s">
        <v>844</v>
      </c>
      <c r="D814" s="53" t="str">
        <f>VLOOKUP(Sales[[#This Row],[Customer ID]],Customer[#All],2,0)</f>
        <v>Rahul Sharma</v>
      </c>
      <c r="E814" s="34" t="s">
        <v>263</v>
      </c>
      <c r="F814" s="34" t="str">
        <f>VLOOKUP(Sales[[#This Row],[Product ID]],Product[#All],2,0)</f>
        <v>Amazon Basics Hdmi Cable</v>
      </c>
      <c r="G814" s="53">
        <v>5</v>
      </c>
      <c r="H814" s="165">
        <f>VLOOKUP(Sales[[#This Row],[Product ID]],Product[#All],7,0)</f>
        <v>770</v>
      </c>
      <c r="I814" s="165">
        <f>Sales[[#This Row],[Selling Rate]]*Sales[[#This Row],[Qty]]</f>
        <v>3850</v>
      </c>
      <c r="J814" s="45">
        <v>0</v>
      </c>
      <c r="K814" s="46">
        <f>Sales[[#This Row],[Gross Amount]]*Sales[[#This Row],[Disc %]]</f>
        <v>0</v>
      </c>
      <c r="L814" s="43">
        <v>0.18</v>
      </c>
      <c r="M814" s="46">
        <f>(Sales[[#This Row],[Gross Amount]]-Sales[[#This Row],[Disc. Amt.]])*Sales[[#This Row],[GST %]]</f>
        <v>693</v>
      </c>
      <c r="N814" s="161">
        <f>Sales[[#This Row],[Gross Amount]]-Sales[[#This Row],[Disc. Amt.]]+Sales[[#This Row],[GST Amount]]</f>
        <v>4543</v>
      </c>
      <c r="O814" s="34" t="s">
        <v>8876</v>
      </c>
      <c r="P814" s="34" t="s">
        <v>3562</v>
      </c>
      <c r="Q814" s="165">
        <f>IF(Sales[[#This Row],[Status]]="Cancelled",0,Sales[[#This Row],[Qty]])</f>
        <v>5</v>
      </c>
      <c r="R814" s="166">
        <f>IF(Sales[[#This Row],[Status]]="Cancelled",0,Sales[[#This Row],[Total Amount]])</f>
        <v>4543</v>
      </c>
      <c r="S814" s="162">
        <f>SUM(Sales[Net Amount])</f>
        <v>406839287.73200053</v>
      </c>
    </row>
    <row r="815" spans="1:19" ht="18.75" x14ac:dyDescent="0.25">
      <c r="A815" s="156" t="s">
        <v>4400</v>
      </c>
      <c r="B815" s="157">
        <v>45820</v>
      </c>
      <c r="C815" s="158" t="s">
        <v>796</v>
      </c>
      <c r="D815" s="159" t="str">
        <f>VLOOKUP(Sales[[#This Row],[Customer ID]],Customer[#All],2,0)</f>
        <v>Rahul Verma</v>
      </c>
      <c r="E815" s="158" t="s">
        <v>389</v>
      </c>
      <c r="F815" s="158" t="str">
        <f>VLOOKUP(Sales[[#This Row],[Product ID]],Product[#All],2,0)</f>
        <v>WD HDD</v>
      </c>
      <c r="G815" s="159">
        <v>6</v>
      </c>
      <c r="H815" s="160">
        <f>VLOOKUP(Sales[[#This Row],[Product ID]],Product[#All],7,0)</f>
        <v>10530</v>
      </c>
      <c r="I815" s="160">
        <f>Sales[[#This Row],[Selling Rate]]*Sales[[#This Row],[Qty]]</f>
        <v>63180</v>
      </c>
      <c r="J815" s="43">
        <v>0.12</v>
      </c>
      <c r="K815" s="44">
        <f>Sales[[#This Row],[Gross Amount]]*Sales[[#This Row],[Disc %]]</f>
        <v>7581.5999999999995</v>
      </c>
      <c r="L815" s="43">
        <v>0.18</v>
      </c>
      <c r="M815" s="44">
        <f>(Sales[[#This Row],[Gross Amount]]-Sales[[#This Row],[Disc. Amt.]])*Sales[[#This Row],[GST %]]</f>
        <v>10007.712</v>
      </c>
      <c r="N815" s="161">
        <f>Sales[[#This Row],[Gross Amount]]-Sales[[#This Row],[Disc. Amt.]]+Sales[[#This Row],[GST Amount]]</f>
        <v>65606.111999999994</v>
      </c>
      <c r="O815" s="158" t="s">
        <v>3566</v>
      </c>
      <c r="P815" s="158" t="s">
        <v>3562</v>
      </c>
      <c r="Q815" s="160">
        <f>IF(Sales[[#This Row],[Status]]="Cancelled",0,Sales[[#This Row],[Qty]])</f>
        <v>6</v>
      </c>
      <c r="R815" s="161">
        <f>IF(Sales[[#This Row],[Status]]="Cancelled",0,Sales[[#This Row],[Total Amount]])</f>
        <v>65606.111999999994</v>
      </c>
      <c r="S815" s="162">
        <f>SUM(Sales[Net Amount])</f>
        <v>406839287.73200053</v>
      </c>
    </row>
    <row r="816" spans="1:19" ht="18.75" x14ac:dyDescent="0.25">
      <c r="A816" s="163" t="s">
        <v>4401</v>
      </c>
      <c r="B816" s="164">
        <v>45820</v>
      </c>
      <c r="C816" s="34" t="s">
        <v>773</v>
      </c>
      <c r="D816" s="53" t="str">
        <f>VLOOKUP(Sales[[#This Row],[Customer ID]],Customer[#All],2,0)</f>
        <v>Rahul Kumar</v>
      </c>
      <c r="E816" s="34" t="s">
        <v>465</v>
      </c>
      <c r="F816" s="34" t="str">
        <f>VLOOKUP(Sales[[#This Row],[Product ID]],Product[#All],2,0)</f>
        <v>Logitech Keyboard</v>
      </c>
      <c r="G816" s="53">
        <v>2</v>
      </c>
      <c r="H816" s="165">
        <f>VLOOKUP(Sales[[#This Row],[Product ID]],Product[#All],7,0)</f>
        <v>2230</v>
      </c>
      <c r="I816" s="165">
        <f>Sales[[#This Row],[Selling Rate]]*Sales[[#This Row],[Qty]]</f>
        <v>4460</v>
      </c>
      <c r="J816" s="45">
        <v>0.05</v>
      </c>
      <c r="K816" s="46">
        <f>Sales[[#This Row],[Gross Amount]]*Sales[[#This Row],[Disc %]]</f>
        <v>223</v>
      </c>
      <c r="L816" s="43">
        <v>0.18</v>
      </c>
      <c r="M816" s="46">
        <f>(Sales[[#This Row],[Gross Amount]]-Sales[[#This Row],[Disc. Amt.]])*Sales[[#This Row],[GST %]]</f>
        <v>762.66</v>
      </c>
      <c r="N816" s="161">
        <f>Sales[[#This Row],[Gross Amount]]-Sales[[#This Row],[Disc. Amt.]]+Sales[[#This Row],[GST Amount]]</f>
        <v>4999.66</v>
      </c>
      <c r="O816" s="34" t="s">
        <v>3569</v>
      </c>
      <c r="P816" s="34" t="s">
        <v>3562</v>
      </c>
      <c r="Q816" s="165">
        <f>IF(Sales[[#This Row],[Status]]="Cancelled",0,Sales[[#This Row],[Qty]])</f>
        <v>2</v>
      </c>
      <c r="R816" s="166">
        <f>IF(Sales[[#This Row],[Status]]="Cancelled",0,Sales[[#This Row],[Total Amount]])</f>
        <v>4999.66</v>
      </c>
      <c r="S816" s="162">
        <f>SUM(Sales[Net Amount])</f>
        <v>406839287.73200053</v>
      </c>
    </row>
    <row r="817" spans="1:19" ht="18.75" x14ac:dyDescent="0.25">
      <c r="A817" s="156" t="s">
        <v>4402</v>
      </c>
      <c r="B817" s="157">
        <v>45820</v>
      </c>
      <c r="C817" s="158" t="s">
        <v>793</v>
      </c>
      <c r="D817" s="159" t="str">
        <f>VLOOKUP(Sales[[#This Row],[Customer ID]],Customer[#All],2,0)</f>
        <v>Neha Verma</v>
      </c>
      <c r="E817" s="158" t="s">
        <v>62</v>
      </c>
      <c r="F817" s="158" t="str">
        <f>VLOOKUP(Sales[[#This Row],[Product ID]],Product[#All],2,0)</f>
        <v>Apc UPS</v>
      </c>
      <c r="G817" s="159">
        <v>5</v>
      </c>
      <c r="H817" s="160">
        <f>VLOOKUP(Sales[[#This Row],[Product ID]],Product[#All],7,0)</f>
        <v>7270</v>
      </c>
      <c r="I817" s="160">
        <f>Sales[[#This Row],[Selling Rate]]*Sales[[#This Row],[Qty]]</f>
        <v>36350</v>
      </c>
      <c r="J817" s="43">
        <v>0.05</v>
      </c>
      <c r="K817" s="44">
        <f>Sales[[#This Row],[Gross Amount]]*Sales[[#This Row],[Disc %]]</f>
        <v>1817.5</v>
      </c>
      <c r="L817" s="43">
        <v>0.18</v>
      </c>
      <c r="M817" s="44">
        <f>(Sales[[#This Row],[Gross Amount]]-Sales[[#This Row],[Disc. Amt.]])*Sales[[#This Row],[GST %]]</f>
        <v>6215.8499999999995</v>
      </c>
      <c r="N817" s="161">
        <f>Sales[[#This Row],[Gross Amount]]-Sales[[#This Row],[Disc. Amt.]]+Sales[[#This Row],[GST Amount]]</f>
        <v>40748.35</v>
      </c>
      <c r="O817" s="158" t="s">
        <v>8876</v>
      </c>
      <c r="P817" s="158" t="s">
        <v>3562</v>
      </c>
      <c r="Q817" s="160">
        <f>IF(Sales[[#This Row],[Status]]="Cancelled",0,Sales[[#This Row],[Qty]])</f>
        <v>5</v>
      </c>
      <c r="R817" s="161">
        <f>IF(Sales[[#This Row],[Status]]="Cancelled",0,Sales[[#This Row],[Total Amount]])</f>
        <v>40748.35</v>
      </c>
      <c r="S817" s="162">
        <f>SUM(Sales[Net Amount])</f>
        <v>406839287.73200053</v>
      </c>
    </row>
    <row r="818" spans="1:19" ht="18.75" x14ac:dyDescent="0.25">
      <c r="A818" s="163" t="s">
        <v>4403</v>
      </c>
      <c r="B818" s="164">
        <v>45820</v>
      </c>
      <c r="C818" s="34" t="s">
        <v>687</v>
      </c>
      <c r="D818" s="53" t="str">
        <f>VLOOKUP(Sales[[#This Row],[Customer ID]],Customer[#All],2,0)</f>
        <v>Rahul Verma</v>
      </c>
      <c r="E818" s="34" t="s">
        <v>373</v>
      </c>
      <c r="F818" s="34" t="str">
        <f>VLOOKUP(Sales[[#This Row],[Product ID]],Product[#All],2,0)</f>
        <v>Epson Printer</v>
      </c>
      <c r="G818" s="53">
        <v>1</v>
      </c>
      <c r="H818" s="165">
        <f>VLOOKUP(Sales[[#This Row],[Product ID]],Product[#All],7,0)</f>
        <v>9710</v>
      </c>
      <c r="I818" s="165">
        <f>Sales[[#This Row],[Selling Rate]]*Sales[[#This Row],[Qty]]</f>
        <v>9710</v>
      </c>
      <c r="J818" s="45">
        <v>0.1</v>
      </c>
      <c r="K818" s="46">
        <f>Sales[[#This Row],[Gross Amount]]*Sales[[#This Row],[Disc %]]</f>
        <v>971</v>
      </c>
      <c r="L818" s="43">
        <v>0.18</v>
      </c>
      <c r="M818" s="46">
        <f>(Sales[[#This Row],[Gross Amount]]-Sales[[#This Row],[Disc. Amt.]])*Sales[[#This Row],[GST %]]</f>
        <v>1573.02</v>
      </c>
      <c r="N818" s="161">
        <f>Sales[[#This Row],[Gross Amount]]-Sales[[#This Row],[Disc. Amt.]]+Sales[[#This Row],[GST Amount]]</f>
        <v>10312.02</v>
      </c>
      <c r="O818" s="34" t="s">
        <v>3569</v>
      </c>
      <c r="P818" s="34" t="s">
        <v>3562</v>
      </c>
      <c r="Q818" s="165">
        <f>IF(Sales[[#This Row],[Status]]="Cancelled",0,Sales[[#This Row],[Qty]])</f>
        <v>1</v>
      </c>
      <c r="R818" s="166">
        <f>IF(Sales[[#This Row],[Status]]="Cancelled",0,Sales[[#This Row],[Total Amount]])</f>
        <v>10312.02</v>
      </c>
      <c r="S818" s="162">
        <f>SUM(Sales[Net Amount])</f>
        <v>406839287.73200053</v>
      </c>
    </row>
    <row r="819" spans="1:19" ht="18.75" x14ac:dyDescent="0.25">
      <c r="A819" s="156" t="s">
        <v>4404</v>
      </c>
      <c r="B819" s="157">
        <v>45820</v>
      </c>
      <c r="C819" s="158" t="s">
        <v>929</v>
      </c>
      <c r="D819" s="159" t="str">
        <f>VLOOKUP(Sales[[#This Row],[Customer ID]],Customer[#All],2,0)</f>
        <v>Sunita Gupta</v>
      </c>
      <c r="E819" s="158" t="s">
        <v>281</v>
      </c>
      <c r="F819" s="158" t="str">
        <f>VLOOKUP(Sales[[#This Row],[Product ID]],Product[#All],2,0)</f>
        <v>Canon Printer</v>
      </c>
      <c r="G819" s="159">
        <v>4</v>
      </c>
      <c r="H819" s="160">
        <f>VLOOKUP(Sales[[#This Row],[Product ID]],Product[#All],7,0)</f>
        <v>11560</v>
      </c>
      <c r="I819" s="160">
        <f>Sales[[#This Row],[Selling Rate]]*Sales[[#This Row],[Qty]]</f>
        <v>46240</v>
      </c>
      <c r="J819" s="43">
        <v>0.05</v>
      </c>
      <c r="K819" s="44">
        <f>Sales[[#This Row],[Gross Amount]]*Sales[[#This Row],[Disc %]]</f>
        <v>2312</v>
      </c>
      <c r="L819" s="43">
        <v>0.18</v>
      </c>
      <c r="M819" s="44">
        <f>(Sales[[#This Row],[Gross Amount]]-Sales[[#This Row],[Disc. Amt.]])*Sales[[#This Row],[GST %]]</f>
        <v>7907.04</v>
      </c>
      <c r="N819" s="161">
        <f>Sales[[#This Row],[Gross Amount]]-Sales[[#This Row],[Disc. Amt.]]+Sales[[#This Row],[GST Amount]]</f>
        <v>51835.040000000001</v>
      </c>
      <c r="O819" s="158" t="s">
        <v>3566</v>
      </c>
      <c r="P819" s="158" t="s">
        <v>3562</v>
      </c>
      <c r="Q819" s="160">
        <f>IF(Sales[[#This Row],[Status]]="Cancelled",0,Sales[[#This Row],[Qty]])</f>
        <v>4</v>
      </c>
      <c r="R819" s="161">
        <f>IF(Sales[[#This Row],[Status]]="Cancelled",0,Sales[[#This Row],[Total Amount]])</f>
        <v>51835.040000000001</v>
      </c>
      <c r="S819" s="162">
        <f>SUM(Sales[Net Amount])</f>
        <v>406839287.73200053</v>
      </c>
    </row>
    <row r="820" spans="1:19" ht="18.75" x14ac:dyDescent="0.25">
      <c r="A820" s="163" t="s">
        <v>4405</v>
      </c>
      <c r="B820" s="164">
        <v>45820</v>
      </c>
      <c r="C820" s="34" t="s">
        <v>879</v>
      </c>
      <c r="D820" s="53" t="str">
        <f>VLOOKUP(Sales[[#This Row],[Customer ID]],Customer[#All],2,0)</f>
        <v>Ankit Patel</v>
      </c>
      <c r="E820" s="34" t="s">
        <v>444</v>
      </c>
      <c r="F820" s="34" t="str">
        <f>VLOOKUP(Sales[[#This Row],[Product ID]],Product[#All],2,0)</f>
        <v>Dell Desktop</v>
      </c>
      <c r="G820" s="53">
        <v>7</v>
      </c>
      <c r="H820" s="165">
        <f>VLOOKUP(Sales[[#This Row],[Product ID]],Product[#All],7,0)</f>
        <v>55730</v>
      </c>
      <c r="I820" s="165">
        <f>Sales[[#This Row],[Selling Rate]]*Sales[[#This Row],[Qty]]</f>
        <v>390110</v>
      </c>
      <c r="J820" s="45">
        <v>0.05</v>
      </c>
      <c r="K820" s="46">
        <f>Sales[[#This Row],[Gross Amount]]*Sales[[#This Row],[Disc %]]</f>
        <v>19505.5</v>
      </c>
      <c r="L820" s="43">
        <v>0.18</v>
      </c>
      <c r="M820" s="46">
        <f>(Sales[[#This Row],[Gross Amount]]-Sales[[#This Row],[Disc. Amt.]])*Sales[[#This Row],[GST %]]</f>
        <v>66708.81</v>
      </c>
      <c r="N820" s="161">
        <f>Sales[[#This Row],[Gross Amount]]-Sales[[#This Row],[Disc. Amt.]]+Sales[[#This Row],[GST Amount]]</f>
        <v>437313.31</v>
      </c>
      <c r="O820" s="34" t="s">
        <v>8876</v>
      </c>
      <c r="P820" s="34" t="s">
        <v>3562</v>
      </c>
      <c r="Q820" s="165">
        <f>IF(Sales[[#This Row],[Status]]="Cancelled",0,Sales[[#This Row],[Qty]])</f>
        <v>7</v>
      </c>
      <c r="R820" s="166">
        <f>IF(Sales[[#This Row],[Status]]="Cancelled",0,Sales[[#This Row],[Total Amount]])</f>
        <v>437313.31</v>
      </c>
      <c r="S820" s="162">
        <f>SUM(Sales[Net Amount])</f>
        <v>406839287.73200053</v>
      </c>
    </row>
    <row r="821" spans="1:19" ht="18.75" x14ac:dyDescent="0.25">
      <c r="A821" s="156" t="s">
        <v>4406</v>
      </c>
      <c r="B821" s="157">
        <v>45820</v>
      </c>
      <c r="C821" s="158" t="s">
        <v>943</v>
      </c>
      <c r="D821" s="159" t="str">
        <f>VLOOKUP(Sales[[#This Row],[Customer ID]],Customer[#All],2,0)</f>
        <v>Sahil Singh</v>
      </c>
      <c r="E821" s="158" t="s">
        <v>282</v>
      </c>
      <c r="F821" s="158" t="str">
        <f>VLOOKUP(Sales[[#This Row],[Product ID]],Product[#All],2,0)</f>
        <v>Amazon Basics Hdmi Cable</v>
      </c>
      <c r="G821" s="159">
        <v>8</v>
      </c>
      <c r="H821" s="160">
        <f>VLOOKUP(Sales[[#This Row],[Product ID]],Product[#All],7,0)</f>
        <v>760</v>
      </c>
      <c r="I821" s="160">
        <f>Sales[[#This Row],[Selling Rate]]*Sales[[#This Row],[Qty]]</f>
        <v>6080</v>
      </c>
      <c r="J821" s="43">
        <v>0.1</v>
      </c>
      <c r="K821" s="44">
        <f>Sales[[#This Row],[Gross Amount]]*Sales[[#This Row],[Disc %]]</f>
        <v>608</v>
      </c>
      <c r="L821" s="43">
        <v>0.18</v>
      </c>
      <c r="M821" s="44">
        <f>(Sales[[#This Row],[Gross Amount]]-Sales[[#This Row],[Disc. Amt.]])*Sales[[#This Row],[GST %]]</f>
        <v>984.95999999999992</v>
      </c>
      <c r="N821" s="161">
        <f>Sales[[#This Row],[Gross Amount]]-Sales[[#This Row],[Disc. Amt.]]+Sales[[#This Row],[GST Amount]]</f>
        <v>6456.96</v>
      </c>
      <c r="O821" s="158" t="s">
        <v>3566</v>
      </c>
      <c r="P821" s="158" t="s">
        <v>3562</v>
      </c>
      <c r="Q821" s="160">
        <f>IF(Sales[[#This Row],[Status]]="Cancelled",0,Sales[[#This Row],[Qty]])</f>
        <v>8</v>
      </c>
      <c r="R821" s="161">
        <f>IF(Sales[[#This Row],[Status]]="Cancelled",0,Sales[[#This Row],[Total Amount]])</f>
        <v>6456.96</v>
      </c>
      <c r="S821" s="162">
        <f>SUM(Sales[Net Amount])</f>
        <v>406839287.73200053</v>
      </c>
    </row>
    <row r="822" spans="1:19" ht="18.75" x14ac:dyDescent="0.25">
      <c r="A822" s="163" t="s">
        <v>4407</v>
      </c>
      <c r="B822" s="164">
        <v>45820</v>
      </c>
      <c r="C822" s="34" t="s">
        <v>668</v>
      </c>
      <c r="D822" s="53" t="str">
        <f>VLOOKUP(Sales[[#This Row],[Customer ID]],Customer[#All],2,0)</f>
        <v>Rahul Patel</v>
      </c>
      <c r="E822" s="34" t="s">
        <v>334</v>
      </c>
      <c r="F822" s="34" t="str">
        <f>VLOOKUP(Sales[[#This Row],[Product ID]],Product[#All],2,0)</f>
        <v>Jbl Headset</v>
      </c>
      <c r="G822" s="53">
        <v>5</v>
      </c>
      <c r="H822" s="165">
        <f>VLOOKUP(Sales[[#This Row],[Product ID]],Product[#All],7,0)</f>
        <v>3150</v>
      </c>
      <c r="I822" s="165">
        <f>Sales[[#This Row],[Selling Rate]]*Sales[[#This Row],[Qty]]</f>
        <v>15750</v>
      </c>
      <c r="J822" s="45">
        <v>0.02</v>
      </c>
      <c r="K822" s="46">
        <f>Sales[[#This Row],[Gross Amount]]*Sales[[#This Row],[Disc %]]</f>
        <v>315</v>
      </c>
      <c r="L822" s="43">
        <v>0.18</v>
      </c>
      <c r="M822" s="46">
        <f>(Sales[[#This Row],[Gross Amount]]-Sales[[#This Row],[Disc. Amt.]])*Sales[[#This Row],[GST %]]</f>
        <v>2778.2999999999997</v>
      </c>
      <c r="N822" s="161">
        <f>Sales[[#This Row],[Gross Amount]]-Sales[[#This Row],[Disc. Amt.]]+Sales[[#This Row],[GST Amount]]</f>
        <v>18213.3</v>
      </c>
      <c r="O822" s="34" t="s">
        <v>3566</v>
      </c>
      <c r="P822" s="34" t="s">
        <v>3562</v>
      </c>
      <c r="Q822" s="165">
        <f>IF(Sales[[#This Row],[Status]]="Cancelled",0,Sales[[#This Row],[Qty]])</f>
        <v>5</v>
      </c>
      <c r="R822" s="166">
        <f>IF(Sales[[#This Row],[Status]]="Cancelled",0,Sales[[#This Row],[Total Amount]])</f>
        <v>18213.3</v>
      </c>
      <c r="S822" s="162">
        <f>SUM(Sales[Net Amount])</f>
        <v>406839287.73200053</v>
      </c>
    </row>
    <row r="823" spans="1:19" ht="18.75" x14ac:dyDescent="0.25">
      <c r="A823" s="156" t="s">
        <v>4408</v>
      </c>
      <c r="B823" s="157">
        <v>45820</v>
      </c>
      <c r="C823" s="158" t="s">
        <v>803</v>
      </c>
      <c r="D823" s="159" t="str">
        <f>VLOOKUP(Sales[[#This Row],[Customer ID]],Customer[#All],2,0)</f>
        <v>Pooja Singh</v>
      </c>
      <c r="E823" s="158" t="s">
        <v>528</v>
      </c>
      <c r="F823" s="158" t="str">
        <f>VLOOKUP(Sales[[#This Row],[Product ID]],Product[#All],2,0)</f>
        <v>Kingston Ram</v>
      </c>
      <c r="G823" s="159">
        <v>1</v>
      </c>
      <c r="H823" s="160">
        <f>VLOOKUP(Sales[[#This Row],[Product ID]],Product[#All],7,0)</f>
        <v>4750</v>
      </c>
      <c r="I823" s="160">
        <f>Sales[[#This Row],[Selling Rate]]*Sales[[#This Row],[Qty]]</f>
        <v>4750</v>
      </c>
      <c r="J823" s="43">
        <v>0.05</v>
      </c>
      <c r="K823" s="44">
        <f>Sales[[#This Row],[Gross Amount]]*Sales[[#This Row],[Disc %]]</f>
        <v>237.5</v>
      </c>
      <c r="L823" s="43">
        <v>0.18</v>
      </c>
      <c r="M823" s="44">
        <f>(Sales[[#This Row],[Gross Amount]]-Sales[[#This Row],[Disc. Amt.]])*Sales[[#This Row],[GST %]]</f>
        <v>812.25</v>
      </c>
      <c r="N823" s="161">
        <f>Sales[[#This Row],[Gross Amount]]-Sales[[#This Row],[Disc. Amt.]]+Sales[[#This Row],[GST Amount]]</f>
        <v>5324.75</v>
      </c>
      <c r="O823" s="158" t="s">
        <v>3569</v>
      </c>
      <c r="P823" s="158" t="s">
        <v>3562</v>
      </c>
      <c r="Q823" s="160">
        <f>IF(Sales[[#This Row],[Status]]="Cancelled",0,Sales[[#This Row],[Qty]])</f>
        <v>1</v>
      </c>
      <c r="R823" s="161">
        <f>IF(Sales[[#This Row],[Status]]="Cancelled",0,Sales[[#This Row],[Total Amount]])</f>
        <v>5324.75</v>
      </c>
      <c r="S823" s="162">
        <f>SUM(Sales[Net Amount])</f>
        <v>406839287.73200053</v>
      </c>
    </row>
    <row r="824" spans="1:19" ht="18.75" x14ac:dyDescent="0.25">
      <c r="A824" s="163" t="s">
        <v>4409</v>
      </c>
      <c r="B824" s="164">
        <v>45820</v>
      </c>
      <c r="C824" s="34" t="s">
        <v>784</v>
      </c>
      <c r="D824" s="53" t="str">
        <f>VLOOKUP(Sales[[#This Row],[Customer ID]],Customer[#All],2,0)</f>
        <v>Amit Kumar</v>
      </c>
      <c r="E824" s="34" t="s">
        <v>80</v>
      </c>
      <c r="F824" s="34" t="str">
        <f>VLOOKUP(Sales[[#This Row],[Product ID]],Product[#All],2,0)</f>
        <v>Epson Printer</v>
      </c>
      <c r="G824" s="53">
        <v>8</v>
      </c>
      <c r="H824" s="165">
        <f>VLOOKUP(Sales[[#This Row],[Product ID]],Product[#All],7,0)</f>
        <v>41620</v>
      </c>
      <c r="I824" s="165">
        <f>Sales[[#This Row],[Selling Rate]]*Sales[[#This Row],[Qty]]</f>
        <v>332960</v>
      </c>
      <c r="J824" s="45">
        <v>0.1</v>
      </c>
      <c r="K824" s="46">
        <f>Sales[[#This Row],[Gross Amount]]*Sales[[#This Row],[Disc %]]</f>
        <v>33296</v>
      </c>
      <c r="L824" s="43">
        <v>0.18</v>
      </c>
      <c r="M824" s="46">
        <f>(Sales[[#This Row],[Gross Amount]]-Sales[[#This Row],[Disc. Amt.]])*Sales[[#This Row],[GST %]]</f>
        <v>53939.519999999997</v>
      </c>
      <c r="N824" s="161">
        <f>Sales[[#This Row],[Gross Amount]]-Sales[[#This Row],[Disc. Amt.]]+Sales[[#This Row],[GST Amount]]</f>
        <v>353603.52</v>
      </c>
      <c r="O824" s="34" t="s">
        <v>3561</v>
      </c>
      <c r="P824" s="34" t="s">
        <v>3562</v>
      </c>
      <c r="Q824" s="165">
        <f>IF(Sales[[#This Row],[Status]]="Cancelled",0,Sales[[#This Row],[Qty]])</f>
        <v>8</v>
      </c>
      <c r="R824" s="166">
        <f>IF(Sales[[#This Row],[Status]]="Cancelled",0,Sales[[#This Row],[Total Amount]])</f>
        <v>353603.52</v>
      </c>
      <c r="S824" s="162">
        <f>SUM(Sales[Net Amount])</f>
        <v>406839287.73200053</v>
      </c>
    </row>
    <row r="825" spans="1:19" ht="18.75" x14ac:dyDescent="0.25">
      <c r="A825" s="156" t="s">
        <v>4410</v>
      </c>
      <c r="B825" s="157">
        <v>45821</v>
      </c>
      <c r="C825" s="158" t="s">
        <v>666</v>
      </c>
      <c r="D825" s="159" t="str">
        <f>VLOOKUP(Sales[[#This Row],[Customer ID]],Customer[#All],2,0)</f>
        <v>Sahil Gupta</v>
      </c>
      <c r="E825" s="158" t="s">
        <v>459</v>
      </c>
      <c r="F825" s="158" t="str">
        <f>VLOOKUP(Sales[[#This Row],[Product ID]],Product[#All],2,0)</f>
        <v>Logitech Mouse</v>
      </c>
      <c r="G825" s="159">
        <v>3</v>
      </c>
      <c r="H825" s="160">
        <f>VLOOKUP(Sales[[#This Row],[Product ID]],Product[#All],7,0)</f>
        <v>1680</v>
      </c>
      <c r="I825" s="160">
        <f>Sales[[#This Row],[Selling Rate]]*Sales[[#This Row],[Qty]]</f>
        <v>5040</v>
      </c>
      <c r="J825" s="43">
        <v>0.12</v>
      </c>
      <c r="K825" s="44">
        <f>Sales[[#This Row],[Gross Amount]]*Sales[[#This Row],[Disc %]]</f>
        <v>604.79999999999995</v>
      </c>
      <c r="L825" s="43">
        <v>0.18</v>
      </c>
      <c r="M825" s="44">
        <f>(Sales[[#This Row],[Gross Amount]]-Sales[[#This Row],[Disc. Amt.]])*Sales[[#This Row],[GST %]]</f>
        <v>798.3359999999999</v>
      </c>
      <c r="N825" s="161">
        <f>Sales[[#This Row],[Gross Amount]]-Sales[[#This Row],[Disc. Amt.]]+Sales[[#This Row],[GST Amount]]</f>
        <v>5233.5360000000001</v>
      </c>
      <c r="O825" s="158" t="s">
        <v>3561</v>
      </c>
      <c r="P825" s="158" t="s">
        <v>3562</v>
      </c>
      <c r="Q825" s="160">
        <f>IF(Sales[[#This Row],[Status]]="Cancelled",0,Sales[[#This Row],[Qty]])</f>
        <v>3</v>
      </c>
      <c r="R825" s="161">
        <f>IF(Sales[[#This Row],[Status]]="Cancelled",0,Sales[[#This Row],[Total Amount]])</f>
        <v>5233.5360000000001</v>
      </c>
      <c r="S825" s="162">
        <f>SUM(Sales[Net Amount])</f>
        <v>406839287.73200053</v>
      </c>
    </row>
    <row r="826" spans="1:19" ht="18.75" x14ac:dyDescent="0.25">
      <c r="A826" s="163" t="s">
        <v>4411</v>
      </c>
      <c r="B826" s="164">
        <v>45821</v>
      </c>
      <c r="C826" s="34" t="s">
        <v>826</v>
      </c>
      <c r="D826" s="53" t="str">
        <f>VLOOKUP(Sales[[#This Row],[Customer ID]],Customer[#All],2,0)</f>
        <v>Sahil Sharma</v>
      </c>
      <c r="E826" s="34" t="s">
        <v>240</v>
      </c>
      <c r="F826" s="34" t="str">
        <f>VLOOKUP(Sales[[#This Row],[Product ID]],Product[#All],2,0)</f>
        <v>Crucial Ssd</v>
      </c>
      <c r="G826" s="53">
        <v>2</v>
      </c>
      <c r="H826" s="165">
        <f>VLOOKUP(Sales[[#This Row],[Product ID]],Product[#All],7,0)</f>
        <v>3310</v>
      </c>
      <c r="I826" s="165">
        <f>Sales[[#This Row],[Selling Rate]]*Sales[[#This Row],[Qty]]</f>
        <v>6620</v>
      </c>
      <c r="J826" s="45">
        <v>0.02</v>
      </c>
      <c r="K826" s="46">
        <f>Sales[[#This Row],[Gross Amount]]*Sales[[#This Row],[Disc %]]</f>
        <v>132.4</v>
      </c>
      <c r="L826" s="43">
        <v>0.18</v>
      </c>
      <c r="M826" s="46">
        <f>(Sales[[#This Row],[Gross Amount]]-Sales[[#This Row],[Disc. Amt.]])*Sales[[#This Row],[GST %]]</f>
        <v>1167.768</v>
      </c>
      <c r="N826" s="161">
        <f>Sales[[#This Row],[Gross Amount]]-Sales[[#This Row],[Disc. Amt.]]+Sales[[#This Row],[GST Amount]]</f>
        <v>7655.3680000000004</v>
      </c>
      <c r="O826" s="34" t="s">
        <v>3561</v>
      </c>
      <c r="P826" s="34" t="s">
        <v>3562</v>
      </c>
      <c r="Q826" s="165">
        <f>IF(Sales[[#This Row],[Status]]="Cancelled",0,Sales[[#This Row],[Qty]])</f>
        <v>2</v>
      </c>
      <c r="R826" s="166">
        <f>IF(Sales[[#This Row],[Status]]="Cancelled",0,Sales[[#This Row],[Total Amount]])</f>
        <v>7655.3680000000004</v>
      </c>
      <c r="S826" s="162">
        <f>SUM(Sales[Net Amount])</f>
        <v>406839287.73200053</v>
      </c>
    </row>
    <row r="827" spans="1:19" ht="18.75" x14ac:dyDescent="0.25">
      <c r="A827" s="156" t="s">
        <v>4412</v>
      </c>
      <c r="B827" s="157">
        <v>45821</v>
      </c>
      <c r="C827" s="158" t="s">
        <v>935</v>
      </c>
      <c r="D827" s="159" t="str">
        <f>VLOOKUP(Sales[[#This Row],[Customer ID]],Customer[#All],2,0)</f>
        <v>Ankit Kumar</v>
      </c>
      <c r="E827" s="158" t="s">
        <v>430</v>
      </c>
      <c r="F827" s="158" t="str">
        <f>VLOOKUP(Sales[[#This Row],[Product ID]],Product[#All],2,0)</f>
        <v>Jbl Speaker</v>
      </c>
      <c r="G827" s="159">
        <v>3</v>
      </c>
      <c r="H827" s="160">
        <f>VLOOKUP(Sales[[#This Row],[Product ID]],Product[#All],7,0)</f>
        <v>6890</v>
      </c>
      <c r="I827" s="160">
        <f>Sales[[#This Row],[Selling Rate]]*Sales[[#This Row],[Qty]]</f>
        <v>20670</v>
      </c>
      <c r="J827" s="43">
        <v>0.15</v>
      </c>
      <c r="K827" s="44">
        <f>Sales[[#This Row],[Gross Amount]]*Sales[[#This Row],[Disc %]]</f>
        <v>3100.5</v>
      </c>
      <c r="L827" s="43">
        <v>0.18</v>
      </c>
      <c r="M827" s="44">
        <f>(Sales[[#This Row],[Gross Amount]]-Sales[[#This Row],[Disc. Amt.]])*Sales[[#This Row],[GST %]]</f>
        <v>3162.5099999999998</v>
      </c>
      <c r="N827" s="161">
        <f>Sales[[#This Row],[Gross Amount]]-Sales[[#This Row],[Disc. Amt.]]+Sales[[#This Row],[GST Amount]]</f>
        <v>20732.009999999998</v>
      </c>
      <c r="O827" s="158" t="s">
        <v>3569</v>
      </c>
      <c r="P827" s="158" t="s">
        <v>3562</v>
      </c>
      <c r="Q827" s="160">
        <f>IF(Sales[[#This Row],[Status]]="Cancelled",0,Sales[[#This Row],[Qty]])</f>
        <v>3</v>
      </c>
      <c r="R827" s="161">
        <f>IF(Sales[[#This Row],[Status]]="Cancelled",0,Sales[[#This Row],[Total Amount]])</f>
        <v>20732.009999999998</v>
      </c>
      <c r="S827" s="162">
        <f>SUM(Sales[Net Amount])</f>
        <v>406839287.73200053</v>
      </c>
    </row>
    <row r="828" spans="1:19" ht="18.75" x14ac:dyDescent="0.25">
      <c r="A828" s="163" t="s">
        <v>4413</v>
      </c>
      <c r="B828" s="164">
        <v>45821</v>
      </c>
      <c r="C828" s="34" t="s">
        <v>871</v>
      </c>
      <c r="D828" s="53" t="str">
        <f>VLOOKUP(Sales[[#This Row],[Customer ID]],Customer[#All],2,0)</f>
        <v>Rakesh Kumar</v>
      </c>
      <c r="E828" s="34" t="s">
        <v>120</v>
      </c>
      <c r="F828" s="34" t="str">
        <f>VLOOKUP(Sales[[#This Row],[Product ID]],Product[#All],2,0)</f>
        <v>Boat Speaker</v>
      </c>
      <c r="G828" s="53">
        <v>1</v>
      </c>
      <c r="H828" s="165">
        <f>VLOOKUP(Sales[[#This Row],[Product ID]],Product[#All],7,0)</f>
        <v>6610</v>
      </c>
      <c r="I828" s="165">
        <f>Sales[[#This Row],[Selling Rate]]*Sales[[#This Row],[Qty]]</f>
        <v>6610</v>
      </c>
      <c r="J828" s="45">
        <v>0</v>
      </c>
      <c r="K828" s="46">
        <f>Sales[[#This Row],[Gross Amount]]*Sales[[#This Row],[Disc %]]</f>
        <v>0</v>
      </c>
      <c r="L828" s="43">
        <v>0.18</v>
      </c>
      <c r="M828" s="46">
        <f>(Sales[[#This Row],[Gross Amount]]-Sales[[#This Row],[Disc. Amt.]])*Sales[[#This Row],[GST %]]</f>
        <v>1189.8</v>
      </c>
      <c r="N828" s="161">
        <f>Sales[[#This Row],[Gross Amount]]-Sales[[#This Row],[Disc. Amt.]]+Sales[[#This Row],[GST Amount]]</f>
        <v>7799.8</v>
      </c>
      <c r="O828" s="34" t="s">
        <v>3561</v>
      </c>
      <c r="P828" s="34" t="s">
        <v>3562</v>
      </c>
      <c r="Q828" s="165">
        <f>IF(Sales[[#This Row],[Status]]="Cancelled",0,Sales[[#This Row],[Qty]])</f>
        <v>1</v>
      </c>
      <c r="R828" s="166">
        <f>IF(Sales[[#This Row],[Status]]="Cancelled",0,Sales[[#This Row],[Total Amount]])</f>
        <v>7799.8</v>
      </c>
      <c r="S828" s="162">
        <f>SUM(Sales[Net Amount])</f>
        <v>406839287.73200053</v>
      </c>
    </row>
    <row r="829" spans="1:19" ht="18.75" x14ac:dyDescent="0.25">
      <c r="A829" s="156" t="s">
        <v>4414</v>
      </c>
      <c r="B829" s="157">
        <v>45821</v>
      </c>
      <c r="C829" s="158" t="s">
        <v>689</v>
      </c>
      <c r="D829" s="159" t="str">
        <f>VLOOKUP(Sales[[#This Row],[Customer ID]],Customer[#All],2,0)</f>
        <v>Sahil Kumar</v>
      </c>
      <c r="E829" s="158" t="s">
        <v>466</v>
      </c>
      <c r="F829" s="158" t="str">
        <f>VLOOKUP(Sales[[#This Row],[Product ID]],Product[#All],2,0)</f>
        <v>Lenovo Laptop</v>
      </c>
      <c r="G829" s="159">
        <v>8</v>
      </c>
      <c r="H829" s="160">
        <f>VLOOKUP(Sales[[#This Row],[Product ID]],Product[#All],7,0)</f>
        <v>87730</v>
      </c>
      <c r="I829" s="160">
        <f>Sales[[#This Row],[Selling Rate]]*Sales[[#This Row],[Qty]]</f>
        <v>701840</v>
      </c>
      <c r="J829" s="43">
        <v>0.1</v>
      </c>
      <c r="K829" s="44">
        <f>Sales[[#This Row],[Gross Amount]]*Sales[[#This Row],[Disc %]]</f>
        <v>70184</v>
      </c>
      <c r="L829" s="43">
        <v>0.18</v>
      </c>
      <c r="M829" s="44">
        <f>(Sales[[#This Row],[Gross Amount]]-Sales[[#This Row],[Disc. Amt.]])*Sales[[#This Row],[GST %]]</f>
        <v>113698.08</v>
      </c>
      <c r="N829" s="161">
        <f>Sales[[#This Row],[Gross Amount]]-Sales[[#This Row],[Disc. Amt.]]+Sales[[#This Row],[GST Amount]]</f>
        <v>745354.08</v>
      </c>
      <c r="O829" s="158" t="s">
        <v>3569</v>
      </c>
      <c r="P829" s="158" t="s">
        <v>3562</v>
      </c>
      <c r="Q829" s="160">
        <f>IF(Sales[[#This Row],[Status]]="Cancelled",0,Sales[[#This Row],[Qty]])</f>
        <v>8</v>
      </c>
      <c r="R829" s="161">
        <f>IF(Sales[[#This Row],[Status]]="Cancelled",0,Sales[[#This Row],[Total Amount]])</f>
        <v>745354.08</v>
      </c>
      <c r="S829" s="162">
        <f>SUM(Sales[Net Amount])</f>
        <v>406839287.73200053</v>
      </c>
    </row>
    <row r="830" spans="1:19" ht="18.75" x14ac:dyDescent="0.25">
      <c r="A830" s="163" t="s">
        <v>4415</v>
      </c>
      <c r="B830" s="164">
        <v>45821</v>
      </c>
      <c r="C830" s="34" t="s">
        <v>764</v>
      </c>
      <c r="D830" s="53" t="str">
        <f>VLOOKUP(Sales[[#This Row],[Customer ID]],Customer[#All],2,0)</f>
        <v>Priya Gupta</v>
      </c>
      <c r="E830" s="34" t="s">
        <v>438</v>
      </c>
      <c r="F830" s="34" t="str">
        <f>VLOOKUP(Sales[[#This Row],[Product ID]],Product[#All],2,0)</f>
        <v>Jbl Headset</v>
      </c>
      <c r="G830" s="53">
        <v>5</v>
      </c>
      <c r="H830" s="165">
        <f>VLOOKUP(Sales[[#This Row],[Product ID]],Product[#All],7,0)</f>
        <v>1670</v>
      </c>
      <c r="I830" s="165">
        <f>Sales[[#This Row],[Selling Rate]]*Sales[[#This Row],[Qty]]</f>
        <v>8350</v>
      </c>
      <c r="J830" s="45">
        <v>0</v>
      </c>
      <c r="K830" s="46">
        <f>Sales[[#This Row],[Gross Amount]]*Sales[[#This Row],[Disc %]]</f>
        <v>0</v>
      </c>
      <c r="L830" s="43">
        <v>0.18</v>
      </c>
      <c r="M830" s="46">
        <f>(Sales[[#This Row],[Gross Amount]]-Sales[[#This Row],[Disc. Amt.]])*Sales[[#This Row],[GST %]]</f>
        <v>1503</v>
      </c>
      <c r="N830" s="161">
        <f>Sales[[#This Row],[Gross Amount]]-Sales[[#This Row],[Disc. Amt.]]+Sales[[#This Row],[GST Amount]]</f>
        <v>9853</v>
      </c>
      <c r="O830" s="34" t="s">
        <v>3569</v>
      </c>
      <c r="P830" s="34" t="s">
        <v>3562</v>
      </c>
      <c r="Q830" s="165">
        <f>IF(Sales[[#This Row],[Status]]="Cancelled",0,Sales[[#This Row],[Qty]])</f>
        <v>5</v>
      </c>
      <c r="R830" s="166">
        <f>IF(Sales[[#This Row],[Status]]="Cancelled",0,Sales[[#This Row],[Total Amount]])</f>
        <v>9853</v>
      </c>
      <c r="S830" s="162">
        <f>SUM(Sales[Net Amount])</f>
        <v>406839287.73200053</v>
      </c>
    </row>
    <row r="831" spans="1:19" ht="18.75" x14ac:dyDescent="0.25">
      <c r="A831" s="156" t="s">
        <v>4416</v>
      </c>
      <c r="B831" s="157">
        <v>45821</v>
      </c>
      <c r="C831" s="158" t="s">
        <v>908</v>
      </c>
      <c r="D831" s="159" t="str">
        <f>VLOOKUP(Sales[[#This Row],[Customer ID]],Customer[#All],2,0)</f>
        <v>Rahul Singh</v>
      </c>
      <c r="E831" s="158" t="s">
        <v>406</v>
      </c>
      <c r="F831" s="158" t="str">
        <f>VLOOKUP(Sales[[#This Row],[Product ID]],Product[#All],2,0)</f>
        <v>American TouristerLaptopBag</v>
      </c>
      <c r="G831" s="159">
        <v>2</v>
      </c>
      <c r="H831" s="160">
        <f>VLOOKUP(Sales[[#This Row],[Product ID]],Product[#All],7,0)</f>
        <v>1710</v>
      </c>
      <c r="I831" s="160">
        <f>Sales[[#This Row],[Selling Rate]]*Sales[[#This Row],[Qty]]</f>
        <v>3420</v>
      </c>
      <c r="J831" s="43">
        <v>0</v>
      </c>
      <c r="K831" s="44">
        <f>Sales[[#This Row],[Gross Amount]]*Sales[[#This Row],[Disc %]]</f>
        <v>0</v>
      </c>
      <c r="L831" s="43">
        <v>0.18</v>
      </c>
      <c r="M831" s="44">
        <f>(Sales[[#This Row],[Gross Amount]]-Sales[[#This Row],[Disc. Amt.]])*Sales[[#This Row],[GST %]]</f>
        <v>615.6</v>
      </c>
      <c r="N831" s="161">
        <f>Sales[[#This Row],[Gross Amount]]-Sales[[#This Row],[Disc. Amt.]]+Sales[[#This Row],[GST Amount]]</f>
        <v>4035.6</v>
      </c>
      <c r="O831" s="158" t="s">
        <v>8876</v>
      </c>
      <c r="P831" s="158" t="s">
        <v>3562</v>
      </c>
      <c r="Q831" s="160">
        <f>IF(Sales[[#This Row],[Status]]="Cancelled",0,Sales[[#This Row],[Qty]])</f>
        <v>2</v>
      </c>
      <c r="R831" s="161">
        <f>IF(Sales[[#This Row],[Status]]="Cancelled",0,Sales[[#This Row],[Total Amount]])</f>
        <v>4035.6</v>
      </c>
      <c r="S831" s="162">
        <f>SUM(Sales[Net Amount])</f>
        <v>406839287.73200053</v>
      </c>
    </row>
    <row r="832" spans="1:19" ht="18.75" x14ac:dyDescent="0.25">
      <c r="A832" s="163" t="s">
        <v>4417</v>
      </c>
      <c r="B832" s="164">
        <v>45821</v>
      </c>
      <c r="C832" s="34" t="s">
        <v>730</v>
      </c>
      <c r="D832" s="53" t="str">
        <f>VLOOKUP(Sales[[#This Row],[Customer ID]],Customer[#All],2,0)</f>
        <v>Neha Verma</v>
      </c>
      <c r="E832" s="34" t="s">
        <v>452</v>
      </c>
      <c r="F832" s="34" t="str">
        <f>VLOOKUP(Sales[[#This Row],[Product ID]],Product[#All],2,0)</f>
        <v>Amazon Basics Hdmi Cable</v>
      </c>
      <c r="G832" s="53">
        <v>6</v>
      </c>
      <c r="H832" s="165">
        <f>VLOOKUP(Sales[[#This Row],[Product ID]],Product[#All],7,0)</f>
        <v>920</v>
      </c>
      <c r="I832" s="165">
        <f>Sales[[#This Row],[Selling Rate]]*Sales[[#This Row],[Qty]]</f>
        <v>5520</v>
      </c>
      <c r="J832" s="45">
        <v>0.05</v>
      </c>
      <c r="K832" s="46">
        <f>Sales[[#This Row],[Gross Amount]]*Sales[[#This Row],[Disc %]]</f>
        <v>276</v>
      </c>
      <c r="L832" s="43">
        <v>0.18</v>
      </c>
      <c r="M832" s="46">
        <f>(Sales[[#This Row],[Gross Amount]]-Sales[[#This Row],[Disc. Amt.]])*Sales[[#This Row],[GST %]]</f>
        <v>943.92</v>
      </c>
      <c r="N832" s="161">
        <f>Sales[[#This Row],[Gross Amount]]-Sales[[#This Row],[Disc. Amt.]]+Sales[[#This Row],[GST Amount]]</f>
        <v>6187.92</v>
      </c>
      <c r="O832" s="34" t="s">
        <v>3561</v>
      </c>
      <c r="P832" s="34" t="s">
        <v>3562</v>
      </c>
      <c r="Q832" s="165">
        <f>IF(Sales[[#This Row],[Status]]="Cancelled",0,Sales[[#This Row],[Qty]])</f>
        <v>6</v>
      </c>
      <c r="R832" s="166">
        <f>IF(Sales[[#This Row],[Status]]="Cancelled",0,Sales[[#This Row],[Total Amount]])</f>
        <v>6187.92</v>
      </c>
      <c r="S832" s="162">
        <f>SUM(Sales[Net Amount])</f>
        <v>406839287.73200053</v>
      </c>
    </row>
    <row r="833" spans="1:19" ht="18.75" x14ac:dyDescent="0.25">
      <c r="A833" s="156" t="s">
        <v>4418</v>
      </c>
      <c r="B833" s="157">
        <v>45821</v>
      </c>
      <c r="C833" s="158" t="s">
        <v>810</v>
      </c>
      <c r="D833" s="159" t="str">
        <f>VLOOKUP(Sales[[#This Row],[Customer ID]],Customer[#All],2,0)</f>
        <v>Rahul Gupta</v>
      </c>
      <c r="E833" s="158" t="s">
        <v>454</v>
      </c>
      <c r="F833" s="158" t="str">
        <f>VLOOKUP(Sales[[#This Row],[Product ID]],Product[#All],2,0)</f>
        <v>Dell Monitor</v>
      </c>
      <c r="G833" s="159">
        <v>1</v>
      </c>
      <c r="H833" s="160">
        <f>VLOOKUP(Sales[[#This Row],[Product ID]],Product[#All],7,0)</f>
        <v>16760</v>
      </c>
      <c r="I833" s="160">
        <f>Sales[[#This Row],[Selling Rate]]*Sales[[#This Row],[Qty]]</f>
        <v>16760</v>
      </c>
      <c r="J833" s="43">
        <v>0.02</v>
      </c>
      <c r="K833" s="44">
        <f>Sales[[#This Row],[Gross Amount]]*Sales[[#This Row],[Disc %]]</f>
        <v>335.2</v>
      </c>
      <c r="L833" s="43">
        <v>0.18</v>
      </c>
      <c r="M833" s="44">
        <f>(Sales[[#This Row],[Gross Amount]]-Sales[[#This Row],[Disc. Amt.]])*Sales[[#This Row],[GST %]]</f>
        <v>2956.4639999999999</v>
      </c>
      <c r="N833" s="161">
        <f>Sales[[#This Row],[Gross Amount]]-Sales[[#This Row],[Disc. Amt.]]+Sales[[#This Row],[GST Amount]]</f>
        <v>19381.263999999999</v>
      </c>
      <c r="O833" s="158" t="s">
        <v>3569</v>
      </c>
      <c r="P833" s="158" t="s">
        <v>3562</v>
      </c>
      <c r="Q833" s="160">
        <f>IF(Sales[[#This Row],[Status]]="Cancelled",0,Sales[[#This Row],[Qty]])</f>
        <v>1</v>
      </c>
      <c r="R833" s="161">
        <f>IF(Sales[[#This Row],[Status]]="Cancelled",0,Sales[[#This Row],[Total Amount]])</f>
        <v>19381.263999999999</v>
      </c>
      <c r="S833" s="162">
        <f>SUM(Sales[Net Amount])</f>
        <v>406839287.73200053</v>
      </c>
    </row>
    <row r="834" spans="1:19" ht="18.75" x14ac:dyDescent="0.25">
      <c r="A834" s="163" t="s">
        <v>4419</v>
      </c>
      <c r="B834" s="164">
        <v>45821</v>
      </c>
      <c r="C834" s="34" t="s">
        <v>708</v>
      </c>
      <c r="D834" s="53" t="str">
        <f>VLOOKUP(Sales[[#This Row],[Customer ID]],Customer[#All],2,0)</f>
        <v>Amit Verma</v>
      </c>
      <c r="E834" s="34" t="s">
        <v>531</v>
      </c>
      <c r="F834" s="34" t="str">
        <f>VLOOKUP(Sales[[#This Row],[Product ID]],Product[#All],2,0)</f>
        <v>TP-link Router</v>
      </c>
      <c r="G834" s="53">
        <v>8</v>
      </c>
      <c r="H834" s="165">
        <f>VLOOKUP(Sales[[#This Row],[Product ID]],Product[#All],7,0)</f>
        <v>6730</v>
      </c>
      <c r="I834" s="165">
        <f>Sales[[#This Row],[Selling Rate]]*Sales[[#This Row],[Qty]]</f>
        <v>53840</v>
      </c>
      <c r="J834" s="45">
        <v>0.15</v>
      </c>
      <c r="K834" s="46">
        <f>Sales[[#This Row],[Gross Amount]]*Sales[[#This Row],[Disc %]]</f>
        <v>8076</v>
      </c>
      <c r="L834" s="43">
        <v>0.18</v>
      </c>
      <c r="M834" s="46">
        <f>(Sales[[#This Row],[Gross Amount]]-Sales[[#This Row],[Disc. Amt.]])*Sales[[#This Row],[GST %]]</f>
        <v>8237.52</v>
      </c>
      <c r="N834" s="161">
        <f>Sales[[#This Row],[Gross Amount]]-Sales[[#This Row],[Disc. Amt.]]+Sales[[#This Row],[GST Amount]]</f>
        <v>54001.520000000004</v>
      </c>
      <c r="O834" s="34" t="s">
        <v>3566</v>
      </c>
      <c r="P834" s="34" t="s">
        <v>3562</v>
      </c>
      <c r="Q834" s="165">
        <f>IF(Sales[[#This Row],[Status]]="Cancelled",0,Sales[[#This Row],[Qty]])</f>
        <v>8</v>
      </c>
      <c r="R834" s="166">
        <f>IF(Sales[[#This Row],[Status]]="Cancelled",0,Sales[[#This Row],[Total Amount]])</f>
        <v>54001.520000000004</v>
      </c>
      <c r="S834" s="162">
        <f>SUM(Sales[Net Amount])</f>
        <v>406839287.73200053</v>
      </c>
    </row>
    <row r="835" spans="1:19" ht="18.75" x14ac:dyDescent="0.25">
      <c r="A835" s="156" t="s">
        <v>4420</v>
      </c>
      <c r="B835" s="157">
        <v>45821</v>
      </c>
      <c r="C835" s="158" t="s">
        <v>914</v>
      </c>
      <c r="D835" s="159" t="str">
        <f>VLOOKUP(Sales[[#This Row],[Customer ID]],Customer[#All],2,0)</f>
        <v>Rakesh Patel</v>
      </c>
      <c r="E835" s="158" t="s">
        <v>139</v>
      </c>
      <c r="F835" s="158" t="str">
        <f>VLOOKUP(Sales[[#This Row],[Product ID]],Product[#All],2,0)</f>
        <v>HP Printer</v>
      </c>
      <c r="G835" s="159">
        <v>2</v>
      </c>
      <c r="H835" s="160">
        <f>VLOOKUP(Sales[[#This Row],[Product ID]],Product[#All],7,0)</f>
        <v>25260</v>
      </c>
      <c r="I835" s="160">
        <f>Sales[[#This Row],[Selling Rate]]*Sales[[#This Row],[Qty]]</f>
        <v>50520</v>
      </c>
      <c r="J835" s="43">
        <v>0.05</v>
      </c>
      <c r="K835" s="44">
        <f>Sales[[#This Row],[Gross Amount]]*Sales[[#This Row],[Disc %]]</f>
        <v>2526</v>
      </c>
      <c r="L835" s="43">
        <v>0.18</v>
      </c>
      <c r="M835" s="44">
        <f>(Sales[[#This Row],[Gross Amount]]-Sales[[#This Row],[Disc. Amt.]])*Sales[[#This Row],[GST %]]</f>
        <v>8638.92</v>
      </c>
      <c r="N835" s="161">
        <f>Sales[[#This Row],[Gross Amount]]-Sales[[#This Row],[Disc. Amt.]]+Sales[[#This Row],[GST Amount]]</f>
        <v>56632.92</v>
      </c>
      <c r="O835" s="158" t="s">
        <v>3566</v>
      </c>
      <c r="P835" s="158" t="s">
        <v>3562</v>
      </c>
      <c r="Q835" s="160">
        <f>IF(Sales[[#This Row],[Status]]="Cancelled",0,Sales[[#This Row],[Qty]])</f>
        <v>2</v>
      </c>
      <c r="R835" s="161">
        <f>IF(Sales[[#This Row],[Status]]="Cancelled",0,Sales[[#This Row],[Total Amount]])</f>
        <v>56632.92</v>
      </c>
      <c r="S835" s="162">
        <f>SUM(Sales[Net Amount])</f>
        <v>406839287.73200053</v>
      </c>
    </row>
    <row r="836" spans="1:19" ht="18.75" x14ac:dyDescent="0.25">
      <c r="A836" s="163" t="s">
        <v>4421</v>
      </c>
      <c r="B836" s="164">
        <v>45821</v>
      </c>
      <c r="C836" s="34" t="s">
        <v>779</v>
      </c>
      <c r="D836" s="53" t="str">
        <f>VLOOKUP(Sales[[#This Row],[Customer ID]],Customer[#All],2,0)</f>
        <v>Rakesh Verma</v>
      </c>
      <c r="E836" s="34" t="s">
        <v>339</v>
      </c>
      <c r="F836" s="34" t="str">
        <f>VLOOKUP(Sales[[#This Row],[Product ID]],Product[#All],2,0)</f>
        <v>Microtek UPS</v>
      </c>
      <c r="G836" s="53">
        <v>4</v>
      </c>
      <c r="H836" s="165">
        <f>VLOOKUP(Sales[[#This Row],[Product ID]],Product[#All],7,0)</f>
        <v>8400</v>
      </c>
      <c r="I836" s="165">
        <f>Sales[[#This Row],[Selling Rate]]*Sales[[#This Row],[Qty]]</f>
        <v>33600</v>
      </c>
      <c r="J836" s="45">
        <v>0.02</v>
      </c>
      <c r="K836" s="46">
        <f>Sales[[#This Row],[Gross Amount]]*Sales[[#This Row],[Disc %]]</f>
        <v>672</v>
      </c>
      <c r="L836" s="43">
        <v>0.18</v>
      </c>
      <c r="M836" s="46">
        <f>(Sales[[#This Row],[Gross Amount]]-Sales[[#This Row],[Disc. Amt.]])*Sales[[#This Row],[GST %]]</f>
        <v>5927.04</v>
      </c>
      <c r="N836" s="161">
        <f>Sales[[#This Row],[Gross Amount]]-Sales[[#This Row],[Disc. Amt.]]+Sales[[#This Row],[GST Amount]]</f>
        <v>38855.040000000001</v>
      </c>
      <c r="O836" s="34" t="s">
        <v>3569</v>
      </c>
      <c r="P836" s="34" t="s">
        <v>1040</v>
      </c>
      <c r="Q836" s="165">
        <f>IF(Sales[[#This Row],[Status]]="Cancelled",0,Sales[[#This Row],[Qty]])</f>
        <v>0</v>
      </c>
      <c r="R836" s="166">
        <f>IF(Sales[[#This Row],[Status]]="Cancelled",0,Sales[[#This Row],[Total Amount]])</f>
        <v>0</v>
      </c>
      <c r="S836" s="162">
        <f>SUM(Sales[Net Amount])</f>
        <v>406839287.73200053</v>
      </c>
    </row>
    <row r="837" spans="1:19" ht="18.75" x14ac:dyDescent="0.25">
      <c r="A837" s="156" t="s">
        <v>4422</v>
      </c>
      <c r="B837" s="157">
        <v>45821</v>
      </c>
      <c r="C837" s="158" t="s">
        <v>4423</v>
      </c>
      <c r="D837" s="159" t="str">
        <f>VLOOKUP(Sales[[#This Row],[Customer ID]],Customer[#All],2,0)</f>
        <v>Rakesh Sharma</v>
      </c>
      <c r="E837" s="158" t="s">
        <v>354</v>
      </c>
      <c r="F837" s="158" t="str">
        <f>VLOOKUP(Sales[[#This Row],[Product ID]],Product[#All],2,0)</f>
        <v>Dell Monitor</v>
      </c>
      <c r="G837" s="159">
        <v>8</v>
      </c>
      <c r="H837" s="160">
        <f>VLOOKUP(Sales[[#This Row],[Product ID]],Product[#All],7,0)</f>
        <v>12450</v>
      </c>
      <c r="I837" s="160">
        <f>Sales[[#This Row],[Selling Rate]]*Sales[[#This Row],[Qty]]</f>
        <v>99600</v>
      </c>
      <c r="J837" s="43">
        <v>0</v>
      </c>
      <c r="K837" s="44">
        <f>Sales[[#This Row],[Gross Amount]]*Sales[[#This Row],[Disc %]]</f>
        <v>0</v>
      </c>
      <c r="L837" s="43">
        <v>0.18</v>
      </c>
      <c r="M837" s="44">
        <f>(Sales[[#This Row],[Gross Amount]]-Sales[[#This Row],[Disc. Amt.]])*Sales[[#This Row],[GST %]]</f>
        <v>17928</v>
      </c>
      <c r="N837" s="161">
        <f>Sales[[#This Row],[Gross Amount]]-Sales[[#This Row],[Disc. Amt.]]+Sales[[#This Row],[GST Amount]]</f>
        <v>117528</v>
      </c>
      <c r="O837" s="158" t="s">
        <v>3569</v>
      </c>
      <c r="P837" s="158" t="s">
        <v>3562</v>
      </c>
      <c r="Q837" s="160">
        <f>IF(Sales[[#This Row],[Status]]="Cancelled",0,Sales[[#This Row],[Qty]])</f>
        <v>8</v>
      </c>
      <c r="R837" s="161">
        <f>IF(Sales[[#This Row],[Status]]="Cancelled",0,Sales[[#This Row],[Total Amount]])</f>
        <v>117528</v>
      </c>
      <c r="S837" s="162">
        <f>SUM(Sales[Net Amount])</f>
        <v>406839287.73200053</v>
      </c>
    </row>
    <row r="838" spans="1:19" ht="18.75" x14ac:dyDescent="0.25">
      <c r="A838" s="163" t="s">
        <v>4424</v>
      </c>
      <c r="B838" s="164">
        <v>45822</v>
      </c>
      <c r="C838" s="34" t="s">
        <v>805</v>
      </c>
      <c r="D838" s="53" t="str">
        <f>VLOOKUP(Sales[[#This Row],[Customer ID]],Customer[#All],2,0)</f>
        <v>Priya Kumar</v>
      </c>
      <c r="E838" s="34" t="s">
        <v>217</v>
      </c>
      <c r="F838" s="34" t="str">
        <f>VLOOKUP(Sales[[#This Row],[Product ID]],Product[#All],2,0)</f>
        <v>Logitech Webcam</v>
      </c>
      <c r="G838" s="53">
        <v>1</v>
      </c>
      <c r="H838" s="165">
        <f>VLOOKUP(Sales[[#This Row],[Product ID]],Product[#All],7,0)</f>
        <v>2420</v>
      </c>
      <c r="I838" s="165">
        <f>Sales[[#This Row],[Selling Rate]]*Sales[[#This Row],[Qty]]</f>
        <v>2420</v>
      </c>
      <c r="J838" s="45">
        <v>0.1</v>
      </c>
      <c r="K838" s="46">
        <f>Sales[[#This Row],[Gross Amount]]*Sales[[#This Row],[Disc %]]</f>
        <v>242</v>
      </c>
      <c r="L838" s="43">
        <v>0.18</v>
      </c>
      <c r="M838" s="46">
        <f>(Sales[[#This Row],[Gross Amount]]-Sales[[#This Row],[Disc. Amt.]])*Sales[[#This Row],[GST %]]</f>
        <v>392.03999999999996</v>
      </c>
      <c r="N838" s="161">
        <f>Sales[[#This Row],[Gross Amount]]-Sales[[#This Row],[Disc. Amt.]]+Sales[[#This Row],[GST Amount]]</f>
        <v>2570.04</v>
      </c>
      <c r="O838" s="34" t="s">
        <v>8876</v>
      </c>
      <c r="P838" s="34" t="s">
        <v>3562</v>
      </c>
      <c r="Q838" s="165">
        <f>IF(Sales[[#This Row],[Status]]="Cancelled",0,Sales[[#This Row],[Qty]])</f>
        <v>1</v>
      </c>
      <c r="R838" s="166">
        <f>IF(Sales[[#This Row],[Status]]="Cancelled",0,Sales[[#This Row],[Total Amount]])</f>
        <v>2570.04</v>
      </c>
      <c r="S838" s="162">
        <f>SUM(Sales[Net Amount])</f>
        <v>406839287.73200053</v>
      </c>
    </row>
    <row r="839" spans="1:19" ht="18.75" x14ac:dyDescent="0.25">
      <c r="A839" s="156" t="s">
        <v>4425</v>
      </c>
      <c r="B839" s="157">
        <v>45822</v>
      </c>
      <c r="C839" s="158" t="s">
        <v>676</v>
      </c>
      <c r="D839" s="159" t="str">
        <f>VLOOKUP(Sales[[#This Row],[Customer ID]],Customer[#All],2,0)</f>
        <v>Neha Singh</v>
      </c>
      <c r="E839" s="158" t="s">
        <v>240</v>
      </c>
      <c r="F839" s="158" t="str">
        <f>VLOOKUP(Sales[[#This Row],[Product ID]],Product[#All],2,0)</f>
        <v>Crucial Ssd</v>
      </c>
      <c r="G839" s="159">
        <v>6</v>
      </c>
      <c r="H839" s="160">
        <f>VLOOKUP(Sales[[#This Row],[Product ID]],Product[#All],7,0)</f>
        <v>3310</v>
      </c>
      <c r="I839" s="160">
        <f>Sales[[#This Row],[Selling Rate]]*Sales[[#This Row],[Qty]]</f>
        <v>19860</v>
      </c>
      <c r="J839" s="43">
        <v>0.05</v>
      </c>
      <c r="K839" s="44">
        <f>Sales[[#This Row],[Gross Amount]]*Sales[[#This Row],[Disc %]]</f>
        <v>993</v>
      </c>
      <c r="L839" s="43">
        <v>0.18</v>
      </c>
      <c r="M839" s="44">
        <f>(Sales[[#This Row],[Gross Amount]]-Sales[[#This Row],[Disc. Amt.]])*Sales[[#This Row],[GST %]]</f>
        <v>3396.06</v>
      </c>
      <c r="N839" s="161">
        <f>Sales[[#This Row],[Gross Amount]]-Sales[[#This Row],[Disc. Amt.]]+Sales[[#This Row],[GST Amount]]</f>
        <v>22263.06</v>
      </c>
      <c r="O839" s="158" t="s">
        <v>3566</v>
      </c>
      <c r="P839" s="158" t="s">
        <v>3562</v>
      </c>
      <c r="Q839" s="160">
        <f>IF(Sales[[#This Row],[Status]]="Cancelled",0,Sales[[#This Row],[Qty]])</f>
        <v>6</v>
      </c>
      <c r="R839" s="161">
        <f>IF(Sales[[#This Row],[Status]]="Cancelled",0,Sales[[#This Row],[Total Amount]])</f>
        <v>22263.06</v>
      </c>
      <c r="S839" s="162">
        <f>SUM(Sales[Net Amount])</f>
        <v>406839287.73200053</v>
      </c>
    </row>
    <row r="840" spans="1:19" ht="18.75" x14ac:dyDescent="0.25">
      <c r="A840" s="163" t="s">
        <v>4426</v>
      </c>
      <c r="B840" s="164">
        <v>45822</v>
      </c>
      <c r="C840" s="34" t="s">
        <v>667</v>
      </c>
      <c r="D840" s="53" t="str">
        <f>VLOOKUP(Sales[[#This Row],[Customer ID]],Customer[#All],2,0)</f>
        <v>Neha Gupta</v>
      </c>
      <c r="E840" s="34" t="s">
        <v>277</v>
      </c>
      <c r="F840" s="34" t="str">
        <f>VLOOKUP(Sales[[#This Row],[Product ID]],Product[#All],2,0)</f>
        <v>D-Link Router</v>
      </c>
      <c r="G840" s="53">
        <v>6</v>
      </c>
      <c r="H840" s="165">
        <f>VLOOKUP(Sales[[#This Row],[Product ID]],Product[#All],7,0)</f>
        <v>4630</v>
      </c>
      <c r="I840" s="165">
        <f>Sales[[#This Row],[Selling Rate]]*Sales[[#This Row],[Qty]]</f>
        <v>27780</v>
      </c>
      <c r="J840" s="45">
        <v>0.1</v>
      </c>
      <c r="K840" s="46">
        <f>Sales[[#This Row],[Gross Amount]]*Sales[[#This Row],[Disc %]]</f>
        <v>2778</v>
      </c>
      <c r="L840" s="43">
        <v>0.18</v>
      </c>
      <c r="M840" s="46">
        <f>(Sales[[#This Row],[Gross Amount]]-Sales[[#This Row],[Disc. Amt.]])*Sales[[#This Row],[GST %]]</f>
        <v>4500.3599999999997</v>
      </c>
      <c r="N840" s="161">
        <f>Sales[[#This Row],[Gross Amount]]-Sales[[#This Row],[Disc. Amt.]]+Sales[[#This Row],[GST Amount]]</f>
        <v>29502.36</v>
      </c>
      <c r="O840" s="34" t="s">
        <v>3566</v>
      </c>
      <c r="P840" s="34" t="s">
        <v>3562</v>
      </c>
      <c r="Q840" s="165">
        <f>IF(Sales[[#This Row],[Status]]="Cancelled",0,Sales[[#This Row],[Qty]])</f>
        <v>6</v>
      </c>
      <c r="R840" s="166">
        <f>IF(Sales[[#This Row],[Status]]="Cancelled",0,Sales[[#This Row],[Total Amount]])</f>
        <v>29502.36</v>
      </c>
      <c r="S840" s="162">
        <f>SUM(Sales[Net Amount])</f>
        <v>406839287.73200053</v>
      </c>
    </row>
    <row r="841" spans="1:19" ht="18.75" x14ac:dyDescent="0.25">
      <c r="A841" s="156" t="s">
        <v>4427</v>
      </c>
      <c r="B841" s="157">
        <v>45822</v>
      </c>
      <c r="C841" s="158" t="s">
        <v>707</v>
      </c>
      <c r="D841" s="159" t="str">
        <f>VLOOKUP(Sales[[#This Row],[Customer ID]],Customer[#All],2,0)</f>
        <v>Rahul Verma</v>
      </c>
      <c r="E841" s="158" t="s">
        <v>527</v>
      </c>
      <c r="F841" s="158" t="str">
        <f>VLOOKUP(Sales[[#This Row],[Product ID]],Product[#All],2,0)</f>
        <v>Acer Laptop</v>
      </c>
      <c r="G841" s="159">
        <v>4</v>
      </c>
      <c r="H841" s="160">
        <f>VLOOKUP(Sales[[#This Row],[Product ID]],Product[#All],7,0)</f>
        <v>29070</v>
      </c>
      <c r="I841" s="160">
        <f>Sales[[#This Row],[Selling Rate]]*Sales[[#This Row],[Qty]]</f>
        <v>116280</v>
      </c>
      <c r="J841" s="43">
        <v>0</v>
      </c>
      <c r="K841" s="44">
        <f>Sales[[#This Row],[Gross Amount]]*Sales[[#This Row],[Disc %]]</f>
        <v>0</v>
      </c>
      <c r="L841" s="43">
        <v>0.18</v>
      </c>
      <c r="M841" s="44">
        <f>(Sales[[#This Row],[Gross Amount]]-Sales[[#This Row],[Disc. Amt.]])*Sales[[#This Row],[GST %]]</f>
        <v>20930.399999999998</v>
      </c>
      <c r="N841" s="161">
        <f>Sales[[#This Row],[Gross Amount]]-Sales[[#This Row],[Disc. Amt.]]+Sales[[#This Row],[GST Amount]]</f>
        <v>137210.4</v>
      </c>
      <c r="O841" s="158" t="s">
        <v>3569</v>
      </c>
      <c r="P841" s="158" t="s">
        <v>3562</v>
      </c>
      <c r="Q841" s="160">
        <f>IF(Sales[[#This Row],[Status]]="Cancelled",0,Sales[[#This Row],[Qty]])</f>
        <v>4</v>
      </c>
      <c r="R841" s="161">
        <f>IF(Sales[[#This Row],[Status]]="Cancelled",0,Sales[[#This Row],[Total Amount]])</f>
        <v>137210.4</v>
      </c>
      <c r="S841" s="162">
        <f>SUM(Sales[Net Amount])</f>
        <v>406839287.73200053</v>
      </c>
    </row>
    <row r="842" spans="1:19" ht="18.75" x14ac:dyDescent="0.25">
      <c r="A842" s="163" t="s">
        <v>4428</v>
      </c>
      <c r="B842" s="164">
        <v>45822</v>
      </c>
      <c r="C842" s="34" t="s">
        <v>720</v>
      </c>
      <c r="D842" s="53" t="str">
        <f>VLOOKUP(Sales[[#This Row],[Customer ID]],Customer[#All],2,0)</f>
        <v>Rakesh Singh</v>
      </c>
      <c r="E842" s="34" t="s">
        <v>479</v>
      </c>
      <c r="F842" s="34" t="str">
        <f>VLOOKUP(Sales[[#This Row],[Product ID]],Product[#All],2,0)</f>
        <v>TP-link Router</v>
      </c>
      <c r="G842" s="53">
        <v>6</v>
      </c>
      <c r="H842" s="165">
        <f>VLOOKUP(Sales[[#This Row],[Product ID]],Product[#All],7,0)</f>
        <v>5740</v>
      </c>
      <c r="I842" s="165">
        <f>Sales[[#This Row],[Selling Rate]]*Sales[[#This Row],[Qty]]</f>
        <v>34440</v>
      </c>
      <c r="J842" s="45">
        <v>0.02</v>
      </c>
      <c r="K842" s="46">
        <f>Sales[[#This Row],[Gross Amount]]*Sales[[#This Row],[Disc %]]</f>
        <v>688.80000000000007</v>
      </c>
      <c r="L842" s="43">
        <v>0.18</v>
      </c>
      <c r="M842" s="46">
        <f>(Sales[[#This Row],[Gross Amount]]-Sales[[#This Row],[Disc. Amt.]])*Sales[[#This Row],[GST %]]</f>
        <v>6075.2159999999994</v>
      </c>
      <c r="N842" s="161">
        <f>Sales[[#This Row],[Gross Amount]]-Sales[[#This Row],[Disc. Amt.]]+Sales[[#This Row],[GST Amount]]</f>
        <v>39826.415999999997</v>
      </c>
      <c r="O842" s="34" t="s">
        <v>8876</v>
      </c>
      <c r="P842" s="34" t="s">
        <v>3562</v>
      </c>
      <c r="Q842" s="165">
        <f>IF(Sales[[#This Row],[Status]]="Cancelled",0,Sales[[#This Row],[Qty]])</f>
        <v>6</v>
      </c>
      <c r="R842" s="166">
        <f>IF(Sales[[#This Row],[Status]]="Cancelled",0,Sales[[#This Row],[Total Amount]])</f>
        <v>39826.415999999997</v>
      </c>
      <c r="S842" s="162">
        <f>SUM(Sales[Net Amount])</f>
        <v>406839287.73200053</v>
      </c>
    </row>
    <row r="843" spans="1:19" ht="18.75" x14ac:dyDescent="0.25">
      <c r="A843" s="156" t="s">
        <v>4429</v>
      </c>
      <c r="B843" s="157">
        <v>45822</v>
      </c>
      <c r="C843" s="158" t="s">
        <v>787</v>
      </c>
      <c r="D843" s="159" t="str">
        <f>VLOOKUP(Sales[[#This Row],[Customer ID]],Customer[#All],2,0)</f>
        <v>Amit Singh</v>
      </c>
      <c r="E843" s="158" t="s">
        <v>26</v>
      </c>
      <c r="F843" s="158" t="str">
        <f>VLOOKUP(Sales[[#This Row],[Product ID]],Product[#All],2,0)</f>
        <v>Lg Monitor</v>
      </c>
      <c r="G843" s="159">
        <v>3</v>
      </c>
      <c r="H843" s="160">
        <f>VLOOKUP(Sales[[#This Row],[Product ID]],Product[#All],7,0)</f>
        <v>21600</v>
      </c>
      <c r="I843" s="160">
        <f>Sales[[#This Row],[Selling Rate]]*Sales[[#This Row],[Qty]]</f>
        <v>64800</v>
      </c>
      <c r="J843" s="43">
        <v>0</v>
      </c>
      <c r="K843" s="44">
        <f>Sales[[#This Row],[Gross Amount]]*Sales[[#This Row],[Disc %]]</f>
        <v>0</v>
      </c>
      <c r="L843" s="43">
        <v>0.18</v>
      </c>
      <c r="M843" s="44">
        <f>(Sales[[#This Row],[Gross Amount]]-Sales[[#This Row],[Disc. Amt.]])*Sales[[#This Row],[GST %]]</f>
        <v>11664</v>
      </c>
      <c r="N843" s="161">
        <f>Sales[[#This Row],[Gross Amount]]-Sales[[#This Row],[Disc. Amt.]]+Sales[[#This Row],[GST Amount]]</f>
        <v>76464</v>
      </c>
      <c r="O843" s="158" t="s">
        <v>3561</v>
      </c>
      <c r="P843" s="158" t="s">
        <v>3562</v>
      </c>
      <c r="Q843" s="160">
        <f>IF(Sales[[#This Row],[Status]]="Cancelled",0,Sales[[#This Row],[Qty]])</f>
        <v>3</v>
      </c>
      <c r="R843" s="161">
        <f>IF(Sales[[#This Row],[Status]]="Cancelled",0,Sales[[#This Row],[Total Amount]])</f>
        <v>76464</v>
      </c>
      <c r="S843" s="162">
        <f>SUM(Sales[Net Amount])</f>
        <v>406839287.73200053</v>
      </c>
    </row>
    <row r="844" spans="1:19" ht="18.75" x14ac:dyDescent="0.25">
      <c r="A844" s="163" t="s">
        <v>4430</v>
      </c>
      <c r="B844" s="164">
        <v>45822</v>
      </c>
      <c r="C844" s="34" t="s">
        <v>926</v>
      </c>
      <c r="D844" s="53" t="str">
        <f>VLOOKUP(Sales[[#This Row],[Customer ID]],Customer[#All],2,0)</f>
        <v>Pooja Singh</v>
      </c>
      <c r="E844" s="34" t="s">
        <v>216</v>
      </c>
      <c r="F844" s="34" t="str">
        <f>VLOOKUP(Sales[[#This Row],[Product ID]],Product[#All],2,0)</f>
        <v>Amazon Basics Hdmi Cable</v>
      </c>
      <c r="G844" s="53">
        <v>3</v>
      </c>
      <c r="H844" s="165">
        <f>VLOOKUP(Sales[[#This Row],[Product ID]],Product[#All],7,0)</f>
        <v>1080</v>
      </c>
      <c r="I844" s="165">
        <f>Sales[[#This Row],[Selling Rate]]*Sales[[#This Row],[Qty]]</f>
        <v>3240</v>
      </c>
      <c r="J844" s="45">
        <v>0</v>
      </c>
      <c r="K844" s="46">
        <f>Sales[[#This Row],[Gross Amount]]*Sales[[#This Row],[Disc %]]</f>
        <v>0</v>
      </c>
      <c r="L844" s="43">
        <v>0.18</v>
      </c>
      <c r="M844" s="46">
        <f>(Sales[[#This Row],[Gross Amount]]-Sales[[#This Row],[Disc. Amt.]])*Sales[[#This Row],[GST %]]</f>
        <v>583.19999999999993</v>
      </c>
      <c r="N844" s="161">
        <f>Sales[[#This Row],[Gross Amount]]-Sales[[#This Row],[Disc. Amt.]]+Sales[[#This Row],[GST Amount]]</f>
        <v>3823.2</v>
      </c>
      <c r="O844" s="34" t="s">
        <v>3566</v>
      </c>
      <c r="P844" s="34" t="s">
        <v>3562</v>
      </c>
      <c r="Q844" s="165">
        <f>IF(Sales[[#This Row],[Status]]="Cancelled",0,Sales[[#This Row],[Qty]])</f>
        <v>3</v>
      </c>
      <c r="R844" s="166">
        <f>IF(Sales[[#This Row],[Status]]="Cancelled",0,Sales[[#This Row],[Total Amount]])</f>
        <v>3823.2</v>
      </c>
      <c r="S844" s="162">
        <f>SUM(Sales[Net Amount])</f>
        <v>406839287.73200053</v>
      </c>
    </row>
    <row r="845" spans="1:19" ht="18.75" x14ac:dyDescent="0.25">
      <c r="A845" s="156" t="s">
        <v>4431</v>
      </c>
      <c r="B845" s="157">
        <v>45822</v>
      </c>
      <c r="C845" s="158" t="s">
        <v>886</v>
      </c>
      <c r="D845" s="159" t="str">
        <f>VLOOKUP(Sales[[#This Row],[Customer ID]],Customer[#All],2,0)</f>
        <v>Sunita Gupta</v>
      </c>
      <c r="E845" s="158" t="s">
        <v>522</v>
      </c>
      <c r="F845" s="158" t="str">
        <f>VLOOKUP(Sales[[#This Row],[Product ID]],Product[#All],2,0)</f>
        <v>Dell Keyboard</v>
      </c>
      <c r="G845" s="159">
        <v>7</v>
      </c>
      <c r="H845" s="160">
        <f>VLOOKUP(Sales[[#This Row],[Product ID]],Product[#All],7,0)</f>
        <v>3020</v>
      </c>
      <c r="I845" s="160">
        <f>Sales[[#This Row],[Selling Rate]]*Sales[[#This Row],[Qty]]</f>
        <v>21140</v>
      </c>
      <c r="J845" s="43">
        <v>0.1</v>
      </c>
      <c r="K845" s="44">
        <f>Sales[[#This Row],[Gross Amount]]*Sales[[#This Row],[Disc %]]</f>
        <v>2114</v>
      </c>
      <c r="L845" s="43">
        <v>0.18</v>
      </c>
      <c r="M845" s="44">
        <f>(Sales[[#This Row],[Gross Amount]]-Sales[[#This Row],[Disc. Amt.]])*Sales[[#This Row],[GST %]]</f>
        <v>3424.68</v>
      </c>
      <c r="N845" s="161">
        <f>Sales[[#This Row],[Gross Amount]]-Sales[[#This Row],[Disc. Amt.]]+Sales[[#This Row],[GST Amount]]</f>
        <v>22450.68</v>
      </c>
      <c r="O845" s="158" t="s">
        <v>3566</v>
      </c>
      <c r="P845" s="158" t="s">
        <v>1040</v>
      </c>
      <c r="Q845" s="160">
        <f>IF(Sales[[#This Row],[Status]]="Cancelled",0,Sales[[#This Row],[Qty]])</f>
        <v>0</v>
      </c>
      <c r="R845" s="161">
        <f>IF(Sales[[#This Row],[Status]]="Cancelled",0,Sales[[#This Row],[Total Amount]])</f>
        <v>0</v>
      </c>
      <c r="S845" s="162">
        <f>SUM(Sales[Net Amount])</f>
        <v>406839287.73200053</v>
      </c>
    </row>
    <row r="846" spans="1:19" ht="18.75" x14ac:dyDescent="0.25">
      <c r="A846" s="163" t="s">
        <v>4432</v>
      </c>
      <c r="B846" s="164">
        <v>45822</v>
      </c>
      <c r="C846" s="34" t="s">
        <v>693</v>
      </c>
      <c r="D846" s="53" t="str">
        <f>VLOOKUP(Sales[[#This Row],[Customer ID]],Customer[#All],2,0)</f>
        <v>Rahul Gupta</v>
      </c>
      <c r="E846" s="34" t="s">
        <v>159</v>
      </c>
      <c r="F846" s="34" t="str">
        <f>VLOOKUP(Sales[[#This Row],[Product ID]],Product[#All],2,0)</f>
        <v>HP Laptop</v>
      </c>
      <c r="G846" s="53">
        <v>3</v>
      </c>
      <c r="H846" s="165">
        <f>VLOOKUP(Sales[[#This Row],[Product ID]],Product[#All],7,0)</f>
        <v>90020</v>
      </c>
      <c r="I846" s="165">
        <f>Sales[[#This Row],[Selling Rate]]*Sales[[#This Row],[Qty]]</f>
        <v>270060</v>
      </c>
      <c r="J846" s="45">
        <v>0.1</v>
      </c>
      <c r="K846" s="46">
        <f>Sales[[#This Row],[Gross Amount]]*Sales[[#This Row],[Disc %]]</f>
        <v>27006</v>
      </c>
      <c r="L846" s="43">
        <v>0.18</v>
      </c>
      <c r="M846" s="46">
        <f>(Sales[[#This Row],[Gross Amount]]-Sales[[#This Row],[Disc. Amt.]])*Sales[[#This Row],[GST %]]</f>
        <v>43749.72</v>
      </c>
      <c r="N846" s="161">
        <f>Sales[[#This Row],[Gross Amount]]-Sales[[#This Row],[Disc. Amt.]]+Sales[[#This Row],[GST Amount]]</f>
        <v>286803.71999999997</v>
      </c>
      <c r="O846" s="34" t="s">
        <v>3561</v>
      </c>
      <c r="P846" s="34" t="s">
        <v>3562</v>
      </c>
      <c r="Q846" s="165">
        <f>IF(Sales[[#This Row],[Status]]="Cancelled",0,Sales[[#This Row],[Qty]])</f>
        <v>3</v>
      </c>
      <c r="R846" s="166">
        <f>IF(Sales[[#This Row],[Status]]="Cancelled",0,Sales[[#This Row],[Total Amount]])</f>
        <v>286803.71999999997</v>
      </c>
      <c r="S846" s="162">
        <f>SUM(Sales[Net Amount])</f>
        <v>406839287.73200053</v>
      </c>
    </row>
    <row r="847" spans="1:19" ht="18.75" x14ac:dyDescent="0.25">
      <c r="A847" s="156" t="s">
        <v>4433</v>
      </c>
      <c r="B847" s="157">
        <v>45822</v>
      </c>
      <c r="C847" s="158" t="s">
        <v>922</v>
      </c>
      <c r="D847" s="159" t="str">
        <f>VLOOKUP(Sales[[#This Row],[Customer ID]],Customer[#All],2,0)</f>
        <v>Pooja Patel</v>
      </c>
      <c r="E847" s="158" t="s">
        <v>188</v>
      </c>
      <c r="F847" s="158" t="str">
        <f>VLOOKUP(Sales[[#This Row],[Product ID]],Product[#All],2,0)</f>
        <v>Crucial Ssd</v>
      </c>
      <c r="G847" s="159">
        <v>3</v>
      </c>
      <c r="H847" s="160">
        <f>VLOOKUP(Sales[[#This Row],[Product ID]],Product[#All],7,0)</f>
        <v>14390</v>
      </c>
      <c r="I847" s="160">
        <f>Sales[[#This Row],[Selling Rate]]*Sales[[#This Row],[Qty]]</f>
        <v>43170</v>
      </c>
      <c r="J847" s="43">
        <v>0.15</v>
      </c>
      <c r="K847" s="44">
        <f>Sales[[#This Row],[Gross Amount]]*Sales[[#This Row],[Disc %]]</f>
        <v>6475.5</v>
      </c>
      <c r="L847" s="43">
        <v>0.18</v>
      </c>
      <c r="M847" s="44">
        <f>(Sales[[#This Row],[Gross Amount]]-Sales[[#This Row],[Disc. Amt.]])*Sales[[#This Row],[GST %]]</f>
        <v>6605.0099999999993</v>
      </c>
      <c r="N847" s="161">
        <f>Sales[[#This Row],[Gross Amount]]-Sales[[#This Row],[Disc. Amt.]]+Sales[[#This Row],[GST Amount]]</f>
        <v>43299.51</v>
      </c>
      <c r="O847" s="158" t="s">
        <v>3566</v>
      </c>
      <c r="P847" s="158" t="s">
        <v>3562</v>
      </c>
      <c r="Q847" s="160">
        <f>IF(Sales[[#This Row],[Status]]="Cancelled",0,Sales[[#This Row],[Qty]])</f>
        <v>3</v>
      </c>
      <c r="R847" s="161">
        <f>IF(Sales[[#This Row],[Status]]="Cancelled",0,Sales[[#This Row],[Total Amount]])</f>
        <v>43299.51</v>
      </c>
      <c r="S847" s="162">
        <f>SUM(Sales[Net Amount])</f>
        <v>406839287.73200053</v>
      </c>
    </row>
    <row r="848" spans="1:19" ht="18.75" x14ac:dyDescent="0.25">
      <c r="A848" s="163" t="s">
        <v>4434</v>
      </c>
      <c r="B848" s="164">
        <v>45822</v>
      </c>
      <c r="C848" s="34" t="s">
        <v>691</v>
      </c>
      <c r="D848" s="53" t="str">
        <f>VLOOKUP(Sales[[#This Row],[Customer ID]],Customer[#All],2,0)</f>
        <v>Pooja Patel</v>
      </c>
      <c r="E848" s="34" t="s">
        <v>208</v>
      </c>
      <c r="F848" s="34" t="str">
        <f>VLOOKUP(Sales[[#This Row],[Product ID]],Product[#All],2,0)</f>
        <v>Dell Laptop</v>
      </c>
      <c r="G848" s="53">
        <v>2</v>
      </c>
      <c r="H848" s="165">
        <f>VLOOKUP(Sales[[#This Row],[Product ID]],Product[#All],7,0)</f>
        <v>67000</v>
      </c>
      <c r="I848" s="165">
        <f>Sales[[#This Row],[Selling Rate]]*Sales[[#This Row],[Qty]]</f>
        <v>134000</v>
      </c>
      <c r="J848" s="45">
        <v>0.15</v>
      </c>
      <c r="K848" s="46">
        <f>Sales[[#This Row],[Gross Amount]]*Sales[[#This Row],[Disc %]]</f>
        <v>20100</v>
      </c>
      <c r="L848" s="43">
        <v>0.18</v>
      </c>
      <c r="M848" s="46">
        <f>(Sales[[#This Row],[Gross Amount]]-Sales[[#This Row],[Disc. Amt.]])*Sales[[#This Row],[GST %]]</f>
        <v>20502</v>
      </c>
      <c r="N848" s="161">
        <f>Sales[[#This Row],[Gross Amount]]-Sales[[#This Row],[Disc. Amt.]]+Sales[[#This Row],[GST Amount]]</f>
        <v>134402</v>
      </c>
      <c r="O848" s="34" t="s">
        <v>3566</v>
      </c>
      <c r="P848" s="34" t="s">
        <v>3562</v>
      </c>
      <c r="Q848" s="165">
        <f>IF(Sales[[#This Row],[Status]]="Cancelled",0,Sales[[#This Row],[Qty]])</f>
        <v>2</v>
      </c>
      <c r="R848" s="166">
        <f>IF(Sales[[#This Row],[Status]]="Cancelled",0,Sales[[#This Row],[Total Amount]])</f>
        <v>134402</v>
      </c>
      <c r="S848" s="162">
        <f>SUM(Sales[Net Amount])</f>
        <v>406839287.73200053</v>
      </c>
    </row>
    <row r="849" spans="1:19" ht="18.75" x14ac:dyDescent="0.25">
      <c r="A849" s="156" t="s">
        <v>4435</v>
      </c>
      <c r="B849" s="157">
        <v>45822</v>
      </c>
      <c r="C849" s="158" t="s">
        <v>951</v>
      </c>
      <c r="D849" s="159" t="str">
        <f>VLOOKUP(Sales[[#This Row],[Customer ID]],Customer[#All],2,0)</f>
        <v>Rahul Singh</v>
      </c>
      <c r="E849" s="158" t="s">
        <v>460</v>
      </c>
      <c r="F849" s="158" t="str">
        <f>VLOOKUP(Sales[[#This Row],[Product ID]],Product[#All],2,0)</f>
        <v>Logitech Keyboard</v>
      </c>
      <c r="G849" s="159">
        <v>6</v>
      </c>
      <c r="H849" s="160">
        <f>VLOOKUP(Sales[[#This Row],[Product ID]],Product[#All],7,0)</f>
        <v>3050</v>
      </c>
      <c r="I849" s="160">
        <f>Sales[[#This Row],[Selling Rate]]*Sales[[#This Row],[Qty]]</f>
        <v>18300</v>
      </c>
      <c r="J849" s="43">
        <v>0.02</v>
      </c>
      <c r="K849" s="44">
        <f>Sales[[#This Row],[Gross Amount]]*Sales[[#This Row],[Disc %]]</f>
        <v>366</v>
      </c>
      <c r="L849" s="43">
        <v>0.18</v>
      </c>
      <c r="M849" s="44">
        <f>(Sales[[#This Row],[Gross Amount]]-Sales[[#This Row],[Disc. Amt.]])*Sales[[#This Row],[GST %]]</f>
        <v>3228.12</v>
      </c>
      <c r="N849" s="161">
        <f>Sales[[#This Row],[Gross Amount]]-Sales[[#This Row],[Disc. Amt.]]+Sales[[#This Row],[GST Amount]]</f>
        <v>21162.12</v>
      </c>
      <c r="O849" s="158" t="s">
        <v>3566</v>
      </c>
      <c r="P849" s="158" t="s">
        <v>3562</v>
      </c>
      <c r="Q849" s="160">
        <f>IF(Sales[[#This Row],[Status]]="Cancelled",0,Sales[[#This Row],[Qty]])</f>
        <v>6</v>
      </c>
      <c r="R849" s="161">
        <f>IF(Sales[[#This Row],[Status]]="Cancelled",0,Sales[[#This Row],[Total Amount]])</f>
        <v>21162.12</v>
      </c>
      <c r="S849" s="162">
        <f>SUM(Sales[Net Amount])</f>
        <v>406839287.73200053</v>
      </c>
    </row>
    <row r="850" spans="1:19" ht="18.75" x14ac:dyDescent="0.25">
      <c r="A850" s="163" t="s">
        <v>4436</v>
      </c>
      <c r="B850" s="164">
        <v>45822</v>
      </c>
      <c r="C850" s="34" t="s">
        <v>933</v>
      </c>
      <c r="D850" s="53" t="str">
        <f>VLOOKUP(Sales[[#This Row],[Customer ID]],Customer[#All],2,0)</f>
        <v>Vikas Verma</v>
      </c>
      <c r="E850" s="34" t="s">
        <v>551</v>
      </c>
      <c r="F850" s="34" t="str">
        <f>VLOOKUP(Sales[[#This Row],[Product ID]],Product[#All],2,0)</f>
        <v>Epson Printer</v>
      </c>
      <c r="G850" s="53">
        <v>5</v>
      </c>
      <c r="H850" s="165">
        <f>VLOOKUP(Sales[[#This Row],[Product ID]],Product[#All],7,0)</f>
        <v>38370</v>
      </c>
      <c r="I850" s="165">
        <f>Sales[[#This Row],[Selling Rate]]*Sales[[#This Row],[Qty]]</f>
        <v>191850</v>
      </c>
      <c r="J850" s="45">
        <v>0.1</v>
      </c>
      <c r="K850" s="46">
        <f>Sales[[#This Row],[Gross Amount]]*Sales[[#This Row],[Disc %]]</f>
        <v>19185</v>
      </c>
      <c r="L850" s="43">
        <v>0.18</v>
      </c>
      <c r="M850" s="46">
        <f>(Sales[[#This Row],[Gross Amount]]-Sales[[#This Row],[Disc. Amt.]])*Sales[[#This Row],[GST %]]</f>
        <v>31079.699999999997</v>
      </c>
      <c r="N850" s="161">
        <f>Sales[[#This Row],[Gross Amount]]-Sales[[#This Row],[Disc. Amt.]]+Sales[[#This Row],[GST Amount]]</f>
        <v>203744.7</v>
      </c>
      <c r="O850" s="34" t="s">
        <v>3569</v>
      </c>
      <c r="P850" s="34" t="s">
        <v>3562</v>
      </c>
      <c r="Q850" s="165">
        <f>IF(Sales[[#This Row],[Status]]="Cancelled",0,Sales[[#This Row],[Qty]])</f>
        <v>5</v>
      </c>
      <c r="R850" s="166">
        <f>IF(Sales[[#This Row],[Status]]="Cancelled",0,Sales[[#This Row],[Total Amount]])</f>
        <v>203744.7</v>
      </c>
      <c r="S850" s="162">
        <f>SUM(Sales[Net Amount])</f>
        <v>406839287.73200053</v>
      </c>
    </row>
    <row r="851" spans="1:19" ht="18.75" x14ac:dyDescent="0.25">
      <c r="A851" s="156" t="s">
        <v>4437</v>
      </c>
      <c r="B851" s="157">
        <v>45822</v>
      </c>
      <c r="C851" s="158" t="s">
        <v>916</v>
      </c>
      <c r="D851" s="159" t="str">
        <f>VLOOKUP(Sales[[#This Row],[Customer ID]],Customer[#All],2,0)</f>
        <v>Ankit Singh</v>
      </c>
      <c r="E851" s="158" t="s">
        <v>548</v>
      </c>
      <c r="F851" s="158" t="str">
        <f>VLOOKUP(Sales[[#This Row],[Product ID]],Product[#All],2,0)</f>
        <v>HP Power Adapter</v>
      </c>
      <c r="G851" s="159">
        <v>8</v>
      </c>
      <c r="H851" s="160">
        <f>VLOOKUP(Sales[[#This Row],[Product ID]],Product[#All],7,0)</f>
        <v>2470</v>
      </c>
      <c r="I851" s="160">
        <f>Sales[[#This Row],[Selling Rate]]*Sales[[#This Row],[Qty]]</f>
        <v>19760</v>
      </c>
      <c r="J851" s="43">
        <v>0.1</v>
      </c>
      <c r="K851" s="44">
        <f>Sales[[#This Row],[Gross Amount]]*Sales[[#This Row],[Disc %]]</f>
        <v>1976</v>
      </c>
      <c r="L851" s="43">
        <v>0.18</v>
      </c>
      <c r="M851" s="44">
        <f>(Sales[[#This Row],[Gross Amount]]-Sales[[#This Row],[Disc. Amt.]])*Sales[[#This Row],[GST %]]</f>
        <v>3201.12</v>
      </c>
      <c r="N851" s="161">
        <f>Sales[[#This Row],[Gross Amount]]-Sales[[#This Row],[Disc. Amt.]]+Sales[[#This Row],[GST Amount]]</f>
        <v>20985.119999999999</v>
      </c>
      <c r="O851" s="158" t="s">
        <v>3561</v>
      </c>
      <c r="P851" s="158" t="s">
        <v>3562</v>
      </c>
      <c r="Q851" s="160">
        <f>IF(Sales[[#This Row],[Status]]="Cancelled",0,Sales[[#This Row],[Qty]])</f>
        <v>8</v>
      </c>
      <c r="R851" s="161">
        <f>IF(Sales[[#This Row],[Status]]="Cancelled",0,Sales[[#This Row],[Total Amount]])</f>
        <v>20985.119999999999</v>
      </c>
      <c r="S851" s="162">
        <f>SUM(Sales[Net Amount])</f>
        <v>406839287.73200053</v>
      </c>
    </row>
    <row r="852" spans="1:19" ht="18.75" x14ac:dyDescent="0.25">
      <c r="A852" s="163" t="s">
        <v>4438</v>
      </c>
      <c r="B852" s="164">
        <v>45822</v>
      </c>
      <c r="C852" s="34" t="s">
        <v>939</v>
      </c>
      <c r="D852" s="53" t="str">
        <f>VLOOKUP(Sales[[#This Row],[Customer ID]],Customer[#All],2,0)</f>
        <v>Sunita Sharma</v>
      </c>
      <c r="E852" s="34" t="s">
        <v>114</v>
      </c>
      <c r="F852" s="34" t="str">
        <f>VLOOKUP(Sales[[#This Row],[Product ID]],Product[#All],2,0)</f>
        <v>Apc UPS</v>
      </c>
      <c r="G852" s="53">
        <v>2</v>
      </c>
      <c r="H852" s="165">
        <f>VLOOKUP(Sales[[#This Row],[Product ID]],Product[#All],7,0)</f>
        <v>17310</v>
      </c>
      <c r="I852" s="165">
        <f>Sales[[#This Row],[Selling Rate]]*Sales[[#This Row],[Qty]]</f>
        <v>34620</v>
      </c>
      <c r="J852" s="45">
        <v>0.15</v>
      </c>
      <c r="K852" s="46">
        <f>Sales[[#This Row],[Gross Amount]]*Sales[[#This Row],[Disc %]]</f>
        <v>5193</v>
      </c>
      <c r="L852" s="43">
        <v>0.18</v>
      </c>
      <c r="M852" s="46">
        <f>(Sales[[#This Row],[Gross Amount]]-Sales[[#This Row],[Disc. Amt.]])*Sales[[#This Row],[GST %]]</f>
        <v>5296.86</v>
      </c>
      <c r="N852" s="161">
        <f>Sales[[#This Row],[Gross Amount]]-Sales[[#This Row],[Disc. Amt.]]+Sales[[#This Row],[GST Amount]]</f>
        <v>34723.86</v>
      </c>
      <c r="O852" s="34" t="s">
        <v>3569</v>
      </c>
      <c r="P852" s="34" t="s">
        <v>3562</v>
      </c>
      <c r="Q852" s="165">
        <f>IF(Sales[[#This Row],[Status]]="Cancelled",0,Sales[[#This Row],[Qty]])</f>
        <v>2</v>
      </c>
      <c r="R852" s="166">
        <f>IF(Sales[[#This Row],[Status]]="Cancelled",0,Sales[[#This Row],[Total Amount]])</f>
        <v>34723.86</v>
      </c>
      <c r="S852" s="162">
        <f>SUM(Sales[Net Amount])</f>
        <v>406839287.73200053</v>
      </c>
    </row>
    <row r="853" spans="1:19" ht="18.75" x14ac:dyDescent="0.25">
      <c r="A853" s="156" t="s">
        <v>4439</v>
      </c>
      <c r="B853" s="157">
        <v>45822</v>
      </c>
      <c r="C853" s="158" t="s">
        <v>942</v>
      </c>
      <c r="D853" s="159" t="str">
        <f>VLOOKUP(Sales[[#This Row],[Customer ID]],Customer[#All],2,0)</f>
        <v>Sunita Kumar</v>
      </c>
      <c r="E853" s="158" t="s">
        <v>35</v>
      </c>
      <c r="F853" s="158" t="str">
        <f>VLOOKUP(Sales[[#This Row],[Product ID]],Product[#All],2,0)</f>
        <v>Dell Keyboard</v>
      </c>
      <c r="G853" s="159">
        <v>3</v>
      </c>
      <c r="H853" s="160">
        <f>VLOOKUP(Sales[[#This Row],[Product ID]],Product[#All],7,0)</f>
        <v>3560</v>
      </c>
      <c r="I853" s="160">
        <f>Sales[[#This Row],[Selling Rate]]*Sales[[#This Row],[Qty]]</f>
        <v>10680</v>
      </c>
      <c r="J853" s="43">
        <v>0</v>
      </c>
      <c r="K853" s="44">
        <f>Sales[[#This Row],[Gross Amount]]*Sales[[#This Row],[Disc %]]</f>
        <v>0</v>
      </c>
      <c r="L853" s="43">
        <v>0.18</v>
      </c>
      <c r="M853" s="44">
        <f>(Sales[[#This Row],[Gross Amount]]-Sales[[#This Row],[Disc. Amt.]])*Sales[[#This Row],[GST %]]</f>
        <v>1922.3999999999999</v>
      </c>
      <c r="N853" s="161">
        <f>Sales[[#This Row],[Gross Amount]]-Sales[[#This Row],[Disc. Amt.]]+Sales[[#This Row],[GST Amount]]</f>
        <v>12602.4</v>
      </c>
      <c r="O853" s="158" t="s">
        <v>3566</v>
      </c>
      <c r="P853" s="158" t="s">
        <v>3562</v>
      </c>
      <c r="Q853" s="160">
        <f>IF(Sales[[#This Row],[Status]]="Cancelled",0,Sales[[#This Row],[Qty]])</f>
        <v>3</v>
      </c>
      <c r="R853" s="161">
        <f>IF(Sales[[#This Row],[Status]]="Cancelled",0,Sales[[#This Row],[Total Amount]])</f>
        <v>12602.4</v>
      </c>
      <c r="S853" s="162">
        <f>SUM(Sales[Net Amount])</f>
        <v>406839287.73200053</v>
      </c>
    </row>
    <row r="854" spans="1:19" ht="18.75" x14ac:dyDescent="0.25">
      <c r="A854" s="163" t="s">
        <v>4440</v>
      </c>
      <c r="B854" s="164">
        <v>45822</v>
      </c>
      <c r="C854" s="34" t="s">
        <v>4441</v>
      </c>
      <c r="D854" s="53" t="str">
        <f>VLOOKUP(Sales[[#This Row],[Customer ID]],Customer[#All],2,0)</f>
        <v>Amit Singh</v>
      </c>
      <c r="E854" s="34" t="s">
        <v>167</v>
      </c>
      <c r="F854" s="34" t="str">
        <f>VLOOKUP(Sales[[#This Row],[Product ID]],Product[#All],2,0)</f>
        <v>Logitech Keyboard</v>
      </c>
      <c r="G854" s="53">
        <v>5</v>
      </c>
      <c r="H854" s="165">
        <f>VLOOKUP(Sales[[#This Row],[Product ID]],Product[#All],7,0)</f>
        <v>2460</v>
      </c>
      <c r="I854" s="165">
        <f>Sales[[#This Row],[Selling Rate]]*Sales[[#This Row],[Qty]]</f>
        <v>12300</v>
      </c>
      <c r="J854" s="45">
        <v>0</v>
      </c>
      <c r="K854" s="46">
        <f>Sales[[#This Row],[Gross Amount]]*Sales[[#This Row],[Disc %]]</f>
        <v>0</v>
      </c>
      <c r="L854" s="43">
        <v>0.18</v>
      </c>
      <c r="M854" s="46">
        <f>(Sales[[#This Row],[Gross Amount]]-Sales[[#This Row],[Disc. Amt.]])*Sales[[#This Row],[GST %]]</f>
        <v>2214</v>
      </c>
      <c r="N854" s="161">
        <f>Sales[[#This Row],[Gross Amount]]-Sales[[#This Row],[Disc. Amt.]]+Sales[[#This Row],[GST Amount]]</f>
        <v>14514</v>
      </c>
      <c r="O854" s="34" t="s">
        <v>8876</v>
      </c>
      <c r="P854" s="34" t="s">
        <v>3562</v>
      </c>
      <c r="Q854" s="165">
        <f>IF(Sales[[#This Row],[Status]]="Cancelled",0,Sales[[#This Row],[Qty]])</f>
        <v>5</v>
      </c>
      <c r="R854" s="166">
        <f>IF(Sales[[#This Row],[Status]]="Cancelled",0,Sales[[#This Row],[Total Amount]])</f>
        <v>14514</v>
      </c>
      <c r="S854" s="162">
        <f>SUM(Sales[Net Amount])</f>
        <v>406839287.73200053</v>
      </c>
    </row>
    <row r="855" spans="1:19" ht="18.75" x14ac:dyDescent="0.25">
      <c r="A855" s="156" t="s">
        <v>4442</v>
      </c>
      <c r="B855" s="157">
        <v>45823</v>
      </c>
      <c r="C855" s="158" t="s">
        <v>669</v>
      </c>
      <c r="D855" s="159" t="str">
        <f>VLOOKUP(Sales[[#This Row],[Customer ID]],Customer[#All],2,0)</f>
        <v>Sahil Kumar</v>
      </c>
      <c r="E855" s="158" t="s">
        <v>363</v>
      </c>
      <c r="F855" s="158" t="str">
        <f>VLOOKUP(Sales[[#This Row],[Product ID]],Product[#All],2,0)</f>
        <v>Dell Desktop</v>
      </c>
      <c r="G855" s="159">
        <v>7</v>
      </c>
      <c r="H855" s="160">
        <f>VLOOKUP(Sales[[#This Row],[Product ID]],Product[#All],7,0)</f>
        <v>37430</v>
      </c>
      <c r="I855" s="160">
        <f>Sales[[#This Row],[Selling Rate]]*Sales[[#This Row],[Qty]]</f>
        <v>262010</v>
      </c>
      <c r="J855" s="43">
        <v>0.12</v>
      </c>
      <c r="K855" s="44">
        <f>Sales[[#This Row],[Gross Amount]]*Sales[[#This Row],[Disc %]]</f>
        <v>31441.199999999997</v>
      </c>
      <c r="L855" s="43">
        <v>0.18</v>
      </c>
      <c r="M855" s="44">
        <f>(Sales[[#This Row],[Gross Amount]]-Sales[[#This Row],[Disc. Amt.]])*Sales[[#This Row],[GST %]]</f>
        <v>41502.383999999998</v>
      </c>
      <c r="N855" s="161">
        <f>Sales[[#This Row],[Gross Amount]]-Sales[[#This Row],[Disc. Amt.]]+Sales[[#This Row],[GST Amount]]</f>
        <v>272071.18400000001</v>
      </c>
      <c r="O855" s="158" t="s">
        <v>3561</v>
      </c>
      <c r="P855" s="158" t="s">
        <v>3562</v>
      </c>
      <c r="Q855" s="160">
        <f>IF(Sales[[#This Row],[Status]]="Cancelled",0,Sales[[#This Row],[Qty]])</f>
        <v>7</v>
      </c>
      <c r="R855" s="161">
        <f>IF(Sales[[#This Row],[Status]]="Cancelled",0,Sales[[#This Row],[Total Amount]])</f>
        <v>272071.18400000001</v>
      </c>
      <c r="S855" s="162">
        <f>SUM(Sales[Net Amount])</f>
        <v>406839287.73200053</v>
      </c>
    </row>
    <row r="856" spans="1:19" ht="18.75" x14ac:dyDescent="0.25">
      <c r="A856" s="163" t="s">
        <v>4443</v>
      </c>
      <c r="B856" s="164">
        <v>45823</v>
      </c>
      <c r="C856" s="34" t="s">
        <v>669</v>
      </c>
      <c r="D856" s="53" t="str">
        <f>VLOOKUP(Sales[[#This Row],[Customer ID]],Customer[#All],2,0)</f>
        <v>Sahil Kumar</v>
      </c>
      <c r="E856" s="34" t="s">
        <v>274</v>
      </c>
      <c r="F856" s="34" t="str">
        <f>VLOOKUP(Sales[[#This Row],[Product ID]],Product[#All],2,0)</f>
        <v>Dell Desktop</v>
      </c>
      <c r="G856" s="53">
        <v>8</v>
      </c>
      <c r="H856" s="165">
        <f>VLOOKUP(Sales[[#This Row],[Product ID]],Product[#All],7,0)</f>
        <v>54540</v>
      </c>
      <c r="I856" s="165">
        <f>Sales[[#This Row],[Selling Rate]]*Sales[[#This Row],[Qty]]</f>
        <v>436320</v>
      </c>
      <c r="J856" s="45">
        <v>0.1</v>
      </c>
      <c r="K856" s="46">
        <f>Sales[[#This Row],[Gross Amount]]*Sales[[#This Row],[Disc %]]</f>
        <v>43632</v>
      </c>
      <c r="L856" s="43">
        <v>0.18</v>
      </c>
      <c r="M856" s="46">
        <f>(Sales[[#This Row],[Gross Amount]]-Sales[[#This Row],[Disc. Amt.]])*Sales[[#This Row],[GST %]]</f>
        <v>70683.839999999997</v>
      </c>
      <c r="N856" s="161">
        <f>Sales[[#This Row],[Gross Amount]]-Sales[[#This Row],[Disc. Amt.]]+Sales[[#This Row],[GST Amount]]</f>
        <v>463371.83999999997</v>
      </c>
      <c r="O856" s="34" t="s">
        <v>3566</v>
      </c>
      <c r="P856" s="34" t="s">
        <v>3562</v>
      </c>
      <c r="Q856" s="165">
        <f>IF(Sales[[#This Row],[Status]]="Cancelled",0,Sales[[#This Row],[Qty]])</f>
        <v>8</v>
      </c>
      <c r="R856" s="166">
        <f>IF(Sales[[#This Row],[Status]]="Cancelled",0,Sales[[#This Row],[Total Amount]])</f>
        <v>463371.83999999997</v>
      </c>
      <c r="S856" s="162">
        <f>SUM(Sales[Net Amount])</f>
        <v>406839287.73200053</v>
      </c>
    </row>
    <row r="857" spans="1:19" ht="18.75" x14ac:dyDescent="0.25">
      <c r="A857" s="156" t="s">
        <v>4444</v>
      </c>
      <c r="B857" s="157">
        <v>45823</v>
      </c>
      <c r="C857" s="158" t="s">
        <v>912</v>
      </c>
      <c r="D857" s="159" t="str">
        <f>VLOOKUP(Sales[[#This Row],[Customer ID]],Customer[#All],2,0)</f>
        <v>Sunita Verma</v>
      </c>
      <c r="E857" s="158" t="s">
        <v>376</v>
      </c>
      <c r="F857" s="158" t="str">
        <f>VLOOKUP(Sales[[#This Row],[Product ID]],Product[#All],2,0)</f>
        <v>Lenovo Laptop</v>
      </c>
      <c r="G857" s="159">
        <v>5</v>
      </c>
      <c r="H857" s="160">
        <f>VLOOKUP(Sales[[#This Row],[Product ID]],Product[#All],7,0)</f>
        <v>38140</v>
      </c>
      <c r="I857" s="160">
        <f>Sales[[#This Row],[Selling Rate]]*Sales[[#This Row],[Qty]]</f>
        <v>190700</v>
      </c>
      <c r="J857" s="43">
        <v>0.02</v>
      </c>
      <c r="K857" s="44">
        <f>Sales[[#This Row],[Gross Amount]]*Sales[[#This Row],[Disc %]]</f>
        <v>3814</v>
      </c>
      <c r="L857" s="43">
        <v>0.18</v>
      </c>
      <c r="M857" s="44">
        <f>(Sales[[#This Row],[Gross Amount]]-Sales[[#This Row],[Disc. Amt.]])*Sales[[#This Row],[GST %]]</f>
        <v>33639.479999999996</v>
      </c>
      <c r="N857" s="161">
        <f>Sales[[#This Row],[Gross Amount]]-Sales[[#This Row],[Disc. Amt.]]+Sales[[#This Row],[GST Amount]]</f>
        <v>220525.47999999998</v>
      </c>
      <c r="O857" s="158" t="s">
        <v>3566</v>
      </c>
      <c r="P857" s="158" t="s">
        <v>3562</v>
      </c>
      <c r="Q857" s="160">
        <f>IF(Sales[[#This Row],[Status]]="Cancelled",0,Sales[[#This Row],[Qty]])</f>
        <v>5</v>
      </c>
      <c r="R857" s="161">
        <f>IF(Sales[[#This Row],[Status]]="Cancelled",0,Sales[[#This Row],[Total Amount]])</f>
        <v>220525.47999999998</v>
      </c>
      <c r="S857" s="162">
        <f>SUM(Sales[Net Amount])</f>
        <v>406839287.73200053</v>
      </c>
    </row>
    <row r="858" spans="1:19" ht="18.75" x14ac:dyDescent="0.25">
      <c r="A858" s="163" t="s">
        <v>4445</v>
      </c>
      <c r="B858" s="164">
        <v>45823</v>
      </c>
      <c r="C858" s="34" t="s">
        <v>718</v>
      </c>
      <c r="D858" s="53" t="str">
        <f>VLOOKUP(Sales[[#This Row],[Customer ID]],Customer[#All],2,0)</f>
        <v>Rakesh Patel</v>
      </c>
      <c r="E858" s="34" t="s">
        <v>129</v>
      </c>
      <c r="F858" s="34" t="str">
        <f>VLOOKUP(Sales[[#This Row],[Product ID]],Product[#All],2,0)</f>
        <v>Logitech Mouse</v>
      </c>
      <c r="G858" s="53">
        <v>6</v>
      </c>
      <c r="H858" s="165">
        <f>VLOOKUP(Sales[[#This Row],[Product ID]],Product[#All],7,0)</f>
        <v>2000</v>
      </c>
      <c r="I858" s="165">
        <f>Sales[[#This Row],[Selling Rate]]*Sales[[#This Row],[Qty]]</f>
        <v>12000</v>
      </c>
      <c r="J858" s="45">
        <v>0.15</v>
      </c>
      <c r="K858" s="46">
        <f>Sales[[#This Row],[Gross Amount]]*Sales[[#This Row],[Disc %]]</f>
        <v>1800</v>
      </c>
      <c r="L858" s="43">
        <v>0.18</v>
      </c>
      <c r="M858" s="46">
        <f>(Sales[[#This Row],[Gross Amount]]-Sales[[#This Row],[Disc. Amt.]])*Sales[[#This Row],[GST %]]</f>
        <v>1836</v>
      </c>
      <c r="N858" s="161">
        <f>Sales[[#This Row],[Gross Amount]]-Sales[[#This Row],[Disc. Amt.]]+Sales[[#This Row],[GST Amount]]</f>
        <v>12036</v>
      </c>
      <c r="O858" s="34" t="s">
        <v>3566</v>
      </c>
      <c r="P858" s="34" t="s">
        <v>3562</v>
      </c>
      <c r="Q858" s="165">
        <f>IF(Sales[[#This Row],[Status]]="Cancelled",0,Sales[[#This Row],[Qty]])</f>
        <v>6</v>
      </c>
      <c r="R858" s="166">
        <f>IF(Sales[[#This Row],[Status]]="Cancelled",0,Sales[[#This Row],[Total Amount]])</f>
        <v>12036</v>
      </c>
      <c r="S858" s="162">
        <f>SUM(Sales[Net Amount])</f>
        <v>406839287.73200053</v>
      </c>
    </row>
    <row r="859" spans="1:19" ht="18.75" x14ac:dyDescent="0.25">
      <c r="A859" s="156" t="s">
        <v>4446</v>
      </c>
      <c r="B859" s="157">
        <v>45823</v>
      </c>
      <c r="C859" s="158" t="s">
        <v>898</v>
      </c>
      <c r="D859" s="159" t="str">
        <f>VLOOKUP(Sales[[#This Row],[Customer ID]],Customer[#All],2,0)</f>
        <v>Rahul Singh</v>
      </c>
      <c r="E859" s="158" t="s">
        <v>86</v>
      </c>
      <c r="F859" s="158" t="str">
        <f>VLOOKUP(Sales[[#This Row],[Product ID]],Product[#All],2,0)</f>
        <v>Lg Monitor</v>
      </c>
      <c r="G859" s="159">
        <v>6</v>
      </c>
      <c r="H859" s="160">
        <f>VLOOKUP(Sales[[#This Row],[Product ID]],Product[#All],7,0)</f>
        <v>14730</v>
      </c>
      <c r="I859" s="160">
        <f>Sales[[#This Row],[Selling Rate]]*Sales[[#This Row],[Qty]]</f>
        <v>88380</v>
      </c>
      <c r="J859" s="43">
        <v>0.15</v>
      </c>
      <c r="K859" s="44">
        <f>Sales[[#This Row],[Gross Amount]]*Sales[[#This Row],[Disc %]]</f>
        <v>13257</v>
      </c>
      <c r="L859" s="43">
        <v>0.18</v>
      </c>
      <c r="M859" s="44">
        <f>(Sales[[#This Row],[Gross Amount]]-Sales[[#This Row],[Disc. Amt.]])*Sales[[#This Row],[GST %]]</f>
        <v>13522.14</v>
      </c>
      <c r="N859" s="161">
        <f>Sales[[#This Row],[Gross Amount]]-Sales[[#This Row],[Disc. Amt.]]+Sales[[#This Row],[GST Amount]]</f>
        <v>88645.14</v>
      </c>
      <c r="O859" s="158" t="s">
        <v>3561</v>
      </c>
      <c r="P859" s="158" t="s">
        <v>1040</v>
      </c>
      <c r="Q859" s="160">
        <f>IF(Sales[[#This Row],[Status]]="Cancelled",0,Sales[[#This Row],[Qty]])</f>
        <v>0</v>
      </c>
      <c r="R859" s="161">
        <f>IF(Sales[[#This Row],[Status]]="Cancelled",0,Sales[[#This Row],[Total Amount]])</f>
        <v>0</v>
      </c>
      <c r="S859" s="162">
        <f>SUM(Sales[Net Amount])</f>
        <v>406839287.73200053</v>
      </c>
    </row>
    <row r="860" spans="1:19" ht="18.75" x14ac:dyDescent="0.25">
      <c r="A860" s="163" t="s">
        <v>4447</v>
      </c>
      <c r="B860" s="164">
        <v>45823</v>
      </c>
      <c r="C860" s="34" t="s">
        <v>937</v>
      </c>
      <c r="D860" s="53" t="str">
        <f>VLOOKUP(Sales[[#This Row],[Customer ID]],Customer[#All],2,0)</f>
        <v>Rahul Singh</v>
      </c>
      <c r="E860" s="34" t="s">
        <v>441</v>
      </c>
      <c r="F860" s="34" t="str">
        <f>VLOOKUP(Sales[[#This Row],[Product ID]],Product[#All],2,0)</f>
        <v>Jbl Headset</v>
      </c>
      <c r="G860" s="53">
        <v>5</v>
      </c>
      <c r="H860" s="165">
        <f>VLOOKUP(Sales[[#This Row],[Product ID]],Product[#All],7,0)</f>
        <v>3650</v>
      </c>
      <c r="I860" s="165">
        <f>Sales[[#This Row],[Selling Rate]]*Sales[[#This Row],[Qty]]</f>
        <v>18250</v>
      </c>
      <c r="J860" s="45">
        <v>0.02</v>
      </c>
      <c r="K860" s="46">
        <f>Sales[[#This Row],[Gross Amount]]*Sales[[#This Row],[Disc %]]</f>
        <v>365</v>
      </c>
      <c r="L860" s="43">
        <v>0.18</v>
      </c>
      <c r="M860" s="46">
        <f>(Sales[[#This Row],[Gross Amount]]-Sales[[#This Row],[Disc. Amt.]])*Sales[[#This Row],[GST %]]</f>
        <v>3219.2999999999997</v>
      </c>
      <c r="N860" s="161">
        <f>Sales[[#This Row],[Gross Amount]]-Sales[[#This Row],[Disc. Amt.]]+Sales[[#This Row],[GST Amount]]</f>
        <v>21104.3</v>
      </c>
      <c r="O860" s="34" t="s">
        <v>3569</v>
      </c>
      <c r="P860" s="34" t="s">
        <v>3562</v>
      </c>
      <c r="Q860" s="165">
        <f>IF(Sales[[#This Row],[Status]]="Cancelled",0,Sales[[#This Row],[Qty]])</f>
        <v>5</v>
      </c>
      <c r="R860" s="166">
        <f>IF(Sales[[#This Row],[Status]]="Cancelled",0,Sales[[#This Row],[Total Amount]])</f>
        <v>21104.3</v>
      </c>
      <c r="S860" s="162">
        <f>SUM(Sales[Net Amount])</f>
        <v>406839287.73200053</v>
      </c>
    </row>
    <row r="861" spans="1:19" ht="18.75" x14ac:dyDescent="0.25">
      <c r="A861" s="156" t="s">
        <v>4448</v>
      </c>
      <c r="B861" s="157">
        <v>45823</v>
      </c>
      <c r="C861" s="158" t="s">
        <v>830</v>
      </c>
      <c r="D861" s="159" t="str">
        <f>VLOOKUP(Sales[[#This Row],[Customer ID]],Customer[#All],2,0)</f>
        <v>Rakesh Singh</v>
      </c>
      <c r="E861" s="158" t="s">
        <v>53</v>
      </c>
      <c r="F861" s="158" t="str">
        <f>VLOOKUP(Sales[[#This Row],[Product ID]],Product[#All],2,0)</f>
        <v>Microtek UPS</v>
      </c>
      <c r="G861" s="159">
        <v>1</v>
      </c>
      <c r="H861" s="160">
        <f>VLOOKUP(Sales[[#This Row],[Product ID]],Product[#All],7,0)</f>
        <v>13040</v>
      </c>
      <c r="I861" s="160">
        <f>Sales[[#This Row],[Selling Rate]]*Sales[[#This Row],[Qty]]</f>
        <v>13040</v>
      </c>
      <c r="J861" s="43">
        <v>0.05</v>
      </c>
      <c r="K861" s="44">
        <f>Sales[[#This Row],[Gross Amount]]*Sales[[#This Row],[Disc %]]</f>
        <v>652</v>
      </c>
      <c r="L861" s="43">
        <v>0.18</v>
      </c>
      <c r="M861" s="44">
        <f>(Sales[[#This Row],[Gross Amount]]-Sales[[#This Row],[Disc. Amt.]])*Sales[[#This Row],[GST %]]</f>
        <v>2229.8399999999997</v>
      </c>
      <c r="N861" s="161">
        <f>Sales[[#This Row],[Gross Amount]]-Sales[[#This Row],[Disc. Amt.]]+Sales[[#This Row],[GST Amount]]</f>
        <v>14617.84</v>
      </c>
      <c r="O861" s="158" t="s">
        <v>8876</v>
      </c>
      <c r="P861" s="158" t="s">
        <v>3562</v>
      </c>
      <c r="Q861" s="160">
        <f>IF(Sales[[#This Row],[Status]]="Cancelled",0,Sales[[#This Row],[Qty]])</f>
        <v>1</v>
      </c>
      <c r="R861" s="161">
        <f>IF(Sales[[#This Row],[Status]]="Cancelled",0,Sales[[#This Row],[Total Amount]])</f>
        <v>14617.84</v>
      </c>
      <c r="S861" s="162">
        <f>SUM(Sales[Net Amount])</f>
        <v>406839287.73200053</v>
      </c>
    </row>
    <row r="862" spans="1:19" ht="18.75" x14ac:dyDescent="0.25">
      <c r="A862" s="163" t="s">
        <v>4449</v>
      </c>
      <c r="B862" s="164">
        <v>45823</v>
      </c>
      <c r="C862" s="34" t="s">
        <v>872</v>
      </c>
      <c r="D862" s="53" t="str">
        <f>VLOOKUP(Sales[[#This Row],[Customer ID]],Customer[#All],2,0)</f>
        <v>Rahul Verma</v>
      </c>
      <c r="E862" s="34" t="s">
        <v>519</v>
      </c>
      <c r="F862" s="34" t="str">
        <f>VLOOKUP(Sales[[#This Row],[Product ID]],Product[#All],2,0)</f>
        <v>WD HDD</v>
      </c>
      <c r="G862" s="53">
        <v>3</v>
      </c>
      <c r="H862" s="165">
        <f>VLOOKUP(Sales[[#This Row],[Product ID]],Product[#All],7,0)</f>
        <v>8730</v>
      </c>
      <c r="I862" s="165">
        <f>Sales[[#This Row],[Selling Rate]]*Sales[[#This Row],[Qty]]</f>
        <v>26190</v>
      </c>
      <c r="J862" s="45">
        <v>0</v>
      </c>
      <c r="K862" s="46">
        <f>Sales[[#This Row],[Gross Amount]]*Sales[[#This Row],[Disc %]]</f>
        <v>0</v>
      </c>
      <c r="L862" s="43">
        <v>0.18</v>
      </c>
      <c r="M862" s="46">
        <f>(Sales[[#This Row],[Gross Amount]]-Sales[[#This Row],[Disc. Amt.]])*Sales[[#This Row],[GST %]]</f>
        <v>4714.2</v>
      </c>
      <c r="N862" s="161">
        <f>Sales[[#This Row],[Gross Amount]]-Sales[[#This Row],[Disc. Amt.]]+Sales[[#This Row],[GST Amount]]</f>
        <v>30904.2</v>
      </c>
      <c r="O862" s="34" t="s">
        <v>3566</v>
      </c>
      <c r="P862" s="34" t="s">
        <v>3562</v>
      </c>
      <c r="Q862" s="165">
        <f>IF(Sales[[#This Row],[Status]]="Cancelled",0,Sales[[#This Row],[Qty]])</f>
        <v>3</v>
      </c>
      <c r="R862" s="166">
        <f>IF(Sales[[#This Row],[Status]]="Cancelled",0,Sales[[#This Row],[Total Amount]])</f>
        <v>30904.2</v>
      </c>
      <c r="S862" s="162">
        <f>SUM(Sales[Net Amount])</f>
        <v>406839287.73200053</v>
      </c>
    </row>
    <row r="863" spans="1:19" ht="18.75" x14ac:dyDescent="0.25">
      <c r="A863" s="156" t="s">
        <v>4450</v>
      </c>
      <c r="B863" s="157">
        <v>45823</v>
      </c>
      <c r="C863" s="158" t="s">
        <v>700</v>
      </c>
      <c r="D863" s="159" t="str">
        <f>VLOOKUP(Sales[[#This Row],[Customer ID]],Customer[#All],2,0)</f>
        <v>Ankit Gupta</v>
      </c>
      <c r="E863" s="158" t="s">
        <v>342</v>
      </c>
      <c r="F863" s="158" t="str">
        <f>VLOOKUP(Sales[[#This Row],[Product ID]],Product[#All],2,0)</f>
        <v>HP Laptop</v>
      </c>
      <c r="G863" s="159">
        <v>8</v>
      </c>
      <c r="H863" s="160">
        <f>VLOOKUP(Sales[[#This Row],[Product ID]],Product[#All],7,0)</f>
        <v>66290</v>
      </c>
      <c r="I863" s="160">
        <f>Sales[[#This Row],[Selling Rate]]*Sales[[#This Row],[Qty]]</f>
        <v>530320</v>
      </c>
      <c r="J863" s="43">
        <v>0.15</v>
      </c>
      <c r="K863" s="44">
        <f>Sales[[#This Row],[Gross Amount]]*Sales[[#This Row],[Disc %]]</f>
        <v>79548</v>
      </c>
      <c r="L863" s="43">
        <v>0.18</v>
      </c>
      <c r="M863" s="44">
        <f>(Sales[[#This Row],[Gross Amount]]-Sales[[#This Row],[Disc. Amt.]])*Sales[[#This Row],[GST %]]</f>
        <v>81138.959999999992</v>
      </c>
      <c r="N863" s="161">
        <f>Sales[[#This Row],[Gross Amount]]-Sales[[#This Row],[Disc. Amt.]]+Sales[[#This Row],[GST Amount]]</f>
        <v>531910.96</v>
      </c>
      <c r="O863" s="158" t="s">
        <v>3561</v>
      </c>
      <c r="P863" s="158" t="s">
        <v>3562</v>
      </c>
      <c r="Q863" s="160">
        <f>IF(Sales[[#This Row],[Status]]="Cancelled",0,Sales[[#This Row],[Qty]])</f>
        <v>8</v>
      </c>
      <c r="R863" s="161">
        <f>IF(Sales[[#This Row],[Status]]="Cancelled",0,Sales[[#This Row],[Total Amount]])</f>
        <v>531910.96</v>
      </c>
      <c r="S863" s="162">
        <f>SUM(Sales[Net Amount])</f>
        <v>406839287.73200053</v>
      </c>
    </row>
    <row r="864" spans="1:19" ht="18.75" x14ac:dyDescent="0.25">
      <c r="A864" s="163" t="s">
        <v>4451</v>
      </c>
      <c r="B864" s="164">
        <v>45823</v>
      </c>
      <c r="C864" s="34" t="s">
        <v>858</v>
      </c>
      <c r="D864" s="53" t="str">
        <f>VLOOKUP(Sales[[#This Row],[Customer ID]],Customer[#All],2,0)</f>
        <v>Neha Sharma</v>
      </c>
      <c r="E864" s="34" t="s">
        <v>126</v>
      </c>
      <c r="F864" s="34" t="str">
        <f>VLOOKUP(Sales[[#This Row],[Product ID]],Product[#All],2,0)</f>
        <v>Epson Printer</v>
      </c>
      <c r="G864" s="53">
        <v>4</v>
      </c>
      <c r="H864" s="165">
        <f>VLOOKUP(Sales[[#This Row],[Product ID]],Product[#All],7,0)</f>
        <v>23980</v>
      </c>
      <c r="I864" s="165">
        <f>Sales[[#This Row],[Selling Rate]]*Sales[[#This Row],[Qty]]</f>
        <v>95920</v>
      </c>
      <c r="J864" s="45">
        <v>0.15</v>
      </c>
      <c r="K864" s="46">
        <f>Sales[[#This Row],[Gross Amount]]*Sales[[#This Row],[Disc %]]</f>
        <v>14388</v>
      </c>
      <c r="L864" s="43">
        <v>0.18</v>
      </c>
      <c r="M864" s="46">
        <f>(Sales[[#This Row],[Gross Amount]]-Sales[[#This Row],[Disc. Amt.]])*Sales[[#This Row],[GST %]]</f>
        <v>14675.76</v>
      </c>
      <c r="N864" s="161">
        <f>Sales[[#This Row],[Gross Amount]]-Sales[[#This Row],[Disc. Amt.]]+Sales[[#This Row],[GST Amount]]</f>
        <v>96207.76</v>
      </c>
      <c r="O864" s="34" t="s">
        <v>8876</v>
      </c>
      <c r="P864" s="34" t="s">
        <v>3562</v>
      </c>
      <c r="Q864" s="165">
        <f>IF(Sales[[#This Row],[Status]]="Cancelled",0,Sales[[#This Row],[Qty]])</f>
        <v>4</v>
      </c>
      <c r="R864" s="166">
        <f>IF(Sales[[#This Row],[Status]]="Cancelled",0,Sales[[#This Row],[Total Amount]])</f>
        <v>96207.76</v>
      </c>
      <c r="S864" s="162">
        <f>SUM(Sales[Net Amount])</f>
        <v>406839287.73200053</v>
      </c>
    </row>
    <row r="865" spans="1:19" ht="18.75" x14ac:dyDescent="0.25">
      <c r="A865" s="156" t="s">
        <v>4452</v>
      </c>
      <c r="B865" s="157">
        <v>45823</v>
      </c>
      <c r="C865" s="158" t="s">
        <v>862</v>
      </c>
      <c r="D865" s="159" t="str">
        <f>VLOOKUP(Sales[[#This Row],[Customer ID]],Customer[#All],2,0)</f>
        <v>Rakesh Sharma</v>
      </c>
      <c r="E865" s="158" t="s">
        <v>508</v>
      </c>
      <c r="F865" s="158" t="str">
        <f>VLOOKUP(Sales[[#This Row],[Product ID]],Product[#All],2,0)</f>
        <v>American TouristerLaptopBag</v>
      </c>
      <c r="G865" s="159">
        <v>7</v>
      </c>
      <c r="H865" s="160">
        <f>VLOOKUP(Sales[[#This Row],[Product ID]],Product[#All],7,0)</f>
        <v>2340</v>
      </c>
      <c r="I865" s="160">
        <f>Sales[[#This Row],[Selling Rate]]*Sales[[#This Row],[Qty]]</f>
        <v>16380</v>
      </c>
      <c r="J865" s="43">
        <v>0.02</v>
      </c>
      <c r="K865" s="44">
        <f>Sales[[#This Row],[Gross Amount]]*Sales[[#This Row],[Disc %]]</f>
        <v>327.60000000000002</v>
      </c>
      <c r="L865" s="43">
        <v>0.18</v>
      </c>
      <c r="M865" s="44">
        <f>(Sales[[#This Row],[Gross Amount]]-Sales[[#This Row],[Disc. Amt.]])*Sales[[#This Row],[GST %]]</f>
        <v>2889.4319999999998</v>
      </c>
      <c r="N865" s="161">
        <f>Sales[[#This Row],[Gross Amount]]-Sales[[#This Row],[Disc. Amt.]]+Sales[[#This Row],[GST Amount]]</f>
        <v>18941.831999999999</v>
      </c>
      <c r="O865" s="158" t="s">
        <v>8876</v>
      </c>
      <c r="P865" s="158" t="s">
        <v>3562</v>
      </c>
      <c r="Q865" s="160">
        <f>IF(Sales[[#This Row],[Status]]="Cancelled",0,Sales[[#This Row],[Qty]])</f>
        <v>7</v>
      </c>
      <c r="R865" s="161">
        <f>IF(Sales[[#This Row],[Status]]="Cancelled",0,Sales[[#This Row],[Total Amount]])</f>
        <v>18941.831999999999</v>
      </c>
      <c r="S865" s="162">
        <f>SUM(Sales[Net Amount])</f>
        <v>406839287.73200053</v>
      </c>
    </row>
    <row r="866" spans="1:19" ht="18.75" x14ac:dyDescent="0.25">
      <c r="A866" s="163" t="s">
        <v>4453</v>
      </c>
      <c r="B866" s="164">
        <v>45823</v>
      </c>
      <c r="C866" s="34" t="s">
        <v>856</v>
      </c>
      <c r="D866" s="53" t="str">
        <f>VLOOKUP(Sales[[#This Row],[Customer ID]],Customer[#All],2,0)</f>
        <v>Sunita Verma</v>
      </c>
      <c r="E866" s="34" t="s">
        <v>75</v>
      </c>
      <c r="F866" s="34" t="str">
        <f>VLOOKUP(Sales[[#This Row],[Product ID]],Product[#All],2,0)</f>
        <v>Samsung Monitor</v>
      </c>
      <c r="G866" s="53">
        <v>8</v>
      </c>
      <c r="H866" s="165">
        <f>VLOOKUP(Sales[[#This Row],[Product ID]],Product[#All],7,0)</f>
        <v>30810</v>
      </c>
      <c r="I866" s="165">
        <f>Sales[[#This Row],[Selling Rate]]*Sales[[#This Row],[Qty]]</f>
        <v>246480</v>
      </c>
      <c r="J866" s="45">
        <v>0.1</v>
      </c>
      <c r="K866" s="46">
        <f>Sales[[#This Row],[Gross Amount]]*Sales[[#This Row],[Disc %]]</f>
        <v>24648</v>
      </c>
      <c r="L866" s="43">
        <v>0.18</v>
      </c>
      <c r="M866" s="46">
        <f>(Sales[[#This Row],[Gross Amount]]-Sales[[#This Row],[Disc. Amt.]])*Sales[[#This Row],[GST %]]</f>
        <v>39929.760000000002</v>
      </c>
      <c r="N866" s="161">
        <f>Sales[[#This Row],[Gross Amount]]-Sales[[#This Row],[Disc. Amt.]]+Sales[[#This Row],[GST Amount]]</f>
        <v>261761.76</v>
      </c>
      <c r="O866" s="34" t="s">
        <v>3566</v>
      </c>
      <c r="P866" s="34" t="s">
        <v>3562</v>
      </c>
      <c r="Q866" s="165">
        <f>IF(Sales[[#This Row],[Status]]="Cancelled",0,Sales[[#This Row],[Qty]])</f>
        <v>8</v>
      </c>
      <c r="R866" s="166">
        <f>IF(Sales[[#This Row],[Status]]="Cancelled",0,Sales[[#This Row],[Total Amount]])</f>
        <v>261761.76</v>
      </c>
      <c r="S866" s="162">
        <f>SUM(Sales[Net Amount])</f>
        <v>406839287.73200053</v>
      </c>
    </row>
    <row r="867" spans="1:19" ht="18.75" x14ac:dyDescent="0.25">
      <c r="A867" s="156" t="s">
        <v>4454</v>
      </c>
      <c r="B867" s="157">
        <v>45823</v>
      </c>
      <c r="C867" s="158" t="s">
        <v>668</v>
      </c>
      <c r="D867" s="159" t="str">
        <f>VLOOKUP(Sales[[#This Row],[Customer ID]],Customer[#All],2,0)</f>
        <v>Rahul Patel</v>
      </c>
      <c r="E867" s="158" t="s">
        <v>100</v>
      </c>
      <c r="F867" s="158" t="str">
        <f>VLOOKUP(Sales[[#This Row],[Product ID]],Product[#All],2,0)</f>
        <v>Portronics USB Cable</v>
      </c>
      <c r="G867" s="159">
        <v>5</v>
      </c>
      <c r="H867" s="160">
        <f>VLOOKUP(Sales[[#This Row],[Product ID]],Product[#All],7,0)</f>
        <v>210</v>
      </c>
      <c r="I867" s="160">
        <f>Sales[[#This Row],[Selling Rate]]*Sales[[#This Row],[Qty]]</f>
        <v>1050</v>
      </c>
      <c r="J867" s="43">
        <v>0.02</v>
      </c>
      <c r="K867" s="44">
        <f>Sales[[#This Row],[Gross Amount]]*Sales[[#This Row],[Disc %]]</f>
        <v>21</v>
      </c>
      <c r="L867" s="43">
        <v>0.18</v>
      </c>
      <c r="M867" s="44">
        <f>(Sales[[#This Row],[Gross Amount]]-Sales[[#This Row],[Disc. Amt.]])*Sales[[#This Row],[GST %]]</f>
        <v>185.22</v>
      </c>
      <c r="N867" s="161">
        <f>Sales[[#This Row],[Gross Amount]]-Sales[[#This Row],[Disc. Amt.]]+Sales[[#This Row],[GST Amount]]</f>
        <v>1214.22</v>
      </c>
      <c r="O867" s="158" t="s">
        <v>8876</v>
      </c>
      <c r="P867" s="158" t="s">
        <v>3562</v>
      </c>
      <c r="Q867" s="160">
        <f>IF(Sales[[#This Row],[Status]]="Cancelled",0,Sales[[#This Row],[Qty]])</f>
        <v>5</v>
      </c>
      <c r="R867" s="161">
        <f>IF(Sales[[#This Row],[Status]]="Cancelled",0,Sales[[#This Row],[Total Amount]])</f>
        <v>1214.22</v>
      </c>
      <c r="S867" s="162">
        <f>SUM(Sales[Net Amount])</f>
        <v>406839287.73200053</v>
      </c>
    </row>
    <row r="868" spans="1:19" ht="18.75" x14ac:dyDescent="0.25">
      <c r="A868" s="163" t="s">
        <v>4455</v>
      </c>
      <c r="B868" s="164">
        <v>45823</v>
      </c>
      <c r="C868" s="34" t="s">
        <v>910</v>
      </c>
      <c r="D868" s="53" t="str">
        <f>VLOOKUP(Sales[[#This Row],[Customer ID]],Customer[#All],2,0)</f>
        <v>Sahil Sharma</v>
      </c>
      <c r="E868" s="34" t="s">
        <v>15</v>
      </c>
      <c r="F868" s="34" t="str">
        <f>VLOOKUP(Sales[[#This Row],[Product ID]],Product[#All],2,0)</f>
        <v>Sandisk Pen Drive</v>
      </c>
      <c r="G868" s="53">
        <v>1</v>
      </c>
      <c r="H868" s="165">
        <f>VLOOKUP(Sales[[#This Row],[Product ID]],Product[#All],7,0)</f>
        <v>4530</v>
      </c>
      <c r="I868" s="165">
        <f>Sales[[#This Row],[Selling Rate]]*Sales[[#This Row],[Qty]]</f>
        <v>4530</v>
      </c>
      <c r="J868" s="45">
        <v>0.05</v>
      </c>
      <c r="K868" s="46">
        <f>Sales[[#This Row],[Gross Amount]]*Sales[[#This Row],[Disc %]]</f>
        <v>226.5</v>
      </c>
      <c r="L868" s="43">
        <v>0.18</v>
      </c>
      <c r="M868" s="46">
        <f>(Sales[[#This Row],[Gross Amount]]-Sales[[#This Row],[Disc. Amt.]])*Sales[[#This Row],[GST %]]</f>
        <v>774.63</v>
      </c>
      <c r="N868" s="161">
        <f>Sales[[#This Row],[Gross Amount]]-Sales[[#This Row],[Disc. Amt.]]+Sales[[#This Row],[GST Amount]]</f>
        <v>5078.13</v>
      </c>
      <c r="O868" s="34" t="s">
        <v>3569</v>
      </c>
      <c r="P868" s="34" t="s">
        <v>3562</v>
      </c>
      <c r="Q868" s="165">
        <f>IF(Sales[[#This Row],[Status]]="Cancelled",0,Sales[[#This Row],[Qty]])</f>
        <v>1</v>
      </c>
      <c r="R868" s="166">
        <f>IF(Sales[[#This Row],[Status]]="Cancelled",0,Sales[[#This Row],[Total Amount]])</f>
        <v>5078.13</v>
      </c>
      <c r="S868" s="162">
        <f>SUM(Sales[Net Amount])</f>
        <v>406839287.73200053</v>
      </c>
    </row>
    <row r="869" spans="1:19" ht="18.75" x14ac:dyDescent="0.25">
      <c r="A869" s="156" t="s">
        <v>4456</v>
      </c>
      <c r="B869" s="157">
        <v>45823</v>
      </c>
      <c r="C869" s="158" t="s">
        <v>657</v>
      </c>
      <c r="D869" s="159" t="str">
        <f>VLOOKUP(Sales[[#This Row],[Customer ID]],Customer[#All],2,0)</f>
        <v>Rahul Verma</v>
      </c>
      <c r="E869" s="158" t="s">
        <v>320</v>
      </c>
      <c r="F869" s="158" t="str">
        <f>VLOOKUP(Sales[[#This Row],[Product ID]],Product[#All],2,0)</f>
        <v>Seagate HDD</v>
      </c>
      <c r="G869" s="159">
        <v>6</v>
      </c>
      <c r="H869" s="160">
        <f>VLOOKUP(Sales[[#This Row],[Product ID]],Product[#All],7,0)</f>
        <v>12040</v>
      </c>
      <c r="I869" s="160">
        <f>Sales[[#This Row],[Selling Rate]]*Sales[[#This Row],[Qty]]</f>
        <v>72240</v>
      </c>
      <c r="J869" s="43">
        <v>0.1</v>
      </c>
      <c r="K869" s="44">
        <f>Sales[[#This Row],[Gross Amount]]*Sales[[#This Row],[Disc %]]</f>
        <v>7224</v>
      </c>
      <c r="L869" s="43">
        <v>0.18</v>
      </c>
      <c r="M869" s="44">
        <f>(Sales[[#This Row],[Gross Amount]]-Sales[[#This Row],[Disc. Amt.]])*Sales[[#This Row],[GST %]]</f>
        <v>11702.88</v>
      </c>
      <c r="N869" s="161">
        <f>Sales[[#This Row],[Gross Amount]]-Sales[[#This Row],[Disc. Amt.]]+Sales[[#This Row],[GST Amount]]</f>
        <v>76718.880000000005</v>
      </c>
      <c r="O869" s="158" t="s">
        <v>8876</v>
      </c>
      <c r="P869" s="158" t="s">
        <v>3562</v>
      </c>
      <c r="Q869" s="160">
        <f>IF(Sales[[#This Row],[Status]]="Cancelled",0,Sales[[#This Row],[Qty]])</f>
        <v>6</v>
      </c>
      <c r="R869" s="161">
        <f>IF(Sales[[#This Row],[Status]]="Cancelled",0,Sales[[#This Row],[Total Amount]])</f>
        <v>76718.880000000005</v>
      </c>
      <c r="S869" s="162">
        <f>SUM(Sales[Net Amount])</f>
        <v>406839287.73200053</v>
      </c>
    </row>
    <row r="870" spans="1:19" ht="18.75" x14ac:dyDescent="0.25">
      <c r="A870" s="163" t="s">
        <v>4457</v>
      </c>
      <c r="B870" s="164">
        <v>45823</v>
      </c>
      <c r="C870" s="34" t="s">
        <v>669</v>
      </c>
      <c r="D870" s="53" t="str">
        <f>VLOOKUP(Sales[[#This Row],[Customer ID]],Customer[#All],2,0)</f>
        <v>Sahil Kumar</v>
      </c>
      <c r="E870" s="34" t="s">
        <v>418</v>
      </c>
      <c r="F870" s="34" t="str">
        <f>VLOOKUP(Sales[[#This Row],[Product ID]],Product[#All],2,0)</f>
        <v>TP-link Router</v>
      </c>
      <c r="G870" s="53">
        <v>6</v>
      </c>
      <c r="H870" s="165">
        <f>VLOOKUP(Sales[[#This Row],[Product ID]],Product[#All],7,0)</f>
        <v>6750</v>
      </c>
      <c r="I870" s="165">
        <f>Sales[[#This Row],[Selling Rate]]*Sales[[#This Row],[Qty]]</f>
        <v>40500</v>
      </c>
      <c r="J870" s="45">
        <v>0.1</v>
      </c>
      <c r="K870" s="46">
        <f>Sales[[#This Row],[Gross Amount]]*Sales[[#This Row],[Disc %]]</f>
        <v>4050</v>
      </c>
      <c r="L870" s="43">
        <v>0.18</v>
      </c>
      <c r="M870" s="46">
        <f>(Sales[[#This Row],[Gross Amount]]-Sales[[#This Row],[Disc. Amt.]])*Sales[[#This Row],[GST %]]</f>
        <v>6561</v>
      </c>
      <c r="N870" s="161">
        <f>Sales[[#This Row],[Gross Amount]]-Sales[[#This Row],[Disc. Amt.]]+Sales[[#This Row],[GST Amount]]</f>
        <v>43011</v>
      </c>
      <c r="O870" s="34" t="s">
        <v>3569</v>
      </c>
      <c r="P870" s="34" t="s">
        <v>3562</v>
      </c>
      <c r="Q870" s="165">
        <f>IF(Sales[[#This Row],[Status]]="Cancelled",0,Sales[[#This Row],[Qty]])</f>
        <v>6</v>
      </c>
      <c r="R870" s="166">
        <f>IF(Sales[[#This Row],[Status]]="Cancelled",0,Sales[[#This Row],[Total Amount]])</f>
        <v>43011</v>
      </c>
      <c r="S870" s="162">
        <f>SUM(Sales[Net Amount])</f>
        <v>406839287.73200053</v>
      </c>
    </row>
    <row r="871" spans="1:19" ht="18.75" x14ac:dyDescent="0.25">
      <c r="A871" s="156" t="s">
        <v>4458</v>
      </c>
      <c r="B871" s="157">
        <v>45823</v>
      </c>
      <c r="C871" s="158" t="s">
        <v>847</v>
      </c>
      <c r="D871" s="159" t="str">
        <f>VLOOKUP(Sales[[#This Row],[Customer ID]],Customer[#All],2,0)</f>
        <v>Ankit Gupta</v>
      </c>
      <c r="E871" s="158" t="s">
        <v>505</v>
      </c>
      <c r="F871" s="158" t="str">
        <f>VLOOKUP(Sales[[#This Row],[Product ID]],Product[#All],2,0)</f>
        <v>Dell Monitor</v>
      </c>
      <c r="G871" s="159">
        <v>2</v>
      </c>
      <c r="H871" s="160">
        <f>VLOOKUP(Sales[[#This Row],[Product ID]],Product[#All],7,0)</f>
        <v>12790</v>
      </c>
      <c r="I871" s="160">
        <f>Sales[[#This Row],[Selling Rate]]*Sales[[#This Row],[Qty]]</f>
        <v>25580</v>
      </c>
      <c r="J871" s="43">
        <v>0.05</v>
      </c>
      <c r="K871" s="44">
        <f>Sales[[#This Row],[Gross Amount]]*Sales[[#This Row],[Disc %]]</f>
        <v>1279</v>
      </c>
      <c r="L871" s="43">
        <v>0.18</v>
      </c>
      <c r="M871" s="44">
        <f>(Sales[[#This Row],[Gross Amount]]-Sales[[#This Row],[Disc. Amt.]])*Sales[[#This Row],[GST %]]</f>
        <v>4374.18</v>
      </c>
      <c r="N871" s="161">
        <f>Sales[[#This Row],[Gross Amount]]-Sales[[#This Row],[Disc. Amt.]]+Sales[[#This Row],[GST Amount]]</f>
        <v>28675.18</v>
      </c>
      <c r="O871" s="158" t="s">
        <v>3569</v>
      </c>
      <c r="P871" s="158" t="s">
        <v>3562</v>
      </c>
      <c r="Q871" s="160">
        <f>IF(Sales[[#This Row],[Status]]="Cancelled",0,Sales[[#This Row],[Qty]])</f>
        <v>2</v>
      </c>
      <c r="R871" s="161">
        <f>IF(Sales[[#This Row],[Status]]="Cancelled",0,Sales[[#This Row],[Total Amount]])</f>
        <v>28675.18</v>
      </c>
      <c r="S871" s="162">
        <f>SUM(Sales[Net Amount])</f>
        <v>406839287.73200053</v>
      </c>
    </row>
    <row r="872" spans="1:19" ht="18.75" x14ac:dyDescent="0.25">
      <c r="A872" s="163" t="s">
        <v>4459</v>
      </c>
      <c r="B872" s="164">
        <v>45824</v>
      </c>
      <c r="C872" s="34" t="s">
        <v>767</v>
      </c>
      <c r="D872" s="53" t="str">
        <f>VLOOKUP(Sales[[#This Row],[Customer ID]],Customer[#All],2,0)</f>
        <v>Sunita Singh</v>
      </c>
      <c r="E872" s="34" t="s">
        <v>364</v>
      </c>
      <c r="F872" s="34" t="str">
        <f>VLOOKUP(Sales[[#This Row],[Product ID]],Product[#All],2,0)</f>
        <v>Canon Printer</v>
      </c>
      <c r="G872" s="53">
        <v>8</v>
      </c>
      <c r="H872" s="165">
        <f>VLOOKUP(Sales[[#This Row],[Product ID]],Product[#All],7,0)</f>
        <v>41460</v>
      </c>
      <c r="I872" s="165">
        <f>Sales[[#This Row],[Selling Rate]]*Sales[[#This Row],[Qty]]</f>
        <v>331680</v>
      </c>
      <c r="J872" s="45">
        <v>0.02</v>
      </c>
      <c r="K872" s="46">
        <f>Sales[[#This Row],[Gross Amount]]*Sales[[#This Row],[Disc %]]</f>
        <v>6633.6</v>
      </c>
      <c r="L872" s="43">
        <v>0.18</v>
      </c>
      <c r="M872" s="46">
        <f>(Sales[[#This Row],[Gross Amount]]-Sales[[#This Row],[Disc. Amt.]])*Sales[[#This Row],[GST %]]</f>
        <v>58508.351999999999</v>
      </c>
      <c r="N872" s="161">
        <f>Sales[[#This Row],[Gross Amount]]-Sales[[#This Row],[Disc. Amt.]]+Sales[[#This Row],[GST Amount]]</f>
        <v>383554.75200000004</v>
      </c>
      <c r="O872" s="34" t="s">
        <v>3569</v>
      </c>
      <c r="P872" s="34" t="s">
        <v>3562</v>
      </c>
      <c r="Q872" s="165">
        <f>IF(Sales[[#This Row],[Status]]="Cancelled",0,Sales[[#This Row],[Qty]])</f>
        <v>8</v>
      </c>
      <c r="R872" s="166">
        <f>IF(Sales[[#This Row],[Status]]="Cancelled",0,Sales[[#This Row],[Total Amount]])</f>
        <v>383554.75200000004</v>
      </c>
      <c r="S872" s="162">
        <f>SUM(Sales[Net Amount])</f>
        <v>406839287.73200053</v>
      </c>
    </row>
    <row r="873" spans="1:19" ht="18.75" x14ac:dyDescent="0.25">
      <c r="A873" s="156" t="s">
        <v>4460</v>
      </c>
      <c r="B873" s="157">
        <v>45824</v>
      </c>
      <c r="C873" s="158" t="s">
        <v>696</v>
      </c>
      <c r="D873" s="159" t="str">
        <f>VLOOKUP(Sales[[#This Row],[Customer ID]],Customer[#All],2,0)</f>
        <v>Sunita Verma</v>
      </c>
      <c r="E873" s="158" t="s">
        <v>128</v>
      </c>
      <c r="F873" s="158" t="str">
        <f>VLOOKUP(Sales[[#This Row],[Product ID]],Product[#All],2,0)</f>
        <v>American TouristerLaptopBag</v>
      </c>
      <c r="G873" s="159">
        <v>7</v>
      </c>
      <c r="H873" s="160">
        <f>VLOOKUP(Sales[[#This Row],[Product ID]],Product[#All],7,0)</f>
        <v>2990</v>
      </c>
      <c r="I873" s="160">
        <f>Sales[[#This Row],[Selling Rate]]*Sales[[#This Row],[Qty]]</f>
        <v>20930</v>
      </c>
      <c r="J873" s="43">
        <v>0.02</v>
      </c>
      <c r="K873" s="44">
        <f>Sales[[#This Row],[Gross Amount]]*Sales[[#This Row],[Disc %]]</f>
        <v>418.6</v>
      </c>
      <c r="L873" s="43">
        <v>0.18</v>
      </c>
      <c r="M873" s="44">
        <f>(Sales[[#This Row],[Gross Amount]]-Sales[[#This Row],[Disc. Amt.]])*Sales[[#This Row],[GST %]]</f>
        <v>3692.0520000000001</v>
      </c>
      <c r="N873" s="161">
        <f>Sales[[#This Row],[Gross Amount]]-Sales[[#This Row],[Disc. Amt.]]+Sales[[#This Row],[GST Amount]]</f>
        <v>24203.452000000001</v>
      </c>
      <c r="O873" s="158" t="s">
        <v>3569</v>
      </c>
      <c r="P873" s="158" t="s">
        <v>3562</v>
      </c>
      <c r="Q873" s="160">
        <f>IF(Sales[[#This Row],[Status]]="Cancelled",0,Sales[[#This Row],[Qty]])</f>
        <v>7</v>
      </c>
      <c r="R873" s="161">
        <f>IF(Sales[[#This Row],[Status]]="Cancelled",0,Sales[[#This Row],[Total Amount]])</f>
        <v>24203.452000000001</v>
      </c>
      <c r="S873" s="162">
        <f>SUM(Sales[Net Amount])</f>
        <v>406839287.73200053</v>
      </c>
    </row>
    <row r="874" spans="1:19" ht="18.75" x14ac:dyDescent="0.25">
      <c r="A874" s="163" t="s">
        <v>4461</v>
      </c>
      <c r="B874" s="164">
        <v>45824</v>
      </c>
      <c r="C874" s="34" t="s">
        <v>676</v>
      </c>
      <c r="D874" s="53" t="str">
        <f>VLOOKUP(Sales[[#This Row],[Customer ID]],Customer[#All],2,0)</f>
        <v>Neha Singh</v>
      </c>
      <c r="E874" s="34" t="s">
        <v>507</v>
      </c>
      <c r="F874" s="34" t="str">
        <f>VLOOKUP(Sales[[#This Row],[Product ID]],Product[#All],2,0)</f>
        <v>American TouristerLaptopBag</v>
      </c>
      <c r="G874" s="53">
        <v>2</v>
      </c>
      <c r="H874" s="165">
        <f>VLOOKUP(Sales[[#This Row],[Product ID]],Product[#All],7,0)</f>
        <v>2030</v>
      </c>
      <c r="I874" s="165">
        <f>Sales[[#This Row],[Selling Rate]]*Sales[[#This Row],[Qty]]</f>
        <v>4060</v>
      </c>
      <c r="J874" s="45">
        <v>0.15</v>
      </c>
      <c r="K874" s="46">
        <f>Sales[[#This Row],[Gross Amount]]*Sales[[#This Row],[Disc %]]</f>
        <v>609</v>
      </c>
      <c r="L874" s="43">
        <v>0.18</v>
      </c>
      <c r="M874" s="46">
        <f>(Sales[[#This Row],[Gross Amount]]-Sales[[#This Row],[Disc. Amt.]])*Sales[[#This Row],[GST %]]</f>
        <v>621.17999999999995</v>
      </c>
      <c r="N874" s="161">
        <f>Sales[[#This Row],[Gross Amount]]-Sales[[#This Row],[Disc. Amt.]]+Sales[[#This Row],[GST Amount]]</f>
        <v>4072.18</v>
      </c>
      <c r="O874" s="34" t="s">
        <v>3569</v>
      </c>
      <c r="P874" s="34" t="s">
        <v>3562</v>
      </c>
      <c r="Q874" s="165">
        <f>IF(Sales[[#This Row],[Status]]="Cancelled",0,Sales[[#This Row],[Qty]])</f>
        <v>2</v>
      </c>
      <c r="R874" s="166">
        <f>IF(Sales[[#This Row],[Status]]="Cancelled",0,Sales[[#This Row],[Total Amount]])</f>
        <v>4072.18</v>
      </c>
      <c r="S874" s="162">
        <f>SUM(Sales[Net Amount])</f>
        <v>406839287.73200053</v>
      </c>
    </row>
    <row r="875" spans="1:19" ht="18.75" x14ac:dyDescent="0.25">
      <c r="A875" s="156" t="s">
        <v>4462</v>
      </c>
      <c r="B875" s="157">
        <v>45824</v>
      </c>
      <c r="C875" s="158" t="s">
        <v>673</v>
      </c>
      <c r="D875" s="159" t="str">
        <f>VLOOKUP(Sales[[#This Row],[Customer ID]],Customer[#All],2,0)</f>
        <v>Sunita Gupta</v>
      </c>
      <c r="E875" s="158" t="s">
        <v>392</v>
      </c>
      <c r="F875" s="158" t="str">
        <f>VLOOKUP(Sales[[#This Row],[Product ID]],Product[#All],2,0)</f>
        <v>Apc UPS</v>
      </c>
      <c r="G875" s="159">
        <v>3</v>
      </c>
      <c r="H875" s="160">
        <f>VLOOKUP(Sales[[#This Row],[Product ID]],Product[#All],7,0)</f>
        <v>3320</v>
      </c>
      <c r="I875" s="160">
        <f>Sales[[#This Row],[Selling Rate]]*Sales[[#This Row],[Qty]]</f>
        <v>9960</v>
      </c>
      <c r="J875" s="43">
        <v>0.02</v>
      </c>
      <c r="K875" s="44">
        <f>Sales[[#This Row],[Gross Amount]]*Sales[[#This Row],[Disc %]]</f>
        <v>199.20000000000002</v>
      </c>
      <c r="L875" s="43">
        <v>0.18</v>
      </c>
      <c r="M875" s="44">
        <f>(Sales[[#This Row],[Gross Amount]]-Sales[[#This Row],[Disc. Amt.]])*Sales[[#This Row],[GST %]]</f>
        <v>1756.9439999999997</v>
      </c>
      <c r="N875" s="161">
        <f>Sales[[#This Row],[Gross Amount]]-Sales[[#This Row],[Disc. Amt.]]+Sales[[#This Row],[GST Amount]]</f>
        <v>11517.743999999999</v>
      </c>
      <c r="O875" s="158" t="s">
        <v>3569</v>
      </c>
      <c r="P875" s="158" t="s">
        <v>3562</v>
      </c>
      <c r="Q875" s="160">
        <f>IF(Sales[[#This Row],[Status]]="Cancelled",0,Sales[[#This Row],[Qty]])</f>
        <v>3</v>
      </c>
      <c r="R875" s="161">
        <f>IF(Sales[[#This Row],[Status]]="Cancelled",0,Sales[[#This Row],[Total Amount]])</f>
        <v>11517.743999999999</v>
      </c>
      <c r="S875" s="162">
        <f>SUM(Sales[Net Amount])</f>
        <v>406839287.73200053</v>
      </c>
    </row>
    <row r="876" spans="1:19" ht="18.75" x14ac:dyDescent="0.25">
      <c r="A876" s="163" t="s">
        <v>4463</v>
      </c>
      <c r="B876" s="164">
        <v>45824</v>
      </c>
      <c r="C876" s="34" t="s">
        <v>774</v>
      </c>
      <c r="D876" s="53" t="str">
        <f>VLOOKUP(Sales[[#This Row],[Customer ID]],Customer[#All],2,0)</f>
        <v>Vikas Patel</v>
      </c>
      <c r="E876" s="34" t="s">
        <v>466</v>
      </c>
      <c r="F876" s="34" t="str">
        <f>VLOOKUP(Sales[[#This Row],[Product ID]],Product[#All],2,0)</f>
        <v>Lenovo Laptop</v>
      </c>
      <c r="G876" s="53">
        <v>2</v>
      </c>
      <c r="H876" s="165">
        <f>VLOOKUP(Sales[[#This Row],[Product ID]],Product[#All],7,0)</f>
        <v>87730</v>
      </c>
      <c r="I876" s="165">
        <f>Sales[[#This Row],[Selling Rate]]*Sales[[#This Row],[Qty]]</f>
        <v>175460</v>
      </c>
      <c r="J876" s="45">
        <v>0</v>
      </c>
      <c r="K876" s="46">
        <f>Sales[[#This Row],[Gross Amount]]*Sales[[#This Row],[Disc %]]</f>
        <v>0</v>
      </c>
      <c r="L876" s="43">
        <v>0.18</v>
      </c>
      <c r="M876" s="46">
        <f>(Sales[[#This Row],[Gross Amount]]-Sales[[#This Row],[Disc. Amt.]])*Sales[[#This Row],[GST %]]</f>
        <v>31582.799999999999</v>
      </c>
      <c r="N876" s="161">
        <f>Sales[[#This Row],[Gross Amount]]-Sales[[#This Row],[Disc. Amt.]]+Sales[[#This Row],[GST Amount]]</f>
        <v>207042.8</v>
      </c>
      <c r="O876" s="34" t="s">
        <v>3566</v>
      </c>
      <c r="P876" s="34" t="s">
        <v>3562</v>
      </c>
      <c r="Q876" s="165">
        <f>IF(Sales[[#This Row],[Status]]="Cancelled",0,Sales[[#This Row],[Qty]])</f>
        <v>2</v>
      </c>
      <c r="R876" s="166">
        <f>IF(Sales[[#This Row],[Status]]="Cancelled",0,Sales[[#This Row],[Total Amount]])</f>
        <v>207042.8</v>
      </c>
      <c r="S876" s="162">
        <f>SUM(Sales[Net Amount])</f>
        <v>406839287.73200053</v>
      </c>
    </row>
    <row r="877" spans="1:19" ht="18.75" x14ac:dyDescent="0.25">
      <c r="A877" s="156" t="s">
        <v>4464</v>
      </c>
      <c r="B877" s="157">
        <v>45824</v>
      </c>
      <c r="C877" s="158" t="s">
        <v>820</v>
      </c>
      <c r="D877" s="159" t="str">
        <f>VLOOKUP(Sales[[#This Row],[Customer ID]],Customer[#All],2,0)</f>
        <v>Sahil Gupta</v>
      </c>
      <c r="E877" s="158" t="s">
        <v>85</v>
      </c>
      <c r="F877" s="158" t="str">
        <f>VLOOKUP(Sales[[#This Row],[Product ID]],Product[#All],2,0)</f>
        <v>Apc UPS</v>
      </c>
      <c r="G877" s="159">
        <v>1</v>
      </c>
      <c r="H877" s="160">
        <f>VLOOKUP(Sales[[#This Row],[Product ID]],Product[#All],7,0)</f>
        <v>8770</v>
      </c>
      <c r="I877" s="160">
        <f>Sales[[#This Row],[Selling Rate]]*Sales[[#This Row],[Qty]]</f>
        <v>8770</v>
      </c>
      <c r="J877" s="43">
        <v>0.05</v>
      </c>
      <c r="K877" s="44">
        <f>Sales[[#This Row],[Gross Amount]]*Sales[[#This Row],[Disc %]]</f>
        <v>438.5</v>
      </c>
      <c r="L877" s="43">
        <v>0.18</v>
      </c>
      <c r="M877" s="44">
        <f>(Sales[[#This Row],[Gross Amount]]-Sales[[#This Row],[Disc. Amt.]])*Sales[[#This Row],[GST %]]</f>
        <v>1499.6699999999998</v>
      </c>
      <c r="N877" s="161">
        <f>Sales[[#This Row],[Gross Amount]]-Sales[[#This Row],[Disc. Amt.]]+Sales[[#This Row],[GST Amount]]</f>
        <v>9831.17</v>
      </c>
      <c r="O877" s="158" t="s">
        <v>3561</v>
      </c>
      <c r="P877" s="158" t="s">
        <v>3562</v>
      </c>
      <c r="Q877" s="160">
        <f>IF(Sales[[#This Row],[Status]]="Cancelled",0,Sales[[#This Row],[Qty]])</f>
        <v>1</v>
      </c>
      <c r="R877" s="161">
        <f>IF(Sales[[#This Row],[Status]]="Cancelled",0,Sales[[#This Row],[Total Amount]])</f>
        <v>9831.17</v>
      </c>
      <c r="S877" s="162">
        <f>SUM(Sales[Net Amount])</f>
        <v>406839287.73200053</v>
      </c>
    </row>
    <row r="878" spans="1:19" ht="18.75" x14ac:dyDescent="0.25">
      <c r="A878" s="163" t="s">
        <v>4465</v>
      </c>
      <c r="B878" s="164">
        <v>45824</v>
      </c>
      <c r="C878" s="34" t="s">
        <v>694</v>
      </c>
      <c r="D878" s="53" t="str">
        <f>VLOOKUP(Sales[[#This Row],[Customer ID]],Customer[#All],2,0)</f>
        <v>Amit Sharma</v>
      </c>
      <c r="E878" s="34" t="s">
        <v>114</v>
      </c>
      <c r="F878" s="34" t="str">
        <f>VLOOKUP(Sales[[#This Row],[Product ID]],Product[#All],2,0)</f>
        <v>Apc UPS</v>
      </c>
      <c r="G878" s="53">
        <v>5</v>
      </c>
      <c r="H878" s="165">
        <f>VLOOKUP(Sales[[#This Row],[Product ID]],Product[#All],7,0)</f>
        <v>17310</v>
      </c>
      <c r="I878" s="165">
        <f>Sales[[#This Row],[Selling Rate]]*Sales[[#This Row],[Qty]]</f>
        <v>86550</v>
      </c>
      <c r="J878" s="45">
        <v>0.15</v>
      </c>
      <c r="K878" s="46">
        <f>Sales[[#This Row],[Gross Amount]]*Sales[[#This Row],[Disc %]]</f>
        <v>12982.5</v>
      </c>
      <c r="L878" s="43">
        <v>0.18</v>
      </c>
      <c r="M878" s="46">
        <f>(Sales[[#This Row],[Gross Amount]]-Sales[[#This Row],[Disc. Amt.]])*Sales[[#This Row],[GST %]]</f>
        <v>13242.15</v>
      </c>
      <c r="N878" s="161">
        <f>Sales[[#This Row],[Gross Amount]]-Sales[[#This Row],[Disc. Amt.]]+Sales[[#This Row],[GST Amount]]</f>
        <v>86809.65</v>
      </c>
      <c r="O878" s="34" t="s">
        <v>8876</v>
      </c>
      <c r="P878" s="34" t="s">
        <v>3562</v>
      </c>
      <c r="Q878" s="165">
        <f>IF(Sales[[#This Row],[Status]]="Cancelled",0,Sales[[#This Row],[Qty]])</f>
        <v>5</v>
      </c>
      <c r="R878" s="166">
        <f>IF(Sales[[#This Row],[Status]]="Cancelled",0,Sales[[#This Row],[Total Amount]])</f>
        <v>86809.65</v>
      </c>
      <c r="S878" s="162">
        <f>SUM(Sales[Net Amount])</f>
        <v>406839287.73200053</v>
      </c>
    </row>
    <row r="879" spans="1:19" ht="18.75" x14ac:dyDescent="0.25">
      <c r="A879" s="156" t="s">
        <v>4466</v>
      </c>
      <c r="B879" s="157">
        <v>45824</v>
      </c>
      <c r="C879" s="158" t="s">
        <v>864</v>
      </c>
      <c r="D879" s="159" t="str">
        <f>VLOOKUP(Sales[[#This Row],[Customer ID]],Customer[#All],2,0)</f>
        <v>Sahil Sharma</v>
      </c>
      <c r="E879" s="158" t="s">
        <v>509</v>
      </c>
      <c r="F879" s="158" t="str">
        <f>VLOOKUP(Sales[[#This Row],[Product ID]],Product[#All],2,0)</f>
        <v>D-Link Router</v>
      </c>
      <c r="G879" s="159">
        <v>6</v>
      </c>
      <c r="H879" s="160">
        <f>VLOOKUP(Sales[[#This Row],[Product ID]],Product[#All],7,0)</f>
        <v>3460</v>
      </c>
      <c r="I879" s="160">
        <f>Sales[[#This Row],[Selling Rate]]*Sales[[#This Row],[Qty]]</f>
        <v>20760</v>
      </c>
      <c r="J879" s="43">
        <v>0.05</v>
      </c>
      <c r="K879" s="44">
        <f>Sales[[#This Row],[Gross Amount]]*Sales[[#This Row],[Disc %]]</f>
        <v>1038</v>
      </c>
      <c r="L879" s="43">
        <v>0.18</v>
      </c>
      <c r="M879" s="44">
        <f>(Sales[[#This Row],[Gross Amount]]-Sales[[#This Row],[Disc. Amt.]])*Sales[[#This Row],[GST %]]</f>
        <v>3549.96</v>
      </c>
      <c r="N879" s="161">
        <f>Sales[[#This Row],[Gross Amount]]-Sales[[#This Row],[Disc. Amt.]]+Sales[[#This Row],[GST Amount]]</f>
        <v>23271.96</v>
      </c>
      <c r="O879" s="158" t="s">
        <v>3566</v>
      </c>
      <c r="P879" s="158" t="s">
        <v>3562</v>
      </c>
      <c r="Q879" s="160">
        <f>IF(Sales[[#This Row],[Status]]="Cancelled",0,Sales[[#This Row],[Qty]])</f>
        <v>6</v>
      </c>
      <c r="R879" s="161">
        <f>IF(Sales[[#This Row],[Status]]="Cancelled",0,Sales[[#This Row],[Total Amount]])</f>
        <v>23271.96</v>
      </c>
      <c r="S879" s="162">
        <f>SUM(Sales[Net Amount])</f>
        <v>406839287.73200053</v>
      </c>
    </row>
    <row r="880" spans="1:19" ht="18.75" x14ac:dyDescent="0.25">
      <c r="A880" s="163" t="s">
        <v>4467</v>
      </c>
      <c r="B880" s="164">
        <v>45824</v>
      </c>
      <c r="C880" s="34" t="s">
        <v>928</v>
      </c>
      <c r="D880" s="53" t="str">
        <f>VLOOKUP(Sales[[#This Row],[Customer ID]],Customer[#All],2,0)</f>
        <v>Rahul Kumar</v>
      </c>
      <c r="E880" s="34" t="s">
        <v>444</v>
      </c>
      <c r="F880" s="34" t="str">
        <f>VLOOKUP(Sales[[#This Row],[Product ID]],Product[#All],2,0)</f>
        <v>Dell Desktop</v>
      </c>
      <c r="G880" s="53">
        <v>2</v>
      </c>
      <c r="H880" s="165">
        <f>VLOOKUP(Sales[[#This Row],[Product ID]],Product[#All],7,0)</f>
        <v>55730</v>
      </c>
      <c r="I880" s="165">
        <f>Sales[[#This Row],[Selling Rate]]*Sales[[#This Row],[Qty]]</f>
        <v>111460</v>
      </c>
      <c r="J880" s="45">
        <v>0.05</v>
      </c>
      <c r="K880" s="46">
        <f>Sales[[#This Row],[Gross Amount]]*Sales[[#This Row],[Disc %]]</f>
        <v>5573</v>
      </c>
      <c r="L880" s="43">
        <v>0.18</v>
      </c>
      <c r="M880" s="46">
        <f>(Sales[[#This Row],[Gross Amount]]-Sales[[#This Row],[Disc. Amt.]])*Sales[[#This Row],[GST %]]</f>
        <v>19059.66</v>
      </c>
      <c r="N880" s="161">
        <f>Sales[[#This Row],[Gross Amount]]-Sales[[#This Row],[Disc. Amt.]]+Sales[[#This Row],[GST Amount]]</f>
        <v>124946.66</v>
      </c>
      <c r="O880" s="34" t="s">
        <v>8876</v>
      </c>
      <c r="P880" s="34" t="s">
        <v>3562</v>
      </c>
      <c r="Q880" s="165">
        <f>IF(Sales[[#This Row],[Status]]="Cancelled",0,Sales[[#This Row],[Qty]])</f>
        <v>2</v>
      </c>
      <c r="R880" s="166">
        <f>IF(Sales[[#This Row],[Status]]="Cancelled",0,Sales[[#This Row],[Total Amount]])</f>
        <v>124946.66</v>
      </c>
      <c r="S880" s="162">
        <f>SUM(Sales[Net Amount])</f>
        <v>406839287.73200053</v>
      </c>
    </row>
    <row r="881" spans="1:19" ht="18.75" x14ac:dyDescent="0.25">
      <c r="A881" s="156" t="s">
        <v>4468</v>
      </c>
      <c r="B881" s="157">
        <v>45824</v>
      </c>
      <c r="C881" s="158" t="s">
        <v>850</v>
      </c>
      <c r="D881" s="159" t="str">
        <f>VLOOKUP(Sales[[#This Row],[Customer ID]],Customer[#All],2,0)</f>
        <v>Sahil Patel</v>
      </c>
      <c r="E881" s="158" t="s">
        <v>501</v>
      </c>
      <c r="F881" s="158" t="str">
        <f>VLOOKUP(Sales[[#This Row],[Product ID]],Product[#All],2,0)</f>
        <v>Samsung Ssd</v>
      </c>
      <c r="G881" s="159">
        <v>1</v>
      </c>
      <c r="H881" s="160">
        <f>VLOOKUP(Sales[[#This Row],[Product ID]],Product[#All],7,0)</f>
        <v>4260</v>
      </c>
      <c r="I881" s="160">
        <f>Sales[[#This Row],[Selling Rate]]*Sales[[#This Row],[Qty]]</f>
        <v>4260</v>
      </c>
      <c r="J881" s="43">
        <v>0</v>
      </c>
      <c r="K881" s="44">
        <f>Sales[[#This Row],[Gross Amount]]*Sales[[#This Row],[Disc %]]</f>
        <v>0</v>
      </c>
      <c r="L881" s="43">
        <v>0.18</v>
      </c>
      <c r="M881" s="44">
        <f>(Sales[[#This Row],[Gross Amount]]-Sales[[#This Row],[Disc. Amt.]])*Sales[[#This Row],[GST %]]</f>
        <v>766.8</v>
      </c>
      <c r="N881" s="161">
        <f>Sales[[#This Row],[Gross Amount]]-Sales[[#This Row],[Disc. Amt.]]+Sales[[#This Row],[GST Amount]]</f>
        <v>5026.8</v>
      </c>
      <c r="O881" s="158" t="s">
        <v>8876</v>
      </c>
      <c r="P881" s="158" t="s">
        <v>3562</v>
      </c>
      <c r="Q881" s="160">
        <f>IF(Sales[[#This Row],[Status]]="Cancelled",0,Sales[[#This Row],[Qty]])</f>
        <v>1</v>
      </c>
      <c r="R881" s="161">
        <f>IF(Sales[[#This Row],[Status]]="Cancelled",0,Sales[[#This Row],[Total Amount]])</f>
        <v>5026.8</v>
      </c>
      <c r="S881" s="162">
        <f>SUM(Sales[Net Amount])</f>
        <v>406839287.73200053</v>
      </c>
    </row>
    <row r="882" spans="1:19" ht="18.75" x14ac:dyDescent="0.25">
      <c r="A882" s="163" t="s">
        <v>4469</v>
      </c>
      <c r="B882" s="164">
        <v>45824</v>
      </c>
      <c r="C882" s="34" t="s">
        <v>934</v>
      </c>
      <c r="D882" s="53" t="str">
        <f>VLOOKUP(Sales[[#This Row],[Customer ID]],Customer[#All],2,0)</f>
        <v>Pooja Singh</v>
      </c>
      <c r="E882" s="34" t="s">
        <v>246</v>
      </c>
      <c r="F882" s="34" t="str">
        <f>VLOOKUP(Sales[[#This Row],[Product ID]],Product[#All],2,0)</f>
        <v>PortronicsLaptopStand</v>
      </c>
      <c r="G882" s="53">
        <v>8</v>
      </c>
      <c r="H882" s="165">
        <f>VLOOKUP(Sales[[#This Row],[Product ID]],Product[#All],7,0)</f>
        <v>1600</v>
      </c>
      <c r="I882" s="165">
        <f>Sales[[#This Row],[Selling Rate]]*Sales[[#This Row],[Qty]]</f>
        <v>12800</v>
      </c>
      <c r="J882" s="45">
        <v>0</v>
      </c>
      <c r="K882" s="46">
        <f>Sales[[#This Row],[Gross Amount]]*Sales[[#This Row],[Disc %]]</f>
        <v>0</v>
      </c>
      <c r="L882" s="43">
        <v>0.18</v>
      </c>
      <c r="M882" s="46">
        <f>(Sales[[#This Row],[Gross Amount]]-Sales[[#This Row],[Disc. Amt.]])*Sales[[#This Row],[GST %]]</f>
        <v>2304</v>
      </c>
      <c r="N882" s="161">
        <f>Sales[[#This Row],[Gross Amount]]-Sales[[#This Row],[Disc. Amt.]]+Sales[[#This Row],[GST Amount]]</f>
        <v>15104</v>
      </c>
      <c r="O882" s="34" t="s">
        <v>3566</v>
      </c>
      <c r="P882" s="34" t="s">
        <v>3562</v>
      </c>
      <c r="Q882" s="165">
        <f>IF(Sales[[#This Row],[Status]]="Cancelled",0,Sales[[#This Row],[Qty]])</f>
        <v>8</v>
      </c>
      <c r="R882" s="166">
        <f>IF(Sales[[#This Row],[Status]]="Cancelled",0,Sales[[#This Row],[Total Amount]])</f>
        <v>15104</v>
      </c>
      <c r="S882" s="162">
        <f>SUM(Sales[Net Amount])</f>
        <v>406839287.73200053</v>
      </c>
    </row>
    <row r="883" spans="1:19" ht="18.75" x14ac:dyDescent="0.25">
      <c r="A883" s="156" t="s">
        <v>4470</v>
      </c>
      <c r="B883" s="157">
        <v>45824</v>
      </c>
      <c r="C883" s="158" t="s">
        <v>652</v>
      </c>
      <c r="D883" s="159" t="str">
        <f>VLOOKUP(Sales[[#This Row],[Customer ID]],Customer[#All],2,0)</f>
        <v>Sahil Kumar</v>
      </c>
      <c r="E883" s="158" t="s">
        <v>481</v>
      </c>
      <c r="F883" s="158" t="str">
        <f>VLOOKUP(Sales[[#This Row],[Product ID]],Product[#All],2,0)</f>
        <v>Dell Laptop</v>
      </c>
      <c r="G883" s="159">
        <v>4</v>
      </c>
      <c r="H883" s="160">
        <f>VLOOKUP(Sales[[#This Row],[Product ID]],Product[#All],7,0)</f>
        <v>36050</v>
      </c>
      <c r="I883" s="160">
        <f>Sales[[#This Row],[Selling Rate]]*Sales[[#This Row],[Qty]]</f>
        <v>144200</v>
      </c>
      <c r="J883" s="43">
        <v>0.05</v>
      </c>
      <c r="K883" s="44">
        <f>Sales[[#This Row],[Gross Amount]]*Sales[[#This Row],[Disc %]]</f>
        <v>7210</v>
      </c>
      <c r="L883" s="43">
        <v>0.18</v>
      </c>
      <c r="M883" s="44">
        <f>(Sales[[#This Row],[Gross Amount]]-Sales[[#This Row],[Disc. Amt.]])*Sales[[#This Row],[GST %]]</f>
        <v>24658.2</v>
      </c>
      <c r="N883" s="161">
        <f>Sales[[#This Row],[Gross Amount]]-Sales[[#This Row],[Disc. Amt.]]+Sales[[#This Row],[GST Amount]]</f>
        <v>161648.20000000001</v>
      </c>
      <c r="O883" s="158" t="s">
        <v>8876</v>
      </c>
      <c r="P883" s="158" t="s">
        <v>3562</v>
      </c>
      <c r="Q883" s="160">
        <f>IF(Sales[[#This Row],[Status]]="Cancelled",0,Sales[[#This Row],[Qty]])</f>
        <v>4</v>
      </c>
      <c r="R883" s="161">
        <f>IF(Sales[[#This Row],[Status]]="Cancelled",0,Sales[[#This Row],[Total Amount]])</f>
        <v>161648.20000000001</v>
      </c>
      <c r="S883" s="162">
        <f>SUM(Sales[Net Amount])</f>
        <v>406839287.73200053</v>
      </c>
    </row>
    <row r="884" spans="1:19" ht="18.75" x14ac:dyDescent="0.25">
      <c r="A884" s="163" t="s">
        <v>4471</v>
      </c>
      <c r="B884" s="164">
        <v>45824</v>
      </c>
      <c r="C884" s="34" t="s">
        <v>918</v>
      </c>
      <c r="D884" s="53" t="str">
        <f>VLOOKUP(Sales[[#This Row],[Customer ID]],Customer[#All],2,0)</f>
        <v>Pooja Patel</v>
      </c>
      <c r="E884" s="34" t="s">
        <v>484</v>
      </c>
      <c r="F884" s="34" t="str">
        <f>VLOOKUP(Sales[[#This Row],[Product ID]],Product[#All],2,0)</f>
        <v>Dell Desktop</v>
      </c>
      <c r="G884" s="53">
        <v>6</v>
      </c>
      <c r="H884" s="165">
        <f>VLOOKUP(Sales[[#This Row],[Product ID]],Product[#All],7,0)</f>
        <v>68710</v>
      </c>
      <c r="I884" s="165">
        <f>Sales[[#This Row],[Selling Rate]]*Sales[[#This Row],[Qty]]</f>
        <v>412260</v>
      </c>
      <c r="J884" s="45">
        <v>0.05</v>
      </c>
      <c r="K884" s="46">
        <f>Sales[[#This Row],[Gross Amount]]*Sales[[#This Row],[Disc %]]</f>
        <v>20613</v>
      </c>
      <c r="L884" s="43">
        <v>0.18</v>
      </c>
      <c r="M884" s="46">
        <f>(Sales[[#This Row],[Gross Amount]]-Sales[[#This Row],[Disc. Amt.]])*Sales[[#This Row],[GST %]]</f>
        <v>70496.459999999992</v>
      </c>
      <c r="N884" s="161">
        <f>Sales[[#This Row],[Gross Amount]]-Sales[[#This Row],[Disc. Amt.]]+Sales[[#This Row],[GST Amount]]</f>
        <v>462143.45999999996</v>
      </c>
      <c r="O884" s="34" t="s">
        <v>8876</v>
      </c>
      <c r="P884" s="34" t="s">
        <v>3562</v>
      </c>
      <c r="Q884" s="165">
        <f>IF(Sales[[#This Row],[Status]]="Cancelled",0,Sales[[#This Row],[Qty]])</f>
        <v>6</v>
      </c>
      <c r="R884" s="166">
        <f>IF(Sales[[#This Row],[Status]]="Cancelled",0,Sales[[#This Row],[Total Amount]])</f>
        <v>462143.45999999996</v>
      </c>
      <c r="S884" s="162">
        <f>SUM(Sales[Net Amount])</f>
        <v>406839287.73200053</v>
      </c>
    </row>
    <row r="885" spans="1:19" ht="18.75" x14ac:dyDescent="0.25">
      <c r="A885" s="156" t="s">
        <v>4472</v>
      </c>
      <c r="B885" s="157">
        <v>45824</v>
      </c>
      <c r="C885" s="158" t="s">
        <v>654</v>
      </c>
      <c r="D885" s="159" t="str">
        <f>VLOOKUP(Sales[[#This Row],[Customer ID]],Customer[#All],2,0)</f>
        <v>Sunita Verma</v>
      </c>
      <c r="E885" s="158" t="s">
        <v>246</v>
      </c>
      <c r="F885" s="158" t="str">
        <f>VLOOKUP(Sales[[#This Row],[Product ID]],Product[#All],2,0)</f>
        <v>PortronicsLaptopStand</v>
      </c>
      <c r="G885" s="159">
        <v>2</v>
      </c>
      <c r="H885" s="160">
        <f>VLOOKUP(Sales[[#This Row],[Product ID]],Product[#All],7,0)</f>
        <v>1600</v>
      </c>
      <c r="I885" s="160">
        <f>Sales[[#This Row],[Selling Rate]]*Sales[[#This Row],[Qty]]</f>
        <v>3200</v>
      </c>
      <c r="J885" s="43">
        <v>0.02</v>
      </c>
      <c r="K885" s="44">
        <f>Sales[[#This Row],[Gross Amount]]*Sales[[#This Row],[Disc %]]</f>
        <v>64</v>
      </c>
      <c r="L885" s="43">
        <v>0.18</v>
      </c>
      <c r="M885" s="44">
        <f>(Sales[[#This Row],[Gross Amount]]-Sales[[#This Row],[Disc. Amt.]])*Sales[[#This Row],[GST %]]</f>
        <v>564.48</v>
      </c>
      <c r="N885" s="161">
        <f>Sales[[#This Row],[Gross Amount]]-Sales[[#This Row],[Disc. Amt.]]+Sales[[#This Row],[GST Amount]]</f>
        <v>3700.48</v>
      </c>
      <c r="O885" s="158" t="s">
        <v>8876</v>
      </c>
      <c r="P885" s="158" t="s">
        <v>1040</v>
      </c>
      <c r="Q885" s="160">
        <f>IF(Sales[[#This Row],[Status]]="Cancelled",0,Sales[[#This Row],[Qty]])</f>
        <v>0</v>
      </c>
      <c r="R885" s="161">
        <f>IF(Sales[[#This Row],[Status]]="Cancelled",0,Sales[[#This Row],[Total Amount]])</f>
        <v>0</v>
      </c>
      <c r="S885" s="162">
        <f>SUM(Sales[Net Amount])</f>
        <v>406839287.73200053</v>
      </c>
    </row>
    <row r="886" spans="1:19" ht="18.75" x14ac:dyDescent="0.25">
      <c r="A886" s="163" t="s">
        <v>4473</v>
      </c>
      <c r="B886" s="164">
        <v>45824</v>
      </c>
      <c r="C886" s="34" t="s">
        <v>938</v>
      </c>
      <c r="D886" s="53" t="str">
        <f>VLOOKUP(Sales[[#This Row],[Customer ID]],Customer[#All],2,0)</f>
        <v>Sunita Sharma</v>
      </c>
      <c r="E886" s="34" t="s">
        <v>33</v>
      </c>
      <c r="F886" s="34" t="str">
        <f>VLOOKUP(Sales[[#This Row],[Product ID]],Product[#All],2,0)</f>
        <v>Samsung Monitor</v>
      </c>
      <c r="G886" s="53">
        <v>5</v>
      </c>
      <c r="H886" s="165">
        <f>VLOOKUP(Sales[[#This Row],[Product ID]],Product[#All],7,0)</f>
        <v>9840</v>
      </c>
      <c r="I886" s="165">
        <f>Sales[[#This Row],[Selling Rate]]*Sales[[#This Row],[Qty]]</f>
        <v>49200</v>
      </c>
      <c r="J886" s="45">
        <v>0.05</v>
      </c>
      <c r="K886" s="46">
        <f>Sales[[#This Row],[Gross Amount]]*Sales[[#This Row],[Disc %]]</f>
        <v>2460</v>
      </c>
      <c r="L886" s="43">
        <v>0.18</v>
      </c>
      <c r="M886" s="46">
        <f>(Sales[[#This Row],[Gross Amount]]-Sales[[#This Row],[Disc. Amt.]])*Sales[[#This Row],[GST %]]</f>
        <v>8413.1999999999989</v>
      </c>
      <c r="N886" s="161">
        <f>Sales[[#This Row],[Gross Amount]]-Sales[[#This Row],[Disc. Amt.]]+Sales[[#This Row],[GST Amount]]</f>
        <v>55153.2</v>
      </c>
      <c r="O886" s="34" t="s">
        <v>8876</v>
      </c>
      <c r="P886" s="34" t="s">
        <v>3562</v>
      </c>
      <c r="Q886" s="165">
        <f>IF(Sales[[#This Row],[Status]]="Cancelled",0,Sales[[#This Row],[Qty]])</f>
        <v>5</v>
      </c>
      <c r="R886" s="166">
        <f>IF(Sales[[#This Row],[Status]]="Cancelled",0,Sales[[#This Row],[Total Amount]])</f>
        <v>55153.2</v>
      </c>
      <c r="S886" s="162">
        <f>SUM(Sales[Net Amount])</f>
        <v>406839287.73200053</v>
      </c>
    </row>
    <row r="887" spans="1:19" ht="18.75" x14ac:dyDescent="0.25">
      <c r="A887" s="156" t="s">
        <v>4474</v>
      </c>
      <c r="B887" s="157">
        <v>45824</v>
      </c>
      <c r="C887" s="158" t="s">
        <v>778</v>
      </c>
      <c r="D887" s="159" t="str">
        <f>VLOOKUP(Sales[[#This Row],[Customer ID]],Customer[#All],2,0)</f>
        <v>Ankit Gupta</v>
      </c>
      <c r="E887" s="158" t="s">
        <v>538</v>
      </c>
      <c r="F887" s="158" t="str">
        <f>VLOOKUP(Sales[[#This Row],[Product ID]],Product[#All],2,0)</f>
        <v>Acer Laptop</v>
      </c>
      <c r="G887" s="159">
        <v>6</v>
      </c>
      <c r="H887" s="160">
        <f>VLOOKUP(Sales[[#This Row],[Product ID]],Product[#All],7,0)</f>
        <v>46800</v>
      </c>
      <c r="I887" s="160">
        <f>Sales[[#This Row],[Selling Rate]]*Sales[[#This Row],[Qty]]</f>
        <v>280800</v>
      </c>
      <c r="J887" s="43">
        <v>0.05</v>
      </c>
      <c r="K887" s="44">
        <f>Sales[[#This Row],[Gross Amount]]*Sales[[#This Row],[Disc %]]</f>
        <v>14040</v>
      </c>
      <c r="L887" s="43">
        <v>0.18</v>
      </c>
      <c r="M887" s="44">
        <f>(Sales[[#This Row],[Gross Amount]]-Sales[[#This Row],[Disc. Amt.]])*Sales[[#This Row],[GST %]]</f>
        <v>48016.799999999996</v>
      </c>
      <c r="N887" s="161">
        <f>Sales[[#This Row],[Gross Amount]]-Sales[[#This Row],[Disc. Amt.]]+Sales[[#This Row],[GST Amount]]</f>
        <v>314776.8</v>
      </c>
      <c r="O887" s="158" t="s">
        <v>3561</v>
      </c>
      <c r="P887" s="158" t="s">
        <v>3562</v>
      </c>
      <c r="Q887" s="160">
        <f>IF(Sales[[#This Row],[Status]]="Cancelled",0,Sales[[#This Row],[Qty]])</f>
        <v>6</v>
      </c>
      <c r="R887" s="161">
        <f>IF(Sales[[#This Row],[Status]]="Cancelled",0,Sales[[#This Row],[Total Amount]])</f>
        <v>314776.8</v>
      </c>
      <c r="S887" s="162">
        <f>SUM(Sales[Net Amount])</f>
        <v>406839287.73200053</v>
      </c>
    </row>
    <row r="888" spans="1:19" ht="18.75" x14ac:dyDescent="0.25">
      <c r="A888" s="163" t="s">
        <v>4475</v>
      </c>
      <c r="B888" s="164">
        <v>45824</v>
      </c>
      <c r="C888" s="34" t="s">
        <v>878</v>
      </c>
      <c r="D888" s="53" t="str">
        <f>VLOOKUP(Sales[[#This Row],[Customer ID]],Customer[#All],2,0)</f>
        <v>Rahul Singh</v>
      </c>
      <c r="E888" s="34" t="s">
        <v>272</v>
      </c>
      <c r="F888" s="34" t="str">
        <f>VLOOKUP(Sales[[#This Row],[Product ID]],Product[#All],2,0)</f>
        <v>Jbl Speaker</v>
      </c>
      <c r="G888" s="53">
        <v>5</v>
      </c>
      <c r="H888" s="165">
        <f>VLOOKUP(Sales[[#This Row],[Product ID]],Product[#All],7,0)</f>
        <v>10960</v>
      </c>
      <c r="I888" s="165">
        <f>Sales[[#This Row],[Selling Rate]]*Sales[[#This Row],[Qty]]</f>
        <v>54800</v>
      </c>
      <c r="J888" s="45">
        <v>0.15</v>
      </c>
      <c r="K888" s="46">
        <f>Sales[[#This Row],[Gross Amount]]*Sales[[#This Row],[Disc %]]</f>
        <v>8220</v>
      </c>
      <c r="L888" s="43">
        <v>0.18</v>
      </c>
      <c r="M888" s="46">
        <f>(Sales[[#This Row],[Gross Amount]]-Sales[[#This Row],[Disc. Amt.]])*Sales[[#This Row],[GST %]]</f>
        <v>8384.4</v>
      </c>
      <c r="N888" s="161">
        <f>Sales[[#This Row],[Gross Amount]]-Sales[[#This Row],[Disc. Amt.]]+Sales[[#This Row],[GST Amount]]</f>
        <v>54964.4</v>
      </c>
      <c r="O888" s="34" t="s">
        <v>3566</v>
      </c>
      <c r="P888" s="34" t="s">
        <v>3562</v>
      </c>
      <c r="Q888" s="165">
        <f>IF(Sales[[#This Row],[Status]]="Cancelled",0,Sales[[#This Row],[Qty]])</f>
        <v>5</v>
      </c>
      <c r="R888" s="166">
        <f>IF(Sales[[#This Row],[Status]]="Cancelled",0,Sales[[#This Row],[Total Amount]])</f>
        <v>54964.4</v>
      </c>
      <c r="S888" s="162">
        <f>SUM(Sales[Net Amount])</f>
        <v>406839287.73200053</v>
      </c>
    </row>
    <row r="889" spans="1:19" ht="18.75" x14ac:dyDescent="0.25">
      <c r="A889" s="156" t="s">
        <v>4476</v>
      </c>
      <c r="B889" s="157">
        <v>45825</v>
      </c>
      <c r="C889" s="158" t="s">
        <v>4441</v>
      </c>
      <c r="D889" s="159" t="str">
        <f>VLOOKUP(Sales[[#This Row],[Customer ID]],Customer[#All],2,0)</f>
        <v>Amit Singh</v>
      </c>
      <c r="E889" s="158" t="s">
        <v>452</v>
      </c>
      <c r="F889" s="158" t="str">
        <f>VLOOKUP(Sales[[#This Row],[Product ID]],Product[#All],2,0)</f>
        <v>Amazon Basics Hdmi Cable</v>
      </c>
      <c r="G889" s="159">
        <v>8</v>
      </c>
      <c r="H889" s="160">
        <f>VLOOKUP(Sales[[#This Row],[Product ID]],Product[#All],7,0)</f>
        <v>920</v>
      </c>
      <c r="I889" s="160">
        <f>Sales[[#This Row],[Selling Rate]]*Sales[[#This Row],[Qty]]</f>
        <v>7360</v>
      </c>
      <c r="J889" s="43">
        <v>0.05</v>
      </c>
      <c r="K889" s="44">
        <f>Sales[[#This Row],[Gross Amount]]*Sales[[#This Row],[Disc %]]</f>
        <v>368</v>
      </c>
      <c r="L889" s="43">
        <v>0.18</v>
      </c>
      <c r="M889" s="44">
        <f>(Sales[[#This Row],[Gross Amount]]-Sales[[#This Row],[Disc. Amt.]])*Sales[[#This Row],[GST %]]</f>
        <v>1258.56</v>
      </c>
      <c r="N889" s="161">
        <f>Sales[[#This Row],[Gross Amount]]-Sales[[#This Row],[Disc. Amt.]]+Sales[[#This Row],[GST Amount]]</f>
        <v>8250.56</v>
      </c>
      <c r="O889" s="158" t="s">
        <v>3569</v>
      </c>
      <c r="P889" s="158" t="s">
        <v>3562</v>
      </c>
      <c r="Q889" s="160">
        <f>IF(Sales[[#This Row],[Status]]="Cancelled",0,Sales[[#This Row],[Qty]])</f>
        <v>8</v>
      </c>
      <c r="R889" s="161">
        <f>IF(Sales[[#This Row],[Status]]="Cancelled",0,Sales[[#This Row],[Total Amount]])</f>
        <v>8250.56</v>
      </c>
      <c r="S889" s="162">
        <f>SUM(Sales[Net Amount])</f>
        <v>406839287.73200053</v>
      </c>
    </row>
    <row r="890" spans="1:19" ht="18.75" x14ac:dyDescent="0.25">
      <c r="A890" s="163" t="s">
        <v>4477</v>
      </c>
      <c r="B890" s="164">
        <v>45825</v>
      </c>
      <c r="C890" s="34" t="s">
        <v>659</v>
      </c>
      <c r="D890" s="53" t="str">
        <f>VLOOKUP(Sales[[#This Row],[Customer ID]],Customer[#All],2,0)</f>
        <v>Rakesh Sharma</v>
      </c>
      <c r="E890" s="34" t="s">
        <v>269</v>
      </c>
      <c r="F890" s="34" t="str">
        <f>VLOOKUP(Sales[[#This Row],[Product ID]],Product[#All],2,0)</f>
        <v>Dell Monitor</v>
      </c>
      <c r="G890" s="53">
        <v>1</v>
      </c>
      <c r="H890" s="165">
        <f>VLOOKUP(Sales[[#This Row],[Product ID]],Product[#All],7,0)</f>
        <v>11390</v>
      </c>
      <c r="I890" s="165">
        <f>Sales[[#This Row],[Selling Rate]]*Sales[[#This Row],[Qty]]</f>
        <v>11390</v>
      </c>
      <c r="J890" s="45">
        <v>0.12</v>
      </c>
      <c r="K890" s="46">
        <f>Sales[[#This Row],[Gross Amount]]*Sales[[#This Row],[Disc %]]</f>
        <v>1366.8</v>
      </c>
      <c r="L890" s="43">
        <v>0.18</v>
      </c>
      <c r="M890" s="46">
        <f>(Sales[[#This Row],[Gross Amount]]-Sales[[#This Row],[Disc. Amt.]])*Sales[[#This Row],[GST %]]</f>
        <v>1804.1760000000002</v>
      </c>
      <c r="N890" s="161">
        <f>Sales[[#This Row],[Gross Amount]]-Sales[[#This Row],[Disc. Amt.]]+Sales[[#This Row],[GST Amount]]</f>
        <v>11827.376</v>
      </c>
      <c r="O890" s="34" t="s">
        <v>3566</v>
      </c>
      <c r="P890" s="34" t="s">
        <v>3562</v>
      </c>
      <c r="Q890" s="165">
        <f>IF(Sales[[#This Row],[Status]]="Cancelled",0,Sales[[#This Row],[Qty]])</f>
        <v>1</v>
      </c>
      <c r="R890" s="166">
        <f>IF(Sales[[#This Row],[Status]]="Cancelled",0,Sales[[#This Row],[Total Amount]])</f>
        <v>11827.376</v>
      </c>
      <c r="S890" s="162">
        <f>SUM(Sales[Net Amount])</f>
        <v>406839287.73200053</v>
      </c>
    </row>
    <row r="891" spans="1:19" ht="18.75" x14ac:dyDescent="0.25">
      <c r="A891" s="156" t="s">
        <v>4478</v>
      </c>
      <c r="B891" s="157">
        <v>45825</v>
      </c>
      <c r="C891" s="158" t="s">
        <v>783</v>
      </c>
      <c r="D891" s="159" t="str">
        <f>VLOOKUP(Sales[[#This Row],[Customer ID]],Customer[#All],2,0)</f>
        <v>Neha Singh</v>
      </c>
      <c r="E891" s="158" t="s">
        <v>325</v>
      </c>
      <c r="F891" s="158" t="str">
        <f>VLOOKUP(Sales[[#This Row],[Product ID]],Product[#All],2,0)</f>
        <v>Dell Power Adapter</v>
      </c>
      <c r="G891" s="159">
        <v>6</v>
      </c>
      <c r="H891" s="160">
        <f>VLOOKUP(Sales[[#This Row],[Product ID]],Product[#All],7,0)</f>
        <v>1630</v>
      </c>
      <c r="I891" s="160">
        <f>Sales[[#This Row],[Selling Rate]]*Sales[[#This Row],[Qty]]</f>
        <v>9780</v>
      </c>
      <c r="J891" s="43">
        <v>0.05</v>
      </c>
      <c r="K891" s="44">
        <f>Sales[[#This Row],[Gross Amount]]*Sales[[#This Row],[Disc %]]</f>
        <v>489</v>
      </c>
      <c r="L891" s="43">
        <v>0.18</v>
      </c>
      <c r="M891" s="44">
        <f>(Sales[[#This Row],[Gross Amount]]-Sales[[#This Row],[Disc. Amt.]])*Sales[[#This Row],[GST %]]</f>
        <v>1672.3799999999999</v>
      </c>
      <c r="N891" s="161">
        <f>Sales[[#This Row],[Gross Amount]]-Sales[[#This Row],[Disc. Amt.]]+Sales[[#This Row],[GST Amount]]</f>
        <v>10963.38</v>
      </c>
      <c r="O891" s="158" t="s">
        <v>3566</v>
      </c>
      <c r="P891" s="158" t="s">
        <v>3562</v>
      </c>
      <c r="Q891" s="160">
        <f>IF(Sales[[#This Row],[Status]]="Cancelled",0,Sales[[#This Row],[Qty]])</f>
        <v>6</v>
      </c>
      <c r="R891" s="161">
        <f>IF(Sales[[#This Row],[Status]]="Cancelled",0,Sales[[#This Row],[Total Amount]])</f>
        <v>10963.38</v>
      </c>
      <c r="S891" s="162">
        <f>SUM(Sales[Net Amount])</f>
        <v>406839287.73200053</v>
      </c>
    </row>
    <row r="892" spans="1:19" ht="18.75" x14ac:dyDescent="0.25">
      <c r="A892" s="163" t="s">
        <v>4479</v>
      </c>
      <c r="B892" s="164">
        <v>45825</v>
      </c>
      <c r="C892" s="34" t="s">
        <v>952</v>
      </c>
      <c r="D892" s="53" t="str">
        <f>VLOOKUP(Sales[[#This Row],[Customer ID]],Customer[#All],2,0)</f>
        <v>Pooja Singh</v>
      </c>
      <c r="E892" s="34" t="s">
        <v>346</v>
      </c>
      <c r="F892" s="34" t="str">
        <f>VLOOKUP(Sales[[#This Row],[Product ID]],Product[#All],2,0)</f>
        <v>HP Laptop</v>
      </c>
      <c r="G892" s="53">
        <v>5</v>
      </c>
      <c r="H892" s="165">
        <f>VLOOKUP(Sales[[#This Row],[Product ID]],Product[#All],7,0)</f>
        <v>88550</v>
      </c>
      <c r="I892" s="165">
        <f>Sales[[#This Row],[Selling Rate]]*Sales[[#This Row],[Qty]]</f>
        <v>442750</v>
      </c>
      <c r="J892" s="45">
        <v>0.1</v>
      </c>
      <c r="K892" s="46">
        <f>Sales[[#This Row],[Gross Amount]]*Sales[[#This Row],[Disc %]]</f>
        <v>44275</v>
      </c>
      <c r="L892" s="43">
        <v>0.18</v>
      </c>
      <c r="M892" s="46">
        <f>(Sales[[#This Row],[Gross Amount]]-Sales[[#This Row],[Disc. Amt.]])*Sales[[#This Row],[GST %]]</f>
        <v>71725.5</v>
      </c>
      <c r="N892" s="161">
        <f>Sales[[#This Row],[Gross Amount]]-Sales[[#This Row],[Disc. Amt.]]+Sales[[#This Row],[GST Amount]]</f>
        <v>470200.5</v>
      </c>
      <c r="O892" s="34" t="s">
        <v>3569</v>
      </c>
      <c r="P892" s="34" t="s">
        <v>3562</v>
      </c>
      <c r="Q892" s="165">
        <f>IF(Sales[[#This Row],[Status]]="Cancelled",0,Sales[[#This Row],[Qty]])</f>
        <v>5</v>
      </c>
      <c r="R892" s="166">
        <f>IF(Sales[[#This Row],[Status]]="Cancelled",0,Sales[[#This Row],[Total Amount]])</f>
        <v>470200.5</v>
      </c>
      <c r="S892" s="162">
        <f>SUM(Sales[Net Amount])</f>
        <v>406839287.73200053</v>
      </c>
    </row>
    <row r="893" spans="1:19" ht="18.75" x14ac:dyDescent="0.25">
      <c r="A893" s="156" t="s">
        <v>4480</v>
      </c>
      <c r="B893" s="157">
        <v>45825</v>
      </c>
      <c r="C893" s="158" t="s">
        <v>832</v>
      </c>
      <c r="D893" s="159" t="str">
        <f>VLOOKUP(Sales[[#This Row],[Customer ID]],Customer[#All],2,0)</f>
        <v>Vikas Sharma</v>
      </c>
      <c r="E893" s="158" t="s">
        <v>156</v>
      </c>
      <c r="F893" s="158" t="str">
        <f>VLOOKUP(Sales[[#This Row],[Product ID]],Product[#All],2,0)</f>
        <v>Boat Speaker</v>
      </c>
      <c r="G893" s="159">
        <v>6</v>
      </c>
      <c r="H893" s="160">
        <f>VLOOKUP(Sales[[#This Row],[Product ID]],Product[#All],7,0)</f>
        <v>3240</v>
      </c>
      <c r="I893" s="160">
        <f>Sales[[#This Row],[Selling Rate]]*Sales[[#This Row],[Qty]]</f>
        <v>19440</v>
      </c>
      <c r="J893" s="43">
        <v>0.05</v>
      </c>
      <c r="K893" s="44">
        <f>Sales[[#This Row],[Gross Amount]]*Sales[[#This Row],[Disc %]]</f>
        <v>972</v>
      </c>
      <c r="L893" s="43">
        <v>0.18</v>
      </c>
      <c r="M893" s="44">
        <f>(Sales[[#This Row],[Gross Amount]]-Sales[[#This Row],[Disc. Amt.]])*Sales[[#This Row],[GST %]]</f>
        <v>3324.24</v>
      </c>
      <c r="N893" s="161">
        <f>Sales[[#This Row],[Gross Amount]]-Sales[[#This Row],[Disc. Amt.]]+Sales[[#This Row],[GST Amount]]</f>
        <v>21792.239999999998</v>
      </c>
      <c r="O893" s="158" t="s">
        <v>3566</v>
      </c>
      <c r="P893" s="158" t="s">
        <v>3562</v>
      </c>
      <c r="Q893" s="160">
        <f>IF(Sales[[#This Row],[Status]]="Cancelled",0,Sales[[#This Row],[Qty]])</f>
        <v>6</v>
      </c>
      <c r="R893" s="161">
        <f>IF(Sales[[#This Row],[Status]]="Cancelled",0,Sales[[#This Row],[Total Amount]])</f>
        <v>21792.239999999998</v>
      </c>
      <c r="S893" s="162">
        <f>SUM(Sales[Net Amount])</f>
        <v>406839287.73200053</v>
      </c>
    </row>
    <row r="894" spans="1:19" ht="18.75" x14ac:dyDescent="0.25">
      <c r="A894" s="163" t="s">
        <v>4481</v>
      </c>
      <c r="B894" s="164">
        <v>45825</v>
      </c>
      <c r="C894" s="34" t="s">
        <v>774</v>
      </c>
      <c r="D894" s="53" t="str">
        <f>VLOOKUP(Sales[[#This Row],[Customer ID]],Customer[#All],2,0)</f>
        <v>Vikas Patel</v>
      </c>
      <c r="E894" s="34" t="s">
        <v>543</v>
      </c>
      <c r="F894" s="34" t="str">
        <f>VLOOKUP(Sales[[#This Row],[Product ID]],Product[#All],2,0)</f>
        <v>Logitech Mouse</v>
      </c>
      <c r="G894" s="53">
        <v>4</v>
      </c>
      <c r="H894" s="165">
        <f>VLOOKUP(Sales[[#This Row],[Product ID]],Product[#All],7,0)</f>
        <v>2430</v>
      </c>
      <c r="I894" s="165">
        <f>Sales[[#This Row],[Selling Rate]]*Sales[[#This Row],[Qty]]</f>
        <v>9720</v>
      </c>
      <c r="J894" s="45">
        <v>0.05</v>
      </c>
      <c r="K894" s="46">
        <f>Sales[[#This Row],[Gross Amount]]*Sales[[#This Row],[Disc %]]</f>
        <v>486</v>
      </c>
      <c r="L894" s="43">
        <v>0.18</v>
      </c>
      <c r="M894" s="46">
        <f>(Sales[[#This Row],[Gross Amount]]-Sales[[#This Row],[Disc. Amt.]])*Sales[[#This Row],[GST %]]</f>
        <v>1662.12</v>
      </c>
      <c r="N894" s="161">
        <f>Sales[[#This Row],[Gross Amount]]-Sales[[#This Row],[Disc. Amt.]]+Sales[[#This Row],[GST Amount]]</f>
        <v>10896.119999999999</v>
      </c>
      <c r="O894" s="34" t="s">
        <v>3569</v>
      </c>
      <c r="P894" s="34" t="s">
        <v>3562</v>
      </c>
      <c r="Q894" s="165">
        <f>IF(Sales[[#This Row],[Status]]="Cancelled",0,Sales[[#This Row],[Qty]])</f>
        <v>4</v>
      </c>
      <c r="R894" s="166">
        <f>IF(Sales[[#This Row],[Status]]="Cancelled",0,Sales[[#This Row],[Total Amount]])</f>
        <v>10896.119999999999</v>
      </c>
      <c r="S894" s="162">
        <f>SUM(Sales[Net Amount])</f>
        <v>406839287.73200053</v>
      </c>
    </row>
    <row r="895" spans="1:19" ht="18.75" x14ac:dyDescent="0.25">
      <c r="A895" s="156" t="s">
        <v>4482</v>
      </c>
      <c r="B895" s="157">
        <v>45825</v>
      </c>
      <c r="C895" s="158" t="s">
        <v>851</v>
      </c>
      <c r="D895" s="159" t="str">
        <f>VLOOKUP(Sales[[#This Row],[Customer ID]],Customer[#All],2,0)</f>
        <v>Pooja Singh</v>
      </c>
      <c r="E895" s="158" t="s">
        <v>147</v>
      </c>
      <c r="F895" s="158" t="str">
        <f>VLOOKUP(Sales[[#This Row],[Product ID]],Product[#All],2,0)</f>
        <v>HP Power Adapter</v>
      </c>
      <c r="G895" s="159">
        <v>1</v>
      </c>
      <c r="H895" s="160">
        <f>VLOOKUP(Sales[[#This Row],[Product ID]],Product[#All],7,0)</f>
        <v>4680</v>
      </c>
      <c r="I895" s="160">
        <f>Sales[[#This Row],[Selling Rate]]*Sales[[#This Row],[Qty]]</f>
        <v>4680</v>
      </c>
      <c r="J895" s="43">
        <v>0.05</v>
      </c>
      <c r="K895" s="44">
        <f>Sales[[#This Row],[Gross Amount]]*Sales[[#This Row],[Disc %]]</f>
        <v>234</v>
      </c>
      <c r="L895" s="43">
        <v>0.18</v>
      </c>
      <c r="M895" s="44">
        <f>(Sales[[#This Row],[Gross Amount]]-Sales[[#This Row],[Disc. Amt.]])*Sales[[#This Row],[GST %]]</f>
        <v>800.28</v>
      </c>
      <c r="N895" s="161">
        <f>Sales[[#This Row],[Gross Amount]]-Sales[[#This Row],[Disc. Amt.]]+Sales[[#This Row],[GST Amount]]</f>
        <v>5246.28</v>
      </c>
      <c r="O895" s="158" t="s">
        <v>3566</v>
      </c>
      <c r="P895" s="158" t="s">
        <v>3562</v>
      </c>
      <c r="Q895" s="160">
        <f>IF(Sales[[#This Row],[Status]]="Cancelled",0,Sales[[#This Row],[Qty]])</f>
        <v>1</v>
      </c>
      <c r="R895" s="161">
        <f>IF(Sales[[#This Row],[Status]]="Cancelled",0,Sales[[#This Row],[Total Amount]])</f>
        <v>5246.28</v>
      </c>
      <c r="S895" s="162">
        <f>SUM(Sales[Net Amount])</f>
        <v>406839287.73200053</v>
      </c>
    </row>
    <row r="896" spans="1:19" ht="18.75" x14ac:dyDescent="0.25">
      <c r="A896" s="163" t="s">
        <v>4483</v>
      </c>
      <c r="B896" s="164">
        <v>45825</v>
      </c>
      <c r="C896" s="34" t="s">
        <v>929</v>
      </c>
      <c r="D896" s="53" t="str">
        <f>VLOOKUP(Sales[[#This Row],[Customer ID]],Customer[#All],2,0)</f>
        <v>Sunita Gupta</v>
      </c>
      <c r="E896" s="34" t="s">
        <v>129</v>
      </c>
      <c r="F896" s="34" t="str">
        <f>VLOOKUP(Sales[[#This Row],[Product ID]],Product[#All],2,0)</f>
        <v>Logitech Mouse</v>
      </c>
      <c r="G896" s="53">
        <v>3</v>
      </c>
      <c r="H896" s="165">
        <f>VLOOKUP(Sales[[#This Row],[Product ID]],Product[#All],7,0)</f>
        <v>2000</v>
      </c>
      <c r="I896" s="165">
        <f>Sales[[#This Row],[Selling Rate]]*Sales[[#This Row],[Qty]]</f>
        <v>6000</v>
      </c>
      <c r="J896" s="45">
        <v>0.12</v>
      </c>
      <c r="K896" s="46">
        <f>Sales[[#This Row],[Gross Amount]]*Sales[[#This Row],[Disc %]]</f>
        <v>720</v>
      </c>
      <c r="L896" s="43">
        <v>0.18</v>
      </c>
      <c r="M896" s="46">
        <f>(Sales[[#This Row],[Gross Amount]]-Sales[[#This Row],[Disc. Amt.]])*Sales[[#This Row],[GST %]]</f>
        <v>950.4</v>
      </c>
      <c r="N896" s="161">
        <f>Sales[[#This Row],[Gross Amount]]-Sales[[#This Row],[Disc. Amt.]]+Sales[[#This Row],[GST Amount]]</f>
        <v>6230.4</v>
      </c>
      <c r="O896" s="34" t="s">
        <v>3566</v>
      </c>
      <c r="P896" s="34" t="s">
        <v>3562</v>
      </c>
      <c r="Q896" s="165">
        <f>IF(Sales[[#This Row],[Status]]="Cancelled",0,Sales[[#This Row],[Qty]])</f>
        <v>3</v>
      </c>
      <c r="R896" s="166">
        <f>IF(Sales[[#This Row],[Status]]="Cancelled",0,Sales[[#This Row],[Total Amount]])</f>
        <v>6230.4</v>
      </c>
      <c r="S896" s="162">
        <f>SUM(Sales[Net Amount])</f>
        <v>406839287.73200053</v>
      </c>
    </row>
    <row r="897" spans="1:19" ht="18.75" x14ac:dyDescent="0.25">
      <c r="A897" s="156" t="s">
        <v>4484</v>
      </c>
      <c r="B897" s="157">
        <v>45825</v>
      </c>
      <c r="C897" s="158" t="s">
        <v>717</v>
      </c>
      <c r="D897" s="159" t="str">
        <f>VLOOKUP(Sales[[#This Row],[Customer ID]],Customer[#All],2,0)</f>
        <v>Sunita Singh</v>
      </c>
      <c r="E897" s="158" t="s">
        <v>323</v>
      </c>
      <c r="F897" s="158" t="str">
        <f>VLOOKUP(Sales[[#This Row],[Product ID]],Product[#All],2,0)</f>
        <v>Dell Desktop</v>
      </c>
      <c r="G897" s="159">
        <v>3</v>
      </c>
      <c r="H897" s="160">
        <f>VLOOKUP(Sales[[#This Row],[Product ID]],Product[#All],7,0)</f>
        <v>45070</v>
      </c>
      <c r="I897" s="160">
        <f>Sales[[#This Row],[Selling Rate]]*Sales[[#This Row],[Qty]]</f>
        <v>135210</v>
      </c>
      <c r="J897" s="43">
        <v>0.05</v>
      </c>
      <c r="K897" s="44">
        <f>Sales[[#This Row],[Gross Amount]]*Sales[[#This Row],[Disc %]]</f>
        <v>6760.5</v>
      </c>
      <c r="L897" s="43">
        <v>0.18</v>
      </c>
      <c r="M897" s="44">
        <f>(Sales[[#This Row],[Gross Amount]]-Sales[[#This Row],[Disc. Amt.]])*Sales[[#This Row],[GST %]]</f>
        <v>23120.91</v>
      </c>
      <c r="N897" s="161">
        <f>Sales[[#This Row],[Gross Amount]]-Sales[[#This Row],[Disc. Amt.]]+Sales[[#This Row],[GST Amount]]</f>
        <v>151570.41</v>
      </c>
      <c r="O897" s="158" t="s">
        <v>3566</v>
      </c>
      <c r="P897" s="158" t="s">
        <v>1040</v>
      </c>
      <c r="Q897" s="160">
        <f>IF(Sales[[#This Row],[Status]]="Cancelled",0,Sales[[#This Row],[Qty]])</f>
        <v>0</v>
      </c>
      <c r="R897" s="161">
        <f>IF(Sales[[#This Row],[Status]]="Cancelled",0,Sales[[#This Row],[Total Amount]])</f>
        <v>0</v>
      </c>
      <c r="S897" s="162">
        <f>SUM(Sales[Net Amount])</f>
        <v>406839287.73200053</v>
      </c>
    </row>
    <row r="898" spans="1:19" ht="18.75" x14ac:dyDescent="0.25">
      <c r="A898" s="163" t="s">
        <v>4485</v>
      </c>
      <c r="B898" s="164">
        <v>45825</v>
      </c>
      <c r="C898" s="34" t="s">
        <v>678</v>
      </c>
      <c r="D898" s="53" t="str">
        <f>VLOOKUP(Sales[[#This Row],[Customer ID]],Customer[#All],2,0)</f>
        <v>Ankit Gupta</v>
      </c>
      <c r="E898" s="34" t="s">
        <v>222</v>
      </c>
      <c r="F898" s="34" t="str">
        <f>VLOOKUP(Sales[[#This Row],[Product ID]],Product[#All],2,0)</f>
        <v>Jbl Headset</v>
      </c>
      <c r="G898" s="53">
        <v>8</v>
      </c>
      <c r="H898" s="165">
        <f>VLOOKUP(Sales[[#This Row],[Product ID]],Product[#All],7,0)</f>
        <v>8550</v>
      </c>
      <c r="I898" s="165">
        <f>Sales[[#This Row],[Selling Rate]]*Sales[[#This Row],[Qty]]</f>
        <v>68400</v>
      </c>
      <c r="J898" s="45">
        <v>0.02</v>
      </c>
      <c r="K898" s="46">
        <f>Sales[[#This Row],[Gross Amount]]*Sales[[#This Row],[Disc %]]</f>
        <v>1368</v>
      </c>
      <c r="L898" s="43">
        <v>0.18</v>
      </c>
      <c r="M898" s="46">
        <f>(Sales[[#This Row],[Gross Amount]]-Sales[[#This Row],[Disc. Amt.]])*Sales[[#This Row],[GST %]]</f>
        <v>12065.76</v>
      </c>
      <c r="N898" s="161">
        <f>Sales[[#This Row],[Gross Amount]]-Sales[[#This Row],[Disc. Amt.]]+Sales[[#This Row],[GST Amount]]</f>
        <v>79097.759999999995</v>
      </c>
      <c r="O898" s="34" t="s">
        <v>3561</v>
      </c>
      <c r="P898" s="34" t="s">
        <v>3562</v>
      </c>
      <c r="Q898" s="165">
        <f>IF(Sales[[#This Row],[Status]]="Cancelled",0,Sales[[#This Row],[Qty]])</f>
        <v>8</v>
      </c>
      <c r="R898" s="166">
        <f>IF(Sales[[#This Row],[Status]]="Cancelled",0,Sales[[#This Row],[Total Amount]])</f>
        <v>79097.759999999995</v>
      </c>
      <c r="S898" s="162">
        <f>SUM(Sales[Net Amount])</f>
        <v>406839287.73200053</v>
      </c>
    </row>
    <row r="899" spans="1:19" ht="18.75" x14ac:dyDescent="0.25">
      <c r="A899" s="156" t="s">
        <v>4486</v>
      </c>
      <c r="B899" s="157">
        <v>45825</v>
      </c>
      <c r="C899" s="158" t="s">
        <v>698</v>
      </c>
      <c r="D899" s="159" t="str">
        <f>VLOOKUP(Sales[[#This Row],[Customer ID]],Customer[#All],2,0)</f>
        <v>Neha Sharma</v>
      </c>
      <c r="E899" s="158" t="s">
        <v>513</v>
      </c>
      <c r="F899" s="158" t="str">
        <f>VLOOKUP(Sales[[#This Row],[Product ID]],Product[#All],2,0)</f>
        <v>HP Power Adapter</v>
      </c>
      <c r="G899" s="159">
        <v>8</v>
      </c>
      <c r="H899" s="160">
        <f>VLOOKUP(Sales[[#This Row],[Product ID]],Product[#All],7,0)</f>
        <v>2470</v>
      </c>
      <c r="I899" s="160">
        <f>Sales[[#This Row],[Selling Rate]]*Sales[[#This Row],[Qty]]</f>
        <v>19760</v>
      </c>
      <c r="J899" s="43">
        <v>0.05</v>
      </c>
      <c r="K899" s="44">
        <f>Sales[[#This Row],[Gross Amount]]*Sales[[#This Row],[Disc %]]</f>
        <v>988</v>
      </c>
      <c r="L899" s="43">
        <v>0.18</v>
      </c>
      <c r="M899" s="44">
        <f>(Sales[[#This Row],[Gross Amount]]-Sales[[#This Row],[Disc. Amt.]])*Sales[[#This Row],[GST %]]</f>
        <v>3378.96</v>
      </c>
      <c r="N899" s="161">
        <f>Sales[[#This Row],[Gross Amount]]-Sales[[#This Row],[Disc. Amt.]]+Sales[[#This Row],[GST Amount]]</f>
        <v>22150.959999999999</v>
      </c>
      <c r="O899" s="158" t="s">
        <v>8876</v>
      </c>
      <c r="P899" s="158" t="s">
        <v>3562</v>
      </c>
      <c r="Q899" s="160">
        <f>IF(Sales[[#This Row],[Status]]="Cancelled",0,Sales[[#This Row],[Qty]])</f>
        <v>8</v>
      </c>
      <c r="R899" s="161">
        <f>IF(Sales[[#This Row],[Status]]="Cancelled",0,Sales[[#This Row],[Total Amount]])</f>
        <v>22150.959999999999</v>
      </c>
      <c r="S899" s="162">
        <f>SUM(Sales[Net Amount])</f>
        <v>406839287.73200053</v>
      </c>
    </row>
    <row r="900" spans="1:19" ht="18.75" x14ac:dyDescent="0.25">
      <c r="A900" s="163" t="s">
        <v>4487</v>
      </c>
      <c r="B900" s="164">
        <v>45825</v>
      </c>
      <c r="C900" s="34" t="s">
        <v>862</v>
      </c>
      <c r="D900" s="53" t="str">
        <f>VLOOKUP(Sales[[#This Row],[Customer ID]],Customer[#All],2,0)</f>
        <v>Rakesh Sharma</v>
      </c>
      <c r="E900" s="34" t="s">
        <v>273</v>
      </c>
      <c r="F900" s="34" t="str">
        <f>VLOOKUP(Sales[[#This Row],[Product ID]],Product[#All],2,0)</f>
        <v>Boat Headset</v>
      </c>
      <c r="G900" s="53">
        <v>1</v>
      </c>
      <c r="H900" s="165">
        <f>VLOOKUP(Sales[[#This Row],[Product ID]],Product[#All],7,0)</f>
        <v>4970</v>
      </c>
      <c r="I900" s="165">
        <f>Sales[[#This Row],[Selling Rate]]*Sales[[#This Row],[Qty]]</f>
        <v>4970</v>
      </c>
      <c r="J900" s="45">
        <v>0.05</v>
      </c>
      <c r="K900" s="46">
        <f>Sales[[#This Row],[Gross Amount]]*Sales[[#This Row],[Disc %]]</f>
        <v>248.5</v>
      </c>
      <c r="L900" s="43">
        <v>0.18</v>
      </c>
      <c r="M900" s="46">
        <f>(Sales[[#This Row],[Gross Amount]]-Sales[[#This Row],[Disc. Amt.]])*Sales[[#This Row],[GST %]]</f>
        <v>849.87</v>
      </c>
      <c r="N900" s="161">
        <f>Sales[[#This Row],[Gross Amount]]-Sales[[#This Row],[Disc. Amt.]]+Sales[[#This Row],[GST Amount]]</f>
        <v>5571.37</v>
      </c>
      <c r="O900" s="34" t="s">
        <v>8876</v>
      </c>
      <c r="P900" s="34" t="s">
        <v>3562</v>
      </c>
      <c r="Q900" s="165">
        <f>IF(Sales[[#This Row],[Status]]="Cancelled",0,Sales[[#This Row],[Qty]])</f>
        <v>1</v>
      </c>
      <c r="R900" s="166">
        <f>IF(Sales[[#This Row],[Status]]="Cancelled",0,Sales[[#This Row],[Total Amount]])</f>
        <v>5571.37</v>
      </c>
      <c r="S900" s="162">
        <f>SUM(Sales[Net Amount])</f>
        <v>406839287.73200053</v>
      </c>
    </row>
    <row r="901" spans="1:19" ht="18.75" x14ac:dyDescent="0.25">
      <c r="A901" s="156" t="s">
        <v>4488</v>
      </c>
      <c r="B901" s="157">
        <v>45825</v>
      </c>
      <c r="C901" s="158" t="s">
        <v>947</v>
      </c>
      <c r="D901" s="159" t="str">
        <f>VLOOKUP(Sales[[#This Row],[Customer ID]],Customer[#All],2,0)</f>
        <v>Sunita Singh</v>
      </c>
      <c r="E901" s="158" t="s">
        <v>367</v>
      </c>
      <c r="F901" s="158" t="str">
        <f>VLOOKUP(Sales[[#This Row],[Product ID]],Product[#All],2,0)</f>
        <v>Jbl Speaker</v>
      </c>
      <c r="G901" s="159">
        <v>1</v>
      </c>
      <c r="H901" s="160">
        <f>VLOOKUP(Sales[[#This Row],[Product ID]],Product[#All],7,0)</f>
        <v>4880</v>
      </c>
      <c r="I901" s="160">
        <f>Sales[[#This Row],[Selling Rate]]*Sales[[#This Row],[Qty]]</f>
        <v>4880</v>
      </c>
      <c r="J901" s="43">
        <v>0.05</v>
      </c>
      <c r="K901" s="44">
        <f>Sales[[#This Row],[Gross Amount]]*Sales[[#This Row],[Disc %]]</f>
        <v>244</v>
      </c>
      <c r="L901" s="43">
        <v>0.18</v>
      </c>
      <c r="M901" s="44">
        <f>(Sales[[#This Row],[Gross Amount]]-Sales[[#This Row],[Disc. Amt.]])*Sales[[#This Row],[GST %]]</f>
        <v>834.48</v>
      </c>
      <c r="N901" s="161">
        <f>Sales[[#This Row],[Gross Amount]]-Sales[[#This Row],[Disc. Amt.]]+Sales[[#This Row],[GST Amount]]</f>
        <v>5470.48</v>
      </c>
      <c r="O901" s="158" t="s">
        <v>3566</v>
      </c>
      <c r="P901" s="158" t="s">
        <v>3562</v>
      </c>
      <c r="Q901" s="160">
        <f>IF(Sales[[#This Row],[Status]]="Cancelled",0,Sales[[#This Row],[Qty]])</f>
        <v>1</v>
      </c>
      <c r="R901" s="161">
        <f>IF(Sales[[#This Row],[Status]]="Cancelled",0,Sales[[#This Row],[Total Amount]])</f>
        <v>5470.48</v>
      </c>
      <c r="S901" s="162">
        <f>SUM(Sales[Net Amount])</f>
        <v>406839287.73200053</v>
      </c>
    </row>
    <row r="902" spans="1:19" ht="18.75" x14ac:dyDescent="0.25">
      <c r="A902" s="163" t="s">
        <v>4489</v>
      </c>
      <c r="B902" s="164">
        <v>45825</v>
      </c>
      <c r="C902" s="34" t="s">
        <v>887</v>
      </c>
      <c r="D902" s="53" t="str">
        <f>VLOOKUP(Sales[[#This Row],[Customer ID]],Customer[#All],2,0)</f>
        <v>Sahil Verma</v>
      </c>
      <c r="E902" s="34" t="s">
        <v>381</v>
      </c>
      <c r="F902" s="34" t="str">
        <f>VLOOKUP(Sales[[#This Row],[Product ID]],Product[#All],2,0)</f>
        <v>HP Power Adapter</v>
      </c>
      <c r="G902" s="53">
        <v>1</v>
      </c>
      <c r="H902" s="165">
        <f>VLOOKUP(Sales[[#This Row],[Product ID]],Product[#All],7,0)</f>
        <v>990</v>
      </c>
      <c r="I902" s="165">
        <f>Sales[[#This Row],[Selling Rate]]*Sales[[#This Row],[Qty]]</f>
        <v>990</v>
      </c>
      <c r="J902" s="45">
        <v>0.15</v>
      </c>
      <c r="K902" s="46">
        <f>Sales[[#This Row],[Gross Amount]]*Sales[[#This Row],[Disc %]]</f>
        <v>148.5</v>
      </c>
      <c r="L902" s="43">
        <v>0.18</v>
      </c>
      <c r="M902" s="46">
        <f>(Sales[[#This Row],[Gross Amount]]-Sales[[#This Row],[Disc. Amt.]])*Sales[[#This Row],[GST %]]</f>
        <v>151.47</v>
      </c>
      <c r="N902" s="161">
        <f>Sales[[#This Row],[Gross Amount]]-Sales[[#This Row],[Disc. Amt.]]+Sales[[#This Row],[GST Amount]]</f>
        <v>992.97</v>
      </c>
      <c r="O902" s="34" t="s">
        <v>3566</v>
      </c>
      <c r="P902" s="34" t="s">
        <v>3562</v>
      </c>
      <c r="Q902" s="165">
        <f>IF(Sales[[#This Row],[Status]]="Cancelled",0,Sales[[#This Row],[Qty]])</f>
        <v>1</v>
      </c>
      <c r="R902" s="166">
        <f>IF(Sales[[#This Row],[Status]]="Cancelled",0,Sales[[#This Row],[Total Amount]])</f>
        <v>992.97</v>
      </c>
      <c r="S902" s="162">
        <f>SUM(Sales[Net Amount])</f>
        <v>406839287.73200053</v>
      </c>
    </row>
    <row r="903" spans="1:19" ht="18.75" x14ac:dyDescent="0.25">
      <c r="A903" s="156" t="s">
        <v>4490</v>
      </c>
      <c r="B903" s="157">
        <v>45825</v>
      </c>
      <c r="C903" s="158" t="s">
        <v>729</v>
      </c>
      <c r="D903" s="159" t="str">
        <f>VLOOKUP(Sales[[#This Row],[Customer ID]],Customer[#All],2,0)</f>
        <v>Ankit Kumar</v>
      </c>
      <c r="E903" s="158" t="s">
        <v>214</v>
      </c>
      <c r="F903" s="158" t="str">
        <f>VLOOKUP(Sales[[#This Row],[Product ID]],Product[#All],2,0)</f>
        <v>Microtek UPS</v>
      </c>
      <c r="G903" s="159">
        <v>8</v>
      </c>
      <c r="H903" s="160">
        <f>VLOOKUP(Sales[[#This Row],[Product ID]],Product[#All],7,0)</f>
        <v>10710</v>
      </c>
      <c r="I903" s="160">
        <f>Sales[[#This Row],[Selling Rate]]*Sales[[#This Row],[Qty]]</f>
        <v>85680</v>
      </c>
      <c r="J903" s="43">
        <v>0</v>
      </c>
      <c r="K903" s="44">
        <f>Sales[[#This Row],[Gross Amount]]*Sales[[#This Row],[Disc %]]</f>
        <v>0</v>
      </c>
      <c r="L903" s="43">
        <v>0.18</v>
      </c>
      <c r="M903" s="44">
        <f>(Sales[[#This Row],[Gross Amount]]-Sales[[#This Row],[Disc. Amt.]])*Sales[[#This Row],[GST %]]</f>
        <v>15422.4</v>
      </c>
      <c r="N903" s="161">
        <f>Sales[[#This Row],[Gross Amount]]-Sales[[#This Row],[Disc. Amt.]]+Sales[[#This Row],[GST Amount]]</f>
        <v>101102.39999999999</v>
      </c>
      <c r="O903" s="158" t="s">
        <v>3561</v>
      </c>
      <c r="P903" s="158" t="s">
        <v>3562</v>
      </c>
      <c r="Q903" s="160">
        <f>IF(Sales[[#This Row],[Status]]="Cancelled",0,Sales[[#This Row],[Qty]])</f>
        <v>8</v>
      </c>
      <c r="R903" s="161">
        <f>IF(Sales[[#This Row],[Status]]="Cancelled",0,Sales[[#This Row],[Total Amount]])</f>
        <v>101102.39999999999</v>
      </c>
      <c r="S903" s="162">
        <f>SUM(Sales[Net Amount])</f>
        <v>406839287.73200053</v>
      </c>
    </row>
    <row r="904" spans="1:19" ht="18.75" x14ac:dyDescent="0.25">
      <c r="A904" s="163" t="s">
        <v>4491</v>
      </c>
      <c r="B904" s="164">
        <v>45825</v>
      </c>
      <c r="C904" s="34" t="s">
        <v>783</v>
      </c>
      <c r="D904" s="53" t="str">
        <f>VLOOKUP(Sales[[#This Row],[Customer ID]],Customer[#All],2,0)</f>
        <v>Neha Singh</v>
      </c>
      <c r="E904" s="34" t="s">
        <v>460</v>
      </c>
      <c r="F904" s="34" t="str">
        <f>VLOOKUP(Sales[[#This Row],[Product ID]],Product[#All],2,0)</f>
        <v>Logitech Keyboard</v>
      </c>
      <c r="G904" s="53">
        <v>5</v>
      </c>
      <c r="H904" s="165">
        <f>VLOOKUP(Sales[[#This Row],[Product ID]],Product[#All],7,0)</f>
        <v>3050</v>
      </c>
      <c r="I904" s="165">
        <f>Sales[[#This Row],[Selling Rate]]*Sales[[#This Row],[Qty]]</f>
        <v>15250</v>
      </c>
      <c r="J904" s="45">
        <v>0.15</v>
      </c>
      <c r="K904" s="46">
        <f>Sales[[#This Row],[Gross Amount]]*Sales[[#This Row],[Disc %]]</f>
        <v>2287.5</v>
      </c>
      <c r="L904" s="43">
        <v>0.18</v>
      </c>
      <c r="M904" s="46">
        <f>(Sales[[#This Row],[Gross Amount]]-Sales[[#This Row],[Disc. Amt.]])*Sales[[#This Row],[GST %]]</f>
        <v>2333.25</v>
      </c>
      <c r="N904" s="161">
        <f>Sales[[#This Row],[Gross Amount]]-Sales[[#This Row],[Disc. Amt.]]+Sales[[#This Row],[GST Amount]]</f>
        <v>15295.75</v>
      </c>
      <c r="O904" s="34" t="s">
        <v>8876</v>
      </c>
      <c r="P904" s="34" t="s">
        <v>3562</v>
      </c>
      <c r="Q904" s="165">
        <f>IF(Sales[[#This Row],[Status]]="Cancelled",0,Sales[[#This Row],[Qty]])</f>
        <v>5</v>
      </c>
      <c r="R904" s="166">
        <f>IF(Sales[[#This Row],[Status]]="Cancelled",0,Sales[[#This Row],[Total Amount]])</f>
        <v>15295.75</v>
      </c>
      <c r="S904" s="162">
        <f>SUM(Sales[Net Amount])</f>
        <v>406839287.73200053</v>
      </c>
    </row>
    <row r="905" spans="1:19" ht="18.75" x14ac:dyDescent="0.25">
      <c r="A905" s="156" t="s">
        <v>4492</v>
      </c>
      <c r="B905" s="157">
        <v>45825</v>
      </c>
      <c r="C905" s="158" t="s">
        <v>914</v>
      </c>
      <c r="D905" s="159" t="str">
        <f>VLOOKUP(Sales[[#This Row],[Customer ID]],Customer[#All],2,0)</f>
        <v>Rakesh Patel</v>
      </c>
      <c r="E905" s="158" t="s">
        <v>165</v>
      </c>
      <c r="F905" s="158" t="str">
        <f>VLOOKUP(Sales[[#This Row],[Product ID]],Product[#All],2,0)</f>
        <v>Kingston Ram</v>
      </c>
      <c r="G905" s="159">
        <v>8</v>
      </c>
      <c r="H905" s="160">
        <f>VLOOKUP(Sales[[#This Row],[Product ID]],Product[#All],7,0)</f>
        <v>8020</v>
      </c>
      <c r="I905" s="160">
        <f>Sales[[#This Row],[Selling Rate]]*Sales[[#This Row],[Qty]]</f>
        <v>64160</v>
      </c>
      <c r="J905" s="43">
        <v>0.02</v>
      </c>
      <c r="K905" s="44">
        <f>Sales[[#This Row],[Gross Amount]]*Sales[[#This Row],[Disc %]]</f>
        <v>1283.2</v>
      </c>
      <c r="L905" s="43">
        <v>0.18</v>
      </c>
      <c r="M905" s="44">
        <f>(Sales[[#This Row],[Gross Amount]]-Sales[[#This Row],[Disc. Amt.]])*Sales[[#This Row],[GST %]]</f>
        <v>11317.824000000001</v>
      </c>
      <c r="N905" s="161">
        <f>Sales[[#This Row],[Gross Amount]]-Sales[[#This Row],[Disc. Amt.]]+Sales[[#This Row],[GST Amount]]</f>
        <v>74194.624000000011</v>
      </c>
      <c r="O905" s="158" t="s">
        <v>3561</v>
      </c>
      <c r="P905" s="158" t="s">
        <v>3562</v>
      </c>
      <c r="Q905" s="160">
        <f>IF(Sales[[#This Row],[Status]]="Cancelled",0,Sales[[#This Row],[Qty]])</f>
        <v>8</v>
      </c>
      <c r="R905" s="161">
        <f>IF(Sales[[#This Row],[Status]]="Cancelled",0,Sales[[#This Row],[Total Amount]])</f>
        <v>74194.624000000011</v>
      </c>
      <c r="S905" s="162">
        <f>SUM(Sales[Net Amount])</f>
        <v>406839287.73200053</v>
      </c>
    </row>
    <row r="906" spans="1:19" ht="18.75" x14ac:dyDescent="0.25">
      <c r="A906" s="163" t="s">
        <v>4493</v>
      </c>
      <c r="B906" s="164">
        <v>45825</v>
      </c>
      <c r="C906" s="34" t="s">
        <v>681</v>
      </c>
      <c r="D906" s="53" t="str">
        <f>VLOOKUP(Sales[[#This Row],[Customer ID]],Customer[#All],2,0)</f>
        <v>Amit Kumar</v>
      </c>
      <c r="E906" s="34" t="s">
        <v>306</v>
      </c>
      <c r="F906" s="34" t="str">
        <f>VLOOKUP(Sales[[#This Row],[Product ID]],Product[#All],2,0)</f>
        <v>Portronics USB Cable</v>
      </c>
      <c r="G906" s="53">
        <v>7</v>
      </c>
      <c r="H906" s="165">
        <f>VLOOKUP(Sales[[#This Row],[Product ID]],Product[#All],7,0)</f>
        <v>200</v>
      </c>
      <c r="I906" s="165">
        <f>Sales[[#This Row],[Selling Rate]]*Sales[[#This Row],[Qty]]</f>
        <v>1400</v>
      </c>
      <c r="J906" s="45">
        <v>0.05</v>
      </c>
      <c r="K906" s="46">
        <f>Sales[[#This Row],[Gross Amount]]*Sales[[#This Row],[Disc %]]</f>
        <v>70</v>
      </c>
      <c r="L906" s="43">
        <v>0.18</v>
      </c>
      <c r="M906" s="46">
        <f>(Sales[[#This Row],[Gross Amount]]-Sales[[#This Row],[Disc. Amt.]])*Sales[[#This Row],[GST %]]</f>
        <v>239.39999999999998</v>
      </c>
      <c r="N906" s="161">
        <f>Sales[[#This Row],[Gross Amount]]-Sales[[#This Row],[Disc. Amt.]]+Sales[[#This Row],[GST Amount]]</f>
        <v>1569.4</v>
      </c>
      <c r="O906" s="34" t="s">
        <v>3569</v>
      </c>
      <c r="P906" s="34" t="s">
        <v>3562</v>
      </c>
      <c r="Q906" s="165">
        <f>IF(Sales[[#This Row],[Status]]="Cancelled",0,Sales[[#This Row],[Qty]])</f>
        <v>7</v>
      </c>
      <c r="R906" s="166">
        <f>IF(Sales[[#This Row],[Status]]="Cancelled",0,Sales[[#This Row],[Total Amount]])</f>
        <v>1569.4</v>
      </c>
      <c r="S906" s="162">
        <f>SUM(Sales[Net Amount])</f>
        <v>406839287.73200053</v>
      </c>
    </row>
    <row r="907" spans="1:19" ht="18.75" x14ac:dyDescent="0.25">
      <c r="A907" s="156" t="s">
        <v>4494</v>
      </c>
      <c r="B907" s="157">
        <v>45825</v>
      </c>
      <c r="C907" s="158" t="s">
        <v>765</v>
      </c>
      <c r="D907" s="159" t="str">
        <f>VLOOKUP(Sales[[#This Row],[Customer ID]],Customer[#All],2,0)</f>
        <v>Neha Gupta</v>
      </c>
      <c r="E907" s="158" t="s">
        <v>147</v>
      </c>
      <c r="F907" s="158" t="str">
        <f>VLOOKUP(Sales[[#This Row],[Product ID]],Product[#All],2,0)</f>
        <v>HP Power Adapter</v>
      </c>
      <c r="G907" s="159">
        <v>4</v>
      </c>
      <c r="H907" s="160">
        <f>VLOOKUP(Sales[[#This Row],[Product ID]],Product[#All],7,0)</f>
        <v>4680</v>
      </c>
      <c r="I907" s="160">
        <f>Sales[[#This Row],[Selling Rate]]*Sales[[#This Row],[Qty]]</f>
        <v>18720</v>
      </c>
      <c r="J907" s="43">
        <v>0.05</v>
      </c>
      <c r="K907" s="44">
        <f>Sales[[#This Row],[Gross Amount]]*Sales[[#This Row],[Disc %]]</f>
        <v>936</v>
      </c>
      <c r="L907" s="43">
        <v>0.18</v>
      </c>
      <c r="M907" s="44">
        <f>(Sales[[#This Row],[Gross Amount]]-Sales[[#This Row],[Disc. Amt.]])*Sales[[#This Row],[GST %]]</f>
        <v>3201.12</v>
      </c>
      <c r="N907" s="161">
        <f>Sales[[#This Row],[Gross Amount]]-Sales[[#This Row],[Disc. Amt.]]+Sales[[#This Row],[GST Amount]]</f>
        <v>20985.119999999999</v>
      </c>
      <c r="O907" s="158" t="s">
        <v>3566</v>
      </c>
      <c r="P907" s="158" t="s">
        <v>3562</v>
      </c>
      <c r="Q907" s="160">
        <f>IF(Sales[[#This Row],[Status]]="Cancelled",0,Sales[[#This Row],[Qty]])</f>
        <v>4</v>
      </c>
      <c r="R907" s="161">
        <f>IF(Sales[[#This Row],[Status]]="Cancelled",0,Sales[[#This Row],[Total Amount]])</f>
        <v>20985.119999999999</v>
      </c>
      <c r="S907" s="162">
        <f>SUM(Sales[Net Amount])</f>
        <v>406839287.73200053</v>
      </c>
    </row>
    <row r="908" spans="1:19" ht="18.75" x14ac:dyDescent="0.25">
      <c r="A908" s="163" t="s">
        <v>4495</v>
      </c>
      <c r="B908" s="164">
        <v>45825</v>
      </c>
      <c r="C908" s="34" t="s">
        <v>736</v>
      </c>
      <c r="D908" s="53" t="str">
        <f>VLOOKUP(Sales[[#This Row],[Customer ID]],Customer[#All],2,0)</f>
        <v>Ankit Verma</v>
      </c>
      <c r="E908" s="34" t="s">
        <v>78</v>
      </c>
      <c r="F908" s="34" t="str">
        <f>VLOOKUP(Sales[[#This Row],[Product ID]],Product[#All],2,0)</f>
        <v>Lg Monitor</v>
      </c>
      <c r="G908" s="53">
        <v>2</v>
      </c>
      <c r="H908" s="165">
        <f>VLOOKUP(Sales[[#This Row],[Product ID]],Product[#All],7,0)</f>
        <v>16690</v>
      </c>
      <c r="I908" s="165">
        <f>Sales[[#This Row],[Selling Rate]]*Sales[[#This Row],[Qty]]</f>
        <v>33380</v>
      </c>
      <c r="J908" s="45">
        <v>0</v>
      </c>
      <c r="K908" s="46">
        <f>Sales[[#This Row],[Gross Amount]]*Sales[[#This Row],[Disc %]]</f>
        <v>0</v>
      </c>
      <c r="L908" s="43">
        <v>0.18</v>
      </c>
      <c r="M908" s="46">
        <f>(Sales[[#This Row],[Gross Amount]]-Sales[[#This Row],[Disc. Amt.]])*Sales[[#This Row],[GST %]]</f>
        <v>6008.4</v>
      </c>
      <c r="N908" s="161">
        <f>Sales[[#This Row],[Gross Amount]]-Sales[[#This Row],[Disc. Amt.]]+Sales[[#This Row],[GST Amount]]</f>
        <v>39388.400000000001</v>
      </c>
      <c r="O908" s="34" t="s">
        <v>8876</v>
      </c>
      <c r="P908" s="34" t="s">
        <v>3562</v>
      </c>
      <c r="Q908" s="165">
        <f>IF(Sales[[#This Row],[Status]]="Cancelled",0,Sales[[#This Row],[Qty]])</f>
        <v>2</v>
      </c>
      <c r="R908" s="166">
        <f>IF(Sales[[#This Row],[Status]]="Cancelled",0,Sales[[#This Row],[Total Amount]])</f>
        <v>39388.400000000001</v>
      </c>
      <c r="S908" s="162">
        <f>SUM(Sales[Net Amount])</f>
        <v>406839287.73200053</v>
      </c>
    </row>
    <row r="909" spans="1:19" ht="18.75" x14ac:dyDescent="0.25">
      <c r="A909" s="156" t="s">
        <v>4496</v>
      </c>
      <c r="B909" s="157">
        <v>45826</v>
      </c>
      <c r="C909" s="158" t="s">
        <v>924</v>
      </c>
      <c r="D909" s="159" t="str">
        <f>VLOOKUP(Sales[[#This Row],[Customer ID]],Customer[#All],2,0)</f>
        <v>Rakesh Gupta</v>
      </c>
      <c r="E909" s="158" t="s">
        <v>491</v>
      </c>
      <c r="F909" s="158" t="str">
        <f>VLOOKUP(Sales[[#This Row],[Product ID]],Product[#All],2,0)</f>
        <v>Boat Speaker</v>
      </c>
      <c r="G909" s="159">
        <v>3</v>
      </c>
      <c r="H909" s="160">
        <f>VLOOKUP(Sales[[#This Row],[Product ID]],Product[#All],7,0)</f>
        <v>2300</v>
      </c>
      <c r="I909" s="160">
        <f>Sales[[#This Row],[Selling Rate]]*Sales[[#This Row],[Qty]]</f>
        <v>6900</v>
      </c>
      <c r="J909" s="43">
        <v>0.05</v>
      </c>
      <c r="K909" s="44">
        <f>Sales[[#This Row],[Gross Amount]]*Sales[[#This Row],[Disc %]]</f>
        <v>345</v>
      </c>
      <c r="L909" s="43">
        <v>0.18</v>
      </c>
      <c r="M909" s="44">
        <f>(Sales[[#This Row],[Gross Amount]]-Sales[[#This Row],[Disc. Amt.]])*Sales[[#This Row],[GST %]]</f>
        <v>1179.8999999999999</v>
      </c>
      <c r="N909" s="161">
        <f>Sales[[#This Row],[Gross Amount]]-Sales[[#This Row],[Disc. Amt.]]+Sales[[#This Row],[GST Amount]]</f>
        <v>7734.9</v>
      </c>
      <c r="O909" s="158" t="s">
        <v>8876</v>
      </c>
      <c r="P909" s="158" t="s">
        <v>3562</v>
      </c>
      <c r="Q909" s="160">
        <f>IF(Sales[[#This Row],[Status]]="Cancelled",0,Sales[[#This Row],[Qty]])</f>
        <v>3</v>
      </c>
      <c r="R909" s="161">
        <f>IF(Sales[[#This Row],[Status]]="Cancelled",0,Sales[[#This Row],[Total Amount]])</f>
        <v>7734.9</v>
      </c>
      <c r="S909" s="162">
        <f>SUM(Sales[Net Amount])</f>
        <v>406839287.73200053</v>
      </c>
    </row>
    <row r="910" spans="1:19" ht="18.75" x14ac:dyDescent="0.25">
      <c r="A910" s="163" t="s">
        <v>4497</v>
      </c>
      <c r="B910" s="164">
        <v>45826</v>
      </c>
      <c r="C910" s="34" t="s">
        <v>730</v>
      </c>
      <c r="D910" s="53" t="str">
        <f>VLOOKUP(Sales[[#This Row],[Customer ID]],Customer[#All],2,0)</f>
        <v>Neha Verma</v>
      </c>
      <c r="E910" s="34" t="s">
        <v>30</v>
      </c>
      <c r="F910" s="34" t="str">
        <f>VLOOKUP(Sales[[#This Row],[Product ID]],Product[#All],2,0)</f>
        <v>Samsung Monitor</v>
      </c>
      <c r="G910" s="53">
        <v>8</v>
      </c>
      <c r="H910" s="165">
        <f>VLOOKUP(Sales[[#This Row],[Product ID]],Product[#All],7,0)</f>
        <v>16740</v>
      </c>
      <c r="I910" s="165">
        <f>Sales[[#This Row],[Selling Rate]]*Sales[[#This Row],[Qty]]</f>
        <v>133920</v>
      </c>
      <c r="J910" s="45">
        <v>0.1</v>
      </c>
      <c r="K910" s="46">
        <f>Sales[[#This Row],[Gross Amount]]*Sales[[#This Row],[Disc %]]</f>
        <v>13392</v>
      </c>
      <c r="L910" s="43">
        <v>0.18</v>
      </c>
      <c r="M910" s="46">
        <f>(Sales[[#This Row],[Gross Amount]]-Sales[[#This Row],[Disc. Amt.]])*Sales[[#This Row],[GST %]]</f>
        <v>21695.040000000001</v>
      </c>
      <c r="N910" s="161">
        <f>Sales[[#This Row],[Gross Amount]]-Sales[[#This Row],[Disc. Amt.]]+Sales[[#This Row],[GST Amount]]</f>
        <v>142223.04000000001</v>
      </c>
      <c r="O910" s="34" t="s">
        <v>3569</v>
      </c>
      <c r="P910" s="34" t="s">
        <v>1040</v>
      </c>
      <c r="Q910" s="165">
        <f>IF(Sales[[#This Row],[Status]]="Cancelled",0,Sales[[#This Row],[Qty]])</f>
        <v>0</v>
      </c>
      <c r="R910" s="166">
        <f>IF(Sales[[#This Row],[Status]]="Cancelled",0,Sales[[#This Row],[Total Amount]])</f>
        <v>0</v>
      </c>
      <c r="S910" s="162">
        <f>SUM(Sales[Net Amount])</f>
        <v>406839287.73200053</v>
      </c>
    </row>
    <row r="911" spans="1:19" ht="18.75" x14ac:dyDescent="0.25">
      <c r="A911" s="156" t="s">
        <v>4498</v>
      </c>
      <c r="B911" s="157">
        <v>45826</v>
      </c>
      <c r="C911" s="158" t="s">
        <v>917</v>
      </c>
      <c r="D911" s="159" t="str">
        <f>VLOOKUP(Sales[[#This Row],[Customer ID]],Customer[#All],2,0)</f>
        <v>Sahil Gupta</v>
      </c>
      <c r="E911" s="158" t="s">
        <v>475</v>
      </c>
      <c r="F911" s="158" t="str">
        <f>VLOOKUP(Sales[[#This Row],[Product ID]],Product[#All],2,0)</f>
        <v>TP-link Bluetooth Adapter</v>
      </c>
      <c r="G911" s="159">
        <v>8</v>
      </c>
      <c r="H911" s="160">
        <f>VLOOKUP(Sales[[#This Row],[Product ID]],Product[#All],7,0)</f>
        <v>1430</v>
      </c>
      <c r="I911" s="160">
        <f>Sales[[#This Row],[Selling Rate]]*Sales[[#This Row],[Qty]]</f>
        <v>11440</v>
      </c>
      <c r="J911" s="43">
        <v>0.02</v>
      </c>
      <c r="K911" s="44">
        <f>Sales[[#This Row],[Gross Amount]]*Sales[[#This Row],[Disc %]]</f>
        <v>228.8</v>
      </c>
      <c r="L911" s="43">
        <v>0.18</v>
      </c>
      <c r="M911" s="44">
        <f>(Sales[[#This Row],[Gross Amount]]-Sales[[#This Row],[Disc. Amt.]])*Sales[[#This Row],[GST %]]</f>
        <v>2018.0160000000001</v>
      </c>
      <c r="N911" s="161">
        <f>Sales[[#This Row],[Gross Amount]]-Sales[[#This Row],[Disc. Amt.]]+Sales[[#This Row],[GST Amount]]</f>
        <v>13229.216</v>
      </c>
      <c r="O911" s="158" t="s">
        <v>3566</v>
      </c>
      <c r="P911" s="158" t="s">
        <v>3562</v>
      </c>
      <c r="Q911" s="160">
        <f>IF(Sales[[#This Row],[Status]]="Cancelled",0,Sales[[#This Row],[Qty]])</f>
        <v>8</v>
      </c>
      <c r="R911" s="161">
        <f>IF(Sales[[#This Row],[Status]]="Cancelled",0,Sales[[#This Row],[Total Amount]])</f>
        <v>13229.216</v>
      </c>
      <c r="S911" s="162">
        <f>SUM(Sales[Net Amount])</f>
        <v>406839287.73200053</v>
      </c>
    </row>
    <row r="912" spans="1:19" ht="18.75" x14ac:dyDescent="0.25">
      <c r="A912" s="163" t="s">
        <v>4499</v>
      </c>
      <c r="B912" s="164">
        <v>45826</v>
      </c>
      <c r="C912" s="34" t="s">
        <v>813</v>
      </c>
      <c r="D912" s="53" t="str">
        <f>VLOOKUP(Sales[[#This Row],[Customer ID]],Customer[#All],2,0)</f>
        <v>Neha Verma</v>
      </c>
      <c r="E912" s="34" t="s">
        <v>231</v>
      </c>
      <c r="F912" s="34" t="str">
        <f>VLOOKUP(Sales[[#This Row],[Product ID]],Product[#All],2,0)</f>
        <v>TP-link Wi-Fi Adapter</v>
      </c>
      <c r="G912" s="53">
        <v>6</v>
      </c>
      <c r="H912" s="165">
        <f>VLOOKUP(Sales[[#This Row],[Product ID]],Product[#All],7,0)</f>
        <v>2200</v>
      </c>
      <c r="I912" s="165">
        <f>Sales[[#This Row],[Selling Rate]]*Sales[[#This Row],[Qty]]</f>
        <v>13200</v>
      </c>
      <c r="J912" s="45">
        <v>0</v>
      </c>
      <c r="K912" s="46">
        <f>Sales[[#This Row],[Gross Amount]]*Sales[[#This Row],[Disc %]]</f>
        <v>0</v>
      </c>
      <c r="L912" s="43">
        <v>0.18</v>
      </c>
      <c r="M912" s="46">
        <f>(Sales[[#This Row],[Gross Amount]]-Sales[[#This Row],[Disc. Amt.]])*Sales[[#This Row],[GST %]]</f>
        <v>2376</v>
      </c>
      <c r="N912" s="161">
        <f>Sales[[#This Row],[Gross Amount]]-Sales[[#This Row],[Disc. Amt.]]+Sales[[#This Row],[GST Amount]]</f>
        <v>15576</v>
      </c>
      <c r="O912" s="34" t="s">
        <v>3561</v>
      </c>
      <c r="P912" s="34" t="s">
        <v>3562</v>
      </c>
      <c r="Q912" s="165">
        <f>IF(Sales[[#This Row],[Status]]="Cancelled",0,Sales[[#This Row],[Qty]])</f>
        <v>6</v>
      </c>
      <c r="R912" s="166">
        <f>IF(Sales[[#This Row],[Status]]="Cancelled",0,Sales[[#This Row],[Total Amount]])</f>
        <v>15576</v>
      </c>
      <c r="S912" s="162">
        <f>SUM(Sales[Net Amount])</f>
        <v>406839287.73200053</v>
      </c>
    </row>
    <row r="913" spans="1:19" ht="18.75" x14ac:dyDescent="0.25">
      <c r="A913" s="156" t="s">
        <v>4500</v>
      </c>
      <c r="B913" s="157">
        <v>45826</v>
      </c>
      <c r="C913" s="158" t="s">
        <v>950</v>
      </c>
      <c r="D913" s="159" t="str">
        <f>VLOOKUP(Sales[[#This Row],[Customer ID]],Customer[#All],2,0)</f>
        <v>Sunita Sharma</v>
      </c>
      <c r="E913" s="158" t="s">
        <v>92</v>
      </c>
      <c r="F913" s="158" t="str">
        <f>VLOOKUP(Sales[[#This Row],[Product ID]],Product[#All],2,0)</f>
        <v>Jbl Headset</v>
      </c>
      <c r="G913" s="159">
        <v>7</v>
      </c>
      <c r="H913" s="160">
        <f>VLOOKUP(Sales[[#This Row],[Product ID]],Product[#All],7,0)</f>
        <v>6180</v>
      </c>
      <c r="I913" s="160">
        <f>Sales[[#This Row],[Selling Rate]]*Sales[[#This Row],[Qty]]</f>
        <v>43260</v>
      </c>
      <c r="J913" s="43">
        <v>0.02</v>
      </c>
      <c r="K913" s="44">
        <f>Sales[[#This Row],[Gross Amount]]*Sales[[#This Row],[Disc %]]</f>
        <v>865.2</v>
      </c>
      <c r="L913" s="43">
        <v>0.18</v>
      </c>
      <c r="M913" s="44">
        <f>(Sales[[#This Row],[Gross Amount]]-Sales[[#This Row],[Disc. Amt.]])*Sales[[#This Row],[GST %]]</f>
        <v>7631.0640000000003</v>
      </c>
      <c r="N913" s="161">
        <f>Sales[[#This Row],[Gross Amount]]-Sales[[#This Row],[Disc. Amt.]]+Sales[[#This Row],[GST Amount]]</f>
        <v>50025.864000000001</v>
      </c>
      <c r="O913" s="158" t="s">
        <v>3561</v>
      </c>
      <c r="P913" s="158" t="s">
        <v>3562</v>
      </c>
      <c r="Q913" s="160">
        <f>IF(Sales[[#This Row],[Status]]="Cancelled",0,Sales[[#This Row],[Qty]])</f>
        <v>7</v>
      </c>
      <c r="R913" s="161">
        <f>IF(Sales[[#This Row],[Status]]="Cancelled",0,Sales[[#This Row],[Total Amount]])</f>
        <v>50025.864000000001</v>
      </c>
      <c r="S913" s="162">
        <f>SUM(Sales[Net Amount])</f>
        <v>406839287.73200053</v>
      </c>
    </row>
    <row r="914" spans="1:19" ht="18.75" x14ac:dyDescent="0.25">
      <c r="A914" s="163" t="s">
        <v>4501</v>
      </c>
      <c r="B914" s="164">
        <v>45826</v>
      </c>
      <c r="C914" s="34" t="s">
        <v>751</v>
      </c>
      <c r="D914" s="53" t="str">
        <f>VLOOKUP(Sales[[#This Row],[Customer ID]],Customer[#All],2,0)</f>
        <v>Ankit Verma</v>
      </c>
      <c r="E914" s="34" t="s">
        <v>392</v>
      </c>
      <c r="F914" s="34" t="str">
        <f>VLOOKUP(Sales[[#This Row],[Product ID]],Product[#All],2,0)</f>
        <v>Apc UPS</v>
      </c>
      <c r="G914" s="53">
        <v>1</v>
      </c>
      <c r="H914" s="165">
        <f>VLOOKUP(Sales[[#This Row],[Product ID]],Product[#All],7,0)</f>
        <v>3320</v>
      </c>
      <c r="I914" s="165">
        <f>Sales[[#This Row],[Selling Rate]]*Sales[[#This Row],[Qty]]</f>
        <v>3320</v>
      </c>
      <c r="J914" s="45">
        <v>0</v>
      </c>
      <c r="K914" s="46">
        <f>Sales[[#This Row],[Gross Amount]]*Sales[[#This Row],[Disc %]]</f>
        <v>0</v>
      </c>
      <c r="L914" s="43">
        <v>0.18</v>
      </c>
      <c r="M914" s="46">
        <f>(Sales[[#This Row],[Gross Amount]]-Sales[[#This Row],[Disc. Amt.]])*Sales[[#This Row],[GST %]]</f>
        <v>597.6</v>
      </c>
      <c r="N914" s="161">
        <f>Sales[[#This Row],[Gross Amount]]-Sales[[#This Row],[Disc. Amt.]]+Sales[[#This Row],[GST Amount]]</f>
        <v>3917.6</v>
      </c>
      <c r="O914" s="34" t="s">
        <v>3569</v>
      </c>
      <c r="P914" s="34" t="s">
        <v>3562</v>
      </c>
      <c r="Q914" s="165">
        <f>IF(Sales[[#This Row],[Status]]="Cancelled",0,Sales[[#This Row],[Qty]])</f>
        <v>1</v>
      </c>
      <c r="R914" s="166">
        <f>IF(Sales[[#This Row],[Status]]="Cancelled",0,Sales[[#This Row],[Total Amount]])</f>
        <v>3917.6</v>
      </c>
      <c r="S914" s="162">
        <f>SUM(Sales[Net Amount])</f>
        <v>406839287.73200053</v>
      </c>
    </row>
    <row r="915" spans="1:19" ht="18.75" x14ac:dyDescent="0.25">
      <c r="A915" s="156" t="s">
        <v>4502</v>
      </c>
      <c r="B915" s="157">
        <v>45826</v>
      </c>
      <c r="C915" s="158" t="s">
        <v>903</v>
      </c>
      <c r="D915" s="159" t="str">
        <f>VLOOKUP(Sales[[#This Row],[Customer ID]],Customer[#All],2,0)</f>
        <v>Sahil Singh</v>
      </c>
      <c r="E915" s="158" t="s">
        <v>354</v>
      </c>
      <c r="F915" s="158" t="str">
        <f>VLOOKUP(Sales[[#This Row],[Product ID]],Product[#All],2,0)</f>
        <v>Dell Monitor</v>
      </c>
      <c r="G915" s="159">
        <v>4</v>
      </c>
      <c r="H915" s="160">
        <f>VLOOKUP(Sales[[#This Row],[Product ID]],Product[#All],7,0)</f>
        <v>12450</v>
      </c>
      <c r="I915" s="160">
        <f>Sales[[#This Row],[Selling Rate]]*Sales[[#This Row],[Qty]]</f>
        <v>49800</v>
      </c>
      <c r="J915" s="43">
        <v>0.12</v>
      </c>
      <c r="K915" s="44">
        <f>Sales[[#This Row],[Gross Amount]]*Sales[[#This Row],[Disc %]]</f>
        <v>5976</v>
      </c>
      <c r="L915" s="43">
        <v>0.18</v>
      </c>
      <c r="M915" s="44">
        <f>(Sales[[#This Row],[Gross Amount]]-Sales[[#This Row],[Disc. Amt.]])*Sales[[#This Row],[GST %]]</f>
        <v>7888.32</v>
      </c>
      <c r="N915" s="161">
        <f>Sales[[#This Row],[Gross Amount]]-Sales[[#This Row],[Disc. Amt.]]+Sales[[#This Row],[GST Amount]]</f>
        <v>51712.32</v>
      </c>
      <c r="O915" s="158" t="s">
        <v>3561</v>
      </c>
      <c r="P915" s="158" t="s">
        <v>3562</v>
      </c>
      <c r="Q915" s="160">
        <f>IF(Sales[[#This Row],[Status]]="Cancelled",0,Sales[[#This Row],[Qty]])</f>
        <v>4</v>
      </c>
      <c r="R915" s="161">
        <f>IF(Sales[[#This Row],[Status]]="Cancelled",0,Sales[[#This Row],[Total Amount]])</f>
        <v>51712.32</v>
      </c>
      <c r="S915" s="162">
        <f>SUM(Sales[Net Amount])</f>
        <v>406839287.73200053</v>
      </c>
    </row>
    <row r="916" spans="1:19" ht="18.75" x14ac:dyDescent="0.25">
      <c r="A916" s="163" t="s">
        <v>4503</v>
      </c>
      <c r="B916" s="164">
        <v>45826</v>
      </c>
      <c r="C916" s="34" t="s">
        <v>875</v>
      </c>
      <c r="D916" s="53" t="str">
        <f>VLOOKUP(Sales[[#This Row],[Customer ID]],Customer[#All],2,0)</f>
        <v>Rahul Verma</v>
      </c>
      <c r="E916" s="34" t="s">
        <v>205</v>
      </c>
      <c r="F916" s="34" t="str">
        <f>VLOOKUP(Sales[[#This Row],[Product ID]],Product[#All],2,0)</f>
        <v>HP Power Adapter</v>
      </c>
      <c r="G916" s="53">
        <v>7</v>
      </c>
      <c r="H916" s="165">
        <f>VLOOKUP(Sales[[#This Row],[Product ID]],Product[#All],7,0)</f>
        <v>4820</v>
      </c>
      <c r="I916" s="165">
        <f>Sales[[#This Row],[Selling Rate]]*Sales[[#This Row],[Qty]]</f>
        <v>33740</v>
      </c>
      <c r="J916" s="45">
        <v>0.05</v>
      </c>
      <c r="K916" s="46">
        <f>Sales[[#This Row],[Gross Amount]]*Sales[[#This Row],[Disc %]]</f>
        <v>1687</v>
      </c>
      <c r="L916" s="43">
        <v>0.18</v>
      </c>
      <c r="M916" s="46">
        <f>(Sales[[#This Row],[Gross Amount]]-Sales[[#This Row],[Disc. Amt.]])*Sales[[#This Row],[GST %]]</f>
        <v>5769.54</v>
      </c>
      <c r="N916" s="161">
        <f>Sales[[#This Row],[Gross Amount]]-Sales[[#This Row],[Disc. Amt.]]+Sales[[#This Row],[GST Amount]]</f>
        <v>37822.54</v>
      </c>
      <c r="O916" s="34" t="s">
        <v>3561</v>
      </c>
      <c r="P916" s="34" t="s">
        <v>3562</v>
      </c>
      <c r="Q916" s="165">
        <f>IF(Sales[[#This Row],[Status]]="Cancelled",0,Sales[[#This Row],[Qty]])</f>
        <v>7</v>
      </c>
      <c r="R916" s="166">
        <f>IF(Sales[[#This Row],[Status]]="Cancelled",0,Sales[[#This Row],[Total Amount]])</f>
        <v>37822.54</v>
      </c>
      <c r="S916" s="162">
        <f>SUM(Sales[Net Amount])</f>
        <v>406839287.73200053</v>
      </c>
    </row>
    <row r="917" spans="1:19" ht="18.75" x14ac:dyDescent="0.25">
      <c r="A917" s="156" t="s">
        <v>4504</v>
      </c>
      <c r="B917" s="157">
        <v>45826</v>
      </c>
      <c r="C917" s="158" t="s">
        <v>823</v>
      </c>
      <c r="D917" s="159" t="str">
        <f>VLOOKUP(Sales[[#This Row],[Customer ID]],Customer[#All],2,0)</f>
        <v>Pooja Singh</v>
      </c>
      <c r="E917" s="158" t="s">
        <v>164</v>
      </c>
      <c r="F917" s="158" t="str">
        <f>VLOOKUP(Sales[[#This Row],[Product ID]],Product[#All],2,0)</f>
        <v>Jbl Headset</v>
      </c>
      <c r="G917" s="159">
        <v>8</v>
      </c>
      <c r="H917" s="160">
        <f>VLOOKUP(Sales[[#This Row],[Product ID]],Product[#All],7,0)</f>
        <v>3360</v>
      </c>
      <c r="I917" s="160">
        <f>Sales[[#This Row],[Selling Rate]]*Sales[[#This Row],[Qty]]</f>
        <v>26880</v>
      </c>
      <c r="J917" s="43">
        <v>0.02</v>
      </c>
      <c r="K917" s="44">
        <f>Sales[[#This Row],[Gross Amount]]*Sales[[#This Row],[Disc %]]</f>
        <v>537.6</v>
      </c>
      <c r="L917" s="43">
        <v>0.18</v>
      </c>
      <c r="M917" s="44">
        <f>(Sales[[#This Row],[Gross Amount]]-Sales[[#This Row],[Disc. Amt.]])*Sales[[#This Row],[GST %]]</f>
        <v>4741.6320000000005</v>
      </c>
      <c r="N917" s="161">
        <f>Sales[[#This Row],[Gross Amount]]-Sales[[#This Row],[Disc. Amt.]]+Sales[[#This Row],[GST Amount]]</f>
        <v>31084.032000000003</v>
      </c>
      <c r="O917" s="158" t="s">
        <v>3566</v>
      </c>
      <c r="P917" s="158" t="s">
        <v>3562</v>
      </c>
      <c r="Q917" s="160">
        <f>IF(Sales[[#This Row],[Status]]="Cancelled",0,Sales[[#This Row],[Qty]])</f>
        <v>8</v>
      </c>
      <c r="R917" s="161">
        <f>IF(Sales[[#This Row],[Status]]="Cancelled",0,Sales[[#This Row],[Total Amount]])</f>
        <v>31084.032000000003</v>
      </c>
      <c r="S917" s="162">
        <f>SUM(Sales[Net Amount])</f>
        <v>406839287.73200053</v>
      </c>
    </row>
    <row r="918" spans="1:19" ht="18.75" x14ac:dyDescent="0.25">
      <c r="A918" s="163" t="s">
        <v>4505</v>
      </c>
      <c r="B918" s="164">
        <v>45826</v>
      </c>
      <c r="C918" s="34" t="s">
        <v>789</v>
      </c>
      <c r="D918" s="53" t="str">
        <f>VLOOKUP(Sales[[#This Row],[Customer ID]],Customer[#All],2,0)</f>
        <v>Ankit Patel</v>
      </c>
      <c r="E918" s="34" t="s">
        <v>167</v>
      </c>
      <c r="F918" s="34" t="str">
        <f>VLOOKUP(Sales[[#This Row],[Product ID]],Product[#All],2,0)</f>
        <v>Logitech Keyboard</v>
      </c>
      <c r="G918" s="53">
        <v>4</v>
      </c>
      <c r="H918" s="165">
        <f>VLOOKUP(Sales[[#This Row],[Product ID]],Product[#All],7,0)</f>
        <v>2460</v>
      </c>
      <c r="I918" s="165">
        <f>Sales[[#This Row],[Selling Rate]]*Sales[[#This Row],[Qty]]</f>
        <v>9840</v>
      </c>
      <c r="J918" s="45">
        <v>0</v>
      </c>
      <c r="K918" s="46">
        <f>Sales[[#This Row],[Gross Amount]]*Sales[[#This Row],[Disc %]]</f>
        <v>0</v>
      </c>
      <c r="L918" s="43">
        <v>0.18</v>
      </c>
      <c r="M918" s="46">
        <f>(Sales[[#This Row],[Gross Amount]]-Sales[[#This Row],[Disc. Amt.]])*Sales[[#This Row],[GST %]]</f>
        <v>1771.2</v>
      </c>
      <c r="N918" s="161">
        <f>Sales[[#This Row],[Gross Amount]]-Sales[[#This Row],[Disc. Amt.]]+Sales[[#This Row],[GST Amount]]</f>
        <v>11611.2</v>
      </c>
      <c r="O918" s="34" t="s">
        <v>3569</v>
      </c>
      <c r="P918" s="34" t="s">
        <v>3562</v>
      </c>
      <c r="Q918" s="165">
        <f>IF(Sales[[#This Row],[Status]]="Cancelled",0,Sales[[#This Row],[Qty]])</f>
        <v>4</v>
      </c>
      <c r="R918" s="166">
        <f>IF(Sales[[#This Row],[Status]]="Cancelled",0,Sales[[#This Row],[Total Amount]])</f>
        <v>11611.2</v>
      </c>
      <c r="S918" s="162">
        <f>SUM(Sales[Net Amount])</f>
        <v>406839287.73200053</v>
      </c>
    </row>
    <row r="919" spans="1:19" ht="18.75" x14ac:dyDescent="0.25">
      <c r="A919" s="156" t="s">
        <v>4506</v>
      </c>
      <c r="B919" s="157">
        <v>45826</v>
      </c>
      <c r="C919" s="158" t="s">
        <v>756</v>
      </c>
      <c r="D919" s="159" t="str">
        <f>VLOOKUP(Sales[[#This Row],[Customer ID]],Customer[#All],2,0)</f>
        <v>Amit Patel</v>
      </c>
      <c r="E919" s="158" t="s">
        <v>293</v>
      </c>
      <c r="F919" s="158" t="str">
        <f>VLOOKUP(Sales[[#This Row],[Product ID]],Product[#All],2,0)</f>
        <v>Samsung Ssd</v>
      </c>
      <c r="G919" s="159">
        <v>3</v>
      </c>
      <c r="H919" s="160">
        <f>VLOOKUP(Sales[[#This Row],[Product ID]],Product[#All],7,0)</f>
        <v>8530</v>
      </c>
      <c r="I919" s="160">
        <f>Sales[[#This Row],[Selling Rate]]*Sales[[#This Row],[Qty]]</f>
        <v>25590</v>
      </c>
      <c r="J919" s="43">
        <v>0</v>
      </c>
      <c r="K919" s="44">
        <f>Sales[[#This Row],[Gross Amount]]*Sales[[#This Row],[Disc %]]</f>
        <v>0</v>
      </c>
      <c r="L919" s="43">
        <v>0.18</v>
      </c>
      <c r="M919" s="44">
        <f>(Sales[[#This Row],[Gross Amount]]-Sales[[#This Row],[Disc. Amt.]])*Sales[[#This Row],[GST %]]</f>
        <v>4606.2</v>
      </c>
      <c r="N919" s="161">
        <f>Sales[[#This Row],[Gross Amount]]-Sales[[#This Row],[Disc. Amt.]]+Sales[[#This Row],[GST Amount]]</f>
        <v>30196.2</v>
      </c>
      <c r="O919" s="158" t="s">
        <v>3561</v>
      </c>
      <c r="P919" s="158" t="s">
        <v>3562</v>
      </c>
      <c r="Q919" s="160">
        <f>IF(Sales[[#This Row],[Status]]="Cancelled",0,Sales[[#This Row],[Qty]])</f>
        <v>3</v>
      </c>
      <c r="R919" s="161">
        <f>IF(Sales[[#This Row],[Status]]="Cancelled",0,Sales[[#This Row],[Total Amount]])</f>
        <v>30196.2</v>
      </c>
      <c r="S919" s="162">
        <f>SUM(Sales[Net Amount])</f>
        <v>406839287.73200053</v>
      </c>
    </row>
    <row r="920" spans="1:19" ht="18.75" x14ac:dyDescent="0.25">
      <c r="A920" s="163" t="s">
        <v>4507</v>
      </c>
      <c r="B920" s="164">
        <v>45826</v>
      </c>
      <c r="C920" s="34" t="s">
        <v>917</v>
      </c>
      <c r="D920" s="53" t="str">
        <f>VLOOKUP(Sales[[#This Row],[Customer ID]],Customer[#All],2,0)</f>
        <v>Sahil Gupta</v>
      </c>
      <c r="E920" s="34" t="s">
        <v>439</v>
      </c>
      <c r="F920" s="34" t="str">
        <f>VLOOKUP(Sales[[#This Row],[Product ID]],Product[#All],2,0)</f>
        <v>HP Laptop</v>
      </c>
      <c r="G920" s="53">
        <v>3</v>
      </c>
      <c r="H920" s="165">
        <f>VLOOKUP(Sales[[#This Row],[Product ID]],Product[#All],7,0)</f>
        <v>83330</v>
      </c>
      <c r="I920" s="165">
        <f>Sales[[#This Row],[Selling Rate]]*Sales[[#This Row],[Qty]]</f>
        <v>249990</v>
      </c>
      <c r="J920" s="45">
        <v>0.02</v>
      </c>
      <c r="K920" s="46">
        <f>Sales[[#This Row],[Gross Amount]]*Sales[[#This Row],[Disc %]]</f>
        <v>4999.8</v>
      </c>
      <c r="L920" s="43">
        <v>0.18</v>
      </c>
      <c r="M920" s="46">
        <f>(Sales[[#This Row],[Gross Amount]]-Sales[[#This Row],[Disc. Amt.]])*Sales[[#This Row],[GST %]]</f>
        <v>44098.235999999997</v>
      </c>
      <c r="N920" s="161">
        <f>Sales[[#This Row],[Gross Amount]]-Sales[[#This Row],[Disc. Amt.]]+Sales[[#This Row],[GST Amount]]</f>
        <v>289088.43599999999</v>
      </c>
      <c r="O920" s="34" t="s">
        <v>3566</v>
      </c>
      <c r="P920" s="34" t="s">
        <v>3562</v>
      </c>
      <c r="Q920" s="165">
        <f>IF(Sales[[#This Row],[Status]]="Cancelled",0,Sales[[#This Row],[Qty]])</f>
        <v>3</v>
      </c>
      <c r="R920" s="166">
        <f>IF(Sales[[#This Row],[Status]]="Cancelled",0,Sales[[#This Row],[Total Amount]])</f>
        <v>289088.43599999999</v>
      </c>
      <c r="S920" s="162">
        <f>SUM(Sales[Net Amount])</f>
        <v>406839287.73200053</v>
      </c>
    </row>
    <row r="921" spans="1:19" ht="18.75" x14ac:dyDescent="0.25">
      <c r="A921" s="156" t="s">
        <v>4508</v>
      </c>
      <c r="B921" s="157">
        <v>45826</v>
      </c>
      <c r="C921" s="158" t="s">
        <v>860</v>
      </c>
      <c r="D921" s="159" t="str">
        <f>VLOOKUP(Sales[[#This Row],[Customer ID]],Customer[#All],2,0)</f>
        <v>Rakesh Verma</v>
      </c>
      <c r="E921" s="158" t="s">
        <v>500</v>
      </c>
      <c r="F921" s="158" t="str">
        <f>VLOOKUP(Sales[[#This Row],[Product ID]],Product[#All],2,0)</f>
        <v>HP Power Adapter</v>
      </c>
      <c r="G921" s="159">
        <v>3</v>
      </c>
      <c r="H921" s="160">
        <f>VLOOKUP(Sales[[#This Row],[Product ID]],Product[#All],7,0)</f>
        <v>3160</v>
      </c>
      <c r="I921" s="160">
        <f>Sales[[#This Row],[Selling Rate]]*Sales[[#This Row],[Qty]]</f>
        <v>9480</v>
      </c>
      <c r="J921" s="43">
        <v>0.1</v>
      </c>
      <c r="K921" s="44">
        <f>Sales[[#This Row],[Gross Amount]]*Sales[[#This Row],[Disc %]]</f>
        <v>948</v>
      </c>
      <c r="L921" s="43">
        <v>0.18</v>
      </c>
      <c r="M921" s="44">
        <f>(Sales[[#This Row],[Gross Amount]]-Sales[[#This Row],[Disc. Amt.]])*Sales[[#This Row],[GST %]]</f>
        <v>1535.76</v>
      </c>
      <c r="N921" s="161">
        <f>Sales[[#This Row],[Gross Amount]]-Sales[[#This Row],[Disc. Amt.]]+Sales[[#This Row],[GST Amount]]</f>
        <v>10067.76</v>
      </c>
      <c r="O921" s="158" t="s">
        <v>3569</v>
      </c>
      <c r="P921" s="158" t="s">
        <v>3562</v>
      </c>
      <c r="Q921" s="160">
        <f>IF(Sales[[#This Row],[Status]]="Cancelled",0,Sales[[#This Row],[Qty]])</f>
        <v>3</v>
      </c>
      <c r="R921" s="161">
        <f>IF(Sales[[#This Row],[Status]]="Cancelled",0,Sales[[#This Row],[Total Amount]])</f>
        <v>10067.76</v>
      </c>
      <c r="S921" s="162">
        <f>SUM(Sales[Net Amount])</f>
        <v>406839287.73200053</v>
      </c>
    </row>
    <row r="922" spans="1:19" ht="18.75" x14ac:dyDescent="0.25">
      <c r="A922" s="163" t="s">
        <v>4509</v>
      </c>
      <c r="B922" s="164">
        <v>45826</v>
      </c>
      <c r="C922" s="34" t="s">
        <v>894</v>
      </c>
      <c r="D922" s="53" t="str">
        <f>VLOOKUP(Sales[[#This Row],[Customer ID]],Customer[#All],2,0)</f>
        <v>Sunita Patel</v>
      </c>
      <c r="E922" s="34" t="s">
        <v>316</v>
      </c>
      <c r="F922" s="34" t="str">
        <f>VLOOKUP(Sales[[#This Row],[Product ID]],Product[#All],2,0)</f>
        <v>TP-link Router</v>
      </c>
      <c r="G922" s="53">
        <v>1</v>
      </c>
      <c r="H922" s="165">
        <f>VLOOKUP(Sales[[#This Row],[Product ID]],Product[#All],7,0)</f>
        <v>3750</v>
      </c>
      <c r="I922" s="165">
        <f>Sales[[#This Row],[Selling Rate]]*Sales[[#This Row],[Qty]]</f>
        <v>3750</v>
      </c>
      <c r="J922" s="45">
        <v>0</v>
      </c>
      <c r="K922" s="46">
        <f>Sales[[#This Row],[Gross Amount]]*Sales[[#This Row],[Disc %]]</f>
        <v>0</v>
      </c>
      <c r="L922" s="43">
        <v>0.18</v>
      </c>
      <c r="M922" s="46">
        <f>(Sales[[#This Row],[Gross Amount]]-Sales[[#This Row],[Disc. Amt.]])*Sales[[#This Row],[GST %]]</f>
        <v>675</v>
      </c>
      <c r="N922" s="161">
        <f>Sales[[#This Row],[Gross Amount]]-Sales[[#This Row],[Disc. Amt.]]+Sales[[#This Row],[GST Amount]]</f>
        <v>4425</v>
      </c>
      <c r="O922" s="34" t="s">
        <v>8876</v>
      </c>
      <c r="P922" s="34" t="s">
        <v>3562</v>
      </c>
      <c r="Q922" s="165">
        <f>IF(Sales[[#This Row],[Status]]="Cancelled",0,Sales[[#This Row],[Qty]])</f>
        <v>1</v>
      </c>
      <c r="R922" s="166">
        <f>IF(Sales[[#This Row],[Status]]="Cancelled",0,Sales[[#This Row],[Total Amount]])</f>
        <v>4425</v>
      </c>
      <c r="S922" s="162">
        <f>SUM(Sales[Net Amount])</f>
        <v>406839287.73200053</v>
      </c>
    </row>
    <row r="923" spans="1:19" ht="18.75" x14ac:dyDescent="0.25">
      <c r="A923" s="156" t="s">
        <v>4510</v>
      </c>
      <c r="B923" s="157">
        <v>45826</v>
      </c>
      <c r="C923" s="158" t="s">
        <v>767</v>
      </c>
      <c r="D923" s="159" t="str">
        <f>VLOOKUP(Sales[[#This Row],[Customer ID]],Customer[#All],2,0)</f>
        <v>Sunita Singh</v>
      </c>
      <c r="E923" s="158" t="s">
        <v>93</v>
      </c>
      <c r="F923" s="158" t="str">
        <f>VLOOKUP(Sales[[#This Row],[Product ID]],Product[#All],2,0)</f>
        <v>PortronicsLaptopStand</v>
      </c>
      <c r="G923" s="159">
        <v>6</v>
      </c>
      <c r="H923" s="160">
        <f>VLOOKUP(Sales[[#This Row],[Product ID]],Product[#All],7,0)</f>
        <v>1650</v>
      </c>
      <c r="I923" s="160">
        <f>Sales[[#This Row],[Selling Rate]]*Sales[[#This Row],[Qty]]</f>
        <v>9900</v>
      </c>
      <c r="J923" s="43">
        <v>0.05</v>
      </c>
      <c r="K923" s="44">
        <f>Sales[[#This Row],[Gross Amount]]*Sales[[#This Row],[Disc %]]</f>
        <v>495</v>
      </c>
      <c r="L923" s="43">
        <v>0.18</v>
      </c>
      <c r="M923" s="44">
        <f>(Sales[[#This Row],[Gross Amount]]-Sales[[#This Row],[Disc. Amt.]])*Sales[[#This Row],[GST %]]</f>
        <v>1692.8999999999999</v>
      </c>
      <c r="N923" s="161">
        <f>Sales[[#This Row],[Gross Amount]]-Sales[[#This Row],[Disc. Amt.]]+Sales[[#This Row],[GST Amount]]</f>
        <v>11097.9</v>
      </c>
      <c r="O923" s="158" t="s">
        <v>3569</v>
      </c>
      <c r="P923" s="158" t="s">
        <v>3562</v>
      </c>
      <c r="Q923" s="160">
        <f>IF(Sales[[#This Row],[Status]]="Cancelled",0,Sales[[#This Row],[Qty]])</f>
        <v>6</v>
      </c>
      <c r="R923" s="161">
        <f>IF(Sales[[#This Row],[Status]]="Cancelled",0,Sales[[#This Row],[Total Amount]])</f>
        <v>11097.9</v>
      </c>
      <c r="S923" s="162">
        <f>SUM(Sales[Net Amount])</f>
        <v>406839287.73200053</v>
      </c>
    </row>
    <row r="924" spans="1:19" ht="18.75" x14ac:dyDescent="0.25">
      <c r="A924" s="163" t="s">
        <v>4511</v>
      </c>
      <c r="B924" s="164">
        <v>45826</v>
      </c>
      <c r="C924" s="34" t="s">
        <v>924</v>
      </c>
      <c r="D924" s="53" t="str">
        <f>VLOOKUP(Sales[[#This Row],[Customer ID]],Customer[#All],2,0)</f>
        <v>Rakesh Gupta</v>
      </c>
      <c r="E924" s="34" t="s">
        <v>7</v>
      </c>
      <c r="F924" s="34" t="str">
        <f>VLOOKUP(Sales[[#This Row],[Product ID]],Product[#All],2,0)</f>
        <v>Dell Desktop</v>
      </c>
      <c r="G924" s="53">
        <v>1</v>
      </c>
      <c r="H924" s="165">
        <f>VLOOKUP(Sales[[#This Row],[Product ID]],Product[#All],7,0)</f>
        <v>33010</v>
      </c>
      <c r="I924" s="165">
        <f>Sales[[#This Row],[Selling Rate]]*Sales[[#This Row],[Qty]]</f>
        <v>33010</v>
      </c>
      <c r="J924" s="45">
        <v>0.05</v>
      </c>
      <c r="K924" s="46">
        <f>Sales[[#This Row],[Gross Amount]]*Sales[[#This Row],[Disc %]]</f>
        <v>1650.5</v>
      </c>
      <c r="L924" s="43">
        <v>0.18</v>
      </c>
      <c r="M924" s="46">
        <f>(Sales[[#This Row],[Gross Amount]]-Sales[[#This Row],[Disc. Amt.]])*Sales[[#This Row],[GST %]]</f>
        <v>5644.71</v>
      </c>
      <c r="N924" s="161">
        <f>Sales[[#This Row],[Gross Amount]]-Sales[[#This Row],[Disc. Amt.]]+Sales[[#This Row],[GST Amount]]</f>
        <v>37004.21</v>
      </c>
      <c r="O924" s="34" t="s">
        <v>3566</v>
      </c>
      <c r="P924" s="34" t="s">
        <v>3562</v>
      </c>
      <c r="Q924" s="165">
        <f>IF(Sales[[#This Row],[Status]]="Cancelled",0,Sales[[#This Row],[Qty]])</f>
        <v>1</v>
      </c>
      <c r="R924" s="166">
        <f>IF(Sales[[#This Row],[Status]]="Cancelled",0,Sales[[#This Row],[Total Amount]])</f>
        <v>37004.21</v>
      </c>
      <c r="S924" s="162">
        <f>SUM(Sales[Net Amount])</f>
        <v>406839287.73200053</v>
      </c>
    </row>
    <row r="925" spans="1:19" ht="18.75" x14ac:dyDescent="0.25">
      <c r="A925" s="156" t="s">
        <v>4512</v>
      </c>
      <c r="B925" s="157">
        <v>45826</v>
      </c>
      <c r="C925" s="158" t="s">
        <v>712</v>
      </c>
      <c r="D925" s="159" t="str">
        <f>VLOOKUP(Sales[[#This Row],[Customer ID]],Customer[#All],2,0)</f>
        <v>Sahil Verma</v>
      </c>
      <c r="E925" s="158" t="s">
        <v>490</v>
      </c>
      <c r="F925" s="158" t="str">
        <f>VLOOKUP(Sales[[#This Row],[Product ID]],Product[#All],2,0)</f>
        <v>Acer Laptop</v>
      </c>
      <c r="G925" s="159">
        <v>6</v>
      </c>
      <c r="H925" s="160">
        <f>VLOOKUP(Sales[[#This Row],[Product ID]],Product[#All],7,0)</f>
        <v>38490</v>
      </c>
      <c r="I925" s="160">
        <f>Sales[[#This Row],[Selling Rate]]*Sales[[#This Row],[Qty]]</f>
        <v>230940</v>
      </c>
      <c r="J925" s="43">
        <v>0.1</v>
      </c>
      <c r="K925" s="44">
        <f>Sales[[#This Row],[Gross Amount]]*Sales[[#This Row],[Disc %]]</f>
        <v>23094</v>
      </c>
      <c r="L925" s="43">
        <v>0.18</v>
      </c>
      <c r="M925" s="44">
        <f>(Sales[[#This Row],[Gross Amount]]-Sales[[#This Row],[Disc. Amt.]])*Sales[[#This Row],[GST %]]</f>
        <v>37412.28</v>
      </c>
      <c r="N925" s="161">
        <f>Sales[[#This Row],[Gross Amount]]-Sales[[#This Row],[Disc. Amt.]]+Sales[[#This Row],[GST Amount]]</f>
        <v>245258.28</v>
      </c>
      <c r="O925" s="158" t="s">
        <v>3561</v>
      </c>
      <c r="P925" s="158" t="s">
        <v>3562</v>
      </c>
      <c r="Q925" s="160">
        <f>IF(Sales[[#This Row],[Status]]="Cancelled",0,Sales[[#This Row],[Qty]])</f>
        <v>6</v>
      </c>
      <c r="R925" s="161">
        <f>IF(Sales[[#This Row],[Status]]="Cancelled",0,Sales[[#This Row],[Total Amount]])</f>
        <v>245258.28</v>
      </c>
      <c r="S925" s="162">
        <f>SUM(Sales[Net Amount])</f>
        <v>406839287.73200053</v>
      </c>
    </row>
    <row r="926" spans="1:19" ht="18.75" x14ac:dyDescent="0.25">
      <c r="A926" s="163" t="s">
        <v>4513</v>
      </c>
      <c r="B926" s="164">
        <v>45826</v>
      </c>
      <c r="C926" s="34" t="s">
        <v>904</v>
      </c>
      <c r="D926" s="53" t="str">
        <f>VLOOKUP(Sales[[#This Row],[Customer ID]],Customer[#All],2,0)</f>
        <v>Sahil Patel</v>
      </c>
      <c r="E926" s="34" t="s">
        <v>61</v>
      </c>
      <c r="F926" s="34" t="str">
        <f>VLOOKUP(Sales[[#This Row],[Product ID]],Product[#All],2,0)</f>
        <v>Boat Headset</v>
      </c>
      <c r="G926" s="53">
        <v>2</v>
      </c>
      <c r="H926" s="165">
        <f>VLOOKUP(Sales[[#This Row],[Product ID]],Product[#All],7,0)</f>
        <v>3570</v>
      </c>
      <c r="I926" s="165">
        <f>Sales[[#This Row],[Selling Rate]]*Sales[[#This Row],[Qty]]</f>
        <v>7140</v>
      </c>
      <c r="J926" s="45">
        <v>0</v>
      </c>
      <c r="K926" s="46">
        <f>Sales[[#This Row],[Gross Amount]]*Sales[[#This Row],[Disc %]]</f>
        <v>0</v>
      </c>
      <c r="L926" s="43">
        <v>0.18</v>
      </c>
      <c r="M926" s="46">
        <f>(Sales[[#This Row],[Gross Amount]]-Sales[[#This Row],[Disc. Amt.]])*Sales[[#This Row],[GST %]]</f>
        <v>1285.2</v>
      </c>
      <c r="N926" s="161">
        <f>Sales[[#This Row],[Gross Amount]]-Sales[[#This Row],[Disc. Amt.]]+Sales[[#This Row],[GST Amount]]</f>
        <v>8425.2000000000007</v>
      </c>
      <c r="O926" s="34" t="s">
        <v>8876</v>
      </c>
      <c r="P926" s="34" t="s">
        <v>3562</v>
      </c>
      <c r="Q926" s="165">
        <f>IF(Sales[[#This Row],[Status]]="Cancelled",0,Sales[[#This Row],[Qty]])</f>
        <v>2</v>
      </c>
      <c r="R926" s="166">
        <f>IF(Sales[[#This Row],[Status]]="Cancelled",0,Sales[[#This Row],[Total Amount]])</f>
        <v>8425.2000000000007</v>
      </c>
      <c r="S926" s="162">
        <f>SUM(Sales[Net Amount])</f>
        <v>406839287.73200053</v>
      </c>
    </row>
    <row r="927" spans="1:19" ht="18.75" x14ac:dyDescent="0.25">
      <c r="A927" s="156" t="s">
        <v>4514</v>
      </c>
      <c r="B927" s="157">
        <v>45826</v>
      </c>
      <c r="C927" s="158" t="s">
        <v>869</v>
      </c>
      <c r="D927" s="159" t="str">
        <f>VLOOKUP(Sales[[#This Row],[Customer ID]],Customer[#All],2,0)</f>
        <v>Rakesh Patel</v>
      </c>
      <c r="E927" s="158" t="s">
        <v>365</v>
      </c>
      <c r="F927" s="158" t="str">
        <f>VLOOKUP(Sales[[#This Row],[Product ID]],Product[#All],2,0)</f>
        <v>TP-link Bluetooth Adapter</v>
      </c>
      <c r="G927" s="159">
        <v>5</v>
      </c>
      <c r="H927" s="160">
        <f>VLOOKUP(Sales[[#This Row],[Product ID]],Product[#All],7,0)</f>
        <v>2120</v>
      </c>
      <c r="I927" s="160">
        <f>Sales[[#This Row],[Selling Rate]]*Sales[[#This Row],[Qty]]</f>
        <v>10600</v>
      </c>
      <c r="J927" s="43">
        <v>0.02</v>
      </c>
      <c r="K927" s="44">
        <f>Sales[[#This Row],[Gross Amount]]*Sales[[#This Row],[Disc %]]</f>
        <v>212</v>
      </c>
      <c r="L927" s="43">
        <v>0.18</v>
      </c>
      <c r="M927" s="44">
        <f>(Sales[[#This Row],[Gross Amount]]-Sales[[#This Row],[Disc. Amt.]])*Sales[[#This Row],[GST %]]</f>
        <v>1869.84</v>
      </c>
      <c r="N927" s="161">
        <f>Sales[[#This Row],[Gross Amount]]-Sales[[#This Row],[Disc. Amt.]]+Sales[[#This Row],[GST Amount]]</f>
        <v>12257.84</v>
      </c>
      <c r="O927" s="158" t="s">
        <v>8876</v>
      </c>
      <c r="P927" s="158" t="s">
        <v>3562</v>
      </c>
      <c r="Q927" s="160">
        <f>IF(Sales[[#This Row],[Status]]="Cancelled",0,Sales[[#This Row],[Qty]])</f>
        <v>5</v>
      </c>
      <c r="R927" s="161">
        <f>IF(Sales[[#This Row],[Status]]="Cancelled",0,Sales[[#This Row],[Total Amount]])</f>
        <v>12257.84</v>
      </c>
      <c r="S927" s="162">
        <f>SUM(Sales[Net Amount])</f>
        <v>406839287.73200053</v>
      </c>
    </row>
    <row r="928" spans="1:19" ht="18.75" x14ac:dyDescent="0.25">
      <c r="A928" s="163" t="s">
        <v>4515</v>
      </c>
      <c r="B928" s="164">
        <v>45826</v>
      </c>
      <c r="C928" s="34" t="s">
        <v>652</v>
      </c>
      <c r="D928" s="53" t="str">
        <f>VLOOKUP(Sales[[#This Row],[Customer ID]],Customer[#All],2,0)</f>
        <v>Sahil Kumar</v>
      </c>
      <c r="E928" s="34" t="s">
        <v>383</v>
      </c>
      <c r="F928" s="34" t="str">
        <f>VLOOKUP(Sales[[#This Row],[Product ID]],Product[#All],2,0)</f>
        <v>Logitech Mouse</v>
      </c>
      <c r="G928" s="53">
        <v>5</v>
      </c>
      <c r="H928" s="165">
        <f>VLOOKUP(Sales[[#This Row],[Product ID]],Product[#All],7,0)</f>
        <v>3080</v>
      </c>
      <c r="I928" s="165">
        <f>Sales[[#This Row],[Selling Rate]]*Sales[[#This Row],[Qty]]</f>
        <v>15400</v>
      </c>
      <c r="J928" s="45">
        <v>0.1</v>
      </c>
      <c r="K928" s="46">
        <f>Sales[[#This Row],[Gross Amount]]*Sales[[#This Row],[Disc %]]</f>
        <v>1540</v>
      </c>
      <c r="L928" s="43">
        <v>0.18</v>
      </c>
      <c r="M928" s="46">
        <f>(Sales[[#This Row],[Gross Amount]]-Sales[[#This Row],[Disc. Amt.]])*Sales[[#This Row],[GST %]]</f>
        <v>2494.7999999999997</v>
      </c>
      <c r="N928" s="161">
        <f>Sales[[#This Row],[Gross Amount]]-Sales[[#This Row],[Disc. Amt.]]+Sales[[#This Row],[GST Amount]]</f>
        <v>16354.8</v>
      </c>
      <c r="O928" s="34" t="s">
        <v>8876</v>
      </c>
      <c r="P928" s="34" t="s">
        <v>3562</v>
      </c>
      <c r="Q928" s="165">
        <f>IF(Sales[[#This Row],[Status]]="Cancelled",0,Sales[[#This Row],[Qty]])</f>
        <v>5</v>
      </c>
      <c r="R928" s="166">
        <f>IF(Sales[[#This Row],[Status]]="Cancelled",0,Sales[[#This Row],[Total Amount]])</f>
        <v>16354.8</v>
      </c>
      <c r="S928" s="162">
        <f>SUM(Sales[Net Amount])</f>
        <v>406839287.73200053</v>
      </c>
    </row>
    <row r="929" spans="1:19" ht="18.75" x14ac:dyDescent="0.25">
      <c r="A929" s="156" t="s">
        <v>4516</v>
      </c>
      <c r="B929" s="157">
        <v>45826</v>
      </c>
      <c r="C929" s="158" t="s">
        <v>673</v>
      </c>
      <c r="D929" s="159" t="str">
        <f>VLOOKUP(Sales[[#This Row],[Customer ID]],Customer[#All],2,0)</f>
        <v>Sunita Gupta</v>
      </c>
      <c r="E929" s="158" t="s">
        <v>345</v>
      </c>
      <c r="F929" s="158" t="str">
        <f>VLOOKUP(Sales[[#This Row],[Product ID]],Product[#All],2,0)</f>
        <v>Amazon Basics Hdmi Cable</v>
      </c>
      <c r="G929" s="159">
        <v>2</v>
      </c>
      <c r="H929" s="160">
        <f>VLOOKUP(Sales[[#This Row],[Product ID]],Product[#All],7,0)</f>
        <v>190</v>
      </c>
      <c r="I929" s="160">
        <f>Sales[[#This Row],[Selling Rate]]*Sales[[#This Row],[Qty]]</f>
        <v>380</v>
      </c>
      <c r="J929" s="43">
        <v>0</v>
      </c>
      <c r="K929" s="44">
        <f>Sales[[#This Row],[Gross Amount]]*Sales[[#This Row],[Disc %]]</f>
        <v>0</v>
      </c>
      <c r="L929" s="43">
        <v>0.18</v>
      </c>
      <c r="M929" s="44">
        <f>(Sales[[#This Row],[Gross Amount]]-Sales[[#This Row],[Disc. Amt.]])*Sales[[#This Row],[GST %]]</f>
        <v>68.399999999999991</v>
      </c>
      <c r="N929" s="161">
        <f>Sales[[#This Row],[Gross Amount]]-Sales[[#This Row],[Disc. Amt.]]+Sales[[#This Row],[GST Amount]]</f>
        <v>448.4</v>
      </c>
      <c r="O929" s="158" t="s">
        <v>3561</v>
      </c>
      <c r="P929" s="158" t="s">
        <v>3562</v>
      </c>
      <c r="Q929" s="160">
        <f>IF(Sales[[#This Row],[Status]]="Cancelled",0,Sales[[#This Row],[Qty]])</f>
        <v>2</v>
      </c>
      <c r="R929" s="161">
        <f>IF(Sales[[#This Row],[Status]]="Cancelled",0,Sales[[#This Row],[Total Amount]])</f>
        <v>448.4</v>
      </c>
      <c r="S929" s="162">
        <f>SUM(Sales[Net Amount])</f>
        <v>406839287.73200053</v>
      </c>
    </row>
    <row r="930" spans="1:19" ht="18.75" x14ac:dyDescent="0.25">
      <c r="A930" s="163" t="s">
        <v>4517</v>
      </c>
      <c r="B930" s="164">
        <v>45826</v>
      </c>
      <c r="C930" s="34" t="s">
        <v>820</v>
      </c>
      <c r="D930" s="53" t="str">
        <f>VLOOKUP(Sales[[#This Row],[Customer ID]],Customer[#All],2,0)</f>
        <v>Sahil Gupta</v>
      </c>
      <c r="E930" s="34" t="s">
        <v>67</v>
      </c>
      <c r="F930" s="34" t="str">
        <f>VLOOKUP(Sales[[#This Row],[Product ID]],Product[#All],2,0)</f>
        <v>TP-link Wi-Fi Adapter</v>
      </c>
      <c r="G930" s="53">
        <v>5</v>
      </c>
      <c r="H930" s="165">
        <f>VLOOKUP(Sales[[#This Row],[Product ID]],Product[#All],7,0)</f>
        <v>2990</v>
      </c>
      <c r="I930" s="165">
        <f>Sales[[#This Row],[Selling Rate]]*Sales[[#This Row],[Qty]]</f>
        <v>14950</v>
      </c>
      <c r="J930" s="45">
        <v>0.12</v>
      </c>
      <c r="K930" s="46">
        <f>Sales[[#This Row],[Gross Amount]]*Sales[[#This Row],[Disc %]]</f>
        <v>1794</v>
      </c>
      <c r="L930" s="43">
        <v>0.18</v>
      </c>
      <c r="M930" s="46">
        <f>(Sales[[#This Row],[Gross Amount]]-Sales[[#This Row],[Disc. Amt.]])*Sales[[#This Row],[GST %]]</f>
        <v>2368.08</v>
      </c>
      <c r="N930" s="161">
        <f>Sales[[#This Row],[Gross Amount]]-Sales[[#This Row],[Disc. Amt.]]+Sales[[#This Row],[GST Amount]]</f>
        <v>15524.08</v>
      </c>
      <c r="O930" s="34" t="s">
        <v>3569</v>
      </c>
      <c r="P930" s="34" t="s">
        <v>3562</v>
      </c>
      <c r="Q930" s="165">
        <f>IF(Sales[[#This Row],[Status]]="Cancelled",0,Sales[[#This Row],[Qty]])</f>
        <v>5</v>
      </c>
      <c r="R930" s="166">
        <f>IF(Sales[[#This Row],[Status]]="Cancelled",0,Sales[[#This Row],[Total Amount]])</f>
        <v>15524.08</v>
      </c>
      <c r="S930" s="162">
        <f>SUM(Sales[Net Amount])</f>
        <v>406839287.73200053</v>
      </c>
    </row>
    <row r="931" spans="1:19" ht="18.75" x14ac:dyDescent="0.25">
      <c r="A931" s="156" t="s">
        <v>4518</v>
      </c>
      <c r="B931" s="157">
        <v>45826</v>
      </c>
      <c r="C931" s="158" t="s">
        <v>665</v>
      </c>
      <c r="D931" s="159" t="str">
        <f>VLOOKUP(Sales[[#This Row],[Customer ID]],Customer[#All],2,0)</f>
        <v>Vikas Sharma</v>
      </c>
      <c r="E931" s="158" t="s">
        <v>454</v>
      </c>
      <c r="F931" s="158" t="str">
        <f>VLOOKUP(Sales[[#This Row],[Product ID]],Product[#All],2,0)</f>
        <v>Dell Monitor</v>
      </c>
      <c r="G931" s="159">
        <v>6</v>
      </c>
      <c r="H931" s="160">
        <f>VLOOKUP(Sales[[#This Row],[Product ID]],Product[#All],7,0)</f>
        <v>16760</v>
      </c>
      <c r="I931" s="160">
        <f>Sales[[#This Row],[Selling Rate]]*Sales[[#This Row],[Qty]]</f>
        <v>100560</v>
      </c>
      <c r="J931" s="43">
        <v>0</v>
      </c>
      <c r="K931" s="44">
        <f>Sales[[#This Row],[Gross Amount]]*Sales[[#This Row],[Disc %]]</f>
        <v>0</v>
      </c>
      <c r="L931" s="43">
        <v>0.18</v>
      </c>
      <c r="M931" s="44">
        <f>(Sales[[#This Row],[Gross Amount]]-Sales[[#This Row],[Disc. Amt.]])*Sales[[#This Row],[GST %]]</f>
        <v>18100.8</v>
      </c>
      <c r="N931" s="161">
        <f>Sales[[#This Row],[Gross Amount]]-Sales[[#This Row],[Disc. Amt.]]+Sales[[#This Row],[GST Amount]]</f>
        <v>118660.8</v>
      </c>
      <c r="O931" s="158" t="s">
        <v>3566</v>
      </c>
      <c r="P931" s="158" t="s">
        <v>3562</v>
      </c>
      <c r="Q931" s="160">
        <f>IF(Sales[[#This Row],[Status]]="Cancelled",0,Sales[[#This Row],[Qty]])</f>
        <v>6</v>
      </c>
      <c r="R931" s="161">
        <f>IF(Sales[[#This Row],[Status]]="Cancelled",0,Sales[[#This Row],[Total Amount]])</f>
        <v>118660.8</v>
      </c>
      <c r="S931" s="162">
        <f>SUM(Sales[Net Amount])</f>
        <v>406839287.73200053</v>
      </c>
    </row>
    <row r="932" spans="1:19" ht="18.75" x14ac:dyDescent="0.25">
      <c r="A932" s="163" t="s">
        <v>4519</v>
      </c>
      <c r="B932" s="164">
        <v>45826</v>
      </c>
      <c r="C932" s="34" t="s">
        <v>742</v>
      </c>
      <c r="D932" s="53" t="str">
        <f>VLOOKUP(Sales[[#This Row],[Customer ID]],Customer[#All],2,0)</f>
        <v>Rahul Patel</v>
      </c>
      <c r="E932" s="34" t="s">
        <v>80</v>
      </c>
      <c r="F932" s="34" t="str">
        <f>VLOOKUP(Sales[[#This Row],[Product ID]],Product[#All],2,0)</f>
        <v>Epson Printer</v>
      </c>
      <c r="G932" s="53">
        <v>6</v>
      </c>
      <c r="H932" s="165">
        <f>VLOOKUP(Sales[[#This Row],[Product ID]],Product[#All],7,0)</f>
        <v>41620</v>
      </c>
      <c r="I932" s="165">
        <f>Sales[[#This Row],[Selling Rate]]*Sales[[#This Row],[Qty]]</f>
        <v>249720</v>
      </c>
      <c r="J932" s="45">
        <v>0.02</v>
      </c>
      <c r="K932" s="46">
        <f>Sales[[#This Row],[Gross Amount]]*Sales[[#This Row],[Disc %]]</f>
        <v>4994.4000000000005</v>
      </c>
      <c r="L932" s="43">
        <v>0.18</v>
      </c>
      <c r="M932" s="46">
        <f>(Sales[[#This Row],[Gross Amount]]-Sales[[#This Row],[Disc. Amt.]])*Sales[[#This Row],[GST %]]</f>
        <v>44050.608</v>
      </c>
      <c r="N932" s="161">
        <f>Sales[[#This Row],[Gross Amount]]-Sales[[#This Row],[Disc. Amt.]]+Sales[[#This Row],[GST Amount]]</f>
        <v>288776.20799999998</v>
      </c>
      <c r="O932" s="34" t="s">
        <v>3566</v>
      </c>
      <c r="P932" s="34" t="s">
        <v>3562</v>
      </c>
      <c r="Q932" s="165">
        <f>IF(Sales[[#This Row],[Status]]="Cancelled",0,Sales[[#This Row],[Qty]])</f>
        <v>6</v>
      </c>
      <c r="R932" s="166">
        <f>IF(Sales[[#This Row],[Status]]="Cancelled",0,Sales[[#This Row],[Total Amount]])</f>
        <v>288776.20799999998</v>
      </c>
      <c r="S932" s="162">
        <f>SUM(Sales[Net Amount])</f>
        <v>406839287.73200053</v>
      </c>
    </row>
    <row r="933" spans="1:19" ht="18.75" x14ac:dyDescent="0.25">
      <c r="A933" s="156" t="s">
        <v>4520</v>
      </c>
      <c r="B933" s="157">
        <v>45826</v>
      </c>
      <c r="C933" s="158" t="s">
        <v>890</v>
      </c>
      <c r="D933" s="159" t="str">
        <f>VLOOKUP(Sales[[#This Row],[Customer ID]],Customer[#All],2,0)</f>
        <v>Rakesh Patel</v>
      </c>
      <c r="E933" s="158" t="s">
        <v>237</v>
      </c>
      <c r="F933" s="158" t="str">
        <f>VLOOKUP(Sales[[#This Row],[Product ID]],Product[#All],2,0)</f>
        <v>Jbl Headset</v>
      </c>
      <c r="G933" s="159">
        <v>4</v>
      </c>
      <c r="H933" s="160">
        <f>VLOOKUP(Sales[[#This Row],[Product ID]],Product[#All],7,0)</f>
        <v>5520</v>
      </c>
      <c r="I933" s="160">
        <f>Sales[[#This Row],[Selling Rate]]*Sales[[#This Row],[Qty]]</f>
        <v>22080</v>
      </c>
      <c r="J933" s="43">
        <v>0</v>
      </c>
      <c r="K933" s="44">
        <f>Sales[[#This Row],[Gross Amount]]*Sales[[#This Row],[Disc %]]</f>
        <v>0</v>
      </c>
      <c r="L933" s="43">
        <v>0.18</v>
      </c>
      <c r="M933" s="44">
        <f>(Sales[[#This Row],[Gross Amount]]-Sales[[#This Row],[Disc. Amt.]])*Sales[[#This Row],[GST %]]</f>
        <v>3974.3999999999996</v>
      </c>
      <c r="N933" s="161">
        <f>Sales[[#This Row],[Gross Amount]]-Sales[[#This Row],[Disc. Amt.]]+Sales[[#This Row],[GST Amount]]</f>
        <v>26054.400000000001</v>
      </c>
      <c r="O933" s="158" t="s">
        <v>3561</v>
      </c>
      <c r="P933" s="158" t="s">
        <v>3562</v>
      </c>
      <c r="Q933" s="160">
        <f>IF(Sales[[#This Row],[Status]]="Cancelled",0,Sales[[#This Row],[Qty]])</f>
        <v>4</v>
      </c>
      <c r="R933" s="161">
        <f>IF(Sales[[#This Row],[Status]]="Cancelled",0,Sales[[#This Row],[Total Amount]])</f>
        <v>26054.400000000001</v>
      </c>
      <c r="S933" s="162">
        <f>SUM(Sales[Net Amount])</f>
        <v>406839287.73200053</v>
      </c>
    </row>
    <row r="934" spans="1:19" ht="18.75" x14ac:dyDescent="0.25">
      <c r="A934" s="163" t="s">
        <v>4521</v>
      </c>
      <c r="B934" s="164">
        <v>45826</v>
      </c>
      <c r="C934" s="34" t="s">
        <v>672</v>
      </c>
      <c r="D934" s="53" t="str">
        <f>VLOOKUP(Sales[[#This Row],[Customer ID]],Customer[#All],2,0)</f>
        <v>Rahul Patel</v>
      </c>
      <c r="E934" s="34" t="s">
        <v>400</v>
      </c>
      <c r="F934" s="34" t="str">
        <f>VLOOKUP(Sales[[#This Row],[Product ID]],Product[#All],2,0)</f>
        <v>TP-link Bluetooth Adapter</v>
      </c>
      <c r="G934" s="53">
        <v>8</v>
      </c>
      <c r="H934" s="165">
        <f>VLOOKUP(Sales[[#This Row],[Product ID]],Product[#All],7,0)</f>
        <v>1320</v>
      </c>
      <c r="I934" s="165">
        <f>Sales[[#This Row],[Selling Rate]]*Sales[[#This Row],[Qty]]</f>
        <v>10560</v>
      </c>
      <c r="J934" s="45">
        <v>0</v>
      </c>
      <c r="K934" s="46">
        <f>Sales[[#This Row],[Gross Amount]]*Sales[[#This Row],[Disc %]]</f>
        <v>0</v>
      </c>
      <c r="L934" s="43">
        <v>0.18</v>
      </c>
      <c r="M934" s="46">
        <f>(Sales[[#This Row],[Gross Amount]]-Sales[[#This Row],[Disc. Amt.]])*Sales[[#This Row],[GST %]]</f>
        <v>1900.8</v>
      </c>
      <c r="N934" s="161">
        <f>Sales[[#This Row],[Gross Amount]]-Sales[[#This Row],[Disc. Amt.]]+Sales[[#This Row],[GST Amount]]</f>
        <v>12460.8</v>
      </c>
      <c r="O934" s="34" t="s">
        <v>3566</v>
      </c>
      <c r="P934" s="34" t="s">
        <v>3562</v>
      </c>
      <c r="Q934" s="165">
        <f>IF(Sales[[#This Row],[Status]]="Cancelled",0,Sales[[#This Row],[Qty]])</f>
        <v>8</v>
      </c>
      <c r="R934" s="166">
        <f>IF(Sales[[#This Row],[Status]]="Cancelled",0,Sales[[#This Row],[Total Amount]])</f>
        <v>12460.8</v>
      </c>
      <c r="S934" s="162">
        <f>SUM(Sales[Net Amount])</f>
        <v>406839287.73200053</v>
      </c>
    </row>
    <row r="935" spans="1:19" ht="18.75" x14ac:dyDescent="0.25">
      <c r="A935" s="156" t="s">
        <v>4522</v>
      </c>
      <c r="B935" s="157">
        <v>45826</v>
      </c>
      <c r="C935" s="158" t="s">
        <v>719</v>
      </c>
      <c r="D935" s="159" t="str">
        <f>VLOOKUP(Sales[[#This Row],[Customer ID]],Customer[#All],2,0)</f>
        <v>Priya Verma</v>
      </c>
      <c r="E935" s="158" t="s">
        <v>554</v>
      </c>
      <c r="F935" s="158" t="str">
        <f>VLOOKUP(Sales[[#This Row],[Product ID]],Product[#All],2,0)</f>
        <v>TP-link Router</v>
      </c>
      <c r="G935" s="159">
        <v>5</v>
      </c>
      <c r="H935" s="160">
        <f>VLOOKUP(Sales[[#This Row],[Product ID]],Product[#All],7,0)</f>
        <v>6320</v>
      </c>
      <c r="I935" s="160">
        <f>Sales[[#This Row],[Selling Rate]]*Sales[[#This Row],[Qty]]</f>
        <v>31600</v>
      </c>
      <c r="J935" s="43">
        <v>0.05</v>
      </c>
      <c r="K935" s="44">
        <f>Sales[[#This Row],[Gross Amount]]*Sales[[#This Row],[Disc %]]</f>
        <v>1580</v>
      </c>
      <c r="L935" s="43">
        <v>0.18</v>
      </c>
      <c r="M935" s="44">
        <f>(Sales[[#This Row],[Gross Amount]]-Sales[[#This Row],[Disc. Amt.]])*Sales[[#This Row],[GST %]]</f>
        <v>5403.5999999999995</v>
      </c>
      <c r="N935" s="161">
        <f>Sales[[#This Row],[Gross Amount]]-Sales[[#This Row],[Disc. Amt.]]+Sales[[#This Row],[GST Amount]]</f>
        <v>35423.599999999999</v>
      </c>
      <c r="O935" s="158" t="s">
        <v>3561</v>
      </c>
      <c r="P935" s="158" t="s">
        <v>3562</v>
      </c>
      <c r="Q935" s="160">
        <f>IF(Sales[[#This Row],[Status]]="Cancelled",0,Sales[[#This Row],[Qty]])</f>
        <v>5</v>
      </c>
      <c r="R935" s="161">
        <f>IF(Sales[[#This Row],[Status]]="Cancelled",0,Sales[[#This Row],[Total Amount]])</f>
        <v>35423.599999999999</v>
      </c>
      <c r="S935" s="162">
        <f>SUM(Sales[Net Amount])</f>
        <v>406839287.73200053</v>
      </c>
    </row>
    <row r="936" spans="1:19" ht="18.75" x14ac:dyDescent="0.25">
      <c r="A936" s="163" t="s">
        <v>4523</v>
      </c>
      <c r="B936" s="164">
        <v>45826</v>
      </c>
      <c r="C936" s="34" t="s">
        <v>811</v>
      </c>
      <c r="D936" s="53" t="str">
        <f>VLOOKUP(Sales[[#This Row],[Customer ID]],Customer[#All],2,0)</f>
        <v>Rahul Sharma</v>
      </c>
      <c r="E936" s="34" t="s">
        <v>511</v>
      </c>
      <c r="F936" s="34" t="str">
        <f>VLOOKUP(Sales[[#This Row],[Product ID]],Product[#All],2,0)</f>
        <v>Amazon Basics Hdmi Cable</v>
      </c>
      <c r="G936" s="53">
        <v>4</v>
      </c>
      <c r="H936" s="165">
        <f>VLOOKUP(Sales[[#This Row],[Product ID]],Product[#All],7,0)</f>
        <v>1240</v>
      </c>
      <c r="I936" s="165">
        <f>Sales[[#This Row],[Selling Rate]]*Sales[[#This Row],[Qty]]</f>
        <v>4960</v>
      </c>
      <c r="J936" s="45">
        <v>0</v>
      </c>
      <c r="K936" s="46">
        <f>Sales[[#This Row],[Gross Amount]]*Sales[[#This Row],[Disc %]]</f>
        <v>0</v>
      </c>
      <c r="L936" s="43">
        <v>0.18</v>
      </c>
      <c r="M936" s="46">
        <f>(Sales[[#This Row],[Gross Amount]]-Sales[[#This Row],[Disc. Amt.]])*Sales[[#This Row],[GST %]]</f>
        <v>892.8</v>
      </c>
      <c r="N936" s="161">
        <f>Sales[[#This Row],[Gross Amount]]-Sales[[#This Row],[Disc. Amt.]]+Sales[[#This Row],[GST Amount]]</f>
        <v>5852.8</v>
      </c>
      <c r="O936" s="34" t="s">
        <v>8876</v>
      </c>
      <c r="P936" s="34" t="s">
        <v>3562</v>
      </c>
      <c r="Q936" s="165">
        <f>IF(Sales[[#This Row],[Status]]="Cancelled",0,Sales[[#This Row],[Qty]])</f>
        <v>4</v>
      </c>
      <c r="R936" s="166">
        <f>IF(Sales[[#This Row],[Status]]="Cancelled",0,Sales[[#This Row],[Total Amount]])</f>
        <v>5852.8</v>
      </c>
      <c r="S936" s="162">
        <f>SUM(Sales[Net Amount])</f>
        <v>406839287.73200053</v>
      </c>
    </row>
    <row r="937" spans="1:19" ht="18.75" x14ac:dyDescent="0.25">
      <c r="A937" s="156" t="s">
        <v>4524</v>
      </c>
      <c r="B937" s="157">
        <v>45826</v>
      </c>
      <c r="C937" s="158" t="s">
        <v>863</v>
      </c>
      <c r="D937" s="159" t="str">
        <f>VLOOKUP(Sales[[#This Row],[Customer ID]],Customer[#All],2,0)</f>
        <v>Sahil Sharma</v>
      </c>
      <c r="E937" s="158" t="s">
        <v>46</v>
      </c>
      <c r="F937" s="158" t="str">
        <f>VLOOKUP(Sales[[#This Row],[Product ID]],Product[#All],2,0)</f>
        <v>HP Printer</v>
      </c>
      <c r="G937" s="159">
        <v>6</v>
      </c>
      <c r="H937" s="160">
        <f>VLOOKUP(Sales[[#This Row],[Product ID]],Product[#All],7,0)</f>
        <v>35170</v>
      </c>
      <c r="I937" s="160">
        <f>Sales[[#This Row],[Selling Rate]]*Sales[[#This Row],[Qty]]</f>
        <v>211020</v>
      </c>
      <c r="J937" s="43">
        <v>0.15</v>
      </c>
      <c r="K937" s="44">
        <f>Sales[[#This Row],[Gross Amount]]*Sales[[#This Row],[Disc %]]</f>
        <v>31653</v>
      </c>
      <c r="L937" s="43">
        <v>0.18</v>
      </c>
      <c r="M937" s="44">
        <f>(Sales[[#This Row],[Gross Amount]]-Sales[[#This Row],[Disc. Amt.]])*Sales[[#This Row],[GST %]]</f>
        <v>32286.059999999998</v>
      </c>
      <c r="N937" s="161">
        <f>Sales[[#This Row],[Gross Amount]]-Sales[[#This Row],[Disc. Amt.]]+Sales[[#This Row],[GST Amount]]</f>
        <v>211653.06</v>
      </c>
      <c r="O937" s="158" t="s">
        <v>3566</v>
      </c>
      <c r="P937" s="158" t="s">
        <v>3562</v>
      </c>
      <c r="Q937" s="160">
        <f>IF(Sales[[#This Row],[Status]]="Cancelled",0,Sales[[#This Row],[Qty]])</f>
        <v>6</v>
      </c>
      <c r="R937" s="161">
        <f>IF(Sales[[#This Row],[Status]]="Cancelled",0,Sales[[#This Row],[Total Amount]])</f>
        <v>211653.06</v>
      </c>
      <c r="S937" s="162">
        <f>SUM(Sales[Net Amount])</f>
        <v>406839287.73200053</v>
      </c>
    </row>
    <row r="938" spans="1:19" ht="18.75" x14ac:dyDescent="0.25">
      <c r="A938" s="163" t="s">
        <v>4525</v>
      </c>
      <c r="B938" s="164">
        <v>45826</v>
      </c>
      <c r="C938" s="34" t="s">
        <v>838</v>
      </c>
      <c r="D938" s="53" t="str">
        <f>VLOOKUP(Sales[[#This Row],[Customer ID]],Customer[#All],2,0)</f>
        <v>Priya Gupta</v>
      </c>
      <c r="E938" s="34" t="s">
        <v>208</v>
      </c>
      <c r="F938" s="34" t="str">
        <f>VLOOKUP(Sales[[#This Row],[Product ID]],Product[#All],2,0)</f>
        <v>Dell Laptop</v>
      </c>
      <c r="G938" s="53">
        <v>8</v>
      </c>
      <c r="H938" s="165">
        <f>VLOOKUP(Sales[[#This Row],[Product ID]],Product[#All],7,0)</f>
        <v>67000</v>
      </c>
      <c r="I938" s="165">
        <f>Sales[[#This Row],[Selling Rate]]*Sales[[#This Row],[Qty]]</f>
        <v>536000</v>
      </c>
      <c r="J938" s="45">
        <v>0.12</v>
      </c>
      <c r="K938" s="46">
        <f>Sales[[#This Row],[Gross Amount]]*Sales[[#This Row],[Disc %]]</f>
        <v>64320</v>
      </c>
      <c r="L938" s="43">
        <v>0.18</v>
      </c>
      <c r="M938" s="46">
        <f>(Sales[[#This Row],[Gross Amount]]-Sales[[#This Row],[Disc. Amt.]])*Sales[[#This Row],[GST %]]</f>
        <v>84902.399999999994</v>
      </c>
      <c r="N938" s="161">
        <f>Sales[[#This Row],[Gross Amount]]-Sales[[#This Row],[Disc. Amt.]]+Sales[[#This Row],[GST Amount]]</f>
        <v>556582.40000000002</v>
      </c>
      <c r="O938" s="34" t="s">
        <v>3561</v>
      </c>
      <c r="P938" s="34" t="s">
        <v>3562</v>
      </c>
      <c r="Q938" s="165">
        <f>IF(Sales[[#This Row],[Status]]="Cancelled",0,Sales[[#This Row],[Qty]])</f>
        <v>8</v>
      </c>
      <c r="R938" s="166">
        <f>IF(Sales[[#This Row],[Status]]="Cancelled",0,Sales[[#This Row],[Total Amount]])</f>
        <v>556582.40000000002</v>
      </c>
      <c r="S938" s="162">
        <f>SUM(Sales[Net Amount])</f>
        <v>406839287.73200053</v>
      </c>
    </row>
    <row r="939" spans="1:19" ht="18.75" x14ac:dyDescent="0.25">
      <c r="A939" s="156" t="s">
        <v>4526</v>
      </c>
      <c r="B939" s="157">
        <v>45826</v>
      </c>
      <c r="C939" s="158" t="s">
        <v>794</v>
      </c>
      <c r="D939" s="159" t="str">
        <f>VLOOKUP(Sales[[#This Row],[Customer ID]],Customer[#All],2,0)</f>
        <v>Sunita Sharma</v>
      </c>
      <c r="E939" s="158" t="s">
        <v>364</v>
      </c>
      <c r="F939" s="158" t="str">
        <f>VLOOKUP(Sales[[#This Row],[Product ID]],Product[#All],2,0)</f>
        <v>Canon Printer</v>
      </c>
      <c r="G939" s="159">
        <v>3</v>
      </c>
      <c r="H939" s="160">
        <f>VLOOKUP(Sales[[#This Row],[Product ID]],Product[#All],7,0)</f>
        <v>41460</v>
      </c>
      <c r="I939" s="160">
        <f>Sales[[#This Row],[Selling Rate]]*Sales[[#This Row],[Qty]]</f>
        <v>124380</v>
      </c>
      <c r="J939" s="43">
        <v>0.05</v>
      </c>
      <c r="K939" s="44">
        <f>Sales[[#This Row],[Gross Amount]]*Sales[[#This Row],[Disc %]]</f>
        <v>6219</v>
      </c>
      <c r="L939" s="43">
        <v>0.18</v>
      </c>
      <c r="M939" s="44">
        <f>(Sales[[#This Row],[Gross Amount]]-Sales[[#This Row],[Disc. Amt.]])*Sales[[#This Row],[GST %]]</f>
        <v>21268.98</v>
      </c>
      <c r="N939" s="161">
        <f>Sales[[#This Row],[Gross Amount]]-Sales[[#This Row],[Disc. Amt.]]+Sales[[#This Row],[GST Amount]]</f>
        <v>139429.98000000001</v>
      </c>
      <c r="O939" s="158" t="s">
        <v>8876</v>
      </c>
      <c r="P939" s="158" t="s">
        <v>3562</v>
      </c>
      <c r="Q939" s="160">
        <f>IF(Sales[[#This Row],[Status]]="Cancelled",0,Sales[[#This Row],[Qty]])</f>
        <v>3</v>
      </c>
      <c r="R939" s="161">
        <f>IF(Sales[[#This Row],[Status]]="Cancelled",0,Sales[[#This Row],[Total Amount]])</f>
        <v>139429.98000000001</v>
      </c>
      <c r="S939" s="162">
        <f>SUM(Sales[Net Amount])</f>
        <v>406839287.73200053</v>
      </c>
    </row>
    <row r="940" spans="1:19" ht="18.75" x14ac:dyDescent="0.25">
      <c r="A940" s="163" t="s">
        <v>4527</v>
      </c>
      <c r="B940" s="164">
        <v>45826</v>
      </c>
      <c r="C940" s="34" t="s">
        <v>722</v>
      </c>
      <c r="D940" s="53" t="str">
        <f>VLOOKUP(Sales[[#This Row],[Customer ID]],Customer[#All],2,0)</f>
        <v>Vikas Patel</v>
      </c>
      <c r="E940" s="34" t="s">
        <v>256</v>
      </c>
      <c r="F940" s="34" t="str">
        <f>VLOOKUP(Sales[[#This Row],[Product ID]],Product[#All],2,0)</f>
        <v>HP Laptop</v>
      </c>
      <c r="G940" s="53">
        <v>6</v>
      </c>
      <c r="H940" s="165">
        <f>VLOOKUP(Sales[[#This Row],[Product ID]],Product[#All],7,0)</f>
        <v>106260</v>
      </c>
      <c r="I940" s="165">
        <f>Sales[[#This Row],[Selling Rate]]*Sales[[#This Row],[Qty]]</f>
        <v>637560</v>
      </c>
      <c r="J940" s="45">
        <v>0.02</v>
      </c>
      <c r="K940" s="46">
        <f>Sales[[#This Row],[Gross Amount]]*Sales[[#This Row],[Disc %]]</f>
        <v>12751.2</v>
      </c>
      <c r="L940" s="43">
        <v>0.18</v>
      </c>
      <c r="M940" s="46">
        <f>(Sales[[#This Row],[Gross Amount]]-Sales[[#This Row],[Disc. Amt.]])*Sales[[#This Row],[GST %]]</f>
        <v>112465.584</v>
      </c>
      <c r="N940" s="161">
        <f>Sales[[#This Row],[Gross Amount]]-Sales[[#This Row],[Disc. Amt.]]+Sales[[#This Row],[GST Amount]]</f>
        <v>737274.38400000008</v>
      </c>
      <c r="O940" s="34" t="s">
        <v>3569</v>
      </c>
      <c r="P940" s="34" t="s">
        <v>3562</v>
      </c>
      <c r="Q940" s="165">
        <f>IF(Sales[[#This Row],[Status]]="Cancelled",0,Sales[[#This Row],[Qty]])</f>
        <v>6</v>
      </c>
      <c r="R940" s="166">
        <f>IF(Sales[[#This Row],[Status]]="Cancelled",0,Sales[[#This Row],[Total Amount]])</f>
        <v>737274.38400000008</v>
      </c>
      <c r="S940" s="162">
        <f>SUM(Sales[Net Amount])</f>
        <v>406839287.73200053</v>
      </c>
    </row>
    <row r="941" spans="1:19" ht="18.75" x14ac:dyDescent="0.25">
      <c r="A941" s="156" t="s">
        <v>4528</v>
      </c>
      <c r="B941" s="157">
        <v>45827</v>
      </c>
      <c r="C941" s="158" t="s">
        <v>943</v>
      </c>
      <c r="D941" s="159" t="str">
        <f>VLOOKUP(Sales[[#This Row],[Customer ID]],Customer[#All],2,0)</f>
        <v>Sahil Singh</v>
      </c>
      <c r="E941" s="158" t="s">
        <v>239</v>
      </c>
      <c r="F941" s="158" t="str">
        <f>VLOOKUP(Sales[[#This Row],[Product ID]],Product[#All],2,0)</f>
        <v>Microtek UPS</v>
      </c>
      <c r="G941" s="159">
        <v>6</v>
      </c>
      <c r="H941" s="160">
        <f>VLOOKUP(Sales[[#This Row],[Product ID]],Product[#All],7,0)</f>
        <v>7570</v>
      </c>
      <c r="I941" s="160">
        <f>Sales[[#This Row],[Selling Rate]]*Sales[[#This Row],[Qty]]</f>
        <v>45420</v>
      </c>
      <c r="J941" s="43">
        <v>0</v>
      </c>
      <c r="K941" s="44">
        <f>Sales[[#This Row],[Gross Amount]]*Sales[[#This Row],[Disc %]]</f>
        <v>0</v>
      </c>
      <c r="L941" s="43">
        <v>0.18</v>
      </c>
      <c r="M941" s="44">
        <f>(Sales[[#This Row],[Gross Amount]]-Sales[[#This Row],[Disc. Amt.]])*Sales[[#This Row],[GST %]]</f>
        <v>8175.5999999999995</v>
      </c>
      <c r="N941" s="161">
        <f>Sales[[#This Row],[Gross Amount]]-Sales[[#This Row],[Disc. Amt.]]+Sales[[#This Row],[GST Amount]]</f>
        <v>53595.6</v>
      </c>
      <c r="O941" s="158" t="s">
        <v>8876</v>
      </c>
      <c r="P941" s="158" t="s">
        <v>1040</v>
      </c>
      <c r="Q941" s="160">
        <f>IF(Sales[[#This Row],[Status]]="Cancelled",0,Sales[[#This Row],[Qty]])</f>
        <v>0</v>
      </c>
      <c r="R941" s="161">
        <f>IF(Sales[[#This Row],[Status]]="Cancelled",0,Sales[[#This Row],[Total Amount]])</f>
        <v>0</v>
      </c>
      <c r="S941" s="162">
        <f>SUM(Sales[Net Amount])</f>
        <v>406839287.73200053</v>
      </c>
    </row>
    <row r="942" spans="1:19" ht="18.75" x14ac:dyDescent="0.25">
      <c r="A942" s="163" t="s">
        <v>4529</v>
      </c>
      <c r="B942" s="164">
        <v>45827</v>
      </c>
      <c r="C942" s="34" t="s">
        <v>705</v>
      </c>
      <c r="D942" s="53" t="str">
        <f>VLOOKUP(Sales[[#This Row],[Customer ID]],Customer[#All],2,0)</f>
        <v>Priya Verma</v>
      </c>
      <c r="E942" s="34" t="s">
        <v>289</v>
      </c>
      <c r="F942" s="34" t="str">
        <f>VLOOKUP(Sales[[#This Row],[Product ID]],Product[#All],2,0)</f>
        <v>HP Mouse</v>
      </c>
      <c r="G942" s="53">
        <v>3</v>
      </c>
      <c r="H942" s="165">
        <f>VLOOKUP(Sales[[#This Row],[Product ID]],Product[#All],7,0)</f>
        <v>1200</v>
      </c>
      <c r="I942" s="165">
        <f>Sales[[#This Row],[Selling Rate]]*Sales[[#This Row],[Qty]]</f>
        <v>3600</v>
      </c>
      <c r="J942" s="45">
        <v>0.1</v>
      </c>
      <c r="K942" s="46">
        <f>Sales[[#This Row],[Gross Amount]]*Sales[[#This Row],[Disc %]]</f>
        <v>360</v>
      </c>
      <c r="L942" s="43">
        <v>0.18</v>
      </c>
      <c r="M942" s="46">
        <f>(Sales[[#This Row],[Gross Amount]]-Sales[[#This Row],[Disc. Amt.]])*Sales[[#This Row],[GST %]]</f>
        <v>583.19999999999993</v>
      </c>
      <c r="N942" s="161">
        <f>Sales[[#This Row],[Gross Amount]]-Sales[[#This Row],[Disc. Amt.]]+Sales[[#This Row],[GST Amount]]</f>
        <v>3823.2</v>
      </c>
      <c r="O942" s="34" t="s">
        <v>3561</v>
      </c>
      <c r="P942" s="34" t="s">
        <v>3562</v>
      </c>
      <c r="Q942" s="165">
        <f>IF(Sales[[#This Row],[Status]]="Cancelled",0,Sales[[#This Row],[Qty]])</f>
        <v>3</v>
      </c>
      <c r="R942" s="166">
        <f>IF(Sales[[#This Row],[Status]]="Cancelled",0,Sales[[#This Row],[Total Amount]])</f>
        <v>3823.2</v>
      </c>
      <c r="S942" s="162">
        <f>SUM(Sales[Net Amount])</f>
        <v>406839287.73200053</v>
      </c>
    </row>
    <row r="943" spans="1:19" ht="18.75" x14ac:dyDescent="0.25">
      <c r="A943" s="156" t="s">
        <v>4530</v>
      </c>
      <c r="B943" s="157">
        <v>45827</v>
      </c>
      <c r="C943" s="158" t="s">
        <v>780</v>
      </c>
      <c r="D943" s="159" t="str">
        <f>VLOOKUP(Sales[[#This Row],[Customer ID]],Customer[#All],2,0)</f>
        <v>Sahil Gupta</v>
      </c>
      <c r="E943" s="158" t="s">
        <v>356</v>
      </c>
      <c r="F943" s="158" t="str">
        <f>VLOOKUP(Sales[[#This Row],[Product ID]],Product[#All],2,0)</f>
        <v>Corsair Ram</v>
      </c>
      <c r="G943" s="159">
        <v>5</v>
      </c>
      <c r="H943" s="160">
        <f>VLOOKUP(Sales[[#This Row],[Product ID]],Product[#All],7,0)</f>
        <v>8460</v>
      </c>
      <c r="I943" s="160">
        <f>Sales[[#This Row],[Selling Rate]]*Sales[[#This Row],[Qty]]</f>
        <v>42300</v>
      </c>
      <c r="J943" s="43">
        <v>0.05</v>
      </c>
      <c r="K943" s="44">
        <f>Sales[[#This Row],[Gross Amount]]*Sales[[#This Row],[Disc %]]</f>
        <v>2115</v>
      </c>
      <c r="L943" s="43">
        <v>0.18</v>
      </c>
      <c r="M943" s="44">
        <f>(Sales[[#This Row],[Gross Amount]]-Sales[[#This Row],[Disc. Amt.]])*Sales[[#This Row],[GST %]]</f>
        <v>7233.3</v>
      </c>
      <c r="N943" s="161">
        <f>Sales[[#This Row],[Gross Amount]]-Sales[[#This Row],[Disc. Amt.]]+Sales[[#This Row],[GST Amount]]</f>
        <v>47418.3</v>
      </c>
      <c r="O943" s="158" t="s">
        <v>8876</v>
      </c>
      <c r="P943" s="158" t="s">
        <v>3562</v>
      </c>
      <c r="Q943" s="160">
        <f>IF(Sales[[#This Row],[Status]]="Cancelled",0,Sales[[#This Row],[Qty]])</f>
        <v>5</v>
      </c>
      <c r="R943" s="161">
        <f>IF(Sales[[#This Row],[Status]]="Cancelled",0,Sales[[#This Row],[Total Amount]])</f>
        <v>47418.3</v>
      </c>
      <c r="S943" s="162">
        <f>SUM(Sales[Net Amount])</f>
        <v>406839287.73200053</v>
      </c>
    </row>
    <row r="944" spans="1:19" ht="18.75" x14ac:dyDescent="0.25">
      <c r="A944" s="163" t="s">
        <v>4531</v>
      </c>
      <c r="B944" s="164">
        <v>45827</v>
      </c>
      <c r="C944" s="34" t="s">
        <v>734</v>
      </c>
      <c r="D944" s="53" t="str">
        <f>VLOOKUP(Sales[[#This Row],[Customer ID]],Customer[#All],2,0)</f>
        <v>Ankit Sharma</v>
      </c>
      <c r="E944" s="34" t="s">
        <v>208</v>
      </c>
      <c r="F944" s="34" t="str">
        <f>VLOOKUP(Sales[[#This Row],[Product ID]],Product[#All],2,0)</f>
        <v>Dell Laptop</v>
      </c>
      <c r="G944" s="53">
        <v>6</v>
      </c>
      <c r="H944" s="165">
        <f>VLOOKUP(Sales[[#This Row],[Product ID]],Product[#All],7,0)</f>
        <v>67000</v>
      </c>
      <c r="I944" s="165">
        <f>Sales[[#This Row],[Selling Rate]]*Sales[[#This Row],[Qty]]</f>
        <v>402000</v>
      </c>
      <c r="J944" s="45">
        <v>0.1</v>
      </c>
      <c r="K944" s="46">
        <f>Sales[[#This Row],[Gross Amount]]*Sales[[#This Row],[Disc %]]</f>
        <v>40200</v>
      </c>
      <c r="L944" s="43">
        <v>0.18</v>
      </c>
      <c r="M944" s="46">
        <f>(Sales[[#This Row],[Gross Amount]]-Sales[[#This Row],[Disc. Amt.]])*Sales[[#This Row],[GST %]]</f>
        <v>65124</v>
      </c>
      <c r="N944" s="161">
        <f>Sales[[#This Row],[Gross Amount]]-Sales[[#This Row],[Disc. Amt.]]+Sales[[#This Row],[GST Amount]]</f>
        <v>426924</v>
      </c>
      <c r="O944" s="34" t="s">
        <v>8876</v>
      </c>
      <c r="P944" s="34" t="s">
        <v>3562</v>
      </c>
      <c r="Q944" s="165">
        <f>IF(Sales[[#This Row],[Status]]="Cancelled",0,Sales[[#This Row],[Qty]])</f>
        <v>6</v>
      </c>
      <c r="R944" s="166">
        <f>IF(Sales[[#This Row],[Status]]="Cancelled",0,Sales[[#This Row],[Total Amount]])</f>
        <v>426924</v>
      </c>
      <c r="S944" s="162">
        <f>SUM(Sales[Net Amount])</f>
        <v>406839287.73200053</v>
      </c>
    </row>
    <row r="945" spans="1:19" ht="18.75" x14ac:dyDescent="0.25">
      <c r="A945" s="156" t="s">
        <v>4532</v>
      </c>
      <c r="B945" s="157">
        <v>45827</v>
      </c>
      <c r="C945" s="158" t="s">
        <v>760</v>
      </c>
      <c r="D945" s="159" t="str">
        <f>VLOOKUP(Sales[[#This Row],[Customer ID]],Customer[#All],2,0)</f>
        <v>Pooja Singh</v>
      </c>
      <c r="E945" s="158" t="s">
        <v>149</v>
      </c>
      <c r="F945" s="158" t="str">
        <f>VLOOKUP(Sales[[#This Row],[Product ID]],Product[#All],2,0)</f>
        <v>Jbl Headset</v>
      </c>
      <c r="G945" s="159">
        <v>5</v>
      </c>
      <c r="H945" s="160">
        <f>VLOOKUP(Sales[[#This Row],[Product ID]],Product[#All],7,0)</f>
        <v>6520</v>
      </c>
      <c r="I945" s="160">
        <f>Sales[[#This Row],[Selling Rate]]*Sales[[#This Row],[Qty]]</f>
        <v>32600</v>
      </c>
      <c r="J945" s="43">
        <v>0</v>
      </c>
      <c r="K945" s="44">
        <f>Sales[[#This Row],[Gross Amount]]*Sales[[#This Row],[Disc %]]</f>
        <v>0</v>
      </c>
      <c r="L945" s="43">
        <v>0.18</v>
      </c>
      <c r="M945" s="44">
        <f>(Sales[[#This Row],[Gross Amount]]-Sales[[#This Row],[Disc. Amt.]])*Sales[[#This Row],[GST %]]</f>
        <v>5868</v>
      </c>
      <c r="N945" s="161">
        <f>Sales[[#This Row],[Gross Amount]]-Sales[[#This Row],[Disc. Amt.]]+Sales[[#This Row],[GST Amount]]</f>
        <v>38468</v>
      </c>
      <c r="O945" s="158" t="s">
        <v>3569</v>
      </c>
      <c r="P945" s="158" t="s">
        <v>3562</v>
      </c>
      <c r="Q945" s="160">
        <f>IF(Sales[[#This Row],[Status]]="Cancelled",0,Sales[[#This Row],[Qty]])</f>
        <v>5</v>
      </c>
      <c r="R945" s="161">
        <f>IF(Sales[[#This Row],[Status]]="Cancelled",0,Sales[[#This Row],[Total Amount]])</f>
        <v>38468</v>
      </c>
      <c r="S945" s="162">
        <f>SUM(Sales[Net Amount])</f>
        <v>406839287.73200053</v>
      </c>
    </row>
    <row r="946" spans="1:19" ht="18.75" x14ac:dyDescent="0.25">
      <c r="A946" s="163" t="s">
        <v>4533</v>
      </c>
      <c r="B946" s="164">
        <v>45827</v>
      </c>
      <c r="C946" s="34" t="s">
        <v>833</v>
      </c>
      <c r="D946" s="53" t="str">
        <f>VLOOKUP(Sales[[#This Row],[Customer ID]],Customer[#All],2,0)</f>
        <v>Sunita Kumar</v>
      </c>
      <c r="E946" s="34" t="s">
        <v>412</v>
      </c>
      <c r="F946" s="34" t="str">
        <f>VLOOKUP(Sales[[#This Row],[Product ID]],Product[#All],2,0)</f>
        <v>Dell Monitor</v>
      </c>
      <c r="G946" s="53">
        <v>3</v>
      </c>
      <c r="H946" s="165">
        <f>VLOOKUP(Sales[[#This Row],[Product ID]],Product[#All],7,0)</f>
        <v>30230</v>
      </c>
      <c r="I946" s="165">
        <f>Sales[[#This Row],[Selling Rate]]*Sales[[#This Row],[Qty]]</f>
        <v>90690</v>
      </c>
      <c r="J946" s="45">
        <v>0</v>
      </c>
      <c r="K946" s="46">
        <f>Sales[[#This Row],[Gross Amount]]*Sales[[#This Row],[Disc %]]</f>
        <v>0</v>
      </c>
      <c r="L946" s="43">
        <v>0.18</v>
      </c>
      <c r="M946" s="46">
        <f>(Sales[[#This Row],[Gross Amount]]-Sales[[#This Row],[Disc. Amt.]])*Sales[[#This Row],[GST %]]</f>
        <v>16324.199999999999</v>
      </c>
      <c r="N946" s="161">
        <f>Sales[[#This Row],[Gross Amount]]-Sales[[#This Row],[Disc. Amt.]]+Sales[[#This Row],[GST Amount]]</f>
        <v>107014.2</v>
      </c>
      <c r="O946" s="34" t="s">
        <v>8876</v>
      </c>
      <c r="P946" s="34" t="s">
        <v>3562</v>
      </c>
      <c r="Q946" s="165">
        <f>IF(Sales[[#This Row],[Status]]="Cancelled",0,Sales[[#This Row],[Qty]])</f>
        <v>3</v>
      </c>
      <c r="R946" s="166">
        <f>IF(Sales[[#This Row],[Status]]="Cancelled",0,Sales[[#This Row],[Total Amount]])</f>
        <v>107014.2</v>
      </c>
      <c r="S946" s="162">
        <f>SUM(Sales[Net Amount])</f>
        <v>406839287.73200053</v>
      </c>
    </row>
    <row r="947" spans="1:19" ht="18.75" x14ac:dyDescent="0.25">
      <c r="A947" s="156" t="s">
        <v>4534</v>
      </c>
      <c r="B947" s="157">
        <v>45827</v>
      </c>
      <c r="C947" s="158" t="s">
        <v>716</v>
      </c>
      <c r="D947" s="159" t="str">
        <f>VLOOKUP(Sales[[#This Row],[Customer ID]],Customer[#All],2,0)</f>
        <v>Ankit Kumar</v>
      </c>
      <c r="E947" s="158" t="s">
        <v>429</v>
      </c>
      <c r="F947" s="158" t="str">
        <f>VLOOKUP(Sales[[#This Row],[Product ID]],Product[#All],2,0)</f>
        <v>Sandisk Pen Drive</v>
      </c>
      <c r="G947" s="159">
        <v>6</v>
      </c>
      <c r="H947" s="160">
        <f>VLOOKUP(Sales[[#This Row],[Product ID]],Product[#All],7,0)</f>
        <v>2290</v>
      </c>
      <c r="I947" s="160">
        <f>Sales[[#This Row],[Selling Rate]]*Sales[[#This Row],[Qty]]</f>
        <v>13740</v>
      </c>
      <c r="J947" s="43">
        <v>0.05</v>
      </c>
      <c r="K947" s="44">
        <f>Sales[[#This Row],[Gross Amount]]*Sales[[#This Row],[Disc %]]</f>
        <v>687</v>
      </c>
      <c r="L947" s="43">
        <v>0.18</v>
      </c>
      <c r="M947" s="44">
        <f>(Sales[[#This Row],[Gross Amount]]-Sales[[#This Row],[Disc. Amt.]])*Sales[[#This Row],[GST %]]</f>
        <v>2349.54</v>
      </c>
      <c r="N947" s="161">
        <f>Sales[[#This Row],[Gross Amount]]-Sales[[#This Row],[Disc. Amt.]]+Sales[[#This Row],[GST Amount]]</f>
        <v>15402.54</v>
      </c>
      <c r="O947" s="158" t="s">
        <v>3561</v>
      </c>
      <c r="P947" s="158" t="s">
        <v>3562</v>
      </c>
      <c r="Q947" s="160">
        <f>IF(Sales[[#This Row],[Status]]="Cancelled",0,Sales[[#This Row],[Qty]])</f>
        <v>6</v>
      </c>
      <c r="R947" s="161">
        <f>IF(Sales[[#This Row],[Status]]="Cancelled",0,Sales[[#This Row],[Total Amount]])</f>
        <v>15402.54</v>
      </c>
      <c r="S947" s="162">
        <f>SUM(Sales[Net Amount])</f>
        <v>406839287.73200053</v>
      </c>
    </row>
    <row r="948" spans="1:19" ht="18.75" x14ac:dyDescent="0.25">
      <c r="A948" s="163" t="s">
        <v>4535</v>
      </c>
      <c r="B948" s="164">
        <v>45827</v>
      </c>
      <c r="C948" s="34" t="s">
        <v>846</v>
      </c>
      <c r="D948" s="53" t="str">
        <f>VLOOKUP(Sales[[#This Row],[Customer ID]],Customer[#All],2,0)</f>
        <v>Ankit Patel</v>
      </c>
      <c r="E948" s="34" t="s">
        <v>273</v>
      </c>
      <c r="F948" s="34" t="str">
        <f>VLOOKUP(Sales[[#This Row],[Product ID]],Product[#All],2,0)</f>
        <v>Boat Headset</v>
      </c>
      <c r="G948" s="53">
        <v>6</v>
      </c>
      <c r="H948" s="165">
        <f>VLOOKUP(Sales[[#This Row],[Product ID]],Product[#All],7,0)</f>
        <v>4970</v>
      </c>
      <c r="I948" s="165">
        <f>Sales[[#This Row],[Selling Rate]]*Sales[[#This Row],[Qty]]</f>
        <v>29820</v>
      </c>
      <c r="J948" s="45">
        <v>0</v>
      </c>
      <c r="K948" s="46">
        <f>Sales[[#This Row],[Gross Amount]]*Sales[[#This Row],[Disc %]]</f>
        <v>0</v>
      </c>
      <c r="L948" s="43">
        <v>0.18</v>
      </c>
      <c r="M948" s="46">
        <f>(Sales[[#This Row],[Gross Amount]]-Sales[[#This Row],[Disc. Amt.]])*Sales[[#This Row],[GST %]]</f>
        <v>5367.5999999999995</v>
      </c>
      <c r="N948" s="161">
        <f>Sales[[#This Row],[Gross Amount]]-Sales[[#This Row],[Disc. Amt.]]+Sales[[#This Row],[GST Amount]]</f>
        <v>35187.599999999999</v>
      </c>
      <c r="O948" s="34" t="s">
        <v>8876</v>
      </c>
      <c r="P948" s="34" t="s">
        <v>3562</v>
      </c>
      <c r="Q948" s="165">
        <f>IF(Sales[[#This Row],[Status]]="Cancelled",0,Sales[[#This Row],[Qty]])</f>
        <v>6</v>
      </c>
      <c r="R948" s="166">
        <f>IF(Sales[[#This Row],[Status]]="Cancelled",0,Sales[[#This Row],[Total Amount]])</f>
        <v>35187.599999999999</v>
      </c>
      <c r="S948" s="162">
        <f>SUM(Sales[Net Amount])</f>
        <v>406839287.73200053</v>
      </c>
    </row>
    <row r="949" spans="1:19" ht="18.75" x14ac:dyDescent="0.25">
      <c r="A949" s="156" t="s">
        <v>4536</v>
      </c>
      <c r="B949" s="157">
        <v>45827</v>
      </c>
      <c r="C949" s="158" t="s">
        <v>797</v>
      </c>
      <c r="D949" s="159" t="str">
        <f>VLOOKUP(Sales[[#This Row],[Customer ID]],Customer[#All],2,0)</f>
        <v>Ankit Gupta</v>
      </c>
      <c r="E949" s="158" t="s">
        <v>388</v>
      </c>
      <c r="F949" s="158" t="str">
        <f>VLOOKUP(Sales[[#This Row],[Product ID]],Product[#All],2,0)</f>
        <v>Dell Laptop</v>
      </c>
      <c r="G949" s="159">
        <v>4</v>
      </c>
      <c r="H949" s="160">
        <f>VLOOKUP(Sales[[#This Row],[Product ID]],Product[#All],7,0)</f>
        <v>68790</v>
      </c>
      <c r="I949" s="160">
        <f>Sales[[#This Row],[Selling Rate]]*Sales[[#This Row],[Qty]]</f>
        <v>275160</v>
      </c>
      <c r="J949" s="43">
        <v>0.12</v>
      </c>
      <c r="K949" s="44">
        <f>Sales[[#This Row],[Gross Amount]]*Sales[[#This Row],[Disc %]]</f>
        <v>33019.199999999997</v>
      </c>
      <c r="L949" s="43">
        <v>0.18</v>
      </c>
      <c r="M949" s="44">
        <f>(Sales[[#This Row],[Gross Amount]]-Sales[[#This Row],[Disc. Amt.]])*Sales[[#This Row],[GST %]]</f>
        <v>43585.343999999997</v>
      </c>
      <c r="N949" s="161">
        <f>Sales[[#This Row],[Gross Amount]]-Sales[[#This Row],[Disc. Amt.]]+Sales[[#This Row],[GST Amount]]</f>
        <v>285726.14399999997</v>
      </c>
      <c r="O949" s="158" t="s">
        <v>3569</v>
      </c>
      <c r="P949" s="158" t="s">
        <v>3562</v>
      </c>
      <c r="Q949" s="160">
        <f>IF(Sales[[#This Row],[Status]]="Cancelled",0,Sales[[#This Row],[Qty]])</f>
        <v>4</v>
      </c>
      <c r="R949" s="161">
        <f>IF(Sales[[#This Row],[Status]]="Cancelled",0,Sales[[#This Row],[Total Amount]])</f>
        <v>285726.14399999997</v>
      </c>
      <c r="S949" s="162">
        <f>SUM(Sales[Net Amount])</f>
        <v>406839287.73200053</v>
      </c>
    </row>
    <row r="950" spans="1:19" ht="18.75" x14ac:dyDescent="0.25">
      <c r="A950" s="163" t="s">
        <v>4537</v>
      </c>
      <c r="B950" s="164">
        <v>45827</v>
      </c>
      <c r="C950" s="34" t="s">
        <v>819</v>
      </c>
      <c r="D950" s="53" t="str">
        <f>VLOOKUP(Sales[[#This Row],[Customer ID]],Customer[#All],2,0)</f>
        <v>Neha Gupta</v>
      </c>
      <c r="E950" s="34" t="s">
        <v>477</v>
      </c>
      <c r="F950" s="34" t="str">
        <f>VLOOKUP(Sales[[#This Row],[Product ID]],Product[#All],2,0)</f>
        <v>Epson Printer</v>
      </c>
      <c r="G950" s="53">
        <v>6</v>
      </c>
      <c r="H950" s="165">
        <f>VLOOKUP(Sales[[#This Row],[Product ID]],Product[#All],7,0)</f>
        <v>17550</v>
      </c>
      <c r="I950" s="165">
        <f>Sales[[#This Row],[Selling Rate]]*Sales[[#This Row],[Qty]]</f>
        <v>105300</v>
      </c>
      <c r="J950" s="45">
        <v>0</v>
      </c>
      <c r="K950" s="46">
        <f>Sales[[#This Row],[Gross Amount]]*Sales[[#This Row],[Disc %]]</f>
        <v>0</v>
      </c>
      <c r="L950" s="43">
        <v>0.18</v>
      </c>
      <c r="M950" s="46">
        <f>(Sales[[#This Row],[Gross Amount]]-Sales[[#This Row],[Disc. Amt.]])*Sales[[#This Row],[GST %]]</f>
        <v>18954</v>
      </c>
      <c r="N950" s="161">
        <f>Sales[[#This Row],[Gross Amount]]-Sales[[#This Row],[Disc. Amt.]]+Sales[[#This Row],[GST Amount]]</f>
        <v>124254</v>
      </c>
      <c r="O950" s="34" t="s">
        <v>3561</v>
      </c>
      <c r="P950" s="34" t="s">
        <v>3562</v>
      </c>
      <c r="Q950" s="165">
        <f>IF(Sales[[#This Row],[Status]]="Cancelled",0,Sales[[#This Row],[Qty]])</f>
        <v>6</v>
      </c>
      <c r="R950" s="166">
        <f>IF(Sales[[#This Row],[Status]]="Cancelled",0,Sales[[#This Row],[Total Amount]])</f>
        <v>124254</v>
      </c>
      <c r="S950" s="162">
        <f>SUM(Sales[Net Amount])</f>
        <v>406839287.73200053</v>
      </c>
    </row>
    <row r="951" spans="1:19" ht="18.75" x14ac:dyDescent="0.25">
      <c r="A951" s="156" t="s">
        <v>4538</v>
      </c>
      <c r="B951" s="157">
        <v>45827</v>
      </c>
      <c r="C951" s="158" t="s">
        <v>706</v>
      </c>
      <c r="D951" s="159" t="str">
        <f>VLOOKUP(Sales[[#This Row],[Customer ID]],Customer[#All],2,0)</f>
        <v>Amit Sharma</v>
      </c>
      <c r="E951" s="158" t="s">
        <v>367</v>
      </c>
      <c r="F951" s="158" t="str">
        <f>VLOOKUP(Sales[[#This Row],[Product ID]],Product[#All],2,0)</f>
        <v>Jbl Speaker</v>
      </c>
      <c r="G951" s="159">
        <v>3</v>
      </c>
      <c r="H951" s="160">
        <f>VLOOKUP(Sales[[#This Row],[Product ID]],Product[#All],7,0)</f>
        <v>4880</v>
      </c>
      <c r="I951" s="160">
        <f>Sales[[#This Row],[Selling Rate]]*Sales[[#This Row],[Qty]]</f>
        <v>14640</v>
      </c>
      <c r="J951" s="43">
        <v>0</v>
      </c>
      <c r="K951" s="44">
        <f>Sales[[#This Row],[Gross Amount]]*Sales[[#This Row],[Disc %]]</f>
        <v>0</v>
      </c>
      <c r="L951" s="43">
        <v>0.18</v>
      </c>
      <c r="M951" s="44">
        <f>(Sales[[#This Row],[Gross Amount]]-Sales[[#This Row],[Disc. Amt.]])*Sales[[#This Row],[GST %]]</f>
        <v>2635.2</v>
      </c>
      <c r="N951" s="161">
        <f>Sales[[#This Row],[Gross Amount]]-Sales[[#This Row],[Disc. Amt.]]+Sales[[#This Row],[GST Amount]]</f>
        <v>17275.2</v>
      </c>
      <c r="O951" s="158" t="s">
        <v>3561</v>
      </c>
      <c r="P951" s="158" t="s">
        <v>3562</v>
      </c>
      <c r="Q951" s="160">
        <f>IF(Sales[[#This Row],[Status]]="Cancelled",0,Sales[[#This Row],[Qty]])</f>
        <v>3</v>
      </c>
      <c r="R951" s="161">
        <f>IF(Sales[[#This Row],[Status]]="Cancelled",0,Sales[[#This Row],[Total Amount]])</f>
        <v>17275.2</v>
      </c>
      <c r="S951" s="162">
        <f>SUM(Sales[Net Amount])</f>
        <v>406839287.73200053</v>
      </c>
    </row>
    <row r="952" spans="1:19" ht="18.75" x14ac:dyDescent="0.25">
      <c r="A952" s="163" t="s">
        <v>4539</v>
      </c>
      <c r="B952" s="164">
        <v>45827</v>
      </c>
      <c r="C952" s="34" t="s">
        <v>739</v>
      </c>
      <c r="D952" s="53" t="str">
        <f>VLOOKUP(Sales[[#This Row],[Customer ID]],Customer[#All],2,0)</f>
        <v>Ankit Singh</v>
      </c>
      <c r="E952" s="34" t="s">
        <v>467</v>
      </c>
      <c r="F952" s="34" t="str">
        <f>VLOOKUP(Sales[[#This Row],[Product ID]],Product[#All],2,0)</f>
        <v>Apc UPS</v>
      </c>
      <c r="G952" s="53">
        <v>2</v>
      </c>
      <c r="H952" s="165">
        <f>VLOOKUP(Sales[[#This Row],[Product ID]],Product[#All],7,0)</f>
        <v>6250</v>
      </c>
      <c r="I952" s="165">
        <f>Sales[[#This Row],[Selling Rate]]*Sales[[#This Row],[Qty]]</f>
        <v>12500</v>
      </c>
      <c r="J952" s="45">
        <v>0.05</v>
      </c>
      <c r="K952" s="46">
        <f>Sales[[#This Row],[Gross Amount]]*Sales[[#This Row],[Disc %]]</f>
        <v>625</v>
      </c>
      <c r="L952" s="43">
        <v>0.18</v>
      </c>
      <c r="M952" s="46">
        <f>(Sales[[#This Row],[Gross Amount]]-Sales[[#This Row],[Disc. Amt.]])*Sales[[#This Row],[GST %]]</f>
        <v>2137.5</v>
      </c>
      <c r="N952" s="161">
        <f>Sales[[#This Row],[Gross Amount]]-Sales[[#This Row],[Disc. Amt.]]+Sales[[#This Row],[GST Amount]]</f>
        <v>14012.5</v>
      </c>
      <c r="O952" s="34" t="s">
        <v>8876</v>
      </c>
      <c r="P952" s="34" t="s">
        <v>3562</v>
      </c>
      <c r="Q952" s="165">
        <f>IF(Sales[[#This Row],[Status]]="Cancelled",0,Sales[[#This Row],[Qty]])</f>
        <v>2</v>
      </c>
      <c r="R952" s="166">
        <f>IF(Sales[[#This Row],[Status]]="Cancelled",0,Sales[[#This Row],[Total Amount]])</f>
        <v>14012.5</v>
      </c>
      <c r="S952" s="162">
        <f>SUM(Sales[Net Amount])</f>
        <v>406839287.73200053</v>
      </c>
    </row>
    <row r="953" spans="1:19" ht="18.75" x14ac:dyDescent="0.25">
      <c r="A953" s="156" t="s">
        <v>4540</v>
      </c>
      <c r="B953" s="157">
        <v>45827</v>
      </c>
      <c r="C953" s="158" t="s">
        <v>933</v>
      </c>
      <c r="D953" s="159" t="str">
        <f>VLOOKUP(Sales[[#This Row],[Customer ID]],Customer[#All],2,0)</f>
        <v>Vikas Verma</v>
      </c>
      <c r="E953" s="158" t="s">
        <v>374</v>
      </c>
      <c r="F953" s="158" t="str">
        <f>VLOOKUP(Sales[[#This Row],[Product ID]],Product[#All],2,0)</f>
        <v>Boat Headset</v>
      </c>
      <c r="G953" s="159">
        <v>2</v>
      </c>
      <c r="H953" s="160">
        <f>VLOOKUP(Sales[[#This Row],[Product ID]],Product[#All],7,0)</f>
        <v>3010</v>
      </c>
      <c r="I953" s="160">
        <f>Sales[[#This Row],[Selling Rate]]*Sales[[#This Row],[Qty]]</f>
        <v>6020</v>
      </c>
      <c r="J953" s="43">
        <v>0.02</v>
      </c>
      <c r="K953" s="44">
        <f>Sales[[#This Row],[Gross Amount]]*Sales[[#This Row],[Disc %]]</f>
        <v>120.4</v>
      </c>
      <c r="L953" s="43">
        <v>0.18</v>
      </c>
      <c r="M953" s="44">
        <f>(Sales[[#This Row],[Gross Amount]]-Sales[[#This Row],[Disc. Amt.]])*Sales[[#This Row],[GST %]]</f>
        <v>1061.9280000000001</v>
      </c>
      <c r="N953" s="161">
        <f>Sales[[#This Row],[Gross Amount]]-Sales[[#This Row],[Disc. Amt.]]+Sales[[#This Row],[GST Amount]]</f>
        <v>6961.5280000000002</v>
      </c>
      <c r="O953" s="158" t="s">
        <v>8876</v>
      </c>
      <c r="P953" s="158" t="s">
        <v>3562</v>
      </c>
      <c r="Q953" s="160">
        <f>IF(Sales[[#This Row],[Status]]="Cancelled",0,Sales[[#This Row],[Qty]])</f>
        <v>2</v>
      </c>
      <c r="R953" s="161">
        <f>IF(Sales[[#This Row],[Status]]="Cancelled",0,Sales[[#This Row],[Total Amount]])</f>
        <v>6961.5280000000002</v>
      </c>
      <c r="S953" s="162">
        <f>SUM(Sales[Net Amount])</f>
        <v>406839287.73200053</v>
      </c>
    </row>
    <row r="954" spans="1:19" ht="18.75" x14ac:dyDescent="0.25">
      <c r="A954" s="163" t="s">
        <v>4541</v>
      </c>
      <c r="B954" s="164">
        <v>45827</v>
      </c>
      <c r="C954" s="34" t="s">
        <v>852</v>
      </c>
      <c r="D954" s="53" t="str">
        <f>VLOOKUP(Sales[[#This Row],[Customer ID]],Customer[#All],2,0)</f>
        <v>Neha Singh</v>
      </c>
      <c r="E954" s="34" t="s">
        <v>462</v>
      </c>
      <c r="F954" s="34" t="str">
        <f>VLOOKUP(Sales[[#This Row],[Product ID]],Product[#All],2,0)</f>
        <v>Dell Keyboard</v>
      </c>
      <c r="G954" s="53">
        <v>3</v>
      </c>
      <c r="H954" s="165">
        <f>VLOOKUP(Sales[[#This Row],[Product ID]],Product[#All],7,0)</f>
        <v>2730</v>
      </c>
      <c r="I954" s="165">
        <f>Sales[[#This Row],[Selling Rate]]*Sales[[#This Row],[Qty]]</f>
        <v>8190</v>
      </c>
      <c r="J954" s="45">
        <v>0.05</v>
      </c>
      <c r="K954" s="46">
        <f>Sales[[#This Row],[Gross Amount]]*Sales[[#This Row],[Disc %]]</f>
        <v>409.5</v>
      </c>
      <c r="L954" s="43">
        <v>0.18</v>
      </c>
      <c r="M954" s="46">
        <f>(Sales[[#This Row],[Gross Amount]]-Sales[[#This Row],[Disc. Amt.]])*Sales[[#This Row],[GST %]]</f>
        <v>1400.49</v>
      </c>
      <c r="N954" s="161">
        <f>Sales[[#This Row],[Gross Amount]]-Sales[[#This Row],[Disc. Amt.]]+Sales[[#This Row],[GST Amount]]</f>
        <v>9180.99</v>
      </c>
      <c r="O954" s="34" t="s">
        <v>3569</v>
      </c>
      <c r="P954" s="34" t="s">
        <v>3562</v>
      </c>
      <c r="Q954" s="165">
        <f>IF(Sales[[#This Row],[Status]]="Cancelled",0,Sales[[#This Row],[Qty]])</f>
        <v>3</v>
      </c>
      <c r="R954" s="166">
        <f>IF(Sales[[#This Row],[Status]]="Cancelled",0,Sales[[#This Row],[Total Amount]])</f>
        <v>9180.99</v>
      </c>
      <c r="S954" s="162">
        <f>SUM(Sales[Net Amount])</f>
        <v>406839287.73200053</v>
      </c>
    </row>
    <row r="955" spans="1:19" ht="18.75" x14ac:dyDescent="0.25">
      <c r="A955" s="156" t="s">
        <v>4542</v>
      </c>
      <c r="B955" s="157">
        <v>45827</v>
      </c>
      <c r="C955" s="158" t="s">
        <v>854</v>
      </c>
      <c r="D955" s="159" t="str">
        <f>VLOOKUP(Sales[[#This Row],[Customer ID]],Customer[#All],2,0)</f>
        <v>Neha Sharma</v>
      </c>
      <c r="E955" s="158" t="s">
        <v>18</v>
      </c>
      <c r="F955" s="158" t="str">
        <f>VLOOKUP(Sales[[#This Row],[Product ID]],Product[#All],2,0)</f>
        <v>TP-link Bluetooth Adapter</v>
      </c>
      <c r="G955" s="159">
        <v>2</v>
      </c>
      <c r="H955" s="160">
        <f>VLOOKUP(Sales[[#This Row],[Product ID]],Product[#All],7,0)</f>
        <v>870</v>
      </c>
      <c r="I955" s="160">
        <f>Sales[[#This Row],[Selling Rate]]*Sales[[#This Row],[Qty]]</f>
        <v>1740</v>
      </c>
      <c r="J955" s="43">
        <v>0.12</v>
      </c>
      <c r="K955" s="44">
        <f>Sales[[#This Row],[Gross Amount]]*Sales[[#This Row],[Disc %]]</f>
        <v>208.79999999999998</v>
      </c>
      <c r="L955" s="43">
        <v>0.18</v>
      </c>
      <c r="M955" s="44">
        <f>(Sales[[#This Row],[Gross Amount]]-Sales[[#This Row],[Disc. Amt.]])*Sales[[#This Row],[GST %]]</f>
        <v>275.61599999999999</v>
      </c>
      <c r="N955" s="161">
        <f>Sales[[#This Row],[Gross Amount]]-Sales[[#This Row],[Disc. Amt.]]+Sales[[#This Row],[GST Amount]]</f>
        <v>1806.816</v>
      </c>
      <c r="O955" s="158" t="s">
        <v>3561</v>
      </c>
      <c r="P955" s="158" t="s">
        <v>3562</v>
      </c>
      <c r="Q955" s="160">
        <f>IF(Sales[[#This Row],[Status]]="Cancelled",0,Sales[[#This Row],[Qty]])</f>
        <v>2</v>
      </c>
      <c r="R955" s="161">
        <f>IF(Sales[[#This Row],[Status]]="Cancelled",0,Sales[[#This Row],[Total Amount]])</f>
        <v>1806.816</v>
      </c>
      <c r="S955" s="162">
        <f>SUM(Sales[Net Amount])</f>
        <v>406839287.73200053</v>
      </c>
    </row>
    <row r="956" spans="1:19" ht="18.75" x14ac:dyDescent="0.25">
      <c r="A956" s="163" t="s">
        <v>4543</v>
      </c>
      <c r="B956" s="164">
        <v>45828</v>
      </c>
      <c r="C956" s="34" t="s">
        <v>910</v>
      </c>
      <c r="D956" s="53" t="str">
        <f>VLOOKUP(Sales[[#This Row],[Customer ID]],Customer[#All],2,0)</f>
        <v>Sahil Sharma</v>
      </c>
      <c r="E956" s="34" t="s">
        <v>485</v>
      </c>
      <c r="F956" s="34" t="str">
        <f>VLOOKUP(Sales[[#This Row],[Product ID]],Product[#All],2,0)</f>
        <v>Lenovo Laptop</v>
      </c>
      <c r="G956" s="53">
        <v>7</v>
      </c>
      <c r="H956" s="165">
        <f>VLOOKUP(Sales[[#This Row],[Product ID]],Product[#All],7,0)</f>
        <v>55360</v>
      </c>
      <c r="I956" s="165">
        <f>Sales[[#This Row],[Selling Rate]]*Sales[[#This Row],[Qty]]</f>
        <v>387520</v>
      </c>
      <c r="J956" s="45">
        <v>0.12</v>
      </c>
      <c r="K956" s="46">
        <f>Sales[[#This Row],[Gross Amount]]*Sales[[#This Row],[Disc %]]</f>
        <v>46502.400000000001</v>
      </c>
      <c r="L956" s="43">
        <v>0.18</v>
      </c>
      <c r="M956" s="46">
        <f>(Sales[[#This Row],[Gross Amount]]-Sales[[#This Row],[Disc. Amt.]])*Sales[[#This Row],[GST %]]</f>
        <v>61383.167999999991</v>
      </c>
      <c r="N956" s="161">
        <f>Sales[[#This Row],[Gross Amount]]-Sales[[#This Row],[Disc. Amt.]]+Sales[[#This Row],[GST Amount]]</f>
        <v>402400.76799999998</v>
      </c>
      <c r="O956" s="34" t="s">
        <v>3566</v>
      </c>
      <c r="P956" s="34" t="s">
        <v>3562</v>
      </c>
      <c r="Q956" s="165">
        <f>IF(Sales[[#This Row],[Status]]="Cancelled",0,Sales[[#This Row],[Qty]])</f>
        <v>7</v>
      </c>
      <c r="R956" s="166">
        <f>IF(Sales[[#This Row],[Status]]="Cancelled",0,Sales[[#This Row],[Total Amount]])</f>
        <v>402400.76799999998</v>
      </c>
      <c r="S956" s="162">
        <f>SUM(Sales[Net Amount])</f>
        <v>406839287.73200053</v>
      </c>
    </row>
    <row r="957" spans="1:19" ht="18.75" x14ac:dyDescent="0.25">
      <c r="A957" s="156" t="s">
        <v>4544</v>
      </c>
      <c r="B957" s="157">
        <v>45828</v>
      </c>
      <c r="C957" s="158" t="s">
        <v>866</v>
      </c>
      <c r="D957" s="159" t="str">
        <f>VLOOKUP(Sales[[#This Row],[Customer ID]],Customer[#All],2,0)</f>
        <v>Priya Patel</v>
      </c>
      <c r="E957" s="158" t="s">
        <v>176</v>
      </c>
      <c r="F957" s="158" t="str">
        <f>VLOOKUP(Sales[[#This Row],[Product ID]],Product[#All],2,0)</f>
        <v>Dell Monitor</v>
      </c>
      <c r="G957" s="159">
        <v>7</v>
      </c>
      <c r="H957" s="160">
        <f>VLOOKUP(Sales[[#This Row],[Product ID]],Product[#All],7,0)</f>
        <v>18900</v>
      </c>
      <c r="I957" s="160">
        <f>Sales[[#This Row],[Selling Rate]]*Sales[[#This Row],[Qty]]</f>
        <v>132300</v>
      </c>
      <c r="J957" s="43">
        <v>0.15</v>
      </c>
      <c r="K957" s="44">
        <f>Sales[[#This Row],[Gross Amount]]*Sales[[#This Row],[Disc %]]</f>
        <v>19845</v>
      </c>
      <c r="L957" s="43">
        <v>0.18</v>
      </c>
      <c r="M957" s="44">
        <f>(Sales[[#This Row],[Gross Amount]]-Sales[[#This Row],[Disc. Amt.]])*Sales[[#This Row],[GST %]]</f>
        <v>20241.899999999998</v>
      </c>
      <c r="N957" s="161">
        <f>Sales[[#This Row],[Gross Amount]]-Sales[[#This Row],[Disc. Amt.]]+Sales[[#This Row],[GST Amount]]</f>
        <v>132696.9</v>
      </c>
      <c r="O957" s="158" t="s">
        <v>3561</v>
      </c>
      <c r="P957" s="158" t="s">
        <v>3562</v>
      </c>
      <c r="Q957" s="160">
        <f>IF(Sales[[#This Row],[Status]]="Cancelled",0,Sales[[#This Row],[Qty]])</f>
        <v>7</v>
      </c>
      <c r="R957" s="161">
        <f>IF(Sales[[#This Row],[Status]]="Cancelled",0,Sales[[#This Row],[Total Amount]])</f>
        <v>132696.9</v>
      </c>
      <c r="S957" s="162">
        <f>SUM(Sales[Net Amount])</f>
        <v>406839287.73200053</v>
      </c>
    </row>
    <row r="958" spans="1:19" ht="18.75" x14ac:dyDescent="0.25">
      <c r="A958" s="163" t="s">
        <v>4545</v>
      </c>
      <c r="B958" s="164">
        <v>45828</v>
      </c>
      <c r="C958" s="34" t="s">
        <v>665</v>
      </c>
      <c r="D958" s="53" t="str">
        <f>VLOOKUP(Sales[[#This Row],[Customer ID]],Customer[#All],2,0)</f>
        <v>Vikas Sharma</v>
      </c>
      <c r="E958" s="34" t="s">
        <v>449</v>
      </c>
      <c r="F958" s="34" t="str">
        <f>VLOOKUP(Sales[[#This Row],[Product ID]],Product[#All],2,0)</f>
        <v>Dell Monitor</v>
      </c>
      <c r="G958" s="53">
        <v>5</v>
      </c>
      <c r="H958" s="165">
        <f>VLOOKUP(Sales[[#This Row],[Product ID]],Product[#All],7,0)</f>
        <v>19520</v>
      </c>
      <c r="I958" s="165">
        <f>Sales[[#This Row],[Selling Rate]]*Sales[[#This Row],[Qty]]</f>
        <v>97600</v>
      </c>
      <c r="J958" s="45">
        <v>0.15</v>
      </c>
      <c r="K958" s="46">
        <f>Sales[[#This Row],[Gross Amount]]*Sales[[#This Row],[Disc %]]</f>
        <v>14640</v>
      </c>
      <c r="L958" s="43">
        <v>0.18</v>
      </c>
      <c r="M958" s="46">
        <f>(Sales[[#This Row],[Gross Amount]]-Sales[[#This Row],[Disc. Amt.]])*Sales[[#This Row],[GST %]]</f>
        <v>14932.8</v>
      </c>
      <c r="N958" s="161">
        <f>Sales[[#This Row],[Gross Amount]]-Sales[[#This Row],[Disc. Amt.]]+Sales[[#This Row],[GST Amount]]</f>
        <v>97892.800000000003</v>
      </c>
      <c r="O958" s="34" t="s">
        <v>3569</v>
      </c>
      <c r="P958" s="34" t="s">
        <v>3562</v>
      </c>
      <c r="Q958" s="165">
        <f>IF(Sales[[#This Row],[Status]]="Cancelled",0,Sales[[#This Row],[Qty]])</f>
        <v>5</v>
      </c>
      <c r="R958" s="166">
        <f>IF(Sales[[#This Row],[Status]]="Cancelled",0,Sales[[#This Row],[Total Amount]])</f>
        <v>97892.800000000003</v>
      </c>
      <c r="S958" s="162">
        <f>SUM(Sales[Net Amount])</f>
        <v>406839287.73200053</v>
      </c>
    </row>
    <row r="959" spans="1:19" ht="18.75" x14ac:dyDescent="0.25">
      <c r="A959" s="156" t="s">
        <v>4546</v>
      </c>
      <c r="B959" s="157">
        <v>45828</v>
      </c>
      <c r="C959" s="158" t="s">
        <v>672</v>
      </c>
      <c r="D959" s="159" t="str">
        <f>VLOOKUP(Sales[[#This Row],[Customer ID]],Customer[#All],2,0)</f>
        <v>Rahul Patel</v>
      </c>
      <c r="E959" s="158" t="s">
        <v>539</v>
      </c>
      <c r="F959" s="158" t="str">
        <f>VLOOKUP(Sales[[#This Row],[Product ID]],Product[#All],2,0)</f>
        <v>Canon Printer</v>
      </c>
      <c r="G959" s="159">
        <v>6</v>
      </c>
      <c r="H959" s="160">
        <f>VLOOKUP(Sales[[#This Row],[Product ID]],Product[#All],7,0)</f>
        <v>25640</v>
      </c>
      <c r="I959" s="160">
        <f>Sales[[#This Row],[Selling Rate]]*Sales[[#This Row],[Qty]]</f>
        <v>153840</v>
      </c>
      <c r="J959" s="43">
        <v>0.05</v>
      </c>
      <c r="K959" s="44">
        <f>Sales[[#This Row],[Gross Amount]]*Sales[[#This Row],[Disc %]]</f>
        <v>7692</v>
      </c>
      <c r="L959" s="43">
        <v>0.18</v>
      </c>
      <c r="M959" s="44">
        <f>(Sales[[#This Row],[Gross Amount]]-Sales[[#This Row],[Disc. Amt.]])*Sales[[#This Row],[GST %]]</f>
        <v>26306.639999999999</v>
      </c>
      <c r="N959" s="161">
        <f>Sales[[#This Row],[Gross Amount]]-Sales[[#This Row],[Disc. Amt.]]+Sales[[#This Row],[GST Amount]]</f>
        <v>172454.64</v>
      </c>
      <c r="O959" s="158" t="s">
        <v>8876</v>
      </c>
      <c r="P959" s="158" t="s">
        <v>3562</v>
      </c>
      <c r="Q959" s="160">
        <f>IF(Sales[[#This Row],[Status]]="Cancelled",0,Sales[[#This Row],[Qty]])</f>
        <v>6</v>
      </c>
      <c r="R959" s="161">
        <f>IF(Sales[[#This Row],[Status]]="Cancelled",0,Sales[[#This Row],[Total Amount]])</f>
        <v>172454.64</v>
      </c>
      <c r="S959" s="162">
        <f>SUM(Sales[Net Amount])</f>
        <v>406839287.73200053</v>
      </c>
    </row>
    <row r="960" spans="1:19" ht="18.75" x14ac:dyDescent="0.25">
      <c r="A960" s="163" t="s">
        <v>4547</v>
      </c>
      <c r="B960" s="164">
        <v>45828</v>
      </c>
      <c r="C960" s="34" t="s">
        <v>929</v>
      </c>
      <c r="D960" s="53" t="str">
        <f>VLOOKUP(Sales[[#This Row],[Customer ID]],Customer[#All],2,0)</f>
        <v>Sunita Gupta</v>
      </c>
      <c r="E960" s="34" t="s">
        <v>211</v>
      </c>
      <c r="F960" s="34" t="str">
        <f>VLOOKUP(Sales[[#This Row],[Product ID]],Product[#All],2,0)</f>
        <v>Samsung Ssd</v>
      </c>
      <c r="G960" s="53">
        <v>8</v>
      </c>
      <c r="H960" s="165">
        <f>VLOOKUP(Sales[[#This Row],[Product ID]],Product[#All],7,0)</f>
        <v>16100</v>
      </c>
      <c r="I960" s="165">
        <f>Sales[[#This Row],[Selling Rate]]*Sales[[#This Row],[Qty]]</f>
        <v>128800</v>
      </c>
      <c r="J960" s="45">
        <v>0.02</v>
      </c>
      <c r="K960" s="46">
        <f>Sales[[#This Row],[Gross Amount]]*Sales[[#This Row],[Disc %]]</f>
        <v>2576</v>
      </c>
      <c r="L960" s="43">
        <v>0.18</v>
      </c>
      <c r="M960" s="46">
        <f>(Sales[[#This Row],[Gross Amount]]-Sales[[#This Row],[Disc. Amt.]])*Sales[[#This Row],[GST %]]</f>
        <v>22720.32</v>
      </c>
      <c r="N960" s="161">
        <f>Sales[[#This Row],[Gross Amount]]-Sales[[#This Row],[Disc. Amt.]]+Sales[[#This Row],[GST Amount]]</f>
        <v>148944.32000000001</v>
      </c>
      <c r="O960" s="34" t="s">
        <v>3569</v>
      </c>
      <c r="P960" s="34" t="s">
        <v>3562</v>
      </c>
      <c r="Q960" s="165">
        <f>IF(Sales[[#This Row],[Status]]="Cancelled",0,Sales[[#This Row],[Qty]])</f>
        <v>8</v>
      </c>
      <c r="R960" s="166">
        <f>IF(Sales[[#This Row],[Status]]="Cancelled",0,Sales[[#This Row],[Total Amount]])</f>
        <v>148944.32000000001</v>
      </c>
      <c r="S960" s="162">
        <f>SUM(Sales[Net Amount])</f>
        <v>406839287.73200053</v>
      </c>
    </row>
    <row r="961" spans="1:19" ht="18.75" x14ac:dyDescent="0.25">
      <c r="A961" s="156" t="s">
        <v>4548</v>
      </c>
      <c r="B961" s="157">
        <v>45828</v>
      </c>
      <c r="C961" s="158" t="s">
        <v>866</v>
      </c>
      <c r="D961" s="159" t="str">
        <f>VLOOKUP(Sales[[#This Row],[Customer ID]],Customer[#All],2,0)</f>
        <v>Priya Patel</v>
      </c>
      <c r="E961" s="158" t="s">
        <v>224</v>
      </c>
      <c r="F961" s="158" t="str">
        <f>VLOOKUP(Sales[[#This Row],[Product ID]],Product[#All],2,0)</f>
        <v>Seagate HDD</v>
      </c>
      <c r="G961" s="159">
        <v>7</v>
      </c>
      <c r="H961" s="160">
        <f>VLOOKUP(Sales[[#This Row],[Product ID]],Product[#All],7,0)</f>
        <v>8130</v>
      </c>
      <c r="I961" s="160">
        <f>Sales[[#This Row],[Selling Rate]]*Sales[[#This Row],[Qty]]</f>
        <v>56910</v>
      </c>
      <c r="J961" s="43">
        <v>0.05</v>
      </c>
      <c r="K961" s="44">
        <f>Sales[[#This Row],[Gross Amount]]*Sales[[#This Row],[Disc %]]</f>
        <v>2845.5</v>
      </c>
      <c r="L961" s="43">
        <v>0.18</v>
      </c>
      <c r="M961" s="44">
        <f>(Sales[[#This Row],[Gross Amount]]-Sales[[#This Row],[Disc. Amt.]])*Sales[[#This Row],[GST %]]</f>
        <v>9731.6099999999988</v>
      </c>
      <c r="N961" s="161">
        <f>Sales[[#This Row],[Gross Amount]]-Sales[[#This Row],[Disc. Amt.]]+Sales[[#This Row],[GST Amount]]</f>
        <v>63796.11</v>
      </c>
      <c r="O961" s="158" t="s">
        <v>3569</v>
      </c>
      <c r="P961" s="158" t="s">
        <v>3562</v>
      </c>
      <c r="Q961" s="160">
        <f>IF(Sales[[#This Row],[Status]]="Cancelled",0,Sales[[#This Row],[Qty]])</f>
        <v>7</v>
      </c>
      <c r="R961" s="161">
        <f>IF(Sales[[#This Row],[Status]]="Cancelled",0,Sales[[#This Row],[Total Amount]])</f>
        <v>63796.11</v>
      </c>
      <c r="S961" s="162">
        <f>SUM(Sales[Net Amount])</f>
        <v>406839287.73200053</v>
      </c>
    </row>
    <row r="962" spans="1:19" ht="18.75" x14ac:dyDescent="0.25">
      <c r="A962" s="163" t="s">
        <v>4549</v>
      </c>
      <c r="B962" s="164">
        <v>45828</v>
      </c>
      <c r="C962" s="34" t="s">
        <v>828</v>
      </c>
      <c r="D962" s="53" t="str">
        <f>VLOOKUP(Sales[[#This Row],[Customer ID]],Customer[#All],2,0)</f>
        <v>Ankit Verma</v>
      </c>
      <c r="E962" s="34" t="s">
        <v>540</v>
      </c>
      <c r="F962" s="34" t="str">
        <f>VLOOKUP(Sales[[#This Row],[Product ID]],Product[#All],2,0)</f>
        <v>Dell Desktop</v>
      </c>
      <c r="G962" s="53">
        <v>3</v>
      </c>
      <c r="H962" s="165">
        <f>VLOOKUP(Sales[[#This Row],[Product ID]],Product[#All],7,0)</f>
        <v>34160</v>
      </c>
      <c r="I962" s="165">
        <f>Sales[[#This Row],[Selling Rate]]*Sales[[#This Row],[Qty]]</f>
        <v>102480</v>
      </c>
      <c r="J962" s="45">
        <v>0.1</v>
      </c>
      <c r="K962" s="46">
        <f>Sales[[#This Row],[Gross Amount]]*Sales[[#This Row],[Disc %]]</f>
        <v>10248</v>
      </c>
      <c r="L962" s="43">
        <v>0.18</v>
      </c>
      <c r="M962" s="46">
        <f>(Sales[[#This Row],[Gross Amount]]-Sales[[#This Row],[Disc. Amt.]])*Sales[[#This Row],[GST %]]</f>
        <v>16601.759999999998</v>
      </c>
      <c r="N962" s="161">
        <f>Sales[[#This Row],[Gross Amount]]-Sales[[#This Row],[Disc. Amt.]]+Sales[[#This Row],[GST Amount]]</f>
        <v>108833.76</v>
      </c>
      <c r="O962" s="34" t="s">
        <v>8876</v>
      </c>
      <c r="P962" s="34" t="s">
        <v>3562</v>
      </c>
      <c r="Q962" s="165">
        <f>IF(Sales[[#This Row],[Status]]="Cancelled",0,Sales[[#This Row],[Qty]])</f>
        <v>3</v>
      </c>
      <c r="R962" s="166">
        <f>IF(Sales[[#This Row],[Status]]="Cancelled",0,Sales[[#This Row],[Total Amount]])</f>
        <v>108833.76</v>
      </c>
      <c r="S962" s="162">
        <f>SUM(Sales[Net Amount])</f>
        <v>406839287.73200053</v>
      </c>
    </row>
    <row r="963" spans="1:19" ht="18.75" x14ac:dyDescent="0.25">
      <c r="A963" s="156" t="s">
        <v>4550</v>
      </c>
      <c r="B963" s="157">
        <v>45828</v>
      </c>
      <c r="C963" s="158" t="s">
        <v>942</v>
      </c>
      <c r="D963" s="159" t="str">
        <f>VLOOKUP(Sales[[#This Row],[Customer ID]],Customer[#All],2,0)</f>
        <v>Sunita Kumar</v>
      </c>
      <c r="E963" s="158" t="s">
        <v>23</v>
      </c>
      <c r="F963" s="158" t="str">
        <f>VLOOKUP(Sales[[#This Row],[Product ID]],Product[#All],2,0)</f>
        <v>Kingston Ram</v>
      </c>
      <c r="G963" s="159">
        <v>2</v>
      </c>
      <c r="H963" s="160">
        <f>VLOOKUP(Sales[[#This Row],[Product ID]],Product[#All],7,0)</f>
        <v>6040</v>
      </c>
      <c r="I963" s="160">
        <f>Sales[[#This Row],[Selling Rate]]*Sales[[#This Row],[Qty]]</f>
        <v>12080</v>
      </c>
      <c r="J963" s="43">
        <v>0.12</v>
      </c>
      <c r="K963" s="44">
        <f>Sales[[#This Row],[Gross Amount]]*Sales[[#This Row],[Disc %]]</f>
        <v>1449.6</v>
      </c>
      <c r="L963" s="43">
        <v>0.18</v>
      </c>
      <c r="M963" s="44">
        <f>(Sales[[#This Row],[Gross Amount]]-Sales[[#This Row],[Disc. Amt.]])*Sales[[#This Row],[GST %]]</f>
        <v>1913.4719999999998</v>
      </c>
      <c r="N963" s="161">
        <f>Sales[[#This Row],[Gross Amount]]-Sales[[#This Row],[Disc. Amt.]]+Sales[[#This Row],[GST Amount]]</f>
        <v>12543.871999999999</v>
      </c>
      <c r="O963" s="158" t="s">
        <v>3561</v>
      </c>
      <c r="P963" s="158" t="s">
        <v>3562</v>
      </c>
      <c r="Q963" s="160">
        <f>IF(Sales[[#This Row],[Status]]="Cancelled",0,Sales[[#This Row],[Qty]])</f>
        <v>2</v>
      </c>
      <c r="R963" s="161">
        <f>IF(Sales[[#This Row],[Status]]="Cancelled",0,Sales[[#This Row],[Total Amount]])</f>
        <v>12543.871999999999</v>
      </c>
      <c r="S963" s="162">
        <f>SUM(Sales[Net Amount])</f>
        <v>406839287.73200053</v>
      </c>
    </row>
    <row r="964" spans="1:19" ht="18.75" x14ac:dyDescent="0.25">
      <c r="A964" s="163" t="s">
        <v>4551</v>
      </c>
      <c r="B964" s="164">
        <v>45828</v>
      </c>
      <c r="C964" s="34" t="s">
        <v>947</v>
      </c>
      <c r="D964" s="53" t="str">
        <f>VLOOKUP(Sales[[#This Row],[Customer ID]],Customer[#All],2,0)</f>
        <v>Sunita Singh</v>
      </c>
      <c r="E964" s="34" t="s">
        <v>86</v>
      </c>
      <c r="F964" s="34" t="str">
        <f>VLOOKUP(Sales[[#This Row],[Product ID]],Product[#All],2,0)</f>
        <v>Lg Monitor</v>
      </c>
      <c r="G964" s="53">
        <v>5</v>
      </c>
      <c r="H964" s="165">
        <f>VLOOKUP(Sales[[#This Row],[Product ID]],Product[#All],7,0)</f>
        <v>14730</v>
      </c>
      <c r="I964" s="165">
        <f>Sales[[#This Row],[Selling Rate]]*Sales[[#This Row],[Qty]]</f>
        <v>73650</v>
      </c>
      <c r="J964" s="45">
        <v>0.12</v>
      </c>
      <c r="K964" s="46">
        <f>Sales[[#This Row],[Gross Amount]]*Sales[[#This Row],[Disc %]]</f>
        <v>8838</v>
      </c>
      <c r="L964" s="43">
        <v>0.18</v>
      </c>
      <c r="M964" s="46">
        <f>(Sales[[#This Row],[Gross Amount]]-Sales[[#This Row],[Disc. Amt.]])*Sales[[#This Row],[GST %]]</f>
        <v>11666.16</v>
      </c>
      <c r="N964" s="161">
        <f>Sales[[#This Row],[Gross Amount]]-Sales[[#This Row],[Disc. Amt.]]+Sales[[#This Row],[GST Amount]]</f>
        <v>76478.16</v>
      </c>
      <c r="O964" s="34" t="s">
        <v>3566</v>
      </c>
      <c r="P964" s="34" t="s">
        <v>3562</v>
      </c>
      <c r="Q964" s="165">
        <f>IF(Sales[[#This Row],[Status]]="Cancelled",0,Sales[[#This Row],[Qty]])</f>
        <v>5</v>
      </c>
      <c r="R964" s="166">
        <f>IF(Sales[[#This Row],[Status]]="Cancelled",0,Sales[[#This Row],[Total Amount]])</f>
        <v>76478.16</v>
      </c>
      <c r="S964" s="162">
        <f>SUM(Sales[Net Amount])</f>
        <v>406839287.73200053</v>
      </c>
    </row>
    <row r="965" spans="1:19" ht="18.75" x14ac:dyDescent="0.25">
      <c r="A965" s="156" t="s">
        <v>4552</v>
      </c>
      <c r="B965" s="157">
        <v>45828</v>
      </c>
      <c r="C965" s="158" t="s">
        <v>726</v>
      </c>
      <c r="D965" s="159" t="str">
        <f>VLOOKUP(Sales[[#This Row],[Customer ID]],Customer[#All],2,0)</f>
        <v>Priya Singh</v>
      </c>
      <c r="E965" s="158" t="s">
        <v>262</v>
      </c>
      <c r="F965" s="158" t="str">
        <f>VLOOKUP(Sales[[#This Row],[Product ID]],Product[#All],2,0)</f>
        <v>HP Power Adapter</v>
      </c>
      <c r="G965" s="159">
        <v>8</v>
      </c>
      <c r="H965" s="160">
        <f>VLOOKUP(Sales[[#This Row],[Product ID]],Product[#All],7,0)</f>
        <v>3560</v>
      </c>
      <c r="I965" s="160">
        <f>Sales[[#This Row],[Selling Rate]]*Sales[[#This Row],[Qty]]</f>
        <v>28480</v>
      </c>
      <c r="J965" s="43">
        <v>0.02</v>
      </c>
      <c r="K965" s="44">
        <f>Sales[[#This Row],[Gross Amount]]*Sales[[#This Row],[Disc %]]</f>
        <v>569.6</v>
      </c>
      <c r="L965" s="43">
        <v>0.18</v>
      </c>
      <c r="M965" s="44">
        <f>(Sales[[#This Row],[Gross Amount]]-Sales[[#This Row],[Disc. Amt.]])*Sales[[#This Row],[GST %]]</f>
        <v>5023.8720000000003</v>
      </c>
      <c r="N965" s="161">
        <f>Sales[[#This Row],[Gross Amount]]-Sales[[#This Row],[Disc. Amt.]]+Sales[[#This Row],[GST Amount]]</f>
        <v>32934.272000000004</v>
      </c>
      <c r="O965" s="158" t="s">
        <v>3566</v>
      </c>
      <c r="P965" s="158" t="s">
        <v>3562</v>
      </c>
      <c r="Q965" s="160">
        <f>IF(Sales[[#This Row],[Status]]="Cancelled",0,Sales[[#This Row],[Qty]])</f>
        <v>8</v>
      </c>
      <c r="R965" s="161">
        <f>IF(Sales[[#This Row],[Status]]="Cancelled",0,Sales[[#This Row],[Total Amount]])</f>
        <v>32934.272000000004</v>
      </c>
      <c r="S965" s="162">
        <f>SUM(Sales[Net Amount])</f>
        <v>406839287.73200053</v>
      </c>
    </row>
    <row r="966" spans="1:19" ht="18.75" x14ac:dyDescent="0.25">
      <c r="A966" s="163" t="s">
        <v>4553</v>
      </c>
      <c r="B966" s="164">
        <v>45828</v>
      </c>
      <c r="C966" s="34" t="s">
        <v>947</v>
      </c>
      <c r="D966" s="53" t="str">
        <f>VLOOKUP(Sales[[#This Row],[Customer ID]],Customer[#All],2,0)</f>
        <v>Sunita Singh</v>
      </c>
      <c r="E966" s="34" t="s">
        <v>414</v>
      </c>
      <c r="F966" s="34" t="str">
        <f>VLOOKUP(Sales[[#This Row],[Product ID]],Product[#All],2,0)</f>
        <v>Logitech Keyboard</v>
      </c>
      <c r="G966" s="53">
        <v>1</v>
      </c>
      <c r="H966" s="165">
        <f>VLOOKUP(Sales[[#This Row],[Product ID]],Product[#All],7,0)</f>
        <v>2030</v>
      </c>
      <c r="I966" s="165">
        <f>Sales[[#This Row],[Selling Rate]]*Sales[[#This Row],[Qty]]</f>
        <v>2030</v>
      </c>
      <c r="J966" s="45">
        <v>0</v>
      </c>
      <c r="K966" s="46">
        <f>Sales[[#This Row],[Gross Amount]]*Sales[[#This Row],[Disc %]]</f>
        <v>0</v>
      </c>
      <c r="L966" s="43">
        <v>0.18</v>
      </c>
      <c r="M966" s="46">
        <f>(Sales[[#This Row],[Gross Amount]]-Sales[[#This Row],[Disc. Amt.]])*Sales[[#This Row],[GST %]]</f>
        <v>365.4</v>
      </c>
      <c r="N966" s="161">
        <f>Sales[[#This Row],[Gross Amount]]-Sales[[#This Row],[Disc. Amt.]]+Sales[[#This Row],[GST Amount]]</f>
        <v>2395.4</v>
      </c>
      <c r="O966" s="34" t="s">
        <v>8876</v>
      </c>
      <c r="P966" s="34" t="s">
        <v>3562</v>
      </c>
      <c r="Q966" s="165">
        <f>IF(Sales[[#This Row],[Status]]="Cancelled",0,Sales[[#This Row],[Qty]])</f>
        <v>1</v>
      </c>
      <c r="R966" s="166">
        <f>IF(Sales[[#This Row],[Status]]="Cancelled",0,Sales[[#This Row],[Total Amount]])</f>
        <v>2395.4</v>
      </c>
      <c r="S966" s="162">
        <f>SUM(Sales[Net Amount])</f>
        <v>406839287.73200053</v>
      </c>
    </row>
    <row r="967" spans="1:19" ht="18.75" x14ac:dyDescent="0.25">
      <c r="A967" s="156" t="s">
        <v>4554</v>
      </c>
      <c r="B967" s="157">
        <v>45828</v>
      </c>
      <c r="C967" s="158" t="s">
        <v>888</v>
      </c>
      <c r="D967" s="159" t="str">
        <f>VLOOKUP(Sales[[#This Row],[Customer ID]],Customer[#All],2,0)</f>
        <v>Rahul Patel</v>
      </c>
      <c r="E967" s="158" t="s">
        <v>127</v>
      </c>
      <c r="F967" s="158" t="str">
        <f>VLOOKUP(Sales[[#This Row],[Product ID]],Product[#All],2,0)</f>
        <v>Samsung Ssd</v>
      </c>
      <c r="G967" s="159">
        <v>5</v>
      </c>
      <c r="H967" s="160">
        <f>VLOOKUP(Sales[[#This Row],[Product ID]],Product[#All],7,0)</f>
        <v>4570</v>
      </c>
      <c r="I967" s="160">
        <f>Sales[[#This Row],[Selling Rate]]*Sales[[#This Row],[Qty]]</f>
        <v>22850</v>
      </c>
      <c r="J967" s="43">
        <v>0.02</v>
      </c>
      <c r="K967" s="44">
        <f>Sales[[#This Row],[Gross Amount]]*Sales[[#This Row],[Disc %]]</f>
        <v>457</v>
      </c>
      <c r="L967" s="43">
        <v>0.18</v>
      </c>
      <c r="M967" s="44">
        <f>(Sales[[#This Row],[Gross Amount]]-Sales[[#This Row],[Disc. Amt.]])*Sales[[#This Row],[GST %]]</f>
        <v>4030.74</v>
      </c>
      <c r="N967" s="161">
        <f>Sales[[#This Row],[Gross Amount]]-Sales[[#This Row],[Disc. Amt.]]+Sales[[#This Row],[GST Amount]]</f>
        <v>26423.739999999998</v>
      </c>
      <c r="O967" s="158" t="s">
        <v>3561</v>
      </c>
      <c r="P967" s="158" t="s">
        <v>3562</v>
      </c>
      <c r="Q967" s="160">
        <f>IF(Sales[[#This Row],[Status]]="Cancelled",0,Sales[[#This Row],[Qty]])</f>
        <v>5</v>
      </c>
      <c r="R967" s="161">
        <f>IF(Sales[[#This Row],[Status]]="Cancelled",0,Sales[[#This Row],[Total Amount]])</f>
        <v>26423.739999999998</v>
      </c>
      <c r="S967" s="162">
        <f>SUM(Sales[Net Amount])</f>
        <v>406839287.73200053</v>
      </c>
    </row>
    <row r="968" spans="1:19" ht="18.75" x14ac:dyDescent="0.25">
      <c r="A968" s="163" t="s">
        <v>4555</v>
      </c>
      <c r="B968" s="164">
        <v>45829</v>
      </c>
      <c r="C968" s="34" t="s">
        <v>795</v>
      </c>
      <c r="D968" s="53" t="str">
        <f>VLOOKUP(Sales[[#This Row],[Customer ID]],Customer[#All],2,0)</f>
        <v>Sahil Gupta</v>
      </c>
      <c r="E968" s="34" t="s">
        <v>439</v>
      </c>
      <c r="F968" s="34" t="str">
        <f>VLOOKUP(Sales[[#This Row],[Product ID]],Product[#All],2,0)</f>
        <v>HP Laptop</v>
      </c>
      <c r="G968" s="53">
        <v>8</v>
      </c>
      <c r="H968" s="165">
        <f>VLOOKUP(Sales[[#This Row],[Product ID]],Product[#All],7,0)</f>
        <v>83330</v>
      </c>
      <c r="I968" s="165">
        <f>Sales[[#This Row],[Selling Rate]]*Sales[[#This Row],[Qty]]</f>
        <v>666640</v>
      </c>
      <c r="J968" s="45">
        <v>0</v>
      </c>
      <c r="K968" s="46">
        <f>Sales[[#This Row],[Gross Amount]]*Sales[[#This Row],[Disc %]]</f>
        <v>0</v>
      </c>
      <c r="L968" s="43">
        <v>0.18</v>
      </c>
      <c r="M968" s="46">
        <f>(Sales[[#This Row],[Gross Amount]]-Sales[[#This Row],[Disc. Amt.]])*Sales[[#This Row],[GST %]]</f>
        <v>119995.2</v>
      </c>
      <c r="N968" s="161">
        <f>Sales[[#This Row],[Gross Amount]]-Sales[[#This Row],[Disc. Amt.]]+Sales[[#This Row],[GST Amount]]</f>
        <v>786635.2</v>
      </c>
      <c r="O968" s="34" t="s">
        <v>8876</v>
      </c>
      <c r="P968" s="34" t="s">
        <v>3562</v>
      </c>
      <c r="Q968" s="165">
        <f>IF(Sales[[#This Row],[Status]]="Cancelled",0,Sales[[#This Row],[Qty]])</f>
        <v>8</v>
      </c>
      <c r="R968" s="166">
        <f>IF(Sales[[#This Row],[Status]]="Cancelled",0,Sales[[#This Row],[Total Amount]])</f>
        <v>786635.2</v>
      </c>
      <c r="S968" s="162">
        <f>SUM(Sales[Net Amount])</f>
        <v>406839287.73200053</v>
      </c>
    </row>
    <row r="969" spans="1:19" ht="18.75" x14ac:dyDescent="0.25">
      <c r="A969" s="156" t="s">
        <v>4556</v>
      </c>
      <c r="B969" s="157">
        <v>45829</v>
      </c>
      <c r="C969" s="158" t="s">
        <v>725</v>
      </c>
      <c r="D969" s="159" t="str">
        <f>VLOOKUP(Sales[[#This Row],[Customer ID]],Customer[#All],2,0)</f>
        <v>Ankit Kumar</v>
      </c>
      <c r="E969" s="158" t="s">
        <v>137</v>
      </c>
      <c r="F969" s="158" t="str">
        <f>VLOOKUP(Sales[[#This Row],[Product ID]],Product[#All],2,0)</f>
        <v>Seagate HDD</v>
      </c>
      <c r="G969" s="159">
        <v>4</v>
      </c>
      <c r="H969" s="160">
        <f>VLOOKUP(Sales[[#This Row],[Product ID]],Product[#All],7,0)</f>
        <v>7940</v>
      </c>
      <c r="I969" s="160">
        <f>Sales[[#This Row],[Selling Rate]]*Sales[[#This Row],[Qty]]</f>
        <v>31760</v>
      </c>
      <c r="J969" s="43">
        <v>0.05</v>
      </c>
      <c r="K969" s="44">
        <f>Sales[[#This Row],[Gross Amount]]*Sales[[#This Row],[Disc %]]</f>
        <v>1588</v>
      </c>
      <c r="L969" s="43">
        <v>0.18</v>
      </c>
      <c r="M969" s="44">
        <f>(Sales[[#This Row],[Gross Amount]]-Sales[[#This Row],[Disc. Amt.]])*Sales[[#This Row],[GST %]]</f>
        <v>5430.96</v>
      </c>
      <c r="N969" s="161">
        <f>Sales[[#This Row],[Gross Amount]]-Sales[[#This Row],[Disc. Amt.]]+Sales[[#This Row],[GST Amount]]</f>
        <v>35602.959999999999</v>
      </c>
      <c r="O969" s="158" t="s">
        <v>3561</v>
      </c>
      <c r="P969" s="158" t="s">
        <v>3562</v>
      </c>
      <c r="Q969" s="160">
        <f>IF(Sales[[#This Row],[Status]]="Cancelled",0,Sales[[#This Row],[Qty]])</f>
        <v>4</v>
      </c>
      <c r="R969" s="161">
        <f>IF(Sales[[#This Row],[Status]]="Cancelled",0,Sales[[#This Row],[Total Amount]])</f>
        <v>35602.959999999999</v>
      </c>
      <c r="S969" s="162">
        <f>SUM(Sales[Net Amount])</f>
        <v>406839287.73200053</v>
      </c>
    </row>
    <row r="970" spans="1:19" ht="18.75" x14ac:dyDescent="0.25">
      <c r="A970" s="163" t="s">
        <v>4557</v>
      </c>
      <c r="B970" s="164">
        <v>45829</v>
      </c>
      <c r="C970" s="34" t="s">
        <v>661</v>
      </c>
      <c r="D970" s="53" t="str">
        <f>VLOOKUP(Sales[[#This Row],[Customer ID]],Customer[#All],2,0)</f>
        <v>Pooja Gupta</v>
      </c>
      <c r="E970" s="34" t="s">
        <v>366</v>
      </c>
      <c r="F970" s="34" t="str">
        <f>VLOOKUP(Sales[[#This Row],[Product ID]],Product[#All],2,0)</f>
        <v>Samsung Ssd</v>
      </c>
      <c r="G970" s="53">
        <v>7</v>
      </c>
      <c r="H970" s="165">
        <f>VLOOKUP(Sales[[#This Row],[Product ID]],Product[#All],7,0)</f>
        <v>5140</v>
      </c>
      <c r="I970" s="165">
        <f>Sales[[#This Row],[Selling Rate]]*Sales[[#This Row],[Qty]]</f>
        <v>35980</v>
      </c>
      <c r="J970" s="45">
        <v>0.05</v>
      </c>
      <c r="K970" s="46">
        <f>Sales[[#This Row],[Gross Amount]]*Sales[[#This Row],[Disc %]]</f>
        <v>1799</v>
      </c>
      <c r="L970" s="43">
        <v>0.18</v>
      </c>
      <c r="M970" s="46">
        <f>(Sales[[#This Row],[Gross Amount]]-Sales[[#This Row],[Disc. Amt.]])*Sales[[#This Row],[GST %]]</f>
        <v>6152.58</v>
      </c>
      <c r="N970" s="161">
        <f>Sales[[#This Row],[Gross Amount]]-Sales[[#This Row],[Disc. Amt.]]+Sales[[#This Row],[GST Amount]]</f>
        <v>40333.58</v>
      </c>
      <c r="O970" s="34" t="s">
        <v>3561</v>
      </c>
      <c r="P970" s="34" t="s">
        <v>3562</v>
      </c>
      <c r="Q970" s="165">
        <f>IF(Sales[[#This Row],[Status]]="Cancelled",0,Sales[[#This Row],[Qty]])</f>
        <v>7</v>
      </c>
      <c r="R970" s="166">
        <f>IF(Sales[[#This Row],[Status]]="Cancelled",0,Sales[[#This Row],[Total Amount]])</f>
        <v>40333.58</v>
      </c>
      <c r="S970" s="162">
        <f>SUM(Sales[Net Amount])</f>
        <v>406839287.73200053</v>
      </c>
    </row>
    <row r="971" spans="1:19" ht="18.75" x14ac:dyDescent="0.25">
      <c r="A971" s="156" t="s">
        <v>4558</v>
      </c>
      <c r="B971" s="157">
        <v>45829</v>
      </c>
      <c r="C971" s="158" t="s">
        <v>788</v>
      </c>
      <c r="D971" s="159" t="str">
        <f>VLOOKUP(Sales[[#This Row],[Customer ID]],Customer[#All],2,0)</f>
        <v>Vikas Kumar</v>
      </c>
      <c r="E971" s="158" t="s">
        <v>383</v>
      </c>
      <c r="F971" s="158" t="str">
        <f>VLOOKUP(Sales[[#This Row],[Product ID]],Product[#All],2,0)</f>
        <v>Logitech Mouse</v>
      </c>
      <c r="G971" s="159">
        <v>3</v>
      </c>
      <c r="H971" s="160">
        <f>VLOOKUP(Sales[[#This Row],[Product ID]],Product[#All],7,0)</f>
        <v>3080</v>
      </c>
      <c r="I971" s="160">
        <f>Sales[[#This Row],[Selling Rate]]*Sales[[#This Row],[Qty]]</f>
        <v>9240</v>
      </c>
      <c r="J971" s="43">
        <v>0.05</v>
      </c>
      <c r="K971" s="44">
        <f>Sales[[#This Row],[Gross Amount]]*Sales[[#This Row],[Disc %]]</f>
        <v>462</v>
      </c>
      <c r="L971" s="43">
        <v>0.18</v>
      </c>
      <c r="M971" s="44">
        <f>(Sales[[#This Row],[Gross Amount]]-Sales[[#This Row],[Disc. Amt.]])*Sales[[#This Row],[GST %]]</f>
        <v>1580.04</v>
      </c>
      <c r="N971" s="161">
        <f>Sales[[#This Row],[Gross Amount]]-Sales[[#This Row],[Disc. Amt.]]+Sales[[#This Row],[GST Amount]]</f>
        <v>10358.040000000001</v>
      </c>
      <c r="O971" s="158" t="s">
        <v>8876</v>
      </c>
      <c r="P971" s="158" t="s">
        <v>3562</v>
      </c>
      <c r="Q971" s="160">
        <f>IF(Sales[[#This Row],[Status]]="Cancelled",0,Sales[[#This Row],[Qty]])</f>
        <v>3</v>
      </c>
      <c r="R971" s="161">
        <f>IF(Sales[[#This Row],[Status]]="Cancelled",0,Sales[[#This Row],[Total Amount]])</f>
        <v>10358.040000000001</v>
      </c>
      <c r="S971" s="162">
        <f>SUM(Sales[Net Amount])</f>
        <v>406839287.73200053</v>
      </c>
    </row>
    <row r="972" spans="1:19" ht="18.75" x14ac:dyDescent="0.25">
      <c r="A972" s="163" t="s">
        <v>4559</v>
      </c>
      <c r="B972" s="164">
        <v>45829</v>
      </c>
      <c r="C972" s="34" t="s">
        <v>4560</v>
      </c>
      <c r="D972" s="53" t="str">
        <f>VLOOKUP(Sales[[#This Row],[Customer ID]],Customer[#All],2,0)</f>
        <v>Neha Sharma</v>
      </c>
      <c r="E972" s="34" t="s">
        <v>212</v>
      </c>
      <c r="F972" s="34" t="str">
        <f>VLOOKUP(Sales[[#This Row],[Product ID]],Product[#All],2,0)</f>
        <v>Jbl Headset</v>
      </c>
      <c r="G972" s="53">
        <v>8</v>
      </c>
      <c r="H972" s="165">
        <f>VLOOKUP(Sales[[#This Row],[Product ID]],Product[#All],7,0)</f>
        <v>1230</v>
      </c>
      <c r="I972" s="165">
        <f>Sales[[#This Row],[Selling Rate]]*Sales[[#This Row],[Qty]]</f>
        <v>9840</v>
      </c>
      <c r="J972" s="45">
        <v>0.1</v>
      </c>
      <c r="K972" s="46">
        <f>Sales[[#This Row],[Gross Amount]]*Sales[[#This Row],[Disc %]]</f>
        <v>984</v>
      </c>
      <c r="L972" s="43">
        <v>0.18</v>
      </c>
      <c r="M972" s="46">
        <f>(Sales[[#This Row],[Gross Amount]]-Sales[[#This Row],[Disc. Amt.]])*Sales[[#This Row],[GST %]]</f>
        <v>1594.08</v>
      </c>
      <c r="N972" s="161">
        <f>Sales[[#This Row],[Gross Amount]]-Sales[[#This Row],[Disc. Amt.]]+Sales[[#This Row],[GST Amount]]</f>
        <v>10450.08</v>
      </c>
      <c r="O972" s="34" t="s">
        <v>3566</v>
      </c>
      <c r="P972" s="34" t="s">
        <v>3562</v>
      </c>
      <c r="Q972" s="165">
        <f>IF(Sales[[#This Row],[Status]]="Cancelled",0,Sales[[#This Row],[Qty]])</f>
        <v>8</v>
      </c>
      <c r="R972" s="166">
        <f>IF(Sales[[#This Row],[Status]]="Cancelled",0,Sales[[#This Row],[Total Amount]])</f>
        <v>10450.08</v>
      </c>
      <c r="S972" s="162">
        <f>SUM(Sales[Net Amount])</f>
        <v>406839287.73200053</v>
      </c>
    </row>
    <row r="973" spans="1:19" ht="18.75" x14ac:dyDescent="0.25">
      <c r="A973" s="156" t="s">
        <v>4561</v>
      </c>
      <c r="B973" s="157">
        <v>45829</v>
      </c>
      <c r="C973" s="158" t="s">
        <v>932</v>
      </c>
      <c r="D973" s="159" t="str">
        <f>VLOOKUP(Sales[[#This Row],[Customer ID]],Customer[#All],2,0)</f>
        <v>Vikas Gupta</v>
      </c>
      <c r="E973" s="158" t="s">
        <v>82</v>
      </c>
      <c r="F973" s="158" t="str">
        <f>VLOOKUP(Sales[[#This Row],[Product ID]],Product[#All],2,0)</f>
        <v>American TouristerLaptopBag</v>
      </c>
      <c r="G973" s="159">
        <v>5</v>
      </c>
      <c r="H973" s="160">
        <f>VLOOKUP(Sales[[#This Row],[Product ID]],Product[#All],7,0)</f>
        <v>5480</v>
      </c>
      <c r="I973" s="160">
        <f>Sales[[#This Row],[Selling Rate]]*Sales[[#This Row],[Qty]]</f>
        <v>27400</v>
      </c>
      <c r="J973" s="43">
        <v>0.15</v>
      </c>
      <c r="K973" s="44">
        <f>Sales[[#This Row],[Gross Amount]]*Sales[[#This Row],[Disc %]]</f>
        <v>4110</v>
      </c>
      <c r="L973" s="43">
        <v>0.18</v>
      </c>
      <c r="M973" s="44">
        <f>(Sales[[#This Row],[Gross Amount]]-Sales[[#This Row],[Disc. Amt.]])*Sales[[#This Row],[GST %]]</f>
        <v>4192.2</v>
      </c>
      <c r="N973" s="161">
        <f>Sales[[#This Row],[Gross Amount]]-Sales[[#This Row],[Disc. Amt.]]+Sales[[#This Row],[GST Amount]]</f>
        <v>27482.2</v>
      </c>
      <c r="O973" s="158" t="s">
        <v>3561</v>
      </c>
      <c r="P973" s="158" t="s">
        <v>3562</v>
      </c>
      <c r="Q973" s="160">
        <f>IF(Sales[[#This Row],[Status]]="Cancelled",0,Sales[[#This Row],[Qty]])</f>
        <v>5</v>
      </c>
      <c r="R973" s="161">
        <f>IF(Sales[[#This Row],[Status]]="Cancelled",0,Sales[[#This Row],[Total Amount]])</f>
        <v>27482.2</v>
      </c>
      <c r="S973" s="162">
        <f>SUM(Sales[Net Amount])</f>
        <v>406839287.73200053</v>
      </c>
    </row>
    <row r="974" spans="1:19" ht="18.75" x14ac:dyDescent="0.25">
      <c r="A974" s="163" t="s">
        <v>4562</v>
      </c>
      <c r="B974" s="164">
        <v>45829</v>
      </c>
      <c r="C974" s="34" t="s">
        <v>758</v>
      </c>
      <c r="D974" s="53" t="str">
        <f>VLOOKUP(Sales[[#This Row],[Customer ID]],Customer[#All],2,0)</f>
        <v>Rahul Verma</v>
      </c>
      <c r="E974" s="34" t="s">
        <v>56</v>
      </c>
      <c r="F974" s="34" t="str">
        <f>VLOOKUP(Sales[[#This Row],[Product ID]],Product[#All],2,0)</f>
        <v>Boat Headset</v>
      </c>
      <c r="G974" s="53">
        <v>2</v>
      </c>
      <c r="H974" s="165">
        <f>VLOOKUP(Sales[[#This Row],[Product ID]],Product[#All],7,0)</f>
        <v>4140</v>
      </c>
      <c r="I974" s="165">
        <f>Sales[[#This Row],[Selling Rate]]*Sales[[#This Row],[Qty]]</f>
        <v>8280</v>
      </c>
      <c r="J974" s="45">
        <v>0.12</v>
      </c>
      <c r="K974" s="46">
        <f>Sales[[#This Row],[Gross Amount]]*Sales[[#This Row],[Disc %]]</f>
        <v>993.59999999999991</v>
      </c>
      <c r="L974" s="43">
        <v>0.18</v>
      </c>
      <c r="M974" s="46">
        <f>(Sales[[#This Row],[Gross Amount]]-Sales[[#This Row],[Disc. Amt.]])*Sales[[#This Row],[GST %]]</f>
        <v>1311.5519999999999</v>
      </c>
      <c r="N974" s="161">
        <f>Sales[[#This Row],[Gross Amount]]-Sales[[#This Row],[Disc. Amt.]]+Sales[[#This Row],[GST Amount]]</f>
        <v>8597.9519999999993</v>
      </c>
      <c r="O974" s="34" t="s">
        <v>3566</v>
      </c>
      <c r="P974" s="34" t="s">
        <v>3562</v>
      </c>
      <c r="Q974" s="165">
        <f>IF(Sales[[#This Row],[Status]]="Cancelled",0,Sales[[#This Row],[Qty]])</f>
        <v>2</v>
      </c>
      <c r="R974" s="166">
        <f>IF(Sales[[#This Row],[Status]]="Cancelled",0,Sales[[#This Row],[Total Amount]])</f>
        <v>8597.9519999999993</v>
      </c>
      <c r="S974" s="162">
        <f>SUM(Sales[Net Amount])</f>
        <v>406839287.73200053</v>
      </c>
    </row>
    <row r="975" spans="1:19" ht="18.75" x14ac:dyDescent="0.25">
      <c r="A975" s="156" t="s">
        <v>4563</v>
      </c>
      <c r="B975" s="157">
        <v>45829</v>
      </c>
      <c r="C975" s="158" t="s">
        <v>736</v>
      </c>
      <c r="D975" s="159" t="str">
        <f>VLOOKUP(Sales[[#This Row],[Customer ID]],Customer[#All],2,0)</f>
        <v>Ankit Verma</v>
      </c>
      <c r="E975" s="158" t="s">
        <v>269</v>
      </c>
      <c r="F975" s="158" t="str">
        <f>VLOOKUP(Sales[[#This Row],[Product ID]],Product[#All],2,0)</f>
        <v>Dell Monitor</v>
      </c>
      <c r="G975" s="159">
        <v>8</v>
      </c>
      <c r="H975" s="160">
        <f>VLOOKUP(Sales[[#This Row],[Product ID]],Product[#All],7,0)</f>
        <v>11390</v>
      </c>
      <c r="I975" s="160">
        <f>Sales[[#This Row],[Selling Rate]]*Sales[[#This Row],[Qty]]</f>
        <v>91120</v>
      </c>
      <c r="J975" s="43">
        <v>0</v>
      </c>
      <c r="K975" s="44">
        <f>Sales[[#This Row],[Gross Amount]]*Sales[[#This Row],[Disc %]]</f>
        <v>0</v>
      </c>
      <c r="L975" s="43">
        <v>0.18</v>
      </c>
      <c r="M975" s="44">
        <f>(Sales[[#This Row],[Gross Amount]]-Sales[[#This Row],[Disc. Amt.]])*Sales[[#This Row],[GST %]]</f>
        <v>16401.599999999999</v>
      </c>
      <c r="N975" s="161">
        <f>Sales[[#This Row],[Gross Amount]]-Sales[[#This Row],[Disc. Amt.]]+Sales[[#This Row],[GST Amount]]</f>
        <v>107521.60000000001</v>
      </c>
      <c r="O975" s="158" t="s">
        <v>3569</v>
      </c>
      <c r="P975" s="158" t="s">
        <v>3562</v>
      </c>
      <c r="Q975" s="160">
        <f>IF(Sales[[#This Row],[Status]]="Cancelled",0,Sales[[#This Row],[Qty]])</f>
        <v>8</v>
      </c>
      <c r="R975" s="161">
        <f>IF(Sales[[#This Row],[Status]]="Cancelled",0,Sales[[#This Row],[Total Amount]])</f>
        <v>107521.60000000001</v>
      </c>
      <c r="S975" s="162">
        <f>SUM(Sales[Net Amount])</f>
        <v>406839287.73200053</v>
      </c>
    </row>
    <row r="976" spans="1:19" ht="18.75" x14ac:dyDescent="0.25">
      <c r="A976" s="163" t="s">
        <v>4564</v>
      </c>
      <c r="B976" s="164">
        <v>45829</v>
      </c>
      <c r="C976" s="34" t="s">
        <v>729</v>
      </c>
      <c r="D976" s="53" t="str">
        <f>VLOOKUP(Sales[[#This Row],[Customer ID]],Customer[#All],2,0)</f>
        <v>Ankit Kumar</v>
      </c>
      <c r="E976" s="34" t="s">
        <v>160</v>
      </c>
      <c r="F976" s="34" t="str">
        <f>VLOOKUP(Sales[[#This Row],[Product ID]],Product[#All],2,0)</f>
        <v>Dell Power Adapter</v>
      </c>
      <c r="G976" s="53">
        <v>6</v>
      </c>
      <c r="H976" s="165">
        <f>VLOOKUP(Sales[[#This Row],[Product ID]],Product[#All],7,0)</f>
        <v>4330</v>
      </c>
      <c r="I976" s="165">
        <f>Sales[[#This Row],[Selling Rate]]*Sales[[#This Row],[Qty]]</f>
        <v>25980</v>
      </c>
      <c r="J976" s="45">
        <v>0.02</v>
      </c>
      <c r="K976" s="46">
        <f>Sales[[#This Row],[Gross Amount]]*Sales[[#This Row],[Disc %]]</f>
        <v>519.6</v>
      </c>
      <c r="L976" s="43">
        <v>0.18</v>
      </c>
      <c r="M976" s="46">
        <f>(Sales[[#This Row],[Gross Amount]]-Sales[[#This Row],[Disc. Amt.]])*Sales[[#This Row],[GST %]]</f>
        <v>4582.8720000000003</v>
      </c>
      <c r="N976" s="161">
        <f>Sales[[#This Row],[Gross Amount]]-Sales[[#This Row],[Disc. Amt.]]+Sales[[#This Row],[GST Amount]]</f>
        <v>30043.272000000001</v>
      </c>
      <c r="O976" s="34" t="s">
        <v>3561</v>
      </c>
      <c r="P976" s="34" t="s">
        <v>3562</v>
      </c>
      <c r="Q976" s="165">
        <f>IF(Sales[[#This Row],[Status]]="Cancelled",0,Sales[[#This Row],[Qty]])</f>
        <v>6</v>
      </c>
      <c r="R976" s="166">
        <f>IF(Sales[[#This Row],[Status]]="Cancelled",0,Sales[[#This Row],[Total Amount]])</f>
        <v>30043.272000000001</v>
      </c>
      <c r="S976" s="162">
        <f>SUM(Sales[Net Amount])</f>
        <v>406839287.73200053</v>
      </c>
    </row>
    <row r="977" spans="1:19" ht="18.75" x14ac:dyDescent="0.25">
      <c r="A977" s="156" t="s">
        <v>4565</v>
      </c>
      <c r="B977" s="157">
        <v>45829</v>
      </c>
      <c r="C977" s="158" t="s">
        <v>814</v>
      </c>
      <c r="D977" s="159" t="str">
        <f>VLOOKUP(Sales[[#This Row],[Customer ID]],Customer[#All],2,0)</f>
        <v>Amit Kumar</v>
      </c>
      <c r="E977" s="158" t="s">
        <v>516</v>
      </c>
      <c r="F977" s="158" t="str">
        <f>VLOOKUP(Sales[[#This Row],[Product ID]],Product[#All],2,0)</f>
        <v>Boat Headset</v>
      </c>
      <c r="G977" s="159">
        <v>4</v>
      </c>
      <c r="H977" s="160">
        <f>VLOOKUP(Sales[[#This Row],[Product ID]],Product[#All],7,0)</f>
        <v>2690</v>
      </c>
      <c r="I977" s="160">
        <f>Sales[[#This Row],[Selling Rate]]*Sales[[#This Row],[Qty]]</f>
        <v>10760</v>
      </c>
      <c r="J977" s="43">
        <v>0.15</v>
      </c>
      <c r="K977" s="44">
        <f>Sales[[#This Row],[Gross Amount]]*Sales[[#This Row],[Disc %]]</f>
        <v>1614</v>
      </c>
      <c r="L977" s="43">
        <v>0.18</v>
      </c>
      <c r="M977" s="44">
        <f>(Sales[[#This Row],[Gross Amount]]-Sales[[#This Row],[Disc. Amt.]])*Sales[[#This Row],[GST %]]</f>
        <v>1646.28</v>
      </c>
      <c r="N977" s="161">
        <f>Sales[[#This Row],[Gross Amount]]-Sales[[#This Row],[Disc. Amt.]]+Sales[[#This Row],[GST Amount]]</f>
        <v>10792.28</v>
      </c>
      <c r="O977" s="158" t="s">
        <v>3569</v>
      </c>
      <c r="P977" s="158" t="s">
        <v>3562</v>
      </c>
      <c r="Q977" s="160">
        <f>IF(Sales[[#This Row],[Status]]="Cancelled",0,Sales[[#This Row],[Qty]])</f>
        <v>4</v>
      </c>
      <c r="R977" s="161">
        <f>IF(Sales[[#This Row],[Status]]="Cancelled",0,Sales[[#This Row],[Total Amount]])</f>
        <v>10792.28</v>
      </c>
      <c r="S977" s="162">
        <f>SUM(Sales[Net Amount])</f>
        <v>406839287.73200053</v>
      </c>
    </row>
    <row r="978" spans="1:19" ht="18.75" x14ac:dyDescent="0.25">
      <c r="A978" s="163" t="s">
        <v>4566</v>
      </c>
      <c r="B978" s="164">
        <v>45829</v>
      </c>
      <c r="C978" s="34" t="s">
        <v>733</v>
      </c>
      <c r="D978" s="53" t="str">
        <f>VLOOKUP(Sales[[#This Row],[Customer ID]],Customer[#All],2,0)</f>
        <v>Vikas Kumar</v>
      </c>
      <c r="E978" s="34" t="s">
        <v>545</v>
      </c>
      <c r="F978" s="34" t="str">
        <f>VLOOKUP(Sales[[#This Row],[Product ID]],Product[#All],2,0)</f>
        <v>WD HDD</v>
      </c>
      <c r="G978" s="53">
        <v>6</v>
      </c>
      <c r="H978" s="165">
        <f>VLOOKUP(Sales[[#This Row],[Product ID]],Product[#All],7,0)</f>
        <v>6720</v>
      </c>
      <c r="I978" s="165">
        <f>Sales[[#This Row],[Selling Rate]]*Sales[[#This Row],[Qty]]</f>
        <v>40320</v>
      </c>
      <c r="J978" s="45">
        <v>0</v>
      </c>
      <c r="K978" s="46">
        <f>Sales[[#This Row],[Gross Amount]]*Sales[[#This Row],[Disc %]]</f>
        <v>0</v>
      </c>
      <c r="L978" s="43">
        <v>0.18</v>
      </c>
      <c r="M978" s="46">
        <f>(Sales[[#This Row],[Gross Amount]]-Sales[[#This Row],[Disc. Amt.]])*Sales[[#This Row],[GST %]]</f>
        <v>7257.5999999999995</v>
      </c>
      <c r="N978" s="161">
        <f>Sales[[#This Row],[Gross Amount]]-Sales[[#This Row],[Disc. Amt.]]+Sales[[#This Row],[GST Amount]]</f>
        <v>47577.599999999999</v>
      </c>
      <c r="O978" s="34" t="s">
        <v>3561</v>
      </c>
      <c r="P978" s="34" t="s">
        <v>3562</v>
      </c>
      <c r="Q978" s="165">
        <f>IF(Sales[[#This Row],[Status]]="Cancelled",0,Sales[[#This Row],[Qty]])</f>
        <v>6</v>
      </c>
      <c r="R978" s="166">
        <f>IF(Sales[[#This Row],[Status]]="Cancelled",0,Sales[[#This Row],[Total Amount]])</f>
        <v>47577.599999999999</v>
      </c>
      <c r="S978" s="162">
        <f>SUM(Sales[Net Amount])</f>
        <v>406839287.73200053</v>
      </c>
    </row>
    <row r="979" spans="1:19" ht="18.75" x14ac:dyDescent="0.25">
      <c r="A979" s="156" t="s">
        <v>4567</v>
      </c>
      <c r="B979" s="157">
        <v>45829</v>
      </c>
      <c r="C979" s="158" t="s">
        <v>4568</v>
      </c>
      <c r="D979" s="159" t="str">
        <f>VLOOKUP(Sales[[#This Row],[Customer ID]],Customer[#All],2,0)</f>
        <v>Pooja Patel</v>
      </c>
      <c r="E979" s="158" t="s">
        <v>494</v>
      </c>
      <c r="F979" s="158" t="str">
        <f>VLOOKUP(Sales[[#This Row],[Product ID]],Product[#All],2,0)</f>
        <v>Logitech Mouse</v>
      </c>
      <c r="G979" s="159">
        <v>1</v>
      </c>
      <c r="H979" s="160">
        <f>VLOOKUP(Sales[[#This Row],[Product ID]],Product[#All],7,0)</f>
        <v>660</v>
      </c>
      <c r="I979" s="160">
        <f>Sales[[#This Row],[Selling Rate]]*Sales[[#This Row],[Qty]]</f>
        <v>660</v>
      </c>
      <c r="J979" s="43">
        <v>0</v>
      </c>
      <c r="K979" s="44">
        <f>Sales[[#This Row],[Gross Amount]]*Sales[[#This Row],[Disc %]]</f>
        <v>0</v>
      </c>
      <c r="L979" s="43">
        <v>0.18</v>
      </c>
      <c r="M979" s="44">
        <f>(Sales[[#This Row],[Gross Amount]]-Sales[[#This Row],[Disc. Amt.]])*Sales[[#This Row],[GST %]]</f>
        <v>118.8</v>
      </c>
      <c r="N979" s="161">
        <f>Sales[[#This Row],[Gross Amount]]-Sales[[#This Row],[Disc. Amt.]]+Sales[[#This Row],[GST Amount]]</f>
        <v>778.8</v>
      </c>
      <c r="O979" s="158" t="s">
        <v>3569</v>
      </c>
      <c r="P979" s="158" t="s">
        <v>3562</v>
      </c>
      <c r="Q979" s="160">
        <f>IF(Sales[[#This Row],[Status]]="Cancelled",0,Sales[[#This Row],[Qty]])</f>
        <v>1</v>
      </c>
      <c r="R979" s="161">
        <f>IF(Sales[[#This Row],[Status]]="Cancelled",0,Sales[[#This Row],[Total Amount]])</f>
        <v>778.8</v>
      </c>
      <c r="S979" s="162">
        <f>SUM(Sales[Net Amount])</f>
        <v>406839287.73200053</v>
      </c>
    </row>
    <row r="980" spans="1:19" ht="18.75" x14ac:dyDescent="0.25">
      <c r="A980" s="163" t="s">
        <v>4569</v>
      </c>
      <c r="B980" s="164">
        <v>45829</v>
      </c>
      <c r="C980" s="34" t="s">
        <v>854</v>
      </c>
      <c r="D980" s="53" t="str">
        <f>VLOOKUP(Sales[[#This Row],[Customer ID]],Customer[#All],2,0)</f>
        <v>Neha Sharma</v>
      </c>
      <c r="E980" s="34" t="s">
        <v>114</v>
      </c>
      <c r="F980" s="34" t="str">
        <f>VLOOKUP(Sales[[#This Row],[Product ID]],Product[#All],2,0)</f>
        <v>Apc UPS</v>
      </c>
      <c r="G980" s="53">
        <v>8</v>
      </c>
      <c r="H980" s="165">
        <f>VLOOKUP(Sales[[#This Row],[Product ID]],Product[#All],7,0)</f>
        <v>17310</v>
      </c>
      <c r="I980" s="165">
        <f>Sales[[#This Row],[Selling Rate]]*Sales[[#This Row],[Qty]]</f>
        <v>138480</v>
      </c>
      <c r="J980" s="45">
        <v>0.15</v>
      </c>
      <c r="K980" s="46">
        <f>Sales[[#This Row],[Gross Amount]]*Sales[[#This Row],[Disc %]]</f>
        <v>20772</v>
      </c>
      <c r="L980" s="43">
        <v>0.18</v>
      </c>
      <c r="M980" s="46">
        <f>(Sales[[#This Row],[Gross Amount]]-Sales[[#This Row],[Disc. Amt.]])*Sales[[#This Row],[GST %]]</f>
        <v>21187.439999999999</v>
      </c>
      <c r="N980" s="161">
        <f>Sales[[#This Row],[Gross Amount]]-Sales[[#This Row],[Disc. Amt.]]+Sales[[#This Row],[GST Amount]]</f>
        <v>138895.44</v>
      </c>
      <c r="O980" s="34" t="s">
        <v>8876</v>
      </c>
      <c r="P980" s="34" t="s">
        <v>3562</v>
      </c>
      <c r="Q980" s="165">
        <f>IF(Sales[[#This Row],[Status]]="Cancelled",0,Sales[[#This Row],[Qty]])</f>
        <v>8</v>
      </c>
      <c r="R980" s="166">
        <f>IF(Sales[[#This Row],[Status]]="Cancelled",0,Sales[[#This Row],[Total Amount]])</f>
        <v>138895.44</v>
      </c>
      <c r="S980" s="162">
        <f>SUM(Sales[Net Amount])</f>
        <v>406839287.73200053</v>
      </c>
    </row>
    <row r="981" spans="1:19" ht="18.75" x14ac:dyDescent="0.25">
      <c r="A981" s="156" t="s">
        <v>4570</v>
      </c>
      <c r="B981" s="157">
        <v>45829</v>
      </c>
      <c r="C981" s="158" t="s">
        <v>714</v>
      </c>
      <c r="D981" s="159" t="str">
        <f>VLOOKUP(Sales[[#This Row],[Customer ID]],Customer[#All],2,0)</f>
        <v>Rakesh Kumar</v>
      </c>
      <c r="E981" s="158" t="s">
        <v>169</v>
      </c>
      <c r="F981" s="158" t="str">
        <f>VLOOKUP(Sales[[#This Row],[Product ID]],Product[#All],2,0)</f>
        <v>Dell Monitor</v>
      </c>
      <c r="G981" s="159">
        <v>6</v>
      </c>
      <c r="H981" s="160">
        <f>VLOOKUP(Sales[[#This Row],[Product ID]],Product[#All],7,0)</f>
        <v>22680</v>
      </c>
      <c r="I981" s="160">
        <f>Sales[[#This Row],[Selling Rate]]*Sales[[#This Row],[Qty]]</f>
        <v>136080</v>
      </c>
      <c r="J981" s="43">
        <v>0.02</v>
      </c>
      <c r="K981" s="44">
        <f>Sales[[#This Row],[Gross Amount]]*Sales[[#This Row],[Disc %]]</f>
        <v>2721.6</v>
      </c>
      <c r="L981" s="43">
        <v>0.18</v>
      </c>
      <c r="M981" s="44">
        <f>(Sales[[#This Row],[Gross Amount]]-Sales[[#This Row],[Disc. Amt.]])*Sales[[#This Row],[GST %]]</f>
        <v>24004.511999999999</v>
      </c>
      <c r="N981" s="161">
        <f>Sales[[#This Row],[Gross Amount]]-Sales[[#This Row],[Disc. Amt.]]+Sales[[#This Row],[GST Amount]]</f>
        <v>157362.91199999998</v>
      </c>
      <c r="O981" s="158" t="s">
        <v>8876</v>
      </c>
      <c r="P981" s="158" t="s">
        <v>3562</v>
      </c>
      <c r="Q981" s="160">
        <f>IF(Sales[[#This Row],[Status]]="Cancelled",0,Sales[[#This Row],[Qty]])</f>
        <v>6</v>
      </c>
      <c r="R981" s="161">
        <f>IF(Sales[[#This Row],[Status]]="Cancelled",0,Sales[[#This Row],[Total Amount]])</f>
        <v>157362.91199999998</v>
      </c>
      <c r="S981" s="162">
        <f>SUM(Sales[Net Amount])</f>
        <v>406839287.73200053</v>
      </c>
    </row>
    <row r="982" spans="1:19" ht="18.75" x14ac:dyDescent="0.25">
      <c r="A982" s="163" t="s">
        <v>4571</v>
      </c>
      <c r="B982" s="164">
        <v>45829</v>
      </c>
      <c r="C982" s="34" t="s">
        <v>8722</v>
      </c>
      <c r="D982" s="53" t="str">
        <f>VLOOKUP(Sales[[#This Row],[Customer ID]],Customer[#All],2,0)</f>
        <v>Rakesh Sharma</v>
      </c>
      <c r="E982" s="34" t="s">
        <v>134</v>
      </c>
      <c r="F982" s="34" t="str">
        <f>VLOOKUP(Sales[[#This Row],[Product ID]],Product[#All],2,0)</f>
        <v>Logitech Keyboard</v>
      </c>
      <c r="G982" s="53">
        <v>2</v>
      </c>
      <c r="H982" s="165">
        <f>VLOOKUP(Sales[[#This Row],[Product ID]],Product[#All],7,0)</f>
        <v>4130</v>
      </c>
      <c r="I982" s="165">
        <f>Sales[[#This Row],[Selling Rate]]*Sales[[#This Row],[Qty]]</f>
        <v>8260</v>
      </c>
      <c r="J982" s="45">
        <v>0.02</v>
      </c>
      <c r="K982" s="46">
        <f>Sales[[#This Row],[Gross Amount]]*Sales[[#This Row],[Disc %]]</f>
        <v>165.20000000000002</v>
      </c>
      <c r="L982" s="43">
        <v>0.18</v>
      </c>
      <c r="M982" s="46">
        <f>(Sales[[#This Row],[Gross Amount]]-Sales[[#This Row],[Disc. Amt.]])*Sales[[#This Row],[GST %]]</f>
        <v>1457.0640000000001</v>
      </c>
      <c r="N982" s="161">
        <f>Sales[[#This Row],[Gross Amount]]-Sales[[#This Row],[Disc. Amt.]]+Sales[[#This Row],[GST Amount]]</f>
        <v>9551.8639999999996</v>
      </c>
      <c r="O982" s="34" t="s">
        <v>8876</v>
      </c>
      <c r="P982" s="34" t="s">
        <v>3562</v>
      </c>
      <c r="Q982" s="165">
        <f>IF(Sales[[#This Row],[Status]]="Cancelled",0,Sales[[#This Row],[Qty]])</f>
        <v>2</v>
      </c>
      <c r="R982" s="166">
        <f>IF(Sales[[#This Row],[Status]]="Cancelled",0,Sales[[#This Row],[Total Amount]])</f>
        <v>9551.8639999999996</v>
      </c>
      <c r="S982" s="162">
        <f>SUM(Sales[Net Amount])</f>
        <v>406839287.73200053</v>
      </c>
    </row>
    <row r="983" spans="1:19" ht="18.75" x14ac:dyDescent="0.25">
      <c r="A983" s="156" t="s">
        <v>4572</v>
      </c>
      <c r="B983" s="157">
        <v>45829</v>
      </c>
      <c r="C983" s="158" t="s">
        <v>4573</v>
      </c>
      <c r="D983" s="159" t="str">
        <f>VLOOKUP(Sales[[#This Row],[Customer ID]],Customer[#All],2,0)</f>
        <v>Sahil Gupta</v>
      </c>
      <c r="E983" s="158" t="s">
        <v>400</v>
      </c>
      <c r="F983" s="158" t="str">
        <f>VLOOKUP(Sales[[#This Row],[Product ID]],Product[#All],2,0)</f>
        <v>TP-link Bluetooth Adapter</v>
      </c>
      <c r="G983" s="159">
        <v>4</v>
      </c>
      <c r="H983" s="160">
        <f>VLOOKUP(Sales[[#This Row],[Product ID]],Product[#All],7,0)</f>
        <v>1320</v>
      </c>
      <c r="I983" s="160">
        <f>Sales[[#This Row],[Selling Rate]]*Sales[[#This Row],[Qty]]</f>
        <v>5280</v>
      </c>
      <c r="J983" s="43">
        <v>0</v>
      </c>
      <c r="K983" s="44">
        <f>Sales[[#This Row],[Gross Amount]]*Sales[[#This Row],[Disc %]]</f>
        <v>0</v>
      </c>
      <c r="L983" s="43">
        <v>0.18</v>
      </c>
      <c r="M983" s="44">
        <f>(Sales[[#This Row],[Gross Amount]]-Sales[[#This Row],[Disc. Amt.]])*Sales[[#This Row],[GST %]]</f>
        <v>950.4</v>
      </c>
      <c r="N983" s="161">
        <f>Sales[[#This Row],[Gross Amount]]-Sales[[#This Row],[Disc. Amt.]]+Sales[[#This Row],[GST Amount]]</f>
        <v>6230.4</v>
      </c>
      <c r="O983" s="158" t="s">
        <v>3569</v>
      </c>
      <c r="P983" s="158" t="s">
        <v>3562</v>
      </c>
      <c r="Q983" s="160">
        <f>IF(Sales[[#This Row],[Status]]="Cancelled",0,Sales[[#This Row],[Qty]])</f>
        <v>4</v>
      </c>
      <c r="R983" s="161">
        <f>IF(Sales[[#This Row],[Status]]="Cancelled",0,Sales[[#This Row],[Total Amount]])</f>
        <v>6230.4</v>
      </c>
      <c r="S983" s="162">
        <f>SUM(Sales[Net Amount])</f>
        <v>406839287.73200053</v>
      </c>
    </row>
    <row r="984" spans="1:19" ht="18.75" x14ac:dyDescent="0.25">
      <c r="A984" s="163" t="s">
        <v>4574</v>
      </c>
      <c r="B984" s="164">
        <v>45829</v>
      </c>
      <c r="C984" s="34" t="s">
        <v>865</v>
      </c>
      <c r="D984" s="53" t="str">
        <f>VLOOKUP(Sales[[#This Row],[Customer ID]],Customer[#All],2,0)</f>
        <v>Sunita Gupta</v>
      </c>
      <c r="E984" s="34" t="s">
        <v>84</v>
      </c>
      <c r="F984" s="34" t="str">
        <f>VLOOKUP(Sales[[#This Row],[Product ID]],Product[#All],2,0)</f>
        <v>HP Mouse</v>
      </c>
      <c r="G984" s="53">
        <v>8</v>
      </c>
      <c r="H984" s="165">
        <f>VLOOKUP(Sales[[#This Row],[Product ID]],Product[#All],7,0)</f>
        <v>1240</v>
      </c>
      <c r="I984" s="165">
        <f>Sales[[#This Row],[Selling Rate]]*Sales[[#This Row],[Qty]]</f>
        <v>9920</v>
      </c>
      <c r="J984" s="45">
        <v>0.12</v>
      </c>
      <c r="K984" s="46">
        <f>Sales[[#This Row],[Gross Amount]]*Sales[[#This Row],[Disc %]]</f>
        <v>1190.3999999999999</v>
      </c>
      <c r="L984" s="43">
        <v>0.18</v>
      </c>
      <c r="M984" s="46">
        <f>(Sales[[#This Row],[Gross Amount]]-Sales[[#This Row],[Disc. Amt.]])*Sales[[#This Row],[GST %]]</f>
        <v>1571.328</v>
      </c>
      <c r="N984" s="161">
        <f>Sales[[#This Row],[Gross Amount]]-Sales[[#This Row],[Disc. Amt.]]+Sales[[#This Row],[GST Amount]]</f>
        <v>10300.928</v>
      </c>
      <c r="O984" s="34" t="s">
        <v>3569</v>
      </c>
      <c r="P984" s="34" t="s">
        <v>3562</v>
      </c>
      <c r="Q984" s="165">
        <f>IF(Sales[[#This Row],[Status]]="Cancelled",0,Sales[[#This Row],[Qty]])</f>
        <v>8</v>
      </c>
      <c r="R984" s="166">
        <f>IF(Sales[[#This Row],[Status]]="Cancelled",0,Sales[[#This Row],[Total Amount]])</f>
        <v>10300.928</v>
      </c>
      <c r="S984" s="162">
        <f>SUM(Sales[Net Amount])</f>
        <v>406839287.73200053</v>
      </c>
    </row>
    <row r="985" spans="1:19" ht="18.75" x14ac:dyDescent="0.25">
      <c r="A985" s="156" t="s">
        <v>4575</v>
      </c>
      <c r="B985" s="157">
        <v>45830</v>
      </c>
      <c r="C985" s="158" t="s">
        <v>893</v>
      </c>
      <c r="D985" s="159" t="str">
        <f>VLOOKUP(Sales[[#This Row],[Customer ID]],Customer[#All],2,0)</f>
        <v>Sunita Sharma</v>
      </c>
      <c r="E985" s="158" t="s">
        <v>420</v>
      </c>
      <c r="F985" s="158" t="str">
        <f>VLOOKUP(Sales[[#This Row],[Product ID]],Product[#All],2,0)</f>
        <v>Logitech Keyboard</v>
      </c>
      <c r="G985" s="159">
        <v>3</v>
      </c>
      <c r="H985" s="160">
        <f>VLOOKUP(Sales[[#This Row],[Product ID]],Product[#All],7,0)</f>
        <v>3430</v>
      </c>
      <c r="I985" s="160">
        <f>Sales[[#This Row],[Selling Rate]]*Sales[[#This Row],[Qty]]</f>
        <v>10290</v>
      </c>
      <c r="J985" s="43">
        <v>0.1</v>
      </c>
      <c r="K985" s="44">
        <f>Sales[[#This Row],[Gross Amount]]*Sales[[#This Row],[Disc %]]</f>
        <v>1029</v>
      </c>
      <c r="L985" s="43">
        <v>0.18</v>
      </c>
      <c r="M985" s="44">
        <f>(Sales[[#This Row],[Gross Amount]]-Sales[[#This Row],[Disc. Amt.]])*Sales[[#This Row],[GST %]]</f>
        <v>1666.98</v>
      </c>
      <c r="N985" s="161">
        <f>Sales[[#This Row],[Gross Amount]]-Sales[[#This Row],[Disc. Amt.]]+Sales[[#This Row],[GST Amount]]</f>
        <v>10927.98</v>
      </c>
      <c r="O985" s="158" t="s">
        <v>3561</v>
      </c>
      <c r="P985" s="158" t="s">
        <v>3562</v>
      </c>
      <c r="Q985" s="160">
        <f>IF(Sales[[#This Row],[Status]]="Cancelled",0,Sales[[#This Row],[Qty]])</f>
        <v>3</v>
      </c>
      <c r="R985" s="161">
        <f>IF(Sales[[#This Row],[Status]]="Cancelled",0,Sales[[#This Row],[Total Amount]])</f>
        <v>10927.98</v>
      </c>
      <c r="S985" s="162">
        <f>SUM(Sales[Net Amount])</f>
        <v>406839287.73200053</v>
      </c>
    </row>
    <row r="986" spans="1:19" ht="18.75" x14ac:dyDescent="0.25">
      <c r="A986" s="163" t="s">
        <v>4576</v>
      </c>
      <c r="B986" s="164">
        <v>45830</v>
      </c>
      <c r="C986" s="34" t="s">
        <v>718</v>
      </c>
      <c r="D986" s="53" t="str">
        <f>VLOOKUP(Sales[[#This Row],[Customer ID]],Customer[#All],2,0)</f>
        <v>Rakesh Patel</v>
      </c>
      <c r="E986" s="34" t="s">
        <v>89</v>
      </c>
      <c r="F986" s="34" t="str">
        <f>VLOOKUP(Sales[[#This Row],[Product ID]],Product[#All],2,0)</f>
        <v>Portronics USB Cable</v>
      </c>
      <c r="G986" s="53">
        <v>3</v>
      </c>
      <c r="H986" s="165">
        <f>VLOOKUP(Sales[[#This Row],[Product ID]],Product[#All],7,0)</f>
        <v>390</v>
      </c>
      <c r="I986" s="165">
        <f>Sales[[#This Row],[Selling Rate]]*Sales[[#This Row],[Qty]]</f>
        <v>1170</v>
      </c>
      <c r="J986" s="45">
        <v>0.1</v>
      </c>
      <c r="K986" s="46">
        <f>Sales[[#This Row],[Gross Amount]]*Sales[[#This Row],[Disc %]]</f>
        <v>117</v>
      </c>
      <c r="L986" s="43">
        <v>0.18</v>
      </c>
      <c r="M986" s="46">
        <f>(Sales[[#This Row],[Gross Amount]]-Sales[[#This Row],[Disc. Amt.]])*Sales[[#This Row],[GST %]]</f>
        <v>189.54</v>
      </c>
      <c r="N986" s="161">
        <f>Sales[[#This Row],[Gross Amount]]-Sales[[#This Row],[Disc. Amt.]]+Sales[[#This Row],[GST Amount]]</f>
        <v>1242.54</v>
      </c>
      <c r="O986" s="34" t="s">
        <v>3569</v>
      </c>
      <c r="P986" s="34" t="s">
        <v>3562</v>
      </c>
      <c r="Q986" s="165">
        <f>IF(Sales[[#This Row],[Status]]="Cancelled",0,Sales[[#This Row],[Qty]])</f>
        <v>3</v>
      </c>
      <c r="R986" s="166">
        <f>IF(Sales[[#This Row],[Status]]="Cancelled",0,Sales[[#This Row],[Total Amount]])</f>
        <v>1242.54</v>
      </c>
      <c r="S986" s="162">
        <f>SUM(Sales[Net Amount])</f>
        <v>406839287.73200053</v>
      </c>
    </row>
    <row r="987" spans="1:19" ht="18.75" x14ac:dyDescent="0.25">
      <c r="A987" s="156" t="s">
        <v>4577</v>
      </c>
      <c r="B987" s="157">
        <v>45830</v>
      </c>
      <c r="C987" s="158" t="s">
        <v>798</v>
      </c>
      <c r="D987" s="159" t="str">
        <f>VLOOKUP(Sales[[#This Row],[Customer ID]],Customer[#All],2,0)</f>
        <v>Amit Singh</v>
      </c>
      <c r="E987" s="158" t="s">
        <v>160</v>
      </c>
      <c r="F987" s="158" t="str">
        <f>VLOOKUP(Sales[[#This Row],[Product ID]],Product[#All],2,0)</f>
        <v>Dell Power Adapter</v>
      </c>
      <c r="G987" s="159">
        <v>2</v>
      </c>
      <c r="H987" s="160">
        <f>VLOOKUP(Sales[[#This Row],[Product ID]],Product[#All],7,0)</f>
        <v>4330</v>
      </c>
      <c r="I987" s="160">
        <f>Sales[[#This Row],[Selling Rate]]*Sales[[#This Row],[Qty]]</f>
        <v>8660</v>
      </c>
      <c r="J987" s="43">
        <v>0.05</v>
      </c>
      <c r="K987" s="44">
        <f>Sales[[#This Row],[Gross Amount]]*Sales[[#This Row],[Disc %]]</f>
        <v>433</v>
      </c>
      <c r="L987" s="43">
        <v>0.18</v>
      </c>
      <c r="M987" s="44">
        <f>(Sales[[#This Row],[Gross Amount]]-Sales[[#This Row],[Disc. Amt.]])*Sales[[#This Row],[GST %]]</f>
        <v>1480.86</v>
      </c>
      <c r="N987" s="161">
        <f>Sales[[#This Row],[Gross Amount]]-Sales[[#This Row],[Disc. Amt.]]+Sales[[#This Row],[GST Amount]]</f>
        <v>9707.86</v>
      </c>
      <c r="O987" s="158" t="s">
        <v>8876</v>
      </c>
      <c r="P987" s="158" t="s">
        <v>3562</v>
      </c>
      <c r="Q987" s="160">
        <f>IF(Sales[[#This Row],[Status]]="Cancelled",0,Sales[[#This Row],[Qty]])</f>
        <v>2</v>
      </c>
      <c r="R987" s="161">
        <f>IF(Sales[[#This Row],[Status]]="Cancelled",0,Sales[[#This Row],[Total Amount]])</f>
        <v>9707.86</v>
      </c>
      <c r="S987" s="162">
        <f>SUM(Sales[Net Amount])</f>
        <v>406839287.73200053</v>
      </c>
    </row>
    <row r="988" spans="1:19" ht="18.75" x14ac:dyDescent="0.25">
      <c r="A988" s="163" t="s">
        <v>4578</v>
      </c>
      <c r="B988" s="164">
        <v>45830</v>
      </c>
      <c r="C988" s="34" t="s">
        <v>679</v>
      </c>
      <c r="D988" s="53" t="str">
        <f>VLOOKUP(Sales[[#This Row],[Customer ID]],Customer[#All],2,0)</f>
        <v>Rahul Singh</v>
      </c>
      <c r="E988" s="34" t="s">
        <v>168</v>
      </c>
      <c r="F988" s="34" t="str">
        <f>VLOOKUP(Sales[[#This Row],[Product ID]],Product[#All],2,0)</f>
        <v>TP-link Wi-Fi Adapter</v>
      </c>
      <c r="G988" s="53">
        <v>8</v>
      </c>
      <c r="H988" s="165">
        <f>VLOOKUP(Sales[[#This Row],[Product ID]],Product[#All],7,0)</f>
        <v>1460</v>
      </c>
      <c r="I988" s="165">
        <f>Sales[[#This Row],[Selling Rate]]*Sales[[#This Row],[Qty]]</f>
        <v>11680</v>
      </c>
      <c r="J988" s="45">
        <v>0</v>
      </c>
      <c r="K988" s="46">
        <f>Sales[[#This Row],[Gross Amount]]*Sales[[#This Row],[Disc %]]</f>
        <v>0</v>
      </c>
      <c r="L988" s="43">
        <v>0.18</v>
      </c>
      <c r="M988" s="46">
        <f>(Sales[[#This Row],[Gross Amount]]-Sales[[#This Row],[Disc. Amt.]])*Sales[[#This Row],[GST %]]</f>
        <v>2102.4</v>
      </c>
      <c r="N988" s="161">
        <f>Sales[[#This Row],[Gross Amount]]-Sales[[#This Row],[Disc. Amt.]]+Sales[[#This Row],[GST Amount]]</f>
        <v>13782.4</v>
      </c>
      <c r="O988" s="34" t="s">
        <v>8876</v>
      </c>
      <c r="P988" s="34" t="s">
        <v>3562</v>
      </c>
      <c r="Q988" s="165">
        <f>IF(Sales[[#This Row],[Status]]="Cancelled",0,Sales[[#This Row],[Qty]])</f>
        <v>8</v>
      </c>
      <c r="R988" s="166">
        <f>IF(Sales[[#This Row],[Status]]="Cancelled",0,Sales[[#This Row],[Total Amount]])</f>
        <v>13782.4</v>
      </c>
      <c r="S988" s="162">
        <f>SUM(Sales[Net Amount])</f>
        <v>406839287.73200053</v>
      </c>
    </row>
    <row r="989" spans="1:19" ht="18.75" x14ac:dyDescent="0.25">
      <c r="A989" s="156" t="s">
        <v>4579</v>
      </c>
      <c r="B989" s="157">
        <v>45830</v>
      </c>
      <c r="C989" s="158" t="s">
        <v>948</v>
      </c>
      <c r="D989" s="159" t="str">
        <f>VLOOKUP(Sales[[#This Row],[Customer ID]],Customer[#All],2,0)</f>
        <v>Pooja Patel</v>
      </c>
      <c r="E989" s="158" t="s">
        <v>444</v>
      </c>
      <c r="F989" s="158" t="str">
        <f>VLOOKUP(Sales[[#This Row],[Product ID]],Product[#All],2,0)</f>
        <v>Dell Desktop</v>
      </c>
      <c r="G989" s="159">
        <v>6</v>
      </c>
      <c r="H989" s="160">
        <f>VLOOKUP(Sales[[#This Row],[Product ID]],Product[#All],7,0)</f>
        <v>55730</v>
      </c>
      <c r="I989" s="160">
        <f>Sales[[#This Row],[Selling Rate]]*Sales[[#This Row],[Qty]]</f>
        <v>334380</v>
      </c>
      <c r="J989" s="43">
        <v>0.02</v>
      </c>
      <c r="K989" s="44">
        <f>Sales[[#This Row],[Gross Amount]]*Sales[[#This Row],[Disc %]]</f>
        <v>6687.6</v>
      </c>
      <c r="L989" s="43">
        <v>0.18</v>
      </c>
      <c r="M989" s="44">
        <f>(Sales[[#This Row],[Gross Amount]]-Sales[[#This Row],[Disc. Amt.]])*Sales[[#This Row],[GST %]]</f>
        <v>58984.632000000005</v>
      </c>
      <c r="N989" s="161">
        <f>Sales[[#This Row],[Gross Amount]]-Sales[[#This Row],[Disc. Amt.]]+Sales[[#This Row],[GST Amount]]</f>
        <v>386677.03200000001</v>
      </c>
      <c r="O989" s="158" t="s">
        <v>3569</v>
      </c>
      <c r="P989" s="158" t="s">
        <v>3562</v>
      </c>
      <c r="Q989" s="160">
        <f>IF(Sales[[#This Row],[Status]]="Cancelled",0,Sales[[#This Row],[Qty]])</f>
        <v>6</v>
      </c>
      <c r="R989" s="161">
        <f>IF(Sales[[#This Row],[Status]]="Cancelled",0,Sales[[#This Row],[Total Amount]])</f>
        <v>386677.03200000001</v>
      </c>
      <c r="S989" s="162">
        <f>SUM(Sales[Net Amount])</f>
        <v>406839287.73200053</v>
      </c>
    </row>
    <row r="990" spans="1:19" ht="18.75" x14ac:dyDescent="0.25">
      <c r="A990" s="163" t="s">
        <v>4580</v>
      </c>
      <c r="B990" s="164">
        <v>45830</v>
      </c>
      <c r="C990" s="34" t="s">
        <v>816</v>
      </c>
      <c r="D990" s="53" t="str">
        <f>VLOOKUP(Sales[[#This Row],[Customer ID]],Customer[#All],2,0)</f>
        <v>Amit Patel</v>
      </c>
      <c r="E990" s="34" t="s">
        <v>430</v>
      </c>
      <c r="F990" s="34" t="str">
        <f>VLOOKUP(Sales[[#This Row],[Product ID]],Product[#All],2,0)</f>
        <v>Jbl Speaker</v>
      </c>
      <c r="G990" s="53">
        <v>2</v>
      </c>
      <c r="H990" s="165">
        <f>VLOOKUP(Sales[[#This Row],[Product ID]],Product[#All],7,0)</f>
        <v>6890</v>
      </c>
      <c r="I990" s="165">
        <f>Sales[[#This Row],[Selling Rate]]*Sales[[#This Row],[Qty]]</f>
        <v>13780</v>
      </c>
      <c r="J990" s="45">
        <v>0.05</v>
      </c>
      <c r="K990" s="46">
        <f>Sales[[#This Row],[Gross Amount]]*Sales[[#This Row],[Disc %]]</f>
        <v>689</v>
      </c>
      <c r="L990" s="43">
        <v>0.18</v>
      </c>
      <c r="M990" s="46">
        <f>(Sales[[#This Row],[Gross Amount]]-Sales[[#This Row],[Disc. Amt.]])*Sales[[#This Row],[GST %]]</f>
        <v>2356.38</v>
      </c>
      <c r="N990" s="161">
        <f>Sales[[#This Row],[Gross Amount]]-Sales[[#This Row],[Disc. Amt.]]+Sales[[#This Row],[GST Amount]]</f>
        <v>15447.380000000001</v>
      </c>
      <c r="O990" s="34" t="s">
        <v>8876</v>
      </c>
      <c r="P990" s="34" t="s">
        <v>3562</v>
      </c>
      <c r="Q990" s="165">
        <f>IF(Sales[[#This Row],[Status]]="Cancelled",0,Sales[[#This Row],[Qty]])</f>
        <v>2</v>
      </c>
      <c r="R990" s="166">
        <f>IF(Sales[[#This Row],[Status]]="Cancelled",0,Sales[[#This Row],[Total Amount]])</f>
        <v>15447.380000000001</v>
      </c>
      <c r="S990" s="162">
        <f>SUM(Sales[Net Amount])</f>
        <v>406839287.73200053</v>
      </c>
    </row>
    <row r="991" spans="1:19" ht="18.75" x14ac:dyDescent="0.25">
      <c r="A991" s="156" t="s">
        <v>4581</v>
      </c>
      <c r="B991" s="157">
        <v>45830</v>
      </c>
      <c r="C991" s="158" t="s">
        <v>778</v>
      </c>
      <c r="D991" s="159" t="str">
        <f>VLOOKUP(Sales[[#This Row],[Customer ID]],Customer[#All],2,0)</f>
        <v>Ankit Gupta</v>
      </c>
      <c r="E991" s="158" t="s">
        <v>360</v>
      </c>
      <c r="F991" s="158" t="str">
        <f>VLOOKUP(Sales[[#This Row],[Product ID]],Product[#All],2,0)</f>
        <v>Canon Printer</v>
      </c>
      <c r="G991" s="159">
        <v>1</v>
      </c>
      <c r="H991" s="160">
        <f>VLOOKUP(Sales[[#This Row],[Product ID]],Product[#All],7,0)</f>
        <v>29670</v>
      </c>
      <c r="I991" s="160">
        <f>Sales[[#This Row],[Selling Rate]]*Sales[[#This Row],[Qty]]</f>
        <v>29670</v>
      </c>
      <c r="J991" s="43">
        <v>0</v>
      </c>
      <c r="K991" s="44">
        <f>Sales[[#This Row],[Gross Amount]]*Sales[[#This Row],[Disc %]]</f>
        <v>0</v>
      </c>
      <c r="L991" s="43">
        <v>0.18</v>
      </c>
      <c r="M991" s="44">
        <f>(Sales[[#This Row],[Gross Amount]]-Sales[[#This Row],[Disc. Amt.]])*Sales[[#This Row],[GST %]]</f>
        <v>5340.5999999999995</v>
      </c>
      <c r="N991" s="161">
        <f>Sales[[#This Row],[Gross Amount]]-Sales[[#This Row],[Disc. Amt.]]+Sales[[#This Row],[GST Amount]]</f>
        <v>35010.6</v>
      </c>
      <c r="O991" s="158" t="s">
        <v>3561</v>
      </c>
      <c r="P991" s="158" t="s">
        <v>3562</v>
      </c>
      <c r="Q991" s="160">
        <f>IF(Sales[[#This Row],[Status]]="Cancelled",0,Sales[[#This Row],[Qty]])</f>
        <v>1</v>
      </c>
      <c r="R991" s="161">
        <f>IF(Sales[[#This Row],[Status]]="Cancelled",0,Sales[[#This Row],[Total Amount]])</f>
        <v>35010.6</v>
      </c>
      <c r="S991" s="162">
        <f>SUM(Sales[Net Amount])</f>
        <v>406839287.73200053</v>
      </c>
    </row>
    <row r="992" spans="1:19" ht="18.75" x14ac:dyDescent="0.25">
      <c r="A992" s="163" t="s">
        <v>4582</v>
      </c>
      <c r="B992" s="164">
        <v>45830</v>
      </c>
      <c r="C992" s="34" t="s">
        <v>795</v>
      </c>
      <c r="D992" s="53" t="str">
        <f>VLOOKUP(Sales[[#This Row],[Customer ID]],Customer[#All],2,0)</f>
        <v>Sahil Gupta</v>
      </c>
      <c r="E992" s="34" t="s">
        <v>259</v>
      </c>
      <c r="F992" s="34" t="str">
        <f>VLOOKUP(Sales[[#This Row],[Product ID]],Product[#All],2,0)</f>
        <v>Lg Monitor</v>
      </c>
      <c r="G992" s="53">
        <v>2</v>
      </c>
      <c r="H992" s="165">
        <f>VLOOKUP(Sales[[#This Row],[Product ID]],Product[#All],7,0)</f>
        <v>28600</v>
      </c>
      <c r="I992" s="165">
        <f>Sales[[#This Row],[Selling Rate]]*Sales[[#This Row],[Qty]]</f>
        <v>57200</v>
      </c>
      <c r="J992" s="45">
        <v>0</v>
      </c>
      <c r="K992" s="46">
        <f>Sales[[#This Row],[Gross Amount]]*Sales[[#This Row],[Disc %]]</f>
        <v>0</v>
      </c>
      <c r="L992" s="43">
        <v>0.18</v>
      </c>
      <c r="M992" s="46">
        <f>(Sales[[#This Row],[Gross Amount]]-Sales[[#This Row],[Disc. Amt.]])*Sales[[#This Row],[GST %]]</f>
        <v>10296</v>
      </c>
      <c r="N992" s="161">
        <f>Sales[[#This Row],[Gross Amount]]-Sales[[#This Row],[Disc. Amt.]]+Sales[[#This Row],[GST Amount]]</f>
        <v>67496</v>
      </c>
      <c r="O992" s="34" t="s">
        <v>8876</v>
      </c>
      <c r="P992" s="34" t="s">
        <v>3562</v>
      </c>
      <c r="Q992" s="165">
        <f>IF(Sales[[#This Row],[Status]]="Cancelled",0,Sales[[#This Row],[Qty]])</f>
        <v>2</v>
      </c>
      <c r="R992" s="166">
        <f>IF(Sales[[#This Row],[Status]]="Cancelled",0,Sales[[#This Row],[Total Amount]])</f>
        <v>67496</v>
      </c>
      <c r="S992" s="162">
        <f>SUM(Sales[Net Amount])</f>
        <v>406839287.73200053</v>
      </c>
    </row>
    <row r="993" spans="1:19" ht="18.75" x14ac:dyDescent="0.25">
      <c r="A993" s="156" t="s">
        <v>4583</v>
      </c>
      <c r="B993" s="157">
        <v>45830</v>
      </c>
      <c r="C993" s="158" t="s">
        <v>767</v>
      </c>
      <c r="D993" s="159" t="str">
        <f>VLOOKUP(Sales[[#This Row],[Customer ID]],Customer[#All],2,0)</f>
        <v>Sunita Singh</v>
      </c>
      <c r="E993" s="158" t="s">
        <v>461</v>
      </c>
      <c r="F993" s="158" t="str">
        <f>VLOOKUP(Sales[[#This Row],[Product ID]],Product[#All],2,0)</f>
        <v>TP-link Wi-Fi Adapter</v>
      </c>
      <c r="G993" s="159">
        <v>2</v>
      </c>
      <c r="H993" s="160">
        <f>VLOOKUP(Sales[[#This Row],[Product ID]],Product[#All],7,0)</f>
        <v>2500</v>
      </c>
      <c r="I993" s="160">
        <f>Sales[[#This Row],[Selling Rate]]*Sales[[#This Row],[Qty]]</f>
        <v>5000</v>
      </c>
      <c r="J993" s="43">
        <v>0.05</v>
      </c>
      <c r="K993" s="44">
        <f>Sales[[#This Row],[Gross Amount]]*Sales[[#This Row],[Disc %]]</f>
        <v>250</v>
      </c>
      <c r="L993" s="43">
        <v>0.18</v>
      </c>
      <c r="M993" s="44">
        <f>(Sales[[#This Row],[Gross Amount]]-Sales[[#This Row],[Disc. Amt.]])*Sales[[#This Row],[GST %]]</f>
        <v>855</v>
      </c>
      <c r="N993" s="161">
        <f>Sales[[#This Row],[Gross Amount]]-Sales[[#This Row],[Disc. Amt.]]+Sales[[#This Row],[GST Amount]]</f>
        <v>5605</v>
      </c>
      <c r="O993" s="158" t="s">
        <v>3566</v>
      </c>
      <c r="P993" s="158" t="s">
        <v>3562</v>
      </c>
      <c r="Q993" s="160">
        <f>IF(Sales[[#This Row],[Status]]="Cancelled",0,Sales[[#This Row],[Qty]])</f>
        <v>2</v>
      </c>
      <c r="R993" s="161">
        <f>IF(Sales[[#This Row],[Status]]="Cancelled",0,Sales[[#This Row],[Total Amount]])</f>
        <v>5605</v>
      </c>
      <c r="S993" s="162">
        <f>SUM(Sales[Net Amount])</f>
        <v>406839287.73200053</v>
      </c>
    </row>
    <row r="994" spans="1:19" ht="18.75" x14ac:dyDescent="0.25">
      <c r="A994" s="163" t="s">
        <v>4584</v>
      </c>
      <c r="B994" s="164">
        <v>45830</v>
      </c>
      <c r="C994" s="34" t="s">
        <v>683</v>
      </c>
      <c r="D994" s="53" t="str">
        <f>VLOOKUP(Sales[[#This Row],[Customer ID]],Customer[#All],2,0)</f>
        <v>Rahul Kumar</v>
      </c>
      <c r="E994" s="34" t="s">
        <v>96</v>
      </c>
      <c r="F994" s="34" t="str">
        <f>VLOOKUP(Sales[[#This Row],[Product ID]],Product[#All],2,0)</f>
        <v>Corsair Ram</v>
      </c>
      <c r="G994" s="53">
        <v>3</v>
      </c>
      <c r="H994" s="165">
        <f>VLOOKUP(Sales[[#This Row],[Product ID]],Product[#All],7,0)</f>
        <v>4570</v>
      </c>
      <c r="I994" s="165">
        <f>Sales[[#This Row],[Selling Rate]]*Sales[[#This Row],[Qty]]</f>
        <v>13710</v>
      </c>
      <c r="J994" s="45">
        <v>0.02</v>
      </c>
      <c r="K994" s="46">
        <f>Sales[[#This Row],[Gross Amount]]*Sales[[#This Row],[Disc %]]</f>
        <v>274.2</v>
      </c>
      <c r="L994" s="43">
        <v>0.18</v>
      </c>
      <c r="M994" s="46">
        <f>(Sales[[#This Row],[Gross Amount]]-Sales[[#This Row],[Disc. Amt.]])*Sales[[#This Row],[GST %]]</f>
        <v>2418.444</v>
      </c>
      <c r="N994" s="161">
        <f>Sales[[#This Row],[Gross Amount]]-Sales[[#This Row],[Disc. Amt.]]+Sales[[#This Row],[GST Amount]]</f>
        <v>15854.243999999999</v>
      </c>
      <c r="O994" s="34" t="s">
        <v>3566</v>
      </c>
      <c r="P994" s="34" t="s">
        <v>3562</v>
      </c>
      <c r="Q994" s="165">
        <f>IF(Sales[[#This Row],[Status]]="Cancelled",0,Sales[[#This Row],[Qty]])</f>
        <v>3</v>
      </c>
      <c r="R994" s="166">
        <f>IF(Sales[[#This Row],[Status]]="Cancelled",0,Sales[[#This Row],[Total Amount]])</f>
        <v>15854.243999999999</v>
      </c>
      <c r="S994" s="162">
        <f>SUM(Sales[Net Amount])</f>
        <v>406839287.73200053</v>
      </c>
    </row>
    <row r="995" spans="1:19" ht="18.75" x14ac:dyDescent="0.25">
      <c r="A995" s="156" t="s">
        <v>4585</v>
      </c>
      <c r="B995" s="157">
        <v>45830</v>
      </c>
      <c r="C995" s="158" t="s">
        <v>914</v>
      </c>
      <c r="D995" s="159" t="str">
        <f>VLOOKUP(Sales[[#This Row],[Customer ID]],Customer[#All],2,0)</f>
        <v>Rakesh Patel</v>
      </c>
      <c r="E995" s="158" t="s">
        <v>211</v>
      </c>
      <c r="F995" s="158" t="str">
        <f>VLOOKUP(Sales[[#This Row],[Product ID]],Product[#All],2,0)</f>
        <v>Samsung Ssd</v>
      </c>
      <c r="G995" s="159">
        <v>3</v>
      </c>
      <c r="H995" s="160">
        <f>VLOOKUP(Sales[[#This Row],[Product ID]],Product[#All],7,0)</f>
        <v>16100</v>
      </c>
      <c r="I995" s="160">
        <f>Sales[[#This Row],[Selling Rate]]*Sales[[#This Row],[Qty]]</f>
        <v>48300</v>
      </c>
      <c r="J995" s="43">
        <v>0.02</v>
      </c>
      <c r="K995" s="44">
        <f>Sales[[#This Row],[Gross Amount]]*Sales[[#This Row],[Disc %]]</f>
        <v>966</v>
      </c>
      <c r="L995" s="43">
        <v>0.18</v>
      </c>
      <c r="M995" s="44">
        <f>(Sales[[#This Row],[Gross Amount]]-Sales[[#This Row],[Disc. Amt.]])*Sales[[#This Row],[GST %]]</f>
        <v>8520.119999999999</v>
      </c>
      <c r="N995" s="161">
        <f>Sales[[#This Row],[Gross Amount]]-Sales[[#This Row],[Disc. Amt.]]+Sales[[#This Row],[GST Amount]]</f>
        <v>55854.119999999995</v>
      </c>
      <c r="O995" s="158" t="s">
        <v>3566</v>
      </c>
      <c r="P995" s="158" t="s">
        <v>1040</v>
      </c>
      <c r="Q995" s="160">
        <f>IF(Sales[[#This Row],[Status]]="Cancelled",0,Sales[[#This Row],[Qty]])</f>
        <v>0</v>
      </c>
      <c r="R995" s="161">
        <f>IF(Sales[[#This Row],[Status]]="Cancelled",0,Sales[[#This Row],[Total Amount]])</f>
        <v>0</v>
      </c>
      <c r="S995" s="162">
        <f>SUM(Sales[Net Amount])</f>
        <v>406839287.73200053</v>
      </c>
    </row>
    <row r="996" spans="1:19" ht="18.75" x14ac:dyDescent="0.25">
      <c r="A996" s="163" t="s">
        <v>4586</v>
      </c>
      <c r="B996" s="164">
        <v>45830</v>
      </c>
      <c r="C996" s="34" t="s">
        <v>865</v>
      </c>
      <c r="D996" s="53" t="str">
        <f>VLOOKUP(Sales[[#This Row],[Customer ID]],Customer[#All],2,0)</f>
        <v>Sunita Gupta</v>
      </c>
      <c r="E996" s="34" t="s">
        <v>402</v>
      </c>
      <c r="F996" s="34" t="str">
        <f>VLOOKUP(Sales[[#This Row],[Product ID]],Product[#All],2,0)</f>
        <v>Logitech Keyboard</v>
      </c>
      <c r="G996" s="53">
        <v>7</v>
      </c>
      <c r="H996" s="165">
        <f>VLOOKUP(Sales[[#This Row],[Product ID]],Product[#All],7,0)</f>
        <v>3500</v>
      </c>
      <c r="I996" s="165">
        <f>Sales[[#This Row],[Selling Rate]]*Sales[[#This Row],[Qty]]</f>
        <v>24500</v>
      </c>
      <c r="J996" s="45">
        <v>0.12</v>
      </c>
      <c r="K996" s="46">
        <f>Sales[[#This Row],[Gross Amount]]*Sales[[#This Row],[Disc %]]</f>
        <v>2940</v>
      </c>
      <c r="L996" s="43">
        <v>0.18</v>
      </c>
      <c r="M996" s="46">
        <f>(Sales[[#This Row],[Gross Amount]]-Sales[[#This Row],[Disc. Amt.]])*Sales[[#This Row],[GST %]]</f>
        <v>3880.7999999999997</v>
      </c>
      <c r="N996" s="161">
        <f>Sales[[#This Row],[Gross Amount]]-Sales[[#This Row],[Disc. Amt.]]+Sales[[#This Row],[GST Amount]]</f>
        <v>25440.799999999999</v>
      </c>
      <c r="O996" s="34" t="s">
        <v>3569</v>
      </c>
      <c r="P996" s="34" t="s">
        <v>3562</v>
      </c>
      <c r="Q996" s="165">
        <f>IF(Sales[[#This Row],[Status]]="Cancelled",0,Sales[[#This Row],[Qty]])</f>
        <v>7</v>
      </c>
      <c r="R996" s="166">
        <f>IF(Sales[[#This Row],[Status]]="Cancelled",0,Sales[[#This Row],[Total Amount]])</f>
        <v>25440.799999999999</v>
      </c>
      <c r="S996" s="162">
        <f>SUM(Sales[Net Amount])</f>
        <v>406839287.73200053</v>
      </c>
    </row>
    <row r="997" spans="1:19" ht="18.75" x14ac:dyDescent="0.25">
      <c r="A997" s="156" t="s">
        <v>4587</v>
      </c>
      <c r="B997" s="157">
        <v>45830</v>
      </c>
      <c r="C997" s="158" t="s">
        <v>711</v>
      </c>
      <c r="D997" s="159" t="str">
        <f>VLOOKUP(Sales[[#This Row],[Customer ID]],Customer[#All],2,0)</f>
        <v>Priya Verma</v>
      </c>
      <c r="E997" s="158" t="s">
        <v>296</v>
      </c>
      <c r="F997" s="158" t="str">
        <f>VLOOKUP(Sales[[#This Row],[Product ID]],Product[#All],2,0)</f>
        <v>Logitech Webcam</v>
      </c>
      <c r="G997" s="159">
        <v>4</v>
      </c>
      <c r="H997" s="160">
        <f>VLOOKUP(Sales[[#This Row],[Product ID]],Product[#All],7,0)</f>
        <v>6060</v>
      </c>
      <c r="I997" s="160">
        <f>Sales[[#This Row],[Selling Rate]]*Sales[[#This Row],[Qty]]</f>
        <v>24240</v>
      </c>
      <c r="J997" s="43">
        <v>0.12</v>
      </c>
      <c r="K997" s="44">
        <f>Sales[[#This Row],[Gross Amount]]*Sales[[#This Row],[Disc %]]</f>
        <v>2908.7999999999997</v>
      </c>
      <c r="L997" s="43">
        <v>0.18</v>
      </c>
      <c r="M997" s="44">
        <f>(Sales[[#This Row],[Gross Amount]]-Sales[[#This Row],[Disc. Amt.]])*Sales[[#This Row],[GST %]]</f>
        <v>3839.616</v>
      </c>
      <c r="N997" s="161">
        <f>Sales[[#This Row],[Gross Amount]]-Sales[[#This Row],[Disc. Amt.]]+Sales[[#This Row],[GST Amount]]</f>
        <v>25170.815999999999</v>
      </c>
      <c r="O997" s="158" t="s">
        <v>3569</v>
      </c>
      <c r="P997" s="158" t="s">
        <v>3562</v>
      </c>
      <c r="Q997" s="160">
        <f>IF(Sales[[#This Row],[Status]]="Cancelled",0,Sales[[#This Row],[Qty]])</f>
        <v>4</v>
      </c>
      <c r="R997" s="161">
        <f>IF(Sales[[#This Row],[Status]]="Cancelled",0,Sales[[#This Row],[Total Amount]])</f>
        <v>25170.815999999999</v>
      </c>
      <c r="S997" s="162">
        <f>SUM(Sales[Net Amount])</f>
        <v>406839287.73200053</v>
      </c>
    </row>
    <row r="998" spans="1:19" ht="18.75" x14ac:dyDescent="0.25">
      <c r="A998" s="163" t="s">
        <v>4588</v>
      </c>
      <c r="B998" s="164">
        <v>45830</v>
      </c>
      <c r="C998" s="34" t="s">
        <v>919</v>
      </c>
      <c r="D998" s="53" t="str">
        <f>VLOOKUP(Sales[[#This Row],[Customer ID]],Customer[#All],2,0)</f>
        <v>Pooja Patel</v>
      </c>
      <c r="E998" s="34" t="s">
        <v>102</v>
      </c>
      <c r="F998" s="34" t="str">
        <f>VLOOKUP(Sales[[#This Row],[Product ID]],Product[#All],2,0)</f>
        <v>Canon Printer</v>
      </c>
      <c r="G998" s="53">
        <v>5</v>
      </c>
      <c r="H998" s="165">
        <f>VLOOKUP(Sales[[#This Row],[Product ID]],Product[#All],7,0)</f>
        <v>13010</v>
      </c>
      <c r="I998" s="165">
        <f>Sales[[#This Row],[Selling Rate]]*Sales[[#This Row],[Qty]]</f>
        <v>65050</v>
      </c>
      <c r="J998" s="45">
        <v>0.05</v>
      </c>
      <c r="K998" s="46">
        <f>Sales[[#This Row],[Gross Amount]]*Sales[[#This Row],[Disc %]]</f>
        <v>3252.5</v>
      </c>
      <c r="L998" s="43">
        <v>0.18</v>
      </c>
      <c r="M998" s="46">
        <f>(Sales[[#This Row],[Gross Amount]]-Sales[[#This Row],[Disc. Amt.]])*Sales[[#This Row],[GST %]]</f>
        <v>11123.55</v>
      </c>
      <c r="N998" s="161">
        <f>Sales[[#This Row],[Gross Amount]]-Sales[[#This Row],[Disc. Amt.]]+Sales[[#This Row],[GST Amount]]</f>
        <v>72921.05</v>
      </c>
      <c r="O998" s="34" t="s">
        <v>3569</v>
      </c>
      <c r="P998" s="34" t="s">
        <v>3562</v>
      </c>
      <c r="Q998" s="165">
        <f>IF(Sales[[#This Row],[Status]]="Cancelled",0,Sales[[#This Row],[Qty]])</f>
        <v>5</v>
      </c>
      <c r="R998" s="166">
        <f>IF(Sales[[#This Row],[Status]]="Cancelled",0,Sales[[#This Row],[Total Amount]])</f>
        <v>72921.05</v>
      </c>
      <c r="S998" s="162">
        <f>SUM(Sales[Net Amount])</f>
        <v>406839287.73200053</v>
      </c>
    </row>
    <row r="999" spans="1:19" ht="18.75" x14ac:dyDescent="0.25">
      <c r="A999" s="156" t="s">
        <v>4589</v>
      </c>
      <c r="B999" s="157">
        <v>45830</v>
      </c>
      <c r="C999" s="158" t="s">
        <v>739</v>
      </c>
      <c r="D999" s="159" t="str">
        <f>VLOOKUP(Sales[[#This Row],[Customer ID]],Customer[#All],2,0)</f>
        <v>Ankit Singh</v>
      </c>
      <c r="E999" s="158" t="s">
        <v>30</v>
      </c>
      <c r="F999" s="158" t="str">
        <f>VLOOKUP(Sales[[#This Row],[Product ID]],Product[#All],2,0)</f>
        <v>Samsung Monitor</v>
      </c>
      <c r="G999" s="159">
        <v>7</v>
      </c>
      <c r="H999" s="160">
        <f>VLOOKUP(Sales[[#This Row],[Product ID]],Product[#All],7,0)</f>
        <v>16740</v>
      </c>
      <c r="I999" s="160">
        <f>Sales[[#This Row],[Selling Rate]]*Sales[[#This Row],[Qty]]</f>
        <v>117180</v>
      </c>
      <c r="J999" s="43">
        <v>0</v>
      </c>
      <c r="K999" s="44">
        <f>Sales[[#This Row],[Gross Amount]]*Sales[[#This Row],[Disc %]]</f>
        <v>0</v>
      </c>
      <c r="L999" s="43">
        <v>0.18</v>
      </c>
      <c r="M999" s="44">
        <f>(Sales[[#This Row],[Gross Amount]]-Sales[[#This Row],[Disc. Amt.]])*Sales[[#This Row],[GST %]]</f>
        <v>21092.399999999998</v>
      </c>
      <c r="N999" s="161">
        <f>Sales[[#This Row],[Gross Amount]]-Sales[[#This Row],[Disc. Amt.]]+Sales[[#This Row],[GST Amount]]</f>
        <v>138272.4</v>
      </c>
      <c r="O999" s="158" t="s">
        <v>8876</v>
      </c>
      <c r="P999" s="158" t="s">
        <v>3562</v>
      </c>
      <c r="Q999" s="160">
        <f>IF(Sales[[#This Row],[Status]]="Cancelled",0,Sales[[#This Row],[Qty]])</f>
        <v>7</v>
      </c>
      <c r="R999" s="161">
        <f>IF(Sales[[#This Row],[Status]]="Cancelled",0,Sales[[#This Row],[Total Amount]])</f>
        <v>138272.4</v>
      </c>
      <c r="S999" s="162">
        <f>SUM(Sales[Net Amount])</f>
        <v>406839287.73200053</v>
      </c>
    </row>
    <row r="1000" spans="1:19" ht="18.75" x14ac:dyDescent="0.25">
      <c r="A1000" s="163" t="s">
        <v>4590</v>
      </c>
      <c r="B1000" s="164">
        <v>45830</v>
      </c>
      <c r="C1000" s="34" t="s">
        <v>806</v>
      </c>
      <c r="D1000" s="53" t="str">
        <f>VLOOKUP(Sales[[#This Row],[Customer ID]],Customer[#All],2,0)</f>
        <v>Vikas Singh</v>
      </c>
      <c r="E1000" s="34" t="s">
        <v>72</v>
      </c>
      <c r="F1000" s="34" t="str">
        <f>VLOOKUP(Sales[[#This Row],[Product ID]],Product[#All],2,0)</f>
        <v>Dell Keyboard</v>
      </c>
      <c r="G1000" s="53">
        <v>4</v>
      </c>
      <c r="H1000" s="165">
        <f>VLOOKUP(Sales[[#This Row],[Product ID]],Product[#All],7,0)</f>
        <v>1250</v>
      </c>
      <c r="I1000" s="165">
        <f>Sales[[#This Row],[Selling Rate]]*Sales[[#This Row],[Qty]]</f>
        <v>5000</v>
      </c>
      <c r="J1000" s="45">
        <v>0.15</v>
      </c>
      <c r="K1000" s="46">
        <f>Sales[[#This Row],[Gross Amount]]*Sales[[#This Row],[Disc %]]</f>
        <v>750</v>
      </c>
      <c r="L1000" s="43">
        <v>0.18</v>
      </c>
      <c r="M1000" s="46">
        <f>(Sales[[#This Row],[Gross Amount]]-Sales[[#This Row],[Disc. Amt.]])*Sales[[#This Row],[GST %]]</f>
        <v>765</v>
      </c>
      <c r="N1000" s="161">
        <f>Sales[[#This Row],[Gross Amount]]-Sales[[#This Row],[Disc. Amt.]]+Sales[[#This Row],[GST Amount]]</f>
        <v>5015</v>
      </c>
      <c r="O1000" s="34" t="s">
        <v>3561</v>
      </c>
      <c r="P1000" s="34" t="s">
        <v>3562</v>
      </c>
      <c r="Q1000" s="165">
        <f>IF(Sales[[#This Row],[Status]]="Cancelled",0,Sales[[#This Row],[Qty]])</f>
        <v>4</v>
      </c>
      <c r="R1000" s="166">
        <f>IF(Sales[[#This Row],[Status]]="Cancelled",0,Sales[[#This Row],[Total Amount]])</f>
        <v>5015</v>
      </c>
      <c r="S1000" s="162">
        <f>SUM(Sales[Net Amount])</f>
        <v>406839287.73200053</v>
      </c>
    </row>
    <row r="1001" spans="1:19" ht="18.75" x14ac:dyDescent="0.25">
      <c r="A1001" s="156" t="s">
        <v>4591</v>
      </c>
      <c r="B1001" s="157">
        <v>45830</v>
      </c>
      <c r="C1001" s="158" t="s">
        <v>690</v>
      </c>
      <c r="D1001" s="159" t="str">
        <f>VLOOKUP(Sales[[#This Row],[Customer ID]],Customer[#All],2,0)</f>
        <v>Priya Patel</v>
      </c>
      <c r="E1001" s="158" t="s">
        <v>387</v>
      </c>
      <c r="F1001" s="158" t="str">
        <f>VLOOKUP(Sales[[#This Row],[Product ID]],Product[#All],2,0)</f>
        <v>HP Printer</v>
      </c>
      <c r="G1001" s="159">
        <v>5</v>
      </c>
      <c r="H1001" s="160">
        <f>VLOOKUP(Sales[[#This Row],[Product ID]],Product[#All],7,0)</f>
        <v>14390</v>
      </c>
      <c r="I1001" s="160">
        <f>Sales[[#This Row],[Selling Rate]]*Sales[[#This Row],[Qty]]</f>
        <v>71950</v>
      </c>
      <c r="J1001" s="43">
        <v>0.15</v>
      </c>
      <c r="K1001" s="44">
        <f>Sales[[#This Row],[Gross Amount]]*Sales[[#This Row],[Disc %]]</f>
        <v>10792.5</v>
      </c>
      <c r="L1001" s="43">
        <v>0.18</v>
      </c>
      <c r="M1001" s="44">
        <f>(Sales[[#This Row],[Gross Amount]]-Sales[[#This Row],[Disc. Amt.]])*Sales[[#This Row],[GST %]]</f>
        <v>11008.35</v>
      </c>
      <c r="N1001" s="161">
        <f>Sales[[#This Row],[Gross Amount]]-Sales[[#This Row],[Disc. Amt.]]+Sales[[#This Row],[GST Amount]]</f>
        <v>72165.850000000006</v>
      </c>
      <c r="O1001" s="158" t="s">
        <v>8876</v>
      </c>
      <c r="P1001" s="158" t="s">
        <v>3562</v>
      </c>
      <c r="Q1001" s="160">
        <f>IF(Sales[[#This Row],[Status]]="Cancelled",0,Sales[[#This Row],[Qty]])</f>
        <v>5</v>
      </c>
      <c r="R1001" s="161">
        <f>IF(Sales[[#This Row],[Status]]="Cancelled",0,Sales[[#This Row],[Total Amount]])</f>
        <v>72165.850000000006</v>
      </c>
      <c r="S1001" s="162">
        <f>SUM(Sales[Net Amount])</f>
        <v>406839287.73200053</v>
      </c>
    </row>
    <row r="1002" spans="1:19" ht="18.75" x14ac:dyDescent="0.25">
      <c r="A1002" s="163" t="s">
        <v>4592</v>
      </c>
      <c r="B1002" s="164">
        <v>45831</v>
      </c>
      <c r="C1002" s="34" t="s">
        <v>729</v>
      </c>
      <c r="D1002" s="53" t="str">
        <f>VLOOKUP(Sales[[#This Row],[Customer ID]],Customer[#All],2,0)</f>
        <v>Ankit Kumar</v>
      </c>
      <c r="E1002" s="34" t="s">
        <v>349</v>
      </c>
      <c r="F1002" s="34" t="str">
        <f>VLOOKUP(Sales[[#This Row],[Product ID]],Product[#All],2,0)</f>
        <v>Samsung Monitor</v>
      </c>
      <c r="G1002" s="53">
        <v>8</v>
      </c>
      <c r="H1002" s="165">
        <f>VLOOKUP(Sales[[#This Row],[Product ID]],Product[#All],7,0)</f>
        <v>11070</v>
      </c>
      <c r="I1002" s="165">
        <f>Sales[[#This Row],[Selling Rate]]*Sales[[#This Row],[Qty]]</f>
        <v>88560</v>
      </c>
      <c r="J1002" s="45">
        <v>0.12</v>
      </c>
      <c r="K1002" s="46">
        <f>Sales[[#This Row],[Gross Amount]]*Sales[[#This Row],[Disc %]]</f>
        <v>10627.199999999999</v>
      </c>
      <c r="L1002" s="43">
        <v>0.18</v>
      </c>
      <c r="M1002" s="46">
        <f>(Sales[[#This Row],[Gross Amount]]-Sales[[#This Row],[Disc. Amt.]])*Sales[[#This Row],[GST %]]</f>
        <v>14027.904</v>
      </c>
      <c r="N1002" s="161">
        <f>Sales[[#This Row],[Gross Amount]]-Sales[[#This Row],[Disc. Amt.]]+Sales[[#This Row],[GST Amount]]</f>
        <v>91960.703999999998</v>
      </c>
      <c r="O1002" s="34" t="s">
        <v>3561</v>
      </c>
      <c r="P1002" s="34" t="s">
        <v>3562</v>
      </c>
      <c r="Q1002" s="165">
        <f>IF(Sales[[#This Row],[Status]]="Cancelled",0,Sales[[#This Row],[Qty]])</f>
        <v>8</v>
      </c>
      <c r="R1002" s="166">
        <f>IF(Sales[[#This Row],[Status]]="Cancelled",0,Sales[[#This Row],[Total Amount]])</f>
        <v>91960.703999999998</v>
      </c>
      <c r="S1002" s="162">
        <f>SUM(Sales[Net Amount])</f>
        <v>406839287.73200053</v>
      </c>
    </row>
    <row r="1003" spans="1:19" ht="18.75" x14ac:dyDescent="0.25">
      <c r="A1003" s="156" t="s">
        <v>4593</v>
      </c>
      <c r="B1003" s="157">
        <v>45831</v>
      </c>
      <c r="C1003" s="158" t="s">
        <v>887</v>
      </c>
      <c r="D1003" s="159" t="str">
        <f>VLOOKUP(Sales[[#This Row],[Customer ID]],Customer[#All],2,0)</f>
        <v>Sahil Verma</v>
      </c>
      <c r="E1003" s="158" t="s">
        <v>304</v>
      </c>
      <c r="F1003" s="158" t="str">
        <f>VLOOKUP(Sales[[#This Row],[Product ID]],Product[#All],2,0)</f>
        <v>TP-link Router</v>
      </c>
      <c r="G1003" s="159">
        <v>3</v>
      </c>
      <c r="H1003" s="160">
        <f>VLOOKUP(Sales[[#This Row],[Product ID]],Product[#All],7,0)</f>
        <v>3320</v>
      </c>
      <c r="I1003" s="160">
        <f>Sales[[#This Row],[Selling Rate]]*Sales[[#This Row],[Qty]]</f>
        <v>9960</v>
      </c>
      <c r="J1003" s="43">
        <v>0.15</v>
      </c>
      <c r="K1003" s="44">
        <f>Sales[[#This Row],[Gross Amount]]*Sales[[#This Row],[Disc %]]</f>
        <v>1494</v>
      </c>
      <c r="L1003" s="43">
        <v>0.18</v>
      </c>
      <c r="M1003" s="44">
        <f>(Sales[[#This Row],[Gross Amount]]-Sales[[#This Row],[Disc. Amt.]])*Sales[[#This Row],[GST %]]</f>
        <v>1523.8799999999999</v>
      </c>
      <c r="N1003" s="161">
        <f>Sales[[#This Row],[Gross Amount]]-Sales[[#This Row],[Disc. Amt.]]+Sales[[#This Row],[GST Amount]]</f>
        <v>9989.8799999999992</v>
      </c>
      <c r="O1003" s="158" t="s">
        <v>3561</v>
      </c>
      <c r="P1003" s="158" t="s">
        <v>3562</v>
      </c>
      <c r="Q1003" s="160">
        <f>IF(Sales[[#This Row],[Status]]="Cancelled",0,Sales[[#This Row],[Qty]])</f>
        <v>3</v>
      </c>
      <c r="R1003" s="161">
        <f>IF(Sales[[#This Row],[Status]]="Cancelled",0,Sales[[#This Row],[Total Amount]])</f>
        <v>9989.8799999999992</v>
      </c>
      <c r="S1003" s="162">
        <f>SUM(Sales[Net Amount])</f>
        <v>406839287.73200053</v>
      </c>
    </row>
    <row r="1004" spans="1:19" ht="18.75" x14ac:dyDescent="0.25">
      <c r="A1004" s="163" t="s">
        <v>4594</v>
      </c>
      <c r="B1004" s="164">
        <v>45831</v>
      </c>
      <c r="C1004" s="34" t="s">
        <v>789</v>
      </c>
      <c r="D1004" s="53" t="str">
        <f>VLOOKUP(Sales[[#This Row],[Customer ID]],Customer[#All],2,0)</f>
        <v>Ankit Patel</v>
      </c>
      <c r="E1004" s="34" t="s">
        <v>552</v>
      </c>
      <c r="F1004" s="34" t="str">
        <f>VLOOKUP(Sales[[#This Row],[Product ID]],Product[#All],2,0)</f>
        <v>American TouristerLaptopBag</v>
      </c>
      <c r="G1004" s="53">
        <v>6</v>
      </c>
      <c r="H1004" s="165">
        <f>VLOOKUP(Sales[[#This Row],[Product ID]],Product[#All],7,0)</f>
        <v>5080</v>
      </c>
      <c r="I1004" s="165">
        <f>Sales[[#This Row],[Selling Rate]]*Sales[[#This Row],[Qty]]</f>
        <v>30480</v>
      </c>
      <c r="J1004" s="45">
        <v>0.1</v>
      </c>
      <c r="K1004" s="46">
        <f>Sales[[#This Row],[Gross Amount]]*Sales[[#This Row],[Disc %]]</f>
        <v>3048</v>
      </c>
      <c r="L1004" s="43">
        <v>0.18</v>
      </c>
      <c r="M1004" s="46">
        <f>(Sales[[#This Row],[Gross Amount]]-Sales[[#This Row],[Disc. Amt.]])*Sales[[#This Row],[GST %]]</f>
        <v>4937.76</v>
      </c>
      <c r="N1004" s="161">
        <f>Sales[[#This Row],[Gross Amount]]-Sales[[#This Row],[Disc. Amt.]]+Sales[[#This Row],[GST Amount]]</f>
        <v>32369.760000000002</v>
      </c>
      <c r="O1004" s="34" t="s">
        <v>3561</v>
      </c>
      <c r="P1004" s="34" t="s">
        <v>3562</v>
      </c>
      <c r="Q1004" s="165">
        <f>IF(Sales[[#This Row],[Status]]="Cancelled",0,Sales[[#This Row],[Qty]])</f>
        <v>6</v>
      </c>
      <c r="R1004" s="166">
        <f>IF(Sales[[#This Row],[Status]]="Cancelled",0,Sales[[#This Row],[Total Amount]])</f>
        <v>32369.760000000002</v>
      </c>
      <c r="S1004" s="162">
        <f>SUM(Sales[Net Amount])</f>
        <v>406839287.73200053</v>
      </c>
    </row>
    <row r="1005" spans="1:19" ht="18.75" x14ac:dyDescent="0.25">
      <c r="A1005" s="156" t="s">
        <v>4595</v>
      </c>
      <c r="B1005" s="157">
        <v>45831</v>
      </c>
      <c r="C1005" s="158" t="s">
        <v>782</v>
      </c>
      <c r="D1005" s="159" t="str">
        <f>VLOOKUP(Sales[[#This Row],[Customer ID]],Customer[#All],2,0)</f>
        <v>Vikas Singh</v>
      </c>
      <c r="E1005" s="158" t="s">
        <v>263</v>
      </c>
      <c r="F1005" s="158" t="str">
        <f>VLOOKUP(Sales[[#This Row],[Product ID]],Product[#All],2,0)</f>
        <v>Amazon Basics Hdmi Cable</v>
      </c>
      <c r="G1005" s="159">
        <v>8</v>
      </c>
      <c r="H1005" s="160">
        <f>VLOOKUP(Sales[[#This Row],[Product ID]],Product[#All],7,0)</f>
        <v>770</v>
      </c>
      <c r="I1005" s="160">
        <f>Sales[[#This Row],[Selling Rate]]*Sales[[#This Row],[Qty]]</f>
        <v>6160</v>
      </c>
      <c r="J1005" s="43">
        <v>0.02</v>
      </c>
      <c r="K1005" s="44">
        <f>Sales[[#This Row],[Gross Amount]]*Sales[[#This Row],[Disc %]]</f>
        <v>123.2</v>
      </c>
      <c r="L1005" s="43">
        <v>0.18</v>
      </c>
      <c r="M1005" s="44">
        <f>(Sales[[#This Row],[Gross Amount]]-Sales[[#This Row],[Disc. Amt.]])*Sales[[#This Row],[GST %]]</f>
        <v>1086.624</v>
      </c>
      <c r="N1005" s="161">
        <f>Sales[[#This Row],[Gross Amount]]-Sales[[#This Row],[Disc. Amt.]]+Sales[[#This Row],[GST Amount]]</f>
        <v>7123.424</v>
      </c>
      <c r="O1005" s="158" t="s">
        <v>8876</v>
      </c>
      <c r="P1005" s="158" t="s">
        <v>1040</v>
      </c>
      <c r="Q1005" s="160">
        <f>IF(Sales[[#This Row],[Status]]="Cancelled",0,Sales[[#This Row],[Qty]])</f>
        <v>0</v>
      </c>
      <c r="R1005" s="161">
        <f>IF(Sales[[#This Row],[Status]]="Cancelled",0,Sales[[#This Row],[Total Amount]])</f>
        <v>0</v>
      </c>
      <c r="S1005" s="162">
        <f>SUM(Sales[Net Amount])</f>
        <v>406839287.73200053</v>
      </c>
    </row>
    <row r="1006" spans="1:19" ht="18.75" x14ac:dyDescent="0.25">
      <c r="A1006" s="163" t="s">
        <v>4596</v>
      </c>
      <c r="B1006" s="164">
        <v>45831</v>
      </c>
      <c r="C1006" s="34" t="s">
        <v>864</v>
      </c>
      <c r="D1006" s="53" t="str">
        <f>VLOOKUP(Sales[[#This Row],[Customer ID]],Customer[#All],2,0)</f>
        <v>Sahil Sharma</v>
      </c>
      <c r="E1006" s="34" t="s">
        <v>131</v>
      </c>
      <c r="F1006" s="34" t="str">
        <f>VLOOKUP(Sales[[#This Row],[Product ID]],Product[#All],2,0)</f>
        <v>HP Power Adapter</v>
      </c>
      <c r="G1006" s="53">
        <v>1</v>
      </c>
      <c r="H1006" s="165">
        <f>VLOOKUP(Sales[[#This Row],[Product ID]],Product[#All],7,0)</f>
        <v>2540</v>
      </c>
      <c r="I1006" s="165">
        <f>Sales[[#This Row],[Selling Rate]]*Sales[[#This Row],[Qty]]</f>
        <v>2540</v>
      </c>
      <c r="J1006" s="45">
        <v>0</v>
      </c>
      <c r="K1006" s="46">
        <f>Sales[[#This Row],[Gross Amount]]*Sales[[#This Row],[Disc %]]</f>
        <v>0</v>
      </c>
      <c r="L1006" s="43">
        <v>0.18</v>
      </c>
      <c r="M1006" s="46">
        <f>(Sales[[#This Row],[Gross Amount]]-Sales[[#This Row],[Disc. Amt.]])*Sales[[#This Row],[GST %]]</f>
        <v>457.2</v>
      </c>
      <c r="N1006" s="161">
        <f>Sales[[#This Row],[Gross Amount]]-Sales[[#This Row],[Disc. Amt.]]+Sales[[#This Row],[GST Amount]]</f>
        <v>2997.2</v>
      </c>
      <c r="O1006" s="34" t="s">
        <v>8876</v>
      </c>
      <c r="P1006" s="34" t="s">
        <v>3562</v>
      </c>
      <c r="Q1006" s="165">
        <f>IF(Sales[[#This Row],[Status]]="Cancelled",0,Sales[[#This Row],[Qty]])</f>
        <v>1</v>
      </c>
      <c r="R1006" s="166">
        <f>IF(Sales[[#This Row],[Status]]="Cancelled",0,Sales[[#This Row],[Total Amount]])</f>
        <v>2997.2</v>
      </c>
      <c r="S1006" s="162">
        <f>SUM(Sales[Net Amount])</f>
        <v>406839287.73200053</v>
      </c>
    </row>
    <row r="1007" spans="1:19" ht="18.75" x14ac:dyDescent="0.25">
      <c r="A1007" s="156" t="s">
        <v>4597</v>
      </c>
      <c r="B1007" s="157">
        <v>45831</v>
      </c>
      <c r="C1007" s="158" t="s">
        <v>947</v>
      </c>
      <c r="D1007" s="159" t="str">
        <f>VLOOKUP(Sales[[#This Row],[Customer ID]],Customer[#All],2,0)</f>
        <v>Sunita Singh</v>
      </c>
      <c r="E1007" s="158" t="s">
        <v>361</v>
      </c>
      <c r="F1007" s="158" t="str">
        <f>VLOOKUP(Sales[[#This Row],[Product ID]],Product[#All],2,0)</f>
        <v>Epson Printer</v>
      </c>
      <c r="G1007" s="159">
        <v>1</v>
      </c>
      <c r="H1007" s="160">
        <f>VLOOKUP(Sales[[#This Row],[Product ID]],Product[#All],7,0)</f>
        <v>26570</v>
      </c>
      <c r="I1007" s="160">
        <f>Sales[[#This Row],[Selling Rate]]*Sales[[#This Row],[Qty]]</f>
        <v>26570</v>
      </c>
      <c r="J1007" s="43">
        <v>0.15</v>
      </c>
      <c r="K1007" s="44">
        <f>Sales[[#This Row],[Gross Amount]]*Sales[[#This Row],[Disc %]]</f>
        <v>3985.5</v>
      </c>
      <c r="L1007" s="43">
        <v>0.18</v>
      </c>
      <c r="M1007" s="44">
        <f>(Sales[[#This Row],[Gross Amount]]-Sales[[#This Row],[Disc. Amt.]])*Sales[[#This Row],[GST %]]</f>
        <v>4065.21</v>
      </c>
      <c r="N1007" s="161">
        <f>Sales[[#This Row],[Gross Amount]]-Sales[[#This Row],[Disc. Amt.]]+Sales[[#This Row],[GST Amount]]</f>
        <v>26649.71</v>
      </c>
      <c r="O1007" s="158" t="s">
        <v>8876</v>
      </c>
      <c r="P1007" s="158" t="s">
        <v>3562</v>
      </c>
      <c r="Q1007" s="160">
        <f>IF(Sales[[#This Row],[Status]]="Cancelled",0,Sales[[#This Row],[Qty]])</f>
        <v>1</v>
      </c>
      <c r="R1007" s="161">
        <f>IF(Sales[[#This Row],[Status]]="Cancelled",0,Sales[[#This Row],[Total Amount]])</f>
        <v>26649.71</v>
      </c>
      <c r="S1007" s="162">
        <f>SUM(Sales[Net Amount])</f>
        <v>406839287.73200053</v>
      </c>
    </row>
    <row r="1008" spans="1:19" ht="18.75" x14ac:dyDescent="0.25">
      <c r="A1008" s="163" t="s">
        <v>4598</v>
      </c>
      <c r="B1008" s="164">
        <v>45831</v>
      </c>
      <c r="C1008" s="34" t="s">
        <v>847</v>
      </c>
      <c r="D1008" s="53" t="str">
        <f>VLOOKUP(Sales[[#This Row],[Customer ID]],Customer[#All],2,0)</f>
        <v>Ankit Gupta</v>
      </c>
      <c r="E1008" s="34" t="s">
        <v>280</v>
      </c>
      <c r="F1008" s="34" t="str">
        <f>VLOOKUP(Sales[[#This Row],[Product ID]],Product[#All],2,0)</f>
        <v>Epson Printer</v>
      </c>
      <c r="G1008" s="53">
        <v>1</v>
      </c>
      <c r="H1008" s="165">
        <f>VLOOKUP(Sales[[#This Row],[Product ID]],Product[#All],7,0)</f>
        <v>34550</v>
      </c>
      <c r="I1008" s="165">
        <f>Sales[[#This Row],[Selling Rate]]*Sales[[#This Row],[Qty]]</f>
        <v>34550</v>
      </c>
      <c r="J1008" s="45">
        <v>0</v>
      </c>
      <c r="K1008" s="46">
        <f>Sales[[#This Row],[Gross Amount]]*Sales[[#This Row],[Disc %]]</f>
        <v>0</v>
      </c>
      <c r="L1008" s="43">
        <v>0.18</v>
      </c>
      <c r="M1008" s="46">
        <f>(Sales[[#This Row],[Gross Amount]]-Sales[[#This Row],[Disc. Amt.]])*Sales[[#This Row],[GST %]]</f>
        <v>6219</v>
      </c>
      <c r="N1008" s="161">
        <f>Sales[[#This Row],[Gross Amount]]-Sales[[#This Row],[Disc. Amt.]]+Sales[[#This Row],[GST Amount]]</f>
        <v>40769</v>
      </c>
      <c r="O1008" s="34" t="s">
        <v>3569</v>
      </c>
      <c r="P1008" s="34" t="s">
        <v>3562</v>
      </c>
      <c r="Q1008" s="165">
        <f>IF(Sales[[#This Row],[Status]]="Cancelled",0,Sales[[#This Row],[Qty]])</f>
        <v>1</v>
      </c>
      <c r="R1008" s="166">
        <f>IF(Sales[[#This Row],[Status]]="Cancelled",0,Sales[[#This Row],[Total Amount]])</f>
        <v>40769</v>
      </c>
      <c r="S1008" s="162">
        <f>SUM(Sales[Net Amount])</f>
        <v>406839287.73200053</v>
      </c>
    </row>
    <row r="1009" spans="1:19" ht="18.75" x14ac:dyDescent="0.25">
      <c r="A1009" s="156" t="s">
        <v>4599</v>
      </c>
      <c r="B1009" s="157">
        <v>45831</v>
      </c>
      <c r="C1009" s="158" t="s">
        <v>830</v>
      </c>
      <c r="D1009" s="159" t="str">
        <f>VLOOKUP(Sales[[#This Row],[Customer ID]],Customer[#All],2,0)</f>
        <v>Rakesh Singh</v>
      </c>
      <c r="E1009" s="158" t="s">
        <v>507</v>
      </c>
      <c r="F1009" s="158" t="str">
        <f>VLOOKUP(Sales[[#This Row],[Product ID]],Product[#All],2,0)</f>
        <v>American TouristerLaptopBag</v>
      </c>
      <c r="G1009" s="159">
        <v>6</v>
      </c>
      <c r="H1009" s="160">
        <f>VLOOKUP(Sales[[#This Row],[Product ID]],Product[#All],7,0)</f>
        <v>2030</v>
      </c>
      <c r="I1009" s="160">
        <f>Sales[[#This Row],[Selling Rate]]*Sales[[#This Row],[Qty]]</f>
        <v>12180</v>
      </c>
      <c r="J1009" s="43">
        <v>0.12</v>
      </c>
      <c r="K1009" s="44">
        <f>Sales[[#This Row],[Gross Amount]]*Sales[[#This Row],[Disc %]]</f>
        <v>1461.6</v>
      </c>
      <c r="L1009" s="43">
        <v>0.18</v>
      </c>
      <c r="M1009" s="44">
        <f>(Sales[[#This Row],[Gross Amount]]-Sales[[#This Row],[Disc. Amt.]])*Sales[[#This Row],[GST %]]</f>
        <v>1929.3119999999999</v>
      </c>
      <c r="N1009" s="161">
        <f>Sales[[#This Row],[Gross Amount]]-Sales[[#This Row],[Disc. Amt.]]+Sales[[#This Row],[GST Amount]]</f>
        <v>12647.712</v>
      </c>
      <c r="O1009" s="158" t="s">
        <v>3566</v>
      </c>
      <c r="P1009" s="158" t="s">
        <v>3562</v>
      </c>
      <c r="Q1009" s="160">
        <f>IF(Sales[[#This Row],[Status]]="Cancelled",0,Sales[[#This Row],[Qty]])</f>
        <v>6</v>
      </c>
      <c r="R1009" s="161">
        <f>IF(Sales[[#This Row],[Status]]="Cancelled",0,Sales[[#This Row],[Total Amount]])</f>
        <v>12647.712</v>
      </c>
      <c r="S1009" s="162">
        <f>SUM(Sales[Net Amount])</f>
        <v>406839287.73200053</v>
      </c>
    </row>
    <row r="1010" spans="1:19" ht="18.75" x14ac:dyDescent="0.25">
      <c r="A1010" s="163" t="s">
        <v>4600</v>
      </c>
      <c r="B1010" s="164">
        <v>45831</v>
      </c>
      <c r="C1010" s="34" t="s">
        <v>776</v>
      </c>
      <c r="D1010" s="53" t="str">
        <f>VLOOKUP(Sales[[#This Row],[Customer ID]],Customer[#All],2,0)</f>
        <v>Sunita Singh</v>
      </c>
      <c r="E1010" s="34" t="s">
        <v>253</v>
      </c>
      <c r="F1010" s="34" t="str">
        <f>VLOOKUP(Sales[[#This Row],[Product ID]],Product[#All],2,0)</f>
        <v>Acer Laptop</v>
      </c>
      <c r="G1010" s="53">
        <v>4</v>
      </c>
      <c r="H1010" s="165">
        <f>VLOOKUP(Sales[[#This Row],[Product ID]],Product[#All],7,0)</f>
        <v>40550</v>
      </c>
      <c r="I1010" s="165">
        <f>Sales[[#This Row],[Selling Rate]]*Sales[[#This Row],[Qty]]</f>
        <v>162200</v>
      </c>
      <c r="J1010" s="45">
        <v>0.05</v>
      </c>
      <c r="K1010" s="46">
        <f>Sales[[#This Row],[Gross Amount]]*Sales[[#This Row],[Disc %]]</f>
        <v>8110</v>
      </c>
      <c r="L1010" s="43">
        <v>0.18</v>
      </c>
      <c r="M1010" s="46">
        <f>(Sales[[#This Row],[Gross Amount]]-Sales[[#This Row],[Disc. Amt.]])*Sales[[#This Row],[GST %]]</f>
        <v>27736.2</v>
      </c>
      <c r="N1010" s="161">
        <f>Sales[[#This Row],[Gross Amount]]-Sales[[#This Row],[Disc. Amt.]]+Sales[[#This Row],[GST Amount]]</f>
        <v>181826.2</v>
      </c>
      <c r="O1010" s="34" t="s">
        <v>3569</v>
      </c>
      <c r="P1010" s="34" t="s">
        <v>3562</v>
      </c>
      <c r="Q1010" s="165">
        <f>IF(Sales[[#This Row],[Status]]="Cancelled",0,Sales[[#This Row],[Qty]])</f>
        <v>4</v>
      </c>
      <c r="R1010" s="166">
        <f>IF(Sales[[#This Row],[Status]]="Cancelled",0,Sales[[#This Row],[Total Amount]])</f>
        <v>181826.2</v>
      </c>
      <c r="S1010" s="162">
        <f>SUM(Sales[Net Amount])</f>
        <v>406839287.73200053</v>
      </c>
    </row>
    <row r="1011" spans="1:19" ht="18.75" x14ac:dyDescent="0.25">
      <c r="A1011" s="156" t="s">
        <v>4601</v>
      </c>
      <c r="B1011" s="157">
        <v>45831</v>
      </c>
      <c r="C1011" s="158" t="s">
        <v>800</v>
      </c>
      <c r="D1011" s="159" t="str">
        <f>VLOOKUP(Sales[[#This Row],[Customer ID]],Customer[#All],2,0)</f>
        <v>Priya Gupta</v>
      </c>
      <c r="E1011" s="158" t="s">
        <v>151</v>
      </c>
      <c r="F1011" s="158" t="str">
        <f>VLOOKUP(Sales[[#This Row],[Product ID]],Product[#All],2,0)</f>
        <v>Jbl Speaker</v>
      </c>
      <c r="G1011" s="159">
        <v>6</v>
      </c>
      <c r="H1011" s="160">
        <f>VLOOKUP(Sales[[#This Row],[Product ID]],Product[#All],7,0)</f>
        <v>7010</v>
      </c>
      <c r="I1011" s="160">
        <f>Sales[[#This Row],[Selling Rate]]*Sales[[#This Row],[Qty]]</f>
        <v>42060</v>
      </c>
      <c r="J1011" s="43">
        <v>0</v>
      </c>
      <c r="K1011" s="44">
        <f>Sales[[#This Row],[Gross Amount]]*Sales[[#This Row],[Disc %]]</f>
        <v>0</v>
      </c>
      <c r="L1011" s="43">
        <v>0.18</v>
      </c>
      <c r="M1011" s="44">
        <f>(Sales[[#This Row],[Gross Amount]]-Sales[[#This Row],[Disc. Amt.]])*Sales[[#This Row],[GST %]]</f>
        <v>7570.7999999999993</v>
      </c>
      <c r="N1011" s="161">
        <f>Sales[[#This Row],[Gross Amount]]-Sales[[#This Row],[Disc. Amt.]]+Sales[[#This Row],[GST Amount]]</f>
        <v>49630.8</v>
      </c>
      <c r="O1011" s="158" t="s">
        <v>3561</v>
      </c>
      <c r="P1011" s="158" t="s">
        <v>3562</v>
      </c>
      <c r="Q1011" s="160">
        <f>IF(Sales[[#This Row],[Status]]="Cancelled",0,Sales[[#This Row],[Qty]])</f>
        <v>6</v>
      </c>
      <c r="R1011" s="161">
        <f>IF(Sales[[#This Row],[Status]]="Cancelled",0,Sales[[#This Row],[Total Amount]])</f>
        <v>49630.8</v>
      </c>
      <c r="S1011" s="162">
        <f>SUM(Sales[Net Amount])</f>
        <v>406839287.73200053</v>
      </c>
    </row>
    <row r="1012" spans="1:19" ht="18.75" x14ac:dyDescent="0.25">
      <c r="A1012" s="163" t="s">
        <v>4602</v>
      </c>
      <c r="B1012" s="164">
        <v>45831</v>
      </c>
      <c r="C1012" s="34" t="s">
        <v>865</v>
      </c>
      <c r="D1012" s="53" t="str">
        <f>VLOOKUP(Sales[[#This Row],[Customer ID]],Customer[#All],2,0)</f>
        <v>Sunita Gupta</v>
      </c>
      <c r="E1012" s="34" t="s">
        <v>173</v>
      </c>
      <c r="F1012" s="34" t="str">
        <f>VLOOKUP(Sales[[#This Row],[Product ID]],Product[#All],2,0)</f>
        <v>HP Desktop</v>
      </c>
      <c r="G1012" s="53">
        <v>5</v>
      </c>
      <c r="H1012" s="165">
        <f>VLOOKUP(Sales[[#This Row],[Product ID]],Product[#All],7,0)</f>
        <v>69180</v>
      </c>
      <c r="I1012" s="165">
        <f>Sales[[#This Row],[Selling Rate]]*Sales[[#This Row],[Qty]]</f>
        <v>345900</v>
      </c>
      <c r="J1012" s="45">
        <v>0.02</v>
      </c>
      <c r="K1012" s="46">
        <f>Sales[[#This Row],[Gross Amount]]*Sales[[#This Row],[Disc %]]</f>
        <v>6918</v>
      </c>
      <c r="L1012" s="43">
        <v>0.18</v>
      </c>
      <c r="M1012" s="46">
        <f>(Sales[[#This Row],[Gross Amount]]-Sales[[#This Row],[Disc. Amt.]])*Sales[[#This Row],[GST %]]</f>
        <v>61016.759999999995</v>
      </c>
      <c r="N1012" s="161">
        <f>Sales[[#This Row],[Gross Amount]]-Sales[[#This Row],[Disc. Amt.]]+Sales[[#This Row],[GST Amount]]</f>
        <v>399998.76</v>
      </c>
      <c r="O1012" s="34" t="s">
        <v>8876</v>
      </c>
      <c r="P1012" s="34" t="s">
        <v>3562</v>
      </c>
      <c r="Q1012" s="165">
        <f>IF(Sales[[#This Row],[Status]]="Cancelled",0,Sales[[#This Row],[Qty]])</f>
        <v>5</v>
      </c>
      <c r="R1012" s="166">
        <f>IF(Sales[[#This Row],[Status]]="Cancelled",0,Sales[[#This Row],[Total Amount]])</f>
        <v>399998.76</v>
      </c>
      <c r="S1012" s="162">
        <f>SUM(Sales[Net Amount])</f>
        <v>406839287.73200053</v>
      </c>
    </row>
    <row r="1013" spans="1:19" ht="18.75" x14ac:dyDescent="0.25">
      <c r="A1013" s="156" t="s">
        <v>4603</v>
      </c>
      <c r="B1013" s="157">
        <v>45831</v>
      </c>
      <c r="C1013" s="158" t="s">
        <v>673</v>
      </c>
      <c r="D1013" s="159" t="str">
        <f>VLOOKUP(Sales[[#This Row],[Customer ID]],Customer[#All],2,0)</f>
        <v>Sunita Gupta</v>
      </c>
      <c r="E1013" s="158" t="s">
        <v>260</v>
      </c>
      <c r="F1013" s="158" t="str">
        <f>VLOOKUP(Sales[[#This Row],[Product ID]],Product[#All],2,0)</f>
        <v>Corsair Ram</v>
      </c>
      <c r="G1013" s="159">
        <v>8</v>
      </c>
      <c r="H1013" s="160">
        <f>VLOOKUP(Sales[[#This Row],[Product ID]],Product[#All],7,0)</f>
        <v>6010</v>
      </c>
      <c r="I1013" s="160">
        <f>Sales[[#This Row],[Selling Rate]]*Sales[[#This Row],[Qty]]</f>
        <v>48080</v>
      </c>
      <c r="J1013" s="43">
        <v>0.1</v>
      </c>
      <c r="K1013" s="44">
        <f>Sales[[#This Row],[Gross Amount]]*Sales[[#This Row],[Disc %]]</f>
        <v>4808</v>
      </c>
      <c r="L1013" s="43">
        <v>0.18</v>
      </c>
      <c r="M1013" s="44">
        <f>(Sales[[#This Row],[Gross Amount]]-Sales[[#This Row],[Disc. Amt.]])*Sales[[#This Row],[GST %]]</f>
        <v>7788.96</v>
      </c>
      <c r="N1013" s="161">
        <f>Sales[[#This Row],[Gross Amount]]-Sales[[#This Row],[Disc. Amt.]]+Sales[[#This Row],[GST Amount]]</f>
        <v>51060.959999999999</v>
      </c>
      <c r="O1013" s="158" t="s">
        <v>3569</v>
      </c>
      <c r="P1013" s="158" t="s">
        <v>3562</v>
      </c>
      <c r="Q1013" s="160">
        <f>IF(Sales[[#This Row],[Status]]="Cancelled",0,Sales[[#This Row],[Qty]])</f>
        <v>8</v>
      </c>
      <c r="R1013" s="161">
        <f>IF(Sales[[#This Row],[Status]]="Cancelled",0,Sales[[#This Row],[Total Amount]])</f>
        <v>51060.959999999999</v>
      </c>
      <c r="S1013" s="162">
        <f>SUM(Sales[Net Amount])</f>
        <v>406839287.73200053</v>
      </c>
    </row>
    <row r="1014" spans="1:19" ht="18.75" x14ac:dyDescent="0.25">
      <c r="A1014" s="163" t="s">
        <v>4604</v>
      </c>
      <c r="B1014" s="164">
        <v>45831</v>
      </c>
      <c r="C1014" s="34" t="s">
        <v>909</v>
      </c>
      <c r="D1014" s="53" t="str">
        <f>VLOOKUP(Sales[[#This Row],[Customer ID]],Customer[#All],2,0)</f>
        <v>Priya Sharma</v>
      </c>
      <c r="E1014" s="34" t="s">
        <v>478</v>
      </c>
      <c r="F1014" s="34" t="str">
        <f>VLOOKUP(Sales[[#This Row],[Product ID]],Product[#All],2,0)</f>
        <v>American TouristerLaptopBag</v>
      </c>
      <c r="G1014" s="53">
        <v>6</v>
      </c>
      <c r="H1014" s="165">
        <f>VLOOKUP(Sales[[#This Row],[Product ID]],Product[#All],7,0)</f>
        <v>6010</v>
      </c>
      <c r="I1014" s="165">
        <f>Sales[[#This Row],[Selling Rate]]*Sales[[#This Row],[Qty]]</f>
        <v>36060</v>
      </c>
      <c r="J1014" s="45">
        <v>0.02</v>
      </c>
      <c r="K1014" s="46">
        <f>Sales[[#This Row],[Gross Amount]]*Sales[[#This Row],[Disc %]]</f>
        <v>721.2</v>
      </c>
      <c r="L1014" s="43">
        <v>0.18</v>
      </c>
      <c r="M1014" s="46">
        <f>(Sales[[#This Row],[Gross Amount]]-Sales[[#This Row],[Disc. Amt.]])*Sales[[#This Row],[GST %]]</f>
        <v>6360.9840000000004</v>
      </c>
      <c r="N1014" s="161">
        <f>Sales[[#This Row],[Gross Amount]]-Sales[[#This Row],[Disc. Amt.]]+Sales[[#This Row],[GST Amount]]</f>
        <v>41699.784</v>
      </c>
      <c r="O1014" s="34" t="s">
        <v>3569</v>
      </c>
      <c r="P1014" s="34" t="s">
        <v>3562</v>
      </c>
      <c r="Q1014" s="165">
        <f>IF(Sales[[#This Row],[Status]]="Cancelled",0,Sales[[#This Row],[Qty]])</f>
        <v>6</v>
      </c>
      <c r="R1014" s="166">
        <f>IF(Sales[[#This Row],[Status]]="Cancelled",0,Sales[[#This Row],[Total Amount]])</f>
        <v>41699.784</v>
      </c>
      <c r="S1014" s="162">
        <f>SUM(Sales[Net Amount])</f>
        <v>406839287.73200053</v>
      </c>
    </row>
    <row r="1015" spans="1:19" ht="18.75" x14ac:dyDescent="0.25">
      <c r="A1015" s="156" t="s">
        <v>4605</v>
      </c>
      <c r="B1015" s="157">
        <v>45831</v>
      </c>
      <c r="C1015" s="158" t="s">
        <v>852</v>
      </c>
      <c r="D1015" s="159" t="str">
        <f>VLOOKUP(Sales[[#This Row],[Customer ID]],Customer[#All],2,0)</f>
        <v>Neha Singh</v>
      </c>
      <c r="E1015" s="158" t="s">
        <v>498</v>
      </c>
      <c r="F1015" s="158" t="str">
        <f>VLOOKUP(Sales[[#This Row],[Product ID]],Product[#All],2,0)</f>
        <v>Kingston Ram</v>
      </c>
      <c r="G1015" s="159">
        <v>2</v>
      </c>
      <c r="H1015" s="160">
        <f>VLOOKUP(Sales[[#This Row],[Product ID]],Product[#All],7,0)</f>
        <v>4750</v>
      </c>
      <c r="I1015" s="160">
        <f>Sales[[#This Row],[Selling Rate]]*Sales[[#This Row],[Qty]]</f>
        <v>9500</v>
      </c>
      <c r="J1015" s="43">
        <v>0.05</v>
      </c>
      <c r="K1015" s="44">
        <f>Sales[[#This Row],[Gross Amount]]*Sales[[#This Row],[Disc %]]</f>
        <v>475</v>
      </c>
      <c r="L1015" s="43">
        <v>0.18</v>
      </c>
      <c r="M1015" s="44">
        <f>(Sales[[#This Row],[Gross Amount]]-Sales[[#This Row],[Disc. Amt.]])*Sales[[#This Row],[GST %]]</f>
        <v>1624.5</v>
      </c>
      <c r="N1015" s="161">
        <f>Sales[[#This Row],[Gross Amount]]-Sales[[#This Row],[Disc. Amt.]]+Sales[[#This Row],[GST Amount]]</f>
        <v>10649.5</v>
      </c>
      <c r="O1015" s="158" t="s">
        <v>3566</v>
      </c>
      <c r="P1015" s="158" t="s">
        <v>3562</v>
      </c>
      <c r="Q1015" s="160">
        <f>IF(Sales[[#This Row],[Status]]="Cancelled",0,Sales[[#This Row],[Qty]])</f>
        <v>2</v>
      </c>
      <c r="R1015" s="161">
        <f>IF(Sales[[#This Row],[Status]]="Cancelled",0,Sales[[#This Row],[Total Amount]])</f>
        <v>10649.5</v>
      </c>
      <c r="S1015" s="162">
        <f>SUM(Sales[Net Amount])</f>
        <v>406839287.73200053</v>
      </c>
    </row>
    <row r="1016" spans="1:19" ht="18.75" x14ac:dyDescent="0.25">
      <c r="A1016" s="163" t="s">
        <v>4606</v>
      </c>
      <c r="B1016" s="164">
        <v>45831</v>
      </c>
      <c r="C1016" s="34" t="s">
        <v>905</v>
      </c>
      <c r="D1016" s="53" t="str">
        <f>VLOOKUP(Sales[[#This Row],[Customer ID]],Customer[#All],2,0)</f>
        <v>Rakesh Gupta</v>
      </c>
      <c r="E1016" s="34" t="s">
        <v>533</v>
      </c>
      <c r="F1016" s="34" t="str">
        <f>VLOOKUP(Sales[[#This Row],[Product ID]],Product[#All],2,0)</f>
        <v>HP Desktop</v>
      </c>
      <c r="G1016" s="53">
        <v>4</v>
      </c>
      <c r="H1016" s="165">
        <f>VLOOKUP(Sales[[#This Row],[Product ID]],Product[#All],7,0)</f>
        <v>72430</v>
      </c>
      <c r="I1016" s="165">
        <f>Sales[[#This Row],[Selling Rate]]*Sales[[#This Row],[Qty]]</f>
        <v>289720</v>
      </c>
      <c r="J1016" s="45">
        <v>0.05</v>
      </c>
      <c r="K1016" s="46">
        <f>Sales[[#This Row],[Gross Amount]]*Sales[[#This Row],[Disc %]]</f>
        <v>14486</v>
      </c>
      <c r="L1016" s="43">
        <v>0.18</v>
      </c>
      <c r="M1016" s="46">
        <f>(Sales[[#This Row],[Gross Amount]]-Sales[[#This Row],[Disc. Amt.]])*Sales[[#This Row],[GST %]]</f>
        <v>49542.119999999995</v>
      </c>
      <c r="N1016" s="161">
        <f>Sales[[#This Row],[Gross Amount]]-Sales[[#This Row],[Disc. Amt.]]+Sales[[#This Row],[GST Amount]]</f>
        <v>324776.12</v>
      </c>
      <c r="O1016" s="34" t="s">
        <v>8876</v>
      </c>
      <c r="P1016" s="34" t="s">
        <v>3562</v>
      </c>
      <c r="Q1016" s="165">
        <f>IF(Sales[[#This Row],[Status]]="Cancelled",0,Sales[[#This Row],[Qty]])</f>
        <v>4</v>
      </c>
      <c r="R1016" s="166">
        <f>IF(Sales[[#This Row],[Status]]="Cancelled",0,Sales[[#This Row],[Total Amount]])</f>
        <v>324776.12</v>
      </c>
      <c r="S1016" s="162">
        <f>SUM(Sales[Net Amount])</f>
        <v>406839287.73200053</v>
      </c>
    </row>
    <row r="1017" spans="1:19" ht="18.75" x14ac:dyDescent="0.25">
      <c r="A1017" s="156" t="s">
        <v>4607</v>
      </c>
      <c r="B1017" s="157">
        <v>45832</v>
      </c>
      <c r="C1017" s="158" t="s">
        <v>738</v>
      </c>
      <c r="D1017" s="159" t="str">
        <f>VLOOKUP(Sales[[#This Row],[Customer ID]],Customer[#All],2,0)</f>
        <v>Pooja Patel</v>
      </c>
      <c r="E1017" s="158" t="s">
        <v>240</v>
      </c>
      <c r="F1017" s="158" t="str">
        <f>VLOOKUP(Sales[[#This Row],[Product ID]],Product[#All],2,0)</f>
        <v>Crucial Ssd</v>
      </c>
      <c r="G1017" s="159">
        <v>6</v>
      </c>
      <c r="H1017" s="160">
        <f>VLOOKUP(Sales[[#This Row],[Product ID]],Product[#All],7,0)</f>
        <v>3310</v>
      </c>
      <c r="I1017" s="160">
        <f>Sales[[#This Row],[Selling Rate]]*Sales[[#This Row],[Qty]]</f>
        <v>19860</v>
      </c>
      <c r="J1017" s="43">
        <v>0.1</v>
      </c>
      <c r="K1017" s="44">
        <f>Sales[[#This Row],[Gross Amount]]*Sales[[#This Row],[Disc %]]</f>
        <v>1986</v>
      </c>
      <c r="L1017" s="43">
        <v>0.18</v>
      </c>
      <c r="M1017" s="44">
        <f>(Sales[[#This Row],[Gross Amount]]-Sales[[#This Row],[Disc. Amt.]])*Sales[[#This Row],[GST %]]</f>
        <v>3217.3199999999997</v>
      </c>
      <c r="N1017" s="161">
        <f>Sales[[#This Row],[Gross Amount]]-Sales[[#This Row],[Disc. Amt.]]+Sales[[#This Row],[GST Amount]]</f>
        <v>21091.32</v>
      </c>
      <c r="O1017" s="158" t="s">
        <v>8876</v>
      </c>
      <c r="P1017" s="158" t="s">
        <v>3562</v>
      </c>
      <c r="Q1017" s="160">
        <f>IF(Sales[[#This Row],[Status]]="Cancelled",0,Sales[[#This Row],[Qty]])</f>
        <v>6</v>
      </c>
      <c r="R1017" s="161">
        <f>IF(Sales[[#This Row],[Status]]="Cancelled",0,Sales[[#This Row],[Total Amount]])</f>
        <v>21091.32</v>
      </c>
      <c r="S1017" s="162">
        <f>SUM(Sales[Net Amount])</f>
        <v>406839287.73200053</v>
      </c>
    </row>
    <row r="1018" spans="1:19" ht="18.75" x14ac:dyDescent="0.25">
      <c r="A1018" s="163" t="s">
        <v>4608</v>
      </c>
      <c r="B1018" s="164">
        <v>45832</v>
      </c>
      <c r="C1018" s="34" t="s">
        <v>688</v>
      </c>
      <c r="D1018" s="53" t="str">
        <f>VLOOKUP(Sales[[#This Row],[Customer ID]],Customer[#All],2,0)</f>
        <v>Rahul Verma</v>
      </c>
      <c r="E1018" s="34" t="s">
        <v>455</v>
      </c>
      <c r="F1018" s="34" t="str">
        <f>VLOOKUP(Sales[[#This Row],[Product ID]],Product[#All],2,0)</f>
        <v>WD HDD</v>
      </c>
      <c r="G1018" s="53">
        <v>5</v>
      </c>
      <c r="H1018" s="165">
        <f>VLOOKUP(Sales[[#This Row],[Product ID]],Product[#All],7,0)</f>
        <v>13980</v>
      </c>
      <c r="I1018" s="165">
        <f>Sales[[#This Row],[Selling Rate]]*Sales[[#This Row],[Qty]]</f>
        <v>69900</v>
      </c>
      <c r="J1018" s="45">
        <v>0.05</v>
      </c>
      <c r="K1018" s="46">
        <f>Sales[[#This Row],[Gross Amount]]*Sales[[#This Row],[Disc %]]</f>
        <v>3495</v>
      </c>
      <c r="L1018" s="43">
        <v>0.18</v>
      </c>
      <c r="M1018" s="46">
        <f>(Sales[[#This Row],[Gross Amount]]-Sales[[#This Row],[Disc. Amt.]])*Sales[[#This Row],[GST %]]</f>
        <v>11952.9</v>
      </c>
      <c r="N1018" s="161">
        <f>Sales[[#This Row],[Gross Amount]]-Sales[[#This Row],[Disc. Amt.]]+Sales[[#This Row],[GST Amount]]</f>
        <v>78357.899999999994</v>
      </c>
      <c r="O1018" s="34" t="s">
        <v>3561</v>
      </c>
      <c r="P1018" s="34" t="s">
        <v>3562</v>
      </c>
      <c r="Q1018" s="165">
        <f>IF(Sales[[#This Row],[Status]]="Cancelled",0,Sales[[#This Row],[Qty]])</f>
        <v>5</v>
      </c>
      <c r="R1018" s="166">
        <f>IF(Sales[[#This Row],[Status]]="Cancelled",0,Sales[[#This Row],[Total Amount]])</f>
        <v>78357.899999999994</v>
      </c>
      <c r="S1018" s="162">
        <f>SUM(Sales[Net Amount])</f>
        <v>406839287.73200053</v>
      </c>
    </row>
    <row r="1019" spans="1:19" ht="18.75" x14ac:dyDescent="0.25">
      <c r="A1019" s="156" t="s">
        <v>4609</v>
      </c>
      <c r="B1019" s="157">
        <v>45832</v>
      </c>
      <c r="C1019" s="158" t="s">
        <v>885</v>
      </c>
      <c r="D1019" s="159" t="str">
        <f>VLOOKUP(Sales[[#This Row],[Customer ID]],Customer[#All],2,0)</f>
        <v>Pooja Verma</v>
      </c>
      <c r="E1019" s="158" t="s">
        <v>213</v>
      </c>
      <c r="F1019" s="158" t="str">
        <f>VLOOKUP(Sales[[#This Row],[Product ID]],Product[#All],2,0)</f>
        <v>Dell Power Adapter</v>
      </c>
      <c r="G1019" s="159">
        <v>5</v>
      </c>
      <c r="H1019" s="160">
        <f>VLOOKUP(Sales[[#This Row],[Product ID]],Product[#All],7,0)</f>
        <v>3740</v>
      </c>
      <c r="I1019" s="160">
        <f>Sales[[#This Row],[Selling Rate]]*Sales[[#This Row],[Qty]]</f>
        <v>18700</v>
      </c>
      <c r="J1019" s="43">
        <v>0.15</v>
      </c>
      <c r="K1019" s="44">
        <f>Sales[[#This Row],[Gross Amount]]*Sales[[#This Row],[Disc %]]</f>
        <v>2805</v>
      </c>
      <c r="L1019" s="43">
        <v>0.18</v>
      </c>
      <c r="M1019" s="44">
        <f>(Sales[[#This Row],[Gross Amount]]-Sales[[#This Row],[Disc. Amt.]])*Sales[[#This Row],[GST %]]</f>
        <v>2861.1</v>
      </c>
      <c r="N1019" s="161">
        <f>Sales[[#This Row],[Gross Amount]]-Sales[[#This Row],[Disc. Amt.]]+Sales[[#This Row],[GST Amount]]</f>
        <v>18756.099999999999</v>
      </c>
      <c r="O1019" s="158" t="s">
        <v>8876</v>
      </c>
      <c r="P1019" s="158" t="s">
        <v>3562</v>
      </c>
      <c r="Q1019" s="160">
        <f>IF(Sales[[#This Row],[Status]]="Cancelled",0,Sales[[#This Row],[Qty]])</f>
        <v>5</v>
      </c>
      <c r="R1019" s="161">
        <f>IF(Sales[[#This Row],[Status]]="Cancelled",0,Sales[[#This Row],[Total Amount]])</f>
        <v>18756.099999999999</v>
      </c>
      <c r="S1019" s="162">
        <f>SUM(Sales[Net Amount])</f>
        <v>406839287.73200053</v>
      </c>
    </row>
    <row r="1020" spans="1:19" ht="18.75" x14ac:dyDescent="0.25">
      <c r="A1020" s="163" t="s">
        <v>4610</v>
      </c>
      <c r="B1020" s="164">
        <v>45832</v>
      </c>
      <c r="C1020" s="34" t="s">
        <v>851</v>
      </c>
      <c r="D1020" s="53" t="str">
        <f>VLOOKUP(Sales[[#This Row],[Customer ID]],Customer[#All],2,0)</f>
        <v>Pooja Singh</v>
      </c>
      <c r="E1020" s="34" t="s">
        <v>205</v>
      </c>
      <c r="F1020" s="34" t="str">
        <f>VLOOKUP(Sales[[#This Row],[Product ID]],Product[#All],2,0)</f>
        <v>HP Power Adapter</v>
      </c>
      <c r="G1020" s="53">
        <v>2</v>
      </c>
      <c r="H1020" s="165">
        <f>VLOOKUP(Sales[[#This Row],[Product ID]],Product[#All],7,0)</f>
        <v>4820</v>
      </c>
      <c r="I1020" s="165">
        <f>Sales[[#This Row],[Selling Rate]]*Sales[[#This Row],[Qty]]</f>
        <v>9640</v>
      </c>
      <c r="J1020" s="45">
        <v>0.15</v>
      </c>
      <c r="K1020" s="46">
        <f>Sales[[#This Row],[Gross Amount]]*Sales[[#This Row],[Disc %]]</f>
        <v>1446</v>
      </c>
      <c r="L1020" s="43">
        <v>0.18</v>
      </c>
      <c r="M1020" s="46">
        <f>(Sales[[#This Row],[Gross Amount]]-Sales[[#This Row],[Disc. Amt.]])*Sales[[#This Row],[GST %]]</f>
        <v>1474.9199999999998</v>
      </c>
      <c r="N1020" s="161">
        <f>Sales[[#This Row],[Gross Amount]]-Sales[[#This Row],[Disc. Amt.]]+Sales[[#This Row],[GST Amount]]</f>
        <v>9668.92</v>
      </c>
      <c r="O1020" s="34" t="s">
        <v>3569</v>
      </c>
      <c r="P1020" s="34" t="s">
        <v>3562</v>
      </c>
      <c r="Q1020" s="165">
        <f>IF(Sales[[#This Row],[Status]]="Cancelled",0,Sales[[#This Row],[Qty]])</f>
        <v>2</v>
      </c>
      <c r="R1020" s="166">
        <f>IF(Sales[[#This Row],[Status]]="Cancelled",0,Sales[[#This Row],[Total Amount]])</f>
        <v>9668.92</v>
      </c>
      <c r="S1020" s="162">
        <f>SUM(Sales[Net Amount])</f>
        <v>406839287.73200053</v>
      </c>
    </row>
    <row r="1021" spans="1:19" ht="18.75" x14ac:dyDescent="0.25">
      <c r="A1021" s="156" t="s">
        <v>4611</v>
      </c>
      <c r="B1021" s="157">
        <v>45832</v>
      </c>
      <c r="C1021" s="158" t="s">
        <v>844</v>
      </c>
      <c r="D1021" s="159" t="str">
        <f>VLOOKUP(Sales[[#This Row],[Customer ID]],Customer[#All],2,0)</f>
        <v>Rahul Sharma</v>
      </c>
      <c r="E1021" s="158" t="s">
        <v>298</v>
      </c>
      <c r="F1021" s="158" t="str">
        <f>VLOOKUP(Sales[[#This Row],[Product ID]],Product[#All],2,0)</f>
        <v>Dell Monitor</v>
      </c>
      <c r="G1021" s="159">
        <v>6</v>
      </c>
      <c r="H1021" s="160">
        <f>VLOOKUP(Sales[[#This Row],[Product ID]],Product[#All],7,0)</f>
        <v>25790</v>
      </c>
      <c r="I1021" s="160">
        <f>Sales[[#This Row],[Selling Rate]]*Sales[[#This Row],[Qty]]</f>
        <v>154740</v>
      </c>
      <c r="J1021" s="43">
        <v>0.15</v>
      </c>
      <c r="K1021" s="44">
        <f>Sales[[#This Row],[Gross Amount]]*Sales[[#This Row],[Disc %]]</f>
        <v>23211</v>
      </c>
      <c r="L1021" s="43">
        <v>0.18</v>
      </c>
      <c r="M1021" s="44">
        <f>(Sales[[#This Row],[Gross Amount]]-Sales[[#This Row],[Disc. Amt.]])*Sales[[#This Row],[GST %]]</f>
        <v>23675.219999999998</v>
      </c>
      <c r="N1021" s="161">
        <f>Sales[[#This Row],[Gross Amount]]-Sales[[#This Row],[Disc. Amt.]]+Sales[[#This Row],[GST Amount]]</f>
        <v>155204.22</v>
      </c>
      <c r="O1021" s="158" t="s">
        <v>3566</v>
      </c>
      <c r="P1021" s="158" t="s">
        <v>3562</v>
      </c>
      <c r="Q1021" s="160">
        <f>IF(Sales[[#This Row],[Status]]="Cancelled",0,Sales[[#This Row],[Qty]])</f>
        <v>6</v>
      </c>
      <c r="R1021" s="161">
        <f>IF(Sales[[#This Row],[Status]]="Cancelled",0,Sales[[#This Row],[Total Amount]])</f>
        <v>155204.22</v>
      </c>
      <c r="S1021" s="162">
        <f>SUM(Sales[Net Amount])</f>
        <v>406839287.73200053</v>
      </c>
    </row>
    <row r="1022" spans="1:19" ht="18.75" x14ac:dyDescent="0.25">
      <c r="A1022" s="163" t="s">
        <v>4612</v>
      </c>
      <c r="B1022" s="164">
        <v>45832</v>
      </c>
      <c r="C1022" s="34" t="s">
        <v>771</v>
      </c>
      <c r="D1022" s="53" t="str">
        <f>VLOOKUP(Sales[[#This Row],[Customer ID]],Customer[#All],2,0)</f>
        <v>Pooja Sharma</v>
      </c>
      <c r="E1022" s="34" t="s">
        <v>133</v>
      </c>
      <c r="F1022" s="34" t="str">
        <f>VLOOKUP(Sales[[#This Row],[Product ID]],Product[#All],2,0)</f>
        <v>HP Laptop</v>
      </c>
      <c r="G1022" s="53">
        <v>1</v>
      </c>
      <c r="H1022" s="165">
        <f>VLOOKUP(Sales[[#This Row],[Product ID]],Product[#All],7,0)</f>
        <v>44790</v>
      </c>
      <c r="I1022" s="165">
        <f>Sales[[#This Row],[Selling Rate]]*Sales[[#This Row],[Qty]]</f>
        <v>44790</v>
      </c>
      <c r="J1022" s="45">
        <v>0.05</v>
      </c>
      <c r="K1022" s="46">
        <f>Sales[[#This Row],[Gross Amount]]*Sales[[#This Row],[Disc %]]</f>
        <v>2239.5</v>
      </c>
      <c r="L1022" s="43">
        <v>0.18</v>
      </c>
      <c r="M1022" s="46">
        <f>(Sales[[#This Row],[Gross Amount]]-Sales[[#This Row],[Disc. Amt.]])*Sales[[#This Row],[GST %]]</f>
        <v>7659.09</v>
      </c>
      <c r="N1022" s="161">
        <f>Sales[[#This Row],[Gross Amount]]-Sales[[#This Row],[Disc. Amt.]]+Sales[[#This Row],[GST Amount]]</f>
        <v>50209.59</v>
      </c>
      <c r="O1022" s="34" t="s">
        <v>3566</v>
      </c>
      <c r="P1022" s="34" t="s">
        <v>3562</v>
      </c>
      <c r="Q1022" s="165">
        <f>IF(Sales[[#This Row],[Status]]="Cancelled",0,Sales[[#This Row],[Qty]])</f>
        <v>1</v>
      </c>
      <c r="R1022" s="166">
        <f>IF(Sales[[#This Row],[Status]]="Cancelled",0,Sales[[#This Row],[Total Amount]])</f>
        <v>50209.59</v>
      </c>
      <c r="S1022" s="162">
        <f>SUM(Sales[Net Amount])</f>
        <v>406839287.73200053</v>
      </c>
    </row>
    <row r="1023" spans="1:19" ht="18.75" x14ac:dyDescent="0.25">
      <c r="A1023" s="156" t="s">
        <v>4613</v>
      </c>
      <c r="B1023" s="157">
        <v>45832</v>
      </c>
      <c r="C1023" s="158" t="s">
        <v>920</v>
      </c>
      <c r="D1023" s="159" t="str">
        <f>VLOOKUP(Sales[[#This Row],[Customer ID]],Customer[#All],2,0)</f>
        <v>Rakesh Sharma</v>
      </c>
      <c r="E1023" s="158" t="s">
        <v>274</v>
      </c>
      <c r="F1023" s="158" t="str">
        <f>VLOOKUP(Sales[[#This Row],[Product ID]],Product[#All],2,0)</f>
        <v>Dell Desktop</v>
      </c>
      <c r="G1023" s="159">
        <v>8</v>
      </c>
      <c r="H1023" s="160">
        <f>VLOOKUP(Sales[[#This Row],[Product ID]],Product[#All],7,0)</f>
        <v>54540</v>
      </c>
      <c r="I1023" s="160">
        <f>Sales[[#This Row],[Selling Rate]]*Sales[[#This Row],[Qty]]</f>
        <v>436320</v>
      </c>
      <c r="J1023" s="43">
        <v>0.15</v>
      </c>
      <c r="K1023" s="44">
        <f>Sales[[#This Row],[Gross Amount]]*Sales[[#This Row],[Disc %]]</f>
        <v>65448</v>
      </c>
      <c r="L1023" s="43">
        <v>0.18</v>
      </c>
      <c r="M1023" s="44">
        <f>(Sales[[#This Row],[Gross Amount]]-Sales[[#This Row],[Disc. Amt.]])*Sales[[#This Row],[GST %]]</f>
        <v>66756.959999999992</v>
      </c>
      <c r="N1023" s="161">
        <f>Sales[[#This Row],[Gross Amount]]-Sales[[#This Row],[Disc. Amt.]]+Sales[[#This Row],[GST Amount]]</f>
        <v>437628.95999999996</v>
      </c>
      <c r="O1023" s="158" t="s">
        <v>3566</v>
      </c>
      <c r="P1023" s="158" t="s">
        <v>3562</v>
      </c>
      <c r="Q1023" s="160">
        <f>IF(Sales[[#This Row],[Status]]="Cancelled",0,Sales[[#This Row],[Qty]])</f>
        <v>8</v>
      </c>
      <c r="R1023" s="161">
        <f>IF(Sales[[#This Row],[Status]]="Cancelled",0,Sales[[#This Row],[Total Amount]])</f>
        <v>437628.95999999996</v>
      </c>
      <c r="S1023" s="162">
        <f>SUM(Sales[Net Amount])</f>
        <v>406839287.73200053</v>
      </c>
    </row>
    <row r="1024" spans="1:19" ht="18.75" x14ac:dyDescent="0.25">
      <c r="A1024" s="163" t="s">
        <v>4614</v>
      </c>
      <c r="B1024" s="164">
        <v>45832</v>
      </c>
      <c r="C1024" s="34" t="s">
        <v>661</v>
      </c>
      <c r="D1024" s="53" t="str">
        <f>VLOOKUP(Sales[[#This Row],[Customer ID]],Customer[#All],2,0)</f>
        <v>Pooja Gupta</v>
      </c>
      <c r="E1024" s="34" t="s">
        <v>261</v>
      </c>
      <c r="F1024" s="34" t="str">
        <f>VLOOKUP(Sales[[#This Row],[Product ID]],Product[#All],2,0)</f>
        <v>American TouristerLaptopBag</v>
      </c>
      <c r="G1024" s="53">
        <v>7</v>
      </c>
      <c r="H1024" s="165">
        <f>VLOOKUP(Sales[[#This Row],[Product ID]],Product[#All],7,0)</f>
        <v>1320</v>
      </c>
      <c r="I1024" s="165">
        <f>Sales[[#This Row],[Selling Rate]]*Sales[[#This Row],[Qty]]</f>
        <v>9240</v>
      </c>
      <c r="J1024" s="45">
        <v>0</v>
      </c>
      <c r="K1024" s="46">
        <f>Sales[[#This Row],[Gross Amount]]*Sales[[#This Row],[Disc %]]</f>
        <v>0</v>
      </c>
      <c r="L1024" s="43">
        <v>0.18</v>
      </c>
      <c r="M1024" s="46">
        <f>(Sales[[#This Row],[Gross Amount]]-Sales[[#This Row],[Disc. Amt.]])*Sales[[#This Row],[GST %]]</f>
        <v>1663.2</v>
      </c>
      <c r="N1024" s="161">
        <f>Sales[[#This Row],[Gross Amount]]-Sales[[#This Row],[Disc. Amt.]]+Sales[[#This Row],[GST Amount]]</f>
        <v>10903.2</v>
      </c>
      <c r="O1024" s="34" t="s">
        <v>3566</v>
      </c>
      <c r="P1024" s="34" t="s">
        <v>1040</v>
      </c>
      <c r="Q1024" s="165">
        <f>IF(Sales[[#This Row],[Status]]="Cancelled",0,Sales[[#This Row],[Qty]])</f>
        <v>0</v>
      </c>
      <c r="R1024" s="166">
        <f>IF(Sales[[#This Row],[Status]]="Cancelled",0,Sales[[#This Row],[Total Amount]])</f>
        <v>0</v>
      </c>
      <c r="S1024" s="162">
        <f>SUM(Sales[Net Amount])</f>
        <v>406839287.73200053</v>
      </c>
    </row>
    <row r="1025" spans="1:19" ht="18.75" x14ac:dyDescent="0.25">
      <c r="A1025" s="156" t="s">
        <v>4615</v>
      </c>
      <c r="B1025" s="157">
        <v>45832</v>
      </c>
      <c r="C1025" s="158" t="s">
        <v>811</v>
      </c>
      <c r="D1025" s="159" t="str">
        <f>VLOOKUP(Sales[[#This Row],[Customer ID]],Customer[#All],2,0)</f>
        <v>Rahul Sharma</v>
      </c>
      <c r="E1025" s="158" t="s">
        <v>56</v>
      </c>
      <c r="F1025" s="158" t="str">
        <f>VLOOKUP(Sales[[#This Row],[Product ID]],Product[#All],2,0)</f>
        <v>Boat Headset</v>
      </c>
      <c r="G1025" s="159">
        <v>5</v>
      </c>
      <c r="H1025" s="160">
        <f>VLOOKUP(Sales[[#This Row],[Product ID]],Product[#All],7,0)</f>
        <v>4140</v>
      </c>
      <c r="I1025" s="160">
        <f>Sales[[#This Row],[Selling Rate]]*Sales[[#This Row],[Qty]]</f>
        <v>20700</v>
      </c>
      <c r="J1025" s="43">
        <v>0.02</v>
      </c>
      <c r="K1025" s="44">
        <f>Sales[[#This Row],[Gross Amount]]*Sales[[#This Row],[Disc %]]</f>
        <v>414</v>
      </c>
      <c r="L1025" s="43">
        <v>0.18</v>
      </c>
      <c r="M1025" s="44">
        <f>(Sales[[#This Row],[Gross Amount]]-Sales[[#This Row],[Disc. Amt.]])*Sales[[#This Row],[GST %]]</f>
        <v>3651.48</v>
      </c>
      <c r="N1025" s="161">
        <f>Sales[[#This Row],[Gross Amount]]-Sales[[#This Row],[Disc. Amt.]]+Sales[[#This Row],[GST Amount]]</f>
        <v>23937.48</v>
      </c>
      <c r="O1025" s="158" t="s">
        <v>3561</v>
      </c>
      <c r="P1025" s="158" t="s">
        <v>3562</v>
      </c>
      <c r="Q1025" s="160">
        <f>IF(Sales[[#This Row],[Status]]="Cancelled",0,Sales[[#This Row],[Qty]])</f>
        <v>5</v>
      </c>
      <c r="R1025" s="161">
        <f>IF(Sales[[#This Row],[Status]]="Cancelled",0,Sales[[#This Row],[Total Amount]])</f>
        <v>23937.48</v>
      </c>
      <c r="S1025" s="162">
        <f>SUM(Sales[Net Amount])</f>
        <v>406839287.73200053</v>
      </c>
    </row>
    <row r="1026" spans="1:19" ht="18.75" x14ac:dyDescent="0.25">
      <c r="A1026" s="163" t="s">
        <v>4616</v>
      </c>
      <c r="B1026" s="164">
        <v>45832</v>
      </c>
      <c r="C1026" s="34" t="s">
        <v>4617</v>
      </c>
      <c r="D1026" s="53" t="str">
        <f>VLOOKUP(Sales[[#This Row],[Customer ID]],Customer[#All],2,0)</f>
        <v>Sahil Kumar</v>
      </c>
      <c r="E1026" s="34" t="s">
        <v>114</v>
      </c>
      <c r="F1026" s="34" t="str">
        <f>VLOOKUP(Sales[[#This Row],[Product ID]],Product[#All],2,0)</f>
        <v>Apc UPS</v>
      </c>
      <c r="G1026" s="53">
        <v>4</v>
      </c>
      <c r="H1026" s="165">
        <f>VLOOKUP(Sales[[#This Row],[Product ID]],Product[#All],7,0)</f>
        <v>17310</v>
      </c>
      <c r="I1026" s="165">
        <f>Sales[[#This Row],[Selling Rate]]*Sales[[#This Row],[Qty]]</f>
        <v>69240</v>
      </c>
      <c r="J1026" s="45">
        <v>0.15</v>
      </c>
      <c r="K1026" s="46">
        <f>Sales[[#This Row],[Gross Amount]]*Sales[[#This Row],[Disc %]]</f>
        <v>10386</v>
      </c>
      <c r="L1026" s="43">
        <v>0.18</v>
      </c>
      <c r="M1026" s="46">
        <f>(Sales[[#This Row],[Gross Amount]]-Sales[[#This Row],[Disc. Amt.]])*Sales[[#This Row],[GST %]]</f>
        <v>10593.72</v>
      </c>
      <c r="N1026" s="161">
        <f>Sales[[#This Row],[Gross Amount]]-Sales[[#This Row],[Disc. Amt.]]+Sales[[#This Row],[GST Amount]]</f>
        <v>69447.72</v>
      </c>
      <c r="O1026" s="34" t="s">
        <v>3569</v>
      </c>
      <c r="P1026" s="34" t="s">
        <v>3562</v>
      </c>
      <c r="Q1026" s="165">
        <f>IF(Sales[[#This Row],[Status]]="Cancelled",0,Sales[[#This Row],[Qty]])</f>
        <v>4</v>
      </c>
      <c r="R1026" s="166">
        <f>IF(Sales[[#This Row],[Status]]="Cancelled",0,Sales[[#This Row],[Total Amount]])</f>
        <v>69447.72</v>
      </c>
      <c r="S1026" s="162">
        <f>SUM(Sales[Net Amount])</f>
        <v>406839287.73200053</v>
      </c>
    </row>
    <row r="1027" spans="1:19" ht="18.75" x14ac:dyDescent="0.25">
      <c r="A1027" s="156" t="s">
        <v>4618</v>
      </c>
      <c r="B1027" s="157">
        <v>45832</v>
      </c>
      <c r="C1027" s="158" t="s">
        <v>685</v>
      </c>
      <c r="D1027" s="159" t="str">
        <f>VLOOKUP(Sales[[#This Row],[Customer ID]],Customer[#All],2,0)</f>
        <v>Pooja Kumar</v>
      </c>
      <c r="E1027" s="158" t="s">
        <v>354</v>
      </c>
      <c r="F1027" s="158" t="str">
        <f>VLOOKUP(Sales[[#This Row],[Product ID]],Product[#All],2,0)</f>
        <v>Dell Monitor</v>
      </c>
      <c r="G1027" s="159">
        <v>3</v>
      </c>
      <c r="H1027" s="160">
        <f>VLOOKUP(Sales[[#This Row],[Product ID]],Product[#All],7,0)</f>
        <v>12450</v>
      </c>
      <c r="I1027" s="160">
        <f>Sales[[#This Row],[Selling Rate]]*Sales[[#This Row],[Qty]]</f>
        <v>37350</v>
      </c>
      <c r="J1027" s="43">
        <v>0.05</v>
      </c>
      <c r="K1027" s="44">
        <f>Sales[[#This Row],[Gross Amount]]*Sales[[#This Row],[Disc %]]</f>
        <v>1867.5</v>
      </c>
      <c r="L1027" s="43">
        <v>0.18</v>
      </c>
      <c r="M1027" s="44">
        <f>(Sales[[#This Row],[Gross Amount]]-Sales[[#This Row],[Disc. Amt.]])*Sales[[#This Row],[GST %]]</f>
        <v>6386.8499999999995</v>
      </c>
      <c r="N1027" s="161">
        <f>Sales[[#This Row],[Gross Amount]]-Sales[[#This Row],[Disc. Amt.]]+Sales[[#This Row],[GST Amount]]</f>
        <v>41869.35</v>
      </c>
      <c r="O1027" s="158" t="s">
        <v>8876</v>
      </c>
      <c r="P1027" s="158" t="s">
        <v>3562</v>
      </c>
      <c r="Q1027" s="160">
        <f>IF(Sales[[#This Row],[Status]]="Cancelled",0,Sales[[#This Row],[Qty]])</f>
        <v>3</v>
      </c>
      <c r="R1027" s="161">
        <f>IF(Sales[[#This Row],[Status]]="Cancelled",0,Sales[[#This Row],[Total Amount]])</f>
        <v>41869.35</v>
      </c>
      <c r="S1027" s="162">
        <f>SUM(Sales[Net Amount])</f>
        <v>406839287.73200053</v>
      </c>
    </row>
    <row r="1028" spans="1:19" ht="18.75" x14ac:dyDescent="0.25">
      <c r="A1028" s="163" t="s">
        <v>4619</v>
      </c>
      <c r="B1028" s="164">
        <v>45832</v>
      </c>
      <c r="C1028" s="34" t="s">
        <v>881</v>
      </c>
      <c r="D1028" s="53" t="str">
        <f>VLOOKUP(Sales[[#This Row],[Customer ID]],Customer[#All],2,0)</f>
        <v>Vikas Verma</v>
      </c>
      <c r="E1028" s="34" t="s">
        <v>170</v>
      </c>
      <c r="F1028" s="34" t="str">
        <f>VLOOKUP(Sales[[#This Row],[Product ID]],Product[#All],2,0)</f>
        <v>Lenovo Laptop</v>
      </c>
      <c r="G1028" s="53">
        <v>6</v>
      </c>
      <c r="H1028" s="165">
        <f>VLOOKUP(Sales[[#This Row],[Product ID]],Product[#All],7,0)</f>
        <v>29710</v>
      </c>
      <c r="I1028" s="165">
        <f>Sales[[#This Row],[Selling Rate]]*Sales[[#This Row],[Qty]]</f>
        <v>178260</v>
      </c>
      <c r="J1028" s="45">
        <v>0.05</v>
      </c>
      <c r="K1028" s="46">
        <f>Sales[[#This Row],[Gross Amount]]*Sales[[#This Row],[Disc %]]</f>
        <v>8913</v>
      </c>
      <c r="L1028" s="43">
        <v>0.18</v>
      </c>
      <c r="M1028" s="46">
        <f>(Sales[[#This Row],[Gross Amount]]-Sales[[#This Row],[Disc. Amt.]])*Sales[[#This Row],[GST %]]</f>
        <v>30482.46</v>
      </c>
      <c r="N1028" s="161">
        <f>Sales[[#This Row],[Gross Amount]]-Sales[[#This Row],[Disc. Amt.]]+Sales[[#This Row],[GST Amount]]</f>
        <v>199829.46</v>
      </c>
      <c r="O1028" s="34" t="s">
        <v>3561</v>
      </c>
      <c r="P1028" s="34" t="s">
        <v>3562</v>
      </c>
      <c r="Q1028" s="165">
        <f>IF(Sales[[#This Row],[Status]]="Cancelled",0,Sales[[#This Row],[Qty]])</f>
        <v>6</v>
      </c>
      <c r="R1028" s="166">
        <f>IF(Sales[[#This Row],[Status]]="Cancelled",0,Sales[[#This Row],[Total Amount]])</f>
        <v>199829.46</v>
      </c>
      <c r="S1028" s="162">
        <f>SUM(Sales[Net Amount])</f>
        <v>406839287.73200053</v>
      </c>
    </row>
    <row r="1029" spans="1:19" ht="18.75" x14ac:dyDescent="0.25">
      <c r="A1029" s="156" t="s">
        <v>4620</v>
      </c>
      <c r="B1029" s="157">
        <v>45832</v>
      </c>
      <c r="C1029" s="158" t="s">
        <v>812</v>
      </c>
      <c r="D1029" s="159" t="str">
        <f>VLOOKUP(Sales[[#This Row],[Customer ID]],Customer[#All],2,0)</f>
        <v>Neha Gupta</v>
      </c>
      <c r="E1029" s="158" t="s">
        <v>211</v>
      </c>
      <c r="F1029" s="158" t="str">
        <f>VLOOKUP(Sales[[#This Row],[Product ID]],Product[#All],2,0)</f>
        <v>Samsung Ssd</v>
      </c>
      <c r="G1029" s="159">
        <v>5</v>
      </c>
      <c r="H1029" s="160">
        <f>VLOOKUP(Sales[[#This Row],[Product ID]],Product[#All],7,0)</f>
        <v>16100</v>
      </c>
      <c r="I1029" s="160">
        <f>Sales[[#This Row],[Selling Rate]]*Sales[[#This Row],[Qty]]</f>
        <v>80500</v>
      </c>
      <c r="J1029" s="43">
        <v>0.15</v>
      </c>
      <c r="K1029" s="44">
        <f>Sales[[#This Row],[Gross Amount]]*Sales[[#This Row],[Disc %]]</f>
        <v>12075</v>
      </c>
      <c r="L1029" s="43">
        <v>0.18</v>
      </c>
      <c r="M1029" s="44">
        <f>(Sales[[#This Row],[Gross Amount]]-Sales[[#This Row],[Disc. Amt.]])*Sales[[#This Row],[GST %]]</f>
        <v>12316.5</v>
      </c>
      <c r="N1029" s="161">
        <f>Sales[[#This Row],[Gross Amount]]-Sales[[#This Row],[Disc. Amt.]]+Sales[[#This Row],[GST Amount]]</f>
        <v>80741.5</v>
      </c>
      <c r="O1029" s="158" t="s">
        <v>3569</v>
      </c>
      <c r="P1029" s="158" t="s">
        <v>3562</v>
      </c>
      <c r="Q1029" s="160">
        <f>IF(Sales[[#This Row],[Status]]="Cancelled",0,Sales[[#This Row],[Qty]])</f>
        <v>5</v>
      </c>
      <c r="R1029" s="161">
        <f>IF(Sales[[#This Row],[Status]]="Cancelled",0,Sales[[#This Row],[Total Amount]])</f>
        <v>80741.5</v>
      </c>
      <c r="S1029" s="162">
        <f>SUM(Sales[Net Amount])</f>
        <v>406839287.73200053</v>
      </c>
    </row>
    <row r="1030" spans="1:19" ht="18.75" x14ac:dyDescent="0.25">
      <c r="A1030" s="163" t="s">
        <v>4621</v>
      </c>
      <c r="B1030" s="164">
        <v>45832</v>
      </c>
      <c r="C1030" s="34" t="s">
        <v>787</v>
      </c>
      <c r="D1030" s="53" t="str">
        <f>VLOOKUP(Sales[[#This Row],[Customer ID]],Customer[#All],2,0)</f>
        <v>Amit Singh</v>
      </c>
      <c r="E1030" s="34" t="s">
        <v>77</v>
      </c>
      <c r="F1030" s="34" t="str">
        <f>VLOOKUP(Sales[[#This Row],[Product ID]],Product[#All],2,0)</f>
        <v>HP Power Adapter</v>
      </c>
      <c r="G1030" s="53">
        <v>5</v>
      </c>
      <c r="H1030" s="165">
        <f>VLOOKUP(Sales[[#This Row],[Product ID]],Product[#All],7,0)</f>
        <v>2770</v>
      </c>
      <c r="I1030" s="165">
        <f>Sales[[#This Row],[Selling Rate]]*Sales[[#This Row],[Qty]]</f>
        <v>13850</v>
      </c>
      <c r="J1030" s="45">
        <v>0.12</v>
      </c>
      <c r="K1030" s="46">
        <f>Sales[[#This Row],[Gross Amount]]*Sales[[#This Row],[Disc %]]</f>
        <v>1662</v>
      </c>
      <c r="L1030" s="43">
        <v>0.18</v>
      </c>
      <c r="M1030" s="46">
        <f>(Sales[[#This Row],[Gross Amount]]-Sales[[#This Row],[Disc. Amt.]])*Sales[[#This Row],[GST %]]</f>
        <v>2193.84</v>
      </c>
      <c r="N1030" s="161">
        <f>Sales[[#This Row],[Gross Amount]]-Sales[[#This Row],[Disc. Amt.]]+Sales[[#This Row],[GST Amount]]</f>
        <v>14381.84</v>
      </c>
      <c r="O1030" s="34" t="s">
        <v>3561</v>
      </c>
      <c r="P1030" s="34" t="s">
        <v>3562</v>
      </c>
      <c r="Q1030" s="165">
        <f>IF(Sales[[#This Row],[Status]]="Cancelled",0,Sales[[#This Row],[Qty]])</f>
        <v>5</v>
      </c>
      <c r="R1030" s="166">
        <f>IF(Sales[[#This Row],[Status]]="Cancelled",0,Sales[[#This Row],[Total Amount]])</f>
        <v>14381.84</v>
      </c>
      <c r="S1030" s="162">
        <f>SUM(Sales[Net Amount])</f>
        <v>406839287.73200053</v>
      </c>
    </row>
    <row r="1031" spans="1:19" ht="18.75" x14ac:dyDescent="0.25">
      <c r="A1031" s="156" t="s">
        <v>4622</v>
      </c>
      <c r="B1031" s="157">
        <v>45832</v>
      </c>
      <c r="C1031" s="158" t="s">
        <v>910</v>
      </c>
      <c r="D1031" s="159" t="str">
        <f>VLOOKUP(Sales[[#This Row],[Customer ID]],Customer[#All],2,0)</f>
        <v>Sahil Sharma</v>
      </c>
      <c r="E1031" s="158" t="s">
        <v>170</v>
      </c>
      <c r="F1031" s="158" t="str">
        <f>VLOOKUP(Sales[[#This Row],[Product ID]],Product[#All],2,0)</f>
        <v>Lenovo Laptop</v>
      </c>
      <c r="G1031" s="159">
        <v>6</v>
      </c>
      <c r="H1031" s="160">
        <f>VLOOKUP(Sales[[#This Row],[Product ID]],Product[#All],7,0)</f>
        <v>29710</v>
      </c>
      <c r="I1031" s="160">
        <f>Sales[[#This Row],[Selling Rate]]*Sales[[#This Row],[Qty]]</f>
        <v>178260</v>
      </c>
      <c r="J1031" s="43">
        <v>0.12</v>
      </c>
      <c r="K1031" s="44">
        <f>Sales[[#This Row],[Gross Amount]]*Sales[[#This Row],[Disc %]]</f>
        <v>21391.200000000001</v>
      </c>
      <c r="L1031" s="43">
        <v>0.18</v>
      </c>
      <c r="M1031" s="44">
        <f>(Sales[[#This Row],[Gross Amount]]-Sales[[#This Row],[Disc. Amt.]])*Sales[[#This Row],[GST %]]</f>
        <v>28236.383999999998</v>
      </c>
      <c r="N1031" s="161">
        <f>Sales[[#This Row],[Gross Amount]]-Sales[[#This Row],[Disc. Amt.]]+Sales[[#This Row],[GST Amount]]</f>
        <v>185105.18399999998</v>
      </c>
      <c r="O1031" s="158" t="s">
        <v>3561</v>
      </c>
      <c r="P1031" s="158" t="s">
        <v>3562</v>
      </c>
      <c r="Q1031" s="160">
        <f>IF(Sales[[#This Row],[Status]]="Cancelled",0,Sales[[#This Row],[Qty]])</f>
        <v>6</v>
      </c>
      <c r="R1031" s="161">
        <f>IF(Sales[[#This Row],[Status]]="Cancelled",0,Sales[[#This Row],[Total Amount]])</f>
        <v>185105.18399999998</v>
      </c>
      <c r="S1031" s="162">
        <f>SUM(Sales[Net Amount])</f>
        <v>406839287.73200053</v>
      </c>
    </row>
    <row r="1032" spans="1:19" ht="18.75" x14ac:dyDescent="0.25">
      <c r="A1032" s="163" t="s">
        <v>4623</v>
      </c>
      <c r="B1032" s="164">
        <v>45832</v>
      </c>
      <c r="C1032" s="34" t="s">
        <v>898</v>
      </c>
      <c r="D1032" s="53" t="str">
        <f>VLOOKUP(Sales[[#This Row],[Customer ID]],Customer[#All],2,0)</f>
        <v>Rahul Singh</v>
      </c>
      <c r="E1032" s="34" t="s">
        <v>514</v>
      </c>
      <c r="F1032" s="34" t="str">
        <f>VLOOKUP(Sales[[#This Row],[Product ID]],Product[#All],2,0)</f>
        <v>Apc UPS</v>
      </c>
      <c r="G1032" s="53">
        <v>5</v>
      </c>
      <c r="H1032" s="165">
        <f>VLOOKUP(Sales[[#This Row],[Product ID]],Product[#All],7,0)</f>
        <v>4660</v>
      </c>
      <c r="I1032" s="165">
        <f>Sales[[#This Row],[Selling Rate]]*Sales[[#This Row],[Qty]]</f>
        <v>23300</v>
      </c>
      <c r="J1032" s="45">
        <v>0</v>
      </c>
      <c r="K1032" s="46">
        <f>Sales[[#This Row],[Gross Amount]]*Sales[[#This Row],[Disc %]]</f>
        <v>0</v>
      </c>
      <c r="L1032" s="43">
        <v>0.18</v>
      </c>
      <c r="M1032" s="46">
        <f>(Sales[[#This Row],[Gross Amount]]-Sales[[#This Row],[Disc. Amt.]])*Sales[[#This Row],[GST %]]</f>
        <v>4194</v>
      </c>
      <c r="N1032" s="161">
        <f>Sales[[#This Row],[Gross Amount]]-Sales[[#This Row],[Disc. Amt.]]+Sales[[#This Row],[GST Amount]]</f>
        <v>27494</v>
      </c>
      <c r="O1032" s="34" t="s">
        <v>3561</v>
      </c>
      <c r="P1032" s="34" t="s">
        <v>3562</v>
      </c>
      <c r="Q1032" s="165">
        <f>IF(Sales[[#This Row],[Status]]="Cancelled",0,Sales[[#This Row],[Qty]])</f>
        <v>5</v>
      </c>
      <c r="R1032" s="166">
        <f>IF(Sales[[#This Row],[Status]]="Cancelled",0,Sales[[#This Row],[Total Amount]])</f>
        <v>27494</v>
      </c>
      <c r="S1032" s="162">
        <f>SUM(Sales[Net Amount])</f>
        <v>406839287.73200053</v>
      </c>
    </row>
    <row r="1033" spans="1:19" ht="18.75" x14ac:dyDescent="0.25">
      <c r="A1033" s="156" t="s">
        <v>4624</v>
      </c>
      <c r="B1033" s="157">
        <v>45832</v>
      </c>
      <c r="C1033" s="158" t="s">
        <v>694</v>
      </c>
      <c r="D1033" s="159" t="str">
        <f>VLOOKUP(Sales[[#This Row],[Customer ID]],Customer[#All],2,0)</f>
        <v>Amit Sharma</v>
      </c>
      <c r="E1033" s="158" t="s">
        <v>305</v>
      </c>
      <c r="F1033" s="158" t="str">
        <f>VLOOKUP(Sales[[#This Row],[Product ID]],Product[#All],2,0)</f>
        <v>HP Power Adapter</v>
      </c>
      <c r="G1033" s="159">
        <v>4</v>
      </c>
      <c r="H1033" s="160">
        <f>VLOOKUP(Sales[[#This Row],[Product ID]],Product[#All],7,0)</f>
        <v>2640</v>
      </c>
      <c r="I1033" s="160">
        <f>Sales[[#This Row],[Selling Rate]]*Sales[[#This Row],[Qty]]</f>
        <v>10560</v>
      </c>
      <c r="J1033" s="43">
        <v>0</v>
      </c>
      <c r="K1033" s="44">
        <f>Sales[[#This Row],[Gross Amount]]*Sales[[#This Row],[Disc %]]</f>
        <v>0</v>
      </c>
      <c r="L1033" s="43">
        <v>0.18</v>
      </c>
      <c r="M1033" s="44">
        <f>(Sales[[#This Row],[Gross Amount]]-Sales[[#This Row],[Disc. Amt.]])*Sales[[#This Row],[GST %]]</f>
        <v>1900.8</v>
      </c>
      <c r="N1033" s="161">
        <f>Sales[[#This Row],[Gross Amount]]-Sales[[#This Row],[Disc. Amt.]]+Sales[[#This Row],[GST Amount]]</f>
        <v>12460.8</v>
      </c>
      <c r="O1033" s="158" t="s">
        <v>3569</v>
      </c>
      <c r="P1033" s="158" t="s">
        <v>3562</v>
      </c>
      <c r="Q1033" s="160">
        <f>IF(Sales[[#This Row],[Status]]="Cancelled",0,Sales[[#This Row],[Qty]])</f>
        <v>4</v>
      </c>
      <c r="R1033" s="161">
        <f>IF(Sales[[#This Row],[Status]]="Cancelled",0,Sales[[#This Row],[Total Amount]])</f>
        <v>12460.8</v>
      </c>
      <c r="S1033" s="162">
        <f>SUM(Sales[Net Amount])</f>
        <v>406839287.73200053</v>
      </c>
    </row>
    <row r="1034" spans="1:19" ht="18.75" x14ac:dyDescent="0.25">
      <c r="A1034" s="163" t="s">
        <v>4625</v>
      </c>
      <c r="B1034" s="164">
        <v>45832</v>
      </c>
      <c r="C1034" s="34" t="s">
        <v>758</v>
      </c>
      <c r="D1034" s="53" t="str">
        <f>VLOOKUP(Sales[[#This Row],[Customer ID]],Customer[#All],2,0)</f>
        <v>Rahul Verma</v>
      </c>
      <c r="E1034" s="34" t="s">
        <v>111</v>
      </c>
      <c r="F1034" s="34" t="str">
        <f>VLOOKUP(Sales[[#This Row],[Product ID]],Product[#All],2,0)</f>
        <v>Microtek UPS</v>
      </c>
      <c r="G1034" s="53">
        <v>6</v>
      </c>
      <c r="H1034" s="165">
        <f>VLOOKUP(Sales[[#This Row],[Product ID]],Product[#All],7,0)</f>
        <v>16680</v>
      </c>
      <c r="I1034" s="165">
        <f>Sales[[#This Row],[Selling Rate]]*Sales[[#This Row],[Qty]]</f>
        <v>100080</v>
      </c>
      <c r="J1034" s="45">
        <v>0</v>
      </c>
      <c r="K1034" s="46">
        <f>Sales[[#This Row],[Gross Amount]]*Sales[[#This Row],[Disc %]]</f>
        <v>0</v>
      </c>
      <c r="L1034" s="43">
        <v>0.18</v>
      </c>
      <c r="M1034" s="46">
        <f>(Sales[[#This Row],[Gross Amount]]-Sales[[#This Row],[Disc. Amt.]])*Sales[[#This Row],[GST %]]</f>
        <v>18014.399999999998</v>
      </c>
      <c r="N1034" s="161">
        <f>Sales[[#This Row],[Gross Amount]]-Sales[[#This Row],[Disc. Amt.]]+Sales[[#This Row],[GST Amount]]</f>
        <v>118094.39999999999</v>
      </c>
      <c r="O1034" s="34" t="s">
        <v>3566</v>
      </c>
      <c r="P1034" s="34" t="s">
        <v>3562</v>
      </c>
      <c r="Q1034" s="165">
        <f>IF(Sales[[#This Row],[Status]]="Cancelled",0,Sales[[#This Row],[Qty]])</f>
        <v>6</v>
      </c>
      <c r="R1034" s="166">
        <f>IF(Sales[[#This Row],[Status]]="Cancelled",0,Sales[[#This Row],[Total Amount]])</f>
        <v>118094.39999999999</v>
      </c>
      <c r="S1034" s="162">
        <f>SUM(Sales[Net Amount])</f>
        <v>406839287.73200053</v>
      </c>
    </row>
    <row r="1035" spans="1:19" ht="18.75" x14ac:dyDescent="0.25">
      <c r="A1035" s="156" t="s">
        <v>4626</v>
      </c>
      <c r="B1035" s="157">
        <v>45832</v>
      </c>
      <c r="C1035" s="158" t="s">
        <v>806</v>
      </c>
      <c r="D1035" s="159" t="str">
        <f>VLOOKUP(Sales[[#This Row],[Customer ID]],Customer[#All],2,0)</f>
        <v>Vikas Singh</v>
      </c>
      <c r="E1035" s="158" t="s">
        <v>280</v>
      </c>
      <c r="F1035" s="158" t="str">
        <f>VLOOKUP(Sales[[#This Row],[Product ID]],Product[#All],2,0)</f>
        <v>Epson Printer</v>
      </c>
      <c r="G1035" s="159">
        <v>1</v>
      </c>
      <c r="H1035" s="160">
        <f>VLOOKUP(Sales[[#This Row],[Product ID]],Product[#All],7,0)</f>
        <v>34550</v>
      </c>
      <c r="I1035" s="160">
        <f>Sales[[#This Row],[Selling Rate]]*Sales[[#This Row],[Qty]]</f>
        <v>34550</v>
      </c>
      <c r="J1035" s="43">
        <v>0.02</v>
      </c>
      <c r="K1035" s="44">
        <f>Sales[[#This Row],[Gross Amount]]*Sales[[#This Row],[Disc %]]</f>
        <v>691</v>
      </c>
      <c r="L1035" s="43">
        <v>0.18</v>
      </c>
      <c r="M1035" s="44">
        <f>(Sales[[#This Row],[Gross Amount]]-Sales[[#This Row],[Disc. Amt.]])*Sales[[#This Row],[GST %]]</f>
        <v>6094.62</v>
      </c>
      <c r="N1035" s="161">
        <f>Sales[[#This Row],[Gross Amount]]-Sales[[#This Row],[Disc. Amt.]]+Sales[[#This Row],[GST Amount]]</f>
        <v>39953.620000000003</v>
      </c>
      <c r="O1035" s="158" t="s">
        <v>3569</v>
      </c>
      <c r="P1035" s="158" t="s">
        <v>3562</v>
      </c>
      <c r="Q1035" s="160">
        <f>IF(Sales[[#This Row],[Status]]="Cancelled",0,Sales[[#This Row],[Qty]])</f>
        <v>1</v>
      </c>
      <c r="R1035" s="161">
        <f>IF(Sales[[#This Row],[Status]]="Cancelled",0,Sales[[#This Row],[Total Amount]])</f>
        <v>39953.620000000003</v>
      </c>
      <c r="S1035" s="162">
        <f>SUM(Sales[Net Amount])</f>
        <v>406839287.73200053</v>
      </c>
    </row>
    <row r="1036" spans="1:19" ht="18.75" x14ac:dyDescent="0.25">
      <c r="A1036" s="163" t="s">
        <v>4627</v>
      </c>
      <c r="B1036" s="164">
        <v>45832</v>
      </c>
      <c r="C1036" s="34" t="s">
        <v>806</v>
      </c>
      <c r="D1036" s="53" t="str">
        <f>VLOOKUP(Sales[[#This Row],[Customer ID]],Customer[#All],2,0)</f>
        <v>Vikas Singh</v>
      </c>
      <c r="E1036" s="34" t="s">
        <v>289</v>
      </c>
      <c r="F1036" s="34" t="str">
        <f>VLOOKUP(Sales[[#This Row],[Product ID]],Product[#All],2,0)</f>
        <v>HP Mouse</v>
      </c>
      <c r="G1036" s="53">
        <v>2</v>
      </c>
      <c r="H1036" s="165">
        <f>VLOOKUP(Sales[[#This Row],[Product ID]],Product[#All],7,0)</f>
        <v>1200</v>
      </c>
      <c r="I1036" s="165">
        <f>Sales[[#This Row],[Selling Rate]]*Sales[[#This Row],[Qty]]</f>
        <v>2400</v>
      </c>
      <c r="J1036" s="45">
        <v>0</v>
      </c>
      <c r="K1036" s="46">
        <f>Sales[[#This Row],[Gross Amount]]*Sales[[#This Row],[Disc %]]</f>
        <v>0</v>
      </c>
      <c r="L1036" s="43">
        <v>0.18</v>
      </c>
      <c r="M1036" s="46">
        <f>(Sales[[#This Row],[Gross Amount]]-Sales[[#This Row],[Disc. Amt.]])*Sales[[#This Row],[GST %]]</f>
        <v>432</v>
      </c>
      <c r="N1036" s="161">
        <f>Sales[[#This Row],[Gross Amount]]-Sales[[#This Row],[Disc. Amt.]]+Sales[[#This Row],[GST Amount]]</f>
        <v>2832</v>
      </c>
      <c r="O1036" s="34" t="s">
        <v>8876</v>
      </c>
      <c r="P1036" s="34" t="s">
        <v>3562</v>
      </c>
      <c r="Q1036" s="165">
        <f>IF(Sales[[#This Row],[Status]]="Cancelled",0,Sales[[#This Row],[Qty]])</f>
        <v>2</v>
      </c>
      <c r="R1036" s="166">
        <f>IF(Sales[[#This Row],[Status]]="Cancelled",0,Sales[[#This Row],[Total Amount]])</f>
        <v>2832</v>
      </c>
      <c r="S1036" s="162">
        <f>SUM(Sales[Net Amount])</f>
        <v>406839287.73200053</v>
      </c>
    </row>
    <row r="1037" spans="1:19" ht="18.75" x14ac:dyDescent="0.25">
      <c r="A1037" s="156" t="s">
        <v>4628</v>
      </c>
      <c r="B1037" s="157">
        <v>45832</v>
      </c>
      <c r="C1037" s="158" t="s">
        <v>715</v>
      </c>
      <c r="D1037" s="159" t="str">
        <f>VLOOKUP(Sales[[#This Row],[Customer ID]],Customer[#All],2,0)</f>
        <v>Sunita Patel</v>
      </c>
      <c r="E1037" s="158" t="s">
        <v>127</v>
      </c>
      <c r="F1037" s="158" t="str">
        <f>VLOOKUP(Sales[[#This Row],[Product ID]],Product[#All],2,0)</f>
        <v>Samsung Ssd</v>
      </c>
      <c r="G1037" s="159">
        <v>7</v>
      </c>
      <c r="H1037" s="160">
        <f>VLOOKUP(Sales[[#This Row],[Product ID]],Product[#All],7,0)</f>
        <v>4570</v>
      </c>
      <c r="I1037" s="160">
        <f>Sales[[#This Row],[Selling Rate]]*Sales[[#This Row],[Qty]]</f>
        <v>31990</v>
      </c>
      <c r="J1037" s="43">
        <v>0</v>
      </c>
      <c r="K1037" s="44">
        <f>Sales[[#This Row],[Gross Amount]]*Sales[[#This Row],[Disc %]]</f>
        <v>0</v>
      </c>
      <c r="L1037" s="43">
        <v>0.18</v>
      </c>
      <c r="M1037" s="44">
        <f>(Sales[[#This Row],[Gross Amount]]-Sales[[#This Row],[Disc. Amt.]])*Sales[[#This Row],[GST %]]</f>
        <v>5758.2</v>
      </c>
      <c r="N1037" s="161">
        <f>Sales[[#This Row],[Gross Amount]]-Sales[[#This Row],[Disc. Amt.]]+Sales[[#This Row],[GST Amount]]</f>
        <v>37748.199999999997</v>
      </c>
      <c r="O1037" s="158" t="s">
        <v>3569</v>
      </c>
      <c r="P1037" s="158" t="s">
        <v>3562</v>
      </c>
      <c r="Q1037" s="160">
        <f>IF(Sales[[#This Row],[Status]]="Cancelled",0,Sales[[#This Row],[Qty]])</f>
        <v>7</v>
      </c>
      <c r="R1037" s="161">
        <f>IF(Sales[[#This Row],[Status]]="Cancelled",0,Sales[[#This Row],[Total Amount]])</f>
        <v>37748.199999999997</v>
      </c>
      <c r="S1037" s="162">
        <f>SUM(Sales[Net Amount])</f>
        <v>406839287.73200053</v>
      </c>
    </row>
    <row r="1038" spans="1:19" ht="18.75" x14ac:dyDescent="0.25">
      <c r="A1038" s="163" t="s">
        <v>4629</v>
      </c>
      <c r="B1038" s="164">
        <v>45832</v>
      </c>
      <c r="C1038" s="34" t="s">
        <v>949</v>
      </c>
      <c r="D1038" s="53" t="str">
        <f>VLOOKUP(Sales[[#This Row],[Customer ID]],Customer[#All],2,0)</f>
        <v>Amit Patel</v>
      </c>
      <c r="E1038" s="34" t="s">
        <v>503</v>
      </c>
      <c r="F1038" s="34" t="str">
        <f>VLOOKUP(Sales[[#This Row],[Product ID]],Product[#All],2,0)</f>
        <v>Corsair Ram</v>
      </c>
      <c r="G1038" s="53">
        <v>1</v>
      </c>
      <c r="H1038" s="165">
        <f>VLOOKUP(Sales[[#This Row],[Product ID]],Product[#All],7,0)</f>
        <v>8750</v>
      </c>
      <c r="I1038" s="165">
        <f>Sales[[#This Row],[Selling Rate]]*Sales[[#This Row],[Qty]]</f>
        <v>8750</v>
      </c>
      <c r="J1038" s="45">
        <v>0</v>
      </c>
      <c r="K1038" s="46">
        <f>Sales[[#This Row],[Gross Amount]]*Sales[[#This Row],[Disc %]]</f>
        <v>0</v>
      </c>
      <c r="L1038" s="43">
        <v>0.18</v>
      </c>
      <c r="M1038" s="46">
        <f>(Sales[[#This Row],[Gross Amount]]-Sales[[#This Row],[Disc. Amt.]])*Sales[[#This Row],[GST %]]</f>
        <v>1575</v>
      </c>
      <c r="N1038" s="161">
        <f>Sales[[#This Row],[Gross Amount]]-Sales[[#This Row],[Disc. Amt.]]+Sales[[#This Row],[GST Amount]]</f>
        <v>10325</v>
      </c>
      <c r="O1038" s="34" t="s">
        <v>8876</v>
      </c>
      <c r="P1038" s="34" t="s">
        <v>3562</v>
      </c>
      <c r="Q1038" s="165">
        <f>IF(Sales[[#This Row],[Status]]="Cancelled",0,Sales[[#This Row],[Qty]])</f>
        <v>1</v>
      </c>
      <c r="R1038" s="166">
        <f>IF(Sales[[#This Row],[Status]]="Cancelled",0,Sales[[#This Row],[Total Amount]])</f>
        <v>10325</v>
      </c>
      <c r="S1038" s="162">
        <f>SUM(Sales[Net Amount])</f>
        <v>406839287.73200053</v>
      </c>
    </row>
    <row r="1039" spans="1:19" ht="18.75" x14ac:dyDescent="0.25">
      <c r="A1039" s="156" t="s">
        <v>4630</v>
      </c>
      <c r="B1039" s="157">
        <v>45832</v>
      </c>
      <c r="C1039" s="158" t="s">
        <v>895</v>
      </c>
      <c r="D1039" s="159" t="str">
        <f>VLOOKUP(Sales[[#This Row],[Customer ID]],Customer[#All],2,0)</f>
        <v>Pooja Patel</v>
      </c>
      <c r="E1039" s="158" t="s">
        <v>346</v>
      </c>
      <c r="F1039" s="158" t="str">
        <f>VLOOKUP(Sales[[#This Row],[Product ID]],Product[#All],2,0)</f>
        <v>HP Laptop</v>
      </c>
      <c r="G1039" s="159">
        <v>7</v>
      </c>
      <c r="H1039" s="160">
        <f>VLOOKUP(Sales[[#This Row],[Product ID]],Product[#All],7,0)</f>
        <v>88550</v>
      </c>
      <c r="I1039" s="160">
        <f>Sales[[#This Row],[Selling Rate]]*Sales[[#This Row],[Qty]]</f>
        <v>619850</v>
      </c>
      <c r="J1039" s="43">
        <v>0.05</v>
      </c>
      <c r="K1039" s="44">
        <f>Sales[[#This Row],[Gross Amount]]*Sales[[#This Row],[Disc %]]</f>
        <v>30992.5</v>
      </c>
      <c r="L1039" s="43">
        <v>0.18</v>
      </c>
      <c r="M1039" s="44">
        <f>(Sales[[#This Row],[Gross Amount]]-Sales[[#This Row],[Disc. Amt.]])*Sales[[#This Row],[GST %]]</f>
        <v>105994.34999999999</v>
      </c>
      <c r="N1039" s="161">
        <f>Sales[[#This Row],[Gross Amount]]-Sales[[#This Row],[Disc. Amt.]]+Sales[[#This Row],[GST Amount]]</f>
        <v>694851.85</v>
      </c>
      <c r="O1039" s="158" t="s">
        <v>3566</v>
      </c>
      <c r="P1039" s="158" t="s">
        <v>3562</v>
      </c>
      <c r="Q1039" s="160">
        <f>IF(Sales[[#This Row],[Status]]="Cancelled",0,Sales[[#This Row],[Qty]])</f>
        <v>7</v>
      </c>
      <c r="R1039" s="161">
        <f>IF(Sales[[#This Row],[Status]]="Cancelled",0,Sales[[#This Row],[Total Amount]])</f>
        <v>694851.85</v>
      </c>
      <c r="S1039" s="162">
        <f>SUM(Sales[Net Amount])</f>
        <v>406839287.73200053</v>
      </c>
    </row>
    <row r="1040" spans="1:19" ht="18.75" x14ac:dyDescent="0.25">
      <c r="A1040" s="163" t="s">
        <v>4631</v>
      </c>
      <c r="B1040" s="164">
        <v>45833</v>
      </c>
      <c r="C1040" s="34" t="s">
        <v>762</v>
      </c>
      <c r="D1040" s="53" t="str">
        <f>VLOOKUP(Sales[[#This Row],[Customer ID]],Customer[#All],2,0)</f>
        <v>Amit Patel</v>
      </c>
      <c r="E1040" s="34" t="s">
        <v>522</v>
      </c>
      <c r="F1040" s="34" t="str">
        <f>VLOOKUP(Sales[[#This Row],[Product ID]],Product[#All],2,0)</f>
        <v>Dell Keyboard</v>
      </c>
      <c r="G1040" s="53">
        <v>3</v>
      </c>
      <c r="H1040" s="165">
        <f>VLOOKUP(Sales[[#This Row],[Product ID]],Product[#All],7,0)</f>
        <v>3020</v>
      </c>
      <c r="I1040" s="165">
        <f>Sales[[#This Row],[Selling Rate]]*Sales[[#This Row],[Qty]]</f>
        <v>9060</v>
      </c>
      <c r="J1040" s="45">
        <v>0</v>
      </c>
      <c r="K1040" s="46">
        <f>Sales[[#This Row],[Gross Amount]]*Sales[[#This Row],[Disc %]]</f>
        <v>0</v>
      </c>
      <c r="L1040" s="43">
        <v>0.18</v>
      </c>
      <c r="M1040" s="46">
        <f>(Sales[[#This Row],[Gross Amount]]-Sales[[#This Row],[Disc. Amt.]])*Sales[[#This Row],[GST %]]</f>
        <v>1630.8</v>
      </c>
      <c r="N1040" s="161">
        <f>Sales[[#This Row],[Gross Amount]]-Sales[[#This Row],[Disc. Amt.]]+Sales[[#This Row],[GST Amount]]</f>
        <v>10690.8</v>
      </c>
      <c r="O1040" s="34" t="s">
        <v>3569</v>
      </c>
      <c r="P1040" s="34" t="s">
        <v>3562</v>
      </c>
      <c r="Q1040" s="165">
        <f>IF(Sales[[#This Row],[Status]]="Cancelled",0,Sales[[#This Row],[Qty]])</f>
        <v>3</v>
      </c>
      <c r="R1040" s="166">
        <f>IF(Sales[[#This Row],[Status]]="Cancelled",0,Sales[[#This Row],[Total Amount]])</f>
        <v>10690.8</v>
      </c>
      <c r="S1040" s="162">
        <f>SUM(Sales[Net Amount])</f>
        <v>406839287.73200053</v>
      </c>
    </row>
    <row r="1041" spans="1:19" ht="18.75" x14ac:dyDescent="0.25">
      <c r="A1041" s="156" t="s">
        <v>4632</v>
      </c>
      <c r="B1041" s="157">
        <v>45833</v>
      </c>
      <c r="C1041" s="158" t="s">
        <v>693</v>
      </c>
      <c r="D1041" s="159" t="str">
        <f>VLOOKUP(Sales[[#This Row],[Customer ID]],Customer[#All],2,0)</f>
        <v>Rahul Gupta</v>
      </c>
      <c r="E1041" s="158" t="s">
        <v>347</v>
      </c>
      <c r="F1041" s="158" t="str">
        <f>VLOOKUP(Sales[[#This Row],[Product ID]],Product[#All],2,0)</f>
        <v>Logitech Mouse</v>
      </c>
      <c r="G1041" s="159">
        <v>6</v>
      </c>
      <c r="H1041" s="160">
        <f>VLOOKUP(Sales[[#This Row],[Product ID]],Product[#All],7,0)</f>
        <v>680</v>
      </c>
      <c r="I1041" s="160">
        <f>Sales[[#This Row],[Selling Rate]]*Sales[[#This Row],[Qty]]</f>
        <v>4080</v>
      </c>
      <c r="J1041" s="43">
        <v>0.05</v>
      </c>
      <c r="K1041" s="44">
        <f>Sales[[#This Row],[Gross Amount]]*Sales[[#This Row],[Disc %]]</f>
        <v>204</v>
      </c>
      <c r="L1041" s="43">
        <v>0.18</v>
      </c>
      <c r="M1041" s="44">
        <f>(Sales[[#This Row],[Gross Amount]]-Sales[[#This Row],[Disc. Amt.]])*Sales[[#This Row],[GST %]]</f>
        <v>697.68</v>
      </c>
      <c r="N1041" s="161">
        <f>Sales[[#This Row],[Gross Amount]]-Sales[[#This Row],[Disc. Amt.]]+Sales[[#This Row],[GST Amount]]</f>
        <v>4573.68</v>
      </c>
      <c r="O1041" s="158" t="s">
        <v>3569</v>
      </c>
      <c r="P1041" s="158" t="s">
        <v>3562</v>
      </c>
      <c r="Q1041" s="160">
        <f>IF(Sales[[#This Row],[Status]]="Cancelled",0,Sales[[#This Row],[Qty]])</f>
        <v>6</v>
      </c>
      <c r="R1041" s="161">
        <f>IF(Sales[[#This Row],[Status]]="Cancelled",0,Sales[[#This Row],[Total Amount]])</f>
        <v>4573.68</v>
      </c>
      <c r="S1041" s="162">
        <f>SUM(Sales[Net Amount])</f>
        <v>406839287.73200053</v>
      </c>
    </row>
    <row r="1042" spans="1:19" ht="18.75" x14ac:dyDescent="0.25">
      <c r="A1042" s="163" t="s">
        <v>4633</v>
      </c>
      <c r="B1042" s="164">
        <v>45833</v>
      </c>
      <c r="C1042" s="34" t="s">
        <v>866</v>
      </c>
      <c r="D1042" s="53" t="str">
        <f>VLOOKUP(Sales[[#This Row],[Customer ID]],Customer[#All],2,0)</f>
        <v>Priya Patel</v>
      </c>
      <c r="E1042" s="34" t="s">
        <v>160</v>
      </c>
      <c r="F1042" s="34" t="str">
        <f>VLOOKUP(Sales[[#This Row],[Product ID]],Product[#All],2,0)</f>
        <v>Dell Power Adapter</v>
      </c>
      <c r="G1042" s="53">
        <v>3</v>
      </c>
      <c r="H1042" s="165">
        <f>VLOOKUP(Sales[[#This Row],[Product ID]],Product[#All],7,0)</f>
        <v>4330</v>
      </c>
      <c r="I1042" s="165">
        <f>Sales[[#This Row],[Selling Rate]]*Sales[[#This Row],[Qty]]</f>
        <v>12990</v>
      </c>
      <c r="J1042" s="45">
        <v>0.15</v>
      </c>
      <c r="K1042" s="46">
        <f>Sales[[#This Row],[Gross Amount]]*Sales[[#This Row],[Disc %]]</f>
        <v>1948.5</v>
      </c>
      <c r="L1042" s="43">
        <v>0.18</v>
      </c>
      <c r="M1042" s="46">
        <f>(Sales[[#This Row],[Gross Amount]]-Sales[[#This Row],[Disc. Amt.]])*Sales[[#This Row],[GST %]]</f>
        <v>1987.47</v>
      </c>
      <c r="N1042" s="161">
        <f>Sales[[#This Row],[Gross Amount]]-Sales[[#This Row],[Disc. Amt.]]+Sales[[#This Row],[GST Amount]]</f>
        <v>13028.97</v>
      </c>
      <c r="O1042" s="34" t="s">
        <v>3566</v>
      </c>
      <c r="P1042" s="34" t="s">
        <v>3562</v>
      </c>
      <c r="Q1042" s="165">
        <f>IF(Sales[[#This Row],[Status]]="Cancelled",0,Sales[[#This Row],[Qty]])</f>
        <v>3</v>
      </c>
      <c r="R1042" s="166">
        <f>IF(Sales[[#This Row],[Status]]="Cancelled",0,Sales[[#This Row],[Total Amount]])</f>
        <v>13028.97</v>
      </c>
      <c r="S1042" s="162">
        <f>SUM(Sales[Net Amount])</f>
        <v>406839287.73200053</v>
      </c>
    </row>
    <row r="1043" spans="1:19" ht="18.75" x14ac:dyDescent="0.25">
      <c r="A1043" s="156" t="s">
        <v>4634</v>
      </c>
      <c r="B1043" s="157">
        <v>45833</v>
      </c>
      <c r="C1043" s="158" t="s">
        <v>881</v>
      </c>
      <c r="D1043" s="159" t="str">
        <f>VLOOKUP(Sales[[#This Row],[Customer ID]],Customer[#All],2,0)</f>
        <v>Vikas Verma</v>
      </c>
      <c r="E1043" s="158" t="s">
        <v>185</v>
      </c>
      <c r="F1043" s="158" t="str">
        <f>VLOOKUP(Sales[[#This Row],[Product ID]],Product[#All],2,0)</f>
        <v>HP Power Adapter</v>
      </c>
      <c r="G1043" s="159">
        <v>1</v>
      </c>
      <c r="H1043" s="160">
        <f>VLOOKUP(Sales[[#This Row],[Product ID]],Product[#All],7,0)</f>
        <v>4850</v>
      </c>
      <c r="I1043" s="160">
        <f>Sales[[#This Row],[Selling Rate]]*Sales[[#This Row],[Qty]]</f>
        <v>4850</v>
      </c>
      <c r="J1043" s="43">
        <v>0</v>
      </c>
      <c r="K1043" s="44">
        <f>Sales[[#This Row],[Gross Amount]]*Sales[[#This Row],[Disc %]]</f>
        <v>0</v>
      </c>
      <c r="L1043" s="43">
        <v>0.18</v>
      </c>
      <c r="M1043" s="44">
        <f>(Sales[[#This Row],[Gross Amount]]-Sales[[#This Row],[Disc. Amt.]])*Sales[[#This Row],[GST %]]</f>
        <v>873</v>
      </c>
      <c r="N1043" s="161">
        <f>Sales[[#This Row],[Gross Amount]]-Sales[[#This Row],[Disc. Amt.]]+Sales[[#This Row],[GST Amount]]</f>
        <v>5723</v>
      </c>
      <c r="O1043" s="158" t="s">
        <v>3569</v>
      </c>
      <c r="P1043" s="158" t="s">
        <v>3562</v>
      </c>
      <c r="Q1043" s="160">
        <f>IF(Sales[[#This Row],[Status]]="Cancelled",0,Sales[[#This Row],[Qty]])</f>
        <v>1</v>
      </c>
      <c r="R1043" s="161">
        <f>IF(Sales[[#This Row],[Status]]="Cancelled",0,Sales[[#This Row],[Total Amount]])</f>
        <v>5723</v>
      </c>
      <c r="S1043" s="162">
        <f>SUM(Sales[Net Amount])</f>
        <v>406839287.73200053</v>
      </c>
    </row>
    <row r="1044" spans="1:19" ht="18.75" x14ac:dyDescent="0.25">
      <c r="A1044" s="163" t="s">
        <v>4635</v>
      </c>
      <c r="B1044" s="164">
        <v>45833</v>
      </c>
      <c r="C1044" s="34" t="s">
        <v>895</v>
      </c>
      <c r="D1044" s="53" t="str">
        <f>VLOOKUP(Sales[[#This Row],[Customer ID]],Customer[#All],2,0)</f>
        <v>Pooja Patel</v>
      </c>
      <c r="E1044" s="34" t="s">
        <v>524</v>
      </c>
      <c r="F1044" s="34" t="str">
        <f>VLOOKUP(Sales[[#This Row],[Product ID]],Product[#All],2,0)</f>
        <v>TP-link Bluetooth Adapter</v>
      </c>
      <c r="G1044" s="53">
        <v>2</v>
      </c>
      <c r="H1044" s="165">
        <f>VLOOKUP(Sales[[#This Row],[Product ID]],Product[#All],7,0)</f>
        <v>750</v>
      </c>
      <c r="I1044" s="165">
        <f>Sales[[#This Row],[Selling Rate]]*Sales[[#This Row],[Qty]]</f>
        <v>1500</v>
      </c>
      <c r="J1044" s="45">
        <v>0.12</v>
      </c>
      <c r="K1044" s="46">
        <f>Sales[[#This Row],[Gross Amount]]*Sales[[#This Row],[Disc %]]</f>
        <v>180</v>
      </c>
      <c r="L1044" s="43">
        <v>0.18</v>
      </c>
      <c r="M1044" s="46">
        <f>(Sales[[#This Row],[Gross Amount]]-Sales[[#This Row],[Disc. Amt.]])*Sales[[#This Row],[GST %]]</f>
        <v>237.6</v>
      </c>
      <c r="N1044" s="161">
        <f>Sales[[#This Row],[Gross Amount]]-Sales[[#This Row],[Disc. Amt.]]+Sales[[#This Row],[GST Amount]]</f>
        <v>1557.6</v>
      </c>
      <c r="O1044" s="34" t="s">
        <v>3566</v>
      </c>
      <c r="P1044" s="34" t="s">
        <v>3562</v>
      </c>
      <c r="Q1044" s="165">
        <f>IF(Sales[[#This Row],[Status]]="Cancelled",0,Sales[[#This Row],[Qty]])</f>
        <v>2</v>
      </c>
      <c r="R1044" s="166">
        <f>IF(Sales[[#This Row],[Status]]="Cancelled",0,Sales[[#This Row],[Total Amount]])</f>
        <v>1557.6</v>
      </c>
      <c r="S1044" s="162">
        <f>SUM(Sales[Net Amount])</f>
        <v>406839287.73200053</v>
      </c>
    </row>
    <row r="1045" spans="1:19" ht="18.75" x14ac:dyDescent="0.25">
      <c r="A1045" s="156" t="s">
        <v>4636</v>
      </c>
      <c r="B1045" s="157">
        <v>45833</v>
      </c>
      <c r="C1045" s="158" t="s">
        <v>869</v>
      </c>
      <c r="D1045" s="159" t="str">
        <f>VLOOKUP(Sales[[#This Row],[Customer ID]],Customer[#All],2,0)</f>
        <v>Rakesh Patel</v>
      </c>
      <c r="E1045" s="158" t="s">
        <v>185</v>
      </c>
      <c r="F1045" s="158" t="str">
        <f>VLOOKUP(Sales[[#This Row],[Product ID]],Product[#All],2,0)</f>
        <v>HP Power Adapter</v>
      </c>
      <c r="G1045" s="159">
        <v>8</v>
      </c>
      <c r="H1045" s="160">
        <f>VLOOKUP(Sales[[#This Row],[Product ID]],Product[#All],7,0)</f>
        <v>4850</v>
      </c>
      <c r="I1045" s="160">
        <f>Sales[[#This Row],[Selling Rate]]*Sales[[#This Row],[Qty]]</f>
        <v>38800</v>
      </c>
      <c r="J1045" s="43">
        <v>0</v>
      </c>
      <c r="K1045" s="44">
        <f>Sales[[#This Row],[Gross Amount]]*Sales[[#This Row],[Disc %]]</f>
        <v>0</v>
      </c>
      <c r="L1045" s="43">
        <v>0.18</v>
      </c>
      <c r="M1045" s="44">
        <f>(Sales[[#This Row],[Gross Amount]]-Sales[[#This Row],[Disc. Amt.]])*Sales[[#This Row],[GST %]]</f>
        <v>6984</v>
      </c>
      <c r="N1045" s="161">
        <f>Sales[[#This Row],[Gross Amount]]-Sales[[#This Row],[Disc. Amt.]]+Sales[[#This Row],[GST Amount]]</f>
        <v>45784</v>
      </c>
      <c r="O1045" s="158" t="s">
        <v>3569</v>
      </c>
      <c r="P1045" s="158" t="s">
        <v>3562</v>
      </c>
      <c r="Q1045" s="160">
        <f>IF(Sales[[#This Row],[Status]]="Cancelled",0,Sales[[#This Row],[Qty]])</f>
        <v>8</v>
      </c>
      <c r="R1045" s="161">
        <f>IF(Sales[[#This Row],[Status]]="Cancelled",0,Sales[[#This Row],[Total Amount]])</f>
        <v>45784</v>
      </c>
      <c r="S1045" s="162">
        <f>SUM(Sales[Net Amount])</f>
        <v>406839287.73200053</v>
      </c>
    </row>
    <row r="1046" spans="1:19" ht="18.75" x14ac:dyDescent="0.25">
      <c r="A1046" s="163" t="s">
        <v>4637</v>
      </c>
      <c r="B1046" s="164">
        <v>45833</v>
      </c>
      <c r="C1046" s="34" t="s">
        <v>766</v>
      </c>
      <c r="D1046" s="53" t="str">
        <f>VLOOKUP(Sales[[#This Row],[Customer ID]],Customer[#All],2,0)</f>
        <v>Neha Gupta</v>
      </c>
      <c r="E1046" s="34" t="s">
        <v>122</v>
      </c>
      <c r="F1046" s="34" t="str">
        <f>VLOOKUP(Sales[[#This Row],[Product ID]],Product[#All],2,0)</f>
        <v>HP Mouse</v>
      </c>
      <c r="G1046" s="53">
        <v>5</v>
      </c>
      <c r="H1046" s="165">
        <f>VLOOKUP(Sales[[#This Row],[Product ID]],Product[#All],7,0)</f>
        <v>1980</v>
      </c>
      <c r="I1046" s="165">
        <f>Sales[[#This Row],[Selling Rate]]*Sales[[#This Row],[Qty]]</f>
        <v>9900</v>
      </c>
      <c r="J1046" s="45">
        <v>0.02</v>
      </c>
      <c r="K1046" s="46">
        <f>Sales[[#This Row],[Gross Amount]]*Sales[[#This Row],[Disc %]]</f>
        <v>198</v>
      </c>
      <c r="L1046" s="43">
        <v>0.18</v>
      </c>
      <c r="M1046" s="46">
        <f>(Sales[[#This Row],[Gross Amount]]-Sales[[#This Row],[Disc. Amt.]])*Sales[[#This Row],[GST %]]</f>
        <v>1746.36</v>
      </c>
      <c r="N1046" s="161">
        <f>Sales[[#This Row],[Gross Amount]]-Sales[[#This Row],[Disc. Amt.]]+Sales[[#This Row],[GST Amount]]</f>
        <v>11448.36</v>
      </c>
      <c r="O1046" s="34" t="s">
        <v>3561</v>
      </c>
      <c r="P1046" s="34" t="s">
        <v>3562</v>
      </c>
      <c r="Q1046" s="165">
        <f>IF(Sales[[#This Row],[Status]]="Cancelled",0,Sales[[#This Row],[Qty]])</f>
        <v>5</v>
      </c>
      <c r="R1046" s="166">
        <f>IF(Sales[[#This Row],[Status]]="Cancelled",0,Sales[[#This Row],[Total Amount]])</f>
        <v>11448.36</v>
      </c>
      <c r="S1046" s="162">
        <f>SUM(Sales[Net Amount])</f>
        <v>406839287.73200053</v>
      </c>
    </row>
    <row r="1047" spans="1:19" ht="18.75" x14ac:dyDescent="0.25">
      <c r="A1047" s="156" t="s">
        <v>4638</v>
      </c>
      <c r="B1047" s="157">
        <v>45833</v>
      </c>
      <c r="C1047" s="158" t="s">
        <v>749</v>
      </c>
      <c r="D1047" s="159" t="str">
        <f>VLOOKUP(Sales[[#This Row],[Customer ID]],Customer[#All],2,0)</f>
        <v>Sahil Patel</v>
      </c>
      <c r="E1047" s="158" t="s">
        <v>421</v>
      </c>
      <c r="F1047" s="158" t="str">
        <f>VLOOKUP(Sales[[#This Row],[Product ID]],Product[#All],2,0)</f>
        <v>Portronics USB Cable</v>
      </c>
      <c r="G1047" s="159">
        <v>5</v>
      </c>
      <c r="H1047" s="160">
        <f>VLOOKUP(Sales[[#This Row],[Product ID]],Product[#All],7,0)</f>
        <v>270</v>
      </c>
      <c r="I1047" s="160">
        <f>Sales[[#This Row],[Selling Rate]]*Sales[[#This Row],[Qty]]</f>
        <v>1350</v>
      </c>
      <c r="J1047" s="43">
        <v>0.12</v>
      </c>
      <c r="K1047" s="44">
        <f>Sales[[#This Row],[Gross Amount]]*Sales[[#This Row],[Disc %]]</f>
        <v>162</v>
      </c>
      <c r="L1047" s="43">
        <v>0.18</v>
      </c>
      <c r="M1047" s="44">
        <f>(Sales[[#This Row],[Gross Amount]]-Sales[[#This Row],[Disc. Amt.]])*Sales[[#This Row],[GST %]]</f>
        <v>213.84</v>
      </c>
      <c r="N1047" s="161">
        <f>Sales[[#This Row],[Gross Amount]]-Sales[[#This Row],[Disc. Amt.]]+Sales[[#This Row],[GST Amount]]</f>
        <v>1401.84</v>
      </c>
      <c r="O1047" s="158" t="s">
        <v>3569</v>
      </c>
      <c r="P1047" s="158" t="s">
        <v>1040</v>
      </c>
      <c r="Q1047" s="160">
        <f>IF(Sales[[#This Row],[Status]]="Cancelled",0,Sales[[#This Row],[Qty]])</f>
        <v>0</v>
      </c>
      <c r="R1047" s="161">
        <f>IF(Sales[[#This Row],[Status]]="Cancelled",0,Sales[[#This Row],[Total Amount]])</f>
        <v>0</v>
      </c>
      <c r="S1047" s="162">
        <f>SUM(Sales[Net Amount])</f>
        <v>406839287.73200053</v>
      </c>
    </row>
    <row r="1048" spans="1:19" ht="18.75" x14ac:dyDescent="0.25">
      <c r="A1048" s="163" t="s">
        <v>4639</v>
      </c>
      <c r="B1048" s="164">
        <v>45833</v>
      </c>
      <c r="C1048" s="34" t="s">
        <v>712</v>
      </c>
      <c r="D1048" s="53" t="str">
        <f>VLOOKUP(Sales[[#This Row],[Customer ID]],Customer[#All],2,0)</f>
        <v>Sahil Verma</v>
      </c>
      <c r="E1048" s="34" t="s">
        <v>354</v>
      </c>
      <c r="F1048" s="34" t="str">
        <f>VLOOKUP(Sales[[#This Row],[Product ID]],Product[#All],2,0)</f>
        <v>Dell Monitor</v>
      </c>
      <c r="G1048" s="53">
        <v>4</v>
      </c>
      <c r="H1048" s="165">
        <f>VLOOKUP(Sales[[#This Row],[Product ID]],Product[#All],7,0)</f>
        <v>12450</v>
      </c>
      <c r="I1048" s="165">
        <f>Sales[[#This Row],[Selling Rate]]*Sales[[#This Row],[Qty]]</f>
        <v>49800</v>
      </c>
      <c r="J1048" s="45">
        <v>0</v>
      </c>
      <c r="K1048" s="46">
        <f>Sales[[#This Row],[Gross Amount]]*Sales[[#This Row],[Disc %]]</f>
        <v>0</v>
      </c>
      <c r="L1048" s="43">
        <v>0.18</v>
      </c>
      <c r="M1048" s="46">
        <f>(Sales[[#This Row],[Gross Amount]]-Sales[[#This Row],[Disc. Amt.]])*Sales[[#This Row],[GST %]]</f>
        <v>8964</v>
      </c>
      <c r="N1048" s="161">
        <f>Sales[[#This Row],[Gross Amount]]-Sales[[#This Row],[Disc. Amt.]]+Sales[[#This Row],[GST Amount]]</f>
        <v>58764</v>
      </c>
      <c r="O1048" s="34" t="s">
        <v>8876</v>
      </c>
      <c r="P1048" s="34" t="s">
        <v>3562</v>
      </c>
      <c r="Q1048" s="165">
        <f>IF(Sales[[#This Row],[Status]]="Cancelled",0,Sales[[#This Row],[Qty]])</f>
        <v>4</v>
      </c>
      <c r="R1048" s="166">
        <f>IF(Sales[[#This Row],[Status]]="Cancelled",0,Sales[[#This Row],[Total Amount]])</f>
        <v>58764</v>
      </c>
      <c r="S1048" s="162">
        <f>SUM(Sales[Net Amount])</f>
        <v>406839287.73200053</v>
      </c>
    </row>
    <row r="1049" spans="1:19" ht="18.75" x14ac:dyDescent="0.25">
      <c r="A1049" s="156" t="s">
        <v>4640</v>
      </c>
      <c r="B1049" s="157">
        <v>45833</v>
      </c>
      <c r="C1049" s="158" t="s">
        <v>685</v>
      </c>
      <c r="D1049" s="159" t="str">
        <f>VLOOKUP(Sales[[#This Row],[Customer ID]],Customer[#All],2,0)</f>
        <v>Pooja Kumar</v>
      </c>
      <c r="E1049" s="158" t="s">
        <v>468</v>
      </c>
      <c r="F1049" s="158" t="str">
        <f>VLOOKUP(Sales[[#This Row],[Product ID]],Product[#All],2,0)</f>
        <v>Dell Laptop</v>
      </c>
      <c r="G1049" s="159">
        <v>2</v>
      </c>
      <c r="H1049" s="160">
        <f>VLOOKUP(Sales[[#This Row],[Product ID]],Product[#All],7,0)</f>
        <v>93200</v>
      </c>
      <c r="I1049" s="160">
        <f>Sales[[#This Row],[Selling Rate]]*Sales[[#This Row],[Qty]]</f>
        <v>186400</v>
      </c>
      <c r="J1049" s="43">
        <v>0.05</v>
      </c>
      <c r="K1049" s="44">
        <f>Sales[[#This Row],[Gross Amount]]*Sales[[#This Row],[Disc %]]</f>
        <v>9320</v>
      </c>
      <c r="L1049" s="43">
        <v>0.18</v>
      </c>
      <c r="M1049" s="44">
        <f>(Sales[[#This Row],[Gross Amount]]-Sales[[#This Row],[Disc. Amt.]])*Sales[[#This Row],[GST %]]</f>
        <v>31874.399999999998</v>
      </c>
      <c r="N1049" s="161">
        <f>Sales[[#This Row],[Gross Amount]]-Sales[[#This Row],[Disc. Amt.]]+Sales[[#This Row],[GST Amount]]</f>
        <v>208954.4</v>
      </c>
      <c r="O1049" s="158" t="s">
        <v>3561</v>
      </c>
      <c r="P1049" s="158" t="s">
        <v>3562</v>
      </c>
      <c r="Q1049" s="160">
        <f>IF(Sales[[#This Row],[Status]]="Cancelled",0,Sales[[#This Row],[Qty]])</f>
        <v>2</v>
      </c>
      <c r="R1049" s="161">
        <f>IF(Sales[[#This Row],[Status]]="Cancelled",0,Sales[[#This Row],[Total Amount]])</f>
        <v>208954.4</v>
      </c>
      <c r="S1049" s="162">
        <f>SUM(Sales[Net Amount])</f>
        <v>406839287.73200053</v>
      </c>
    </row>
    <row r="1050" spans="1:19" ht="18.75" x14ac:dyDescent="0.25">
      <c r="A1050" s="163" t="s">
        <v>4641</v>
      </c>
      <c r="B1050" s="164">
        <v>45833</v>
      </c>
      <c r="C1050" s="34" t="s">
        <v>718</v>
      </c>
      <c r="D1050" s="53" t="str">
        <f>VLOOKUP(Sales[[#This Row],[Customer ID]],Customer[#All],2,0)</f>
        <v>Rakesh Patel</v>
      </c>
      <c r="E1050" s="34" t="s">
        <v>171</v>
      </c>
      <c r="F1050" s="34" t="str">
        <f>VLOOKUP(Sales[[#This Row],[Product ID]],Product[#All],2,0)</f>
        <v>Boat Headset</v>
      </c>
      <c r="G1050" s="53">
        <v>3</v>
      </c>
      <c r="H1050" s="165">
        <f>VLOOKUP(Sales[[#This Row],[Product ID]],Product[#All],7,0)</f>
        <v>4010</v>
      </c>
      <c r="I1050" s="165">
        <f>Sales[[#This Row],[Selling Rate]]*Sales[[#This Row],[Qty]]</f>
        <v>12030</v>
      </c>
      <c r="J1050" s="45">
        <v>0.12</v>
      </c>
      <c r="K1050" s="46">
        <f>Sales[[#This Row],[Gross Amount]]*Sales[[#This Row],[Disc %]]</f>
        <v>1443.6</v>
      </c>
      <c r="L1050" s="43">
        <v>0.18</v>
      </c>
      <c r="M1050" s="46">
        <f>(Sales[[#This Row],[Gross Amount]]-Sales[[#This Row],[Disc. Amt.]])*Sales[[#This Row],[GST %]]</f>
        <v>1905.5519999999999</v>
      </c>
      <c r="N1050" s="161">
        <f>Sales[[#This Row],[Gross Amount]]-Sales[[#This Row],[Disc. Amt.]]+Sales[[#This Row],[GST Amount]]</f>
        <v>12491.951999999999</v>
      </c>
      <c r="O1050" s="34" t="s">
        <v>3561</v>
      </c>
      <c r="P1050" s="34" t="s">
        <v>3562</v>
      </c>
      <c r="Q1050" s="165">
        <f>IF(Sales[[#This Row],[Status]]="Cancelled",0,Sales[[#This Row],[Qty]])</f>
        <v>3</v>
      </c>
      <c r="R1050" s="166">
        <f>IF(Sales[[#This Row],[Status]]="Cancelled",0,Sales[[#This Row],[Total Amount]])</f>
        <v>12491.951999999999</v>
      </c>
      <c r="S1050" s="162">
        <f>SUM(Sales[Net Amount])</f>
        <v>406839287.73200053</v>
      </c>
    </row>
    <row r="1051" spans="1:19" ht="18.75" x14ac:dyDescent="0.25">
      <c r="A1051" s="156" t="s">
        <v>4642</v>
      </c>
      <c r="B1051" s="157">
        <v>45833</v>
      </c>
      <c r="C1051" s="158" t="s">
        <v>775</v>
      </c>
      <c r="D1051" s="159" t="str">
        <f>VLOOKUP(Sales[[#This Row],[Customer ID]],Customer[#All],2,0)</f>
        <v>Ankit Kumar</v>
      </c>
      <c r="E1051" s="158" t="s">
        <v>219</v>
      </c>
      <c r="F1051" s="158" t="str">
        <f>VLOOKUP(Sales[[#This Row],[Product ID]],Product[#All],2,0)</f>
        <v>Samsung Monitor</v>
      </c>
      <c r="G1051" s="159">
        <v>1</v>
      </c>
      <c r="H1051" s="160">
        <f>VLOOKUP(Sales[[#This Row],[Product ID]],Product[#All],7,0)</f>
        <v>22630</v>
      </c>
      <c r="I1051" s="160">
        <f>Sales[[#This Row],[Selling Rate]]*Sales[[#This Row],[Qty]]</f>
        <v>22630</v>
      </c>
      <c r="J1051" s="43">
        <v>0</v>
      </c>
      <c r="K1051" s="44">
        <f>Sales[[#This Row],[Gross Amount]]*Sales[[#This Row],[Disc %]]</f>
        <v>0</v>
      </c>
      <c r="L1051" s="43">
        <v>0.18</v>
      </c>
      <c r="M1051" s="44">
        <f>(Sales[[#This Row],[Gross Amount]]-Sales[[#This Row],[Disc. Amt.]])*Sales[[#This Row],[GST %]]</f>
        <v>4073.3999999999996</v>
      </c>
      <c r="N1051" s="161">
        <f>Sales[[#This Row],[Gross Amount]]-Sales[[#This Row],[Disc. Amt.]]+Sales[[#This Row],[GST Amount]]</f>
        <v>26703.4</v>
      </c>
      <c r="O1051" s="158" t="s">
        <v>3569</v>
      </c>
      <c r="P1051" s="158" t="s">
        <v>3562</v>
      </c>
      <c r="Q1051" s="160">
        <f>IF(Sales[[#This Row],[Status]]="Cancelled",0,Sales[[#This Row],[Qty]])</f>
        <v>1</v>
      </c>
      <c r="R1051" s="161">
        <f>IF(Sales[[#This Row],[Status]]="Cancelled",0,Sales[[#This Row],[Total Amount]])</f>
        <v>26703.4</v>
      </c>
      <c r="S1051" s="162">
        <f>SUM(Sales[Net Amount])</f>
        <v>406839287.73200053</v>
      </c>
    </row>
    <row r="1052" spans="1:19" ht="18.75" x14ac:dyDescent="0.25">
      <c r="A1052" s="163" t="s">
        <v>4643</v>
      </c>
      <c r="B1052" s="164">
        <v>45833</v>
      </c>
      <c r="C1052" s="34" t="s">
        <v>938</v>
      </c>
      <c r="D1052" s="53" t="str">
        <f>VLOOKUP(Sales[[#This Row],[Customer ID]],Customer[#All],2,0)</f>
        <v>Sunita Sharma</v>
      </c>
      <c r="E1052" s="34" t="s">
        <v>396</v>
      </c>
      <c r="F1052" s="34" t="str">
        <f>VLOOKUP(Sales[[#This Row],[Product ID]],Product[#All],2,0)</f>
        <v>HP Laptop</v>
      </c>
      <c r="G1052" s="53">
        <v>6</v>
      </c>
      <c r="H1052" s="165">
        <f>VLOOKUP(Sales[[#This Row],[Product ID]],Product[#All],7,0)</f>
        <v>77100</v>
      </c>
      <c r="I1052" s="165">
        <f>Sales[[#This Row],[Selling Rate]]*Sales[[#This Row],[Qty]]</f>
        <v>462600</v>
      </c>
      <c r="J1052" s="45">
        <v>0.15</v>
      </c>
      <c r="K1052" s="46">
        <f>Sales[[#This Row],[Gross Amount]]*Sales[[#This Row],[Disc %]]</f>
        <v>69390</v>
      </c>
      <c r="L1052" s="43">
        <v>0.18</v>
      </c>
      <c r="M1052" s="46">
        <f>(Sales[[#This Row],[Gross Amount]]-Sales[[#This Row],[Disc. Amt.]])*Sales[[#This Row],[GST %]]</f>
        <v>70777.8</v>
      </c>
      <c r="N1052" s="161">
        <f>Sales[[#This Row],[Gross Amount]]-Sales[[#This Row],[Disc. Amt.]]+Sales[[#This Row],[GST Amount]]</f>
        <v>463987.8</v>
      </c>
      <c r="O1052" s="34" t="s">
        <v>3569</v>
      </c>
      <c r="P1052" s="34" t="s">
        <v>3562</v>
      </c>
      <c r="Q1052" s="165">
        <f>IF(Sales[[#This Row],[Status]]="Cancelled",0,Sales[[#This Row],[Qty]])</f>
        <v>6</v>
      </c>
      <c r="R1052" s="166">
        <f>IF(Sales[[#This Row],[Status]]="Cancelled",0,Sales[[#This Row],[Total Amount]])</f>
        <v>463987.8</v>
      </c>
      <c r="S1052" s="162">
        <f>SUM(Sales[Net Amount])</f>
        <v>406839287.73200053</v>
      </c>
    </row>
    <row r="1053" spans="1:19" ht="18.75" x14ac:dyDescent="0.25">
      <c r="A1053" s="156" t="s">
        <v>4644</v>
      </c>
      <c r="B1053" s="157">
        <v>45833</v>
      </c>
      <c r="C1053" s="158" t="s">
        <v>792</v>
      </c>
      <c r="D1053" s="159" t="str">
        <f>VLOOKUP(Sales[[#This Row],[Customer ID]],Customer[#All],2,0)</f>
        <v>Pooja Sharma</v>
      </c>
      <c r="E1053" s="158" t="s">
        <v>318</v>
      </c>
      <c r="F1053" s="158" t="str">
        <f>VLOOKUP(Sales[[#This Row],[Product ID]],Product[#All],2,0)</f>
        <v>HP Printer</v>
      </c>
      <c r="G1053" s="159">
        <v>8</v>
      </c>
      <c r="H1053" s="160">
        <f>VLOOKUP(Sales[[#This Row],[Product ID]],Product[#All],7,0)</f>
        <v>30590</v>
      </c>
      <c r="I1053" s="160">
        <f>Sales[[#This Row],[Selling Rate]]*Sales[[#This Row],[Qty]]</f>
        <v>244720</v>
      </c>
      <c r="J1053" s="43">
        <v>0.02</v>
      </c>
      <c r="K1053" s="44">
        <f>Sales[[#This Row],[Gross Amount]]*Sales[[#This Row],[Disc %]]</f>
        <v>4894.4000000000005</v>
      </c>
      <c r="L1053" s="43">
        <v>0.18</v>
      </c>
      <c r="M1053" s="44">
        <f>(Sales[[#This Row],[Gross Amount]]-Sales[[#This Row],[Disc. Amt.]])*Sales[[#This Row],[GST %]]</f>
        <v>43168.608</v>
      </c>
      <c r="N1053" s="161">
        <f>Sales[[#This Row],[Gross Amount]]-Sales[[#This Row],[Disc. Amt.]]+Sales[[#This Row],[GST Amount]]</f>
        <v>282994.20799999998</v>
      </c>
      <c r="O1053" s="158" t="s">
        <v>3569</v>
      </c>
      <c r="P1053" s="158" t="s">
        <v>1040</v>
      </c>
      <c r="Q1053" s="160">
        <f>IF(Sales[[#This Row],[Status]]="Cancelled",0,Sales[[#This Row],[Qty]])</f>
        <v>0</v>
      </c>
      <c r="R1053" s="161">
        <f>IF(Sales[[#This Row],[Status]]="Cancelled",0,Sales[[#This Row],[Total Amount]])</f>
        <v>0</v>
      </c>
      <c r="S1053" s="162">
        <f>SUM(Sales[Net Amount])</f>
        <v>406839287.73200053</v>
      </c>
    </row>
    <row r="1054" spans="1:19" ht="18.75" x14ac:dyDescent="0.25">
      <c r="A1054" s="163" t="s">
        <v>4645</v>
      </c>
      <c r="B1054" s="164">
        <v>45833</v>
      </c>
      <c r="C1054" s="34" t="s">
        <v>893</v>
      </c>
      <c r="D1054" s="53" t="str">
        <f>VLOOKUP(Sales[[#This Row],[Customer ID]],Customer[#All],2,0)</f>
        <v>Sunita Sharma</v>
      </c>
      <c r="E1054" s="34" t="s">
        <v>300</v>
      </c>
      <c r="F1054" s="34" t="str">
        <f>VLOOKUP(Sales[[#This Row],[Product ID]],Product[#All],2,0)</f>
        <v>Crucial Ssd</v>
      </c>
      <c r="G1054" s="53">
        <v>5</v>
      </c>
      <c r="H1054" s="165">
        <f>VLOOKUP(Sales[[#This Row],[Product ID]],Product[#All],7,0)</f>
        <v>9950</v>
      </c>
      <c r="I1054" s="165">
        <f>Sales[[#This Row],[Selling Rate]]*Sales[[#This Row],[Qty]]</f>
        <v>49750</v>
      </c>
      <c r="J1054" s="45">
        <v>0.02</v>
      </c>
      <c r="K1054" s="46">
        <f>Sales[[#This Row],[Gross Amount]]*Sales[[#This Row],[Disc %]]</f>
        <v>995</v>
      </c>
      <c r="L1054" s="43">
        <v>0.18</v>
      </c>
      <c r="M1054" s="46">
        <f>(Sales[[#This Row],[Gross Amount]]-Sales[[#This Row],[Disc. Amt.]])*Sales[[#This Row],[GST %]]</f>
        <v>8775.9</v>
      </c>
      <c r="N1054" s="161">
        <f>Sales[[#This Row],[Gross Amount]]-Sales[[#This Row],[Disc. Amt.]]+Sales[[#This Row],[GST Amount]]</f>
        <v>57530.9</v>
      </c>
      <c r="O1054" s="34" t="s">
        <v>3561</v>
      </c>
      <c r="P1054" s="34" t="s">
        <v>3562</v>
      </c>
      <c r="Q1054" s="165">
        <f>IF(Sales[[#This Row],[Status]]="Cancelled",0,Sales[[#This Row],[Qty]])</f>
        <v>5</v>
      </c>
      <c r="R1054" s="166">
        <f>IF(Sales[[#This Row],[Status]]="Cancelled",0,Sales[[#This Row],[Total Amount]])</f>
        <v>57530.9</v>
      </c>
      <c r="S1054" s="162">
        <f>SUM(Sales[Net Amount])</f>
        <v>406839287.73200053</v>
      </c>
    </row>
    <row r="1055" spans="1:19" ht="18.75" x14ac:dyDescent="0.25">
      <c r="A1055" s="156" t="s">
        <v>4646</v>
      </c>
      <c r="B1055" s="157">
        <v>45833</v>
      </c>
      <c r="C1055" s="158" t="s">
        <v>713</v>
      </c>
      <c r="D1055" s="159" t="str">
        <f>VLOOKUP(Sales[[#This Row],[Customer ID]],Customer[#All],2,0)</f>
        <v>Amit Gupta</v>
      </c>
      <c r="E1055" s="158" t="s">
        <v>484</v>
      </c>
      <c r="F1055" s="158" t="str">
        <f>VLOOKUP(Sales[[#This Row],[Product ID]],Product[#All],2,0)</f>
        <v>Dell Desktop</v>
      </c>
      <c r="G1055" s="159">
        <v>5</v>
      </c>
      <c r="H1055" s="160">
        <f>VLOOKUP(Sales[[#This Row],[Product ID]],Product[#All],7,0)</f>
        <v>68710</v>
      </c>
      <c r="I1055" s="160">
        <f>Sales[[#This Row],[Selling Rate]]*Sales[[#This Row],[Qty]]</f>
        <v>343550</v>
      </c>
      <c r="J1055" s="43">
        <v>0.15</v>
      </c>
      <c r="K1055" s="44">
        <f>Sales[[#This Row],[Gross Amount]]*Sales[[#This Row],[Disc %]]</f>
        <v>51532.5</v>
      </c>
      <c r="L1055" s="43">
        <v>0.18</v>
      </c>
      <c r="M1055" s="44">
        <f>(Sales[[#This Row],[Gross Amount]]-Sales[[#This Row],[Disc. Amt.]])*Sales[[#This Row],[GST %]]</f>
        <v>52563.15</v>
      </c>
      <c r="N1055" s="161">
        <f>Sales[[#This Row],[Gross Amount]]-Sales[[#This Row],[Disc. Amt.]]+Sales[[#This Row],[GST Amount]]</f>
        <v>344580.65</v>
      </c>
      <c r="O1055" s="158" t="s">
        <v>3561</v>
      </c>
      <c r="P1055" s="158" t="s">
        <v>3562</v>
      </c>
      <c r="Q1055" s="160">
        <f>IF(Sales[[#This Row],[Status]]="Cancelled",0,Sales[[#This Row],[Qty]])</f>
        <v>5</v>
      </c>
      <c r="R1055" s="161">
        <f>IF(Sales[[#This Row],[Status]]="Cancelled",0,Sales[[#This Row],[Total Amount]])</f>
        <v>344580.65</v>
      </c>
      <c r="S1055" s="162">
        <f>SUM(Sales[Net Amount])</f>
        <v>406839287.73200053</v>
      </c>
    </row>
    <row r="1056" spans="1:19" ht="18.75" x14ac:dyDescent="0.25">
      <c r="A1056" s="163" t="s">
        <v>4647</v>
      </c>
      <c r="B1056" s="164">
        <v>45833</v>
      </c>
      <c r="C1056" s="34" t="s">
        <v>761</v>
      </c>
      <c r="D1056" s="53" t="str">
        <f>VLOOKUP(Sales[[#This Row],[Customer ID]],Customer[#All],2,0)</f>
        <v>Priya Verma</v>
      </c>
      <c r="E1056" s="34" t="s">
        <v>352</v>
      </c>
      <c r="F1056" s="34" t="str">
        <f>VLOOKUP(Sales[[#This Row],[Product ID]],Product[#All],2,0)</f>
        <v>Seagate HDD</v>
      </c>
      <c r="G1056" s="53">
        <v>1</v>
      </c>
      <c r="H1056" s="165">
        <f>VLOOKUP(Sales[[#This Row],[Product ID]],Product[#All],7,0)</f>
        <v>13350</v>
      </c>
      <c r="I1056" s="165">
        <f>Sales[[#This Row],[Selling Rate]]*Sales[[#This Row],[Qty]]</f>
        <v>13350</v>
      </c>
      <c r="J1056" s="45">
        <v>0.02</v>
      </c>
      <c r="K1056" s="46">
        <f>Sales[[#This Row],[Gross Amount]]*Sales[[#This Row],[Disc %]]</f>
        <v>267</v>
      </c>
      <c r="L1056" s="43">
        <v>0.18</v>
      </c>
      <c r="M1056" s="46">
        <f>(Sales[[#This Row],[Gross Amount]]-Sales[[#This Row],[Disc. Amt.]])*Sales[[#This Row],[GST %]]</f>
        <v>2354.94</v>
      </c>
      <c r="N1056" s="161">
        <f>Sales[[#This Row],[Gross Amount]]-Sales[[#This Row],[Disc. Amt.]]+Sales[[#This Row],[GST Amount]]</f>
        <v>15437.94</v>
      </c>
      <c r="O1056" s="34" t="s">
        <v>8876</v>
      </c>
      <c r="P1056" s="34" t="s">
        <v>3562</v>
      </c>
      <c r="Q1056" s="165">
        <f>IF(Sales[[#This Row],[Status]]="Cancelled",0,Sales[[#This Row],[Qty]])</f>
        <v>1</v>
      </c>
      <c r="R1056" s="166">
        <f>IF(Sales[[#This Row],[Status]]="Cancelled",0,Sales[[#This Row],[Total Amount]])</f>
        <v>15437.94</v>
      </c>
      <c r="S1056" s="162">
        <f>SUM(Sales[Net Amount])</f>
        <v>406839287.73200053</v>
      </c>
    </row>
    <row r="1057" spans="1:19" ht="18.75" x14ac:dyDescent="0.25">
      <c r="A1057" s="156" t="s">
        <v>4648</v>
      </c>
      <c r="B1057" s="157">
        <v>45833</v>
      </c>
      <c r="C1057" s="158" t="s">
        <v>937</v>
      </c>
      <c r="D1057" s="159" t="str">
        <f>VLOOKUP(Sales[[#This Row],[Customer ID]],Customer[#All],2,0)</f>
        <v>Rahul Singh</v>
      </c>
      <c r="E1057" s="158" t="s">
        <v>260</v>
      </c>
      <c r="F1057" s="158" t="str">
        <f>VLOOKUP(Sales[[#This Row],[Product ID]],Product[#All],2,0)</f>
        <v>Corsair Ram</v>
      </c>
      <c r="G1057" s="159">
        <v>4</v>
      </c>
      <c r="H1057" s="160">
        <f>VLOOKUP(Sales[[#This Row],[Product ID]],Product[#All],7,0)</f>
        <v>6010</v>
      </c>
      <c r="I1057" s="160">
        <f>Sales[[#This Row],[Selling Rate]]*Sales[[#This Row],[Qty]]</f>
        <v>24040</v>
      </c>
      <c r="J1057" s="43">
        <v>0.15</v>
      </c>
      <c r="K1057" s="44">
        <f>Sales[[#This Row],[Gross Amount]]*Sales[[#This Row],[Disc %]]</f>
        <v>3606</v>
      </c>
      <c r="L1057" s="43">
        <v>0.18</v>
      </c>
      <c r="M1057" s="44">
        <f>(Sales[[#This Row],[Gross Amount]]-Sales[[#This Row],[Disc. Amt.]])*Sales[[#This Row],[GST %]]</f>
        <v>3678.12</v>
      </c>
      <c r="N1057" s="161">
        <f>Sales[[#This Row],[Gross Amount]]-Sales[[#This Row],[Disc. Amt.]]+Sales[[#This Row],[GST Amount]]</f>
        <v>24112.12</v>
      </c>
      <c r="O1057" s="158" t="s">
        <v>3566</v>
      </c>
      <c r="P1057" s="158" t="s">
        <v>3562</v>
      </c>
      <c r="Q1057" s="160">
        <f>IF(Sales[[#This Row],[Status]]="Cancelled",0,Sales[[#This Row],[Qty]])</f>
        <v>4</v>
      </c>
      <c r="R1057" s="161">
        <f>IF(Sales[[#This Row],[Status]]="Cancelled",0,Sales[[#This Row],[Total Amount]])</f>
        <v>24112.12</v>
      </c>
      <c r="S1057" s="162">
        <f>SUM(Sales[Net Amount])</f>
        <v>406839287.73200053</v>
      </c>
    </row>
    <row r="1058" spans="1:19" ht="18.75" x14ac:dyDescent="0.25">
      <c r="A1058" s="163" t="s">
        <v>4649</v>
      </c>
      <c r="B1058" s="164">
        <v>45833</v>
      </c>
      <c r="C1058" s="34" t="s">
        <v>804</v>
      </c>
      <c r="D1058" s="53" t="str">
        <f>VLOOKUP(Sales[[#This Row],[Customer ID]],Customer[#All],2,0)</f>
        <v>Amit Gupta</v>
      </c>
      <c r="E1058" s="34" t="s">
        <v>123</v>
      </c>
      <c r="F1058" s="34" t="str">
        <f>VLOOKUP(Sales[[#This Row],[Product ID]],Product[#All],2,0)</f>
        <v>HP Mouse</v>
      </c>
      <c r="G1058" s="53">
        <v>4</v>
      </c>
      <c r="H1058" s="165">
        <f>VLOOKUP(Sales[[#This Row],[Product ID]],Product[#All],7,0)</f>
        <v>2480</v>
      </c>
      <c r="I1058" s="165">
        <f>Sales[[#This Row],[Selling Rate]]*Sales[[#This Row],[Qty]]</f>
        <v>9920</v>
      </c>
      <c r="J1058" s="45">
        <v>0.05</v>
      </c>
      <c r="K1058" s="46">
        <f>Sales[[#This Row],[Gross Amount]]*Sales[[#This Row],[Disc %]]</f>
        <v>496</v>
      </c>
      <c r="L1058" s="43">
        <v>0.18</v>
      </c>
      <c r="M1058" s="46">
        <f>(Sales[[#This Row],[Gross Amount]]-Sales[[#This Row],[Disc. Amt.]])*Sales[[#This Row],[GST %]]</f>
        <v>1696.32</v>
      </c>
      <c r="N1058" s="161">
        <f>Sales[[#This Row],[Gross Amount]]-Sales[[#This Row],[Disc. Amt.]]+Sales[[#This Row],[GST Amount]]</f>
        <v>11120.32</v>
      </c>
      <c r="O1058" s="34" t="s">
        <v>3561</v>
      </c>
      <c r="P1058" s="34" t="s">
        <v>1040</v>
      </c>
      <c r="Q1058" s="165">
        <f>IF(Sales[[#This Row],[Status]]="Cancelled",0,Sales[[#This Row],[Qty]])</f>
        <v>0</v>
      </c>
      <c r="R1058" s="166">
        <f>IF(Sales[[#This Row],[Status]]="Cancelled",0,Sales[[#This Row],[Total Amount]])</f>
        <v>0</v>
      </c>
      <c r="S1058" s="162">
        <f>SUM(Sales[Net Amount])</f>
        <v>406839287.73200053</v>
      </c>
    </row>
    <row r="1059" spans="1:19" ht="18.75" x14ac:dyDescent="0.25">
      <c r="A1059" s="156" t="s">
        <v>4650</v>
      </c>
      <c r="B1059" s="157">
        <v>45833</v>
      </c>
      <c r="C1059" s="158" t="s">
        <v>720</v>
      </c>
      <c r="D1059" s="159" t="str">
        <f>VLOOKUP(Sales[[#This Row],[Customer ID]],Customer[#All],2,0)</f>
        <v>Rakesh Singh</v>
      </c>
      <c r="E1059" s="158" t="s">
        <v>552</v>
      </c>
      <c r="F1059" s="158" t="str">
        <f>VLOOKUP(Sales[[#This Row],[Product ID]],Product[#All],2,0)</f>
        <v>American TouristerLaptopBag</v>
      </c>
      <c r="G1059" s="159">
        <v>6</v>
      </c>
      <c r="H1059" s="160">
        <f>VLOOKUP(Sales[[#This Row],[Product ID]],Product[#All],7,0)</f>
        <v>5080</v>
      </c>
      <c r="I1059" s="160">
        <f>Sales[[#This Row],[Selling Rate]]*Sales[[#This Row],[Qty]]</f>
        <v>30480</v>
      </c>
      <c r="J1059" s="43">
        <v>0.02</v>
      </c>
      <c r="K1059" s="44">
        <f>Sales[[#This Row],[Gross Amount]]*Sales[[#This Row],[Disc %]]</f>
        <v>609.6</v>
      </c>
      <c r="L1059" s="43">
        <v>0.18</v>
      </c>
      <c r="M1059" s="44">
        <f>(Sales[[#This Row],[Gross Amount]]-Sales[[#This Row],[Disc. Amt.]])*Sales[[#This Row],[GST %]]</f>
        <v>5376.6720000000005</v>
      </c>
      <c r="N1059" s="161">
        <f>Sales[[#This Row],[Gross Amount]]-Sales[[#This Row],[Disc. Amt.]]+Sales[[#This Row],[GST Amount]]</f>
        <v>35247.072</v>
      </c>
      <c r="O1059" s="158" t="s">
        <v>8876</v>
      </c>
      <c r="P1059" s="158" t="s">
        <v>3562</v>
      </c>
      <c r="Q1059" s="160">
        <f>IF(Sales[[#This Row],[Status]]="Cancelled",0,Sales[[#This Row],[Qty]])</f>
        <v>6</v>
      </c>
      <c r="R1059" s="161">
        <f>IF(Sales[[#This Row],[Status]]="Cancelled",0,Sales[[#This Row],[Total Amount]])</f>
        <v>35247.072</v>
      </c>
      <c r="S1059" s="162">
        <f>SUM(Sales[Net Amount])</f>
        <v>406839287.73200053</v>
      </c>
    </row>
    <row r="1060" spans="1:19" ht="18.75" x14ac:dyDescent="0.25">
      <c r="A1060" s="163" t="s">
        <v>4651</v>
      </c>
      <c r="B1060" s="164">
        <v>45833</v>
      </c>
      <c r="C1060" s="34" t="s">
        <v>923</v>
      </c>
      <c r="D1060" s="53" t="str">
        <f>VLOOKUP(Sales[[#This Row],[Customer ID]],Customer[#All],2,0)</f>
        <v>Rahul Gupta</v>
      </c>
      <c r="E1060" s="34" t="s">
        <v>344</v>
      </c>
      <c r="F1060" s="34" t="str">
        <f>VLOOKUP(Sales[[#This Row],[Product ID]],Product[#All],2,0)</f>
        <v>WD HDD</v>
      </c>
      <c r="G1060" s="53">
        <v>7</v>
      </c>
      <c r="H1060" s="165">
        <f>VLOOKUP(Sales[[#This Row],[Product ID]],Product[#All],7,0)</f>
        <v>11260</v>
      </c>
      <c r="I1060" s="165">
        <f>Sales[[#This Row],[Selling Rate]]*Sales[[#This Row],[Qty]]</f>
        <v>78820</v>
      </c>
      <c r="J1060" s="45">
        <v>0</v>
      </c>
      <c r="K1060" s="46">
        <f>Sales[[#This Row],[Gross Amount]]*Sales[[#This Row],[Disc %]]</f>
        <v>0</v>
      </c>
      <c r="L1060" s="43">
        <v>0.18</v>
      </c>
      <c r="M1060" s="46">
        <f>(Sales[[#This Row],[Gross Amount]]-Sales[[#This Row],[Disc. Amt.]])*Sales[[#This Row],[GST %]]</f>
        <v>14187.6</v>
      </c>
      <c r="N1060" s="161">
        <f>Sales[[#This Row],[Gross Amount]]-Sales[[#This Row],[Disc. Amt.]]+Sales[[#This Row],[GST Amount]]</f>
        <v>93007.6</v>
      </c>
      <c r="O1060" s="34" t="s">
        <v>3561</v>
      </c>
      <c r="P1060" s="34" t="s">
        <v>3562</v>
      </c>
      <c r="Q1060" s="165">
        <f>IF(Sales[[#This Row],[Status]]="Cancelled",0,Sales[[#This Row],[Qty]])</f>
        <v>7</v>
      </c>
      <c r="R1060" s="166">
        <f>IF(Sales[[#This Row],[Status]]="Cancelled",0,Sales[[#This Row],[Total Amount]])</f>
        <v>93007.6</v>
      </c>
      <c r="S1060" s="162">
        <f>SUM(Sales[Net Amount])</f>
        <v>406839287.73200053</v>
      </c>
    </row>
    <row r="1061" spans="1:19" ht="18.75" x14ac:dyDescent="0.25">
      <c r="A1061" s="156" t="s">
        <v>4652</v>
      </c>
      <c r="B1061" s="157">
        <v>45834</v>
      </c>
      <c r="C1061" s="158" t="s">
        <v>836</v>
      </c>
      <c r="D1061" s="159" t="str">
        <f>VLOOKUP(Sales[[#This Row],[Customer ID]],Customer[#All],2,0)</f>
        <v>Sunita Patel</v>
      </c>
      <c r="E1061" s="158" t="s">
        <v>294</v>
      </c>
      <c r="F1061" s="158" t="str">
        <f>VLOOKUP(Sales[[#This Row],[Product ID]],Product[#All],2,0)</f>
        <v>Samsung Monitor</v>
      </c>
      <c r="G1061" s="159">
        <v>5</v>
      </c>
      <c r="H1061" s="160">
        <f>VLOOKUP(Sales[[#This Row],[Product ID]],Product[#All],7,0)</f>
        <v>33870</v>
      </c>
      <c r="I1061" s="160">
        <f>Sales[[#This Row],[Selling Rate]]*Sales[[#This Row],[Qty]]</f>
        <v>169350</v>
      </c>
      <c r="J1061" s="43">
        <v>0.12</v>
      </c>
      <c r="K1061" s="44">
        <f>Sales[[#This Row],[Gross Amount]]*Sales[[#This Row],[Disc %]]</f>
        <v>20322</v>
      </c>
      <c r="L1061" s="43">
        <v>0.18</v>
      </c>
      <c r="M1061" s="44">
        <f>(Sales[[#This Row],[Gross Amount]]-Sales[[#This Row],[Disc. Amt.]])*Sales[[#This Row],[GST %]]</f>
        <v>26825.039999999997</v>
      </c>
      <c r="N1061" s="161">
        <f>Sales[[#This Row],[Gross Amount]]-Sales[[#This Row],[Disc. Amt.]]+Sales[[#This Row],[GST Amount]]</f>
        <v>175853.04</v>
      </c>
      <c r="O1061" s="158" t="s">
        <v>8876</v>
      </c>
      <c r="P1061" s="158" t="s">
        <v>3562</v>
      </c>
      <c r="Q1061" s="160">
        <f>IF(Sales[[#This Row],[Status]]="Cancelled",0,Sales[[#This Row],[Qty]])</f>
        <v>5</v>
      </c>
      <c r="R1061" s="161">
        <f>IF(Sales[[#This Row],[Status]]="Cancelled",0,Sales[[#This Row],[Total Amount]])</f>
        <v>175853.04</v>
      </c>
      <c r="S1061" s="162">
        <f>SUM(Sales[Net Amount])</f>
        <v>406839287.73200053</v>
      </c>
    </row>
    <row r="1062" spans="1:19" ht="18.75" x14ac:dyDescent="0.25">
      <c r="A1062" s="163" t="s">
        <v>4653</v>
      </c>
      <c r="B1062" s="164">
        <v>45834</v>
      </c>
      <c r="C1062" s="34" t="s">
        <v>880</v>
      </c>
      <c r="D1062" s="53" t="str">
        <f>VLOOKUP(Sales[[#This Row],[Customer ID]],Customer[#All],2,0)</f>
        <v>Rahul Sharma</v>
      </c>
      <c r="E1062" s="34" t="s">
        <v>506</v>
      </c>
      <c r="F1062" s="34" t="str">
        <f>VLOOKUP(Sales[[#This Row],[Product ID]],Product[#All],2,0)</f>
        <v>Epson Printer</v>
      </c>
      <c r="G1062" s="53">
        <v>1</v>
      </c>
      <c r="H1062" s="165">
        <f>VLOOKUP(Sales[[#This Row],[Product ID]],Product[#All],7,0)</f>
        <v>42690</v>
      </c>
      <c r="I1062" s="165">
        <f>Sales[[#This Row],[Selling Rate]]*Sales[[#This Row],[Qty]]</f>
        <v>42690</v>
      </c>
      <c r="J1062" s="45">
        <v>0.05</v>
      </c>
      <c r="K1062" s="46">
        <f>Sales[[#This Row],[Gross Amount]]*Sales[[#This Row],[Disc %]]</f>
        <v>2134.5</v>
      </c>
      <c r="L1062" s="43">
        <v>0.18</v>
      </c>
      <c r="M1062" s="46">
        <f>(Sales[[#This Row],[Gross Amount]]-Sales[[#This Row],[Disc. Amt.]])*Sales[[#This Row],[GST %]]</f>
        <v>7299.99</v>
      </c>
      <c r="N1062" s="161">
        <f>Sales[[#This Row],[Gross Amount]]-Sales[[#This Row],[Disc. Amt.]]+Sales[[#This Row],[GST Amount]]</f>
        <v>47855.49</v>
      </c>
      <c r="O1062" s="34" t="s">
        <v>8876</v>
      </c>
      <c r="P1062" s="34" t="s">
        <v>3562</v>
      </c>
      <c r="Q1062" s="165">
        <f>IF(Sales[[#This Row],[Status]]="Cancelled",0,Sales[[#This Row],[Qty]])</f>
        <v>1</v>
      </c>
      <c r="R1062" s="166">
        <f>IF(Sales[[#This Row],[Status]]="Cancelled",0,Sales[[#This Row],[Total Amount]])</f>
        <v>47855.49</v>
      </c>
      <c r="S1062" s="162">
        <f>SUM(Sales[Net Amount])</f>
        <v>406839287.73200053</v>
      </c>
    </row>
    <row r="1063" spans="1:19" ht="18.75" x14ac:dyDescent="0.25">
      <c r="A1063" s="156" t="s">
        <v>4654</v>
      </c>
      <c r="B1063" s="157">
        <v>45834</v>
      </c>
      <c r="C1063" s="158" t="s">
        <v>4655</v>
      </c>
      <c r="D1063" s="159" t="str">
        <f>VLOOKUP(Sales[[#This Row],[Customer ID]],Customer[#All],2,0)</f>
        <v>Sunita Sharma</v>
      </c>
      <c r="E1063" s="158" t="s">
        <v>294</v>
      </c>
      <c r="F1063" s="158" t="str">
        <f>VLOOKUP(Sales[[#This Row],[Product ID]],Product[#All],2,0)</f>
        <v>Samsung Monitor</v>
      </c>
      <c r="G1063" s="159">
        <v>4</v>
      </c>
      <c r="H1063" s="160">
        <f>VLOOKUP(Sales[[#This Row],[Product ID]],Product[#All],7,0)</f>
        <v>33870</v>
      </c>
      <c r="I1063" s="160">
        <f>Sales[[#This Row],[Selling Rate]]*Sales[[#This Row],[Qty]]</f>
        <v>135480</v>
      </c>
      <c r="J1063" s="43">
        <v>0</v>
      </c>
      <c r="K1063" s="44">
        <f>Sales[[#This Row],[Gross Amount]]*Sales[[#This Row],[Disc %]]</f>
        <v>0</v>
      </c>
      <c r="L1063" s="43">
        <v>0.18</v>
      </c>
      <c r="M1063" s="44">
        <f>(Sales[[#This Row],[Gross Amount]]-Sales[[#This Row],[Disc. Amt.]])*Sales[[#This Row],[GST %]]</f>
        <v>24386.399999999998</v>
      </c>
      <c r="N1063" s="161">
        <f>Sales[[#This Row],[Gross Amount]]-Sales[[#This Row],[Disc. Amt.]]+Sales[[#This Row],[GST Amount]]</f>
        <v>159866.4</v>
      </c>
      <c r="O1063" s="158" t="s">
        <v>3561</v>
      </c>
      <c r="P1063" s="158" t="s">
        <v>3562</v>
      </c>
      <c r="Q1063" s="160">
        <f>IF(Sales[[#This Row],[Status]]="Cancelled",0,Sales[[#This Row],[Qty]])</f>
        <v>4</v>
      </c>
      <c r="R1063" s="161">
        <f>IF(Sales[[#This Row],[Status]]="Cancelled",0,Sales[[#This Row],[Total Amount]])</f>
        <v>159866.4</v>
      </c>
      <c r="S1063" s="162">
        <f>SUM(Sales[Net Amount])</f>
        <v>406839287.73200053</v>
      </c>
    </row>
    <row r="1064" spans="1:19" ht="18.75" x14ac:dyDescent="0.25">
      <c r="A1064" s="163" t="s">
        <v>4656</v>
      </c>
      <c r="B1064" s="164">
        <v>45834</v>
      </c>
      <c r="C1064" s="34" t="s">
        <v>846</v>
      </c>
      <c r="D1064" s="53" t="str">
        <f>VLOOKUP(Sales[[#This Row],[Customer ID]],Customer[#All],2,0)</f>
        <v>Ankit Patel</v>
      </c>
      <c r="E1064" s="34" t="s">
        <v>182</v>
      </c>
      <c r="F1064" s="34" t="str">
        <f>VLOOKUP(Sales[[#This Row],[Product ID]],Product[#All],2,0)</f>
        <v>Kingston Ram</v>
      </c>
      <c r="G1064" s="53">
        <v>2</v>
      </c>
      <c r="H1064" s="165">
        <f>VLOOKUP(Sales[[#This Row],[Product ID]],Product[#All],7,0)</f>
        <v>10690</v>
      </c>
      <c r="I1064" s="165">
        <f>Sales[[#This Row],[Selling Rate]]*Sales[[#This Row],[Qty]]</f>
        <v>21380</v>
      </c>
      <c r="J1064" s="45">
        <v>0.02</v>
      </c>
      <c r="K1064" s="46">
        <f>Sales[[#This Row],[Gross Amount]]*Sales[[#This Row],[Disc %]]</f>
        <v>427.6</v>
      </c>
      <c r="L1064" s="43">
        <v>0.18</v>
      </c>
      <c r="M1064" s="46">
        <f>(Sales[[#This Row],[Gross Amount]]-Sales[[#This Row],[Disc. Amt.]])*Sales[[#This Row],[GST %]]</f>
        <v>3771.4320000000002</v>
      </c>
      <c r="N1064" s="161">
        <f>Sales[[#This Row],[Gross Amount]]-Sales[[#This Row],[Disc. Amt.]]+Sales[[#This Row],[GST Amount]]</f>
        <v>24723.832000000002</v>
      </c>
      <c r="O1064" s="34" t="s">
        <v>3561</v>
      </c>
      <c r="P1064" s="34" t="s">
        <v>3562</v>
      </c>
      <c r="Q1064" s="165">
        <f>IF(Sales[[#This Row],[Status]]="Cancelled",0,Sales[[#This Row],[Qty]])</f>
        <v>2</v>
      </c>
      <c r="R1064" s="166">
        <f>IF(Sales[[#This Row],[Status]]="Cancelled",0,Sales[[#This Row],[Total Amount]])</f>
        <v>24723.832000000002</v>
      </c>
      <c r="S1064" s="162">
        <f>SUM(Sales[Net Amount])</f>
        <v>406839287.73200053</v>
      </c>
    </row>
    <row r="1065" spans="1:19" ht="18.75" x14ac:dyDescent="0.25">
      <c r="A1065" s="156" t="s">
        <v>4657</v>
      </c>
      <c r="B1065" s="157">
        <v>45834</v>
      </c>
      <c r="C1065" s="158" t="s">
        <v>788</v>
      </c>
      <c r="D1065" s="159" t="str">
        <f>VLOOKUP(Sales[[#This Row],[Customer ID]],Customer[#All],2,0)</f>
        <v>Vikas Kumar</v>
      </c>
      <c r="E1065" s="158" t="s">
        <v>508</v>
      </c>
      <c r="F1065" s="158" t="str">
        <f>VLOOKUP(Sales[[#This Row],[Product ID]],Product[#All],2,0)</f>
        <v>American TouristerLaptopBag</v>
      </c>
      <c r="G1065" s="159">
        <v>4</v>
      </c>
      <c r="H1065" s="160">
        <f>VLOOKUP(Sales[[#This Row],[Product ID]],Product[#All],7,0)</f>
        <v>2340</v>
      </c>
      <c r="I1065" s="160">
        <f>Sales[[#This Row],[Selling Rate]]*Sales[[#This Row],[Qty]]</f>
        <v>9360</v>
      </c>
      <c r="J1065" s="43">
        <v>0.02</v>
      </c>
      <c r="K1065" s="44">
        <f>Sales[[#This Row],[Gross Amount]]*Sales[[#This Row],[Disc %]]</f>
        <v>187.20000000000002</v>
      </c>
      <c r="L1065" s="43">
        <v>0.18</v>
      </c>
      <c r="M1065" s="44">
        <f>(Sales[[#This Row],[Gross Amount]]-Sales[[#This Row],[Disc. Amt.]])*Sales[[#This Row],[GST %]]</f>
        <v>1651.1039999999998</v>
      </c>
      <c r="N1065" s="161">
        <f>Sales[[#This Row],[Gross Amount]]-Sales[[#This Row],[Disc. Amt.]]+Sales[[#This Row],[GST Amount]]</f>
        <v>10823.903999999999</v>
      </c>
      <c r="O1065" s="158" t="s">
        <v>8876</v>
      </c>
      <c r="P1065" s="158" t="s">
        <v>3562</v>
      </c>
      <c r="Q1065" s="160">
        <f>IF(Sales[[#This Row],[Status]]="Cancelled",0,Sales[[#This Row],[Qty]])</f>
        <v>4</v>
      </c>
      <c r="R1065" s="161">
        <f>IF(Sales[[#This Row],[Status]]="Cancelled",0,Sales[[#This Row],[Total Amount]])</f>
        <v>10823.903999999999</v>
      </c>
      <c r="S1065" s="162">
        <f>SUM(Sales[Net Amount])</f>
        <v>406839287.73200053</v>
      </c>
    </row>
    <row r="1066" spans="1:19" ht="18.75" x14ac:dyDescent="0.25">
      <c r="A1066" s="163" t="s">
        <v>4658</v>
      </c>
      <c r="B1066" s="164">
        <v>45834</v>
      </c>
      <c r="C1066" s="34" t="s">
        <v>722</v>
      </c>
      <c r="D1066" s="53" t="str">
        <f>VLOOKUP(Sales[[#This Row],[Customer ID]],Customer[#All],2,0)</f>
        <v>Vikas Patel</v>
      </c>
      <c r="E1066" s="34" t="s">
        <v>403</v>
      </c>
      <c r="F1066" s="34" t="str">
        <f>VLOOKUP(Sales[[#This Row],[Product ID]],Product[#All],2,0)</f>
        <v>Apc UPS</v>
      </c>
      <c r="G1066" s="53">
        <v>7</v>
      </c>
      <c r="H1066" s="165">
        <f>VLOOKUP(Sales[[#This Row],[Product ID]],Product[#All],7,0)</f>
        <v>15810</v>
      </c>
      <c r="I1066" s="165">
        <f>Sales[[#This Row],[Selling Rate]]*Sales[[#This Row],[Qty]]</f>
        <v>110670</v>
      </c>
      <c r="J1066" s="45">
        <v>0.05</v>
      </c>
      <c r="K1066" s="46">
        <f>Sales[[#This Row],[Gross Amount]]*Sales[[#This Row],[Disc %]]</f>
        <v>5533.5</v>
      </c>
      <c r="L1066" s="43">
        <v>0.18</v>
      </c>
      <c r="M1066" s="46">
        <f>(Sales[[#This Row],[Gross Amount]]-Sales[[#This Row],[Disc. Amt.]])*Sales[[#This Row],[GST %]]</f>
        <v>18924.57</v>
      </c>
      <c r="N1066" s="161">
        <f>Sales[[#This Row],[Gross Amount]]-Sales[[#This Row],[Disc. Amt.]]+Sales[[#This Row],[GST Amount]]</f>
        <v>124061.07</v>
      </c>
      <c r="O1066" s="34" t="s">
        <v>8876</v>
      </c>
      <c r="P1066" s="34" t="s">
        <v>3562</v>
      </c>
      <c r="Q1066" s="165">
        <f>IF(Sales[[#This Row],[Status]]="Cancelled",0,Sales[[#This Row],[Qty]])</f>
        <v>7</v>
      </c>
      <c r="R1066" s="166">
        <f>IF(Sales[[#This Row],[Status]]="Cancelled",0,Sales[[#This Row],[Total Amount]])</f>
        <v>124061.07</v>
      </c>
      <c r="S1066" s="162">
        <f>SUM(Sales[Net Amount])</f>
        <v>406839287.73200053</v>
      </c>
    </row>
    <row r="1067" spans="1:19" ht="18.75" x14ac:dyDescent="0.25">
      <c r="A1067" s="156" t="s">
        <v>4659</v>
      </c>
      <c r="B1067" s="157">
        <v>45834</v>
      </c>
      <c r="C1067" s="158" t="s">
        <v>905</v>
      </c>
      <c r="D1067" s="159" t="str">
        <f>VLOOKUP(Sales[[#This Row],[Customer ID]],Customer[#All],2,0)</f>
        <v>Rakesh Gupta</v>
      </c>
      <c r="E1067" s="158" t="s">
        <v>270</v>
      </c>
      <c r="F1067" s="158" t="str">
        <f>VLOOKUP(Sales[[#This Row],[Product ID]],Product[#All],2,0)</f>
        <v>Samsung Ssd</v>
      </c>
      <c r="G1067" s="159">
        <v>8</v>
      </c>
      <c r="H1067" s="160">
        <f>VLOOKUP(Sales[[#This Row],[Product ID]],Product[#All],7,0)</f>
        <v>6090</v>
      </c>
      <c r="I1067" s="160">
        <f>Sales[[#This Row],[Selling Rate]]*Sales[[#This Row],[Qty]]</f>
        <v>48720</v>
      </c>
      <c r="J1067" s="43">
        <v>0.15</v>
      </c>
      <c r="K1067" s="44">
        <f>Sales[[#This Row],[Gross Amount]]*Sales[[#This Row],[Disc %]]</f>
        <v>7308</v>
      </c>
      <c r="L1067" s="43">
        <v>0.18</v>
      </c>
      <c r="M1067" s="44">
        <f>(Sales[[#This Row],[Gross Amount]]-Sales[[#This Row],[Disc. Amt.]])*Sales[[#This Row],[GST %]]</f>
        <v>7454.16</v>
      </c>
      <c r="N1067" s="161">
        <f>Sales[[#This Row],[Gross Amount]]-Sales[[#This Row],[Disc. Amt.]]+Sales[[#This Row],[GST Amount]]</f>
        <v>48866.16</v>
      </c>
      <c r="O1067" s="158" t="s">
        <v>3569</v>
      </c>
      <c r="P1067" s="158" t="s">
        <v>3562</v>
      </c>
      <c r="Q1067" s="160">
        <f>IF(Sales[[#This Row],[Status]]="Cancelled",0,Sales[[#This Row],[Qty]])</f>
        <v>8</v>
      </c>
      <c r="R1067" s="161">
        <f>IF(Sales[[#This Row],[Status]]="Cancelled",0,Sales[[#This Row],[Total Amount]])</f>
        <v>48866.16</v>
      </c>
      <c r="S1067" s="162">
        <f>SUM(Sales[Net Amount])</f>
        <v>406839287.73200053</v>
      </c>
    </row>
    <row r="1068" spans="1:19" ht="18.75" x14ac:dyDescent="0.25">
      <c r="A1068" s="163" t="s">
        <v>4660</v>
      </c>
      <c r="B1068" s="164">
        <v>45834</v>
      </c>
      <c r="C1068" s="34" t="s">
        <v>837</v>
      </c>
      <c r="D1068" s="53" t="str">
        <f>VLOOKUP(Sales[[#This Row],[Customer ID]],Customer[#All],2,0)</f>
        <v>Sahil Patel</v>
      </c>
      <c r="E1068" s="34" t="s">
        <v>272</v>
      </c>
      <c r="F1068" s="34" t="str">
        <f>VLOOKUP(Sales[[#This Row],[Product ID]],Product[#All],2,0)</f>
        <v>Jbl Speaker</v>
      </c>
      <c r="G1068" s="53">
        <v>6</v>
      </c>
      <c r="H1068" s="165">
        <f>VLOOKUP(Sales[[#This Row],[Product ID]],Product[#All],7,0)</f>
        <v>10960</v>
      </c>
      <c r="I1068" s="165">
        <f>Sales[[#This Row],[Selling Rate]]*Sales[[#This Row],[Qty]]</f>
        <v>65760</v>
      </c>
      <c r="J1068" s="45">
        <v>0.05</v>
      </c>
      <c r="K1068" s="46">
        <f>Sales[[#This Row],[Gross Amount]]*Sales[[#This Row],[Disc %]]</f>
        <v>3288</v>
      </c>
      <c r="L1068" s="43">
        <v>0.18</v>
      </c>
      <c r="M1068" s="46">
        <f>(Sales[[#This Row],[Gross Amount]]-Sales[[#This Row],[Disc. Amt.]])*Sales[[#This Row],[GST %]]</f>
        <v>11244.96</v>
      </c>
      <c r="N1068" s="161">
        <f>Sales[[#This Row],[Gross Amount]]-Sales[[#This Row],[Disc. Amt.]]+Sales[[#This Row],[GST Amount]]</f>
        <v>73716.959999999992</v>
      </c>
      <c r="O1068" s="34" t="s">
        <v>8876</v>
      </c>
      <c r="P1068" s="34" t="s">
        <v>3562</v>
      </c>
      <c r="Q1068" s="165">
        <f>IF(Sales[[#This Row],[Status]]="Cancelled",0,Sales[[#This Row],[Qty]])</f>
        <v>6</v>
      </c>
      <c r="R1068" s="166">
        <f>IF(Sales[[#This Row],[Status]]="Cancelled",0,Sales[[#This Row],[Total Amount]])</f>
        <v>73716.959999999992</v>
      </c>
      <c r="S1068" s="162">
        <f>SUM(Sales[Net Amount])</f>
        <v>406839287.73200053</v>
      </c>
    </row>
    <row r="1069" spans="1:19" ht="18.75" x14ac:dyDescent="0.25">
      <c r="A1069" s="156" t="s">
        <v>4661</v>
      </c>
      <c r="B1069" s="157">
        <v>45834</v>
      </c>
      <c r="C1069" s="158" t="s">
        <v>841</v>
      </c>
      <c r="D1069" s="159" t="str">
        <f>VLOOKUP(Sales[[#This Row],[Customer ID]],Customer[#All],2,0)</f>
        <v>Pooja Verma</v>
      </c>
      <c r="E1069" s="158" t="s">
        <v>548</v>
      </c>
      <c r="F1069" s="158" t="str">
        <f>VLOOKUP(Sales[[#This Row],[Product ID]],Product[#All],2,0)</f>
        <v>HP Power Adapter</v>
      </c>
      <c r="G1069" s="159">
        <v>2</v>
      </c>
      <c r="H1069" s="160">
        <f>VLOOKUP(Sales[[#This Row],[Product ID]],Product[#All],7,0)</f>
        <v>2470</v>
      </c>
      <c r="I1069" s="160">
        <f>Sales[[#This Row],[Selling Rate]]*Sales[[#This Row],[Qty]]</f>
        <v>4940</v>
      </c>
      <c r="J1069" s="43">
        <v>0.12</v>
      </c>
      <c r="K1069" s="44">
        <f>Sales[[#This Row],[Gross Amount]]*Sales[[#This Row],[Disc %]]</f>
        <v>592.79999999999995</v>
      </c>
      <c r="L1069" s="43">
        <v>0.18</v>
      </c>
      <c r="M1069" s="44">
        <f>(Sales[[#This Row],[Gross Amount]]-Sales[[#This Row],[Disc. Amt.]])*Sales[[#This Row],[GST %]]</f>
        <v>782.49599999999998</v>
      </c>
      <c r="N1069" s="161">
        <f>Sales[[#This Row],[Gross Amount]]-Sales[[#This Row],[Disc. Amt.]]+Sales[[#This Row],[GST Amount]]</f>
        <v>5129.6959999999999</v>
      </c>
      <c r="O1069" s="158" t="s">
        <v>8876</v>
      </c>
      <c r="P1069" s="158" t="s">
        <v>3562</v>
      </c>
      <c r="Q1069" s="160">
        <f>IF(Sales[[#This Row],[Status]]="Cancelled",0,Sales[[#This Row],[Qty]])</f>
        <v>2</v>
      </c>
      <c r="R1069" s="161">
        <f>IF(Sales[[#This Row],[Status]]="Cancelled",0,Sales[[#This Row],[Total Amount]])</f>
        <v>5129.6959999999999</v>
      </c>
      <c r="S1069" s="162">
        <f>SUM(Sales[Net Amount])</f>
        <v>406839287.73200053</v>
      </c>
    </row>
    <row r="1070" spans="1:19" ht="18.75" x14ac:dyDescent="0.25">
      <c r="A1070" s="163" t="s">
        <v>4662</v>
      </c>
      <c r="B1070" s="164">
        <v>45834</v>
      </c>
      <c r="C1070" s="34" t="s">
        <v>676</v>
      </c>
      <c r="D1070" s="53" t="str">
        <f>VLOOKUP(Sales[[#This Row],[Customer ID]],Customer[#All],2,0)</f>
        <v>Neha Singh</v>
      </c>
      <c r="E1070" s="34" t="s">
        <v>455</v>
      </c>
      <c r="F1070" s="34" t="str">
        <f>VLOOKUP(Sales[[#This Row],[Product ID]],Product[#All],2,0)</f>
        <v>WD HDD</v>
      </c>
      <c r="G1070" s="53">
        <v>6</v>
      </c>
      <c r="H1070" s="165">
        <f>VLOOKUP(Sales[[#This Row],[Product ID]],Product[#All],7,0)</f>
        <v>13980</v>
      </c>
      <c r="I1070" s="165">
        <f>Sales[[#This Row],[Selling Rate]]*Sales[[#This Row],[Qty]]</f>
        <v>83880</v>
      </c>
      <c r="J1070" s="45">
        <v>0.1</v>
      </c>
      <c r="K1070" s="46">
        <f>Sales[[#This Row],[Gross Amount]]*Sales[[#This Row],[Disc %]]</f>
        <v>8388</v>
      </c>
      <c r="L1070" s="43">
        <v>0.18</v>
      </c>
      <c r="M1070" s="46">
        <f>(Sales[[#This Row],[Gross Amount]]-Sales[[#This Row],[Disc. Amt.]])*Sales[[#This Row],[GST %]]</f>
        <v>13588.56</v>
      </c>
      <c r="N1070" s="161">
        <f>Sales[[#This Row],[Gross Amount]]-Sales[[#This Row],[Disc. Amt.]]+Sales[[#This Row],[GST Amount]]</f>
        <v>89080.56</v>
      </c>
      <c r="O1070" s="34" t="s">
        <v>3561</v>
      </c>
      <c r="P1070" s="34" t="s">
        <v>3562</v>
      </c>
      <c r="Q1070" s="165">
        <f>IF(Sales[[#This Row],[Status]]="Cancelled",0,Sales[[#This Row],[Qty]])</f>
        <v>6</v>
      </c>
      <c r="R1070" s="166">
        <f>IF(Sales[[#This Row],[Status]]="Cancelled",0,Sales[[#This Row],[Total Amount]])</f>
        <v>89080.56</v>
      </c>
      <c r="S1070" s="162">
        <f>SUM(Sales[Net Amount])</f>
        <v>406839287.73200053</v>
      </c>
    </row>
    <row r="1071" spans="1:19" ht="18.75" x14ac:dyDescent="0.25">
      <c r="A1071" s="156" t="s">
        <v>4663</v>
      </c>
      <c r="B1071" s="157">
        <v>45834</v>
      </c>
      <c r="C1071" s="158" t="s">
        <v>918</v>
      </c>
      <c r="D1071" s="159" t="str">
        <f>VLOOKUP(Sales[[#This Row],[Customer ID]],Customer[#All],2,0)</f>
        <v>Pooja Patel</v>
      </c>
      <c r="E1071" s="158" t="s">
        <v>352</v>
      </c>
      <c r="F1071" s="158" t="str">
        <f>VLOOKUP(Sales[[#This Row],[Product ID]],Product[#All],2,0)</f>
        <v>Seagate HDD</v>
      </c>
      <c r="G1071" s="159">
        <v>7</v>
      </c>
      <c r="H1071" s="160">
        <f>VLOOKUP(Sales[[#This Row],[Product ID]],Product[#All],7,0)</f>
        <v>13350</v>
      </c>
      <c r="I1071" s="160">
        <f>Sales[[#This Row],[Selling Rate]]*Sales[[#This Row],[Qty]]</f>
        <v>93450</v>
      </c>
      <c r="J1071" s="43">
        <v>0</v>
      </c>
      <c r="K1071" s="44">
        <f>Sales[[#This Row],[Gross Amount]]*Sales[[#This Row],[Disc %]]</f>
        <v>0</v>
      </c>
      <c r="L1071" s="43">
        <v>0.18</v>
      </c>
      <c r="M1071" s="44">
        <f>(Sales[[#This Row],[Gross Amount]]-Sales[[#This Row],[Disc. Amt.]])*Sales[[#This Row],[GST %]]</f>
        <v>16821</v>
      </c>
      <c r="N1071" s="161">
        <f>Sales[[#This Row],[Gross Amount]]-Sales[[#This Row],[Disc. Amt.]]+Sales[[#This Row],[GST Amount]]</f>
        <v>110271</v>
      </c>
      <c r="O1071" s="158" t="s">
        <v>3561</v>
      </c>
      <c r="P1071" s="158" t="s">
        <v>3562</v>
      </c>
      <c r="Q1071" s="160">
        <f>IF(Sales[[#This Row],[Status]]="Cancelled",0,Sales[[#This Row],[Qty]])</f>
        <v>7</v>
      </c>
      <c r="R1071" s="161">
        <f>IF(Sales[[#This Row],[Status]]="Cancelled",0,Sales[[#This Row],[Total Amount]])</f>
        <v>110271</v>
      </c>
      <c r="S1071" s="162">
        <f>SUM(Sales[Net Amount])</f>
        <v>406839287.73200053</v>
      </c>
    </row>
    <row r="1072" spans="1:19" ht="18.75" x14ac:dyDescent="0.25">
      <c r="A1072" s="163" t="s">
        <v>4664</v>
      </c>
      <c r="B1072" s="164">
        <v>45834</v>
      </c>
      <c r="C1072" s="34" t="s">
        <v>929</v>
      </c>
      <c r="D1072" s="53" t="str">
        <f>VLOOKUP(Sales[[#This Row],[Customer ID]],Customer[#All],2,0)</f>
        <v>Sunita Gupta</v>
      </c>
      <c r="E1072" s="34" t="s">
        <v>419</v>
      </c>
      <c r="F1072" s="34" t="str">
        <f>VLOOKUP(Sales[[#This Row],[Product ID]],Product[#All],2,0)</f>
        <v>WD HDD</v>
      </c>
      <c r="G1072" s="53">
        <v>7</v>
      </c>
      <c r="H1072" s="165">
        <f>VLOOKUP(Sales[[#This Row],[Product ID]],Product[#All],7,0)</f>
        <v>8930</v>
      </c>
      <c r="I1072" s="165">
        <f>Sales[[#This Row],[Selling Rate]]*Sales[[#This Row],[Qty]]</f>
        <v>62510</v>
      </c>
      <c r="J1072" s="45">
        <v>0.05</v>
      </c>
      <c r="K1072" s="46">
        <f>Sales[[#This Row],[Gross Amount]]*Sales[[#This Row],[Disc %]]</f>
        <v>3125.5</v>
      </c>
      <c r="L1072" s="43">
        <v>0.18</v>
      </c>
      <c r="M1072" s="46">
        <f>(Sales[[#This Row],[Gross Amount]]-Sales[[#This Row],[Disc. Amt.]])*Sales[[#This Row],[GST %]]</f>
        <v>10689.21</v>
      </c>
      <c r="N1072" s="161">
        <f>Sales[[#This Row],[Gross Amount]]-Sales[[#This Row],[Disc. Amt.]]+Sales[[#This Row],[GST Amount]]</f>
        <v>70073.709999999992</v>
      </c>
      <c r="O1072" s="34" t="s">
        <v>8876</v>
      </c>
      <c r="P1072" s="34" t="s">
        <v>3562</v>
      </c>
      <c r="Q1072" s="165">
        <f>IF(Sales[[#This Row],[Status]]="Cancelled",0,Sales[[#This Row],[Qty]])</f>
        <v>7</v>
      </c>
      <c r="R1072" s="166">
        <f>IF(Sales[[#This Row],[Status]]="Cancelled",0,Sales[[#This Row],[Total Amount]])</f>
        <v>70073.709999999992</v>
      </c>
      <c r="S1072" s="162">
        <f>SUM(Sales[Net Amount])</f>
        <v>406839287.73200053</v>
      </c>
    </row>
    <row r="1073" spans="1:19" ht="18.75" x14ac:dyDescent="0.25">
      <c r="A1073" s="156" t="s">
        <v>4665</v>
      </c>
      <c r="B1073" s="157">
        <v>45834</v>
      </c>
      <c r="C1073" s="158" t="s">
        <v>906</v>
      </c>
      <c r="D1073" s="159" t="str">
        <f>VLOOKUP(Sales[[#This Row],[Customer ID]],Customer[#All],2,0)</f>
        <v>Ankit Sharma</v>
      </c>
      <c r="E1073" s="158" t="s">
        <v>117</v>
      </c>
      <c r="F1073" s="158" t="str">
        <f>VLOOKUP(Sales[[#This Row],[Product ID]],Product[#All],2,0)</f>
        <v>Logitech Mouse</v>
      </c>
      <c r="G1073" s="159">
        <v>7</v>
      </c>
      <c r="H1073" s="160">
        <f>VLOOKUP(Sales[[#This Row],[Product ID]],Product[#All],7,0)</f>
        <v>2960</v>
      </c>
      <c r="I1073" s="160">
        <f>Sales[[#This Row],[Selling Rate]]*Sales[[#This Row],[Qty]]</f>
        <v>20720</v>
      </c>
      <c r="J1073" s="43">
        <v>0.15</v>
      </c>
      <c r="K1073" s="44">
        <f>Sales[[#This Row],[Gross Amount]]*Sales[[#This Row],[Disc %]]</f>
        <v>3108</v>
      </c>
      <c r="L1073" s="43">
        <v>0.18</v>
      </c>
      <c r="M1073" s="44">
        <f>(Sales[[#This Row],[Gross Amount]]-Sales[[#This Row],[Disc. Amt.]])*Sales[[#This Row],[GST %]]</f>
        <v>3170.16</v>
      </c>
      <c r="N1073" s="161">
        <f>Sales[[#This Row],[Gross Amount]]-Sales[[#This Row],[Disc. Amt.]]+Sales[[#This Row],[GST Amount]]</f>
        <v>20782.16</v>
      </c>
      <c r="O1073" s="158" t="s">
        <v>3569</v>
      </c>
      <c r="P1073" s="158" t="s">
        <v>3562</v>
      </c>
      <c r="Q1073" s="160">
        <f>IF(Sales[[#This Row],[Status]]="Cancelled",0,Sales[[#This Row],[Qty]])</f>
        <v>7</v>
      </c>
      <c r="R1073" s="161">
        <f>IF(Sales[[#This Row],[Status]]="Cancelled",0,Sales[[#This Row],[Total Amount]])</f>
        <v>20782.16</v>
      </c>
      <c r="S1073" s="162">
        <f>SUM(Sales[Net Amount])</f>
        <v>406839287.73200053</v>
      </c>
    </row>
    <row r="1074" spans="1:19" ht="18.75" x14ac:dyDescent="0.25">
      <c r="A1074" s="163" t="s">
        <v>4666</v>
      </c>
      <c r="B1074" s="164">
        <v>45834</v>
      </c>
      <c r="C1074" s="34" t="s">
        <v>921</v>
      </c>
      <c r="D1074" s="53" t="str">
        <f>VLOOKUP(Sales[[#This Row],[Customer ID]],Customer[#All],2,0)</f>
        <v>Sahil Gupta</v>
      </c>
      <c r="E1074" s="34" t="s">
        <v>49</v>
      </c>
      <c r="F1074" s="34" t="str">
        <f>VLOOKUP(Sales[[#This Row],[Product ID]],Product[#All],2,0)</f>
        <v>Boat Headset</v>
      </c>
      <c r="G1074" s="53">
        <v>1</v>
      </c>
      <c r="H1074" s="165">
        <f>VLOOKUP(Sales[[#This Row],[Product ID]],Product[#All],7,0)</f>
        <v>970</v>
      </c>
      <c r="I1074" s="165">
        <f>Sales[[#This Row],[Selling Rate]]*Sales[[#This Row],[Qty]]</f>
        <v>970</v>
      </c>
      <c r="J1074" s="45">
        <v>0.15</v>
      </c>
      <c r="K1074" s="46">
        <f>Sales[[#This Row],[Gross Amount]]*Sales[[#This Row],[Disc %]]</f>
        <v>145.5</v>
      </c>
      <c r="L1074" s="43">
        <v>0.18</v>
      </c>
      <c r="M1074" s="46">
        <f>(Sales[[#This Row],[Gross Amount]]-Sales[[#This Row],[Disc. Amt.]])*Sales[[#This Row],[GST %]]</f>
        <v>148.41</v>
      </c>
      <c r="N1074" s="161">
        <f>Sales[[#This Row],[Gross Amount]]-Sales[[#This Row],[Disc. Amt.]]+Sales[[#This Row],[GST Amount]]</f>
        <v>972.91</v>
      </c>
      <c r="O1074" s="34" t="s">
        <v>3561</v>
      </c>
      <c r="P1074" s="34" t="s">
        <v>3562</v>
      </c>
      <c r="Q1074" s="165">
        <f>IF(Sales[[#This Row],[Status]]="Cancelled",0,Sales[[#This Row],[Qty]])</f>
        <v>1</v>
      </c>
      <c r="R1074" s="166">
        <f>IF(Sales[[#This Row],[Status]]="Cancelled",0,Sales[[#This Row],[Total Amount]])</f>
        <v>972.91</v>
      </c>
      <c r="S1074" s="162">
        <f>SUM(Sales[Net Amount])</f>
        <v>406839287.73200053</v>
      </c>
    </row>
    <row r="1075" spans="1:19" ht="18.75" x14ac:dyDescent="0.25">
      <c r="A1075" s="156" t="s">
        <v>4667</v>
      </c>
      <c r="B1075" s="157">
        <v>45834</v>
      </c>
      <c r="C1075" s="158" t="s">
        <v>917</v>
      </c>
      <c r="D1075" s="159" t="str">
        <f>VLOOKUP(Sales[[#This Row],[Customer ID]],Customer[#All],2,0)</f>
        <v>Sahil Gupta</v>
      </c>
      <c r="E1075" s="158" t="s">
        <v>336</v>
      </c>
      <c r="F1075" s="158" t="str">
        <f>VLOOKUP(Sales[[#This Row],[Product ID]],Product[#All],2,0)</f>
        <v>Boat Headset</v>
      </c>
      <c r="G1075" s="159">
        <v>1</v>
      </c>
      <c r="H1075" s="160">
        <f>VLOOKUP(Sales[[#This Row],[Product ID]],Product[#All],7,0)</f>
        <v>1380</v>
      </c>
      <c r="I1075" s="160">
        <f>Sales[[#This Row],[Selling Rate]]*Sales[[#This Row],[Qty]]</f>
        <v>1380</v>
      </c>
      <c r="J1075" s="43">
        <v>0.02</v>
      </c>
      <c r="K1075" s="44">
        <f>Sales[[#This Row],[Gross Amount]]*Sales[[#This Row],[Disc %]]</f>
        <v>27.6</v>
      </c>
      <c r="L1075" s="43">
        <v>0.18</v>
      </c>
      <c r="M1075" s="44">
        <f>(Sales[[#This Row],[Gross Amount]]-Sales[[#This Row],[Disc. Amt.]])*Sales[[#This Row],[GST %]]</f>
        <v>243.43200000000002</v>
      </c>
      <c r="N1075" s="161">
        <f>Sales[[#This Row],[Gross Amount]]-Sales[[#This Row],[Disc. Amt.]]+Sales[[#This Row],[GST Amount]]</f>
        <v>1595.8320000000001</v>
      </c>
      <c r="O1075" s="158" t="s">
        <v>3569</v>
      </c>
      <c r="P1075" s="158" t="s">
        <v>3562</v>
      </c>
      <c r="Q1075" s="160">
        <f>IF(Sales[[#This Row],[Status]]="Cancelled",0,Sales[[#This Row],[Qty]])</f>
        <v>1</v>
      </c>
      <c r="R1075" s="161">
        <f>IF(Sales[[#This Row],[Status]]="Cancelled",0,Sales[[#This Row],[Total Amount]])</f>
        <v>1595.8320000000001</v>
      </c>
      <c r="S1075" s="162">
        <f>SUM(Sales[Net Amount])</f>
        <v>406839287.73200053</v>
      </c>
    </row>
    <row r="1076" spans="1:19" ht="18.75" x14ac:dyDescent="0.25">
      <c r="A1076" s="163" t="s">
        <v>4668</v>
      </c>
      <c r="B1076" s="164">
        <v>45834</v>
      </c>
      <c r="C1076" s="34" t="s">
        <v>854</v>
      </c>
      <c r="D1076" s="53" t="str">
        <f>VLOOKUP(Sales[[#This Row],[Customer ID]],Customer[#All],2,0)</f>
        <v>Neha Sharma</v>
      </c>
      <c r="E1076" s="34" t="s">
        <v>491</v>
      </c>
      <c r="F1076" s="34" t="str">
        <f>VLOOKUP(Sales[[#This Row],[Product ID]],Product[#All],2,0)</f>
        <v>Boat Speaker</v>
      </c>
      <c r="G1076" s="53">
        <v>6</v>
      </c>
      <c r="H1076" s="165">
        <f>VLOOKUP(Sales[[#This Row],[Product ID]],Product[#All],7,0)</f>
        <v>2300</v>
      </c>
      <c r="I1076" s="165">
        <f>Sales[[#This Row],[Selling Rate]]*Sales[[#This Row],[Qty]]</f>
        <v>13800</v>
      </c>
      <c r="J1076" s="45">
        <v>0.15</v>
      </c>
      <c r="K1076" s="46">
        <f>Sales[[#This Row],[Gross Amount]]*Sales[[#This Row],[Disc %]]</f>
        <v>2070</v>
      </c>
      <c r="L1076" s="43">
        <v>0.18</v>
      </c>
      <c r="M1076" s="46">
        <f>(Sales[[#This Row],[Gross Amount]]-Sales[[#This Row],[Disc. Amt.]])*Sales[[#This Row],[GST %]]</f>
        <v>2111.4</v>
      </c>
      <c r="N1076" s="161">
        <f>Sales[[#This Row],[Gross Amount]]-Sales[[#This Row],[Disc. Amt.]]+Sales[[#This Row],[GST Amount]]</f>
        <v>13841.4</v>
      </c>
      <c r="O1076" s="34" t="s">
        <v>3561</v>
      </c>
      <c r="P1076" s="34" t="s">
        <v>3562</v>
      </c>
      <c r="Q1076" s="165">
        <f>IF(Sales[[#This Row],[Status]]="Cancelled",0,Sales[[#This Row],[Qty]])</f>
        <v>6</v>
      </c>
      <c r="R1076" s="166">
        <f>IF(Sales[[#This Row],[Status]]="Cancelled",0,Sales[[#This Row],[Total Amount]])</f>
        <v>13841.4</v>
      </c>
      <c r="S1076" s="162">
        <f>SUM(Sales[Net Amount])</f>
        <v>406839287.73200053</v>
      </c>
    </row>
    <row r="1077" spans="1:19" ht="18.75" x14ac:dyDescent="0.25">
      <c r="A1077" s="156" t="s">
        <v>4669</v>
      </c>
      <c r="B1077" s="157">
        <v>45834</v>
      </c>
      <c r="C1077" s="158" t="s">
        <v>801</v>
      </c>
      <c r="D1077" s="159" t="str">
        <f>VLOOKUP(Sales[[#This Row],[Customer ID]],Customer[#All],2,0)</f>
        <v>Sunita Verma</v>
      </c>
      <c r="E1077" s="158" t="s">
        <v>521</v>
      </c>
      <c r="F1077" s="158" t="str">
        <f>VLOOKUP(Sales[[#This Row],[Product ID]],Product[#All],2,0)</f>
        <v>Sandisk Pen Drive</v>
      </c>
      <c r="G1077" s="159">
        <v>7</v>
      </c>
      <c r="H1077" s="160">
        <f>VLOOKUP(Sales[[#This Row],[Product ID]],Product[#All],7,0)</f>
        <v>2920</v>
      </c>
      <c r="I1077" s="160">
        <f>Sales[[#This Row],[Selling Rate]]*Sales[[#This Row],[Qty]]</f>
        <v>20440</v>
      </c>
      <c r="J1077" s="43">
        <v>0.05</v>
      </c>
      <c r="K1077" s="44">
        <f>Sales[[#This Row],[Gross Amount]]*Sales[[#This Row],[Disc %]]</f>
        <v>1022</v>
      </c>
      <c r="L1077" s="43">
        <v>0.18</v>
      </c>
      <c r="M1077" s="44">
        <f>(Sales[[#This Row],[Gross Amount]]-Sales[[#This Row],[Disc. Amt.]])*Sales[[#This Row],[GST %]]</f>
        <v>3495.24</v>
      </c>
      <c r="N1077" s="161">
        <f>Sales[[#This Row],[Gross Amount]]-Sales[[#This Row],[Disc. Amt.]]+Sales[[#This Row],[GST Amount]]</f>
        <v>22913.239999999998</v>
      </c>
      <c r="O1077" s="158" t="s">
        <v>3566</v>
      </c>
      <c r="P1077" s="158" t="s">
        <v>1040</v>
      </c>
      <c r="Q1077" s="160">
        <f>IF(Sales[[#This Row],[Status]]="Cancelled",0,Sales[[#This Row],[Qty]])</f>
        <v>0</v>
      </c>
      <c r="R1077" s="161">
        <f>IF(Sales[[#This Row],[Status]]="Cancelled",0,Sales[[#This Row],[Total Amount]])</f>
        <v>0</v>
      </c>
      <c r="S1077" s="162">
        <f>SUM(Sales[Net Amount])</f>
        <v>406839287.73200053</v>
      </c>
    </row>
    <row r="1078" spans="1:19" ht="18.75" x14ac:dyDescent="0.25">
      <c r="A1078" s="163" t="s">
        <v>4670</v>
      </c>
      <c r="B1078" s="164">
        <v>45835</v>
      </c>
      <c r="C1078" s="34" t="s">
        <v>677</v>
      </c>
      <c r="D1078" s="53" t="str">
        <f>VLOOKUP(Sales[[#This Row],[Customer ID]],Customer[#All],2,0)</f>
        <v>Sahil Verma</v>
      </c>
      <c r="E1078" s="34" t="s">
        <v>502</v>
      </c>
      <c r="F1078" s="34" t="str">
        <f>VLOOKUP(Sales[[#This Row],[Product ID]],Product[#All],2,0)</f>
        <v>HP Printer</v>
      </c>
      <c r="G1078" s="53">
        <v>5</v>
      </c>
      <c r="H1078" s="165">
        <f>VLOOKUP(Sales[[#This Row],[Product ID]],Product[#All],7,0)</f>
        <v>32100</v>
      </c>
      <c r="I1078" s="165">
        <f>Sales[[#This Row],[Selling Rate]]*Sales[[#This Row],[Qty]]</f>
        <v>160500</v>
      </c>
      <c r="J1078" s="45">
        <v>0</v>
      </c>
      <c r="K1078" s="46">
        <f>Sales[[#This Row],[Gross Amount]]*Sales[[#This Row],[Disc %]]</f>
        <v>0</v>
      </c>
      <c r="L1078" s="43">
        <v>0.18</v>
      </c>
      <c r="M1078" s="46">
        <f>(Sales[[#This Row],[Gross Amount]]-Sales[[#This Row],[Disc. Amt.]])*Sales[[#This Row],[GST %]]</f>
        <v>28890</v>
      </c>
      <c r="N1078" s="161">
        <f>Sales[[#This Row],[Gross Amount]]-Sales[[#This Row],[Disc. Amt.]]+Sales[[#This Row],[GST Amount]]</f>
        <v>189390</v>
      </c>
      <c r="O1078" s="34" t="s">
        <v>8876</v>
      </c>
      <c r="P1078" s="34" t="s">
        <v>3562</v>
      </c>
      <c r="Q1078" s="165">
        <f>IF(Sales[[#This Row],[Status]]="Cancelled",0,Sales[[#This Row],[Qty]])</f>
        <v>5</v>
      </c>
      <c r="R1078" s="166">
        <f>IF(Sales[[#This Row],[Status]]="Cancelled",0,Sales[[#This Row],[Total Amount]])</f>
        <v>189390</v>
      </c>
      <c r="S1078" s="162">
        <f>SUM(Sales[Net Amount])</f>
        <v>406839287.73200053</v>
      </c>
    </row>
    <row r="1079" spans="1:19" ht="18.75" x14ac:dyDescent="0.25">
      <c r="A1079" s="156" t="s">
        <v>4671</v>
      </c>
      <c r="B1079" s="157">
        <v>45835</v>
      </c>
      <c r="C1079" s="158" t="s">
        <v>847</v>
      </c>
      <c r="D1079" s="159" t="str">
        <f>VLOOKUP(Sales[[#This Row],[Customer ID]],Customer[#All],2,0)</f>
        <v>Ankit Gupta</v>
      </c>
      <c r="E1079" s="158" t="s">
        <v>402</v>
      </c>
      <c r="F1079" s="158" t="str">
        <f>VLOOKUP(Sales[[#This Row],[Product ID]],Product[#All],2,0)</f>
        <v>Logitech Keyboard</v>
      </c>
      <c r="G1079" s="159">
        <v>8</v>
      </c>
      <c r="H1079" s="160">
        <f>VLOOKUP(Sales[[#This Row],[Product ID]],Product[#All],7,0)</f>
        <v>3500</v>
      </c>
      <c r="I1079" s="160">
        <f>Sales[[#This Row],[Selling Rate]]*Sales[[#This Row],[Qty]]</f>
        <v>28000</v>
      </c>
      <c r="J1079" s="43">
        <v>0.05</v>
      </c>
      <c r="K1079" s="44">
        <f>Sales[[#This Row],[Gross Amount]]*Sales[[#This Row],[Disc %]]</f>
        <v>1400</v>
      </c>
      <c r="L1079" s="43">
        <v>0.18</v>
      </c>
      <c r="M1079" s="44">
        <f>(Sales[[#This Row],[Gross Amount]]-Sales[[#This Row],[Disc. Amt.]])*Sales[[#This Row],[GST %]]</f>
        <v>4788</v>
      </c>
      <c r="N1079" s="161">
        <f>Sales[[#This Row],[Gross Amount]]-Sales[[#This Row],[Disc. Amt.]]+Sales[[#This Row],[GST Amount]]</f>
        <v>31388</v>
      </c>
      <c r="O1079" s="158" t="s">
        <v>8876</v>
      </c>
      <c r="P1079" s="158" t="s">
        <v>3562</v>
      </c>
      <c r="Q1079" s="160">
        <f>IF(Sales[[#This Row],[Status]]="Cancelled",0,Sales[[#This Row],[Qty]])</f>
        <v>8</v>
      </c>
      <c r="R1079" s="161">
        <f>IF(Sales[[#This Row],[Status]]="Cancelled",0,Sales[[#This Row],[Total Amount]])</f>
        <v>31388</v>
      </c>
      <c r="S1079" s="162">
        <f>SUM(Sales[Net Amount])</f>
        <v>406839287.73200053</v>
      </c>
    </row>
    <row r="1080" spans="1:19" ht="18.75" x14ac:dyDescent="0.25">
      <c r="A1080" s="163" t="s">
        <v>4672</v>
      </c>
      <c r="B1080" s="164">
        <v>45835</v>
      </c>
      <c r="C1080" s="34" t="s">
        <v>867</v>
      </c>
      <c r="D1080" s="53" t="str">
        <f>VLOOKUP(Sales[[#This Row],[Customer ID]],Customer[#All],2,0)</f>
        <v>Priya Gupta</v>
      </c>
      <c r="E1080" s="34" t="s">
        <v>511</v>
      </c>
      <c r="F1080" s="34" t="str">
        <f>VLOOKUP(Sales[[#This Row],[Product ID]],Product[#All],2,0)</f>
        <v>Amazon Basics Hdmi Cable</v>
      </c>
      <c r="G1080" s="53">
        <v>1</v>
      </c>
      <c r="H1080" s="165">
        <f>VLOOKUP(Sales[[#This Row],[Product ID]],Product[#All],7,0)</f>
        <v>1240</v>
      </c>
      <c r="I1080" s="165">
        <f>Sales[[#This Row],[Selling Rate]]*Sales[[#This Row],[Qty]]</f>
        <v>1240</v>
      </c>
      <c r="J1080" s="45">
        <v>0</v>
      </c>
      <c r="K1080" s="46">
        <f>Sales[[#This Row],[Gross Amount]]*Sales[[#This Row],[Disc %]]</f>
        <v>0</v>
      </c>
      <c r="L1080" s="43">
        <v>0.18</v>
      </c>
      <c r="M1080" s="46">
        <f>(Sales[[#This Row],[Gross Amount]]-Sales[[#This Row],[Disc. Amt.]])*Sales[[#This Row],[GST %]]</f>
        <v>223.2</v>
      </c>
      <c r="N1080" s="161">
        <f>Sales[[#This Row],[Gross Amount]]-Sales[[#This Row],[Disc. Amt.]]+Sales[[#This Row],[GST Amount]]</f>
        <v>1463.2</v>
      </c>
      <c r="O1080" s="34" t="s">
        <v>3566</v>
      </c>
      <c r="P1080" s="34" t="s">
        <v>3562</v>
      </c>
      <c r="Q1080" s="165">
        <f>IF(Sales[[#This Row],[Status]]="Cancelled",0,Sales[[#This Row],[Qty]])</f>
        <v>1</v>
      </c>
      <c r="R1080" s="166">
        <f>IF(Sales[[#This Row],[Status]]="Cancelled",0,Sales[[#This Row],[Total Amount]])</f>
        <v>1463.2</v>
      </c>
      <c r="S1080" s="162">
        <f>SUM(Sales[Net Amount])</f>
        <v>406839287.73200053</v>
      </c>
    </row>
    <row r="1081" spans="1:19" ht="18.75" x14ac:dyDescent="0.25">
      <c r="A1081" s="156" t="s">
        <v>4673</v>
      </c>
      <c r="B1081" s="157">
        <v>45835</v>
      </c>
      <c r="C1081" s="158" t="s">
        <v>716</v>
      </c>
      <c r="D1081" s="159" t="str">
        <f>VLOOKUP(Sales[[#This Row],[Customer ID]],Customer[#All],2,0)</f>
        <v>Ankit Kumar</v>
      </c>
      <c r="E1081" s="158" t="s">
        <v>495</v>
      </c>
      <c r="F1081" s="158" t="str">
        <f>VLOOKUP(Sales[[#This Row],[Product ID]],Product[#All],2,0)</f>
        <v>Dell Laptop</v>
      </c>
      <c r="G1081" s="159">
        <v>5</v>
      </c>
      <c r="H1081" s="160">
        <f>VLOOKUP(Sales[[#This Row],[Product ID]],Product[#All],7,0)</f>
        <v>63410</v>
      </c>
      <c r="I1081" s="160">
        <f>Sales[[#This Row],[Selling Rate]]*Sales[[#This Row],[Qty]]</f>
        <v>317050</v>
      </c>
      <c r="J1081" s="43">
        <v>0.1</v>
      </c>
      <c r="K1081" s="44">
        <f>Sales[[#This Row],[Gross Amount]]*Sales[[#This Row],[Disc %]]</f>
        <v>31705</v>
      </c>
      <c r="L1081" s="43">
        <v>0.18</v>
      </c>
      <c r="M1081" s="44">
        <f>(Sales[[#This Row],[Gross Amount]]-Sales[[#This Row],[Disc. Amt.]])*Sales[[#This Row],[GST %]]</f>
        <v>51362.1</v>
      </c>
      <c r="N1081" s="161">
        <f>Sales[[#This Row],[Gross Amount]]-Sales[[#This Row],[Disc. Amt.]]+Sales[[#This Row],[GST Amount]]</f>
        <v>336707.1</v>
      </c>
      <c r="O1081" s="158" t="s">
        <v>3569</v>
      </c>
      <c r="P1081" s="158" t="s">
        <v>3562</v>
      </c>
      <c r="Q1081" s="160">
        <f>IF(Sales[[#This Row],[Status]]="Cancelled",0,Sales[[#This Row],[Qty]])</f>
        <v>5</v>
      </c>
      <c r="R1081" s="161">
        <f>IF(Sales[[#This Row],[Status]]="Cancelled",0,Sales[[#This Row],[Total Amount]])</f>
        <v>336707.1</v>
      </c>
      <c r="S1081" s="162">
        <f>SUM(Sales[Net Amount])</f>
        <v>406839287.73200053</v>
      </c>
    </row>
    <row r="1082" spans="1:19" ht="18.75" x14ac:dyDescent="0.25">
      <c r="A1082" s="163" t="s">
        <v>4674</v>
      </c>
      <c r="B1082" s="164">
        <v>45835</v>
      </c>
      <c r="C1082" s="34" t="s">
        <v>810</v>
      </c>
      <c r="D1082" s="53" t="str">
        <f>VLOOKUP(Sales[[#This Row],[Customer ID]],Customer[#All],2,0)</f>
        <v>Rahul Gupta</v>
      </c>
      <c r="E1082" s="34" t="s">
        <v>473</v>
      </c>
      <c r="F1082" s="34" t="str">
        <f>VLOOKUP(Sales[[#This Row],[Product ID]],Product[#All],2,0)</f>
        <v>Boat Headset</v>
      </c>
      <c r="G1082" s="53">
        <v>6</v>
      </c>
      <c r="H1082" s="165">
        <f>VLOOKUP(Sales[[#This Row],[Product ID]],Product[#All],7,0)</f>
        <v>2840</v>
      </c>
      <c r="I1082" s="165">
        <f>Sales[[#This Row],[Selling Rate]]*Sales[[#This Row],[Qty]]</f>
        <v>17040</v>
      </c>
      <c r="J1082" s="45">
        <v>0.12</v>
      </c>
      <c r="K1082" s="46">
        <f>Sales[[#This Row],[Gross Amount]]*Sales[[#This Row],[Disc %]]</f>
        <v>2044.8</v>
      </c>
      <c r="L1082" s="43">
        <v>0.18</v>
      </c>
      <c r="M1082" s="46">
        <f>(Sales[[#This Row],[Gross Amount]]-Sales[[#This Row],[Disc. Amt.]])*Sales[[#This Row],[GST %]]</f>
        <v>2699.136</v>
      </c>
      <c r="N1082" s="161">
        <f>Sales[[#This Row],[Gross Amount]]-Sales[[#This Row],[Disc. Amt.]]+Sales[[#This Row],[GST Amount]]</f>
        <v>17694.335999999999</v>
      </c>
      <c r="O1082" s="34" t="s">
        <v>3561</v>
      </c>
      <c r="P1082" s="34" t="s">
        <v>3562</v>
      </c>
      <c r="Q1082" s="165">
        <f>IF(Sales[[#This Row],[Status]]="Cancelled",0,Sales[[#This Row],[Qty]])</f>
        <v>6</v>
      </c>
      <c r="R1082" s="166">
        <f>IF(Sales[[#This Row],[Status]]="Cancelled",0,Sales[[#This Row],[Total Amount]])</f>
        <v>17694.335999999999</v>
      </c>
      <c r="S1082" s="162">
        <f>SUM(Sales[Net Amount])</f>
        <v>406839287.73200053</v>
      </c>
    </row>
    <row r="1083" spans="1:19" ht="18.75" x14ac:dyDescent="0.25">
      <c r="A1083" s="156" t="s">
        <v>4675</v>
      </c>
      <c r="B1083" s="157">
        <v>45835</v>
      </c>
      <c r="C1083" s="158" t="s">
        <v>896</v>
      </c>
      <c r="D1083" s="159" t="str">
        <f>VLOOKUP(Sales[[#This Row],[Customer ID]],Customer[#All],2,0)</f>
        <v>Amit Gupta</v>
      </c>
      <c r="E1083" s="158" t="s">
        <v>271</v>
      </c>
      <c r="F1083" s="158" t="str">
        <f>VLOOKUP(Sales[[#This Row],[Product ID]],Product[#All],2,0)</f>
        <v>TP-link Bluetooth Adapter</v>
      </c>
      <c r="G1083" s="159">
        <v>4</v>
      </c>
      <c r="H1083" s="160">
        <f>VLOOKUP(Sales[[#This Row],[Product ID]],Product[#All],7,0)</f>
        <v>410</v>
      </c>
      <c r="I1083" s="160">
        <f>Sales[[#This Row],[Selling Rate]]*Sales[[#This Row],[Qty]]</f>
        <v>1640</v>
      </c>
      <c r="J1083" s="43">
        <v>0.1</v>
      </c>
      <c r="K1083" s="44">
        <f>Sales[[#This Row],[Gross Amount]]*Sales[[#This Row],[Disc %]]</f>
        <v>164</v>
      </c>
      <c r="L1083" s="43">
        <v>0.18</v>
      </c>
      <c r="M1083" s="44">
        <f>(Sales[[#This Row],[Gross Amount]]-Sales[[#This Row],[Disc. Amt.]])*Sales[[#This Row],[GST %]]</f>
        <v>265.68</v>
      </c>
      <c r="N1083" s="161">
        <f>Sales[[#This Row],[Gross Amount]]-Sales[[#This Row],[Disc. Amt.]]+Sales[[#This Row],[GST Amount]]</f>
        <v>1741.68</v>
      </c>
      <c r="O1083" s="158" t="s">
        <v>3561</v>
      </c>
      <c r="P1083" s="158" t="s">
        <v>3562</v>
      </c>
      <c r="Q1083" s="160">
        <f>IF(Sales[[#This Row],[Status]]="Cancelled",0,Sales[[#This Row],[Qty]])</f>
        <v>4</v>
      </c>
      <c r="R1083" s="161">
        <f>IF(Sales[[#This Row],[Status]]="Cancelled",0,Sales[[#This Row],[Total Amount]])</f>
        <v>1741.68</v>
      </c>
      <c r="S1083" s="162">
        <f>SUM(Sales[Net Amount])</f>
        <v>406839287.73200053</v>
      </c>
    </row>
    <row r="1084" spans="1:19" ht="18.75" x14ac:dyDescent="0.25">
      <c r="A1084" s="163" t="s">
        <v>4676</v>
      </c>
      <c r="B1084" s="164">
        <v>45835</v>
      </c>
      <c r="C1084" s="34" t="s">
        <v>780</v>
      </c>
      <c r="D1084" s="53" t="str">
        <f>VLOOKUP(Sales[[#This Row],[Customer ID]],Customer[#All],2,0)</f>
        <v>Sahil Gupta</v>
      </c>
      <c r="E1084" s="34" t="s">
        <v>458</v>
      </c>
      <c r="F1084" s="34" t="str">
        <f>VLOOKUP(Sales[[#This Row],[Product ID]],Product[#All],2,0)</f>
        <v>Dell Monitor</v>
      </c>
      <c r="G1084" s="53">
        <v>1</v>
      </c>
      <c r="H1084" s="165">
        <f>VLOOKUP(Sales[[#This Row],[Product ID]],Product[#All],7,0)</f>
        <v>6380</v>
      </c>
      <c r="I1084" s="165">
        <f>Sales[[#This Row],[Selling Rate]]*Sales[[#This Row],[Qty]]</f>
        <v>6380</v>
      </c>
      <c r="J1084" s="45">
        <v>0</v>
      </c>
      <c r="K1084" s="46">
        <f>Sales[[#This Row],[Gross Amount]]*Sales[[#This Row],[Disc %]]</f>
        <v>0</v>
      </c>
      <c r="L1084" s="43">
        <v>0.18</v>
      </c>
      <c r="M1084" s="46">
        <f>(Sales[[#This Row],[Gross Amount]]-Sales[[#This Row],[Disc. Amt.]])*Sales[[#This Row],[GST %]]</f>
        <v>1148.3999999999999</v>
      </c>
      <c r="N1084" s="161">
        <f>Sales[[#This Row],[Gross Amount]]-Sales[[#This Row],[Disc. Amt.]]+Sales[[#This Row],[GST Amount]]</f>
        <v>7528.4</v>
      </c>
      <c r="O1084" s="34" t="s">
        <v>8876</v>
      </c>
      <c r="P1084" s="34" t="s">
        <v>3562</v>
      </c>
      <c r="Q1084" s="165">
        <f>IF(Sales[[#This Row],[Status]]="Cancelled",0,Sales[[#This Row],[Qty]])</f>
        <v>1</v>
      </c>
      <c r="R1084" s="166">
        <f>IF(Sales[[#This Row],[Status]]="Cancelled",0,Sales[[#This Row],[Total Amount]])</f>
        <v>7528.4</v>
      </c>
      <c r="S1084" s="162">
        <f>SUM(Sales[Net Amount])</f>
        <v>406839287.73200053</v>
      </c>
    </row>
    <row r="1085" spans="1:19" ht="18.75" x14ac:dyDescent="0.25">
      <c r="A1085" s="156" t="s">
        <v>4677</v>
      </c>
      <c r="B1085" s="157">
        <v>45835</v>
      </c>
      <c r="C1085" s="158" t="s">
        <v>671</v>
      </c>
      <c r="D1085" s="159" t="str">
        <f>VLOOKUP(Sales[[#This Row],[Customer ID]],Customer[#All],2,0)</f>
        <v>Sahil Patel</v>
      </c>
      <c r="E1085" s="158" t="s">
        <v>523</v>
      </c>
      <c r="F1085" s="158" t="str">
        <f>VLOOKUP(Sales[[#This Row],[Product ID]],Product[#All],2,0)</f>
        <v>Logitech Mouse</v>
      </c>
      <c r="G1085" s="159">
        <v>7</v>
      </c>
      <c r="H1085" s="160">
        <f>VLOOKUP(Sales[[#This Row],[Product ID]],Product[#All],7,0)</f>
        <v>1300</v>
      </c>
      <c r="I1085" s="160">
        <f>Sales[[#This Row],[Selling Rate]]*Sales[[#This Row],[Qty]]</f>
        <v>9100</v>
      </c>
      <c r="J1085" s="43">
        <v>0</v>
      </c>
      <c r="K1085" s="44">
        <f>Sales[[#This Row],[Gross Amount]]*Sales[[#This Row],[Disc %]]</f>
        <v>0</v>
      </c>
      <c r="L1085" s="43">
        <v>0.18</v>
      </c>
      <c r="M1085" s="44">
        <f>(Sales[[#This Row],[Gross Amount]]-Sales[[#This Row],[Disc. Amt.]])*Sales[[#This Row],[GST %]]</f>
        <v>1638</v>
      </c>
      <c r="N1085" s="161">
        <f>Sales[[#This Row],[Gross Amount]]-Sales[[#This Row],[Disc. Amt.]]+Sales[[#This Row],[GST Amount]]</f>
        <v>10738</v>
      </c>
      <c r="O1085" s="158" t="s">
        <v>8876</v>
      </c>
      <c r="P1085" s="158" t="s">
        <v>3562</v>
      </c>
      <c r="Q1085" s="160">
        <f>IF(Sales[[#This Row],[Status]]="Cancelled",0,Sales[[#This Row],[Qty]])</f>
        <v>7</v>
      </c>
      <c r="R1085" s="161">
        <f>IF(Sales[[#This Row],[Status]]="Cancelled",0,Sales[[#This Row],[Total Amount]])</f>
        <v>10738</v>
      </c>
      <c r="S1085" s="162">
        <f>SUM(Sales[Net Amount])</f>
        <v>406839287.73200053</v>
      </c>
    </row>
    <row r="1086" spans="1:19" ht="18.75" x14ac:dyDescent="0.25">
      <c r="A1086" s="163" t="s">
        <v>4678</v>
      </c>
      <c r="B1086" s="164">
        <v>45835</v>
      </c>
      <c r="C1086" s="34" t="s">
        <v>744</v>
      </c>
      <c r="D1086" s="53" t="str">
        <f>VLOOKUP(Sales[[#This Row],[Customer ID]],Customer[#All],2,0)</f>
        <v>Rakesh Patel</v>
      </c>
      <c r="E1086" s="34" t="s">
        <v>467</v>
      </c>
      <c r="F1086" s="34" t="str">
        <f>VLOOKUP(Sales[[#This Row],[Product ID]],Product[#All],2,0)</f>
        <v>Apc UPS</v>
      </c>
      <c r="G1086" s="53">
        <v>5</v>
      </c>
      <c r="H1086" s="165">
        <f>VLOOKUP(Sales[[#This Row],[Product ID]],Product[#All],7,0)</f>
        <v>6250</v>
      </c>
      <c r="I1086" s="165">
        <f>Sales[[#This Row],[Selling Rate]]*Sales[[#This Row],[Qty]]</f>
        <v>31250</v>
      </c>
      <c r="J1086" s="45">
        <v>0.12</v>
      </c>
      <c r="K1086" s="46">
        <f>Sales[[#This Row],[Gross Amount]]*Sales[[#This Row],[Disc %]]</f>
        <v>3750</v>
      </c>
      <c r="L1086" s="43">
        <v>0.18</v>
      </c>
      <c r="M1086" s="46">
        <f>(Sales[[#This Row],[Gross Amount]]-Sales[[#This Row],[Disc. Amt.]])*Sales[[#This Row],[GST %]]</f>
        <v>4950</v>
      </c>
      <c r="N1086" s="161">
        <f>Sales[[#This Row],[Gross Amount]]-Sales[[#This Row],[Disc. Amt.]]+Sales[[#This Row],[GST Amount]]</f>
        <v>32450</v>
      </c>
      <c r="O1086" s="34" t="s">
        <v>3566</v>
      </c>
      <c r="P1086" s="34" t="s">
        <v>3562</v>
      </c>
      <c r="Q1086" s="165">
        <f>IF(Sales[[#This Row],[Status]]="Cancelled",0,Sales[[#This Row],[Qty]])</f>
        <v>5</v>
      </c>
      <c r="R1086" s="166">
        <f>IF(Sales[[#This Row],[Status]]="Cancelled",0,Sales[[#This Row],[Total Amount]])</f>
        <v>32450</v>
      </c>
      <c r="S1086" s="162">
        <f>SUM(Sales[Net Amount])</f>
        <v>406839287.73200053</v>
      </c>
    </row>
    <row r="1087" spans="1:19" ht="18.75" x14ac:dyDescent="0.25">
      <c r="A1087" s="156" t="s">
        <v>4679</v>
      </c>
      <c r="B1087" s="157">
        <v>45835</v>
      </c>
      <c r="C1087" s="158" t="s">
        <v>848</v>
      </c>
      <c r="D1087" s="159" t="str">
        <f>VLOOKUP(Sales[[#This Row],[Customer ID]],Customer[#All],2,0)</f>
        <v>Rakesh Patel</v>
      </c>
      <c r="E1087" s="158" t="s">
        <v>56</v>
      </c>
      <c r="F1087" s="158" t="str">
        <f>VLOOKUP(Sales[[#This Row],[Product ID]],Product[#All],2,0)</f>
        <v>Boat Headset</v>
      </c>
      <c r="G1087" s="159">
        <v>1</v>
      </c>
      <c r="H1087" s="160">
        <f>VLOOKUP(Sales[[#This Row],[Product ID]],Product[#All],7,0)</f>
        <v>4140</v>
      </c>
      <c r="I1087" s="160">
        <f>Sales[[#This Row],[Selling Rate]]*Sales[[#This Row],[Qty]]</f>
        <v>4140</v>
      </c>
      <c r="J1087" s="43">
        <v>0.05</v>
      </c>
      <c r="K1087" s="44">
        <f>Sales[[#This Row],[Gross Amount]]*Sales[[#This Row],[Disc %]]</f>
        <v>207</v>
      </c>
      <c r="L1087" s="43">
        <v>0.18</v>
      </c>
      <c r="M1087" s="44">
        <f>(Sales[[#This Row],[Gross Amount]]-Sales[[#This Row],[Disc. Amt.]])*Sales[[#This Row],[GST %]]</f>
        <v>707.93999999999994</v>
      </c>
      <c r="N1087" s="161">
        <f>Sales[[#This Row],[Gross Amount]]-Sales[[#This Row],[Disc. Amt.]]+Sales[[#This Row],[GST Amount]]</f>
        <v>4640.9399999999996</v>
      </c>
      <c r="O1087" s="158" t="s">
        <v>3569</v>
      </c>
      <c r="P1087" s="158" t="s">
        <v>3562</v>
      </c>
      <c r="Q1087" s="160">
        <f>IF(Sales[[#This Row],[Status]]="Cancelled",0,Sales[[#This Row],[Qty]])</f>
        <v>1</v>
      </c>
      <c r="R1087" s="161">
        <f>IF(Sales[[#This Row],[Status]]="Cancelled",0,Sales[[#This Row],[Total Amount]])</f>
        <v>4640.9399999999996</v>
      </c>
      <c r="S1087" s="162">
        <f>SUM(Sales[Net Amount])</f>
        <v>406839287.73200053</v>
      </c>
    </row>
    <row r="1088" spans="1:19" ht="18.75" x14ac:dyDescent="0.25">
      <c r="A1088" s="163" t="s">
        <v>4680</v>
      </c>
      <c r="B1088" s="164">
        <v>45835</v>
      </c>
      <c r="C1088" s="34" t="s">
        <v>782</v>
      </c>
      <c r="D1088" s="53" t="str">
        <f>VLOOKUP(Sales[[#This Row],[Customer ID]],Customer[#All],2,0)</f>
        <v>Vikas Singh</v>
      </c>
      <c r="E1088" s="34" t="s">
        <v>214</v>
      </c>
      <c r="F1088" s="34" t="str">
        <f>VLOOKUP(Sales[[#This Row],[Product ID]],Product[#All],2,0)</f>
        <v>Microtek UPS</v>
      </c>
      <c r="G1088" s="53">
        <v>4</v>
      </c>
      <c r="H1088" s="165">
        <f>VLOOKUP(Sales[[#This Row],[Product ID]],Product[#All],7,0)</f>
        <v>10710</v>
      </c>
      <c r="I1088" s="165">
        <f>Sales[[#This Row],[Selling Rate]]*Sales[[#This Row],[Qty]]</f>
        <v>42840</v>
      </c>
      <c r="J1088" s="45">
        <v>0.05</v>
      </c>
      <c r="K1088" s="46">
        <f>Sales[[#This Row],[Gross Amount]]*Sales[[#This Row],[Disc %]]</f>
        <v>2142</v>
      </c>
      <c r="L1088" s="43">
        <v>0.18</v>
      </c>
      <c r="M1088" s="46">
        <f>(Sales[[#This Row],[Gross Amount]]-Sales[[#This Row],[Disc. Amt.]])*Sales[[#This Row],[GST %]]</f>
        <v>7325.6399999999994</v>
      </c>
      <c r="N1088" s="161">
        <f>Sales[[#This Row],[Gross Amount]]-Sales[[#This Row],[Disc. Amt.]]+Sales[[#This Row],[GST Amount]]</f>
        <v>48023.64</v>
      </c>
      <c r="O1088" s="34" t="s">
        <v>8876</v>
      </c>
      <c r="P1088" s="34" t="s">
        <v>3562</v>
      </c>
      <c r="Q1088" s="165">
        <f>IF(Sales[[#This Row],[Status]]="Cancelled",0,Sales[[#This Row],[Qty]])</f>
        <v>4</v>
      </c>
      <c r="R1088" s="166">
        <f>IF(Sales[[#This Row],[Status]]="Cancelled",0,Sales[[#This Row],[Total Amount]])</f>
        <v>48023.64</v>
      </c>
      <c r="S1088" s="162">
        <f>SUM(Sales[Net Amount])</f>
        <v>406839287.73200053</v>
      </c>
    </row>
    <row r="1089" spans="1:19" ht="18.75" x14ac:dyDescent="0.25">
      <c r="A1089" s="156" t="s">
        <v>4681</v>
      </c>
      <c r="B1089" s="157">
        <v>45835</v>
      </c>
      <c r="C1089" s="158" t="s">
        <v>840</v>
      </c>
      <c r="D1089" s="159" t="str">
        <f>VLOOKUP(Sales[[#This Row],[Customer ID]],Customer[#All],2,0)</f>
        <v>Rakesh Verma</v>
      </c>
      <c r="E1089" s="158" t="s">
        <v>529</v>
      </c>
      <c r="F1089" s="158" t="str">
        <f>VLOOKUP(Sales[[#This Row],[Product ID]],Product[#All],2,0)</f>
        <v>Logitech Webcam</v>
      </c>
      <c r="G1089" s="159">
        <v>7</v>
      </c>
      <c r="H1089" s="160">
        <f>VLOOKUP(Sales[[#This Row],[Product ID]],Product[#All],7,0)</f>
        <v>3390</v>
      </c>
      <c r="I1089" s="160">
        <f>Sales[[#This Row],[Selling Rate]]*Sales[[#This Row],[Qty]]</f>
        <v>23730</v>
      </c>
      <c r="J1089" s="43">
        <v>0</v>
      </c>
      <c r="K1089" s="44">
        <f>Sales[[#This Row],[Gross Amount]]*Sales[[#This Row],[Disc %]]</f>
        <v>0</v>
      </c>
      <c r="L1089" s="43">
        <v>0.18</v>
      </c>
      <c r="M1089" s="44">
        <f>(Sales[[#This Row],[Gross Amount]]-Sales[[#This Row],[Disc. Amt.]])*Sales[[#This Row],[GST %]]</f>
        <v>4271.3999999999996</v>
      </c>
      <c r="N1089" s="161">
        <f>Sales[[#This Row],[Gross Amount]]-Sales[[#This Row],[Disc. Amt.]]+Sales[[#This Row],[GST Amount]]</f>
        <v>28001.4</v>
      </c>
      <c r="O1089" s="158" t="s">
        <v>3566</v>
      </c>
      <c r="P1089" s="158" t="s">
        <v>3562</v>
      </c>
      <c r="Q1089" s="160">
        <f>IF(Sales[[#This Row],[Status]]="Cancelled",0,Sales[[#This Row],[Qty]])</f>
        <v>7</v>
      </c>
      <c r="R1089" s="161">
        <f>IF(Sales[[#This Row],[Status]]="Cancelled",0,Sales[[#This Row],[Total Amount]])</f>
        <v>28001.4</v>
      </c>
      <c r="S1089" s="162">
        <f>SUM(Sales[Net Amount])</f>
        <v>406839287.73200053</v>
      </c>
    </row>
    <row r="1090" spans="1:19" ht="18.75" x14ac:dyDescent="0.25">
      <c r="A1090" s="163" t="s">
        <v>4682</v>
      </c>
      <c r="B1090" s="164">
        <v>45835</v>
      </c>
      <c r="C1090" s="34" t="s">
        <v>684</v>
      </c>
      <c r="D1090" s="53" t="str">
        <f>VLOOKUP(Sales[[#This Row],[Customer ID]],Customer[#All],2,0)</f>
        <v>Rahul Sharma</v>
      </c>
      <c r="E1090" s="34" t="s">
        <v>154</v>
      </c>
      <c r="F1090" s="34" t="str">
        <f>VLOOKUP(Sales[[#This Row],[Product ID]],Product[#All],2,0)</f>
        <v>Epson Printer</v>
      </c>
      <c r="G1090" s="53">
        <v>8</v>
      </c>
      <c r="H1090" s="165">
        <f>VLOOKUP(Sales[[#This Row],[Product ID]],Product[#All],7,0)</f>
        <v>46220</v>
      </c>
      <c r="I1090" s="165">
        <f>Sales[[#This Row],[Selling Rate]]*Sales[[#This Row],[Qty]]</f>
        <v>369760</v>
      </c>
      <c r="J1090" s="45">
        <v>0.05</v>
      </c>
      <c r="K1090" s="46">
        <f>Sales[[#This Row],[Gross Amount]]*Sales[[#This Row],[Disc %]]</f>
        <v>18488</v>
      </c>
      <c r="L1090" s="43">
        <v>0.18</v>
      </c>
      <c r="M1090" s="46">
        <f>(Sales[[#This Row],[Gross Amount]]-Sales[[#This Row],[Disc. Amt.]])*Sales[[#This Row],[GST %]]</f>
        <v>63228.959999999999</v>
      </c>
      <c r="N1090" s="161">
        <f>Sales[[#This Row],[Gross Amount]]-Sales[[#This Row],[Disc. Amt.]]+Sales[[#This Row],[GST Amount]]</f>
        <v>414500.96</v>
      </c>
      <c r="O1090" s="34" t="s">
        <v>3569</v>
      </c>
      <c r="P1090" s="34" t="s">
        <v>3562</v>
      </c>
      <c r="Q1090" s="165">
        <f>IF(Sales[[#This Row],[Status]]="Cancelled",0,Sales[[#This Row],[Qty]])</f>
        <v>8</v>
      </c>
      <c r="R1090" s="166">
        <f>IF(Sales[[#This Row],[Status]]="Cancelled",0,Sales[[#This Row],[Total Amount]])</f>
        <v>414500.96</v>
      </c>
      <c r="S1090" s="162">
        <f>SUM(Sales[Net Amount])</f>
        <v>406839287.73200053</v>
      </c>
    </row>
    <row r="1091" spans="1:19" ht="18.75" x14ac:dyDescent="0.25">
      <c r="A1091" s="156" t="s">
        <v>4683</v>
      </c>
      <c r="B1091" s="157">
        <v>45835</v>
      </c>
      <c r="C1091" s="158" t="s">
        <v>877</v>
      </c>
      <c r="D1091" s="159" t="str">
        <f>VLOOKUP(Sales[[#This Row],[Customer ID]],Customer[#All],2,0)</f>
        <v>Sahil Patel</v>
      </c>
      <c r="E1091" s="158" t="s">
        <v>267</v>
      </c>
      <c r="F1091" s="158" t="str">
        <f>VLOOKUP(Sales[[#This Row],[Product ID]],Product[#All],2,0)</f>
        <v>Boat Speaker</v>
      </c>
      <c r="G1091" s="159">
        <v>3</v>
      </c>
      <c r="H1091" s="160">
        <f>VLOOKUP(Sales[[#This Row],[Product ID]],Product[#All],7,0)</f>
        <v>2230</v>
      </c>
      <c r="I1091" s="160">
        <f>Sales[[#This Row],[Selling Rate]]*Sales[[#This Row],[Qty]]</f>
        <v>6690</v>
      </c>
      <c r="J1091" s="43">
        <v>0.02</v>
      </c>
      <c r="K1091" s="44">
        <f>Sales[[#This Row],[Gross Amount]]*Sales[[#This Row],[Disc %]]</f>
        <v>133.80000000000001</v>
      </c>
      <c r="L1091" s="43">
        <v>0.18</v>
      </c>
      <c r="M1091" s="44">
        <f>(Sales[[#This Row],[Gross Amount]]-Sales[[#This Row],[Disc. Amt.]])*Sales[[#This Row],[GST %]]</f>
        <v>1180.116</v>
      </c>
      <c r="N1091" s="161">
        <f>Sales[[#This Row],[Gross Amount]]-Sales[[#This Row],[Disc. Amt.]]+Sales[[#This Row],[GST Amount]]</f>
        <v>7736.3159999999998</v>
      </c>
      <c r="O1091" s="158" t="s">
        <v>3566</v>
      </c>
      <c r="P1091" s="158" t="s">
        <v>3562</v>
      </c>
      <c r="Q1091" s="160">
        <f>IF(Sales[[#This Row],[Status]]="Cancelled",0,Sales[[#This Row],[Qty]])</f>
        <v>3</v>
      </c>
      <c r="R1091" s="161">
        <f>IF(Sales[[#This Row],[Status]]="Cancelled",0,Sales[[#This Row],[Total Amount]])</f>
        <v>7736.3159999999998</v>
      </c>
      <c r="S1091" s="162">
        <f>SUM(Sales[Net Amount])</f>
        <v>406839287.73200053</v>
      </c>
    </row>
    <row r="1092" spans="1:19" ht="18.75" x14ac:dyDescent="0.25">
      <c r="A1092" s="163" t="s">
        <v>4684</v>
      </c>
      <c r="B1092" s="164">
        <v>45836</v>
      </c>
      <c r="C1092" s="34" t="s">
        <v>664</v>
      </c>
      <c r="D1092" s="53" t="str">
        <f>VLOOKUP(Sales[[#This Row],[Customer ID]],Customer[#All],2,0)</f>
        <v>Sahil Singh</v>
      </c>
      <c r="E1092" s="34" t="s">
        <v>280</v>
      </c>
      <c r="F1092" s="34" t="str">
        <f>VLOOKUP(Sales[[#This Row],[Product ID]],Product[#All],2,0)</f>
        <v>Epson Printer</v>
      </c>
      <c r="G1092" s="53">
        <v>4</v>
      </c>
      <c r="H1092" s="165">
        <f>VLOOKUP(Sales[[#This Row],[Product ID]],Product[#All],7,0)</f>
        <v>34550</v>
      </c>
      <c r="I1092" s="165">
        <f>Sales[[#This Row],[Selling Rate]]*Sales[[#This Row],[Qty]]</f>
        <v>138200</v>
      </c>
      <c r="J1092" s="45">
        <v>0.02</v>
      </c>
      <c r="K1092" s="46">
        <f>Sales[[#This Row],[Gross Amount]]*Sales[[#This Row],[Disc %]]</f>
        <v>2764</v>
      </c>
      <c r="L1092" s="43">
        <v>0.18</v>
      </c>
      <c r="M1092" s="46">
        <f>(Sales[[#This Row],[Gross Amount]]-Sales[[#This Row],[Disc. Amt.]])*Sales[[#This Row],[GST %]]</f>
        <v>24378.48</v>
      </c>
      <c r="N1092" s="161">
        <f>Sales[[#This Row],[Gross Amount]]-Sales[[#This Row],[Disc. Amt.]]+Sales[[#This Row],[GST Amount]]</f>
        <v>159814.48000000001</v>
      </c>
      <c r="O1092" s="34" t="s">
        <v>8876</v>
      </c>
      <c r="P1092" s="34" t="s">
        <v>3562</v>
      </c>
      <c r="Q1092" s="165">
        <f>IF(Sales[[#This Row],[Status]]="Cancelled",0,Sales[[#This Row],[Qty]])</f>
        <v>4</v>
      </c>
      <c r="R1092" s="166">
        <f>IF(Sales[[#This Row],[Status]]="Cancelled",0,Sales[[#This Row],[Total Amount]])</f>
        <v>159814.48000000001</v>
      </c>
      <c r="S1092" s="162">
        <f>SUM(Sales[Net Amount])</f>
        <v>406839287.73200053</v>
      </c>
    </row>
    <row r="1093" spans="1:19" ht="18.75" x14ac:dyDescent="0.25">
      <c r="A1093" s="156" t="s">
        <v>4685</v>
      </c>
      <c r="B1093" s="157">
        <v>45836</v>
      </c>
      <c r="C1093" s="158" t="s">
        <v>862</v>
      </c>
      <c r="D1093" s="159" t="str">
        <f>VLOOKUP(Sales[[#This Row],[Customer ID]],Customer[#All],2,0)</f>
        <v>Rakesh Sharma</v>
      </c>
      <c r="E1093" s="158" t="s">
        <v>177</v>
      </c>
      <c r="F1093" s="158" t="str">
        <f>VLOOKUP(Sales[[#This Row],[Product ID]],Product[#All],2,0)</f>
        <v>Dell Laptop</v>
      </c>
      <c r="G1093" s="159">
        <v>8</v>
      </c>
      <c r="H1093" s="160">
        <f>VLOOKUP(Sales[[#This Row],[Product ID]],Product[#All],7,0)</f>
        <v>56790</v>
      </c>
      <c r="I1093" s="160">
        <f>Sales[[#This Row],[Selling Rate]]*Sales[[#This Row],[Qty]]</f>
        <v>454320</v>
      </c>
      <c r="J1093" s="43">
        <v>0.05</v>
      </c>
      <c r="K1093" s="44">
        <f>Sales[[#This Row],[Gross Amount]]*Sales[[#This Row],[Disc %]]</f>
        <v>22716</v>
      </c>
      <c r="L1093" s="43">
        <v>0.18</v>
      </c>
      <c r="M1093" s="44">
        <f>(Sales[[#This Row],[Gross Amount]]-Sales[[#This Row],[Disc. Amt.]])*Sales[[#This Row],[GST %]]</f>
        <v>77688.72</v>
      </c>
      <c r="N1093" s="161">
        <f>Sales[[#This Row],[Gross Amount]]-Sales[[#This Row],[Disc. Amt.]]+Sales[[#This Row],[GST Amount]]</f>
        <v>509292.72</v>
      </c>
      <c r="O1093" s="158" t="s">
        <v>8876</v>
      </c>
      <c r="P1093" s="158" t="s">
        <v>3562</v>
      </c>
      <c r="Q1093" s="160">
        <f>IF(Sales[[#This Row],[Status]]="Cancelled",0,Sales[[#This Row],[Qty]])</f>
        <v>8</v>
      </c>
      <c r="R1093" s="161">
        <f>IF(Sales[[#This Row],[Status]]="Cancelled",0,Sales[[#This Row],[Total Amount]])</f>
        <v>509292.72</v>
      </c>
      <c r="S1093" s="162">
        <f>SUM(Sales[Net Amount])</f>
        <v>406839287.73200053</v>
      </c>
    </row>
    <row r="1094" spans="1:19" ht="18.75" x14ac:dyDescent="0.25">
      <c r="A1094" s="163" t="s">
        <v>4686</v>
      </c>
      <c r="B1094" s="164">
        <v>45836</v>
      </c>
      <c r="C1094" s="34" t="s">
        <v>741</v>
      </c>
      <c r="D1094" s="53" t="str">
        <f>VLOOKUP(Sales[[#This Row],[Customer ID]],Customer[#All],2,0)</f>
        <v>Rahul Patel</v>
      </c>
      <c r="E1094" s="34" t="s">
        <v>199</v>
      </c>
      <c r="F1094" s="34" t="str">
        <f>VLOOKUP(Sales[[#This Row],[Product ID]],Product[#All],2,0)</f>
        <v>Lg Monitor</v>
      </c>
      <c r="G1094" s="53">
        <v>4</v>
      </c>
      <c r="H1094" s="165">
        <f>VLOOKUP(Sales[[#This Row],[Product ID]],Product[#All],7,0)</f>
        <v>13160</v>
      </c>
      <c r="I1094" s="165">
        <f>Sales[[#This Row],[Selling Rate]]*Sales[[#This Row],[Qty]]</f>
        <v>52640</v>
      </c>
      <c r="J1094" s="45">
        <v>0</v>
      </c>
      <c r="K1094" s="46">
        <f>Sales[[#This Row],[Gross Amount]]*Sales[[#This Row],[Disc %]]</f>
        <v>0</v>
      </c>
      <c r="L1094" s="43">
        <v>0.18</v>
      </c>
      <c r="M1094" s="46">
        <f>(Sales[[#This Row],[Gross Amount]]-Sales[[#This Row],[Disc. Amt.]])*Sales[[#This Row],[GST %]]</f>
        <v>9475.1999999999989</v>
      </c>
      <c r="N1094" s="161">
        <f>Sales[[#This Row],[Gross Amount]]-Sales[[#This Row],[Disc. Amt.]]+Sales[[#This Row],[GST Amount]]</f>
        <v>62115.199999999997</v>
      </c>
      <c r="O1094" s="34" t="s">
        <v>8876</v>
      </c>
      <c r="P1094" s="34" t="s">
        <v>3562</v>
      </c>
      <c r="Q1094" s="165">
        <f>IF(Sales[[#This Row],[Status]]="Cancelled",0,Sales[[#This Row],[Qty]])</f>
        <v>4</v>
      </c>
      <c r="R1094" s="166">
        <f>IF(Sales[[#This Row],[Status]]="Cancelled",0,Sales[[#This Row],[Total Amount]])</f>
        <v>62115.199999999997</v>
      </c>
      <c r="S1094" s="162">
        <f>SUM(Sales[Net Amount])</f>
        <v>406839287.73200053</v>
      </c>
    </row>
    <row r="1095" spans="1:19" ht="18.75" x14ac:dyDescent="0.25">
      <c r="A1095" s="156" t="s">
        <v>4687</v>
      </c>
      <c r="B1095" s="157">
        <v>45836</v>
      </c>
      <c r="C1095" s="158" t="s">
        <v>745</v>
      </c>
      <c r="D1095" s="159" t="str">
        <f>VLOOKUP(Sales[[#This Row],[Customer ID]],Customer[#All],2,0)</f>
        <v>Priya Kumar</v>
      </c>
      <c r="E1095" s="158" t="s">
        <v>136</v>
      </c>
      <c r="F1095" s="158" t="str">
        <f>VLOOKUP(Sales[[#This Row],[Product ID]],Product[#All],2,0)</f>
        <v>HP Laptop</v>
      </c>
      <c r="G1095" s="159">
        <v>5</v>
      </c>
      <c r="H1095" s="160">
        <f>VLOOKUP(Sales[[#This Row],[Product ID]],Product[#All],7,0)</f>
        <v>33050</v>
      </c>
      <c r="I1095" s="160">
        <f>Sales[[#This Row],[Selling Rate]]*Sales[[#This Row],[Qty]]</f>
        <v>165250</v>
      </c>
      <c r="J1095" s="43">
        <v>0.05</v>
      </c>
      <c r="K1095" s="44">
        <f>Sales[[#This Row],[Gross Amount]]*Sales[[#This Row],[Disc %]]</f>
        <v>8262.5</v>
      </c>
      <c r="L1095" s="43">
        <v>0.18</v>
      </c>
      <c r="M1095" s="44">
        <f>(Sales[[#This Row],[Gross Amount]]-Sales[[#This Row],[Disc. Amt.]])*Sales[[#This Row],[GST %]]</f>
        <v>28257.75</v>
      </c>
      <c r="N1095" s="161">
        <f>Sales[[#This Row],[Gross Amount]]-Sales[[#This Row],[Disc. Amt.]]+Sales[[#This Row],[GST Amount]]</f>
        <v>185245.25</v>
      </c>
      <c r="O1095" s="158" t="s">
        <v>3569</v>
      </c>
      <c r="P1095" s="158" t="s">
        <v>3562</v>
      </c>
      <c r="Q1095" s="160">
        <f>IF(Sales[[#This Row],[Status]]="Cancelled",0,Sales[[#This Row],[Qty]])</f>
        <v>5</v>
      </c>
      <c r="R1095" s="161">
        <f>IF(Sales[[#This Row],[Status]]="Cancelled",0,Sales[[#This Row],[Total Amount]])</f>
        <v>185245.25</v>
      </c>
      <c r="S1095" s="162">
        <f>SUM(Sales[Net Amount])</f>
        <v>406839287.73200053</v>
      </c>
    </row>
    <row r="1096" spans="1:19" ht="18.75" x14ac:dyDescent="0.25">
      <c r="A1096" s="163" t="s">
        <v>4688</v>
      </c>
      <c r="B1096" s="164">
        <v>45836</v>
      </c>
      <c r="C1096" s="34" t="s">
        <v>746</v>
      </c>
      <c r="D1096" s="53" t="str">
        <f>VLOOKUP(Sales[[#This Row],[Customer ID]],Customer[#All],2,0)</f>
        <v>Sunita Kumar</v>
      </c>
      <c r="E1096" s="34" t="s">
        <v>362</v>
      </c>
      <c r="F1096" s="34" t="str">
        <f>VLOOKUP(Sales[[#This Row],[Product ID]],Product[#All],2,0)</f>
        <v>Dell Power Adapter</v>
      </c>
      <c r="G1096" s="53">
        <v>4</v>
      </c>
      <c r="H1096" s="165">
        <f>VLOOKUP(Sales[[#This Row],[Product ID]],Product[#All],7,0)</f>
        <v>4050</v>
      </c>
      <c r="I1096" s="165">
        <f>Sales[[#This Row],[Selling Rate]]*Sales[[#This Row],[Qty]]</f>
        <v>16200</v>
      </c>
      <c r="J1096" s="45">
        <v>0.02</v>
      </c>
      <c r="K1096" s="46">
        <f>Sales[[#This Row],[Gross Amount]]*Sales[[#This Row],[Disc %]]</f>
        <v>324</v>
      </c>
      <c r="L1096" s="43">
        <v>0.18</v>
      </c>
      <c r="M1096" s="46">
        <f>(Sales[[#This Row],[Gross Amount]]-Sales[[#This Row],[Disc. Amt.]])*Sales[[#This Row],[GST %]]</f>
        <v>2857.68</v>
      </c>
      <c r="N1096" s="161">
        <f>Sales[[#This Row],[Gross Amount]]-Sales[[#This Row],[Disc. Amt.]]+Sales[[#This Row],[GST Amount]]</f>
        <v>18733.68</v>
      </c>
      <c r="O1096" s="34" t="s">
        <v>3561</v>
      </c>
      <c r="P1096" s="34" t="s">
        <v>3562</v>
      </c>
      <c r="Q1096" s="165">
        <f>IF(Sales[[#This Row],[Status]]="Cancelled",0,Sales[[#This Row],[Qty]])</f>
        <v>4</v>
      </c>
      <c r="R1096" s="166">
        <f>IF(Sales[[#This Row],[Status]]="Cancelled",0,Sales[[#This Row],[Total Amount]])</f>
        <v>18733.68</v>
      </c>
      <c r="S1096" s="162">
        <f>SUM(Sales[Net Amount])</f>
        <v>406839287.73200053</v>
      </c>
    </row>
    <row r="1097" spans="1:19" ht="18.75" x14ac:dyDescent="0.25">
      <c r="A1097" s="156" t="s">
        <v>4689</v>
      </c>
      <c r="B1097" s="157">
        <v>45836</v>
      </c>
      <c r="C1097" s="158" t="s">
        <v>886</v>
      </c>
      <c r="D1097" s="159" t="str">
        <f>VLOOKUP(Sales[[#This Row],[Customer ID]],Customer[#All],2,0)</f>
        <v>Sunita Gupta</v>
      </c>
      <c r="E1097" s="158" t="s">
        <v>140</v>
      </c>
      <c r="F1097" s="158" t="str">
        <f>VLOOKUP(Sales[[#This Row],[Product ID]],Product[#All],2,0)</f>
        <v>Logitech Mouse</v>
      </c>
      <c r="G1097" s="159">
        <v>3</v>
      </c>
      <c r="H1097" s="160">
        <f>VLOOKUP(Sales[[#This Row],[Product ID]],Product[#All],7,0)</f>
        <v>2760</v>
      </c>
      <c r="I1097" s="160">
        <f>Sales[[#This Row],[Selling Rate]]*Sales[[#This Row],[Qty]]</f>
        <v>8280</v>
      </c>
      <c r="J1097" s="43">
        <v>0.05</v>
      </c>
      <c r="K1097" s="44">
        <f>Sales[[#This Row],[Gross Amount]]*Sales[[#This Row],[Disc %]]</f>
        <v>414</v>
      </c>
      <c r="L1097" s="43">
        <v>0.18</v>
      </c>
      <c r="M1097" s="44">
        <f>(Sales[[#This Row],[Gross Amount]]-Sales[[#This Row],[Disc. Amt.]])*Sales[[#This Row],[GST %]]</f>
        <v>1415.8799999999999</v>
      </c>
      <c r="N1097" s="161">
        <f>Sales[[#This Row],[Gross Amount]]-Sales[[#This Row],[Disc. Amt.]]+Sales[[#This Row],[GST Amount]]</f>
        <v>9281.8799999999992</v>
      </c>
      <c r="O1097" s="158" t="s">
        <v>3566</v>
      </c>
      <c r="P1097" s="158" t="s">
        <v>3562</v>
      </c>
      <c r="Q1097" s="160">
        <f>IF(Sales[[#This Row],[Status]]="Cancelled",0,Sales[[#This Row],[Qty]])</f>
        <v>3</v>
      </c>
      <c r="R1097" s="161">
        <f>IF(Sales[[#This Row],[Status]]="Cancelled",0,Sales[[#This Row],[Total Amount]])</f>
        <v>9281.8799999999992</v>
      </c>
      <c r="S1097" s="162">
        <f>SUM(Sales[Net Amount])</f>
        <v>406839287.73200053</v>
      </c>
    </row>
    <row r="1098" spans="1:19" ht="18.75" x14ac:dyDescent="0.25">
      <c r="A1098" s="163" t="s">
        <v>4690</v>
      </c>
      <c r="B1098" s="164">
        <v>45836</v>
      </c>
      <c r="C1098" s="34" t="s">
        <v>752</v>
      </c>
      <c r="D1098" s="53" t="str">
        <f>VLOOKUP(Sales[[#This Row],[Customer ID]],Customer[#All],2,0)</f>
        <v>Pooja Patel</v>
      </c>
      <c r="E1098" s="34" t="s">
        <v>312</v>
      </c>
      <c r="F1098" s="34" t="str">
        <f>VLOOKUP(Sales[[#This Row],[Product ID]],Product[#All],2,0)</f>
        <v>Dell Desktop</v>
      </c>
      <c r="G1098" s="53">
        <v>8</v>
      </c>
      <c r="H1098" s="165">
        <f>VLOOKUP(Sales[[#This Row],[Product ID]],Product[#All],7,0)</f>
        <v>59050</v>
      </c>
      <c r="I1098" s="165">
        <f>Sales[[#This Row],[Selling Rate]]*Sales[[#This Row],[Qty]]</f>
        <v>472400</v>
      </c>
      <c r="J1098" s="45">
        <v>0</v>
      </c>
      <c r="K1098" s="46">
        <f>Sales[[#This Row],[Gross Amount]]*Sales[[#This Row],[Disc %]]</f>
        <v>0</v>
      </c>
      <c r="L1098" s="43">
        <v>0.18</v>
      </c>
      <c r="M1098" s="46">
        <f>(Sales[[#This Row],[Gross Amount]]-Sales[[#This Row],[Disc. Amt.]])*Sales[[#This Row],[GST %]]</f>
        <v>85032</v>
      </c>
      <c r="N1098" s="161">
        <f>Sales[[#This Row],[Gross Amount]]-Sales[[#This Row],[Disc. Amt.]]+Sales[[#This Row],[GST Amount]]</f>
        <v>557432</v>
      </c>
      <c r="O1098" s="34" t="s">
        <v>3566</v>
      </c>
      <c r="P1098" s="34" t="s">
        <v>3562</v>
      </c>
      <c r="Q1098" s="165">
        <f>IF(Sales[[#This Row],[Status]]="Cancelled",0,Sales[[#This Row],[Qty]])</f>
        <v>8</v>
      </c>
      <c r="R1098" s="166">
        <f>IF(Sales[[#This Row],[Status]]="Cancelled",0,Sales[[#This Row],[Total Amount]])</f>
        <v>557432</v>
      </c>
      <c r="S1098" s="162">
        <f>SUM(Sales[Net Amount])</f>
        <v>406839287.73200053</v>
      </c>
    </row>
    <row r="1099" spans="1:19" ht="18.75" x14ac:dyDescent="0.25">
      <c r="A1099" s="156" t="s">
        <v>4691</v>
      </c>
      <c r="B1099" s="157">
        <v>45836</v>
      </c>
      <c r="C1099" s="158" t="s">
        <v>675</v>
      </c>
      <c r="D1099" s="159" t="str">
        <f>VLOOKUP(Sales[[#This Row],[Customer ID]],Customer[#All],2,0)</f>
        <v>Rahul Gupta</v>
      </c>
      <c r="E1099" s="158" t="s">
        <v>235</v>
      </c>
      <c r="F1099" s="158" t="str">
        <f>VLOOKUP(Sales[[#This Row],[Product ID]],Product[#All],2,0)</f>
        <v>TP-link Router</v>
      </c>
      <c r="G1099" s="159">
        <v>3</v>
      </c>
      <c r="H1099" s="160">
        <f>VLOOKUP(Sales[[#This Row],[Product ID]],Product[#All],7,0)</f>
        <v>1310</v>
      </c>
      <c r="I1099" s="160">
        <f>Sales[[#This Row],[Selling Rate]]*Sales[[#This Row],[Qty]]</f>
        <v>3930</v>
      </c>
      <c r="J1099" s="43">
        <v>0.02</v>
      </c>
      <c r="K1099" s="44">
        <f>Sales[[#This Row],[Gross Amount]]*Sales[[#This Row],[Disc %]]</f>
        <v>78.600000000000009</v>
      </c>
      <c r="L1099" s="43">
        <v>0.18</v>
      </c>
      <c r="M1099" s="44">
        <f>(Sales[[#This Row],[Gross Amount]]-Sales[[#This Row],[Disc. Amt.]])*Sales[[#This Row],[GST %]]</f>
        <v>693.25199999999995</v>
      </c>
      <c r="N1099" s="161">
        <f>Sales[[#This Row],[Gross Amount]]-Sales[[#This Row],[Disc. Amt.]]+Sales[[#This Row],[GST Amount]]</f>
        <v>4544.652</v>
      </c>
      <c r="O1099" s="158" t="s">
        <v>8876</v>
      </c>
      <c r="P1099" s="158" t="s">
        <v>3562</v>
      </c>
      <c r="Q1099" s="160">
        <f>IF(Sales[[#This Row],[Status]]="Cancelled",0,Sales[[#This Row],[Qty]])</f>
        <v>3</v>
      </c>
      <c r="R1099" s="161">
        <f>IF(Sales[[#This Row],[Status]]="Cancelled",0,Sales[[#This Row],[Total Amount]])</f>
        <v>4544.652</v>
      </c>
      <c r="S1099" s="162">
        <f>SUM(Sales[Net Amount])</f>
        <v>406839287.73200053</v>
      </c>
    </row>
    <row r="1100" spans="1:19" ht="18.75" x14ac:dyDescent="0.25">
      <c r="A1100" s="163" t="s">
        <v>4692</v>
      </c>
      <c r="B1100" s="164">
        <v>45836</v>
      </c>
      <c r="C1100" s="34" t="s">
        <v>726</v>
      </c>
      <c r="D1100" s="53" t="str">
        <f>VLOOKUP(Sales[[#This Row],[Customer ID]],Customer[#All],2,0)</f>
        <v>Priya Singh</v>
      </c>
      <c r="E1100" s="34" t="s">
        <v>537</v>
      </c>
      <c r="F1100" s="34" t="str">
        <f>VLOOKUP(Sales[[#This Row],[Product ID]],Product[#All],2,0)</f>
        <v>Dell Laptop</v>
      </c>
      <c r="G1100" s="53">
        <v>5</v>
      </c>
      <c r="H1100" s="165">
        <f>VLOOKUP(Sales[[#This Row],[Product ID]],Product[#All],7,0)</f>
        <v>90420</v>
      </c>
      <c r="I1100" s="165">
        <f>Sales[[#This Row],[Selling Rate]]*Sales[[#This Row],[Qty]]</f>
        <v>452100</v>
      </c>
      <c r="J1100" s="45">
        <v>0.05</v>
      </c>
      <c r="K1100" s="46">
        <f>Sales[[#This Row],[Gross Amount]]*Sales[[#This Row],[Disc %]]</f>
        <v>22605</v>
      </c>
      <c r="L1100" s="43">
        <v>0.18</v>
      </c>
      <c r="M1100" s="46">
        <f>(Sales[[#This Row],[Gross Amount]]-Sales[[#This Row],[Disc. Amt.]])*Sales[[#This Row],[GST %]]</f>
        <v>77309.099999999991</v>
      </c>
      <c r="N1100" s="161">
        <f>Sales[[#This Row],[Gross Amount]]-Sales[[#This Row],[Disc. Amt.]]+Sales[[#This Row],[GST Amount]]</f>
        <v>506804.1</v>
      </c>
      <c r="O1100" s="34" t="s">
        <v>3569</v>
      </c>
      <c r="P1100" s="34" t="s">
        <v>3562</v>
      </c>
      <c r="Q1100" s="165">
        <f>IF(Sales[[#This Row],[Status]]="Cancelled",0,Sales[[#This Row],[Qty]])</f>
        <v>5</v>
      </c>
      <c r="R1100" s="166">
        <f>IF(Sales[[#This Row],[Status]]="Cancelled",0,Sales[[#This Row],[Total Amount]])</f>
        <v>506804.1</v>
      </c>
      <c r="S1100" s="162">
        <f>SUM(Sales[Net Amount])</f>
        <v>406839287.73200053</v>
      </c>
    </row>
    <row r="1101" spans="1:19" ht="18.75" x14ac:dyDescent="0.25">
      <c r="A1101" s="156" t="s">
        <v>4693</v>
      </c>
      <c r="B1101" s="157">
        <v>45836</v>
      </c>
      <c r="C1101" s="158" t="s">
        <v>952</v>
      </c>
      <c r="D1101" s="159" t="str">
        <f>VLOOKUP(Sales[[#This Row],[Customer ID]],Customer[#All],2,0)</f>
        <v>Pooja Singh</v>
      </c>
      <c r="E1101" s="158" t="s">
        <v>242</v>
      </c>
      <c r="F1101" s="158" t="str">
        <f>VLOOKUP(Sales[[#This Row],[Product ID]],Product[#All],2,0)</f>
        <v>HP Printer</v>
      </c>
      <c r="G1101" s="159">
        <v>2</v>
      </c>
      <c r="H1101" s="160">
        <f>VLOOKUP(Sales[[#This Row],[Product ID]],Product[#All],7,0)</f>
        <v>20380</v>
      </c>
      <c r="I1101" s="160">
        <f>Sales[[#This Row],[Selling Rate]]*Sales[[#This Row],[Qty]]</f>
        <v>40760</v>
      </c>
      <c r="J1101" s="43">
        <v>0.05</v>
      </c>
      <c r="K1101" s="44">
        <f>Sales[[#This Row],[Gross Amount]]*Sales[[#This Row],[Disc %]]</f>
        <v>2038</v>
      </c>
      <c r="L1101" s="43">
        <v>0.18</v>
      </c>
      <c r="M1101" s="44">
        <f>(Sales[[#This Row],[Gross Amount]]-Sales[[#This Row],[Disc. Amt.]])*Sales[[#This Row],[GST %]]</f>
        <v>6969.96</v>
      </c>
      <c r="N1101" s="161">
        <f>Sales[[#This Row],[Gross Amount]]-Sales[[#This Row],[Disc. Amt.]]+Sales[[#This Row],[GST Amount]]</f>
        <v>45691.96</v>
      </c>
      <c r="O1101" s="158" t="s">
        <v>8876</v>
      </c>
      <c r="P1101" s="158" t="s">
        <v>3562</v>
      </c>
      <c r="Q1101" s="160">
        <f>IF(Sales[[#This Row],[Status]]="Cancelled",0,Sales[[#This Row],[Qty]])</f>
        <v>2</v>
      </c>
      <c r="R1101" s="161">
        <f>IF(Sales[[#This Row],[Status]]="Cancelled",0,Sales[[#This Row],[Total Amount]])</f>
        <v>45691.96</v>
      </c>
      <c r="S1101" s="162">
        <f>SUM(Sales[Net Amount])</f>
        <v>406839287.73200053</v>
      </c>
    </row>
    <row r="1102" spans="1:19" ht="18.75" x14ac:dyDescent="0.25">
      <c r="A1102" s="163" t="s">
        <v>4694</v>
      </c>
      <c r="B1102" s="164">
        <v>45836</v>
      </c>
      <c r="C1102" s="34" t="s">
        <v>802</v>
      </c>
      <c r="D1102" s="53" t="str">
        <f>VLOOKUP(Sales[[#This Row],[Customer ID]],Customer[#All],2,0)</f>
        <v>Rakesh Patel</v>
      </c>
      <c r="E1102" s="34" t="s">
        <v>287</v>
      </c>
      <c r="F1102" s="34" t="str">
        <f>VLOOKUP(Sales[[#This Row],[Product ID]],Product[#All],2,0)</f>
        <v>HP Power Adapter</v>
      </c>
      <c r="G1102" s="53">
        <v>8</v>
      </c>
      <c r="H1102" s="165">
        <f>VLOOKUP(Sales[[#This Row],[Product ID]],Product[#All],7,0)</f>
        <v>2270</v>
      </c>
      <c r="I1102" s="165">
        <f>Sales[[#This Row],[Selling Rate]]*Sales[[#This Row],[Qty]]</f>
        <v>18160</v>
      </c>
      <c r="J1102" s="45">
        <v>0</v>
      </c>
      <c r="K1102" s="46">
        <f>Sales[[#This Row],[Gross Amount]]*Sales[[#This Row],[Disc %]]</f>
        <v>0</v>
      </c>
      <c r="L1102" s="43">
        <v>0.18</v>
      </c>
      <c r="M1102" s="46">
        <f>(Sales[[#This Row],[Gross Amount]]-Sales[[#This Row],[Disc. Amt.]])*Sales[[#This Row],[GST %]]</f>
        <v>3268.7999999999997</v>
      </c>
      <c r="N1102" s="161">
        <f>Sales[[#This Row],[Gross Amount]]-Sales[[#This Row],[Disc. Amt.]]+Sales[[#This Row],[GST Amount]]</f>
        <v>21428.799999999999</v>
      </c>
      <c r="O1102" s="34" t="s">
        <v>8876</v>
      </c>
      <c r="P1102" s="34" t="s">
        <v>3562</v>
      </c>
      <c r="Q1102" s="165">
        <f>IF(Sales[[#This Row],[Status]]="Cancelled",0,Sales[[#This Row],[Qty]])</f>
        <v>8</v>
      </c>
      <c r="R1102" s="166">
        <f>IF(Sales[[#This Row],[Status]]="Cancelled",0,Sales[[#This Row],[Total Amount]])</f>
        <v>21428.799999999999</v>
      </c>
      <c r="S1102" s="162">
        <f>SUM(Sales[Net Amount])</f>
        <v>406839287.73200053</v>
      </c>
    </row>
    <row r="1103" spans="1:19" ht="18.75" x14ac:dyDescent="0.25">
      <c r="A1103" s="156" t="s">
        <v>4695</v>
      </c>
      <c r="B1103" s="157">
        <v>45836</v>
      </c>
      <c r="C1103" s="158" t="s">
        <v>883</v>
      </c>
      <c r="D1103" s="159" t="str">
        <f>VLOOKUP(Sales[[#This Row],[Customer ID]],Customer[#All],2,0)</f>
        <v>Rahul Verma</v>
      </c>
      <c r="E1103" s="158" t="s">
        <v>390</v>
      </c>
      <c r="F1103" s="158" t="str">
        <f>VLOOKUP(Sales[[#This Row],[Product ID]],Product[#All],2,0)</f>
        <v>TP-link Router</v>
      </c>
      <c r="G1103" s="159">
        <v>2</v>
      </c>
      <c r="H1103" s="160">
        <f>VLOOKUP(Sales[[#This Row],[Product ID]],Product[#All],7,0)</f>
        <v>4620</v>
      </c>
      <c r="I1103" s="160">
        <f>Sales[[#This Row],[Selling Rate]]*Sales[[#This Row],[Qty]]</f>
        <v>9240</v>
      </c>
      <c r="J1103" s="43">
        <v>0.15</v>
      </c>
      <c r="K1103" s="44">
        <f>Sales[[#This Row],[Gross Amount]]*Sales[[#This Row],[Disc %]]</f>
        <v>1386</v>
      </c>
      <c r="L1103" s="43">
        <v>0.18</v>
      </c>
      <c r="M1103" s="44">
        <f>(Sales[[#This Row],[Gross Amount]]-Sales[[#This Row],[Disc. Amt.]])*Sales[[#This Row],[GST %]]</f>
        <v>1413.72</v>
      </c>
      <c r="N1103" s="161">
        <f>Sales[[#This Row],[Gross Amount]]-Sales[[#This Row],[Disc. Amt.]]+Sales[[#This Row],[GST Amount]]</f>
        <v>9267.7199999999993</v>
      </c>
      <c r="O1103" s="158" t="s">
        <v>3561</v>
      </c>
      <c r="P1103" s="158" t="s">
        <v>3562</v>
      </c>
      <c r="Q1103" s="160">
        <f>IF(Sales[[#This Row],[Status]]="Cancelled",0,Sales[[#This Row],[Qty]])</f>
        <v>2</v>
      </c>
      <c r="R1103" s="161">
        <f>IF(Sales[[#This Row],[Status]]="Cancelled",0,Sales[[#This Row],[Total Amount]])</f>
        <v>9267.7199999999993</v>
      </c>
      <c r="S1103" s="162">
        <f>SUM(Sales[Net Amount])</f>
        <v>406839287.73200053</v>
      </c>
    </row>
    <row r="1104" spans="1:19" ht="18.75" x14ac:dyDescent="0.25">
      <c r="A1104" s="163" t="s">
        <v>4696</v>
      </c>
      <c r="B1104" s="164">
        <v>45836</v>
      </c>
      <c r="C1104" s="34" t="s">
        <v>906</v>
      </c>
      <c r="D1104" s="53" t="str">
        <f>VLOOKUP(Sales[[#This Row],[Customer ID]],Customer[#All],2,0)</f>
        <v>Ankit Sharma</v>
      </c>
      <c r="E1104" s="34" t="s">
        <v>460</v>
      </c>
      <c r="F1104" s="34" t="str">
        <f>VLOOKUP(Sales[[#This Row],[Product ID]],Product[#All],2,0)</f>
        <v>Logitech Keyboard</v>
      </c>
      <c r="G1104" s="53">
        <v>5</v>
      </c>
      <c r="H1104" s="165">
        <f>VLOOKUP(Sales[[#This Row],[Product ID]],Product[#All],7,0)</f>
        <v>3050</v>
      </c>
      <c r="I1104" s="165">
        <f>Sales[[#This Row],[Selling Rate]]*Sales[[#This Row],[Qty]]</f>
        <v>15250</v>
      </c>
      <c r="J1104" s="45">
        <v>0.05</v>
      </c>
      <c r="K1104" s="46">
        <f>Sales[[#This Row],[Gross Amount]]*Sales[[#This Row],[Disc %]]</f>
        <v>762.5</v>
      </c>
      <c r="L1104" s="43">
        <v>0.18</v>
      </c>
      <c r="M1104" s="46">
        <f>(Sales[[#This Row],[Gross Amount]]-Sales[[#This Row],[Disc. Amt.]])*Sales[[#This Row],[GST %]]</f>
        <v>2607.75</v>
      </c>
      <c r="N1104" s="161">
        <f>Sales[[#This Row],[Gross Amount]]-Sales[[#This Row],[Disc. Amt.]]+Sales[[#This Row],[GST Amount]]</f>
        <v>17095.25</v>
      </c>
      <c r="O1104" s="34" t="s">
        <v>3569</v>
      </c>
      <c r="P1104" s="34" t="s">
        <v>3562</v>
      </c>
      <c r="Q1104" s="165">
        <f>IF(Sales[[#This Row],[Status]]="Cancelled",0,Sales[[#This Row],[Qty]])</f>
        <v>5</v>
      </c>
      <c r="R1104" s="166">
        <f>IF(Sales[[#This Row],[Status]]="Cancelled",0,Sales[[#This Row],[Total Amount]])</f>
        <v>17095.25</v>
      </c>
      <c r="S1104" s="162">
        <f>SUM(Sales[Net Amount])</f>
        <v>406839287.73200053</v>
      </c>
    </row>
    <row r="1105" spans="1:19" ht="18.75" x14ac:dyDescent="0.25">
      <c r="A1105" s="156" t="s">
        <v>4697</v>
      </c>
      <c r="B1105" s="157">
        <v>45836</v>
      </c>
      <c r="C1105" s="158" t="s">
        <v>829</v>
      </c>
      <c r="D1105" s="159" t="str">
        <f>VLOOKUP(Sales[[#This Row],[Customer ID]],Customer[#All],2,0)</f>
        <v>Pooja Patel</v>
      </c>
      <c r="E1105" s="158" t="s">
        <v>284</v>
      </c>
      <c r="F1105" s="158" t="str">
        <f>VLOOKUP(Sales[[#This Row],[Product ID]],Product[#All],2,0)</f>
        <v>TP-link Bluetooth Adapter</v>
      </c>
      <c r="G1105" s="159">
        <v>1</v>
      </c>
      <c r="H1105" s="160">
        <f>VLOOKUP(Sales[[#This Row],[Product ID]],Product[#All],7,0)</f>
        <v>1750</v>
      </c>
      <c r="I1105" s="160">
        <f>Sales[[#This Row],[Selling Rate]]*Sales[[#This Row],[Qty]]</f>
        <v>1750</v>
      </c>
      <c r="J1105" s="43">
        <v>0.15</v>
      </c>
      <c r="K1105" s="44">
        <f>Sales[[#This Row],[Gross Amount]]*Sales[[#This Row],[Disc %]]</f>
        <v>262.5</v>
      </c>
      <c r="L1105" s="43">
        <v>0.18</v>
      </c>
      <c r="M1105" s="44">
        <f>(Sales[[#This Row],[Gross Amount]]-Sales[[#This Row],[Disc. Amt.]])*Sales[[#This Row],[GST %]]</f>
        <v>267.75</v>
      </c>
      <c r="N1105" s="161">
        <f>Sales[[#This Row],[Gross Amount]]-Sales[[#This Row],[Disc. Amt.]]+Sales[[#This Row],[GST Amount]]</f>
        <v>1755.25</v>
      </c>
      <c r="O1105" s="158" t="s">
        <v>3569</v>
      </c>
      <c r="P1105" s="158" t="s">
        <v>3562</v>
      </c>
      <c r="Q1105" s="160">
        <f>IF(Sales[[#This Row],[Status]]="Cancelled",0,Sales[[#This Row],[Qty]])</f>
        <v>1</v>
      </c>
      <c r="R1105" s="161">
        <f>IF(Sales[[#This Row],[Status]]="Cancelled",0,Sales[[#This Row],[Total Amount]])</f>
        <v>1755.25</v>
      </c>
      <c r="S1105" s="162">
        <f>SUM(Sales[Net Amount])</f>
        <v>406839287.73200053</v>
      </c>
    </row>
    <row r="1106" spans="1:19" ht="18.75" x14ac:dyDescent="0.25">
      <c r="A1106" s="163" t="s">
        <v>4698</v>
      </c>
      <c r="B1106" s="164">
        <v>45837</v>
      </c>
      <c r="C1106" s="34" t="s">
        <v>862</v>
      </c>
      <c r="D1106" s="53" t="str">
        <f>VLOOKUP(Sales[[#This Row],[Customer ID]],Customer[#All],2,0)</f>
        <v>Rakesh Sharma</v>
      </c>
      <c r="E1106" s="34" t="s">
        <v>447</v>
      </c>
      <c r="F1106" s="34" t="str">
        <f>VLOOKUP(Sales[[#This Row],[Product ID]],Product[#All],2,0)</f>
        <v>PortronicsLaptopStand</v>
      </c>
      <c r="G1106" s="53">
        <v>4</v>
      </c>
      <c r="H1106" s="165">
        <f>VLOOKUP(Sales[[#This Row],[Product ID]],Product[#All],7,0)</f>
        <v>2830</v>
      </c>
      <c r="I1106" s="165">
        <f>Sales[[#This Row],[Selling Rate]]*Sales[[#This Row],[Qty]]</f>
        <v>11320</v>
      </c>
      <c r="J1106" s="45">
        <v>0.12</v>
      </c>
      <c r="K1106" s="46">
        <f>Sales[[#This Row],[Gross Amount]]*Sales[[#This Row],[Disc %]]</f>
        <v>1358.3999999999999</v>
      </c>
      <c r="L1106" s="43">
        <v>0.18</v>
      </c>
      <c r="M1106" s="46">
        <f>(Sales[[#This Row],[Gross Amount]]-Sales[[#This Row],[Disc. Amt.]])*Sales[[#This Row],[GST %]]</f>
        <v>1793.088</v>
      </c>
      <c r="N1106" s="161">
        <f>Sales[[#This Row],[Gross Amount]]-Sales[[#This Row],[Disc. Amt.]]+Sales[[#This Row],[GST Amount]]</f>
        <v>11754.688</v>
      </c>
      <c r="O1106" s="34" t="s">
        <v>3561</v>
      </c>
      <c r="P1106" s="34" t="s">
        <v>3562</v>
      </c>
      <c r="Q1106" s="165">
        <f>IF(Sales[[#This Row],[Status]]="Cancelled",0,Sales[[#This Row],[Qty]])</f>
        <v>4</v>
      </c>
      <c r="R1106" s="166">
        <f>IF(Sales[[#This Row],[Status]]="Cancelled",0,Sales[[#This Row],[Total Amount]])</f>
        <v>11754.688</v>
      </c>
      <c r="S1106" s="162">
        <f>SUM(Sales[Net Amount])</f>
        <v>406839287.73200053</v>
      </c>
    </row>
    <row r="1107" spans="1:19" ht="18.75" x14ac:dyDescent="0.25">
      <c r="A1107" s="156" t="s">
        <v>4699</v>
      </c>
      <c r="B1107" s="157">
        <v>45837</v>
      </c>
      <c r="C1107" s="158" t="s">
        <v>4617</v>
      </c>
      <c r="D1107" s="159" t="str">
        <f>VLOOKUP(Sales[[#This Row],[Customer ID]],Customer[#All],2,0)</f>
        <v>Sahil Kumar</v>
      </c>
      <c r="E1107" s="158" t="s">
        <v>118</v>
      </c>
      <c r="F1107" s="158" t="str">
        <f>VLOOKUP(Sales[[#This Row],[Product ID]],Product[#All],2,0)</f>
        <v>American TouristerLaptopBag</v>
      </c>
      <c r="G1107" s="159">
        <v>5</v>
      </c>
      <c r="H1107" s="160">
        <f>VLOOKUP(Sales[[#This Row],[Product ID]],Product[#All],7,0)</f>
        <v>4160</v>
      </c>
      <c r="I1107" s="160">
        <f>Sales[[#This Row],[Selling Rate]]*Sales[[#This Row],[Qty]]</f>
        <v>20800</v>
      </c>
      <c r="J1107" s="43">
        <v>0.1</v>
      </c>
      <c r="K1107" s="44">
        <f>Sales[[#This Row],[Gross Amount]]*Sales[[#This Row],[Disc %]]</f>
        <v>2080</v>
      </c>
      <c r="L1107" s="43">
        <v>0.18</v>
      </c>
      <c r="M1107" s="44">
        <f>(Sales[[#This Row],[Gross Amount]]-Sales[[#This Row],[Disc. Amt.]])*Sales[[#This Row],[GST %]]</f>
        <v>3369.6</v>
      </c>
      <c r="N1107" s="161">
        <f>Sales[[#This Row],[Gross Amount]]-Sales[[#This Row],[Disc. Amt.]]+Sales[[#This Row],[GST Amount]]</f>
        <v>22089.599999999999</v>
      </c>
      <c r="O1107" s="158" t="s">
        <v>3569</v>
      </c>
      <c r="P1107" s="158" t="s">
        <v>3562</v>
      </c>
      <c r="Q1107" s="160">
        <f>IF(Sales[[#This Row],[Status]]="Cancelled",0,Sales[[#This Row],[Qty]])</f>
        <v>5</v>
      </c>
      <c r="R1107" s="161">
        <f>IF(Sales[[#This Row],[Status]]="Cancelled",0,Sales[[#This Row],[Total Amount]])</f>
        <v>22089.599999999999</v>
      </c>
      <c r="S1107" s="162">
        <f>SUM(Sales[Net Amount])</f>
        <v>406839287.73200053</v>
      </c>
    </row>
    <row r="1108" spans="1:19" ht="18.75" x14ac:dyDescent="0.25">
      <c r="A1108" s="163" t="s">
        <v>4700</v>
      </c>
      <c r="B1108" s="164">
        <v>45837</v>
      </c>
      <c r="C1108" s="34" t="s">
        <v>817</v>
      </c>
      <c r="D1108" s="53" t="str">
        <f>VLOOKUP(Sales[[#This Row],[Customer ID]],Customer[#All],2,0)</f>
        <v>Ankit Patel</v>
      </c>
      <c r="E1108" s="34" t="s">
        <v>206</v>
      </c>
      <c r="F1108" s="34" t="str">
        <f>VLOOKUP(Sales[[#This Row],[Product ID]],Product[#All],2,0)</f>
        <v>Dell Power Adapter</v>
      </c>
      <c r="G1108" s="53">
        <v>4</v>
      </c>
      <c r="H1108" s="165">
        <f>VLOOKUP(Sales[[#This Row],[Product ID]],Product[#All],7,0)</f>
        <v>2490</v>
      </c>
      <c r="I1108" s="165">
        <f>Sales[[#This Row],[Selling Rate]]*Sales[[#This Row],[Qty]]</f>
        <v>9960</v>
      </c>
      <c r="J1108" s="45">
        <v>0</v>
      </c>
      <c r="K1108" s="46">
        <f>Sales[[#This Row],[Gross Amount]]*Sales[[#This Row],[Disc %]]</f>
        <v>0</v>
      </c>
      <c r="L1108" s="43">
        <v>0.18</v>
      </c>
      <c r="M1108" s="46">
        <f>(Sales[[#This Row],[Gross Amount]]-Sales[[#This Row],[Disc. Amt.]])*Sales[[#This Row],[GST %]]</f>
        <v>1792.8</v>
      </c>
      <c r="N1108" s="161">
        <f>Sales[[#This Row],[Gross Amount]]-Sales[[#This Row],[Disc. Amt.]]+Sales[[#This Row],[GST Amount]]</f>
        <v>11752.8</v>
      </c>
      <c r="O1108" s="34" t="s">
        <v>8876</v>
      </c>
      <c r="P1108" s="34" t="s">
        <v>3562</v>
      </c>
      <c r="Q1108" s="165">
        <f>IF(Sales[[#This Row],[Status]]="Cancelled",0,Sales[[#This Row],[Qty]])</f>
        <v>4</v>
      </c>
      <c r="R1108" s="166">
        <f>IF(Sales[[#This Row],[Status]]="Cancelled",0,Sales[[#This Row],[Total Amount]])</f>
        <v>11752.8</v>
      </c>
      <c r="S1108" s="162">
        <f>SUM(Sales[Net Amount])</f>
        <v>406839287.73200053</v>
      </c>
    </row>
    <row r="1109" spans="1:19" ht="18.75" x14ac:dyDescent="0.25">
      <c r="A1109" s="156" t="s">
        <v>4701</v>
      </c>
      <c r="B1109" s="157">
        <v>45837</v>
      </c>
      <c r="C1109" s="158" t="s">
        <v>932</v>
      </c>
      <c r="D1109" s="159" t="str">
        <f>VLOOKUP(Sales[[#This Row],[Customer ID]],Customer[#All],2,0)</f>
        <v>Vikas Gupta</v>
      </c>
      <c r="E1109" s="158" t="s">
        <v>225</v>
      </c>
      <c r="F1109" s="158" t="str">
        <f>VLOOKUP(Sales[[#This Row],[Product ID]],Product[#All],2,0)</f>
        <v>Sandisk Pen Drive</v>
      </c>
      <c r="G1109" s="159">
        <v>4</v>
      </c>
      <c r="H1109" s="160">
        <f>VLOOKUP(Sales[[#This Row],[Product ID]],Product[#All],7,0)</f>
        <v>3430</v>
      </c>
      <c r="I1109" s="160">
        <f>Sales[[#This Row],[Selling Rate]]*Sales[[#This Row],[Qty]]</f>
        <v>13720</v>
      </c>
      <c r="J1109" s="43">
        <v>0.12</v>
      </c>
      <c r="K1109" s="44">
        <f>Sales[[#This Row],[Gross Amount]]*Sales[[#This Row],[Disc %]]</f>
        <v>1646.3999999999999</v>
      </c>
      <c r="L1109" s="43">
        <v>0.18</v>
      </c>
      <c r="M1109" s="44">
        <f>(Sales[[#This Row],[Gross Amount]]-Sales[[#This Row],[Disc. Amt.]])*Sales[[#This Row],[GST %]]</f>
        <v>2173.248</v>
      </c>
      <c r="N1109" s="161">
        <f>Sales[[#This Row],[Gross Amount]]-Sales[[#This Row],[Disc. Amt.]]+Sales[[#This Row],[GST Amount]]</f>
        <v>14246.848</v>
      </c>
      <c r="O1109" s="158" t="s">
        <v>3566</v>
      </c>
      <c r="P1109" s="158" t="s">
        <v>3562</v>
      </c>
      <c r="Q1109" s="160">
        <f>IF(Sales[[#This Row],[Status]]="Cancelled",0,Sales[[#This Row],[Qty]])</f>
        <v>4</v>
      </c>
      <c r="R1109" s="161">
        <f>IF(Sales[[#This Row],[Status]]="Cancelled",0,Sales[[#This Row],[Total Amount]])</f>
        <v>14246.848</v>
      </c>
      <c r="S1109" s="162">
        <f>SUM(Sales[Net Amount])</f>
        <v>406839287.73200053</v>
      </c>
    </row>
    <row r="1110" spans="1:19" ht="18.75" x14ac:dyDescent="0.25">
      <c r="A1110" s="163" t="s">
        <v>4702</v>
      </c>
      <c r="B1110" s="164">
        <v>45837</v>
      </c>
      <c r="C1110" s="34" t="s">
        <v>678</v>
      </c>
      <c r="D1110" s="53" t="str">
        <f>VLOOKUP(Sales[[#This Row],[Customer ID]],Customer[#All],2,0)</f>
        <v>Ankit Gupta</v>
      </c>
      <c r="E1110" s="34" t="s">
        <v>139</v>
      </c>
      <c r="F1110" s="34" t="str">
        <f>VLOOKUP(Sales[[#This Row],[Product ID]],Product[#All],2,0)</f>
        <v>HP Printer</v>
      </c>
      <c r="G1110" s="53">
        <v>3</v>
      </c>
      <c r="H1110" s="165">
        <f>VLOOKUP(Sales[[#This Row],[Product ID]],Product[#All],7,0)</f>
        <v>25260</v>
      </c>
      <c r="I1110" s="165">
        <f>Sales[[#This Row],[Selling Rate]]*Sales[[#This Row],[Qty]]</f>
        <v>75780</v>
      </c>
      <c r="J1110" s="45">
        <v>0.12</v>
      </c>
      <c r="K1110" s="46">
        <f>Sales[[#This Row],[Gross Amount]]*Sales[[#This Row],[Disc %]]</f>
        <v>9093.6</v>
      </c>
      <c r="L1110" s="43">
        <v>0.18</v>
      </c>
      <c r="M1110" s="46">
        <f>(Sales[[#This Row],[Gross Amount]]-Sales[[#This Row],[Disc. Amt.]])*Sales[[#This Row],[GST %]]</f>
        <v>12003.551999999998</v>
      </c>
      <c r="N1110" s="161">
        <f>Sales[[#This Row],[Gross Amount]]-Sales[[#This Row],[Disc. Amt.]]+Sales[[#This Row],[GST Amount]]</f>
        <v>78689.95199999999</v>
      </c>
      <c r="O1110" s="34" t="s">
        <v>3561</v>
      </c>
      <c r="P1110" s="34" t="s">
        <v>3562</v>
      </c>
      <c r="Q1110" s="165">
        <f>IF(Sales[[#This Row],[Status]]="Cancelled",0,Sales[[#This Row],[Qty]])</f>
        <v>3</v>
      </c>
      <c r="R1110" s="166">
        <f>IF(Sales[[#This Row],[Status]]="Cancelled",0,Sales[[#This Row],[Total Amount]])</f>
        <v>78689.95199999999</v>
      </c>
      <c r="S1110" s="162">
        <f>SUM(Sales[Net Amount])</f>
        <v>406839287.73200053</v>
      </c>
    </row>
    <row r="1111" spans="1:19" ht="18.75" x14ac:dyDescent="0.25">
      <c r="A1111" s="156" t="s">
        <v>4703</v>
      </c>
      <c r="B1111" s="157">
        <v>45837</v>
      </c>
      <c r="C1111" s="158" t="s">
        <v>793</v>
      </c>
      <c r="D1111" s="159" t="str">
        <f>VLOOKUP(Sales[[#This Row],[Customer ID]],Customer[#All],2,0)</f>
        <v>Neha Verma</v>
      </c>
      <c r="E1111" s="158" t="s">
        <v>408</v>
      </c>
      <c r="F1111" s="158" t="str">
        <f>VLOOKUP(Sales[[#This Row],[Product ID]],Product[#All],2,0)</f>
        <v>HP Laptop</v>
      </c>
      <c r="G1111" s="159">
        <v>6</v>
      </c>
      <c r="H1111" s="160">
        <f>VLOOKUP(Sales[[#This Row],[Product ID]],Product[#All],7,0)</f>
        <v>93130</v>
      </c>
      <c r="I1111" s="160">
        <f>Sales[[#This Row],[Selling Rate]]*Sales[[#This Row],[Qty]]</f>
        <v>558780</v>
      </c>
      <c r="J1111" s="43">
        <v>0.05</v>
      </c>
      <c r="K1111" s="44">
        <f>Sales[[#This Row],[Gross Amount]]*Sales[[#This Row],[Disc %]]</f>
        <v>27939</v>
      </c>
      <c r="L1111" s="43">
        <v>0.18</v>
      </c>
      <c r="M1111" s="44">
        <f>(Sales[[#This Row],[Gross Amount]]-Sales[[#This Row],[Disc. Amt.]])*Sales[[#This Row],[GST %]]</f>
        <v>95551.37999999999</v>
      </c>
      <c r="N1111" s="161">
        <f>Sales[[#This Row],[Gross Amount]]-Sales[[#This Row],[Disc. Amt.]]+Sales[[#This Row],[GST Amount]]</f>
        <v>626392.38</v>
      </c>
      <c r="O1111" s="158" t="s">
        <v>3569</v>
      </c>
      <c r="P1111" s="158" t="s">
        <v>3562</v>
      </c>
      <c r="Q1111" s="160">
        <f>IF(Sales[[#This Row],[Status]]="Cancelled",0,Sales[[#This Row],[Qty]])</f>
        <v>6</v>
      </c>
      <c r="R1111" s="161">
        <f>IF(Sales[[#This Row],[Status]]="Cancelled",0,Sales[[#This Row],[Total Amount]])</f>
        <v>626392.38</v>
      </c>
      <c r="S1111" s="162">
        <f>SUM(Sales[Net Amount])</f>
        <v>406839287.73200053</v>
      </c>
    </row>
    <row r="1112" spans="1:19" ht="18.75" x14ac:dyDescent="0.25">
      <c r="A1112" s="163" t="s">
        <v>4704</v>
      </c>
      <c r="B1112" s="164">
        <v>45837</v>
      </c>
      <c r="C1112" s="34" t="s">
        <v>699</v>
      </c>
      <c r="D1112" s="53" t="str">
        <f>VLOOKUP(Sales[[#This Row],[Customer ID]],Customer[#All],2,0)</f>
        <v>Amit Singh</v>
      </c>
      <c r="E1112" s="34" t="s">
        <v>110</v>
      </c>
      <c r="F1112" s="34" t="str">
        <f>VLOOKUP(Sales[[#This Row],[Product ID]],Product[#All],2,0)</f>
        <v>Lenovo Laptop</v>
      </c>
      <c r="G1112" s="53">
        <v>5</v>
      </c>
      <c r="H1112" s="165">
        <f>VLOOKUP(Sales[[#This Row],[Product ID]],Product[#All],7,0)</f>
        <v>66670</v>
      </c>
      <c r="I1112" s="165">
        <f>Sales[[#This Row],[Selling Rate]]*Sales[[#This Row],[Qty]]</f>
        <v>333350</v>
      </c>
      <c r="J1112" s="45">
        <v>0</v>
      </c>
      <c r="K1112" s="46">
        <f>Sales[[#This Row],[Gross Amount]]*Sales[[#This Row],[Disc %]]</f>
        <v>0</v>
      </c>
      <c r="L1112" s="43">
        <v>0.18</v>
      </c>
      <c r="M1112" s="46">
        <f>(Sales[[#This Row],[Gross Amount]]-Sales[[#This Row],[Disc. Amt.]])*Sales[[#This Row],[GST %]]</f>
        <v>60003</v>
      </c>
      <c r="N1112" s="161">
        <f>Sales[[#This Row],[Gross Amount]]-Sales[[#This Row],[Disc. Amt.]]+Sales[[#This Row],[GST Amount]]</f>
        <v>393353</v>
      </c>
      <c r="O1112" s="34" t="s">
        <v>3566</v>
      </c>
      <c r="P1112" s="34" t="s">
        <v>3562</v>
      </c>
      <c r="Q1112" s="165">
        <f>IF(Sales[[#This Row],[Status]]="Cancelled",0,Sales[[#This Row],[Qty]])</f>
        <v>5</v>
      </c>
      <c r="R1112" s="166">
        <f>IF(Sales[[#This Row],[Status]]="Cancelled",0,Sales[[#This Row],[Total Amount]])</f>
        <v>393353</v>
      </c>
      <c r="S1112" s="162">
        <f>SUM(Sales[Net Amount])</f>
        <v>406839287.73200053</v>
      </c>
    </row>
    <row r="1113" spans="1:19" ht="18.75" x14ac:dyDescent="0.25">
      <c r="A1113" s="156" t="s">
        <v>4705</v>
      </c>
      <c r="B1113" s="157">
        <v>45837</v>
      </c>
      <c r="C1113" s="158" t="s">
        <v>682</v>
      </c>
      <c r="D1113" s="159" t="str">
        <f>VLOOKUP(Sales[[#This Row],[Customer ID]],Customer[#All],2,0)</f>
        <v>Rahul Sharma</v>
      </c>
      <c r="E1113" s="158" t="s">
        <v>464</v>
      </c>
      <c r="F1113" s="158" t="str">
        <f>VLOOKUP(Sales[[#This Row],[Product ID]],Product[#All],2,0)</f>
        <v>Lg Monitor</v>
      </c>
      <c r="G1113" s="159">
        <v>6</v>
      </c>
      <c r="H1113" s="160">
        <f>VLOOKUP(Sales[[#This Row],[Product ID]],Product[#All],7,0)</f>
        <v>27140</v>
      </c>
      <c r="I1113" s="160">
        <f>Sales[[#This Row],[Selling Rate]]*Sales[[#This Row],[Qty]]</f>
        <v>162840</v>
      </c>
      <c r="J1113" s="43">
        <v>0.15</v>
      </c>
      <c r="K1113" s="44">
        <f>Sales[[#This Row],[Gross Amount]]*Sales[[#This Row],[Disc %]]</f>
        <v>24426</v>
      </c>
      <c r="L1113" s="43">
        <v>0.18</v>
      </c>
      <c r="M1113" s="44">
        <f>(Sales[[#This Row],[Gross Amount]]-Sales[[#This Row],[Disc. Amt.]])*Sales[[#This Row],[GST %]]</f>
        <v>24914.52</v>
      </c>
      <c r="N1113" s="161">
        <f>Sales[[#This Row],[Gross Amount]]-Sales[[#This Row],[Disc. Amt.]]+Sales[[#This Row],[GST Amount]]</f>
        <v>163328.51999999999</v>
      </c>
      <c r="O1113" s="158" t="s">
        <v>8876</v>
      </c>
      <c r="P1113" s="158" t="s">
        <v>3562</v>
      </c>
      <c r="Q1113" s="160">
        <f>IF(Sales[[#This Row],[Status]]="Cancelled",0,Sales[[#This Row],[Qty]])</f>
        <v>6</v>
      </c>
      <c r="R1113" s="161">
        <f>IF(Sales[[#This Row],[Status]]="Cancelled",0,Sales[[#This Row],[Total Amount]])</f>
        <v>163328.51999999999</v>
      </c>
      <c r="S1113" s="162">
        <f>SUM(Sales[Net Amount])</f>
        <v>406839287.73200053</v>
      </c>
    </row>
    <row r="1114" spans="1:19" ht="18.75" x14ac:dyDescent="0.25">
      <c r="A1114" s="163" t="s">
        <v>4706</v>
      </c>
      <c r="B1114" s="164">
        <v>45837</v>
      </c>
      <c r="C1114" s="34" t="s">
        <v>843</v>
      </c>
      <c r="D1114" s="53" t="str">
        <f>VLOOKUP(Sales[[#This Row],[Customer ID]],Customer[#All],2,0)</f>
        <v>Amit Verma</v>
      </c>
      <c r="E1114" s="34" t="s">
        <v>43</v>
      </c>
      <c r="F1114" s="34" t="str">
        <f>VLOOKUP(Sales[[#This Row],[Product ID]],Product[#All],2,0)</f>
        <v>Jbl Speaker</v>
      </c>
      <c r="G1114" s="53">
        <v>1</v>
      </c>
      <c r="H1114" s="165">
        <f>VLOOKUP(Sales[[#This Row],[Product ID]],Product[#All],7,0)</f>
        <v>11310</v>
      </c>
      <c r="I1114" s="165">
        <f>Sales[[#This Row],[Selling Rate]]*Sales[[#This Row],[Qty]]</f>
        <v>11310</v>
      </c>
      <c r="J1114" s="45">
        <v>0.12</v>
      </c>
      <c r="K1114" s="46">
        <f>Sales[[#This Row],[Gross Amount]]*Sales[[#This Row],[Disc %]]</f>
        <v>1357.2</v>
      </c>
      <c r="L1114" s="43">
        <v>0.18</v>
      </c>
      <c r="M1114" s="46">
        <f>(Sales[[#This Row],[Gross Amount]]-Sales[[#This Row],[Disc. Amt.]])*Sales[[#This Row],[GST %]]</f>
        <v>1791.5039999999999</v>
      </c>
      <c r="N1114" s="161">
        <f>Sales[[#This Row],[Gross Amount]]-Sales[[#This Row],[Disc. Amt.]]+Sales[[#This Row],[GST Amount]]</f>
        <v>11744.304</v>
      </c>
      <c r="O1114" s="34" t="s">
        <v>3569</v>
      </c>
      <c r="P1114" s="34" t="s">
        <v>3562</v>
      </c>
      <c r="Q1114" s="165">
        <f>IF(Sales[[#This Row],[Status]]="Cancelled",0,Sales[[#This Row],[Qty]])</f>
        <v>1</v>
      </c>
      <c r="R1114" s="166">
        <f>IF(Sales[[#This Row],[Status]]="Cancelled",0,Sales[[#This Row],[Total Amount]])</f>
        <v>11744.304</v>
      </c>
      <c r="S1114" s="162">
        <f>SUM(Sales[Net Amount])</f>
        <v>406839287.73200053</v>
      </c>
    </row>
    <row r="1115" spans="1:19" ht="18.75" x14ac:dyDescent="0.25">
      <c r="A1115" s="156" t="s">
        <v>4707</v>
      </c>
      <c r="B1115" s="157">
        <v>45837</v>
      </c>
      <c r="C1115" s="158" t="s">
        <v>689</v>
      </c>
      <c r="D1115" s="159" t="str">
        <f>VLOOKUP(Sales[[#This Row],[Customer ID]],Customer[#All],2,0)</f>
        <v>Sahil Kumar</v>
      </c>
      <c r="E1115" s="158" t="s">
        <v>219</v>
      </c>
      <c r="F1115" s="158" t="str">
        <f>VLOOKUP(Sales[[#This Row],[Product ID]],Product[#All],2,0)</f>
        <v>Samsung Monitor</v>
      </c>
      <c r="G1115" s="159">
        <v>5</v>
      </c>
      <c r="H1115" s="160">
        <f>VLOOKUP(Sales[[#This Row],[Product ID]],Product[#All],7,0)</f>
        <v>22630</v>
      </c>
      <c r="I1115" s="160">
        <f>Sales[[#This Row],[Selling Rate]]*Sales[[#This Row],[Qty]]</f>
        <v>113150</v>
      </c>
      <c r="J1115" s="43">
        <v>0.12</v>
      </c>
      <c r="K1115" s="44">
        <f>Sales[[#This Row],[Gross Amount]]*Sales[[#This Row],[Disc %]]</f>
        <v>13578</v>
      </c>
      <c r="L1115" s="43">
        <v>0.18</v>
      </c>
      <c r="M1115" s="44">
        <f>(Sales[[#This Row],[Gross Amount]]-Sales[[#This Row],[Disc. Amt.]])*Sales[[#This Row],[GST %]]</f>
        <v>17922.96</v>
      </c>
      <c r="N1115" s="161">
        <f>Sales[[#This Row],[Gross Amount]]-Sales[[#This Row],[Disc. Amt.]]+Sales[[#This Row],[GST Amount]]</f>
        <v>117494.95999999999</v>
      </c>
      <c r="O1115" s="158" t="s">
        <v>3566</v>
      </c>
      <c r="P1115" s="158" t="s">
        <v>3562</v>
      </c>
      <c r="Q1115" s="160">
        <f>IF(Sales[[#This Row],[Status]]="Cancelled",0,Sales[[#This Row],[Qty]])</f>
        <v>5</v>
      </c>
      <c r="R1115" s="161">
        <f>IF(Sales[[#This Row],[Status]]="Cancelled",0,Sales[[#This Row],[Total Amount]])</f>
        <v>117494.95999999999</v>
      </c>
      <c r="S1115" s="162">
        <f>SUM(Sales[Net Amount])</f>
        <v>406839287.73200053</v>
      </c>
    </row>
    <row r="1116" spans="1:19" ht="18.75" x14ac:dyDescent="0.25">
      <c r="A1116" s="163" t="s">
        <v>4708</v>
      </c>
      <c r="B1116" s="164">
        <v>45837</v>
      </c>
      <c r="C1116" s="34" t="s">
        <v>727</v>
      </c>
      <c r="D1116" s="53" t="str">
        <f>VLOOKUP(Sales[[#This Row],[Customer ID]],Customer[#All],2,0)</f>
        <v>Sahil Sharma</v>
      </c>
      <c r="E1116" s="34" t="s">
        <v>193</v>
      </c>
      <c r="F1116" s="34" t="str">
        <f>VLOOKUP(Sales[[#This Row],[Product ID]],Product[#All],2,0)</f>
        <v>Apc UPS</v>
      </c>
      <c r="G1116" s="53">
        <v>5</v>
      </c>
      <c r="H1116" s="165">
        <f>VLOOKUP(Sales[[#This Row],[Product ID]],Product[#All],7,0)</f>
        <v>18760</v>
      </c>
      <c r="I1116" s="165">
        <f>Sales[[#This Row],[Selling Rate]]*Sales[[#This Row],[Qty]]</f>
        <v>93800</v>
      </c>
      <c r="J1116" s="45">
        <v>0.02</v>
      </c>
      <c r="K1116" s="46">
        <f>Sales[[#This Row],[Gross Amount]]*Sales[[#This Row],[Disc %]]</f>
        <v>1876</v>
      </c>
      <c r="L1116" s="43">
        <v>0.18</v>
      </c>
      <c r="M1116" s="46">
        <f>(Sales[[#This Row],[Gross Amount]]-Sales[[#This Row],[Disc. Amt.]])*Sales[[#This Row],[GST %]]</f>
        <v>16546.32</v>
      </c>
      <c r="N1116" s="161">
        <f>Sales[[#This Row],[Gross Amount]]-Sales[[#This Row],[Disc. Amt.]]+Sales[[#This Row],[GST Amount]]</f>
        <v>108470.32</v>
      </c>
      <c r="O1116" s="34" t="s">
        <v>3566</v>
      </c>
      <c r="P1116" s="34" t="s">
        <v>3562</v>
      </c>
      <c r="Q1116" s="165">
        <f>IF(Sales[[#This Row],[Status]]="Cancelled",0,Sales[[#This Row],[Qty]])</f>
        <v>5</v>
      </c>
      <c r="R1116" s="166">
        <f>IF(Sales[[#This Row],[Status]]="Cancelled",0,Sales[[#This Row],[Total Amount]])</f>
        <v>108470.32</v>
      </c>
      <c r="S1116" s="162">
        <f>SUM(Sales[Net Amount])</f>
        <v>406839287.73200053</v>
      </c>
    </row>
    <row r="1117" spans="1:19" ht="18.75" x14ac:dyDescent="0.25">
      <c r="A1117" s="156" t="s">
        <v>4709</v>
      </c>
      <c r="B1117" s="157">
        <v>45837</v>
      </c>
      <c r="C1117" s="158" t="s">
        <v>659</v>
      </c>
      <c r="D1117" s="159" t="str">
        <f>VLOOKUP(Sales[[#This Row],[Customer ID]],Customer[#All],2,0)</f>
        <v>Rakesh Sharma</v>
      </c>
      <c r="E1117" s="158" t="s">
        <v>351</v>
      </c>
      <c r="F1117" s="158" t="str">
        <f>VLOOKUP(Sales[[#This Row],[Product ID]],Product[#All],2,0)</f>
        <v>Logitech Mouse</v>
      </c>
      <c r="G1117" s="159">
        <v>6</v>
      </c>
      <c r="H1117" s="160">
        <f>VLOOKUP(Sales[[#This Row],[Product ID]],Product[#All],7,0)</f>
        <v>2130</v>
      </c>
      <c r="I1117" s="160">
        <f>Sales[[#This Row],[Selling Rate]]*Sales[[#This Row],[Qty]]</f>
        <v>12780</v>
      </c>
      <c r="J1117" s="43">
        <v>0.05</v>
      </c>
      <c r="K1117" s="44">
        <f>Sales[[#This Row],[Gross Amount]]*Sales[[#This Row],[Disc %]]</f>
        <v>639</v>
      </c>
      <c r="L1117" s="43">
        <v>0.18</v>
      </c>
      <c r="M1117" s="44">
        <f>(Sales[[#This Row],[Gross Amount]]-Sales[[#This Row],[Disc. Amt.]])*Sales[[#This Row],[GST %]]</f>
        <v>2185.38</v>
      </c>
      <c r="N1117" s="161">
        <f>Sales[[#This Row],[Gross Amount]]-Sales[[#This Row],[Disc. Amt.]]+Sales[[#This Row],[GST Amount]]</f>
        <v>14326.380000000001</v>
      </c>
      <c r="O1117" s="158" t="s">
        <v>3561</v>
      </c>
      <c r="P1117" s="158" t="s">
        <v>3562</v>
      </c>
      <c r="Q1117" s="160">
        <f>IF(Sales[[#This Row],[Status]]="Cancelled",0,Sales[[#This Row],[Qty]])</f>
        <v>6</v>
      </c>
      <c r="R1117" s="161">
        <f>IF(Sales[[#This Row],[Status]]="Cancelled",0,Sales[[#This Row],[Total Amount]])</f>
        <v>14326.380000000001</v>
      </c>
      <c r="S1117" s="162">
        <f>SUM(Sales[Net Amount])</f>
        <v>406839287.73200053</v>
      </c>
    </row>
    <row r="1118" spans="1:19" ht="18.75" x14ac:dyDescent="0.25">
      <c r="A1118" s="163" t="s">
        <v>4710</v>
      </c>
      <c r="B1118" s="164">
        <v>45837</v>
      </c>
      <c r="C1118" s="34" t="s">
        <v>672</v>
      </c>
      <c r="D1118" s="53" t="str">
        <f>VLOOKUP(Sales[[#This Row],[Customer ID]],Customer[#All],2,0)</f>
        <v>Rahul Patel</v>
      </c>
      <c r="E1118" s="34" t="s">
        <v>367</v>
      </c>
      <c r="F1118" s="34" t="str">
        <f>VLOOKUP(Sales[[#This Row],[Product ID]],Product[#All],2,0)</f>
        <v>Jbl Speaker</v>
      </c>
      <c r="G1118" s="53">
        <v>5</v>
      </c>
      <c r="H1118" s="165">
        <f>VLOOKUP(Sales[[#This Row],[Product ID]],Product[#All],7,0)</f>
        <v>4880</v>
      </c>
      <c r="I1118" s="165">
        <f>Sales[[#This Row],[Selling Rate]]*Sales[[#This Row],[Qty]]</f>
        <v>24400</v>
      </c>
      <c r="J1118" s="45">
        <v>0</v>
      </c>
      <c r="K1118" s="46">
        <f>Sales[[#This Row],[Gross Amount]]*Sales[[#This Row],[Disc %]]</f>
        <v>0</v>
      </c>
      <c r="L1118" s="43">
        <v>0.18</v>
      </c>
      <c r="M1118" s="46">
        <f>(Sales[[#This Row],[Gross Amount]]-Sales[[#This Row],[Disc. Amt.]])*Sales[[#This Row],[GST %]]</f>
        <v>4392</v>
      </c>
      <c r="N1118" s="161">
        <f>Sales[[#This Row],[Gross Amount]]-Sales[[#This Row],[Disc. Amt.]]+Sales[[#This Row],[GST Amount]]</f>
        <v>28792</v>
      </c>
      <c r="O1118" s="34" t="s">
        <v>8876</v>
      </c>
      <c r="P1118" s="34" t="s">
        <v>3562</v>
      </c>
      <c r="Q1118" s="165">
        <f>IF(Sales[[#This Row],[Status]]="Cancelled",0,Sales[[#This Row],[Qty]])</f>
        <v>5</v>
      </c>
      <c r="R1118" s="166">
        <f>IF(Sales[[#This Row],[Status]]="Cancelled",0,Sales[[#This Row],[Total Amount]])</f>
        <v>28792</v>
      </c>
      <c r="S1118" s="162">
        <f>SUM(Sales[Net Amount])</f>
        <v>406839287.73200053</v>
      </c>
    </row>
    <row r="1119" spans="1:19" ht="18.75" x14ac:dyDescent="0.25">
      <c r="A1119" s="156" t="s">
        <v>4711</v>
      </c>
      <c r="B1119" s="157">
        <v>45837</v>
      </c>
      <c r="C1119" s="158" t="s">
        <v>762</v>
      </c>
      <c r="D1119" s="159" t="str">
        <f>VLOOKUP(Sales[[#This Row],[Customer ID]],Customer[#All],2,0)</f>
        <v>Amit Patel</v>
      </c>
      <c r="E1119" s="158" t="s">
        <v>118</v>
      </c>
      <c r="F1119" s="158" t="str">
        <f>VLOOKUP(Sales[[#This Row],[Product ID]],Product[#All],2,0)</f>
        <v>American TouristerLaptopBag</v>
      </c>
      <c r="G1119" s="159">
        <v>5</v>
      </c>
      <c r="H1119" s="160">
        <f>VLOOKUP(Sales[[#This Row],[Product ID]],Product[#All],7,0)</f>
        <v>4160</v>
      </c>
      <c r="I1119" s="160">
        <f>Sales[[#This Row],[Selling Rate]]*Sales[[#This Row],[Qty]]</f>
        <v>20800</v>
      </c>
      <c r="J1119" s="43">
        <v>0.05</v>
      </c>
      <c r="K1119" s="44">
        <f>Sales[[#This Row],[Gross Amount]]*Sales[[#This Row],[Disc %]]</f>
        <v>1040</v>
      </c>
      <c r="L1119" s="43">
        <v>0.18</v>
      </c>
      <c r="M1119" s="44">
        <f>(Sales[[#This Row],[Gross Amount]]-Sales[[#This Row],[Disc. Amt.]])*Sales[[#This Row],[GST %]]</f>
        <v>3556.7999999999997</v>
      </c>
      <c r="N1119" s="161">
        <f>Sales[[#This Row],[Gross Amount]]-Sales[[#This Row],[Disc. Amt.]]+Sales[[#This Row],[GST Amount]]</f>
        <v>23316.799999999999</v>
      </c>
      <c r="O1119" s="158" t="s">
        <v>8876</v>
      </c>
      <c r="P1119" s="158" t="s">
        <v>3562</v>
      </c>
      <c r="Q1119" s="160">
        <f>IF(Sales[[#This Row],[Status]]="Cancelled",0,Sales[[#This Row],[Qty]])</f>
        <v>5</v>
      </c>
      <c r="R1119" s="161">
        <f>IF(Sales[[#This Row],[Status]]="Cancelled",0,Sales[[#This Row],[Total Amount]])</f>
        <v>23316.799999999999</v>
      </c>
      <c r="S1119" s="162">
        <f>SUM(Sales[Net Amount])</f>
        <v>406839287.73200053</v>
      </c>
    </row>
    <row r="1120" spans="1:19" ht="18.75" x14ac:dyDescent="0.25">
      <c r="A1120" s="163" t="s">
        <v>4712</v>
      </c>
      <c r="B1120" s="164">
        <v>45837</v>
      </c>
      <c r="C1120" s="34" t="s">
        <v>736</v>
      </c>
      <c r="D1120" s="53" t="str">
        <f>VLOOKUP(Sales[[#This Row],[Customer ID]],Customer[#All],2,0)</f>
        <v>Ankit Verma</v>
      </c>
      <c r="E1120" s="34" t="s">
        <v>553</v>
      </c>
      <c r="F1120" s="34" t="str">
        <f>VLOOKUP(Sales[[#This Row],[Product ID]],Product[#All],2,0)</f>
        <v>Logitech Webcam</v>
      </c>
      <c r="G1120" s="53">
        <v>3</v>
      </c>
      <c r="H1120" s="165">
        <f>VLOOKUP(Sales[[#This Row],[Product ID]],Product[#All],7,0)</f>
        <v>3820</v>
      </c>
      <c r="I1120" s="165">
        <f>Sales[[#This Row],[Selling Rate]]*Sales[[#This Row],[Qty]]</f>
        <v>11460</v>
      </c>
      <c r="J1120" s="45">
        <v>0.1</v>
      </c>
      <c r="K1120" s="46">
        <f>Sales[[#This Row],[Gross Amount]]*Sales[[#This Row],[Disc %]]</f>
        <v>1146</v>
      </c>
      <c r="L1120" s="43">
        <v>0.18</v>
      </c>
      <c r="M1120" s="46">
        <f>(Sales[[#This Row],[Gross Amount]]-Sales[[#This Row],[Disc. Amt.]])*Sales[[#This Row],[GST %]]</f>
        <v>1856.52</v>
      </c>
      <c r="N1120" s="161">
        <f>Sales[[#This Row],[Gross Amount]]-Sales[[#This Row],[Disc. Amt.]]+Sales[[#This Row],[GST Amount]]</f>
        <v>12170.52</v>
      </c>
      <c r="O1120" s="34" t="s">
        <v>3561</v>
      </c>
      <c r="P1120" s="34" t="s">
        <v>3562</v>
      </c>
      <c r="Q1120" s="165">
        <f>IF(Sales[[#This Row],[Status]]="Cancelled",0,Sales[[#This Row],[Qty]])</f>
        <v>3</v>
      </c>
      <c r="R1120" s="166">
        <f>IF(Sales[[#This Row],[Status]]="Cancelled",0,Sales[[#This Row],[Total Amount]])</f>
        <v>12170.52</v>
      </c>
      <c r="S1120" s="162">
        <f>SUM(Sales[Net Amount])</f>
        <v>406839287.73200053</v>
      </c>
    </row>
    <row r="1121" spans="1:19" ht="18.75" x14ac:dyDescent="0.25">
      <c r="A1121" s="156" t="s">
        <v>4713</v>
      </c>
      <c r="B1121" s="157">
        <v>45837</v>
      </c>
      <c r="C1121" s="158" t="s">
        <v>946</v>
      </c>
      <c r="D1121" s="159" t="str">
        <f>VLOOKUP(Sales[[#This Row],[Customer ID]],Customer[#All],2,0)</f>
        <v>Priya Patel</v>
      </c>
      <c r="E1121" s="158" t="s">
        <v>479</v>
      </c>
      <c r="F1121" s="158" t="str">
        <f>VLOOKUP(Sales[[#This Row],[Product ID]],Product[#All],2,0)</f>
        <v>TP-link Router</v>
      </c>
      <c r="G1121" s="159">
        <v>4</v>
      </c>
      <c r="H1121" s="160">
        <f>VLOOKUP(Sales[[#This Row],[Product ID]],Product[#All],7,0)</f>
        <v>5740</v>
      </c>
      <c r="I1121" s="160">
        <f>Sales[[#This Row],[Selling Rate]]*Sales[[#This Row],[Qty]]</f>
        <v>22960</v>
      </c>
      <c r="J1121" s="43">
        <v>0.1</v>
      </c>
      <c r="K1121" s="44">
        <f>Sales[[#This Row],[Gross Amount]]*Sales[[#This Row],[Disc %]]</f>
        <v>2296</v>
      </c>
      <c r="L1121" s="43">
        <v>0.18</v>
      </c>
      <c r="M1121" s="44">
        <f>(Sales[[#This Row],[Gross Amount]]-Sales[[#This Row],[Disc. Amt.]])*Sales[[#This Row],[GST %]]</f>
        <v>3719.52</v>
      </c>
      <c r="N1121" s="161">
        <f>Sales[[#This Row],[Gross Amount]]-Sales[[#This Row],[Disc. Amt.]]+Sales[[#This Row],[GST Amount]]</f>
        <v>24383.52</v>
      </c>
      <c r="O1121" s="158" t="s">
        <v>8876</v>
      </c>
      <c r="P1121" s="158" t="s">
        <v>3562</v>
      </c>
      <c r="Q1121" s="160">
        <f>IF(Sales[[#This Row],[Status]]="Cancelled",0,Sales[[#This Row],[Qty]])</f>
        <v>4</v>
      </c>
      <c r="R1121" s="161">
        <f>IF(Sales[[#This Row],[Status]]="Cancelled",0,Sales[[#This Row],[Total Amount]])</f>
        <v>24383.52</v>
      </c>
      <c r="S1121" s="162">
        <f>SUM(Sales[Net Amount])</f>
        <v>406839287.73200053</v>
      </c>
    </row>
    <row r="1122" spans="1:19" ht="18.75" x14ac:dyDescent="0.25">
      <c r="A1122" s="163" t="s">
        <v>4714</v>
      </c>
      <c r="B1122" s="164">
        <v>45837</v>
      </c>
      <c r="C1122" s="34" t="s">
        <v>694</v>
      </c>
      <c r="D1122" s="53" t="str">
        <f>VLOOKUP(Sales[[#This Row],[Customer ID]],Customer[#All],2,0)</f>
        <v>Amit Sharma</v>
      </c>
      <c r="E1122" s="34" t="s">
        <v>78</v>
      </c>
      <c r="F1122" s="34" t="str">
        <f>VLOOKUP(Sales[[#This Row],[Product ID]],Product[#All],2,0)</f>
        <v>Lg Monitor</v>
      </c>
      <c r="G1122" s="53">
        <v>3</v>
      </c>
      <c r="H1122" s="165">
        <f>VLOOKUP(Sales[[#This Row],[Product ID]],Product[#All],7,0)</f>
        <v>16690</v>
      </c>
      <c r="I1122" s="165">
        <f>Sales[[#This Row],[Selling Rate]]*Sales[[#This Row],[Qty]]</f>
        <v>50070</v>
      </c>
      <c r="J1122" s="45">
        <v>0.1</v>
      </c>
      <c r="K1122" s="46">
        <f>Sales[[#This Row],[Gross Amount]]*Sales[[#This Row],[Disc %]]</f>
        <v>5007</v>
      </c>
      <c r="L1122" s="43">
        <v>0.18</v>
      </c>
      <c r="M1122" s="46">
        <f>(Sales[[#This Row],[Gross Amount]]-Sales[[#This Row],[Disc. Amt.]])*Sales[[#This Row],[GST %]]</f>
        <v>8111.34</v>
      </c>
      <c r="N1122" s="161">
        <f>Sales[[#This Row],[Gross Amount]]-Sales[[#This Row],[Disc. Amt.]]+Sales[[#This Row],[GST Amount]]</f>
        <v>53174.34</v>
      </c>
      <c r="O1122" s="34" t="s">
        <v>3566</v>
      </c>
      <c r="P1122" s="34" t="s">
        <v>3562</v>
      </c>
      <c r="Q1122" s="165">
        <f>IF(Sales[[#This Row],[Status]]="Cancelled",0,Sales[[#This Row],[Qty]])</f>
        <v>3</v>
      </c>
      <c r="R1122" s="166">
        <f>IF(Sales[[#This Row],[Status]]="Cancelled",0,Sales[[#This Row],[Total Amount]])</f>
        <v>53174.34</v>
      </c>
      <c r="S1122" s="162">
        <f>SUM(Sales[Net Amount])</f>
        <v>406839287.73200053</v>
      </c>
    </row>
    <row r="1123" spans="1:19" ht="18.75" x14ac:dyDescent="0.25">
      <c r="A1123" s="156" t="s">
        <v>4715</v>
      </c>
      <c r="B1123" s="157">
        <v>45837</v>
      </c>
      <c r="C1123" s="158" t="s">
        <v>888</v>
      </c>
      <c r="D1123" s="159" t="str">
        <f>VLOOKUP(Sales[[#This Row],[Customer ID]],Customer[#All],2,0)</f>
        <v>Rahul Patel</v>
      </c>
      <c r="E1123" s="158" t="s">
        <v>259</v>
      </c>
      <c r="F1123" s="158" t="str">
        <f>VLOOKUP(Sales[[#This Row],[Product ID]],Product[#All],2,0)</f>
        <v>Lg Monitor</v>
      </c>
      <c r="G1123" s="159">
        <v>1</v>
      </c>
      <c r="H1123" s="160">
        <f>VLOOKUP(Sales[[#This Row],[Product ID]],Product[#All],7,0)</f>
        <v>28600</v>
      </c>
      <c r="I1123" s="160">
        <f>Sales[[#This Row],[Selling Rate]]*Sales[[#This Row],[Qty]]</f>
        <v>28600</v>
      </c>
      <c r="J1123" s="43">
        <v>0</v>
      </c>
      <c r="K1123" s="44">
        <f>Sales[[#This Row],[Gross Amount]]*Sales[[#This Row],[Disc %]]</f>
        <v>0</v>
      </c>
      <c r="L1123" s="43">
        <v>0.18</v>
      </c>
      <c r="M1123" s="44">
        <f>(Sales[[#This Row],[Gross Amount]]-Sales[[#This Row],[Disc. Amt.]])*Sales[[#This Row],[GST %]]</f>
        <v>5148</v>
      </c>
      <c r="N1123" s="161">
        <f>Sales[[#This Row],[Gross Amount]]-Sales[[#This Row],[Disc. Amt.]]+Sales[[#This Row],[GST Amount]]</f>
        <v>33748</v>
      </c>
      <c r="O1123" s="158" t="s">
        <v>8876</v>
      </c>
      <c r="P1123" s="158" t="s">
        <v>3562</v>
      </c>
      <c r="Q1123" s="160">
        <f>IF(Sales[[#This Row],[Status]]="Cancelled",0,Sales[[#This Row],[Qty]])</f>
        <v>1</v>
      </c>
      <c r="R1123" s="161">
        <f>IF(Sales[[#This Row],[Status]]="Cancelled",0,Sales[[#This Row],[Total Amount]])</f>
        <v>33748</v>
      </c>
      <c r="S1123" s="162">
        <f>SUM(Sales[Net Amount])</f>
        <v>406839287.73200053</v>
      </c>
    </row>
    <row r="1124" spans="1:19" ht="18.75" x14ac:dyDescent="0.25">
      <c r="A1124" s="163" t="s">
        <v>4716</v>
      </c>
      <c r="B1124" s="164">
        <v>45837</v>
      </c>
      <c r="C1124" s="34" t="s">
        <v>738</v>
      </c>
      <c r="D1124" s="53" t="str">
        <f>VLOOKUP(Sales[[#This Row],[Customer ID]],Customer[#All],2,0)</f>
        <v>Pooja Patel</v>
      </c>
      <c r="E1124" s="34" t="s">
        <v>4</v>
      </c>
      <c r="F1124" s="34" t="str">
        <f>VLOOKUP(Sales[[#This Row],[Product ID]],Product[#All],2,0)</f>
        <v>Epson Printer</v>
      </c>
      <c r="G1124" s="53">
        <v>4</v>
      </c>
      <c r="H1124" s="165">
        <f>VLOOKUP(Sales[[#This Row],[Product ID]],Product[#All],7,0)</f>
        <v>45990</v>
      </c>
      <c r="I1124" s="165">
        <f>Sales[[#This Row],[Selling Rate]]*Sales[[#This Row],[Qty]]</f>
        <v>183960</v>
      </c>
      <c r="J1124" s="45">
        <v>0.05</v>
      </c>
      <c r="K1124" s="46">
        <f>Sales[[#This Row],[Gross Amount]]*Sales[[#This Row],[Disc %]]</f>
        <v>9198</v>
      </c>
      <c r="L1124" s="43">
        <v>0.18</v>
      </c>
      <c r="M1124" s="46">
        <f>(Sales[[#This Row],[Gross Amount]]-Sales[[#This Row],[Disc. Amt.]])*Sales[[#This Row],[GST %]]</f>
        <v>31457.16</v>
      </c>
      <c r="N1124" s="161">
        <f>Sales[[#This Row],[Gross Amount]]-Sales[[#This Row],[Disc. Amt.]]+Sales[[#This Row],[GST Amount]]</f>
        <v>206219.16</v>
      </c>
      <c r="O1124" s="34" t="s">
        <v>8876</v>
      </c>
      <c r="P1124" s="34" t="s">
        <v>3562</v>
      </c>
      <c r="Q1124" s="165">
        <f>IF(Sales[[#This Row],[Status]]="Cancelled",0,Sales[[#This Row],[Qty]])</f>
        <v>4</v>
      </c>
      <c r="R1124" s="166">
        <f>IF(Sales[[#This Row],[Status]]="Cancelled",0,Sales[[#This Row],[Total Amount]])</f>
        <v>206219.16</v>
      </c>
      <c r="S1124" s="162">
        <f>SUM(Sales[Net Amount])</f>
        <v>406839287.73200053</v>
      </c>
    </row>
    <row r="1125" spans="1:19" ht="18.75" x14ac:dyDescent="0.25">
      <c r="A1125" s="156" t="s">
        <v>4717</v>
      </c>
      <c r="B1125" s="157">
        <v>45838</v>
      </c>
      <c r="C1125" s="158" t="s">
        <v>932</v>
      </c>
      <c r="D1125" s="159" t="str">
        <f>VLOOKUP(Sales[[#This Row],[Customer ID]],Customer[#All],2,0)</f>
        <v>Vikas Gupta</v>
      </c>
      <c r="E1125" s="158" t="s">
        <v>223</v>
      </c>
      <c r="F1125" s="158" t="str">
        <f>VLOOKUP(Sales[[#This Row],[Product ID]],Product[#All],2,0)</f>
        <v>Dell Monitor</v>
      </c>
      <c r="G1125" s="159">
        <v>4</v>
      </c>
      <c r="H1125" s="160">
        <f>VLOOKUP(Sales[[#This Row],[Product ID]],Product[#All],7,0)</f>
        <v>9980</v>
      </c>
      <c r="I1125" s="160">
        <f>Sales[[#This Row],[Selling Rate]]*Sales[[#This Row],[Qty]]</f>
        <v>39920</v>
      </c>
      <c r="J1125" s="43">
        <v>0</v>
      </c>
      <c r="K1125" s="44">
        <f>Sales[[#This Row],[Gross Amount]]*Sales[[#This Row],[Disc %]]</f>
        <v>0</v>
      </c>
      <c r="L1125" s="43">
        <v>0.18</v>
      </c>
      <c r="M1125" s="44">
        <f>(Sales[[#This Row],[Gross Amount]]-Sales[[#This Row],[Disc. Amt.]])*Sales[[#This Row],[GST %]]</f>
        <v>7185.5999999999995</v>
      </c>
      <c r="N1125" s="161">
        <f>Sales[[#This Row],[Gross Amount]]-Sales[[#This Row],[Disc. Amt.]]+Sales[[#This Row],[GST Amount]]</f>
        <v>47105.599999999999</v>
      </c>
      <c r="O1125" s="158" t="s">
        <v>3569</v>
      </c>
      <c r="P1125" s="158" t="s">
        <v>3562</v>
      </c>
      <c r="Q1125" s="160">
        <f>IF(Sales[[#This Row],[Status]]="Cancelled",0,Sales[[#This Row],[Qty]])</f>
        <v>4</v>
      </c>
      <c r="R1125" s="161">
        <f>IF(Sales[[#This Row],[Status]]="Cancelled",0,Sales[[#This Row],[Total Amount]])</f>
        <v>47105.599999999999</v>
      </c>
      <c r="S1125" s="162">
        <f>SUM(Sales[Net Amount])</f>
        <v>406839287.73200053</v>
      </c>
    </row>
    <row r="1126" spans="1:19" ht="18.75" x14ac:dyDescent="0.25">
      <c r="A1126" s="163" t="s">
        <v>4718</v>
      </c>
      <c r="B1126" s="164">
        <v>45838</v>
      </c>
      <c r="C1126" s="34" t="s">
        <v>769</v>
      </c>
      <c r="D1126" s="53" t="str">
        <f>VLOOKUP(Sales[[#This Row],[Customer ID]],Customer[#All],2,0)</f>
        <v>Sahil Kumar</v>
      </c>
      <c r="E1126" s="34" t="s">
        <v>364</v>
      </c>
      <c r="F1126" s="34" t="str">
        <f>VLOOKUP(Sales[[#This Row],[Product ID]],Product[#All],2,0)</f>
        <v>Canon Printer</v>
      </c>
      <c r="G1126" s="53">
        <v>4</v>
      </c>
      <c r="H1126" s="165">
        <f>VLOOKUP(Sales[[#This Row],[Product ID]],Product[#All],7,0)</f>
        <v>41460</v>
      </c>
      <c r="I1126" s="165">
        <f>Sales[[#This Row],[Selling Rate]]*Sales[[#This Row],[Qty]]</f>
        <v>165840</v>
      </c>
      <c r="J1126" s="45">
        <v>0</v>
      </c>
      <c r="K1126" s="46">
        <f>Sales[[#This Row],[Gross Amount]]*Sales[[#This Row],[Disc %]]</f>
        <v>0</v>
      </c>
      <c r="L1126" s="43">
        <v>0.18</v>
      </c>
      <c r="M1126" s="46">
        <f>(Sales[[#This Row],[Gross Amount]]-Sales[[#This Row],[Disc. Amt.]])*Sales[[#This Row],[GST %]]</f>
        <v>29851.199999999997</v>
      </c>
      <c r="N1126" s="161">
        <f>Sales[[#This Row],[Gross Amount]]-Sales[[#This Row],[Disc. Amt.]]+Sales[[#This Row],[GST Amount]]</f>
        <v>195691.2</v>
      </c>
      <c r="O1126" s="34" t="s">
        <v>3566</v>
      </c>
      <c r="P1126" s="34" t="s">
        <v>3562</v>
      </c>
      <c r="Q1126" s="165">
        <f>IF(Sales[[#This Row],[Status]]="Cancelled",0,Sales[[#This Row],[Qty]])</f>
        <v>4</v>
      </c>
      <c r="R1126" s="166">
        <f>IF(Sales[[#This Row],[Status]]="Cancelled",0,Sales[[#This Row],[Total Amount]])</f>
        <v>195691.2</v>
      </c>
      <c r="S1126" s="162">
        <f>SUM(Sales[Net Amount])</f>
        <v>406839287.73200053</v>
      </c>
    </row>
    <row r="1127" spans="1:19" ht="18.75" x14ac:dyDescent="0.25">
      <c r="A1127" s="156" t="s">
        <v>4719</v>
      </c>
      <c r="B1127" s="157">
        <v>45838</v>
      </c>
      <c r="C1127" s="158" t="s">
        <v>866</v>
      </c>
      <c r="D1127" s="159" t="str">
        <f>VLOOKUP(Sales[[#This Row],[Customer ID]],Customer[#All],2,0)</f>
        <v>Priya Patel</v>
      </c>
      <c r="E1127" s="158" t="s">
        <v>468</v>
      </c>
      <c r="F1127" s="158" t="str">
        <f>VLOOKUP(Sales[[#This Row],[Product ID]],Product[#All],2,0)</f>
        <v>Dell Laptop</v>
      </c>
      <c r="G1127" s="159">
        <v>1</v>
      </c>
      <c r="H1127" s="160">
        <f>VLOOKUP(Sales[[#This Row],[Product ID]],Product[#All],7,0)</f>
        <v>93200</v>
      </c>
      <c r="I1127" s="160">
        <f>Sales[[#This Row],[Selling Rate]]*Sales[[#This Row],[Qty]]</f>
        <v>93200</v>
      </c>
      <c r="J1127" s="43">
        <v>0.15</v>
      </c>
      <c r="K1127" s="44">
        <f>Sales[[#This Row],[Gross Amount]]*Sales[[#This Row],[Disc %]]</f>
        <v>13980</v>
      </c>
      <c r="L1127" s="43">
        <v>0.18</v>
      </c>
      <c r="M1127" s="44">
        <f>(Sales[[#This Row],[Gross Amount]]-Sales[[#This Row],[Disc. Amt.]])*Sales[[#This Row],[GST %]]</f>
        <v>14259.6</v>
      </c>
      <c r="N1127" s="161">
        <f>Sales[[#This Row],[Gross Amount]]-Sales[[#This Row],[Disc. Amt.]]+Sales[[#This Row],[GST Amount]]</f>
        <v>93479.6</v>
      </c>
      <c r="O1127" s="158" t="s">
        <v>3561</v>
      </c>
      <c r="P1127" s="158" t="s">
        <v>3562</v>
      </c>
      <c r="Q1127" s="160">
        <f>IF(Sales[[#This Row],[Status]]="Cancelled",0,Sales[[#This Row],[Qty]])</f>
        <v>1</v>
      </c>
      <c r="R1127" s="161">
        <f>IF(Sales[[#This Row],[Status]]="Cancelled",0,Sales[[#This Row],[Total Amount]])</f>
        <v>93479.6</v>
      </c>
      <c r="S1127" s="162">
        <f>SUM(Sales[Net Amount])</f>
        <v>406839287.73200053</v>
      </c>
    </row>
    <row r="1128" spans="1:19" ht="18.75" x14ac:dyDescent="0.25">
      <c r="A1128" s="163" t="s">
        <v>4720</v>
      </c>
      <c r="B1128" s="164">
        <v>45838</v>
      </c>
      <c r="C1128" s="34" t="s">
        <v>920</v>
      </c>
      <c r="D1128" s="53" t="str">
        <f>VLOOKUP(Sales[[#This Row],[Customer ID]],Customer[#All],2,0)</f>
        <v>Rakesh Sharma</v>
      </c>
      <c r="E1128" s="34" t="s">
        <v>538</v>
      </c>
      <c r="F1128" s="34" t="str">
        <f>VLOOKUP(Sales[[#This Row],[Product ID]],Product[#All],2,0)</f>
        <v>Acer Laptop</v>
      </c>
      <c r="G1128" s="53">
        <v>5</v>
      </c>
      <c r="H1128" s="165">
        <f>VLOOKUP(Sales[[#This Row],[Product ID]],Product[#All],7,0)</f>
        <v>46800</v>
      </c>
      <c r="I1128" s="165">
        <f>Sales[[#This Row],[Selling Rate]]*Sales[[#This Row],[Qty]]</f>
        <v>234000</v>
      </c>
      <c r="J1128" s="45">
        <v>0.05</v>
      </c>
      <c r="K1128" s="46">
        <f>Sales[[#This Row],[Gross Amount]]*Sales[[#This Row],[Disc %]]</f>
        <v>11700</v>
      </c>
      <c r="L1128" s="43">
        <v>0.18</v>
      </c>
      <c r="M1128" s="46">
        <f>(Sales[[#This Row],[Gross Amount]]-Sales[[#This Row],[Disc. Amt.]])*Sales[[#This Row],[GST %]]</f>
        <v>40014</v>
      </c>
      <c r="N1128" s="161">
        <f>Sales[[#This Row],[Gross Amount]]-Sales[[#This Row],[Disc. Amt.]]+Sales[[#This Row],[GST Amount]]</f>
        <v>262314</v>
      </c>
      <c r="O1128" s="34" t="s">
        <v>3569</v>
      </c>
      <c r="P1128" s="34" t="s">
        <v>3562</v>
      </c>
      <c r="Q1128" s="165">
        <f>IF(Sales[[#This Row],[Status]]="Cancelled",0,Sales[[#This Row],[Qty]])</f>
        <v>5</v>
      </c>
      <c r="R1128" s="166">
        <f>IF(Sales[[#This Row],[Status]]="Cancelled",0,Sales[[#This Row],[Total Amount]])</f>
        <v>262314</v>
      </c>
      <c r="S1128" s="162">
        <f>SUM(Sales[Net Amount])</f>
        <v>406839287.73200053</v>
      </c>
    </row>
    <row r="1129" spans="1:19" ht="18.75" x14ac:dyDescent="0.25">
      <c r="A1129" s="156" t="s">
        <v>4721</v>
      </c>
      <c r="B1129" s="157">
        <v>45838</v>
      </c>
      <c r="C1129" s="158" t="s">
        <v>676</v>
      </c>
      <c r="D1129" s="159" t="str">
        <f>VLOOKUP(Sales[[#This Row],[Customer ID]],Customer[#All],2,0)</f>
        <v>Neha Singh</v>
      </c>
      <c r="E1129" s="158" t="s">
        <v>415</v>
      </c>
      <c r="F1129" s="158" t="str">
        <f>VLOOKUP(Sales[[#This Row],[Product ID]],Product[#All],2,0)</f>
        <v>American TouristerLaptopBag</v>
      </c>
      <c r="G1129" s="159">
        <v>3</v>
      </c>
      <c r="H1129" s="160">
        <f>VLOOKUP(Sales[[#This Row],[Product ID]],Product[#All],7,0)</f>
        <v>5180</v>
      </c>
      <c r="I1129" s="160">
        <f>Sales[[#This Row],[Selling Rate]]*Sales[[#This Row],[Qty]]</f>
        <v>15540</v>
      </c>
      <c r="J1129" s="43">
        <v>0.02</v>
      </c>
      <c r="K1129" s="44">
        <f>Sales[[#This Row],[Gross Amount]]*Sales[[#This Row],[Disc %]]</f>
        <v>310.8</v>
      </c>
      <c r="L1129" s="43">
        <v>0.18</v>
      </c>
      <c r="M1129" s="44">
        <f>(Sales[[#This Row],[Gross Amount]]-Sales[[#This Row],[Disc. Amt.]])*Sales[[#This Row],[GST %]]</f>
        <v>2741.2559999999999</v>
      </c>
      <c r="N1129" s="161">
        <f>Sales[[#This Row],[Gross Amount]]-Sales[[#This Row],[Disc. Amt.]]+Sales[[#This Row],[GST Amount]]</f>
        <v>17970.456000000002</v>
      </c>
      <c r="O1129" s="158" t="s">
        <v>3569</v>
      </c>
      <c r="P1129" s="158" t="s">
        <v>3562</v>
      </c>
      <c r="Q1129" s="160">
        <f>IF(Sales[[#This Row],[Status]]="Cancelled",0,Sales[[#This Row],[Qty]])</f>
        <v>3</v>
      </c>
      <c r="R1129" s="161">
        <f>IF(Sales[[#This Row],[Status]]="Cancelled",0,Sales[[#This Row],[Total Amount]])</f>
        <v>17970.456000000002</v>
      </c>
      <c r="S1129" s="162">
        <f>SUM(Sales[Net Amount])</f>
        <v>406839287.73200053</v>
      </c>
    </row>
    <row r="1130" spans="1:19" ht="18.75" x14ac:dyDescent="0.25">
      <c r="A1130" s="163" t="s">
        <v>4722</v>
      </c>
      <c r="B1130" s="164">
        <v>45838</v>
      </c>
      <c r="C1130" s="34" t="s">
        <v>698</v>
      </c>
      <c r="D1130" s="53" t="str">
        <f>VLOOKUP(Sales[[#This Row],[Customer ID]],Customer[#All],2,0)</f>
        <v>Neha Sharma</v>
      </c>
      <c r="E1130" s="34" t="s">
        <v>354</v>
      </c>
      <c r="F1130" s="34" t="str">
        <f>VLOOKUP(Sales[[#This Row],[Product ID]],Product[#All],2,0)</f>
        <v>Dell Monitor</v>
      </c>
      <c r="G1130" s="53">
        <v>5</v>
      </c>
      <c r="H1130" s="165">
        <f>VLOOKUP(Sales[[#This Row],[Product ID]],Product[#All],7,0)</f>
        <v>12450</v>
      </c>
      <c r="I1130" s="165">
        <f>Sales[[#This Row],[Selling Rate]]*Sales[[#This Row],[Qty]]</f>
        <v>62250</v>
      </c>
      <c r="J1130" s="45">
        <v>0.05</v>
      </c>
      <c r="K1130" s="46">
        <f>Sales[[#This Row],[Gross Amount]]*Sales[[#This Row],[Disc %]]</f>
        <v>3112.5</v>
      </c>
      <c r="L1130" s="43">
        <v>0.18</v>
      </c>
      <c r="M1130" s="46">
        <f>(Sales[[#This Row],[Gross Amount]]-Sales[[#This Row],[Disc. Amt.]])*Sales[[#This Row],[GST %]]</f>
        <v>10644.75</v>
      </c>
      <c r="N1130" s="161">
        <f>Sales[[#This Row],[Gross Amount]]-Sales[[#This Row],[Disc. Amt.]]+Sales[[#This Row],[GST Amount]]</f>
        <v>69782.25</v>
      </c>
      <c r="O1130" s="34" t="s">
        <v>8876</v>
      </c>
      <c r="P1130" s="34" t="s">
        <v>3562</v>
      </c>
      <c r="Q1130" s="165">
        <f>IF(Sales[[#This Row],[Status]]="Cancelled",0,Sales[[#This Row],[Qty]])</f>
        <v>5</v>
      </c>
      <c r="R1130" s="166">
        <f>IF(Sales[[#This Row],[Status]]="Cancelled",0,Sales[[#This Row],[Total Amount]])</f>
        <v>69782.25</v>
      </c>
      <c r="S1130" s="162">
        <f>SUM(Sales[Net Amount])</f>
        <v>406839287.73200053</v>
      </c>
    </row>
    <row r="1131" spans="1:19" ht="18.75" x14ac:dyDescent="0.25">
      <c r="A1131" s="156" t="s">
        <v>4723</v>
      </c>
      <c r="B1131" s="157">
        <v>45838</v>
      </c>
      <c r="C1131" s="158" t="s">
        <v>824</v>
      </c>
      <c r="D1131" s="159" t="str">
        <f>VLOOKUP(Sales[[#This Row],[Customer ID]],Customer[#All],2,0)</f>
        <v>Sunita Verma</v>
      </c>
      <c r="E1131" s="158" t="s">
        <v>183</v>
      </c>
      <c r="F1131" s="158" t="str">
        <f>VLOOKUP(Sales[[#This Row],[Product ID]],Product[#All],2,0)</f>
        <v>Boat Speaker</v>
      </c>
      <c r="G1131" s="159">
        <v>6</v>
      </c>
      <c r="H1131" s="160">
        <f>VLOOKUP(Sales[[#This Row],[Product ID]],Product[#All],7,0)</f>
        <v>1430</v>
      </c>
      <c r="I1131" s="160">
        <f>Sales[[#This Row],[Selling Rate]]*Sales[[#This Row],[Qty]]</f>
        <v>8580</v>
      </c>
      <c r="J1131" s="43">
        <v>0.12</v>
      </c>
      <c r="K1131" s="44">
        <f>Sales[[#This Row],[Gross Amount]]*Sales[[#This Row],[Disc %]]</f>
        <v>1029.5999999999999</v>
      </c>
      <c r="L1131" s="43">
        <v>0.18</v>
      </c>
      <c r="M1131" s="44">
        <f>(Sales[[#This Row],[Gross Amount]]-Sales[[#This Row],[Disc. Amt.]])*Sales[[#This Row],[GST %]]</f>
        <v>1359.0719999999999</v>
      </c>
      <c r="N1131" s="161">
        <f>Sales[[#This Row],[Gross Amount]]-Sales[[#This Row],[Disc. Amt.]]+Sales[[#This Row],[GST Amount]]</f>
        <v>8909.4719999999998</v>
      </c>
      <c r="O1131" s="158" t="s">
        <v>3569</v>
      </c>
      <c r="P1131" s="158" t="s">
        <v>3562</v>
      </c>
      <c r="Q1131" s="160">
        <f>IF(Sales[[#This Row],[Status]]="Cancelled",0,Sales[[#This Row],[Qty]])</f>
        <v>6</v>
      </c>
      <c r="R1131" s="161">
        <f>IF(Sales[[#This Row],[Status]]="Cancelled",0,Sales[[#This Row],[Total Amount]])</f>
        <v>8909.4719999999998</v>
      </c>
      <c r="S1131" s="162">
        <f>SUM(Sales[Net Amount])</f>
        <v>406839287.73200053</v>
      </c>
    </row>
    <row r="1132" spans="1:19" ht="18.75" x14ac:dyDescent="0.25">
      <c r="A1132" s="163" t="s">
        <v>4724</v>
      </c>
      <c r="B1132" s="164">
        <v>45838</v>
      </c>
      <c r="C1132" s="34" t="s">
        <v>741</v>
      </c>
      <c r="D1132" s="53" t="str">
        <f>VLOOKUP(Sales[[#This Row],[Customer ID]],Customer[#All],2,0)</f>
        <v>Rahul Patel</v>
      </c>
      <c r="E1132" s="34" t="s">
        <v>321</v>
      </c>
      <c r="F1132" s="34" t="str">
        <f>VLOOKUP(Sales[[#This Row],[Product ID]],Product[#All],2,0)</f>
        <v>WD HDD</v>
      </c>
      <c r="G1132" s="53">
        <v>6</v>
      </c>
      <c r="H1132" s="165">
        <f>VLOOKUP(Sales[[#This Row],[Product ID]],Product[#All],7,0)</f>
        <v>6810</v>
      </c>
      <c r="I1132" s="165">
        <f>Sales[[#This Row],[Selling Rate]]*Sales[[#This Row],[Qty]]</f>
        <v>40860</v>
      </c>
      <c r="J1132" s="45">
        <v>0</v>
      </c>
      <c r="K1132" s="46">
        <f>Sales[[#This Row],[Gross Amount]]*Sales[[#This Row],[Disc %]]</f>
        <v>0</v>
      </c>
      <c r="L1132" s="43">
        <v>0.18</v>
      </c>
      <c r="M1132" s="46">
        <f>(Sales[[#This Row],[Gross Amount]]-Sales[[#This Row],[Disc. Amt.]])*Sales[[#This Row],[GST %]]</f>
        <v>7354.8</v>
      </c>
      <c r="N1132" s="161">
        <f>Sales[[#This Row],[Gross Amount]]-Sales[[#This Row],[Disc. Amt.]]+Sales[[#This Row],[GST Amount]]</f>
        <v>48214.8</v>
      </c>
      <c r="O1132" s="34" t="s">
        <v>3566</v>
      </c>
      <c r="P1132" s="34" t="s">
        <v>3562</v>
      </c>
      <c r="Q1132" s="165">
        <f>IF(Sales[[#This Row],[Status]]="Cancelled",0,Sales[[#This Row],[Qty]])</f>
        <v>6</v>
      </c>
      <c r="R1132" s="166">
        <f>IF(Sales[[#This Row],[Status]]="Cancelled",0,Sales[[#This Row],[Total Amount]])</f>
        <v>48214.8</v>
      </c>
      <c r="S1132" s="162">
        <f>SUM(Sales[Net Amount])</f>
        <v>406839287.73200053</v>
      </c>
    </row>
    <row r="1133" spans="1:19" ht="18.75" x14ac:dyDescent="0.25">
      <c r="A1133" s="156" t="s">
        <v>4725</v>
      </c>
      <c r="B1133" s="157">
        <v>45838</v>
      </c>
      <c r="C1133" s="158" t="s">
        <v>870</v>
      </c>
      <c r="D1133" s="159" t="str">
        <f>VLOOKUP(Sales[[#This Row],[Customer ID]],Customer[#All],2,0)</f>
        <v>Vikas Singh</v>
      </c>
      <c r="E1133" s="158" t="s">
        <v>291</v>
      </c>
      <c r="F1133" s="158" t="str">
        <f>VLOOKUP(Sales[[#This Row],[Product ID]],Product[#All],2,0)</f>
        <v>Jbl Speaker</v>
      </c>
      <c r="G1133" s="159">
        <v>6</v>
      </c>
      <c r="H1133" s="160">
        <f>VLOOKUP(Sales[[#This Row],[Product ID]],Product[#All],7,0)</f>
        <v>12040</v>
      </c>
      <c r="I1133" s="160">
        <f>Sales[[#This Row],[Selling Rate]]*Sales[[#This Row],[Qty]]</f>
        <v>72240</v>
      </c>
      <c r="J1133" s="43">
        <v>0.05</v>
      </c>
      <c r="K1133" s="44">
        <f>Sales[[#This Row],[Gross Amount]]*Sales[[#This Row],[Disc %]]</f>
        <v>3612</v>
      </c>
      <c r="L1133" s="43">
        <v>0.18</v>
      </c>
      <c r="M1133" s="44">
        <f>(Sales[[#This Row],[Gross Amount]]-Sales[[#This Row],[Disc. Amt.]])*Sales[[#This Row],[GST %]]</f>
        <v>12353.039999999999</v>
      </c>
      <c r="N1133" s="161">
        <f>Sales[[#This Row],[Gross Amount]]-Sales[[#This Row],[Disc. Amt.]]+Sales[[#This Row],[GST Amount]]</f>
        <v>80981.039999999994</v>
      </c>
      <c r="O1133" s="158" t="s">
        <v>3569</v>
      </c>
      <c r="P1133" s="158" t="s">
        <v>3562</v>
      </c>
      <c r="Q1133" s="160">
        <f>IF(Sales[[#This Row],[Status]]="Cancelled",0,Sales[[#This Row],[Qty]])</f>
        <v>6</v>
      </c>
      <c r="R1133" s="161">
        <f>IF(Sales[[#This Row],[Status]]="Cancelled",0,Sales[[#This Row],[Total Amount]])</f>
        <v>80981.039999999994</v>
      </c>
      <c r="S1133" s="162">
        <f>SUM(Sales[Net Amount])</f>
        <v>406839287.73200053</v>
      </c>
    </row>
    <row r="1134" spans="1:19" ht="18.75" x14ac:dyDescent="0.25">
      <c r="A1134" s="163" t="s">
        <v>4726</v>
      </c>
      <c r="B1134" s="164">
        <v>45838</v>
      </c>
      <c r="C1134" s="34" t="s">
        <v>914</v>
      </c>
      <c r="D1134" s="53" t="str">
        <f>VLOOKUP(Sales[[#This Row],[Customer ID]],Customer[#All],2,0)</f>
        <v>Rakesh Patel</v>
      </c>
      <c r="E1134" s="34" t="s">
        <v>335</v>
      </c>
      <c r="F1134" s="34" t="str">
        <f>VLOOKUP(Sales[[#This Row],[Product ID]],Product[#All],2,0)</f>
        <v>Corsair Ram</v>
      </c>
      <c r="G1134" s="53">
        <v>5</v>
      </c>
      <c r="H1134" s="165">
        <f>VLOOKUP(Sales[[#This Row],[Product ID]],Product[#All],7,0)</f>
        <v>4450</v>
      </c>
      <c r="I1134" s="165">
        <f>Sales[[#This Row],[Selling Rate]]*Sales[[#This Row],[Qty]]</f>
        <v>22250</v>
      </c>
      <c r="J1134" s="45">
        <v>0.12</v>
      </c>
      <c r="K1134" s="46">
        <f>Sales[[#This Row],[Gross Amount]]*Sales[[#This Row],[Disc %]]</f>
        <v>2670</v>
      </c>
      <c r="L1134" s="43">
        <v>0.18</v>
      </c>
      <c r="M1134" s="46">
        <f>(Sales[[#This Row],[Gross Amount]]-Sales[[#This Row],[Disc. Amt.]])*Sales[[#This Row],[GST %]]</f>
        <v>3524.4</v>
      </c>
      <c r="N1134" s="161">
        <f>Sales[[#This Row],[Gross Amount]]-Sales[[#This Row],[Disc. Amt.]]+Sales[[#This Row],[GST Amount]]</f>
        <v>23104.400000000001</v>
      </c>
      <c r="O1134" s="34" t="s">
        <v>3561</v>
      </c>
      <c r="P1134" s="34" t="s">
        <v>3562</v>
      </c>
      <c r="Q1134" s="165">
        <f>IF(Sales[[#This Row],[Status]]="Cancelled",0,Sales[[#This Row],[Qty]])</f>
        <v>5</v>
      </c>
      <c r="R1134" s="166">
        <f>IF(Sales[[#This Row],[Status]]="Cancelled",0,Sales[[#This Row],[Total Amount]])</f>
        <v>23104.400000000001</v>
      </c>
      <c r="S1134" s="162">
        <f>SUM(Sales[Net Amount])</f>
        <v>406839287.73200053</v>
      </c>
    </row>
    <row r="1135" spans="1:19" ht="18.75" x14ac:dyDescent="0.25">
      <c r="A1135" s="156" t="s">
        <v>4727</v>
      </c>
      <c r="B1135" s="157">
        <v>45838</v>
      </c>
      <c r="C1135" s="158" t="s">
        <v>4728</v>
      </c>
      <c r="D1135" s="159" t="str">
        <f>VLOOKUP(Sales[[#This Row],[Customer ID]],Customer[#All],2,0)</f>
        <v>Neha Singh</v>
      </c>
      <c r="E1135" s="158" t="s">
        <v>389</v>
      </c>
      <c r="F1135" s="158" t="str">
        <f>VLOOKUP(Sales[[#This Row],[Product ID]],Product[#All],2,0)</f>
        <v>WD HDD</v>
      </c>
      <c r="G1135" s="159">
        <v>3</v>
      </c>
      <c r="H1135" s="160">
        <f>VLOOKUP(Sales[[#This Row],[Product ID]],Product[#All],7,0)</f>
        <v>10530</v>
      </c>
      <c r="I1135" s="160">
        <f>Sales[[#This Row],[Selling Rate]]*Sales[[#This Row],[Qty]]</f>
        <v>31590</v>
      </c>
      <c r="J1135" s="43">
        <v>0.15</v>
      </c>
      <c r="K1135" s="44">
        <f>Sales[[#This Row],[Gross Amount]]*Sales[[#This Row],[Disc %]]</f>
        <v>4738.5</v>
      </c>
      <c r="L1135" s="43">
        <v>0.18</v>
      </c>
      <c r="M1135" s="44">
        <f>(Sales[[#This Row],[Gross Amount]]-Sales[[#This Row],[Disc. Amt.]])*Sales[[#This Row],[GST %]]</f>
        <v>4833.2699999999995</v>
      </c>
      <c r="N1135" s="161">
        <f>Sales[[#This Row],[Gross Amount]]-Sales[[#This Row],[Disc. Amt.]]+Sales[[#This Row],[GST Amount]]</f>
        <v>31684.77</v>
      </c>
      <c r="O1135" s="158" t="s">
        <v>3569</v>
      </c>
      <c r="P1135" s="158" t="s">
        <v>3562</v>
      </c>
      <c r="Q1135" s="160">
        <f>IF(Sales[[#This Row],[Status]]="Cancelled",0,Sales[[#This Row],[Qty]])</f>
        <v>3</v>
      </c>
      <c r="R1135" s="161">
        <f>IF(Sales[[#This Row],[Status]]="Cancelled",0,Sales[[#This Row],[Total Amount]])</f>
        <v>31684.77</v>
      </c>
      <c r="S1135" s="162">
        <f>SUM(Sales[Net Amount])</f>
        <v>406839287.73200053</v>
      </c>
    </row>
    <row r="1136" spans="1:19" ht="18.75" x14ac:dyDescent="0.25">
      <c r="A1136" s="163" t="s">
        <v>4729</v>
      </c>
      <c r="B1136" s="164">
        <v>45838</v>
      </c>
      <c r="C1136" s="34" t="s">
        <v>949</v>
      </c>
      <c r="D1136" s="53" t="str">
        <f>VLOOKUP(Sales[[#This Row],[Customer ID]],Customer[#All],2,0)</f>
        <v>Amit Patel</v>
      </c>
      <c r="E1136" s="34" t="s">
        <v>163</v>
      </c>
      <c r="F1136" s="34" t="str">
        <f>VLOOKUP(Sales[[#This Row],[Product ID]],Product[#All],2,0)</f>
        <v>Corsair Ram</v>
      </c>
      <c r="G1136" s="53">
        <v>2</v>
      </c>
      <c r="H1136" s="165">
        <f>VLOOKUP(Sales[[#This Row],[Product ID]],Product[#All],7,0)</f>
        <v>16210</v>
      </c>
      <c r="I1136" s="165">
        <f>Sales[[#This Row],[Selling Rate]]*Sales[[#This Row],[Qty]]</f>
        <v>32420</v>
      </c>
      <c r="J1136" s="45">
        <v>0.02</v>
      </c>
      <c r="K1136" s="46">
        <f>Sales[[#This Row],[Gross Amount]]*Sales[[#This Row],[Disc %]]</f>
        <v>648.4</v>
      </c>
      <c r="L1136" s="43">
        <v>0.18</v>
      </c>
      <c r="M1136" s="46">
        <f>(Sales[[#This Row],[Gross Amount]]-Sales[[#This Row],[Disc. Amt.]])*Sales[[#This Row],[GST %]]</f>
        <v>5718.8879999999999</v>
      </c>
      <c r="N1136" s="161">
        <f>Sales[[#This Row],[Gross Amount]]-Sales[[#This Row],[Disc. Amt.]]+Sales[[#This Row],[GST Amount]]</f>
        <v>37490.487999999998</v>
      </c>
      <c r="O1136" s="34" t="s">
        <v>3566</v>
      </c>
      <c r="P1136" s="34" t="s">
        <v>3562</v>
      </c>
      <c r="Q1136" s="165">
        <f>IF(Sales[[#This Row],[Status]]="Cancelled",0,Sales[[#This Row],[Qty]])</f>
        <v>2</v>
      </c>
      <c r="R1136" s="166">
        <f>IF(Sales[[#This Row],[Status]]="Cancelled",0,Sales[[#This Row],[Total Amount]])</f>
        <v>37490.487999999998</v>
      </c>
      <c r="S1136" s="162">
        <f>SUM(Sales[Net Amount])</f>
        <v>406839287.73200053</v>
      </c>
    </row>
    <row r="1137" spans="1:19" ht="18.75" x14ac:dyDescent="0.25">
      <c r="A1137" s="156" t="s">
        <v>4730</v>
      </c>
      <c r="B1137" s="157">
        <v>45838</v>
      </c>
      <c r="C1137" s="158" t="s">
        <v>715</v>
      </c>
      <c r="D1137" s="159" t="str">
        <f>VLOOKUP(Sales[[#This Row],[Customer ID]],Customer[#All],2,0)</f>
        <v>Sunita Patel</v>
      </c>
      <c r="E1137" s="158" t="s">
        <v>195</v>
      </c>
      <c r="F1137" s="158" t="str">
        <f>VLOOKUP(Sales[[#This Row],[Product ID]],Product[#All],2,0)</f>
        <v>Acer Laptop</v>
      </c>
      <c r="G1137" s="159">
        <v>6</v>
      </c>
      <c r="H1137" s="160">
        <f>VLOOKUP(Sales[[#This Row],[Product ID]],Product[#All],7,0)</f>
        <v>46790</v>
      </c>
      <c r="I1137" s="160">
        <f>Sales[[#This Row],[Selling Rate]]*Sales[[#This Row],[Qty]]</f>
        <v>280740</v>
      </c>
      <c r="J1137" s="43">
        <v>0.12</v>
      </c>
      <c r="K1137" s="44">
        <f>Sales[[#This Row],[Gross Amount]]*Sales[[#This Row],[Disc %]]</f>
        <v>33688.799999999996</v>
      </c>
      <c r="L1137" s="43">
        <v>0.18</v>
      </c>
      <c r="M1137" s="44">
        <f>(Sales[[#This Row],[Gross Amount]]-Sales[[#This Row],[Disc. Amt.]])*Sales[[#This Row],[GST %]]</f>
        <v>44469.216</v>
      </c>
      <c r="N1137" s="161">
        <f>Sales[[#This Row],[Gross Amount]]-Sales[[#This Row],[Disc. Amt.]]+Sales[[#This Row],[GST Amount]]</f>
        <v>291520.41600000003</v>
      </c>
      <c r="O1137" s="158" t="s">
        <v>3566</v>
      </c>
      <c r="P1137" s="158" t="s">
        <v>3562</v>
      </c>
      <c r="Q1137" s="160">
        <f>IF(Sales[[#This Row],[Status]]="Cancelled",0,Sales[[#This Row],[Qty]])</f>
        <v>6</v>
      </c>
      <c r="R1137" s="161">
        <f>IF(Sales[[#This Row],[Status]]="Cancelled",0,Sales[[#This Row],[Total Amount]])</f>
        <v>291520.41600000003</v>
      </c>
      <c r="S1137" s="162">
        <f>SUM(Sales[Net Amount])</f>
        <v>406839287.73200053</v>
      </c>
    </row>
    <row r="1138" spans="1:19" ht="18.75" x14ac:dyDescent="0.25">
      <c r="A1138" s="163" t="s">
        <v>4731</v>
      </c>
      <c r="B1138" s="164">
        <v>45838</v>
      </c>
      <c r="C1138" s="34" t="s">
        <v>704</v>
      </c>
      <c r="D1138" s="53" t="str">
        <f>VLOOKUP(Sales[[#This Row],[Customer ID]],Customer[#All],2,0)</f>
        <v>Rahul Gupta</v>
      </c>
      <c r="E1138" s="34" t="s">
        <v>333</v>
      </c>
      <c r="F1138" s="34" t="str">
        <f>VLOOKUP(Sales[[#This Row],[Product ID]],Product[#All],2,0)</f>
        <v>Logitech Keyboard</v>
      </c>
      <c r="G1138" s="53">
        <v>2</v>
      </c>
      <c r="H1138" s="165">
        <f>VLOOKUP(Sales[[#This Row],[Product ID]],Product[#All],7,0)</f>
        <v>3350</v>
      </c>
      <c r="I1138" s="165">
        <f>Sales[[#This Row],[Selling Rate]]*Sales[[#This Row],[Qty]]</f>
        <v>6700</v>
      </c>
      <c r="J1138" s="45">
        <v>0.02</v>
      </c>
      <c r="K1138" s="46">
        <f>Sales[[#This Row],[Gross Amount]]*Sales[[#This Row],[Disc %]]</f>
        <v>134</v>
      </c>
      <c r="L1138" s="43">
        <v>0.18</v>
      </c>
      <c r="M1138" s="46">
        <f>(Sales[[#This Row],[Gross Amount]]-Sales[[#This Row],[Disc. Amt.]])*Sales[[#This Row],[GST %]]</f>
        <v>1181.8799999999999</v>
      </c>
      <c r="N1138" s="161">
        <f>Sales[[#This Row],[Gross Amount]]-Sales[[#This Row],[Disc. Amt.]]+Sales[[#This Row],[GST Amount]]</f>
        <v>7747.88</v>
      </c>
      <c r="O1138" s="34" t="s">
        <v>8876</v>
      </c>
      <c r="P1138" s="34" t="s">
        <v>3562</v>
      </c>
      <c r="Q1138" s="165">
        <f>IF(Sales[[#This Row],[Status]]="Cancelled",0,Sales[[#This Row],[Qty]])</f>
        <v>2</v>
      </c>
      <c r="R1138" s="166">
        <f>IF(Sales[[#This Row],[Status]]="Cancelled",0,Sales[[#This Row],[Total Amount]])</f>
        <v>7747.88</v>
      </c>
      <c r="S1138" s="162">
        <f>SUM(Sales[Net Amount])</f>
        <v>406839287.73200053</v>
      </c>
    </row>
    <row r="1139" spans="1:19" ht="18.75" x14ac:dyDescent="0.25">
      <c r="A1139" s="156" t="s">
        <v>4732</v>
      </c>
      <c r="B1139" s="157">
        <v>45838</v>
      </c>
      <c r="C1139" s="158" t="s">
        <v>831</v>
      </c>
      <c r="D1139" s="159" t="str">
        <f>VLOOKUP(Sales[[#This Row],[Customer ID]],Customer[#All],2,0)</f>
        <v>Vikas Gupta</v>
      </c>
      <c r="E1139" s="158" t="s">
        <v>124</v>
      </c>
      <c r="F1139" s="158" t="str">
        <f>VLOOKUP(Sales[[#This Row],[Product ID]],Product[#All],2,0)</f>
        <v>Crucial Ssd</v>
      </c>
      <c r="G1139" s="159">
        <v>7</v>
      </c>
      <c r="H1139" s="160">
        <f>VLOOKUP(Sales[[#This Row],[Product ID]],Product[#All],7,0)</f>
        <v>14820</v>
      </c>
      <c r="I1139" s="160">
        <f>Sales[[#This Row],[Selling Rate]]*Sales[[#This Row],[Qty]]</f>
        <v>103740</v>
      </c>
      <c r="J1139" s="43">
        <v>0.15</v>
      </c>
      <c r="K1139" s="44">
        <f>Sales[[#This Row],[Gross Amount]]*Sales[[#This Row],[Disc %]]</f>
        <v>15561</v>
      </c>
      <c r="L1139" s="43">
        <v>0.18</v>
      </c>
      <c r="M1139" s="44">
        <f>(Sales[[#This Row],[Gross Amount]]-Sales[[#This Row],[Disc. Amt.]])*Sales[[#This Row],[GST %]]</f>
        <v>15872.22</v>
      </c>
      <c r="N1139" s="161">
        <f>Sales[[#This Row],[Gross Amount]]-Sales[[#This Row],[Disc. Amt.]]+Sales[[#This Row],[GST Amount]]</f>
        <v>104051.22</v>
      </c>
      <c r="O1139" s="158" t="s">
        <v>8876</v>
      </c>
      <c r="P1139" s="158" t="s">
        <v>3562</v>
      </c>
      <c r="Q1139" s="160">
        <f>IF(Sales[[#This Row],[Status]]="Cancelled",0,Sales[[#This Row],[Qty]])</f>
        <v>7</v>
      </c>
      <c r="R1139" s="161">
        <f>IF(Sales[[#This Row],[Status]]="Cancelled",0,Sales[[#This Row],[Total Amount]])</f>
        <v>104051.22</v>
      </c>
      <c r="S1139" s="162">
        <f>SUM(Sales[Net Amount])</f>
        <v>406839287.73200053</v>
      </c>
    </row>
    <row r="1140" spans="1:19" ht="18.75" x14ac:dyDescent="0.25">
      <c r="A1140" s="163" t="s">
        <v>4733</v>
      </c>
      <c r="B1140" s="164">
        <v>45838</v>
      </c>
      <c r="C1140" s="34" t="s">
        <v>787</v>
      </c>
      <c r="D1140" s="53" t="str">
        <f>VLOOKUP(Sales[[#This Row],[Customer ID]],Customer[#All],2,0)</f>
        <v>Amit Singh</v>
      </c>
      <c r="E1140" s="34" t="s">
        <v>453</v>
      </c>
      <c r="F1140" s="34" t="str">
        <f>VLOOKUP(Sales[[#This Row],[Product ID]],Product[#All],2,0)</f>
        <v>American TouristerLaptopBag</v>
      </c>
      <c r="G1140" s="53">
        <v>1</v>
      </c>
      <c r="H1140" s="165">
        <f>VLOOKUP(Sales[[#This Row],[Product ID]],Product[#All],7,0)</f>
        <v>3050</v>
      </c>
      <c r="I1140" s="165">
        <f>Sales[[#This Row],[Selling Rate]]*Sales[[#This Row],[Qty]]</f>
        <v>3050</v>
      </c>
      <c r="J1140" s="45">
        <v>0.05</v>
      </c>
      <c r="K1140" s="46">
        <f>Sales[[#This Row],[Gross Amount]]*Sales[[#This Row],[Disc %]]</f>
        <v>152.5</v>
      </c>
      <c r="L1140" s="43">
        <v>0.18</v>
      </c>
      <c r="M1140" s="46">
        <f>(Sales[[#This Row],[Gross Amount]]-Sales[[#This Row],[Disc. Amt.]])*Sales[[#This Row],[GST %]]</f>
        <v>521.54999999999995</v>
      </c>
      <c r="N1140" s="161">
        <f>Sales[[#This Row],[Gross Amount]]-Sales[[#This Row],[Disc. Amt.]]+Sales[[#This Row],[GST Amount]]</f>
        <v>3419.05</v>
      </c>
      <c r="O1140" s="34" t="s">
        <v>3561</v>
      </c>
      <c r="P1140" s="34" t="s">
        <v>3562</v>
      </c>
      <c r="Q1140" s="165">
        <f>IF(Sales[[#This Row],[Status]]="Cancelled",0,Sales[[#This Row],[Qty]])</f>
        <v>1</v>
      </c>
      <c r="R1140" s="166">
        <f>IF(Sales[[#This Row],[Status]]="Cancelled",0,Sales[[#This Row],[Total Amount]])</f>
        <v>3419.05</v>
      </c>
      <c r="S1140" s="162">
        <f>SUM(Sales[Net Amount])</f>
        <v>406839287.73200053</v>
      </c>
    </row>
    <row r="1141" spans="1:19" ht="18.75" x14ac:dyDescent="0.25">
      <c r="A1141" s="156" t="s">
        <v>4734</v>
      </c>
      <c r="B1141" s="157">
        <v>45838</v>
      </c>
      <c r="C1141" s="158" t="s">
        <v>690</v>
      </c>
      <c r="D1141" s="159" t="str">
        <f>VLOOKUP(Sales[[#This Row],[Customer ID]],Customer[#All],2,0)</f>
        <v>Priya Patel</v>
      </c>
      <c r="E1141" s="158" t="s">
        <v>349</v>
      </c>
      <c r="F1141" s="158" t="str">
        <f>VLOOKUP(Sales[[#This Row],[Product ID]],Product[#All],2,0)</f>
        <v>Samsung Monitor</v>
      </c>
      <c r="G1141" s="159">
        <v>2</v>
      </c>
      <c r="H1141" s="160">
        <f>VLOOKUP(Sales[[#This Row],[Product ID]],Product[#All],7,0)</f>
        <v>11070</v>
      </c>
      <c r="I1141" s="160">
        <f>Sales[[#This Row],[Selling Rate]]*Sales[[#This Row],[Qty]]</f>
        <v>22140</v>
      </c>
      <c r="J1141" s="43">
        <v>0.1</v>
      </c>
      <c r="K1141" s="44">
        <f>Sales[[#This Row],[Gross Amount]]*Sales[[#This Row],[Disc %]]</f>
        <v>2214</v>
      </c>
      <c r="L1141" s="43">
        <v>0.18</v>
      </c>
      <c r="M1141" s="44">
        <f>(Sales[[#This Row],[Gross Amount]]-Sales[[#This Row],[Disc. Amt.]])*Sales[[#This Row],[GST %]]</f>
        <v>3586.68</v>
      </c>
      <c r="N1141" s="161">
        <f>Sales[[#This Row],[Gross Amount]]-Sales[[#This Row],[Disc. Amt.]]+Sales[[#This Row],[GST Amount]]</f>
        <v>23512.68</v>
      </c>
      <c r="O1141" s="158" t="s">
        <v>3569</v>
      </c>
      <c r="P1141" s="158" t="s">
        <v>3562</v>
      </c>
      <c r="Q1141" s="160">
        <f>IF(Sales[[#This Row],[Status]]="Cancelled",0,Sales[[#This Row],[Qty]])</f>
        <v>2</v>
      </c>
      <c r="R1141" s="161">
        <f>IF(Sales[[#This Row],[Status]]="Cancelled",0,Sales[[#This Row],[Total Amount]])</f>
        <v>23512.68</v>
      </c>
      <c r="S1141" s="162">
        <f>SUM(Sales[Net Amount])</f>
        <v>406839287.73200053</v>
      </c>
    </row>
    <row r="1142" spans="1:19" ht="18.75" x14ac:dyDescent="0.25">
      <c r="A1142" s="163" t="s">
        <v>4735</v>
      </c>
      <c r="B1142" s="164">
        <v>45838</v>
      </c>
      <c r="C1142" s="34" t="s">
        <v>655</v>
      </c>
      <c r="D1142" s="53" t="str">
        <f>VLOOKUP(Sales[[#This Row],[Customer ID]],Customer[#All],2,0)</f>
        <v>Pooja Singh</v>
      </c>
      <c r="E1142" s="34" t="s">
        <v>488</v>
      </c>
      <c r="F1142" s="34" t="str">
        <f>VLOOKUP(Sales[[#This Row],[Product ID]],Product[#All],2,0)</f>
        <v>Samsung Monitor</v>
      </c>
      <c r="G1142" s="53">
        <v>2</v>
      </c>
      <c r="H1142" s="165">
        <f>VLOOKUP(Sales[[#This Row],[Product ID]],Product[#All],7,0)</f>
        <v>32720</v>
      </c>
      <c r="I1142" s="165">
        <f>Sales[[#This Row],[Selling Rate]]*Sales[[#This Row],[Qty]]</f>
        <v>65440</v>
      </c>
      <c r="J1142" s="45">
        <v>0.05</v>
      </c>
      <c r="K1142" s="46">
        <f>Sales[[#This Row],[Gross Amount]]*Sales[[#This Row],[Disc %]]</f>
        <v>3272</v>
      </c>
      <c r="L1142" s="43">
        <v>0.18</v>
      </c>
      <c r="M1142" s="46">
        <f>(Sales[[#This Row],[Gross Amount]]-Sales[[#This Row],[Disc. Amt.]])*Sales[[#This Row],[GST %]]</f>
        <v>11190.24</v>
      </c>
      <c r="N1142" s="161">
        <f>Sales[[#This Row],[Gross Amount]]-Sales[[#This Row],[Disc. Amt.]]+Sales[[#This Row],[GST Amount]]</f>
        <v>73358.240000000005</v>
      </c>
      <c r="O1142" s="34" t="s">
        <v>3561</v>
      </c>
      <c r="P1142" s="34" t="s">
        <v>3562</v>
      </c>
      <c r="Q1142" s="165">
        <f>IF(Sales[[#This Row],[Status]]="Cancelled",0,Sales[[#This Row],[Qty]])</f>
        <v>2</v>
      </c>
      <c r="R1142" s="166">
        <f>IF(Sales[[#This Row],[Status]]="Cancelled",0,Sales[[#This Row],[Total Amount]])</f>
        <v>73358.240000000005</v>
      </c>
      <c r="S1142" s="162">
        <f>SUM(Sales[Net Amount])</f>
        <v>406839287.73200053</v>
      </c>
    </row>
    <row r="1143" spans="1:19" ht="18.75" x14ac:dyDescent="0.25">
      <c r="A1143" s="156" t="s">
        <v>4736</v>
      </c>
      <c r="B1143" s="157">
        <v>45838</v>
      </c>
      <c r="C1143" s="158" t="s">
        <v>795</v>
      </c>
      <c r="D1143" s="159" t="str">
        <f>VLOOKUP(Sales[[#This Row],[Customer ID]],Customer[#All],2,0)</f>
        <v>Sahil Gupta</v>
      </c>
      <c r="E1143" s="158" t="s">
        <v>144</v>
      </c>
      <c r="F1143" s="158" t="str">
        <f>VLOOKUP(Sales[[#This Row],[Product ID]],Product[#All],2,0)</f>
        <v>Jbl Speaker</v>
      </c>
      <c r="G1143" s="159">
        <v>6</v>
      </c>
      <c r="H1143" s="160">
        <f>VLOOKUP(Sales[[#This Row],[Product ID]],Product[#All],7,0)</f>
        <v>7630</v>
      </c>
      <c r="I1143" s="160">
        <f>Sales[[#This Row],[Selling Rate]]*Sales[[#This Row],[Qty]]</f>
        <v>45780</v>
      </c>
      <c r="J1143" s="43">
        <v>0</v>
      </c>
      <c r="K1143" s="44">
        <f>Sales[[#This Row],[Gross Amount]]*Sales[[#This Row],[Disc %]]</f>
        <v>0</v>
      </c>
      <c r="L1143" s="43">
        <v>0.18</v>
      </c>
      <c r="M1143" s="44">
        <f>(Sales[[#This Row],[Gross Amount]]-Sales[[#This Row],[Disc. Amt.]])*Sales[[#This Row],[GST %]]</f>
        <v>8240.4</v>
      </c>
      <c r="N1143" s="161">
        <f>Sales[[#This Row],[Gross Amount]]-Sales[[#This Row],[Disc. Amt.]]+Sales[[#This Row],[GST Amount]]</f>
        <v>54020.4</v>
      </c>
      <c r="O1143" s="158" t="s">
        <v>8876</v>
      </c>
      <c r="P1143" s="158" t="s">
        <v>3562</v>
      </c>
      <c r="Q1143" s="160">
        <f>IF(Sales[[#This Row],[Status]]="Cancelled",0,Sales[[#This Row],[Qty]])</f>
        <v>6</v>
      </c>
      <c r="R1143" s="161">
        <f>IF(Sales[[#This Row],[Status]]="Cancelled",0,Sales[[#This Row],[Total Amount]])</f>
        <v>54020.4</v>
      </c>
      <c r="S1143" s="162">
        <f>SUM(Sales[Net Amount])</f>
        <v>406839287.73200053</v>
      </c>
    </row>
    <row r="1144" spans="1:19" ht="18.75" x14ac:dyDescent="0.25">
      <c r="A1144" s="163" t="s">
        <v>4737</v>
      </c>
      <c r="B1144" s="164">
        <v>45838</v>
      </c>
      <c r="C1144" s="34" t="s">
        <v>780</v>
      </c>
      <c r="D1144" s="53" t="str">
        <f>VLOOKUP(Sales[[#This Row],[Customer ID]],Customer[#All],2,0)</f>
        <v>Sahil Gupta</v>
      </c>
      <c r="E1144" s="34" t="s">
        <v>273</v>
      </c>
      <c r="F1144" s="34" t="str">
        <f>VLOOKUP(Sales[[#This Row],[Product ID]],Product[#All],2,0)</f>
        <v>Boat Headset</v>
      </c>
      <c r="G1144" s="53">
        <v>1</v>
      </c>
      <c r="H1144" s="165">
        <f>VLOOKUP(Sales[[#This Row],[Product ID]],Product[#All],7,0)</f>
        <v>4970</v>
      </c>
      <c r="I1144" s="165">
        <f>Sales[[#This Row],[Selling Rate]]*Sales[[#This Row],[Qty]]</f>
        <v>4970</v>
      </c>
      <c r="J1144" s="45">
        <v>0.05</v>
      </c>
      <c r="K1144" s="46">
        <f>Sales[[#This Row],[Gross Amount]]*Sales[[#This Row],[Disc %]]</f>
        <v>248.5</v>
      </c>
      <c r="L1144" s="43">
        <v>0.18</v>
      </c>
      <c r="M1144" s="46">
        <f>(Sales[[#This Row],[Gross Amount]]-Sales[[#This Row],[Disc. Amt.]])*Sales[[#This Row],[GST %]]</f>
        <v>849.87</v>
      </c>
      <c r="N1144" s="161">
        <f>Sales[[#This Row],[Gross Amount]]-Sales[[#This Row],[Disc. Amt.]]+Sales[[#This Row],[GST Amount]]</f>
        <v>5571.37</v>
      </c>
      <c r="O1144" s="34" t="s">
        <v>8876</v>
      </c>
      <c r="P1144" s="34" t="s">
        <v>3562</v>
      </c>
      <c r="Q1144" s="165">
        <f>IF(Sales[[#This Row],[Status]]="Cancelled",0,Sales[[#This Row],[Qty]])</f>
        <v>1</v>
      </c>
      <c r="R1144" s="166">
        <f>IF(Sales[[#This Row],[Status]]="Cancelled",0,Sales[[#This Row],[Total Amount]])</f>
        <v>5571.37</v>
      </c>
      <c r="S1144" s="162">
        <f>SUM(Sales[Net Amount])</f>
        <v>406839287.73200053</v>
      </c>
    </row>
    <row r="1145" spans="1:19" ht="18.75" x14ac:dyDescent="0.25">
      <c r="A1145" s="156" t="s">
        <v>4738</v>
      </c>
      <c r="B1145" s="157">
        <v>45838</v>
      </c>
      <c r="C1145" s="158" t="s">
        <v>915</v>
      </c>
      <c r="D1145" s="159" t="str">
        <f>VLOOKUP(Sales[[#This Row],[Customer ID]],Customer[#All],2,0)</f>
        <v>Sunita Kumar</v>
      </c>
      <c r="E1145" s="158" t="s">
        <v>18</v>
      </c>
      <c r="F1145" s="158" t="str">
        <f>VLOOKUP(Sales[[#This Row],[Product ID]],Product[#All],2,0)</f>
        <v>TP-link Bluetooth Adapter</v>
      </c>
      <c r="G1145" s="159">
        <v>2</v>
      </c>
      <c r="H1145" s="160">
        <f>VLOOKUP(Sales[[#This Row],[Product ID]],Product[#All],7,0)</f>
        <v>870</v>
      </c>
      <c r="I1145" s="160">
        <f>Sales[[#This Row],[Selling Rate]]*Sales[[#This Row],[Qty]]</f>
        <v>1740</v>
      </c>
      <c r="J1145" s="43">
        <v>0.05</v>
      </c>
      <c r="K1145" s="44">
        <f>Sales[[#This Row],[Gross Amount]]*Sales[[#This Row],[Disc %]]</f>
        <v>87</v>
      </c>
      <c r="L1145" s="43">
        <v>0.18</v>
      </c>
      <c r="M1145" s="44">
        <f>(Sales[[#This Row],[Gross Amount]]-Sales[[#This Row],[Disc. Amt.]])*Sales[[#This Row],[GST %]]</f>
        <v>297.53999999999996</v>
      </c>
      <c r="N1145" s="161">
        <f>Sales[[#This Row],[Gross Amount]]-Sales[[#This Row],[Disc. Amt.]]+Sales[[#This Row],[GST Amount]]</f>
        <v>1950.54</v>
      </c>
      <c r="O1145" s="158" t="s">
        <v>3561</v>
      </c>
      <c r="P1145" s="158" t="s">
        <v>3562</v>
      </c>
      <c r="Q1145" s="160">
        <f>IF(Sales[[#This Row],[Status]]="Cancelled",0,Sales[[#This Row],[Qty]])</f>
        <v>2</v>
      </c>
      <c r="R1145" s="161">
        <f>IF(Sales[[#This Row],[Status]]="Cancelled",0,Sales[[#This Row],[Total Amount]])</f>
        <v>1950.54</v>
      </c>
      <c r="S1145" s="162">
        <f>SUM(Sales[Net Amount])</f>
        <v>406839287.73200053</v>
      </c>
    </row>
    <row r="1146" spans="1:19" ht="18.75" x14ac:dyDescent="0.25">
      <c r="A1146" s="163" t="s">
        <v>4739</v>
      </c>
      <c r="B1146" s="164">
        <v>45838</v>
      </c>
      <c r="C1146" s="34" t="s">
        <v>879</v>
      </c>
      <c r="D1146" s="53" t="str">
        <f>VLOOKUP(Sales[[#This Row],[Customer ID]],Customer[#All],2,0)</f>
        <v>Ankit Patel</v>
      </c>
      <c r="E1146" s="34" t="s">
        <v>65</v>
      </c>
      <c r="F1146" s="34" t="str">
        <f>VLOOKUP(Sales[[#This Row],[Product ID]],Product[#All],2,0)</f>
        <v>Dell Power Adapter</v>
      </c>
      <c r="G1146" s="53">
        <v>3</v>
      </c>
      <c r="H1146" s="165">
        <f>VLOOKUP(Sales[[#This Row],[Product ID]],Product[#All],7,0)</f>
        <v>2070</v>
      </c>
      <c r="I1146" s="165">
        <f>Sales[[#This Row],[Selling Rate]]*Sales[[#This Row],[Qty]]</f>
        <v>6210</v>
      </c>
      <c r="J1146" s="45">
        <v>0</v>
      </c>
      <c r="K1146" s="46">
        <f>Sales[[#This Row],[Gross Amount]]*Sales[[#This Row],[Disc %]]</f>
        <v>0</v>
      </c>
      <c r="L1146" s="43">
        <v>0.18</v>
      </c>
      <c r="M1146" s="46">
        <f>(Sales[[#This Row],[Gross Amount]]-Sales[[#This Row],[Disc. Amt.]])*Sales[[#This Row],[GST %]]</f>
        <v>1117.8</v>
      </c>
      <c r="N1146" s="161">
        <f>Sales[[#This Row],[Gross Amount]]-Sales[[#This Row],[Disc. Amt.]]+Sales[[#This Row],[GST Amount]]</f>
        <v>7327.8</v>
      </c>
      <c r="O1146" s="34" t="s">
        <v>3566</v>
      </c>
      <c r="P1146" s="34" t="s">
        <v>3562</v>
      </c>
      <c r="Q1146" s="165">
        <f>IF(Sales[[#This Row],[Status]]="Cancelled",0,Sales[[#This Row],[Qty]])</f>
        <v>3</v>
      </c>
      <c r="R1146" s="166">
        <f>IF(Sales[[#This Row],[Status]]="Cancelled",0,Sales[[#This Row],[Total Amount]])</f>
        <v>7327.8</v>
      </c>
      <c r="S1146" s="162">
        <f>SUM(Sales[Net Amount])</f>
        <v>406839287.73200053</v>
      </c>
    </row>
    <row r="1147" spans="1:19" ht="18.75" x14ac:dyDescent="0.25">
      <c r="A1147" s="156" t="s">
        <v>4740</v>
      </c>
      <c r="B1147" s="157">
        <v>45838</v>
      </c>
      <c r="C1147" s="158" t="s">
        <v>945</v>
      </c>
      <c r="D1147" s="159" t="str">
        <f>VLOOKUP(Sales[[#This Row],[Customer ID]],Customer[#All],2,0)</f>
        <v>Rahul Singh</v>
      </c>
      <c r="E1147" s="158" t="s">
        <v>224</v>
      </c>
      <c r="F1147" s="158" t="str">
        <f>VLOOKUP(Sales[[#This Row],[Product ID]],Product[#All],2,0)</f>
        <v>Seagate HDD</v>
      </c>
      <c r="G1147" s="159">
        <v>2</v>
      </c>
      <c r="H1147" s="160">
        <f>VLOOKUP(Sales[[#This Row],[Product ID]],Product[#All],7,0)</f>
        <v>8130</v>
      </c>
      <c r="I1147" s="160">
        <f>Sales[[#This Row],[Selling Rate]]*Sales[[#This Row],[Qty]]</f>
        <v>16260</v>
      </c>
      <c r="J1147" s="43">
        <v>0.12</v>
      </c>
      <c r="K1147" s="44">
        <f>Sales[[#This Row],[Gross Amount]]*Sales[[#This Row],[Disc %]]</f>
        <v>1951.1999999999998</v>
      </c>
      <c r="L1147" s="43">
        <v>0.18</v>
      </c>
      <c r="M1147" s="44">
        <f>(Sales[[#This Row],[Gross Amount]]-Sales[[#This Row],[Disc. Amt.]])*Sales[[#This Row],[GST %]]</f>
        <v>2575.5839999999998</v>
      </c>
      <c r="N1147" s="161">
        <f>Sales[[#This Row],[Gross Amount]]-Sales[[#This Row],[Disc. Amt.]]+Sales[[#This Row],[GST Amount]]</f>
        <v>16884.383999999998</v>
      </c>
      <c r="O1147" s="158" t="s">
        <v>8876</v>
      </c>
      <c r="P1147" s="158" t="s">
        <v>3562</v>
      </c>
      <c r="Q1147" s="160">
        <f>IF(Sales[[#This Row],[Status]]="Cancelled",0,Sales[[#This Row],[Qty]])</f>
        <v>2</v>
      </c>
      <c r="R1147" s="161">
        <f>IF(Sales[[#This Row],[Status]]="Cancelled",0,Sales[[#This Row],[Total Amount]])</f>
        <v>16884.383999999998</v>
      </c>
      <c r="S1147" s="162">
        <f>SUM(Sales[Net Amount])</f>
        <v>406839287.73200053</v>
      </c>
    </row>
    <row r="1148" spans="1:19" ht="18.75" x14ac:dyDescent="0.25">
      <c r="A1148" s="163" t="s">
        <v>4741</v>
      </c>
      <c r="B1148" s="164">
        <v>45838</v>
      </c>
      <c r="C1148" s="34" t="s">
        <v>881</v>
      </c>
      <c r="D1148" s="53" t="str">
        <f>VLOOKUP(Sales[[#This Row],[Customer ID]],Customer[#All],2,0)</f>
        <v>Vikas Verma</v>
      </c>
      <c r="E1148" s="34" t="s">
        <v>141</v>
      </c>
      <c r="F1148" s="34" t="str">
        <f>VLOOKUP(Sales[[#This Row],[Product ID]],Product[#All],2,0)</f>
        <v>WD HDD</v>
      </c>
      <c r="G1148" s="53">
        <v>2</v>
      </c>
      <c r="H1148" s="165">
        <f>VLOOKUP(Sales[[#This Row],[Product ID]],Product[#All],7,0)</f>
        <v>15230</v>
      </c>
      <c r="I1148" s="165">
        <f>Sales[[#This Row],[Selling Rate]]*Sales[[#This Row],[Qty]]</f>
        <v>30460</v>
      </c>
      <c r="J1148" s="45">
        <v>0.05</v>
      </c>
      <c r="K1148" s="46">
        <f>Sales[[#This Row],[Gross Amount]]*Sales[[#This Row],[Disc %]]</f>
        <v>1523</v>
      </c>
      <c r="L1148" s="43">
        <v>0.18</v>
      </c>
      <c r="M1148" s="46">
        <f>(Sales[[#This Row],[Gross Amount]]-Sales[[#This Row],[Disc. Amt.]])*Sales[[#This Row],[GST %]]</f>
        <v>5208.66</v>
      </c>
      <c r="N1148" s="161">
        <f>Sales[[#This Row],[Gross Amount]]-Sales[[#This Row],[Disc. Amt.]]+Sales[[#This Row],[GST Amount]]</f>
        <v>34145.660000000003</v>
      </c>
      <c r="O1148" s="34" t="s">
        <v>8876</v>
      </c>
      <c r="P1148" s="34" t="s">
        <v>3562</v>
      </c>
      <c r="Q1148" s="165">
        <f>IF(Sales[[#This Row],[Status]]="Cancelled",0,Sales[[#This Row],[Qty]])</f>
        <v>2</v>
      </c>
      <c r="R1148" s="166">
        <f>IF(Sales[[#This Row],[Status]]="Cancelled",0,Sales[[#This Row],[Total Amount]])</f>
        <v>34145.660000000003</v>
      </c>
      <c r="S1148" s="162">
        <f>SUM(Sales[Net Amount])</f>
        <v>406839287.73200053</v>
      </c>
    </row>
    <row r="1149" spans="1:19" ht="18.75" x14ac:dyDescent="0.25">
      <c r="A1149" s="156" t="s">
        <v>4742</v>
      </c>
      <c r="B1149" s="157">
        <v>45838</v>
      </c>
      <c r="C1149" s="158" t="s">
        <v>747</v>
      </c>
      <c r="D1149" s="159" t="str">
        <f>VLOOKUP(Sales[[#This Row],[Customer ID]],Customer[#All],2,0)</f>
        <v>Sunita Gupta</v>
      </c>
      <c r="E1149" s="158" t="s">
        <v>407</v>
      </c>
      <c r="F1149" s="158" t="str">
        <f>VLOOKUP(Sales[[#This Row],[Product ID]],Product[#All],2,0)</f>
        <v>Lenovo Laptop</v>
      </c>
      <c r="G1149" s="159">
        <v>8</v>
      </c>
      <c r="H1149" s="160">
        <f>VLOOKUP(Sales[[#This Row],[Product ID]],Product[#All],7,0)</f>
        <v>44700</v>
      </c>
      <c r="I1149" s="160">
        <f>Sales[[#This Row],[Selling Rate]]*Sales[[#This Row],[Qty]]</f>
        <v>357600</v>
      </c>
      <c r="J1149" s="43">
        <v>0.15</v>
      </c>
      <c r="K1149" s="44">
        <f>Sales[[#This Row],[Gross Amount]]*Sales[[#This Row],[Disc %]]</f>
        <v>53640</v>
      </c>
      <c r="L1149" s="43">
        <v>0.18</v>
      </c>
      <c r="M1149" s="44">
        <f>(Sales[[#This Row],[Gross Amount]]-Sales[[#This Row],[Disc. Amt.]])*Sales[[#This Row],[GST %]]</f>
        <v>54712.799999999996</v>
      </c>
      <c r="N1149" s="161">
        <f>Sales[[#This Row],[Gross Amount]]-Sales[[#This Row],[Disc. Amt.]]+Sales[[#This Row],[GST Amount]]</f>
        <v>358672.8</v>
      </c>
      <c r="O1149" s="158" t="s">
        <v>3561</v>
      </c>
      <c r="P1149" s="158" t="s">
        <v>3562</v>
      </c>
      <c r="Q1149" s="160">
        <f>IF(Sales[[#This Row],[Status]]="Cancelled",0,Sales[[#This Row],[Qty]])</f>
        <v>8</v>
      </c>
      <c r="R1149" s="161">
        <f>IF(Sales[[#This Row],[Status]]="Cancelled",0,Sales[[#This Row],[Total Amount]])</f>
        <v>358672.8</v>
      </c>
      <c r="S1149" s="162">
        <f>SUM(Sales[Net Amount])</f>
        <v>406839287.73200053</v>
      </c>
    </row>
    <row r="1150" spans="1:19" ht="18.75" x14ac:dyDescent="0.25">
      <c r="A1150" s="163" t="s">
        <v>4743</v>
      </c>
      <c r="B1150" s="164">
        <v>45838</v>
      </c>
      <c r="C1150" s="34" t="s">
        <v>727</v>
      </c>
      <c r="D1150" s="53" t="str">
        <f>VLOOKUP(Sales[[#This Row],[Customer ID]],Customer[#All],2,0)</f>
        <v>Sahil Sharma</v>
      </c>
      <c r="E1150" s="34" t="s">
        <v>310</v>
      </c>
      <c r="F1150" s="34" t="str">
        <f>VLOOKUP(Sales[[#This Row],[Product ID]],Product[#All],2,0)</f>
        <v>TP-link Wi-Fi Adapter</v>
      </c>
      <c r="G1150" s="53">
        <v>2</v>
      </c>
      <c r="H1150" s="165">
        <f>VLOOKUP(Sales[[#This Row],[Product ID]],Product[#All],7,0)</f>
        <v>700</v>
      </c>
      <c r="I1150" s="165">
        <f>Sales[[#This Row],[Selling Rate]]*Sales[[#This Row],[Qty]]</f>
        <v>1400</v>
      </c>
      <c r="J1150" s="45">
        <v>0</v>
      </c>
      <c r="K1150" s="46">
        <f>Sales[[#This Row],[Gross Amount]]*Sales[[#This Row],[Disc %]]</f>
        <v>0</v>
      </c>
      <c r="L1150" s="43">
        <v>0.18</v>
      </c>
      <c r="M1150" s="46">
        <f>(Sales[[#This Row],[Gross Amount]]-Sales[[#This Row],[Disc. Amt.]])*Sales[[#This Row],[GST %]]</f>
        <v>252</v>
      </c>
      <c r="N1150" s="161">
        <f>Sales[[#This Row],[Gross Amount]]-Sales[[#This Row],[Disc. Amt.]]+Sales[[#This Row],[GST Amount]]</f>
        <v>1652</v>
      </c>
      <c r="O1150" s="34" t="s">
        <v>3561</v>
      </c>
      <c r="P1150" s="34" t="s">
        <v>3562</v>
      </c>
      <c r="Q1150" s="165">
        <f>IF(Sales[[#This Row],[Status]]="Cancelled",0,Sales[[#This Row],[Qty]])</f>
        <v>2</v>
      </c>
      <c r="R1150" s="166">
        <f>IF(Sales[[#This Row],[Status]]="Cancelled",0,Sales[[#This Row],[Total Amount]])</f>
        <v>1652</v>
      </c>
      <c r="S1150" s="162">
        <f>SUM(Sales[Net Amount])</f>
        <v>406839287.73200053</v>
      </c>
    </row>
    <row r="1151" spans="1:19" ht="18.75" x14ac:dyDescent="0.25">
      <c r="A1151" s="156" t="s">
        <v>4744</v>
      </c>
      <c r="B1151" s="157">
        <v>45838</v>
      </c>
      <c r="C1151" s="158" t="s">
        <v>856</v>
      </c>
      <c r="D1151" s="159" t="str">
        <f>VLOOKUP(Sales[[#This Row],[Customer ID]],Customer[#All],2,0)</f>
        <v>Sunita Verma</v>
      </c>
      <c r="E1151" s="158" t="s">
        <v>215</v>
      </c>
      <c r="F1151" s="158" t="str">
        <f>VLOOKUP(Sales[[#This Row],[Product ID]],Product[#All],2,0)</f>
        <v>Apc UPS</v>
      </c>
      <c r="G1151" s="159">
        <v>6</v>
      </c>
      <c r="H1151" s="160">
        <f>VLOOKUP(Sales[[#This Row],[Product ID]],Product[#All],7,0)</f>
        <v>10210</v>
      </c>
      <c r="I1151" s="160">
        <f>Sales[[#This Row],[Selling Rate]]*Sales[[#This Row],[Qty]]</f>
        <v>61260</v>
      </c>
      <c r="J1151" s="43">
        <v>0</v>
      </c>
      <c r="K1151" s="44">
        <f>Sales[[#This Row],[Gross Amount]]*Sales[[#This Row],[Disc %]]</f>
        <v>0</v>
      </c>
      <c r="L1151" s="43">
        <v>0.18</v>
      </c>
      <c r="M1151" s="44">
        <f>(Sales[[#This Row],[Gross Amount]]-Sales[[#This Row],[Disc. Amt.]])*Sales[[#This Row],[GST %]]</f>
        <v>11026.8</v>
      </c>
      <c r="N1151" s="161">
        <f>Sales[[#This Row],[Gross Amount]]-Sales[[#This Row],[Disc. Amt.]]+Sales[[#This Row],[GST Amount]]</f>
        <v>72286.8</v>
      </c>
      <c r="O1151" s="158" t="s">
        <v>3569</v>
      </c>
      <c r="P1151" s="158" t="s">
        <v>3562</v>
      </c>
      <c r="Q1151" s="160">
        <f>IF(Sales[[#This Row],[Status]]="Cancelled",0,Sales[[#This Row],[Qty]])</f>
        <v>6</v>
      </c>
      <c r="R1151" s="161">
        <f>IF(Sales[[#This Row],[Status]]="Cancelled",0,Sales[[#This Row],[Total Amount]])</f>
        <v>72286.8</v>
      </c>
      <c r="S1151" s="162">
        <f>SUM(Sales[Net Amount])</f>
        <v>406839287.73200053</v>
      </c>
    </row>
    <row r="1152" spans="1:19" ht="18.75" x14ac:dyDescent="0.25">
      <c r="A1152" s="163" t="s">
        <v>4745</v>
      </c>
      <c r="B1152" s="164">
        <v>45838</v>
      </c>
      <c r="C1152" s="34" t="s">
        <v>852</v>
      </c>
      <c r="D1152" s="53" t="str">
        <f>VLOOKUP(Sales[[#This Row],[Customer ID]],Customer[#All],2,0)</f>
        <v>Neha Singh</v>
      </c>
      <c r="E1152" s="34" t="s">
        <v>432</v>
      </c>
      <c r="F1152" s="34" t="str">
        <f>VLOOKUP(Sales[[#This Row],[Product ID]],Product[#All],2,0)</f>
        <v>Boat Speaker</v>
      </c>
      <c r="G1152" s="53">
        <v>5</v>
      </c>
      <c r="H1152" s="165">
        <f>VLOOKUP(Sales[[#This Row],[Product ID]],Product[#All],7,0)</f>
        <v>750</v>
      </c>
      <c r="I1152" s="165">
        <f>Sales[[#This Row],[Selling Rate]]*Sales[[#This Row],[Qty]]</f>
        <v>3750</v>
      </c>
      <c r="J1152" s="45">
        <v>0</v>
      </c>
      <c r="K1152" s="46">
        <f>Sales[[#This Row],[Gross Amount]]*Sales[[#This Row],[Disc %]]</f>
        <v>0</v>
      </c>
      <c r="L1152" s="43">
        <v>0.18</v>
      </c>
      <c r="M1152" s="46">
        <f>(Sales[[#This Row],[Gross Amount]]-Sales[[#This Row],[Disc. Amt.]])*Sales[[#This Row],[GST %]]</f>
        <v>675</v>
      </c>
      <c r="N1152" s="161">
        <f>Sales[[#This Row],[Gross Amount]]-Sales[[#This Row],[Disc. Amt.]]+Sales[[#This Row],[GST Amount]]</f>
        <v>4425</v>
      </c>
      <c r="O1152" s="34" t="s">
        <v>3566</v>
      </c>
      <c r="P1152" s="34" t="s">
        <v>3562</v>
      </c>
      <c r="Q1152" s="165">
        <f>IF(Sales[[#This Row],[Status]]="Cancelled",0,Sales[[#This Row],[Qty]])</f>
        <v>5</v>
      </c>
      <c r="R1152" s="166">
        <f>IF(Sales[[#This Row],[Status]]="Cancelled",0,Sales[[#This Row],[Total Amount]])</f>
        <v>4425</v>
      </c>
      <c r="S1152" s="162">
        <f>SUM(Sales[Net Amount])</f>
        <v>406839287.73200053</v>
      </c>
    </row>
    <row r="1153" spans="1:19" ht="18.75" x14ac:dyDescent="0.25">
      <c r="A1153" s="156" t="s">
        <v>4746</v>
      </c>
      <c r="B1153" s="157">
        <v>45839</v>
      </c>
      <c r="C1153" s="158" t="s">
        <v>908</v>
      </c>
      <c r="D1153" s="159" t="str">
        <f>VLOOKUP(Sales[[#This Row],[Customer ID]],Customer[#All],2,0)</f>
        <v>Rahul Singh</v>
      </c>
      <c r="E1153" s="158" t="s">
        <v>242</v>
      </c>
      <c r="F1153" s="158" t="str">
        <f>VLOOKUP(Sales[[#This Row],[Product ID]],Product[#All],2,0)</f>
        <v>HP Printer</v>
      </c>
      <c r="G1153" s="159">
        <v>8</v>
      </c>
      <c r="H1153" s="160">
        <f>VLOOKUP(Sales[[#This Row],[Product ID]],Product[#All],7,0)</f>
        <v>20380</v>
      </c>
      <c r="I1153" s="160">
        <f>Sales[[#This Row],[Selling Rate]]*Sales[[#This Row],[Qty]]</f>
        <v>163040</v>
      </c>
      <c r="J1153" s="43">
        <v>0.05</v>
      </c>
      <c r="K1153" s="44">
        <f>Sales[[#This Row],[Gross Amount]]*Sales[[#This Row],[Disc %]]</f>
        <v>8152</v>
      </c>
      <c r="L1153" s="43">
        <v>0.18</v>
      </c>
      <c r="M1153" s="44">
        <f>(Sales[[#This Row],[Gross Amount]]-Sales[[#This Row],[Disc. Amt.]])*Sales[[#This Row],[GST %]]</f>
        <v>27879.84</v>
      </c>
      <c r="N1153" s="161">
        <f>Sales[[#This Row],[Gross Amount]]-Sales[[#This Row],[Disc. Amt.]]+Sales[[#This Row],[GST Amount]]</f>
        <v>182767.84</v>
      </c>
      <c r="O1153" s="158" t="s">
        <v>3569</v>
      </c>
      <c r="P1153" s="158" t="s">
        <v>3562</v>
      </c>
      <c r="Q1153" s="160">
        <f>IF(Sales[[#This Row],[Status]]="Cancelled",0,Sales[[#This Row],[Qty]])</f>
        <v>8</v>
      </c>
      <c r="R1153" s="161">
        <f>IF(Sales[[#This Row],[Status]]="Cancelled",0,Sales[[#This Row],[Total Amount]])</f>
        <v>182767.84</v>
      </c>
      <c r="S1153" s="162">
        <f>SUM(Sales[Net Amount])</f>
        <v>406839287.73200053</v>
      </c>
    </row>
    <row r="1154" spans="1:19" ht="18.75" x14ac:dyDescent="0.25">
      <c r="A1154" s="163" t="s">
        <v>4747</v>
      </c>
      <c r="B1154" s="164">
        <v>45839</v>
      </c>
      <c r="C1154" s="34" t="s">
        <v>707</v>
      </c>
      <c r="D1154" s="53" t="str">
        <f>VLOOKUP(Sales[[#This Row],[Customer ID]],Customer[#All],2,0)</f>
        <v>Rahul Verma</v>
      </c>
      <c r="E1154" s="34" t="s">
        <v>201</v>
      </c>
      <c r="F1154" s="34" t="str">
        <f>VLOOKUP(Sales[[#This Row],[Product ID]],Product[#All],2,0)</f>
        <v>Jbl Headset</v>
      </c>
      <c r="G1154" s="53">
        <v>4</v>
      </c>
      <c r="H1154" s="165">
        <f>VLOOKUP(Sales[[#This Row],[Product ID]],Product[#All],7,0)</f>
        <v>2580</v>
      </c>
      <c r="I1154" s="165">
        <f>Sales[[#This Row],[Selling Rate]]*Sales[[#This Row],[Qty]]</f>
        <v>10320</v>
      </c>
      <c r="J1154" s="45">
        <v>0.05</v>
      </c>
      <c r="K1154" s="46">
        <f>Sales[[#This Row],[Gross Amount]]*Sales[[#This Row],[Disc %]]</f>
        <v>516</v>
      </c>
      <c r="L1154" s="43">
        <v>0.18</v>
      </c>
      <c r="M1154" s="46">
        <f>(Sales[[#This Row],[Gross Amount]]-Sales[[#This Row],[Disc. Amt.]])*Sales[[#This Row],[GST %]]</f>
        <v>1764.72</v>
      </c>
      <c r="N1154" s="161">
        <f>Sales[[#This Row],[Gross Amount]]-Sales[[#This Row],[Disc. Amt.]]+Sales[[#This Row],[GST Amount]]</f>
        <v>11568.72</v>
      </c>
      <c r="O1154" s="34" t="s">
        <v>8876</v>
      </c>
      <c r="P1154" s="34" t="s">
        <v>3562</v>
      </c>
      <c r="Q1154" s="165">
        <f>IF(Sales[[#This Row],[Status]]="Cancelled",0,Sales[[#This Row],[Qty]])</f>
        <v>4</v>
      </c>
      <c r="R1154" s="166">
        <f>IF(Sales[[#This Row],[Status]]="Cancelled",0,Sales[[#This Row],[Total Amount]])</f>
        <v>11568.72</v>
      </c>
      <c r="S1154" s="162">
        <f>SUM(Sales[Net Amount])</f>
        <v>406839287.73200053</v>
      </c>
    </row>
    <row r="1155" spans="1:19" ht="18.75" x14ac:dyDescent="0.25">
      <c r="A1155" s="156" t="s">
        <v>4748</v>
      </c>
      <c r="B1155" s="157">
        <v>45839</v>
      </c>
      <c r="C1155" s="158" t="s">
        <v>780</v>
      </c>
      <c r="D1155" s="159" t="str">
        <f>VLOOKUP(Sales[[#This Row],[Customer ID]],Customer[#All],2,0)</f>
        <v>Sahil Gupta</v>
      </c>
      <c r="E1155" s="158" t="s">
        <v>425</v>
      </c>
      <c r="F1155" s="158" t="str">
        <f>VLOOKUP(Sales[[#This Row],[Product ID]],Product[#All],2,0)</f>
        <v>WD HDD</v>
      </c>
      <c r="G1155" s="159">
        <v>3</v>
      </c>
      <c r="H1155" s="160">
        <f>VLOOKUP(Sales[[#This Row],[Product ID]],Product[#All],7,0)</f>
        <v>7660</v>
      </c>
      <c r="I1155" s="160">
        <f>Sales[[#This Row],[Selling Rate]]*Sales[[#This Row],[Qty]]</f>
        <v>22980</v>
      </c>
      <c r="J1155" s="43">
        <v>0.15</v>
      </c>
      <c r="K1155" s="44">
        <f>Sales[[#This Row],[Gross Amount]]*Sales[[#This Row],[Disc %]]</f>
        <v>3447</v>
      </c>
      <c r="L1155" s="43">
        <v>0.18</v>
      </c>
      <c r="M1155" s="44">
        <f>(Sales[[#This Row],[Gross Amount]]-Sales[[#This Row],[Disc. Amt.]])*Sales[[#This Row],[GST %]]</f>
        <v>3515.94</v>
      </c>
      <c r="N1155" s="161">
        <f>Sales[[#This Row],[Gross Amount]]-Sales[[#This Row],[Disc. Amt.]]+Sales[[#This Row],[GST Amount]]</f>
        <v>23048.94</v>
      </c>
      <c r="O1155" s="158" t="s">
        <v>3561</v>
      </c>
      <c r="P1155" s="158" t="s">
        <v>3562</v>
      </c>
      <c r="Q1155" s="160">
        <f>IF(Sales[[#This Row],[Status]]="Cancelled",0,Sales[[#This Row],[Qty]])</f>
        <v>3</v>
      </c>
      <c r="R1155" s="161">
        <f>IF(Sales[[#This Row],[Status]]="Cancelled",0,Sales[[#This Row],[Total Amount]])</f>
        <v>23048.94</v>
      </c>
      <c r="S1155" s="162">
        <f>SUM(Sales[Net Amount])</f>
        <v>406839287.73200053</v>
      </c>
    </row>
    <row r="1156" spans="1:19" ht="18.75" x14ac:dyDescent="0.25">
      <c r="A1156" s="163" t="s">
        <v>4749</v>
      </c>
      <c r="B1156" s="164">
        <v>45839</v>
      </c>
      <c r="C1156" s="34" t="s">
        <v>706</v>
      </c>
      <c r="D1156" s="53" t="str">
        <f>VLOOKUP(Sales[[#This Row],[Customer ID]],Customer[#All],2,0)</f>
        <v>Amit Sharma</v>
      </c>
      <c r="E1156" s="34" t="s">
        <v>402</v>
      </c>
      <c r="F1156" s="34" t="str">
        <f>VLOOKUP(Sales[[#This Row],[Product ID]],Product[#All],2,0)</f>
        <v>Logitech Keyboard</v>
      </c>
      <c r="G1156" s="53">
        <v>5</v>
      </c>
      <c r="H1156" s="165">
        <f>VLOOKUP(Sales[[#This Row],[Product ID]],Product[#All],7,0)</f>
        <v>3500</v>
      </c>
      <c r="I1156" s="165">
        <f>Sales[[#This Row],[Selling Rate]]*Sales[[#This Row],[Qty]]</f>
        <v>17500</v>
      </c>
      <c r="J1156" s="45">
        <v>0.12</v>
      </c>
      <c r="K1156" s="46">
        <f>Sales[[#This Row],[Gross Amount]]*Sales[[#This Row],[Disc %]]</f>
        <v>2100</v>
      </c>
      <c r="L1156" s="43">
        <v>0.18</v>
      </c>
      <c r="M1156" s="46">
        <f>(Sales[[#This Row],[Gross Amount]]-Sales[[#This Row],[Disc. Amt.]])*Sales[[#This Row],[GST %]]</f>
        <v>2772</v>
      </c>
      <c r="N1156" s="161">
        <f>Sales[[#This Row],[Gross Amount]]-Sales[[#This Row],[Disc. Amt.]]+Sales[[#This Row],[GST Amount]]</f>
        <v>18172</v>
      </c>
      <c r="O1156" s="34" t="s">
        <v>3561</v>
      </c>
      <c r="P1156" s="34" t="s">
        <v>3562</v>
      </c>
      <c r="Q1156" s="165">
        <f>IF(Sales[[#This Row],[Status]]="Cancelled",0,Sales[[#This Row],[Qty]])</f>
        <v>5</v>
      </c>
      <c r="R1156" s="166">
        <f>IF(Sales[[#This Row],[Status]]="Cancelled",0,Sales[[#This Row],[Total Amount]])</f>
        <v>18172</v>
      </c>
      <c r="S1156" s="162">
        <f>SUM(Sales[Net Amount])</f>
        <v>406839287.73200053</v>
      </c>
    </row>
    <row r="1157" spans="1:19" ht="18.75" x14ac:dyDescent="0.25">
      <c r="A1157" s="156" t="s">
        <v>4750</v>
      </c>
      <c r="B1157" s="157">
        <v>45839</v>
      </c>
      <c r="C1157" s="158" t="s">
        <v>798</v>
      </c>
      <c r="D1157" s="159" t="str">
        <f>VLOOKUP(Sales[[#This Row],[Customer ID]],Customer[#All],2,0)</f>
        <v>Amit Singh</v>
      </c>
      <c r="E1157" s="158" t="s">
        <v>297</v>
      </c>
      <c r="F1157" s="158" t="str">
        <f>VLOOKUP(Sales[[#This Row],[Product ID]],Product[#All],2,0)</f>
        <v>Dell Desktop</v>
      </c>
      <c r="G1157" s="159">
        <v>7</v>
      </c>
      <c r="H1157" s="160">
        <f>VLOOKUP(Sales[[#This Row],[Product ID]],Product[#All],7,0)</f>
        <v>39300</v>
      </c>
      <c r="I1157" s="160">
        <f>Sales[[#This Row],[Selling Rate]]*Sales[[#This Row],[Qty]]</f>
        <v>275100</v>
      </c>
      <c r="J1157" s="43">
        <v>0</v>
      </c>
      <c r="K1157" s="44">
        <f>Sales[[#This Row],[Gross Amount]]*Sales[[#This Row],[Disc %]]</f>
        <v>0</v>
      </c>
      <c r="L1157" s="43">
        <v>0.18</v>
      </c>
      <c r="M1157" s="44">
        <f>(Sales[[#This Row],[Gross Amount]]-Sales[[#This Row],[Disc. Amt.]])*Sales[[#This Row],[GST %]]</f>
        <v>49518</v>
      </c>
      <c r="N1157" s="161">
        <f>Sales[[#This Row],[Gross Amount]]-Sales[[#This Row],[Disc. Amt.]]+Sales[[#This Row],[GST Amount]]</f>
        <v>324618</v>
      </c>
      <c r="O1157" s="158" t="s">
        <v>3566</v>
      </c>
      <c r="P1157" s="158" t="s">
        <v>3562</v>
      </c>
      <c r="Q1157" s="160">
        <f>IF(Sales[[#This Row],[Status]]="Cancelled",0,Sales[[#This Row],[Qty]])</f>
        <v>7</v>
      </c>
      <c r="R1157" s="161">
        <f>IF(Sales[[#This Row],[Status]]="Cancelled",0,Sales[[#This Row],[Total Amount]])</f>
        <v>324618</v>
      </c>
      <c r="S1157" s="162">
        <f>SUM(Sales[Net Amount])</f>
        <v>406839287.73200053</v>
      </c>
    </row>
    <row r="1158" spans="1:19" ht="18.75" x14ac:dyDescent="0.25">
      <c r="A1158" s="163" t="s">
        <v>4751</v>
      </c>
      <c r="B1158" s="164">
        <v>45839</v>
      </c>
      <c r="C1158" s="34" t="s">
        <v>657</v>
      </c>
      <c r="D1158" s="53" t="str">
        <f>VLOOKUP(Sales[[#This Row],[Customer ID]],Customer[#All],2,0)</f>
        <v>Rahul Verma</v>
      </c>
      <c r="E1158" s="34" t="s">
        <v>118</v>
      </c>
      <c r="F1158" s="34" t="str">
        <f>VLOOKUP(Sales[[#This Row],[Product ID]],Product[#All],2,0)</f>
        <v>American TouristerLaptopBag</v>
      </c>
      <c r="G1158" s="53">
        <v>7</v>
      </c>
      <c r="H1158" s="165">
        <f>VLOOKUP(Sales[[#This Row],[Product ID]],Product[#All],7,0)</f>
        <v>4160</v>
      </c>
      <c r="I1158" s="165">
        <f>Sales[[#This Row],[Selling Rate]]*Sales[[#This Row],[Qty]]</f>
        <v>29120</v>
      </c>
      <c r="J1158" s="45">
        <v>0</v>
      </c>
      <c r="K1158" s="46">
        <f>Sales[[#This Row],[Gross Amount]]*Sales[[#This Row],[Disc %]]</f>
        <v>0</v>
      </c>
      <c r="L1158" s="43">
        <v>0.18</v>
      </c>
      <c r="M1158" s="46">
        <f>(Sales[[#This Row],[Gross Amount]]-Sales[[#This Row],[Disc. Amt.]])*Sales[[#This Row],[GST %]]</f>
        <v>5241.5999999999995</v>
      </c>
      <c r="N1158" s="161">
        <f>Sales[[#This Row],[Gross Amount]]-Sales[[#This Row],[Disc. Amt.]]+Sales[[#This Row],[GST Amount]]</f>
        <v>34361.599999999999</v>
      </c>
      <c r="O1158" s="34" t="s">
        <v>3561</v>
      </c>
      <c r="P1158" s="34" t="s">
        <v>3562</v>
      </c>
      <c r="Q1158" s="165">
        <f>IF(Sales[[#This Row],[Status]]="Cancelled",0,Sales[[#This Row],[Qty]])</f>
        <v>7</v>
      </c>
      <c r="R1158" s="166">
        <f>IF(Sales[[#This Row],[Status]]="Cancelled",0,Sales[[#This Row],[Total Amount]])</f>
        <v>34361.599999999999</v>
      </c>
      <c r="S1158" s="162">
        <f>SUM(Sales[Net Amount])</f>
        <v>406839287.73200053</v>
      </c>
    </row>
    <row r="1159" spans="1:19" ht="18.75" x14ac:dyDescent="0.25">
      <c r="A1159" s="156" t="s">
        <v>4752</v>
      </c>
      <c r="B1159" s="157">
        <v>45839</v>
      </c>
      <c r="C1159" s="158" t="s">
        <v>661</v>
      </c>
      <c r="D1159" s="159" t="str">
        <f>VLOOKUP(Sales[[#This Row],[Customer ID]],Customer[#All],2,0)</f>
        <v>Pooja Gupta</v>
      </c>
      <c r="E1159" s="158" t="s">
        <v>491</v>
      </c>
      <c r="F1159" s="158" t="str">
        <f>VLOOKUP(Sales[[#This Row],[Product ID]],Product[#All],2,0)</f>
        <v>Boat Speaker</v>
      </c>
      <c r="G1159" s="159">
        <v>6</v>
      </c>
      <c r="H1159" s="160">
        <f>VLOOKUP(Sales[[#This Row],[Product ID]],Product[#All],7,0)</f>
        <v>2300</v>
      </c>
      <c r="I1159" s="160">
        <f>Sales[[#This Row],[Selling Rate]]*Sales[[#This Row],[Qty]]</f>
        <v>13800</v>
      </c>
      <c r="J1159" s="43">
        <v>0.02</v>
      </c>
      <c r="K1159" s="44">
        <f>Sales[[#This Row],[Gross Amount]]*Sales[[#This Row],[Disc %]]</f>
        <v>276</v>
      </c>
      <c r="L1159" s="43">
        <v>0.18</v>
      </c>
      <c r="M1159" s="44">
        <f>(Sales[[#This Row],[Gross Amount]]-Sales[[#This Row],[Disc. Amt.]])*Sales[[#This Row],[GST %]]</f>
        <v>2434.3199999999997</v>
      </c>
      <c r="N1159" s="161">
        <f>Sales[[#This Row],[Gross Amount]]-Sales[[#This Row],[Disc. Amt.]]+Sales[[#This Row],[GST Amount]]</f>
        <v>15958.32</v>
      </c>
      <c r="O1159" s="158" t="s">
        <v>3569</v>
      </c>
      <c r="P1159" s="158" t="s">
        <v>3562</v>
      </c>
      <c r="Q1159" s="160">
        <f>IF(Sales[[#This Row],[Status]]="Cancelled",0,Sales[[#This Row],[Qty]])</f>
        <v>6</v>
      </c>
      <c r="R1159" s="161">
        <f>IF(Sales[[#This Row],[Status]]="Cancelled",0,Sales[[#This Row],[Total Amount]])</f>
        <v>15958.32</v>
      </c>
      <c r="S1159" s="162">
        <f>SUM(Sales[Net Amount])</f>
        <v>406839287.73200053</v>
      </c>
    </row>
    <row r="1160" spans="1:19" ht="18.75" x14ac:dyDescent="0.25">
      <c r="A1160" s="163" t="s">
        <v>4753</v>
      </c>
      <c r="B1160" s="164">
        <v>45839</v>
      </c>
      <c r="C1160" s="34" t="s">
        <v>909</v>
      </c>
      <c r="D1160" s="53" t="str">
        <f>VLOOKUP(Sales[[#This Row],[Customer ID]],Customer[#All],2,0)</f>
        <v>Priya Sharma</v>
      </c>
      <c r="E1160" s="34" t="s">
        <v>476</v>
      </c>
      <c r="F1160" s="34" t="str">
        <f>VLOOKUP(Sales[[#This Row],[Product ID]],Product[#All],2,0)</f>
        <v>Sandisk Pen Drive</v>
      </c>
      <c r="G1160" s="53">
        <v>1</v>
      </c>
      <c r="H1160" s="165">
        <f>VLOOKUP(Sales[[#This Row],[Product ID]],Product[#All],7,0)</f>
        <v>650</v>
      </c>
      <c r="I1160" s="165">
        <f>Sales[[#This Row],[Selling Rate]]*Sales[[#This Row],[Qty]]</f>
        <v>650</v>
      </c>
      <c r="J1160" s="45">
        <v>0.05</v>
      </c>
      <c r="K1160" s="46">
        <f>Sales[[#This Row],[Gross Amount]]*Sales[[#This Row],[Disc %]]</f>
        <v>32.5</v>
      </c>
      <c r="L1160" s="43">
        <v>0.18</v>
      </c>
      <c r="M1160" s="46">
        <f>(Sales[[#This Row],[Gross Amount]]-Sales[[#This Row],[Disc. Amt.]])*Sales[[#This Row],[GST %]]</f>
        <v>111.14999999999999</v>
      </c>
      <c r="N1160" s="161">
        <f>Sales[[#This Row],[Gross Amount]]-Sales[[#This Row],[Disc. Amt.]]+Sales[[#This Row],[GST Amount]]</f>
        <v>728.65</v>
      </c>
      <c r="O1160" s="34" t="s">
        <v>8876</v>
      </c>
      <c r="P1160" s="34" t="s">
        <v>3562</v>
      </c>
      <c r="Q1160" s="165">
        <f>IF(Sales[[#This Row],[Status]]="Cancelled",0,Sales[[#This Row],[Qty]])</f>
        <v>1</v>
      </c>
      <c r="R1160" s="166">
        <f>IF(Sales[[#This Row],[Status]]="Cancelled",0,Sales[[#This Row],[Total Amount]])</f>
        <v>728.65</v>
      </c>
      <c r="S1160" s="162">
        <f>SUM(Sales[Net Amount])</f>
        <v>406839287.73200053</v>
      </c>
    </row>
    <row r="1161" spans="1:19" ht="18.75" x14ac:dyDescent="0.25">
      <c r="A1161" s="156" t="s">
        <v>4754</v>
      </c>
      <c r="B1161" s="157">
        <v>45839</v>
      </c>
      <c r="C1161" s="158" t="s">
        <v>861</v>
      </c>
      <c r="D1161" s="159" t="str">
        <f>VLOOKUP(Sales[[#This Row],[Customer ID]],Customer[#All],2,0)</f>
        <v>Rakesh Patel</v>
      </c>
      <c r="E1161" s="158" t="s">
        <v>340</v>
      </c>
      <c r="F1161" s="158" t="str">
        <f>VLOOKUP(Sales[[#This Row],[Product ID]],Product[#All],2,0)</f>
        <v>Amazon Basics Hdmi Cable</v>
      </c>
      <c r="G1161" s="159">
        <v>6</v>
      </c>
      <c r="H1161" s="160">
        <f>VLOOKUP(Sales[[#This Row],[Product ID]],Product[#All],7,0)</f>
        <v>1150</v>
      </c>
      <c r="I1161" s="160">
        <f>Sales[[#This Row],[Selling Rate]]*Sales[[#This Row],[Qty]]</f>
        <v>6900</v>
      </c>
      <c r="J1161" s="43">
        <v>0.15</v>
      </c>
      <c r="K1161" s="44">
        <f>Sales[[#This Row],[Gross Amount]]*Sales[[#This Row],[Disc %]]</f>
        <v>1035</v>
      </c>
      <c r="L1161" s="43">
        <v>0.18</v>
      </c>
      <c r="M1161" s="44">
        <f>(Sales[[#This Row],[Gross Amount]]-Sales[[#This Row],[Disc. Amt.]])*Sales[[#This Row],[GST %]]</f>
        <v>1055.7</v>
      </c>
      <c r="N1161" s="161">
        <f>Sales[[#This Row],[Gross Amount]]-Sales[[#This Row],[Disc. Amt.]]+Sales[[#This Row],[GST Amount]]</f>
        <v>6920.7</v>
      </c>
      <c r="O1161" s="158" t="s">
        <v>3566</v>
      </c>
      <c r="P1161" s="158" t="s">
        <v>3562</v>
      </c>
      <c r="Q1161" s="160">
        <f>IF(Sales[[#This Row],[Status]]="Cancelled",0,Sales[[#This Row],[Qty]])</f>
        <v>6</v>
      </c>
      <c r="R1161" s="161">
        <f>IF(Sales[[#This Row],[Status]]="Cancelled",0,Sales[[#This Row],[Total Amount]])</f>
        <v>6920.7</v>
      </c>
      <c r="S1161" s="162">
        <f>SUM(Sales[Net Amount])</f>
        <v>406839287.73200053</v>
      </c>
    </row>
    <row r="1162" spans="1:19" ht="18.75" x14ac:dyDescent="0.25">
      <c r="A1162" s="163" t="s">
        <v>4755</v>
      </c>
      <c r="B1162" s="164">
        <v>45839</v>
      </c>
      <c r="C1162" s="34" t="s">
        <v>786</v>
      </c>
      <c r="D1162" s="53" t="str">
        <f>VLOOKUP(Sales[[#This Row],[Customer ID]],Customer[#All],2,0)</f>
        <v>Pooja Kumar</v>
      </c>
      <c r="E1162" s="34" t="s">
        <v>231</v>
      </c>
      <c r="F1162" s="34" t="str">
        <f>VLOOKUP(Sales[[#This Row],[Product ID]],Product[#All],2,0)</f>
        <v>TP-link Wi-Fi Adapter</v>
      </c>
      <c r="G1162" s="53">
        <v>3</v>
      </c>
      <c r="H1162" s="165">
        <f>VLOOKUP(Sales[[#This Row],[Product ID]],Product[#All],7,0)</f>
        <v>2200</v>
      </c>
      <c r="I1162" s="165">
        <f>Sales[[#This Row],[Selling Rate]]*Sales[[#This Row],[Qty]]</f>
        <v>6600</v>
      </c>
      <c r="J1162" s="45">
        <v>0.1</v>
      </c>
      <c r="K1162" s="46">
        <f>Sales[[#This Row],[Gross Amount]]*Sales[[#This Row],[Disc %]]</f>
        <v>660</v>
      </c>
      <c r="L1162" s="43">
        <v>0.18</v>
      </c>
      <c r="M1162" s="46">
        <f>(Sales[[#This Row],[Gross Amount]]-Sales[[#This Row],[Disc. Amt.]])*Sales[[#This Row],[GST %]]</f>
        <v>1069.2</v>
      </c>
      <c r="N1162" s="161">
        <f>Sales[[#This Row],[Gross Amount]]-Sales[[#This Row],[Disc. Amt.]]+Sales[[#This Row],[GST Amount]]</f>
        <v>7009.2</v>
      </c>
      <c r="O1162" s="34" t="s">
        <v>8876</v>
      </c>
      <c r="P1162" s="34" t="s">
        <v>3562</v>
      </c>
      <c r="Q1162" s="165">
        <f>IF(Sales[[#This Row],[Status]]="Cancelled",0,Sales[[#This Row],[Qty]])</f>
        <v>3</v>
      </c>
      <c r="R1162" s="166">
        <f>IF(Sales[[#This Row],[Status]]="Cancelled",0,Sales[[#This Row],[Total Amount]])</f>
        <v>7009.2</v>
      </c>
      <c r="S1162" s="162">
        <f>SUM(Sales[Net Amount])</f>
        <v>406839287.73200053</v>
      </c>
    </row>
    <row r="1163" spans="1:19" ht="18.75" x14ac:dyDescent="0.25">
      <c r="A1163" s="156" t="s">
        <v>4756</v>
      </c>
      <c r="B1163" s="157">
        <v>45839</v>
      </c>
      <c r="C1163" s="158" t="s">
        <v>930</v>
      </c>
      <c r="D1163" s="159" t="str">
        <f>VLOOKUP(Sales[[#This Row],[Customer ID]],Customer[#All],2,0)</f>
        <v>Rakesh Gupta</v>
      </c>
      <c r="E1163" s="158" t="s">
        <v>541</v>
      </c>
      <c r="F1163" s="158" t="str">
        <f>VLOOKUP(Sales[[#This Row],[Product ID]],Product[#All],2,0)</f>
        <v>Crucial Ssd</v>
      </c>
      <c r="G1163" s="159">
        <v>3</v>
      </c>
      <c r="H1163" s="160">
        <f>VLOOKUP(Sales[[#This Row],[Product ID]],Product[#All],7,0)</f>
        <v>9350</v>
      </c>
      <c r="I1163" s="160">
        <f>Sales[[#This Row],[Selling Rate]]*Sales[[#This Row],[Qty]]</f>
        <v>28050</v>
      </c>
      <c r="J1163" s="43">
        <v>0.12</v>
      </c>
      <c r="K1163" s="44">
        <f>Sales[[#This Row],[Gross Amount]]*Sales[[#This Row],[Disc %]]</f>
        <v>3366</v>
      </c>
      <c r="L1163" s="43">
        <v>0.18</v>
      </c>
      <c r="M1163" s="44">
        <f>(Sales[[#This Row],[Gross Amount]]-Sales[[#This Row],[Disc. Amt.]])*Sales[[#This Row],[GST %]]</f>
        <v>4443.12</v>
      </c>
      <c r="N1163" s="161">
        <f>Sales[[#This Row],[Gross Amount]]-Sales[[#This Row],[Disc. Amt.]]+Sales[[#This Row],[GST Amount]]</f>
        <v>29127.119999999999</v>
      </c>
      <c r="O1163" s="158" t="s">
        <v>3569</v>
      </c>
      <c r="P1163" s="158" t="s">
        <v>3562</v>
      </c>
      <c r="Q1163" s="160">
        <f>IF(Sales[[#This Row],[Status]]="Cancelled",0,Sales[[#This Row],[Qty]])</f>
        <v>3</v>
      </c>
      <c r="R1163" s="161">
        <f>IF(Sales[[#This Row],[Status]]="Cancelled",0,Sales[[#This Row],[Total Amount]])</f>
        <v>29127.119999999999</v>
      </c>
      <c r="S1163" s="162">
        <f>SUM(Sales[Net Amount])</f>
        <v>406839287.73200053</v>
      </c>
    </row>
    <row r="1164" spans="1:19" ht="18.75" x14ac:dyDescent="0.25">
      <c r="A1164" s="163" t="s">
        <v>4757</v>
      </c>
      <c r="B1164" s="164">
        <v>45839</v>
      </c>
      <c r="C1164" s="34" t="s">
        <v>745</v>
      </c>
      <c r="D1164" s="53" t="str">
        <f>VLOOKUP(Sales[[#This Row],[Customer ID]],Customer[#All],2,0)</f>
        <v>Priya Kumar</v>
      </c>
      <c r="E1164" s="34" t="s">
        <v>89</v>
      </c>
      <c r="F1164" s="34" t="str">
        <f>VLOOKUP(Sales[[#This Row],[Product ID]],Product[#All],2,0)</f>
        <v>Portronics USB Cable</v>
      </c>
      <c r="G1164" s="53">
        <v>6</v>
      </c>
      <c r="H1164" s="165">
        <f>VLOOKUP(Sales[[#This Row],[Product ID]],Product[#All],7,0)</f>
        <v>390</v>
      </c>
      <c r="I1164" s="165">
        <f>Sales[[#This Row],[Selling Rate]]*Sales[[#This Row],[Qty]]</f>
        <v>2340</v>
      </c>
      <c r="J1164" s="45">
        <v>0</v>
      </c>
      <c r="K1164" s="46">
        <f>Sales[[#This Row],[Gross Amount]]*Sales[[#This Row],[Disc %]]</f>
        <v>0</v>
      </c>
      <c r="L1164" s="43">
        <v>0.18</v>
      </c>
      <c r="M1164" s="46">
        <f>(Sales[[#This Row],[Gross Amount]]-Sales[[#This Row],[Disc. Amt.]])*Sales[[#This Row],[GST %]]</f>
        <v>421.2</v>
      </c>
      <c r="N1164" s="161">
        <f>Sales[[#This Row],[Gross Amount]]-Sales[[#This Row],[Disc. Amt.]]+Sales[[#This Row],[GST Amount]]</f>
        <v>2761.2</v>
      </c>
      <c r="O1164" s="34" t="s">
        <v>3561</v>
      </c>
      <c r="P1164" s="34" t="s">
        <v>3562</v>
      </c>
      <c r="Q1164" s="165">
        <f>IF(Sales[[#This Row],[Status]]="Cancelled",0,Sales[[#This Row],[Qty]])</f>
        <v>6</v>
      </c>
      <c r="R1164" s="166">
        <f>IF(Sales[[#This Row],[Status]]="Cancelled",0,Sales[[#This Row],[Total Amount]])</f>
        <v>2761.2</v>
      </c>
      <c r="S1164" s="162">
        <f>SUM(Sales[Net Amount])</f>
        <v>406839287.73200053</v>
      </c>
    </row>
    <row r="1165" spans="1:19" ht="18.75" x14ac:dyDescent="0.25">
      <c r="A1165" s="156" t="s">
        <v>4758</v>
      </c>
      <c r="B1165" s="157">
        <v>45839</v>
      </c>
      <c r="C1165" s="158" t="s">
        <v>857</v>
      </c>
      <c r="D1165" s="159" t="str">
        <f>VLOOKUP(Sales[[#This Row],[Customer ID]],Customer[#All],2,0)</f>
        <v>Pooja Singh</v>
      </c>
      <c r="E1165" s="158" t="s">
        <v>163</v>
      </c>
      <c r="F1165" s="158" t="str">
        <f>VLOOKUP(Sales[[#This Row],[Product ID]],Product[#All],2,0)</f>
        <v>Corsair Ram</v>
      </c>
      <c r="G1165" s="159">
        <v>6</v>
      </c>
      <c r="H1165" s="160">
        <f>VLOOKUP(Sales[[#This Row],[Product ID]],Product[#All],7,0)</f>
        <v>16210</v>
      </c>
      <c r="I1165" s="160">
        <f>Sales[[#This Row],[Selling Rate]]*Sales[[#This Row],[Qty]]</f>
        <v>97260</v>
      </c>
      <c r="J1165" s="43">
        <v>0.12</v>
      </c>
      <c r="K1165" s="44">
        <f>Sales[[#This Row],[Gross Amount]]*Sales[[#This Row],[Disc %]]</f>
        <v>11671.199999999999</v>
      </c>
      <c r="L1165" s="43">
        <v>0.18</v>
      </c>
      <c r="M1165" s="44">
        <f>(Sales[[#This Row],[Gross Amount]]-Sales[[#This Row],[Disc. Amt.]])*Sales[[#This Row],[GST %]]</f>
        <v>15405.984</v>
      </c>
      <c r="N1165" s="161">
        <f>Sales[[#This Row],[Gross Amount]]-Sales[[#This Row],[Disc. Amt.]]+Sales[[#This Row],[GST Amount]]</f>
        <v>100994.784</v>
      </c>
      <c r="O1165" s="158" t="s">
        <v>8876</v>
      </c>
      <c r="P1165" s="158" t="s">
        <v>3562</v>
      </c>
      <c r="Q1165" s="160">
        <f>IF(Sales[[#This Row],[Status]]="Cancelled",0,Sales[[#This Row],[Qty]])</f>
        <v>6</v>
      </c>
      <c r="R1165" s="161">
        <f>IF(Sales[[#This Row],[Status]]="Cancelled",0,Sales[[#This Row],[Total Amount]])</f>
        <v>100994.784</v>
      </c>
      <c r="S1165" s="162">
        <f>SUM(Sales[Net Amount])</f>
        <v>406839287.73200053</v>
      </c>
    </row>
    <row r="1166" spans="1:19" ht="18.75" x14ac:dyDescent="0.25">
      <c r="A1166" s="163" t="s">
        <v>4759</v>
      </c>
      <c r="B1166" s="164">
        <v>45839</v>
      </c>
      <c r="C1166" s="34" t="s">
        <v>847</v>
      </c>
      <c r="D1166" s="53" t="str">
        <f>VLOOKUP(Sales[[#This Row],[Customer ID]],Customer[#All],2,0)</f>
        <v>Ankit Gupta</v>
      </c>
      <c r="E1166" s="34" t="s">
        <v>490</v>
      </c>
      <c r="F1166" s="34" t="str">
        <f>VLOOKUP(Sales[[#This Row],[Product ID]],Product[#All],2,0)</f>
        <v>Acer Laptop</v>
      </c>
      <c r="G1166" s="53">
        <v>3</v>
      </c>
      <c r="H1166" s="165">
        <f>VLOOKUP(Sales[[#This Row],[Product ID]],Product[#All],7,0)</f>
        <v>38490</v>
      </c>
      <c r="I1166" s="165">
        <f>Sales[[#This Row],[Selling Rate]]*Sales[[#This Row],[Qty]]</f>
        <v>115470</v>
      </c>
      <c r="J1166" s="45">
        <v>0.05</v>
      </c>
      <c r="K1166" s="46">
        <f>Sales[[#This Row],[Gross Amount]]*Sales[[#This Row],[Disc %]]</f>
        <v>5773.5</v>
      </c>
      <c r="L1166" s="43">
        <v>0.18</v>
      </c>
      <c r="M1166" s="46">
        <f>(Sales[[#This Row],[Gross Amount]]-Sales[[#This Row],[Disc. Amt.]])*Sales[[#This Row],[GST %]]</f>
        <v>19745.37</v>
      </c>
      <c r="N1166" s="161">
        <f>Sales[[#This Row],[Gross Amount]]-Sales[[#This Row],[Disc. Amt.]]+Sales[[#This Row],[GST Amount]]</f>
        <v>129441.87</v>
      </c>
      <c r="O1166" s="34" t="s">
        <v>3561</v>
      </c>
      <c r="P1166" s="34" t="s">
        <v>3562</v>
      </c>
      <c r="Q1166" s="165">
        <f>IF(Sales[[#This Row],[Status]]="Cancelled",0,Sales[[#This Row],[Qty]])</f>
        <v>3</v>
      </c>
      <c r="R1166" s="166">
        <f>IF(Sales[[#This Row],[Status]]="Cancelled",0,Sales[[#This Row],[Total Amount]])</f>
        <v>129441.87</v>
      </c>
      <c r="S1166" s="162">
        <f>SUM(Sales[Net Amount])</f>
        <v>406839287.73200053</v>
      </c>
    </row>
    <row r="1167" spans="1:19" ht="18.75" x14ac:dyDescent="0.25">
      <c r="A1167" s="156" t="s">
        <v>4760</v>
      </c>
      <c r="B1167" s="157">
        <v>45839</v>
      </c>
      <c r="C1167" s="158" t="s">
        <v>925</v>
      </c>
      <c r="D1167" s="159" t="str">
        <f>VLOOKUP(Sales[[#This Row],[Customer ID]],Customer[#All],2,0)</f>
        <v>Neha Singh</v>
      </c>
      <c r="E1167" s="158" t="s">
        <v>297</v>
      </c>
      <c r="F1167" s="158" t="str">
        <f>VLOOKUP(Sales[[#This Row],[Product ID]],Product[#All],2,0)</f>
        <v>Dell Desktop</v>
      </c>
      <c r="G1167" s="159">
        <v>6</v>
      </c>
      <c r="H1167" s="160">
        <f>VLOOKUP(Sales[[#This Row],[Product ID]],Product[#All],7,0)</f>
        <v>39300</v>
      </c>
      <c r="I1167" s="160">
        <f>Sales[[#This Row],[Selling Rate]]*Sales[[#This Row],[Qty]]</f>
        <v>235800</v>
      </c>
      <c r="J1167" s="43">
        <v>0.02</v>
      </c>
      <c r="K1167" s="44">
        <f>Sales[[#This Row],[Gross Amount]]*Sales[[#This Row],[Disc %]]</f>
        <v>4716</v>
      </c>
      <c r="L1167" s="43">
        <v>0.18</v>
      </c>
      <c r="M1167" s="44">
        <f>(Sales[[#This Row],[Gross Amount]]-Sales[[#This Row],[Disc. Amt.]])*Sales[[#This Row],[GST %]]</f>
        <v>41595.119999999995</v>
      </c>
      <c r="N1167" s="161">
        <f>Sales[[#This Row],[Gross Amount]]-Sales[[#This Row],[Disc. Amt.]]+Sales[[#This Row],[GST Amount]]</f>
        <v>272679.12</v>
      </c>
      <c r="O1167" s="158" t="s">
        <v>3566</v>
      </c>
      <c r="P1167" s="158" t="s">
        <v>3562</v>
      </c>
      <c r="Q1167" s="160">
        <f>IF(Sales[[#This Row],[Status]]="Cancelled",0,Sales[[#This Row],[Qty]])</f>
        <v>6</v>
      </c>
      <c r="R1167" s="161">
        <f>IF(Sales[[#This Row],[Status]]="Cancelled",0,Sales[[#This Row],[Total Amount]])</f>
        <v>272679.12</v>
      </c>
      <c r="S1167" s="162">
        <f>SUM(Sales[Net Amount])</f>
        <v>406839287.73200053</v>
      </c>
    </row>
    <row r="1168" spans="1:19" ht="18.75" x14ac:dyDescent="0.25">
      <c r="A1168" s="163" t="s">
        <v>4761</v>
      </c>
      <c r="B1168" s="164">
        <v>45839</v>
      </c>
      <c r="C1168" s="34" t="s">
        <v>740</v>
      </c>
      <c r="D1168" s="53" t="str">
        <f>VLOOKUP(Sales[[#This Row],[Customer ID]],Customer[#All],2,0)</f>
        <v>Vikas Gupta</v>
      </c>
      <c r="E1168" s="34" t="s">
        <v>265</v>
      </c>
      <c r="F1168" s="34" t="str">
        <f>VLOOKUP(Sales[[#This Row],[Product ID]],Product[#All],2,0)</f>
        <v>Canon Printer</v>
      </c>
      <c r="G1168" s="53">
        <v>6</v>
      </c>
      <c r="H1168" s="165">
        <f>VLOOKUP(Sales[[#This Row],[Product ID]],Product[#All],7,0)</f>
        <v>33970</v>
      </c>
      <c r="I1168" s="165">
        <f>Sales[[#This Row],[Selling Rate]]*Sales[[#This Row],[Qty]]</f>
        <v>203820</v>
      </c>
      <c r="J1168" s="45">
        <v>0.12</v>
      </c>
      <c r="K1168" s="46">
        <f>Sales[[#This Row],[Gross Amount]]*Sales[[#This Row],[Disc %]]</f>
        <v>24458.399999999998</v>
      </c>
      <c r="L1168" s="43">
        <v>0.18</v>
      </c>
      <c r="M1168" s="46">
        <f>(Sales[[#This Row],[Gross Amount]]-Sales[[#This Row],[Disc. Amt.]])*Sales[[#This Row],[GST %]]</f>
        <v>32285.088</v>
      </c>
      <c r="N1168" s="161">
        <f>Sales[[#This Row],[Gross Amount]]-Sales[[#This Row],[Disc. Amt.]]+Sales[[#This Row],[GST Amount]]</f>
        <v>211646.68799999999</v>
      </c>
      <c r="O1168" s="34" t="s">
        <v>3566</v>
      </c>
      <c r="P1168" s="34" t="s">
        <v>3562</v>
      </c>
      <c r="Q1168" s="165">
        <f>IF(Sales[[#This Row],[Status]]="Cancelled",0,Sales[[#This Row],[Qty]])</f>
        <v>6</v>
      </c>
      <c r="R1168" s="166">
        <f>IF(Sales[[#This Row],[Status]]="Cancelled",0,Sales[[#This Row],[Total Amount]])</f>
        <v>211646.68799999999</v>
      </c>
      <c r="S1168" s="162">
        <f>SUM(Sales[Net Amount])</f>
        <v>406839287.73200053</v>
      </c>
    </row>
    <row r="1169" spans="1:19" ht="18.75" x14ac:dyDescent="0.25">
      <c r="A1169" s="156" t="s">
        <v>4762</v>
      </c>
      <c r="B1169" s="157">
        <v>45839</v>
      </c>
      <c r="C1169" s="158" t="s">
        <v>694</v>
      </c>
      <c r="D1169" s="159" t="str">
        <f>VLOOKUP(Sales[[#This Row],[Customer ID]],Customer[#All],2,0)</f>
        <v>Amit Sharma</v>
      </c>
      <c r="E1169" s="158" t="s">
        <v>337</v>
      </c>
      <c r="F1169" s="158" t="str">
        <f>VLOOKUP(Sales[[#This Row],[Product ID]],Product[#All],2,0)</f>
        <v>Corsair Ram</v>
      </c>
      <c r="G1169" s="159">
        <v>4</v>
      </c>
      <c r="H1169" s="160">
        <f>VLOOKUP(Sales[[#This Row],[Product ID]],Product[#All],7,0)</f>
        <v>10500</v>
      </c>
      <c r="I1169" s="160">
        <f>Sales[[#This Row],[Selling Rate]]*Sales[[#This Row],[Qty]]</f>
        <v>42000</v>
      </c>
      <c r="J1169" s="43">
        <v>0.02</v>
      </c>
      <c r="K1169" s="44">
        <f>Sales[[#This Row],[Gross Amount]]*Sales[[#This Row],[Disc %]]</f>
        <v>840</v>
      </c>
      <c r="L1169" s="43">
        <v>0.18</v>
      </c>
      <c r="M1169" s="44">
        <f>(Sales[[#This Row],[Gross Amount]]-Sales[[#This Row],[Disc. Amt.]])*Sales[[#This Row],[GST %]]</f>
        <v>7408.7999999999993</v>
      </c>
      <c r="N1169" s="161">
        <f>Sales[[#This Row],[Gross Amount]]-Sales[[#This Row],[Disc. Amt.]]+Sales[[#This Row],[GST Amount]]</f>
        <v>48568.800000000003</v>
      </c>
      <c r="O1169" s="158" t="s">
        <v>3561</v>
      </c>
      <c r="P1169" s="158" t="s">
        <v>3562</v>
      </c>
      <c r="Q1169" s="160">
        <f>IF(Sales[[#This Row],[Status]]="Cancelled",0,Sales[[#This Row],[Qty]])</f>
        <v>4</v>
      </c>
      <c r="R1169" s="161">
        <f>IF(Sales[[#This Row],[Status]]="Cancelled",0,Sales[[#This Row],[Total Amount]])</f>
        <v>48568.800000000003</v>
      </c>
      <c r="S1169" s="162">
        <f>SUM(Sales[Net Amount])</f>
        <v>406839287.73200053</v>
      </c>
    </row>
    <row r="1170" spans="1:19" ht="18.75" x14ac:dyDescent="0.25">
      <c r="A1170" s="163" t="s">
        <v>4763</v>
      </c>
      <c r="B1170" s="164">
        <v>45839</v>
      </c>
      <c r="C1170" s="34" t="s">
        <v>775</v>
      </c>
      <c r="D1170" s="53" t="str">
        <f>VLOOKUP(Sales[[#This Row],[Customer ID]],Customer[#All],2,0)</f>
        <v>Ankit Kumar</v>
      </c>
      <c r="E1170" s="34" t="s">
        <v>333</v>
      </c>
      <c r="F1170" s="34" t="str">
        <f>VLOOKUP(Sales[[#This Row],[Product ID]],Product[#All],2,0)</f>
        <v>Logitech Keyboard</v>
      </c>
      <c r="G1170" s="53">
        <v>1</v>
      </c>
      <c r="H1170" s="165">
        <f>VLOOKUP(Sales[[#This Row],[Product ID]],Product[#All],7,0)</f>
        <v>3350</v>
      </c>
      <c r="I1170" s="165">
        <f>Sales[[#This Row],[Selling Rate]]*Sales[[#This Row],[Qty]]</f>
        <v>3350</v>
      </c>
      <c r="J1170" s="45">
        <v>0.12</v>
      </c>
      <c r="K1170" s="46">
        <f>Sales[[#This Row],[Gross Amount]]*Sales[[#This Row],[Disc %]]</f>
        <v>402</v>
      </c>
      <c r="L1170" s="43">
        <v>0.18</v>
      </c>
      <c r="M1170" s="46">
        <f>(Sales[[#This Row],[Gross Amount]]-Sales[[#This Row],[Disc. Amt.]])*Sales[[#This Row],[GST %]]</f>
        <v>530.64</v>
      </c>
      <c r="N1170" s="161">
        <f>Sales[[#This Row],[Gross Amount]]-Sales[[#This Row],[Disc. Amt.]]+Sales[[#This Row],[GST Amount]]</f>
        <v>3478.64</v>
      </c>
      <c r="O1170" s="34" t="s">
        <v>3569</v>
      </c>
      <c r="P1170" s="34" t="s">
        <v>3562</v>
      </c>
      <c r="Q1170" s="165">
        <f>IF(Sales[[#This Row],[Status]]="Cancelled",0,Sales[[#This Row],[Qty]])</f>
        <v>1</v>
      </c>
      <c r="R1170" s="166">
        <f>IF(Sales[[#This Row],[Status]]="Cancelled",0,Sales[[#This Row],[Total Amount]])</f>
        <v>3478.64</v>
      </c>
      <c r="S1170" s="162">
        <f>SUM(Sales[Net Amount])</f>
        <v>406839287.73200053</v>
      </c>
    </row>
    <row r="1171" spans="1:19" ht="18.75" x14ac:dyDescent="0.25">
      <c r="A1171" s="156" t="s">
        <v>4764</v>
      </c>
      <c r="B1171" s="157">
        <v>45839</v>
      </c>
      <c r="C1171" s="158" t="s">
        <v>673</v>
      </c>
      <c r="D1171" s="159" t="str">
        <f>VLOOKUP(Sales[[#This Row],[Customer ID]],Customer[#All],2,0)</f>
        <v>Sunita Gupta</v>
      </c>
      <c r="E1171" s="158" t="s">
        <v>107</v>
      </c>
      <c r="F1171" s="158" t="str">
        <f>VLOOKUP(Sales[[#This Row],[Product ID]],Product[#All],2,0)</f>
        <v>Samsung Ssd</v>
      </c>
      <c r="G1171" s="159">
        <v>1</v>
      </c>
      <c r="H1171" s="160">
        <f>VLOOKUP(Sales[[#This Row],[Product ID]],Product[#All],7,0)</f>
        <v>15030</v>
      </c>
      <c r="I1171" s="160">
        <f>Sales[[#This Row],[Selling Rate]]*Sales[[#This Row],[Qty]]</f>
        <v>15030</v>
      </c>
      <c r="J1171" s="43">
        <v>0.15</v>
      </c>
      <c r="K1171" s="44">
        <f>Sales[[#This Row],[Gross Amount]]*Sales[[#This Row],[Disc %]]</f>
        <v>2254.5</v>
      </c>
      <c r="L1171" s="43">
        <v>0.18</v>
      </c>
      <c r="M1171" s="44">
        <f>(Sales[[#This Row],[Gross Amount]]-Sales[[#This Row],[Disc. Amt.]])*Sales[[#This Row],[GST %]]</f>
        <v>2299.5899999999997</v>
      </c>
      <c r="N1171" s="161">
        <f>Sales[[#This Row],[Gross Amount]]-Sales[[#This Row],[Disc. Amt.]]+Sales[[#This Row],[GST Amount]]</f>
        <v>15075.09</v>
      </c>
      <c r="O1171" s="158" t="s">
        <v>3561</v>
      </c>
      <c r="P1171" s="158" t="s">
        <v>3562</v>
      </c>
      <c r="Q1171" s="160">
        <f>IF(Sales[[#This Row],[Status]]="Cancelled",0,Sales[[#This Row],[Qty]])</f>
        <v>1</v>
      </c>
      <c r="R1171" s="161">
        <f>IF(Sales[[#This Row],[Status]]="Cancelled",0,Sales[[#This Row],[Total Amount]])</f>
        <v>15075.09</v>
      </c>
      <c r="S1171" s="162">
        <f>SUM(Sales[Net Amount])</f>
        <v>406839287.73200053</v>
      </c>
    </row>
    <row r="1172" spans="1:19" ht="18.75" x14ac:dyDescent="0.25">
      <c r="A1172" s="163" t="s">
        <v>4765</v>
      </c>
      <c r="B1172" s="164">
        <v>45839</v>
      </c>
      <c r="C1172" s="34" t="s">
        <v>4766</v>
      </c>
      <c r="D1172" s="53" t="str">
        <f>VLOOKUP(Sales[[#This Row],[Customer ID]],Customer[#All],2,0)</f>
        <v>Amit Patel</v>
      </c>
      <c r="E1172" s="34" t="s">
        <v>530</v>
      </c>
      <c r="F1172" s="34" t="str">
        <f>VLOOKUP(Sales[[#This Row],[Product ID]],Product[#All],2,0)</f>
        <v>Acer Laptop</v>
      </c>
      <c r="G1172" s="53">
        <v>8</v>
      </c>
      <c r="H1172" s="165">
        <f>VLOOKUP(Sales[[#This Row],[Product ID]],Product[#All],7,0)</f>
        <v>31390</v>
      </c>
      <c r="I1172" s="165">
        <f>Sales[[#This Row],[Selling Rate]]*Sales[[#This Row],[Qty]]</f>
        <v>251120</v>
      </c>
      <c r="J1172" s="45">
        <v>0.15</v>
      </c>
      <c r="K1172" s="46">
        <f>Sales[[#This Row],[Gross Amount]]*Sales[[#This Row],[Disc %]]</f>
        <v>37668</v>
      </c>
      <c r="L1172" s="43">
        <v>0.18</v>
      </c>
      <c r="M1172" s="46">
        <f>(Sales[[#This Row],[Gross Amount]]-Sales[[#This Row],[Disc. Amt.]])*Sales[[#This Row],[GST %]]</f>
        <v>38421.360000000001</v>
      </c>
      <c r="N1172" s="161">
        <f>Sales[[#This Row],[Gross Amount]]-Sales[[#This Row],[Disc. Amt.]]+Sales[[#This Row],[GST Amount]]</f>
        <v>251873.36</v>
      </c>
      <c r="O1172" s="34" t="s">
        <v>8876</v>
      </c>
      <c r="P1172" s="34" t="s">
        <v>3562</v>
      </c>
      <c r="Q1172" s="165">
        <f>IF(Sales[[#This Row],[Status]]="Cancelled",0,Sales[[#This Row],[Qty]])</f>
        <v>8</v>
      </c>
      <c r="R1172" s="166">
        <f>IF(Sales[[#This Row],[Status]]="Cancelled",0,Sales[[#This Row],[Total Amount]])</f>
        <v>251873.36</v>
      </c>
      <c r="S1172" s="162">
        <f>SUM(Sales[Net Amount])</f>
        <v>406839287.73200053</v>
      </c>
    </row>
    <row r="1173" spans="1:19" ht="18.75" x14ac:dyDescent="0.25">
      <c r="A1173" s="156" t="s">
        <v>4767</v>
      </c>
      <c r="B1173" s="157">
        <v>45840</v>
      </c>
      <c r="C1173" s="158" t="s">
        <v>720</v>
      </c>
      <c r="D1173" s="159" t="str">
        <f>VLOOKUP(Sales[[#This Row],[Customer ID]],Customer[#All],2,0)</f>
        <v>Rakesh Singh</v>
      </c>
      <c r="E1173" s="158" t="s">
        <v>104</v>
      </c>
      <c r="F1173" s="158" t="str">
        <f>VLOOKUP(Sales[[#This Row],[Product ID]],Product[#All],2,0)</f>
        <v>Canon Printer</v>
      </c>
      <c r="G1173" s="159">
        <v>4</v>
      </c>
      <c r="H1173" s="160">
        <f>VLOOKUP(Sales[[#This Row],[Product ID]],Product[#All],7,0)</f>
        <v>49170</v>
      </c>
      <c r="I1173" s="160">
        <f>Sales[[#This Row],[Selling Rate]]*Sales[[#This Row],[Qty]]</f>
        <v>196680</v>
      </c>
      <c r="J1173" s="43">
        <v>0.12</v>
      </c>
      <c r="K1173" s="44">
        <f>Sales[[#This Row],[Gross Amount]]*Sales[[#This Row],[Disc %]]</f>
        <v>23601.599999999999</v>
      </c>
      <c r="L1173" s="43">
        <v>0.18</v>
      </c>
      <c r="M1173" s="44">
        <f>(Sales[[#This Row],[Gross Amount]]-Sales[[#This Row],[Disc. Amt.]])*Sales[[#This Row],[GST %]]</f>
        <v>31154.111999999997</v>
      </c>
      <c r="N1173" s="161">
        <f>Sales[[#This Row],[Gross Amount]]-Sales[[#This Row],[Disc. Amt.]]+Sales[[#This Row],[GST Amount]]</f>
        <v>204232.51199999999</v>
      </c>
      <c r="O1173" s="158" t="s">
        <v>8876</v>
      </c>
      <c r="P1173" s="158" t="s">
        <v>3562</v>
      </c>
      <c r="Q1173" s="160">
        <f>IF(Sales[[#This Row],[Status]]="Cancelled",0,Sales[[#This Row],[Qty]])</f>
        <v>4</v>
      </c>
      <c r="R1173" s="161">
        <f>IF(Sales[[#This Row],[Status]]="Cancelled",0,Sales[[#This Row],[Total Amount]])</f>
        <v>204232.51199999999</v>
      </c>
      <c r="S1173" s="162">
        <f>SUM(Sales[Net Amount])</f>
        <v>406839287.73200053</v>
      </c>
    </row>
    <row r="1174" spans="1:19" ht="18.75" x14ac:dyDescent="0.25">
      <c r="A1174" s="163" t="s">
        <v>4768</v>
      </c>
      <c r="B1174" s="164">
        <v>45840</v>
      </c>
      <c r="C1174" s="34" t="s">
        <v>845</v>
      </c>
      <c r="D1174" s="53" t="str">
        <f>VLOOKUP(Sales[[#This Row],[Customer ID]],Customer[#All],2,0)</f>
        <v>Rahul Patel</v>
      </c>
      <c r="E1174" s="34" t="s">
        <v>114</v>
      </c>
      <c r="F1174" s="34" t="str">
        <f>VLOOKUP(Sales[[#This Row],[Product ID]],Product[#All],2,0)</f>
        <v>Apc UPS</v>
      </c>
      <c r="G1174" s="53">
        <v>8</v>
      </c>
      <c r="H1174" s="165">
        <f>VLOOKUP(Sales[[#This Row],[Product ID]],Product[#All],7,0)</f>
        <v>17310</v>
      </c>
      <c r="I1174" s="165">
        <f>Sales[[#This Row],[Selling Rate]]*Sales[[#This Row],[Qty]]</f>
        <v>138480</v>
      </c>
      <c r="J1174" s="45">
        <v>0</v>
      </c>
      <c r="K1174" s="46">
        <f>Sales[[#This Row],[Gross Amount]]*Sales[[#This Row],[Disc %]]</f>
        <v>0</v>
      </c>
      <c r="L1174" s="43">
        <v>0.18</v>
      </c>
      <c r="M1174" s="46">
        <f>(Sales[[#This Row],[Gross Amount]]-Sales[[#This Row],[Disc. Amt.]])*Sales[[#This Row],[GST %]]</f>
        <v>24926.399999999998</v>
      </c>
      <c r="N1174" s="161">
        <f>Sales[[#This Row],[Gross Amount]]-Sales[[#This Row],[Disc. Amt.]]+Sales[[#This Row],[GST Amount]]</f>
        <v>163406.39999999999</v>
      </c>
      <c r="O1174" s="34" t="s">
        <v>3569</v>
      </c>
      <c r="P1174" s="34" t="s">
        <v>3562</v>
      </c>
      <c r="Q1174" s="165">
        <f>IF(Sales[[#This Row],[Status]]="Cancelled",0,Sales[[#This Row],[Qty]])</f>
        <v>8</v>
      </c>
      <c r="R1174" s="166">
        <f>IF(Sales[[#This Row],[Status]]="Cancelled",0,Sales[[#This Row],[Total Amount]])</f>
        <v>163406.39999999999</v>
      </c>
      <c r="S1174" s="162">
        <f>SUM(Sales[Net Amount])</f>
        <v>406839287.73200053</v>
      </c>
    </row>
    <row r="1175" spans="1:19" ht="18.75" x14ac:dyDescent="0.25">
      <c r="A1175" s="156" t="s">
        <v>4769</v>
      </c>
      <c r="B1175" s="157">
        <v>45840</v>
      </c>
      <c r="C1175" s="158" t="s">
        <v>782</v>
      </c>
      <c r="D1175" s="159" t="str">
        <f>VLOOKUP(Sales[[#This Row],[Customer ID]],Customer[#All],2,0)</f>
        <v>Vikas Singh</v>
      </c>
      <c r="E1175" s="158" t="s">
        <v>331</v>
      </c>
      <c r="F1175" s="158" t="str">
        <f>VLOOKUP(Sales[[#This Row],[Product ID]],Product[#All],2,0)</f>
        <v>Dell Keyboard</v>
      </c>
      <c r="G1175" s="159">
        <v>3</v>
      </c>
      <c r="H1175" s="160">
        <f>VLOOKUP(Sales[[#This Row],[Product ID]],Product[#All],7,0)</f>
        <v>2070</v>
      </c>
      <c r="I1175" s="160">
        <f>Sales[[#This Row],[Selling Rate]]*Sales[[#This Row],[Qty]]</f>
        <v>6210</v>
      </c>
      <c r="J1175" s="43">
        <v>0.1</v>
      </c>
      <c r="K1175" s="44">
        <f>Sales[[#This Row],[Gross Amount]]*Sales[[#This Row],[Disc %]]</f>
        <v>621</v>
      </c>
      <c r="L1175" s="43">
        <v>0.18</v>
      </c>
      <c r="M1175" s="44">
        <f>(Sales[[#This Row],[Gross Amount]]-Sales[[#This Row],[Disc. Amt.]])*Sales[[#This Row],[GST %]]</f>
        <v>1006.02</v>
      </c>
      <c r="N1175" s="161">
        <f>Sales[[#This Row],[Gross Amount]]-Sales[[#This Row],[Disc. Amt.]]+Sales[[#This Row],[GST Amount]]</f>
        <v>6595.02</v>
      </c>
      <c r="O1175" s="158" t="s">
        <v>3569</v>
      </c>
      <c r="P1175" s="158" t="s">
        <v>3562</v>
      </c>
      <c r="Q1175" s="160">
        <f>IF(Sales[[#This Row],[Status]]="Cancelled",0,Sales[[#This Row],[Qty]])</f>
        <v>3</v>
      </c>
      <c r="R1175" s="161">
        <f>IF(Sales[[#This Row],[Status]]="Cancelled",0,Sales[[#This Row],[Total Amount]])</f>
        <v>6595.02</v>
      </c>
      <c r="S1175" s="162">
        <f>SUM(Sales[Net Amount])</f>
        <v>406839287.73200053</v>
      </c>
    </row>
    <row r="1176" spans="1:19" ht="18.75" x14ac:dyDescent="0.25">
      <c r="A1176" s="163" t="s">
        <v>4770</v>
      </c>
      <c r="B1176" s="164">
        <v>45840</v>
      </c>
      <c r="C1176" s="34" t="s">
        <v>811</v>
      </c>
      <c r="D1176" s="53" t="str">
        <f>VLOOKUP(Sales[[#This Row],[Customer ID]],Customer[#All],2,0)</f>
        <v>Rahul Sharma</v>
      </c>
      <c r="E1176" s="34" t="s">
        <v>213</v>
      </c>
      <c r="F1176" s="34" t="str">
        <f>VLOOKUP(Sales[[#This Row],[Product ID]],Product[#All],2,0)</f>
        <v>Dell Power Adapter</v>
      </c>
      <c r="G1176" s="53">
        <v>5</v>
      </c>
      <c r="H1176" s="165">
        <f>VLOOKUP(Sales[[#This Row],[Product ID]],Product[#All],7,0)</f>
        <v>3740</v>
      </c>
      <c r="I1176" s="165">
        <f>Sales[[#This Row],[Selling Rate]]*Sales[[#This Row],[Qty]]</f>
        <v>18700</v>
      </c>
      <c r="J1176" s="45">
        <v>0.05</v>
      </c>
      <c r="K1176" s="46">
        <f>Sales[[#This Row],[Gross Amount]]*Sales[[#This Row],[Disc %]]</f>
        <v>935</v>
      </c>
      <c r="L1176" s="43">
        <v>0.18</v>
      </c>
      <c r="M1176" s="46">
        <f>(Sales[[#This Row],[Gross Amount]]-Sales[[#This Row],[Disc. Amt.]])*Sales[[#This Row],[GST %]]</f>
        <v>3197.7</v>
      </c>
      <c r="N1176" s="161">
        <f>Sales[[#This Row],[Gross Amount]]-Sales[[#This Row],[Disc. Amt.]]+Sales[[#This Row],[GST Amount]]</f>
        <v>20962.7</v>
      </c>
      <c r="O1176" s="34" t="s">
        <v>3569</v>
      </c>
      <c r="P1176" s="34" t="s">
        <v>3562</v>
      </c>
      <c r="Q1176" s="165">
        <f>IF(Sales[[#This Row],[Status]]="Cancelled",0,Sales[[#This Row],[Qty]])</f>
        <v>5</v>
      </c>
      <c r="R1176" s="166">
        <f>IF(Sales[[#This Row],[Status]]="Cancelled",0,Sales[[#This Row],[Total Amount]])</f>
        <v>20962.7</v>
      </c>
      <c r="S1176" s="162">
        <f>SUM(Sales[Net Amount])</f>
        <v>406839287.73200053</v>
      </c>
    </row>
    <row r="1177" spans="1:19" ht="18.75" x14ac:dyDescent="0.25">
      <c r="A1177" s="156" t="s">
        <v>4771</v>
      </c>
      <c r="B1177" s="157">
        <v>45840</v>
      </c>
      <c r="C1177" s="158" t="s">
        <v>776</v>
      </c>
      <c r="D1177" s="159" t="str">
        <f>VLOOKUP(Sales[[#This Row],[Customer ID]],Customer[#All],2,0)</f>
        <v>Sunita Singh</v>
      </c>
      <c r="E1177" s="158" t="s">
        <v>375</v>
      </c>
      <c r="F1177" s="158" t="str">
        <f>VLOOKUP(Sales[[#This Row],[Product ID]],Product[#All],2,0)</f>
        <v>American TouristerLaptopBag</v>
      </c>
      <c r="G1177" s="159">
        <v>6</v>
      </c>
      <c r="H1177" s="160">
        <f>VLOOKUP(Sales[[#This Row],[Product ID]],Product[#All],7,0)</f>
        <v>4990</v>
      </c>
      <c r="I1177" s="160">
        <f>Sales[[#This Row],[Selling Rate]]*Sales[[#This Row],[Qty]]</f>
        <v>29940</v>
      </c>
      <c r="J1177" s="43">
        <v>0.15</v>
      </c>
      <c r="K1177" s="44">
        <f>Sales[[#This Row],[Gross Amount]]*Sales[[#This Row],[Disc %]]</f>
        <v>4491</v>
      </c>
      <c r="L1177" s="43">
        <v>0.18</v>
      </c>
      <c r="M1177" s="44">
        <f>(Sales[[#This Row],[Gross Amount]]-Sales[[#This Row],[Disc. Amt.]])*Sales[[#This Row],[GST %]]</f>
        <v>4580.82</v>
      </c>
      <c r="N1177" s="161">
        <f>Sales[[#This Row],[Gross Amount]]-Sales[[#This Row],[Disc. Amt.]]+Sales[[#This Row],[GST Amount]]</f>
        <v>30029.82</v>
      </c>
      <c r="O1177" s="158" t="s">
        <v>3569</v>
      </c>
      <c r="P1177" s="158" t="s">
        <v>3562</v>
      </c>
      <c r="Q1177" s="160">
        <f>IF(Sales[[#This Row],[Status]]="Cancelled",0,Sales[[#This Row],[Qty]])</f>
        <v>6</v>
      </c>
      <c r="R1177" s="161">
        <f>IF(Sales[[#This Row],[Status]]="Cancelled",0,Sales[[#This Row],[Total Amount]])</f>
        <v>30029.82</v>
      </c>
      <c r="S1177" s="162">
        <f>SUM(Sales[Net Amount])</f>
        <v>406839287.73200053</v>
      </c>
    </row>
    <row r="1178" spans="1:19" ht="18.75" x14ac:dyDescent="0.25">
      <c r="A1178" s="163" t="s">
        <v>4772</v>
      </c>
      <c r="B1178" s="164">
        <v>45840</v>
      </c>
      <c r="C1178" s="34" t="s">
        <v>765</v>
      </c>
      <c r="D1178" s="53" t="str">
        <f>VLOOKUP(Sales[[#This Row],[Customer ID]],Customer[#All],2,0)</f>
        <v>Neha Gupta</v>
      </c>
      <c r="E1178" s="34" t="s">
        <v>491</v>
      </c>
      <c r="F1178" s="34" t="str">
        <f>VLOOKUP(Sales[[#This Row],[Product ID]],Product[#All],2,0)</f>
        <v>Boat Speaker</v>
      </c>
      <c r="G1178" s="53">
        <v>8</v>
      </c>
      <c r="H1178" s="165">
        <f>VLOOKUP(Sales[[#This Row],[Product ID]],Product[#All],7,0)</f>
        <v>2300</v>
      </c>
      <c r="I1178" s="165">
        <f>Sales[[#This Row],[Selling Rate]]*Sales[[#This Row],[Qty]]</f>
        <v>18400</v>
      </c>
      <c r="J1178" s="45">
        <v>0.1</v>
      </c>
      <c r="K1178" s="46">
        <f>Sales[[#This Row],[Gross Amount]]*Sales[[#This Row],[Disc %]]</f>
        <v>1840</v>
      </c>
      <c r="L1178" s="43">
        <v>0.18</v>
      </c>
      <c r="M1178" s="46">
        <f>(Sales[[#This Row],[Gross Amount]]-Sales[[#This Row],[Disc. Amt.]])*Sales[[#This Row],[GST %]]</f>
        <v>2980.7999999999997</v>
      </c>
      <c r="N1178" s="161">
        <f>Sales[[#This Row],[Gross Amount]]-Sales[[#This Row],[Disc. Amt.]]+Sales[[#This Row],[GST Amount]]</f>
        <v>19540.8</v>
      </c>
      <c r="O1178" s="34" t="s">
        <v>8876</v>
      </c>
      <c r="P1178" s="34" t="s">
        <v>3562</v>
      </c>
      <c r="Q1178" s="165">
        <f>IF(Sales[[#This Row],[Status]]="Cancelled",0,Sales[[#This Row],[Qty]])</f>
        <v>8</v>
      </c>
      <c r="R1178" s="166">
        <f>IF(Sales[[#This Row],[Status]]="Cancelled",0,Sales[[#This Row],[Total Amount]])</f>
        <v>19540.8</v>
      </c>
      <c r="S1178" s="162">
        <f>SUM(Sales[Net Amount])</f>
        <v>406839287.73200053</v>
      </c>
    </row>
    <row r="1179" spans="1:19" ht="18.75" x14ac:dyDescent="0.25">
      <c r="A1179" s="156" t="s">
        <v>4773</v>
      </c>
      <c r="B1179" s="157">
        <v>45840</v>
      </c>
      <c r="C1179" s="158" t="s">
        <v>806</v>
      </c>
      <c r="D1179" s="159" t="str">
        <f>VLOOKUP(Sales[[#This Row],[Customer ID]],Customer[#All],2,0)</f>
        <v>Vikas Singh</v>
      </c>
      <c r="E1179" s="158" t="s">
        <v>129</v>
      </c>
      <c r="F1179" s="158" t="str">
        <f>VLOOKUP(Sales[[#This Row],[Product ID]],Product[#All],2,0)</f>
        <v>Logitech Mouse</v>
      </c>
      <c r="G1179" s="159">
        <v>4</v>
      </c>
      <c r="H1179" s="160">
        <f>VLOOKUP(Sales[[#This Row],[Product ID]],Product[#All],7,0)</f>
        <v>2000</v>
      </c>
      <c r="I1179" s="160">
        <f>Sales[[#This Row],[Selling Rate]]*Sales[[#This Row],[Qty]]</f>
        <v>8000</v>
      </c>
      <c r="J1179" s="43">
        <v>0.1</v>
      </c>
      <c r="K1179" s="44">
        <f>Sales[[#This Row],[Gross Amount]]*Sales[[#This Row],[Disc %]]</f>
        <v>800</v>
      </c>
      <c r="L1179" s="43">
        <v>0.18</v>
      </c>
      <c r="M1179" s="44">
        <f>(Sales[[#This Row],[Gross Amount]]-Sales[[#This Row],[Disc. Amt.]])*Sales[[#This Row],[GST %]]</f>
        <v>1296</v>
      </c>
      <c r="N1179" s="161">
        <f>Sales[[#This Row],[Gross Amount]]-Sales[[#This Row],[Disc. Amt.]]+Sales[[#This Row],[GST Amount]]</f>
        <v>8496</v>
      </c>
      <c r="O1179" s="158" t="s">
        <v>3566</v>
      </c>
      <c r="P1179" s="158" t="s">
        <v>3562</v>
      </c>
      <c r="Q1179" s="160">
        <f>IF(Sales[[#This Row],[Status]]="Cancelled",0,Sales[[#This Row],[Qty]])</f>
        <v>4</v>
      </c>
      <c r="R1179" s="161">
        <f>IF(Sales[[#This Row],[Status]]="Cancelled",0,Sales[[#This Row],[Total Amount]])</f>
        <v>8496</v>
      </c>
      <c r="S1179" s="162">
        <f>SUM(Sales[Net Amount])</f>
        <v>406839287.73200053</v>
      </c>
    </row>
    <row r="1180" spans="1:19" ht="18.75" x14ac:dyDescent="0.25">
      <c r="A1180" s="163" t="s">
        <v>4774</v>
      </c>
      <c r="B1180" s="164">
        <v>45840</v>
      </c>
      <c r="C1180" s="34" t="s">
        <v>897</v>
      </c>
      <c r="D1180" s="53" t="str">
        <f>VLOOKUP(Sales[[#This Row],[Customer ID]],Customer[#All],2,0)</f>
        <v>Amit Patel</v>
      </c>
      <c r="E1180" s="34" t="s">
        <v>133</v>
      </c>
      <c r="F1180" s="34" t="str">
        <f>VLOOKUP(Sales[[#This Row],[Product ID]],Product[#All],2,0)</f>
        <v>HP Laptop</v>
      </c>
      <c r="G1180" s="53">
        <v>7</v>
      </c>
      <c r="H1180" s="165">
        <f>VLOOKUP(Sales[[#This Row],[Product ID]],Product[#All],7,0)</f>
        <v>44790</v>
      </c>
      <c r="I1180" s="165">
        <f>Sales[[#This Row],[Selling Rate]]*Sales[[#This Row],[Qty]]</f>
        <v>313530</v>
      </c>
      <c r="J1180" s="45">
        <v>0.05</v>
      </c>
      <c r="K1180" s="46">
        <f>Sales[[#This Row],[Gross Amount]]*Sales[[#This Row],[Disc %]]</f>
        <v>15676.5</v>
      </c>
      <c r="L1180" s="43">
        <v>0.18</v>
      </c>
      <c r="M1180" s="46">
        <f>(Sales[[#This Row],[Gross Amount]]-Sales[[#This Row],[Disc. Amt.]])*Sales[[#This Row],[GST %]]</f>
        <v>53613.63</v>
      </c>
      <c r="N1180" s="161">
        <f>Sales[[#This Row],[Gross Amount]]-Sales[[#This Row],[Disc. Amt.]]+Sales[[#This Row],[GST Amount]]</f>
        <v>351467.13</v>
      </c>
      <c r="O1180" s="34" t="s">
        <v>3569</v>
      </c>
      <c r="P1180" s="34" t="s">
        <v>3562</v>
      </c>
      <c r="Q1180" s="165">
        <f>IF(Sales[[#This Row],[Status]]="Cancelled",0,Sales[[#This Row],[Qty]])</f>
        <v>7</v>
      </c>
      <c r="R1180" s="166">
        <f>IF(Sales[[#This Row],[Status]]="Cancelled",0,Sales[[#This Row],[Total Amount]])</f>
        <v>351467.13</v>
      </c>
      <c r="S1180" s="162">
        <f>SUM(Sales[Net Amount])</f>
        <v>406839287.73200053</v>
      </c>
    </row>
    <row r="1181" spans="1:19" ht="18.75" x14ac:dyDescent="0.25">
      <c r="A1181" s="156" t="s">
        <v>4775</v>
      </c>
      <c r="B1181" s="157">
        <v>45840</v>
      </c>
      <c r="C1181" s="158" t="s">
        <v>940</v>
      </c>
      <c r="D1181" s="159" t="str">
        <f>VLOOKUP(Sales[[#This Row],[Customer ID]],Customer[#All],2,0)</f>
        <v>Rakesh Sharma</v>
      </c>
      <c r="E1181" s="158" t="s">
        <v>41</v>
      </c>
      <c r="F1181" s="158" t="str">
        <f>VLOOKUP(Sales[[#This Row],[Product ID]],Product[#All],2,0)</f>
        <v>HP Laptop</v>
      </c>
      <c r="G1181" s="159">
        <v>6</v>
      </c>
      <c r="H1181" s="160">
        <f>VLOOKUP(Sales[[#This Row],[Product ID]],Product[#All],7,0)</f>
        <v>74700</v>
      </c>
      <c r="I1181" s="160">
        <f>Sales[[#This Row],[Selling Rate]]*Sales[[#This Row],[Qty]]</f>
        <v>448200</v>
      </c>
      <c r="J1181" s="43">
        <v>0.15</v>
      </c>
      <c r="K1181" s="44">
        <f>Sales[[#This Row],[Gross Amount]]*Sales[[#This Row],[Disc %]]</f>
        <v>67230</v>
      </c>
      <c r="L1181" s="43">
        <v>0.18</v>
      </c>
      <c r="M1181" s="44">
        <f>(Sales[[#This Row],[Gross Amount]]-Sales[[#This Row],[Disc. Amt.]])*Sales[[#This Row],[GST %]]</f>
        <v>68574.599999999991</v>
      </c>
      <c r="N1181" s="161">
        <f>Sales[[#This Row],[Gross Amount]]-Sales[[#This Row],[Disc. Amt.]]+Sales[[#This Row],[GST Amount]]</f>
        <v>449544.6</v>
      </c>
      <c r="O1181" s="158" t="s">
        <v>8876</v>
      </c>
      <c r="P1181" s="158" t="s">
        <v>3562</v>
      </c>
      <c r="Q1181" s="160">
        <f>IF(Sales[[#This Row],[Status]]="Cancelled",0,Sales[[#This Row],[Qty]])</f>
        <v>6</v>
      </c>
      <c r="R1181" s="161">
        <f>IF(Sales[[#This Row],[Status]]="Cancelled",0,Sales[[#This Row],[Total Amount]])</f>
        <v>449544.6</v>
      </c>
      <c r="S1181" s="162">
        <f>SUM(Sales[Net Amount])</f>
        <v>406839287.73200053</v>
      </c>
    </row>
    <row r="1182" spans="1:19" ht="18.75" x14ac:dyDescent="0.25">
      <c r="A1182" s="163" t="s">
        <v>4776</v>
      </c>
      <c r="B1182" s="164">
        <v>45840</v>
      </c>
      <c r="C1182" s="34" t="s">
        <v>740</v>
      </c>
      <c r="D1182" s="53" t="str">
        <f>VLOOKUP(Sales[[#This Row],[Customer ID]],Customer[#All],2,0)</f>
        <v>Vikas Gupta</v>
      </c>
      <c r="E1182" s="34" t="s">
        <v>290</v>
      </c>
      <c r="F1182" s="34" t="str">
        <f>VLOOKUP(Sales[[#This Row],[Product ID]],Product[#All],2,0)</f>
        <v>Crucial Ssd</v>
      </c>
      <c r="G1182" s="53">
        <v>7</v>
      </c>
      <c r="H1182" s="165">
        <f>VLOOKUP(Sales[[#This Row],[Product ID]],Product[#All],7,0)</f>
        <v>7650</v>
      </c>
      <c r="I1182" s="165">
        <f>Sales[[#This Row],[Selling Rate]]*Sales[[#This Row],[Qty]]</f>
        <v>53550</v>
      </c>
      <c r="J1182" s="45">
        <v>0.02</v>
      </c>
      <c r="K1182" s="46">
        <f>Sales[[#This Row],[Gross Amount]]*Sales[[#This Row],[Disc %]]</f>
        <v>1071</v>
      </c>
      <c r="L1182" s="43">
        <v>0.18</v>
      </c>
      <c r="M1182" s="46">
        <f>(Sales[[#This Row],[Gross Amount]]-Sales[[#This Row],[Disc. Amt.]])*Sales[[#This Row],[GST %]]</f>
        <v>9446.2199999999993</v>
      </c>
      <c r="N1182" s="161">
        <f>Sales[[#This Row],[Gross Amount]]-Sales[[#This Row],[Disc. Amt.]]+Sales[[#This Row],[GST Amount]]</f>
        <v>61925.22</v>
      </c>
      <c r="O1182" s="34" t="s">
        <v>3569</v>
      </c>
      <c r="P1182" s="34" t="s">
        <v>3562</v>
      </c>
      <c r="Q1182" s="165">
        <f>IF(Sales[[#This Row],[Status]]="Cancelled",0,Sales[[#This Row],[Qty]])</f>
        <v>7</v>
      </c>
      <c r="R1182" s="166">
        <f>IF(Sales[[#This Row],[Status]]="Cancelled",0,Sales[[#This Row],[Total Amount]])</f>
        <v>61925.22</v>
      </c>
      <c r="S1182" s="162">
        <f>SUM(Sales[Net Amount])</f>
        <v>406839287.73200053</v>
      </c>
    </row>
    <row r="1183" spans="1:19" ht="18.75" x14ac:dyDescent="0.25">
      <c r="A1183" s="156" t="s">
        <v>4777</v>
      </c>
      <c r="B1183" s="157">
        <v>45840</v>
      </c>
      <c r="C1183" s="158" t="s">
        <v>896</v>
      </c>
      <c r="D1183" s="159" t="str">
        <f>VLOOKUP(Sales[[#This Row],[Customer ID]],Customer[#All],2,0)</f>
        <v>Amit Gupta</v>
      </c>
      <c r="E1183" s="158" t="s">
        <v>267</v>
      </c>
      <c r="F1183" s="158" t="str">
        <f>VLOOKUP(Sales[[#This Row],[Product ID]],Product[#All],2,0)</f>
        <v>Boat Speaker</v>
      </c>
      <c r="G1183" s="159">
        <v>2</v>
      </c>
      <c r="H1183" s="160">
        <f>VLOOKUP(Sales[[#This Row],[Product ID]],Product[#All],7,0)</f>
        <v>2230</v>
      </c>
      <c r="I1183" s="160">
        <f>Sales[[#This Row],[Selling Rate]]*Sales[[#This Row],[Qty]]</f>
        <v>4460</v>
      </c>
      <c r="J1183" s="43">
        <v>0.12</v>
      </c>
      <c r="K1183" s="44">
        <f>Sales[[#This Row],[Gross Amount]]*Sales[[#This Row],[Disc %]]</f>
        <v>535.19999999999993</v>
      </c>
      <c r="L1183" s="43">
        <v>0.18</v>
      </c>
      <c r="M1183" s="44">
        <f>(Sales[[#This Row],[Gross Amount]]-Sales[[#This Row],[Disc. Amt.]])*Sales[[#This Row],[GST %]]</f>
        <v>706.46400000000006</v>
      </c>
      <c r="N1183" s="161">
        <f>Sales[[#This Row],[Gross Amount]]-Sales[[#This Row],[Disc. Amt.]]+Sales[[#This Row],[GST Amount]]</f>
        <v>4631.2640000000001</v>
      </c>
      <c r="O1183" s="158" t="s">
        <v>8876</v>
      </c>
      <c r="P1183" s="158" t="s">
        <v>3562</v>
      </c>
      <c r="Q1183" s="160">
        <f>IF(Sales[[#This Row],[Status]]="Cancelled",0,Sales[[#This Row],[Qty]])</f>
        <v>2</v>
      </c>
      <c r="R1183" s="161">
        <f>IF(Sales[[#This Row],[Status]]="Cancelled",0,Sales[[#This Row],[Total Amount]])</f>
        <v>4631.2640000000001</v>
      </c>
      <c r="S1183" s="162">
        <f>SUM(Sales[Net Amount])</f>
        <v>406839287.73200053</v>
      </c>
    </row>
    <row r="1184" spans="1:19" ht="18.75" x14ac:dyDescent="0.25">
      <c r="A1184" s="163" t="s">
        <v>4778</v>
      </c>
      <c r="B1184" s="164">
        <v>45840</v>
      </c>
      <c r="C1184" s="34" t="s">
        <v>652</v>
      </c>
      <c r="D1184" s="53" t="str">
        <f>VLOOKUP(Sales[[#This Row],[Customer ID]],Customer[#All],2,0)</f>
        <v>Sahil Kumar</v>
      </c>
      <c r="E1184" s="34" t="s">
        <v>531</v>
      </c>
      <c r="F1184" s="34" t="str">
        <f>VLOOKUP(Sales[[#This Row],[Product ID]],Product[#All],2,0)</f>
        <v>TP-link Router</v>
      </c>
      <c r="G1184" s="53">
        <v>1</v>
      </c>
      <c r="H1184" s="165">
        <f>VLOOKUP(Sales[[#This Row],[Product ID]],Product[#All],7,0)</f>
        <v>6730</v>
      </c>
      <c r="I1184" s="165">
        <f>Sales[[#This Row],[Selling Rate]]*Sales[[#This Row],[Qty]]</f>
        <v>6730</v>
      </c>
      <c r="J1184" s="45">
        <v>0.05</v>
      </c>
      <c r="K1184" s="46">
        <f>Sales[[#This Row],[Gross Amount]]*Sales[[#This Row],[Disc %]]</f>
        <v>336.5</v>
      </c>
      <c r="L1184" s="43">
        <v>0.18</v>
      </c>
      <c r="M1184" s="46">
        <f>(Sales[[#This Row],[Gross Amount]]-Sales[[#This Row],[Disc. Amt.]])*Sales[[#This Row],[GST %]]</f>
        <v>1150.83</v>
      </c>
      <c r="N1184" s="161">
        <f>Sales[[#This Row],[Gross Amount]]-Sales[[#This Row],[Disc. Amt.]]+Sales[[#This Row],[GST Amount]]</f>
        <v>7544.33</v>
      </c>
      <c r="O1184" s="34" t="s">
        <v>3561</v>
      </c>
      <c r="P1184" s="34" t="s">
        <v>3562</v>
      </c>
      <c r="Q1184" s="165">
        <f>IF(Sales[[#This Row],[Status]]="Cancelled",0,Sales[[#This Row],[Qty]])</f>
        <v>1</v>
      </c>
      <c r="R1184" s="166">
        <f>IF(Sales[[#This Row],[Status]]="Cancelled",0,Sales[[#This Row],[Total Amount]])</f>
        <v>7544.33</v>
      </c>
      <c r="S1184" s="162">
        <f>SUM(Sales[Net Amount])</f>
        <v>406839287.73200053</v>
      </c>
    </row>
    <row r="1185" spans="1:19" ht="18.75" x14ac:dyDescent="0.25">
      <c r="A1185" s="156" t="s">
        <v>4779</v>
      </c>
      <c r="B1185" s="157">
        <v>45840</v>
      </c>
      <c r="C1185" s="158" t="s">
        <v>769</v>
      </c>
      <c r="D1185" s="159" t="str">
        <f>VLOOKUP(Sales[[#This Row],[Customer ID]],Customer[#All],2,0)</f>
        <v>Sahil Kumar</v>
      </c>
      <c r="E1185" s="158" t="s">
        <v>7</v>
      </c>
      <c r="F1185" s="158" t="str">
        <f>VLOOKUP(Sales[[#This Row],[Product ID]],Product[#All],2,0)</f>
        <v>Dell Desktop</v>
      </c>
      <c r="G1185" s="159">
        <v>2</v>
      </c>
      <c r="H1185" s="160">
        <f>VLOOKUP(Sales[[#This Row],[Product ID]],Product[#All],7,0)</f>
        <v>33010</v>
      </c>
      <c r="I1185" s="160">
        <f>Sales[[#This Row],[Selling Rate]]*Sales[[#This Row],[Qty]]</f>
        <v>66020</v>
      </c>
      <c r="J1185" s="43">
        <v>0.05</v>
      </c>
      <c r="K1185" s="44">
        <f>Sales[[#This Row],[Gross Amount]]*Sales[[#This Row],[Disc %]]</f>
        <v>3301</v>
      </c>
      <c r="L1185" s="43">
        <v>0.18</v>
      </c>
      <c r="M1185" s="44">
        <f>(Sales[[#This Row],[Gross Amount]]-Sales[[#This Row],[Disc. Amt.]])*Sales[[#This Row],[GST %]]</f>
        <v>11289.42</v>
      </c>
      <c r="N1185" s="161">
        <f>Sales[[#This Row],[Gross Amount]]-Sales[[#This Row],[Disc. Amt.]]+Sales[[#This Row],[GST Amount]]</f>
        <v>74008.42</v>
      </c>
      <c r="O1185" s="158" t="s">
        <v>8876</v>
      </c>
      <c r="P1185" s="158" t="s">
        <v>3562</v>
      </c>
      <c r="Q1185" s="160">
        <f>IF(Sales[[#This Row],[Status]]="Cancelled",0,Sales[[#This Row],[Qty]])</f>
        <v>2</v>
      </c>
      <c r="R1185" s="161">
        <f>IF(Sales[[#This Row],[Status]]="Cancelled",0,Sales[[#This Row],[Total Amount]])</f>
        <v>74008.42</v>
      </c>
      <c r="S1185" s="162">
        <f>SUM(Sales[Net Amount])</f>
        <v>406839287.73200053</v>
      </c>
    </row>
    <row r="1186" spans="1:19" ht="18.75" x14ac:dyDescent="0.25">
      <c r="A1186" s="163" t="s">
        <v>4780</v>
      </c>
      <c r="B1186" s="164">
        <v>45840</v>
      </c>
      <c r="C1186" s="34" t="s">
        <v>746</v>
      </c>
      <c r="D1186" s="53" t="str">
        <f>VLOOKUP(Sales[[#This Row],[Customer ID]],Customer[#All],2,0)</f>
        <v>Sunita Kumar</v>
      </c>
      <c r="E1186" s="34" t="s">
        <v>159</v>
      </c>
      <c r="F1186" s="34" t="str">
        <f>VLOOKUP(Sales[[#This Row],[Product ID]],Product[#All],2,0)</f>
        <v>HP Laptop</v>
      </c>
      <c r="G1186" s="53">
        <v>6</v>
      </c>
      <c r="H1186" s="165">
        <f>VLOOKUP(Sales[[#This Row],[Product ID]],Product[#All],7,0)</f>
        <v>90020</v>
      </c>
      <c r="I1186" s="165">
        <f>Sales[[#This Row],[Selling Rate]]*Sales[[#This Row],[Qty]]</f>
        <v>540120</v>
      </c>
      <c r="J1186" s="45">
        <v>0.05</v>
      </c>
      <c r="K1186" s="46">
        <f>Sales[[#This Row],[Gross Amount]]*Sales[[#This Row],[Disc %]]</f>
        <v>27006</v>
      </c>
      <c r="L1186" s="43">
        <v>0.18</v>
      </c>
      <c r="M1186" s="46">
        <f>(Sales[[#This Row],[Gross Amount]]-Sales[[#This Row],[Disc. Amt.]])*Sales[[#This Row],[GST %]]</f>
        <v>92360.51999999999</v>
      </c>
      <c r="N1186" s="161">
        <f>Sales[[#This Row],[Gross Amount]]-Sales[[#This Row],[Disc. Amt.]]+Sales[[#This Row],[GST Amount]]</f>
        <v>605474.52</v>
      </c>
      <c r="O1186" s="34" t="s">
        <v>3561</v>
      </c>
      <c r="P1186" s="34" t="s">
        <v>3562</v>
      </c>
      <c r="Q1186" s="165">
        <f>IF(Sales[[#This Row],[Status]]="Cancelled",0,Sales[[#This Row],[Qty]])</f>
        <v>6</v>
      </c>
      <c r="R1186" s="166">
        <f>IF(Sales[[#This Row],[Status]]="Cancelled",0,Sales[[#This Row],[Total Amount]])</f>
        <v>605474.52</v>
      </c>
      <c r="S1186" s="162">
        <f>SUM(Sales[Net Amount])</f>
        <v>406839287.73200053</v>
      </c>
    </row>
    <row r="1187" spans="1:19" ht="18.75" x14ac:dyDescent="0.25">
      <c r="A1187" s="156" t="s">
        <v>4781</v>
      </c>
      <c r="B1187" s="157">
        <v>45840</v>
      </c>
      <c r="C1187" s="158" t="s">
        <v>729</v>
      </c>
      <c r="D1187" s="159" t="str">
        <f>VLOOKUP(Sales[[#This Row],[Customer ID]],Customer[#All],2,0)</f>
        <v>Ankit Kumar</v>
      </c>
      <c r="E1187" s="158" t="s">
        <v>333</v>
      </c>
      <c r="F1187" s="158" t="str">
        <f>VLOOKUP(Sales[[#This Row],[Product ID]],Product[#All],2,0)</f>
        <v>Logitech Keyboard</v>
      </c>
      <c r="G1187" s="159">
        <v>4</v>
      </c>
      <c r="H1187" s="160">
        <f>VLOOKUP(Sales[[#This Row],[Product ID]],Product[#All],7,0)</f>
        <v>3350</v>
      </c>
      <c r="I1187" s="160">
        <f>Sales[[#This Row],[Selling Rate]]*Sales[[#This Row],[Qty]]</f>
        <v>13400</v>
      </c>
      <c r="J1187" s="43">
        <v>0.15</v>
      </c>
      <c r="K1187" s="44">
        <f>Sales[[#This Row],[Gross Amount]]*Sales[[#This Row],[Disc %]]</f>
        <v>2010</v>
      </c>
      <c r="L1187" s="43">
        <v>0.18</v>
      </c>
      <c r="M1187" s="44">
        <f>(Sales[[#This Row],[Gross Amount]]-Sales[[#This Row],[Disc. Amt.]])*Sales[[#This Row],[GST %]]</f>
        <v>2050.1999999999998</v>
      </c>
      <c r="N1187" s="161">
        <f>Sales[[#This Row],[Gross Amount]]-Sales[[#This Row],[Disc. Amt.]]+Sales[[#This Row],[GST Amount]]</f>
        <v>13440.2</v>
      </c>
      <c r="O1187" s="158" t="s">
        <v>3569</v>
      </c>
      <c r="P1187" s="158" t="s">
        <v>3562</v>
      </c>
      <c r="Q1187" s="160">
        <f>IF(Sales[[#This Row],[Status]]="Cancelled",0,Sales[[#This Row],[Qty]])</f>
        <v>4</v>
      </c>
      <c r="R1187" s="161">
        <f>IF(Sales[[#This Row],[Status]]="Cancelled",0,Sales[[#This Row],[Total Amount]])</f>
        <v>13440.2</v>
      </c>
      <c r="S1187" s="162">
        <f>SUM(Sales[Net Amount])</f>
        <v>406839287.73200053</v>
      </c>
    </row>
    <row r="1188" spans="1:19" ht="18.75" x14ac:dyDescent="0.25">
      <c r="A1188" s="163" t="s">
        <v>4782</v>
      </c>
      <c r="B1188" s="164">
        <v>45840</v>
      </c>
      <c r="C1188" s="34" t="s">
        <v>946</v>
      </c>
      <c r="D1188" s="53" t="str">
        <f>VLOOKUP(Sales[[#This Row],[Customer ID]],Customer[#All],2,0)</f>
        <v>Priya Patel</v>
      </c>
      <c r="E1188" s="34" t="s">
        <v>466</v>
      </c>
      <c r="F1188" s="34" t="str">
        <f>VLOOKUP(Sales[[#This Row],[Product ID]],Product[#All],2,0)</f>
        <v>Lenovo Laptop</v>
      </c>
      <c r="G1188" s="53">
        <v>4</v>
      </c>
      <c r="H1188" s="165">
        <f>VLOOKUP(Sales[[#This Row],[Product ID]],Product[#All],7,0)</f>
        <v>87730</v>
      </c>
      <c r="I1188" s="165">
        <f>Sales[[#This Row],[Selling Rate]]*Sales[[#This Row],[Qty]]</f>
        <v>350920</v>
      </c>
      <c r="J1188" s="45">
        <v>0.12</v>
      </c>
      <c r="K1188" s="46">
        <f>Sales[[#This Row],[Gross Amount]]*Sales[[#This Row],[Disc %]]</f>
        <v>42110.400000000001</v>
      </c>
      <c r="L1188" s="43">
        <v>0.18</v>
      </c>
      <c r="M1188" s="46">
        <f>(Sales[[#This Row],[Gross Amount]]-Sales[[#This Row],[Disc. Amt.]])*Sales[[#This Row],[GST %]]</f>
        <v>55585.727999999996</v>
      </c>
      <c r="N1188" s="161">
        <f>Sales[[#This Row],[Gross Amount]]-Sales[[#This Row],[Disc. Amt.]]+Sales[[#This Row],[GST Amount]]</f>
        <v>364395.32799999998</v>
      </c>
      <c r="O1188" s="34" t="s">
        <v>3569</v>
      </c>
      <c r="P1188" s="34" t="s">
        <v>3562</v>
      </c>
      <c r="Q1188" s="165">
        <f>IF(Sales[[#This Row],[Status]]="Cancelled",0,Sales[[#This Row],[Qty]])</f>
        <v>4</v>
      </c>
      <c r="R1188" s="166">
        <f>IF(Sales[[#This Row],[Status]]="Cancelled",0,Sales[[#This Row],[Total Amount]])</f>
        <v>364395.32799999998</v>
      </c>
      <c r="S1188" s="162">
        <f>SUM(Sales[Net Amount])</f>
        <v>406839287.73200053</v>
      </c>
    </row>
    <row r="1189" spans="1:19" ht="18.75" x14ac:dyDescent="0.25">
      <c r="A1189" s="156" t="s">
        <v>4783</v>
      </c>
      <c r="B1189" s="157">
        <v>45840</v>
      </c>
      <c r="C1189" s="158" t="s">
        <v>725</v>
      </c>
      <c r="D1189" s="159" t="str">
        <f>VLOOKUP(Sales[[#This Row],[Customer ID]],Customer[#All],2,0)</f>
        <v>Ankit Kumar</v>
      </c>
      <c r="E1189" s="158" t="s">
        <v>80</v>
      </c>
      <c r="F1189" s="158" t="str">
        <f>VLOOKUP(Sales[[#This Row],[Product ID]],Product[#All],2,0)</f>
        <v>Epson Printer</v>
      </c>
      <c r="G1189" s="159">
        <v>6</v>
      </c>
      <c r="H1189" s="160">
        <f>VLOOKUP(Sales[[#This Row],[Product ID]],Product[#All],7,0)</f>
        <v>41620</v>
      </c>
      <c r="I1189" s="160">
        <f>Sales[[#This Row],[Selling Rate]]*Sales[[#This Row],[Qty]]</f>
        <v>249720</v>
      </c>
      <c r="J1189" s="43">
        <v>0.05</v>
      </c>
      <c r="K1189" s="44">
        <f>Sales[[#This Row],[Gross Amount]]*Sales[[#This Row],[Disc %]]</f>
        <v>12486</v>
      </c>
      <c r="L1189" s="43">
        <v>0.18</v>
      </c>
      <c r="M1189" s="44">
        <f>(Sales[[#This Row],[Gross Amount]]-Sales[[#This Row],[Disc. Amt.]])*Sales[[#This Row],[GST %]]</f>
        <v>42702.119999999995</v>
      </c>
      <c r="N1189" s="161">
        <f>Sales[[#This Row],[Gross Amount]]-Sales[[#This Row],[Disc. Amt.]]+Sales[[#This Row],[GST Amount]]</f>
        <v>279936.12</v>
      </c>
      <c r="O1189" s="158" t="s">
        <v>3566</v>
      </c>
      <c r="P1189" s="158" t="s">
        <v>3562</v>
      </c>
      <c r="Q1189" s="160">
        <f>IF(Sales[[#This Row],[Status]]="Cancelled",0,Sales[[#This Row],[Qty]])</f>
        <v>6</v>
      </c>
      <c r="R1189" s="161">
        <f>IF(Sales[[#This Row],[Status]]="Cancelled",0,Sales[[#This Row],[Total Amount]])</f>
        <v>279936.12</v>
      </c>
      <c r="S1189" s="162">
        <f>SUM(Sales[Net Amount])</f>
        <v>406839287.73200053</v>
      </c>
    </row>
    <row r="1190" spans="1:19" ht="18.75" x14ac:dyDescent="0.25">
      <c r="A1190" s="163" t="s">
        <v>4784</v>
      </c>
      <c r="B1190" s="164">
        <v>45841</v>
      </c>
      <c r="C1190" s="34" t="s">
        <v>675</v>
      </c>
      <c r="D1190" s="53" t="str">
        <f>VLOOKUP(Sales[[#This Row],[Customer ID]],Customer[#All],2,0)</f>
        <v>Rahul Gupta</v>
      </c>
      <c r="E1190" s="34" t="s">
        <v>315</v>
      </c>
      <c r="F1190" s="34" t="str">
        <f>VLOOKUP(Sales[[#This Row],[Product ID]],Product[#All],2,0)</f>
        <v>Jbl Headset</v>
      </c>
      <c r="G1190" s="53">
        <v>7</v>
      </c>
      <c r="H1190" s="165">
        <f>VLOOKUP(Sales[[#This Row],[Product ID]],Product[#All],7,0)</f>
        <v>2630</v>
      </c>
      <c r="I1190" s="165">
        <f>Sales[[#This Row],[Selling Rate]]*Sales[[#This Row],[Qty]]</f>
        <v>18410</v>
      </c>
      <c r="J1190" s="45">
        <v>0.12</v>
      </c>
      <c r="K1190" s="46">
        <f>Sales[[#This Row],[Gross Amount]]*Sales[[#This Row],[Disc %]]</f>
        <v>2209.1999999999998</v>
      </c>
      <c r="L1190" s="43">
        <v>0.18</v>
      </c>
      <c r="M1190" s="46">
        <f>(Sales[[#This Row],[Gross Amount]]-Sales[[#This Row],[Disc. Amt.]])*Sales[[#This Row],[GST %]]</f>
        <v>2916.1439999999998</v>
      </c>
      <c r="N1190" s="161">
        <f>Sales[[#This Row],[Gross Amount]]-Sales[[#This Row],[Disc. Amt.]]+Sales[[#This Row],[GST Amount]]</f>
        <v>19116.944</v>
      </c>
      <c r="O1190" s="34" t="s">
        <v>3561</v>
      </c>
      <c r="P1190" s="34" t="s">
        <v>1040</v>
      </c>
      <c r="Q1190" s="165">
        <f>IF(Sales[[#This Row],[Status]]="Cancelled",0,Sales[[#This Row],[Qty]])</f>
        <v>0</v>
      </c>
      <c r="R1190" s="166">
        <f>IF(Sales[[#This Row],[Status]]="Cancelled",0,Sales[[#This Row],[Total Amount]])</f>
        <v>0</v>
      </c>
      <c r="S1190" s="162">
        <f>SUM(Sales[Net Amount])</f>
        <v>406839287.73200053</v>
      </c>
    </row>
    <row r="1191" spans="1:19" ht="18.75" x14ac:dyDescent="0.25">
      <c r="A1191" s="156" t="s">
        <v>4785</v>
      </c>
      <c r="B1191" s="157">
        <v>45841</v>
      </c>
      <c r="C1191" s="158" t="s">
        <v>840</v>
      </c>
      <c r="D1191" s="159" t="str">
        <f>VLOOKUP(Sales[[#This Row],[Customer ID]],Customer[#All],2,0)</f>
        <v>Rakesh Verma</v>
      </c>
      <c r="E1191" s="158" t="s">
        <v>474</v>
      </c>
      <c r="F1191" s="158" t="str">
        <f>VLOOKUP(Sales[[#This Row],[Product ID]],Product[#All],2,0)</f>
        <v>Logitech Mouse</v>
      </c>
      <c r="G1191" s="159">
        <v>2</v>
      </c>
      <c r="H1191" s="160">
        <f>VLOOKUP(Sales[[#This Row],[Product ID]],Product[#All],7,0)</f>
        <v>1320</v>
      </c>
      <c r="I1191" s="160">
        <f>Sales[[#This Row],[Selling Rate]]*Sales[[#This Row],[Qty]]</f>
        <v>2640</v>
      </c>
      <c r="J1191" s="43">
        <v>0.12</v>
      </c>
      <c r="K1191" s="44">
        <f>Sales[[#This Row],[Gross Amount]]*Sales[[#This Row],[Disc %]]</f>
        <v>316.8</v>
      </c>
      <c r="L1191" s="43">
        <v>0.18</v>
      </c>
      <c r="M1191" s="44">
        <f>(Sales[[#This Row],[Gross Amount]]-Sales[[#This Row],[Disc. Amt.]])*Sales[[#This Row],[GST %]]</f>
        <v>418.17599999999993</v>
      </c>
      <c r="N1191" s="161">
        <f>Sales[[#This Row],[Gross Amount]]-Sales[[#This Row],[Disc. Amt.]]+Sales[[#This Row],[GST Amount]]</f>
        <v>2741.3759999999997</v>
      </c>
      <c r="O1191" s="158" t="s">
        <v>3561</v>
      </c>
      <c r="P1191" s="158" t="s">
        <v>3562</v>
      </c>
      <c r="Q1191" s="160">
        <f>IF(Sales[[#This Row],[Status]]="Cancelled",0,Sales[[#This Row],[Qty]])</f>
        <v>2</v>
      </c>
      <c r="R1191" s="161">
        <f>IF(Sales[[#This Row],[Status]]="Cancelled",0,Sales[[#This Row],[Total Amount]])</f>
        <v>2741.3759999999997</v>
      </c>
      <c r="S1191" s="162">
        <f>SUM(Sales[Net Amount])</f>
        <v>406839287.73200053</v>
      </c>
    </row>
    <row r="1192" spans="1:19" ht="18.75" x14ac:dyDescent="0.25">
      <c r="A1192" s="163" t="s">
        <v>4786</v>
      </c>
      <c r="B1192" s="164">
        <v>45841</v>
      </c>
      <c r="C1192" s="34" t="s">
        <v>741</v>
      </c>
      <c r="D1192" s="53" t="str">
        <f>VLOOKUP(Sales[[#This Row],[Customer ID]],Customer[#All],2,0)</f>
        <v>Rahul Patel</v>
      </c>
      <c r="E1192" s="34" t="s">
        <v>374</v>
      </c>
      <c r="F1192" s="34" t="str">
        <f>VLOOKUP(Sales[[#This Row],[Product ID]],Product[#All],2,0)</f>
        <v>Boat Headset</v>
      </c>
      <c r="G1192" s="53">
        <v>7</v>
      </c>
      <c r="H1192" s="165">
        <f>VLOOKUP(Sales[[#This Row],[Product ID]],Product[#All],7,0)</f>
        <v>3010</v>
      </c>
      <c r="I1192" s="165">
        <f>Sales[[#This Row],[Selling Rate]]*Sales[[#This Row],[Qty]]</f>
        <v>21070</v>
      </c>
      <c r="J1192" s="45">
        <v>0.05</v>
      </c>
      <c r="K1192" s="46">
        <f>Sales[[#This Row],[Gross Amount]]*Sales[[#This Row],[Disc %]]</f>
        <v>1053.5</v>
      </c>
      <c r="L1192" s="43">
        <v>0.18</v>
      </c>
      <c r="M1192" s="46">
        <f>(Sales[[#This Row],[Gross Amount]]-Sales[[#This Row],[Disc. Amt.]])*Sales[[#This Row],[GST %]]</f>
        <v>3602.97</v>
      </c>
      <c r="N1192" s="161">
        <f>Sales[[#This Row],[Gross Amount]]-Sales[[#This Row],[Disc. Amt.]]+Sales[[#This Row],[GST Amount]]</f>
        <v>23619.47</v>
      </c>
      <c r="O1192" s="34" t="s">
        <v>3561</v>
      </c>
      <c r="P1192" s="34" t="s">
        <v>3562</v>
      </c>
      <c r="Q1192" s="165">
        <f>IF(Sales[[#This Row],[Status]]="Cancelled",0,Sales[[#This Row],[Qty]])</f>
        <v>7</v>
      </c>
      <c r="R1192" s="166">
        <f>IF(Sales[[#This Row],[Status]]="Cancelled",0,Sales[[#This Row],[Total Amount]])</f>
        <v>23619.47</v>
      </c>
      <c r="S1192" s="162">
        <f>SUM(Sales[Net Amount])</f>
        <v>406839287.73200053</v>
      </c>
    </row>
    <row r="1193" spans="1:19" ht="18.75" x14ac:dyDescent="0.25">
      <c r="A1193" s="156" t="s">
        <v>4787</v>
      </c>
      <c r="B1193" s="157">
        <v>45841</v>
      </c>
      <c r="C1193" s="158" t="s">
        <v>909</v>
      </c>
      <c r="D1193" s="159" t="str">
        <f>VLOOKUP(Sales[[#This Row],[Customer ID]],Customer[#All],2,0)</f>
        <v>Priya Sharma</v>
      </c>
      <c r="E1193" s="158" t="s">
        <v>87</v>
      </c>
      <c r="F1193" s="158" t="str">
        <f>VLOOKUP(Sales[[#This Row],[Product ID]],Product[#All],2,0)</f>
        <v>Boat Headset</v>
      </c>
      <c r="G1193" s="159">
        <v>4</v>
      </c>
      <c r="H1193" s="160">
        <f>VLOOKUP(Sales[[#This Row],[Product ID]],Product[#All],7,0)</f>
        <v>1040</v>
      </c>
      <c r="I1193" s="160">
        <f>Sales[[#This Row],[Selling Rate]]*Sales[[#This Row],[Qty]]</f>
        <v>4160</v>
      </c>
      <c r="J1193" s="43">
        <v>0.12</v>
      </c>
      <c r="K1193" s="44">
        <f>Sales[[#This Row],[Gross Amount]]*Sales[[#This Row],[Disc %]]</f>
        <v>499.2</v>
      </c>
      <c r="L1193" s="43">
        <v>0.18</v>
      </c>
      <c r="M1193" s="44">
        <f>(Sales[[#This Row],[Gross Amount]]-Sales[[#This Row],[Disc. Amt.]])*Sales[[#This Row],[GST %]]</f>
        <v>658.94399999999996</v>
      </c>
      <c r="N1193" s="161">
        <f>Sales[[#This Row],[Gross Amount]]-Sales[[#This Row],[Disc. Amt.]]+Sales[[#This Row],[GST Amount]]</f>
        <v>4319.7440000000006</v>
      </c>
      <c r="O1193" s="158" t="s">
        <v>3561</v>
      </c>
      <c r="P1193" s="158" t="s">
        <v>3562</v>
      </c>
      <c r="Q1193" s="160">
        <f>IF(Sales[[#This Row],[Status]]="Cancelled",0,Sales[[#This Row],[Qty]])</f>
        <v>4</v>
      </c>
      <c r="R1193" s="161">
        <f>IF(Sales[[#This Row],[Status]]="Cancelled",0,Sales[[#This Row],[Total Amount]])</f>
        <v>4319.7440000000006</v>
      </c>
      <c r="S1193" s="162">
        <f>SUM(Sales[Net Amount])</f>
        <v>406839287.73200053</v>
      </c>
    </row>
    <row r="1194" spans="1:19" ht="18.75" x14ac:dyDescent="0.25">
      <c r="A1194" s="163" t="s">
        <v>4788</v>
      </c>
      <c r="B1194" s="164">
        <v>45841</v>
      </c>
      <c r="C1194" s="34" t="s">
        <v>782</v>
      </c>
      <c r="D1194" s="53" t="str">
        <f>VLOOKUP(Sales[[#This Row],[Customer ID]],Customer[#All],2,0)</f>
        <v>Vikas Singh</v>
      </c>
      <c r="E1194" s="34" t="s">
        <v>368</v>
      </c>
      <c r="F1194" s="34" t="str">
        <f>VLOOKUP(Sales[[#This Row],[Product ID]],Product[#All],2,0)</f>
        <v>Sandisk Pen Drive</v>
      </c>
      <c r="G1194" s="53">
        <v>1</v>
      </c>
      <c r="H1194" s="165">
        <f>VLOOKUP(Sales[[#This Row],[Product ID]],Product[#All],7,0)</f>
        <v>1270</v>
      </c>
      <c r="I1194" s="165">
        <f>Sales[[#This Row],[Selling Rate]]*Sales[[#This Row],[Qty]]</f>
        <v>1270</v>
      </c>
      <c r="J1194" s="45">
        <v>0.12</v>
      </c>
      <c r="K1194" s="46">
        <f>Sales[[#This Row],[Gross Amount]]*Sales[[#This Row],[Disc %]]</f>
        <v>152.4</v>
      </c>
      <c r="L1194" s="43">
        <v>0.18</v>
      </c>
      <c r="M1194" s="46">
        <f>(Sales[[#This Row],[Gross Amount]]-Sales[[#This Row],[Disc. Amt.]])*Sales[[#This Row],[GST %]]</f>
        <v>201.16799999999998</v>
      </c>
      <c r="N1194" s="161">
        <f>Sales[[#This Row],[Gross Amount]]-Sales[[#This Row],[Disc. Amt.]]+Sales[[#This Row],[GST Amount]]</f>
        <v>1318.7679999999998</v>
      </c>
      <c r="O1194" s="34" t="s">
        <v>3569</v>
      </c>
      <c r="P1194" s="34" t="s">
        <v>3562</v>
      </c>
      <c r="Q1194" s="165">
        <f>IF(Sales[[#This Row],[Status]]="Cancelled",0,Sales[[#This Row],[Qty]])</f>
        <v>1</v>
      </c>
      <c r="R1194" s="166">
        <f>IF(Sales[[#This Row],[Status]]="Cancelled",0,Sales[[#This Row],[Total Amount]])</f>
        <v>1318.7679999999998</v>
      </c>
      <c r="S1194" s="162">
        <f>SUM(Sales[Net Amount])</f>
        <v>406839287.73200053</v>
      </c>
    </row>
    <row r="1195" spans="1:19" ht="18.75" x14ac:dyDescent="0.25">
      <c r="A1195" s="156" t="s">
        <v>4789</v>
      </c>
      <c r="B1195" s="157">
        <v>45841</v>
      </c>
      <c r="C1195" s="158" t="s">
        <v>689</v>
      </c>
      <c r="D1195" s="159" t="str">
        <f>VLOOKUP(Sales[[#This Row],[Customer ID]],Customer[#All],2,0)</f>
        <v>Sahil Kumar</v>
      </c>
      <c r="E1195" s="158" t="s">
        <v>546</v>
      </c>
      <c r="F1195" s="158" t="str">
        <f>VLOOKUP(Sales[[#This Row],[Product ID]],Product[#All],2,0)</f>
        <v>Crucial Ssd</v>
      </c>
      <c r="G1195" s="159">
        <v>5</v>
      </c>
      <c r="H1195" s="160">
        <f>VLOOKUP(Sales[[#This Row],[Product ID]],Product[#All],7,0)</f>
        <v>14200</v>
      </c>
      <c r="I1195" s="160">
        <f>Sales[[#This Row],[Selling Rate]]*Sales[[#This Row],[Qty]]</f>
        <v>71000</v>
      </c>
      <c r="J1195" s="43">
        <v>0.1</v>
      </c>
      <c r="K1195" s="44">
        <f>Sales[[#This Row],[Gross Amount]]*Sales[[#This Row],[Disc %]]</f>
        <v>7100</v>
      </c>
      <c r="L1195" s="43">
        <v>0.18</v>
      </c>
      <c r="M1195" s="44">
        <f>(Sales[[#This Row],[Gross Amount]]-Sales[[#This Row],[Disc. Amt.]])*Sales[[#This Row],[GST %]]</f>
        <v>11502</v>
      </c>
      <c r="N1195" s="161">
        <f>Sales[[#This Row],[Gross Amount]]-Sales[[#This Row],[Disc. Amt.]]+Sales[[#This Row],[GST Amount]]</f>
        <v>75402</v>
      </c>
      <c r="O1195" s="158" t="s">
        <v>8876</v>
      </c>
      <c r="P1195" s="158" t="s">
        <v>3562</v>
      </c>
      <c r="Q1195" s="160">
        <f>IF(Sales[[#This Row],[Status]]="Cancelled",0,Sales[[#This Row],[Qty]])</f>
        <v>5</v>
      </c>
      <c r="R1195" s="161">
        <f>IF(Sales[[#This Row],[Status]]="Cancelled",0,Sales[[#This Row],[Total Amount]])</f>
        <v>75402</v>
      </c>
      <c r="S1195" s="162">
        <f>SUM(Sales[Net Amount])</f>
        <v>406839287.73200053</v>
      </c>
    </row>
    <row r="1196" spans="1:19" ht="18.75" x14ac:dyDescent="0.25">
      <c r="A1196" s="163" t="s">
        <v>4790</v>
      </c>
      <c r="B1196" s="164">
        <v>45841</v>
      </c>
      <c r="C1196" s="34" t="s">
        <v>690</v>
      </c>
      <c r="D1196" s="53" t="str">
        <f>VLOOKUP(Sales[[#This Row],[Customer ID]],Customer[#All],2,0)</f>
        <v>Priya Patel</v>
      </c>
      <c r="E1196" s="34" t="s">
        <v>425</v>
      </c>
      <c r="F1196" s="34" t="str">
        <f>VLOOKUP(Sales[[#This Row],[Product ID]],Product[#All],2,0)</f>
        <v>WD HDD</v>
      </c>
      <c r="G1196" s="53">
        <v>7</v>
      </c>
      <c r="H1196" s="165">
        <f>VLOOKUP(Sales[[#This Row],[Product ID]],Product[#All],7,0)</f>
        <v>7660</v>
      </c>
      <c r="I1196" s="165">
        <f>Sales[[#This Row],[Selling Rate]]*Sales[[#This Row],[Qty]]</f>
        <v>53620</v>
      </c>
      <c r="J1196" s="45">
        <v>0.05</v>
      </c>
      <c r="K1196" s="46">
        <f>Sales[[#This Row],[Gross Amount]]*Sales[[#This Row],[Disc %]]</f>
        <v>2681</v>
      </c>
      <c r="L1196" s="43">
        <v>0.18</v>
      </c>
      <c r="M1196" s="46">
        <f>(Sales[[#This Row],[Gross Amount]]-Sales[[#This Row],[Disc. Amt.]])*Sales[[#This Row],[GST %]]</f>
        <v>9169.02</v>
      </c>
      <c r="N1196" s="161">
        <f>Sales[[#This Row],[Gross Amount]]-Sales[[#This Row],[Disc. Amt.]]+Sales[[#This Row],[GST Amount]]</f>
        <v>60108.020000000004</v>
      </c>
      <c r="O1196" s="34" t="s">
        <v>8876</v>
      </c>
      <c r="P1196" s="34" t="s">
        <v>3562</v>
      </c>
      <c r="Q1196" s="165">
        <f>IF(Sales[[#This Row],[Status]]="Cancelled",0,Sales[[#This Row],[Qty]])</f>
        <v>7</v>
      </c>
      <c r="R1196" s="166">
        <f>IF(Sales[[#This Row],[Status]]="Cancelled",0,Sales[[#This Row],[Total Amount]])</f>
        <v>60108.020000000004</v>
      </c>
      <c r="S1196" s="162">
        <f>SUM(Sales[Net Amount])</f>
        <v>406839287.73200053</v>
      </c>
    </row>
    <row r="1197" spans="1:19" ht="18.75" x14ac:dyDescent="0.25">
      <c r="A1197" s="156" t="s">
        <v>4791</v>
      </c>
      <c r="B1197" s="157">
        <v>45841</v>
      </c>
      <c r="C1197" s="158" t="s">
        <v>779</v>
      </c>
      <c r="D1197" s="159" t="str">
        <f>VLOOKUP(Sales[[#This Row],[Customer ID]],Customer[#All],2,0)</f>
        <v>Rakesh Verma</v>
      </c>
      <c r="E1197" s="158" t="s">
        <v>466</v>
      </c>
      <c r="F1197" s="158" t="str">
        <f>VLOOKUP(Sales[[#This Row],[Product ID]],Product[#All],2,0)</f>
        <v>Lenovo Laptop</v>
      </c>
      <c r="G1197" s="159">
        <v>2</v>
      </c>
      <c r="H1197" s="160">
        <f>VLOOKUP(Sales[[#This Row],[Product ID]],Product[#All],7,0)</f>
        <v>87730</v>
      </c>
      <c r="I1197" s="160">
        <f>Sales[[#This Row],[Selling Rate]]*Sales[[#This Row],[Qty]]</f>
        <v>175460</v>
      </c>
      <c r="J1197" s="43">
        <v>0.15</v>
      </c>
      <c r="K1197" s="44">
        <f>Sales[[#This Row],[Gross Amount]]*Sales[[#This Row],[Disc %]]</f>
        <v>26319</v>
      </c>
      <c r="L1197" s="43">
        <v>0.18</v>
      </c>
      <c r="M1197" s="44">
        <f>(Sales[[#This Row],[Gross Amount]]-Sales[[#This Row],[Disc. Amt.]])*Sales[[#This Row],[GST %]]</f>
        <v>26845.379999999997</v>
      </c>
      <c r="N1197" s="161">
        <f>Sales[[#This Row],[Gross Amount]]-Sales[[#This Row],[Disc. Amt.]]+Sales[[#This Row],[GST Amount]]</f>
        <v>175986.38</v>
      </c>
      <c r="O1197" s="158" t="s">
        <v>3561</v>
      </c>
      <c r="P1197" s="158" t="s">
        <v>3562</v>
      </c>
      <c r="Q1197" s="160">
        <f>IF(Sales[[#This Row],[Status]]="Cancelled",0,Sales[[#This Row],[Qty]])</f>
        <v>2</v>
      </c>
      <c r="R1197" s="161">
        <f>IF(Sales[[#This Row],[Status]]="Cancelled",0,Sales[[#This Row],[Total Amount]])</f>
        <v>175986.38</v>
      </c>
      <c r="S1197" s="162">
        <f>SUM(Sales[Net Amount])</f>
        <v>406839287.73200053</v>
      </c>
    </row>
    <row r="1198" spans="1:19" ht="18.75" x14ac:dyDescent="0.25">
      <c r="A1198" s="163" t="s">
        <v>4792</v>
      </c>
      <c r="B1198" s="164">
        <v>45841</v>
      </c>
      <c r="C1198" s="34" t="s">
        <v>840</v>
      </c>
      <c r="D1198" s="53" t="str">
        <f>VLOOKUP(Sales[[#This Row],[Customer ID]],Customer[#All],2,0)</f>
        <v>Rakesh Verma</v>
      </c>
      <c r="E1198" s="34" t="s">
        <v>319</v>
      </c>
      <c r="F1198" s="34" t="str">
        <f>VLOOKUP(Sales[[#This Row],[Product ID]],Product[#All],2,0)</f>
        <v>Seagate HDD</v>
      </c>
      <c r="G1198" s="53">
        <v>3</v>
      </c>
      <c r="H1198" s="165">
        <f>VLOOKUP(Sales[[#This Row],[Product ID]],Product[#All],7,0)</f>
        <v>10650</v>
      </c>
      <c r="I1198" s="165">
        <f>Sales[[#This Row],[Selling Rate]]*Sales[[#This Row],[Qty]]</f>
        <v>31950</v>
      </c>
      <c r="J1198" s="45">
        <v>0.1</v>
      </c>
      <c r="K1198" s="46">
        <f>Sales[[#This Row],[Gross Amount]]*Sales[[#This Row],[Disc %]]</f>
        <v>3195</v>
      </c>
      <c r="L1198" s="43">
        <v>0.18</v>
      </c>
      <c r="M1198" s="46">
        <f>(Sales[[#This Row],[Gross Amount]]-Sales[[#This Row],[Disc. Amt.]])*Sales[[#This Row],[GST %]]</f>
        <v>5175.8999999999996</v>
      </c>
      <c r="N1198" s="161">
        <f>Sales[[#This Row],[Gross Amount]]-Sales[[#This Row],[Disc. Amt.]]+Sales[[#This Row],[GST Amount]]</f>
        <v>33930.9</v>
      </c>
      <c r="O1198" s="34" t="s">
        <v>3561</v>
      </c>
      <c r="P1198" s="34" t="s">
        <v>3562</v>
      </c>
      <c r="Q1198" s="165">
        <f>IF(Sales[[#This Row],[Status]]="Cancelled",0,Sales[[#This Row],[Qty]])</f>
        <v>3</v>
      </c>
      <c r="R1198" s="166">
        <f>IF(Sales[[#This Row],[Status]]="Cancelled",0,Sales[[#This Row],[Total Amount]])</f>
        <v>33930.9</v>
      </c>
      <c r="S1198" s="162">
        <f>SUM(Sales[Net Amount])</f>
        <v>406839287.73200053</v>
      </c>
    </row>
    <row r="1199" spans="1:19" ht="18.75" x14ac:dyDescent="0.25">
      <c r="A1199" s="156" t="s">
        <v>4793</v>
      </c>
      <c r="B1199" s="157">
        <v>45841</v>
      </c>
      <c r="C1199" s="158" t="s">
        <v>746</v>
      </c>
      <c r="D1199" s="159" t="str">
        <f>VLOOKUP(Sales[[#This Row],[Customer ID]],Customer[#All],2,0)</f>
        <v>Sunita Kumar</v>
      </c>
      <c r="E1199" s="158" t="s">
        <v>289</v>
      </c>
      <c r="F1199" s="158" t="str">
        <f>VLOOKUP(Sales[[#This Row],[Product ID]],Product[#All],2,0)</f>
        <v>HP Mouse</v>
      </c>
      <c r="G1199" s="159">
        <v>5</v>
      </c>
      <c r="H1199" s="160">
        <f>VLOOKUP(Sales[[#This Row],[Product ID]],Product[#All],7,0)</f>
        <v>1200</v>
      </c>
      <c r="I1199" s="160">
        <f>Sales[[#This Row],[Selling Rate]]*Sales[[#This Row],[Qty]]</f>
        <v>6000</v>
      </c>
      <c r="J1199" s="43">
        <v>0.1</v>
      </c>
      <c r="K1199" s="44">
        <f>Sales[[#This Row],[Gross Amount]]*Sales[[#This Row],[Disc %]]</f>
        <v>600</v>
      </c>
      <c r="L1199" s="43">
        <v>0.18</v>
      </c>
      <c r="M1199" s="44">
        <f>(Sales[[#This Row],[Gross Amount]]-Sales[[#This Row],[Disc. Amt.]])*Sales[[#This Row],[GST %]]</f>
        <v>972</v>
      </c>
      <c r="N1199" s="161">
        <f>Sales[[#This Row],[Gross Amount]]-Sales[[#This Row],[Disc. Amt.]]+Sales[[#This Row],[GST Amount]]</f>
        <v>6372</v>
      </c>
      <c r="O1199" s="158" t="s">
        <v>3561</v>
      </c>
      <c r="P1199" s="158" t="s">
        <v>3562</v>
      </c>
      <c r="Q1199" s="160">
        <f>IF(Sales[[#This Row],[Status]]="Cancelled",0,Sales[[#This Row],[Qty]])</f>
        <v>5</v>
      </c>
      <c r="R1199" s="161">
        <f>IF(Sales[[#This Row],[Status]]="Cancelled",0,Sales[[#This Row],[Total Amount]])</f>
        <v>6372</v>
      </c>
      <c r="S1199" s="162">
        <f>SUM(Sales[Net Amount])</f>
        <v>406839287.73200053</v>
      </c>
    </row>
    <row r="1200" spans="1:19" ht="18.75" x14ac:dyDescent="0.25">
      <c r="A1200" s="163" t="s">
        <v>4794</v>
      </c>
      <c r="B1200" s="164">
        <v>45841</v>
      </c>
      <c r="C1200" s="34" t="s">
        <v>4795</v>
      </c>
      <c r="D1200" s="53" t="str">
        <f>VLOOKUP(Sales[[#This Row],[Customer ID]],Customer[#All],2,0)</f>
        <v>Ankit Kumar</v>
      </c>
      <c r="E1200" s="34" t="s">
        <v>541</v>
      </c>
      <c r="F1200" s="34" t="str">
        <f>VLOOKUP(Sales[[#This Row],[Product ID]],Product[#All],2,0)</f>
        <v>Crucial Ssd</v>
      </c>
      <c r="G1200" s="53">
        <v>3</v>
      </c>
      <c r="H1200" s="165">
        <f>VLOOKUP(Sales[[#This Row],[Product ID]],Product[#All],7,0)</f>
        <v>9350</v>
      </c>
      <c r="I1200" s="165">
        <f>Sales[[#This Row],[Selling Rate]]*Sales[[#This Row],[Qty]]</f>
        <v>28050</v>
      </c>
      <c r="J1200" s="45">
        <v>0.05</v>
      </c>
      <c r="K1200" s="46">
        <f>Sales[[#This Row],[Gross Amount]]*Sales[[#This Row],[Disc %]]</f>
        <v>1402.5</v>
      </c>
      <c r="L1200" s="43">
        <v>0.18</v>
      </c>
      <c r="M1200" s="46">
        <f>(Sales[[#This Row],[Gross Amount]]-Sales[[#This Row],[Disc. Amt.]])*Sales[[#This Row],[GST %]]</f>
        <v>4796.55</v>
      </c>
      <c r="N1200" s="161">
        <f>Sales[[#This Row],[Gross Amount]]-Sales[[#This Row],[Disc. Amt.]]+Sales[[#This Row],[GST Amount]]</f>
        <v>31444.05</v>
      </c>
      <c r="O1200" s="34" t="s">
        <v>8876</v>
      </c>
      <c r="P1200" s="34" t="s">
        <v>3562</v>
      </c>
      <c r="Q1200" s="165">
        <f>IF(Sales[[#This Row],[Status]]="Cancelled",0,Sales[[#This Row],[Qty]])</f>
        <v>3</v>
      </c>
      <c r="R1200" s="166">
        <f>IF(Sales[[#This Row],[Status]]="Cancelled",0,Sales[[#This Row],[Total Amount]])</f>
        <v>31444.05</v>
      </c>
      <c r="S1200" s="162">
        <f>SUM(Sales[Net Amount])</f>
        <v>406839287.73200053</v>
      </c>
    </row>
    <row r="1201" spans="1:19" ht="18.75" x14ac:dyDescent="0.25">
      <c r="A1201" s="156" t="s">
        <v>4796</v>
      </c>
      <c r="B1201" s="157">
        <v>45841</v>
      </c>
      <c r="C1201" s="158" t="s">
        <v>935</v>
      </c>
      <c r="D1201" s="159" t="str">
        <f>VLOOKUP(Sales[[#This Row],[Customer ID]],Customer[#All],2,0)</f>
        <v>Ankit Kumar</v>
      </c>
      <c r="E1201" s="158" t="s">
        <v>474</v>
      </c>
      <c r="F1201" s="158" t="str">
        <f>VLOOKUP(Sales[[#This Row],[Product ID]],Product[#All],2,0)</f>
        <v>Logitech Mouse</v>
      </c>
      <c r="G1201" s="159">
        <v>7</v>
      </c>
      <c r="H1201" s="160">
        <f>VLOOKUP(Sales[[#This Row],[Product ID]],Product[#All],7,0)</f>
        <v>1320</v>
      </c>
      <c r="I1201" s="160">
        <f>Sales[[#This Row],[Selling Rate]]*Sales[[#This Row],[Qty]]</f>
        <v>9240</v>
      </c>
      <c r="J1201" s="43">
        <v>0</v>
      </c>
      <c r="K1201" s="44">
        <f>Sales[[#This Row],[Gross Amount]]*Sales[[#This Row],[Disc %]]</f>
        <v>0</v>
      </c>
      <c r="L1201" s="43">
        <v>0.18</v>
      </c>
      <c r="M1201" s="44">
        <f>(Sales[[#This Row],[Gross Amount]]-Sales[[#This Row],[Disc. Amt.]])*Sales[[#This Row],[GST %]]</f>
        <v>1663.2</v>
      </c>
      <c r="N1201" s="161">
        <f>Sales[[#This Row],[Gross Amount]]-Sales[[#This Row],[Disc. Amt.]]+Sales[[#This Row],[GST Amount]]</f>
        <v>10903.2</v>
      </c>
      <c r="O1201" s="158" t="s">
        <v>3569</v>
      </c>
      <c r="P1201" s="158" t="s">
        <v>3562</v>
      </c>
      <c r="Q1201" s="160">
        <f>IF(Sales[[#This Row],[Status]]="Cancelled",0,Sales[[#This Row],[Qty]])</f>
        <v>7</v>
      </c>
      <c r="R1201" s="161">
        <f>IF(Sales[[#This Row],[Status]]="Cancelled",0,Sales[[#This Row],[Total Amount]])</f>
        <v>10903.2</v>
      </c>
      <c r="S1201" s="162">
        <f>SUM(Sales[Net Amount])</f>
        <v>406839287.73200053</v>
      </c>
    </row>
    <row r="1202" spans="1:19" ht="18.75" x14ac:dyDescent="0.25">
      <c r="A1202" s="163" t="s">
        <v>4797</v>
      </c>
      <c r="B1202" s="164">
        <v>45841</v>
      </c>
      <c r="C1202" s="34" t="s">
        <v>823</v>
      </c>
      <c r="D1202" s="53" t="str">
        <f>VLOOKUP(Sales[[#This Row],[Customer ID]],Customer[#All],2,0)</f>
        <v>Pooja Singh</v>
      </c>
      <c r="E1202" s="34" t="s">
        <v>510</v>
      </c>
      <c r="F1202" s="34" t="str">
        <f>VLOOKUP(Sales[[#This Row],[Product ID]],Product[#All],2,0)</f>
        <v>American TouristerLaptopBag</v>
      </c>
      <c r="G1202" s="53">
        <v>4</v>
      </c>
      <c r="H1202" s="165">
        <f>VLOOKUP(Sales[[#This Row],[Product ID]],Product[#All],7,0)</f>
        <v>5010</v>
      </c>
      <c r="I1202" s="165">
        <f>Sales[[#This Row],[Selling Rate]]*Sales[[#This Row],[Qty]]</f>
        <v>20040</v>
      </c>
      <c r="J1202" s="45">
        <v>0.12</v>
      </c>
      <c r="K1202" s="46">
        <f>Sales[[#This Row],[Gross Amount]]*Sales[[#This Row],[Disc %]]</f>
        <v>2404.7999999999997</v>
      </c>
      <c r="L1202" s="43">
        <v>0.18</v>
      </c>
      <c r="M1202" s="46">
        <f>(Sales[[#This Row],[Gross Amount]]-Sales[[#This Row],[Disc. Amt.]])*Sales[[#This Row],[GST %]]</f>
        <v>3174.3360000000002</v>
      </c>
      <c r="N1202" s="161">
        <f>Sales[[#This Row],[Gross Amount]]-Sales[[#This Row],[Disc. Amt.]]+Sales[[#This Row],[GST Amount]]</f>
        <v>20809.536</v>
      </c>
      <c r="O1202" s="34" t="s">
        <v>8876</v>
      </c>
      <c r="P1202" s="34" t="s">
        <v>3562</v>
      </c>
      <c r="Q1202" s="165">
        <f>IF(Sales[[#This Row],[Status]]="Cancelled",0,Sales[[#This Row],[Qty]])</f>
        <v>4</v>
      </c>
      <c r="R1202" s="166">
        <f>IF(Sales[[#This Row],[Status]]="Cancelled",0,Sales[[#This Row],[Total Amount]])</f>
        <v>20809.536</v>
      </c>
      <c r="S1202" s="162">
        <f>SUM(Sales[Net Amount])</f>
        <v>406839287.73200053</v>
      </c>
    </row>
    <row r="1203" spans="1:19" ht="18.75" x14ac:dyDescent="0.25">
      <c r="A1203" s="156" t="s">
        <v>4798</v>
      </c>
      <c r="B1203" s="157">
        <v>45841</v>
      </c>
      <c r="C1203" s="158" t="s">
        <v>694</v>
      </c>
      <c r="D1203" s="159" t="str">
        <f>VLOOKUP(Sales[[#This Row],[Customer ID]],Customer[#All],2,0)</f>
        <v>Amit Sharma</v>
      </c>
      <c r="E1203" s="158" t="s">
        <v>451</v>
      </c>
      <c r="F1203" s="158" t="str">
        <f>VLOOKUP(Sales[[#This Row],[Product ID]],Product[#All],2,0)</f>
        <v>HP Printer</v>
      </c>
      <c r="G1203" s="159">
        <v>7</v>
      </c>
      <c r="H1203" s="160">
        <f>VLOOKUP(Sales[[#This Row],[Product ID]],Product[#All],7,0)</f>
        <v>36160</v>
      </c>
      <c r="I1203" s="160">
        <f>Sales[[#This Row],[Selling Rate]]*Sales[[#This Row],[Qty]]</f>
        <v>253120</v>
      </c>
      <c r="J1203" s="43">
        <v>0</v>
      </c>
      <c r="K1203" s="44">
        <f>Sales[[#This Row],[Gross Amount]]*Sales[[#This Row],[Disc %]]</f>
        <v>0</v>
      </c>
      <c r="L1203" s="43">
        <v>0.18</v>
      </c>
      <c r="M1203" s="44">
        <f>(Sales[[#This Row],[Gross Amount]]-Sales[[#This Row],[Disc. Amt.]])*Sales[[#This Row],[GST %]]</f>
        <v>45561.599999999999</v>
      </c>
      <c r="N1203" s="161">
        <f>Sales[[#This Row],[Gross Amount]]-Sales[[#This Row],[Disc. Amt.]]+Sales[[#This Row],[GST Amount]]</f>
        <v>298681.59999999998</v>
      </c>
      <c r="O1203" s="158" t="s">
        <v>3561</v>
      </c>
      <c r="P1203" s="158" t="s">
        <v>3562</v>
      </c>
      <c r="Q1203" s="160">
        <f>IF(Sales[[#This Row],[Status]]="Cancelled",0,Sales[[#This Row],[Qty]])</f>
        <v>7</v>
      </c>
      <c r="R1203" s="161">
        <f>IF(Sales[[#This Row],[Status]]="Cancelled",0,Sales[[#This Row],[Total Amount]])</f>
        <v>298681.59999999998</v>
      </c>
      <c r="S1203" s="162">
        <f>SUM(Sales[Net Amount])</f>
        <v>406839287.73200053</v>
      </c>
    </row>
    <row r="1204" spans="1:19" ht="18.75" x14ac:dyDescent="0.25">
      <c r="A1204" s="163" t="s">
        <v>4799</v>
      </c>
      <c r="B1204" s="164">
        <v>45841</v>
      </c>
      <c r="C1204" s="34" t="s">
        <v>656</v>
      </c>
      <c r="D1204" s="53" t="str">
        <f>VLOOKUP(Sales[[#This Row],[Customer ID]],Customer[#All],2,0)</f>
        <v>Rahul Kumar</v>
      </c>
      <c r="E1204" s="34" t="s">
        <v>169</v>
      </c>
      <c r="F1204" s="34" t="str">
        <f>VLOOKUP(Sales[[#This Row],[Product ID]],Product[#All],2,0)</f>
        <v>Dell Monitor</v>
      </c>
      <c r="G1204" s="53">
        <v>7</v>
      </c>
      <c r="H1204" s="165">
        <f>VLOOKUP(Sales[[#This Row],[Product ID]],Product[#All],7,0)</f>
        <v>22680</v>
      </c>
      <c r="I1204" s="165">
        <f>Sales[[#This Row],[Selling Rate]]*Sales[[#This Row],[Qty]]</f>
        <v>158760</v>
      </c>
      <c r="J1204" s="45">
        <v>0.02</v>
      </c>
      <c r="K1204" s="46">
        <f>Sales[[#This Row],[Gross Amount]]*Sales[[#This Row],[Disc %]]</f>
        <v>3175.2000000000003</v>
      </c>
      <c r="L1204" s="43">
        <v>0.18</v>
      </c>
      <c r="M1204" s="46">
        <f>(Sales[[#This Row],[Gross Amount]]-Sales[[#This Row],[Disc. Amt.]])*Sales[[#This Row],[GST %]]</f>
        <v>28005.263999999996</v>
      </c>
      <c r="N1204" s="161">
        <f>Sales[[#This Row],[Gross Amount]]-Sales[[#This Row],[Disc. Amt.]]+Sales[[#This Row],[GST Amount]]</f>
        <v>183590.06399999998</v>
      </c>
      <c r="O1204" s="34" t="s">
        <v>3569</v>
      </c>
      <c r="P1204" s="34" t="s">
        <v>3562</v>
      </c>
      <c r="Q1204" s="165">
        <f>IF(Sales[[#This Row],[Status]]="Cancelled",0,Sales[[#This Row],[Qty]])</f>
        <v>7</v>
      </c>
      <c r="R1204" s="166">
        <f>IF(Sales[[#This Row],[Status]]="Cancelled",0,Sales[[#This Row],[Total Amount]])</f>
        <v>183590.06399999998</v>
      </c>
      <c r="S1204" s="162">
        <f>SUM(Sales[Net Amount])</f>
        <v>406839287.73200053</v>
      </c>
    </row>
    <row r="1205" spans="1:19" ht="18.75" x14ac:dyDescent="0.25">
      <c r="A1205" s="156" t="s">
        <v>4800</v>
      </c>
      <c r="B1205" s="157">
        <v>45841</v>
      </c>
      <c r="C1205" s="158" t="s">
        <v>796</v>
      </c>
      <c r="D1205" s="159" t="str">
        <f>VLOOKUP(Sales[[#This Row],[Customer ID]],Customer[#All],2,0)</f>
        <v>Rahul Verma</v>
      </c>
      <c r="E1205" s="158" t="s">
        <v>342</v>
      </c>
      <c r="F1205" s="158" t="str">
        <f>VLOOKUP(Sales[[#This Row],[Product ID]],Product[#All],2,0)</f>
        <v>HP Laptop</v>
      </c>
      <c r="G1205" s="159">
        <v>8</v>
      </c>
      <c r="H1205" s="160">
        <f>VLOOKUP(Sales[[#This Row],[Product ID]],Product[#All],7,0)</f>
        <v>66290</v>
      </c>
      <c r="I1205" s="160">
        <f>Sales[[#This Row],[Selling Rate]]*Sales[[#This Row],[Qty]]</f>
        <v>530320</v>
      </c>
      <c r="J1205" s="43">
        <v>0</v>
      </c>
      <c r="K1205" s="44">
        <f>Sales[[#This Row],[Gross Amount]]*Sales[[#This Row],[Disc %]]</f>
        <v>0</v>
      </c>
      <c r="L1205" s="43">
        <v>0.18</v>
      </c>
      <c r="M1205" s="44">
        <f>(Sales[[#This Row],[Gross Amount]]-Sales[[#This Row],[Disc. Amt.]])*Sales[[#This Row],[GST %]]</f>
        <v>95457.599999999991</v>
      </c>
      <c r="N1205" s="161">
        <f>Sales[[#This Row],[Gross Amount]]-Sales[[#This Row],[Disc. Amt.]]+Sales[[#This Row],[GST Amount]]</f>
        <v>625777.6</v>
      </c>
      <c r="O1205" s="158" t="s">
        <v>3566</v>
      </c>
      <c r="P1205" s="158" t="s">
        <v>3562</v>
      </c>
      <c r="Q1205" s="160">
        <f>IF(Sales[[#This Row],[Status]]="Cancelled",0,Sales[[#This Row],[Qty]])</f>
        <v>8</v>
      </c>
      <c r="R1205" s="161">
        <f>IF(Sales[[#This Row],[Status]]="Cancelled",0,Sales[[#This Row],[Total Amount]])</f>
        <v>625777.6</v>
      </c>
      <c r="S1205" s="162">
        <f>SUM(Sales[Net Amount])</f>
        <v>406839287.73200053</v>
      </c>
    </row>
    <row r="1206" spans="1:19" ht="18.75" x14ac:dyDescent="0.25">
      <c r="A1206" s="163" t="s">
        <v>4801</v>
      </c>
      <c r="B1206" s="164">
        <v>45841</v>
      </c>
      <c r="C1206" s="34" t="s">
        <v>829</v>
      </c>
      <c r="D1206" s="53" t="str">
        <f>VLOOKUP(Sales[[#This Row],[Customer ID]],Customer[#All],2,0)</f>
        <v>Pooja Patel</v>
      </c>
      <c r="E1206" s="34" t="s">
        <v>203</v>
      </c>
      <c r="F1206" s="34" t="str">
        <f>VLOOKUP(Sales[[#This Row],[Product ID]],Product[#All],2,0)</f>
        <v>Logitech Mouse</v>
      </c>
      <c r="G1206" s="53">
        <v>6</v>
      </c>
      <c r="H1206" s="165">
        <f>VLOOKUP(Sales[[#This Row],[Product ID]],Product[#All],7,0)</f>
        <v>2110</v>
      </c>
      <c r="I1206" s="165">
        <f>Sales[[#This Row],[Selling Rate]]*Sales[[#This Row],[Qty]]</f>
        <v>12660</v>
      </c>
      <c r="J1206" s="45">
        <v>0.05</v>
      </c>
      <c r="K1206" s="46">
        <f>Sales[[#This Row],[Gross Amount]]*Sales[[#This Row],[Disc %]]</f>
        <v>633</v>
      </c>
      <c r="L1206" s="43">
        <v>0.18</v>
      </c>
      <c r="M1206" s="46">
        <f>(Sales[[#This Row],[Gross Amount]]-Sales[[#This Row],[Disc. Amt.]])*Sales[[#This Row],[GST %]]</f>
        <v>2164.86</v>
      </c>
      <c r="N1206" s="161">
        <f>Sales[[#This Row],[Gross Amount]]-Sales[[#This Row],[Disc. Amt.]]+Sales[[#This Row],[GST Amount]]</f>
        <v>14191.86</v>
      </c>
      <c r="O1206" s="34" t="s">
        <v>8876</v>
      </c>
      <c r="P1206" s="34" t="s">
        <v>3562</v>
      </c>
      <c r="Q1206" s="165">
        <f>IF(Sales[[#This Row],[Status]]="Cancelled",0,Sales[[#This Row],[Qty]])</f>
        <v>6</v>
      </c>
      <c r="R1206" s="166">
        <f>IF(Sales[[#This Row],[Status]]="Cancelled",0,Sales[[#This Row],[Total Amount]])</f>
        <v>14191.86</v>
      </c>
      <c r="S1206" s="162">
        <f>SUM(Sales[Net Amount])</f>
        <v>406839287.73200053</v>
      </c>
    </row>
    <row r="1207" spans="1:19" ht="18.75" x14ac:dyDescent="0.25">
      <c r="A1207" s="156" t="s">
        <v>4802</v>
      </c>
      <c r="B1207" s="157">
        <v>45841</v>
      </c>
      <c r="C1207" s="158" t="s">
        <v>709</v>
      </c>
      <c r="D1207" s="159" t="str">
        <f>VLOOKUP(Sales[[#This Row],[Customer ID]],Customer[#All],2,0)</f>
        <v>Ankit Kumar</v>
      </c>
      <c r="E1207" s="158" t="s">
        <v>150</v>
      </c>
      <c r="F1207" s="158" t="str">
        <f>VLOOKUP(Sales[[#This Row],[Product ID]],Product[#All],2,0)</f>
        <v>Dell Monitor</v>
      </c>
      <c r="G1207" s="159">
        <v>8</v>
      </c>
      <c r="H1207" s="160">
        <f>VLOOKUP(Sales[[#This Row],[Product ID]],Product[#All],7,0)</f>
        <v>8400</v>
      </c>
      <c r="I1207" s="160">
        <f>Sales[[#This Row],[Selling Rate]]*Sales[[#This Row],[Qty]]</f>
        <v>67200</v>
      </c>
      <c r="J1207" s="43">
        <v>0</v>
      </c>
      <c r="K1207" s="44">
        <f>Sales[[#This Row],[Gross Amount]]*Sales[[#This Row],[Disc %]]</f>
        <v>0</v>
      </c>
      <c r="L1207" s="43">
        <v>0.18</v>
      </c>
      <c r="M1207" s="44">
        <f>(Sales[[#This Row],[Gross Amount]]-Sales[[#This Row],[Disc. Amt.]])*Sales[[#This Row],[GST %]]</f>
        <v>12096</v>
      </c>
      <c r="N1207" s="161">
        <f>Sales[[#This Row],[Gross Amount]]-Sales[[#This Row],[Disc. Amt.]]+Sales[[#This Row],[GST Amount]]</f>
        <v>79296</v>
      </c>
      <c r="O1207" s="158" t="s">
        <v>8876</v>
      </c>
      <c r="P1207" s="158" t="s">
        <v>3562</v>
      </c>
      <c r="Q1207" s="160">
        <f>IF(Sales[[#This Row],[Status]]="Cancelled",0,Sales[[#This Row],[Qty]])</f>
        <v>8</v>
      </c>
      <c r="R1207" s="161">
        <f>IF(Sales[[#This Row],[Status]]="Cancelled",0,Sales[[#This Row],[Total Amount]])</f>
        <v>79296</v>
      </c>
      <c r="S1207" s="162">
        <f>SUM(Sales[Net Amount])</f>
        <v>406839287.73200053</v>
      </c>
    </row>
    <row r="1208" spans="1:19" ht="18.75" x14ac:dyDescent="0.25">
      <c r="A1208" s="163" t="s">
        <v>4803</v>
      </c>
      <c r="B1208" s="164">
        <v>45841</v>
      </c>
      <c r="C1208" s="34" t="s">
        <v>668</v>
      </c>
      <c r="D1208" s="53" t="str">
        <f>VLOOKUP(Sales[[#This Row],[Customer ID]],Customer[#All],2,0)</f>
        <v>Rahul Patel</v>
      </c>
      <c r="E1208" s="34" t="s">
        <v>472</v>
      </c>
      <c r="F1208" s="34" t="str">
        <f>VLOOKUP(Sales[[#This Row],[Product ID]],Product[#All],2,0)</f>
        <v>Seagate HDD</v>
      </c>
      <c r="G1208" s="53">
        <v>3</v>
      </c>
      <c r="H1208" s="165">
        <f>VLOOKUP(Sales[[#This Row],[Product ID]],Product[#All],7,0)</f>
        <v>6840</v>
      </c>
      <c r="I1208" s="165">
        <f>Sales[[#This Row],[Selling Rate]]*Sales[[#This Row],[Qty]]</f>
        <v>20520</v>
      </c>
      <c r="J1208" s="45">
        <v>0.1</v>
      </c>
      <c r="K1208" s="46">
        <f>Sales[[#This Row],[Gross Amount]]*Sales[[#This Row],[Disc %]]</f>
        <v>2052</v>
      </c>
      <c r="L1208" s="43">
        <v>0.18</v>
      </c>
      <c r="M1208" s="46">
        <f>(Sales[[#This Row],[Gross Amount]]-Sales[[#This Row],[Disc. Amt.]])*Sales[[#This Row],[GST %]]</f>
        <v>3324.24</v>
      </c>
      <c r="N1208" s="161">
        <f>Sales[[#This Row],[Gross Amount]]-Sales[[#This Row],[Disc. Amt.]]+Sales[[#This Row],[GST Amount]]</f>
        <v>21792.239999999998</v>
      </c>
      <c r="O1208" s="34" t="s">
        <v>3561</v>
      </c>
      <c r="P1208" s="34" t="s">
        <v>3562</v>
      </c>
      <c r="Q1208" s="165">
        <f>IF(Sales[[#This Row],[Status]]="Cancelled",0,Sales[[#This Row],[Qty]])</f>
        <v>3</v>
      </c>
      <c r="R1208" s="166">
        <f>IF(Sales[[#This Row],[Status]]="Cancelled",0,Sales[[#This Row],[Total Amount]])</f>
        <v>21792.239999999998</v>
      </c>
      <c r="S1208" s="162">
        <f>SUM(Sales[Net Amount])</f>
        <v>406839287.73200053</v>
      </c>
    </row>
    <row r="1209" spans="1:19" ht="18.75" x14ac:dyDescent="0.25">
      <c r="A1209" s="156" t="s">
        <v>4804</v>
      </c>
      <c r="B1209" s="157">
        <v>45841</v>
      </c>
      <c r="C1209" s="158" t="s">
        <v>851</v>
      </c>
      <c r="D1209" s="159" t="str">
        <f>VLOOKUP(Sales[[#This Row],[Customer ID]],Customer[#All],2,0)</f>
        <v>Pooja Singh</v>
      </c>
      <c r="E1209" s="158" t="s">
        <v>483</v>
      </c>
      <c r="F1209" s="158" t="str">
        <f>VLOOKUP(Sales[[#This Row],[Product ID]],Product[#All],2,0)</f>
        <v>Kingston Ram</v>
      </c>
      <c r="G1209" s="159">
        <v>8</v>
      </c>
      <c r="H1209" s="160">
        <f>VLOOKUP(Sales[[#This Row],[Product ID]],Product[#All],7,0)</f>
        <v>8630</v>
      </c>
      <c r="I1209" s="160">
        <f>Sales[[#This Row],[Selling Rate]]*Sales[[#This Row],[Qty]]</f>
        <v>69040</v>
      </c>
      <c r="J1209" s="43">
        <v>0.12</v>
      </c>
      <c r="K1209" s="44">
        <f>Sales[[#This Row],[Gross Amount]]*Sales[[#This Row],[Disc %]]</f>
        <v>8284.7999999999993</v>
      </c>
      <c r="L1209" s="43">
        <v>0.18</v>
      </c>
      <c r="M1209" s="44">
        <f>(Sales[[#This Row],[Gross Amount]]-Sales[[#This Row],[Disc. Amt.]])*Sales[[#This Row],[GST %]]</f>
        <v>10935.936</v>
      </c>
      <c r="N1209" s="161">
        <f>Sales[[#This Row],[Gross Amount]]-Sales[[#This Row],[Disc. Amt.]]+Sales[[#This Row],[GST Amount]]</f>
        <v>71691.135999999999</v>
      </c>
      <c r="O1209" s="158" t="s">
        <v>8876</v>
      </c>
      <c r="P1209" s="158" t="s">
        <v>3562</v>
      </c>
      <c r="Q1209" s="160">
        <f>IF(Sales[[#This Row],[Status]]="Cancelled",0,Sales[[#This Row],[Qty]])</f>
        <v>8</v>
      </c>
      <c r="R1209" s="161">
        <f>IF(Sales[[#This Row],[Status]]="Cancelled",0,Sales[[#This Row],[Total Amount]])</f>
        <v>71691.135999999999</v>
      </c>
      <c r="S1209" s="162">
        <f>SUM(Sales[Net Amount])</f>
        <v>406839287.73200053</v>
      </c>
    </row>
    <row r="1210" spans="1:19" ht="18.75" x14ac:dyDescent="0.25">
      <c r="A1210" s="163" t="s">
        <v>4805</v>
      </c>
      <c r="B1210" s="164">
        <v>45841</v>
      </c>
      <c r="C1210" s="34" t="s">
        <v>778</v>
      </c>
      <c r="D1210" s="53" t="str">
        <f>VLOOKUP(Sales[[#This Row],[Customer ID]],Customer[#All],2,0)</f>
        <v>Ankit Gupta</v>
      </c>
      <c r="E1210" s="34" t="s">
        <v>232</v>
      </c>
      <c r="F1210" s="34" t="str">
        <f>VLOOKUP(Sales[[#This Row],[Product ID]],Product[#All],2,0)</f>
        <v>HP Printer</v>
      </c>
      <c r="G1210" s="53">
        <v>6</v>
      </c>
      <c r="H1210" s="165">
        <f>VLOOKUP(Sales[[#This Row],[Product ID]],Product[#All],7,0)</f>
        <v>35700</v>
      </c>
      <c r="I1210" s="165">
        <f>Sales[[#This Row],[Selling Rate]]*Sales[[#This Row],[Qty]]</f>
        <v>214200</v>
      </c>
      <c r="J1210" s="45">
        <v>0</v>
      </c>
      <c r="K1210" s="46">
        <f>Sales[[#This Row],[Gross Amount]]*Sales[[#This Row],[Disc %]]</f>
        <v>0</v>
      </c>
      <c r="L1210" s="43">
        <v>0.18</v>
      </c>
      <c r="M1210" s="46">
        <f>(Sales[[#This Row],[Gross Amount]]-Sales[[#This Row],[Disc. Amt.]])*Sales[[#This Row],[GST %]]</f>
        <v>38556</v>
      </c>
      <c r="N1210" s="161">
        <f>Sales[[#This Row],[Gross Amount]]-Sales[[#This Row],[Disc. Amt.]]+Sales[[#This Row],[GST Amount]]</f>
        <v>252756</v>
      </c>
      <c r="O1210" s="34" t="s">
        <v>3561</v>
      </c>
      <c r="P1210" s="34" t="s">
        <v>3562</v>
      </c>
      <c r="Q1210" s="165">
        <f>IF(Sales[[#This Row],[Status]]="Cancelled",0,Sales[[#This Row],[Qty]])</f>
        <v>6</v>
      </c>
      <c r="R1210" s="166">
        <f>IF(Sales[[#This Row],[Status]]="Cancelled",0,Sales[[#This Row],[Total Amount]])</f>
        <v>252756</v>
      </c>
      <c r="S1210" s="162">
        <f>SUM(Sales[Net Amount])</f>
        <v>406839287.73200053</v>
      </c>
    </row>
    <row r="1211" spans="1:19" ht="18.75" x14ac:dyDescent="0.25">
      <c r="A1211" s="156" t="s">
        <v>4806</v>
      </c>
      <c r="B1211" s="157">
        <v>45841</v>
      </c>
      <c r="C1211" s="158" t="s">
        <v>770</v>
      </c>
      <c r="D1211" s="159" t="str">
        <f>VLOOKUP(Sales[[#This Row],[Customer ID]],Customer[#All],2,0)</f>
        <v>Sunita Sharma</v>
      </c>
      <c r="E1211" s="158" t="s">
        <v>86</v>
      </c>
      <c r="F1211" s="158" t="str">
        <f>VLOOKUP(Sales[[#This Row],[Product ID]],Product[#All],2,0)</f>
        <v>Lg Monitor</v>
      </c>
      <c r="G1211" s="159">
        <v>2</v>
      </c>
      <c r="H1211" s="160">
        <f>VLOOKUP(Sales[[#This Row],[Product ID]],Product[#All],7,0)</f>
        <v>14730</v>
      </c>
      <c r="I1211" s="160">
        <f>Sales[[#This Row],[Selling Rate]]*Sales[[#This Row],[Qty]]</f>
        <v>29460</v>
      </c>
      <c r="J1211" s="43">
        <v>0.05</v>
      </c>
      <c r="K1211" s="44">
        <f>Sales[[#This Row],[Gross Amount]]*Sales[[#This Row],[Disc %]]</f>
        <v>1473</v>
      </c>
      <c r="L1211" s="43">
        <v>0.18</v>
      </c>
      <c r="M1211" s="44">
        <f>(Sales[[#This Row],[Gross Amount]]-Sales[[#This Row],[Disc. Amt.]])*Sales[[#This Row],[GST %]]</f>
        <v>5037.66</v>
      </c>
      <c r="N1211" s="161">
        <f>Sales[[#This Row],[Gross Amount]]-Sales[[#This Row],[Disc. Amt.]]+Sales[[#This Row],[GST Amount]]</f>
        <v>33024.660000000003</v>
      </c>
      <c r="O1211" s="158" t="s">
        <v>3569</v>
      </c>
      <c r="P1211" s="158" t="s">
        <v>3562</v>
      </c>
      <c r="Q1211" s="160">
        <f>IF(Sales[[#This Row],[Status]]="Cancelled",0,Sales[[#This Row],[Qty]])</f>
        <v>2</v>
      </c>
      <c r="R1211" s="161">
        <f>IF(Sales[[#This Row],[Status]]="Cancelled",0,Sales[[#This Row],[Total Amount]])</f>
        <v>33024.660000000003</v>
      </c>
      <c r="S1211" s="162">
        <f>SUM(Sales[Net Amount])</f>
        <v>406839287.73200053</v>
      </c>
    </row>
    <row r="1212" spans="1:19" ht="18.75" x14ac:dyDescent="0.25">
      <c r="A1212" s="163" t="s">
        <v>4807</v>
      </c>
      <c r="B1212" s="164">
        <v>45841</v>
      </c>
      <c r="C1212" s="34" t="s">
        <v>853</v>
      </c>
      <c r="D1212" s="53" t="str">
        <f>VLOOKUP(Sales[[#This Row],[Customer ID]],Customer[#All],2,0)</f>
        <v>Amit Singh</v>
      </c>
      <c r="E1212" s="34" t="s">
        <v>438</v>
      </c>
      <c r="F1212" s="34" t="str">
        <f>VLOOKUP(Sales[[#This Row],[Product ID]],Product[#All],2,0)</f>
        <v>Jbl Headset</v>
      </c>
      <c r="G1212" s="53">
        <v>6</v>
      </c>
      <c r="H1212" s="165">
        <f>VLOOKUP(Sales[[#This Row],[Product ID]],Product[#All],7,0)</f>
        <v>1670</v>
      </c>
      <c r="I1212" s="165">
        <f>Sales[[#This Row],[Selling Rate]]*Sales[[#This Row],[Qty]]</f>
        <v>10020</v>
      </c>
      <c r="J1212" s="45">
        <v>0</v>
      </c>
      <c r="K1212" s="46">
        <f>Sales[[#This Row],[Gross Amount]]*Sales[[#This Row],[Disc %]]</f>
        <v>0</v>
      </c>
      <c r="L1212" s="43">
        <v>0.18</v>
      </c>
      <c r="M1212" s="46">
        <f>(Sales[[#This Row],[Gross Amount]]-Sales[[#This Row],[Disc. Amt.]])*Sales[[#This Row],[GST %]]</f>
        <v>1803.6</v>
      </c>
      <c r="N1212" s="161">
        <f>Sales[[#This Row],[Gross Amount]]-Sales[[#This Row],[Disc. Amt.]]+Sales[[#This Row],[GST Amount]]</f>
        <v>11823.6</v>
      </c>
      <c r="O1212" s="34" t="s">
        <v>3569</v>
      </c>
      <c r="P1212" s="34" t="s">
        <v>3562</v>
      </c>
      <c r="Q1212" s="165">
        <f>IF(Sales[[#This Row],[Status]]="Cancelled",0,Sales[[#This Row],[Qty]])</f>
        <v>6</v>
      </c>
      <c r="R1212" s="166">
        <f>IF(Sales[[#This Row],[Status]]="Cancelled",0,Sales[[#This Row],[Total Amount]])</f>
        <v>11823.6</v>
      </c>
      <c r="S1212" s="162">
        <f>SUM(Sales[Net Amount])</f>
        <v>406839287.73200053</v>
      </c>
    </row>
    <row r="1213" spans="1:19" ht="18.75" x14ac:dyDescent="0.25">
      <c r="A1213" s="156" t="s">
        <v>4808</v>
      </c>
      <c r="B1213" s="157">
        <v>45841</v>
      </c>
      <c r="C1213" s="158" t="s">
        <v>864</v>
      </c>
      <c r="D1213" s="159" t="str">
        <f>VLOOKUP(Sales[[#This Row],[Customer ID]],Customer[#All],2,0)</f>
        <v>Sahil Sharma</v>
      </c>
      <c r="E1213" s="158" t="s">
        <v>92</v>
      </c>
      <c r="F1213" s="158" t="str">
        <f>VLOOKUP(Sales[[#This Row],[Product ID]],Product[#All],2,0)</f>
        <v>Jbl Headset</v>
      </c>
      <c r="G1213" s="159">
        <v>4</v>
      </c>
      <c r="H1213" s="160">
        <f>VLOOKUP(Sales[[#This Row],[Product ID]],Product[#All],7,0)</f>
        <v>6180</v>
      </c>
      <c r="I1213" s="160">
        <f>Sales[[#This Row],[Selling Rate]]*Sales[[#This Row],[Qty]]</f>
        <v>24720</v>
      </c>
      <c r="J1213" s="43">
        <v>0.02</v>
      </c>
      <c r="K1213" s="44">
        <f>Sales[[#This Row],[Gross Amount]]*Sales[[#This Row],[Disc %]]</f>
        <v>494.40000000000003</v>
      </c>
      <c r="L1213" s="43">
        <v>0.18</v>
      </c>
      <c r="M1213" s="44">
        <f>(Sales[[#This Row],[Gross Amount]]-Sales[[#This Row],[Disc. Amt.]])*Sales[[#This Row],[GST %]]</f>
        <v>4360.6079999999993</v>
      </c>
      <c r="N1213" s="161">
        <f>Sales[[#This Row],[Gross Amount]]-Sales[[#This Row],[Disc. Amt.]]+Sales[[#This Row],[GST Amount]]</f>
        <v>28586.207999999999</v>
      </c>
      <c r="O1213" s="158" t="s">
        <v>3569</v>
      </c>
      <c r="P1213" s="158" t="s">
        <v>3562</v>
      </c>
      <c r="Q1213" s="160">
        <f>IF(Sales[[#This Row],[Status]]="Cancelled",0,Sales[[#This Row],[Qty]])</f>
        <v>4</v>
      </c>
      <c r="R1213" s="161">
        <f>IF(Sales[[#This Row],[Status]]="Cancelled",0,Sales[[#This Row],[Total Amount]])</f>
        <v>28586.207999999999</v>
      </c>
      <c r="S1213" s="162">
        <f>SUM(Sales[Net Amount])</f>
        <v>406839287.73200053</v>
      </c>
    </row>
    <row r="1214" spans="1:19" ht="18.75" x14ac:dyDescent="0.25">
      <c r="A1214" s="163" t="s">
        <v>4809</v>
      </c>
      <c r="B1214" s="164">
        <v>45842</v>
      </c>
      <c r="C1214" s="34" t="s">
        <v>845</v>
      </c>
      <c r="D1214" s="53" t="str">
        <f>VLOOKUP(Sales[[#This Row],[Customer ID]],Customer[#All],2,0)</f>
        <v>Rahul Patel</v>
      </c>
      <c r="E1214" s="34" t="s">
        <v>390</v>
      </c>
      <c r="F1214" s="34" t="str">
        <f>VLOOKUP(Sales[[#This Row],[Product ID]],Product[#All],2,0)</f>
        <v>TP-link Router</v>
      </c>
      <c r="G1214" s="53">
        <v>4</v>
      </c>
      <c r="H1214" s="165">
        <f>VLOOKUP(Sales[[#This Row],[Product ID]],Product[#All],7,0)</f>
        <v>4620</v>
      </c>
      <c r="I1214" s="165">
        <f>Sales[[#This Row],[Selling Rate]]*Sales[[#This Row],[Qty]]</f>
        <v>18480</v>
      </c>
      <c r="J1214" s="45">
        <v>0</v>
      </c>
      <c r="K1214" s="46">
        <f>Sales[[#This Row],[Gross Amount]]*Sales[[#This Row],[Disc %]]</f>
        <v>0</v>
      </c>
      <c r="L1214" s="43">
        <v>0.18</v>
      </c>
      <c r="M1214" s="46">
        <f>(Sales[[#This Row],[Gross Amount]]-Sales[[#This Row],[Disc. Amt.]])*Sales[[#This Row],[GST %]]</f>
        <v>3326.4</v>
      </c>
      <c r="N1214" s="161">
        <f>Sales[[#This Row],[Gross Amount]]-Sales[[#This Row],[Disc. Amt.]]+Sales[[#This Row],[GST Amount]]</f>
        <v>21806.400000000001</v>
      </c>
      <c r="O1214" s="34" t="s">
        <v>3569</v>
      </c>
      <c r="P1214" s="34" t="s">
        <v>3562</v>
      </c>
      <c r="Q1214" s="165">
        <f>IF(Sales[[#This Row],[Status]]="Cancelled",0,Sales[[#This Row],[Qty]])</f>
        <v>4</v>
      </c>
      <c r="R1214" s="166">
        <f>IF(Sales[[#This Row],[Status]]="Cancelled",0,Sales[[#This Row],[Total Amount]])</f>
        <v>21806.400000000001</v>
      </c>
      <c r="S1214" s="162">
        <f>SUM(Sales[Net Amount])</f>
        <v>406839287.73200053</v>
      </c>
    </row>
    <row r="1215" spans="1:19" ht="18.75" x14ac:dyDescent="0.25">
      <c r="A1215" s="156" t="s">
        <v>4810</v>
      </c>
      <c r="B1215" s="157">
        <v>45842</v>
      </c>
      <c r="C1215" s="158" t="s">
        <v>885</v>
      </c>
      <c r="D1215" s="159" t="str">
        <f>VLOOKUP(Sales[[#This Row],[Customer ID]],Customer[#All],2,0)</f>
        <v>Pooja Verma</v>
      </c>
      <c r="E1215" s="158" t="s">
        <v>177</v>
      </c>
      <c r="F1215" s="158" t="str">
        <f>VLOOKUP(Sales[[#This Row],[Product ID]],Product[#All],2,0)</f>
        <v>Dell Laptop</v>
      </c>
      <c r="G1215" s="159">
        <v>1</v>
      </c>
      <c r="H1215" s="160">
        <f>VLOOKUP(Sales[[#This Row],[Product ID]],Product[#All],7,0)</f>
        <v>56790</v>
      </c>
      <c r="I1215" s="160">
        <f>Sales[[#This Row],[Selling Rate]]*Sales[[#This Row],[Qty]]</f>
        <v>56790</v>
      </c>
      <c r="J1215" s="43">
        <v>0</v>
      </c>
      <c r="K1215" s="44">
        <f>Sales[[#This Row],[Gross Amount]]*Sales[[#This Row],[Disc %]]</f>
        <v>0</v>
      </c>
      <c r="L1215" s="43">
        <v>0.18</v>
      </c>
      <c r="M1215" s="44">
        <f>(Sales[[#This Row],[Gross Amount]]-Sales[[#This Row],[Disc. Amt.]])*Sales[[#This Row],[GST %]]</f>
        <v>10222.199999999999</v>
      </c>
      <c r="N1215" s="161">
        <f>Sales[[#This Row],[Gross Amount]]-Sales[[#This Row],[Disc. Amt.]]+Sales[[#This Row],[GST Amount]]</f>
        <v>67012.2</v>
      </c>
      <c r="O1215" s="158" t="s">
        <v>3569</v>
      </c>
      <c r="P1215" s="158" t="s">
        <v>3562</v>
      </c>
      <c r="Q1215" s="160">
        <f>IF(Sales[[#This Row],[Status]]="Cancelled",0,Sales[[#This Row],[Qty]])</f>
        <v>1</v>
      </c>
      <c r="R1215" s="161">
        <f>IF(Sales[[#This Row],[Status]]="Cancelled",0,Sales[[#This Row],[Total Amount]])</f>
        <v>67012.2</v>
      </c>
      <c r="S1215" s="162">
        <f>SUM(Sales[Net Amount])</f>
        <v>406839287.73200053</v>
      </c>
    </row>
    <row r="1216" spans="1:19" ht="18.75" x14ac:dyDescent="0.25">
      <c r="A1216" s="163" t="s">
        <v>4811</v>
      </c>
      <c r="B1216" s="164">
        <v>45842</v>
      </c>
      <c r="C1216" s="34" t="s">
        <v>869</v>
      </c>
      <c r="D1216" s="53" t="str">
        <f>VLOOKUP(Sales[[#This Row],[Customer ID]],Customer[#All],2,0)</f>
        <v>Rakesh Patel</v>
      </c>
      <c r="E1216" s="34" t="s">
        <v>157</v>
      </c>
      <c r="F1216" s="34" t="str">
        <f>VLOOKUP(Sales[[#This Row],[Product ID]],Product[#All],2,0)</f>
        <v>Epson Printer</v>
      </c>
      <c r="G1216" s="53">
        <v>6</v>
      </c>
      <c r="H1216" s="165">
        <f>VLOOKUP(Sales[[#This Row],[Product ID]],Product[#All],7,0)</f>
        <v>12100</v>
      </c>
      <c r="I1216" s="165">
        <f>Sales[[#This Row],[Selling Rate]]*Sales[[#This Row],[Qty]]</f>
        <v>72600</v>
      </c>
      <c r="J1216" s="45">
        <v>0.02</v>
      </c>
      <c r="K1216" s="46">
        <f>Sales[[#This Row],[Gross Amount]]*Sales[[#This Row],[Disc %]]</f>
        <v>1452</v>
      </c>
      <c r="L1216" s="43">
        <v>0.18</v>
      </c>
      <c r="M1216" s="46">
        <f>(Sales[[#This Row],[Gross Amount]]-Sales[[#This Row],[Disc. Amt.]])*Sales[[#This Row],[GST %]]</f>
        <v>12806.64</v>
      </c>
      <c r="N1216" s="161">
        <f>Sales[[#This Row],[Gross Amount]]-Sales[[#This Row],[Disc. Amt.]]+Sales[[#This Row],[GST Amount]]</f>
        <v>83954.64</v>
      </c>
      <c r="O1216" s="34" t="s">
        <v>3566</v>
      </c>
      <c r="P1216" s="34" t="s">
        <v>3562</v>
      </c>
      <c r="Q1216" s="165">
        <f>IF(Sales[[#This Row],[Status]]="Cancelled",0,Sales[[#This Row],[Qty]])</f>
        <v>6</v>
      </c>
      <c r="R1216" s="166">
        <f>IF(Sales[[#This Row],[Status]]="Cancelled",0,Sales[[#This Row],[Total Amount]])</f>
        <v>83954.64</v>
      </c>
      <c r="S1216" s="162">
        <f>SUM(Sales[Net Amount])</f>
        <v>406839287.73200053</v>
      </c>
    </row>
    <row r="1217" spans="1:19" ht="18.75" x14ac:dyDescent="0.25">
      <c r="A1217" s="156" t="s">
        <v>4812</v>
      </c>
      <c r="B1217" s="157">
        <v>45842</v>
      </c>
      <c r="C1217" s="158" t="s">
        <v>845</v>
      </c>
      <c r="D1217" s="159" t="str">
        <f>VLOOKUP(Sales[[#This Row],[Customer ID]],Customer[#All],2,0)</f>
        <v>Rahul Patel</v>
      </c>
      <c r="E1217" s="158" t="s">
        <v>429</v>
      </c>
      <c r="F1217" s="158" t="str">
        <f>VLOOKUP(Sales[[#This Row],[Product ID]],Product[#All],2,0)</f>
        <v>Sandisk Pen Drive</v>
      </c>
      <c r="G1217" s="159">
        <v>8</v>
      </c>
      <c r="H1217" s="160">
        <f>VLOOKUP(Sales[[#This Row],[Product ID]],Product[#All],7,0)</f>
        <v>2290</v>
      </c>
      <c r="I1217" s="160">
        <f>Sales[[#This Row],[Selling Rate]]*Sales[[#This Row],[Qty]]</f>
        <v>18320</v>
      </c>
      <c r="J1217" s="43">
        <v>0.1</v>
      </c>
      <c r="K1217" s="44">
        <f>Sales[[#This Row],[Gross Amount]]*Sales[[#This Row],[Disc %]]</f>
        <v>1832</v>
      </c>
      <c r="L1217" s="43">
        <v>0.18</v>
      </c>
      <c r="M1217" s="44">
        <f>(Sales[[#This Row],[Gross Amount]]-Sales[[#This Row],[Disc. Amt.]])*Sales[[#This Row],[GST %]]</f>
        <v>2967.8399999999997</v>
      </c>
      <c r="N1217" s="161">
        <f>Sales[[#This Row],[Gross Amount]]-Sales[[#This Row],[Disc. Amt.]]+Sales[[#This Row],[GST Amount]]</f>
        <v>19455.84</v>
      </c>
      <c r="O1217" s="158" t="s">
        <v>3569</v>
      </c>
      <c r="P1217" s="158" t="s">
        <v>3562</v>
      </c>
      <c r="Q1217" s="160">
        <f>IF(Sales[[#This Row],[Status]]="Cancelled",0,Sales[[#This Row],[Qty]])</f>
        <v>8</v>
      </c>
      <c r="R1217" s="161">
        <f>IF(Sales[[#This Row],[Status]]="Cancelled",0,Sales[[#This Row],[Total Amount]])</f>
        <v>19455.84</v>
      </c>
      <c r="S1217" s="162">
        <f>SUM(Sales[Net Amount])</f>
        <v>406839287.73200053</v>
      </c>
    </row>
    <row r="1218" spans="1:19" ht="18.75" x14ac:dyDescent="0.25">
      <c r="A1218" s="163" t="s">
        <v>4813</v>
      </c>
      <c r="B1218" s="164">
        <v>45842</v>
      </c>
      <c r="C1218" s="34" t="s">
        <v>889</v>
      </c>
      <c r="D1218" s="53" t="str">
        <f>VLOOKUP(Sales[[#This Row],[Customer ID]],Customer[#All],2,0)</f>
        <v>Rakesh Sharma</v>
      </c>
      <c r="E1218" s="34" t="s">
        <v>70</v>
      </c>
      <c r="F1218" s="34" t="str">
        <f>VLOOKUP(Sales[[#This Row],[Product ID]],Product[#All],2,0)</f>
        <v>Logitech Webcam</v>
      </c>
      <c r="G1218" s="53">
        <v>8</v>
      </c>
      <c r="H1218" s="165">
        <f>VLOOKUP(Sales[[#This Row],[Product ID]],Product[#All],7,0)</f>
        <v>5200</v>
      </c>
      <c r="I1218" s="165">
        <f>Sales[[#This Row],[Selling Rate]]*Sales[[#This Row],[Qty]]</f>
        <v>41600</v>
      </c>
      <c r="J1218" s="45">
        <v>0.05</v>
      </c>
      <c r="K1218" s="46">
        <f>Sales[[#This Row],[Gross Amount]]*Sales[[#This Row],[Disc %]]</f>
        <v>2080</v>
      </c>
      <c r="L1218" s="43">
        <v>0.18</v>
      </c>
      <c r="M1218" s="46">
        <f>(Sales[[#This Row],[Gross Amount]]-Sales[[#This Row],[Disc. Amt.]])*Sales[[#This Row],[GST %]]</f>
        <v>7113.5999999999995</v>
      </c>
      <c r="N1218" s="161">
        <f>Sales[[#This Row],[Gross Amount]]-Sales[[#This Row],[Disc. Amt.]]+Sales[[#This Row],[GST Amount]]</f>
        <v>46633.599999999999</v>
      </c>
      <c r="O1218" s="34" t="s">
        <v>3569</v>
      </c>
      <c r="P1218" s="34" t="s">
        <v>3562</v>
      </c>
      <c r="Q1218" s="165">
        <f>IF(Sales[[#This Row],[Status]]="Cancelled",0,Sales[[#This Row],[Qty]])</f>
        <v>8</v>
      </c>
      <c r="R1218" s="166">
        <f>IF(Sales[[#This Row],[Status]]="Cancelled",0,Sales[[#This Row],[Total Amount]])</f>
        <v>46633.599999999999</v>
      </c>
      <c r="S1218" s="162">
        <f>SUM(Sales[Net Amount])</f>
        <v>406839287.73200053</v>
      </c>
    </row>
    <row r="1219" spans="1:19" ht="18.75" x14ac:dyDescent="0.25">
      <c r="A1219" s="156" t="s">
        <v>4814</v>
      </c>
      <c r="B1219" s="157">
        <v>45842</v>
      </c>
      <c r="C1219" s="158" t="s">
        <v>877</v>
      </c>
      <c r="D1219" s="159" t="str">
        <f>VLOOKUP(Sales[[#This Row],[Customer ID]],Customer[#All],2,0)</f>
        <v>Sahil Patel</v>
      </c>
      <c r="E1219" s="158" t="s">
        <v>192</v>
      </c>
      <c r="F1219" s="158" t="str">
        <f>VLOOKUP(Sales[[#This Row],[Product ID]],Product[#All],2,0)</f>
        <v>HP Laptop</v>
      </c>
      <c r="G1219" s="159">
        <v>6</v>
      </c>
      <c r="H1219" s="160">
        <f>VLOOKUP(Sales[[#This Row],[Product ID]],Product[#All],7,0)</f>
        <v>59870</v>
      </c>
      <c r="I1219" s="160">
        <f>Sales[[#This Row],[Selling Rate]]*Sales[[#This Row],[Qty]]</f>
        <v>359220</v>
      </c>
      <c r="J1219" s="43">
        <v>0.15</v>
      </c>
      <c r="K1219" s="44">
        <f>Sales[[#This Row],[Gross Amount]]*Sales[[#This Row],[Disc %]]</f>
        <v>53883</v>
      </c>
      <c r="L1219" s="43">
        <v>0.18</v>
      </c>
      <c r="M1219" s="44">
        <f>(Sales[[#This Row],[Gross Amount]]-Sales[[#This Row],[Disc. Amt.]])*Sales[[#This Row],[GST %]]</f>
        <v>54960.659999999996</v>
      </c>
      <c r="N1219" s="161">
        <f>Sales[[#This Row],[Gross Amount]]-Sales[[#This Row],[Disc. Amt.]]+Sales[[#This Row],[GST Amount]]</f>
        <v>360297.66</v>
      </c>
      <c r="O1219" s="158" t="s">
        <v>3569</v>
      </c>
      <c r="P1219" s="158" t="s">
        <v>3562</v>
      </c>
      <c r="Q1219" s="160">
        <f>IF(Sales[[#This Row],[Status]]="Cancelled",0,Sales[[#This Row],[Qty]])</f>
        <v>6</v>
      </c>
      <c r="R1219" s="161">
        <f>IF(Sales[[#This Row],[Status]]="Cancelled",0,Sales[[#This Row],[Total Amount]])</f>
        <v>360297.66</v>
      </c>
      <c r="S1219" s="162">
        <f>SUM(Sales[Net Amount])</f>
        <v>406839287.73200053</v>
      </c>
    </row>
    <row r="1220" spans="1:19" ht="18.75" x14ac:dyDescent="0.25">
      <c r="A1220" s="163" t="s">
        <v>4815</v>
      </c>
      <c r="B1220" s="164">
        <v>45842</v>
      </c>
      <c r="C1220" s="34" t="s">
        <v>704</v>
      </c>
      <c r="D1220" s="53" t="str">
        <f>VLOOKUP(Sales[[#This Row],[Customer ID]],Customer[#All],2,0)</f>
        <v>Rahul Gupta</v>
      </c>
      <c r="E1220" s="34" t="s">
        <v>155</v>
      </c>
      <c r="F1220" s="34" t="str">
        <f>VLOOKUP(Sales[[#This Row],[Product ID]],Product[#All],2,0)</f>
        <v>Sandisk Pen Drive</v>
      </c>
      <c r="G1220" s="53">
        <v>6</v>
      </c>
      <c r="H1220" s="165">
        <f>VLOOKUP(Sales[[#This Row],[Product ID]],Product[#All],7,0)</f>
        <v>3650</v>
      </c>
      <c r="I1220" s="165">
        <f>Sales[[#This Row],[Selling Rate]]*Sales[[#This Row],[Qty]]</f>
        <v>21900</v>
      </c>
      <c r="J1220" s="45">
        <v>0.1</v>
      </c>
      <c r="K1220" s="46">
        <f>Sales[[#This Row],[Gross Amount]]*Sales[[#This Row],[Disc %]]</f>
        <v>2190</v>
      </c>
      <c r="L1220" s="43">
        <v>0.18</v>
      </c>
      <c r="M1220" s="46">
        <f>(Sales[[#This Row],[Gross Amount]]-Sales[[#This Row],[Disc. Amt.]])*Sales[[#This Row],[GST %]]</f>
        <v>3547.7999999999997</v>
      </c>
      <c r="N1220" s="161">
        <f>Sales[[#This Row],[Gross Amount]]-Sales[[#This Row],[Disc. Amt.]]+Sales[[#This Row],[GST Amount]]</f>
        <v>23257.8</v>
      </c>
      <c r="O1220" s="34" t="s">
        <v>3561</v>
      </c>
      <c r="P1220" s="34" t="s">
        <v>3562</v>
      </c>
      <c r="Q1220" s="165">
        <f>IF(Sales[[#This Row],[Status]]="Cancelled",0,Sales[[#This Row],[Qty]])</f>
        <v>6</v>
      </c>
      <c r="R1220" s="166">
        <f>IF(Sales[[#This Row],[Status]]="Cancelled",0,Sales[[#This Row],[Total Amount]])</f>
        <v>23257.8</v>
      </c>
      <c r="S1220" s="162">
        <f>SUM(Sales[Net Amount])</f>
        <v>406839287.73200053</v>
      </c>
    </row>
    <row r="1221" spans="1:19" ht="18.75" x14ac:dyDescent="0.25">
      <c r="A1221" s="156" t="s">
        <v>4816</v>
      </c>
      <c r="B1221" s="157">
        <v>45842</v>
      </c>
      <c r="C1221" s="158" t="s">
        <v>657</v>
      </c>
      <c r="D1221" s="159" t="str">
        <f>VLOOKUP(Sales[[#This Row],[Customer ID]],Customer[#All],2,0)</f>
        <v>Rahul Verma</v>
      </c>
      <c r="E1221" s="158" t="s">
        <v>492</v>
      </c>
      <c r="F1221" s="158" t="str">
        <f>VLOOKUP(Sales[[#This Row],[Product ID]],Product[#All],2,0)</f>
        <v>Microtek UPS</v>
      </c>
      <c r="G1221" s="159">
        <v>8</v>
      </c>
      <c r="H1221" s="160">
        <f>VLOOKUP(Sales[[#This Row],[Product ID]],Product[#All],7,0)</f>
        <v>13470</v>
      </c>
      <c r="I1221" s="160">
        <f>Sales[[#This Row],[Selling Rate]]*Sales[[#This Row],[Qty]]</f>
        <v>107760</v>
      </c>
      <c r="J1221" s="43">
        <v>0.15</v>
      </c>
      <c r="K1221" s="44">
        <f>Sales[[#This Row],[Gross Amount]]*Sales[[#This Row],[Disc %]]</f>
        <v>16164</v>
      </c>
      <c r="L1221" s="43">
        <v>0.18</v>
      </c>
      <c r="M1221" s="44">
        <f>(Sales[[#This Row],[Gross Amount]]-Sales[[#This Row],[Disc. Amt.]])*Sales[[#This Row],[GST %]]</f>
        <v>16487.28</v>
      </c>
      <c r="N1221" s="161">
        <f>Sales[[#This Row],[Gross Amount]]-Sales[[#This Row],[Disc. Amt.]]+Sales[[#This Row],[GST Amount]]</f>
        <v>108083.28</v>
      </c>
      <c r="O1221" s="158" t="s">
        <v>3566</v>
      </c>
      <c r="P1221" s="158" t="s">
        <v>3562</v>
      </c>
      <c r="Q1221" s="160">
        <f>IF(Sales[[#This Row],[Status]]="Cancelled",0,Sales[[#This Row],[Qty]])</f>
        <v>8</v>
      </c>
      <c r="R1221" s="161">
        <f>IF(Sales[[#This Row],[Status]]="Cancelled",0,Sales[[#This Row],[Total Amount]])</f>
        <v>108083.28</v>
      </c>
      <c r="S1221" s="162">
        <f>SUM(Sales[Net Amount])</f>
        <v>406839287.73200053</v>
      </c>
    </row>
    <row r="1222" spans="1:19" ht="18.75" x14ac:dyDescent="0.25">
      <c r="A1222" s="163" t="s">
        <v>4817</v>
      </c>
      <c r="B1222" s="164">
        <v>45842</v>
      </c>
      <c r="C1222" s="34" t="s">
        <v>915</v>
      </c>
      <c r="D1222" s="53" t="str">
        <f>VLOOKUP(Sales[[#This Row],[Customer ID]],Customer[#All],2,0)</f>
        <v>Sunita Kumar</v>
      </c>
      <c r="E1222" s="34" t="s">
        <v>366</v>
      </c>
      <c r="F1222" s="34" t="str">
        <f>VLOOKUP(Sales[[#This Row],[Product ID]],Product[#All],2,0)</f>
        <v>Samsung Ssd</v>
      </c>
      <c r="G1222" s="53">
        <v>3</v>
      </c>
      <c r="H1222" s="165">
        <f>VLOOKUP(Sales[[#This Row],[Product ID]],Product[#All],7,0)</f>
        <v>5140</v>
      </c>
      <c r="I1222" s="165">
        <f>Sales[[#This Row],[Selling Rate]]*Sales[[#This Row],[Qty]]</f>
        <v>15420</v>
      </c>
      <c r="J1222" s="45">
        <v>0</v>
      </c>
      <c r="K1222" s="46">
        <f>Sales[[#This Row],[Gross Amount]]*Sales[[#This Row],[Disc %]]</f>
        <v>0</v>
      </c>
      <c r="L1222" s="43">
        <v>0.18</v>
      </c>
      <c r="M1222" s="46">
        <f>(Sales[[#This Row],[Gross Amount]]-Sales[[#This Row],[Disc. Amt.]])*Sales[[#This Row],[GST %]]</f>
        <v>2775.6</v>
      </c>
      <c r="N1222" s="161">
        <f>Sales[[#This Row],[Gross Amount]]-Sales[[#This Row],[Disc. Amt.]]+Sales[[#This Row],[GST Amount]]</f>
        <v>18195.599999999999</v>
      </c>
      <c r="O1222" s="34" t="s">
        <v>3561</v>
      </c>
      <c r="P1222" s="34" t="s">
        <v>3562</v>
      </c>
      <c r="Q1222" s="165">
        <f>IF(Sales[[#This Row],[Status]]="Cancelled",0,Sales[[#This Row],[Qty]])</f>
        <v>3</v>
      </c>
      <c r="R1222" s="166">
        <f>IF(Sales[[#This Row],[Status]]="Cancelled",0,Sales[[#This Row],[Total Amount]])</f>
        <v>18195.599999999999</v>
      </c>
      <c r="S1222" s="162">
        <f>SUM(Sales[Net Amount])</f>
        <v>406839287.73200053</v>
      </c>
    </row>
    <row r="1223" spans="1:19" ht="18.75" x14ac:dyDescent="0.25">
      <c r="A1223" s="156" t="s">
        <v>4818</v>
      </c>
      <c r="B1223" s="157">
        <v>45842</v>
      </c>
      <c r="C1223" s="158" t="s">
        <v>4819</v>
      </c>
      <c r="D1223" s="159" t="str">
        <f>VLOOKUP(Sales[[#This Row],[Customer ID]],Customer[#All],2,0)</f>
        <v>Rahul Singh</v>
      </c>
      <c r="E1223" s="158" t="s">
        <v>181</v>
      </c>
      <c r="F1223" s="158" t="str">
        <f>VLOOKUP(Sales[[#This Row],[Product ID]],Product[#All],2,0)</f>
        <v>Logitech Webcam</v>
      </c>
      <c r="G1223" s="159">
        <v>7</v>
      </c>
      <c r="H1223" s="160">
        <f>VLOOKUP(Sales[[#This Row],[Product ID]],Product[#All],7,0)</f>
        <v>5880</v>
      </c>
      <c r="I1223" s="160">
        <f>Sales[[#This Row],[Selling Rate]]*Sales[[#This Row],[Qty]]</f>
        <v>41160</v>
      </c>
      <c r="J1223" s="43">
        <v>0.05</v>
      </c>
      <c r="K1223" s="44">
        <f>Sales[[#This Row],[Gross Amount]]*Sales[[#This Row],[Disc %]]</f>
        <v>2058</v>
      </c>
      <c r="L1223" s="43">
        <v>0.18</v>
      </c>
      <c r="M1223" s="44">
        <f>(Sales[[#This Row],[Gross Amount]]-Sales[[#This Row],[Disc. Amt.]])*Sales[[#This Row],[GST %]]</f>
        <v>7038.36</v>
      </c>
      <c r="N1223" s="161">
        <f>Sales[[#This Row],[Gross Amount]]-Sales[[#This Row],[Disc. Amt.]]+Sales[[#This Row],[GST Amount]]</f>
        <v>46140.36</v>
      </c>
      <c r="O1223" s="158" t="s">
        <v>8876</v>
      </c>
      <c r="P1223" s="158" t="s">
        <v>3562</v>
      </c>
      <c r="Q1223" s="160">
        <f>IF(Sales[[#This Row],[Status]]="Cancelled",0,Sales[[#This Row],[Qty]])</f>
        <v>7</v>
      </c>
      <c r="R1223" s="161">
        <f>IF(Sales[[#This Row],[Status]]="Cancelled",0,Sales[[#This Row],[Total Amount]])</f>
        <v>46140.36</v>
      </c>
      <c r="S1223" s="162">
        <f>SUM(Sales[Net Amount])</f>
        <v>406839287.73200053</v>
      </c>
    </row>
    <row r="1224" spans="1:19" ht="18.75" x14ac:dyDescent="0.25">
      <c r="A1224" s="163" t="s">
        <v>4820</v>
      </c>
      <c r="B1224" s="164">
        <v>45842</v>
      </c>
      <c r="C1224" s="34" t="s">
        <v>812</v>
      </c>
      <c r="D1224" s="53" t="str">
        <f>VLOOKUP(Sales[[#This Row],[Customer ID]],Customer[#All],2,0)</f>
        <v>Neha Gupta</v>
      </c>
      <c r="E1224" s="34" t="s">
        <v>461</v>
      </c>
      <c r="F1224" s="34" t="str">
        <f>VLOOKUP(Sales[[#This Row],[Product ID]],Product[#All],2,0)</f>
        <v>TP-link Wi-Fi Adapter</v>
      </c>
      <c r="G1224" s="53">
        <v>4</v>
      </c>
      <c r="H1224" s="165">
        <f>VLOOKUP(Sales[[#This Row],[Product ID]],Product[#All],7,0)</f>
        <v>2500</v>
      </c>
      <c r="I1224" s="165">
        <f>Sales[[#This Row],[Selling Rate]]*Sales[[#This Row],[Qty]]</f>
        <v>10000</v>
      </c>
      <c r="J1224" s="45">
        <v>0.12</v>
      </c>
      <c r="K1224" s="46">
        <f>Sales[[#This Row],[Gross Amount]]*Sales[[#This Row],[Disc %]]</f>
        <v>1200</v>
      </c>
      <c r="L1224" s="43">
        <v>0.18</v>
      </c>
      <c r="M1224" s="46">
        <f>(Sales[[#This Row],[Gross Amount]]-Sales[[#This Row],[Disc. Amt.]])*Sales[[#This Row],[GST %]]</f>
        <v>1584</v>
      </c>
      <c r="N1224" s="161">
        <f>Sales[[#This Row],[Gross Amount]]-Sales[[#This Row],[Disc. Amt.]]+Sales[[#This Row],[GST Amount]]</f>
        <v>10384</v>
      </c>
      <c r="O1224" s="34" t="s">
        <v>8876</v>
      </c>
      <c r="P1224" s="34" t="s">
        <v>3562</v>
      </c>
      <c r="Q1224" s="165">
        <f>IF(Sales[[#This Row],[Status]]="Cancelled",0,Sales[[#This Row],[Qty]])</f>
        <v>4</v>
      </c>
      <c r="R1224" s="166">
        <f>IF(Sales[[#This Row],[Status]]="Cancelled",0,Sales[[#This Row],[Total Amount]])</f>
        <v>10384</v>
      </c>
      <c r="S1224" s="162">
        <f>SUM(Sales[Net Amount])</f>
        <v>406839287.73200053</v>
      </c>
    </row>
    <row r="1225" spans="1:19" ht="18.75" x14ac:dyDescent="0.25">
      <c r="A1225" s="156" t="s">
        <v>4821</v>
      </c>
      <c r="B1225" s="157">
        <v>45842</v>
      </c>
      <c r="C1225" s="158" t="s">
        <v>931</v>
      </c>
      <c r="D1225" s="159" t="str">
        <f>VLOOKUP(Sales[[#This Row],[Customer ID]],Customer[#All],2,0)</f>
        <v>Sahil Patel</v>
      </c>
      <c r="E1225" s="158" t="s">
        <v>526</v>
      </c>
      <c r="F1225" s="158" t="str">
        <f>VLOOKUP(Sales[[#This Row],[Product ID]],Product[#All],2,0)</f>
        <v>American TouristerLaptopBag</v>
      </c>
      <c r="G1225" s="159">
        <v>3</v>
      </c>
      <c r="H1225" s="160">
        <f>VLOOKUP(Sales[[#This Row],[Product ID]],Product[#All],7,0)</f>
        <v>2280</v>
      </c>
      <c r="I1225" s="160">
        <f>Sales[[#This Row],[Selling Rate]]*Sales[[#This Row],[Qty]]</f>
        <v>6840</v>
      </c>
      <c r="J1225" s="43">
        <v>0.15</v>
      </c>
      <c r="K1225" s="44">
        <f>Sales[[#This Row],[Gross Amount]]*Sales[[#This Row],[Disc %]]</f>
        <v>1026</v>
      </c>
      <c r="L1225" s="43">
        <v>0.18</v>
      </c>
      <c r="M1225" s="44">
        <f>(Sales[[#This Row],[Gross Amount]]-Sales[[#This Row],[Disc. Amt.]])*Sales[[#This Row],[GST %]]</f>
        <v>1046.52</v>
      </c>
      <c r="N1225" s="161">
        <f>Sales[[#This Row],[Gross Amount]]-Sales[[#This Row],[Disc. Amt.]]+Sales[[#This Row],[GST Amount]]</f>
        <v>6860.52</v>
      </c>
      <c r="O1225" s="158" t="s">
        <v>3566</v>
      </c>
      <c r="P1225" s="158" t="s">
        <v>3562</v>
      </c>
      <c r="Q1225" s="160">
        <f>IF(Sales[[#This Row],[Status]]="Cancelled",0,Sales[[#This Row],[Qty]])</f>
        <v>3</v>
      </c>
      <c r="R1225" s="161">
        <f>IF(Sales[[#This Row],[Status]]="Cancelled",0,Sales[[#This Row],[Total Amount]])</f>
        <v>6860.52</v>
      </c>
      <c r="S1225" s="162">
        <f>SUM(Sales[Net Amount])</f>
        <v>406839287.73200053</v>
      </c>
    </row>
    <row r="1226" spans="1:19" ht="18.75" x14ac:dyDescent="0.25">
      <c r="A1226" s="163" t="s">
        <v>4822</v>
      </c>
      <c r="B1226" s="164">
        <v>45842</v>
      </c>
      <c r="C1226" s="34" t="s">
        <v>875</v>
      </c>
      <c r="D1226" s="53" t="str">
        <f>VLOOKUP(Sales[[#This Row],[Customer ID]],Customer[#All],2,0)</f>
        <v>Rahul Verma</v>
      </c>
      <c r="E1226" s="34" t="s">
        <v>160</v>
      </c>
      <c r="F1226" s="34" t="str">
        <f>VLOOKUP(Sales[[#This Row],[Product ID]],Product[#All],2,0)</f>
        <v>Dell Power Adapter</v>
      </c>
      <c r="G1226" s="53">
        <v>7</v>
      </c>
      <c r="H1226" s="165">
        <f>VLOOKUP(Sales[[#This Row],[Product ID]],Product[#All],7,0)</f>
        <v>4330</v>
      </c>
      <c r="I1226" s="165">
        <f>Sales[[#This Row],[Selling Rate]]*Sales[[#This Row],[Qty]]</f>
        <v>30310</v>
      </c>
      <c r="J1226" s="45">
        <v>0</v>
      </c>
      <c r="K1226" s="46">
        <f>Sales[[#This Row],[Gross Amount]]*Sales[[#This Row],[Disc %]]</f>
        <v>0</v>
      </c>
      <c r="L1226" s="43">
        <v>0.18</v>
      </c>
      <c r="M1226" s="46">
        <f>(Sales[[#This Row],[Gross Amount]]-Sales[[#This Row],[Disc. Amt.]])*Sales[[#This Row],[GST %]]</f>
        <v>5455.8</v>
      </c>
      <c r="N1226" s="161">
        <f>Sales[[#This Row],[Gross Amount]]-Sales[[#This Row],[Disc. Amt.]]+Sales[[#This Row],[GST Amount]]</f>
        <v>35765.800000000003</v>
      </c>
      <c r="O1226" s="34" t="s">
        <v>3569</v>
      </c>
      <c r="P1226" s="34" t="s">
        <v>3562</v>
      </c>
      <c r="Q1226" s="165">
        <f>IF(Sales[[#This Row],[Status]]="Cancelled",0,Sales[[#This Row],[Qty]])</f>
        <v>7</v>
      </c>
      <c r="R1226" s="166">
        <f>IF(Sales[[#This Row],[Status]]="Cancelled",0,Sales[[#This Row],[Total Amount]])</f>
        <v>35765.800000000003</v>
      </c>
      <c r="S1226" s="162">
        <f>SUM(Sales[Net Amount])</f>
        <v>406839287.73200053</v>
      </c>
    </row>
    <row r="1227" spans="1:19" ht="18.75" x14ac:dyDescent="0.25">
      <c r="A1227" s="156" t="s">
        <v>4823</v>
      </c>
      <c r="B1227" s="157">
        <v>45842</v>
      </c>
      <c r="C1227" s="158" t="s">
        <v>701</v>
      </c>
      <c r="D1227" s="159" t="str">
        <f>VLOOKUP(Sales[[#This Row],[Customer ID]],Customer[#All],2,0)</f>
        <v>Ankit Kumar</v>
      </c>
      <c r="E1227" s="158" t="s">
        <v>262</v>
      </c>
      <c r="F1227" s="158" t="str">
        <f>VLOOKUP(Sales[[#This Row],[Product ID]],Product[#All],2,0)</f>
        <v>HP Power Adapter</v>
      </c>
      <c r="G1227" s="159">
        <v>5</v>
      </c>
      <c r="H1227" s="160">
        <f>VLOOKUP(Sales[[#This Row],[Product ID]],Product[#All],7,0)</f>
        <v>3560</v>
      </c>
      <c r="I1227" s="160">
        <f>Sales[[#This Row],[Selling Rate]]*Sales[[#This Row],[Qty]]</f>
        <v>17800</v>
      </c>
      <c r="J1227" s="43">
        <v>0.15</v>
      </c>
      <c r="K1227" s="44">
        <f>Sales[[#This Row],[Gross Amount]]*Sales[[#This Row],[Disc %]]</f>
        <v>2670</v>
      </c>
      <c r="L1227" s="43">
        <v>0.18</v>
      </c>
      <c r="M1227" s="44">
        <f>(Sales[[#This Row],[Gross Amount]]-Sales[[#This Row],[Disc. Amt.]])*Sales[[#This Row],[GST %]]</f>
        <v>2723.4</v>
      </c>
      <c r="N1227" s="161">
        <f>Sales[[#This Row],[Gross Amount]]-Sales[[#This Row],[Disc. Amt.]]+Sales[[#This Row],[GST Amount]]</f>
        <v>17853.400000000001</v>
      </c>
      <c r="O1227" s="158" t="s">
        <v>3566</v>
      </c>
      <c r="P1227" s="158" t="s">
        <v>3562</v>
      </c>
      <c r="Q1227" s="160">
        <f>IF(Sales[[#This Row],[Status]]="Cancelled",0,Sales[[#This Row],[Qty]])</f>
        <v>5</v>
      </c>
      <c r="R1227" s="161">
        <f>IF(Sales[[#This Row],[Status]]="Cancelled",0,Sales[[#This Row],[Total Amount]])</f>
        <v>17853.400000000001</v>
      </c>
      <c r="S1227" s="162">
        <f>SUM(Sales[Net Amount])</f>
        <v>406839287.73200053</v>
      </c>
    </row>
    <row r="1228" spans="1:19" ht="18.75" x14ac:dyDescent="0.25">
      <c r="A1228" s="163" t="s">
        <v>4824</v>
      </c>
      <c r="B1228" s="164">
        <v>45842</v>
      </c>
      <c r="C1228" s="34" t="s">
        <v>783</v>
      </c>
      <c r="D1228" s="53" t="str">
        <f>VLOOKUP(Sales[[#This Row],[Customer ID]],Customer[#All],2,0)</f>
        <v>Neha Singh</v>
      </c>
      <c r="E1228" s="34" t="s">
        <v>327</v>
      </c>
      <c r="F1228" s="34" t="str">
        <f>VLOOKUP(Sales[[#This Row],[Product ID]],Product[#All],2,0)</f>
        <v>Samsung Ssd</v>
      </c>
      <c r="G1228" s="53">
        <v>2</v>
      </c>
      <c r="H1228" s="165">
        <f>VLOOKUP(Sales[[#This Row],[Product ID]],Product[#All],7,0)</f>
        <v>16390</v>
      </c>
      <c r="I1228" s="165">
        <f>Sales[[#This Row],[Selling Rate]]*Sales[[#This Row],[Qty]]</f>
        <v>32780</v>
      </c>
      <c r="J1228" s="45">
        <v>0</v>
      </c>
      <c r="K1228" s="46">
        <f>Sales[[#This Row],[Gross Amount]]*Sales[[#This Row],[Disc %]]</f>
        <v>0</v>
      </c>
      <c r="L1228" s="43">
        <v>0.18</v>
      </c>
      <c r="M1228" s="46">
        <f>(Sales[[#This Row],[Gross Amount]]-Sales[[#This Row],[Disc. Amt.]])*Sales[[#This Row],[GST %]]</f>
        <v>5900.4</v>
      </c>
      <c r="N1228" s="161">
        <f>Sales[[#This Row],[Gross Amount]]-Sales[[#This Row],[Disc. Amt.]]+Sales[[#This Row],[GST Amount]]</f>
        <v>38680.400000000001</v>
      </c>
      <c r="O1228" s="34" t="s">
        <v>3569</v>
      </c>
      <c r="P1228" s="34" t="s">
        <v>3562</v>
      </c>
      <c r="Q1228" s="165">
        <f>IF(Sales[[#This Row],[Status]]="Cancelled",0,Sales[[#This Row],[Qty]])</f>
        <v>2</v>
      </c>
      <c r="R1228" s="166">
        <f>IF(Sales[[#This Row],[Status]]="Cancelled",0,Sales[[#This Row],[Total Amount]])</f>
        <v>38680.400000000001</v>
      </c>
      <c r="S1228" s="162">
        <f>SUM(Sales[Net Amount])</f>
        <v>406839287.73200053</v>
      </c>
    </row>
    <row r="1229" spans="1:19" ht="18.75" x14ac:dyDescent="0.25">
      <c r="A1229" s="156" t="s">
        <v>4825</v>
      </c>
      <c r="B1229" s="157">
        <v>45842</v>
      </c>
      <c r="C1229" s="158" t="s">
        <v>3879</v>
      </c>
      <c r="D1229" s="159" t="str">
        <f>VLOOKUP(Sales[[#This Row],[Customer ID]],Customer[#All],2,0)</f>
        <v>Rakesh Kumar</v>
      </c>
      <c r="E1229" s="158" t="s">
        <v>294</v>
      </c>
      <c r="F1229" s="158" t="str">
        <f>VLOOKUP(Sales[[#This Row],[Product ID]],Product[#All],2,0)</f>
        <v>Samsung Monitor</v>
      </c>
      <c r="G1229" s="159">
        <v>4</v>
      </c>
      <c r="H1229" s="160">
        <f>VLOOKUP(Sales[[#This Row],[Product ID]],Product[#All],7,0)</f>
        <v>33870</v>
      </c>
      <c r="I1229" s="160">
        <f>Sales[[#This Row],[Selling Rate]]*Sales[[#This Row],[Qty]]</f>
        <v>135480</v>
      </c>
      <c r="J1229" s="43">
        <v>0.05</v>
      </c>
      <c r="K1229" s="44">
        <f>Sales[[#This Row],[Gross Amount]]*Sales[[#This Row],[Disc %]]</f>
        <v>6774</v>
      </c>
      <c r="L1229" s="43">
        <v>0.18</v>
      </c>
      <c r="M1229" s="44">
        <f>(Sales[[#This Row],[Gross Amount]]-Sales[[#This Row],[Disc. Amt.]])*Sales[[#This Row],[GST %]]</f>
        <v>23167.079999999998</v>
      </c>
      <c r="N1229" s="161">
        <f>Sales[[#This Row],[Gross Amount]]-Sales[[#This Row],[Disc. Amt.]]+Sales[[#This Row],[GST Amount]]</f>
        <v>151873.07999999999</v>
      </c>
      <c r="O1229" s="158" t="s">
        <v>3566</v>
      </c>
      <c r="P1229" s="158" t="s">
        <v>3562</v>
      </c>
      <c r="Q1229" s="160">
        <f>IF(Sales[[#This Row],[Status]]="Cancelled",0,Sales[[#This Row],[Qty]])</f>
        <v>4</v>
      </c>
      <c r="R1229" s="161">
        <f>IF(Sales[[#This Row],[Status]]="Cancelled",0,Sales[[#This Row],[Total Amount]])</f>
        <v>151873.07999999999</v>
      </c>
      <c r="S1229" s="162">
        <f>SUM(Sales[Net Amount])</f>
        <v>406839287.73200053</v>
      </c>
    </row>
    <row r="1230" spans="1:19" ht="18.75" x14ac:dyDescent="0.25">
      <c r="A1230" s="163" t="s">
        <v>4826</v>
      </c>
      <c r="B1230" s="164">
        <v>45842</v>
      </c>
      <c r="C1230" s="34" t="s">
        <v>4827</v>
      </c>
      <c r="D1230" s="53" t="str">
        <f>VLOOKUP(Sales[[#This Row],[Customer ID]],Customer[#All],2,0)</f>
        <v>Ankit Singh</v>
      </c>
      <c r="E1230" s="34" t="s">
        <v>508</v>
      </c>
      <c r="F1230" s="34" t="str">
        <f>VLOOKUP(Sales[[#This Row],[Product ID]],Product[#All],2,0)</f>
        <v>American TouristerLaptopBag</v>
      </c>
      <c r="G1230" s="53">
        <v>2</v>
      </c>
      <c r="H1230" s="165">
        <f>VLOOKUP(Sales[[#This Row],[Product ID]],Product[#All],7,0)</f>
        <v>2340</v>
      </c>
      <c r="I1230" s="165">
        <f>Sales[[#This Row],[Selling Rate]]*Sales[[#This Row],[Qty]]</f>
        <v>4680</v>
      </c>
      <c r="J1230" s="45">
        <v>0.05</v>
      </c>
      <c r="K1230" s="46">
        <f>Sales[[#This Row],[Gross Amount]]*Sales[[#This Row],[Disc %]]</f>
        <v>234</v>
      </c>
      <c r="L1230" s="43">
        <v>0.18</v>
      </c>
      <c r="M1230" s="46">
        <f>(Sales[[#This Row],[Gross Amount]]-Sales[[#This Row],[Disc. Amt.]])*Sales[[#This Row],[GST %]]</f>
        <v>800.28</v>
      </c>
      <c r="N1230" s="161">
        <f>Sales[[#This Row],[Gross Amount]]-Sales[[#This Row],[Disc. Amt.]]+Sales[[#This Row],[GST Amount]]</f>
        <v>5246.28</v>
      </c>
      <c r="O1230" s="34" t="s">
        <v>3566</v>
      </c>
      <c r="P1230" s="34" t="s">
        <v>3562</v>
      </c>
      <c r="Q1230" s="165">
        <f>IF(Sales[[#This Row],[Status]]="Cancelled",0,Sales[[#This Row],[Qty]])</f>
        <v>2</v>
      </c>
      <c r="R1230" s="166">
        <f>IF(Sales[[#This Row],[Status]]="Cancelled",0,Sales[[#This Row],[Total Amount]])</f>
        <v>5246.28</v>
      </c>
      <c r="S1230" s="162">
        <f>SUM(Sales[Net Amount])</f>
        <v>406839287.73200053</v>
      </c>
    </row>
    <row r="1231" spans="1:19" ht="18.75" x14ac:dyDescent="0.25">
      <c r="A1231" s="156" t="s">
        <v>4828</v>
      </c>
      <c r="B1231" s="157">
        <v>45842</v>
      </c>
      <c r="C1231" s="158" t="s">
        <v>762</v>
      </c>
      <c r="D1231" s="159" t="str">
        <f>VLOOKUP(Sales[[#This Row],[Customer ID]],Customer[#All],2,0)</f>
        <v>Amit Patel</v>
      </c>
      <c r="E1231" s="158" t="s">
        <v>414</v>
      </c>
      <c r="F1231" s="158" t="str">
        <f>VLOOKUP(Sales[[#This Row],[Product ID]],Product[#All],2,0)</f>
        <v>Logitech Keyboard</v>
      </c>
      <c r="G1231" s="159">
        <v>5</v>
      </c>
      <c r="H1231" s="160">
        <f>VLOOKUP(Sales[[#This Row],[Product ID]],Product[#All],7,0)</f>
        <v>2030</v>
      </c>
      <c r="I1231" s="160">
        <f>Sales[[#This Row],[Selling Rate]]*Sales[[#This Row],[Qty]]</f>
        <v>10150</v>
      </c>
      <c r="J1231" s="43">
        <v>0.12</v>
      </c>
      <c r="K1231" s="44">
        <f>Sales[[#This Row],[Gross Amount]]*Sales[[#This Row],[Disc %]]</f>
        <v>1218</v>
      </c>
      <c r="L1231" s="43">
        <v>0.18</v>
      </c>
      <c r="M1231" s="44">
        <f>(Sales[[#This Row],[Gross Amount]]-Sales[[#This Row],[Disc. Amt.]])*Sales[[#This Row],[GST %]]</f>
        <v>1607.76</v>
      </c>
      <c r="N1231" s="161">
        <f>Sales[[#This Row],[Gross Amount]]-Sales[[#This Row],[Disc. Amt.]]+Sales[[#This Row],[GST Amount]]</f>
        <v>10539.76</v>
      </c>
      <c r="O1231" s="158" t="s">
        <v>3569</v>
      </c>
      <c r="P1231" s="158" t="s">
        <v>3562</v>
      </c>
      <c r="Q1231" s="160">
        <f>IF(Sales[[#This Row],[Status]]="Cancelled",0,Sales[[#This Row],[Qty]])</f>
        <v>5</v>
      </c>
      <c r="R1231" s="161">
        <f>IF(Sales[[#This Row],[Status]]="Cancelled",0,Sales[[#This Row],[Total Amount]])</f>
        <v>10539.76</v>
      </c>
      <c r="S1231" s="162">
        <f>SUM(Sales[Net Amount])</f>
        <v>406839287.73200053</v>
      </c>
    </row>
    <row r="1232" spans="1:19" ht="18.75" x14ac:dyDescent="0.25">
      <c r="A1232" s="163" t="s">
        <v>4829</v>
      </c>
      <c r="B1232" s="164">
        <v>45842</v>
      </c>
      <c r="C1232" s="34" t="s">
        <v>949</v>
      </c>
      <c r="D1232" s="53" t="str">
        <f>VLOOKUP(Sales[[#This Row],[Customer ID]],Customer[#All],2,0)</f>
        <v>Amit Patel</v>
      </c>
      <c r="E1232" s="34" t="s">
        <v>30</v>
      </c>
      <c r="F1232" s="34" t="str">
        <f>VLOOKUP(Sales[[#This Row],[Product ID]],Product[#All],2,0)</f>
        <v>Samsung Monitor</v>
      </c>
      <c r="G1232" s="53">
        <v>8</v>
      </c>
      <c r="H1232" s="165">
        <f>VLOOKUP(Sales[[#This Row],[Product ID]],Product[#All],7,0)</f>
        <v>16740</v>
      </c>
      <c r="I1232" s="165">
        <f>Sales[[#This Row],[Selling Rate]]*Sales[[#This Row],[Qty]]</f>
        <v>133920</v>
      </c>
      <c r="J1232" s="45">
        <v>0</v>
      </c>
      <c r="K1232" s="46">
        <f>Sales[[#This Row],[Gross Amount]]*Sales[[#This Row],[Disc %]]</f>
        <v>0</v>
      </c>
      <c r="L1232" s="43">
        <v>0.18</v>
      </c>
      <c r="M1232" s="46">
        <f>(Sales[[#This Row],[Gross Amount]]-Sales[[#This Row],[Disc. Amt.]])*Sales[[#This Row],[GST %]]</f>
        <v>24105.599999999999</v>
      </c>
      <c r="N1232" s="161">
        <f>Sales[[#This Row],[Gross Amount]]-Sales[[#This Row],[Disc. Amt.]]+Sales[[#This Row],[GST Amount]]</f>
        <v>158025.60000000001</v>
      </c>
      <c r="O1232" s="34" t="s">
        <v>3561</v>
      </c>
      <c r="P1232" s="34" t="s">
        <v>3562</v>
      </c>
      <c r="Q1232" s="165">
        <f>IF(Sales[[#This Row],[Status]]="Cancelled",0,Sales[[#This Row],[Qty]])</f>
        <v>8</v>
      </c>
      <c r="R1232" s="166">
        <f>IF(Sales[[#This Row],[Status]]="Cancelled",0,Sales[[#This Row],[Total Amount]])</f>
        <v>158025.60000000001</v>
      </c>
      <c r="S1232" s="162">
        <f>SUM(Sales[Net Amount])</f>
        <v>406839287.73200053</v>
      </c>
    </row>
    <row r="1233" spans="1:19" ht="18.75" x14ac:dyDescent="0.25">
      <c r="A1233" s="156" t="s">
        <v>4830</v>
      </c>
      <c r="B1233" s="157">
        <v>45842</v>
      </c>
      <c r="C1233" s="158" t="s">
        <v>754</v>
      </c>
      <c r="D1233" s="159" t="str">
        <f>VLOOKUP(Sales[[#This Row],[Customer ID]],Customer[#All],2,0)</f>
        <v>Rakesh Gupta</v>
      </c>
      <c r="E1233" s="158" t="s">
        <v>508</v>
      </c>
      <c r="F1233" s="158" t="str">
        <f>VLOOKUP(Sales[[#This Row],[Product ID]],Product[#All],2,0)</f>
        <v>American TouristerLaptopBag</v>
      </c>
      <c r="G1233" s="159">
        <v>8</v>
      </c>
      <c r="H1233" s="160">
        <f>VLOOKUP(Sales[[#This Row],[Product ID]],Product[#All],7,0)</f>
        <v>2340</v>
      </c>
      <c r="I1233" s="160">
        <f>Sales[[#This Row],[Selling Rate]]*Sales[[#This Row],[Qty]]</f>
        <v>18720</v>
      </c>
      <c r="J1233" s="43">
        <v>0.05</v>
      </c>
      <c r="K1233" s="44">
        <f>Sales[[#This Row],[Gross Amount]]*Sales[[#This Row],[Disc %]]</f>
        <v>936</v>
      </c>
      <c r="L1233" s="43">
        <v>0.18</v>
      </c>
      <c r="M1233" s="44">
        <f>(Sales[[#This Row],[Gross Amount]]-Sales[[#This Row],[Disc. Amt.]])*Sales[[#This Row],[GST %]]</f>
        <v>3201.12</v>
      </c>
      <c r="N1233" s="161">
        <f>Sales[[#This Row],[Gross Amount]]-Sales[[#This Row],[Disc. Amt.]]+Sales[[#This Row],[GST Amount]]</f>
        <v>20985.119999999999</v>
      </c>
      <c r="O1233" s="158" t="s">
        <v>3569</v>
      </c>
      <c r="P1233" s="158" t="s">
        <v>3562</v>
      </c>
      <c r="Q1233" s="160">
        <f>IF(Sales[[#This Row],[Status]]="Cancelled",0,Sales[[#This Row],[Qty]])</f>
        <v>8</v>
      </c>
      <c r="R1233" s="161">
        <f>IF(Sales[[#This Row],[Status]]="Cancelled",0,Sales[[#This Row],[Total Amount]])</f>
        <v>20985.119999999999</v>
      </c>
      <c r="S1233" s="162">
        <f>SUM(Sales[Net Amount])</f>
        <v>406839287.73200053</v>
      </c>
    </row>
    <row r="1234" spans="1:19" ht="18.75" x14ac:dyDescent="0.25">
      <c r="A1234" s="163" t="s">
        <v>4831</v>
      </c>
      <c r="B1234" s="164">
        <v>45843</v>
      </c>
      <c r="C1234" s="34" t="s">
        <v>840</v>
      </c>
      <c r="D1234" s="53" t="str">
        <f>VLOOKUP(Sales[[#This Row],[Customer ID]],Customer[#All],2,0)</f>
        <v>Rakesh Verma</v>
      </c>
      <c r="E1234" s="34" t="s">
        <v>122</v>
      </c>
      <c r="F1234" s="34" t="str">
        <f>VLOOKUP(Sales[[#This Row],[Product ID]],Product[#All],2,0)</f>
        <v>HP Mouse</v>
      </c>
      <c r="G1234" s="53">
        <v>3</v>
      </c>
      <c r="H1234" s="165">
        <f>VLOOKUP(Sales[[#This Row],[Product ID]],Product[#All],7,0)</f>
        <v>1980</v>
      </c>
      <c r="I1234" s="165">
        <f>Sales[[#This Row],[Selling Rate]]*Sales[[#This Row],[Qty]]</f>
        <v>5940</v>
      </c>
      <c r="J1234" s="45">
        <v>0</v>
      </c>
      <c r="K1234" s="46">
        <f>Sales[[#This Row],[Gross Amount]]*Sales[[#This Row],[Disc %]]</f>
        <v>0</v>
      </c>
      <c r="L1234" s="43">
        <v>0.18</v>
      </c>
      <c r="M1234" s="46">
        <f>(Sales[[#This Row],[Gross Amount]]-Sales[[#This Row],[Disc. Amt.]])*Sales[[#This Row],[GST %]]</f>
        <v>1069.2</v>
      </c>
      <c r="N1234" s="161">
        <f>Sales[[#This Row],[Gross Amount]]-Sales[[#This Row],[Disc. Amt.]]+Sales[[#This Row],[GST Amount]]</f>
        <v>7009.2</v>
      </c>
      <c r="O1234" s="34" t="s">
        <v>8876</v>
      </c>
      <c r="P1234" s="34" t="s">
        <v>3562</v>
      </c>
      <c r="Q1234" s="165">
        <f>IF(Sales[[#This Row],[Status]]="Cancelled",0,Sales[[#This Row],[Qty]])</f>
        <v>3</v>
      </c>
      <c r="R1234" s="166">
        <f>IF(Sales[[#This Row],[Status]]="Cancelled",0,Sales[[#This Row],[Total Amount]])</f>
        <v>7009.2</v>
      </c>
      <c r="S1234" s="162">
        <f>SUM(Sales[Net Amount])</f>
        <v>406839287.73200053</v>
      </c>
    </row>
    <row r="1235" spans="1:19" ht="18.75" x14ac:dyDescent="0.25">
      <c r="A1235" s="156" t="s">
        <v>4832</v>
      </c>
      <c r="B1235" s="157">
        <v>45843</v>
      </c>
      <c r="C1235" s="158" t="s">
        <v>782</v>
      </c>
      <c r="D1235" s="159" t="str">
        <f>VLOOKUP(Sales[[#This Row],[Customer ID]],Customer[#All],2,0)</f>
        <v>Vikas Singh</v>
      </c>
      <c r="E1235" s="158" t="s">
        <v>314</v>
      </c>
      <c r="F1235" s="158" t="str">
        <f>VLOOKUP(Sales[[#This Row],[Product ID]],Product[#All],2,0)</f>
        <v>Dell Desktop</v>
      </c>
      <c r="G1235" s="159">
        <v>6</v>
      </c>
      <c r="H1235" s="160">
        <f>VLOOKUP(Sales[[#This Row],[Product ID]],Product[#All],7,0)</f>
        <v>59580</v>
      </c>
      <c r="I1235" s="160">
        <f>Sales[[#This Row],[Selling Rate]]*Sales[[#This Row],[Qty]]</f>
        <v>357480</v>
      </c>
      <c r="J1235" s="43">
        <v>0.05</v>
      </c>
      <c r="K1235" s="44">
        <f>Sales[[#This Row],[Gross Amount]]*Sales[[#This Row],[Disc %]]</f>
        <v>17874</v>
      </c>
      <c r="L1235" s="43">
        <v>0.18</v>
      </c>
      <c r="M1235" s="44">
        <f>(Sales[[#This Row],[Gross Amount]]-Sales[[#This Row],[Disc. Amt.]])*Sales[[#This Row],[GST %]]</f>
        <v>61129.079999999994</v>
      </c>
      <c r="N1235" s="161">
        <f>Sales[[#This Row],[Gross Amount]]-Sales[[#This Row],[Disc. Amt.]]+Sales[[#This Row],[GST Amount]]</f>
        <v>400735.08</v>
      </c>
      <c r="O1235" s="158" t="s">
        <v>3566</v>
      </c>
      <c r="P1235" s="158" t="s">
        <v>3562</v>
      </c>
      <c r="Q1235" s="160">
        <f>IF(Sales[[#This Row],[Status]]="Cancelled",0,Sales[[#This Row],[Qty]])</f>
        <v>6</v>
      </c>
      <c r="R1235" s="161">
        <f>IF(Sales[[#This Row],[Status]]="Cancelled",0,Sales[[#This Row],[Total Amount]])</f>
        <v>400735.08</v>
      </c>
      <c r="S1235" s="162">
        <f>SUM(Sales[Net Amount])</f>
        <v>406839287.73200053</v>
      </c>
    </row>
    <row r="1236" spans="1:19" ht="18.75" x14ac:dyDescent="0.25">
      <c r="A1236" s="163" t="s">
        <v>4833</v>
      </c>
      <c r="B1236" s="164">
        <v>45843</v>
      </c>
      <c r="C1236" s="34" t="s">
        <v>653</v>
      </c>
      <c r="D1236" s="53" t="str">
        <f>VLOOKUP(Sales[[#This Row],[Customer ID]],Customer[#All],2,0)</f>
        <v>Pooja Patel</v>
      </c>
      <c r="E1236" s="34" t="s">
        <v>400</v>
      </c>
      <c r="F1236" s="34" t="str">
        <f>VLOOKUP(Sales[[#This Row],[Product ID]],Product[#All],2,0)</f>
        <v>TP-link Bluetooth Adapter</v>
      </c>
      <c r="G1236" s="53">
        <v>7</v>
      </c>
      <c r="H1236" s="165">
        <f>VLOOKUP(Sales[[#This Row],[Product ID]],Product[#All],7,0)</f>
        <v>1320</v>
      </c>
      <c r="I1236" s="165">
        <f>Sales[[#This Row],[Selling Rate]]*Sales[[#This Row],[Qty]]</f>
        <v>9240</v>
      </c>
      <c r="J1236" s="45">
        <v>0.05</v>
      </c>
      <c r="K1236" s="46">
        <f>Sales[[#This Row],[Gross Amount]]*Sales[[#This Row],[Disc %]]</f>
        <v>462</v>
      </c>
      <c r="L1236" s="43">
        <v>0.18</v>
      </c>
      <c r="M1236" s="46">
        <f>(Sales[[#This Row],[Gross Amount]]-Sales[[#This Row],[Disc. Amt.]])*Sales[[#This Row],[GST %]]</f>
        <v>1580.04</v>
      </c>
      <c r="N1236" s="161">
        <f>Sales[[#This Row],[Gross Amount]]-Sales[[#This Row],[Disc. Amt.]]+Sales[[#This Row],[GST Amount]]</f>
        <v>10358.040000000001</v>
      </c>
      <c r="O1236" s="34" t="s">
        <v>3566</v>
      </c>
      <c r="P1236" s="34" t="s">
        <v>3562</v>
      </c>
      <c r="Q1236" s="165">
        <f>IF(Sales[[#This Row],[Status]]="Cancelled",0,Sales[[#This Row],[Qty]])</f>
        <v>7</v>
      </c>
      <c r="R1236" s="166">
        <f>IF(Sales[[#This Row],[Status]]="Cancelled",0,Sales[[#This Row],[Total Amount]])</f>
        <v>10358.040000000001</v>
      </c>
      <c r="S1236" s="162">
        <f>SUM(Sales[Net Amount])</f>
        <v>406839287.73200053</v>
      </c>
    </row>
    <row r="1237" spans="1:19" ht="18.75" x14ac:dyDescent="0.25">
      <c r="A1237" s="156" t="s">
        <v>4834</v>
      </c>
      <c r="B1237" s="157">
        <v>45843</v>
      </c>
      <c r="C1237" s="158" t="s">
        <v>943</v>
      </c>
      <c r="D1237" s="159" t="str">
        <f>VLOOKUP(Sales[[#This Row],[Customer ID]],Customer[#All],2,0)</f>
        <v>Sahil Singh</v>
      </c>
      <c r="E1237" s="158" t="s">
        <v>318</v>
      </c>
      <c r="F1237" s="158" t="str">
        <f>VLOOKUP(Sales[[#This Row],[Product ID]],Product[#All],2,0)</f>
        <v>HP Printer</v>
      </c>
      <c r="G1237" s="159">
        <v>6</v>
      </c>
      <c r="H1237" s="160">
        <f>VLOOKUP(Sales[[#This Row],[Product ID]],Product[#All],7,0)</f>
        <v>30590</v>
      </c>
      <c r="I1237" s="160">
        <f>Sales[[#This Row],[Selling Rate]]*Sales[[#This Row],[Qty]]</f>
        <v>183540</v>
      </c>
      <c r="J1237" s="43">
        <v>0</v>
      </c>
      <c r="K1237" s="44">
        <f>Sales[[#This Row],[Gross Amount]]*Sales[[#This Row],[Disc %]]</f>
        <v>0</v>
      </c>
      <c r="L1237" s="43">
        <v>0.18</v>
      </c>
      <c r="M1237" s="44">
        <f>(Sales[[#This Row],[Gross Amount]]-Sales[[#This Row],[Disc. Amt.]])*Sales[[#This Row],[GST %]]</f>
        <v>33037.199999999997</v>
      </c>
      <c r="N1237" s="161">
        <f>Sales[[#This Row],[Gross Amount]]-Sales[[#This Row],[Disc. Amt.]]+Sales[[#This Row],[GST Amount]]</f>
        <v>216577.2</v>
      </c>
      <c r="O1237" s="158" t="s">
        <v>3569</v>
      </c>
      <c r="P1237" s="158" t="s">
        <v>3562</v>
      </c>
      <c r="Q1237" s="160">
        <f>IF(Sales[[#This Row],[Status]]="Cancelled",0,Sales[[#This Row],[Qty]])</f>
        <v>6</v>
      </c>
      <c r="R1237" s="161">
        <f>IF(Sales[[#This Row],[Status]]="Cancelled",0,Sales[[#This Row],[Total Amount]])</f>
        <v>216577.2</v>
      </c>
      <c r="S1237" s="162">
        <f>SUM(Sales[Net Amount])</f>
        <v>406839287.73200053</v>
      </c>
    </row>
    <row r="1238" spans="1:19" ht="18.75" x14ac:dyDescent="0.25">
      <c r="A1238" s="163" t="s">
        <v>4835</v>
      </c>
      <c r="B1238" s="164">
        <v>45843</v>
      </c>
      <c r="C1238" s="34" t="s">
        <v>932</v>
      </c>
      <c r="D1238" s="53" t="str">
        <f>VLOOKUP(Sales[[#This Row],[Customer ID]],Customer[#All],2,0)</f>
        <v>Vikas Gupta</v>
      </c>
      <c r="E1238" s="34" t="s">
        <v>124</v>
      </c>
      <c r="F1238" s="34" t="str">
        <f>VLOOKUP(Sales[[#This Row],[Product ID]],Product[#All],2,0)</f>
        <v>Crucial Ssd</v>
      </c>
      <c r="G1238" s="53">
        <v>7</v>
      </c>
      <c r="H1238" s="165">
        <f>VLOOKUP(Sales[[#This Row],[Product ID]],Product[#All],7,0)</f>
        <v>14820</v>
      </c>
      <c r="I1238" s="165">
        <f>Sales[[#This Row],[Selling Rate]]*Sales[[#This Row],[Qty]]</f>
        <v>103740</v>
      </c>
      <c r="J1238" s="45">
        <v>0</v>
      </c>
      <c r="K1238" s="46">
        <f>Sales[[#This Row],[Gross Amount]]*Sales[[#This Row],[Disc %]]</f>
        <v>0</v>
      </c>
      <c r="L1238" s="43">
        <v>0.18</v>
      </c>
      <c r="M1238" s="46">
        <f>(Sales[[#This Row],[Gross Amount]]-Sales[[#This Row],[Disc. Amt.]])*Sales[[#This Row],[GST %]]</f>
        <v>18673.2</v>
      </c>
      <c r="N1238" s="161">
        <f>Sales[[#This Row],[Gross Amount]]-Sales[[#This Row],[Disc. Amt.]]+Sales[[#This Row],[GST Amount]]</f>
        <v>122413.2</v>
      </c>
      <c r="O1238" s="34" t="s">
        <v>3561</v>
      </c>
      <c r="P1238" s="34" t="s">
        <v>3562</v>
      </c>
      <c r="Q1238" s="165">
        <f>IF(Sales[[#This Row],[Status]]="Cancelled",0,Sales[[#This Row],[Qty]])</f>
        <v>7</v>
      </c>
      <c r="R1238" s="166">
        <f>IF(Sales[[#This Row],[Status]]="Cancelled",0,Sales[[#This Row],[Total Amount]])</f>
        <v>122413.2</v>
      </c>
      <c r="S1238" s="162">
        <f>SUM(Sales[Net Amount])</f>
        <v>406839287.73200053</v>
      </c>
    </row>
    <row r="1239" spans="1:19" ht="18.75" x14ac:dyDescent="0.25">
      <c r="A1239" s="156" t="s">
        <v>4836</v>
      </c>
      <c r="B1239" s="157">
        <v>45843</v>
      </c>
      <c r="C1239" s="158" t="s">
        <v>913</v>
      </c>
      <c r="D1239" s="159" t="str">
        <f>VLOOKUP(Sales[[#This Row],[Customer ID]],Customer[#All],2,0)</f>
        <v>Pooja Kumar</v>
      </c>
      <c r="E1239" s="158" t="s">
        <v>514</v>
      </c>
      <c r="F1239" s="158" t="str">
        <f>VLOOKUP(Sales[[#This Row],[Product ID]],Product[#All],2,0)</f>
        <v>Apc UPS</v>
      </c>
      <c r="G1239" s="159">
        <v>1</v>
      </c>
      <c r="H1239" s="160">
        <f>VLOOKUP(Sales[[#This Row],[Product ID]],Product[#All],7,0)</f>
        <v>4660</v>
      </c>
      <c r="I1239" s="160">
        <f>Sales[[#This Row],[Selling Rate]]*Sales[[#This Row],[Qty]]</f>
        <v>4660</v>
      </c>
      <c r="J1239" s="43">
        <v>0.02</v>
      </c>
      <c r="K1239" s="44">
        <f>Sales[[#This Row],[Gross Amount]]*Sales[[#This Row],[Disc %]]</f>
        <v>93.2</v>
      </c>
      <c r="L1239" s="43">
        <v>0.18</v>
      </c>
      <c r="M1239" s="44">
        <f>(Sales[[#This Row],[Gross Amount]]-Sales[[#This Row],[Disc. Amt.]])*Sales[[#This Row],[GST %]]</f>
        <v>822.024</v>
      </c>
      <c r="N1239" s="161">
        <f>Sales[[#This Row],[Gross Amount]]-Sales[[#This Row],[Disc. Amt.]]+Sales[[#This Row],[GST Amount]]</f>
        <v>5388.8240000000005</v>
      </c>
      <c r="O1239" s="158" t="s">
        <v>3569</v>
      </c>
      <c r="P1239" s="158" t="s">
        <v>1040</v>
      </c>
      <c r="Q1239" s="160">
        <f>IF(Sales[[#This Row],[Status]]="Cancelled",0,Sales[[#This Row],[Qty]])</f>
        <v>0</v>
      </c>
      <c r="R1239" s="161">
        <f>IF(Sales[[#This Row],[Status]]="Cancelled",0,Sales[[#This Row],[Total Amount]])</f>
        <v>0</v>
      </c>
      <c r="S1239" s="162">
        <f>SUM(Sales[Net Amount])</f>
        <v>406839287.73200053</v>
      </c>
    </row>
    <row r="1240" spans="1:19" ht="18.75" x14ac:dyDescent="0.25">
      <c r="A1240" s="163" t="s">
        <v>4837</v>
      </c>
      <c r="B1240" s="164">
        <v>45843</v>
      </c>
      <c r="C1240" s="34" t="s">
        <v>875</v>
      </c>
      <c r="D1240" s="53" t="str">
        <f>VLOOKUP(Sales[[#This Row],[Customer ID]],Customer[#All],2,0)</f>
        <v>Rahul Verma</v>
      </c>
      <c r="E1240" s="34" t="s">
        <v>526</v>
      </c>
      <c r="F1240" s="34" t="str">
        <f>VLOOKUP(Sales[[#This Row],[Product ID]],Product[#All],2,0)</f>
        <v>American TouristerLaptopBag</v>
      </c>
      <c r="G1240" s="53">
        <v>1</v>
      </c>
      <c r="H1240" s="165">
        <f>VLOOKUP(Sales[[#This Row],[Product ID]],Product[#All],7,0)</f>
        <v>2280</v>
      </c>
      <c r="I1240" s="165">
        <f>Sales[[#This Row],[Selling Rate]]*Sales[[#This Row],[Qty]]</f>
        <v>2280</v>
      </c>
      <c r="J1240" s="45">
        <v>0.15</v>
      </c>
      <c r="K1240" s="46">
        <f>Sales[[#This Row],[Gross Amount]]*Sales[[#This Row],[Disc %]]</f>
        <v>342</v>
      </c>
      <c r="L1240" s="43">
        <v>0.18</v>
      </c>
      <c r="M1240" s="46">
        <f>(Sales[[#This Row],[Gross Amount]]-Sales[[#This Row],[Disc. Amt.]])*Sales[[#This Row],[GST %]]</f>
        <v>348.84</v>
      </c>
      <c r="N1240" s="161">
        <f>Sales[[#This Row],[Gross Amount]]-Sales[[#This Row],[Disc. Amt.]]+Sales[[#This Row],[GST Amount]]</f>
        <v>2286.84</v>
      </c>
      <c r="O1240" s="34" t="s">
        <v>3561</v>
      </c>
      <c r="P1240" s="34" t="s">
        <v>3562</v>
      </c>
      <c r="Q1240" s="165">
        <f>IF(Sales[[#This Row],[Status]]="Cancelled",0,Sales[[#This Row],[Qty]])</f>
        <v>1</v>
      </c>
      <c r="R1240" s="166">
        <f>IF(Sales[[#This Row],[Status]]="Cancelled",0,Sales[[#This Row],[Total Amount]])</f>
        <v>2286.84</v>
      </c>
      <c r="S1240" s="162">
        <f>SUM(Sales[Net Amount])</f>
        <v>406839287.73200053</v>
      </c>
    </row>
    <row r="1241" spans="1:19" ht="18.75" x14ac:dyDescent="0.25">
      <c r="A1241" s="156" t="s">
        <v>4838</v>
      </c>
      <c r="B1241" s="157">
        <v>45843</v>
      </c>
      <c r="C1241" s="158" t="s">
        <v>825</v>
      </c>
      <c r="D1241" s="159" t="str">
        <f>VLOOKUP(Sales[[#This Row],[Customer ID]],Customer[#All],2,0)</f>
        <v>Rahul Kumar</v>
      </c>
      <c r="E1241" s="158" t="s">
        <v>303</v>
      </c>
      <c r="F1241" s="158" t="str">
        <f>VLOOKUP(Sales[[#This Row],[Product ID]],Product[#All],2,0)</f>
        <v>Crucial Ssd</v>
      </c>
      <c r="G1241" s="159">
        <v>5</v>
      </c>
      <c r="H1241" s="160">
        <f>VLOOKUP(Sales[[#This Row],[Product ID]],Product[#All],7,0)</f>
        <v>7740</v>
      </c>
      <c r="I1241" s="160">
        <f>Sales[[#This Row],[Selling Rate]]*Sales[[#This Row],[Qty]]</f>
        <v>38700</v>
      </c>
      <c r="J1241" s="43">
        <v>0.1</v>
      </c>
      <c r="K1241" s="44">
        <f>Sales[[#This Row],[Gross Amount]]*Sales[[#This Row],[Disc %]]</f>
        <v>3870</v>
      </c>
      <c r="L1241" s="43">
        <v>0.18</v>
      </c>
      <c r="M1241" s="44">
        <f>(Sales[[#This Row],[Gross Amount]]-Sales[[#This Row],[Disc. Amt.]])*Sales[[#This Row],[GST %]]</f>
        <v>6269.4</v>
      </c>
      <c r="N1241" s="161">
        <f>Sales[[#This Row],[Gross Amount]]-Sales[[#This Row],[Disc. Amt.]]+Sales[[#This Row],[GST Amount]]</f>
        <v>41099.4</v>
      </c>
      <c r="O1241" s="158" t="s">
        <v>3566</v>
      </c>
      <c r="P1241" s="158" t="s">
        <v>3562</v>
      </c>
      <c r="Q1241" s="160">
        <f>IF(Sales[[#This Row],[Status]]="Cancelled",0,Sales[[#This Row],[Qty]])</f>
        <v>5</v>
      </c>
      <c r="R1241" s="161">
        <f>IF(Sales[[#This Row],[Status]]="Cancelled",0,Sales[[#This Row],[Total Amount]])</f>
        <v>41099.4</v>
      </c>
      <c r="S1241" s="162">
        <f>SUM(Sales[Net Amount])</f>
        <v>406839287.73200053</v>
      </c>
    </row>
    <row r="1242" spans="1:19" ht="18.75" x14ac:dyDescent="0.25">
      <c r="A1242" s="163" t="s">
        <v>4839</v>
      </c>
      <c r="B1242" s="164">
        <v>45843</v>
      </c>
      <c r="C1242" s="34" t="s">
        <v>725</v>
      </c>
      <c r="D1242" s="53" t="str">
        <f>VLOOKUP(Sales[[#This Row],[Customer ID]],Customer[#All],2,0)</f>
        <v>Ankit Kumar</v>
      </c>
      <c r="E1242" s="34" t="s">
        <v>59</v>
      </c>
      <c r="F1242" s="34" t="str">
        <f>VLOOKUP(Sales[[#This Row],[Product ID]],Product[#All],2,0)</f>
        <v>Amazon Basics Hdmi Cable</v>
      </c>
      <c r="G1242" s="53">
        <v>7</v>
      </c>
      <c r="H1242" s="165">
        <f>VLOOKUP(Sales[[#This Row],[Product ID]],Product[#All],7,0)</f>
        <v>1160</v>
      </c>
      <c r="I1242" s="165">
        <f>Sales[[#This Row],[Selling Rate]]*Sales[[#This Row],[Qty]]</f>
        <v>8120</v>
      </c>
      <c r="J1242" s="45">
        <v>0.05</v>
      </c>
      <c r="K1242" s="46">
        <f>Sales[[#This Row],[Gross Amount]]*Sales[[#This Row],[Disc %]]</f>
        <v>406</v>
      </c>
      <c r="L1242" s="43">
        <v>0.18</v>
      </c>
      <c r="M1242" s="46">
        <f>(Sales[[#This Row],[Gross Amount]]-Sales[[#This Row],[Disc. Amt.]])*Sales[[#This Row],[GST %]]</f>
        <v>1388.52</v>
      </c>
      <c r="N1242" s="161">
        <f>Sales[[#This Row],[Gross Amount]]-Sales[[#This Row],[Disc. Amt.]]+Sales[[#This Row],[GST Amount]]</f>
        <v>9102.52</v>
      </c>
      <c r="O1242" s="34" t="s">
        <v>3566</v>
      </c>
      <c r="P1242" s="34" t="s">
        <v>3562</v>
      </c>
      <c r="Q1242" s="165">
        <f>IF(Sales[[#This Row],[Status]]="Cancelled",0,Sales[[#This Row],[Qty]])</f>
        <v>7</v>
      </c>
      <c r="R1242" s="166">
        <f>IF(Sales[[#This Row],[Status]]="Cancelled",0,Sales[[#This Row],[Total Amount]])</f>
        <v>9102.52</v>
      </c>
      <c r="S1242" s="162">
        <f>SUM(Sales[Net Amount])</f>
        <v>406839287.73200053</v>
      </c>
    </row>
    <row r="1243" spans="1:19" ht="18.75" x14ac:dyDescent="0.25">
      <c r="A1243" s="156" t="s">
        <v>4840</v>
      </c>
      <c r="B1243" s="157">
        <v>45843</v>
      </c>
      <c r="C1243" s="158" t="s">
        <v>746</v>
      </c>
      <c r="D1243" s="159" t="str">
        <f>VLOOKUP(Sales[[#This Row],[Customer ID]],Customer[#All],2,0)</f>
        <v>Sunita Kumar</v>
      </c>
      <c r="E1243" s="158" t="s">
        <v>223</v>
      </c>
      <c r="F1243" s="158" t="str">
        <f>VLOOKUP(Sales[[#This Row],[Product ID]],Product[#All],2,0)</f>
        <v>Dell Monitor</v>
      </c>
      <c r="G1243" s="159">
        <v>2</v>
      </c>
      <c r="H1243" s="160">
        <f>VLOOKUP(Sales[[#This Row],[Product ID]],Product[#All],7,0)</f>
        <v>9980</v>
      </c>
      <c r="I1243" s="160">
        <f>Sales[[#This Row],[Selling Rate]]*Sales[[#This Row],[Qty]]</f>
        <v>19960</v>
      </c>
      <c r="J1243" s="43">
        <v>0.15</v>
      </c>
      <c r="K1243" s="44">
        <f>Sales[[#This Row],[Gross Amount]]*Sales[[#This Row],[Disc %]]</f>
        <v>2994</v>
      </c>
      <c r="L1243" s="43">
        <v>0.18</v>
      </c>
      <c r="M1243" s="44">
        <f>(Sales[[#This Row],[Gross Amount]]-Sales[[#This Row],[Disc. Amt.]])*Sales[[#This Row],[GST %]]</f>
        <v>3053.88</v>
      </c>
      <c r="N1243" s="161">
        <f>Sales[[#This Row],[Gross Amount]]-Sales[[#This Row],[Disc. Amt.]]+Sales[[#This Row],[GST Amount]]</f>
        <v>20019.88</v>
      </c>
      <c r="O1243" s="158" t="s">
        <v>3561</v>
      </c>
      <c r="P1243" s="158" t="s">
        <v>3562</v>
      </c>
      <c r="Q1243" s="160">
        <f>IF(Sales[[#This Row],[Status]]="Cancelled",0,Sales[[#This Row],[Qty]])</f>
        <v>2</v>
      </c>
      <c r="R1243" s="161">
        <f>IF(Sales[[#This Row],[Status]]="Cancelled",0,Sales[[#This Row],[Total Amount]])</f>
        <v>20019.88</v>
      </c>
      <c r="S1243" s="162">
        <f>SUM(Sales[Net Amount])</f>
        <v>406839287.73200053</v>
      </c>
    </row>
    <row r="1244" spans="1:19" ht="18.75" x14ac:dyDescent="0.25">
      <c r="A1244" s="163" t="s">
        <v>4841</v>
      </c>
      <c r="B1244" s="164">
        <v>45843</v>
      </c>
      <c r="C1244" s="34" t="s">
        <v>761</v>
      </c>
      <c r="D1244" s="53" t="str">
        <f>VLOOKUP(Sales[[#This Row],[Customer ID]],Customer[#All],2,0)</f>
        <v>Priya Verma</v>
      </c>
      <c r="E1244" s="34" t="s">
        <v>307</v>
      </c>
      <c r="F1244" s="34" t="str">
        <f>VLOOKUP(Sales[[#This Row],[Product ID]],Product[#All],2,0)</f>
        <v>Dell Laptop</v>
      </c>
      <c r="G1244" s="53">
        <v>5</v>
      </c>
      <c r="H1244" s="165">
        <f>VLOOKUP(Sales[[#This Row],[Product ID]],Product[#All],7,0)</f>
        <v>45060</v>
      </c>
      <c r="I1244" s="165">
        <f>Sales[[#This Row],[Selling Rate]]*Sales[[#This Row],[Qty]]</f>
        <v>225300</v>
      </c>
      <c r="J1244" s="45">
        <v>0.05</v>
      </c>
      <c r="K1244" s="46">
        <f>Sales[[#This Row],[Gross Amount]]*Sales[[#This Row],[Disc %]]</f>
        <v>11265</v>
      </c>
      <c r="L1244" s="43">
        <v>0.18</v>
      </c>
      <c r="M1244" s="46">
        <f>(Sales[[#This Row],[Gross Amount]]-Sales[[#This Row],[Disc. Amt.]])*Sales[[#This Row],[GST %]]</f>
        <v>38526.299999999996</v>
      </c>
      <c r="N1244" s="161">
        <f>Sales[[#This Row],[Gross Amount]]-Sales[[#This Row],[Disc. Amt.]]+Sales[[#This Row],[GST Amount]]</f>
        <v>252561.3</v>
      </c>
      <c r="O1244" s="34" t="s">
        <v>3561</v>
      </c>
      <c r="P1244" s="34" t="s">
        <v>3562</v>
      </c>
      <c r="Q1244" s="165">
        <f>IF(Sales[[#This Row],[Status]]="Cancelled",0,Sales[[#This Row],[Qty]])</f>
        <v>5</v>
      </c>
      <c r="R1244" s="166">
        <f>IF(Sales[[#This Row],[Status]]="Cancelled",0,Sales[[#This Row],[Total Amount]])</f>
        <v>252561.3</v>
      </c>
      <c r="S1244" s="162">
        <f>SUM(Sales[Net Amount])</f>
        <v>406839287.73200053</v>
      </c>
    </row>
    <row r="1245" spans="1:19" ht="18.75" x14ac:dyDescent="0.25">
      <c r="A1245" s="156" t="s">
        <v>4842</v>
      </c>
      <c r="B1245" s="157">
        <v>45843</v>
      </c>
      <c r="C1245" s="158" t="s">
        <v>883</v>
      </c>
      <c r="D1245" s="159" t="str">
        <f>VLOOKUP(Sales[[#This Row],[Customer ID]],Customer[#All],2,0)</f>
        <v>Rahul Verma</v>
      </c>
      <c r="E1245" s="158" t="s">
        <v>259</v>
      </c>
      <c r="F1245" s="158" t="str">
        <f>VLOOKUP(Sales[[#This Row],[Product ID]],Product[#All],2,0)</f>
        <v>Lg Monitor</v>
      </c>
      <c r="G1245" s="159">
        <v>4</v>
      </c>
      <c r="H1245" s="160">
        <f>VLOOKUP(Sales[[#This Row],[Product ID]],Product[#All],7,0)</f>
        <v>28600</v>
      </c>
      <c r="I1245" s="160">
        <f>Sales[[#This Row],[Selling Rate]]*Sales[[#This Row],[Qty]]</f>
        <v>114400</v>
      </c>
      <c r="J1245" s="43">
        <v>0.05</v>
      </c>
      <c r="K1245" s="44">
        <f>Sales[[#This Row],[Gross Amount]]*Sales[[#This Row],[Disc %]]</f>
        <v>5720</v>
      </c>
      <c r="L1245" s="43">
        <v>0.18</v>
      </c>
      <c r="M1245" s="44">
        <f>(Sales[[#This Row],[Gross Amount]]-Sales[[#This Row],[Disc. Amt.]])*Sales[[#This Row],[GST %]]</f>
        <v>19562.399999999998</v>
      </c>
      <c r="N1245" s="161">
        <f>Sales[[#This Row],[Gross Amount]]-Sales[[#This Row],[Disc. Amt.]]+Sales[[#This Row],[GST Amount]]</f>
        <v>128242.4</v>
      </c>
      <c r="O1245" s="158" t="s">
        <v>3566</v>
      </c>
      <c r="P1245" s="158" t="s">
        <v>3562</v>
      </c>
      <c r="Q1245" s="160">
        <f>IF(Sales[[#This Row],[Status]]="Cancelled",0,Sales[[#This Row],[Qty]])</f>
        <v>4</v>
      </c>
      <c r="R1245" s="161">
        <f>IF(Sales[[#This Row],[Status]]="Cancelled",0,Sales[[#This Row],[Total Amount]])</f>
        <v>128242.4</v>
      </c>
      <c r="S1245" s="162">
        <f>SUM(Sales[Net Amount])</f>
        <v>406839287.73200053</v>
      </c>
    </row>
    <row r="1246" spans="1:19" ht="18.75" x14ac:dyDescent="0.25">
      <c r="A1246" s="163" t="s">
        <v>4843</v>
      </c>
      <c r="B1246" s="164">
        <v>45843</v>
      </c>
      <c r="C1246" s="34" t="s">
        <v>670</v>
      </c>
      <c r="D1246" s="53" t="str">
        <f>VLOOKUP(Sales[[#This Row],[Customer ID]],Customer[#All],2,0)</f>
        <v>Rakesh Patel</v>
      </c>
      <c r="E1246" s="34" t="s">
        <v>197</v>
      </c>
      <c r="F1246" s="34" t="str">
        <f>VLOOKUP(Sales[[#This Row],[Product ID]],Product[#All],2,0)</f>
        <v>Crucial Ssd</v>
      </c>
      <c r="G1246" s="53">
        <v>7</v>
      </c>
      <c r="H1246" s="165">
        <f>VLOOKUP(Sales[[#This Row],[Product ID]],Product[#All],7,0)</f>
        <v>16400</v>
      </c>
      <c r="I1246" s="165">
        <f>Sales[[#This Row],[Selling Rate]]*Sales[[#This Row],[Qty]]</f>
        <v>114800</v>
      </c>
      <c r="J1246" s="45">
        <v>0.02</v>
      </c>
      <c r="K1246" s="46">
        <f>Sales[[#This Row],[Gross Amount]]*Sales[[#This Row],[Disc %]]</f>
        <v>2296</v>
      </c>
      <c r="L1246" s="43">
        <v>0.18</v>
      </c>
      <c r="M1246" s="46">
        <f>(Sales[[#This Row],[Gross Amount]]-Sales[[#This Row],[Disc. Amt.]])*Sales[[#This Row],[GST %]]</f>
        <v>20250.719999999998</v>
      </c>
      <c r="N1246" s="161">
        <f>Sales[[#This Row],[Gross Amount]]-Sales[[#This Row],[Disc. Amt.]]+Sales[[#This Row],[GST Amount]]</f>
        <v>132754.72</v>
      </c>
      <c r="O1246" s="34" t="s">
        <v>3566</v>
      </c>
      <c r="P1246" s="34" t="s">
        <v>3562</v>
      </c>
      <c r="Q1246" s="165">
        <f>IF(Sales[[#This Row],[Status]]="Cancelled",0,Sales[[#This Row],[Qty]])</f>
        <v>7</v>
      </c>
      <c r="R1246" s="166">
        <f>IF(Sales[[#This Row],[Status]]="Cancelled",0,Sales[[#This Row],[Total Amount]])</f>
        <v>132754.72</v>
      </c>
      <c r="S1246" s="162">
        <f>SUM(Sales[Net Amount])</f>
        <v>406839287.73200053</v>
      </c>
    </row>
    <row r="1247" spans="1:19" ht="18.75" x14ac:dyDescent="0.25">
      <c r="A1247" s="156" t="s">
        <v>4844</v>
      </c>
      <c r="B1247" s="157">
        <v>45843</v>
      </c>
      <c r="C1247" s="158" t="s">
        <v>936</v>
      </c>
      <c r="D1247" s="159" t="str">
        <f>VLOOKUP(Sales[[#This Row],[Customer ID]],Customer[#All],2,0)</f>
        <v>Pooja Patel</v>
      </c>
      <c r="E1247" s="158" t="s">
        <v>210</v>
      </c>
      <c r="F1247" s="158" t="str">
        <f>VLOOKUP(Sales[[#This Row],[Product ID]],Product[#All],2,0)</f>
        <v>Jbl Headset</v>
      </c>
      <c r="G1247" s="159">
        <v>4</v>
      </c>
      <c r="H1247" s="160">
        <f>VLOOKUP(Sales[[#This Row],[Product ID]],Product[#All],7,0)</f>
        <v>1130</v>
      </c>
      <c r="I1247" s="160">
        <f>Sales[[#This Row],[Selling Rate]]*Sales[[#This Row],[Qty]]</f>
        <v>4520</v>
      </c>
      <c r="J1247" s="43">
        <v>0</v>
      </c>
      <c r="K1247" s="44">
        <f>Sales[[#This Row],[Gross Amount]]*Sales[[#This Row],[Disc %]]</f>
        <v>0</v>
      </c>
      <c r="L1247" s="43">
        <v>0.18</v>
      </c>
      <c r="M1247" s="44">
        <f>(Sales[[#This Row],[Gross Amount]]-Sales[[#This Row],[Disc. Amt.]])*Sales[[#This Row],[GST %]]</f>
        <v>813.6</v>
      </c>
      <c r="N1247" s="161">
        <f>Sales[[#This Row],[Gross Amount]]-Sales[[#This Row],[Disc. Amt.]]+Sales[[#This Row],[GST Amount]]</f>
        <v>5333.6</v>
      </c>
      <c r="O1247" s="158" t="s">
        <v>3566</v>
      </c>
      <c r="P1247" s="158" t="s">
        <v>3562</v>
      </c>
      <c r="Q1247" s="160">
        <f>IF(Sales[[#This Row],[Status]]="Cancelled",0,Sales[[#This Row],[Qty]])</f>
        <v>4</v>
      </c>
      <c r="R1247" s="161">
        <f>IF(Sales[[#This Row],[Status]]="Cancelled",0,Sales[[#This Row],[Total Amount]])</f>
        <v>5333.6</v>
      </c>
      <c r="S1247" s="162">
        <f>SUM(Sales[Net Amount])</f>
        <v>406839287.73200053</v>
      </c>
    </row>
    <row r="1248" spans="1:19" ht="18.75" x14ac:dyDescent="0.25">
      <c r="A1248" s="163" t="s">
        <v>4845</v>
      </c>
      <c r="B1248" s="164">
        <v>45843</v>
      </c>
      <c r="C1248" s="34" t="s">
        <v>4846</v>
      </c>
      <c r="D1248" s="53" t="str">
        <f>VLOOKUP(Sales[[#This Row],[Customer ID]],Customer[#All],2,0)</f>
        <v>Ankit Gupta</v>
      </c>
      <c r="E1248" s="34" t="s">
        <v>417</v>
      </c>
      <c r="F1248" s="34" t="str">
        <f>VLOOKUP(Sales[[#This Row],[Product ID]],Product[#All],2,0)</f>
        <v>HP Power Adapter</v>
      </c>
      <c r="G1248" s="53">
        <v>3</v>
      </c>
      <c r="H1248" s="165">
        <f>VLOOKUP(Sales[[#This Row],[Product ID]],Product[#All],7,0)</f>
        <v>4330</v>
      </c>
      <c r="I1248" s="165">
        <f>Sales[[#This Row],[Selling Rate]]*Sales[[#This Row],[Qty]]</f>
        <v>12990</v>
      </c>
      <c r="J1248" s="45">
        <v>0</v>
      </c>
      <c r="K1248" s="46">
        <f>Sales[[#This Row],[Gross Amount]]*Sales[[#This Row],[Disc %]]</f>
        <v>0</v>
      </c>
      <c r="L1248" s="43">
        <v>0.18</v>
      </c>
      <c r="M1248" s="46">
        <f>(Sales[[#This Row],[Gross Amount]]-Sales[[#This Row],[Disc. Amt.]])*Sales[[#This Row],[GST %]]</f>
        <v>2338.1999999999998</v>
      </c>
      <c r="N1248" s="161">
        <f>Sales[[#This Row],[Gross Amount]]-Sales[[#This Row],[Disc. Amt.]]+Sales[[#This Row],[GST Amount]]</f>
        <v>15328.2</v>
      </c>
      <c r="O1248" s="34" t="s">
        <v>3566</v>
      </c>
      <c r="P1248" s="34" t="s">
        <v>3562</v>
      </c>
      <c r="Q1248" s="165">
        <f>IF(Sales[[#This Row],[Status]]="Cancelled",0,Sales[[#This Row],[Qty]])</f>
        <v>3</v>
      </c>
      <c r="R1248" s="166">
        <f>IF(Sales[[#This Row],[Status]]="Cancelled",0,Sales[[#This Row],[Total Amount]])</f>
        <v>15328.2</v>
      </c>
      <c r="S1248" s="162">
        <f>SUM(Sales[Net Amount])</f>
        <v>406839287.73200053</v>
      </c>
    </row>
    <row r="1249" spans="1:19" ht="18.75" x14ac:dyDescent="0.25">
      <c r="A1249" s="156" t="s">
        <v>4847</v>
      </c>
      <c r="B1249" s="157">
        <v>45843</v>
      </c>
      <c r="C1249" s="158" t="s">
        <v>4848</v>
      </c>
      <c r="D1249" s="159" t="str">
        <f>VLOOKUP(Sales[[#This Row],[Customer ID]],Customer[#All],2,0)</f>
        <v>Sunita Sharma</v>
      </c>
      <c r="E1249" s="158" t="s">
        <v>450</v>
      </c>
      <c r="F1249" s="158" t="str">
        <f>VLOOKUP(Sales[[#This Row],[Product ID]],Product[#All],2,0)</f>
        <v>TP-link Bluetooth Adapter</v>
      </c>
      <c r="G1249" s="159">
        <v>5</v>
      </c>
      <c r="H1249" s="160">
        <f>VLOOKUP(Sales[[#This Row],[Product ID]],Product[#All],7,0)</f>
        <v>1270</v>
      </c>
      <c r="I1249" s="160">
        <f>Sales[[#This Row],[Selling Rate]]*Sales[[#This Row],[Qty]]</f>
        <v>6350</v>
      </c>
      <c r="J1249" s="43">
        <v>0</v>
      </c>
      <c r="K1249" s="44">
        <f>Sales[[#This Row],[Gross Amount]]*Sales[[#This Row],[Disc %]]</f>
        <v>0</v>
      </c>
      <c r="L1249" s="43">
        <v>0.18</v>
      </c>
      <c r="M1249" s="44">
        <f>(Sales[[#This Row],[Gross Amount]]-Sales[[#This Row],[Disc. Amt.]])*Sales[[#This Row],[GST %]]</f>
        <v>1143</v>
      </c>
      <c r="N1249" s="161">
        <f>Sales[[#This Row],[Gross Amount]]-Sales[[#This Row],[Disc. Amt.]]+Sales[[#This Row],[GST Amount]]</f>
        <v>7493</v>
      </c>
      <c r="O1249" s="158" t="s">
        <v>3561</v>
      </c>
      <c r="P1249" s="158" t="s">
        <v>3562</v>
      </c>
      <c r="Q1249" s="160">
        <f>IF(Sales[[#This Row],[Status]]="Cancelled",0,Sales[[#This Row],[Qty]])</f>
        <v>5</v>
      </c>
      <c r="R1249" s="161">
        <f>IF(Sales[[#This Row],[Status]]="Cancelled",0,Sales[[#This Row],[Total Amount]])</f>
        <v>7493</v>
      </c>
      <c r="S1249" s="162">
        <f>SUM(Sales[Net Amount])</f>
        <v>406839287.73200053</v>
      </c>
    </row>
    <row r="1250" spans="1:19" ht="18.75" x14ac:dyDescent="0.25">
      <c r="A1250" s="163" t="s">
        <v>4849</v>
      </c>
      <c r="B1250" s="164">
        <v>45843</v>
      </c>
      <c r="C1250" s="34" t="s">
        <v>843</v>
      </c>
      <c r="D1250" s="53" t="str">
        <f>VLOOKUP(Sales[[#This Row],[Customer ID]],Customer[#All],2,0)</f>
        <v>Amit Verma</v>
      </c>
      <c r="E1250" s="34" t="s">
        <v>128</v>
      </c>
      <c r="F1250" s="34" t="str">
        <f>VLOOKUP(Sales[[#This Row],[Product ID]],Product[#All],2,0)</f>
        <v>American TouristerLaptopBag</v>
      </c>
      <c r="G1250" s="53">
        <v>3</v>
      </c>
      <c r="H1250" s="165">
        <f>VLOOKUP(Sales[[#This Row],[Product ID]],Product[#All],7,0)</f>
        <v>2990</v>
      </c>
      <c r="I1250" s="165">
        <f>Sales[[#This Row],[Selling Rate]]*Sales[[#This Row],[Qty]]</f>
        <v>8970</v>
      </c>
      <c r="J1250" s="45">
        <v>0.05</v>
      </c>
      <c r="K1250" s="46">
        <f>Sales[[#This Row],[Gross Amount]]*Sales[[#This Row],[Disc %]]</f>
        <v>448.5</v>
      </c>
      <c r="L1250" s="43">
        <v>0.18</v>
      </c>
      <c r="M1250" s="46">
        <f>(Sales[[#This Row],[Gross Amount]]-Sales[[#This Row],[Disc. Amt.]])*Sales[[#This Row],[GST %]]</f>
        <v>1533.87</v>
      </c>
      <c r="N1250" s="161">
        <f>Sales[[#This Row],[Gross Amount]]-Sales[[#This Row],[Disc. Amt.]]+Sales[[#This Row],[GST Amount]]</f>
        <v>10055.369999999999</v>
      </c>
      <c r="O1250" s="34" t="s">
        <v>3569</v>
      </c>
      <c r="P1250" s="34" t="s">
        <v>3562</v>
      </c>
      <c r="Q1250" s="165">
        <f>IF(Sales[[#This Row],[Status]]="Cancelled",0,Sales[[#This Row],[Qty]])</f>
        <v>3</v>
      </c>
      <c r="R1250" s="166">
        <f>IF(Sales[[#This Row],[Status]]="Cancelled",0,Sales[[#This Row],[Total Amount]])</f>
        <v>10055.369999999999</v>
      </c>
      <c r="S1250" s="162">
        <f>SUM(Sales[Net Amount])</f>
        <v>406839287.73200053</v>
      </c>
    </row>
    <row r="1251" spans="1:19" ht="18.75" x14ac:dyDescent="0.25">
      <c r="A1251" s="156" t="s">
        <v>4850</v>
      </c>
      <c r="B1251" s="157">
        <v>45843</v>
      </c>
      <c r="C1251" s="158" t="s">
        <v>784</v>
      </c>
      <c r="D1251" s="159" t="str">
        <f>VLOOKUP(Sales[[#This Row],[Customer ID]],Customer[#All],2,0)</f>
        <v>Amit Kumar</v>
      </c>
      <c r="E1251" s="158" t="s">
        <v>325</v>
      </c>
      <c r="F1251" s="158" t="str">
        <f>VLOOKUP(Sales[[#This Row],[Product ID]],Product[#All],2,0)</f>
        <v>Dell Power Adapter</v>
      </c>
      <c r="G1251" s="159">
        <v>2</v>
      </c>
      <c r="H1251" s="160">
        <f>VLOOKUP(Sales[[#This Row],[Product ID]],Product[#All],7,0)</f>
        <v>1630</v>
      </c>
      <c r="I1251" s="160">
        <f>Sales[[#This Row],[Selling Rate]]*Sales[[#This Row],[Qty]]</f>
        <v>3260</v>
      </c>
      <c r="J1251" s="43">
        <v>0.15</v>
      </c>
      <c r="K1251" s="44">
        <f>Sales[[#This Row],[Gross Amount]]*Sales[[#This Row],[Disc %]]</f>
        <v>489</v>
      </c>
      <c r="L1251" s="43">
        <v>0.18</v>
      </c>
      <c r="M1251" s="44">
        <f>(Sales[[#This Row],[Gross Amount]]-Sales[[#This Row],[Disc. Amt.]])*Sales[[#This Row],[GST %]]</f>
        <v>498.78</v>
      </c>
      <c r="N1251" s="161">
        <f>Sales[[#This Row],[Gross Amount]]-Sales[[#This Row],[Disc. Amt.]]+Sales[[#This Row],[GST Amount]]</f>
        <v>3269.7799999999997</v>
      </c>
      <c r="O1251" s="158" t="s">
        <v>3569</v>
      </c>
      <c r="P1251" s="158" t="s">
        <v>3562</v>
      </c>
      <c r="Q1251" s="160">
        <f>IF(Sales[[#This Row],[Status]]="Cancelled",0,Sales[[#This Row],[Qty]])</f>
        <v>2</v>
      </c>
      <c r="R1251" s="161">
        <f>IF(Sales[[#This Row],[Status]]="Cancelled",0,Sales[[#This Row],[Total Amount]])</f>
        <v>3269.7799999999997</v>
      </c>
      <c r="S1251" s="162">
        <f>SUM(Sales[Net Amount])</f>
        <v>406839287.73200053</v>
      </c>
    </row>
    <row r="1252" spans="1:19" ht="18.75" x14ac:dyDescent="0.25">
      <c r="A1252" s="163" t="s">
        <v>4851</v>
      </c>
      <c r="B1252" s="164">
        <v>45843</v>
      </c>
      <c r="C1252" s="34" t="s">
        <v>825</v>
      </c>
      <c r="D1252" s="53" t="str">
        <f>VLOOKUP(Sales[[#This Row],[Customer ID]],Customer[#All],2,0)</f>
        <v>Rahul Kumar</v>
      </c>
      <c r="E1252" s="34" t="s">
        <v>224</v>
      </c>
      <c r="F1252" s="34" t="str">
        <f>VLOOKUP(Sales[[#This Row],[Product ID]],Product[#All],2,0)</f>
        <v>Seagate HDD</v>
      </c>
      <c r="G1252" s="53">
        <v>6</v>
      </c>
      <c r="H1252" s="165">
        <f>VLOOKUP(Sales[[#This Row],[Product ID]],Product[#All],7,0)</f>
        <v>8130</v>
      </c>
      <c r="I1252" s="165">
        <f>Sales[[#This Row],[Selling Rate]]*Sales[[#This Row],[Qty]]</f>
        <v>48780</v>
      </c>
      <c r="J1252" s="45">
        <v>0.02</v>
      </c>
      <c r="K1252" s="46">
        <f>Sales[[#This Row],[Gross Amount]]*Sales[[#This Row],[Disc %]]</f>
        <v>975.6</v>
      </c>
      <c r="L1252" s="43">
        <v>0.18</v>
      </c>
      <c r="M1252" s="46">
        <f>(Sales[[#This Row],[Gross Amount]]-Sales[[#This Row],[Disc. Amt.]])*Sales[[#This Row],[GST %]]</f>
        <v>8604.7919999999995</v>
      </c>
      <c r="N1252" s="161">
        <f>Sales[[#This Row],[Gross Amount]]-Sales[[#This Row],[Disc. Amt.]]+Sales[[#This Row],[GST Amount]]</f>
        <v>56409.192000000003</v>
      </c>
      <c r="O1252" s="34" t="s">
        <v>3569</v>
      </c>
      <c r="P1252" s="34" t="s">
        <v>3562</v>
      </c>
      <c r="Q1252" s="165">
        <f>IF(Sales[[#This Row],[Status]]="Cancelled",0,Sales[[#This Row],[Qty]])</f>
        <v>6</v>
      </c>
      <c r="R1252" s="166">
        <f>IF(Sales[[#This Row],[Status]]="Cancelled",0,Sales[[#This Row],[Total Amount]])</f>
        <v>56409.192000000003</v>
      </c>
      <c r="S1252" s="162">
        <f>SUM(Sales[Net Amount])</f>
        <v>406839287.73200053</v>
      </c>
    </row>
    <row r="1253" spans="1:19" ht="18.75" x14ac:dyDescent="0.25">
      <c r="A1253" s="156" t="s">
        <v>4852</v>
      </c>
      <c r="B1253" s="157">
        <v>45843</v>
      </c>
      <c r="C1253" s="158" t="s">
        <v>671</v>
      </c>
      <c r="D1253" s="159" t="str">
        <f>VLOOKUP(Sales[[#This Row],[Customer ID]],Customer[#All],2,0)</f>
        <v>Sahil Patel</v>
      </c>
      <c r="E1253" s="158" t="s">
        <v>474</v>
      </c>
      <c r="F1253" s="158" t="str">
        <f>VLOOKUP(Sales[[#This Row],[Product ID]],Product[#All],2,0)</f>
        <v>Logitech Mouse</v>
      </c>
      <c r="G1253" s="159">
        <v>4</v>
      </c>
      <c r="H1253" s="160">
        <f>VLOOKUP(Sales[[#This Row],[Product ID]],Product[#All],7,0)</f>
        <v>1320</v>
      </c>
      <c r="I1253" s="160">
        <f>Sales[[#This Row],[Selling Rate]]*Sales[[#This Row],[Qty]]</f>
        <v>5280</v>
      </c>
      <c r="J1253" s="43">
        <v>0</v>
      </c>
      <c r="K1253" s="44">
        <f>Sales[[#This Row],[Gross Amount]]*Sales[[#This Row],[Disc %]]</f>
        <v>0</v>
      </c>
      <c r="L1253" s="43">
        <v>0.18</v>
      </c>
      <c r="M1253" s="44">
        <f>(Sales[[#This Row],[Gross Amount]]-Sales[[#This Row],[Disc. Amt.]])*Sales[[#This Row],[GST %]]</f>
        <v>950.4</v>
      </c>
      <c r="N1253" s="161">
        <f>Sales[[#This Row],[Gross Amount]]-Sales[[#This Row],[Disc. Amt.]]+Sales[[#This Row],[GST Amount]]</f>
        <v>6230.4</v>
      </c>
      <c r="O1253" s="158" t="s">
        <v>8876</v>
      </c>
      <c r="P1253" s="158" t="s">
        <v>3562</v>
      </c>
      <c r="Q1253" s="160">
        <f>IF(Sales[[#This Row],[Status]]="Cancelled",0,Sales[[#This Row],[Qty]])</f>
        <v>4</v>
      </c>
      <c r="R1253" s="161">
        <f>IF(Sales[[#This Row],[Status]]="Cancelled",0,Sales[[#This Row],[Total Amount]])</f>
        <v>6230.4</v>
      </c>
      <c r="S1253" s="162">
        <f>SUM(Sales[Net Amount])</f>
        <v>406839287.73200053</v>
      </c>
    </row>
    <row r="1254" spans="1:19" ht="18.75" x14ac:dyDescent="0.25">
      <c r="A1254" s="163" t="s">
        <v>4853</v>
      </c>
      <c r="B1254" s="164">
        <v>45843</v>
      </c>
      <c r="C1254" s="34" t="s">
        <v>661</v>
      </c>
      <c r="D1254" s="53" t="str">
        <f>VLOOKUP(Sales[[#This Row],[Customer ID]],Customer[#All],2,0)</f>
        <v>Pooja Gupta</v>
      </c>
      <c r="E1254" s="34" t="s">
        <v>502</v>
      </c>
      <c r="F1254" s="34" t="str">
        <f>VLOOKUP(Sales[[#This Row],[Product ID]],Product[#All],2,0)</f>
        <v>HP Printer</v>
      </c>
      <c r="G1254" s="53">
        <v>7</v>
      </c>
      <c r="H1254" s="165">
        <f>VLOOKUP(Sales[[#This Row],[Product ID]],Product[#All],7,0)</f>
        <v>32100</v>
      </c>
      <c r="I1254" s="165">
        <f>Sales[[#This Row],[Selling Rate]]*Sales[[#This Row],[Qty]]</f>
        <v>224700</v>
      </c>
      <c r="J1254" s="45">
        <v>0</v>
      </c>
      <c r="K1254" s="46">
        <f>Sales[[#This Row],[Gross Amount]]*Sales[[#This Row],[Disc %]]</f>
        <v>0</v>
      </c>
      <c r="L1254" s="43">
        <v>0.18</v>
      </c>
      <c r="M1254" s="46">
        <f>(Sales[[#This Row],[Gross Amount]]-Sales[[#This Row],[Disc. Amt.]])*Sales[[#This Row],[GST %]]</f>
        <v>40446</v>
      </c>
      <c r="N1254" s="161">
        <f>Sales[[#This Row],[Gross Amount]]-Sales[[#This Row],[Disc. Amt.]]+Sales[[#This Row],[GST Amount]]</f>
        <v>265146</v>
      </c>
      <c r="O1254" s="34" t="s">
        <v>8876</v>
      </c>
      <c r="P1254" s="34" t="s">
        <v>3562</v>
      </c>
      <c r="Q1254" s="165">
        <f>IF(Sales[[#This Row],[Status]]="Cancelled",0,Sales[[#This Row],[Qty]])</f>
        <v>7</v>
      </c>
      <c r="R1254" s="166">
        <f>IF(Sales[[#This Row],[Status]]="Cancelled",0,Sales[[#This Row],[Total Amount]])</f>
        <v>265146</v>
      </c>
      <c r="S1254" s="162">
        <f>SUM(Sales[Net Amount])</f>
        <v>406839287.73200053</v>
      </c>
    </row>
    <row r="1255" spans="1:19" ht="18.75" x14ac:dyDescent="0.25">
      <c r="A1255" s="156" t="s">
        <v>4854</v>
      </c>
      <c r="B1255" s="157">
        <v>45843</v>
      </c>
      <c r="C1255" s="158" t="s">
        <v>908</v>
      </c>
      <c r="D1255" s="159" t="str">
        <f>VLOOKUP(Sales[[#This Row],[Customer ID]],Customer[#All],2,0)</f>
        <v>Rahul Singh</v>
      </c>
      <c r="E1255" s="158" t="s">
        <v>465</v>
      </c>
      <c r="F1255" s="158" t="str">
        <f>VLOOKUP(Sales[[#This Row],[Product ID]],Product[#All],2,0)</f>
        <v>Logitech Keyboard</v>
      </c>
      <c r="G1255" s="159">
        <v>5</v>
      </c>
      <c r="H1255" s="160">
        <f>VLOOKUP(Sales[[#This Row],[Product ID]],Product[#All],7,0)</f>
        <v>2230</v>
      </c>
      <c r="I1255" s="160">
        <f>Sales[[#This Row],[Selling Rate]]*Sales[[#This Row],[Qty]]</f>
        <v>11150</v>
      </c>
      <c r="J1255" s="43">
        <v>0.1</v>
      </c>
      <c r="K1255" s="44">
        <f>Sales[[#This Row],[Gross Amount]]*Sales[[#This Row],[Disc %]]</f>
        <v>1115</v>
      </c>
      <c r="L1255" s="43">
        <v>0.18</v>
      </c>
      <c r="M1255" s="44">
        <f>(Sales[[#This Row],[Gross Amount]]-Sales[[#This Row],[Disc. Amt.]])*Sales[[#This Row],[GST %]]</f>
        <v>1806.3</v>
      </c>
      <c r="N1255" s="161">
        <f>Sales[[#This Row],[Gross Amount]]-Sales[[#This Row],[Disc. Amt.]]+Sales[[#This Row],[GST Amount]]</f>
        <v>11841.3</v>
      </c>
      <c r="O1255" s="158" t="s">
        <v>3566</v>
      </c>
      <c r="P1255" s="158" t="s">
        <v>3562</v>
      </c>
      <c r="Q1255" s="160">
        <f>IF(Sales[[#This Row],[Status]]="Cancelled",0,Sales[[#This Row],[Qty]])</f>
        <v>5</v>
      </c>
      <c r="R1255" s="161">
        <f>IF(Sales[[#This Row],[Status]]="Cancelled",0,Sales[[#This Row],[Total Amount]])</f>
        <v>11841.3</v>
      </c>
      <c r="S1255" s="162">
        <f>SUM(Sales[Net Amount])</f>
        <v>406839287.73200053</v>
      </c>
    </row>
    <row r="1256" spans="1:19" ht="18.75" x14ac:dyDescent="0.25">
      <c r="A1256" s="163" t="s">
        <v>4855</v>
      </c>
      <c r="B1256" s="164">
        <v>45843</v>
      </c>
      <c r="C1256" s="34" t="s">
        <v>772</v>
      </c>
      <c r="D1256" s="53" t="str">
        <f>VLOOKUP(Sales[[#This Row],[Customer ID]],Customer[#All],2,0)</f>
        <v>Rahul Patel</v>
      </c>
      <c r="E1256" s="34" t="s">
        <v>306</v>
      </c>
      <c r="F1256" s="34" t="str">
        <f>VLOOKUP(Sales[[#This Row],[Product ID]],Product[#All],2,0)</f>
        <v>Portronics USB Cable</v>
      </c>
      <c r="G1256" s="53">
        <v>5</v>
      </c>
      <c r="H1256" s="165">
        <f>VLOOKUP(Sales[[#This Row],[Product ID]],Product[#All],7,0)</f>
        <v>200</v>
      </c>
      <c r="I1256" s="165">
        <f>Sales[[#This Row],[Selling Rate]]*Sales[[#This Row],[Qty]]</f>
        <v>1000</v>
      </c>
      <c r="J1256" s="45">
        <v>0.15</v>
      </c>
      <c r="K1256" s="46">
        <f>Sales[[#This Row],[Gross Amount]]*Sales[[#This Row],[Disc %]]</f>
        <v>150</v>
      </c>
      <c r="L1256" s="43">
        <v>0.18</v>
      </c>
      <c r="M1256" s="46">
        <f>(Sales[[#This Row],[Gross Amount]]-Sales[[#This Row],[Disc. Amt.]])*Sales[[#This Row],[GST %]]</f>
        <v>153</v>
      </c>
      <c r="N1256" s="161">
        <f>Sales[[#This Row],[Gross Amount]]-Sales[[#This Row],[Disc. Amt.]]+Sales[[#This Row],[GST Amount]]</f>
        <v>1003</v>
      </c>
      <c r="O1256" s="34" t="s">
        <v>3569</v>
      </c>
      <c r="P1256" s="34" t="s">
        <v>3562</v>
      </c>
      <c r="Q1256" s="165">
        <f>IF(Sales[[#This Row],[Status]]="Cancelled",0,Sales[[#This Row],[Qty]])</f>
        <v>5</v>
      </c>
      <c r="R1256" s="166">
        <f>IF(Sales[[#This Row],[Status]]="Cancelled",0,Sales[[#This Row],[Total Amount]])</f>
        <v>1003</v>
      </c>
      <c r="S1256" s="162">
        <f>SUM(Sales[Net Amount])</f>
        <v>406839287.73200053</v>
      </c>
    </row>
    <row r="1257" spans="1:19" ht="18.75" x14ac:dyDescent="0.25">
      <c r="A1257" s="156" t="s">
        <v>4856</v>
      </c>
      <c r="B1257" s="157">
        <v>45843</v>
      </c>
      <c r="C1257" s="158" t="s">
        <v>895</v>
      </c>
      <c r="D1257" s="159" t="str">
        <f>VLOOKUP(Sales[[#This Row],[Customer ID]],Customer[#All],2,0)</f>
        <v>Pooja Patel</v>
      </c>
      <c r="E1257" s="158" t="s">
        <v>354</v>
      </c>
      <c r="F1257" s="158" t="str">
        <f>VLOOKUP(Sales[[#This Row],[Product ID]],Product[#All],2,0)</f>
        <v>Dell Monitor</v>
      </c>
      <c r="G1257" s="159">
        <v>6</v>
      </c>
      <c r="H1257" s="160">
        <f>VLOOKUP(Sales[[#This Row],[Product ID]],Product[#All],7,0)</f>
        <v>12450</v>
      </c>
      <c r="I1257" s="160">
        <f>Sales[[#This Row],[Selling Rate]]*Sales[[#This Row],[Qty]]</f>
        <v>74700</v>
      </c>
      <c r="J1257" s="43">
        <v>0.02</v>
      </c>
      <c r="K1257" s="44">
        <f>Sales[[#This Row],[Gross Amount]]*Sales[[#This Row],[Disc %]]</f>
        <v>1494</v>
      </c>
      <c r="L1257" s="43">
        <v>0.18</v>
      </c>
      <c r="M1257" s="44">
        <f>(Sales[[#This Row],[Gross Amount]]-Sales[[#This Row],[Disc. Amt.]])*Sales[[#This Row],[GST %]]</f>
        <v>13177.08</v>
      </c>
      <c r="N1257" s="161">
        <f>Sales[[#This Row],[Gross Amount]]-Sales[[#This Row],[Disc. Amt.]]+Sales[[#This Row],[GST Amount]]</f>
        <v>86383.08</v>
      </c>
      <c r="O1257" s="158" t="s">
        <v>3566</v>
      </c>
      <c r="P1257" s="158" t="s">
        <v>3562</v>
      </c>
      <c r="Q1257" s="160">
        <f>IF(Sales[[#This Row],[Status]]="Cancelled",0,Sales[[#This Row],[Qty]])</f>
        <v>6</v>
      </c>
      <c r="R1257" s="161">
        <f>IF(Sales[[#This Row],[Status]]="Cancelled",0,Sales[[#This Row],[Total Amount]])</f>
        <v>86383.08</v>
      </c>
      <c r="S1257" s="162">
        <f>SUM(Sales[Net Amount])</f>
        <v>406839287.73200053</v>
      </c>
    </row>
    <row r="1258" spans="1:19" ht="18.75" x14ac:dyDescent="0.25">
      <c r="A1258" s="163" t="s">
        <v>4857</v>
      </c>
      <c r="B1258" s="164">
        <v>45843</v>
      </c>
      <c r="C1258" s="34" t="s">
        <v>695</v>
      </c>
      <c r="D1258" s="53" t="str">
        <f>VLOOKUP(Sales[[#This Row],[Customer ID]],Customer[#All],2,0)</f>
        <v>Rahul Kumar</v>
      </c>
      <c r="E1258" s="34" t="s">
        <v>432</v>
      </c>
      <c r="F1258" s="34" t="str">
        <f>VLOOKUP(Sales[[#This Row],[Product ID]],Product[#All],2,0)</f>
        <v>Boat Speaker</v>
      </c>
      <c r="G1258" s="53">
        <v>3</v>
      </c>
      <c r="H1258" s="165">
        <f>VLOOKUP(Sales[[#This Row],[Product ID]],Product[#All],7,0)</f>
        <v>750</v>
      </c>
      <c r="I1258" s="165">
        <f>Sales[[#This Row],[Selling Rate]]*Sales[[#This Row],[Qty]]</f>
        <v>2250</v>
      </c>
      <c r="J1258" s="45">
        <v>0.05</v>
      </c>
      <c r="K1258" s="46">
        <f>Sales[[#This Row],[Gross Amount]]*Sales[[#This Row],[Disc %]]</f>
        <v>112.5</v>
      </c>
      <c r="L1258" s="43">
        <v>0.18</v>
      </c>
      <c r="M1258" s="46">
        <f>(Sales[[#This Row],[Gross Amount]]-Sales[[#This Row],[Disc. Amt.]])*Sales[[#This Row],[GST %]]</f>
        <v>384.75</v>
      </c>
      <c r="N1258" s="161">
        <f>Sales[[#This Row],[Gross Amount]]-Sales[[#This Row],[Disc. Amt.]]+Sales[[#This Row],[GST Amount]]</f>
        <v>2522.25</v>
      </c>
      <c r="O1258" s="34" t="s">
        <v>3566</v>
      </c>
      <c r="P1258" s="34" t="s">
        <v>3562</v>
      </c>
      <c r="Q1258" s="165">
        <f>IF(Sales[[#This Row],[Status]]="Cancelled",0,Sales[[#This Row],[Qty]])</f>
        <v>3</v>
      </c>
      <c r="R1258" s="166">
        <f>IF(Sales[[#This Row],[Status]]="Cancelled",0,Sales[[#This Row],[Total Amount]])</f>
        <v>2522.25</v>
      </c>
      <c r="S1258" s="162">
        <f>SUM(Sales[Net Amount])</f>
        <v>406839287.73200053</v>
      </c>
    </row>
    <row r="1259" spans="1:19" ht="18.75" x14ac:dyDescent="0.25">
      <c r="A1259" s="156" t="s">
        <v>4858</v>
      </c>
      <c r="B1259" s="157">
        <v>45843</v>
      </c>
      <c r="C1259" s="158" t="s">
        <v>859</v>
      </c>
      <c r="D1259" s="159" t="str">
        <f>VLOOKUP(Sales[[#This Row],[Customer ID]],Customer[#All],2,0)</f>
        <v>Rakesh Kumar</v>
      </c>
      <c r="E1259" s="158" t="s">
        <v>176</v>
      </c>
      <c r="F1259" s="158" t="str">
        <f>VLOOKUP(Sales[[#This Row],[Product ID]],Product[#All],2,0)</f>
        <v>Dell Monitor</v>
      </c>
      <c r="G1259" s="159">
        <v>4</v>
      </c>
      <c r="H1259" s="160">
        <f>VLOOKUP(Sales[[#This Row],[Product ID]],Product[#All],7,0)</f>
        <v>18900</v>
      </c>
      <c r="I1259" s="160">
        <f>Sales[[#This Row],[Selling Rate]]*Sales[[#This Row],[Qty]]</f>
        <v>75600</v>
      </c>
      <c r="J1259" s="43">
        <v>0.1</v>
      </c>
      <c r="K1259" s="44">
        <f>Sales[[#This Row],[Gross Amount]]*Sales[[#This Row],[Disc %]]</f>
        <v>7560</v>
      </c>
      <c r="L1259" s="43">
        <v>0.18</v>
      </c>
      <c r="M1259" s="44">
        <f>(Sales[[#This Row],[Gross Amount]]-Sales[[#This Row],[Disc. Amt.]])*Sales[[#This Row],[GST %]]</f>
        <v>12247.199999999999</v>
      </c>
      <c r="N1259" s="161">
        <f>Sales[[#This Row],[Gross Amount]]-Sales[[#This Row],[Disc. Amt.]]+Sales[[#This Row],[GST Amount]]</f>
        <v>80287.199999999997</v>
      </c>
      <c r="O1259" s="158" t="s">
        <v>3569</v>
      </c>
      <c r="P1259" s="158" t="s">
        <v>3562</v>
      </c>
      <c r="Q1259" s="160">
        <f>IF(Sales[[#This Row],[Status]]="Cancelled",0,Sales[[#This Row],[Qty]])</f>
        <v>4</v>
      </c>
      <c r="R1259" s="161">
        <f>IF(Sales[[#This Row],[Status]]="Cancelled",0,Sales[[#This Row],[Total Amount]])</f>
        <v>80287.199999999997</v>
      </c>
      <c r="S1259" s="162">
        <f>SUM(Sales[Net Amount])</f>
        <v>406839287.73200053</v>
      </c>
    </row>
    <row r="1260" spans="1:19" ht="18.75" x14ac:dyDescent="0.25">
      <c r="A1260" s="163" t="s">
        <v>4859</v>
      </c>
      <c r="B1260" s="164">
        <v>45844</v>
      </c>
      <c r="C1260" s="34" t="s">
        <v>905</v>
      </c>
      <c r="D1260" s="53" t="str">
        <f>VLOOKUP(Sales[[#This Row],[Customer ID]],Customer[#All],2,0)</f>
        <v>Rakesh Gupta</v>
      </c>
      <c r="E1260" s="34" t="s">
        <v>147</v>
      </c>
      <c r="F1260" s="34" t="str">
        <f>VLOOKUP(Sales[[#This Row],[Product ID]],Product[#All],2,0)</f>
        <v>HP Power Adapter</v>
      </c>
      <c r="G1260" s="53">
        <v>8</v>
      </c>
      <c r="H1260" s="165">
        <f>VLOOKUP(Sales[[#This Row],[Product ID]],Product[#All],7,0)</f>
        <v>4680</v>
      </c>
      <c r="I1260" s="165">
        <f>Sales[[#This Row],[Selling Rate]]*Sales[[#This Row],[Qty]]</f>
        <v>37440</v>
      </c>
      <c r="J1260" s="45">
        <v>0.05</v>
      </c>
      <c r="K1260" s="46">
        <f>Sales[[#This Row],[Gross Amount]]*Sales[[#This Row],[Disc %]]</f>
        <v>1872</v>
      </c>
      <c r="L1260" s="43">
        <v>0.18</v>
      </c>
      <c r="M1260" s="46">
        <f>(Sales[[#This Row],[Gross Amount]]-Sales[[#This Row],[Disc. Amt.]])*Sales[[#This Row],[GST %]]</f>
        <v>6402.24</v>
      </c>
      <c r="N1260" s="161">
        <f>Sales[[#This Row],[Gross Amount]]-Sales[[#This Row],[Disc. Amt.]]+Sales[[#This Row],[GST Amount]]</f>
        <v>41970.239999999998</v>
      </c>
      <c r="O1260" s="34" t="s">
        <v>3566</v>
      </c>
      <c r="P1260" s="34" t="s">
        <v>3562</v>
      </c>
      <c r="Q1260" s="165">
        <f>IF(Sales[[#This Row],[Status]]="Cancelled",0,Sales[[#This Row],[Qty]])</f>
        <v>8</v>
      </c>
      <c r="R1260" s="166">
        <f>IF(Sales[[#This Row],[Status]]="Cancelled",0,Sales[[#This Row],[Total Amount]])</f>
        <v>41970.239999999998</v>
      </c>
      <c r="S1260" s="162">
        <f>SUM(Sales[Net Amount])</f>
        <v>406839287.73200053</v>
      </c>
    </row>
    <row r="1261" spans="1:19" ht="18.75" x14ac:dyDescent="0.25">
      <c r="A1261" s="156" t="s">
        <v>4860</v>
      </c>
      <c r="B1261" s="157">
        <v>45844</v>
      </c>
      <c r="C1261" s="158" t="s">
        <v>862</v>
      </c>
      <c r="D1261" s="159" t="str">
        <f>VLOOKUP(Sales[[#This Row],[Customer ID]],Customer[#All],2,0)</f>
        <v>Rakesh Sharma</v>
      </c>
      <c r="E1261" s="158" t="s">
        <v>189</v>
      </c>
      <c r="F1261" s="158" t="str">
        <f>VLOOKUP(Sales[[#This Row],[Product ID]],Product[#All],2,0)</f>
        <v>Boat Headset</v>
      </c>
      <c r="G1261" s="159">
        <v>8</v>
      </c>
      <c r="H1261" s="160">
        <f>VLOOKUP(Sales[[#This Row],[Product ID]],Product[#All],7,0)</f>
        <v>1610</v>
      </c>
      <c r="I1261" s="160">
        <f>Sales[[#This Row],[Selling Rate]]*Sales[[#This Row],[Qty]]</f>
        <v>12880</v>
      </c>
      <c r="J1261" s="43">
        <v>0.05</v>
      </c>
      <c r="K1261" s="44">
        <f>Sales[[#This Row],[Gross Amount]]*Sales[[#This Row],[Disc %]]</f>
        <v>644</v>
      </c>
      <c r="L1261" s="43">
        <v>0.18</v>
      </c>
      <c r="M1261" s="44">
        <f>(Sales[[#This Row],[Gross Amount]]-Sales[[#This Row],[Disc. Amt.]])*Sales[[#This Row],[GST %]]</f>
        <v>2202.48</v>
      </c>
      <c r="N1261" s="161">
        <f>Sales[[#This Row],[Gross Amount]]-Sales[[#This Row],[Disc. Amt.]]+Sales[[#This Row],[GST Amount]]</f>
        <v>14438.48</v>
      </c>
      <c r="O1261" s="158" t="s">
        <v>3561</v>
      </c>
      <c r="P1261" s="158" t="s">
        <v>3562</v>
      </c>
      <c r="Q1261" s="160">
        <f>IF(Sales[[#This Row],[Status]]="Cancelled",0,Sales[[#This Row],[Qty]])</f>
        <v>8</v>
      </c>
      <c r="R1261" s="161">
        <f>IF(Sales[[#This Row],[Status]]="Cancelled",0,Sales[[#This Row],[Total Amount]])</f>
        <v>14438.48</v>
      </c>
      <c r="S1261" s="162">
        <f>SUM(Sales[Net Amount])</f>
        <v>406839287.73200053</v>
      </c>
    </row>
    <row r="1262" spans="1:19" ht="18.75" x14ac:dyDescent="0.25">
      <c r="A1262" s="163" t="s">
        <v>4861</v>
      </c>
      <c r="B1262" s="164">
        <v>45844</v>
      </c>
      <c r="C1262" s="34" t="s">
        <v>745</v>
      </c>
      <c r="D1262" s="53" t="str">
        <f>VLOOKUP(Sales[[#This Row],[Customer ID]],Customer[#All],2,0)</f>
        <v>Priya Kumar</v>
      </c>
      <c r="E1262" s="34" t="s">
        <v>321</v>
      </c>
      <c r="F1262" s="34" t="str">
        <f>VLOOKUP(Sales[[#This Row],[Product ID]],Product[#All],2,0)</f>
        <v>WD HDD</v>
      </c>
      <c r="G1262" s="53">
        <v>4</v>
      </c>
      <c r="H1262" s="165">
        <f>VLOOKUP(Sales[[#This Row],[Product ID]],Product[#All],7,0)</f>
        <v>6810</v>
      </c>
      <c r="I1262" s="165">
        <f>Sales[[#This Row],[Selling Rate]]*Sales[[#This Row],[Qty]]</f>
        <v>27240</v>
      </c>
      <c r="J1262" s="45">
        <v>0</v>
      </c>
      <c r="K1262" s="46">
        <f>Sales[[#This Row],[Gross Amount]]*Sales[[#This Row],[Disc %]]</f>
        <v>0</v>
      </c>
      <c r="L1262" s="43">
        <v>0.18</v>
      </c>
      <c r="M1262" s="46">
        <f>(Sales[[#This Row],[Gross Amount]]-Sales[[#This Row],[Disc. Amt.]])*Sales[[#This Row],[GST %]]</f>
        <v>4903.2</v>
      </c>
      <c r="N1262" s="161">
        <f>Sales[[#This Row],[Gross Amount]]-Sales[[#This Row],[Disc. Amt.]]+Sales[[#This Row],[GST Amount]]</f>
        <v>32143.200000000001</v>
      </c>
      <c r="O1262" s="34" t="s">
        <v>3569</v>
      </c>
      <c r="P1262" s="34" t="s">
        <v>3562</v>
      </c>
      <c r="Q1262" s="165">
        <f>IF(Sales[[#This Row],[Status]]="Cancelled",0,Sales[[#This Row],[Qty]])</f>
        <v>4</v>
      </c>
      <c r="R1262" s="166">
        <f>IF(Sales[[#This Row],[Status]]="Cancelled",0,Sales[[#This Row],[Total Amount]])</f>
        <v>32143.200000000001</v>
      </c>
      <c r="S1262" s="162">
        <f>SUM(Sales[Net Amount])</f>
        <v>406839287.73200053</v>
      </c>
    </row>
    <row r="1263" spans="1:19" ht="18.75" x14ac:dyDescent="0.25">
      <c r="A1263" s="156" t="s">
        <v>4862</v>
      </c>
      <c r="B1263" s="157">
        <v>45844</v>
      </c>
      <c r="C1263" s="158" t="s">
        <v>686</v>
      </c>
      <c r="D1263" s="159" t="str">
        <f>VLOOKUP(Sales[[#This Row],[Customer ID]],Customer[#All],2,0)</f>
        <v>Priya Gupta</v>
      </c>
      <c r="E1263" s="158" t="s">
        <v>92</v>
      </c>
      <c r="F1263" s="158" t="str">
        <f>VLOOKUP(Sales[[#This Row],[Product ID]],Product[#All],2,0)</f>
        <v>Jbl Headset</v>
      </c>
      <c r="G1263" s="159">
        <v>3</v>
      </c>
      <c r="H1263" s="160">
        <f>VLOOKUP(Sales[[#This Row],[Product ID]],Product[#All],7,0)</f>
        <v>6180</v>
      </c>
      <c r="I1263" s="160">
        <f>Sales[[#This Row],[Selling Rate]]*Sales[[#This Row],[Qty]]</f>
        <v>18540</v>
      </c>
      <c r="J1263" s="43">
        <v>0.1</v>
      </c>
      <c r="K1263" s="44">
        <f>Sales[[#This Row],[Gross Amount]]*Sales[[#This Row],[Disc %]]</f>
        <v>1854</v>
      </c>
      <c r="L1263" s="43">
        <v>0.18</v>
      </c>
      <c r="M1263" s="44">
        <f>(Sales[[#This Row],[Gross Amount]]-Sales[[#This Row],[Disc. Amt.]])*Sales[[#This Row],[GST %]]</f>
        <v>3003.48</v>
      </c>
      <c r="N1263" s="161">
        <f>Sales[[#This Row],[Gross Amount]]-Sales[[#This Row],[Disc. Amt.]]+Sales[[#This Row],[GST Amount]]</f>
        <v>19689.48</v>
      </c>
      <c r="O1263" s="158" t="s">
        <v>3566</v>
      </c>
      <c r="P1263" s="158" t="s">
        <v>3562</v>
      </c>
      <c r="Q1263" s="160">
        <f>IF(Sales[[#This Row],[Status]]="Cancelled",0,Sales[[#This Row],[Qty]])</f>
        <v>3</v>
      </c>
      <c r="R1263" s="161">
        <f>IF(Sales[[#This Row],[Status]]="Cancelled",0,Sales[[#This Row],[Total Amount]])</f>
        <v>19689.48</v>
      </c>
      <c r="S1263" s="162">
        <f>SUM(Sales[Net Amount])</f>
        <v>406839287.73200053</v>
      </c>
    </row>
    <row r="1264" spans="1:19" ht="18.75" x14ac:dyDescent="0.25">
      <c r="A1264" s="163" t="s">
        <v>4863</v>
      </c>
      <c r="B1264" s="164">
        <v>45844</v>
      </c>
      <c r="C1264" s="34" t="s">
        <v>686</v>
      </c>
      <c r="D1264" s="53" t="str">
        <f>VLOOKUP(Sales[[#This Row],[Customer ID]],Customer[#All],2,0)</f>
        <v>Priya Gupta</v>
      </c>
      <c r="E1264" s="34" t="s">
        <v>379</v>
      </c>
      <c r="F1264" s="34" t="str">
        <f>VLOOKUP(Sales[[#This Row],[Product ID]],Product[#All],2,0)</f>
        <v>Acer Laptop</v>
      </c>
      <c r="G1264" s="53">
        <v>8</v>
      </c>
      <c r="H1264" s="165">
        <f>VLOOKUP(Sales[[#This Row],[Product ID]],Product[#All],7,0)</f>
        <v>74390</v>
      </c>
      <c r="I1264" s="165">
        <f>Sales[[#This Row],[Selling Rate]]*Sales[[#This Row],[Qty]]</f>
        <v>595120</v>
      </c>
      <c r="J1264" s="45">
        <v>0.15</v>
      </c>
      <c r="K1264" s="46">
        <f>Sales[[#This Row],[Gross Amount]]*Sales[[#This Row],[Disc %]]</f>
        <v>89268</v>
      </c>
      <c r="L1264" s="43">
        <v>0.18</v>
      </c>
      <c r="M1264" s="46">
        <f>(Sales[[#This Row],[Gross Amount]]-Sales[[#This Row],[Disc. Amt.]])*Sales[[#This Row],[GST %]]</f>
        <v>91053.36</v>
      </c>
      <c r="N1264" s="161">
        <f>Sales[[#This Row],[Gross Amount]]-Sales[[#This Row],[Disc. Amt.]]+Sales[[#This Row],[GST Amount]]</f>
        <v>596905.36</v>
      </c>
      <c r="O1264" s="34" t="s">
        <v>3566</v>
      </c>
      <c r="P1264" s="34" t="s">
        <v>3562</v>
      </c>
      <c r="Q1264" s="165">
        <f>IF(Sales[[#This Row],[Status]]="Cancelled",0,Sales[[#This Row],[Qty]])</f>
        <v>8</v>
      </c>
      <c r="R1264" s="166">
        <f>IF(Sales[[#This Row],[Status]]="Cancelled",0,Sales[[#This Row],[Total Amount]])</f>
        <v>596905.36</v>
      </c>
      <c r="S1264" s="162">
        <f>SUM(Sales[Net Amount])</f>
        <v>406839287.73200053</v>
      </c>
    </row>
    <row r="1265" spans="1:19" ht="18.75" x14ac:dyDescent="0.25">
      <c r="A1265" s="156" t="s">
        <v>4864</v>
      </c>
      <c r="B1265" s="157">
        <v>45844</v>
      </c>
      <c r="C1265" s="158" t="s">
        <v>840</v>
      </c>
      <c r="D1265" s="159" t="str">
        <f>VLOOKUP(Sales[[#This Row],[Customer ID]],Customer[#All],2,0)</f>
        <v>Rakesh Verma</v>
      </c>
      <c r="E1265" s="158" t="s">
        <v>349</v>
      </c>
      <c r="F1265" s="158" t="str">
        <f>VLOOKUP(Sales[[#This Row],[Product ID]],Product[#All],2,0)</f>
        <v>Samsung Monitor</v>
      </c>
      <c r="G1265" s="159">
        <v>2</v>
      </c>
      <c r="H1265" s="160">
        <f>VLOOKUP(Sales[[#This Row],[Product ID]],Product[#All],7,0)</f>
        <v>11070</v>
      </c>
      <c r="I1265" s="160">
        <f>Sales[[#This Row],[Selling Rate]]*Sales[[#This Row],[Qty]]</f>
        <v>22140</v>
      </c>
      <c r="J1265" s="43">
        <v>0.1</v>
      </c>
      <c r="K1265" s="44">
        <f>Sales[[#This Row],[Gross Amount]]*Sales[[#This Row],[Disc %]]</f>
        <v>2214</v>
      </c>
      <c r="L1265" s="43">
        <v>0.18</v>
      </c>
      <c r="M1265" s="44">
        <f>(Sales[[#This Row],[Gross Amount]]-Sales[[#This Row],[Disc. Amt.]])*Sales[[#This Row],[GST %]]</f>
        <v>3586.68</v>
      </c>
      <c r="N1265" s="161">
        <f>Sales[[#This Row],[Gross Amount]]-Sales[[#This Row],[Disc. Amt.]]+Sales[[#This Row],[GST Amount]]</f>
        <v>23512.68</v>
      </c>
      <c r="O1265" s="158" t="s">
        <v>3566</v>
      </c>
      <c r="P1265" s="158" t="s">
        <v>3562</v>
      </c>
      <c r="Q1265" s="160">
        <f>IF(Sales[[#This Row],[Status]]="Cancelled",0,Sales[[#This Row],[Qty]])</f>
        <v>2</v>
      </c>
      <c r="R1265" s="161">
        <f>IF(Sales[[#This Row],[Status]]="Cancelled",0,Sales[[#This Row],[Total Amount]])</f>
        <v>23512.68</v>
      </c>
      <c r="S1265" s="162">
        <f>SUM(Sales[Net Amount])</f>
        <v>406839287.73200053</v>
      </c>
    </row>
    <row r="1266" spans="1:19" ht="18.75" x14ac:dyDescent="0.25">
      <c r="A1266" s="163" t="s">
        <v>4865</v>
      </c>
      <c r="B1266" s="164">
        <v>45844</v>
      </c>
      <c r="C1266" s="34" t="s">
        <v>780</v>
      </c>
      <c r="D1266" s="53" t="str">
        <f>VLOOKUP(Sales[[#This Row],[Customer ID]],Customer[#All],2,0)</f>
        <v>Sahil Gupta</v>
      </c>
      <c r="E1266" s="34" t="s">
        <v>457</v>
      </c>
      <c r="F1266" s="34" t="str">
        <f>VLOOKUP(Sales[[#This Row],[Product ID]],Product[#All],2,0)</f>
        <v>Dell Monitor</v>
      </c>
      <c r="G1266" s="53">
        <v>7</v>
      </c>
      <c r="H1266" s="165">
        <f>VLOOKUP(Sales[[#This Row],[Product ID]],Product[#All],7,0)</f>
        <v>25230</v>
      </c>
      <c r="I1266" s="165">
        <f>Sales[[#This Row],[Selling Rate]]*Sales[[#This Row],[Qty]]</f>
        <v>176610</v>
      </c>
      <c r="J1266" s="45">
        <v>0</v>
      </c>
      <c r="K1266" s="46">
        <f>Sales[[#This Row],[Gross Amount]]*Sales[[#This Row],[Disc %]]</f>
        <v>0</v>
      </c>
      <c r="L1266" s="43">
        <v>0.18</v>
      </c>
      <c r="M1266" s="46">
        <f>(Sales[[#This Row],[Gross Amount]]-Sales[[#This Row],[Disc. Amt.]])*Sales[[#This Row],[GST %]]</f>
        <v>31789.8</v>
      </c>
      <c r="N1266" s="161">
        <f>Sales[[#This Row],[Gross Amount]]-Sales[[#This Row],[Disc. Amt.]]+Sales[[#This Row],[GST Amount]]</f>
        <v>208399.8</v>
      </c>
      <c r="O1266" s="34" t="s">
        <v>3566</v>
      </c>
      <c r="P1266" s="34" t="s">
        <v>3562</v>
      </c>
      <c r="Q1266" s="165">
        <f>IF(Sales[[#This Row],[Status]]="Cancelled",0,Sales[[#This Row],[Qty]])</f>
        <v>7</v>
      </c>
      <c r="R1266" s="166">
        <f>IF(Sales[[#This Row],[Status]]="Cancelled",0,Sales[[#This Row],[Total Amount]])</f>
        <v>208399.8</v>
      </c>
      <c r="S1266" s="162">
        <f>SUM(Sales[Net Amount])</f>
        <v>406839287.73200053</v>
      </c>
    </row>
    <row r="1267" spans="1:19" ht="18.75" x14ac:dyDescent="0.25">
      <c r="A1267" s="156" t="s">
        <v>4866</v>
      </c>
      <c r="B1267" s="157">
        <v>45844</v>
      </c>
      <c r="C1267" s="158" t="s">
        <v>800</v>
      </c>
      <c r="D1267" s="159" t="str">
        <f>VLOOKUP(Sales[[#This Row],[Customer ID]],Customer[#All],2,0)</f>
        <v>Priya Gupta</v>
      </c>
      <c r="E1267" s="158" t="s">
        <v>208</v>
      </c>
      <c r="F1267" s="158" t="str">
        <f>VLOOKUP(Sales[[#This Row],[Product ID]],Product[#All],2,0)</f>
        <v>Dell Laptop</v>
      </c>
      <c r="G1267" s="159">
        <v>7</v>
      </c>
      <c r="H1267" s="160">
        <f>VLOOKUP(Sales[[#This Row],[Product ID]],Product[#All],7,0)</f>
        <v>67000</v>
      </c>
      <c r="I1267" s="160">
        <f>Sales[[#This Row],[Selling Rate]]*Sales[[#This Row],[Qty]]</f>
        <v>469000</v>
      </c>
      <c r="J1267" s="43">
        <v>0.1</v>
      </c>
      <c r="K1267" s="44">
        <f>Sales[[#This Row],[Gross Amount]]*Sales[[#This Row],[Disc %]]</f>
        <v>46900</v>
      </c>
      <c r="L1267" s="43">
        <v>0.18</v>
      </c>
      <c r="M1267" s="44">
        <f>(Sales[[#This Row],[Gross Amount]]-Sales[[#This Row],[Disc. Amt.]])*Sales[[#This Row],[GST %]]</f>
        <v>75978</v>
      </c>
      <c r="N1267" s="161">
        <f>Sales[[#This Row],[Gross Amount]]-Sales[[#This Row],[Disc. Amt.]]+Sales[[#This Row],[GST Amount]]</f>
        <v>498078</v>
      </c>
      <c r="O1267" s="158" t="s">
        <v>3561</v>
      </c>
      <c r="P1267" s="158" t="s">
        <v>3562</v>
      </c>
      <c r="Q1267" s="160">
        <f>IF(Sales[[#This Row],[Status]]="Cancelled",0,Sales[[#This Row],[Qty]])</f>
        <v>7</v>
      </c>
      <c r="R1267" s="161">
        <f>IF(Sales[[#This Row],[Status]]="Cancelled",0,Sales[[#This Row],[Total Amount]])</f>
        <v>498078</v>
      </c>
      <c r="S1267" s="162">
        <f>SUM(Sales[Net Amount])</f>
        <v>406839287.73200053</v>
      </c>
    </row>
    <row r="1268" spans="1:19" ht="18.75" x14ac:dyDescent="0.25">
      <c r="A1268" s="163" t="s">
        <v>4867</v>
      </c>
      <c r="B1268" s="164">
        <v>45844</v>
      </c>
      <c r="C1268" s="34" t="s">
        <v>713</v>
      </c>
      <c r="D1268" s="53" t="str">
        <f>VLOOKUP(Sales[[#This Row],[Customer ID]],Customer[#All],2,0)</f>
        <v>Amit Gupta</v>
      </c>
      <c r="E1268" s="34" t="s">
        <v>181</v>
      </c>
      <c r="F1268" s="34" t="str">
        <f>VLOOKUP(Sales[[#This Row],[Product ID]],Product[#All],2,0)</f>
        <v>Logitech Webcam</v>
      </c>
      <c r="G1268" s="53">
        <v>2</v>
      </c>
      <c r="H1268" s="165">
        <f>VLOOKUP(Sales[[#This Row],[Product ID]],Product[#All],7,0)</f>
        <v>5880</v>
      </c>
      <c r="I1268" s="165">
        <f>Sales[[#This Row],[Selling Rate]]*Sales[[#This Row],[Qty]]</f>
        <v>11760</v>
      </c>
      <c r="J1268" s="45">
        <v>0.05</v>
      </c>
      <c r="K1268" s="46">
        <f>Sales[[#This Row],[Gross Amount]]*Sales[[#This Row],[Disc %]]</f>
        <v>588</v>
      </c>
      <c r="L1268" s="43">
        <v>0.18</v>
      </c>
      <c r="M1268" s="46">
        <f>(Sales[[#This Row],[Gross Amount]]-Sales[[#This Row],[Disc. Amt.]])*Sales[[#This Row],[GST %]]</f>
        <v>2010.96</v>
      </c>
      <c r="N1268" s="161">
        <f>Sales[[#This Row],[Gross Amount]]-Sales[[#This Row],[Disc. Amt.]]+Sales[[#This Row],[GST Amount]]</f>
        <v>13182.96</v>
      </c>
      <c r="O1268" s="34" t="s">
        <v>3566</v>
      </c>
      <c r="P1268" s="34" t="s">
        <v>3562</v>
      </c>
      <c r="Q1268" s="165">
        <f>IF(Sales[[#This Row],[Status]]="Cancelled",0,Sales[[#This Row],[Qty]])</f>
        <v>2</v>
      </c>
      <c r="R1268" s="166">
        <f>IF(Sales[[#This Row],[Status]]="Cancelled",0,Sales[[#This Row],[Total Amount]])</f>
        <v>13182.96</v>
      </c>
      <c r="S1268" s="162">
        <f>SUM(Sales[Net Amount])</f>
        <v>406839287.73200053</v>
      </c>
    </row>
    <row r="1269" spans="1:19" ht="18.75" x14ac:dyDescent="0.25">
      <c r="A1269" s="156" t="s">
        <v>4868</v>
      </c>
      <c r="B1269" s="157">
        <v>45844</v>
      </c>
      <c r="C1269" s="158" t="s">
        <v>879</v>
      </c>
      <c r="D1269" s="159" t="str">
        <f>VLOOKUP(Sales[[#This Row],[Customer ID]],Customer[#All],2,0)</f>
        <v>Ankit Patel</v>
      </c>
      <c r="E1269" s="158" t="s">
        <v>385</v>
      </c>
      <c r="F1269" s="158" t="str">
        <f>VLOOKUP(Sales[[#This Row],[Product ID]],Product[#All],2,0)</f>
        <v>Boat Headset</v>
      </c>
      <c r="G1269" s="159">
        <v>7</v>
      </c>
      <c r="H1269" s="160">
        <f>VLOOKUP(Sales[[#This Row],[Product ID]],Product[#All],7,0)</f>
        <v>1280</v>
      </c>
      <c r="I1269" s="160">
        <f>Sales[[#This Row],[Selling Rate]]*Sales[[#This Row],[Qty]]</f>
        <v>8960</v>
      </c>
      <c r="J1269" s="43">
        <v>0.02</v>
      </c>
      <c r="K1269" s="44">
        <f>Sales[[#This Row],[Gross Amount]]*Sales[[#This Row],[Disc %]]</f>
        <v>179.20000000000002</v>
      </c>
      <c r="L1269" s="43">
        <v>0.18</v>
      </c>
      <c r="M1269" s="44">
        <f>(Sales[[#This Row],[Gross Amount]]-Sales[[#This Row],[Disc. Amt.]])*Sales[[#This Row],[GST %]]</f>
        <v>1580.5439999999999</v>
      </c>
      <c r="N1269" s="161">
        <f>Sales[[#This Row],[Gross Amount]]-Sales[[#This Row],[Disc. Amt.]]+Sales[[#This Row],[GST Amount]]</f>
        <v>10361.343999999999</v>
      </c>
      <c r="O1269" s="158" t="s">
        <v>8876</v>
      </c>
      <c r="P1269" s="158" t="s">
        <v>3562</v>
      </c>
      <c r="Q1269" s="160">
        <f>IF(Sales[[#This Row],[Status]]="Cancelled",0,Sales[[#This Row],[Qty]])</f>
        <v>7</v>
      </c>
      <c r="R1269" s="161">
        <f>IF(Sales[[#This Row],[Status]]="Cancelled",0,Sales[[#This Row],[Total Amount]])</f>
        <v>10361.343999999999</v>
      </c>
      <c r="S1269" s="162">
        <f>SUM(Sales[Net Amount])</f>
        <v>406839287.73200053</v>
      </c>
    </row>
    <row r="1270" spans="1:19" ht="18.75" x14ac:dyDescent="0.25">
      <c r="A1270" s="163" t="s">
        <v>4869</v>
      </c>
      <c r="B1270" s="164">
        <v>45844</v>
      </c>
      <c r="C1270" s="34" t="s">
        <v>906</v>
      </c>
      <c r="D1270" s="53" t="str">
        <f>VLOOKUP(Sales[[#This Row],[Customer ID]],Customer[#All],2,0)</f>
        <v>Ankit Sharma</v>
      </c>
      <c r="E1270" s="34" t="s">
        <v>198</v>
      </c>
      <c r="F1270" s="34" t="str">
        <f>VLOOKUP(Sales[[#This Row],[Product ID]],Product[#All],2,0)</f>
        <v>PortronicsLaptopStand</v>
      </c>
      <c r="G1270" s="53">
        <v>6</v>
      </c>
      <c r="H1270" s="165">
        <f>VLOOKUP(Sales[[#This Row],[Product ID]],Product[#All],7,0)</f>
        <v>2240</v>
      </c>
      <c r="I1270" s="165">
        <f>Sales[[#This Row],[Selling Rate]]*Sales[[#This Row],[Qty]]</f>
        <v>13440</v>
      </c>
      <c r="J1270" s="45">
        <v>0.02</v>
      </c>
      <c r="K1270" s="46">
        <f>Sales[[#This Row],[Gross Amount]]*Sales[[#This Row],[Disc %]]</f>
        <v>268.8</v>
      </c>
      <c r="L1270" s="43">
        <v>0.18</v>
      </c>
      <c r="M1270" s="46">
        <f>(Sales[[#This Row],[Gross Amount]]-Sales[[#This Row],[Disc. Amt.]])*Sales[[#This Row],[GST %]]</f>
        <v>2370.8160000000003</v>
      </c>
      <c r="N1270" s="161">
        <f>Sales[[#This Row],[Gross Amount]]-Sales[[#This Row],[Disc. Amt.]]+Sales[[#This Row],[GST Amount]]</f>
        <v>15542.016000000001</v>
      </c>
      <c r="O1270" s="34" t="s">
        <v>3566</v>
      </c>
      <c r="P1270" s="34" t="s">
        <v>3562</v>
      </c>
      <c r="Q1270" s="165">
        <f>IF(Sales[[#This Row],[Status]]="Cancelled",0,Sales[[#This Row],[Qty]])</f>
        <v>6</v>
      </c>
      <c r="R1270" s="166">
        <f>IF(Sales[[#This Row],[Status]]="Cancelled",0,Sales[[#This Row],[Total Amount]])</f>
        <v>15542.016000000001</v>
      </c>
      <c r="S1270" s="162">
        <f>SUM(Sales[Net Amount])</f>
        <v>406839287.73200053</v>
      </c>
    </row>
    <row r="1271" spans="1:19" ht="18.75" x14ac:dyDescent="0.25">
      <c r="A1271" s="156" t="s">
        <v>4870</v>
      </c>
      <c r="B1271" s="157">
        <v>45844</v>
      </c>
      <c r="C1271" s="158" t="s">
        <v>811</v>
      </c>
      <c r="D1271" s="159" t="str">
        <f>VLOOKUP(Sales[[#This Row],[Customer ID]],Customer[#All],2,0)</f>
        <v>Rahul Sharma</v>
      </c>
      <c r="E1271" s="158" t="s">
        <v>548</v>
      </c>
      <c r="F1271" s="158" t="str">
        <f>VLOOKUP(Sales[[#This Row],[Product ID]],Product[#All],2,0)</f>
        <v>HP Power Adapter</v>
      </c>
      <c r="G1271" s="159">
        <v>8</v>
      </c>
      <c r="H1271" s="160">
        <f>VLOOKUP(Sales[[#This Row],[Product ID]],Product[#All],7,0)</f>
        <v>2470</v>
      </c>
      <c r="I1271" s="160">
        <f>Sales[[#This Row],[Selling Rate]]*Sales[[#This Row],[Qty]]</f>
        <v>19760</v>
      </c>
      <c r="J1271" s="43">
        <v>0</v>
      </c>
      <c r="K1271" s="44">
        <f>Sales[[#This Row],[Gross Amount]]*Sales[[#This Row],[Disc %]]</f>
        <v>0</v>
      </c>
      <c r="L1271" s="43">
        <v>0.18</v>
      </c>
      <c r="M1271" s="44">
        <f>(Sales[[#This Row],[Gross Amount]]-Sales[[#This Row],[Disc. Amt.]])*Sales[[#This Row],[GST %]]</f>
        <v>3556.7999999999997</v>
      </c>
      <c r="N1271" s="161">
        <f>Sales[[#This Row],[Gross Amount]]-Sales[[#This Row],[Disc. Amt.]]+Sales[[#This Row],[GST Amount]]</f>
        <v>23316.799999999999</v>
      </c>
      <c r="O1271" s="158" t="s">
        <v>3561</v>
      </c>
      <c r="P1271" s="158" t="s">
        <v>3562</v>
      </c>
      <c r="Q1271" s="160">
        <f>IF(Sales[[#This Row],[Status]]="Cancelled",0,Sales[[#This Row],[Qty]])</f>
        <v>8</v>
      </c>
      <c r="R1271" s="161">
        <f>IF(Sales[[#This Row],[Status]]="Cancelled",0,Sales[[#This Row],[Total Amount]])</f>
        <v>23316.799999999999</v>
      </c>
      <c r="S1271" s="162">
        <f>SUM(Sales[Net Amount])</f>
        <v>406839287.73200053</v>
      </c>
    </row>
    <row r="1272" spans="1:19" ht="18.75" x14ac:dyDescent="0.25">
      <c r="A1272" s="163" t="s">
        <v>4871</v>
      </c>
      <c r="B1272" s="164">
        <v>45844</v>
      </c>
      <c r="C1272" s="34" t="s">
        <v>650</v>
      </c>
      <c r="D1272" s="53" t="str">
        <f>VLOOKUP(Sales[[#This Row],[Customer ID]],Customer[#All],2,0)</f>
        <v xml:space="preserve">Pooja Patel </v>
      </c>
      <c r="E1272" s="34" t="s">
        <v>68</v>
      </c>
      <c r="F1272" s="34" t="str">
        <f>VLOOKUP(Sales[[#This Row],[Product ID]],Product[#All],2,0)</f>
        <v>Epson Printer</v>
      </c>
      <c r="G1272" s="53">
        <v>1</v>
      </c>
      <c r="H1272" s="165">
        <f>VLOOKUP(Sales[[#This Row],[Product ID]],Product[#All],7,0)</f>
        <v>21190</v>
      </c>
      <c r="I1272" s="165">
        <f>Sales[[#This Row],[Selling Rate]]*Sales[[#This Row],[Qty]]</f>
        <v>21190</v>
      </c>
      <c r="J1272" s="45">
        <v>0.05</v>
      </c>
      <c r="K1272" s="46">
        <f>Sales[[#This Row],[Gross Amount]]*Sales[[#This Row],[Disc %]]</f>
        <v>1059.5</v>
      </c>
      <c r="L1272" s="43">
        <v>0.18</v>
      </c>
      <c r="M1272" s="46">
        <f>(Sales[[#This Row],[Gross Amount]]-Sales[[#This Row],[Disc. Amt.]])*Sales[[#This Row],[GST %]]</f>
        <v>3623.49</v>
      </c>
      <c r="N1272" s="161">
        <f>Sales[[#This Row],[Gross Amount]]-Sales[[#This Row],[Disc. Amt.]]+Sales[[#This Row],[GST Amount]]</f>
        <v>23753.989999999998</v>
      </c>
      <c r="O1272" s="34" t="s">
        <v>3561</v>
      </c>
      <c r="P1272" s="34" t="s">
        <v>3562</v>
      </c>
      <c r="Q1272" s="165">
        <f>IF(Sales[[#This Row],[Status]]="Cancelled",0,Sales[[#This Row],[Qty]])</f>
        <v>1</v>
      </c>
      <c r="R1272" s="166">
        <f>IF(Sales[[#This Row],[Status]]="Cancelled",0,Sales[[#This Row],[Total Amount]])</f>
        <v>23753.989999999998</v>
      </c>
      <c r="S1272" s="162">
        <f>SUM(Sales[Net Amount])</f>
        <v>406839287.73200053</v>
      </c>
    </row>
    <row r="1273" spans="1:19" ht="18.75" x14ac:dyDescent="0.25">
      <c r="A1273" s="156" t="s">
        <v>4872</v>
      </c>
      <c r="B1273" s="157">
        <v>45845</v>
      </c>
      <c r="C1273" s="158" t="s">
        <v>813</v>
      </c>
      <c r="D1273" s="159" t="str">
        <f>VLOOKUP(Sales[[#This Row],[Customer ID]],Customer[#All],2,0)</f>
        <v>Neha Verma</v>
      </c>
      <c r="E1273" s="158" t="s">
        <v>496</v>
      </c>
      <c r="F1273" s="158" t="str">
        <f>VLOOKUP(Sales[[#This Row],[Product ID]],Product[#All],2,0)</f>
        <v>Boat Speaker</v>
      </c>
      <c r="G1273" s="159">
        <v>1</v>
      </c>
      <c r="H1273" s="160">
        <f>VLOOKUP(Sales[[#This Row],[Product ID]],Product[#All],7,0)</f>
        <v>2230</v>
      </c>
      <c r="I1273" s="160">
        <f>Sales[[#This Row],[Selling Rate]]*Sales[[#This Row],[Qty]]</f>
        <v>2230</v>
      </c>
      <c r="J1273" s="43">
        <v>0.05</v>
      </c>
      <c r="K1273" s="44">
        <f>Sales[[#This Row],[Gross Amount]]*Sales[[#This Row],[Disc %]]</f>
        <v>111.5</v>
      </c>
      <c r="L1273" s="43">
        <v>0.18</v>
      </c>
      <c r="M1273" s="44">
        <f>(Sales[[#This Row],[Gross Amount]]-Sales[[#This Row],[Disc. Amt.]])*Sales[[#This Row],[GST %]]</f>
        <v>381.33</v>
      </c>
      <c r="N1273" s="161">
        <f>Sales[[#This Row],[Gross Amount]]-Sales[[#This Row],[Disc. Amt.]]+Sales[[#This Row],[GST Amount]]</f>
        <v>2499.83</v>
      </c>
      <c r="O1273" s="158" t="s">
        <v>3566</v>
      </c>
      <c r="P1273" s="158" t="s">
        <v>3562</v>
      </c>
      <c r="Q1273" s="160">
        <f>IF(Sales[[#This Row],[Status]]="Cancelled",0,Sales[[#This Row],[Qty]])</f>
        <v>1</v>
      </c>
      <c r="R1273" s="161">
        <f>IF(Sales[[#This Row],[Status]]="Cancelled",0,Sales[[#This Row],[Total Amount]])</f>
        <v>2499.83</v>
      </c>
      <c r="S1273" s="162">
        <f>SUM(Sales[Net Amount])</f>
        <v>406839287.73200053</v>
      </c>
    </row>
    <row r="1274" spans="1:19" ht="18.75" x14ac:dyDescent="0.25">
      <c r="A1274" s="163" t="s">
        <v>4873</v>
      </c>
      <c r="B1274" s="164">
        <v>45845</v>
      </c>
      <c r="C1274" s="34" t="s">
        <v>885</v>
      </c>
      <c r="D1274" s="53" t="str">
        <f>VLOOKUP(Sales[[#This Row],[Customer ID]],Customer[#All],2,0)</f>
        <v>Pooja Verma</v>
      </c>
      <c r="E1274" s="34" t="s">
        <v>197</v>
      </c>
      <c r="F1274" s="34" t="str">
        <f>VLOOKUP(Sales[[#This Row],[Product ID]],Product[#All],2,0)</f>
        <v>Crucial Ssd</v>
      </c>
      <c r="G1274" s="53">
        <v>3</v>
      </c>
      <c r="H1274" s="165">
        <f>VLOOKUP(Sales[[#This Row],[Product ID]],Product[#All],7,0)</f>
        <v>16400</v>
      </c>
      <c r="I1274" s="165">
        <f>Sales[[#This Row],[Selling Rate]]*Sales[[#This Row],[Qty]]</f>
        <v>49200</v>
      </c>
      <c r="J1274" s="45">
        <v>0.05</v>
      </c>
      <c r="K1274" s="46">
        <f>Sales[[#This Row],[Gross Amount]]*Sales[[#This Row],[Disc %]]</f>
        <v>2460</v>
      </c>
      <c r="L1274" s="43">
        <v>0.18</v>
      </c>
      <c r="M1274" s="46">
        <f>(Sales[[#This Row],[Gross Amount]]-Sales[[#This Row],[Disc. Amt.]])*Sales[[#This Row],[GST %]]</f>
        <v>8413.1999999999989</v>
      </c>
      <c r="N1274" s="161">
        <f>Sales[[#This Row],[Gross Amount]]-Sales[[#This Row],[Disc. Amt.]]+Sales[[#This Row],[GST Amount]]</f>
        <v>55153.2</v>
      </c>
      <c r="O1274" s="34" t="s">
        <v>8876</v>
      </c>
      <c r="P1274" s="34" t="s">
        <v>3562</v>
      </c>
      <c r="Q1274" s="165">
        <f>IF(Sales[[#This Row],[Status]]="Cancelled",0,Sales[[#This Row],[Qty]])</f>
        <v>3</v>
      </c>
      <c r="R1274" s="166">
        <f>IF(Sales[[#This Row],[Status]]="Cancelled",0,Sales[[#This Row],[Total Amount]])</f>
        <v>55153.2</v>
      </c>
      <c r="S1274" s="162">
        <f>SUM(Sales[Net Amount])</f>
        <v>406839287.73200053</v>
      </c>
    </row>
    <row r="1275" spans="1:19" ht="18.75" x14ac:dyDescent="0.25">
      <c r="A1275" s="156" t="s">
        <v>4874</v>
      </c>
      <c r="B1275" s="157">
        <v>45845</v>
      </c>
      <c r="C1275" s="158" t="s">
        <v>797</v>
      </c>
      <c r="D1275" s="159" t="str">
        <f>VLOOKUP(Sales[[#This Row],[Customer ID]],Customer[#All],2,0)</f>
        <v>Ankit Gupta</v>
      </c>
      <c r="E1275" s="158" t="s">
        <v>33</v>
      </c>
      <c r="F1275" s="158" t="str">
        <f>VLOOKUP(Sales[[#This Row],[Product ID]],Product[#All],2,0)</f>
        <v>Samsung Monitor</v>
      </c>
      <c r="G1275" s="159">
        <v>2</v>
      </c>
      <c r="H1275" s="160">
        <f>VLOOKUP(Sales[[#This Row],[Product ID]],Product[#All],7,0)</f>
        <v>9840</v>
      </c>
      <c r="I1275" s="160">
        <f>Sales[[#This Row],[Selling Rate]]*Sales[[#This Row],[Qty]]</f>
        <v>19680</v>
      </c>
      <c r="J1275" s="43">
        <v>0</v>
      </c>
      <c r="K1275" s="44">
        <f>Sales[[#This Row],[Gross Amount]]*Sales[[#This Row],[Disc %]]</f>
        <v>0</v>
      </c>
      <c r="L1275" s="43">
        <v>0.18</v>
      </c>
      <c r="M1275" s="44">
        <f>(Sales[[#This Row],[Gross Amount]]-Sales[[#This Row],[Disc. Amt.]])*Sales[[#This Row],[GST %]]</f>
        <v>3542.4</v>
      </c>
      <c r="N1275" s="161">
        <f>Sales[[#This Row],[Gross Amount]]-Sales[[#This Row],[Disc. Amt.]]+Sales[[#This Row],[GST Amount]]</f>
        <v>23222.400000000001</v>
      </c>
      <c r="O1275" s="158" t="s">
        <v>3561</v>
      </c>
      <c r="P1275" s="158" t="s">
        <v>3562</v>
      </c>
      <c r="Q1275" s="160">
        <f>IF(Sales[[#This Row],[Status]]="Cancelled",0,Sales[[#This Row],[Qty]])</f>
        <v>2</v>
      </c>
      <c r="R1275" s="161">
        <f>IF(Sales[[#This Row],[Status]]="Cancelled",0,Sales[[#This Row],[Total Amount]])</f>
        <v>23222.400000000001</v>
      </c>
      <c r="S1275" s="162">
        <f>SUM(Sales[Net Amount])</f>
        <v>406839287.73200053</v>
      </c>
    </row>
    <row r="1276" spans="1:19" ht="18.75" x14ac:dyDescent="0.25">
      <c r="A1276" s="163" t="s">
        <v>4875</v>
      </c>
      <c r="B1276" s="164">
        <v>45845</v>
      </c>
      <c r="C1276" s="34" t="s">
        <v>652</v>
      </c>
      <c r="D1276" s="53" t="str">
        <f>VLOOKUP(Sales[[#This Row],[Customer ID]],Customer[#All],2,0)</f>
        <v>Sahil Kumar</v>
      </c>
      <c r="E1276" s="34" t="s">
        <v>35</v>
      </c>
      <c r="F1276" s="34" t="str">
        <f>VLOOKUP(Sales[[#This Row],[Product ID]],Product[#All],2,0)</f>
        <v>Dell Keyboard</v>
      </c>
      <c r="G1276" s="53">
        <v>1</v>
      </c>
      <c r="H1276" s="165">
        <f>VLOOKUP(Sales[[#This Row],[Product ID]],Product[#All],7,0)</f>
        <v>3560</v>
      </c>
      <c r="I1276" s="165">
        <f>Sales[[#This Row],[Selling Rate]]*Sales[[#This Row],[Qty]]</f>
        <v>3560</v>
      </c>
      <c r="J1276" s="45">
        <v>0.02</v>
      </c>
      <c r="K1276" s="46">
        <f>Sales[[#This Row],[Gross Amount]]*Sales[[#This Row],[Disc %]]</f>
        <v>71.2</v>
      </c>
      <c r="L1276" s="43">
        <v>0.18</v>
      </c>
      <c r="M1276" s="46">
        <f>(Sales[[#This Row],[Gross Amount]]-Sales[[#This Row],[Disc. Amt.]])*Sales[[#This Row],[GST %]]</f>
        <v>627.98400000000004</v>
      </c>
      <c r="N1276" s="161">
        <f>Sales[[#This Row],[Gross Amount]]-Sales[[#This Row],[Disc. Amt.]]+Sales[[#This Row],[GST Amount]]</f>
        <v>4116.7840000000006</v>
      </c>
      <c r="O1276" s="34" t="s">
        <v>3569</v>
      </c>
      <c r="P1276" s="34" t="s">
        <v>3562</v>
      </c>
      <c r="Q1276" s="165">
        <f>IF(Sales[[#This Row],[Status]]="Cancelled",0,Sales[[#This Row],[Qty]])</f>
        <v>1</v>
      </c>
      <c r="R1276" s="166">
        <f>IF(Sales[[#This Row],[Status]]="Cancelled",0,Sales[[#This Row],[Total Amount]])</f>
        <v>4116.7840000000006</v>
      </c>
      <c r="S1276" s="162">
        <f>SUM(Sales[Net Amount])</f>
        <v>406839287.73200053</v>
      </c>
    </row>
    <row r="1277" spans="1:19" ht="18.75" x14ac:dyDescent="0.25">
      <c r="A1277" s="156" t="s">
        <v>4876</v>
      </c>
      <c r="B1277" s="157">
        <v>45845</v>
      </c>
      <c r="C1277" s="158" t="s">
        <v>706</v>
      </c>
      <c r="D1277" s="159" t="str">
        <f>VLOOKUP(Sales[[#This Row],[Customer ID]],Customer[#All],2,0)</f>
        <v>Amit Sharma</v>
      </c>
      <c r="E1277" s="158" t="s">
        <v>49</v>
      </c>
      <c r="F1277" s="158" t="str">
        <f>VLOOKUP(Sales[[#This Row],[Product ID]],Product[#All],2,0)</f>
        <v>Boat Headset</v>
      </c>
      <c r="G1277" s="159">
        <v>3</v>
      </c>
      <c r="H1277" s="160">
        <f>VLOOKUP(Sales[[#This Row],[Product ID]],Product[#All],7,0)</f>
        <v>970</v>
      </c>
      <c r="I1277" s="160">
        <f>Sales[[#This Row],[Selling Rate]]*Sales[[#This Row],[Qty]]</f>
        <v>2910</v>
      </c>
      <c r="J1277" s="43">
        <v>0</v>
      </c>
      <c r="K1277" s="44">
        <f>Sales[[#This Row],[Gross Amount]]*Sales[[#This Row],[Disc %]]</f>
        <v>0</v>
      </c>
      <c r="L1277" s="43">
        <v>0.18</v>
      </c>
      <c r="M1277" s="44">
        <f>(Sales[[#This Row],[Gross Amount]]-Sales[[#This Row],[Disc. Amt.]])*Sales[[#This Row],[GST %]]</f>
        <v>523.79999999999995</v>
      </c>
      <c r="N1277" s="161">
        <f>Sales[[#This Row],[Gross Amount]]-Sales[[#This Row],[Disc. Amt.]]+Sales[[#This Row],[GST Amount]]</f>
        <v>3433.8</v>
      </c>
      <c r="O1277" s="158" t="s">
        <v>3561</v>
      </c>
      <c r="P1277" s="158" t="s">
        <v>3562</v>
      </c>
      <c r="Q1277" s="160">
        <f>IF(Sales[[#This Row],[Status]]="Cancelled",0,Sales[[#This Row],[Qty]])</f>
        <v>3</v>
      </c>
      <c r="R1277" s="161">
        <f>IF(Sales[[#This Row],[Status]]="Cancelled",0,Sales[[#This Row],[Total Amount]])</f>
        <v>3433.8</v>
      </c>
      <c r="S1277" s="162">
        <f>SUM(Sales[Net Amount])</f>
        <v>406839287.73200053</v>
      </c>
    </row>
    <row r="1278" spans="1:19" ht="18.75" x14ac:dyDescent="0.25">
      <c r="A1278" s="163" t="s">
        <v>4877</v>
      </c>
      <c r="B1278" s="164">
        <v>45845</v>
      </c>
      <c r="C1278" s="34" t="s">
        <v>777</v>
      </c>
      <c r="D1278" s="53" t="str">
        <f>VLOOKUP(Sales[[#This Row],[Customer ID]],Customer[#All],2,0)</f>
        <v>Neha Sharma</v>
      </c>
      <c r="E1278" s="34" t="s">
        <v>258</v>
      </c>
      <c r="F1278" s="34" t="str">
        <f>VLOOKUP(Sales[[#This Row],[Product ID]],Product[#All],2,0)</f>
        <v>HP Power Adapter</v>
      </c>
      <c r="G1278" s="53">
        <v>5</v>
      </c>
      <c r="H1278" s="165">
        <f>VLOOKUP(Sales[[#This Row],[Product ID]],Product[#All],7,0)</f>
        <v>2370</v>
      </c>
      <c r="I1278" s="165">
        <f>Sales[[#This Row],[Selling Rate]]*Sales[[#This Row],[Qty]]</f>
        <v>11850</v>
      </c>
      <c r="J1278" s="45">
        <v>0.05</v>
      </c>
      <c r="K1278" s="46">
        <f>Sales[[#This Row],[Gross Amount]]*Sales[[#This Row],[Disc %]]</f>
        <v>592.5</v>
      </c>
      <c r="L1278" s="43">
        <v>0.18</v>
      </c>
      <c r="M1278" s="46">
        <f>(Sales[[#This Row],[Gross Amount]]-Sales[[#This Row],[Disc. Amt.]])*Sales[[#This Row],[GST %]]</f>
        <v>2026.35</v>
      </c>
      <c r="N1278" s="161">
        <f>Sales[[#This Row],[Gross Amount]]-Sales[[#This Row],[Disc. Amt.]]+Sales[[#This Row],[GST Amount]]</f>
        <v>13283.85</v>
      </c>
      <c r="O1278" s="34" t="s">
        <v>3561</v>
      </c>
      <c r="P1278" s="34" t="s">
        <v>3562</v>
      </c>
      <c r="Q1278" s="165">
        <f>IF(Sales[[#This Row],[Status]]="Cancelled",0,Sales[[#This Row],[Qty]])</f>
        <v>5</v>
      </c>
      <c r="R1278" s="166">
        <f>IF(Sales[[#This Row],[Status]]="Cancelled",0,Sales[[#This Row],[Total Amount]])</f>
        <v>13283.85</v>
      </c>
      <c r="S1278" s="162">
        <f>SUM(Sales[Net Amount])</f>
        <v>406839287.73200053</v>
      </c>
    </row>
    <row r="1279" spans="1:19" ht="18.75" x14ac:dyDescent="0.25">
      <c r="A1279" s="156" t="s">
        <v>4878</v>
      </c>
      <c r="B1279" s="157">
        <v>45845</v>
      </c>
      <c r="C1279" s="158" t="s">
        <v>843</v>
      </c>
      <c r="D1279" s="159" t="str">
        <f>VLOOKUP(Sales[[#This Row],[Customer ID]],Customer[#All],2,0)</f>
        <v>Amit Verma</v>
      </c>
      <c r="E1279" s="158" t="s">
        <v>460</v>
      </c>
      <c r="F1279" s="158" t="str">
        <f>VLOOKUP(Sales[[#This Row],[Product ID]],Product[#All],2,0)</f>
        <v>Logitech Keyboard</v>
      </c>
      <c r="G1279" s="159">
        <v>4</v>
      </c>
      <c r="H1279" s="160">
        <f>VLOOKUP(Sales[[#This Row],[Product ID]],Product[#All],7,0)</f>
        <v>3050</v>
      </c>
      <c r="I1279" s="160">
        <f>Sales[[#This Row],[Selling Rate]]*Sales[[#This Row],[Qty]]</f>
        <v>12200</v>
      </c>
      <c r="J1279" s="43">
        <v>0</v>
      </c>
      <c r="K1279" s="44">
        <f>Sales[[#This Row],[Gross Amount]]*Sales[[#This Row],[Disc %]]</f>
        <v>0</v>
      </c>
      <c r="L1279" s="43">
        <v>0.18</v>
      </c>
      <c r="M1279" s="44">
        <f>(Sales[[#This Row],[Gross Amount]]-Sales[[#This Row],[Disc. Amt.]])*Sales[[#This Row],[GST %]]</f>
        <v>2196</v>
      </c>
      <c r="N1279" s="161">
        <f>Sales[[#This Row],[Gross Amount]]-Sales[[#This Row],[Disc. Amt.]]+Sales[[#This Row],[GST Amount]]</f>
        <v>14396</v>
      </c>
      <c r="O1279" s="158" t="s">
        <v>3561</v>
      </c>
      <c r="P1279" s="158" t="s">
        <v>3562</v>
      </c>
      <c r="Q1279" s="160">
        <f>IF(Sales[[#This Row],[Status]]="Cancelled",0,Sales[[#This Row],[Qty]])</f>
        <v>4</v>
      </c>
      <c r="R1279" s="161">
        <f>IF(Sales[[#This Row],[Status]]="Cancelled",0,Sales[[#This Row],[Total Amount]])</f>
        <v>14396</v>
      </c>
      <c r="S1279" s="162">
        <f>SUM(Sales[Net Amount])</f>
        <v>406839287.73200053</v>
      </c>
    </row>
    <row r="1280" spans="1:19" ht="18.75" x14ac:dyDescent="0.25">
      <c r="A1280" s="163" t="s">
        <v>4879</v>
      </c>
      <c r="B1280" s="164">
        <v>45845</v>
      </c>
      <c r="C1280" s="34" t="s">
        <v>878</v>
      </c>
      <c r="D1280" s="53" t="str">
        <f>VLOOKUP(Sales[[#This Row],[Customer ID]],Customer[#All],2,0)</f>
        <v>Rahul Singh</v>
      </c>
      <c r="E1280" s="34" t="s">
        <v>75</v>
      </c>
      <c r="F1280" s="34" t="str">
        <f>VLOOKUP(Sales[[#This Row],[Product ID]],Product[#All],2,0)</f>
        <v>Samsung Monitor</v>
      </c>
      <c r="G1280" s="53">
        <v>2</v>
      </c>
      <c r="H1280" s="165">
        <f>VLOOKUP(Sales[[#This Row],[Product ID]],Product[#All],7,0)</f>
        <v>30810</v>
      </c>
      <c r="I1280" s="165">
        <f>Sales[[#This Row],[Selling Rate]]*Sales[[#This Row],[Qty]]</f>
        <v>61620</v>
      </c>
      <c r="J1280" s="45">
        <v>0.05</v>
      </c>
      <c r="K1280" s="46">
        <f>Sales[[#This Row],[Gross Amount]]*Sales[[#This Row],[Disc %]]</f>
        <v>3081</v>
      </c>
      <c r="L1280" s="43">
        <v>0.18</v>
      </c>
      <c r="M1280" s="46">
        <f>(Sales[[#This Row],[Gross Amount]]-Sales[[#This Row],[Disc. Amt.]])*Sales[[#This Row],[GST %]]</f>
        <v>10537.02</v>
      </c>
      <c r="N1280" s="161">
        <f>Sales[[#This Row],[Gross Amount]]-Sales[[#This Row],[Disc. Amt.]]+Sales[[#This Row],[GST Amount]]</f>
        <v>69076.02</v>
      </c>
      <c r="O1280" s="34" t="s">
        <v>3569</v>
      </c>
      <c r="P1280" s="34" t="s">
        <v>3562</v>
      </c>
      <c r="Q1280" s="165">
        <f>IF(Sales[[#This Row],[Status]]="Cancelled",0,Sales[[#This Row],[Qty]])</f>
        <v>2</v>
      </c>
      <c r="R1280" s="166">
        <f>IF(Sales[[#This Row],[Status]]="Cancelled",0,Sales[[#This Row],[Total Amount]])</f>
        <v>69076.02</v>
      </c>
      <c r="S1280" s="162">
        <f>SUM(Sales[Net Amount])</f>
        <v>406839287.73200053</v>
      </c>
    </row>
    <row r="1281" spans="1:19" ht="18.75" x14ac:dyDescent="0.25">
      <c r="A1281" s="156" t="s">
        <v>4880</v>
      </c>
      <c r="B1281" s="157">
        <v>45845</v>
      </c>
      <c r="C1281" s="158" t="s">
        <v>729</v>
      </c>
      <c r="D1281" s="159" t="str">
        <f>VLOOKUP(Sales[[#This Row],[Customer ID]],Customer[#All],2,0)</f>
        <v>Ankit Kumar</v>
      </c>
      <c r="E1281" s="158" t="s">
        <v>264</v>
      </c>
      <c r="F1281" s="158" t="str">
        <f>VLOOKUP(Sales[[#This Row],[Product ID]],Product[#All],2,0)</f>
        <v>Acer Laptop</v>
      </c>
      <c r="G1281" s="159">
        <v>7</v>
      </c>
      <c r="H1281" s="160">
        <f>VLOOKUP(Sales[[#This Row],[Product ID]],Product[#All],7,0)</f>
        <v>65110</v>
      </c>
      <c r="I1281" s="160">
        <f>Sales[[#This Row],[Selling Rate]]*Sales[[#This Row],[Qty]]</f>
        <v>455770</v>
      </c>
      <c r="J1281" s="43">
        <v>0.15</v>
      </c>
      <c r="K1281" s="44">
        <f>Sales[[#This Row],[Gross Amount]]*Sales[[#This Row],[Disc %]]</f>
        <v>68365.5</v>
      </c>
      <c r="L1281" s="43">
        <v>0.18</v>
      </c>
      <c r="M1281" s="44">
        <f>(Sales[[#This Row],[Gross Amount]]-Sales[[#This Row],[Disc. Amt.]])*Sales[[#This Row],[GST %]]</f>
        <v>69732.81</v>
      </c>
      <c r="N1281" s="161">
        <f>Sales[[#This Row],[Gross Amount]]-Sales[[#This Row],[Disc. Amt.]]+Sales[[#This Row],[GST Amount]]</f>
        <v>457137.31</v>
      </c>
      <c r="O1281" s="158" t="s">
        <v>3569</v>
      </c>
      <c r="P1281" s="158" t="s">
        <v>3562</v>
      </c>
      <c r="Q1281" s="160">
        <f>IF(Sales[[#This Row],[Status]]="Cancelled",0,Sales[[#This Row],[Qty]])</f>
        <v>7</v>
      </c>
      <c r="R1281" s="161">
        <f>IF(Sales[[#This Row],[Status]]="Cancelled",0,Sales[[#This Row],[Total Amount]])</f>
        <v>457137.31</v>
      </c>
      <c r="S1281" s="162">
        <f>SUM(Sales[Net Amount])</f>
        <v>406839287.73200053</v>
      </c>
    </row>
    <row r="1282" spans="1:19" ht="18.75" x14ac:dyDescent="0.25">
      <c r="A1282" s="163" t="s">
        <v>4881</v>
      </c>
      <c r="B1282" s="164">
        <v>45845</v>
      </c>
      <c r="C1282" s="34" t="s">
        <v>788</v>
      </c>
      <c r="D1282" s="53" t="str">
        <f>VLOOKUP(Sales[[#This Row],[Customer ID]],Customer[#All],2,0)</f>
        <v>Vikas Kumar</v>
      </c>
      <c r="E1282" s="34" t="s">
        <v>161</v>
      </c>
      <c r="F1282" s="34" t="str">
        <f>VLOOKUP(Sales[[#This Row],[Product ID]],Product[#All],2,0)</f>
        <v>TP-link Router</v>
      </c>
      <c r="G1282" s="53">
        <v>3</v>
      </c>
      <c r="H1282" s="165">
        <f>VLOOKUP(Sales[[#This Row],[Product ID]],Product[#All],7,0)</f>
        <v>1330</v>
      </c>
      <c r="I1282" s="165">
        <f>Sales[[#This Row],[Selling Rate]]*Sales[[#This Row],[Qty]]</f>
        <v>3990</v>
      </c>
      <c r="J1282" s="45">
        <v>0.05</v>
      </c>
      <c r="K1282" s="46">
        <f>Sales[[#This Row],[Gross Amount]]*Sales[[#This Row],[Disc %]]</f>
        <v>199.5</v>
      </c>
      <c r="L1282" s="43">
        <v>0.18</v>
      </c>
      <c r="M1282" s="46">
        <f>(Sales[[#This Row],[Gross Amount]]-Sales[[#This Row],[Disc. Amt.]])*Sales[[#This Row],[GST %]]</f>
        <v>682.29</v>
      </c>
      <c r="N1282" s="161">
        <f>Sales[[#This Row],[Gross Amount]]-Sales[[#This Row],[Disc. Amt.]]+Sales[[#This Row],[GST Amount]]</f>
        <v>4472.79</v>
      </c>
      <c r="O1282" s="34" t="s">
        <v>8876</v>
      </c>
      <c r="P1282" s="34" t="s">
        <v>3562</v>
      </c>
      <c r="Q1282" s="165">
        <f>IF(Sales[[#This Row],[Status]]="Cancelled",0,Sales[[#This Row],[Qty]])</f>
        <v>3</v>
      </c>
      <c r="R1282" s="166">
        <f>IF(Sales[[#This Row],[Status]]="Cancelled",0,Sales[[#This Row],[Total Amount]])</f>
        <v>4472.79</v>
      </c>
      <c r="S1282" s="162">
        <f>SUM(Sales[Net Amount])</f>
        <v>406839287.73200053</v>
      </c>
    </row>
    <row r="1283" spans="1:19" ht="18.75" x14ac:dyDescent="0.25">
      <c r="A1283" s="156" t="s">
        <v>4882</v>
      </c>
      <c r="B1283" s="157">
        <v>45845</v>
      </c>
      <c r="C1283" s="158" t="s">
        <v>656</v>
      </c>
      <c r="D1283" s="159" t="str">
        <f>VLOOKUP(Sales[[#This Row],[Customer ID]],Customer[#All],2,0)</f>
        <v>Rahul Kumar</v>
      </c>
      <c r="E1283" s="158" t="s">
        <v>269</v>
      </c>
      <c r="F1283" s="158" t="str">
        <f>VLOOKUP(Sales[[#This Row],[Product ID]],Product[#All],2,0)</f>
        <v>Dell Monitor</v>
      </c>
      <c r="G1283" s="159">
        <v>7</v>
      </c>
      <c r="H1283" s="160">
        <f>VLOOKUP(Sales[[#This Row],[Product ID]],Product[#All],7,0)</f>
        <v>11390</v>
      </c>
      <c r="I1283" s="160">
        <f>Sales[[#This Row],[Selling Rate]]*Sales[[#This Row],[Qty]]</f>
        <v>79730</v>
      </c>
      <c r="J1283" s="43">
        <v>0.05</v>
      </c>
      <c r="K1283" s="44">
        <f>Sales[[#This Row],[Gross Amount]]*Sales[[#This Row],[Disc %]]</f>
        <v>3986.5</v>
      </c>
      <c r="L1283" s="43">
        <v>0.18</v>
      </c>
      <c r="M1283" s="44">
        <f>(Sales[[#This Row],[Gross Amount]]-Sales[[#This Row],[Disc. Amt.]])*Sales[[#This Row],[GST %]]</f>
        <v>13633.83</v>
      </c>
      <c r="N1283" s="161">
        <f>Sales[[#This Row],[Gross Amount]]-Sales[[#This Row],[Disc. Amt.]]+Sales[[#This Row],[GST Amount]]</f>
        <v>89377.33</v>
      </c>
      <c r="O1283" s="158" t="s">
        <v>3569</v>
      </c>
      <c r="P1283" s="158" t="s">
        <v>3562</v>
      </c>
      <c r="Q1283" s="160">
        <f>IF(Sales[[#This Row],[Status]]="Cancelled",0,Sales[[#This Row],[Qty]])</f>
        <v>7</v>
      </c>
      <c r="R1283" s="161">
        <f>IF(Sales[[#This Row],[Status]]="Cancelled",0,Sales[[#This Row],[Total Amount]])</f>
        <v>89377.33</v>
      </c>
      <c r="S1283" s="162">
        <f>SUM(Sales[Net Amount])</f>
        <v>406839287.73200053</v>
      </c>
    </row>
    <row r="1284" spans="1:19" ht="18.75" x14ac:dyDescent="0.25">
      <c r="A1284" s="163" t="s">
        <v>4883</v>
      </c>
      <c r="B1284" s="164">
        <v>45845</v>
      </c>
      <c r="C1284" s="34" t="s">
        <v>881</v>
      </c>
      <c r="D1284" s="53" t="str">
        <f>VLOOKUP(Sales[[#This Row],[Customer ID]],Customer[#All],2,0)</f>
        <v>Vikas Verma</v>
      </c>
      <c r="E1284" s="34" t="s">
        <v>290</v>
      </c>
      <c r="F1284" s="34" t="str">
        <f>VLOOKUP(Sales[[#This Row],[Product ID]],Product[#All],2,0)</f>
        <v>Crucial Ssd</v>
      </c>
      <c r="G1284" s="53">
        <v>8</v>
      </c>
      <c r="H1284" s="165">
        <f>VLOOKUP(Sales[[#This Row],[Product ID]],Product[#All],7,0)</f>
        <v>7650</v>
      </c>
      <c r="I1284" s="165">
        <f>Sales[[#This Row],[Selling Rate]]*Sales[[#This Row],[Qty]]</f>
        <v>61200</v>
      </c>
      <c r="J1284" s="45">
        <v>0.15</v>
      </c>
      <c r="K1284" s="46">
        <f>Sales[[#This Row],[Gross Amount]]*Sales[[#This Row],[Disc %]]</f>
        <v>9180</v>
      </c>
      <c r="L1284" s="43">
        <v>0.18</v>
      </c>
      <c r="M1284" s="46">
        <f>(Sales[[#This Row],[Gross Amount]]-Sales[[#This Row],[Disc. Amt.]])*Sales[[#This Row],[GST %]]</f>
        <v>9363.6</v>
      </c>
      <c r="N1284" s="161">
        <f>Sales[[#This Row],[Gross Amount]]-Sales[[#This Row],[Disc. Amt.]]+Sales[[#This Row],[GST Amount]]</f>
        <v>61383.6</v>
      </c>
      <c r="O1284" s="34" t="s">
        <v>3566</v>
      </c>
      <c r="P1284" s="34" t="s">
        <v>3562</v>
      </c>
      <c r="Q1284" s="165">
        <f>IF(Sales[[#This Row],[Status]]="Cancelled",0,Sales[[#This Row],[Qty]])</f>
        <v>8</v>
      </c>
      <c r="R1284" s="166">
        <f>IF(Sales[[#This Row],[Status]]="Cancelled",0,Sales[[#This Row],[Total Amount]])</f>
        <v>61383.6</v>
      </c>
      <c r="S1284" s="162">
        <f>SUM(Sales[Net Amount])</f>
        <v>406839287.73200053</v>
      </c>
    </row>
    <row r="1285" spans="1:19" ht="18.75" x14ac:dyDescent="0.25">
      <c r="A1285" s="156" t="s">
        <v>4884</v>
      </c>
      <c r="B1285" s="157">
        <v>45845</v>
      </c>
      <c r="C1285" s="158" t="s">
        <v>4885</v>
      </c>
      <c r="D1285" s="159" t="str">
        <f>VLOOKUP(Sales[[#This Row],[Customer ID]],Customer[#All],2,0)</f>
        <v>Rakesh Patel</v>
      </c>
      <c r="E1285" s="158" t="s">
        <v>215</v>
      </c>
      <c r="F1285" s="158" t="str">
        <f>VLOOKUP(Sales[[#This Row],[Product ID]],Product[#All],2,0)</f>
        <v>Apc UPS</v>
      </c>
      <c r="G1285" s="159">
        <v>7</v>
      </c>
      <c r="H1285" s="160">
        <f>VLOOKUP(Sales[[#This Row],[Product ID]],Product[#All],7,0)</f>
        <v>10210</v>
      </c>
      <c r="I1285" s="160">
        <f>Sales[[#This Row],[Selling Rate]]*Sales[[#This Row],[Qty]]</f>
        <v>71470</v>
      </c>
      <c r="J1285" s="43">
        <v>0.05</v>
      </c>
      <c r="K1285" s="44">
        <f>Sales[[#This Row],[Gross Amount]]*Sales[[#This Row],[Disc %]]</f>
        <v>3573.5</v>
      </c>
      <c r="L1285" s="43">
        <v>0.18</v>
      </c>
      <c r="M1285" s="44">
        <f>(Sales[[#This Row],[Gross Amount]]-Sales[[#This Row],[Disc. Amt.]])*Sales[[#This Row],[GST %]]</f>
        <v>12221.369999999999</v>
      </c>
      <c r="N1285" s="161">
        <f>Sales[[#This Row],[Gross Amount]]-Sales[[#This Row],[Disc. Amt.]]+Sales[[#This Row],[GST Amount]]</f>
        <v>80117.87</v>
      </c>
      <c r="O1285" s="158" t="s">
        <v>3569</v>
      </c>
      <c r="P1285" s="158" t="s">
        <v>3562</v>
      </c>
      <c r="Q1285" s="160">
        <f>IF(Sales[[#This Row],[Status]]="Cancelled",0,Sales[[#This Row],[Qty]])</f>
        <v>7</v>
      </c>
      <c r="R1285" s="161">
        <f>IF(Sales[[#This Row],[Status]]="Cancelled",0,Sales[[#This Row],[Total Amount]])</f>
        <v>80117.87</v>
      </c>
      <c r="S1285" s="162">
        <f>SUM(Sales[Net Amount])</f>
        <v>406839287.73200053</v>
      </c>
    </row>
    <row r="1286" spans="1:19" ht="18.75" x14ac:dyDescent="0.25">
      <c r="A1286" s="163" t="s">
        <v>4886</v>
      </c>
      <c r="B1286" s="164">
        <v>45845</v>
      </c>
      <c r="C1286" s="34" t="s">
        <v>902</v>
      </c>
      <c r="D1286" s="53" t="str">
        <f>VLOOKUP(Sales[[#This Row],[Customer ID]],Customer[#All],2,0)</f>
        <v>Sunita Singh</v>
      </c>
      <c r="E1286" s="34" t="s">
        <v>139</v>
      </c>
      <c r="F1286" s="34" t="str">
        <f>VLOOKUP(Sales[[#This Row],[Product ID]],Product[#All],2,0)</f>
        <v>HP Printer</v>
      </c>
      <c r="G1286" s="53">
        <v>6</v>
      </c>
      <c r="H1286" s="165">
        <f>VLOOKUP(Sales[[#This Row],[Product ID]],Product[#All],7,0)</f>
        <v>25260</v>
      </c>
      <c r="I1286" s="165">
        <f>Sales[[#This Row],[Selling Rate]]*Sales[[#This Row],[Qty]]</f>
        <v>151560</v>
      </c>
      <c r="J1286" s="45">
        <v>0.15</v>
      </c>
      <c r="K1286" s="46">
        <f>Sales[[#This Row],[Gross Amount]]*Sales[[#This Row],[Disc %]]</f>
        <v>22734</v>
      </c>
      <c r="L1286" s="43">
        <v>0.18</v>
      </c>
      <c r="M1286" s="46">
        <f>(Sales[[#This Row],[Gross Amount]]-Sales[[#This Row],[Disc. Amt.]])*Sales[[#This Row],[GST %]]</f>
        <v>23188.68</v>
      </c>
      <c r="N1286" s="161">
        <f>Sales[[#This Row],[Gross Amount]]-Sales[[#This Row],[Disc. Amt.]]+Sales[[#This Row],[GST Amount]]</f>
        <v>152014.68</v>
      </c>
      <c r="O1286" s="34" t="s">
        <v>3569</v>
      </c>
      <c r="P1286" s="34" t="s">
        <v>3562</v>
      </c>
      <c r="Q1286" s="165">
        <f>IF(Sales[[#This Row],[Status]]="Cancelled",0,Sales[[#This Row],[Qty]])</f>
        <v>6</v>
      </c>
      <c r="R1286" s="166">
        <f>IF(Sales[[#This Row],[Status]]="Cancelled",0,Sales[[#This Row],[Total Amount]])</f>
        <v>152014.68</v>
      </c>
      <c r="S1286" s="162">
        <f>SUM(Sales[Net Amount])</f>
        <v>406839287.73200053</v>
      </c>
    </row>
    <row r="1287" spans="1:19" ht="18.75" x14ac:dyDescent="0.25">
      <c r="A1287" s="156" t="s">
        <v>4887</v>
      </c>
      <c r="B1287" s="157">
        <v>45845</v>
      </c>
      <c r="C1287" s="158" t="s">
        <v>854</v>
      </c>
      <c r="D1287" s="159" t="str">
        <f>VLOOKUP(Sales[[#This Row],[Customer ID]],Customer[#All],2,0)</f>
        <v>Neha Sharma</v>
      </c>
      <c r="E1287" s="158" t="s">
        <v>209</v>
      </c>
      <c r="F1287" s="158" t="str">
        <f>VLOOKUP(Sales[[#This Row],[Product ID]],Product[#All],2,0)</f>
        <v>HP Laptop</v>
      </c>
      <c r="G1287" s="159">
        <v>7</v>
      </c>
      <c r="H1287" s="160">
        <f>VLOOKUP(Sales[[#This Row],[Product ID]],Product[#All],7,0)</f>
        <v>60780</v>
      </c>
      <c r="I1287" s="160">
        <f>Sales[[#This Row],[Selling Rate]]*Sales[[#This Row],[Qty]]</f>
        <v>425460</v>
      </c>
      <c r="J1287" s="43">
        <v>0.05</v>
      </c>
      <c r="K1287" s="44">
        <f>Sales[[#This Row],[Gross Amount]]*Sales[[#This Row],[Disc %]]</f>
        <v>21273</v>
      </c>
      <c r="L1287" s="43">
        <v>0.18</v>
      </c>
      <c r="M1287" s="44">
        <f>(Sales[[#This Row],[Gross Amount]]-Sales[[#This Row],[Disc. Amt.]])*Sales[[#This Row],[GST %]]</f>
        <v>72753.66</v>
      </c>
      <c r="N1287" s="161">
        <f>Sales[[#This Row],[Gross Amount]]-Sales[[#This Row],[Disc. Amt.]]+Sales[[#This Row],[GST Amount]]</f>
        <v>476940.66000000003</v>
      </c>
      <c r="O1287" s="158" t="s">
        <v>8876</v>
      </c>
      <c r="P1287" s="158" t="s">
        <v>3562</v>
      </c>
      <c r="Q1287" s="160">
        <f>IF(Sales[[#This Row],[Status]]="Cancelled",0,Sales[[#This Row],[Qty]])</f>
        <v>7</v>
      </c>
      <c r="R1287" s="161">
        <f>IF(Sales[[#This Row],[Status]]="Cancelled",0,Sales[[#This Row],[Total Amount]])</f>
        <v>476940.66000000003</v>
      </c>
      <c r="S1287" s="162">
        <f>SUM(Sales[Net Amount])</f>
        <v>406839287.73200053</v>
      </c>
    </row>
    <row r="1288" spans="1:19" ht="18.75" x14ac:dyDescent="0.25">
      <c r="A1288" s="163" t="s">
        <v>4888</v>
      </c>
      <c r="B1288" s="164">
        <v>45845</v>
      </c>
      <c r="C1288" s="34" t="s">
        <v>844</v>
      </c>
      <c r="D1288" s="53" t="str">
        <f>VLOOKUP(Sales[[#This Row],[Customer ID]],Customer[#All],2,0)</f>
        <v>Rahul Sharma</v>
      </c>
      <c r="E1288" s="34" t="s">
        <v>491</v>
      </c>
      <c r="F1288" s="34" t="str">
        <f>VLOOKUP(Sales[[#This Row],[Product ID]],Product[#All],2,0)</f>
        <v>Boat Speaker</v>
      </c>
      <c r="G1288" s="53">
        <v>5</v>
      </c>
      <c r="H1288" s="165">
        <f>VLOOKUP(Sales[[#This Row],[Product ID]],Product[#All],7,0)</f>
        <v>2300</v>
      </c>
      <c r="I1288" s="165">
        <f>Sales[[#This Row],[Selling Rate]]*Sales[[#This Row],[Qty]]</f>
        <v>11500</v>
      </c>
      <c r="J1288" s="45">
        <v>0.05</v>
      </c>
      <c r="K1288" s="46">
        <f>Sales[[#This Row],[Gross Amount]]*Sales[[#This Row],[Disc %]]</f>
        <v>575</v>
      </c>
      <c r="L1288" s="43">
        <v>0.18</v>
      </c>
      <c r="M1288" s="46">
        <f>(Sales[[#This Row],[Gross Amount]]-Sales[[#This Row],[Disc. Amt.]])*Sales[[#This Row],[GST %]]</f>
        <v>1966.5</v>
      </c>
      <c r="N1288" s="161">
        <f>Sales[[#This Row],[Gross Amount]]-Sales[[#This Row],[Disc. Amt.]]+Sales[[#This Row],[GST Amount]]</f>
        <v>12891.5</v>
      </c>
      <c r="O1288" s="34" t="s">
        <v>8876</v>
      </c>
      <c r="P1288" s="34" t="s">
        <v>3562</v>
      </c>
      <c r="Q1288" s="165">
        <f>IF(Sales[[#This Row],[Status]]="Cancelled",0,Sales[[#This Row],[Qty]])</f>
        <v>5</v>
      </c>
      <c r="R1288" s="166">
        <f>IF(Sales[[#This Row],[Status]]="Cancelled",0,Sales[[#This Row],[Total Amount]])</f>
        <v>12891.5</v>
      </c>
      <c r="S1288" s="162">
        <f>SUM(Sales[Net Amount])</f>
        <v>406839287.73200053</v>
      </c>
    </row>
    <row r="1289" spans="1:19" ht="18.75" x14ac:dyDescent="0.25">
      <c r="A1289" s="156" t="s">
        <v>4889</v>
      </c>
      <c r="B1289" s="157">
        <v>45845</v>
      </c>
      <c r="C1289" s="158" t="s">
        <v>807</v>
      </c>
      <c r="D1289" s="159" t="str">
        <f>VLOOKUP(Sales[[#This Row],[Customer ID]],Customer[#All],2,0)</f>
        <v>Rakesh Patel</v>
      </c>
      <c r="E1289" s="158" t="s">
        <v>84</v>
      </c>
      <c r="F1289" s="158" t="str">
        <f>VLOOKUP(Sales[[#This Row],[Product ID]],Product[#All],2,0)</f>
        <v>HP Mouse</v>
      </c>
      <c r="G1289" s="159">
        <v>5</v>
      </c>
      <c r="H1289" s="160">
        <f>VLOOKUP(Sales[[#This Row],[Product ID]],Product[#All],7,0)</f>
        <v>1240</v>
      </c>
      <c r="I1289" s="160">
        <f>Sales[[#This Row],[Selling Rate]]*Sales[[#This Row],[Qty]]</f>
        <v>6200</v>
      </c>
      <c r="J1289" s="43">
        <v>0.05</v>
      </c>
      <c r="K1289" s="44">
        <f>Sales[[#This Row],[Gross Amount]]*Sales[[#This Row],[Disc %]]</f>
        <v>310</v>
      </c>
      <c r="L1289" s="43">
        <v>0.18</v>
      </c>
      <c r="M1289" s="44">
        <f>(Sales[[#This Row],[Gross Amount]]-Sales[[#This Row],[Disc. Amt.]])*Sales[[#This Row],[GST %]]</f>
        <v>1060.2</v>
      </c>
      <c r="N1289" s="161">
        <f>Sales[[#This Row],[Gross Amount]]-Sales[[#This Row],[Disc. Amt.]]+Sales[[#This Row],[GST Amount]]</f>
        <v>6950.2</v>
      </c>
      <c r="O1289" s="158" t="s">
        <v>3566</v>
      </c>
      <c r="P1289" s="158" t="s">
        <v>3562</v>
      </c>
      <c r="Q1289" s="160">
        <f>IF(Sales[[#This Row],[Status]]="Cancelled",0,Sales[[#This Row],[Qty]])</f>
        <v>5</v>
      </c>
      <c r="R1289" s="161">
        <f>IF(Sales[[#This Row],[Status]]="Cancelled",0,Sales[[#This Row],[Total Amount]])</f>
        <v>6950.2</v>
      </c>
      <c r="S1289" s="162">
        <f>SUM(Sales[Net Amount])</f>
        <v>406839287.73200053</v>
      </c>
    </row>
    <row r="1290" spans="1:19" ht="18.75" x14ac:dyDescent="0.25">
      <c r="A1290" s="163" t="s">
        <v>4890</v>
      </c>
      <c r="B1290" s="164">
        <v>45845</v>
      </c>
      <c r="C1290" s="34" t="s">
        <v>667</v>
      </c>
      <c r="D1290" s="53" t="str">
        <f>VLOOKUP(Sales[[#This Row],[Customer ID]],Customer[#All],2,0)</f>
        <v>Neha Gupta</v>
      </c>
      <c r="E1290" s="34" t="s">
        <v>149</v>
      </c>
      <c r="F1290" s="34" t="str">
        <f>VLOOKUP(Sales[[#This Row],[Product ID]],Product[#All],2,0)</f>
        <v>Jbl Headset</v>
      </c>
      <c r="G1290" s="53">
        <v>2</v>
      </c>
      <c r="H1290" s="165">
        <f>VLOOKUP(Sales[[#This Row],[Product ID]],Product[#All],7,0)</f>
        <v>6520</v>
      </c>
      <c r="I1290" s="165">
        <f>Sales[[#This Row],[Selling Rate]]*Sales[[#This Row],[Qty]]</f>
        <v>13040</v>
      </c>
      <c r="J1290" s="45">
        <v>0.05</v>
      </c>
      <c r="K1290" s="46">
        <f>Sales[[#This Row],[Gross Amount]]*Sales[[#This Row],[Disc %]]</f>
        <v>652</v>
      </c>
      <c r="L1290" s="43">
        <v>0.18</v>
      </c>
      <c r="M1290" s="46">
        <f>(Sales[[#This Row],[Gross Amount]]-Sales[[#This Row],[Disc. Amt.]])*Sales[[#This Row],[GST %]]</f>
        <v>2229.8399999999997</v>
      </c>
      <c r="N1290" s="161">
        <f>Sales[[#This Row],[Gross Amount]]-Sales[[#This Row],[Disc. Amt.]]+Sales[[#This Row],[GST Amount]]</f>
        <v>14617.84</v>
      </c>
      <c r="O1290" s="34" t="s">
        <v>3561</v>
      </c>
      <c r="P1290" s="34" t="s">
        <v>3562</v>
      </c>
      <c r="Q1290" s="165">
        <f>IF(Sales[[#This Row],[Status]]="Cancelled",0,Sales[[#This Row],[Qty]])</f>
        <v>2</v>
      </c>
      <c r="R1290" s="166">
        <f>IF(Sales[[#This Row],[Status]]="Cancelled",0,Sales[[#This Row],[Total Amount]])</f>
        <v>14617.84</v>
      </c>
      <c r="S1290" s="162">
        <f>SUM(Sales[Net Amount])</f>
        <v>406839287.73200053</v>
      </c>
    </row>
    <row r="1291" spans="1:19" ht="18.75" x14ac:dyDescent="0.25">
      <c r="A1291" s="156" t="s">
        <v>4891</v>
      </c>
      <c r="B1291" s="157">
        <v>45845</v>
      </c>
      <c r="C1291" s="158" t="s">
        <v>728</v>
      </c>
      <c r="D1291" s="159" t="str">
        <f>VLOOKUP(Sales[[#This Row],[Customer ID]],Customer[#All],2,0)</f>
        <v>Rahul Gupta</v>
      </c>
      <c r="E1291" s="158" t="s">
        <v>251</v>
      </c>
      <c r="F1291" s="158" t="str">
        <f>VLOOKUP(Sales[[#This Row],[Product ID]],Product[#All],2,0)</f>
        <v>Corsair Ram</v>
      </c>
      <c r="G1291" s="159">
        <v>2</v>
      </c>
      <c r="H1291" s="160">
        <f>VLOOKUP(Sales[[#This Row],[Product ID]],Product[#All],7,0)</f>
        <v>2890</v>
      </c>
      <c r="I1291" s="160">
        <f>Sales[[#This Row],[Selling Rate]]*Sales[[#This Row],[Qty]]</f>
        <v>5780</v>
      </c>
      <c r="J1291" s="43">
        <v>0.15</v>
      </c>
      <c r="K1291" s="44">
        <f>Sales[[#This Row],[Gross Amount]]*Sales[[#This Row],[Disc %]]</f>
        <v>867</v>
      </c>
      <c r="L1291" s="43">
        <v>0.18</v>
      </c>
      <c r="M1291" s="44">
        <f>(Sales[[#This Row],[Gross Amount]]-Sales[[#This Row],[Disc. Amt.]])*Sales[[#This Row],[GST %]]</f>
        <v>884.33999999999992</v>
      </c>
      <c r="N1291" s="161">
        <f>Sales[[#This Row],[Gross Amount]]-Sales[[#This Row],[Disc. Amt.]]+Sales[[#This Row],[GST Amount]]</f>
        <v>5797.34</v>
      </c>
      <c r="O1291" s="158" t="s">
        <v>3561</v>
      </c>
      <c r="P1291" s="158" t="s">
        <v>3562</v>
      </c>
      <c r="Q1291" s="160">
        <f>IF(Sales[[#This Row],[Status]]="Cancelled",0,Sales[[#This Row],[Qty]])</f>
        <v>2</v>
      </c>
      <c r="R1291" s="161">
        <f>IF(Sales[[#This Row],[Status]]="Cancelled",0,Sales[[#This Row],[Total Amount]])</f>
        <v>5797.34</v>
      </c>
      <c r="S1291" s="162">
        <f>SUM(Sales[Net Amount])</f>
        <v>406839287.73200053</v>
      </c>
    </row>
    <row r="1292" spans="1:19" ht="18.75" x14ac:dyDescent="0.25">
      <c r="A1292" s="163" t="s">
        <v>4892</v>
      </c>
      <c r="B1292" s="164">
        <v>45845</v>
      </c>
      <c r="C1292" s="34" t="s">
        <v>693</v>
      </c>
      <c r="D1292" s="53" t="str">
        <f>VLOOKUP(Sales[[#This Row],[Customer ID]],Customer[#All],2,0)</f>
        <v>Rahul Gupta</v>
      </c>
      <c r="E1292" s="34" t="s">
        <v>321</v>
      </c>
      <c r="F1292" s="34" t="str">
        <f>VLOOKUP(Sales[[#This Row],[Product ID]],Product[#All],2,0)</f>
        <v>WD HDD</v>
      </c>
      <c r="G1292" s="53">
        <v>4</v>
      </c>
      <c r="H1292" s="165">
        <f>VLOOKUP(Sales[[#This Row],[Product ID]],Product[#All],7,0)</f>
        <v>6810</v>
      </c>
      <c r="I1292" s="165">
        <f>Sales[[#This Row],[Selling Rate]]*Sales[[#This Row],[Qty]]</f>
        <v>27240</v>
      </c>
      <c r="J1292" s="45">
        <v>0</v>
      </c>
      <c r="K1292" s="46">
        <f>Sales[[#This Row],[Gross Amount]]*Sales[[#This Row],[Disc %]]</f>
        <v>0</v>
      </c>
      <c r="L1292" s="43">
        <v>0.18</v>
      </c>
      <c r="M1292" s="46">
        <f>(Sales[[#This Row],[Gross Amount]]-Sales[[#This Row],[Disc. Amt.]])*Sales[[#This Row],[GST %]]</f>
        <v>4903.2</v>
      </c>
      <c r="N1292" s="161">
        <f>Sales[[#This Row],[Gross Amount]]-Sales[[#This Row],[Disc. Amt.]]+Sales[[#This Row],[GST Amount]]</f>
        <v>32143.200000000001</v>
      </c>
      <c r="O1292" s="34" t="s">
        <v>8876</v>
      </c>
      <c r="P1292" s="34" t="s">
        <v>3562</v>
      </c>
      <c r="Q1292" s="165">
        <f>IF(Sales[[#This Row],[Status]]="Cancelled",0,Sales[[#This Row],[Qty]])</f>
        <v>4</v>
      </c>
      <c r="R1292" s="166">
        <f>IF(Sales[[#This Row],[Status]]="Cancelled",0,Sales[[#This Row],[Total Amount]])</f>
        <v>32143.200000000001</v>
      </c>
      <c r="S1292" s="162">
        <f>SUM(Sales[Net Amount])</f>
        <v>406839287.73200053</v>
      </c>
    </row>
    <row r="1293" spans="1:19" ht="18.75" x14ac:dyDescent="0.25">
      <c r="A1293" s="156" t="s">
        <v>4893</v>
      </c>
      <c r="B1293" s="157">
        <v>45845</v>
      </c>
      <c r="C1293" s="158" t="s">
        <v>904</v>
      </c>
      <c r="D1293" s="159" t="str">
        <f>VLOOKUP(Sales[[#This Row],[Customer ID]],Customer[#All],2,0)</f>
        <v>Sahil Patel</v>
      </c>
      <c r="E1293" s="158" t="s">
        <v>418</v>
      </c>
      <c r="F1293" s="158" t="str">
        <f>VLOOKUP(Sales[[#This Row],[Product ID]],Product[#All],2,0)</f>
        <v>TP-link Router</v>
      </c>
      <c r="G1293" s="159">
        <v>4</v>
      </c>
      <c r="H1293" s="160">
        <f>VLOOKUP(Sales[[#This Row],[Product ID]],Product[#All],7,0)</f>
        <v>6750</v>
      </c>
      <c r="I1293" s="160">
        <f>Sales[[#This Row],[Selling Rate]]*Sales[[#This Row],[Qty]]</f>
        <v>27000</v>
      </c>
      <c r="J1293" s="43">
        <v>0.05</v>
      </c>
      <c r="K1293" s="44">
        <f>Sales[[#This Row],[Gross Amount]]*Sales[[#This Row],[Disc %]]</f>
        <v>1350</v>
      </c>
      <c r="L1293" s="43">
        <v>0.18</v>
      </c>
      <c r="M1293" s="44">
        <f>(Sales[[#This Row],[Gross Amount]]-Sales[[#This Row],[Disc. Amt.]])*Sales[[#This Row],[GST %]]</f>
        <v>4617</v>
      </c>
      <c r="N1293" s="161">
        <f>Sales[[#This Row],[Gross Amount]]-Sales[[#This Row],[Disc. Amt.]]+Sales[[#This Row],[GST Amount]]</f>
        <v>30267</v>
      </c>
      <c r="O1293" s="158" t="s">
        <v>3566</v>
      </c>
      <c r="P1293" s="158" t="s">
        <v>3562</v>
      </c>
      <c r="Q1293" s="160">
        <f>IF(Sales[[#This Row],[Status]]="Cancelled",0,Sales[[#This Row],[Qty]])</f>
        <v>4</v>
      </c>
      <c r="R1293" s="161">
        <f>IF(Sales[[#This Row],[Status]]="Cancelled",0,Sales[[#This Row],[Total Amount]])</f>
        <v>30267</v>
      </c>
      <c r="S1293" s="162">
        <f>SUM(Sales[Net Amount])</f>
        <v>406839287.73200053</v>
      </c>
    </row>
    <row r="1294" spans="1:19" ht="18.75" x14ac:dyDescent="0.25">
      <c r="A1294" s="163" t="s">
        <v>4894</v>
      </c>
      <c r="B1294" s="164">
        <v>45845</v>
      </c>
      <c r="C1294" s="34" t="s">
        <v>695</v>
      </c>
      <c r="D1294" s="53" t="str">
        <f>VLOOKUP(Sales[[#This Row],[Customer ID]],Customer[#All],2,0)</f>
        <v>Rahul Kumar</v>
      </c>
      <c r="E1294" s="34" t="s">
        <v>537</v>
      </c>
      <c r="F1294" s="34" t="str">
        <f>VLOOKUP(Sales[[#This Row],[Product ID]],Product[#All],2,0)</f>
        <v>Dell Laptop</v>
      </c>
      <c r="G1294" s="53">
        <v>2</v>
      </c>
      <c r="H1294" s="165">
        <f>VLOOKUP(Sales[[#This Row],[Product ID]],Product[#All],7,0)</f>
        <v>90420</v>
      </c>
      <c r="I1294" s="165">
        <f>Sales[[#This Row],[Selling Rate]]*Sales[[#This Row],[Qty]]</f>
        <v>180840</v>
      </c>
      <c r="J1294" s="45">
        <v>0</v>
      </c>
      <c r="K1294" s="46">
        <f>Sales[[#This Row],[Gross Amount]]*Sales[[#This Row],[Disc %]]</f>
        <v>0</v>
      </c>
      <c r="L1294" s="43">
        <v>0.18</v>
      </c>
      <c r="M1294" s="46">
        <f>(Sales[[#This Row],[Gross Amount]]-Sales[[#This Row],[Disc. Amt.]])*Sales[[#This Row],[GST %]]</f>
        <v>32551.199999999997</v>
      </c>
      <c r="N1294" s="161">
        <f>Sales[[#This Row],[Gross Amount]]-Sales[[#This Row],[Disc. Amt.]]+Sales[[#This Row],[GST Amount]]</f>
        <v>213391.2</v>
      </c>
      <c r="O1294" s="34" t="s">
        <v>8876</v>
      </c>
      <c r="P1294" s="34" t="s">
        <v>3562</v>
      </c>
      <c r="Q1294" s="165">
        <f>IF(Sales[[#This Row],[Status]]="Cancelled",0,Sales[[#This Row],[Qty]])</f>
        <v>2</v>
      </c>
      <c r="R1294" s="166">
        <f>IF(Sales[[#This Row],[Status]]="Cancelled",0,Sales[[#This Row],[Total Amount]])</f>
        <v>213391.2</v>
      </c>
      <c r="S1294" s="162">
        <f>SUM(Sales[Net Amount])</f>
        <v>406839287.73200053</v>
      </c>
    </row>
    <row r="1295" spans="1:19" ht="18.75" x14ac:dyDescent="0.25">
      <c r="A1295" s="156" t="s">
        <v>4895</v>
      </c>
      <c r="B1295" s="157">
        <v>45845</v>
      </c>
      <c r="C1295" s="158" t="s">
        <v>692</v>
      </c>
      <c r="D1295" s="159" t="str">
        <f>VLOOKUP(Sales[[#This Row],[Customer ID]],Customer[#All],2,0)</f>
        <v>Rahul Patel</v>
      </c>
      <c r="E1295" s="158" t="s">
        <v>466</v>
      </c>
      <c r="F1295" s="158" t="str">
        <f>VLOOKUP(Sales[[#This Row],[Product ID]],Product[#All],2,0)</f>
        <v>Lenovo Laptop</v>
      </c>
      <c r="G1295" s="159">
        <v>4</v>
      </c>
      <c r="H1295" s="160">
        <f>VLOOKUP(Sales[[#This Row],[Product ID]],Product[#All],7,0)</f>
        <v>87730</v>
      </c>
      <c r="I1295" s="160">
        <f>Sales[[#This Row],[Selling Rate]]*Sales[[#This Row],[Qty]]</f>
        <v>350920</v>
      </c>
      <c r="J1295" s="43">
        <v>0.1</v>
      </c>
      <c r="K1295" s="44">
        <f>Sales[[#This Row],[Gross Amount]]*Sales[[#This Row],[Disc %]]</f>
        <v>35092</v>
      </c>
      <c r="L1295" s="43">
        <v>0.18</v>
      </c>
      <c r="M1295" s="44">
        <f>(Sales[[#This Row],[Gross Amount]]-Sales[[#This Row],[Disc. Amt.]])*Sales[[#This Row],[GST %]]</f>
        <v>56849.04</v>
      </c>
      <c r="N1295" s="161">
        <f>Sales[[#This Row],[Gross Amount]]-Sales[[#This Row],[Disc. Amt.]]+Sales[[#This Row],[GST Amount]]</f>
        <v>372677.04</v>
      </c>
      <c r="O1295" s="158" t="s">
        <v>3561</v>
      </c>
      <c r="P1295" s="158" t="s">
        <v>3562</v>
      </c>
      <c r="Q1295" s="160">
        <f>IF(Sales[[#This Row],[Status]]="Cancelled",0,Sales[[#This Row],[Qty]])</f>
        <v>4</v>
      </c>
      <c r="R1295" s="161">
        <f>IF(Sales[[#This Row],[Status]]="Cancelled",0,Sales[[#This Row],[Total Amount]])</f>
        <v>372677.04</v>
      </c>
      <c r="S1295" s="162">
        <f>SUM(Sales[Net Amount])</f>
        <v>406839287.73200053</v>
      </c>
    </row>
    <row r="1296" spans="1:19" ht="18.75" x14ac:dyDescent="0.25">
      <c r="A1296" s="163" t="s">
        <v>4896</v>
      </c>
      <c r="B1296" s="164">
        <v>45845</v>
      </c>
      <c r="C1296" s="34" t="s">
        <v>802</v>
      </c>
      <c r="D1296" s="53" t="str">
        <f>VLOOKUP(Sales[[#This Row],[Customer ID]],Customer[#All],2,0)</f>
        <v>Rakesh Patel</v>
      </c>
      <c r="E1296" s="34" t="s">
        <v>408</v>
      </c>
      <c r="F1296" s="34" t="str">
        <f>VLOOKUP(Sales[[#This Row],[Product ID]],Product[#All],2,0)</f>
        <v>HP Laptop</v>
      </c>
      <c r="G1296" s="53">
        <v>7</v>
      </c>
      <c r="H1296" s="165">
        <f>VLOOKUP(Sales[[#This Row],[Product ID]],Product[#All],7,0)</f>
        <v>93130</v>
      </c>
      <c r="I1296" s="165">
        <f>Sales[[#This Row],[Selling Rate]]*Sales[[#This Row],[Qty]]</f>
        <v>651910</v>
      </c>
      <c r="J1296" s="45">
        <v>0</v>
      </c>
      <c r="K1296" s="46">
        <f>Sales[[#This Row],[Gross Amount]]*Sales[[#This Row],[Disc %]]</f>
        <v>0</v>
      </c>
      <c r="L1296" s="43">
        <v>0.18</v>
      </c>
      <c r="M1296" s="46">
        <f>(Sales[[#This Row],[Gross Amount]]-Sales[[#This Row],[Disc. Amt.]])*Sales[[#This Row],[GST %]]</f>
        <v>117343.8</v>
      </c>
      <c r="N1296" s="161">
        <f>Sales[[#This Row],[Gross Amount]]-Sales[[#This Row],[Disc. Amt.]]+Sales[[#This Row],[GST Amount]]</f>
        <v>769253.8</v>
      </c>
      <c r="O1296" s="34" t="s">
        <v>3561</v>
      </c>
      <c r="P1296" s="34" t="s">
        <v>3562</v>
      </c>
      <c r="Q1296" s="165">
        <f>IF(Sales[[#This Row],[Status]]="Cancelled",0,Sales[[#This Row],[Qty]])</f>
        <v>7</v>
      </c>
      <c r="R1296" s="166">
        <f>IF(Sales[[#This Row],[Status]]="Cancelled",0,Sales[[#This Row],[Total Amount]])</f>
        <v>769253.8</v>
      </c>
      <c r="S1296" s="162">
        <f>SUM(Sales[Net Amount])</f>
        <v>406839287.73200053</v>
      </c>
    </row>
    <row r="1297" spans="1:19" ht="18.75" x14ac:dyDescent="0.25">
      <c r="A1297" s="156" t="s">
        <v>4897</v>
      </c>
      <c r="B1297" s="157">
        <v>45845</v>
      </c>
      <c r="C1297" s="158" t="s">
        <v>948</v>
      </c>
      <c r="D1297" s="159" t="str">
        <f>VLOOKUP(Sales[[#This Row],[Customer ID]],Customer[#All],2,0)</f>
        <v>Pooja Patel</v>
      </c>
      <c r="E1297" s="158" t="s">
        <v>314</v>
      </c>
      <c r="F1297" s="158" t="str">
        <f>VLOOKUP(Sales[[#This Row],[Product ID]],Product[#All],2,0)</f>
        <v>Dell Desktop</v>
      </c>
      <c r="G1297" s="159">
        <v>5</v>
      </c>
      <c r="H1297" s="160">
        <f>VLOOKUP(Sales[[#This Row],[Product ID]],Product[#All],7,0)</f>
        <v>59580</v>
      </c>
      <c r="I1297" s="160">
        <f>Sales[[#This Row],[Selling Rate]]*Sales[[#This Row],[Qty]]</f>
        <v>297900</v>
      </c>
      <c r="J1297" s="43">
        <v>0.1</v>
      </c>
      <c r="K1297" s="44">
        <f>Sales[[#This Row],[Gross Amount]]*Sales[[#This Row],[Disc %]]</f>
        <v>29790</v>
      </c>
      <c r="L1297" s="43">
        <v>0.18</v>
      </c>
      <c r="M1297" s="44">
        <f>(Sales[[#This Row],[Gross Amount]]-Sales[[#This Row],[Disc. Amt.]])*Sales[[#This Row],[GST %]]</f>
        <v>48259.799999999996</v>
      </c>
      <c r="N1297" s="161">
        <f>Sales[[#This Row],[Gross Amount]]-Sales[[#This Row],[Disc. Amt.]]+Sales[[#This Row],[GST Amount]]</f>
        <v>316369.8</v>
      </c>
      <c r="O1297" s="158" t="s">
        <v>3566</v>
      </c>
      <c r="P1297" s="158" t="s">
        <v>3562</v>
      </c>
      <c r="Q1297" s="160">
        <f>IF(Sales[[#This Row],[Status]]="Cancelled",0,Sales[[#This Row],[Qty]])</f>
        <v>5</v>
      </c>
      <c r="R1297" s="161">
        <f>IF(Sales[[#This Row],[Status]]="Cancelled",0,Sales[[#This Row],[Total Amount]])</f>
        <v>316369.8</v>
      </c>
      <c r="S1297" s="162">
        <f>SUM(Sales[Net Amount])</f>
        <v>406839287.73200053</v>
      </c>
    </row>
    <row r="1298" spans="1:19" ht="18.75" x14ac:dyDescent="0.25">
      <c r="A1298" s="163" t="s">
        <v>4898</v>
      </c>
      <c r="B1298" s="164">
        <v>45845</v>
      </c>
      <c r="C1298" s="34" t="s">
        <v>681</v>
      </c>
      <c r="D1298" s="53" t="str">
        <f>VLOOKUP(Sales[[#This Row],[Customer ID]],Customer[#All],2,0)</f>
        <v>Amit Kumar</v>
      </c>
      <c r="E1298" s="34" t="s">
        <v>96</v>
      </c>
      <c r="F1298" s="34" t="str">
        <f>VLOOKUP(Sales[[#This Row],[Product ID]],Product[#All],2,0)</f>
        <v>Corsair Ram</v>
      </c>
      <c r="G1298" s="53">
        <v>4</v>
      </c>
      <c r="H1298" s="165">
        <f>VLOOKUP(Sales[[#This Row],[Product ID]],Product[#All],7,0)</f>
        <v>4570</v>
      </c>
      <c r="I1298" s="165">
        <f>Sales[[#This Row],[Selling Rate]]*Sales[[#This Row],[Qty]]</f>
        <v>18280</v>
      </c>
      <c r="J1298" s="45">
        <v>0</v>
      </c>
      <c r="K1298" s="46">
        <f>Sales[[#This Row],[Gross Amount]]*Sales[[#This Row],[Disc %]]</f>
        <v>0</v>
      </c>
      <c r="L1298" s="43">
        <v>0.18</v>
      </c>
      <c r="M1298" s="46">
        <f>(Sales[[#This Row],[Gross Amount]]-Sales[[#This Row],[Disc. Amt.]])*Sales[[#This Row],[GST %]]</f>
        <v>3290.4</v>
      </c>
      <c r="N1298" s="161">
        <f>Sales[[#This Row],[Gross Amount]]-Sales[[#This Row],[Disc. Amt.]]+Sales[[#This Row],[GST Amount]]</f>
        <v>21570.400000000001</v>
      </c>
      <c r="O1298" s="34" t="s">
        <v>8876</v>
      </c>
      <c r="P1298" s="34" t="s">
        <v>3562</v>
      </c>
      <c r="Q1298" s="165">
        <f>IF(Sales[[#This Row],[Status]]="Cancelled",0,Sales[[#This Row],[Qty]])</f>
        <v>4</v>
      </c>
      <c r="R1298" s="166">
        <f>IF(Sales[[#This Row],[Status]]="Cancelled",0,Sales[[#This Row],[Total Amount]])</f>
        <v>21570.400000000001</v>
      </c>
      <c r="S1298" s="162">
        <f>SUM(Sales[Net Amount])</f>
        <v>406839287.73200053</v>
      </c>
    </row>
    <row r="1299" spans="1:19" ht="18.75" x14ac:dyDescent="0.25">
      <c r="A1299" s="156" t="s">
        <v>4899</v>
      </c>
      <c r="B1299" s="157">
        <v>45845</v>
      </c>
      <c r="C1299" s="158" t="s">
        <v>756</v>
      </c>
      <c r="D1299" s="159" t="str">
        <f>VLOOKUP(Sales[[#This Row],[Customer ID]],Customer[#All],2,0)</f>
        <v>Amit Patel</v>
      </c>
      <c r="E1299" s="158" t="s">
        <v>184</v>
      </c>
      <c r="F1299" s="158" t="str">
        <f>VLOOKUP(Sales[[#This Row],[Product ID]],Product[#All],2,0)</f>
        <v>Seagate HDD</v>
      </c>
      <c r="G1299" s="159">
        <v>8</v>
      </c>
      <c r="H1299" s="160">
        <f>VLOOKUP(Sales[[#This Row],[Product ID]],Product[#All],7,0)</f>
        <v>11550</v>
      </c>
      <c r="I1299" s="160">
        <f>Sales[[#This Row],[Selling Rate]]*Sales[[#This Row],[Qty]]</f>
        <v>92400</v>
      </c>
      <c r="J1299" s="43">
        <v>0.05</v>
      </c>
      <c r="K1299" s="44">
        <f>Sales[[#This Row],[Gross Amount]]*Sales[[#This Row],[Disc %]]</f>
        <v>4620</v>
      </c>
      <c r="L1299" s="43">
        <v>0.18</v>
      </c>
      <c r="M1299" s="44">
        <f>(Sales[[#This Row],[Gross Amount]]-Sales[[#This Row],[Disc. Amt.]])*Sales[[#This Row],[GST %]]</f>
        <v>15800.4</v>
      </c>
      <c r="N1299" s="161">
        <f>Sales[[#This Row],[Gross Amount]]-Sales[[#This Row],[Disc. Amt.]]+Sales[[#This Row],[GST Amount]]</f>
        <v>103580.4</v>
      </c>
      <c r="O1299" s="158" t="s">
        <v>8876</v>
      </c>
      <c r="P1299" s="158" t="s">
        <v>3562</v>
      </c>
      <c r="Q1299" s="160">
        <f>IF(Sales[[#This Row],[Status]]="Cancelled",0,Sales[[#This Row],[Qty]])</f>
        <v>8</v>
      </c>
      <c r="R1299" s="161">
        <f>IF(Sales[[#This Row],[Status]]="Cancelled",0,Sales[[#This Row],[Total Amount]])</f>
        <v>103580.4</v>
      </c>
      <c r="S1299" s="162">
        <f>SUM(Sales[Net Amount])</f>
        <v>406839287.73200053</v>
      </c>
    </row>
    <row r="1300" spans="1:19" ht="18.75" x14ac:dyDescent="0.25">
      <c r="A1300" s="163" t="s">
        <v>4900</v>
      </c>
      <c r="B1300" s="164">
        <v>45846</v>
      </c>
      <c r="C1300" s="34" t="s">
        <v>719</v>
      </c>
      <c r="D1300" s="53" t="str">
        <f>VLOOKUP(Sales[[#This Row],[Customer ID]],Customer[#All],2,0)</f>
        <v>Priya Verma</v>
      </c>
      <c r="E1300" s="34" t="s">
        <v>517</v>
      </c>
      <c r="F1300" s="34" t="str">
        <f>VLOOKUP(Sales[[#This Row],[Product ID]],Product[#All],2,0)</f>
        <v>Dell Laptop</v>
      </c>
      <c r="G1300" s="53">
        <v>4</v>
      </c>
      <c r="H1300" s="165">
        <f>VLOOKUP(Sales[[#This Row],[Product ID]],Product[#All],7,0)</f>
        <v>81860</v>
      </c>
      <c r="I1300" s="165">
        <f>Sales[[#This Row],[Selling Rate]]*Sales[[#This Row],[Qty]]</f>
        <v>327440</v>
      </c>
      <c r="J1300" s="45">
        <v>0.05</v>
      </c>
      <c r="K1300" s="46">
        <f>Sales[[#This Row],[Gross Amount]]*Sales[[#This Row],[Disc %]]</f>
        <v>16372</v>
      </c>
      <c r="L1300" s="43">
        <v>0.18</v>
      </c>
      <c r="M1300" s="46">
        <f>(Sales[[#This Row],[Gross Amount]]-Sales[[#This Row],[Disc. Amt.]])*Sales[[#This Row],[GST %]]</f>
        <v>55992.24</v>
      </c>
      <c r="N1300" s="161">
        <f>Sales[[#This Row],[Gross Amount]]-Sales[[#This Row],[Disc. Amt.]]+Sales[[#This Row],[GST Amount]]</f>
        <v>367060.24</v>
      </c>
      <c r="O1300" s="34" t="s">
        <v>3569</v>
      </c>
      <c r="P1300" s="34" t="s">
        <v>3562</v>
      </c>
      <c r="Q1300" s="165">
        <f>IF(Sales[[#This Row],[Status]]="Cancelled",0,Sales[[#This Row],[Qty]])</f>
        <v>4</v>
      </c>
      <c r="R1300" s="166">
        <f>IF(Sales[[#This Row],[Status]]="Cancelled",0,Sales[[#This Row],[Total Amount]])</f>
        <v>367060.24</v>
      </c>
      <c r="S1300" s="162">
        <f>SUM(Sales[Net Amount])</f>
        <v>406839287.73200053</v>
      </c>
    </row>
    <row r="1301" spans="1:19" ht="18.75" x14ac:dyDescent="0.25">
      <c r="A1301" s="156" t="s">
        <v>4901</v>
      </c>
      <c r="B1301" s="157">
        <v>45846</v>
      </c>
      <c r="C1301" s="158" t="s">
        <v>833</v>
      </c>
      <c r="D1301" s="159" t="str">
        <f>VLOOKUP(Sales[[#This Row],[Customer ID]],Customer[#All],2,0)</f>
        <v>Sunita Kumar</v>
      </c>
      <c r="E1301" s="158" t="s">
        <v>276</v>
      </c>
      <c r="F1301" s="158" t="str">
        <f>VLOOKUP(Sales[[#This Row],[Product ID]],Product[#All],2,0)</f>
        <v>Corsair Ram</v>
      </c>
      <c r="G1301" s="159">
        <v>2</v>
      </c>
      <c r="H1301" s="160">
        <f>VLOOKUP(Sales[[#This Row],[Product ID]],Product[#All],7,0)</f>
        <v>7140</v>
      </c>
      <c r="I1301" s="160">
        <f>Sales[[#This Row],[Selling Rate]]*Sales[[#This Row],[Qty]]</f>
        <v>14280</v>
      </c>
      <c r="J1301" s="43">
        <v>0.15</v>
      </c>
      <c r="K1301" s="44">
        <f>Sales[[#This Row],[Gross Amount]]*Sales[[#This Row],[Disc %]]</f>
        <v>2142</v>
      </c>
      <c r="L1301" s="43">
        <v>0.18</v>
      </c>
      <c r="M1301" s="44">
        <f>(Sales[[#This Row],[Gross Amount]]-Sales[[#This Row],[Disc. Amt.]])*Sales[[#This Row],[GST %]]</f>
        <v>2184.84</v>
      </c>
      <c r="N1301" s="161">
        <f>Sales[[#This Row],[Gross Amount]]-Sales[[#This Row],[Disc. Amt.]]+Sales[[#This Row],[GST Amount]]</f>
        <v>14322.84</v>
      </c>
      <c r="O1301" s="158" t="s">
        <v>8876</v>
      </c>
      <c r="P1301" s="158" t="s">
        <v>3562</v>
      </c>
      <c r="Q1301" s="160">
        <f>IF(Sales[[#This Row],[Status]]="Cancelled",0,Sales[[#This Row],[Qty]])</f>
        <v>2</v>
      </c>
      <c r="R1301" s="161">
        <f>IF(Sales[[#This Row],[Status]]="Cancelled",0,Sales[[#This Row],[Total Amount]])</f>
        <v>14322.84</v>
      </c>
      <c r="S1301" s="162">
        <f>SUM(Sales[Net Amount])</f>
        <v>406839287.73200053</v>
      </c>
    </row>
    <row r="1302" spans="1:19" ht="18.75" x14ac:dyDescent="0.25">
      <c r="A1302" s="163" t="s">
        <v>4902</v>
      </c>
      <c r="B1302" s="164">
        <v>45846</v>
      </c>
      <c r="C1302" s="34" t="s">
        <v>756</v>
      </c>
      <c r="D1302" s="53" t="str">
        <f>VLOOKUP(Sales[[#This Row],[Customer ID]],Customer[#All],2,0)</f>
        <v>Amit Patel</v>
      </c>
      <c r="E1302" s="34" t="s">
        <v>551</v>
      </c>
      <c r="F1302" s="34" t="str">
        <f>VLOOKUP(Sales[[#This Row],[Product ID]],Product[#All],2,0)</f>
        <v>Epson Printer</v>
      </c>
      <c r="G1302" s="53">
        <v>8</v>
      </c>
      <c r="H1302" s="165">
        <f>VLOOKUP(Sales[[#This Row],[Product ID]],Product[#All],7,0)</f>
        <v>38370</v>
      </c>
      <c r="I1302" s="165">
        <f>Sales[[#This Row],[Selling Rate]]*Sales[[#This Row],[Qty]]</f>
        <v>306960</v>
      </c>
      <c r="J1302" s="45">
        <v>0.1</v>
      </c>
      <c r="K1302" s="46">
        <f>Sales[[#This Row],[Gross Amount]]*Sales[[#This Row],[Disc %]]</f>
        <v>30696</v>
      </c>
      <c r="L1302" s="43">
        <v>0.18</v>
      </c>
      <c r="M1302" s="46">
        <f>(Sales[[#This Row],[Gross Amount]]-Sales[[#This Row],[Disc. Amt.]])*Sales[[#This Row],[GST %]]</f>
        <v>49727.519999999997</v>
      </c>
      <c r="N1302" s="161">
        <f>Sales[[#This Row],[Gross Amount]]-Sales[[#This Row],[Disc. Amt.]]+Sales[[#This Row],[GST Amount]]</f>
        <v>325991.52</v>
      </c>
      <c r="O1302" s="34" t="s">
        <v>3561</v>
      </c>
      <c r="P1302" s="34" t="s">
        <v>3562</v>
      </c>
      <c r="Q1302" s="165">
        <f>IF(Sales[[#This Row],[Status]]="Cancelled",0,Sales[[#This Row],[Qty]])</f>
        <v>8</v>
      </c>
      <c r="R1302" s="166">
        <f>IF(Sales[[#This Row],[Status]]="Cancelled",0,Sales[[#This Row],[Total Amount]])</f>
        <v>325991.52</v>
      </c>
      <c r="S1302" s="162">
        <f>SUM(Sales[Net Amount])</f>
        <v>406839287.73200053</v>
      </c>
    </row>
    <row r="1303" spans="1:19" ht="18.75" x14ac:dyDescent="0.25">
      <c r="A1303" s="156" t="s">
        <v>4903</v>
      </c>
      <c r="B1303" s="157">
        <v>45846</v>
      </c>
      <c r="C1303" s="158" t="s">
        <v>839</v>
      </c>
      <c r="D1303" s="159" t="str">
        <f>VLOOKUP(Sales[[#This Row],[Customer ID]],Customer[#All],2,0)</f>
        <v>Amit Patel</v>
      </c>
      <c r="E1303" s="158" t="s">
        <v>65</v>
      </c>
      <c r="F1303" s="158" t="str">
        <f>VLOOKUP(Sales[[#This Row],[Product ID]],Product[#All],2,0)</f>
        <v>Dell Power Adapter</v>
      </c>
      <c r="G1303" s="159">
        <v>1</v>
      </c>
      <c r="H1303" s="160">
        <f>VLOOKUP(Sales[[#This Row],[Product ID]],Product[#All],7,0)</f>
        <v>2070</v>
      </c>
      <c r="I1303" s="160">
        <f>Sales[[#This Row],[Selling Rate]]*Sales[[#This Row],[Qty]]</f>
        <v>2070</v>
      </c>
      <c r="J1303" s="43">
        <v>0</v>
      </c>
      <c r="K1303" s="44">
        <f>Sales[[#This Row],[Gross Amount]]*Sales[[#This Row],[Disc %]]</f>
        <v>0</v>
      </c>
      <c r="L1303" s="43">
        <v>0.18</v>
      </c>
      <c r="M1303" s="44">
        <f>(Sales[[#This Row],[Gross Amount]]-Sales[[#This Row],[Disc. Amt.]])*Sales[[#This Row],[GST %]]</f>
        <v>372.59999999999997</v>
      </c>
      <c r="N1303" s="161">
        <f>Sales[[#This Row],[Gross Amount]]-Sales[[#This Row],[Disc. Amt.]]+Sales[[#This Row],[GST Amount]]</f>
        <v>2442.6</v>
      </c>
      <c r="O1303" s="158" t="s">
        <v>3569</v>
      </c>
      <c r="P1303" s="158" t="s">
        <v>3562</v>
      </c>
      <c r="Q1303" s="160">
        <f>IF(Sales[[#This Row],[Status]]="Cancelled",0,Sales[[#This Row],[Qty]])</f>
        <v>1</v>
      </c>
      <c r="R1303" s="161">
        <f>IF(Sales[[#This Row],[Status]]="Cancelled",0,Sales[[#This Row],[Total Amount]])</f>
        <v>2442.6</v>
      </c>
      <c r="S1303" s="162">
        <f>SUM(Sales[Net Amount])</f>
        <v>406839287.73200053</v>
      </c>
    </row>
    <row r="1304" spans="1:19" ht="18.75" x14ac:dyDescent="0.25">
      <c r="A1304" s="163" t="s">
        <v>4904</v>
      </c>
      <c r="B1304" s="164">
        <v>45846</v>
      </c>
      <c r="C1304" s="34" t="s">
        <v>748</v>
      </c>
      <c r="D1304" s="53" t="str">
        <f>VLOOKUP(Sales[[#This Row],[Customer ID]],Customer[#All],2,0)</f>
        <v>Priya Singh</v>
      </c>
      <c r="E1304" s="34" t="s">
        <v>165</v>
      </c>
      <c r="F1304" s="34" t="str">
        <f>VLOOKUP(Sales[[#This Row],[Product ID]],Product[#All],2,0)</f>
        <v>Kingston Ram</v>
      </c>
      <c r="G1304" s="53">
        <v>7</v>
      </c>
      <c r="H1304" s="165">
        <f>VLOOKUP(Sales[[#This Row],[Product ID]],Product[#All],7,0)</f>
        <v>8020</v>
      </c>
      <c r="I1304" s="165">
        <f>Sales[[#This Row],[Selling Rate]]*Sales[[#This Row],[Qty]]</f>
        <v>56140</v>
      </c>
      <c r="J1304" s="45">
        <v>0.02</v>
      </c>
      <c r="K1304" s="46">
        <f>Sales[[#This Row],[Gross Amount]]*Sales[[#This Row],[Disc %]]</f>
        <v>1122.8</v>
      </c>
      <c r="L1304" s="43">
        <v>0.18</v>
      </c>
      <c r="M1304" s="46">
        <f>(Sales[[#This Row],[Gross Amount]]-Sales[[#This Row],[Disc. Amt.]])*Sales[[#This Row],[GST %]]</f>
        <v>9903.0959999999995</v>
      </c>
      <c r="N1304" s="161">
        <f>Sales[[#This Row],[Gross Amount]]-Sales[[#This Row],[Disc. Amt.]]+Sales[[#This Row],[GST Amount]]</f>
        <v>64920.295999999995</v>
      </c>
      <c r="O1304" s="34" t="s">
        <v>3561</v>
      </c>
      <c r="P1304" s="34" t="s">
        <v>3562</v>
      </c>
      <c r="Q1304" s="165">
        <f>IF(Sales[[#This Row],[Status]]="Cancelled",0,Sales[[#This Row],[Qty]])</f>
        <v>7</v>
      </c>
      <c r="R1304" s="166">
        <f>IF(Sales[[#This Row],[Status]]="Cancelled",0,Sales[[#This Row],[Total Amount]])</f>
        <v>64920.295999999995</v>
      </c>
      <c r="S1304" s="162">
        <f>SUM(Sales[Net Amount])</f>
        <v>406839287.73200053</v>
      </c>
    </row>
    <row r="1305" spans="1:19" ht="18.75" x14ac:dyDescent="0.25">
      <c r="A1305" s="156" t="s">
        <v>4905</v>
      </c>
      <c r="B1305" s="157">
        <v>45846</v>
      </c>
      <c r="C1305" s="158" t="s">
        <v>917</v>
      </c>
      <c r="D1305" s="159" t="str">
        <f>VLOOKUP(Sales[[#This Row],[Customer ID]],Customer[#All],2,0)</f>
        <v>Sahil Gupta</v>
      </c>
      <c r="E1305" s="158" t="s">
        <v>240</v>
      </c>
      <c r="F1305" s="158" t="str">
        <f>VLOOKUP(Sales[[#This Row],[Product ID]],Product[#All],2,0)</f>
        <v>Crucial Ssd</v>
      </c>
      <c r="G1305" s="159">
        <v>5</v>
      </c>
      <c r="H1305" s="160">
        <f>VLOOKUP(Sales[[#This Row],[Product ID]],Product[#All],7,0)</f>
        <v>3310</v>
      </c>
      <c r="I1305" s="160">
        <f>Sales[[#This Row],[Selling Rate]]*Sales[[#This Row],[Qty]]</f>
        <v>16550</v>
      </c>
      <c r="J1305" s="43">
        <v>0</v>
      </c>
      <c r="K1305" s="44">
        <f>Sales[[#This Row],[Gross Amount]]*Sales[[#This Row],[Disc %]]</f>
        <v>0</v>
      </c>
      <c r="L1305" s="43">
        <v>0.18</v>
      </c>
      <c r="M1305" s="44">
        <f>(Sales[[#This Row],[Gross Amount]]-Sales[[#This Row],[Disc. Amt.]])*Sales[[#This Row],[GST %]]</f>
        <v>2979</v>
      </c>
      <c r="N1305" s="161">
        <f>Sales[[#This Row],[Gross Amount]]-Sales[[#This Row],[Disc. Amt.]]+Sales[[#This Row],[GST Amount]]</f>
        <v>19529</v>
      </c>
      <c r="O1305" s="158" t="s">
        <v>3566</v>
      </c>
      <c r="P1305" s="158" t="s">
        <v>3562</v>
      </c>
      <c r="Q1305" s="160">
        <f>IF(Sales[[#This Row],[Status]]="Cancelled",0,Sales[[#This Row],[Qty]])</f>
        <v>5</v>
      </c>
      <c r="R1305" s="161">
        <f>IF(Sales[[#This Row],[Status]]="Cancelled",0,Sales[[#This Row],[Total Amount]])</f>
        <v>19529</v>
      </c>
      <c r="S1305" s="162">
        <f>SUM(Sales[Net Amount])</f>
        <v>406839287.73200053</v>
      </c>
    </row>
    <row r="1306" spans="1:19" ht="18.75" x14ac:dyDescent="0.25">
      <c r="A1306" s="163" t="s">
        <v>4906</v>
      </c>
      <c r="B1306" s="164">
        <v>45846</v>
      </c>
      <c r="C1306" s="34" t="s">
        <v>763</v>
      </c>
      <c r="D1306" s="53" t="str">
        <f>VLOOKUP(Sales[[#This Row],[Customer ID]],Customer[#All],2,0)</f>
        <v>Pooja Verma</v>
      </c>
      <c r="E1306" s="34" t="s">
        <v>201</v>
      </c>
      <c r="F1306" s="34" t="str">
        <f>VLOOKUP(Sales[[#This Row],[Product ID]],Product[#All],2,0)</f>
        <v>Jbl Headset</v>
      </c>
      <c r="G1306" s="53">
        <v>1</v>
      </c>
      <c r="H1306" s="165">
        <f>VLOOKUP(Sales[[#This Row],[Product ID]],Product[#All],7,0)</f>
        <v>2580</v>
      </c>
      <c r="I1306" s="165">
        <f>Sales[[#This Row],[Selling Rate]]*Sales[[#This Row],[Qty]]</f>
        <v>2580</v>
      </c>
      <c r="J1306" s="45">
        <v>0.1</v>
      </c>
      <c r="K1306" s="46">
        <f>Sales[[#This Row],[Gross Amount]]*Sales[[#This Row],[Disc %]]</f>
        <v>258</v>
      </c>
      <c r="L1306" s="43">
        <v>0.18</v>
      </c>
      <c r="M1306" s="46">
        <f>(Sales[[#This Row],[Gross Amount]]-Sales[[#This Row],[Disc. Amt.]])*Sales[[#This Row],[GST %]]</f>
        <v>417.96</v>
      </c>
      <c r="N1306" s="161">
        <f>Sales[[#This Row],[Gross Amount]]-Sales[[#This Row],[Disc. Amt.]]+Sales[[#This Row],[GST Amount]]</f>
        <v>2739.96</v>
      </c>
      <c r="O1306" s="34" t="s">
        <v>8876</v>
      </c>
      <c r="P1306" s="34" t="s">
        <v>3562</v>
      </c>
      <c r="Q1306" s="165">
        <f>IF(Sales[[#This Row],[Status]]="Cancelled",0,Sales[[#This Row],[Qty]])</f>
        <v>1</v>
      </c>
      <c r="R1306" s="166">
        <f>IF(Sales[[#This Row],[Status]]="Cancelled",0,Sales[[#This Row],[Total Amount]])</f>
        <v>2739.96</v>
      </c>
      <c r="S1306" s="162">
        <f>SUM(Sales[Net Amount])</f>
        <v>406839287.73200053</v>
      </c>
    </row>
    <row r="1307" spans="1:19" ht="18.75" x14ac:dyDescent="0.25">
      <c r="A1307" s="156" t="s">
        <v>4907</v>
      </c>
      <c r="B1307" s="157">
        <v>45846</v>
      </c>
      <c r="C1307" s="158" t="s">
        <v>710</v>
      </c>
      <c r="D1307" s="159" t="str">
        <f>VLOOKUP(Sales[[#This Row],[Customer ID]],Customer[#All],2,0)</f>
        <v>Sunita Patel</v>
      </c>
      <c r="E1307" s="158" t="s">
        <v>140</v>
      </c>
      <c r="F1307" s="158" t="str">
        <f>VLOOKUP(Sales[[#This Row],[Product ID]],Product[#All],2,0)</f>
        <v>Logitech Mouse</v>
      </c>
      <c r="G1307" s="159">
        <v>4</v>
      </c>
      <c r="H1307" s="160">
        <f>VLOOKUP(Sales[[#This Row],[Product ID]],Product[#All],7,0)</f>
        <v>2760</v>
      </c>
      <c r="I1307" s="160">
        <f>Sales[[#This Row],[Selling Rate]]*Sales[[#This Row],[Qty]]</f>
        <v>11040</v>
      </c>
      <c r="J1307" s="43">
        <v>0.12</v>
      </c>
      <c r="K1307" s="44">
        <f>Sales[[#This Row],[Gross Amount]]*Sales[[#This Row],[Disc %]]</f>
        <v>1324.8</v>
      </c>
      <c r="L1307" s="43">
        <v>0.18</v>
      </c>
      <c r="M1307" s="44">
        <f>(Sales[[#This Row],[Gross Amount]]-Sales[[#This Row],[Disc. Amt.]])*Sales[[#This Row],[GST %]]</f>
        <v>1748.7360000000001</v>
      </c>
      <c r="N1307" s="161">
        <f>Sales[[#This Row],[Gross Amount]]-Sales[[#This Row],[Disc. Amt.]]+Sales[[#This Row],[GST Amount]]</f>
        <v>11463.936000000002</v>
      </c>
      <c r="O1307" s="158" t="s">
        <v>3569</v>
      </c>
      <c r="P1307" s="158" t="s">
        <v>3562</v>
      </c>
      <c r="Q1307" s="160">
        <f>IF(Sales[[#This Row],[Status]]="Cancelled",0,Sales[[#This Row],[Qty]])</f>
        <v>4</v>
      </c>
      <c r="R1307" s="161">
        <f>IF(Sales[[#This Row],[Status]]="Cancelled",0,Sales[[#This Row],[Total Amount]])</f>
        <v>11463.936000000002</v>
      </c>
      <c r="S1307" s="162">
        <f>SUM(Sales[Net Amount])</f>
        <v>406839287.73200053</v>
      </c>
    </row>
    <row r="1308" spans="1:19" ht="18.75" x14ac:dyDescent="0.25">
      <c r="A1308" s="163" t="s">
        <v>4908</v>
      </c>
      <c r="B1308" s="164">
        <v>45846</v>
      </c>
      <c r="C1308" s="34" t="s">
        <v>663</v>
      </c>
      <c r="D1308" s="53" t="str">
        <f>VLOOKUP(Sales[[#This Row],[Customer ID]],Customer[#All],2,0)</f>
        <v>Amit Sharma</v>
      </c>
      <c r="E1308" s="34" t="s">
        <v>389</v>
      </c>
      <c r="F1308" s="34" t="str">
        <f>VLOOKUP(Sales[[#This Row],[Product ID]],Product[#All],2,0)</f>
        <v>WD HDD</v>
      </c>
      <c r="G1308" s="53">
        <v>8</v>
      </c>
      <c r="H1308" s="165">
        <f>VLOOKUP(Sales[[#This Row],[Product ID]],Product[#All],7,0)</f>
        <v>10530</v>
      </c>
      <c r="I1308" s="165">
        <f>Sales[[#This Row],[Selling Rate]]*Sales[[#This Row],[Qty]]</f>
        <v>84240</v>
      </c>
      <c r="J1308" s="45">
        <v>0</v>
      </c>
      <c r="K1308" s="46">
        <f>Sales[[#This Row],[Gross Amount]]*Sales[[#This Row],[Disc %]]</f>
        <v>0</v>
      </c>
      <c r="L1308" s="43">
        <v>0.18</v>
      </c>
      <c r="M1308" s="46">
        <f>(Sales[[#This Row],[Gross Amount]]-Sales[[#This Row],[Disc. Amt.]])*Sales[[#This Row],[GST %]]</f>
        <v>15163.199999999999</v>
      </c>
      <c r="N1308" s="161">
        <f>Sales[[#This Row],[Gross Amount]]-Sales[[#This Row],[Disc. Amt.]]+Sales[[#This Row],[GST Amount]]</f>
        <v>99403.199999999997</v>
      </c>
      <c r="O1308" s="34" t="s">
        <v>3569</v>
      </c>
      <c r="P1308" s="34" t="s">
        <v>3562</v>
      </c>
      <c r="Q1308" s="165">
        <f>IF(Sales[[#This Row],[Status]]="Cancelled",0,Sales[[#This Row],[Qty]])</f>
        <v>8</v>
      </c>
      <c r="R1308" s="166">
        <f>IF(Sales[[#This Row],[Status]]="Cancelled",0,Sales[[#This Row],[Total Amount]])</f>
        <v>99403.199999999997</v>
      </c>
      <c r="S1308" s="162">
        <f>SUM(Sales[Net Amount])</f>
        <v>406839287.73200053</v>
      </c>
    </row>
    <row r="1309" spans="1:19" ht="18.75" x14ac:dyDescent="0.25">
      <c r="A1309" s="156" t="s">
        <v>4909</v>
      </c>
      <c r="B1309" s="157">
        <v>45846</v>
      </c>
      <c r="C1309" s="158" t="s">
        <v>713</v>
      </c>
      <c r="D1309" s="159" t="str">
        <f>VLOOKUP(Sales[[#This Row],[Customer ID]],Customer[#All],2,0)</f>
        <v>Amit Gupta</v>
      </c>
      <c r="E1309" s="158" t="s">
        <v>448</v>
      </c>
      <c r="F1309" s="158" t="str">
        <f>VLOOKUP(Sales[[#This Row],[Product ID]],Product[#All],2,0)</f>
        <v>Crucial Ssd</v>
      </c>
      <c r="G1309" s="159">
        <v>4</v>
      </c>
      <c r="H1309" s="160">
        <f>VLOOKUP(Sales[[#This Row],[Product ID]],Product[#All],7,0)</f>
        <v>7930</v>
      </c>
      <c r="I1309" s="160">
        <f>Sales[[#This Row],[Selling Rate]]*Sales[[#This Row],[Qty]]</f>
        <v>31720</v>
      </c>
      <c r="J1309" s="43">
        <v>0.02</v>
      </c>
      <c r="K1309" s="44">
        <f>Sales[[#This Row],[Gross Amount]]*Sales[[#This Row],[Disc %]]</f>
        <v>634.4</v>
      </c>
      <c r="L1309" s="43">
        <v>0.18</v>
      </c>
      <c r="M1309" s="44">
        <f>(Sales[[#This Row],[Gross Amount]]-Sales[[#This Row],[Disc. Amt.]])*Sales[[#This Row],[GST %]]</f>
        <v>5595.4079999999994</v>
      </c>
      <c r="N1309" s="161">
        <f>Sales[[#This Row],[Gross Amount]]-Sales[[#This Row],[Disc. Amt.]]+Sales[[#This Row],[GST Amount]]</f>
        <v>36681.008000000002</v>
      </c>
      <c r="O1309" s="158" t="s">
        <v>3569</v>
      </c>
      <c r="P1309" s="158" t="s">
        <v>3562</v>
      </c>
      <c r="Q1309" s="160">
        <f>IF(Sales[[#This Row],[Status]]="Cancelled",0,Sales[[#This Row],[Qty]])</f>
        <v>4</v>
      </c>
      <c r="R1309" s="161">
        <f>IF(Sales[[#This Row],[Status]]="Cancelled",0,Sales[[#This Row],[Total Amount]])</f>
        <v>36681.008000000002</v>
      </c>
      <c r="S1309" s="162">
        <f>SUM(Sales[Net Amount])</f>
        <v>406839287.73200053</v>
      </c>
    </row>
    <row r="1310" spans="1:19" ht="18.75" x14ac:dyDescent="0.25">
      <c r="A1310" s="163" t="s">
        <v>4910</v>
      </c>
      <c r="B1310" s="164">
        <v>45846</v>
      </c>
      <c r="C1310" s="34" t="s">
        <v>738</v>
      </c>
      <c r="D1310" s="53" t="str">
        <f>VLOOKUP(Sales[[#This Row],[Customer ID]],Customer[#All],2,0)</f>
        <v>Pooja Patel</v>
      </c>
      <c r="E1310" s="34" t="s">
        <v>464</v>
      </c>
      <c r="F1310" s="34" t="str">
        <f>VLOOKUP(Sales[[#This Row],[Product ID]],Product[#All],2,0)</f>
        <v>Lg Monitor</v>
      </c>
      <c r="G1310" s="53">
        <v>2</v>
      </c>
      <c r="H1310" s="165">
        <f>VLOOKUP(Sales[[#This Row],[Product ID]],Product[#All],7,0)</f>
        <v>27140</v>
      </c>
      <c r="I1310" s="165">
        <f>Sales[[#This Row],[Selling Rate]]*Sales[[#This Row],[Qty]]</f>
        <v>54280</v>
      </c>
      <c r="J1310" s="45">
        <v>0</v>
      </c>
      <c r="K1310" s="46">
        <f>Sales[[#This Row],[Gross Amount]]*Sales[[#This Row],[Disc %]]</f>
        <v>0</v>
      </c>
      <c r="L1310" s="43">
        <v>0.18</v>
      </c>
      <c r="M1310" s="46">
        <f>(Sales[[#This Row],[Gross Amount]]-Sales[[#This Row],[Disc. Amt.]])*Sales[[#This Row],[GST %]]</f>
        <v>9770.4</v>
      </c>
      <c r="N1310" s="161">
        <f>Sales[[#This Row],[Gross Amount]]-Sales[[#This Row],[Disc. Amt.]]+Sales[[#This Row],[GST Amount]]</f>
        <v>64050.400000000001</v>
      </c>
      <c r="O1310" s="34" t="s">
        <v>3561</v>
      </c>
      <c r="P1310" s="34" t="s">
        <v>3562</v>
      </c>
      <c r="Q1310" s="165">
        <f>IF(Sales[[#This Row],[Status]]="Cancelled",0,Sales[[#This Row],[Qty]])</f>
        <v>2</v>
      </c>
      <c r="R1310" s="166">
        <f>IF(Sales[[#This Row],[Status]]="Cancelled",0,Sales[[#This Row],[Total Amount]])</f>
        <v>64050.400000000001</v>
      </c>
      <c r="S1310" s="162">
        <f>SUM(Sales[Net Amount])</f>
        <v>406839287.73200053</v>
      </c>
    </row>
    <row r="1311" spans="1:19" ht="18.75" x14ac:dyDescent="0.25">
      <c r="A1311" s="156" t="s">
        <v>4911</v>
      </c>
      <c r="B1311" s="157">
        <v>45846</v>
      </c>
      <c r="C1311" s="158" t="s">
        <v>748</v>
      </c>
      <c r="D1311" s="159" t="str">
        <f>VLOOKUP(Sales[[#This Row],[Customer ID]],Customer[#All],2,0)</f>
        <v>Priya Singh</v>
      </c>
      <c r="E1311" s="158" t="s">
        <v>204</v>
      </c>
      <c r="F1311" s="158" t="str">
        <f>VLOOKUP(Sales[[#This Row],[Product ID]],Product[#All],2,0)</f>
        <v>Lenovo Laptop</v>
      </c>
      <c r="G1311" s="159">
        <v>8</v>
      </c>
      <c r="H1311" s="160">
        <f>VLOOKUP(Sales[[#This Row],[Product ID]],Product[#All],7,0)</f>
        <v>42370</v>
      </c>
      <c r="I1311" s="160">
        <f>Sales[[#This Row],[Selling Rate]]*Sales[[#This Row],[Qty]]</f>
        <v>338960</v>
      </c>
      <c r="J1311" s="43">
        <v>0.12</v>
      </c>
      <c r="K1311" s="44">
        <f>Sales[[#This Row],[Gross Amount]]*Sales[[#This Row],[Disc %]]</f>
        <v>40675.199999999997</v>
      </c>
      <c r="L1311" s="43">
        <v>0.18</v>
      </c>
      <c r="M1311" s="44">
        <f>(Sales[[#This Row],[Gross Amount]]-Sales[[#This Row],[Disc. Amt.]])*Sales[[#This Row],[GST %]]</f>
        <v>53691.263999999996</v>
      </c>
      <c r="N1311" s="161">
        <f>Sales[[#This Row],[Gross Amount]]-Sales[[#This Row],[Disc. Amt.]]+Sales[[#This Row],[GST Amount]]</f>
        <v>351976.06400000001</v>
      </c>
      <c r="O1311" s="158" t="s">
        <v>3569</v>
      </c>
      <c r="P1311" s="158" t="s">
        <v>3562</v>
      </c>
      <c r="Q1311" s="160">
        <f>IF(Sales[[#This Row],[Status]]="Cancelled",0,Sales[[#This Row],[Qty]])</f>
        <v>8</v>
      </c>
      <c r="R1311" s="161">
        <f>IF(Sales[[#This Row],[Status]]="Cancelled",0,Sales[[#This Row],[Total Amount]])</f>
        <v>351976.06400000001</v>
      </c>
      <c r="S1311" s="162">
        <f>SUM(Sales[Net Amount])</f>
        <v>406839287.73200053</v>
      </c>
    </row>
    <row r="1312" spans="1:19" ht="18.75" x14ac:dyDescent="0.25">
      <c r="A1312" s="163" t="s">
        <v>4912</v>
      </c>
      <c r="B1312" s="164">
        <v>45846</v>
      </c>
      <c r="C1312" s="34" t="s">
        <v>730</v>
      </c>
      <c r="D1312" s="53" t="str">
        <f>VLOOKUP(Sales[[#This Row],[Customer ID]],Customer[#All],2,0)</f>
        <v>Neha Verma</v>
      </c>
      <c r="E1312" s="34" t="s">
        <v>498</v>
      </c>
      <c r="F1312" s="34" t="str">
        <f>VLOOKUP(Sales[[#This Row],[Product ID]],Product[#All],2,0)</f>
        <v>Kingston Ram</v>
      </c>
      <c r="G1312" s="53">
        <v>1</v>
      </c>
      <c r="H1312" s="165">
        <f>VLOOKUP(Sales[[#This Row],[Product ID]],Product[#All],7,0)</f>
        <v>4750</v>
      </c>
      <c r="I1312" s="165">
        <f>Sales[[#This Row],[Selling Rate]]*Sales[[#This Row],[Qty]]</f>
        <v>4750</v>
      </c>
      <c r="J1312" s="45">
        <v>0.12</v>
      </c>
      <c r="K1312" s="46">
        <f>Sales[[#This Row],[Gross Amount]]*Sales[[#This Row],[Disc %]]</f>
        <v>570</v>
      </c>
      <c r="L1312" s="43">
        <v>0.18</v>
      </c>
      <c r="M1312" s="46">
        <f>(Sales[[#This Row],[Gross Amount]]-Sales[[#This Row],[Disc. Amt.]])*Sales[[#This Row],[GST %]]</f>
        <v>752.4</v>
      </c>
      <c r="N1312" s="161">
        <f>Sales[[#This Row],[Gross Amount]]-Sales[[#This Row],[Disc. Amt.]]+Sales[[#This Row],[GST Amount]]</f>
        <v>4932.3999999999996</v>
      </c>
      <c r="O1312" s="34" t="s">
        <v>3566</v>
      </c>
      <c r="P1312" s="34" t="s">
        <v>3562</v>
      </c>
      <c r="Q1312" s="165">
        <f>IF(Sales[[#This Row],[Status]]="Cancelled",0,Sales[[#This Row],[Qty]])</f>
        <v>1</v>
      </c>
      <c r="R1312" s="166">
        <f>IF(Sales[[#This Row],[Status]]="Cancelled",0,Sales[[#This Row],[Total Amount]])</f>
        <v>4932.3999999999996</v>
      </c>
      <c r="S1312" s="162">
        <f>SUM(Sales[Net Amount])</f>
        <v>406839287.73200053</v>
      </c>
    </row>
    <row r="1313" spans="1:19" ht="18.75" x14ac:dyDescent="0.25">
      <c r="A1313" s="156" t="s">
        <v>4913</v>
      </c>
      <c r="B1313" s="157">
        <v>45846</v>
      </c>
      <c r="C1313" s="158" t="s">
        <v>917</v>
      </c>
      <c r="D1313" s="159" t="str">
        <f>VLOOKUP(Sales[[#This Row],[Customer ID]],Customer[#All],2,0)</f>
        <v>Sahil Gupta</v>
      </c>
      <c r="E1313" s="158" t="s">
        <v>401</v>
      </c>
      <c r="F1313" s="158" t="str">
        <f>VLOOKUP(Sales[[#This Row],[Product ID]],Product[#All],2,0)</f>
        <v>Amazon Basics Hdmi Cable</v>
      </c>
      <c r="G1313" s="159">
        <v>8</v>
      </c>
      <c r="H1313" s="160">
        <f>VLOOKUP(Sales[[#This Row],[Product ID]],Product[#All],7,0)</f>
        <v>670</v>
      </c>
      <c r="I1313" s="160">
        <f>Sales[[#This Row],[Selling Rate]]*Sales[[#This Row],[Qty]]</f>
        <v>5360</v>
      </c>
      <c r="J1313" s="43">
        <v>0.05</v>
      </c>
      <c r="K1313" s="44">
        <f>Sales[[#This Row],[Gross Amount]]*Sales[[#This Row],[Disc %]]</f>
        <v>268</v>
      </c>
      <c r="L1313" s="43">
        <v>0.18</v>
      </c>
      <c r="M1313" s="44">
        <f>(Sales[[#This Row],[Gross Amount]]-Sales[[#This Row],[Disc. Amt.]])*Sales[[#This Row],[GST %]]</f>
        <v>916.56</v>
      </c>
      <c r="N1313" s="161">
        <f>Sales[[#This Row],[Gross Amount]]-Sales[[#This Row],[Disc. Amt.]]+Sales[[#This Row],[GST Amount]]</f>
        <v>6008.5599999999995</v>
      </c>
      <c r="O1313" s="158" t="s">
        <v>3561</v>
      </c>
      <c r="P1313" s="158" t="s">
        <v>3562</v>
      </c>
      <c r="Q1313" s="160">
        <f>IF(Sales[[#This Row],[Status]]="Cancelled",0,Sales[[#This Row],[Qty]])</f>
        <v>8</v>
      </c>
      <c r="R1313" s="161">
        <f>IF(Sales[[#This Row],[Status]]="Cancelled",0,Sales[[#This Row],[Total Amount]])</f>
        <v>6008.5599999999995</v>
      </c>
      <c r="S1313" s="162">
        <f>SUM(Sales[Net Amount])</f>
        <v>406839287.73200053</v>
      </c>
    </row>
    <row r="1314" spans="1:19" ht="18.75" x14ac:dyDescent="0.25">
      <c r="A1314" s="163" t="s">
        <v>4914</v>
      </c>
      <c r="B1314" s="164">
        <v>45846</v>
      </c>
      <c r="C1314" s="34" t="s">
        <v>721</v>
      </c>
      <c r="D1314" s="53" t="str">
        <f>VLOOKUP(Sales[[#This Row],[Customer ID]],Customer[#All],2,0)</f>
        <v>Sahil Sharma</v>
      </c>
      <c r="E1314" s="34" t="s">
        <v>260</v>
      </c>
      <c r="F1314" s="34" t="str">
        <f>VLOOKUP(Sales[[#This Row],[Product ID]],Product[#All],2,0)</f>
        <v>Corsair Ram</v>
      </c>
      <c r="G1314" s="53">
        <v>4</v>
      </c>
      <c r="H1314" s="165">
        <f>VLOOKUP(Sales[[#This Row],[Product ID]],Product[#All],7,0)</f>
        <v>6010</v>
      </c>
      <c r="I1314" s="165">
        <f>Sales[[#This Row],[Selling Rate]]*Sales[[#This Row],[Qty]]</f>
        <v>24040</v>
      </c>
      <c r="J1314" s="45">
        <v>0</v>
      </c>
      <c r="K1314" s="46">
        <f>Sales[[#This Row],[Gross Amount]]*Sales[[#This Row],[Disc %]]</f>
        <v>0</v>
      </c>
      <c r="L1314" s="43">
        <v>0.18</v>
      </c>
      <c r="M1314" s="46">
        <f>(Sales[[#This Row],[Gross Amount]]-Sales[[#This Row],[Disc. Amt.]])*Sales[[#This Row],[GST %]]</f>
        <v>4327.2</v>
      </c>
      <c r="N1314" s="161">
        <f>Sales[[#This Row],[Gross Amount]]-Sales[[#This Row],[Disc. Amt.]]+Sales[[#This Row],[GST Amount]]</f>
        <v>28367.200000000001</v>
      </c>
      <c r="O1314" s="34" t="s">
        <v>3561</v>
      </c>
      <c r="P1314" s="34" t="s">
        <v>3562</v>
      </c>
      <c r="Q1314" s="165">
        <f>IF(Sales[[#This Row],[Status]]="Cancelled",0,Sales[[#This Row],[Qty]])</f>
        <v>4</v>
      </c>
      <c r="R1314" s="166">
        <f>IF(Sales[[#This Row],[Status]]="Cancelled",0,Sales[[#This Row],[Total Amount]])</f>
        <v>28367.200000000001</v>
      </c>
      <c r="S1314" s="162">
        <f>SUM(Sales[Net Amount])</f>
        <v>406839287.73200053</v>
      </c>
    </row>
    <row r="1315" spans="1:19" ht="18.75" x14ac:dyDescent="0.25">
      <c r="A1315" s="156" t="s">
        <v>4915</v>
      </c>
      <c r="B1315" s="157">
        <v>45846</v>
      </c>
      <c r="C1315" s="158" t="s">
        <v>678</v>
      </c>
      <c r="D1315" s="159" t="str">
        <f>VLOOKUP(Sales[[#This Row],[Customer ID]],Customer[#All],2,0)</f>
        <v>Ankit Gupta</v>
      </c>
      <c r="E1315" s="158" t="s">
        <v>392</v>
      </c>
      <c r="F1315" s="158" t="str">
        <f>VLOOKUP(Sales[[#This Row],[Product ID]],Product[#All],2,0)</f>
        <v>Apc UPS</v>
      </c>
      <c r="G1315" s="159">
        <v>8</v>
      </c>
      <c r="H1315" s="160">
        <f>VLOOKUP(Sales[[#This Row],[Product ID]],Product[#All],7,0)</f>
        <v>3320</v>
      </c>
      <c r="I1315" s="160">
        <f>Sales[[#This Row],[Selling Rate]]*Sales[[#This Row],[Qty]]</f>
        <v>26560</v>
      </c>
      <c r="J1315" s="43">
        <v>0.05</v>
      </c>
      <c r="K1315" s="44">
        <f>Sales[[#This Row],[Gross Amount]]*Sales[[#This Row],[Disc %]]</f>
        <v>1328</v>
      </c>
      <c r="L1315" s="43">
        <v>0.18</v>
      </c>
      <c r="M1315" s="44">
        <f>(Sales[[#This Row],[Gross Amount]]-Sales[[#This Row],[Disc. Amt.]])*Sales[[#This Row],[GST %]]</f>
        <v>4541.76</v>
      </c>
      <c r="N1315" s="161">
        <f>Sales[[#This Row],[Gross Amount]]-Sales[[#This Row],[Disc. Amt.]]+Sales[[#This Row],[GST Amount]]</f>
        <v>29773.760000000002</v>
      </c>
      <c r="O1315" s="158" t="s">
        <v>3569</v>
      </c>
      <c r="P1315" s="158" t="s">
        <v>3562</v>
      </c>
      <c r="Q1315" s="160">
        <f>IF(Sales[[#This Row],[Status]]="Cancelled",0,Sales[[#This Row],[Qty]])</f>
        <v>8</v>
      </c>
      <c r="R1315" s="161">
        <f>IF(Sales[[#This Row],[Status]]="Cancelled",0,Sales[[#This Row],[Total Amount]])</f>
        <v>29773.760000000002</v>
      </c>
      <c r="S1315" s="162">
        <f>SUM(Sales[Net Amount])</f>
        <v>406839287.73200053</v>
      </c>
    </row>
    <row r="1316" spans="1:19" ht="18.75" x14ac:dyDescent="0.25">
      <c r="A1316" s="163" t="s">
        <v>4916</v>
      </c>
      <c r="B1316" s="164">
        <v>45846</v>
      </c>
      <c r="C1316" s="34" t="s">
        <v>652</v>
      </c>
      <c r="D1316" s="53" t="str">
        <f>VLOOKUP(Sales[[#This Row],[Customer ID]],Customer[#All],2,0)</f>
        <v>Sahil Kumar</v>
      </c>
      <c r="E1316" s="34" t="s">
        <v>197</v>
      </c>
      <c r="F1316" s="34" t="str">
        <f>VLOOKUP(Sales[[#This Row],[Product ID]],Product[#All],2,0)</f>
        <v>Crucial Ssd</v>
      </c>
      <c r="G1316" s="53">
        <v>1</v>
      </c>
      <c r="H1316" s="165">
        <f>VLOOKUP(Sales[[#This Row],[Product ID]],Product[#All],7,0)</f>
        <v>16400</v>
      </c>
      <c r="I1316" s="165">
        <f>Sales[[#This Row],[Selling Rate]]*Sales[[#This Row],[Qty]]</f>
        <v>16400</v>
      </c>
      <c r="J1316" s="45">
        <v>0.05</v>
      </c>
      <c r="K1316" s="46">
        <f>Sales[[#This Row],[Gross Amount]]*Sales[[#This Row],[Disc %]]</f>
        <v>820</v>
      </c>
      <c r="L1316" s="43">
        <v>0.18</v>
      </c>
      <c r="M1316" s="46">
        <f>(Sales[[#This Row],[Gross Amount]]-Sales[[#This Row],[Disc. Amt.]])*Sales[[#This Row],[GST %]]</f>
        <v>2804.4</v>
      </c>
      <c r="N1316" s="161">
        <f>Sales[[#This Row],[Gross Amount]]-Sales[[#This Row],[Disc. Amt.]]+Sales[[#This Row],[GST Amount]]</f>
        <v>18384.400000000001</v>
      </c>
      <c r="O1316" s="34" t="s">
        <v>3561</v>
      </c>
      <c r="P1316" s="34" t="s">
        <v>3562</v>
      </c>
      <c r="Q1316" s="165">
        <f>IF(Sales[[#This Row],[Status]]="Cancelled",0,Sales[[#This Row],[Qty]])</f>
        <v>1</v>
      </c>
      <c r="R1316" s="166">
        <f>IF(Sales[[#This Row],[Status]]="Cancelled",0,Sales[[#This Row],[Total Amount]])</f>
        <v>18384.400000000001</v>
      </c>
      <c r="S1316" s="162">
        <f>SUM(Sales[Net Amount])</f>
        <v>406839287.73200053</v>
      </c>
    </row>
    <row r="1317" spans="1:19" ht="18.75" x14ac:dyDescent="0.25">
      <c r="A1317" s="156" t="s">
        <v>4917</v>
      </c>
      <c r="B1317" s="157">
        <v>45846</v>
      </c>
      <c r="C1317" s="158" t="s">
        <v>705</v>
      </c>
      <c r="D1317" s="159" t="str">
        <f>VLOOKUP(Sales[[#This Row],[Customer ID]],Customer[#All],2,0)</f>
        <v>Priya Verma</v>
      </c>
      <c r="E1317" s="158" t="s">
        <v>213</v>
      </c>
      <c r="F1317" s="158" t="str">
        <f>VLOOKUP(Sales[[#This Row],[Product ID]],Product[#All],2,0)</f>
        <v>Dell Power Adapter</v>
      </c>
      <c r="G1317" s="159">
        <v>6</v>
      </c>
      <c r="H1317" s="160">
        <f>VLOOKUP(Sales[[#This Row],[Product ID]],Product[#All],7,0)</f>
        <v>3740</v>
      </c>
      <c r="I1317" s="160">
        <f>Sales[[#This Row],[Selling Rate]]*Sales[[#This Row],[Qty]]</f>
        <v>22440</v>
      </c>
      <c r="J1317" s="43">
        <v>0.15</v>
      </c>
      <c r="K1317" s="44">
        <f>Sales[[#This Row],[Gross Amount]]*Sales[[#This Row],[Disc %]]</f>
        <v>3366</v>
      </c>
      <c r="L1317" s="43">
        <v>0.18</v>
      </c>
      <c r="M1317" s="44">
        <f>(Sales[[#This Row],[Gross Amount]]-Sales[[#This Row],[Disc. Amt.]])*Sales[[#This Row],[GST %]]</f>
        <v>3433.3199999999997</v>
      </c>
      <c r="N1317" s="161">
        <f>Sales[[#This Row],[Gross Amount]]-Sales[[#This Row],[Disc. Amt.]]+Sales[[#This Row],[GST Amount]]</f>
        <v>22507.32</v>
      </c>
      <c r="O1317" s="158" t="s">
        <v>3566</v>
      </c>
      <c r="P1317" s="158" t="s">
        <v>3562</v>
      </c>
      <c r="Q1317" s="160">
        <f>IF(Sales[[#This Row],[Status]]="Cancelled",0,Sales[[#This Row],[Qty]])</f>
        <v>6</v>
      </c>
      <c r="R1317" s="161">
        <f>IF(Sales[[#This Row],[Status]]="Cancelled",0,Sales[[#This Row],[Total Amount]])</f>
        <v>22507.32</v>
      </c>
      <c r="S1317" s="162">
        <f>SUM(Sales[Net Amount])</f>
        <v>406839287.73200053</v>
      </c>
    </row>
    <row r="1318" spans="1:19" ht="18.75" x14ac:dyDescent="0.25">
      <c r="A1318" s="163" t="s">
        <v>4918</v>
      </c>
      <c r="B1318" s="164">
        <v>45846</v>
      </c>
      <c r="C1318" s="34" t="s">
        <v>881</v>
      </c>
      <c r="D1318" s="53" t="str">
        <f>VLOOKUP(Sales[[#This Row],[Customer ID]],Customer[#All],2,0)</f>
        <v>Vikas Verma</v>
      </c>
      <c r="E1318" s="34" t="s">
        <v>419</v>
      </c>
      <c r="F1318" s="34" t="str">
        <f>VLOOKUP(Sales[[#This Row],[Product ID]],Product[#All],2,0)</f>
        <v>WD HDD</v>
      </c>
      <c r="G1318" s="53">
        <v>7</v>
      </c>
      <c r="H1318" s="165">
        <f>VLOOKUP(Sales[[#This Row],[Product ID]],Product[#All],7,0)</f>
        <v>8930</v>
      </c>
      <c r="I1318" s="165">
        <f>Sales[[#This Row],[Selling Rate]]*Sales[[#This Row],[Qty]]</f>
        <v>62510</v>
      </c>
      <c r="J1318" s="45">
        <v>0.12</v>
      </c>
      <c r="K1318" s="46">
        <f>Sales[[#This Row],[Gross Amount]]*Sales[[#This Row],[Disc %]]</f>
        <v>7501.2</v>
      </c>
      <c r="L1318" s="43">
        <v>0.18</v>
      </c>
      <c r="M1318" s="46">
        <f>(Sales[[#This Row],[Gross Amount]]-Sales[[#This Row],[Disc. Amt.]])*Sales[[#This Row],[GST %]]</f>
        <v>9901.5840000000007</v>
      </c>
      <c r="N1318" s="161">
        <f>Sales[[#This Row],[Gross Amount]]-Sales[[#This Row],[Disc. Amt.]]+Sales[[#This Row],[GST Amount]]</f>
        <v>64910.384000000005</v>
      </c>
      <c r="O1318" s="34" t="s">
        <v>3561</v>
      </c>
      <c r="P1318" s="34" t="s">
        <v>3562</v>
      </c>
      <c r="Q1318" s="165">
        <f>IF(Sales[[#This Row],[Status]]="Cancelled",0,Sales[[#This Row],[Qty]])</f>
        <v>7</v>
      </c>
      <c r="R1318" s="166">
        <f>IF(Sales[[#This Row],[Status]]="Cancelled",0,Sales[[#This Row],[Total Amount]])</f>
        <v>64910.384000000005</v>
      </c>
      <c r="S1318" s="162">
        <f>SUM(Sales[Net Amount])</f>
        <v>406839287.73200053</v>
      </c>
    </row>
    <row r="1319" spans="1:19" ht="18.75" x14ac:dyDescent="0.25">
      <c r="A1319" s="156" t="s">
        <v>4919</v>
      </c>
      <c r="B1319" s="157">
        <v>45846</v>
      </c>
      <c r="C1319" s="158" t="s">
        <v>865</v>
      </c>
      <c r="D1319" s="159" t="str">
        <f>VLOOKUP(Sales[[#This Row],[Customer ID]],Customer[#All],2,0)</f>
        <v>Sunita Gupta</v>
      </c>
      <c r="E1319" s="158" t="s">
        <v>356</v>
      </c>
      <c r="F1319" s="158" t="str">
        <f>VLOOKUP(Sales[[#This Row],[Product ID]],Product[#All],2,0)</f>
        <v>Corsair Ram</v>
      </c>
      <c r="G1319" s="159">
        <v>6</v>
      </c>
      <c r="H1319" s="160">
        <f>VLOOKUP(Sales[[#This Row],[Product ID]],Product[#All],7,0)</f>
        <v>8460</v>
      </c>
      <c r="I1319" s="160">
        <f>Sales[[#This Row],[Selling Rate]]*Sales[[#This Row],[Qty]]</f>
        <v>50760</v>
      </c>
      <c r="J1319" s="43">
        <v>0.12</v>
      </c>
      <c r="K1319" s="44">
        <f>Sales[[#This Row],[Gross Amount]]*Sales[[#This Row],[Disc %]]</f>
        <v>6091.2</v>
      </c>
      <c r="L1319" s="43">
        <v>0.18</v>
      </c>
      <c r="M1319" s="44">
        <f>(Sales[[#This Row],[Gross Amount]]-Sales[[#This Row],[Disc. Amt.]])*Sales[[#This Row],[GST %]]</f>
        <v>8040.384</v>
      </c>
      <c r="N1319" s="161">
        <f>Sales[[#This Row],[Gross Amount]]-Sales[[#This Row],[Disc. Amt.]]+Sales[[#This Row],[GST Amount]]</f>
        <v>52709.184000000001</v>
      </c>
      <c r="O1319" s="158" t="s">
        <v>3561</v>
      </c>
      <c r="P1319" s="158" t="s">
        <v>3562</v>
      </c>
      <c r="Q1319" s="160">
        <f>IF(Sales[[#This Row],[Status]]="Cancelled",0,Sales[[#This Row],[Qty]])</f>
        <v>6</v>
      </c>
      <c r="R1319" s="161">
        <f>IF(Sales[[#This Row],[Status]]="Cancelled",0,Sales[[#This Row],[Total Amount]])</f>
        <v>52709.184000000001</v>
      </c>
      <c r="S1319" s="162">
        <f>SUM(Sales[Net Amount])</f>
        <v>406839287.73200053</v>
      </c>
    </row>
    <row r="1320" spans="1:19" ht="18.75" x14ac:dyDescent="0.25">
      <c r="A1320" s="163" t="s">
        <v>4920</v>
      </c>
      <c r="B1320" s="164">
        <v>45846</v>
      </c>
      <c r="C1320" s="34" t="s">
        <v>942</v>
      </c>
      <c r="D1320" s="53" t="str">
        <f>VLOOKUP(Sales[[#This Row],[Customer ID]],Customer[#All],2,0)</f>
        <v>Sunita Kumar</v>
      </c>
      <c r="E1320" s="34" t="s">
        <v>198</v>
      </c>
      <c r="F1320" s="34" t="str">
        <f>VLOOKUP(Sales[[#This Row],[Product ID]],Product[#All],2,0)</f>
        <v>PortronicsLaptopStand</v>
      </c>
      <c r="G1320" s="53">
        <v>6</v>
      </c>
      <c r="H1320" s="165">
        <f>VLOOKUP(Sales[[#This Row],[Product ID]],Product[#All],7,0)</f>
        <v>2240</v>
      </c>
      <c r="I1320" s="165">
        <f>Sales[[#This Row],[Selling Rate]]*Sales[[#This Row],[Qty]]</f>
        <v>13440</v>
      </c>
      <c r="J1320" s="45">
        <v>0</v>
      </c>
      <c r="K1320" s="46">
        <f>Sales[[#This Row],[Gross Amount]]*Sales[[#This Row],[Disc %]]</f>
        <v>0</v>
      </c>
      <c r="L1320" s="43">
        <v>0.18</v>
      </c>
      <c r="M1320" s="46">
        <f>(Sales[[#This Row],[Gross Amount]]-Sales[[#This Row],[Disc. Amt.]])*Sales[[#This Row],[GST %]]</f>
        <v>2419.1999999999998</v>
      </c>
      <c r="N1320" s="161">
        <f>Sales[[#This Row],[Gross Amount]]-Sales[[#This Row],[Disc. Amt.]]+Sales[[#This Row],[GST Amount]]</f>
        <v>15859.2</v>
      </c>
      <c r="O1320" s="34" t="s">
        <v>8876</v>
      </c>
      <c r="P1320" s="34" t="s">
        <v>3562</v>
      </c>
      <c r="Q1320" s="165">
        <f>IF(Sales[[#This Row],[Status]]="Cancelled",0,Sales[[#This Row],[Qty]])</f>
        <v>6</v>
      </c>
      <c r="R1320" s="166">
        <f>IF(Sales[[#This Row],[Status]]="Cancelled",0,Sales[[#This Row],[Total Amount]])</f>
        <v>15859.2</v>
      </c>
      <c r="S1320" s="162">
        <f>SUM(Sales[Net Amount])</f>
        <v>406839287.73200053</v>
      </c>
    </row>
    <row r="1321" spans="1:19" ht="18.75" x14ac:dyDescent="0.25">
      <c r="A1321" s="156" t="s">
        <v>4921</v>
      </c>
      <c r="B1321" s="157">
        <v>45846</v>
      </c>
      <c r="C1321" s="158" t="s">
        <v>886</v>
      </c>
      <c r="D1321" s="159" t="str">
        <f>VLOOKUP(Sales[[#This Row],[Customer ID]],Customer[#All],2,0)</f>
        <v>Sunita Gupta</v>
      </c>
      <c r="E1321" s="158" t="s">
        <v>193</v>
      </c>
      <c r="F1321" s="158" t="str">
        <f>VLOOKUP(Sales[[#This Row],[Product ID]],Product[#All],2,0)</f>
        <v>Apc UPS</v>
      </c>
      <c r="G1321" s="159">
        <v>3</v>
      </c>
      <c r="H1321" s="160">
        <f>VLOOKUP(Sales[[#This Row],[Product ID]],Product[#All],7,0)</f>
        <v>18760</v>
      </c>
      <c r="I1321" s="160">
        <f>Sales[[#This Row],[Selling Rate]]*Sales[[#This Row],[Qty]]</f>
        <v>56280</v>
      </c>
      <c r="J1321" s="43">
        <v>0</v>
      </c>
      <c r="K1321" s="44">
        <f>Sales[[#This Row],[Gross Amount]]*Sales[[#This Row],[Disc %]]</f>
        <v>0</v>
      </c>
      <c r="L1321" s="43">
        <v>0.18</v>
      </c>
      <c r="M1321" s="44">
        <f>(Sales[[#This Row],[Gross Amount]]-Sales[[#This Row],[Disc. Amt.]])*Sales[[#This Row],[GST %]]</f>
        <v>10130.4</v>
      </c>
      <c r="N1321" s="161">
        <f>Sales[[#This Row],[Gross Amount]]-Sales[[#This Row],[Disc. Amt.]]+Sales[[#This Row],[GST Amount]]</f>
        <v>66410.399999999994</v>
      </c>
      <c r="O1321" s="158" t="s">
        <v>3561</v>
      </c>
      <c r="P1321" s="158" t="s">
        <v>3562</v>
      </c>
      <c r="Q1321" s="160">
        <f>IF(Sales[[#This Row],[Status]]="Cancelled",0,Sales[[#This Row],[Qty]])</f>
        <v>3</v>
      </c>
      <c r="R1321" s="161">
        <f>IF(Sales[[#This Row],[Status]]="Cancelled",0,Sales[[#This Row],[Total Amount]])</f>
        <v>66410.399999999994</v>
      </c>
      <c r="S1321" s="162">
        <f>SUM(Sales[Net Amount])</f>
        <v>406839287.73200053</v>
      </c>
    </row>
    <row r="1322" spans="1:19" ht="18.75" x14ac:dyDescent="0.25">
      <c r="A1322" s="163" t="s">
        <v>4922</v>
      </c>
      <c r="B1322" s="164">
        <v>45846</v>
      </c>
      <c r="C1322" s="34" t="s">
        <v>764</v>
      </c>
      <c r="D1322" s="53" t="str">
        <f>VLOOKUP(Sales[[#This Row],[Customer ID]],Customer[#All],2,0)</f>
        <v>Priya Gupta</v>
      </c>
      <c r="E1322" s="34" t="s">
        <v>184</v>
      </c>
      <c r="F1322" s="34" t="str">
        <f>VLOOKUP(Sales[[#This Row],[Product ID]],Product[#All],2,0)</f>
        <v>Seagate HDD</v>
      </c>
      <c r="G1322" s="53">
        <v>6</v>
      </c>
      <c r="H1322" s="165">
        <f>VLOOKUP(Sales[[#This Row],[Product ID]],Product[#All],7,0)</f>
        <v>11550</v>
      </c>
      <c r="I1322" s="165">
        <f>Sales[[#This Row],[Selling Rate]]*Sales[[#This Row],[Qty]]</f>
        <v>69300</v>
      </c>
      <c r="J1322" s="45">
        <v>0</v>
      </c>
      <c r="K1322" s="46">
        <f>Sales[[#This Row],[Gross Amount]]*Sales[[#This Row],[Disc %]]</f>
        <v>0</v>
      </c>
      <c r="L1322" s="43">
        <v>0.18</v>
      </c>
      <c r="M1322" s="46">
        <f>(Sales[[#This Row],[Gross Amount]]-Sales[[#This Row],[Disc. Amt.]])*Sales[[#This Row],[GST %]]</f>
        <v>12474</v>
      </c>
      <c r="N1322" s="161">
        <f>Sales[[#This Row],[Gross Amount]]-Sales[[#This Row],[Disc. Amt.]]+Sales[[#This Row],[GST Amount]]</f>
        <v>81774</v>
      </c>
      <c r="O1322" s="34" t="s">
        <v>3561</v>
      </c>
      <c r="P1322" s="34" t="s">
        <v>3562</v>
      </c>
      <c r="Q1322" s="165">
        <f>IF(Sales[[#This Row],[Status]]="Cancelled",0,Sales[[#This Row],[Qty]])</f>
        <v>6</v>
      </c>
      <c r="R1322" s="166">
        <f>IF(Sales[[#This Row],[Status]]="Cancelled",0,Sales[[#This Row],[Total Amount]])</f>
        <v>81774</v>
      </c>
      <c r="S1322" s="162">
        <f>SUM(Sales[Net Amount])</f>
        <v>406839287.73200053</v>
      </c>
    </row>
    <row r="1323" spans="1:19" ht="18.75" x14ac:dyDescent="0.25">
      <c r="A1323" s="156" t="s">
        <v>4923</v>
      </c>
      <c r="B1323" s="157">
        <v>45847</v>
      </c>
      <c r="C1323" s="158" t="s">
        <v>889</v>
      </c>
      <c r="D1323" s="159" t="str">
        <f>VLOOKUP(Sales[[#This Row],[Customer ID]],Customer[#All],2,0)</f>
        <v>Rakesh Sharma</v>
      </c>
      <c r="E1323" s="158" t="s">
        <v>545</v>
      </c>
      <c r="F1323" s="158" t="str">
        <f>VLOOKUP(Sales[[#This Row],[Product ID]],Product[#All],2,0)</f>
        <v>WD HDD</v>
      </c>
      <c r="G1323" s="159">
        <v>5</v>
      </c>
      <c r="H1323" s="160">
        <f>VLOOKUP(Sales[[#This Row],[Product ID]],Product[#All],7,0)</f>
        <v>6720</v>
      </c>
      <c r="I1323" s="160">
        <f>Sales[[#This Row],[Selling Rate]]*Sales[[#This Row],[Qty]]</f>
        <v>33600</v>
      </c>
      <c r="J1323" s="43">
        <v>0</v>
      </c>
      <c r="K1323" s="44">
        <f>Sales[[#This Row],[Gross Amount]]*Sales[[#This Row],[Disc %]]</f>
        <v>0</v>
      </c>
      <c r="L1323" s="43">
        <v>0.18</v>
      </c>
      <c r="M1323" s="44">
        <f>(Sales[[#This Row],[Gross Amount]]-Sales[[#This Row],[Disc. Amt.]])*Sales[[#This Row],[GST %]]</f>
        <v>6048</v>
      </c>
      <c r="N1323" s="161">
        <f>Sales[[#This Row],[Gross Amount]]-Sales[[#This Row],[Disc. Amt.]]+Sales[[#This Row],[GST Amount]]</f>
        <v>39648</v>
      </c>
      <c r="O1323" s="158" t="s">
        <v>3566</v>
      </c>
      <c r="P1323" s="158" t="s">
        <v>3562</v>
      </c>
      <c r="Q1323" s="160">
        <f>IF(Sales[[#This Row],[Status]]="Cancelled",0,Sales[[#This Row],[Qty]])</f>
        <v>5</v>
      </c>
      <c r="R1323" s="161">
        <f>IF(Sales[[#This Row],[Status]]="Cancelled",0,Sales[[#This Row],[Total Amount]])</f>
        <v>39648</v>
      </c>
      <c r="S1323" s="162">
        <f>SUM(Sales[Net Amount])</f>
        <v>406839287.73200053</v>
      </c>
    </row>
    <row r="1324" spans="1:19" ht="18.75" x14ac:dyDescent="0.25">
      <c r="A1324" s="163" t="s">
        <v>4924</v>
      </c>
      <c r="B1324" s="164">
        <v>45847</v>
      </c>
      <c r="C1324" s="34" t="s">
        <v>670</v>
      </c>
      <c r="D1324" s="53" t="str">
        <f>VLOOKUP(Sales[[#This Row],[Customer ID]],Customer[#All],2,0)</f>
        <v>Rakesh Patel</v>
      </c>
      <c r="E1324" s="34" t="s">
        <v>356</v>
      </c>
      <c r="F1324" s="34" t="str">
        <f>VLOOKUP(Sales[[#This Row],[Product ID]],Product[#All],2,0)</f>
        <v>Corsair Ram</v>
      </c>
      <c r="G1324" s="53">
        <v>6</v>
      </c>
      <c r="H1324" s="165">
        <f>VLOOKUP(Sales[[#This Row],[Product ID]],Product[#All],7,0)</f>
        <v>8460</v>
      </c>
      <c r="I1324" s="165">
        <f>Sales[[#This Row],[Selling Rate]]*Sales[[#This Row],[Qty]]</f>
        <v>50760</v>
      </c>
      <c r="J1324" s="45">
        <v>0.05</v>
      </c>
      <c r="K1324" s="46">
        <f>Sales[[#This Row],[Gross Amount]]*Sales[[#This Row],[Disc %]]</f>
        <v>2538</v>
      </c>
      <c r="L1324" s="43">
        <v>0.18</v>
      </c>
      <c r="M1324" s="46">
        <f>(Sales[[#This Row],[Gross Amount]]-Sales[[#This Row],[Disc. Amt.]])*Sales[[#This Row],[GST %]]</f>
        <v>8679.9599999999991</v>
      </c>
      <c r="N1324" s="161">
        <f>Sales[[#This Row],[Gross Amount]]-Sales[[#This Row],[Disc. Amt.]]+Sales[[#This Row],[GST Amount]]</f>
        <v>56901.96</v>
      </c>
      <c r="O1324" s="34" t="s">
        <v>3566</v>
      </c>
      <c r="P1324" s="34" t="s">
        <v>3562</v>
      </c>
      <c r="Q1324" s="165">
        <f>IF(Sales[[#This Row],[Status]]="Cancelled",0,Sales[[#This Row],[Qty]])</f>
        <v>6</v>
      </c>
      <c r="R1324" s="166">
        <f>IF(Sales[[#This Row],[Status]]="Cancelled",0,Sales[[#This Row],[Total Amount]])</f>
        <v>56901.96</v>
      </c>
      <c r="S1324" s="162">
        <f>SUM(Sales[Net Amount])</f>
        <v>406839287.73200053</v>
      </c>
    </row>
    <row r="1325" spans="1:19" ht="18.75" x14ac:dyDescent="0.25">
      <c r="A1325" s="156" t="s">
        <v>4925</v>
      </c>
      <c r="B1325" s="157">
        <v>45847</v>
      </c>
      <c r="C1325" s="158" t="s">
        <v>838</v>
      </c>
      <c r="D1325" s="159" t="str">
        <f>VLOOKUP(Sales[[#This Row],[Customer ID]],Customer[#All],2,0)</f>
        <v>Priya Gupta</v>
      </c>
      <c r="E1325" s="158" t="s">
        <v>58</v>
      </c>
      <c r="F1325" s="158" t="str">
        <f>VLOOKUP(Sales[[#This Row],[Product ID]],Product[#All],2,0)</f>
        <v>Lenovo Laptop</v>
      </c>
      <c r="G1325" s="159">
        <v>7</v>
      </c>
      <c r="H1325" s="160">
        <f>VLOOKUP(Sales[[#This Row],[Product ID]],Product[#All],7,0)</f>
        <v>50200</v>
      </c>
      <c r="I1325" s="160">
        <f>Sales[[#This Row],[Selling Rate]]*Sales[[#This Row],[Qty]]</f>
        <v>351400</v>
      </c>
      <c r="J1325" s="43">
        <v>0.02</v>
      </c>
      <c r="K1325" s="44">
        <f>Sales[[#This Row],[Gross Amount]]*Sales[[#This Row],[Disc %]]</f>
        <v>7028</v>
      </c>
      <c r="L1325" s="43">
        <v>0.18</v>
      </c>
      <c r="M1325" s="44">
        <f>(Sales[[#This Row],[Gross Amount]]-Sales[[#This Row],[Disc. Amt.]])*Sales[[#This Row],[GST %]]</f>
        <v>61986.96</v>
      </c>
      <c r="N1325" s="161">
        <f>Sales[[#This Row],[Gross Amount]]-Sales[[#This Row],[Disc. Amt.]]+Sales[[#This Row],[GST Amount]]</f>
        <v>406358.96</v>
      </c>
      <c r="O1325" s="158" t="s">
        <v>3569</v>
      </c>
      <c r="P1325" s="158" t="s">
        <v>3562</v>
      </c>
      <c r="Q1325" s="160">
        <f>IF(Sales[[#This Row],[Status]]="Cancelled",0,Sales[[#This Row],[Qty]])</f>
        <v>7</v>
      </c>
      <c r="R1325" s="161">
        <f>IF(Sales[[#This Row],[Status]]="Cancelled",0,Sales[[#This Row],[Total Amount]])</f>
        <v>406358.96</v>
      </c>
      <c r="S1325" s="162">
        <f>SUM(Sales[Net Amount])</f>
        <v>406839287.73200053</v>
      </c>
    </row>
    <row r="1326" spans="1:19" ht="18.75" x14ac:dyDescent="0.25">
      <c r="A1326" s="163" t="s">
        <v>4926</v>
      </c>
      <c r="B1326" s="164">
        <v>45847</v>
      </c>
      <c r="C1326" s="34" t="s">
        <v>898</v>
      </c>
      <c r="D1326" s="53" t="str">
        <f>VLOOKUP(Sales[[#This Row],[Customer ID]],Customer[#All],2,0)</f>
        <v>Rahul Singh</v>
      </c>
      <c r="E1326" s="34" t="s">
        <v>507</v>
      </c>
      <c r="F1326" s="34" t="str">
        <f>VLOOKUP(Sales[[#This Row],[Product ID]],Product[#All],2,0)</f>
        <v>American TouristerLaptopBag</v>
      </c>
      <c r="G1326" s="53">
        <v>2</v>
      </c>
      <c r="H1326" s="165">
        <f>VLOOKUP(Sales[[#This Row],[Product ID]],Product[#All],7,0)</f>
        <v>2030</v>
      </c>
      <c r="I1326" s="165">
        <f>Sales[[#This Row],[Selling Rate]]*Sales[[#This Row],[Qty]]</f>
        <v>4060</v>
      </c>
      <c r="J1326" s="45">
        <v>0.1</v>
      </c>
      <c r="K1326" s="46">
        <f>Sales[[#This Row],[Gross Amount]]*Sales[[#This Row],[Disc %]]</f>
        <v>406</v>
      </c>
      <c r="L1326" s="43">
        <v>0.18</v>
      </c>
      <c r="M1326" s="46">
        <f>(Sales[[#This Row],[Gross Amount]]-Sales[[#This Row],[Disc. Amt.]])*Sales[[#This Row],[GST %]]</f>
        <v>657.72</v>
      </c>
      <c r="N1326" s="161">
        <f>Sales[[#This Row],[Gross Amount]]-Sales[[#This Row],[Disc. Amt.]]+Sales[[#This Row],[GST Amount]]</f>
        <v>4311.72</v>
      </c>
      <c r="O1326" s="34" t="s">
        <v>3566</v>
      </c>
      <c r="P1326" s="34" t="s">
        <v>3562</v>
      </c>
      <c r="Q1326" s="165">
        <f>IF(Sales[[#This Row],[Status]]="Cancelled",0,Sales[[#This Row],[Qty]])</f>
        <v>2</v>
      </c>
      <c r="R1326" s="166">
        <f>IF(Sales[[#This Row],[Status]]="Cancelled",0,Sales[[#This Row],[Total Amount]])</f>
        <v>4311.72</v>
      </c>
      <c r="S1326" s="162">
        <f>SUM(Sales[Net Amount])</f>
        <v>406839287.73200053</v>
      </c>
    </row>
    <row r="1327" spans="1:19" ht="18.75" x14ac:dyDescent="0.25">
      <c r="A1327" s="156" t="s">
        <v>4927</v>
      </c>
      <c r="B1327" s="157">
        <v>45847</v>
      </c>
      <c r="C1327" s="158" t="s">
        <v>4928</v>
      </c>
      <c r="D1327" s="159" t="str">
        <f>VLOOKUP(Sales[[#This Row],[Customer ID]],Customer[#All],2,0)</f>
        <v>Amit Gupta</v>
      </c>
      <c r="E1327" s="158" t="s">
        <v>222</v>
      </c>
      <c r="F1327" s="158" t="str">
        <f>VLOOKUP(Sales[[#This Row],[Product ID]],Product[#All],2,0)</f>
        <v>Jbl Headset</v>
      </c>
      <c r="G1327" s="159">
        <v>7</v>
      </c>
      <c r="H1327" s="160">
        <f>VLOOKUP(Sales[[#This Row],[Product ID]],Product[#All],7,0)</f>
        <v>8550</v>
      </c>
      <c r="I1327" s="160">
        <f>Sales[[#This Row],[Selling Rate]]*Sales[[#This Row],[Qty]]</f>
        <v>59850</v>
      </c>
      <c r="J1327" s="43">
        <v>0.05</v>
      </c>
      <c r="K1327" s="44">
        <f>Sales[[#This Row],[Gross Amount]]*Sales[[#This Row],[Disc %]]</f>
        <v>2992.5</v>
      </c>
      <c r="L1327" s="43">
        <v>0.18</v>
      </c>
      <c r="M1327" s="44">
        <f>(Sales[[#This Row],[Gross Amount]]-Sales[[#This Row],[Disc. Amt.]])*Sales[[#This Row],[GST %]]</f>
        <v>10234.35</v>
      </c>
      <c r="N1327" s="161">
        <f>Sales[[#This Row],[Gross Amount]]-Sales[[#This Row],[Disc. Amt.]]+Sales[[#This Row],[GST Amount]]</f>
        <v>67091.850000000006</v>
      </c>
      <c r="O1327" s="158" t="s">
        <v>3561</v>
      </c>
      <c r="P1327" s="158" t="s">
        <v>3562</v>
      </c>
      <c r="Q1327" s="160">
        <f>IF(Sales[[#This Row],[Status]]="Cancelled",0,Sales[[#This Row],[Qty]])</f>
        <v>7</v>
      </c>
      <c r="R1327" s="161">
        <f>IF(Sales[[#This Row],[Status]]="Cancelled",0,Sales[[#This Row],[Total Amount]])</f>
        <v>67091.850000000006</v>
      </c>
      <c r="S1327" s="162">
        <f>SUM(Sales[Net Amount])</f>
        <v>406839287.73200053</v>
      </c>
    </row>
    <row r="1328" spans="1:19" ht="18.75" x14ac:dyDescent="0.25">
      <c r="A1328" s="163" t="s">
        <v>4929</v>
      </c>
      <c r="B1328" s="164">
        <v>45847</v>
      </c>
      <c r="C1328" s="34" t="s">
        <v>666</v>
      </c>
      <c r="D1328" s="53" t="str">
        <f>VLOOKUP(Sales[[#This Row],[Customer ID]],Customer[#All],2,0)</f>
        <v>Sahil Gupta</v>
      </c>
      <c r="E1328" s="34" t="s">
        <v>478</v>
      </c>
      <c r="F1328" s="34" t="str">
        <f>VLOOKUP(Sales[[#This Row],[Product ID]],Product[#All],2,0)</f>
        <v>American TouristerLaptopBag</v>
      </c>
      <c r="G1328" s="53">
        <v>1</v>
      </c>
      <c r="H1328" s="165">
        <f>VLOOKUP(Sales[[#This Row],[Product ID]],Product[#All],7,0)</f>
        <v>6010</v>
      </c>
      <c r="I1328" s="165">
        <f>Sales[[#This Row],[Selling Rate]]*Sales[[#This Row],[Qty]]</f>
        <v>6010</v>
      </c>
      <c r="J1328" s="45">
        <v>0.05</v>
      </c>
      <c r="K1328" s="46">
        <f>Sales[[#This Row],[Gross Amount]]*Sales[[#This Row],[Disc %]]</f>
        <v>300.5</v>
      </c>
      <c r="L1328" s="43">
        <v>0.18</v>
      </c>
      <c r="M1328" s="46">
        <f>(Sales[[#This Row],[Gross Amount]]-Sales[[#This Row],[Disc. Amt.]])*Sales[[#This Row],[GST %]]</f>
        <v>1027.71</v>
      </c>
      <c r="N1328" s="161">
        <f>Sales[[#This Row],[Gross Amount]]-Sales[[#This Row],[Disc. Amt.]]+Sales[[#This Row],[GST Amount]]</f>
        <v>6737.21</v>
      </c>
      <c r="O1328" s="34" t="s">
        <v>8876</v>
      </c>
      <c r="P1328" s="34" t="s">
        <v>3562</v>
      </c>
      <c r="Q1328" s="165">
        <f>IF(Sales[[#This Row],[Status]]="Cancelled",0,Sales[[#This Row],[Qty]])</f>
        <v>1</v>
      </c>
      <c r="R1328" s="166">
        <f>IF(Sales[[#This Row],[Status]]="Cancelled",0,Sales[[#This Row],[Total Amount]])</f>
        <v>6737.21</v>
      </c>
      <c r="S1328" s="162">
        <f>SUM(Sales[Net Amount])</f>
        <v>406839287.73200053</v>
      </c>
    </row>
    <row r="1329" spans="1:19" ht="18.75" x14ac:dyDescent="0.25">
      <c r="A1329" s="156" t="s">
        <v>4930</v>
      </c>
      <c r="B1329" s="157">
        <v>45847</v>
      </c>
      <c r="C1329" s="158" t="s">
        <v>858</v>
      </c>
      <c r="D1329" s="159" t="str">
        <f>VLOOKUP(Sales[[#This Row],[Customer ID]],Customer[#All],2,0)</f>
        <v>Neha Sharma</v>
      </c>
      <c r="E1329" s="158" t="s">
        <v>391</v>
      </c>
      <c r="F1329" s="158" t="str">
        <f>VLOOKUP(Sales[[#This Row],[Product ID]],Product[#All],2,0)</f>
        <v>Seagate HDD</v>
      </c>
      <c r="G1329" s="159">
        <v>7</v>
      </c>
      <c r="H1329" s="160">
        <f>VLOOKUP(Sales[[#This Row],[Product ID]],Product[#All],7,0)</f>
        <v>10370</v>
      </c>
      <c r="I1329" s="160">
        <f>Sales[[#This Row],[Selling Rate]]*Sales[[#This Row],[Qty]]</f>
        <v>72590</v>
      </c>
      <c r="J1329" s="43">
        <v>0</v>
      </c>
      <c r="K1329" s="44">
        <f>Sales[[#This Row],[Gross Amount]]*Sales[[#This Row],[Disc %]]</f>
        <v>0</v>
      </c>
      <c r="L1329" s="43">
        <v>0.18</v>
      </c>
      <c r="M1329" s="44">
        <f>(Sales[[#This Row],[Gross Amount]]-Sales[[#This Row],[Disc. Amt.]])*Sales[[#This Row],[GST %]]</f>
        <v>13066.199999999999</v>
      </c>
      <c r="N1329" s="161">
        <f>Sales[[#This Row],[Gross Amount]]-Sales[[#This Row],[Disc. Amt.]]+Sales[[#This Row],[GST Amount]]</f>
        <v>85656.2</v>
      </c>
      <c r="O1329" s="158" t="s">
        <v>3569</v>
      </c>
      <c r="P1329" s="158" t="s">
        <v>3562</v>
      </c>
      <c r="Q1329" s="160">
        <f>IF(Sales[[#This Row],[Status]]="Cancelled",0,Sales[[#This Row],[Qty]])</f>
        <v>7</v>
      </c>
      <c r="R1329" s="161">
        <f>IF(Sales[[#This Row],[Status]]="Cancelled",0,Sales[[#This Row],[Total Amount]])</f>
        <v>85656.2</v>
      </c>
      <c r="S1329" s="162">
        <f>SUM(Sales[Net Amount])</f>
        <v>406839287.73200053</v>
      </c>
    </row>
    <row r="1330" spans="1:19" ht="18.75" x14ac:dyDescent="0.25">
      <c r="A1330" s="163" t="s">
        <v>4931</v>
      </c>
      <c r="B1330" s="164">
        <v>45847</v>
      </c>
      <c r="C1330" s="34" t="s">
        <v>739</v>
      </c>
      <c r="D1330" s="53" t="str">
        <f>VLOOKUP(Sales[[#This Row],[Customer ID]],Customer[#All],2,0)</f>
        <v>Ankit Singh</v>
      </c>
      <c r="E1330" s="34" t="s">
        <v>271</v>
      </c>
      <c r="F1330" s="34" t="str">
        <f>VLOOKUP(Sales[[#This Row],[Product ID]],Product[#All],2,0)</f>
        <v>TP-link Bluetooth Adapter</v>
      </c>
      <c r="G1330" s="53">
        <v>4</v>
      </c>
      <c r="H1330" s="165">
        <f>VLOOKUP(Sales[[#This Row],[Product ID]],Product[#All],7,0)</f>
        <v>410</v>
      </c>
      <c r="I1330" s="165">
        <f>Sales[[#This Row],[Selling Rate]]*Sales[[#This Row],[Qty]]</f>
        <v>1640</v>
      </c>
      <c r="J1330" s="45">
        <v>0.15</v>
      </c>
      <c r="K1330" s="46">
        <f>Sales[[#This Row],[Gross Amount]]*Sales[[#This Row],[Disc %]]</f>
        <v>246</v>
      </c>
      <c r="L1330" s="43">
        <v>0.18</v>
      </c>
      <c r="M1330" s="46">
        <f>(Sales[[#This Row],[Gross Amount]]-Sales[[#This Row],[Disc. Amt.]])*Sales[[#This Row],[GST %]]</f>
        <v>250.92</v>
      </c>
      <c r="N1330" s="161">
        <f>Sales[[#This Row],[Gross Amount]]-Sales[[#This Row],[Disc. Amt.]]+Sales[[#This Row],[GST Amount]]</f>
        <v>1644.92</v>
      </c>
      <c r="O1330" s="34" t="s">
        <v>3561</v>
      </c>
      <c r="P1330" s="34" t="s">
        <v>3562</v>
      </c>
      <c r="Q1330" s="165">
        <f>IF(Sales[[#This Row],[Status]]="Cancelled",0,Sales[[#This Row],[Qty]])</f>
        <v>4</v>
      </c>
      <c r="R1330" s="166">
        <f>IF(Sales[[#This Row],[Status]]="Cancelled",0,Sales[[#This Row],[Total Amount]])</f>
        <v>1644.92</v>
      </c>
      <c r="S1330" s="162">
        <f>SUM(Sales[Net Amount])</f>
        <v>406839287.73200053</v>
      </c>
    </row>
    <row r="1331" spans="1:19" ht="18.75" x14ac:dyDescent="0.25">
      <c r="A1331" s="156" t="s">
        <v>4932</v>
      </c>
      <c r="B1331" s="157">
        <v>45847</v>
      </c>
      <c r="C1331" s="158" t="s">
        <v>781</v>
      </c>
      <c r="D1331" s="159" t="str">
        <f>VLOOKUP(Sales[[#This Row],[Customer ID]],Customer[#All],2,0)</f>
        <v>Vikas Sharma</v>
      </c>
      <c r="E1331" s="158" t="s">
        <v>222</v>
      </c>
      <c r="F1331" s="158" t="str">
        <f>VLOOKUP(Sales[[#This Row],[Product ID]],Product[#All],2,0)</f>
        <v>Jbl Headset</v>
      </c>
      <c r="G1331" s="159">
        <v>6</v>
      </c>
      <c r="H1331" s="160">
        <f>VLOOKUP(Sales[[#This Row],[Product ID]],Product[#All],7,0)</f>
        <v>8550</v>
      </c>
      <c r="I1331" s="160">
        <f>Sales[[#This Row],[Selling Rate]]*Sales[[#This Row],[Qty]]</f>
        <v>51300</v>
      </c>
      <c r="J1331" s="43">
        <v>0</v>
      </c>
      <c r="K1331" s="44">
        <f>Sales[[#This Row],[Gross Amount]]*Sales[[#This Row],[Disc %]]</f>
        <v>0</v>
      </c>
      <c r="L1331" s="43">
        <v>0.18</v>
      </c>
      <c r="M1331" s="44">
        <f>(Sales[[#This Row],[Gross Amount]]-Sales[[#This Row],[Disc. Amt.]])*Sales[[#This Row],[GST %]]</f>
        <v>9234</v>
      </c>
      <c r="N1331" s="161">
        <f>Sales[[#This Row],[Gross Amount]]-Sales[[#This Row],[Disc. Amt.]]+Sales[[#This Row],[GST Amount]]</f>
        <v>60534</v>
      </c>
      <c r="O1331" s="158" t="s">
        <v>3566</v>
      </c>
      <c r="P1331" s="158" t="s">
        <v>3562</v>
      </c>
      <c r="Q1331" s="160">
        <f>IF(Sales[[#This Row],[Status]]="Cancelled",0,Sales[[#This Row],[Qty]])</f>
        <v>6</v>
      </c>
      <c r="R1331" s="161">
        <f>IF(Sales[[#This Row],[Status]]="Cancelled",0,Sales[[#This Row],[Total Amount]])</f>
        <v>60534</v>
      </c>
      <c r="S1331" s="162">
        <f>SUM(Sales[Net Amount])</f>
        <v>406839287.73200053</v>
      </c>
    </row>
    <row r="1332" spans="1:19" ht="18.75" x14ac:dyDescent="0.25">
      <c r="A1332" s="163" t="s">
        <v>4933</v>
      </c>
      <c r="B1332" s="164">
        <v>45847</v>
      </c>
      <c r="C1332" s="34" t="s">
        <v>936</v>
      </c>
      <c r="D1332" s="53" t="str">
        <f>VLOOKUP(Sales[[#This Row],[Customer ID]],Customer[#All],2,0)</f>
        <v>Pooja Patel</v>
      </c>
      <c r="E1332" s="34" t="s">
        <v>230</v>
      </c>
      <c r="F1332" s="34" t="str">
        <f>VLOOKUP(Sales[[#This Row],[Product ID]],Product[#All],2,0)</f>
        <v>Dell Desktop</v>
      </c>
      <c r="G1332" s="53">
        <v>6</v>
      </c>
      <c r="H1332" s="165">
        <f>VLOOKUP(Sales[[#This Row],[Product ID]],Product[#All],7,0)</f>
        <v>69610</v>
      </c>
      <c r="I1332" s="165">
        <f>Sales[[#This Row],[Selling Rate]]*Sales[[#This Row],[Qty]]</f>
        <v>417660</v>
      </c>
      <c r="J1332" s="45">
        <v>0.15</v>
      </c>
      <c r="K1332" s="46">
        <f>Sales[[#This Row],[Gross Amount]]*Sales[[#This Row],[Disc %]]</f>
        <v>62649</v>
      </c>
      <c r="L1332" s="43">
        <v>0.18</v>
      </c>
      <c r="M1332" s="46">
        <f>(Sales[[#This Row],[Gross Amount]]-Sales[[#This Row],[Disc. Amt.]])*Sales[[#This Row],[GST %]]</f>
        <v>63901.979999999996</v>
      </c>
      <c r="N1332" s="161">
        <f>Sales[[#This Row],[Gross Amount]]-Sales[[#This Row],[Disc. Amt.]]+Sales[[#This Row],[GST Amount]]</f>
        <v>418912.98</v>
      </c>
      <c r="O1332" s="34" t="s">
        <v>8876</v>
      </c>
      <c r="P1332" s="34" t="s">
        <v>3562</v>
      </c>
      <c r="Q1332" s="165">
        <f>IF(Sales[[#This Row],[Status]]="Cancelled",0,Sales[[#This Row],[Qty]])</f>
        <v>6</v>
      </c>
      <c r="R1332" s="166">
        <f>IF(Sales[[#This Row],[Status]]="Cancelled",0,Sales[[#This Row],[Total Amount]])</f>
        <v>418912.98</v>
      </c>
      <c r="S1332" s="162">
        <f>SUM(Sales[Net Amount])</f>
        <v>406839287.73200053</v>
      </c>
    </row>
    <row r="1333" spans="1:19" ht="18.75" x14ac:dyDescent="0.25">
      <c r="A1333" s="156" t="s">
        <v>4934</v>
      </c>
      <c r="B1333" s="157">
        <v>45847</v>
      </c>
      <c r="C1333" s="158" t="s">
        <v>855</v>
      </c>
      <c r="D1333" s="159" t="str">
        <f>VLOOKUP(Sales[[#This Row],[Customer ID]],Customer[#All],2,0)</f>
        <v>Sahil Singh</v>
      </c>
      <c r="E1333" s="158" t="s">
        <v>91</v>
      </c>
      <c r="F1333" s="158" t="str">
        <f>VLOOKUP(Sales[[#This Row],[Product ID]],Product[#All],2,0)</f>
        <v>Logitech Keyboard</v>
      </c>
      <c r="G1333" s="159">
        <v>6</v>
      </c>
      <c r="H1333" s="160">
        <f>VLOOKUP(Sales[[#This Row],[Product ID]],Product[#All],7,0)</f>
        <v>3950</v>
      </c>
      <c r="I1333" s="160">
        <f>Sales[[#This Row],[Selling Rate]]*Sales[[#This Row],[Qty]]</f>
        <v>23700</v>
      </c>
      <c r="J1333" s="43">
        <v>0</v>
      </c>
      <c r="K1333" s="44">
        <f>Sales[[#This Row],[Gross Amount]]*Sales[[#This Row],[Disc %]]</f>
        <v>0</v>
      </c>
      <c r="L1333" s="43">
        <v>0.18</v>
      </c>
      <c r="M1333" s="44">
        <f>(Sales[[#This Row],[Gross Amount]]-Sales[[#This Row],[Disc. Amt.]])*Sales[[#This Row],[GST %]]</f>
        <v>4266</v>
      </c>
      <c r="N1333" s="161">
        <f>Sales[[#This Row],[Gross Amount]]-Sales[[#This Row],[Disc. Amt.]]+Sales[[#This Row],[GST Amount]]</f>
        <v>27966</v>
      </c>
      <c r="O1333" s="158" t="s">
        <v>3569</v>
      </c>
      <c r="P1333" s="158" t="s">
        <v>3562</v>
      </c>
      <c r="Q1333" s="160">
        <f>IF(Sales[[#This Row],[Status]]="Cancelled",0,Sales[[#This Row],[Qty]])</f>
        <v>6</v>
      </c>
      <c r="R1333" s="161">
        <f>IF(Sales[[#This Row],[Status]]="Cancelled",0,Sales[[#This Row],[Total Amount]])</f>
        <v>27966</v>
      </c>
      <c r="S1333" s="162">
        <f>SUM(Sales[Net Amount])</f>
        <v>406839287.73200053</v>
      </c>
    </row>
    <row r="1334" spans="1:19" ht="18.75" x14ac:dyDescent="0.25">
      <c r="A1334" s="163" t="s">
        <v>4935</v>
      </c>
      <c r="B1334" s="164">
        <v>45847</v>
      </c>
      <c r="C1334" s="34" t="s">
        <v>841</v>
      </c>
      <c r="D1334" s="53" t="str">
        <f>VLOOKUP(Sales[[#This Row],[Customer ID]],Customer[#All],2,0)</f>
        <v>Pooja Verma</v>
      </c>
      <c r="E1334" s="34" t="s">
        <v>87</v>
      </c>
      <c r="F1334" s="34" t="str">
        <f>VLOOKUP(Sales[[#This Row],[Product ID]],Product[#All],2,0)</f>
        <v>Boat Headset</v>
      </c>
      <c r="G1334" s="53">
        <v>5</v>
      </c>
      <c r="H1334" s="165">
        <f>VLOOKUP(Sales[[#This Row],[Product ID]],Product[#All],7,0)</f>
        <v>1040</v>
      </c>
      <c r="I1334" s="165">
        <f>Sales[[#This Row],[Selling Rate]]*Sales[[#This Row],[Qty]]</f>
        <v>5200</v>
      </c>
      <c r="J1334" s="45">
        <v>0.05</v>
      </c>
      <c r="K1334" s="46">
        <f>Sales[[#This Row],[Gross Amount]]*Sales[[#This Row],[Disc %]]</f>
        <v>260</v>
      </c>
      <c r="L1334" s="43">
        <v>0.18</v>
      </c>
      <c r="M1334" s="46">
        <f>(Sales[[#This Row],[Gross Amount]]-Sales[[#This Row],[Disc. Amt.]])*Sales[[#This Row],[GST %]]</f>
        <v>889.19999999999993</v>
      </c>
      <c r="N1334" s="161">
        <f>Sales[[#This Row],[Gross Amount]]-Sales[[#This Row],[Disc. Amt.]]+Sales[[#This Row],[GST Amount]]</f>
        <v>5829.2</v>
      </c>
      <c r="O1334" s="34" t="s">
        <v>8876</v>
      </c>
      <c r="P1334" s="34" t="s">
        <v>3562</v>
      </c>
      <c r="Q1334" s="165">
        <f>IF(Sales[[#This Row],[Status]]="Cancelled",0,Sales[[#This Row],[Qty]])</f>
        <v>5</v>
      </c>
      <c r="R1334" s="166">
        <f>IF(Sales[[#This Row],[Status]]="Cancelled",0,Sales[[#This Row],[Total Amount]])</f>
        <v>5829.2</v>
      </c>
      <c r="S1334" s="162">
        <f>SUM(Sales[Net Amount])</f>
        <v>406839287.73200053</v>
      </c>
    </row>
    <row r="1335" spans="1:19" ht="18.75" x14ac:dyDescent="0.25">
      <c r="A1335" s="156" t="s">
        <v>4936</v>
      </c>
      <c r="B1335" s="157">
        <v>45847</v>
      </c>
      <c r="C1335" s="158" t="s">
        <v>696</v>
      </c>
      <c r="D1335" s="159" t="str">
        <f>VLOOKUP(Sales[[#This Row],[Customer ID]],Customer[#All],2,0)</f>
        <v>Sunita Verma</v>
      </c>
      <c r="E1335" s="158" t="s">
        <v>477</v>
      </c>
      <c r="F1335" s="158" t="str">
        <f>VLOOKUP(Sales[[#This Row],[Product ID]],Product[#All],2,0)</f>
        <v>Epson Printer</v>
      </c>
      <c r="G1335" s="159">
        <v>7</v>
      </c>
      <c r="H1335" s="160">
        <f>VLOOKUP(Sales[[#This Row],[Product ID]],Product[#All],7,0)</f>
        <v>17550</v>
      </c>
      <c r="I1335" s="160">
        <f>Sales[[#This Row],[Selling Rate]]*Sales[[#This Row],[Qty]]</f>
        <v>122850</v>
      </c>
      <c r="J1335" s="43">
        <v>0.15</v>
      </c>
      <c r="K1335" s="44">
        <f>Sales[[#This Row],[Gross Amount]]*Sales[[#This Row],[Disc %]]</f>
        <v>18427.5</v>
      </c>
      <c r="L1335" s="43">
        <v>0.18</v>
      </c>
      <c r="M1335" s="44">
        <f>(Sales[[#This Row],[Gross Amount]]-Sales[[#This Row],[Disc. Amt.]])*Sales[[#This Row],[GST %]]</f>
        <v>18796.05</v>
      </c>
      <c r="N1335" s="161">
        <f>Sales[[#This Row],[Gross Amount]]-Sales[[#This Row],[Disc. Amt.]]+Sales[[#This Row],[GST Amount]]</f>
        <v>123218.55</v>
      </c>
      <c r="O1335" s="158" t="s">
        <v>3569</v>
      </c>
      <c r="P1335" s="158" t="s">
        <v>3562</v>
      </c>
      <c r="Q1335" s="160">
        <f>IF(Sales[[#This Row],[Status]]="Cancelled",0,Sales[[#This Row],[Qty]])</f>
        <v>7</v>
      </c>
      <c r="R1335" s="161">
        <f>IF(Sales[[#This Row],[Status]]="Cancelled",0,Sales[[#This Row],[Total Amount]])</f>
        <v>123218.55</v>
      </c>
      <c r="S1335" s="162">
        <f>SUM(Sales[Net Amount])</f>
        <v>406839287.73200053</v>
      </c>
    </row>
    <row r="1336" spans="1:19" ht="18.75" x14ac:dyDescent="0.25">
      <c r="A1336" s="163" t="s">
        <v>4937</v>
      </c>
      <c r="B1336" s="164">
        <v>45847</v>
      </c>
      <c r="C1336" s="34" t="s">
        <v>892</v>
      </c>
      <c r="D1336" s="53" t="str">
        <f>VLOOKUP(Sales[[#This Row],[Customer ID]],Customer[#All],2,0)</f>
        <v>Sahil Verma</v>
      </c>
      <c r="E1336" s="34" t="s">
        <v>386</v>
      </c>
      <c r="F1336" s="34" t="str">
        <f>VLOOKUP(Sales[[#This Row],[Product ID]],Product[#All],2,0)</f>
        <v>Sandisk Pen Drive</v>
      </c>
      <c r="G1336" s="53">
        <v>2</v>
      </c>
      <c r="H1336" s="165">
        <f>VLOOKUP(Sales[[#This Row],[Product ID]],Product[#All],7,0)</f>
        <v>700</v>
      </c>
      <c r="I1336" s="165">
        <f>Sales[[#This Row],[Selling Rate]]*Sales[[#This Row],[Qty]]</f>
        <v>1400</v>
      </c>
      <c r="J1336" s="45">
        <v>0.15</v>
      </c>
      <c r="K1336" s="46">
        <f>Sales[[#This Row],[Gross Amount]]*Sales[[#This Row],[Disc %]]</f>
        <v>210</v>
      </c>
      <c r="L1336" s="43">
        <v>0.18</v>
      </c>
      <c r="M1336" s="46">
        <f>(Sales[[#This Row],[Gross Amount]]-Sales[[#This Row],[Disc. Amt.]])*Sales[[#This Row],[GST %]]</f>
        <v>214.2</v>
      </c>
      <c r="N1336" s="161">
        <f>Sales[[#This Row],[Gross Amount]]-Sales[[#This Row],[Disc. Amt.]]+Sales[[#This Row],[GST Amount]]</f>
        <v>1404.2</v>
      </c>
      <c r="O1336" s="34" t="s">
        <v>3566</v>
      </c>
      <c r="P1336" s="34" t="s">
        <v>3562</v>
      </c>
      <c r="Q1336" s="165">
        <f>IF(Sales[[#This Row],[Status]]="Cancelled",0,Sales[[#This Row],[Qty]])</f>
        <v>2</v>
      </c>
      <c r="R1336" s="166">
        <f>IF(Sales[[#This Row],[Status]]="Cancelled",0,Sales[[#This Row],[Total Amount]])</f>
        <v>1404.2</v>
      </c>
      <c r="S1336" s="162">
        <f>SUM(Sales[Net Amount])</f>
        <v>406839287.73200053</v>
      </c>
    </row>
    <row r="1337" spans="1:19" ht="18.75" x14ac:dyDescent="0.25">
      <c r="A1337" s="156" t="s">
        <v>4938</v>
      </c>
      <c r="B1337" s="157">
        <v>45847</v>
      </c>
      <c r="C1337" s="158" t="s">
        <v>859</v>
      </c>
      <c r="D1337" s="159" t="str">
        <f>VLOOKUP(Sales[[#This Row],[Customer ID]],Customer[#All],2,0)</f>
        <v>Rakesh Kumar</v>
      </c>
      <c r="E1337" s="158" t="s">
        <v>532</v>
      </c>
      <c r="F1337" s="158" t="str">
        <f>VLOOKUP(Sales[[#This Row],[Product ID]],Product[#All],2,0)</f>
        <v>Dell Laptop</v>
      </c>
      <c r="G1337" s="159">
        <v>5</v>
      </c>
      <c r="H1337" s="160">
        <f>VLOOKUP(Sales[[#This Row],[Product ID]],Product[#All],7,0)</f>
        <v>47550</v>
      </c>
      <c r="I1337" s="160">
        <f>Sales[[#This Row],[Selling Rate]]*Sales[[#This Row],[Qty]]</f>
        <v>237750</v>
      </c>
      <c r="J1337" s="43">
        <v>0.02</v>
      </c>
      <c r="K1337" s="44">
        <f>Sales[[#This Row],[Gross Amount]]*Sales[[#This Row],[Disc %]]</f>
        <v>4755</v>
      </c>
      <c r="L1337" s="43">
        <v>0.18</v>
      </c>
      <c r="M1337" s="44">
        <f>(Sales[[#This Row],[Gross Amount]]-Sales[[#This Row],[Disc. Amt.]])*Sales[[#This Row],[GST %]]</f>
        <v>41939.1</v>
      </c>
      <c r="N1337" s="161">
        <f>Sales[[#This Row],[Gross Amount]]-Sales[[#This Row],[Disc. Amt.]]+Sales[[#This Row],[GST Amount]]</f>
        <v>274934.09999999998</v>
      </c>
      <c r="O1337" s="158" t="s">
        <v>3561</v>
      </c>
      <c r="P1337" s="158" t="s">
        <v>3562</v>
      </c>
      <c r="Q1337" s="160">
        <f>IF(Sales[[#This Row],[Status]]="Cancelled",0,Sales[[#This Row],[Qty]])</f>
        <v>5</v>
      </c>
      <c r="R1337" s="161">
        <f>IF(Sales[[#This Row],[Status]]="Cancelled",0,Sales[[#This Row],[Total Amount]])</f>
        <v>274934.09999999998</v>
      </c>
      <c r="S1337" s="162">
        <f>SUM(Sales[Net Amount])</f>
        <v>406839287.73200053</v>
      </c>
    </row>
    <row r="1338" spans="1:19" ht="18.75" x14ac:dyDescent="0.25">
      <c r="A1338" s="163" t="s">
        <v>4939</v>
      </c>
      <c r="B1338" s="164">
        <v>45847</v>
      </c>
      <c r="C1338" s="34" t="s">
        <v>848</v>
      </c>
      <c r="D1338" s="53" t="str">
        <f>VLOOKUP(Sales[[#This Row],[Customer ID]],Customer[#All],2,0)</f>
        <v>Rakesh Patel</v>
      </c>
      <c r="E1338" s="34" t="s">
        <v>162</v>
      </c>
      <c r="F1338" s="34" t="str">
        <f>VLOOKUP(Sales[[#This Row],[Product ID]],Product[#All],2,0)</f>
        <v>Amazon Basics Hdmi Cable</v>
      </c>
      <c r="G1338" s="53">
        <v>2</v>
      </c>
      <c r="H1338" s="165">
        <f>VLOOKUP(Sales[[#This Row],[Product ID]],Product[#All],7,0)</f>
        <v>820</v>
      </c>
      <c r="I1338" s="165">
        <f>Sales[[#This Row],[Selling Rate]]*Sales[[#This Row],[Qty]]</f>
        <v>1640</v>
      </c>
      <c r="J1338" s="45">
        <v>0</v>
      </c>
      <c r="K1338" s="46">
        <f>Sales[[#This Row],[Gross Amount]]*Sales[[#This Row],[Disc %]]</f>
        <v>0</v>
      </c>
      <c r="L1338" s="43">
        <v>0.18</v>
      </c>
      <c r="M1338" s="46">
        <f>(Sales[[#This Row],[Gross Amount]]-Sales[[#This Row],[Disc. Amt.]])*Sales[[#This Row],[GST %]]</f>
        <v>295.2</v>
      </c>
      <c r="N1338" s="161">
        <f>Sales[[#This Row],[Gross Amount]]-Sales[[#This Row],[Disc. Amt.]]+Sales[[#This Row],[GST Amount]]</f>
        <v>1935.2</v>
      </c>
      <c r="O1338" s="34" t="s">
        <v>3561</v>
      </c>
      <c r="P1338" s="34" t="s">
        <v>3562</v>
      </c>
      <c r="Q1338" s="165">
        <f>IF(Sales[[#This Row],[Status]]="Cancelled",0,Sales[[#This Row],[Qty]])</f>
        <v>2</v>
      </c>
      <c r="R1338" s="166">
        <f>IF(Sales[[#This Row],[Status]]="Cancelled",0,Sales[[#This Row],[Total Amount]])</f>
        <v>1935.2</v>
      </c>
      <c r="S1338" s="162">
        <f>SUM(Sales[Net Amount])</f>
        <v>406839287.73200053</v>
      </c>
    </row>
    <row r="1339" spans="1:19" ht="18.75" x14ac:dyDescent="0.25">
      <c r="A1339" s="156" t="s">
        <v>4940</v>
      </c>
      <c r="B1339" s="157">
        <v>45847</v>
      </c>
      <c r="C1339" s="158" t="s">
        <v>854</v>
      </c>
      <c r="D1339" s="159" t="str">
        <f>VLOOKUP(Sales[[#This Row],[Customer ID]],Customer[#All],2,0)</f>
        <v>Neha Sharma</v>
      </c>
      <c r="E1339" s="158" t="s">
        <v>456</v>
      </c>
      <c r="F1339" s="158" t="str">
        <f>VLOOKUP(Sales[[#This Row],[Product ID]],Product[#All],2,0)</f>
        <v>Acer Laptop</v>
      </c>
      <c r="G1339" s="159">
        <v>7</v>
      </c>
      <c r="H1339" s="160">
        <f>VLOOKUP(Sales[[#This Row],[Product ID]],Product[#All],7,0)</f>
        <v>66790</v>
      </c>
      <c r="I1339" s="160">
        <f>Sales[[#This Row],[Selling Rate]]*Sales[[#This Row],[Qty]]</f>
        <v>467530</v>
      </c>
      <c r="J1339" s="43">
        <v>0.1</v>
      </c>
      <c r="K1339" s="44">
        <f>Sales[[#This Row],[Gross Amount]]*Sales[[#This Row],[Disc %]]</f>
        <v>46753</v>
      </c>
      <c r="L1339" s="43">
        <v>0.18</v>
      </c>
      <c r="M1339" s="44">
        <f>(Sales[[#This Row],[Gross Amount]]-Sales[[#This Row],[Disc. Amt.]])*Sales[[#This Row],[GST %]]</f>
        <v>75739.86</v>
      </c>
      <c r="N1339" s="161">
        <f>Sales[[#This Row],[Gross Amount]]-Sales[[#This Row],[Disc. Amt.]]+Sales[[#This Row],[GST Amount]]</f>
        <v>496516.86</v>
      </c>
      <c r="O1339" s="158" t="s">
        <v>3569</v>
      </c>
      <c r="P1339" s="158" t="s">
        <v>3562</v>
      </c>
      <c r="Q1339" s="160">
        <f>IF(Sales[[#This Row],[Status]]="Cancelled",0,Sales[[#This Row],[Qty]])</f>
        <v>7</v>
      </c>
      <c r="R1339" s="161">
        <f>IF(Sales[[#This Row],[Status]]="Cancelled",0,Sales[[#This Row],[Total Amount]])</f>
        <v>496516.86</v>
      </c>
      <c r="S1339" s="162">
        <f>SUM(Sales[Net Amount])</f>
        <v>406839287.73200053</v>
      </c>
    </row>
    <row r="1340" spans="1:19" ht="18.75" x14ac:dyDescent="0.25">
      <c r="A1340" s="163" t="s">
        <v>4941</v>
      </c>
      <c r="B1340" s="164">
        <v>45847</v>
      </c>
      <c r="C1340" s="34" t="s">
        <v>860</v>
      </c>
      <c r="D1340" s="53" t="str">
        <f>VLOOKUP(Sales[[#This Row],[Customer ID]],Customer[#All],2,0)</f>
        <v>Rakesh Verma</v>
      </c>
      <c r="E1340" s="34" t="s">
        <v>334</v>
      </c>
      <c r="F1340" s="34" t="str">
        <f>VLOOKUP(Sales[[#This Row],[Product ID]],Product[#All],2,0)</f>
        <v>Jbl Headset</v>
      </c>
      <c r="G1340" s="53">
        <v>2</v>
      </c>
      <c r="H1340" s="165">
        <f>VLOOKUP(Sales[[#This Row],[Product ID]],Product[#All],7,0)</f>
        <v>3150</v>
      </c>
      <c r="I1340" s="165">
        <f>Sales[[#This Row],[Selling Rate]]*Sales[[#This Row],[Qty]]</f>
        <v>6300</v>
      </c>
      <c r="J1340" s="45">
        <v>0.05</v>
      </c>
      <c r="K1340" s="46">
        <f>Sales[[#This Row],[Gross Amount]]*Sales[[#This Row],[Disc %]]</f>
        <v>315</v>
      </c>
      <c r="L1340" s="43">
        <v>0.18</v>
      </c>
      <c r="M1340" s="46">
        <f>(Sales[[#This Row],[Gross Amount]]-Sales[[#This Row],[Disc. Amt.]])*Sales[[#This Row],[GST %]]</f>
        <v>1077.3</v>
      </c>
      <c r="N1340" s="161">
        <f>Sales[[#This Row],[Gross Amount]]-Sales[[#This Row],[Disc. Amt.]]+Sales[[#This Row],[GST Amount]]</f>
        <v>7062.3</v>
      </c>
      <c r="O1340" s="34" t="s">
        <v>3569</v>
      </c>
      <c r="P1340" s="34" t="s">
        <v>3562</v>
      </c>
      <c r="Q1340" s="165">
        <f>IF(Sales[[#This Row],[Status]]="Cancelled",0,Sales[[#This Row],[Qty]])</f>
        <v>2</v>
      </c>
      <c r="R1340" s="166">
        <f>IF(Sales[[#This Row],[Status]]="Cancelled",0,Sales[[#This Row],[Total Amount]])</f>
        <v>7062.3</v>
      </c>
      <c r="S1340" s="162">
        <f>SUM(Sales[Net Amount])</f>
        <v>406839287.73200053</v>
      </c>
    </row>
    <row r="1341" spans="1:19" ht="18.75" x14ac:dyDescent="0.25">
      <c r="A1341" s="156" t="s">
        <v>4942</v>
      </c>
      <c r="B1341" s="157">
        <v>45847</v>
      </c>
      <c r="C1341" s="158" t="s">
        <v>880</v>
      </c>
      <c r="D1341" s="159" t="str">
        <f>VLOOKUP(Sales[[#This Row],[Customer ID]],Customer[#All],2,0)</f>
        <v>Rahul Sharma</v>
      </c>
      <c r="E1341" s="158" t="s">
        <v>447</v>
      </c>
      <c r="F1341" s="158" t="str">
        <f>VLOOKUP(Sales[[#This Row],[Product ID]],Product[#All],2,0)</f>
        <v>PortronicsLaptopStand</v>
      </c>
      <c r="G1341" s="159">
        <v>5</v>
      </c>
      <c r="H1341" s="160">
        <f>VLOOKUP(Sales[[#This Row],[Product ID]],Product[#All],7,0)</f>
        <v>2830</v>
      </c>
      <c r="I1341" s="160">
        <f>Sales[[#This Row],[Selling Rate]]*Sales[[#This Row],[Qty]]</f>
        <v>14150</v>
      </c>
      <c r="J1341" s="43">
        <v>0.1</v>
      </c>
      <c r="K1341" s="44">
        <f>Sales[[#This Row],[Gross Amount]]*Sales[[#This Row],[Disc %]]</f>
        <v>1415</v>
      </c>
      <c r="L1341" s="43">
        <v>0.18</v>
      </c>
      <c r="M1341" s="44">
        <f>(Sales[[#This Row],[Gross Amount]]-Sales[[#This Row],[Disc. Amt.]])*Sales[[#This Row],[GST %]]</f>
        <v>2292.2999999999997</v>
      </c>
      <c r="N1341" s="161">
        <f>Sales[[#This Row],[Gross Amount]]-Sales[[#This Row],[Disc. Amt.]]+Sales[[#This Row],[GST Amount]]</f>
        <v>15027.3</v>
      </c>
      <c r="O1341" s="158" t="s">
        <v>3566</v>
      </c>
      <c r="P1341" s="158" t="s">
        <v>3562</v>
      </c>
      <c r="Q1341" s="160">
        <f>IF(Sales[[#This Row],[Status]]="Cancelled",0,Sales[[#This Row],[Qty]])</f>
        <v>5</v>
      </c>
      <c r="R1341" s="161">
        <f>IF(Sales[[#This Row],[Status]]="Cancelled",0,Sales[[#This Row],[Total Amount]])</f>
        <v>15027.3</v>
      </c>
      <c r="S1341" s="162">
        <f>SUM(Sales[Net Amount])</f>
        <v>406839287.73200053</v>
      </c>
    </row>
    <row r="1342" spans="1:19" ht="18.75" x14ac:dyDescent="0.25">
      <c r="A1342" s="163" t="s">
        <v>4943</v>
      </c>
      <c r="B1342" s="164">
        <v>45847</v>
      </c>
      <c r="C1342" s="34" t="s">
        <v>775</v>
      </c>
      <c r="D1342" s="53" t="str">
        <f>VLOOKUP(Sales[[#This Row],[Customer ID]],Customer[#All],2,0)</f>
        <v>Ankit Kumar</v>
      </c>
      <c r="E1342" s="34" t="s">
        <v>195</v>
      </c>
      <c r="F1342" s="34" t="str">
        <f>VLOOKUP(Sales[[#This Row],[Product ID]],Product[#All],2,0)</f>
        <v>Acer Laptop</v>
      </c>
      <c r="G1342" s="53">
        <v>2</v>
      </c>
      <c r="H1342" s="165">
        <f>VLOOKUP(Sales[[#This Row],[Product ID]],Product[#All],7,0)</f>
        <v>46790</v>
      </c>
      <c r="I1342" s="165">
        <f>Sales[[#This Row],[Selling Rate]]*Sales[[#This Row],[Qty]]</f>
        <v>93580</v>
      </c>
      <c r="J1342" s="45">
        <v>0.05</v>
      </c>
      <c r="K1342" s="46">
        <f>Sales[[#This Row],[Gross Amount]]*Sales[[#This Row],[Disc %]]</f>
        <v>4679</v>
      </c>
      <c r="L1342" s="43">
        <v>0.18</v>
      </c>
      <c r="M1342" s="46">
        <f>(Sales[[#This Row],[Gross Amount]]-Sales[[#This Row],[Disc. Amt.]])*Sales[[#This Row],[GST %]]</f>
        <v>16002.18</v>
      </c>
      <c r="N1342" s="161">
        <f>Sales[[#This Row],[Gross Amount]]-Sales[[#This Row],[Disc. Amt.]]+Sales[[#This Row],[GST Amount]]</f>
        <v>104903.18</v>
      </c>
      <c r="O1342" s="34" t="s">
        <v>3566</v>
      </c>
      <c r="P1342" s="34" t="s">
        <v>1040</v>
      </c>
      <c r="Q1342" s="165">
        <f>IF(Sales[[#This Row],[Status]]="Cancelled",0,Sales[[#This Row],[Qty]])</f>
        <v>0</v>
      </c>
      <c r="R1342" s="166">
        <f>IF(Sales[[#This Row],[Status]]="Cancelled",0,Sales[[#This Row],[Total Amount]])</f>
        <v>0</v>
      </c>
      <c r="S1342" s="162">
        <f>SUM(Sales[Net Amount])</f>
        <v>406839287.73200053</v>
      </c>
    </row>
    <row r="1343" spans="1:19" ht="18.75" x14ac:dyDescent="0.25">
      <c r="A1343" s="156" t="s">
        <v>4944</v>
      </c>
      <c r="B1343" s="157">
        <v>45847</v>
      </c>
      <c r="C1343" s="158" t="s">
        <v>940</v>
      </c>
      <c r="D1343" s="159" t="str">
        <f>VLOOKUP(Sales[[#This Row],[Customer ID]],Customer[#All],2,0)</f>
        <v>Rakesh Sharma</v>
      </c>
      <c r="E1343" s="158" t="s">
        <v>363</v>
      </c>
      <c r="F1343" s="158" t="str">
        <f>VLOOKUP(Sales[[#This Row],[Product ID]],Product[#All],2,0)</f>
        <v>Dell Desktop</v>
      </c>
      <c r="G1343" s="159">
        <v>4</v>
      </c>
      <c r="H1343" s="160">
        <f>VLOOKUP(Sales[[#This Row],[Product ID]],Product[#All],7,0)</f>
        <v>37430</v>
      </c>
      <c r="I1343" s="160">
        <f>Sales[[#This Row],[Selling Rate]]*Sales[[#This Row],[Qty]]</f>
        <v>149720</v>
      </c>
      <c r="J1343" s="43">
        <v>0.1</v>
      </c>
      <c r="K1343" s="44">
        <f>Sales[[#This Row],[Gross Amount]]*Sales[[#This Row],[Disc %]]</f>
        <v>14972</v>
      </c>
      <c r="L1343" s="43">
        <v>0.18</v>
      </c>
      <c r="M1343" s="44">
        <f>(Sales[[#This Row],[Gross Amount]]-Sales[[#This Row],[Disc. Amt.]])*Sales[[#This Row],[GST %]]</f>
        <v>24254.639999999999</v>
      </c>
      <c r="N1343" s="161">
        <f>Sales[[#This Row],[Gross Amount]]-Sales[[#This Row],[Disc. Amt.]]+Sales[[#This Row],[GST Amount]]</f>
        <v>159002.64000000001</v>
      </c>
      <c r="O1343" s="158" t="s">
        <v>3566</v>
      </c>
      <c r="P1343" s="158" t="s">
        <v>3562</v>
      </c>
      <c r="Q1343" s="160">
        <f>IF(Sales[[#This Row],[Status]]="Cancelled",0,Sales[[#This Row],[Qty]])</f>
        <v>4</v>
      </c>
      <c r="R1343" s="161">
        <f>IF(Sales[[#This Row],[Status]]="Cancelled",0,Sales[[#This Row],[Total Amount]])</f>
        <v>159002.64000000001</v>
      </c>
      <c r="S1343" s="162">
        <f>SUM(Sales[Net Amount])</f>
        <v>406839287.73200053</v>
      </c>
    </row>
    <row r="1344" spans="1:19" ht="18.75" x14ac:dyDescent="0.25">
      <c r="A1344" s="163" t="s">
        <v>4945</v>
      </c>
      <c r="B1344" s="164">
        <v>45848</v>
      </c>
      <c r="C1344" s="34" t="s">
        <v>918</v>
      </c>
      <c r="D1344" s="53" t="str">
        <f>VLOOKUP(Sales[[#This Row],[Customer ID]],Customer[#All],2,0)</f>
        <v>Pooja Patel</v>
      </c>
      <c r="E1344" s="34" t="s">
        <v>130</v>
      </c>
      <c r="F1344" s="34" t="str">
        <f>VLOOKUP(Sales[[#This Row],[Product ID]],Product[#All],2,0)</f>
        <v>Lenovo Laptop</v>
      </c>
      <c r="G1344" s="53">
        <v>7</v>
      </c>
      <c r="H1344" s="165">
        <f>VLOOKUP(Sales[[#This Row],[Product ID]],Product[#All],7,0)</f>
        <v>39230</v>
      </c>
      <c r="I1344" s="165">
        <f>Sales[[#This Row],[Selling Rate]]*Sales[[#This Row],[Qty]]</f>
        <v>274610</v>
      </c>
      <c r="J1344" s="45">
        <v>0.05</v>
      </c>
      <c r="K1344" s="46">
        <f>Sales[[#This Row],[Gross Amount]]*Sales[[#This Row],[Disc %]]</f>
        <v>13730.5</v>
      </c>
      <c r="L1344" s="43">
        <v>0.18</v>
      </c>
      <c r="M1344" s="46">
        <f>(Sales[[#This Row],[Gross Amount]]-Sales[[#This Row],[Disc. Amt.]])*Sales[[#This Row],[GST %]]</f>
        <v>46958.31</v>
      </c>
      <c r="N1344" s="161">
        <f>Sales[[#This Row],[Gross Amount]]-Sales[[#This Row],[Disc. Amt.]]+Sales[[#This Row],[GST Amount]]</f>
        <v>307837.81</v>
      </c>
      <c r="O1344" s="34" t="s">
        <v>8876</v>
      </c>
      <c r="P1344" s="34" t="s">
        <v>3562</v>
      </c>
      <c r="Q1344" s="165">
        <f>IF(Sales[[#This Row],[Status]]="Cancelled",0,Sales[[#This Row],[Qty]])</f>
        <v>7</v>
      </c>
      <c r="R1344" s="166">
        <f>IF(Sales[[#This Row],[Status]]="Cancelled",0,Sales[[#This Row],[Total Amount]])</f>
        <v>307837.81</v>
      </c>
      <c r="S1344" s="162">
        <f>SUM(Sales[Net Amount])</f>
        <v>406839287.73200053</v>
      </c>
    </row>
    <row r="1345" spans="1:19" ht="18.75" x14ac:dyDescent="0.25">
      <c r="A1345" s="156" t="s">
        <v>4946</v>
      </c>
      <c r="B1345" s="157">
        <v>45848</v>
      </c>
      <c r="C1345" s="158" t="s">
        <v>859</v>
      </c>
      <c r="D1345" s="159" t="str">
        <f>VLOOKUP(Sales[[#This Row],[Customer ID]],Customer[#All],2,0)</f>
        <v>Rakesh Kumar</v>
      </c>
      <c r="E1345" s="158" t="s">
        <v>439</v>
      </c>
      <c r="F1345" s="158" t="str">
        <f>VLOOKUP(Sales[[#This Row],[Product ID]],Product[#All],2,0)</f>
        <v>HP Laptop</v>
      </c>
      <c r="G1345" s="159">
        <v>3</v>
      </c>
      <c r="H1345" s="160">
        <f>VLOOKUP(Sales[[#This Row],[Product ID]],Product[#All],7,0)</f>
        <v>83330</v>
      </c>
      <c r="I1345" s="160">
        <f>Sales[[#This Row],[Selling Rate]]*Sales[[#This Row],[Qty]]</f>
        <v>249990</v>
      </c>
      <c r="J1345" s="43">
        <v>0.02</v>
      </c>
      <c r="K1345" s="44">
        <f>Sales[[#This Row],[Gross Amount]]*Sales[[#This Row],[Disc %]]</f>
        <v>4999.8</v>
      </c>
      <c r="L1345" s="43">
        <v>0.18</v>
      </c>
      <c r="M1345" s="44">
        <f>(Sales[[#This Row],[Gross Amount]]-Sales[[#This Row],[Disc. Amt.]])*Sales[[#This Row],[GST %]]</f>
        <v>44098.235999999997</v>
      </c>
      <c r="N1345" s="161">
        <f>Sales[[#This Row],[Gross Amount]]-Sales[[#This Row],[Disc. Amt.]]+Sales[[#This Row],[GST Amount]]</f>
        <v>289088.43599999999</v>
      </c>
      <c r="O1345" s="158" t="s">
        <v>8876</v>
      </c>
      <c r="P1345" s="158" t="s">
        <v>3562</v>
      </c>
      <c r="Q1345" s="160">
        <f>IF(Sales[[#This Row],[Status]]="Cancelled",0,Sales[[#This Row],[Qty]])</f>
        <v>3</v>
      </c>
      <c r="R1345" s="161">
        <f>IF(Sales[[#This Row],[Status]]="Cancelled",0,Sales[[#This Row],[Total Amount]])</f>
        <v>289088.43599999999</v>
      </c>
      <c r="S1345" s="162">
        <f>SUM(Sales[Net Amount])</f>
        <v>406839287.73200053</v>
      </c>
    </row>
    <row r="1346" spans="1:19" ht="18.75" x14ac:dyDescent="0.25">
      <c r="A1346" s="163" t="s">
        <v>4947</v>
      </c>
      <c r="B1346" s="164">
        <v>45848</v>
      </c>
      <c r="C1346" s="34" t="s">
        <v>925</v>
      </c>
      <c r="D1346" s="53" t="str">
        <f>VLOOKUP(Sales[[#This Row],[Customer ID]],Customer[#All],2,0)</f>
        <v>Neha Singh</v>
      </c>
      <c r="E1346" s="34" t="s">
        <v>345</v>
      </c>
      <c r="F1346" s="34" t="str">
        <f>VLOOKUP(Sales[[#This Row],[Product ID]],Product[#All],2,0)</f>
        <v>Amazon Basics Hdmi Cable</v>
      </c>
      <c r="G1346" s="53">
        <v>7</v>
      </c>
      <c r="H1346" s="165">
        <f>VLOOKUP(Sales[[#This Row],[Product ID]],Product[#All],7,0)</f>
        <v>190</v>
      </c>
      <c r="I1346" s="165">
        <f>Sales[[#This Row],[Selling Rate]]*Sales[[#This Row],[Qty]]</f>
        <v>1330</v>
      </c>
      <c r="J1346" s="45">
        <v>0</v>
      </c>
      <c r="K1346" s="46">
        <f>Sales[[#This Row],[Gross Amount]]*Sales[[#This Row],[Disc %]]</f>
        <v>0</v>
      </c>
      <c r="L1346" s="43">
        <v>0.18</v>
      </c>
      <c r="M1346" s="46">
        <f>(Sales[[#This Row],[Gross Amount]]-Sales[[#This Row],[Disc. Amt.]])*Sales[[#This Row],[GST %]]</f>
        <v>239.39999999999998</v>
      </c>
      <c r="N1346" s="161">
        <f>Sales[[#This Row],[Gross Amount]]-Sales[[#This Row],[Disc. Amt.]]+Sales[[#This Row],[GST Amount]]</f>
        <v>1569.4</v>
      </c>
      <c r="O1346" s="34" t="s">
        <v>3561</v>
      </c>
      <c r="P1346" s="34" t="s">
        <v>3562</v>
      </c>
      <c r="Q1346" s="165">
        <f>IF(Sales[[#This Row],[Status]]="Cancelled",0,Sales[[#This Row],[Qty]])</f>
        <v>7</v>
      </c>
      <c r="R1346" s="166">
        <f>IF(Sales[[#This Row],[Status]]="Cancelled",0,Sales[[#This Row],[Total Amount]])</f>
        <v>1569.4</v>
      </c>
      <c r="S1346" s="162">
        <f>SUM(Sales[Net Amount])</f>
        <v>406839287.73200053</v>
      </c>
    </row>
    <row r="1347" spans="1:19" ht="18.75" x14ac:dyDescent="0.25">
      <c r="A1347" s="156" t="s">
        <v>4948</v>
      </c>
      <c r="B1347" s="157">
        <v>45848</v>
      </c>
      <c r="C1347" s="158" t="s">
        <v>693</v>
      </c>
      <c r="D1347" s="159" t="str">
        <f>VLOOKUP(Sales[[#This Row],[Customer ID]],Customer[#All],2,0)</f>
        <v>Rahul Gupta</v>
      </c>
      <c r="E1347" s="158" t="s">
        <v>302</v>
      </c>
      <c r="F1347" s="158" t="str">
        <f>VLOOKUP(Sales[[#This Row],[Product ID]],Product[#All],2,0)</f>
        <v>Sandisk Pen Drive</v>
      </c>
      <c r="G1347" s="159">
        <v>1</v>
      </c>
      <c r="H1347" s="160">
        <f>VLOOKUP(Sales[[#This Row],[Product ID]],Product[#All],7,0)</f>
        <v>2500</v>
      </c>
      <c r="I1347" s="160">
        <f>Sales[[#This Row],[Selling Rate]]*Sales[[#This Row],[Qty]]</f>
        <v>2500</v>
      </c>
      <c r="J1347" s="43">
        <v>0.12</v>
      </c>
      <c r="K1347" s="44">
        <f>Sales[[#This Row],[Gross Amount]]*Sales[[#This Row],[Disc %]]</f>
        <v>300</v>
      </c>
      <c r="L1347" s="43">
        <v>0.18</v>
      </c>
      <c r="M1347" s="44">
        <f>(Sales[[#This Row],[Gross Amount]]-Sales[[#This Row],[Disc. Amt.]])*Sales[[#This Row],[GST %]]</f>
        <v>396</v>
      </c>
      <c r="N1347" s="161">
        <f>Sales[[#This Row],[Gross Amount]]-Sales[[#This Row],[Disc. Amt.]]+Sales[[#This Row],[GST Amount]]</f>
        <v>2596</v>
      </c>
      <c r="O1347" s="158" t="s">
        <v>3561</v>
      </c>
      <c r="P1347" s="158" t="s">
        <v>3562</v>
      </c>
      <c r="Q1347" s="160">
        <f>IF(Sales[[#This Row],[Status]]="Cancelled",0,Sales[[#This Row],[Qty]])</f>
        <v>1</v>
      </c>
      <c r="R1347" s="161">
        <f>IF(Sales[[#This Row],[Status]]="Cancelled",0,Sales[[#This Row],[Total Amount]])</f>
        <v>2596</v>
      </c>
      <c r="S1347" s="162">
        <f>SUM(Sales[Net Amount])</f>
        <v>406839287.73200053</v>
      </c>
    </row>
    <row r="1348" spans="1:19" ht="18.75" x14ac:dyDescent="0.25">
      <c r="A1348" s="163" t="s">
        <v>4949</v>
      </c>
      <c r="B1348" s="164">
        <v>45848</v>
      </c>
      <c r="C1348" s="34" t="s">
        <v>742</v>
      </c>
      <c r="D1348" s="53" t="str">
        <f>VLOOKUP(Sales[[#This Row],[Customer ID]],Customer[#All],2,0)</f>
        <v>Rahul Patel</v>
      </c>
      <c r="E1348" s="34" t="s">
        <v>198</v>
      </c>
      <c r="F1348" s="34" t="str">
        <f>VLOOKUP(Sales[[#This Row],[Product ID]],Product[#All],2,0)</f>
        <v>PortronicsLaptopStand</v>
      </c>
      <c r="G1348" s="53">
        <v>8</v>
      </c>
      <c r="H1348" s="165">
        <f>VLOOKUP(Sales[[#This Row],[Product ID]],Product[#All],7,0)</f>
        <v>2240</v>
      </c>
      <c r="I1348" s="165">
        <f>Sales[[#This Row],[Selling Rate]]*Sales[[#This Row],[Qty]]</f>
        <v>17920</v>
      </c>
      <c r="J1348" s="45">
        <v>0.1</v>
      </c>
      <c r="K1348" s="46">
        <f>Sales[[#This Row],[Gross Amount]]*Sales[[#This Row],[Disc %]]</f>
        <v>1792</v>
      </c>
      <c r="L1348" s="43">
        <v>0.18</v>
      </c>
      <c r="M1348" s="46">
        <f>(Sales[[#This Row],[Gross Amount]]-Sales[[#This Row],[Disc. Amt.]])*Sales[[#This Row],[GST %]]</f>
        <v>2903.04</v>
      </c>
      <c r="N1348" s="161">
        <f>Sales[[#This Row],[Gross Amount]]-Sales[[#This Row],[Disc. Amt.]]+Sales[[#This Row],[GST Amount]]</f>
        <v>19031.04</v>
      </c>
      <c r="O1348" s="34" t="s">
        <v>3569</v>
      </c>
      <c r="P1348" s="34" t="s">
        <v>3562</v>
      </c>
      <c r="Q1348" s="165">
        <f>IF(Sales[[#This Row],[Status]]="Cancelled",0,Sales[[#This Row],[Qty]])</f>
        <v>8</v>
      </c>
      <c r="R1348" s="166">
        <f>IF(Sales[[#This Row],[Status]]="Cancelled",0,Sales[[#This Row],[Total Amount]])</f>
        <v>19031.04</v>
      </c>
      <c r="S1348" s="162">
        <f>SUM(Sales[Net Amount])</f>
        <v>406839287.73200053</v>
      </c>
    </row>
    <row r="1349" spans="1:19" ht="18.75" x14ac:dyDescent="0.25">
      <c r="A1349" s="156" t="s">
        <v>4950</v>
      </c>
      <c r="B1349" s="157">
        <v>45848</v>
      </c>
      <c r="C1349" s="158" t="s">
        <v>873</v>
      </c>
      <c r="D1349" s="159" t="str">
        <f>VLOOKUP(Sales[[#This Row],[Customer ID]],Customer[#All],2,0)</f>
        <v>Sahil Verma</v>
      </c>
      <c r="E1349" s="158" t="s">
        <v>267</v>
      </c>
      <c r="F1349" s="158" t="str">
        <f>VLOOKUP(Sales[[#This Row],[Product ID]],Product[#All],2,0)</f>
        <v>Boat Speaker</v>
      </c>
      <c r="G1349" s="159">
        <v>3</v>
      </c>
      <c r="H1349" s="160">
        <f>VLOOKUP(Sales[[#This Row],[Product ID]],Product[#All],7,0)</f>
        <v>2230</v>
      </c>
      <c r="I1349" s="160">
        <f>Sales[[#This Row],[Selling Rate]]*Sales[[#This Row],[Qty]]</f>
        <v>6690</v>
      </c>
      <c r="J1349" s="43">
        <v>0.02</v>
      </c>
      <c r="K1349" s="44">
        <f>Sales[[#This Row],[Gross Amount]]*Sales[[#This Row],[Disc %]]</f>
        <v>133.80000000000001</v>
      </c>
      <c r="L1349" s="43">
        <v>0.18</v>
      </c>
      <c r="M1349" s="44">
        <f>(Sales[[#This Row],[Gross Amount]]-Sales[[#This Row],[Disc. Amt.]])*Sales[[#This Row],[GST %]]</f>
        <v>1180.116</v>
      </c>
      <c r="N1349" s="161">
        <f>Sales[[#This Row],[Gross Amount]]-Sales[[#This Row],[Disc. Amt.]]+Sales[[#This Row],[GST Amount]]</f>
        <v>7736.3159999999998</v>
      </c>
      <c r="O1349" s="158" t="s">
        <v>3569</v>
      </c>
      <c r="P1349" s="158" t="s">
        <v>3562</v>
      </c>
      <c r="Q1349" s="160">
        <f>IF(Sales[[#This Row],[Status]]="Cancelled",0,Sales[[#This Row],[Qty]])</f>
        <v>3</v>
      </c>
      <c r="R1349" s="161">
        <f>IF(Sales[[#This Row],[Status]]="Cancelled",0,Sales[[#This Row],[Total Amount]])</f>
        <v>7736.3159999999998</v>
      </c>
      <c r="S1349" s="162">
        <f>SUM(Sales[Net Amount])</f>
        <v>406839287.73200053</v>
      </c>
    </row>
    <row r="1350" spans="1:19" ht="18.75" x14ac:dyDescent="0.25">
      <c r="A1350" s="163" t="s">
        <v>4951</v>
      </c>
      <c r="B1350" s="164">
        <v>45848</v>
      </c>
      <c r="C1350" s="34" t="s">
        <v>839</v>
      </c>
      <c r="D1350" s="53" t="str">
        <f>VLOOKUP(Sales[[#This Row],[Customer ID]],Customer[#All],2,0)</f>
        <v>Amit Patel</v>
      </c>
      <c r="E1350" s="34" t="s">
        <v>31</v>
      </c>
      <c r="F1350" s="34" t="str">
        <f>VLOOKUP(Sales[[#This Row],[Product ID]],Product[#All],2,0)</f>
        <v>Logitech Mouse</v>
      </c>
      <c r="G1350" s="53">
        <v>3</v>
      </c>
      <c r="H1350" s="165">
        <f>VLOOKUP(Sales[[#This Row],[Product ID]],Product[#All],7,0)</f>
        <v>2660</v>
      </c>
      <c r="I1350" s="165">
        <f>Sales[[#This Row],[Selling Rate]]*Sales[[#This Row],[Qty]]</f>
        <v>7980</v>
      </c>
      <c r="J1350" s="45">
        <v>0.05</v>
      </c>
      <c r="K1350" s="46">
        <f>Sales[[#This Row],[Gross Amount]]*Sales[[#This Row],[Disc %]]</f>
        <v>399</v>
      </c>
      <c r="L1350" s="43">
        <v>0.18</v>
      </c>
      <c r="M1350" s="46">
        <f>(Sales[[#This Row],[Gross Amount]]-Sales[[#This Row],[Disc. Amt.]])*Sales[[#This Row],[GST %]]</f>
        <v>1364.58</v>
      </c>
      <c r="N1350" s="161">
        <f>Sales[[#This Row],[Gross Amount]]-Sales[[#This Row],[Disc. Amt.]]+Sales[[#This Row],[GST Amount]]</f>
        <v>8945.58</v>
      </c>
      <c r="O1350" s="34" t="s">
        <v>8876</v>
      </c>
      <c r="P1350" s="34" t="s">
        <v>3562</v>
      </c>
      <c r="Q1350" s="165">
        <f>IF(Sales[[#This Row],[Status]]="Cancelled",0,Sales[[#This Row],[Qty]])</f>
        <v>3</v>
      </c>
      <c r="R1350" s="166">
        <f>IF(Sales[[#This Row],[Status]]="Cancelled",0,Sales[[#This Row],[Total Amount]])</f>
        <v>8945.58</v>
      </c>
      <c r="S1350" s="162">
        <f>SUM(Sales[Net Amount])</f>
        <v>406839287.73200053</v>
      </c>
    </row>
    <row r="1351" spans="1:19" ht="18.75" x14ac:dyDescent="0.25">
      <c r="A1351" s="156" t="s">
        <v>4952</v>
      </c>
      <c r="B1351" s="157">
        <v>45848</v>
      </c>
      <c r="C1351" s="158" t="s">
        <v>661</v>
      </c>
      <c r="D1351" s="159" t="str">
        <f>VLOOKUP(Sales[[#This Row],[Customer ID]],Customer[#All],2,0)</f>
        <v>Pooja Gupta</v>
      </c>
      <c r="E1351" s="158" t="s">
        <v>541</v>
      </c>
      <c r="F1351" s="158" t="str">
        <f>VLOOKUP(Sales[[#This Row],[Product ID]],Product[#All],2,0)</f>
        <v>Crucial Ssd</v>
      </c>
      <c r="G1351" s="159">
        <v>3</v>
      </c>
      <c r="H1351" s="160">
        <f>VLOOKUP(Sales[[#This Row],[Product ID]],Product[#All],7,0)</f>
        <v>9350</v>
      </c>
      <c r="I1351" s="160">
        <f>Sales[[#This Row],[Selling Rate]]*Sales[[#This Row],[Qty]]</f>
        <v>28050</v>
      </c>
      <c r="J1351" s="43">
        <v>0.05</v>
      </c>
      <c r="K1351" s="44">
        <f>Sales[[#This Row],[Gross Amount]]*Sales[[#This Row],[Disc %]]</f>
        <v>1402.5</v>
      </c>
      <c r="L1351" s="43">
        <v>0.18</v>
      </c>
      <c r="M1351" s="44">
        <f>(Sales[[#This Row],[Gross Amount]]-Sales[[#This Row],[Disc. Amt.]])*Sales[[#This Row],[GST %]]</f>
        <v>4796.55</v>
      </c>
      <c r="N1351" s="161">
        <f>Sales[[#This Row],[Gross Amount]]-Sales[[#This Row],[Disc. Amt.]]+Sales[[#This Row],[GST Amount]]</f>
        <v>31444.05</v>
      </c>
      <c r="O1351" s="158" t="s">
        <v>3566</v>
      </c>
      <c r="P1351" s="158" t="s">
        <v>3562</v>
      </c>
      <c r="Q1351" s="160">
        <f>IF(Sales[[#This Row],[Status]]="Cancelled",0,Sales[[#This Row],[Qty]])</f>
        <v>3</v>
      </c>
      <c r="R1351" s="161">
        <f>IF(Sales[[#This Row],[Status]]="Cancelled",0,Sales[[#This Row],[Total Amount]])</f>
        <v>31444.05</v>
      </c>
      <c r="S1351" s="162">
        <f>SUM(Sales[Net Amount])</f>
        <v>406839287.73200053</v>
      </c>
    </row>
    <row r="1352" spans="1:19" ht="18.75" x14ac:dyDescent="0.25">
      <c r="A1352" s="163" t="s">
        <v>4953</v>
      </c>
      <c r="B1352" s="164">
        <v>45848</v>
      </c>
      <c r="C1352" s="34" t="s">
        <v>779</v>
      </c>
      <c r="D1352" s="53" t="str">
        <f>VLOOKUP(Sales[[#This Row],[Customer ID]],Customer[#All],2,0)</f>
        <v>Rakesh Verma</v>
      </c>
      <c r="E1352" s="34" t="s">
        <v>499</v>
      </c>
      <c r="F1352" s="34" t="str">
        <f>VLOOKUP(Sales[[#This Row],[Product ID]],Product[#All],2,0)</f>
        <v>HP Laptop</v>
      </c>
      <c r="G1352" s="53">
        <v>7</v>
      </c>
      <c r="H1352" s="165">
        <f>VLOOKUP(Sales[[#This Row],[Product ID]],Product[#All],7,0)</f>
        <v>83390</v>
      </c>
      <c r="I1352" s="165">
        <f>Sales[[#This Row],[Selling Rate]]*Sales[[#This Row],[Qty]]</f>
        <v>583730</v>
      </c>
      <c r="J1352" s="45">
        <v>0.05</v>
      </c>
      <c r="K1352" s="46">
        <f>Sales[[#This Row],[Gross Amount]]*Sales[[#This Row],[Disc %]]</f>
        <v>29186.5</v>
      </c>
      <c r="L1352" s="43">
        <v>0.18</v>
      </c>
      <c r="M1352" s="46">
        <f>(Sales[[#This Row],[Gross Amount]]-Sales[[#This Row],[Disc. Amt.]])*Sales[[#This Row],[GST %]]</f>
        <v>99817.83</v>
      </c>
      <c r="N1352" s="161">
        <f>Sales[[#This Row],[Gross Amount]]-Sales[[#This Row],[Disc. Amt.]]+Sales[[#This Row],[GST Amount]]</f>
        <v>654361.32999999996</v>
      </c>
      <c r="O1352" s="34" t="s">
        <v>8876</v>
      </c>
      <c r="P1352" s="34" t="s">
        <v>3562</v>
      </c>
      <c r="Q1352" s="165">
        <f>IF(Sales[[#This Row],[Status]]="Cancelled",0,Sales[[#This Row],[Qty]])</f>
        <v>7</v>
      </c>
      <c r="R1352" s="166">
        <f>IF(Sales[[#This Row],[Status]]="Cancelled",0,Sales[[#This Row],[Total Amount]])</f>
        <v>654361.32999999996</v>
      </c>
      <c r="S1352" s="162">
        <f>SUM(Sales[Net Amount])</f>
        <v>406839287.73200053</v>
      </c>
    </row>
    <row r="1353" spans="1:19" ht="18.75" x14ac:dyDescent="0.25">
      <c r="A1353" s="156" t="s">
        <v>4954</v>
      </c>
      <c r="B1353" s="157">
        <v>45848</v>
      </c>
      <c r="C1353" s="158" t="s">
        <v>772</v>
      </c>
      <c r="D1353" s="159" t="str">
        <f>VLOOKUP(Sales[[#This Row],[Customer ID]],Customer[#All],2,0)</f>
        <v>Rahul Patel</v>
      </c>
      <c r="E1353" s="158" t="s">
        <v>396</v>
      </c>
      <c r="F1353" s="158" t="str">
        <f>VLOOKUP(Sales[[#This Row],[Product ID]],Product[#All],2,0)</f>
        <v>HP Laptop</v>
      </c>
      <c r="G1353" s="159">
        <v>6</v>
      </c>
      <c r="H1353" s="160">
        <f>VLOOKUP(Sales[[#This Row],[Product ID]],Product[#All],7,0)</f>
        <v>77100</v>
      </c>
      <c r="I1353" s="160">
        <f>Sales[[#This Row],[Selling Rate]]*Sales[[#This Row],[Qty]]</f>
        <v>462600</v>
      </c>
      <c r="J1353" s="43">
        <v>0.15</v>
      </c>
      <c r="K1353" s="44">
        <f>Sales[[#This Row],[Gross Amount]]*Sales[[#This Row],[Disc %]]</f>
        <v>69390</v>
      </c>
      <c r="L1353" s="43">
        <v>0.18</v>
      </c>
      <c r="M1353" s="44">
        <f>(Sales[[#This Row],[Gross Amount]]-Sales[[#This Row],[Disc. Amt.]])*Sales[[#This Row],[GST %]]</f>
        <v>70777.8</v>
      </c>
      <c r="N1353" s="161">
        <f>Sales[[#This Row],[Gross Amount]]-Sales[[#This Row],[Disc. Amt.]]+Sales[[#This Row],[GST Amount]]</f>
        <v>463987.8</v>
      </c>
      <c r="O1353" s="158" t="s">
        <v>8876</v>
      </c>
      <c r="P1353" s="158" t="s">
        <v>3562</v>
      </c>
      <c r="Q1353" s="160">
        <f>IF(Sales[[#This Row],[Status]]="Cancelled",0,Sales[[#This Row],[Qty]])</f>
        <v>6</v>
      </c>
      <c r="R1353" s="161">
        <f>IF(Sales[[#This Row],[Status]]="Cancelled",0,Sales[[#This Row],[Total Amount]])</f>
        <v>463987.8</v>
      </c>
      <c r="S1353" s="162">
        <f>SUM(Sales[Net Amount])</f>
        <v>406839287.73200053</v>
      </c>
    </row>
    <row r="1354" spans="1:19" ht="18.75" x14ac:dyDescent="0.25">
      <c r="A1354" s="163" t="s">
        <v>4955</v>
      </c>
      <c r="B1354" s="164">
        <v>45848</v>
      </c>
      <c r="C1354" s="34" t="s">
        <v>722</v>
      </c>
      <c r="D1354" s="53" t="str">
        <f>VLOOKUP(Sales[[#This Row],[Customer ID]],Customer[#All],2,0)</f>
        <v>Vikas Patel</v>
      </c>
      <c r="E1354" s="34" t="s">
        <v>187</v>
      </c>
      <c r="F1354" s="34" t="str">
        <f>VLOOKUP(Sales[[#This Row],[Product ID]],Product[#All],2,0)</f>
        <v>American TouristerLaptopBag</v>
      </c>
      <c r="G1354" s="53">
        <v>5</v>
      </c>
      <c r="H1354" s="165">
        <f>VLOOKUP(Sales[[#This Row],[Product ID]],Product[#All],7,0)</f>
        <v>840</v>
      </c>
      <c r="I1354" s="165">
        <f>Sales[[#This Row],[Selling Rate]]*Sales[[#This Row],[Qty]]</f>
        <v>4200</v>
      </c>
      <c r="J1354" s="45">
        <v>0.05</v>
      </c>
      <c r="K1354" s="46">
        <f>Sales[[#This Row],[Gross Amount]]*Sales[[#This Row],[Disc %]]</f>
        <v>210</v>
      </c>
      <c r="L1354" s="43">
        <v>0.18</v>
      </c>
      <c r="M1354" s="46">
        <f>(Sales[[#This Row],[Gross Amount]]-Sales[[#This Row],[Disc. Amt.]])*Sales[[#This Row],[GST %]]</f>
        <v>718.19999999999993</v>
      </c>
      <c r="N1354" s="161">
        <f>Sales[[#This Row],[Gross Amount]]-Sales[[#This Row],[Disc. Amt.]]+Sales[[#This Row],[GST Amount]]</f>
        <v>4708.2</v>
      </c>
      <c r="O1354" s="34" t="s">
        <v>3569</v>
      </c>
      <c r="P1354" s="34" t="s">
        <v>3562</v>
      </c>
      <c r="Q1354" s="165">
        <f>IF(Sales[[#This Row],[Status]]="Cancelled",0,Sales[[#This Row],[Qty]])</f>
        <v>5</v>
      </c>
      <c r="R1354" s="166">
        <f>IF(Sales[[#This Row],[Status]]="Cancelled",0,Sales[[#This Row],[Total Amount]])</f>
        <v>4708.2</v>
      </c>
      <c r="S1354" s="162">
        <f>SUM(Sales[Net Amount])</f>
        <v>406839287.73200053</v>
      </c>
    </row>
    <row r="1355" spans="1:19" ht="18.75" x14ac:dyDescent="0.25">
      <c r="A1355" s="156" t="s">
        <v>4956</v>
      </c>
      <c r="B1355" s="157">
        <v>45848</v>
      </c>
      <c r="C1355" s="158" t="s">
        <v>859</v>
      </c>
      <c r="D1355" s="159" t="str">
        <f>VLOOKUP(Sales[[#This Row],[Customer ID]],Customer[#All],2,0)</f>
        <v>Rakesh Kumar</v>
      </c>
      <c r="E1355" s="158" t="s">
        <v>287</v>
      </c>
      <c r="F1355" s="158" t="str">
        <f>VLOOKUP(Sales[[#This Row],[Product ID]],Product[#All],2,0)</f>
        <v>HP Power Adapter</v>
      </c>
      <c r="G1355" s="159">
        <v>2</v>
      </c>
      <c r="H1355" s="160">
        <f>VLOOKUP(Sales[[#This Row],[Product ID]],Product[#All],7,0)</f>
        <v>2270</v>
      </c>
      <c r="I1355" s="160">
        <f>Sales[[#This Row],[Selling Rate]]*Sales[[#This Row],[Qty]]</f>
        <v>4540</v>
      </c>
      <c r="J1355" s="43">
        <v>0.05</v>
      </c>
      <c r="K1355" s="44">
        <f>Sales[[#This Row],[Gross Amount]]*Sales[[#This Row],[Disc %]]</f>
        <v>227</v>
      </c>
      <c r="L1355" s="43">
        <v>0.18</v>
      </c>
      <c r="M1355" s="44">
        <f>(Sales[[#This Row],[Gross Amount]]-Sales[[#This Row],[Disc. Amt.]])*Sales[[#This Row],[GST %]]</f>
        <v>776.33999999999992</v>
      </c>
      <c r="N1355" s="161">
        <f>Sales[[#This Row],[Gross Amount]]-Sales[[#This Row],[Disc. Amt.]]+Sales[[#This Row],[GST Amount]]</f>
        <v>5089.34</v>
      </c>
      <c r="O1355" s="158" t="s">
        <v>8876</v>
      </c>
      <c r="P1355" s="158" t="s">
        <v>3562</v>
      </c>
      <c r="Q1355" s="160">
        <f>IF(Sales[[#This Row],[Status]]="Cancelled",0,Sales[[#This Row],[Qty]])</f>
        <v>2</v>
      </c>
      <c r="R1355" s="161">
        <f>IF(Sales[[#This Row],[Status]]="Cancelled",0,Sales[[#This Row],[Total Amount]])</f>
        <v>5089.34</v>
      </c>
      <c r="S1355" s="162">
        <f>SUM(Sales[Net Amount])</f>
        <v>406839287.73200053</v>
      </c>
    </row>
    <row r="1356" spans="1:19" ht="18.75" x14ac:dyDescent="0.25">
      <c r="A1356" s="163" t="s">
        <v>4957</v>
      </c>
      <c r="B1356" s="164">
        <v>45848</v>
      </c>
      <c r="C1356" s="34" t="s">
        <v>947</v>
      </c>
      <c r="D1356" s="53" t="str">
        <f>VLOOKUP(Sales[[#This Row],[Customer ID]],Customer[#All],2,0)</f>
        <v>Sunita Singh</v>
      </c>
      <c r="E1356" s="34" t="s">
        <v>539</v>
      </c>
      <c r="F1356" s="34" t="str">
        <f>VLOOKUP(Sales[[#This Row],[Product ID]],Product[#All],2,0)</f>
        <v>Canon Printer</v>
      </c>
      <c r="G1356" s="53">
        <v>8</v>
      </c>
      <c r="H1356" s="165">
        <f>VLOOKUP(Sales[[#This Row],[Product ID]],Product[#All],7,0)</f>
        <v>25640</v>
      </c>
      <c r="I1356" s="165">
        <f>Sales[[#This Row],[Selling Rate]]*Sales[[#This Row],[Qty]]</f>
        <v>205120</v>
      </c>
      <c r="J1356" s="45">
        <v>0</v>
      </c>
      <c r="K1356" s="46">
        <f>Sales[[#This Row],[Gross Amount]]*Sales[[#This Row],[Disc %]]</f>
        <v>0</v>
      </c>
      <c r="L1356" s="43">
        <v>0.18</v>
      </c>
      <c r="M1356" s="46">
        <f>(Sales[[#This Row],[Gross Amount]]-Sales[[#This Row],[Disc. Amt.]])*Sales[[#This Row],[GST %]]</f>
        <v>36921.599999999999</v>
      </c>
      <c r="N1356" s="161">
        <f>Sales[[#This Row],[Gross Amount]]-Sales[[#This Row],[Disc. Amt.]]+Sales[[#This Row],[GST Amount]]</f>
        <v>242041.60000000001</v>
      </c>
      <c r="O1356" s="34" t="s">
        <v>3569</v>
      </c>
      <c r="P1356" s="34" t="s">
        <v>3562</v>
      </c>
      <c r="Q1356" s="165">
        <f>IF(Sales[[#This Row],[Status]]="Cancelled",0,Sales[[#This Row],[Qty]])</f>
        <v>8</v>
      </c>
      <c r="R1356" s="166">
        <f>IF(Sales[[#This Row],[Status]]="Cancelled",0,Sales[[#This Row],[Total Amount]])</f>
        <v>242041.60000000001</v>
      </c>
      <c r="S1356" s="162">
        <f>SUM(Sales[Net Amount])</f>
        <v>406839287.73200053</v>
      </c>
    </row>
    <row r="1357" spans="1:19" ht="18.75" x14ac:dyDescent="0.25">
      <c r="A1357" s="156" t="s">
        <v>4958</v>
      </c>
      <c r="B1357" s="157">
        <v>45848</v>
      </c>
      <c r="C1357" s="158" t="s">
        <v>661</v>
      </c>
      <c r="D1357" s="159" t="str">
        <f>VLOOKUP(Sales[[#This Row],[Customer ID]],Customer[#All],2,0)</f>
        <v>Pooja Gupta</v>
      </c>
      <c r="E1357" s="158" t="s">
        <v>280</v>
      </c>
      <c r="F1357" s="158" t="str">
        <f>VLOOKUP(Sales[[#This Row],[Product ID]],Product[#All],2,0)</f>
        <v>Epson Printer</v>
      </c>
      <c r="G1357" s="159">
        <v>1</v>
      </c>
      <c r="H1357" s="160">
        <f>VLOOKUP(Sales[[#This Row],[Product ID]],Product[#All],7,0)</f>
        <v>34550</v>
      </c>
      <c r="I1357" s="160">
        <f>Sales[[#This Row],[Selling Rate]]*Sales[[#This Row],[Qty]]</f>
        <v>34550</v>
      </c>
      <c r="J1357" s="43">
        <v>0.12</v>
      </c>
      <c r="K1357" s="44">
        <f>Sales[[#This Row],[Gross Amount]]*Sales[[#This Row],[Disc %]]</f>
        <v>4146</v>
      </c>
      <c r="L1357" s="43">
        <v>0.18</v>
      </c>
      <c r="M1357" s="44">
        <f>(Sales[[#This Row],[Gross Amount]]-Sales[[#This Row],[Disc. Amt.]])*Sales[[#This Row],[GST %]]</f>
        <v>5472.7199999999993</v>
      </c>
      <c r="N1357" s="161">
        <f>Sales[[#This Row],[Gross Amount]]-Sales[[#This Row],[Disc. Amt.]]+Sales[[#This Row],[GST Amount]]</f>
        <v>35876.720000000001</v>
      </c>
      <c r="O1357" s="158" t="s">
        <v>3561</v>
      </c>
      <c r="P1357" s="158" t="s">
        <v>3562</v>
      </c>
      <c r="Q1357" s="160">
        <f>IF(Sales[[#This Row],[Status]]="Cancelled",0,Sales[[#This Row],[Qty]])</f>
        <v>1</v>
      </c>
      <c r="R1357" s="161">
        <f>IF(Sales[[#This Row],[Status]]="Cancelled",0,Sales[[#This Row],[Total Amount]])</f>
        <v>35876.720000000001</v>
      </c>
      <c r="S1357" s="162">
        <f>SUM(Sales[Net Amount])</f>
        <v>406839287.73200053</v>
      </c>
    </row>
    <row r="1358" spans="1:19" ht="18.75" x14ac:dyDescent="0.25">
      <c r="A1358" s="163" t="s">
        <v>4959</v>
      </c>
      <c r="B1358" s="164">
        <v>45848</v>
      </c>
      <c r="C1358" s="34" t="s">
        <v>676</v>
      </c>
      <c r="D1358" s="53" t="str">
        <f>VLOOKUP(Sales[[#This Row],[Customer ID]],Customer[#All],2,0)</f>
        <v>Neha Singh</v>
      </c>
      <c r="E1358" s="34" t="s">
        <v>149</v>
      </c>
      <c r="F1358" s="34" t="str">
        <f>VLOOKUP(Sales[[#This Row],[Product ID]],Product[#All],2,0)</f>
        <v>Jbl Headset</v>
      </c>
      <c r="G1358" s="53">
        <v>8</v>
      </c>
      <c r="H1358" s="165">
        <f>VLOOKUP(Sales[[#This Row],[Product ID]],Product[#All],7,0)</f>
        <v>6520</v>
      </c>
      <c r="I1358" s="165">
        <f>Sales[[#This Row],[Selling Rate]]*Sales[[#This Row],[Qty]]</f>
        <v>52160</v>
      </c>
      <c r="J1358" s="45">
        <v>0</v>
      </c>
      <c r="K1358" s="46">
        <f>Sales[[#This Row],[Gross Amount]]*Sales[[#This Row],[Disc %]]</f>
        <v>0</v>
      </c>
      <c r="L1358" s="43">
        <v>0.18</v>
      </c>
      <c r="M1358" s="46">
        <f>(Sales[[#This Row],[Gross Amount]]-Sales[[#This Row],[Disc. Amt.]])*Sales[[#This Row],[GST %]]</f>
        <v>9388.7999999999993</v>
      </c>
      <c r="N1358" s="161">
        <f>Sales[[#This Row],[Gross Amount]]-Sales[[#This Row],[Disc. Amt.]]+Sales[[#This Row],[GST Amount]]</f>
        <v>61548.800000000003</v>
      </c>
      <c r="O1358" s="34" t="s">
        <v>8876</v>
      </c>
      <c r="P1358" s="34" t="s">
        <v>3562</v>
      </c>
      <c r="Q1358" s="165">
        <f>IF(Sales[[#This Row],[Status]]="Cancelled",0,Sales[[#This Row],[Qty]])</f>
        <v>8</v>
      </c>
      <c r="R1358" s="166">
        <f>IF(Sales[[#This Row],[Status]]="Cancelled",0,Sales[[#This Row],[Total Amount]])</f>
        <v>61548.800000000003</v>
      </c>
      <c r="S1358" s="162">
        <f>SUM(Sales[Net Amount])</f>
        <v>406839287.73200053</v>
      </c>
    </row>
    <row r="1359" spans="1:19" ht="18.75" x14ac:dyDescent="0.25">
      <c r="A1359" s="156" t="s">
        <v>4960</v>
      </c>
      <c r="B1359" s="157">
        <v>45848</v>
      </c>
      <c r="C1359" s="158" t="s">
        <v>767</v>
      </c>
      <c r="D1359" s="159" t="str">
        <f>VLOOKUP(Sales[[#This Row],[Customer ID]],Customer[#All],2,0)</f>
        <v>Sunita Singh</v>
      </c>
      <c r="E1359" s="158" t="s">
        <v>470</v>
      </c>
      <c r="F1359" s="158" t="str">
        <f>VLOOKUP(Sales[[#This Row],[Product ID]],Product[#All],2,0)</f>
        <v>HP Desktop</v>
      </c>
      <c r="G1359" s="159">
        <v>2</v>
      </c>
      <c r="H1359" s="160">
        <f>VLOOKUP(Sales[[#This Row],[Product ID]],Product[#All],7,0)</f>
        <v>40330</v>
      </c>
      <c r="I1359" s="160">
        <f>Sales[[#This Row],[Selling Rate]]*Sales[[#This Row],[Qty]]</f>
        <v>80660</v>
      </c>
      <c r="J1359" s="43">
        <v>0.05</v>
      </c>
      <c r="K1359" s="44">
        <f>Sales[[#This Row],[Gross Amount]]*Sales[[#This Row],[Disc %]]</f>
        <v>4033</v>
      </c>
      <c r="L1359" s="43">
        <v>0.18</v>
      </c>
      <c r="M1359" s="44">
        <f>(Sales[[#This Row],[Gross Amount]]-Sales[[#This Row],[Disc. Amt.]])*Sales[[#This Row],[GST %]]</f>
        <v>13792.859999999999</v>
      </c>
      <c r="N1359" s="161">
        <f>Sales[[#This Row],[Gross Amount]]-Sales[[#This Row],[Disc. Amt.]]+Sales[[#This Row],[GST Amount]]</f>
        <v>90419.86</v>
      </c>
      <c r="O1359" s="158" t="s">
        <v>3569</v>
      </c>
      <c r="P1359" s="158" t="s">
        <v>3562</v>
      </c>
      <c r="Q1359" s="160">
        <f>IF(Sales[[#This Row],[Status]]="Cancelled",0,Sales[[#This Row],[Qty]])</f>
        <v>2</v>
      </c>
      <c r="R1359" s="161">
        <f>IF(Sales[[#This Row],[Status]]="Cancelled",0,Sales[[#This Row],[Total Amount]])</f>
        <v>90419.86</v>
      </c>
      <c r="S1359" s="162">
        <f>SUM(Sales[Net Amount])</f>
        <v>406839287.73200053</v>
      </c>
    </row>
    <row r="1360" spans="1:19" ht="18.75" x14ac:dyDescent="0.25">
      <c r="A1360" s="163" t="s">
        <v>4961</v>
      </c>
      <c r="B1360" s="164">
        <v>45848</v>
      </c>
      <c r="C1360" s="34" t="s">
        <v>793</v>
      </c>
      <c r="D1360" s="53" t="str">
        <f>VLOOKUP(Sales[[#This Row],[Customer ID]],Customer[#All],2,0)</f>
        <v>Neha Verma</v>
      </c>
      <c r="E1360" s="34" t="s">
        <v>419</v>
      </c>
      <c r="F1360" s="34" t="str">
        <f>VLOOKUP(Sales[[#This Row],[Product ID]],Product[#All],2,0)</f>
        <v>WD HDD</v>
      </c>
      <c r="G1360" s="53">
        <v>7</v>
      </c>
      <c r="H1360" s="165">
        <f>VLOOKUP(Sales[[#This Row],[Product ID]],Product[#All],7,0)</f>
        <v>8930</v>
      </c>
      <c r="I1360" s="165">
        <f>Sales[[#This Row],[Selling Rate]]*Sales[[#This Row],[Qty]]</f>
        <v>62510</v>
      </c>
      <c r="J1360" s="45">
        <v>0.12</v>
      </c>
      <c r="K1360" s="46">
        <f>Sales[[#This Row],[Gross Amount]]*Sales[[#This Row],[Disc %]]</f>
        <v>7501.2</v>
      </c>
      <c r="L1360" s="43">
        <v>0.18</v>
      </c>
      <c r="M1360" s="46">
        <f>(Sales[[#This Row],[Gross Amount]]-Sales[[#This Row],[Disc. Amt.]])*Sales[[#This Row],[GST %]]</f>
        <v>9901.5840000000007</v>
      </c>
      <c r="N1360" s="161">
        <f>Sales[[#This Row],[Gross Amount]]-Sales[[#This Row],[Disc. Amt.]]+Sales[[#This Row],[GST Amount]]</f>
        <v>64910.384000000005</v>
      </c>
      <c r="O1360" s="34" t="s">
        <v>3569</v>
      </c>
      <c r="P1360" s="34" t="s">
        <v>3562</v>
      </c>
      <c r="Q1360" s="165">
        <f>IF(Sales[[#This Row],[Status]]="Cancelled",0,Sales[[#This Row],[Qty]])</f>
        <v>7</v>
      </c>
      <c r="R1360" s="166">
        <f>IF(Sales[[#This Row],[Status]]="Cancelled",0,Sales[[#This Row],[Total Amount]])</f>
        <v>64910.384000000005</v>
      </c>
      <c r="S1360" s="162">
        <f>SUM(Sales[Net Amount])</f>
        <v>406839287.73200053</v>
      </c>
    </row>
    <row r="1361" spans="1:19" ht="18.75" x14ac:dyDescent="0.25">
      <c r="A1361" s="156" t="s">
        <v>4962</v>
      </c>
      <c r="B1361" s="157">
        <v>45848</v>
      </c>
      <c r="C1361" s="158" t="s">
        <v>820</v>
      </c>
      <c r="D1361" s="159" t="str">
        <f>VLOOKUP(Sales[[#This Row],[Customer ID]],Customer[#All],2,0)</f>
        <v>Sahil Gupta</v>
      </c>
      <c r="E1361" s="158" t="s">
        <v>241</v>
      </c>
      <c r="F1361" s="158" t="str">
        <f>VLOOKUP(Sales[[#This Row],[Product ID]],Product[#All],2,0)</f>
        <v>Portronics USB Cable</v>
      </c>
      <c r="G1361" s="159">
        <v>2</v>
      </c>
      <c r="H1361" s="160">
        <f>VLOOKUP(Sales[[#This Row],[Product ID]],Product[#All],7,0)</f>
        <v>630</v>
      </c>
      <c r="I1361" s="160">
        <f>Sales[[#This Row],[Selling Rate]]*Sales[[#This Row],[Qty]]</f>
        <v>1260</v>
      </c>
      <c r="J1361" s="43">
        <v>0.15</v>
      </c>
      <c r="K1361" s="44">
        <f>Sales[[#This Row],[Gross Amount]]*Sales[[#This Row],[Disc %]]</f>
        <v>189</v>
      </c>
      <c r="L1361" s="43">
        <v>0.18</v>
      </c>
      <c r="M1361" s="44">
        <f>(Sales[[#This Row],[Gross Amount]]-Sales[[#This Row],[Disc. Amt.]])*Sales[[#This Row],[GST %]]</f>
        <v>192.78</v>
      </c>
      <c r="N1361" s="161">
        <f>Sales[[#This Row],[Gross Amount]]-Sales[[#This Row],[Disc. Amt.]]+Sales[[#This Row],[GST Amount]]</f>
        <v>1263.78</v>
      </c>
      <c r="O1361" s="158" t="s">
        <v>8876</v>
      </c>
      <c r="P1361" s="158" t="s">
        <v>3562</v>
      </c>
      <c r="Q1361" s="160">
        <f>IF(Sales[[#This Row],[Status]]="Cancelled",0,Sales[[#This Row],[Qty]])</f>
        <v>2</v>
      </c>
      <c r="R1361" s="161">
        <f>IF(Sales[[#This Row],[Status]]="Cancelled",0,Sales[[#This Row],[Total Amount]])</f>
        <v>1263.78</v>
      </c>
      <c r="S1361" s="162">
        <f>SUM(Sales[Net Amount])</f>
        <v>406839287.73200053</v>
      </c>
    </row>
    <row r="1362" spans="1:19" ht="18.75" x14ac:dyDescent="0.25">
      <c r="A1362" s="163" t="s">
        <v>4963</v>
      </c>
      <c r="B1362" s="164">
        <v>45848</v>
      </c>
      <c r="C1362" s="34" t="s">
        <v>947</v>
      </c>
      <c r="D1362" s="53" t="str">
        <f>VLOOKUP(Sales[[#This Row],[Customer ID]],Customer[#All],2,0)</f>
        <v>Sunita Singh</v>
      </c>
      <c r="E1362" s="34" t="s">
        <v>30</v>
      </c>
      <c r="F1362" s="34" t="str">
        <f>VLOOKUP(Sales[[#This Row],[Product ID]],Product[#All],2,0)</f>
        <v>Samsung Monitor</v>
      </c>
      <c r="G1362" s="53">
        <v>2</v>
      </c>
      <c r="H1362" s="165">
        <f>VLOOKUP(Sales[[#This Row],[Product ID]],Product[#All],7,0)</f>
        <v>16740</v>
      </c>
      <c r="I1362" s="165">
        <f>Sales[[#This Row],[Selling Rate]]*Sales[[#This Row],[Qty]]</f>
        <v>33480</v>
      </c>
      <c r="J1362" s="45">
        <v>0.12</v>
      </c>
      <c r="K1362" s="46">
        <f>Sales[[#This Row],[Gross Amount]]*Sales[[#This Row],[Disc %]]</f>
        <v>4017.6</v>
      </c>
      <c r="L1362" s="43">
        <v>0.18</v>
      </c>
      <c r="M1362" s="46">
        <f>(Sales[[#This Row],[Gross Amount]]-Sales[[#This Row],[Disc. Amt.]])*Sales[[#This Row],[GST %]]</f>
        <v>5303.232</v>
      </c>
      <c r="N1362" s="161">
        <f>Sales[[#This Row],[Gross Amount]]-Sales[[#This Row],[Disc. Amt.]]+Sales[[#This Row],[GST Amount]]</f>
        <v>34765.631999999998</v>
      </c>
      <c r="O1362" s="34" t="s">
        <v>8876</v>
      </c>
      <c r="P1362" s="34" t="s">
        <v>3562</v>
      </c>
      <c r="Q1362" s="165">
        <f>IF(Sales[[#This Row],[Status]]="Cancelled",0,Sales[[#This Row],[Qty]])</f>
        <v>2</v>
      </c>
      <c r="R1362" s="166">
        <f>IF(Sales[[#This Row],[Status]]="Cancelled",0,Sales[[#This Row],[Total Amount]])</f>
        <v>34765.631999999998</v>
      </c>
      <c r="S1362" s="162">
        <f>SUM(Sales[Net Amount])</f>
        <v>406839287.73200053</v>
      </c>
    </row>
    <row r="1363" spans="1:19" ht="18.75" x14ac:dyDescent="0.25">
      <c r="A1363" s="156" t="s">
        <v>4964</v>
      </c>
      <c r="B1363" s="157">
        <v>45848</v>
      </c>
      <c r="C1363" s="158" t="s">
        <v>8724</v>
      </c>
      <c r="D1363" s="159" t="str">
        <f>VLOOKUP(Sales[[#This Row],[Customer ID]],Customer[#All],2,0)</f>
        <v>Pooja Patel</v>
      </c>
      <c r="E1363" s="158" t="s">
        <v>522</v>
      </c>
      <c r="F1363" s="158" t="str">
        <f>VLOOKUP(Sales[[#This Row],[Product ID]],Product[#All],2,0)</f>
        <v>Dell Keyboard</v>
      </c>
      <c r="G1363" s="159">
        <v>1</v>
      </c>
      <c r="H1363" s="160">
        <f>VLOOKUP(Sales[[#This Row],[Product ID]],Product[#All],7,0)</f>
        <v>3020</v>
      </c>
      <c r="I1363" s="160">
        <f>Sales[[#This Row],[Selling Rate]]*Sales[[#This Row],[Qty]]</f>
        <v>3020</v>
      </c>
      <c r="J1363" s="43">
        <v>0.05</v>
      </c>
      <c r="K1363" s="44">
        <f>Sales[[#This Row],[Gross Amount]]*Sales[[#This Row],[Disc %]]</f>
        <v>151</v>
      </c>
      <c r="L1363" s="43">
        <v>0.18</v>
      </c>
      <c r="M1363" s="44">
        <f>(Sales[[#This Row],[Gross Amount]]-Sales[[#This Row],[Disc. Amt.]])*Sales[[#This Row],[GST %]]</f>
        <v>516.41999999999996</v>
      </c>
      <c r="N1363" s="161">
        <f>Sales[[#This Row],[Gross Amount]]-Sales[[#This Row],[Disc. Amt.]]+Sales[[#This Row],[GST Amount]]</f>
        <v>3385.42</v>
      </c>
      <c r="O1363" s="158" t="s">
        <v>3566</v>
      </c>
      <c r="P1363" s="158" t="s">
        <v>3562</v>
      </c>
      <c r="Q1363" s="160">
        <f>IF(Sales[[#This Row],[Status]]="Cancelled",0,Sales[[#This Row],[Qty]])</f>
        <v>1</v>
      </c>
      <c r="R1363" s="161">
        <f>IF(Sales[[#This Row],[Status]]="Cancelled",0,Sales[[#This Row],[Total Amount]])</f>
        <v>3385.42</v>
      </c>
      <c r="S1363" s="162">
        <f>SUM(Sales[Net Amount])</f>
        <v>406839287.73200053</v>
      </c>
    </row>
    <row r="1364" spans="1:19" ht="18.75" x14ac:dyDescent="0.25">
      <c r="A1364" s="163" t="s">
        <v>4965</v>
      </c>
      <c r="B1364" s="164">
        <v>45848</v>
      </c>
      <c r="C1364" s="34" t="s">
        <v>757</v>
      </c>
      <c r="D1364" s="53" t="str">
        <f>VLOOKUP(Sales[[#This Row],[Customer ID]],Customer[#All],2,0)</f>
        <v>Amit Singh</v>
      </c>
      <c r="E1364" s="34" t="s">
        <v>475</v>
      </c>
      <c r="F1364" s="34" t="str">
        <f>VLOOKUP(Sales[[#This Row],[Product ID]],Product[#All],2,0)</f>
        <v>TP-link Bluetooth Adapter</v>
      </c>
      <c r="G1364" s="53">
        <v>6</v>
      </c>
      <c r="H1364" s="165">
        <f>VLOOKUP(Sales[[#This Row],[Product ID]],Product[#All],7,0)</f>
        <v>1430</v>
      </c>
      <c r="I1364" s="165">
        <f>Sales[[#This Row],[Selling Rate]]*Sales[[#This Row],[Qty]]</f>
        <v>8580</v>
      </c>
      <c r="J1364" s="45">
        <v>0.05</v>
      </c>
      <c r="K1364" s="46">
        <f>Sales[[#This Row],[Gross Amount]]*Sales[[#This Row],[Disc %]]</f>
        <v>429</v>
      </c>
      <c r="L1364" s="43">
        <v>0.18</v>
      </c>
      <c r="M1364" s="46">
        <f>(Sales[[#This Row],[Gross Amount]]-Sales[[#This Row],[Disc. Amt.]])*Sales[[#This Row],[GST %]]</f>
        <v>1467.1799999999998</v>
      </c>
      <c r="N1364" s="161">
        <f>Sales[[#This Row],[Gross Amount]]-Sales[[#This Row],[Disc. Amt.]]+Sales[[#This Row],[GST Amount]]</f>
        <v>9618.18</v>
      </c>
      <c r="O1364" s="34" t="s">
        <v>8876</v>
      </c>
      <c r="P1364" s="34" t="s">
        <v>3562</v>
      </c>
      <c r="Q1364" s="165">
        <f>IF(Sales[[#This Row],[Status]]="Cancelled",0,Sales[[#This Row],[Qty]])</f>
        <v>6</v>
      </c>
      <c r="R1364" s="166">
        <f>IF(Sales[[#This Row],[Status]]="Cancelled",0,Sales[[#This Row],[Total Amount]])</f>
        <v>9618.18</v>
      </c>
      <c r="S1364" s="162">
        <f>SUM(Sales[Net Amount])</f>
        <v>406839287.73200053</v>
      </c>
    </row>
    <row r="1365" spans="1:19" ht="18.75" x14ac:dyDescent="0.25">
      <c r="A1365" s="156" t="s">
        <v>4966</v>
      </c>
      <c r="B1365" s="157">
        <v>45848</v>
      </c>
      <c r="C1365" s="158" t="s">
        <v>885</v>
      </c>
      <c r="D1365" s="159" t="str">
        <f>VLOOKUP(Sales[[#This Row],[Customer ID]],Customer[#All],2,0)</f>
        <v>Pooja Verma</v>
      </c>
      <c r="E1365" s="158" t="s">
        <v>96</v>
      </c>
      <c r="F1365" s="158" t="str">
        <f>VLOOKUP(Sales[[#This Row],[Product ID]],Product[#All],2,0)</f>
        <v>Corsair Ram</v>
      </c>
      <c r="G1365" s="159">
        <v>8</v>
      </c>
      <c r="H1365" s="160">
        <f>VLOOKUP(Sales[[#This Row],[Product ID]],Product[#All],7,0)</f>
        <v>4570</v>
      </c>
      <c r="I1365" s="160">
        <f>Sales[[#This Row],[Selling Rate]]*Sales[[#This Row],[Qty]]</f>
        <v>36560</v>
      </c>
      <c r="J1365" s="43">
        <v>0.05</v>
      </c>
      <c r="K1365" s="44">
        <f>Sales[[#This Row],[Gross Amount]]*Sales[[#This Row],[Disc %]]</f>
        <v>1828</v>
      </c>
      <c r="L1365" s="43">
        <v>0.18</v>
      </c>
      <c r="M1365" s="44">
        <f>(Sales[[#This Row],[Gross Amount]]-Sales[[#This Row],[Disc. Amt.]])*Sales[[#This Row],[GST %]]</f>
        <v>6251.76</v>
      </c>
      <c r="N1365" s="161">
        <f>Sales[[#This Row],[Gross Amount]]-Sales[[#This Row],[Disc. Amt.]]+Sales[[#This Row],[GST Amount]]</f>
        <v>40983.760000000002</v>
      </c>
      <c r="O1365" s="158" t="s">
        <v>3561</v>
      </c>
      <c r="P1365" s="158" t="s">
        <v>3562</v>
      </c>
      <c r="Q1365" s="160">
        <f>IF(Sales[[#This Row],[Status]]="Cancelled",0,Sales[[#This Row],[Qty]])</f>
        <v>8</v>
      </c>
      <c r="R1365" s="161">
        <f>IF(Sales[[#This Row],[Status]]="Cancelled",0,Sales[[#This Row],[Total Amount]])</f>
        <v>40983.760000000002</v>
      </c>
      <c r="S1365" s="162">
        <f>SUM(Sales[Net Amount])</f>
        <v>406839287.73200053</v>
      </c>
    </row>
    <row r="1366" spans="1:19" ht="18.75" x14ac:dyDescent="0.25">
      <c r="A1366" s="163" t="s">
        <v>4967</v>
      </c>
      <c r="B1366" s="164">
        <v>45848</v>
      </c>
      <c r="C1366" s="34" t="s">
        <v>657</v>
      </c>
      <c r="D1366" s="53" t="str">
        <f>VLOOKUP(Sales[[#This Row],[Customer ID]],Customer[#All],2,0)</f>
        <v>Rahul Verma</v>
      </c>
      <c r="E1366" s="34" t="s">
        <v>170</v>
      </c>
      <c r="F1366" s="34" t="str">
        <f>VLOOKUP(Sales[[#This Row],[Product ID]],Product[#All],2,0)</f>
        <v>Lenovo Laptop</v>
      </c>
      <c r="G1366" s="53">
        <v>5</v>
      </c>
      <c r="H1366" s="165">
        <f>VLOOKUP(Sales[[#This Row],[Product ID]],Product[#All],7,0)</f>
        <v>29710</v>
      </c>
      <c r="I1366" s="165">
        <f>Sales[[#This Row],[Selling Rate]]*Sales[[#This Row],[Qty]]</f>
        <v>148550</v>
      </c>
      <c r="J1366" s="45">
        <v>0.1</v>
      </c>
      <c r="K1366" s="46">
        <f>Sales[[#This Row],[Gross Amount]]*Sales[[#This Row],[Disc %]]</f>
        <v>14855</v>
      </c>
      <c r="L1366" s="43">
        <v>0.18</v>
      </c>
      <c r="M1366" s="46">
        <f>(Sales[[#This Row],[Gross Amount]]-Sales[[#This Row],[Disc. Amt.]])*Sales[[#This Row],[GST %]]</f>
        <v>24065.1</v>
      </c>
      <c r="N1366" s="161">
        <f>Sales[[#This Row],[Gross Amount]]-Sales[[#This Row],[Disc. Amt.]]+Sales[[#This Row],[GST Amount]]</f>
        <v>157760.1</v>
      </c>
      <c r="O1366" s="34" t="s">
        <v>8876</v>
      </c>
      <c r="P1366" s="34" t="s">
        <v>3562</v>
      </c>
      <c r="Q1366" s="165">
        <f>IF(Sales[[#This Row],[Status]]="Cancelled",0,Sales[[#This Row],[Qty]])</f>
        <v>5</v>
      </c>
      <c r="R1366" s="166">
        <f>IF(Sales[[#This Row],[Status]]="Cancelled",0,Sales[[#This Row],[Total Amount]])</f>
        <v>157760.1</v>
      </c>
      <c r="S1366" s="162">
        <f>SUM(Sales[Net Amount])</f>
        <v>406839287.73200053</v>
      </c>
    </row>
    <row r="1367" spans="1:19" ht="18.75" x14ac:dyDescent="0.25">
      <c r="A1367" s="156" t="s">
        <v>4968</v>
      </c>
      <c r="B1367" s="157">
        <v>45848</v>
      </c>
      <c r="C1367" s="158" t="s">
        <v>893</v>
      </c>
      <c r="D1367" s="159" t="str">
        <f>VLOOKUP(Sales[[#This Row],[Customer ID]],Customer[#All],2,0)</f>
        <v>Sunita Sharma</v>
      </c>
      <c r="E1367" s="158" t="s">
        <v>207</v>
      </c>
      <c r="F1367" s="158" t="str">
        <f>VLOOKUP(Sales[[#This Row],[Product ID]],Product[#All],2,0)</f>
        <v>Jbl Headset</v>
      </c>
      <c r="G1367" s="159">
        <v>2</v>
      </c>
      <c r="H1367" s="160">
        <f>VLOOKUP(Sales[[#This Row],[Product ID]],Product[#All],7,0)</f>
        <v>1400</v>
      </c>
      <c r="I1367" s="160">
        <f>Sales[[#This Row],[Selling Rate]]*Sales[[#This Row],[Qty]]</f>
        <v>2800</v>
      </c>
      <c r="J1367" s="43">
        <v>0.12</v>
      </c>
      <c r="K1367" s="44">
        <f>Sales[[#This Row],[Gross Amount]]*Sales[[#This Row],[Disc %]]</f>
        <v>336</v>
      </c>
      <c r="L1367" s="43">
        <v>0.18</v>
      </c>
      <c r="M1367" s="44">
        <f>(Sales[[#This Row],[Gross Amount]]-Sales[[#This Row],[Disc. Amt.]])*Sales[[#This Row],[GST %]]</f>
        <v>443.52</v>
      </c>
      <c r="N1367" s="161">
        <f>Sales[[#This Row],[Gross Amount]]-Sales[[#This Row],[Disc. Amt.]]+Sales[[#This Row],[GST Amount]]</f>
        <v>2907.52</v>
      </c>
      <c r="O1367" s="158" t="s">
        <v>3566</v>
      </c>
      <c r="P1367" s="158" t="s">
        <v>3562</v>
      </c>
      <c r="Q1367" s="160">
        <f>IF(Sales[[#This Row],[Status]]="Cancelled",0,Sales[[#This Row],[Qty]])</f>
        <v>2</v>
      </c>
      <c r="R1367" s="161">
        <f>IF(Sales[[#This Row],[Status]]="Cancelled",0,Sales[[#This Row],[Total Amount]])</f>
        <v>2907.52</v>
      </c>
      <c r="S1367" s="162">
        <f>SUM(Sales[Net Amount])</f>
        <v>406839287.73200053</v>
      </c>
    </row>
    <row r="1368" spans="1:19" ht="18.75" x14ac:dyDescent="0.25">
      <c r="A1368" s="163" t="s">
        <v>4969</v>
      </c>
      <c r="B1368" s="164">
        <v>45848</v>
      </c>
      <c r="C1368" s="34" t="s">
        <v>760</v>
      </c>
      <c r="D1368" s="53" t="str">
        <f>VLOOKUP(Sales[[#This Row],[Customer ID]],Customer[#All],2,0)</f>
        <v>Pooja Singh</v>
      </c>
      <c r="E1368" s="34" t="s">
        <v>390</v>
      </c>
      <c r="F1368" s="34" t="str">
        <f>VLOOKUP(Sales[[#This Row],[Product ID]],Product[#All],2,0)</f>
        <v>TP-link Router</v>
      </c>
      <c r="G1368" s="53">
        <v>7</v>
      </c>
      <c r="H1368" s="165">
        <f>VLOOKUP(Sales[[#This Row],[Product ID]],Product[#All],7,0)</f>
        <v>4620</v>
      </c>
      <c r="I1368" s="165">
        <f>Sales[[#This Row],[Selling Rate]]*Sales[[#This Row],[Qty]]</f>
        <v>32340</v>
      </c>
      <c r="J1368" s="45">
        <v>0</v>
      </c>
      <c r="K1368" s="46">
        <f>Sales[[#This Row],[Gross Amount]]*Sales[[#This Row],[Disc %]]</f>
        <v>0</v>
      </c>
      <c r="L1368" s="43">
        <v>0.18</v>
      </c>
      <c r="M1368" s="46">
        <f>(Sales[[#This Row],[Gross Amount]]-Sales[[#This Row],[Disc. Amt.]])*Sales[[#This Row],[GST %]]</f>
        <v>5821.2</v>
      </c>
      <c r="N1368" s="161">
        <f>Sales[[#This Row],[Gross Amount]]-Sales[[#This Row],[Disc. Amt.]]+Sales[[#This Row],[GST Amount]]</f>
        <v>38161.199999999997</v>
      </c>
      <c r="O1368" s="34" t="s">
        <v>3566</v>
      </c>
      <c r="P1368" s="34" t="s">
        <v>3562</v>
      </c>
      <c r="Q1368" s="165">
        <f>IF(Sales[[#This Row],[Status]]="Cancelled",0,Sales[[#This Row],[Qty]])</f>
        <v>7</v>
      </c>
      <c r="R1368" s="166">
        <f>IF(Sales[[#This Row],[Status]]="Cancelled",0,Sales[[#This Row],[Total Amount]])</f>
        <v>38161.199999999997</v>
      </c>
      <c r="S1368" s="162">
        <f>SUM(Sales[Net Amount])</f>
        <v>406839287.73200053</v>
      </c>
    </row>
    <row r="1369" spans="1:19" ht="18.75" x14ac:dyDescent="0.25">
      <c r="A1369" s="156" t="s">
        <v>4970</v>
      </c>
      <c r="B1369" s="157">
        <v>45849</v>
      </c>
      <c r="C1369" s="158" t="s">
        <v>825</v>
      </c>
      <c r="D1369" s="159" t="str">
        <f>VLOOKUP(Sales[[#This Row],[Customer ID]],Customer[#All],2,0)</f>
        <v>Rahul Kumar</v>
      </c>
      <c r="E1369" s="158" t="s">
        <v>392</v>
      </c>
      <c r="F1369" s="158" t="str">
        <f>VLOOKUP(Sales[[#This Row],[Product ID]],Product[#All],2,0)</f>
        <v>Apc UPS</v>
      </c>
      <c r="G1369" s="159">
        <v>4</v>
      </c>
      <c r="H1369" s="160">
        <f>VLOOKUP(Sales[[#This Row],[Product ID]],Product[#All],7,0)</f>
        <v>3320</v>
      </c>
      <c r="I1369" s="160">
        <f>Sales[[#This Row],[Selling Rate]]*Sales[[#This Row],[Qty]]</f>
        <v>13280</v>
      </c>
      <c r="J1369" s="43">
        <v>0.05</v>
      </c>
      <c r="K1369" s="44">
        <f>Sales[[#This Row],[Gross Amount]]*Sales[[#This Row],[Disc %]]</f>
        <v>664</v>
      </c>
      <c r="L1369" s="43">
        <v>0.18</v>
      </c>
      <c r="M1369" s="44">
        <f>(Sales[[#This Row],[Gross Amount]]-Sales[[#This Row],[Disc. Amt.]])*Sales[[#This Row],[GST %]]</f>
        <v>2270.88</v>
      </c>
      <c r="N1369" s="161">
        <f>Sales[[#This Row],[Gross Amount]]-Sales[[#This Row],[Disc. Amt.]]+Sales[[#This Row],[GST Amount]]</f>
        <v>14886.880000000001</v>
      </c>
      <c r="O1369" s="158" t="s">
        <v>8876</v>
      </c>
      <c r="P1369" s="158" t="s">
        <v>3562</v>
      </c>
      <c r="Q1369" s="160">
        <f>IF(Sales[[#This Row],[Status]]="Cancelled",0,Sales[[#This Row],[Qty]])</f>
        <v>4</v>
      </c>
      <c r="R1369" s="161">
        <f>IF(Sales[[#This Row],[Status]]="Cancelled",0,Sales[[#This Row],[Total Amount]])</f>
        <v>14886.880000000001</v>
      </c>
      <c r="S1369" s="162">
        <f>SUM(Sales[Net Amount])</f>
        <v>406839287.73200053</v>
      </c>
    </row>
    <row r="1370" spans="1:19" ht="18.75" x14ac:dyDescent="0.25">
      <c r="A1370" s="163" t="s">
        <v>4971</v>
      </c>
      <c r="B1370" s="164">
        <v>45849</v>
      </c>
      <c r="C1370" s="34" t="s">
        <v>890</v>
      </c>
      <c r="D1370" s="53" t="str">
        <f>VLOOKUP(Sales[[#This Row],[Customer ID]],Customer[#All],2,0)</f>
        <v>Rakesh Patel</v>
      </c>
      <c r="E1370" s="34" t="s">
        <v>451</v>
      </c>
      <c r="F1370" s="34" t="str">
        <f>VLOOKUP(Sales[[#This Row],[Product ID]],Product[#All],2,0)</f>
        <v>HP Printer</v>
      </c>
      <c r="G1370" s="53">
        <v>3</v>
      </c>
      <c r="H1370" s="165">
        <f>VLOOKUP(Sales[[#This Row],[Product ID]],Product[#All],7,0)</f>
        <v>36160</v>
      </c>
      <c r="I1370" s="165">
        <f>Sales[[#This Row],[Selling Rate]]*Sales[[#This Row],[Qty]]</f>
        <v>108480</v>
      </c>
      <c r="J1370" s="45">
        <v>0</v>
      </c>
      <c r="K1370" s="46">
        <f>Sales[[#This Row],[Gross Amount]]*Sales[[#This Row],[Disc %]]</f>
        <v>0</v>
      </c>
      <c r="L1370" s="43">
        <v>0.18</v>
      </c>
      <c r="M1370" s="46">
        <f>(Sales[[#This Row],[Gross Amount]]-Sales[[#This Row],[Disc. Amt.]])*Sales[[#This Row],[GST %]]</f>
        <v>19526.399999999998</v>
      </c>
      <c r="N1370" s="161">
        <f>Sales[[#This Row],[Gross Amount]]-Sales[[#This Row],[Disc. Amt.]]+Sales[[#This Row],[GST Amount]]</f>
        <v>128006.39999999999</v>
      </c>
      <c r="O1370" s="34" t="s">
        <v>3561</v>
      </c>
      <c r="P1370" s="34" t="s">
        <v>3562</v>
      </c>
      <c r="Q1370" s="165">
        <f>IF(Sales[[#This Row],[Status]]="Cancelled",0,Sales[[#This Row],[Qty]])</f>
        <v>3</v>
      </c>
      <c r="R1370" s="166">
        <f>IF(Sales[[#This Row],[Status]]="Cancelled",0,Sales[[#This Row],[Total Amount]])</f>
        <v>128006.39999999999</v>
      </c>
      <c r="S1370" s="162">
        <f>SUM(Sales[Net Amount])</f>
        <v>406839287.73200053</v>
      </c>
    </row>
    <row r="1371" spans="1:19" ht="18.75" x14ac:dyDescent="0.25">
      <c r="A1371" s="156" t="s">
        <v>4972</v>
      </c>
      <c r="B1371" s="157">
        <v>45849</v>
      </c>
      <c r="C1371" s="158" t="s">
        <v>852</v>
      </c>
      <c r="D1371" s="159" t="str">
        <f>VLOOKUP(Sales[[#This Row],[Customer ID]],Customer[#All],2,0)</f>
        <v>Neha Singh</v>
      </c>
      <c r="E1371" s="158" t="s">
        <v>537</v>
      </c>
      <c r="F1371" s="158" t="str">
        <f>VLOOKUP(Sales[[#This Row],[Product ID]],Product[#All],2,0)</f>
        <v>Dell Laptop</v>
      </c>
      <c r="G1371" s="159">
        <v>5</v>
      </c>
      <c r="H1371" s="160">
        <f>VLOOKUP(Sales[[#This Row],[Product ID]],Product[#All],7,0)</f>
        <v>90420</v>
      </c>
      <c r="I1371" s="160">
        <f>Sales[[#This Row],[Selling Rate]]*Sales[[#This Row],[Qty]]</f>
        <v>452100</v>
      </c>
      <c r="J1371" s="43">
        <v>0.05</v>
      </c>
      <c r="K1371" s="44">
        <f>Sales[[#This Row],[Gross Amount]]*Sales[[#This Row],[Disc %]]</f>
        <v>22605</v>
      </c>
      <c r="L1371" s="43">
        <v>0.18</v>
      </c>
      <c r="M1371" s="44">
        <f>(Sales[[#This Row],[Gross Amount]]-Sales[[#This Row],[Disc. Amt.]])*Sales[[#This Row],[GST %]]</f>
        <v>77309.099999999991</v>
      </c>
      <c r="N1371" s="161">
        <f>Sales[[#This Row],[Gross Amount]]-Sales[[#This Row],[Disc. Amt.]]+Sales[[#This Row],[GST Amount]]</f>
        <v>506804.1</v>
      </c>
      <c r="O1371" s="158" t="s">
        <v>8876</v>
      </c>
      <c r="P1371" s="158" t="s">
        <v>3562</v>
      </c>
      <c r="Q1371" s="160">
        <f>IF(Sales[[#This Row],[Status]]="Cancelled",0,Sales[[#This Row],[Qty]])</f>
        <v>5</v>
      </c>
      <c r="R1371" s="161">
        <f>IF(Sales[[#This Row],[Status]]="Cancelled",0,Sales[[#This Row],[Total Amount]])</f>
        <v>506804.1</v>
      </c>
      <c r="S1371" s="162">
        <f>SUM(Sales[Net Amount])</f>
        <v>406839287.73200053</v>
      </c>
    </row>
    <row r="1372" spans="1:19" ht="18.75" x14ac:dyDescent="0.25">
      <c r="A1372" s="163" t="s">
        <v>4973</v>
      </c>
      <c r="B1372" s="164">
        <v>45849</v>
      </c>
      <c r="C1372" s="34" t="s">
        <v>902</v>
      </c>
      <c r="D1372" s="53" t="str">
        <f>VLOOKUP(Sales[[#This Row],[Customer ID]],Customer[#All],2,0)</f>
        <v>Sunita Singh</v>
      </c>
      <c r="E1372" s="34" t="s">
        <v>255</v>
      </c>
      <c r="F1372" s="34" t="str">
        <f>VLOOKUP(Sales[[#This Row],[Product ID]],Product[#All],2,0)</f>
        <v>Acer Laptop</v>
      </c>
      <c r="G1372" s="53">
        <v>7</v>
      </c>
      <c r="H1372" s="165">
        <f>VLOOKUP(Sales[[#This Row],[Product ID]],Product[#All],7,0)</f>
        <v>62430</v>
      </c>
      <c r="I1372" s="165">
        <f>Sales[[#This Row],[Selling Rate]]*Sales[[#This Row],[Qty]]</f>
        <v>437010</v>
      </c>
      <c r="J1372" s="45">
        <v>0.05</v>
      </c>
      <c r="K1372" s="46">
        <f>Sales[[#This Row],[Gross Amount]]*Sales[[#This Row],[Disc %]]</f>
        <v>21850.5</v>
      </c>
      <c r="L1372" s="43">
        <v>0.18</v>
      </c>
      <c r="M1372" s="46">
        <f>(Sales[[#This Row],[Gross Amount]]-Sales[[#This Row],[Disc. Amt.]])*Sales[[#This Row],[GST %]]</f>
        <v>74728.709999999992</v>
      </c>
      <c r="N1372" s="161">
        <f>Sales[[#This Row],[Gross Amount]]-Sales[[#This Row],[Disc. Amt.]]+Sales[[#This Row],[GST Amount]]</f>
        <v>489888.20999999996</v>
      </c>
      <c r="O1372" s="34" t="s">
        <v>3569</v>
      </c>
      <c r="P1372" s="34" t="s">
        <v>3562</v>
      </c>
      <c r="Q1372" s="165">
        <f>IF(Sales[[#This Row],[Status]]="Cancelled",0,Sales[[#This Row],[Qty]])</f>
        <v>7</v>
      </c>
      <c r="R1372" s="166">
        <f>IF(Sales[[#This Row],[Status]]="Cancelled",0,Sales[[#This Row],[Total Amount]])</f>
        <v>489888.20999999996</v>
      </c>
      <c r="S1372" s="162">
        <f>SUM(Sales[Net Amount])</f>
        <v>406839287.73200053</v>
      </c>
    </row>
    <row r="1373" spans="1:19" ht="18.75" x14ac:dyDescent="0.25">
      <c r="A1373" s="156" t="s">
        <v>4974</v>
      </c>
      <c r="B1373" s="157">
        <v>45849</v>
      </c>
      <c r="C1373" s="158" t="s">
        <v>786</v>
      </c>
      <c r="D1373" s="159" t="str">
        <f>VLOOKUP(Sales[[#This Row],[Customer ID]],Customer[#All],2,0)</f>
        <v>Pooja Kumar</v>
      </c>
      <c r="E1373" s="158" t="s">
        <v>546</v>
      </c>
      <c r="F1373" s="158" t="str">
        <f>VLOOKUP(Sales[[#This Row],[Product ID]],Product[#All],2,0)</f>
        <v>Crucial Ssd</v>
      </c>
      <c r="G1373" s="159">
        <v>3</v>
      </c>
      <c r="H1373" s="160">
        <f>VLOOKUP(Sales[[#This Row],[Product ID]],Product[#All],7,0)</f>
        <v>14200</v>
      </c>
      <c r="I1373" s="160">
        <f>Sales[[#This Row],[Selling Rate]]*Sales[[#This Row],[Qty]]</f>
        <v>42600</v>
      </c>
      <c r="J1373" s="43">
        <v>0</v>
      </c>
      <c r="K1373" s="44">
        <f>Sales[[#This Row],[Gross Amount]]*Sales[[#This Row],[Disc %]]</f>
        <v>0</v>
      </c>
      <c r="L1373" s="43">
        <v>0.18</v>
      </c>
      <c r="M1373" s="44">
        <f>(Sales[[#This Row],[Gross Amount]]-Sales[[#This Row],[Disc. Amt.]])*Sales[[#This Row],[GST %]]</f>
        <v>7668</v>
      </c>
      <c r="N1373" s="161">
        <f>Sales[[#This Row],[Gross Amount]]-Sales[[#This Row],[Disc. Amt.]]+Sales[[#This Row],[GST Amount]]</f>
        <v>50268</v>
      </c>
      <c r="O1373" s="158" t="s">
        <v>3561</v>
      </c>
      <c r="P1373" s="158" t="s">
        <v>3562</v>
      </c>
      <c r="Q1373" s="160">
        <f>IF(Sales[[#This Row],[Status]]="Cancelled",0,Sales[[#This Row],[Qty]])</f>
        <v>3</v>
      </c>
      <c r="R1373" s="161">
        <f>IF(Sales[[#This Row],[Status]]="Cancelled",0,Sales[[#This Row],[Total Amount]])</f>
        <v>50268</v>
      </c>
      <c r="S1373" s="162">
        <f>SUM(Sales[Net Amount])</f>
        <v>406839287.73200053</v>
      </c>
    </row>
    <row r="1374" spans="1:19" ht="18.75" x14ac:dyDescent="0.25">
      <c r="A1374" s="163" t="s">
        <v>4975</v>
      </c>
      <c r="B1374" s="164">
        <v>45849</v>
      </c>
      <c r="C1374" s="34" t="s">
        <v>856</v>
      </c>
      <c r="D1374" s="53" t="str">
        <f>VLOOKUP(Sales[[#This Row],[Customer ID]],Customer[#All],2,0)</f>
        <v>Sunita Verma</v>
      </c>
      <c r="E1374" s="34" t="s">
        <v>111</v>
      </c>
      <c r="F1374" s="34" t="str">
        <f>VLOOKUP(Sales[[#This Row],[Product ID]],Product[#All],2,0)</f>
        <v>Microtek UPS</v>
      </c>
      <c r="G1374" s="53">
        <v>8</v>
      </c>
      <c r="H1374" s="165">
        <f>VLOOKUP(Sales[[#This Row],[Product ID]],Product[#All],7,0)</f>
        <v>16680</v>
      </c>
      <c r="I1374" s="165">
        <f>Sales[[#This Row],[Selling Rate]]*Sales[[#This Row],[Qty]]</f>
        <v>133440</v>
      </c>
      <c r="J1374" s="45">
        <v>0.05</v>
      </c>
      <c r="K1374" s="46">
        <f>Sales[[#This Row],[Gross Amount]]*Sales[[#This Row],[Disc %]]</f>
        <v>6672</v>
      </c>
      <c r="L1374" s="43">
        <v>0.18</v>
      </c>
      <c r="M1374" s="46">
        <f>(Sales[[#This Row],[Gross Amount]]-Sales[[#This Row],[Disc. Amt.]])*Sales[[#This Row],[GST %]]</f>
        <v>22818.239999999998</v>
      </c>
      <c r="N1374" s="161">
        <f>Sales[[#This Row],[Gross Amount]]-Sales[[#This Row],[Disc. Amt.]]+Sales[[#This Row],[GST Amount]]</f>
        <v>149586.23999999999</v>
      </c>
      <c r="O1374" s="34" t="s">
        <v>3561</v>
      </c>
      <c r="P1374" s="34" t="s">
        <v>3562</v>
      </c>
      <c r="Q1374" s="165">
        <f>IF(Sales[[#This Row],[Status]]="Cancelled",0,Sales[[#This Row],[Qty]])</f>
        <v>8</v>
      </c>
      <c r="R1374" s="166">
        <f>IF(Sales[[#This Row],[Status]]="Cancelled",0,Sales[[#This Row],[Total Amount]])</f>
        <v>149586.23999999999</v>
      </c>
      <c r="S1374" s="162">
        <f>SUM(Sales[Net Amount])</f>
        <v>406839287.73200053</v>
      </c>
    </row>
    <row r="1375" spans="1:19" ht="18.75" x14ac:dyDescent="0.25">
      <c r="A1375" s="156" t="s">
        <v>4976</v>
      </c>
      <c r="B1375" s="157">
        <v>45849</v>
      </c>
      <c r="C1375" s="158" t="s">
        <v>849</v>
      </c>
      <c r="D1375" s="159" t="str">
        <f>VLOOKUP(Sales[[#This Row],[Customer ID]],Customer[#All],2,0)</f>
        <v>Sunita Sharma</v>
      </c>
      <c r="E1375" s="158" t="s">
        <v>284</v>
      </c>
      <c r="F1375" s="158" t="str">
        <f>VLOOKUP(Sales[[#This Row],[Product ID]],Product[#All],2,0)</f>
        <v>TP-link Bluetooth Adapter</v>
      </c>
      <c r="G1375" s="159">
        <v>2</v>
      </c>
      <c r="H1375" s="160">
        <f>VLOOKUP(Sales[[#This Row],[Product ID]],Product[#All],7,0)</f>
        <v>1750</v>
      </c>
      <c r="I1375" s="160">
        <f>Sales[[#This Row],[Selling Rate]]*Sales[[#This Row],[Qty]]</f>
        <v>3500</v>
      </c>
      <c r="J1375" s="43">
        <v>0.05</v>
      </c>
      <c r="K1375" s="44">
        <f>Sales[[#This Row],[Gross Amount]]*Sales[[#This Row],[Disc %]]</f>
        <v>175</v>
      </c>
      <c r="L1375" s="43">
        <v>0.18</v>
      </c>
      <c r="M1375" s="44">
        <f>(Sales[[#This Row],[Gross Amount]]-Sales[[#This Row],[Disc. Amt.]])*Sales[[#This Row],[GST %]]</f>
        <v>598.5</v>
      </c>
      <c r="N1375" s="161">
        <f>Sales[[#This Row],[Gross Amount]]-Sales[[#This Row],[Disc. Amt.]]+Sales[[#This Row],[GST Amount]]</f>
        <v>3923.5</v>
      </c>
      <c r="O1375" s="158" t="s">
        <v>3561</v>
      </c>
      <c r="P1375" s="158" t="s">
        <v>3562</v>
      </c>
      <c r="Q1375" s="160">
        <f>IF(Sales[[#This Row],[Status]]="Cancelled",0,Sales[[#This Row],[Qty]])</f>
        <v>2</v>
      </c>
      <c r="R1375" s="161">
        <f>IF(Sales[[#This Row],[Status]]="Cancelled",0,Sales[[#This Row],[Total Amount]])</f>
        <v>3923.5</v>
      </c>
      <c r="S1375" s="162">
        <f>SUM(Sales[Net Amount])</f>
        <v>406839287.73200053</v>
      </c>
    </row>
    <row r="1376" spans="1:19" ht="18.75" x14ac:dyDescent="0.25">
      <c r="A1376" s="163" t="s">
        <v>4977</v>
      </c>
      <c r="B1376" s="164">
        <v>45849</v>
      </c>
      <c r="C1376" s="34" t="s">
        <v>678</v>
      </c>
      <c r="D1376" s="53" t="str">
        <f>VLOOKUP(Sales[[#This Row],[Customer ID]],Customer[#All],2,0)</f>
        <v>Ankit Gupta</v>
      </c>
      <c r="E1376" s="34" t="s">
        <v>191</v>
      </c>
      <c r="F1376" s="34" t="str">
        <f>VLOOKUP(Sales[[#This Row],[Product ID]],Product[#All],2,0)</f>
        <v>Logitech Keyboard</v>
      </c>
      <c r="G1376" s="53">
        <v>6</v>
      </c>
      <c r="H1376" s="165">
        <f>VLOOKUP(Sales[[#This Row],[Product ID]],Product[#All],7,0)</f>
        <v>2000</v>
      </c>
      <c r="I1376" s="165">
        <f>Sales[[#This Row],[Selling Rate]]*Sales[[#This Row],[Qty]]</f>
        <v>12000</v>
      </c>
      <c r="J1376" s="45">
        <v>0.1</v>
      </c>
      <c r="K1376" s="46">
        <f>Sales[[#This Row],[Gross Amount]]*Sales[[#This Row],[Disc %]]</f>
        <v>1200</v>
      </c>
      <c r="L1376" s="43">
        <v>0.18</v>
      </c>
      <c r="M1376" s="46">
        <f>(Sales[[#This Row],[Gross Amount]]-Sales[[#This Row],[Disc. Amt.]])*Sales[[#This Row],[GST %]]</f>
        <v>1944</v>
      </c>
      <c r="N1376" s="161">
        <f>Sales[[#This Row],[Gross Amount]]-Sales[[#This Row],[Disc. Amt.]]+Sales[[#This Row],[GST Amount]]</f>
        <v>12744</v>
      </c>
      <c r="O1376" s="34" t="s">
        <v>3569</v>
      </c>
      <c r="P1376" s="34" t="s">
        <v>3562</v>
      </c>
      <c r="Q1376" s="165">
        <f>IF(Sales[[#This Row],[Status]]="Cancelled",0,Sales[[#This Row],[Qty]])</f>
        <v>6</v>
      </c>
      <c r="R1376" s="166">
        <f>IF(Sales[[#This Row],[Status]]="Cancelled",0,Sales[[#This Row],[Total Amount]])</f>
        <v>12744</v>
      </c>
      <c r="S1376" s="162">
        <f>SUM(Sales[Net Amount])</f>
        <v>406839287.73200053</v>
      </c>
    </row>
    <row r="1377" spans="1:19" ht="18.75" x14ac:dyDescent="0.25">
      <c r="A1377" s="156" t="s">
        <v>4978</v>
      </c>
      <c r="B1377" s="157">
        <v>45849</v>
      </c>
      <c r="C1377" s="158" t="s">
        <v>888</v>
      </c>
      <c r="D1377" s="159" t="str">
        <f>VLOOKUP(Sales[[#This Row],[Customer ID]],Customer[#All],2,0)</f>
        <v>Rahul Patel</v>
      </c>
      <c r="E1377" s="158" t="s">
        <v>284</v>
      </c>
      <c r="F1377" s="158" t="str">
        <f>VLOOKUP(Sales[[#This Row],[Product ID]],Product[#All],2,0)</f>
        <v>TP-link Bluetooth Adapter</v>
      </c>
      <c r="G1377" s="159">
        <v>1</v>
      </c>
      <c r="H1377" s="160">
        <f>VLOOKUP(Sales[[#This Row],[Product ID]],Product[#All],7,0)</f>
        <v>1750</v>
      </c>
      <c r="I1377" s="160">
        <f>Sales[[#This Row],[Selling Rate]]*Sales[[#This Row],[Qty]]</f>
        <v>1750</v>
      </c>
      <c r="J1377" s="43">
        <v>0.12</v>
      </c>
      <c r="K1377" s="44">
        <f>Sales[[#This Row],[Gross Amount]]*Sales[[#This Row],[Disc %]]</f>
        <v>210</v>
      </c>
      <c r="L1377" s="43">
        <v>0.18</v>
      </c>
      <c r="M1377" s="44">
        <f>(Sales[[#This Row],[Gross Amount]]-Sales[[#This Row],[Disc. Amt.]])*Sales[[#This Row],[GST %]]</f>
        <v>277.2</v>
      </c>
      <c r="N1377" s="161">
        <f>Sales[[#This Row],[Gross Amount]]-Sales[[#This Row],[Disc. Amt.]]+Sales[[#This Row],[GST Amount]]</f>
        <v>1817.2</v>
      </c>
      <c r="O1377" s="158" t="s">
        <v>3569</v>
      </c>
      <c r="P1377" s="158" t="s">
        <v>3562</v>
      </c>
      <c r="Q1377" s="160">
        <f>IF(Sales[[#This Row],[Status]]="Cancelled",0,Sales[[#This Row],[Qty]])</f>
        <v>1</v>
      </c>
      <c r="R1377" s="161">
        <f>IF(Sales[[#This Row],[Status]]="Cancelled",0,Sales[[#This Row],[Total Amount]])</f>
        <v>1817.2</v>
      </c>
      <c r="S1377" s="162">
        <f>SUM(Sales[Net Amount])</f>
        <v>406839287.73200053</v>
      </c>
    </row>
    <row r="1378" spans="1:19" ht="18.75" x14ac:dyDescent="0.25">
      <c r="A1378" s="163" t="s">
        <v>4979</v>
      </c>
      <c r="B1378" s="164">
        <v>45849</v>
      </c>
      <c r="C1378" s="34" t="s">
        <v>759</v>
      </c>
      <c r="D1378" s="53" t="str">
        <f>VLOOKUP(Sales[[#This Row],[Customer ID]],Customer[#All],2,0)</f>
        <v>Ankit Sharma</v>
      </c>
      <c r="E1378" s="34" t="s">
        <v>106</v>
      </c>
      <c r="F1378" s="34" t="str">
        <f>VLOOKUP(Sales[[#This Row],[Product ID]],Product[#All],2,0)</f>
        <v>Corsair Ram</v>
      </c>
      <c r="G1378" s="53">
        <v>5</v>
      </c>
      <c r="H1378" s="165">
        <f>VLOOKUP(Sales[[#This Row],[Product ID]],Product[#All],7,0)</f>
        <v>7990</v>
      </c>
      <c r="I1378" s="165">
        <f>Sales[[#This Row],[Selling Rate]]*Sales[[#This Row],[Qty]]</f>
        <v>39950</v>
      </c>
      <c r="J1378" s="45">
        <v>0.05</v>
      </c>
      <c r="K1378" s="46">
        <f>Sales[[#This Row],[Gross Amount]]*Sales[[#This Row],[Disc %]]</f>
        <v>1997.5</v>
      </c>
      <c r="L1378" s="43">
        <v>0.18</v>
      </c>
      <c r="M1378" s="46">
        <f>(Sales[[#This Row],[Gross Amount]]-Sales[[#This Row],[Disc. Amt.]])*Sales[[#This Row],[GST %]]</f>
        <v>6831.45</v>
      </c>
      <c r="N1378" s="161">
        <f>Sales[[#This Row],[Gross Amount]]-Sales[[#This Row],[Disc. Amt.]]+Sales[[#This Row],[GST Amount]]</f>
        <v>44783.95</v>
      </c>
      <c r="O1378" s="34" t="s">
        <v>8876</v>
      </c>
      <c r="P1378" s="34" t="s">
        <v>3562</v>
      </c>
      <c r="Q1378" s="165">
        <f>IF(Sales[[#This Row],[Status]]="Cancelled",0,Sales[[#This Row],[Qty]])</f>
        <v>5</v>
      </c>
      <c r="R1378" s="166">
        <f>IF(Sales[[#This Row],[Status]]="Cancelled",0,Sales[[#This Row],[Total Amount]])</f>
        <v>44783.95</v>
      </c>
      <c r="S1378" s="162">
        <f>SUM(Sales[Net Amount])</f>
        <v>406839287.73200053</v>
      </c>
    </row>
    <row r="1379" spans="1:19" ht="18.75" x14ac:dyDescent="0.25">
      <c r="A1379" s="156" t="s">
        <v>4980</v>
      </c>
      <c r="B1379" s="157">
        <v>45849</v>
      </c>
      <c r="C1379" s="158" t="s">
        <v>938</v>
      </c>
      <c r="D1379" s="159" t="str">
        <f>VLOOKUP(Sales[[#This Row],[Customer ID]],Customer[#All],2,0)</f>
        <v>Sunita Sharma</v>
      </c>
      <c r="E1379" s="158" t="s">
        <v>33</v>
      </c>
      <c r="F1379" s="158" t="str">
        <f>VLOOKUP(Sales[[#This Row],[Product ID]],Product[#All],2,0)</f>
        <v>Samsung Monitor</v>
      </c>
      <c r="G1379" s="159">
        <v>1</v>
      </c>
      <c r="H1379" s="160">
        <f>VLOOKUP(Sales[[#This Row],[Product ID]],Product[#All],7,0)</f>
        <v>9840</v>
      </c>
      <c r="I1379" s="160">
        <f>Sales[[#This Row],[Selling Rate]]*Sales[[#This Row],[Qty]]</f>
        <v>9840</v>
      </c>
      <c r="J1379" s="43">
        <v>0.12</v>
      </c>
      <c r="K1379" s="44">
        <f>Sales[[#This Row],[Gross Amount]]*Sales[[#This Row],[Disc %]]</f>
        <v>1180.8</v>
      </c>
      <c r="L1379" s="43">
        <v>0.18</v>
      </c>
      <c r="M1379" s="44">
        <f>(Sales[[#This Row],[Gross Amount]]-Sales[[#This Row],[Disc. Amt.]])*Sales[[#This Row],[GST %]]</f>
        <v>1558.6560000000002</v>
      </c>
      <c r="N1379" s="161">
        <f>Sales[[#This Row],[Gross Amount]]-Sales[[#This Row],[Disc. Amt.]]+Sales[[#This Row],[GST Amount]]</f>
        <v>10217.856000000002</v>
      </c>
      <c r="O1379" s="158" t="s">
        <v>3566</v>
      </c>
      <c r="P1379" s="158" t="s">
        <v>3562</v>
      </c>
      <c r="Q1379" s="160">
        <f>IF(Sales[[#This Row],[Status]]="Cancelled",0,Sales[[#This Row],[Qty]])</f>
        <v>1</v>
      </c>
      <c r="R1379" s="161">
        <f>IF(Sales[[#This Row],[Status]]="Cancelled",0,Sales[[#This Row],[Total Amount]])</f>
        <v>10217.856000000002</v>
      </c>
      <c r="S1379" s="162">
        <f>SUM(Sales[Net Amount])</f>
        <v>406839287.73200053</v>
      </c>
    </row>
    <row r="1380" spans="1:19" ht="18.75" x14ac:dyDescent="0.25">
      <c r="A1380" s="163" t="s">
        <v>4981</v>
      </c>
      <c r="B1380" s="164">
        <v>45849</v>
      </c>
      <c r="C1380" s="34" t="s">
        <v>951</v>
      </c>
      <c r="D1380" s="53" t="str">
        <f>VLOOKUP(Sales[[#This Row],[Customer ID]],Customer[#All],2,0)</f>
        <v>Rahul Singh</v>
      </c>
      <c r="E1380" s="34" t="s">
        <v>543</v>
      </c>
      <c r="F1380" s="34" t="str">
        <f>VLOOKUP(Sales[[#This Row],[Product ID]],Product[#All],2,0)</f>
        <v>Logitech Mouse</v>
      </c>
      <c r="G1380" s="53">
        <v>1</v>
      </c>
      <c r="H1380" s="165">
        <f>VLOOKUP(Sales[[#This Row],[Product ID]],Product[#All],7,0)</f>
        <v>2430</v>
      </c>
      <c r="I1380" s="165">
        <f>Sales[[#This Row],[Selling Rate]]*Sales[[#This Row],[Qty]]</f>
        <v>2430</v>
      </c>
      <c r="J1380" s="45">
        <v>0.1</v>
      </c>
      <c r="K1380" s="46">
        <f>Sales[[#This Row],[Gross Amount]]*Sales[[#This Row],[Disc %]]</f>
        <v>243</v>
      </c>
      <c r="L1380" s="43">
        <v>0.18</v>
      </c>
      <c r="M1380" s="46">
        <f>(Sales[[#This Row],[Gross Amount]]-Sales[[#This Row],[Disc. Amt.]])*Sales[[#This Row],[GST %]]</f>
        <v>393.65999999999997</v>
      </c>
      <c r="N1380" s="161">
        <f>Sales[[#This Row],[Gross Amount]]-Sales[[#This Row],[Disc. Amt.]]+Sales[[#This Row],[GST Amount]]</f>
        <v>2580.66</v>
      </c>
      <c r="O1380" s="34" t="s">
        <v>3566</v>
      </c>
      <c r="P1380" s="34" t="s">
        <v>3562</v>
      </c>
      <c r="Q1380" s="165">
        <f>IF(Sales[[#This Row],[Status]]="Cancelled",0,Sales[[#This Row],[Qty]])</f>
        <v>1</v>
      </c>
      <c r="R1380" s="166">
        <f>IF(Sales[[#This Row],[Status]]="Cancelled",0,Sales[[#This Row],[Total Amount]])</f>
        <v>2580.66</v>
      </c>
      <c r="S1380" s="162">
        <f>SUM(Sales[Net Amount])</f>
        <v>406839287.73200053</v>
      </c>
    </row>
    <row r="1381" spans="1:19" ht="18.75" x14ac:dyDescent="0.25">
      <c r="A1381" s="156" t="s">
        <v>4982</v>
      </c>
      <c r="B1381" s="157">
        <v>45849</v>
      </c>
      <c r="C1381" s="158" t="s">
        <v>835</v>
      </c>
      <c r="D1381" s="159" t="str">
        <f>VLOOKUP(Sales[[#This Row],[Customer ID]],Customer[#All],2,0)</f>
        <v>Ankit Kumar</v>
      </c>
      <c r="E1381" s="158" t="s">
        <v>493</v>
      </c>
      <c r="F1381" s="158" t="str">
        <f>VLOOKUP(Sales[[#This Row],[Product ID]],Product[#All],2,0)</f>
        <v>Logitech Keyboard</v>
      </c>
      <c r="G1381" s="159">
        <v>3</v>
      </c>
      <c r="H1381" s="160">
        <f>VLOOKUP(Sales[[#This Row],[Product ID]],Product[#All],7,0)</f>
        <v>3040</v>
      </c>
      <c r="I1381" s="160">
        <f>Sales[[#This Row],[Selling Rate]]*Sales[[#This Row],[Qty]]</f>
        <v>9120</v>
      </c>
      <c r="J1381" s="43">
        <v>0.1</v>
      </c>
      <c r="K1381" s="44">
        <f>Sales[[#This Row],[Gross Amount]]*Sales[[#This Row],[Disc %]]</f>
        <v>912</v>
      </c>
      <c r="L1381" s="43">
        <v>0.18</v>
      </c>
      <c r="M1381" s="44">
        <f>(Sales[[#This Row],[Gross Amount]]-Sales[[#This Row],[Disc. Amt.]])*Sales[[#This Row],[GST %]]</f>
        <v>1477.44</v>
      </c>
      <c r="N1381" s="161">
        <f>Sales[[#This Row],[Gross Amount]]-Sales[[#This Row],[Disc. Amt.]]+Sales[[#This Row],[GST Amount]]</f>
        <v>9685.44</v>
      </c>
      <c r="O1381" s="158" t="s">
        <v>3566</v>
      </c>
      <c r="P1381" s="158" t="s">
        <v>3562</v>
      </c>
      <c r="Q1381" s="160">
        <f>IF(Sales[[#This Row],[Status]]="Cancelled",0,Sales[[#This Row],[Qty]])</f>
        <v>3</v>
      </c>
      <c r="R1381" s="161">
        <f>IF(Sales[[#This Row],[Status]]="Cancelled",0,Sales[[#This Row],[Total Amount]])</f>
        <v>9685.44</v>
      </c>
      <c r="S1381" s="162">
        <f>SUM(Sales[Net Amount])</f>
        <v>406839287.73200053</v>
      </c>
    </row>
    <row r="1382" spans="1:19" ht="18.75" x14ac:dyDescent="0.25">
      <c r="A1382" s="163" t="s">
        <v>4983</v>
      </c>
      <c r="B1382" s="164">
        <v>45849</v>
      </c>
      <c r="C1382" s="34" t="s">
        <v>660</v>
      </c>
      <c r="D1382" s="53" t="str">
        <f>VLOOKUP(Sales[[#This Row],[Customer ID]],Customer[#All],2,0)</f>
        <v>Priya Sharma</v>
      </c>
      <c r="E1382" s="34" t="s">
        <v>43</v>
      </c>
      <c r="F1382" s="34" t="str">
        <f>VLOOKUP(Sales[[#This Row],[Product ID]],Product[#All],2,0)</f>
        <v>Jbl Speaker</v>
      </c>
      <c r="G1382" s="53">
        <v>1</v>
      </c>
      <c r="H1382" s="165">
        <f>VLOOKUP(Sales[[#This Row],[Product ID]],Product[#All],7,0)</f>
        <v>11310</v>
      </c>
      <c r="I1382" s="165">
        <f>Sales[[#This Row],[Selling Rate]]*Sales[[#This Row],[Qty]]</f>
        <v>11310</v>
      </c>
      <c r="J1382" s="45">
        <v>0.05</v>
      </c>
      <c r="K1382" s="46">
        <f>Sales[[#This Row],[Gross Amount]]*Sales[[#This Row],[Disc %]]</f>
        <v>565.5</v>
      </c>
      <c r="L1382" s="43">
        <v>0.18</v>
      </c>
      <c r="M1382" s="46">
        <f>(Sales[[#This Row],[Gross Amount]]-Sales[[#This Row],[Disc. Amt.]])*Sales[[#This Row],[GST %]]</f>
        <v>1934.01</v>
      </c>
      <c r="N1382" s="161">
        <f>Sales[[#This Row],[Gross Amount]]-Sales[[#This Row],[Disc. Amt.]]+Sales[[#This Row],[GST Amount]]</f>
        <v>12678.51</v>
      </c>
      <c r="O1382" s="34" t="s">
        <v>3569</v>
      </c>
      <c r="P1382" s="34" t="s">
        <v>3562</v>
      </c>
      <c r="Q1382" s="165">
        <f>IF(Sales[[#This Row],[Status]]="Cancelled",0,Sales[[#This Row],[Qty]])</f>
        <v>1</v>
      </c>
      <c r="R1382" s="166">
        <f>IF(Sales[[#This Row],[Status]]="Cancelled",0,Sales[[#This Row],[Total Amount]])</f>
        <v>12678.51</v>
      </c>
      <c r="S1382" s="162">
        <f>SUM(Sales[Net Amount])</f>
        <v>406839287.73200053</v>
      </c>
    </row>
    <row r="1383" spans="1:19" ht="18.75" x14ac:dyDescent="0.25">
      <c r="A1383" s="156" t="s">
        <v>4984</v>
      </c>
      <c r="B1383" s="157">
        <v>45849</v>
      </c>
      <c r="C1383" s="158" t="s">
        <v>765</v>
      </c>
      <c r="D1383" s="159" t="str">
        <f>VLOOKUP(Sales[[#This Row],[Customer ID]],Customer[#All],2,0)</f>
        <v>Neha Gupta</v>
      </c>
      <c r="E1383" s="158" t="s">
        <v>123</v>
      </c>
      <c r="F1383" s="158" t="str">
        <f>VLOOKUP(Sales[[#This Row],[Product ID]],Product[#All],2,0)</f>
        <v>HP Mouse</v>
      </c>
      <c r="G1383" s="159">
        <v>3</v>
      </c>
      <c r="H1383" s="160">
        <f>VLOOKUP(Sales[[#This Row],[Product ID]],Product[#All],7,0)</f>
        <v>2480</v>
      </c>
      <c r="I1383" s="160">
        <f>Sales[[#This Row],[Selling Rate]]*Sales[[#This Row],[Qty]]</f>
        <v>7440</v>
      </c>
      <c r="J1383" s="43">
        <v>0</v>
      </c>
      <c r="K1383" s="44">
        <f>Sales[[#This Row],[Gross Amount]]*Sales[[#This Row],[Disc %]]</f>
        <v>0</v>
      </c>
      <c r="L1383" s="43">
        <v>0.18</v>
      </c>
      <c r="M1383" s="44">
        <f>(Sales[[#This Row],[Gross Amount]]-Sales[[#This Row],[Disc. Amt.]])*Sales[[#This Row],[GST %]]</f>
        <v>1339.2</v>
      </c>
      <c r="N1383" s="161">
        <f>Sales[[#This Row],[Gross Amount]]-Sales[[#This Row],[Disc. Amt.]]+Sales[[#This Row],[GST Amount]]</f>
        <v>8779.2000000000007</v>
      </c>
      <c r="O1383" s="158" t="s">
        <v>3566</v>
      </c>
      <c r="P1383" s="158" t="s">
        <v>3562</v>
      </c>
      <c r="Q1383" s="160">
        <f>IF(Sales[[#This Row],[Status]]="Cancelled",0,Sales[[#This Row],[Qty]])</f>
        <v>3</v>
      </c>
      <c r="R1383" s="161">
        <f>IF(Sales[[#This Row],[Status]]="Cancelled",0,Sales[[#This Row],[Total Amount]])</f>
        <v>8779.2000000000007</v>
      </c>
      <c r="S1383" s="162">
        <f>SUM(Sales[Net Amount])</f>
        <v>406839287.73200053</v>
      </c>
    </row>
    <row r="1384" spans="1:19" ht="18.75" x14ac:dyDescent="0.25">
      <c r="A1384" s="163" t="s">
        <v>4985</v>
      </c>
      <c r="B1384" s="164">
        <v>45849</v>
      </c>
      <c r="C1384" s="34" t="s">
        <v>761</v>
      </c>
      <c r="D1384" s="53" t="str">
        <f>VLOOKUP(Sales[[#This Row],[Customer ID]],Customer[#All],2,0)</f>
        <v>Priya Verma</v>
      </c>
      <c r="E1384" s="34" t="s">
        <v>446</v>
      </c>
      <c r="F1384" s="34" t="str">
        <f>VLOOKUP(Sales[[#This Row],[Product ID]],Product[#All],2,0)</f>
        <v>HP Desktop</v>
      </c>
      <c r="G1384" s="53">
        <v>5</v>
      </c>
      <c r="H1384" s="165">
        <f>VLOOKUP(Sales[[#This Row],[Product ID]],Product[#All],7,0)</f>
        <v>48280</v>
      </c>
      <c r="I1384" s="165">
        <f>Sales[[#This Row],[Selling Rate]]*Sales[[#This Row],[Qty]]</f>
        <v>241400</v>
      </c>
      <c r="J1384" s="45">
        <v>0.15</v>
      </c>
      <c r="K1384" s="46">
        <f>Sales[[#This Row],[Gross Amount]]*Sales[[#This Row],[Disc %]]</f>
        <v>36210</v>
      </c>
      <c r="L1384" s="43">
        <v>0.18</v>
      </c>
      <c r="M1384" s="46">
        <f>(Sales[[#This Row],[Gross Amount]]-Sales[[#This Row],[Disc. Amt.]])*Sales[[#This Row],[GST %]]</f>
        <v>36934.199999999997</v>
      </c>
      <c r="N1384" s="161">
        <f>Sales[[#This Row],[Gross Amount]]-Sales[[#This Row],[Disc. Amt.]]+Sales[[#This Row],[GST Amount]]</f>
        <v>242124.2</v>
      </c>
      <c r="O1384" s="34" t="s">
        <v>3566</v>
      </c>
      <c r="P1384" s="34" t="s">
        <v>3562</v>
      </c>
      <c r="Q1384" s="165">
        <f>IF(Sales[[#This Row],[Status]]="Cancelled",0,Sales[[#This Row],[Qty]])</f>
        <v>5</v>
      </c>
      <c r="R1384" s="166">
        <f>IF(Sales[[#This Row],[Status]]="Cancelled",0,Sales[[#This Row],[Total Amount]])</f>
        <v>242124.2</v>
      </c>
      <c r="S1384" s="162">
        <f>SUM(Sales[Net Amount])</f>
        <v>406839287.73200053</v>
      </c>
    </row>
    <row r="1385" spans="1:19" ht="18.75" x14ac:dyDescent="0.25">
      <c r="A1385" s="156" t="s">
        <v>4986</v>
      </c>
      <c r="B1385" s="157">
        <v>45849</v>
      </c>
      <c r="C1385" s="158" t="s">
        <v>842</v>
      </c>
      <c r="D1385" s="159" t="str">
        <f>VLOOKUP(Sales[[#This Row],[Customer ID]],Customer[#All],2,0)</f>
        <v>Priya Gupta</v>
      </c>
      <c r="E1385" s="158" t="s">
        <v>277</v>
      </c>
      <c r="F1385" s="158" t="str">
        <f>VLOOKUP(Sales[[#This Row],[Product ID]],Product[#All],2,0)</f>
        <v>D-Link Router</v>
      </c>
      <c r="G1385" s="159">
        <v>5</v>
      </c>
      <c r="H1385" s="160">
        <f>VLOOKUP(Sales[[#This Row],[Product ID]],Product[#All],7,0)</f>
        <v>4630</v>
      </c>
      <c r="I1385" s="160">
        <f>Sales[[#This Row],[Selling Rate]]*Sales[[#This Row],[Qty]]</f>
        <v>23150</v>
      </c>
      <c r="J1385" s="43">
        <v>0.1</v>
      </c>
      <c r="K1385" s="44">
        <f>Sales[[#This Row],[Gross Amount]]*Sales[[#This Row],[Disc %]]</f>
        <v>2315</v>
      </c>
      <c r="L1385" s="43">
        <v>0.18</v>
      </c>
      <c r="M1385" s="44">
        <f>(Sales[[#This Row],[Gross Amount]]-Sales[[#This Row],[Disc. Amt.]])*Sales[[#This Row],[GST %]]</f>
        <v>3750.2999999999997</v>
      </c>
      <c r="N1385" s="161">
        <f>Sales[[#This Row],[Gross Amount]]-Sales[[#This Row],[Disc. Amt.]]+Sales[[#This Row],[GST Amount]]</f>
        <v>24585.3</v>
      </c>
      <c r="O1385" s="158" t="s">
        <v>3569</v>
      </c>
      <c r="P1385" s="158" t="s">
        <v>3562</v>
      </c>
      <c r="Q1385" s="160">
        <f>IF(Sales[[#This Row],[Status]]="Cancelled",0,Sales[[#This Row],[Qty]])</f>
        <v>5</v>
      </c>
      <c r="R1385" s="161">
        <f>IF(Sales[[#This Row],[Status]]="Cancelled",0,Sales[[#This Row],[Total Amount]])</f>
        <v>24585.3</v>
      </c>
      <c r="S1385" s="162">
        <f>SUM(Sales[Net Amount])</f>
        <v>406839287.73200053</v>
      </c>
    </row>
    <row r="1386" spans="1:19" ht="18.75" x14ac:dyDescent="0.25">
      <c r="A1386" s="163" t="s">
        <v>4987</v>
      </c>
      <c r="B1386" s="164">
        <v>45849</v>
      </c>
      <c r="C1386" s="34" t="s">
        <v>815</v>
      </c>
      <c r="D1386" s="53" t="str">
        <f>VLOOKUP(Sales[[#This Row],[Customer ID]],Customer[#All],2,0)</f>
        <v>Priya Gupta</v>
      </c>
      <c r="E1386" s="34" t="s">
        <v>434</v>
      </c>
      <c r="F1386" s="34" t="str">
        <f>VLOOKUP(Sales[[#This Row],[Product ID]],Product[#All],2,0)</f>
        <v>Logitech Webcam</v>
      </c>
      <c r="G1386" s="53">
        <v>7</v>
      </c>
      <c r="H1386" s="165">
        <f>VLOOKUP(Sales[[#This Row],[Product ID]],Product[#All],7,0)</f>
        <v>7230</v>
      </c>
      <c r="I1386" s="165">
        <f>Sales[[#This Row],[Selling Rate]]*Sales[[#This Row],[Qty]]</f>
        <v>50610</v>
      </c>
      <c r="J1386" s="45">
        <v>0</v>
      </c>
      <c r="K1386" s="46">
        <f>Sales[[#This Row],[Gross Amount]]*Sales[[#This Row],[Disc %]]</f>
        <v>0</v>
      </c>
      <c r="L1386" s="43">
        <v>0.18</v>
      </c>
      <c r="M1386" s="46">
        <f>(Sales[[#This Row],[Gross Amount]]-Sales[[#This Row],[Disc. Amt.]])*Sales[[#This Row],[GST %]]</f>
        <v>9109.7999999999993</v>
      </c>
      <c r="N1386" s="161">
        <f>Sales[[#This Row],[Gross Amount]]-Sales[[#This Row],[Disc. Amt.]]+Sales[[#This Row],[GST Amount]]</f>
        <v>59719.8</v>
      </c>
      <c r="O1386" s="34" t="s">
        <v>3566</v>
      </c>
      <c r="P1386" s="34" t="s">
        <v>3562</v>
      </c>
      <c r="Q1386" s="165">
        <f>IF(Sales[[#This Row],[Status]]="Cancelled",0,Sales[[#This Row],[Qty]])</f>
        <v>7</v>
      </c>
      <c r="R1386" s="166">
        <f>IF(Sales[[#This Row],[Status]]="Cancelled",0,Sales[[#This Row],[Total Amount]])</f>
        <v>59719.8</v>
      </c>
      <c r="S1386" s="162">
        <f>SUM(Sales[Net Amount])</f>
        <v>406839287.73200053</v>
      </c>
    </row>
    <row r="1387" spans="1:19" ht="18.75" x14ac:dyDescent="0.25">
      <c r="A1387" s="156" t="s">
        <v>4988</v>
      </c>
      <c r="B1387" s="157">
        <v>45849</v>
      </c>
      <c r="C1387" s="158" t="s">
        <v>918</v>
      </c>
      <c r="D1387" s="159" t="str">
        <f>VLOOKUP(Sales[[#This Row],[Customer ID]],Customer[#All],2,0)</f>
        <v>Pooja Patel</v>
      </c>
      <c r="E1387" s="158" t="s">
        <v>77</v>
      </c>
      <c r="F1387" s="158" t="str">
        <f>VLOOKUP(Sales[[#This Row],[Product ID]],Product[#All],2,0)</f>
        <v>HP Power Adapter</v>
      </c>
      <c r="G1387" s="159">
        <v>1</v>
      </c>
      <c r="H1387" s="160">
        <f>VLOOKUP(Sales[[#This Row],[Product ID]],Product[#All],7,0)</f>
        <v>2770</v>
      </c>
      <c r="I1387" s="160">
        <f>Sales[[#This Row],[Selling Rate]]*Sales[[#This Row],[Qty]]</f>
        <v>2770</v>
      </c>
      <c r="J1387" s="43">
        <v>0.05</v>
      </c>
      <c r="K1387" s="44">
        <f>Sales[[#This Row],[Gross Amount]]*Sales[[#This Row],[Disc %]]</f>
        <v>138.5</v>
      </c>
      <c r="L1387" s="43">
        <v>0.18</v>
      </c>
      <c r="M1387" s="44">
        <f>(Sales[[#This Row],[Gross Amount]]-Sales[[#This Row],[Disc. Amt.]])*Sales[[#This Row],[GST %]]</f>
        <v>473.66999999999996</v>
      </c>
      <c r="N1387" s="161">
        <f>Sales[[#This Row],[Gross Amount]]-Sales[[#This Row],[Disc. Amt.]]+Sales[[#This Row],[GST Amount]]</f>
        <v>3105.17</v>
      </c>
      <c r="O1387" s="158" t="s">
        <v>3566</v>
      </c>
      <c r="P1387" s="158" t="s">
        <v>3562</v>
      </c>
      <c r="Q1387" s="160">
        <f>IF(Sales[[#This Row],[Status]]="Cancelled",0,Sales[[#This Row],[Qty]])</f>
        <v>1</v>
      </c>
      <c r="R1387" s="161">
        <f>IF(Sales[[#This Row],[Status]]="Cancelled",0,Sales[[#This Row],[Total Amount]])</f>
        <v>3105.17</v>
      </c>
      <c r="S1387" s="162">
        <f>SUM(Sales[Net Amount])</f>
        <v>406839287.73200053</v>
      </c>
    </row>
    <row r="1388" spans="1:19" ht="18.75" x14ac:dyDescent="0.25">
      <c r="A1388" s="163" t="s">
        <v>4989</v>
      </c>
      <c r="B1388" s="164">
        <v>45849</v>
      </c>
      <c r="C1388" s="34" t="s">
        <v>950</v>
      </c>
      <c r="D1388" s="53" t="str">
        <f>VLOOKUP(Sales[[#This Row],[Customer ID]],Customer[#All],2,0)</f>
        <v>Sunita Sharma</v>
      </c>
      <c r="E1388" s="34" t="s">
        <v>381</v>
      </c>
      <c r="F1388" s="34" t="str">
        <f>VLOOKUP(Sales[[#This Row],[Product ID]],Product[#All],2,0)</f>
        <v>HP Power Adapter</v>
      </c>
      <c r="G1388" s="53">
        <v>6</v>
      </c>
      <c r="H1388" s="165">
        <f>VLOOKUP(Sales[[#This Row],[Product ID]],Product[#All],7,0)</f>
        <v>990</v>
      </c>
      <c r="I1388" s="165">
        <f>Sales[[#This Row],[Selling Rate]]*Sales[[#This Row],[Qty]]</f>
        <v>5940</v>
      </c>
      <c r="J1388" s="45">
        <v>0.15</v>
      </c>
      <c r="K1388" s="46">
        <f>Sales[[#This Row],[Gross Amount]]*Sales[[#This Row],[Disc %]]</f>
        <v>891</v>
      </c>
      <c r="L1388" s="43">
        <v>0.18</v>
      </c>
      <c r="M1388" s="46">
        <f>(Sales[[#This Row],[Gross Amount]]-Sales[[#This Row],[Disc. Amt.]])*Sales[[#This Row],[GST %]]</f>
        <v>908.81999999999994</v>
      </c>
      <c r="N1388" s="161">
        <f>Sales[[#This Row],[Gross Amount]]-Sales[[#This Row],[Disc. Amt.]]+Sales[[#This Row],[GST Amount]]</f>
        <v>5957.82</v>
      </c>
      <c r="O1388" s="34" t="s">
        <v>3569</v>
      </c>
      <c r="P1388" s="34" t="s">
        <v>3562</v>
      </c>
      <c r="Q1388" s="165">
        <f>IF(Sales[[#This Row],[Status]]="Cancelled",0,Sales[[#This Row],[Qty]])</f>
        <v>6</v>
      </c>
      <c r="R1388" s="166">
        <f>IF(Sales[[#This Row],[Status]]="Cancelled",0,Sales[[#This Row],[Total Amount]])</f>
        <v>5957.82</v>
      </c>
      <c r="S1388" s="162">
        <f>SUM(Sales[Net Amount])</f>
        <v>406839287.73200053</v>
      </c>
    </row>
    <row r="1389" spans="1:19" ht="18.75" x14ac:dyDescent="0.25">
      <c r="A1389" s="156" t="s">
        <v>4990</v>
      </c>
      <c r="B1389" s="157">
        <v>45849</v>
      </c>
      <c r="C1389" s="158" t="s">
        <v>744</v>
      </c>
      <c r="D1389" s="159" t="str">
        <f>VLOOKUP(Sales[[#This Row],[Customer ID]],Customer[#All],2,0)</f>
        <v>Rakesh Patel</v>
      </c>
      <c r="E1389" s="158" t="s">
        <v>122</v>
      </c>
      <c r="F1389" s="158" t="str">
        <f>VLOOKUP(Sales[[#This Row],[Product ID]],Product[#All],2,0)</f>
        <v>HP Mouse</v>
      </c>
      <c r="G1389" s="159">
        <v>5</v>
      </c>
      <c r="H1389" s="160">
        <f>VLOOKUP(Sales[[#This Row],[Product ID]],Product[#All],7,0)</f>
        <v>1980</v>
      </c>
      <c r="I1389" s="160">
        <f>Sales[[#This Row],[Selling Rate]]*Sales[[#This Row],[Qty]]</f>
        <v>9900</v>
      </c>
      <c r="J1389" s="43">
        <v>0.15</v>
      </c>
      <c r="K1389" s="44">
        <f>Sales[[#This Row],[Gross Amount]]*Sales[[#This Row],[Disc %]]</f>
        <v>1485</v>
      </c>
      <c r="L1389" s="43">
        <v>0.18</v>
      </c>
      <c r="M1389" s="44">
        <f>(Sales[[#This Row],[Gross Amount]]-Sales[[#This Row],[Disc. Amt.]])*Sales[[#This Row],[GST %]]</f>
        <v>1514.7</v>
      </c>
      <c r="N1389" s="161">
        <f>Sales[[#This Row],[Gross Amount]]-Sales[[#This Row],[Disc. Amt.]]+Sales[[#This Row],[GST Amount]]</f>
        <v>9929.7000000000007</v>
      </c>
      <c r="O1389" s="158" t="s">
        <v>3561</v>
      </c>
      <c r="P1389" s="158" t="s">
        <v>3562</v>
      </c>
      <c r="Q1389" s="160">
        <f>IF(Sales[[#This Row],[Status]]="Cancelled",0,Sales[[#This Row],[Qty]])</f>
        <v>5</v>
      </c>
      <c r="R1389" s="161">
        <f>IF(Sales[[#This Row],[Status]]="Cancelled",0,Sales[[#This Row],[Total Amount]])</f>
        <v>9929.7000000000007</v>
      </c>
      <c r="S1389" s="162">
        <f>SUM(Sales[Net Amount])</f>
        <v>406839287.73200053</v>
      </c>
    </row>
    <row r="1390" spans="1:19" ht="18.75" x14ac:dyDescent="0.25">
      <c r="A1390" s="163" t="s">
        <v>4991</v>
      </c>
      <c r="B1390" s="164">
        <v>45849</v>
      </c>
      <c r="C1390" s="34" t="s">
        <v>883</v>
      </c>
      <c r="D1390" s="53" t="str">
        <f>VLOOKUP(Sales[[#This Row],[Customer ID]],Customer[#All],2,0)</f>
        <v>Rahul Verma</v>
      </c>
      <c r="E1390" s="34" t="s">
        <v>433</v>
      </c>
      <c r="F1390" s="34" t="str">
        <f>VLOOKUP(Sales[[#This Row],[Product ID]],Product[#All],2,0)</f>
        <v>Seagate HDD</v>
      </c>
      <c r="G1390" s="53">
        <v>8</v>
      </c>
      <c r="H1390" s="165">
        <f>VLOOKUP(Sales[[#This Row],[Product ID]],Product[#All],7,0)</f>
        <v>13910</v>
      </c>
      <c r="I1390" s="165">
        <f>Sales[[#This Row],[Selling Rate]]*Sales[[#This Row],[Qty]]</f>
        <v>111280</v>
      </c>
      <c r="J1390" s="45">
        <v>0</v>
      </c>
      <c r="K1390" s="46">
        <f>Sales[[#This Row],[Gross Amount]]*Sales[[#This Row],[Disc %]]</f>
        <v>0</v>
      </c>
      <c r="L1390" s="43">
        <v>0.18</v>
      </c>
      <c r="M1390" s="46">
        <f>(Sales[[#This Row],[Gross Amount]]-Sales[[#This Row],[Disc. Amt.]])*Sales[[#This Row],[GST %]]</f>
        <v>20030.399999999998</v>
      </c>
      <c r="N1390" s="161">
        <f>Sales[[#This Row],[Gross Amount]]-Sales[[#This Row],[Disc. Amt.]]+Sales[[#This Row],[GST Amount]]</f>
        <v>131310.39999999999</v>
      </c>
      <c r="O1390" s="34" t="s">
        <v>8876</v>
      </c>
      <c r="P1390" s="34" t="s">
        <v>3562</v>
      </c>
      <c r="Q1390" s="165">
        <f>IF(Sales[[#This Row],[Status]]="Cancelled",0,Sales[[#This Row],[Qty]])</f>
        <v>8</v>
      </c>
      <c r="R1390" s="166">
        <f>IF(Sales[[#This Row],[Status]]="Cancelled",0,Sales[[#This Row],[Total Amount]])</f>
        <v>131310.39999999999</v>
      </c>
      <c r="S1390" s="162">
        <f>SUM(Sales[Net Amount])</f>
        <v>406839287.73200053</v>
      </c>
    </row>
    <row r="1391" spans="1:19" ht="18.75" x14ac:dyDescent="0.25">
      <c r="A1391" s="156" t="s">
        <v>4992</v>
      </c>
      <c r="B1391" s="157">
        <v>45849</v>
      </c>
      <c r="C1391" s="158" t="s">
        <v>684</v>
      </c>
      <c r="D1391" s="159" t="str">
        <f>VLOOKUP(Sales[[#This Row],[Customer ID]],Customer[#All],2,0)</f>
        <v>Rahul Sharma</v>
      </c>
      <c r="E1391" s="158" t="s">
        <v>65</v>
      </c>
      <c r="F1391" s="158" t="str">
        <f>VLOOKUP(Sales[[#This Row],[Product ID]],Product[#All],2,0)</f>
        <v>Dell Power Adapter</v>
      </c>
      <c r="G1391" s="159">
        <v>2</v>
      </c>
      <c r="H1391" s="160">
        <f>VLOOKUP(Sales[[#This Row],[Product ID]],Product[#All],7,0)</f>
        <v>2070</v>
      </c>
      <c r="I1391" s="160">
        <f>Sales[[#This Row],[Selling Rate]]*Sales[[#This Row],[Qty]]</f>
        <v>4140</v>
      </c>
      <c r="J1391" s="43">
        <v>0.1</v>
      </c>
      <c r="K1391" s="44">
        <f>Sales[[#This Row],[Gross Amount]]*Sales[[#This Row],[Disc %]]</f>
        <v>414</v>
      </c>
      <c r="L1391" s="43">
        <v>0.18</v>
      </c>
      <c r="M1391" s="44">
        <f>(Sales[[#This Row],[Gross Amount]]-Sales[[#This Row],[Disc. Amt.]])*Sales[[#This Row],[GST %]]</f>
        <v>670.68</v>
      </c>
      <c r="N1391" s="161">
        <f>Sales[[#This Row],[Gross Amount]]-Sales[[#This Row],[Disc. Amt.]]+Sales[[#This Row],[GST Amount]]</f>
        <v>4396.68</v>
      </c>
      <c r="O1391" s="158" t="s">
        <v>3566</v>
      </c>
      <c r="P1391" s="158" t="s">
        <v>3562</v>
      </c>
      <c r="Q1391" s="160">
        <f>IF(Sales[[#This Row],[Status]]="Cancelled",0,Sales[[#This Row],[Qty]])</f>
        <v>2</v>
      </c>
      <c r="R1391" s="161">
        <f>IF(Sales[[#This Row],[Status]]="Cancelled",0,Sales[[#This Row],[Total Amount]])</f>
        <v>4396.68</v>
      </c>
      <c r="S1391" s="162">
        <f>SUM(Sales[Net Amount])</f>
        <v>406839287.73200053</v>
      </c>
    </row>
    <row r="1392" spans="1:19" ht="18.75" x14ac:dyDescent="0.25">
      <c r="A1392" s="163" t="s">
        <v>4993</v>
      </c>
      <c r="B1392" s="164">
        <v>45849</v>
      </c>
      <c r="C1392" s="34" t="s">
        <v>777</v>
      </c>
      <c r="D1392" s="53" t="str">
        <f>VLOOKUP(Sales[[#This Row],[Customer ID]],Customer[#All],2,0)</f>
        <v>Neha Sharma</v>
      </c>
      <c r="E1392" s="34" t="s">
        <v>396</v>
      </c>
      <c r="F1392" s="34" t="str">
        <f>VLOOKUP(Sales[[#This Row],[Product ID]],Product[#All],2,0)</f>
        <v>HP Laptop</v>
      </c>
      <c r="G1392" s="53">
        <v>7</v>
      </c>
      <c r="H1392" s="165">
        <f>VLOOKUP(Sales[[#This Row],[Product ID]],Product[#All],7,0)</f>
        <v>77100</v>
      </c>
      <c r="I1392" s="165">
        <f>Sales[[#This Row],[Selling Rate]]*Sales[[#This Row],[Qty]]</f>
        <v>539700</v>
      </c>
      <c r="J1392" s="45">
        <v>0.05</v>
      </c>
      <c r="K1392" s="46">
        <f>Sales[[#This Row],[Gross Amount]]*Sales[[#This Row],[Disc %]]</f>
        <v>26985</v>
      </c>
      <c r="L1392" s="43">
        <v>0.18</v>
      </c>
      <c r="M1392" s="46">
        <f>(Sales[[#This Row],[Gross Amount]]-Sales[[#This Row],[Disc. Amt.]])*Sales[[#This Row],[GST %]]</f>
        <v>92288.7</v>
      </c>
      <c r="N1392" s="161">
        <f>Sales[[#This Row],[Gross Amount]]-Sales[[#This Row],[Disc. Amt.]]+Sales[[#This Row],[GST Amount]]</f>
        <v>605003.69999999995</v>
      </c>
      <c r="O1392" s="34" t="s">
        <v>8876</v>
      </c>
      <c r="P1392" s="34" t="s">
        <v>3562</v>
      </c>
      <c r="Q1392" s="165">
        <f>IF(Sales[[#This Row],[Status]]="Cancelled",0,Sales[[#This Row],[Qty]])</f>
        <v>7</v>
      </c>
      <c r="R1392" s="166">
        <f>IF(Sales[[#This Row],[Status]]="Cancelled",0,Sales[[#This Row],[Total Amount]])</f>
        <v>605003.69999999995</v>
      </c>
      <c r="S1392" s="162">
        <f>SUM(Sales[Net Amount])</f>
        <v>406839287.73200053</v>
      </c>
    </row>
    <row r="1393" spans="1:19" ht="18.75" x14ac:dyDescent="0.25">
      <c r="A1393" s="156" t="s">
        <v>4994</v>
      </c>
      <c r="B1393" s="157">
        <v>45849</v>
      </c>
      <c r="C1393" s="158" t="s">
        <v>931</v>
      </c>
      <c r="D1393" s="159" t="str">
        <f>VLOOKUP(Sales[[#This Row],[Customer ID]],Customer[#All],2,0)</f>
        <v>Sahil Patel</v>
      </c>
      <c r="E1393" s="158" t="s">
        <v>180</v>
      </c>
      <c r="F1393" s="158" t="str">
        <f>VLOOKUP(Sales[[#This Row],[Product ID]],Product[#All],2,0)</f>
        <v>Kingston Ram</v>
      </c>
      <c r="G1393" s="159">
        <v>5</v>
      </c>
      <c r="H1393" s="160">
        <f>VLOOKUP(Sales[[#This Row],[Product ID]],Product[#All],7,0)</f>
        <v>11780</v>
      </c>
      <c r="I1393" s="160">
        <f>Sales[[#This Row],[Selling Rate]]*Sales[[#This Row],[Qty]]</f>
        <v>58900</v>
      </c>
      <c r="J1393" s="43">
        <v>0.02</v>
      </c>
      <c r="K1393" s="44">
        <f>Sales[[#This Row],[Gross Amount]]*Sales[[#This Row],[Disc %]]</f>
        <v>1178</v>
      </c>
      <c r="L1393" s="43">
        <v>0.18</v>
      </c>
      <c r="M1393" s="44">
        <f>(Sales[[#This Row],[Gross Amount]]-Sales[[#This Row],[Disc. Amt.]])*Sales[[#This Row],[GST %]]</f>
        <v>10389.959999999999</v>
      </c>
      <c r="N1393" s="161">
        <f>Sales[[#This Row],[Gross Amount]]-Sales[[#This Row],[Disc. Amt.]]+Sales[[#This Row],[GST Amount]]</f>
        <v>68111.959999999992</v>
      </c>
      <c r="O1393" s="158" t="s">
        <v>3561</v>
      </c>
      <c r="P1393" s="158" t="s">
        <v>3562</v>
      </c>
      <c r="Q1393" s="160">
        <f>IF(Sales[[#This Row],[Status]]="Cancelled",0,Sales[[#This Row],[Qty]])</f>
        <v>5</v>
      </c>
      <c r="R1393" s="161">
        <f>IF(Sales[[#This Row],[Status]]="Cancelled",0,Sales[[#This Row],[Total Amount]])</f>
        <v>68111.959999999992</v>
      </c>
      <c r="S1393" s="162">
        <f>SUM(Sales[Net Amount])</f>
        <v>406839287.73200053</v>
      </c>
    </row>
    <row r="1394" spans="1:19" ht="18.75" x14ac:dyDescent="0.25">
      <c r="A1394" s="163" t="s">
        <v>4995</v>
      </c>
      <c r="B1394" s="164">
        <v>45849</v>
      </c>
      <c r="C1394" s="34" t="s">
        <v>862</v>
      </c>
      <c r="D1394" s="53" t="str">
        <f>VLOOKUP(Sales[[#This Row],[Customer ID]],Customer[#All],2,0)</f>
        <v>Rakesh Sharma</v>
      </c>
      <c r="E1394" s="34" t="s">
        <v>384</v>
      </c>
      <c r="F1394" s="34" t="str">
        <f>VLOOKUP(Sales[[#This Row],[Product ID]],Product[#All],2,0)</f>
        <v>Samsung Ssd</v>
      </c>
      <c r="G1394" s="53">
        <v>8</v>
      </c>
      <c r="H1394" s="165">
        <f>VLOOKUP(Sales[[#This Row],[Product ID]],Product[#All],7,0)</f>
        <v>14770</v>
      </c>
      <c r="I1394" s="165">
        <f>Sales[[#This Row],[Selling Rate]]*Sales[[#This Row],[Qty]]</f>
        <v>118160</v>
      </c>
      <c r="J1394" s="45">
        <v>0.1</v>
      </c>
      <c r="K1394" s="46">
        <f>Sales[[#This Row],[Gross Amount]]*Sales[[#This Row],[Disc %]]</f>
        <v>11816</v>
      </c>
      <c r="L1394" s="43">
        <v>0.18</v>
      </c>
      <c r="M1394" s="46">
        <f>(Sales[[#This Row],[Gross Amount]]-Sales[[#This Row],[Disc. Amt.]])*Sales[[#This Row],[GST %]]</f>
        <v>19141.919999999998</v>
      </c>
      <c r="N1394" s="161">
        <f>Sales[[#This Row],[Gross Amount]]-Sales[[#This Row],[Disc. Amt.]]+Sales[[#This Row],[GST Amount]]</f>
        <v>125485.92</v>
      </c>
      <c r="O1394" s="34" t="s">
        <v>3569</v>
      </c>
      <c r="P1394" s="34" t="s">
        <v>3562</v>
      </c>
      <c r="Q1394" s="165">
        <f>IF(Sales[[#This Row],[Status]]="Cancelled",0,Sales[[#This Row],[Qty]])</f>
        <v>8</v>
      </c>
      <c r="R1394" s="166">
        <f>IF(Sales[[#This Row],[Status]]="Cancelled",0,Sales[[#This Row],[Total Amount]])</f>
        <v>125485.92</v>
      </c>
      <c r="S1394" s="162">
        <f>SUM(Sales[Net Amount])</f>
        <v>406839287.73200053</v>
      </c>
    </row>
    <row r="1395" spans="1:19" ht="18.75" x14ac:dyDescent="0.25">
      <c r="A1395" s="156" t="s">
        <v>4996</v>
      </c>
      <c r="B1395" s="157">
        <v>45850</v>
      </c>
      <c r="C1395" s="158" t="s">
        <v>4997</v>
      </c>
      <c r="D1395" s="159" t="str">
        <f>VLOOKUP(Sales[[#This Row],[Customer ID]],Customer[#All],2,0)</f>
        <v>Rahul Gupta</v>
      </c>
      <c r="E1395" s="158" t="s">
        <v>514</v>
      </c>
      <c r="F1395" s="158" t="str">
        <f>VLOOKUP(Sales[[#This Row],[Product ID]],Product[#All],2,0)</f>
        <v>Apc UPS</v>
      </c>
      <c r="G1395" s="159">
        <v>3</v>
      </c>
      <c r="H1395" s="160">
        <f>VLOOKUP(Sales[[#This Row],[Product ID]],Product[#All],7,0)</f>
        <v>4660</v>
      </c>
      <c r="I1395" s="160">
        <f>Sales[[#This Row],[Selling Rate]]*Sales[[#This Row],[Qty]]</f>
        <v>13980</v>
      </c>
      <c r="J1395" s="43">
        <v>0.05</v>
      </c>
      <c r="K1395" s="44">
        <f>Sales[[#This Row],[Gross Amount]]*Sales[[#This Row],[Disc %]]</f>
        <v>699</v>
      </c>
      <c r="L1395" s="43">
        <v>0.18</v>
      </c>
      <c r="M1395" s="44">
        <f>(Sales[[#This Row],[Gross Amount]]-Sales[[#This Row],[Disc. Amt.]])*Sales[[#This Row],[GST %]]</f>
        <v>2390.58</v>
      </c>
      <c r="N1395" s="161">
        <f>Sales[[#This Row],[Gross Amount]]-Sales[[#This Row],[Disc. Amt.]]+Sales[[#This Row],[GST Amount]]</f>
        <v>15671.58</v>
      </c>
      <c r="O1395" s="158" t="s">
        <v>3569</v>
      </c>
      <c r="P1395" s="158" t="s">
        <v>3562</v>
      </c>
      <c r="Q1395" s="160">
        <f>IF(Sales[[#This Row],[Status]]="Cancelled",0,Sales[[#This Row],[Qty]])</f>
        <v>3</v>
      </c>
      <c r="R1395" s="161">
        <f>IF(Sales[[#This Row],[Status]]="Cancelled",0,Sales[[#This Row],[Total Amount]])</f>
        <v>15671.58</v>
      </c>
      <c r="S1395" s="162">
        <f>SUM(Sales[Net Amount])</f>
        <v>406839287.73200053</v>
      </c>
    </row>
    <row r="1396" spans="1:19" ht="18.75" x14ac:dyDescent="0.25">
      <c r="A1396" s="163" t="s">
        <v>4998</v>
      </c>
      <c r="B1396" s="164">
        <v>45850</v>
      </c>
      <c r="C1396" s="34" t="s">
        <v>790</v>
      </c>
      <c r="D1396" s="53" t="str">
        <f>VLOOKUP(Sales[[#This Row],[Customer ID]],Customer[#All],2,0)</f>
        <v>Pooja Gupta</v>
      </c>
      <c r="E1396" s="34" t="s">
        <v>391</v>
      </c>
      <c r="F1396" s="34" t="str">
        <f>VLOOKUP(Sales[[#This Row],[Product ID]],Product[#All],2,0)</f>
        <v>Seagate HDD</v>
      </c>
      <c r="G1396" s="53">
        <v>1</v>
      </c>
      <c r="H1396" s="165">
        <f>VLOOKUP(Sales[[#This Row],[Product ID]],Product[#All],7,0)</f>
        <v>10370</v>
      </c>
      <c r="I1396" s="165">
        <f>Sales[[#This Row],[Selling Rate]]*Sales[[#This Row],[Qty]]</f>
        <v>10370</v>
      </c>
      <c r="J1396" s="45">
        <v>0</v>
      </c>
      <c r="K1396" s="46">
        <f>Sales[[#This Row],[Gross Amount]]*Sales[[#This Row],[Disc %]]</f>
        <v>0</v>
      </c>
      <c r="L1396" s="43">
        <v>0.18</v>
      </c>
      <c r="M1396" s="46">
        <f>(Sales[[#This Row],[Gross Amount]]-Sales[[#This Row],[Disc. Amt.]])*Sales[[#This Row],[GST %]]</f>
        <v>1866.6</v>
      </c>
      <c r="N1396" s="161">
        <f>Sales[[#This Row],[Gross Amount]]-Sales[[#This Row],[Disc. Amt.]]+Sales[[#This Row],[GST Amount]]</f>
        <v>12236.6</v>
      </c>
      <c r="O1396" s="34" t="s">
        <v>3566</v>
      </c>
      <c r="P1396" s="34" t="s">
        <v>3562</v>
      </c>
      <c r="Q1396" s="165">
        <f>IF(Sales[[#This Row],[Status]]="Cancelled",0,Sales[[#This Row],[Qty]])</f>
        <v>1</v>
      </c>
      <c r="R1396" s="166">
        <f>IF(Sales[[#This Row],[Status]]="Cancelled",0,Sales[[#This Row],[Total Amount]])</f>
        <v>12236.6</v>
      </c>
      <c r="S1396" s="162">
        <f>SUM(Sales[Net Amount])</f>
        <v>406839287.73200053</v>
      </c>
    </row>
    <row r="1397" spans="1:19" ht="18.75" x14ac:dyDescent="0.25">
      <c r="A1397" s="156" t="s">
        <v>4999</v>
      </c>
      <c r="B1397" s="157">
        <v>45850</v>
      </c>
      <c r="C1397" s="158" t="s">
        <v>5000</v>
      </c>
      <c r="D1397" s="159" t="str">
        <f>VLOOKUP(Sales[[#This Row],[Customer ID]],Customer[#All],2,0)</f>
        <v>Sahil Sharma</v>
      </c>
      <c r="E1397" s="158" t="s">
        <v>452</v>
      </c>
      <c r="F1397" s="158" t="str">
        <f>VLOOKUP(Sales[[#This Row],[Product ID]],Product[#All],2,0)</f>
        <v>Amazon Basics Hdmi Cable</v>
      </c>
      <c r="G1397" s="159">
        <v>6</v>
      </c>
      <c r="H1397" s="160">
        <f>VLOOKUP(Sales[[#This Row],[Product ID]],Product[#All],7,0)</f>
        <v>920</v>
      </c>
      <c r="I1397" s="160">
        <f>Sales[[#This Row],[Selling Rate]]*Sales[[#This Row],[Qty]]</f>
        <v>5520</v>
      </c>
      <c r="J1397" s="43">
        <v>0.05</v>
      </c>
      <c r="K1397" s="44">
        <f>Sales[[#This Row],[Gross Amount]]*Sales[[#This Row],[Disc %]]</f>
        <v>276</v>
      </c>
      <c r="L1397" s="43">
        <v>0.18</v>
      </c>
      <c r="M1397" s="44">
        <f>(Sales[[#This Row],[Gross Amount]]-Sales[[#This Row],[Disc. Amt.]])*Sales[[#This Row],[GST %]]</f>
        <v>943.92</v>
      </c>
      <c r="N1397" s="161">
        <f>Sales[[#This Row],[Gross Amount]]-Sales[[#This Row],[Disc. Amt.]]+Sales[[#This Row],[GST Amount]]</f>
        <v>6187.92</v>
      </c>
      <c r="O1397" s="158" t="s">
        <v>8876</v>
      </c>
      <c r="P1397" s="158" t="s">
        <v>3562</v>
      </c>
      <c r="Q1397" s="160">
        <f>IF(Sales[[#This Row],[Status]]="Cancelled",0,Sales[[#This Row],[Qty]])</f>
        <v>6</v>
      </c>
      <c r="R1397" s="161">
        <f>IF(Sales[[#This Row],[Status]]="Cancelled",0,Sales[[#This Row],[Total Amount]])</f>
        <v>6187.92</v>
      </c>
      <c r="S1397" s="162">
        <f>SUM(Sales[Net Amount])</f>
        <v>406839287.73200053</v>
      </c>
    </row>
    <row r="1398" spans="1:19" ht="18.75" x14ac:dyDescent="0.25">
      <c r="A1398" s="163" t="s">
        <v>5001</v>
      </c>
      <c r="B1398" s="164">
        <v>45850</v>
      </c>
      <c r="C1398" s="34" t="s">
        <v>935</v>
      </c>
      <c r="D1398" s="53" t="str">
        <f>VLOOKUP(Sales[[#This Row],[Customer ID]],Customer[#All],2,0)</f>
        <v>Ankit Kumar</v>
      </c>
      <c r="E1398" s="34" t="s">
        <v>539</v>
      </c>
      <c r="F1398" s="34" t="str">
        <f>VLOOKUP(Sales[[#This Row],[Product ID]],Product[#All],2,0)</f>
        <v>Canon Printer</v>
      </c>
      <c r="G1398" s="53">
        <v>2</v>
      </c>
      <c r="H1398" s="165">
        <f>VLOOKUP(Sales[[#This Row],[Product ID]],Product[#All],7,0)</f>
        <v>25640</v>
      </c>
      <c r="I1398" s="165">
        <f>Sales[[#This Row],[Selling Rate]]*Sales[[#This Row],[Qty]]</f>
        <v>51280</v>
      </c>
      <c r="J1398" s="45">
        <v>0</v>
      </c>
      <c r="K1398" s="46">
        <f>Sales[[#This Row],[Gross Amount]]*Sales[[#This Row],[Disc %]]</f>
        <v>0</v>
      </c>
      <c r="L1398" s="43">
        <v>0.18</v>
      </c>
      <c r="M1398" s="46">
        <f>(Sales[[#This Row],[Gross Amount]]-Sales[[#This Row],[Disc. Amt.]])*Sales[[#This Row],[GST %]]</f>
        <v>9230.4</v>
      </c>
      <c r="N1398" s="161">
        <f>Sales[[#This Row],[Gross Amount]]-Sales[[#This Row],[Disc. Amt.]]+Sales[[#This Row],[GST Amount]]</f>
        <v>60510.400000000001</v>
      </c>
      <c r="O1398" s="34" t="s">
        <v>3569</v>
      </c>
      <c r="P1398" s="34" t="s">
        <v>3562</v>
      </c>
      <c r="Q1398" s="165">
        <f>IF(Sales[[#This Row],[Status]]="Cancelled",0,Sales[[#This Row],[Qty]])</f>
        <v>2</v>
      </c>
      <c r="R1398" s="166">
        <f>IF(Sales[[#This Row],[Status]]="Cancelled",0,Sales[[#This Row],[Total Amount]])</f>
        <v>60510.400000000001</v>
      </c>
      <c r="S1398" s="162">
        <f>SUM(Sales[Net Amount])</f>
        <v>406839287.73200053</v>
      </c>
    </row>
    <row r="1399" spans="1:19" ht="18.75" x14ac:dyDescent="0.25">
      <c r="A1399" s="156" t="s">
        <v>5002</v>
      </c>
      <c r="B1399" s="157">
        <v>45850</v>
      </c>
      <c r="C1399" s="158" t="s">
        <v>932</v>
      </c>
      <c r="D1399" s="159" t="str">
        <f>VLOOKUP(Sales[[#This Row],[Customer ID]],Customer[#All],2,0)</f>
        <v>Vikas Gupta</v>
      </c>
      <c r="E1399" s="158" t="s">
        <v>528</v>
      </c>
      <c r="F1399" s="158" t="str">
        <f>VLOOKUP(Sales[[#This Row],[Product ID]],Product[#All],2,0)</f>
        <v>Kingston Ram</v>
      </c>
      <c r="G1399" s="159">
        <v>4</v>
      </c>
      <c r="H1399" s="160">
        <f>VLOOKUP(Sales[[#This Row],[Product ID]],Product[#All],7,0)</f>
        <v>4750</v>
      </c>
      <c r="I1399" s="160">
        <f>Sales[[#This Row],[Selling Rate]]*Sales[[#This Row],[Qty]]</f>
        <v>19000</v>
      </c>
      <c r="J1399" s="43">
        <v>0</v>
      </c>
      <c r="K1399" s="44">
        <f>Sales[[#This Row],[Gross Amount]]*Sales[[#This Row],[Disc %]]</f>
        <v>0</v>
      </c>
      <c r="L1399" s="43">
        <v>0.18</v>
      </c>
      <c r="M1399" s="44">
        <f>(Sales[[#This Row],[Gross Amount]]-Sales[[#This Row],[Disc. Amt.]])*Sales[[#This Row],[GST %]]</f>
        <v>3420</v>
      </c>
      <c r="N1399" s="161">
        <f>Sales[[#This Row],[Gross Amount]]-Sales[[#This Row],[Disc. Amt.]]+Sales[[#This Row],[GST Amount]]</f>
        <v>22420</v>
      </c>
      <c r="O1399" s="158" t="s">
        <v>8876</v>
      </c>
      <c r="P1399" s="158" t="s">
        <v>3562</v>
      </c>
      <c r="Q1399" s="160">
        <f>IF(Sales[[#This Row],[Status]]="Cancelled",0,Sales[[#This Row],[Qty]])</f>
        <v>4</v>
      </c>
      <c r="R1399" s="161">
        <f>IF(Sales[[#This Row],[Status]]="Cancelled",0,Sales[[#This Row],[Total Amount]])</f>
        <v>22420</v>
      </c>
      <c r="S1399" s="162">
        <f>SUM(Sales[Net Amount])</f>
        <v>406839287.73200053</v>
      </c>
    </row>
    <row r="1400" spans="1:19" ht="18.75" x14ac:dyDescent="0.25">
      <c r="A1400" s="163" t="s">
        <v>5003</v>
      </c>
      <c r="B1400" s="164">
        <v>45850</v>
      </c>
      <c r="C1400" s="34" t="s">
        <v>784</v>
      </c>
      <c r="D1400" s="53" t="str">
        <f>VLOOKUP(Sales[[#This Row],[Customer ID]],Customer[#All],2,0)</f>
        <v>Amit Kumar</v>
      </c>
      <c r="E1400" s="34" t="s">
        <v>127</v>
      </c>
      <c r="F1400" s="34" t="str">
        <f>VLOOKUP(Sales[[#This Row],[Product ID]],Product[#All],2,0)</f>
        <v>Samsung Ssd</v>
      </c>
      <c r="G1400" s="53">
        <v>8</v>
      </c>
      <c r="H1400" s="165">
        <f>VLOOKUP(Sales[[#This Row],[Product ID]],Product[#All],7,0)</f>
        <v>4570</v>
      </c>
      <c r="I1400" s="165">
        <f>Sales[[#This Row],[Selling Rate]]*Sales[[#This Row],[Qty]]</f>
        <v>36560</v>
      </c>
      <c r="J1400" s="45">
        <v>0.05</v>
      </c>
      <c r="K1400" s="46">
        <f>Sales[[#This Row],[Gross Amount]]*Sales[[#This Row],[Disc %]]</f>
        <v>1828</v>
      </c>
      <c r="L1400" s="43">
        <v>0.18</v>
      </c>
      <c r="M1400" s="46">
        <f>(Sales[[#This Row],[Gross Amount]]-Sales[[#This Row],[Disc. Amt.]])*Sales[[#This Row],[GST %]]</f>
        <v>6251.76</v>
      </c>
      <c r="N1400" s="161">
        <f>Sales[[#This Row],[Gross Amount]]-Sales[[#This Row],[Disc. Amt.]]+Sales[[#This Row],[GST Amount]]</f>
        <v>40983.760000000002</v>
      </c>
      <c r="O1400" s="34" t="s">
        <v>3566</v>
      </c>
      <c r="P1400" s="34" t="s">
        <v>3562</v>
      </c>
      <c r="Q1400" s="165">
        <f>IF(Sales[[#This Row],[Status]]="Cancelled",0,Sales[[#This Row],[Qty]])</f>
        <v>8</v>
      </c>
      <c r="R1400" s="166">
        <f>IF(Sales[[#This Row],[Status]]="Cancelled",0,Sales[[#This Row],[Total Amount]])</f>
        <v>40983.760000000002</v>
      </c>
      <c r="S1400" s="162">
        <f>SUM(Sales[Net Amount])</f>
        <v>406839287.73200053</v>
      </c>
    </row>
    <row r="1401" spans="1:19" ht="18.75" x14ac:dyDescent="0.25">
      <c r="A1401" s="156" t="s">
        <v>5004</v>
      </c>
      <c r="B1401" s="157">
        <v>45850</v>
      </c>
      <c r="C1401" s="158" t="s">
        <v>713</v>
      </c>
      <c r="D1401" s="159" t="str">
        <f>VLOOKUP(Sales[[#This Row],[Customer ID]],Customer[#All],2,0)</f>
        <v>Amit Gupta</v>
      </c>
      <c r="E1401" s="158" t="s">
        <v>100</v>
      </c>
      <c r="F1401" s="158" t="str">
        <f>VLOOKUP(Sales[[#This Row],[Product ID]],Product[#All],2,0)</f>
        <v>Portronics USB Cable</v>
      </c>
      <c r="G1401" s="159">
        <v>3</v>
      </c>
      <c r="H1401" s="160">
        <f>VLOOKUP(Sales[[#This Row],[Product ID]],Product[#All],7,0)</f>
        <v>210</v>
      </c>
      <c r="I1401" s="160">
        <f>Sales[[#This Row],[Selling Rate]]*Sales[[#This Row],[Qty]]</f>
        <v>630</v>
      </c>
      <c r="J1401" s="43">
        <v>0.05</v>
      </c>
      <c r="K1401" s="44">
        <f>Sales[[#This Row],[Gross Amount]]*Sales[[#This Row],[Disc %]]</f>
        <v>31.5</v>
      </c>
      <c r="L1401" s="43">
        <v>0.18</v>
      </c>
      <c r="M1401" s="44">
        <f>(Sales[[#This Row],[Gross Amount]]-Sales[[#This Row],[Disc. Amt.]])*Sales[[#This Row],[GST %]]</f>
        <v>107.72999999999999</v>
      </c>
      <c r="N1401" s="161">
        <f>Sales[[#This Row],[Gross Amount]]-Sales[[#This Row],[Disc. Amt.]]+Sales[[#This Row],[GST Amount]]</f>
        <v>706.23</v>
      </c>
      <c r="O1401" s="158" t="s">
        <v>3566</v>
      </c>
      <c r="P1401" s="158" t="s">
        <v>3562</v>
      </c>
      <c r="Q1401" s="160">
        <f>IF(Sales[[#This Row],[Status]]="Cancelled",0,Sales[[#This Row],[Qty]])</f>
        <v>3</v>
      </c>
      <c r="R1401" s="161">
        <f>IF(Sales[[#This Row],[Status]]="Cancelled",0,Sales[[#This Row],[Total Amount]])</f>
        <v>706.23</v>
      </c>
      <c r="S1401" s="162">
        <f>SUM(Sales[Net Amount])</f>
        <v>406839287.73200053</v>
      </c>
    </row>
    <row r="1402" spans="1:19" ht="18.75" x14ac:dyDescent="0.25">
      <c r="A1402" s="163" t="s">
        <v>5005</v>
      </c>
      <c r="B1402" s="164">
        <v>45850</v>
      </c>
      <c r="C1402" s="34" t="s">
        <v>932</v>
      </c>
      <c r="D1402" s="53" t="str">
        <f>VLOOKUP(Sales[[#This Row],[Customer ID]],Customer[#All],2,0)</f>
        <v>Vikas Gupta</v>
      </c>
      <c r="E1402" s="34" t="s">
        <v>159</v>
      </c>
      <c r="F1402" s="34" t="str">
        <f>VLOOKUP(Sales[[#This Row],[Product ID]],Product[#All],2,0)</f>
        <v>HP Laptop</v>
      </c>
      <c r="G1402" s="53">
        <v>1</v>
      </c>
      <c r="H1402" s="165">
        <f>VLOOKUP(Sales[[#This Row],[Product ID]],Product[#All],7,0)</f>
        <v>90020</v>
      </c>
      <c r="I1402" s="165">
        <f>Sales[[#This Row],[Selling Rate]]*Sales[[#This Row],[Qty]]</f>
        <v>90020</v>
      </c>
      <c r="J1402" s="45">
        <v>0</v>
      </c>
      <c r="K1402" s="46">
        <f>Sales[[#This Row],[Gross Amount]]*Sales[[#This Row],[Disc %]]</f>
        <v>0</v>
      </c>
      <c r="L1402" s="43">
        <v>0.18</v>
      </c>
      <c r="M1402" s="46">
        <f>(Sales[[#This Row],[Gross Amount]]-Sales[[#This Row],[Disc. Amt.]])*Sales[[#This Row],[GST %]]</f>
        <v>16203.599999999999</v>
      </c>
      <c r="N1402" s="161">
        <f>Sales[[#This Row],[Gross Amount]]-Sales[[#This Row],[Disc. Amt.]]+Sales[[#This Row],[GST Amount]]</f>
        <v>106223.6</v>
      </c>
      <c r="O1402" s="34" t="s">
        <v>3569</v>
      </c>
      <c r="P1402" s="34" t="s">
        <v>1040</v>
      </c>
      <c r="Q1402" s="165">
        <f>IF(Sales[[#This Row],[Status]]="Cancelled",0,Sales[[#This Row],[Qty]])</f>
        <v>0</v>
      </c>
      <c r="R1402" s="166">
        <f>IF(Sales[[#This Row],[Status]]="Cancelled",0,Sales[[#This Row],[Total Amount]])</f>
        <v>0</v>
      </c>
      <c r="S1402" s="162">
        <f>SUM(Sales[Net Amount])</f>
        <v>406839287.73200053</v>
      </c>
    </row>
    <row r="1403" spans="1:19" ht="18.75" x14ac:dyDescent="0.25">
      <c r="A1403" s="156" t="s">
        <v>5006</v>
      </c>
      <c r="B1403" s="157">
        <v>45850</v>
      </c>
      <c r="C1403" s="158" t="s">
        <v>913</v>
      </c>
      <c r="D1403" s="159" t="str">
        <f>VLOOKUP(Sales[[#This Row],[Customer ID]],Customer[#All],2,0)</f>
        <v>Pooja Kumar</v>
      </c>
      <c r="E1403" s="158" t="s">
        <v>105</v>
      </c>
      <c r="F1403" s="158" t="str">
        <f>VLOOKUP(Sales[[#This Row],[Product ID]],Product[#All],2,0)</f>
        <v>HP Power Adapter</v>
      </c>
      <c r="G1403" s="159">
        <v>3</v>
      </c>
      <c r="H1403" s="160">
        <f>VLOOKUP(Sales[[#This Row],[Product ID]],Product[#All],7,0)</f>
        <v>3280</v>
      </c>
      <c r="I1403" s="160">
        <f>Sales[[#This Row],[Selling Rate]]*Sales[[#This Row],[Qty]]</f>
        <v>9840</v>
      </c>
      <c r="J1403" s="43">
        <v>0.05</v>
      </c>
      <c r="K1403" s="44">
        <f>Sales[[#This Row],[Gross Amount]]*Sales[[#This Row],[Disc %]]</f>
        <v>492</v>
      </c>
      <c r="L1403" s="43">
        <v>0.18</v>
      </c>
      <c r="M1403" s="44">
        <f>(Sales[[#This Row],[Gross Amount]]-Sales[[#This Row],[Disc. Amt.]])*Sales[[#This Row],[GST %]]</f>
        <v>1682.6399999999999</v>
      </c>
      <c r="N1403" s="161">
        <f>Sales[[#This Row],[Gross Amount]]-Sales[[#This Row],[Disc. Amt.]]+Sales[[#This Row],[GST Amount]]</f>
        <v>11030.64</v>
      </c>
      <c r="O1403" s="158" t="s">
        <v>3569</v>
      </c>
      <c r="P1403" s="158" t="s">
        <v>3562</v>
      </c>
      <c r="Q1403" s="160">
        <f>IF(Sales[[#This Row],[Status]]="Cancelled",0,Sales[[#This Row],[Qty]])</f>
        <v>3</v>
      </c>
      <c r="R1403" s="161">
        <f>IF(Sales[[#This Row],[Status]]="Cancelled",0,Sales[[#This Row],[Total Amount]])</f>
        <v>11030.64</v>
      </c>
      <c r="S1403" s="162">
        <f>SUM(Sales[Net Amount])</f>
        <v>406839287.73200053</v>
      </c>
    </row>
    <row r="1404" spans="1:19" ht="18.75" x14ac:dyDescent="0.25">
      <c r="A1404" s="163" t="s">
        <v>5007</v>
      </c>
      <c r="B1404" s="164">
        <v>45850</v>
      </c>
      <c r="C1404" s="34" t="s">
        <v>652</v>
      </c>
      <c r="D1404" s="53" t="str">
        <f>VLOOKUP(Sales[[#This Row],[Customer ID]],Customer[#All],2,0)</f>
        <v>Sahil Kumar</v>
      </c>
      <c r="E1404" s="34" t="s">
        <v>477</v>
      </c>
      <c r="F1404" s="34" t="str">
        <f>VLOOKUP(Sales[[#This Row],[Product ID]],Product[#All],2,0)</f>
        <v>Epson Printer</v>
      </c>
      <c r="G1404" s="53">
        <v>1</v>
      </c>
      <c r="H1404" s="165">
        <f>VLOOKUP(Sales[[#This Row],[Product ID]],Product[#All],7,0)</f>
        <v>17550</v>
      </c>
      <c r="I1404" s="165">
        <f>Sales[[#This Row],[Selling Rate]]*Sales[[#This Row],[Qty]]</f>
        <v>17550</v>
      </c>
      <c r="J1404" s="45">
        <v>0.15</v>
      </c>
      <c r="K1404" s="46">
        <f>Sales[[#This Row],[Gross Amount]]*Sales[[#This Row],[Disc %]]</f>
        <v>2632.5</v>
      </c>
      <c r="L1404" s="43">
        <v>0.18</v>
      </c>
      <c r="M1404" s="46">
        <f>(Sales[[#This Row],[Gross Amount]]-Sales[[#This Row],[Disc. Amt.]])*Sales[[#This Row],[GST %]]</f>
        <v>2685.15</v>
      </c>
      <c r="N1404" s="161">
        <f>Sales[[#This Row],[Gross Amount]]-Sales[[#This Row],[Disc. Amt.]]+Sales[[#This Row],[GST Amount]]</f>
        <v>17602.650000000001</v>
      </c>
      <c r="O1404" s="34" t="s">
        <v>3561</v>
      </c>
      <c r="P1404" s="34" t="s">
        <v>3562</v>
      </c>
      <c r="Q1404" s="165">
        <f>IF(Sales[[#This Row],[Status]]="Cancelled",0,Sales[[#This Row],[Qty]])</f>
        <v>1</v>
      </c>
      <c r="R1404" s="166">
        <f>IF(Sales[[#This Row],[Status]]="Cancelled",0,Sales[[#This Row],[Total Amount]])</f>
        <v>17602.650000000001</v>
      </c>
      <c r="S1404" s="162">
        <f>SUM(Sales[Net Amount])</f>
        <v>406839287.73200053</v>
      </c>
    </row>
    <row r="1405" spans="1:19" ht="18.75" x14ac:dyDescent="0.25">
      <c r="A1405" s="156" t="s">
        <v>5008</v>
      </c>
      <c r="B1405" s="157">
        <v>45850</v>
      </c>
      <c r="C1405" s="158" t="s">
        <v>759</v>
      </c>
      <c r="D1405" s="159" t="str">
        <f>VLOOKUP(Sales[[#This Row],[Customer ID]],Customer[#All],2,0)</f>
        <v>Ankit Sharma</v>
      </c>
      <c r="E1405" s="158" t="s">
        <v>460</v>
      </c>
      <c r="F1405" s="158" t="str">
        <f>VLOOKUP(Sales[[#This Row],[Product ID]],Product[#All],2,0)</f>
        <v>Logitech Keyboard</v>
      </c>
      <c r="G1405" s="159">
        <v>3</v>
      </c>
      <c r="H1405" s="160">
        <f>VLOOKUP(Sales[[#This Row],[Product ID]],Product[#All],7,0)</f>
        <v>3050</v>
      </c>
      <c r="I1405" s="160">
        <f>Sales[[#This Row],[Selling Rate]]*Sales[[#This Row],[Qty]]</f>
        <v>9150</v>
      </c>
      <c r="J1405" s="43">
        <v>0.1</v>
      </c>
      <c r="K1405" s="44">
        <f>Sales[[#This Row],[Gross Amount]]*Sales[[#This Row],[Disc %]]</f>
        <v>915</v>
      </c>
      <c r="L1405" s="43">
        <v>0.18</v>
      </c>
      <c r="M1405" s="44">
        <f>(Sales[[#This Row],[Gross Amount]]-Sales[[#This Row],[Disc. Amt.]])*Sales[[#This Row],[GST %]]</f>
        <v>1482.3</v>
      </c>
      <c r="N1405" s="161">
        <f>Sales[[#This Row],[Gross Amount]]-Sales[[#This Row],[Disc. Amt.]]+Sales[[#This Row],[GST Amount]]</f>
        <v>9717.2999999999993</v>
      </c>
      <c r="O1405" s="158" t="s">
        <v>3561</v>
      </c>
      <c r="P1405" s="158" t="s">
        <v>3562</v>
      </c>
      <c r="Q1405" s="160">
        <f>IF(Sales[[#This Row],[Status]]="Cancelled",0,Sales[[#This Row],[Qty]])</f>
        <v>3</v>
      </c>
      <c r="R1405" s="161">
        <f>IF(Sales[[#This Row],[Status]]="Cancelled",0,Sales[[#This Row],[Total Amount]])</f>
        <v>9717.2999999999993</v>
      </c>
      <c r="S1405" s="162">
        <f>SUM(Sales[Net Amount])</f>
        <v>406839287.73200053</v>
      </c>
    </row>
    <row r="1406" spans="1:19" ht="18.75" x14ac:dyDescent="0.25">
      <c r="A1406" s="163" t="s">
        <v>5009</v>
      </c>
      <c r="B1406" s="164">
        <v>45850</v>
      </c>
      <c r="C1406" s="34" t="s">
        <v>862</v>
      </c>
      <c r="D1406" s="53" t="str">
        <f>VLOOKUP(Sales[[#This Row],[Customer ID]],Customer[#All],2,0)</f>
        <v>Rakesh Sharma</v>
      </c>
      <c r="E1406" s="34" t="s">
        <v>547</v>
      </c>
      <c r="F1406" s="34" t="str">
        <f>VLOOKUP(Sales[[#This Row],[Product ID]],Product[#All],2,0)</f>
        <v>Samsung Monitor</v>
      </c>
      <c r="G1406" s="53">
        <v>3</v>
      </c>
      <c r="H1406" s="165">
        <f>VLOOKUP(Sales[[#This Row],[Product ID]],Product[#All],7,0)</f>
        <v>33340</v>
      </c>
      <c r="I1406" s="165">
        <f>Sales[[#This Row],[Selling Rate]]*Sales[[#This Row],[Qty]]</f>
        <v>100020</v>
      </c>
      <c r="J1406" s="45">
        <v>0.12</v>
      </c>
      <c r="K1406" s="46">
        <f>Sales[[#This Row],[Gross Amount]]*Sales[[#This Row],[Disc %]]</f>
        <v>12002.4</v>
      </c>
      <c r="L1406" s="43">
        <v>0.18</v>
      </c>
      <c r="M1406" s="46">
        <f>(Sales[[#This Row],[Gross Amount]]-Sales[[#This Row],[Disc. Amt.]])*Sales[[#This Row],[GST %]]</f>
        <v>15843.168</v>
      </c>
      <c r="N1406" s="161">
        <f>Sales[[#This Row],[Gross Amount]]-Sales[[#This Row],[Disc. Amt.]]+Sales[[#This Row],[GST Amount]]</f>
        <v>103860.76800000001</v>
      </c>
      <c r="O1406" s="34" t="s">
        <v>3566</v>
      </c>
      <c r="P1406" s="34" t="s">
        <v>3562</v>
      </c>
      <c r="Q1406" s="165">
        <f>IF(Sales[[#This Row],[Status]]="Cancelled",0,Sales[[#This Row],[Qty]])</f>
        <v>3</v>
      </c>
      <c r="R1406" s="166">
        <f>IF(Sales[[#This Row],[Status]]="Cancelled",0,Sales[[#This Row],[Total Amount]])</f>
        <v>103860.76800000001</v>
      </c>
      <c r="S1406" s="162">
        <f>SUM(Sales[Net Amount])</f>
        <v>406839287.73200053</v>
      </c>
    </row>
    <row r="1407" spans="1:19" ht="18.75" x14ac:dyDescent="0.25">
      <c r="A1407" s="156" t="s">
        <v>5010</v>
      </c>
      <c r="B1407" s="157">
        <v>45850</v>
      </c>
      <c r="C1407" s="158" t="s">
        <v>928</v>
      </c>
      <c r="D1407" s="159" t="str">
        <f>VLOOKUP(Sales[[#This Row],[Customer ID]],Customer[#All],2,0)</f>
        <v>Rahul Kumar</v>
      </c>
      <c r="E1407" s="158" t="s">
        <v>392</v>
      </c>
      <c r="F1407" s="158" t="str">
        <f>VLOOKUP(Sales[[#This Row],[Product ID]],Product[#All],2,0)</f>
        <v>Apc UPS</v>
      </c>
      <c r="G1407" s="159">
        <v>3</v>
      </c>
      <c r="H1407" s="160">
        <f>VLOOKUP(Sales[[#This Row],[Product ID]],Product[#All],7,0)</f>
        <v>3320</v>
      </c>
      <c r="I1407" s="160">
        <f>Sales[[#This Row],[Selling Rate]]*Sales[[#This Row],[Qty]]</f>
        <v>9960</v>
      </c>
      <c r="J1407" s="43">
        <v>0.05</v>
      </c>
      <c r="K1407" s="44">
        <f>Sales[[#This Row],[Gross Amount]]*Sales[[#This Row],[Disc %]]</f>
        <v>498</v>
      </c>
      <c r="L1407" s="43">
        <v>0.18</v>
      </c>
      <c r="M1407" s="44">
        <f>(Sales[[#This Row],[Gross Amount]]-Sales[[#This Row],[Disc. Amt.]])*Sales[[#This Row],[GST %]]</f>
        <v>1703.1599999999999</v>
      </c>
      <c r="N1407" s="161">
        <f>Sales[[#This Row],[Gross Amount]]-Sales[[#This Row],[Disc. Amt.]]+Sales[[#This Row],[GST Amount]]</f>
        <v>11165.16</v>
      </c>
      <c r="O1407" s="158" t="s">
        <v>3569</v>
      </c>
      <c r="P1407" s="158" t="s">
        <v>3562</v>
      </c>
      <c r="Q1407" s="160">
        <f>IF(Sales[[#This Row],[Status]]="Cancelled",0,Sales[[#This Row],[Qty]])</f>
        <v>3</v>
      </c>
      <c r="R1407" s="161">
        <f>IF(Sales[[#This Row],[Status]]="Cancelled",0,Sales[[#This Row],[Total Amount]])</f>
        <v>11165.16</v>
      </c>
      <c r="S1407" s="162">
        <f>SUM(Sales[Net Amount])</f>
        <v>406839287.73200053</v>
      </c>
    </row>
    <row r="1408" spans="1:19" ht="18.75" x14ac:dyDescent="0.25">
      <c r="A1408" s="163" t="s">
        <v>5011</v>
      </c>
      <c r="B1408" s="164">
        <v>45850</v>
      </c>
      <c r="C1408" s="34" t="s">
        <v>912</v>
      </c>
      <c r="D1408" s="53" t="str">
        <f>VLOOKUP(Sales[[#This Row],[Customer ID]],Customer[#All],2,0)</f>
        <v>Sunita Verma</v>
      </c>
      <c r="E1408" s="34" t="s">
        <v>530</v>
      </c>
      <c r="F1408" s="34" t="str">
        <f>VLOOKUP(Sales[[#This Row],[Product ID]],Product[#All],2,0)</f>
        <v>Acer Laptop</v>
      </c>
      <c r="G1408" s="53">
        <v>7</v>
      </c>
      <c r="H1408" s="165">
        <f>VLOOKUP(Sales[[#This Row],[Product ID]],Product[#All],7,0)</f>
        <v>31390</v>
      </c>
      <c r="I1408" s="165">
        <f>Sales[[#This Row],[Selling Rate]]*Sales[[#This Row],[Qty]]</f>
        <v>219730</v>
      </c>
      <c r="J1408" s="45">
        <v>0.15</v>
      </c>
      <c r="K1408" s="46">
        <f>Sales[[#This Row],[Gross Amount]]*Sales[[#This Row],[Disc %]]</f>
        <v>32959.5</v>
      </c>
      <c r="L1408" s="43">
        <v>0.18</v>
      </c>
      <c r="M1408" s="46">
        <f>(Sales[[#This Row],[Gross Amount]]-Sales[[#This Row],[Disc. Amt.]])*Sales[[#This Row],[GST %]]</f>
        <v>33618.69</v>
      </c>
      <c r="N1408" s="161">
        <f>Sales[[#This Row],[Gross Amount]]-Sales[[#This Row],[Disc. Amt.]]+Sales[[#This Row],[GST Amount]]</f>
        <v>220389.19</v>
      </c>
      <c r="O1408" s="34" t="s">
        <v>3569</v>
      </c>
      <c r="P1408" s="34" t="s">
        <v>3562</v>
      </c>
      <c r="Q1408" s="165">
        <f>IF(Sales[[#This Row],[Status]]="Cancelled",0,Sales[[#This Row],[Qty]])</f>
        <v>7</v>
      </c>
      <c r="R1408" s="166">
        <f>IF(Sales[[#This Row],[Status]]="Cancelled",0,Sales[[#This Row],[Total Amount]])</f>
        <v>220389.19</v>
      </c>
      <c r="S1408" s="162">
        <f>SUM(Sales[Net Amount])</f>
        <v>406839287.73200053</v>
      </c>
    </row>
    <row r="1409" spans="1:19" ht="18.75" x14ac:dyDescent="0.25">
      <c r="A1409" s="156" t="s">
        <v>5012</v>
      </c>
      <c r="B1409" s="157">
        <v>45850</v>
      </c>
      <c r="C1409" s="158" t="s">
        <v>935</v>
      </c>
      <c r="D1409" s="159" t="str">
        <f>VLOOKUP(Sales[[#This Row],[Customer ID]],Customer[#All],2,0)</f>
        <v>Ankit Kumar</v>
      </c>
      <c r="E1409" s="158" t="s">
        <v>124</v>
      </c>
      <c r="F1409" s="158" t="str">
        <f>VLOOKUP(Sales[[#This Row],[Product ID]],Product[#All],2,0)</f>
        <v>Crucial Ssd</v>
      </c>
      <c r="G1409" s="159">
        <v>7</v>
      </c>
      <c r="H1409" s="160">
        <f>VLOOKUP(Sales[[#This Row],[Product ID]],Product[#All],7,0)</f>
        <v>14820</v>
      </c>
      <c r="I1409" s="160">
        <f>Sales[[#This Row],[Selling Rate]]*Sales[[#This Row],[Qty]]</f>
        <v>103740</v>
      </c>
      <c r="J1409" s="43">
        <v>0.12</v>
      </c>
      <c r="K1409" s="44">
        <f>Sales[[#This Row],[Gross Amount]]*Sales[[#This Row],[Disc %]]</f>
        <v>12448.8</v>
      </c>
      <c r="L1409" s="43">
        <v>0.18</v>
      </c>
      <c r="M1409" s="44">
        <f>(Sales[[#This Row],[Gross Amount]]-Sales[[#This Row],[Disc. Amt.]])*Sales[[#This Row],[GST %]]</f>
        <v>16432.415999999997</v>
      </c>
      <c r="N1409" s="161">
        <f>Sales[[#This Row],[Gross Amount]]-Sales[[#This Row],[Disc. Amt.]]+Sales[[#This Row],[GST Amount]]</f>
        <v>107723.61599999999</v>
      </c>
      <c r="O1409" s="158" t="s">
        <v>3569</v>
      </c>
      <c r="P1409" s="158" t="s">
        <v>3562</v>
      </c>
      <c r="Q1409" s="160">
        <f>IF(Sales[[#This Row],[Status]]="Cancelled",0,Sales[[#This Row],[Qty]])</f>
        <v>7</v>
      </c>
      <c r="R1409" s="161">
        <f>IF(Sales[[#This Row],[Status]]="Cancelled",0,Sales[[#This Row],[Total Amount]])</f>
        <v>107723.61599999999</v>
      </c>
      <c r="S1409" s="162">
        <f>SUM(Sales[Net Amount])</f>
        <v>406839287.73200053</v>
      </c>
    </row>
    <row r="1410" spans="1:19" ht="18.75" x14ac:dyDescent="0.25">
      <c r="A1410" s="163" t="s">
        <v>5013</v>
      </c>
      <c r="B1410" s="164">
        <v>45850</v>
      </c>
      <c r="C1410" s="34" t="s">
        <v>929</v>
      </c>
      <c r="D1410" s="53" t="str">
        <f>VLOOKUP(Sales[[#This Row],[Customer ID]],Customer[#All],2,0)</f>
        <v>Sunita Gupta</v>
      </c>
      <c r="E1410" s="34" t="s">
        <v>274</v>
      </c>
      <c r="F1410" s="34" t="str">
        <f>VLOOKUP(Sales[[#This Row],[Product ID]],Product[#All],2,0)</f>
        <v>Dell Desktop</v>
      </c>
      <c r="G1410" s="53">
        <v>7</v>
      </c>
      <c r="H1410" s="165">
        <f>VLOOKUP(Sales[[#This Row],[Product ID]],Product[#All],7,0)</f>
        <v>54540</v>
      </c>
      <c r="I1410" s="165">
        <f>Sales[[#This Row],[Selling Rate]]*Sales[[#This Row],[Qty]]</f>
        <v>381780</v>
      </c>
      <c r="J1410" s="45">
        <v>0.12</v>
      </c>
      <c r="K1410" s="46">
        <f>Sales[[#This Row],[Gross Amount]]*Sales[[#This Row],[Disc %]]</f>
        <v>45813.599999999999</v>
      </c>
      <c r="L1410" s="43">
        <v>0.18</v>
      </c>
      <c r="M1410" s="46">
        <f>(Sales[[#This Row],[Gross Amount]]-Sales[[#This Row],[Disc. Amt.]])*Sales[[#This Row],[GST %]]</f>
        <v>60473.952000000005</v>
      </c>
      <c r="N1410" s="161">
        <f>Sales[[#This Row],[Gross Amount]]-Sales[[#This Row],[Disc. Amt.]]+Sales[[#This Row],[GST Amount]]</f>
        <v>396440.35200000001</v>
      </c>
      <c r="O1410" s="34" t="s">
        <v>3569</v>
      </c>
      <c r="P1410" s="34" t="s">
        <v>3562</v>
      </c>
      <c r="Q1410" s="165">
        <f>IF(Sales[[#This Row],[Status]]="Cancelled",0,Sales[[#This Row],[Qty]])</f>
        <v>7</v>
      </c>
      <c r="R1410" s="166">
        <f>IF(Sales[[#This Row],[Status]]="Cancelled",0,Sales[[#This Row],[Total Amount]])</f>
        <v>396440.35200000001</v>
      </c>
      <c r="S1410" s="162">
        <f>SUM(Sales[Net Amount])</f>
        <v>406839287.73200053</v>
      </c>
    </row>
    <row r="1411" spans="1:19" ht="18.75" x14ac:dyDescent="0.25">
      <c r="A1411" s="156" t="s">
        <v>5014</v>
      </c>
      <c r="B1411" s="157">
        <v>45850</v>
      </c>
      <c r="C1411" s="158" t="s">
        <v>817</v>
      </c>
      <c r="D1411" s="159" t="str">
        <f>VLOOKUP(Sales[[#This Row],[Customer ID]],Customer[#All],2,0)</f>
        <v>Ankit Patel</v>
      </c>
      <c r="E1411" s="158" t="s">
        <v>393</v>
      </c>
      <c r="F1411" s="158" t="str">
        <f>VLOOKUP(Sales[[#This Row],[Product ID]],Product[#All],2,0)</f>
        <v>American TouristerLaptopBag</v>
      </c>
      <c r="G1411" s="159">
        <v>8</v>
      </c>
      <c r="H1411" s="160">
        <f>VLOOKUP(Sales[[#This Row],[Product ID]],Product[#All],7,0)</f>
        <v>3240</v>
      </c>
      <c r="I1411" s="160">
        <f>Sales[[#This Row],[Selling Rate]]*Sales[[#This Row],[Qty]]</f>
        <v>25920</v>
      </c>
      <c r="J1411" s="43">
        <v>0.1</v>
      </c>
      <c r="K1411" s="44">
        <f>Sales[[#This Row],[Gross Amount]]*Sales[[#This Row],[Disc %]]</f>
        <v>2592</v>
      </c>
      <c r="L1411" s="43">
        <v>0.18</v>
      </c>
      <c r="M1411" s="44">
        <f>(Sales[[#This Row],[Gross Amount]]-Sales[[#This Row],[Disc. Amt.]])*Sales[[#This Row],[GST %]]</f>
        <v>4199.04</v>
      </c>
      <c r="N1411" s="161">
        <f>Sales[[#This Row],[Gross Amount]]-Sales[[#This Row],[Disc. Amt.]]+Sales[[#This Row],[GST Amount]]</f>
        <v>27527.040000000001</v>
      </c>
      <c r="O1411" s="158" t="s">
        <v>8876</v>
      </c>
      <c r="P1411" s="158" t="s">
        <v>3562</v>
      </c>
      <c r="Q1411" s="160">
        <f>IF(Sales[[#This Row],[Status]]="Cancelled",0,Sales[[#This Row],[Qty]])</f>
        <v>8</v>
      </c>
      <c r="R1411" s="161">
        <f>IF(Sales[[#This Row],[Status]]="Cancelled",0,Sales[[#This Row],[Total Amount]])</f>
        <v>27527.040000000001</v>
      </c>
      <c r="S1411" s="162">
        <f>SUM(Sales[Net Amount])</f>
        <v>406839287.73200053</v>
      </c>
    </row>
    <row r="1412" spans="1:19" ht="18.75" x14ac:dyDescent="0.25">
      <c r="A1412" s="163" t="s">
        <v>5015</v>
      </c>
      <c r="B1412" s="164">
        <v>45851</v>
      </c>
      <c r="C1412" s="34" t="s">
        <v>908</v>
      </c>
      <c r="D1412" s="53" t="str">
        <f>VLOOKUP(Sales[[#This Row],[Customer ID]],Customer[#All],2,0)</f>
        <v>Rahul Singh</v>
      </c>
      <c r="E1412" s="34" t="s">
        <v>485</v>
      </c>
      <c r="F1412" s="34" t="str">
        <f>VLOOKUP(Sales[[#This Row],[Product ID]],Product[#All],2,0)</f>
        <v>Lenovo Laptop</v>
      </c>
      <c r="G1412" s="53">
        <v>6</v>
      </c>
      <c r="H1412" s="165">
        <f>VLOOKUP(Sales[[#This Row],[Product ID]],Product[#All],7,0)</f>
        <v>55360</v>
      </c>
      <c r="I1412" s="165">
        <f>Sales[[#This Row],[Selling Rate]]*Sales[[#This Row],[Qty]]</f>
        <v>332160</v>
      </c>
      <c r="J1412" s="45">
        <v>0.1</v>
      </c>
      <c r="K1412" s="46">
        <f>Sales[[#This Row],[Gross Amount]]*Sales[[#This Row],[Disc %]]</f>
        <v>33216</v>
      </c>
      <c r="L1412" s="43">
        <v>0.18</v>
      </c>
      <c r="M1412" s="46">
        <f>(Sales[[#This Row],[Gross Amount]]-Sales[[#This Row],[Disc. Amt.]])*Sales[[#This Row],[GST %]]</f>
        <v>53809.919999999998</v>
      </c>
      <c r="N1412" s="161">
        <f>Sales[[#This Row],[Gross Amount]]-Sales[[#This Row],[Disc. Amt.]]+Sales[[#This Row],[GST Amount]]</f>
        <v>352753.91999999998</v>
      </c>
      <c r="O1412" s="34" t="s">
        <v>3569</v>
      </c>
      <c r="P1412" s="34" t="s">
        <v>3562</v>
      </c>
      <c r="Q1412" s="165">
        <f>IF(Sales[[#This Row],[Status]]="Cancelled",0,Sales[[#This Row],[Qty]])</f>
        <v>6</v>
      </c>
      <c r="R1412" s="166">
        <f>IF(Sales[[#This Row],[Status]]="Cancelled",0,Sales[[#This Row],[Total Amount]])</f>
        <v>352753.91999999998</v>
      </c>
      <c r="S1412" s="162">
        <f>SUM(Sales[Net Amount])</f>
        <v>406839287.73200053</v>
      </c>
    </row>
    <row r="1413" spans="1:19" ht="18.75" x14ac:dyDescent="0.25">
      <c r="A1413" s="156" t="s">
        <v>5016</v>
      </c>
      <c r="B1413" s="157">
        <v>45851</v>
      </c>
      <c r="C1413" s="158" t="s">
        <v>751</v>
      </c>
      <c r="D1413" s="159" t="str">
        <f>VLOOKUP(Sales[[#This Row],[Customer ID]],Customer[#All],2,0)</f>
        <v>Ankit Verma</v>
      </c>
      <c r="E1413" s="158" t="s">
        <v>267</v>
      </c>
      <c r="F1413" s="158" t="str">
        <f>VLOOKUP(Sales[[#This Row],[Product ID]],Product[#All],2,0)</f>
        <v>Boat Speaker</v>
      </c>
      <c r="G1413" s="159">
        <v>2</v>
      </c>
      <c r="H1413" s="160">
        <f>VLOOKUP(Sales[[#This Row],[Product ID]],Product[#All],7,0)</f>
        <v>2230</v>
      </c>
      <c r="I1413" s="160">
        <f>Sales[[#This Row],[Selling Rate]]*Sales[[#This Row],[Qty]]</f>
        <v>4460</v>
      </c>
      <c r="J1413" s="43">
        <v>0.02</v>
      </c>
      <c r="K1413" s="44">
        <f>Sales[[#This Row],[Gross Amount]]*Sales[[#This Row],[Disc %]]</f>
        <v>89.2</v>
      </c>
      <c r="L1413" s="43">
        <v>0.18</v>
      </c>
      <c r="M1413" s="44">
        <f>(Sales[[#This Row],[Gross Amount]]-Sales[[#This Row],[Disc. Amt.]])*Sales[[#This Row],[GST %]]</f>
        <v>786.74400000000003</v>
      </c>
      <c r="N1413" s="161">
        <f>Sales[[#This Row],[Gross Amount]]-Sales[[#This Row],[Disc. Amt.]]+Sales[[#This Row],[GST Amount]]</f>
        <v>5157.5439999999999</v>
      </c>
      <c r="O1413" s="158" t="s">
        <v>8876</v>
      </c>
      <c r="P1413" s="158" t="s">
        <v>3562</v>
      </c>
      <c r="Q1413" s="160">
        <f>IF(Sales[[#This Row],[Status]]="Cancelled",0,Sales[[#This Row],[Qty]])</f>
        <v>2</v>
      </c>
      <c r="R1413" s="161">
        <f>IF(Sales[[#This Row],[Status]]="Cancelled",0,Sales[[#This Row],[Total Amount]])</f>
        <v>5157.5439999999999</v>
      </c>
      <c r="S1413" s="162">
        <f>SUM(Sales[Net Amount])</f>
        <v>406839287.73200053</v>
      </c>
    </row>
    <row r="1414" spans="1:19" ht="18.75" x14ac:dyDescent="0.25">
      <c r="A1414" s="163" t="s">
        <v>5017</v>
      </c>
      <c r="B1414" s="164">
        <v>45851</v>
      </c>
      <c r="C1414" s="34" t="s">
        <v>702</v>
      </c>
      <c r="D1414" s="53" t="str">
        <f>VLOOKUP(Sales[[#This Row],[Customer ID]],Customer[#All],2,0)</f>
        <v>Amit Patel</v>
      </c>
      <c r="E1414" s="34" t="s">
        <v>479</v>
      </c>
      <c r="F1414" s="34" t="str">
        <f>VLOOKUP(Sales[[#This Row],[Product ID]],Product[#All],2,0)</f>
        <v>TP-link Router</v>
      </c>
      <c r="G1414" s="53">
        <v>4</v>
      </c>
      <c r="H1414" s="165">
        <f>VLOOKUP(Sales[[#This Row],[Product ID]],Product[#All],7,0)</f>
        <v>5740</v>
      </c>
      <c r="I1414" s="165">
        <f>Sales[[#This Row],[Selling Rate]]*Sales[[#This Row],[Qty]]</f>
        <v>22960</v>
      </c>
      <c r="J1414" s="45">
        <v>0.05</v>
      </c>
      <c r="K1414" s="46">
        <f>Sales[[#This Row],[Gross Amount]]*Sales[[#This Row],[Disc %]]</f>
        <v>1148</v>
      </c>
      <c r="L1414" s="43">
        <v>0.18</v>
      </c>
      <c r="M1414" s="46">
        <f>(Sales[[#This Row],[Gross Amount]]-Sales[[#This Row],[Disc. Amt.]])*Sales[[#This Row],[GST %]]</f>
        <v>3926.16</v>
      </c>
      <c r="N1414" s="161">
        <f>Sales[[#This Row],[Gross Amount]]-Sales[[#This Row],[Disc. Amt.]]+Sales[[#This Row],[GST Amount]]</f>
        <v>25738.16</v>
      </c>
      <c r="O1414" s="34" t="s">
        <v>3569</v>
      </c>
      <c r="P1414" s="34" t="s">
        <v>3562</v>
      </c>
      <c r="Q1414" s="165">
        <f>IF(Sales[[#This Row],[Status]]="Cancelled",0,Sales[[#This Row],[Qty]])</f>
        <v>4</v>
      </c>
      <c r="R1414" s="166">
        <f>IF(Sales[[#This Row],[Status]]="Cancelled",0,Sales[[#This Row],[Total Amount]])</f>
        <v>25738.16</v>
      </c>
      <c r="S1414" s="162">
        <f>SUM(Sales[Net Amount])</f>
        <v>406839287.73200053</v>
      </c>
    </row>
    <row r="1415" spans="1:19" ht="18.75" x14ac:dyDescent="0.25">
      <c r="A1415" s="156" t="s">
        <v>5018</v>
      </c>
      <c r="B1415" s="157">
        <v>45851</v>
      </c>
      <c r="C1415" s="158" t="s">
        <v>810</v>
      </c>
      <c r="D1415" s="159" t="str">
        <f>VLOOKUP(Sales[[#This Row],[Customer ID]],Customer[#All],2,0)</f>
        <v>Rahul Gupta</v>
      </c>
      <c r="E1415" s="158" t="s">
        <v>137</v>
      </c>
      <c r="F1415" s="158" t="str">
        <f>VLOOKUP(Sales[[#This Row],[Product ID]],Product[#All],2,0)</f>
        <v>Seagate HDD</v>
      </c>
      <c r="G1415" s="159">
        <v>1</v>
      </c>
      <c r="H1415" s="160">
        <f>VLOOKUP(Sales[[#This Row],[Product ID]],Product[#All],7,0)</f>
        <v>7940</v>
      </c>
      <c r="I1415" s="160">
        <f>Sales[[#This Row],[Selling Rate]]*Sales[[#This Row],[Qty]]</f>
        <v>7940</v>
      </c>
      <c r="J1415" s="43">
        <v>0.02</v>
      </c>
      <c r="K1415" s="44">
        <f>Sales[[#This Row],[Gross Amount]]*Sales[[#This Row],[Disc %]]</f>
        <v>158.80000000000001</v>
      </c>
      <c r="L1415" s="43">
        <v>0.18</v>
      </c>
      <c r="M1415" s="44">
        <f>(Sales[[#This Row],[Gross Amount]]-Sales[[#This Row],[Disc. Amt.]])*Sales[[#This Row],[GST %]]</f>
        <v>1400.616</v>
      </c>
      <c r="N1415" s="161">
        <f>Sales[[#This Row],[Gross Amount]]-Sales[[#This Row],[Disc. Amt.]]+Sales[[#This Row],[GST Amount]]</f>
        <v>9181.8159999999989</v>
      </c>
      <c r="O1415" s="158" t="s">
        <v>3569</v>
      </c>
      <c r="P1415" s="158" t="s">
        <v>3562</v>
      </c>
      <c r="Q1415" s="160">
        <f>IF(Sales[[#This Row],[Status]]="Cancelled",0,Sales[[#This Row],[Qty]])</f>
        <v>1</v>
      </c>
      <c r="R1415" s="161">
        <f>IF(Sales[[#This Row],[Status]]="Cancelled",0,Sales[[#This Row],[Total Amount]])</f>
        <v>9181.8159999999989</v>
      </c>
      <c r="S1415" s="162">
        <f>SUM(Sales[Net Amount])</f>
        <v>406839287.73200053</v>
      </c>
    </row>
    <row r="1416" spans="1:19" ht="18.75" x14ac:dyDescent="0.25">
      <c r="A1416" s="163" t="s">
        <v>5019</v>
      </c>
      <c r="B1416" s="164">
        <v>45851</v>
      </c>
      <c r="C1416" s="34" t="s">
        <v>874</v>
      </c>
      <c r="D1416" s="53" t="str">
        <f>VLOOKUP(Sales[[#This Row],[Customer ID]],Customer[#All],2,0)</f>
        <v>Vikas Sharma</v>
      </c>
      <c r="E1416" s="34" t="s">
        <v>89</v>
      </c>
      <c r="F1416" s="34" t="str">
        <f>VLOOKUP(Sales[[#This Row],[Product ID]],Product[#All],2,0)</f>
        <v>Portronics USB Cable</v>
      </c>
      <c r="G1416" s="53">
        <v>3</v>
      </c>
      <c r="H1416" s="165">
        <f>VLOOKUP(Sales[[#This Row],[Product ID]],Product[#All],7,0)</f>
        <v>390</v>
      </c>
      <c r="I1416" s="165">
        <f>Sales[[#This Row],[Selling Rate]]*Sales[[#This Row],[Qty]]</f>
        <v>1170</v>
      </c>
      <c r="J1416" s="45">
        <v>0.05</v>
      </c>
      <c r="K1416" s="46">
        <f>Sales[[#This Row],[Gross Amount]]*Sales[[#This Row],[Disc %]]</f>
        <v>58.5</v>
      </c>
      <c r="L1416" s="43">
        <v>0.18</v>
      </c>
      <c r="M1416" s="46">
        <f>(Sales[[#This Row],[Gross Amount]]-Sales[[#This Row],[Disc. Amt.]])*Sales[[#This Row],[GST %]]</f>
        <v>200.07</v>
      </c>
      <c r="N1416" s="161">
        <f>Sales[[#This Row],[Gross Amount]]-Sales[[#This Row],[Disc. Amt.]]+Sales[[#This Row],[GST Amount]]</f>
        <v>1311.57</v>
      </c>
      <c r="O1416" s="34" t="s">
        <v>8876</v>
      </c>
      <c r="P1416" s="34" t="s">
        <v>3562</v>
      </c>
      <c r="Q1416" s="165">
        <f>IF(Sales[[#This Row],[Status]]="Cancelled",0,Sales[[#This Row],[Qty]])</f>
        <v>3</v>
      </c>
      <c r="R1416" s="166">
        <f>IF(Sales[[#This Row],[Status]]="Cancelled",0,Sales[[#This Row],[Total Amount]])</f>
        <v>1311.57</v>
      </c>
      <c r="S1416" s="162">
        <f>SUM(Sales[Net Amount])</f>
        <v>406839287.73200053</v>
      </c>
    </row>
    <row r="1417" spans="1:19" ht="18.75" x14ac:dyDescent="0.25">
      <c r="A1417" s="156" t="s">
        <v>5020</v>
      </c>
      <c r="B1417" s="157">
        <v>45851</v>
      </c>
      <c r="C1417" s="158" t="s">
        <v>846</v>
      </c>
      <c r="D1417" s="159" t="str">
        <f>VLOOKUP(Sales[[#This Row],[Customer ID]],Customer[#All],2,0)</f>
        <v>Ankit Patel</v>
      </c>
      <c r="E1417" s="158" t="s">
        <v>212</v>
      </c>
      <c r="F1417" s="158" t="str">
        <f>VLOOKUP(Sales[[#This Row],[Product ID]],Product[#All],2,0)</f>
        <v>Jbl Headset</v>
      </c>
      <c r="G1417" s="159">
        <v>5</v>
      </c>
      <c r="H1417" s="160">
        <f>VLOOKUP(Sales[[#This Row],[Product ID]],Product[#All],7,0)</f>
        <v>1230</v>
      </c>
      <c r="I1417" s="160">
        <f>Sales[[#This Row],[Selling Rate]]*Sales[[#This Row],[Qty]]</f>
        <v>6150</v>
      </c>
      <c r="J1417" s="43">
        <v>0.05</v>
      </c>
      <c r="K1417" s="44">
        <f>Sales[[#This Row],[Gross Amount]]*Sales[[#This Row],[Disc %]]</f>
        <v>307.5</v>
      </c>
      <c r="L1417" s="43">
        <v>0.18</v>
      </c>
      <c r="M1417" s="44">
        <f>(Sales[[#This Row],[Gross Amount]]-Sales[[#This Row],[Disc. Amt.]])*Sales[[#This Row],[GST %]]</f>
        <v>1051.6499999999999</v>
      </c>
      <c r="N1417" s="161">
        <f>Sales[[#This Row],[Gross Amount]]-Sales[[#This Row],[Disc. Amt.]]+Sales[[#This Row],[GST Amount]]</f>
        <v>6894.15</v>
      </c>
      <c r="O1417" s="158" t="s">
        <v>3569</v>
      </c>
      <c r="P1417" s="158" t="s">
        <v>3562</v>
      </c>
      <c r="Q1417" s="160">
        <f>IF(Sales[[#This Row],[Status]]="Cancelled",0,Sales[[#This Row],[Qty]])</f>
        <v>5</v>
      </c>
      <c r="R1417" s="161">
        <f>IF(Sales[[#This Row],[Status]]="Cancelled",0,Sales[[#This Row],[Total Amount]])</f>
        <v>6894.15</v>
      </c>
      <c r="S1417" s="162">
        <f>SUM(Sales[Net Amount])</f>
        <v>406839287.73200053</v>
      </c>
    </row>
    <row r="1418" spans="1:19" ht="18.75" x14ac:dyDescent="0.25">
      <c r="A1418" s="163" t="s">
        <v>5021</v>
      </c>
      <c r="B1418" s="164">
        <v>45851</v>
      </c>
      <c r="C1418" s="34" t="s">
        <v>827</v>
      </c>
      <c r="D1418" s="53" t="str">
        <f>VLOOKUP(Sales[[#This Row],[Customer ID]],Customer[#All],2,0)</f>
        <v>Ankit Gupta</v>
      </c>
      <c r="E1418" s="34" t="s">
        <v>473</v>
      </c>
      <c r="F1418" s="34" t="str">
        <f>VLOOKUP(Sales[[#This Row],[Product ID]],Product[#All],2,0)</f>
        <v>Boat Headset</v>
      </c>
      <c r="G1418" s="53">
        <v>4</v>
      </c>
      <c r="H1418" s="165">
        <f>VLOOKUP(Sales[[#This Row],[Product ID]],Product[#All],7,0)</f>
        <v>2840</v>
      </c>
      <c r="I1418" s="165">
        <f>Sales[[#This Row],[Selling Rate]]*Sales[[#This Row],[Qty]]</f>
        <v>11360</v>
      </c>
      <c r="J1418" s="45">
        <v>0.12</v>
      </c>
      <c r="K1418" s="46">
        <f>Sales[[#This Row],[Gross Amount]]*Sales[[#This Row],[Disc %]]</f>
        <v>1363.2</v>
      </c>
      <c r="L1418" s="43">
        <v>0.18</v>
      </c>
      <c r="M1418" s="46">
        <f>(Sales[[#This Row],[Gross Amount]]-Sales[[#This Row],[Disc. Amt.]])*Sales[[#This Row],[GST %]]</f>
        <v>1799.4239999999998</v>
      </c>
      <c r="N1418" s="161">
        <f>Sales[[#This Row],[Gross Amount]]-Sales[[#This Row],[Disc. Amt.]]+Sales[[#This Row],[GST Amount]]</f>
        <v>11796.223999999998</v>
      </c>
      <c r="O1418" s="34" t="s">
        <v>3566</v>
      </c>
      <c r="P1418" s="34" t="s">
        <v>3562</v>
      </c>
      <c r="Q1418" s="165">
        <f>IF(Sales[[#This Row],[Status]]="Cancelled",0,Sales[[#This Row],[Qty]])</f>
        <v>4</v>
      </c>
      <c r="R1418" s="166">
        <f>IF(Sales[[#This Row],[Status]]="Cancelled",0,Sales[[#This Row],[Total Amount]])</f>
        <v>11796.223999999998</v>
      </c>
      <c r="S1418" s="162">
        <f>SUM(Sales[Net Amount])</f>
        <v>406839287.73200053</v>
      </c>
    </row>
    <row r="1419" spans="1:19" ht="18.75" x14ac:dyDescent="0.25">
      <c r="A1419" s="156" t="s">
        <v>5022</v>
      </c>
      <c r="B1419" s="157">
        <v>45851</v>
      </c>
      <c r="C1419" s="158" t="s">
        <v>756</v>
      </c>
      <c r="D1419" s="159" t="str">
        <f>VLOOKUP(Sales[[#This Row],[Customer ID]],Customer[#All],2,0)</f>
        <v>Amit Patel</v>
      </c>
      <c r="E1419" s="158" t="s">
        <v>515</v>
      </c>
      <c r="F1419" s="158" t="str">
        <f>VLOOKUP(Sales[[#This Row],[Product ID]],Product[#All],2,0)</f>
        <v>HP Mouse</v>
      </c>
      <c r="G1419" s="159">
        <v>4</v>
      </c>
      <c r="H1419" s="160">
        <f>VLOOKUP(Sales[[#This Row],[Product ID]],Product[#All],7,0)</f>
        <v>2520</v>
      </c>
      <c r="I1419" s="160">
        <f>Sales[[#This Row],[Selling Rate]]*Sales[[#This Row],[Qty]]</f>
        <v>10080</v>
      </c>
      <c r="J1419" s="43">
        <v>0.12</v>
      </c>
      <c r="K1419" s="44">
        <f>Sales[[#This Row],[Gross Amount]]*Sales[[#This Row],[Disc %]]</f>
        <v>1209.5999999999999</v>
      </c>
      <c r="L1419" s="43">
        <v>0.18</v>
      </c>
      <c r="M1419" s="44">
        <f>(Sales[[#This Row],[Gross Amount]]-Sales[[#This Row],[Disc. Amt.]])*Sales[[#This Row],[GST %]]</f>
        <v>1596.6719999999998</v>
      </c>
      <c r="N1419" s="161">
        <f>Sales[[#This Row],[Gross Amount]]-Sales[[#This Row],[Disc. Amt.]]+Sales[[#This Row],[GST Amount]]</f>
        <v>10467.072</v>
      </c>
      <c r="O1419" s="158" t="s">
        <v>8876</v>
      </c>
      <c r="P1419" s="158" t="s">
        <v>3562</v>
      </c>
      <c r="Q1419" s="160">
        <f>IF(Sales[[#This Row],[Status]]="Cancelled",0,Sales[[#This Row],[Qty]])</f>
        <v>4</v>
      </c>
      <c r="R1419" s="161">
        <f>IF(Sales[[#This Row],[Status]]="Cancelled",0,Sales[[#This Row],[Total Amount]])</f>
        <v>10467.072</v>
      </c>
      <c r="S1419" s="162">
        <f>SUM(Sales[Net Amount])</f>
        <v>406839287.73200053</v>
      </c>
    </row>
    <row r="1420" spans="1:19" ht="18.75" x14ac:dyDescent="0.25">
      <c r="A1420" s="163" t="s">
        <v>5023</v>
      </c>
      <c r="B1420" s="164">
        <v>45851</v>
      </c>
      <c r="C1420" s="34" t="s">
        <v>880</v>
      </c>
      <c r="D1420" s="53" t="str">
        <f>VLOOKUP(Sales[[#This Row],[Customer ID]],Customer[#All],2,0)</f>
        <v>Rahul Sharma</v>
      </c>
      <c r="E1420" s="34" t="s">
        <v>205</v>
      </c>
      <c r="F1420" s="34" t="str">
        <f>VLOOKUP(Sales[[#This Row],[Product ID]],Product[#All],2,0)</f>
        <v>HP Power Adapter</v>
      </c>
      <c r="G1420" s="53">
        <v>1</v>
      </c>
      <c r="H1420" s="165">
        <f>VLOOKUP(Sales[[#This Row],[Product ID]],Product[#All],7,0)</f>
        <v>4820</v>
      </c>
      <c r="I1420" s="165">
        <f>Sales[[#This Row],[Selling Rate]]*Sales[[#This Row],[Qty]]</f>
        <v>4820</v>
      </c>
      <c r="J1420" s="45">
        <v>0.05</v>
      </c>
      <c r="K1420" s="46">
        <f>Sales[[#This Row],[Gross Amount]]*Sales[[#This Row],[Disc %]]</f>
        <v>241</v>
      </c>
      <c r="L1420" s="43">
        <v>0.18</v>
      </c>
      <c r="M1420" s="46">
        <f>(Sales[[#This Row],[Gross Amount]]-Sales[[#This Row],[Disc. Amt.]])*Sales[[#This Row],[GST %]]</f>
        <v>824.21999999999991</v>
      </c>
      <c r="N1420" s="161">
        <f>Sales[[#This Row],[Gross Amount]]-Sales[[#This Row],[Disc. Amt.]]+Sales[[#This Row],[GST Amount]]</f>
        <v>5403.22</v>
      </c>
      <c r="O1420" s="34" t="s">
        <v>3566</v>
      </c>
      <c r="P1420" s="34" t="s">
        <v>3562</v>
      </c>
      <c r="Q1420" s="165">
        <f>IF(Sales[[#This Row],[Status]]="Cancelled",0,Sales[[#This Row],[Qty]])</f>
        <v>1</v>
      </c>
      <c r="R1420" s="166">
        <f>IF(Sales[[#This Row],[Status]]="Cancelled",0,Sales[[#This Row],[Total Amount]])</f>
        <v>5403.22</v>
      </c>
      <c r="S1420" s="162">
        <f>SUM(Sales[Net Amount])</f>
        <v>406839287.73200053</v>
      </c>
    </row>
    <row r="1421" spans="1:19" ht="18.75" x14ac:dyDescent="0.25">
      <c r="A1421" s="156" t="s">
        <v>5024</v>
      </c>
      <c r="B1421" s="157">
        <v>45851</v>
      </c>
      <c r="C1421" s="158" t="s">
        <v>951</v>
      </c>
      <c r="D1421" s="159" t="str">
        <f>VLOOKUP(Sales[[#This Row],[Customer ID]],Customer[#All],2,0)</f>
        <v>Rahul Singh</v>
      </c>
      <c r="E1421" s="158" t="s">
        <v>365</v>
      </c>
      <c r="F1421" s="158" t="str">
        <f>VLOOKUP(Sales[[#This Row],[Product ID]],Product[#All],2,0)</f>
        <v>TP-link Bluetooth Adapter</v>
      </c>
      <c r="G1421" s="159">
        <v>7</v>
      </c>
      <c r="H1421" s="160">
        <f>VLOOKUP(Sales[[#This Row],[Product ID]],Product[#All],7,0)</f>
        <v>2120</v>
      </c>
      <c r="I1421" s="160">
        <f>Sales[[#This Row],[Selling Rate]]*Sales[[#This Row],[Qty]]</f>
        <v>14840</v>
      </c>
      <c r="J1421" s="43">
        <v>0</v>
      </c>
      <c r="K1421" s="44">
        <f>Sales[[#This Row],[Gross Amount]]*Sales[[#This Row],[Disc %]]</f>
        <v>0</v>
      </c>
      <c r="L1421" s="43">
        <v>0.18</v>
      </c>
      <c r="M1421" s="44">
        <f>(Sales[[#This Row],[Gross Amount]]-Sales[[#This Row],[Disc. Amt.]])*Sales[[#This Row],[GST %]]</f>
        <v>2671.2</v>
      </c>
      <c r="N1421" s="161">
        <f>Sales[[#This Row],[Gross Amount]]-Sales[[#This Row],[Disc. Amt.]]+Sales[[#This Row],[GST Amount]]</f>
        <v>17511.2</v>
      </c>
      <c r="O1421" s="158" t="s">
        <v>8876</v>
      </c>
      <c r="P1421" s="158" t="s">
        <v>3562</v>
      </c>
      <c r="Q1421" s="160">
        <f>IF(Sales[[#This Row],[Status]]="Cancelled",0,Sales[[#This Row],[Qty]])</f>
        <v>7</v>
      </c>
      <c r="R1421" s="161">
        <f>IF(Sales[[#This Row],[Status]]="Cancelled",0,Sales[[#This Row],[Total Amount]])</f>
        <v>17511.2</v>
      </c>
      <c r="S1421" s="162">
        <f>SUM(Sales[Net Amount])</f>
        <v>406839287.73200053</v>
      </c>
    </row>
    <row r="1422" spans="1:19" ht="18.75" x14ac:dyDescent="0.25">
      <c r="A1422" s="163" t="s">
        <v>5025</v>
      </c>
      <c r="B1422" s="164">
        <v>45851</v>
      </c>
      <c r="C1422" s="34" t="s">
        <v>669</v>
      </c>
      <c r="D1422" s="53" t="str">
        <f>VLOOKUP(Sales[[#This Row],[Customer ID]],Customer[#All],2,0)</f>
        <v>Sahil Kumar</v>
      </c>
      <c r="E1422" s="34" t="s">
        <v>394</v>
      </c>
      <c r="F1422" s="34" t="str">
        <f>VLOOKUP(Sales[[#This Row],[Product ID]],Product[#All],2,0)</f>
        <v>Boat Speaker</v>
      </c>
      <c r="G1422" s="53">
        <v>4</v>
      </c>
      <c r="H1422" s="165">
        <f>VLOOKUP(Sales[[#This Row],[Product ID]],Product[#All],7,0)</f>
        <v>1720</v>
      </c>
      <c r="I1422" s="165">
        <f>Sales[[#This Row],[Selling Rate]]*Sales[[#This Row],[Qty]]</f>
        <v>6880</v>
      </c>
      <c r="J1422" s="45">
        <v>0.15</v>
      </c>
      <c r="K1422" s="46">
        <f>Sales[[#This Row],[Gross Amount]]*Sales[[#This Row],[Disc %]]</f>
        <v>1032</v>
      </c>
      <c r="L1422" s="43">
        <v>0.18</v>
      </c>
      <c r="M1422" s="46">
        <f>(Sales[[#This Row],[Gross Amount]]-Sales[[#This Row],[Disc. Amt.]])*Sales[[#This Row],[GST %]]</f>
        <v>1052.6399999999999</v>
      </c>
      <c r="N1422" s="161">
        <f>Sales[[#This Row],[Gross Amount]]-Sales[[#This Row],[Disc. Amt.]]+Sales[[#This Row],[GST Amount]]</f>
        <v>6900.6399999999994</v>
      </c>
      <c r="O1422" s="34" t="s">
        <v>3566</v>
      </c>
      <c r="P1422" s="34" t="s">
        <v>3562</v>
      </c>
      <c r="Q1422" s="165">
        <f>IF(Sales[[#This Row],[Status]]="Cancelled",0,Sales[[#This Row],[Qty]])</f>
        <v>4</v>
      </c>
      <c r="R1422" s="166">
        <f>IF(Sales[[#This Row],[Status]]="Cancelled",0,Sales[[#This Row],[Total Amount]])</f>
        <v>6900.6399999999994</v>
      </c>
      <c r="S1422" s="162">
        <f>SUM(Sales[Net Amount])</f>
        <v>406839287.73200053</v>
      </c>
    </row>
    <row r="1423" spans="1:19" ht="18.75" x14ac:dyDescent="0.25">
      <c r="A1423" s="156" t="s">
        <v>5026</v>
      </c>
      <c r="B1423" s="157">
        <v>45851</v>
      </c>
      <c r="C1423" s="158" t="s">
        <v>892</v>
      </c>
      <c r="D1423" s="159" t="str">
        <f>VLOOKUP(Sales[[#This Row],[Customer ID]],Customer[#All],2,0)</f>
        <v>Sahil Verma</v>
      </c>
      <c r="E1423" s="158" t="s">
        <v>160</v>
      </c>
      <c r="F1423" s="158" t="str">
        <f>VLOOKUP(Sales[[#This Row],[Product ID]],Product[#All],2,0)</f>
        <v>Dell Power Adapter</v>
      </c>
      <c r="G1423" s="159">
        <v>8</v>
      </c>
      <c r="H1423" s="160">
        <f>VLOOKUP(Sales[[#This Row],[Product ID]],Product[#All],7,0)</f>
        <v>4330</v>
      </c>
      <c r="I1423" s="160">
        <f>Sales[[#This Row],[Selling Rate]]*Sales[[#This Row],[Qty]]</f>
        <v>34640</v>
      </c>
      <c r="J1423" s="43">
        <v>0.05</v>
      </c>
      <c r="K1423" s="44">
        <f>Sales[[#This Row],[Gross Amount]]*Sales[[#This Row],[Disc %]]</f>
        <v>1732</v>
      </c>
      <c r="L1423" s="43">
        <v>0.18</v>
      </c>
      <c r="M1423" s="44">
        <f>(Sales[[#This Row],[Gross Amount]]-Sales[[#This Row],[Disc. Amt.]])*Sales[[#This Row],[GST %]]</f>
        <v>5923.44</v>
      </c>
      <c r="N1423" s="161">
        <f>Sales[[#This Row],[Gross Amount]]-Sales[[#This Row],[Disc. Amt.]]+Sales[[#This Row],[GST Amount]]</f>
        <v>38831.440000000002</v>
      </c>
      <c r="O1423" s="158" t="s">
        <v>8876</v>
      </c>
      <c r="P1423" s="158" t="s">
        <v>3562</v>
      </c>
      <c r="Q1423" s="160">
        <f>IF(Sales[[#This Row],[Status]]="Cancelled",0,Sales[[#This Row],[Qty]])</f>
        <v>8</v>
      </c>
      <c r="R1423" s="161">
        <f>IF(Sales[[#This Row],[Status]]="Cancelled",0,Sales[[#This Row],[Total Amount]])</f>
        <v>38831.440000000002</v>
      </c>
      <c r="S1423" s="162">
        <f>SUM(Sales[Net Amount])</f>
        <v>406839287.73200053</v>
      </c>
    </row>
    <row r="1424" spans="1:19" ht="18.75" x14ac:dyDescent="0.25">
      <c r="A1424" s="163" t="s">
        <v>5027</v>
      </c>
      <c r="B1424" s="164">
        <v>45851</v>
      </c>
      <c r="C1424" s="34" t="s">
        <v>5028</v>
      </c>
      <c r="D1424" s="53" t="str">
        <f>VLOOKUP(Sales[[#This Row],[Customer ID]],Customer[#All],2,0)</f>
        <v>Neha Singh</v>
      </c>
      <c r="E1424" s="34" t="s">
        <v>141</v>
      </c>
      <c r="F1424" s="34" t="str">
        <f>VLOOKUP(Sales[[#This Row],[Product ID]],Product[#All],2,0)</f>
        <v>WD HDD</v>
      </c>
      <c r="G1424" s="53">
        <v>6</v>
      </c>
      <c r="H1424" s="165">
        <f>VLOOKUP(Sales[[#This Row],[Product ID]],Product[#All],7,0)</f>
        <v>15230</v>
      </c>
      <c r="I1424" s="165">
        <f>Sales[[#This Row],[Selling Rate]]*Sales[[#This Row],[Qty]]</f>
        <v>91380</v>
      </c>
      <c r="J1424" s="45">
        <v>0.05</v>
      </c>
      <c r="K1424" s="46">
        <f>Sales[[#This Row],[Gross Amount]]*Sales[[#This Row],[Disc %]]</f>
        <v>4569</v>
      </c>
      <c r="L1424" s="43">
        <v>0.18</v>
      </c>
      <c r="M1424" s="46">
        <f>(Sales[[#This Row],[Gross Amount]]-Sales[[#This Row],[Disc. Amt.]])*Sales[[#This Row],[GST %]]</f>
        <v>15625.98</v>
      </c>
      <c r="N1424" s="161">
        <f>Sales[[#This Row],[Gross Amount]]-Sales[[#This Row],[Disc. Amt.]]+Sales[[#This Row],[GST Amount]]</f>
        <v>102436.98</v>
      </c>
      <c r="O1424" s="34" t="s">
        <v>8876</v>
      </c>
      <c r="P1424" s="34" t="s">
        <v>3562</v>
      </c>
      <c r="Q1424" s="165">
        <f>IF(Sales[[#This Row],[Status]]="Cancelled",0,Sales[[#This Row],[Qty]])</f>
        <v>6</v>
      </c>
      <c r="R1424" s="166">
        <f>IF(Sales[[#This Row],[Status]]="Cancelled",0,Sales[[#This Row],[Total Amount]])</f>
        <v>102436.98</v>
      </c>
      <c r="S1424" s="162">
        <f>SUM(Sales[Net Amount])</f>
        <v>406839287.73200053</v>
      </c>
    </row>
    <row r="1425" spans="1:19" ht="18.75" x14ac:dyDescent="0.25">
      <c r="A1425" s="156" t="s">
        <v>5029</v>
      </c>
      <c r="B1425" s="157">
        <v>45851</v>
      </c>
      <c r="C1425" s="158" t="s">
        <v>797</v>
      </c>
      <c r="D1425" s="159" t="str">
        <f>VLOOKUP(Sales[[#This Row],[Customer ID]],Customer[#All],2,0)</f>
        <v>Ankit Gupta</v>
      </c>
      <c r="E1425" s="158" t="s">
        <v>457</v>
      </c>
      <c r="F1425" s="158" t="str">
        <f>VLOOKUP(Sales[[#This Row],[Product ID]],Product[#All],2,0)</f>
        <v>Dell Monitor</v>
      </c>
      <c r="G1425" s="159">
        <v>8</v>
      </c>
      <c r="H1425" s="160">
        <f>VLOOKUP(Sales[[#This Row],[Product ID]],Product[#All],7,0)</f>
        <v>25230</v>
      </c>
      <c r="I1425" s="160">
        <f>Sales[[#This Row],[Selling Rate]]*Sales[[#This Row],[Qty]]</f>
        <v>201840</v>
      </c>
      <c r="J1425" s="43">
        <v>0.02</v>
      </c>
      <c r="K1425" s="44">
        <f>Sales[[#This Row],[Gross Amount]]*Sales[[#This Row],[Disc %]]</f>
        <v>4036.8</v>
      </c>
      <c r="L1425" s="43">
        <v>0.18</v>
      </c>
      <c r="M1425" s="44">
        <f>(Sales[[#This Row],[Gross Amount]]-Sales[[#This Row],[Disc. Amt.]])*Sales[[#This Row],[GST %]]</f>
        <v>35604.576000000001</v>
      </c>
      <c r="N1425" s="161">
        <f>Sales[[#This Row],[Gross Amount]]-Sales[[#This Row],[Disc. Amt.]]+Sales[[#This Row],[GST Amount]]</f>
        <v>233407.77600000001</v>
      </c>
      <c r="O1425" s="158" t="s">
        <v>3561</v>
      </c>
      <c r="P1425" s="158" t="s">
        <v>3562</v>
      </c>
      <c r="Q1425" s="160">
        <f>IF(Sales[[#This Row],[Status]]="Cancelled",0,Sales[[#This Row],[Qty]])</f>
        <v>8</v>
      </c>
      <c r="R1425" s="161">
        <f>IF(Sales[[#This Row],[Status]]="Cancelled",0,Sales[[#This Row],[Total Amount]])</f>
        <v>233407.77600000001</v>
      </c>
      <c r="S1425" s="162">
        <f>SUM(Sales[Net Amount])</f>
        <v>406839287.73200053</v>
      </c>
    </row>
    <row r="1426" spans="1:19" ht="18.75" x14ac:dyDescent="0.25">
      <c r="A1426" s="163" t="s">
        <v>5030</v>
      </c>
      <c r="B1426" s="164">
        <v>45851</v>
      </c>
      <c r="C1426" s="34" t="s">
        <v>948</v>
      </c>
      <c r="D1426" s="53" t="str">
        <f>VLOOKUP(Sales[[#This Row],[Customer ID]],Customer[#All],2,0)</f>
        <v>Pooja Patel</v>
      </c>
      <c r="E1426" s="34" t="s">
        <v>413</v>
      </c>
      <c r="F1426" s="34" t="str">
        <f>VLOOKUP(Sales[[#This Row],[Product ID]],Product[#All],2,0)</f>
        <v>Crucial Ssd</v>
      </c>
      <c r="G1426" s="53">
        <v>3</v>
      </c>
      <c r="H1426" s="165">
        <f>VLOOKUP(Sales[[#This Row],[Product ID]],Product[#All],7,0)</f>
        <v>10780</v>
      </c>
      <c r="I1426" s="165">
        <f>Sales[[#This Row],[Selling Rate]]*Sales[[#This Row],[Qty]]</f>
        <v>32340</v>
      </c>
      <c r="J1426" s="45">
        <v>0</v>
      </c>
      <c r="K1426" s="46">
        <f>Sales[[#This Row],[Gross Amount]]*Sales[[#This Row],[Disc %]]</f>
        <v>0</v>
      </c>
      <c r="L1426" s="43">
        <v>0.18</v>
      </c>
      <c r="M1426" s="46">
        <f>(Sales[[#This Row],[Gross Amount]]-Sales[[#This Row],[Disc. Amt.]])*Sales[[#This Row],[GST %]]</f>
        <v>5821.2</v>
      </c>
      <c r="N1426" s="161">
        <f>Sales[[#This Row],[Gross Amount]]-Sales[[#This Row],[Disc. Amt.]]+Sales[[#This Row],[GST Amount]]</f>
        <v>38161.199999999997</v>
      </c>
      <c r="O1426" s="34" t="s">
        <v>3569</v>
      </c>
      <c r="P1426" s="34" t="s">
        <v>3562</v>
      </c>
      <c r="Q1426" s="165">
        <f>IF(Sales[[#This Row],[Status]]="Cancelled",0,Sales[[#This Row],[Qty]])</f>
        <v>3</v>
      </c>
      <c r="R1426" s="166">
        <f>IF(Sales[[#This Row],[Status]]="Cancelled",0,Sales[[#This Row],[Total Amount]])</f>
        <v>38161.199999999997</v>
      </c>
      <c r="S1426" s="162">
        <f>SUM(Sales[Net Amount])</f>
        <v>406839287.73200053</v>
      </c>
    </row>
    <row r="1427" spans="1:19" ht="18.75" x14ac:dyDescent="0.25">
      <c r="A1427" s="156" t="s">
        <v>5031</v>
      </c>
      <c r="B1427" s="157">
        <v>45851</v>
      </c>
      <c r="C1427" s="158" t="s">
        <v>930</v>
      </c>
      <c r="D1427" s="159" t="str">
        <f>VLOOKUP(Sales[[#This Row],[Customer ID]],Customer[#All],2,0)</f>
        <v>Rakesh Gupta</v>
      </c>
      <c r="E1427" s="158" t="s">
        <v>424</v>
      </c>
      <c r="F1427" s="158" t="str">
        <f>VLOOKUP(Sales[[#This Row],[Product ID]],Product[#All],2,0)</f>
        <v>TP-link Wi-Fi Adapter</v>
      </c>
      <c r="G1427" s="159">
        <v>5</v>
      </c>
      <c r="H1427" s="160">
        <f>VLOOKUP(Sales[[#This Row],[Product ID]],Product[#All],7,0)</f>
        <v>690</v>
      </c>
      <c r="I1427" s="160">
        <f>Sales[[#This Row],[Selling Rate]]*Sales[[#This Row],[Qty]]</f>
        <v>3450</v>
      </c>
      <c r="J1427" s="43">
        <v>0</v>
      </c>
      <c r="K1427" s="44">
        <f>Sales[[#This Row],[Gross Amount]]*Sales[[#This Row],[Disc %]]</f>
        <v>0</v>
      </c>
      <c r="L1427" s="43">
        <v>0.18</v>
      </c>
      <c r="M1427" s="44">
        <f>(Sales[[#This Row],[Gross Amount]]-Sales[[#This Row],[Disc. Amt.]])*Sales[[#This Row],[GST %]]</f>
        <v>621</v>
      </c>
      <c r="N1427" s="161">
        <f>Sales[[#This Row],[Gross Amount]]-Sales[[#This Row],[Disc. Amt.]]+Sales[[#This Row],[GST Amount]]</f>
        <v>4071</v>
      </c>
      <c r="O1427" s="158" t="s">
        <v>3569</v>
      </c>
      <c r="P1427" s="158" t="s">
        <v>3562</v>
      </c>
      <c r="Q1427" s="160">
        <f>IF(Sales[[#This Row],[Status]]="Cancelled",0,Sales[[#This Row],[Qty]])</f>
        <v>5</v>
      </c>
      <c r="R1427" s="161">
        <f>IF(Sales[[#This Row],[Status]]="Cancelled",0,Sales[[#This Row],[Total Amount]])</f>
        <v>4071</v>
      </c>
      <c r="S1427" s="162">
        <f>SUM(Sales[Net Amount])</f>
        <v>406839287.73200053</v>
      </c>
    </row>
    <row r="1428" spans="1:19" ht="18.75" x14ac:dyDescent="0.25">
      <c r="A1428" s="163" t="s">
        <v>5032</v>
      </c>
      <c r="B1428" s="164">
        <v>45851</v>
      </c>
      <c r="C1428" s="34" t="s">
        <v>892</v>
      </c>
      <c r="D1428" s="53" t="str">
        <f>VLOOKUP(Sales[[#This Row],[Customer ID]],Customer[#All],2,0)</f>
        <v>Sahil Verma</v>
      </c>
      <c r="E1428" s="34" t="s">
        <v>494</v>
      </c>
      <c r="F1428" s="34" t="str">
        <f>VLOOKUP(Sales[[#This Row],[Product ID]],Product[#All],2,0)</f>
        <v>Logitech Mouse</v>
      </c>
      <c r="G1428" s="53">
        <v>3</v>
      </c>
      <c r="H1428" s="165">
        <f>VLOOKUP(Sales[[#This Row],[Product ID]],Product[#All],7,0)</f>
        <v>660</v>
      </c>
      <c r="I1428" s="165">
        <f>Sales[[#This Row],[Selling Rate]]*Sales[[#This Row],[Qty]]</f>
        <v>1980</v>
      </c>
      <c r="J1428" s="45">
        <v>0.12</v>
      </c>
      <c r="K1428" s="46">
        <f>Sales[[#This Row],[Gross Amount]]*Sales[[#This Row],[Disc %]]</f>
        <v>237.6</v>
      </c>
      <c r="L1428" s="43">
        <v>0.18</v>
      </c>
      <c r="M1428" s="46">
        <f>(Sales[[#This Row],[Gross Amount]]-Sales[[#This Row],[Disc. Amt.]])*Sales[[#This Row],[GST %]]</f>
        <v>313.63200000000001</v>
      </c>
      <c r="N1428" s="161">
        <f>Sales[[#This Row],[Gross Amount]]-Sales[[#This Row],[Disc. Amt.]]+Sales[[#This Row],[GST Amount]]</f>
        <v>2056.0320000000002</v>
      </c>
      <c r="O1428" s="34" t="s">
        <v>3566</v>
      </c>
      <c r="P1428" s="34" t="s">
        <v>3562</v>
      </c>
      <c r="Q1428" s="165">
        <f>IF(Sales[[#This Row],[Status]]="Cancelled",0,Sales[[#This Row],[Qty]])</f>
        <v>3</v>
      </c>
      <c r="R1428" s="166">
        <f>IF(Sales[[#This Row],[Status]]="Cancelled",0,Sales[[#This Row],[Total Amount]])</f>
        <v>2056.0320000000002</v>
      </c>
      <c r="S1428" s="162">
        <f>SUM(Sales[Net Amount])</f>
        <v>406839287.73200053</v>
      </c>
    </row>
    <row r="1429" spans="1:19" ht="18.75" x14ac:dyDescent="0.25">
      <c r="A1429" s="156" t="s">
        <v>5033</v>
      </c>
      <c r="B1429" s="157">
        <v>45851</v>
      </c>
      <c r="C1429" s="158" t="s">
        <v>673</v>
      </c>
      <c r="D1429" s="159" t="str">
        <f>VLOOKUP(Sales[[#This Row],[Customer ID]],Customer[#All],2,0)</f>
        <v>Sunita Gupta</v>
      </c>
      <c r="E1429" s="158" t="s">
        <v>460</v>
      </c>
      <c r="F1429" s="158" t="str">
        <f>VLOOKUP(Sales[[#This Row],[Product ID]],Product[#All],2,0)</f>
        <v>Logitech Keyboard</v>
      </c>
      <c r="G1429" s="159">
        <v>3</v>
      </c>
      <c r="H1429" s="160">
        <f>VLOOKUP(Sales[[#This Row],[Product ID]],Product[#All],7,0)</f>
        <v>3050</v>
      </c>
      <c r="I1429" s="160">
        <f>Sales[[#This Row],[Selling Rate]]*Sales[[#This Row],[Qty]]</f>
        <v>9150</v>
      </c>
      <c r="J1429" s="43">
        <v>0.05</v>
      </c>
      <c r="K1429" s="44">
        <f>Sales[[#This Row],[Gross Amount]]*Sales[[#This Row],[Disc %]]</f>
        <v>457.5</v>
      </c>
      <c r="L1429" s="43">
        <v>0.18</v>
      </c>
      <c r="M1429" s="44">
        <f>(Sales[[#This Row],[Gross Amount]]-Sales[[#This Row],[Disc. Amt.]])*Sales[[#This Row],[GST %]]</f>
        <v>1564.6499999999999</v>
      </c>
      <c r="N1429" s="161">
        <f>Sales[[#This Row],[Gross Amount]]-Sales[[#This Row],[Disc. Amt.]]+Sales[[#This Row],[GST Amount]]</f>
        <v>10257.15</v>
      </c>
      <c r="O1429" s="158" t="s">
        <v>3569</v>
      </c>
      <c r="P1429" s="158" t="s">
        <v>3562</v>
      </c>
      <c r="Q1429" s="160">
        <f>IF(Sales[[#This Row],[Status]]="Cancelled",0,Sales[[#This Row],[Qty]])</f>
        <v>3</v>
      </c>
      <c r="R1429" s="161">
        <f>IF(Sales[[#This Row],[Status]]="Cancelled",0,Sales[[#This Row],[Total Amount]])</f>
        <v>10257.15</v>
      </c>
      <c r="S1429" s="162">
        <f>SUM(Sales[Net Amount])</f>
        <v>406839287.73200053</v>
      </c>
    </row>
    <row r="1430" spans="1:19" ht="18.75" x14ac:dyDescent="0.25">
      <c r="A1430" s="163" t="s">
        <v>5034</v>
      </c>
      <c r="B1430" s="164">
        <v>45851</v>
      </c>
      <c r="C1430" s="34" t="s">
        <v>777</v>
      </c>
      <c r="D1430" s="53" t="str">
        <f>VLOOKUP(Sales[[#This Row],[Customer ID]],Customer[#All],2,0)</f>
        <v>Neha Sharma</v>
      </c>
      <c r="E1430" s="34" t="s">
        <v>193</v>
      </c>
      <c r="F1430" s="34" t="str">
        <f>VLOOKUP(Sales[[#This Row],[Product ID]],Product[#All],2,0)</f>
        <v>Apc UPS</v>
      </c>
      <c r="G1430" s="53">
        <v>8</v>
      </c>
      <c r="H1430" s="165">
        <f>VLOOKUP(Sales[[#This Row],[Product ID]],Product[#All],7,0)</f>
        <v>18760</v>
      </c>
      <c r="I1430" s="165">
        <f>Sales[[#This Row],[Selling Rate]]*Sales[[#This Row],[Qty]]</f>
        <v>150080</v>
      </c>
      <c r="J1430" s="45">
        <v>0.05</v>
      </c>
      <c r="K1430" s="46">
        <f>Sales[[#This Row],[Gross Amount]]*Sales[[#This Row],[Disc %]]</f>
        <v>7504</v>
      </c>
      <c r="L1430" s="43">
        <v>0.18</v>
      </c>
      <c r="M1430" s="46">
        <f>(Sales[[#This Row],[Gross Amount]]-Sales[[#This Row],[Disc. Amt.]])*Sales[[#This Row],[GST %]]</f>
        <v>25663.68</v>
      </c>
      <c r="N1430" s="161">
        <f>Sales[[#This Row],[Gross Amount]]-Sales[[#This Row],[Disc. Amt.]]+Sales[[#This Row],[GST Amount]]</f>
        <v>168239.68</v>
      </c>
      <c r="O1430" s="34" t="s">
        <v>3569</v>
      </c>
      <c r="P1430" s="34" t="s">
        <v>3562</v>
      </c>
      <c r="Q1430" s="165">
        <f>IF(Sales[[#This Row],[Status]]="Cancelled",0,Sales[[#This Row],[Qty]])</f>
        <v>8</v>
      </c>
      <c r="R1430" s="166">
        <f>IF(Sales[[#This Row],[Status]]="Cancelled",0,Sales[[#This Row],[Total Amount]])</f>
        <v>168239.68</v>
      </c>
      <c r="S1430" s="162">
        <f>SUM(Sales[Net Amount])</f>
        <v>406839287.73200053</v>
      </c>
    </row>
    <row r="1431" spans="1:19" ht="18.75" x14ac:dyDescent="0.25">
      <c r="A1431" s="156" t="s">
        <v>5035</v>
      </c>
      <c r="B1431" s="157">
        <v>45851</v>
      </c>
      <c r="C1431" s="158" t="s">
        <v>864</v>
      </c>
      <c r="D1431" s="159" t="str">
        <f>VLOOKUP(Sales[[#This Row],[Customer ID]],Customer[#All],2,0)</f>
        <v>Sahil Sharma</v>
      </c>
      <c r="E1431" s="158" t="s">
        <v>293</v>
      </c>
      <c r="F1431" s="158" t="str">
        <f>VLOOKUP(Sales[[#This Row],[Product ID]],Product[#All],2,0)</f>
        <v>Samsung Ssd</v>
      </c>
      <c r="G1431" s="159">
        <v>3</v>
      </c>
      <c r="H1431" s="160">
        <f>VLOOKUP(Sales[[#This Row],[Product ID]],Product[#All],7,0)</f>
        <v>8530</v>
      </c>
      <c r="I1431" s="160">
        <f>Sales[[#This Row],[Selling Rate]]*Sales[[#This Row],[Qty]]</f>
        <v>25590</v>
      </c>
      <c r="J1431" s="43">
        <v>0.1</v>
      </c>
      <c r="K1431" s="44">
        <f>Sales[[#This Row],[Gross Amount]]*Sales[[#This Row],[Disc %]]</f>
        <v>2559</v>
      </c>
      <c r="L1431" s="43">
        <v>0.18</v>
      </c>
      <c r="M1431" s="44">
        <f>(Sales[[#This Row],[Gross Amount]]-Sales[[#This Row],[Disc. Amt.]])*Sales[[#This Row],[GST %]]</f>
        <v>4145.58</v>
      </c>
      <c r="N1431" s="161">
        <f>Sales[[#This Row],[Gross Amount]]-Sales[[#This Row],[Disc. Amt.]]+Sales[[#This Row],[GST Amount]]</f>
        <v>27176.58</v>
      </c>
      <c r="O1431" s="158" t="s">
        <v>3569</v>
      </c>
      <c r="P1431" s="158" t="s">
        <v>3562</v>
      </c>
      <c r="Q1431" s="160">
        <f>IF(Sales[[#This Row],[Status]]="Cancelled",0,Sales[[#This Row],[Qty]])</f>
        <v>3</v>
      </c>
      <c r="R1431" s="161">
        <f>IF(Sales[[#This Row],[Status]]="Cancelled",0,Sales[[#This Row],[Total Amount]])</f>
        <v>27176.58</v>
      </c>
      <c r="S1431" s="162">
        <f>SUM(Sales[Net Amount])</f>
        <v>406839287.73200053</v>
      </c>
    </row>
    <row r="1432" spans="1:19" ht="18.75" x14ac:dyDescent="0.25">
      <c r="A1432" s="163" t="s">
        <v>5036</v>
      </c>
      <c r="B1432" s="164">
        <v>45851</v>
      </c>
      <c r="C1432" s="34" t="s">
        <v>684</v>
      </c>
      <c r="D1432" s="53" t="str">
        <f>VLOOKUP(Sales[[#This Row],[Customer ID]],Customer[#All],2,0)</f>
        <v>Rahul Sharma</v>
      </c>
      <c r="E1432" s="34" t="s">
        <v>322</v>
      </c>
      <c r="F1432" s="34" t="str">
        <f>VLOOKUP(Sales[[#This Row],[Product ID]],Product[#All],2,0)</f>
        <v>Jbl Speaker</v>
      </c>
      <c r="G1432" s="53">
        <v>4</v>
      </c>
      <c r="H1432" s="165">
        <f>VLOOKUP(Sales[[#This Row],[Product ID]],Product[#All],7,0)</f>
        <v>10370</v>
      </c>
      <c r="I1432" s="165">
        <f>Sales[[#This Row],[Selling Rate]]*Sales[[#This Row],[Qty]]</f>
        <v>41480</v>
      </c>
      <c r="J1432" s="45">
        <v>0.05</v>
      </c>
      <c r="K1432" s="46">
        <f>Sales[[#This Row],[Gross Amount]]*Sales[[#This Row],[Disc %]]</f>
        <v>2074</v>
      </c>
      <c r="L1432" s="43">
        <v>0.18</v>
      </c>
      <c r="M1432" s="46">
        <f>(Sales[[#This Row],[Gross Amount]]-Sales[[#This Row],[Disc. Amt.]])*Sales[[#This Row],[GST %]]</f>
        <v>7093.08</v>
      </c>
      <c r="N1432" s="161">
        <f>Sales[[#This Row],[Gross Amount]]-Sales[[#This Row],[Disc. Amt.]]+Sales[[#This Row],[GST Amount]]</f>
        <v>46499.08</v>
      </c>
      <c r="O1432" s="34" t="s">
        <v>3561</v>
      </c>
      <c r="P1432" s="34" t="s">
        <v>3562</v>
      </c>
      <c r="Q1432" s="165">
        <f>IF(Sales[[#This Row],[Status]]="Cancelled",0,Sales[[#This Row],[Qty]])</f>
        <v>4</v>
      </c>
      <c r="R1432" s="166">
        <f>IF(Sales[[#This Row],[Status]]="Cancelled",0,Sales[[#This Row],[Total Amount]])</f>
        <v>46499.08</v>
      </c>
      <c r="S1432" s="162">
        <f>SUM(Sales[Net Amount])</f>
        <v>406839287.73200053</v>
      </c>
    </row>
    <row r="1433" spans="1:19" ht="18.75" x14ac:dyDescent="0.25">
      <c r="A1433" s="156" t="s">
        <v>5037</v>
      </c>
      <c r="B1433" s="157">
        <v>45851</v>
      </c>
      <c r="C1433" s="158" t="s">
        <v>783</v>
      </c>
      <c r="D1433" s="159" t="str">
        <f>VLOOKUP(Sales[[#This Row],[Customer ID]],Customer[#All],2,0)</f>
        <v>Neha Singh</v>
      </c>
      <c r="E1433" s="158" t="s">
        <v>545</v>
      </c>
      <c r="F1433" s="158" t="str">
        <f>VLOOKUP(Sales[[#This Row],[Product ID]],Product[#All],2,0)</f>
        <v>WD HDD</v>
      </c>
      <c r="G1433" s="159">
        <v>4</v>
      </c>
      <c r="H1433" s="160">
        <f>VLOOKUP(Sales[[#This Row],[Product ID]],Product[#All],7,0)</f>
        <v>6720</v>
      </c>
      <c r="I1433" s="160">
        <f>Sales[[#This Row],[Selling Rate]]*Sales[[#This Row],[Qty]]</f>
        <v>26880</v>
      </c>
      <c r="J1433" s="43">
        <v>0.05</v>
      </c>
      <c r="K1433" s="44">
        <f>Sales[[#This Row],[Gross Amount]]*Sales[[#This Row],[Disc %]]</f>
        <v>1344</v>
      </c>
      <c r="L1433" s="43">
        <v>0.18</v>
      </c>
      <c r="M1433" s="44">
        <f>(Sales[[#This Row],[Gross Amount]]-Sales[[#This Row],[Disc. Amt.]])*Sales[[#This Row],[GST %]]</f>
        <v>4596.4799999999996</v>
      </c>
      <c r="N1433" s="161">
        <f>Sales[[#This Row],[Gross Amount]]-Sales[[#This Row],[Disc. Amt.]]+Sales[[#This Row],[GST Amount]]</f>
        <v>30132.48</v>
      </c>
      <c r="O1433" s="158" t="s">
        <v>3566</v>
      </c>
      <c r="P1433" s="158" t="s">
        <v>3562</v>
      </c>
      <c r="Q1433" s="160">
        <f>IF(Sales[[#This Row],[Status]]="Cancelled",0,Sales[[#This Row],[Qty]])</f>
        <v>4</v>
      </c>
      <c r="R1433" s="161">
        <f>IF(Sales[[#This Row],[Status]]="Cancelled",0,Sales[[#This Row],[Total Amount]])</f>
        <v>30132.48</v>
      </c>
      <c r="S1433" s="162">
        <f>SUM(Sales[Net Amount])</f>
        <v>406839287.73200053</v>
      </c>
    </row>
    <row r="1434" spans="1:19" ht="18.75" x14ac:dyDescent="0.25">
      <c r="A1434" s="163" t="s">
        <v>5038</v>
      </c>
      <c r="B1434" s="164">
        <v>45851</v>
      </c>
      <c r="C1434" s="34" t="s">
        <v>849</v>
      </c>
      <c r="D1434" s="53" t="str">
        <f>VLOOKUP(Sales[[#This Row],[Customer ID]],Customer[#All],2,0)</f>
        <v>Sunita Sharma</v>
      </c>
      <c r="E1434" s="34" t="s">
        <v>509</v>
      </c>
      <c r="F1434" s="34" t="str">
        <f>VLOOKUP(Sales[[#This Row],[Product ID]],Product[#All],2,0)</f>
        <v>D-Link Router</v>
      </c>
      <c r="G1434" s="53">
        <v>6</v>
      </c>
      <c r="H1434" s="165">
        <f>VLOOKUP(Sales[[#This Row],[Product ID]],Product[#All],7,0)</f>
        <v>3460</v>
      </c>
      <c r="I1434" s="165">
        <f>Sales[[#This Row],[Selling Rate]]*Sales[[#This Row],[Qty]]</f>
        <v>20760</v>
      </c>
      <c r="J1434" s="45">
        <v>0.02</v>
      </c>
      <c r="K1434" s="46">
        <f>Sales[[#This Row],[Gross Amount]]*Sales[[#This Row],[Disc %]]</f>
        <v>415.2</v>
      </c>
      <c r="L1434" s="43">
        <v>0.18</v>
      </c>
      <c r="M1434" s="46">
        <f>(Sales[[#This Row],[Gross Amount]]-Sales[[#This Row],[Disc. Amt.]])*Sales[[#This Row],[GST %]]</f>
        <v>3662.0639999999999</v>
      </c>
      <c r="N1434" s="161">
        <f>Sales[[#This Row],[Gross Amount]]-Sales[[#This Row],[Disc. Amt.]]+Sales[[#This Row],[GST Amount]]</f>
        <v>24006.863999999998</v>
      </c>
      <c r="O1434" s="34" t="s">
        <v>3561</v>
      </c>
      <c r="P1434" s="34" t="s">
        <v>3562</v>
      </c>
      <c r="Q1434" s="165">
        <f>IF(Sales[[#This Row],[Status]]="Cancelled",0,Sales[[#This Row],[Qty]])</f>
        <v>6</v>
      </c>
      <c r="R1434" s="166">
        <f>IF(Sales[[#This Row],[Status]]="Cancelled",0,Sales[[#This Row],[Total Amount]])</f>
        <v>24006.863999999998</v>
      </c>
      <c r="S1434" s="162">
        <f>SUM(Sales[Net Amount])</f>
        <v>406839287.73200053</v>
      </c>
    </row>
    <row r="1435" spans="1:19" ht="18.75" x14ac:dyDescent="0.25">
      <c r="A1435" s="156" t="s">
        <v>5039</v>
      </c>
      <c r="B1435" s="157">
        <v>45851</v>
      </c>
      <c r="C1435" s="158" t="s">
        <v>655</v>
      </c>
      <c r="D1435" s="159" t="str">
        <f>VLOOKUP(Sales[[#This Row],[Customer ID]],Customer[#All],2,0)</f>
        <v>Pooja Singh</v>
      </c>
      <c r="E1435" s="158" t="s">
        <v>265</v>
      </c>
      <c r="F1435" s="158" t="str">
        <f>VLOOKUP(Sales[[#This Row],[Product ID]],Product[#All],2,0)</f>
        <v>Canon Printer</v>
      </c>
      <c r="G1435" s="159">
        <v>6</v>
      </c>
      <c r="H1435" s="160">
        <f>VLOOKUP(Sales[[#This Row],[Product ID]],Product[#All],7,0)</f>
        <v>33970</v>
      </c>
      <c r="I1435" s="160">
        <f>Sales[[#This Row],[Selling Rate]]*Sales[[#This Row],[Qty]]</f>
        <v>203820</v>
      </c>
      <c r="J1435" s="43">
        <v>0</v>
      </c>
      <c r="K1435" s="44">
        <f>Sales[[#This Row],[Gross Amount]]*Sales[[#This Row],[Disc %]]</f>
        <v>0</v>
      </c>
      <c r="L1435" s="43">
        <v>0.18</v>
      </c>
      <c r="M1435" s="44">
        <f>(Sales[[#This Row],[Gross Amount]]-Sales[[#This Row],[Disc. Amt.]])*Sales[[#This Row],[GST %]]</f>
        <v>36687.599999999999</v>
      </c>
      <c r="N1435" s="161">
        <f>Sales[[#This Row],[Gross Amount]]-Sales[[#This Row],[Disc. Amt.]]+Sales[[#This Row],[GST Amount]]</f>
        <v>240507.6</v>
      </c>
      <c r="O1435" s="158" t="s">
        <v>8876</v>
      </c>
      <c r="P1435" s="158" t="s">
        <v>3562</v>
      </c>
      <c r="Q1435" s="160">
        <f>IF(Sales[[#This Row],[Status]]="Cancelled",0,Sales[[#This Row],[Qty]])</f>
        <v>6</v>
      </c>
      <c r="R1435" s="161">
        <f>IF(Sales[[#This Row],[Status]]="Cancelled",0,Sales[[#This Row],[Total Amount]])</f>
        <v>240507.6</v>
      </c>
      <c r="S1435" s="162">
        <f>SUM(Sales[Net Amount])</f>
        <v>406839287.73200053</v>
      </c>
    </row>
    <row r="1436" spans="1:19" ht="18.75" x14ac:dyDescent="0.25">
      <c r="A1436" s="163" t="s">
        <v>5040</v>
      </c>
      <c r="B1436" s="164">
        <v>45851</v>
      </c>
      <c r="C1436" s="34" t="s">
        <v>851</v>
      </c>
      <c r="D1436" s="53" t="str">
        <f>VLOOKUP(Sales[[#This Row],[Customer ID]],Customer[#All],2,0)</f>
        <v>Pooja Singh</v>
      </c>
      <c r="E1436" s="34" t="s">
        <v>195</v>
      </c>
      <c r="F1436" s="34" t="str">
        <f>VLOOKUP(Sales[[#This Row],[Product ID]],Product[#All],2,0)</f>
        <v>Acer Laptop</v>
      </c>
      <c r="G1436" s="53">
        <v>3</v>
      </c>
      <c r="H1436" s="165">
        <f>VLOOKUP(Sales[[#This Row],[Product ID]],Product[#All],7,0)</f>
        <v>46790</v>
      </c>
      <c r="I1436" s="165">
        <f>Sales[[#This Row],[Selling Rate]]*Sales[[#This Row],[Qty]]</f>
        <v>140370</v>
      </c>
      <c r="J1436" s="45">
        <v>0.1</v>
      </c>
      <c r="K1436" s="46">
        <f>Sales[[#This Row],[Gross Amount]]*Sales[[#This Row],[Disc %]]</f>
        <v>14037</v>
      </c>
      <c r="L1436" s="43">
        <v>0.18</v>
      </c>
      <c r="M1436" s="46">
        <f>(Sales[[#This Row],[Gross Amount]]-Sales[[#This Row],[Disc. Amt.]])*Sales[[#This Row],[GST %]]</f>
        <v>22739.94</v>
      </c>
      <c r="N1436" s="161">
        <f>Sales[[#This Row],[Gross Amount]]-Sales[[#This Row],[Disc. Amt.]]+Sales[[#This Row],[GST Amount]]</f>
        <v>149072.94</v>
      </c>
      <c r="O1436" s="34" t="s">
        <v>8876</v>
      </c>
      <c r="P1436" s="34" t="s">
        <v>3562</v>
      </c>
      <c r="Q1436" s="165">
        <f>IF(Sales[[#This Row],[Status]]="Cancelled",0,Sales[[#This Row],[Qty]])</f>
        <v>3</v>
      </c>
      <c r="R1436" s="166">
        <f>IF(Sales[[#This Row],[Status]]="Cancelled",0,Sales[[#This Row],[Total Amount]])</f>
        <v>149072.94</v>
      </c>
      <c r="S1436" s="162">
        <f>SUM(Sales[Net Amount])</f>
        <v>406839287.73200053</v>
      </c>
    </row>
    <row r="1437" spans="1:19" ht="18.75" x14ac:dyDescent="0.25">
      <c r="A1437" s="156" t="s">
        <v>5041</v>
      </c>
      <c r="B1437" s="157">
        <v>45851</v>
      </c>
      <c r="C1437" s="158" t="s">
        <v>871</v>
      </c>
      <c r="D1437" s="159" t="str">
        <f>VLOOKUP(Sales[[#This Row],[Customer ID]],Customer[#All],2,0)</f>
        <v>Rakesh Kumar</v>
      </c>
      <c r="E1437" s="158" t="s">
        <v>87</v>
      </c>
      <c r="F1437" s="158" t="str">
        <f>VLOOKUP(Sales[[#This Row],[Product ID]],Product[#All],2,0)</f>
        <v>Boat Headset</v>
      </c>
      <c r="G1437" s="159">
        <v>3</v>
      </c>
      <c r="H1437" s="160">
        <f>VLOOKUP(Sales[[#This Row],[Product ID]],Product[#All],7,0)</f>
        <v>1040</v>
      </c>
      <c r="I1437" s="160">
        <f>Sales[[#This Row],[Selling Rate]]*Sales[[#This Row],[Qty]]</f>
        <v>3120</v>
      </c>
      <c r="J1437" s="43">
        <v>0</v>
      </c>
      <c r="K1437" s="44">
        <f>Sales[[#This Row],[Gross Amount]]*Sales[[#This Row],[Disc %]]</f>
        <v>0</v>
      </c>
      <c r="L1437" s="43">
        <v>0.18</v>
      </c>
      <c r="M1437" s="44">
        <f>(Sales[[#This Row],[Gross Amount]]-Sales[[#This Row],[Disc. Amt.]])*Sales[[#This Row],[GST %]]</f>
        <v>561.6</v>
      </c>
      <c r="N1437" s="161">
        <f>Sales[[#This Row],[Gross Amount]]-Sales[[#This Row],[Disc. Amt.]]+Sales[[#This Row],[GST Amount]]</f>
        <v>3681.6</v>
      </c>
      <c r="O1437" s="158" t="s">
        <v>3566</v>
      </c>
      <c r="P1437" s="158" t="s">
        <v>3562</v>
      </c>
      <c r="Q1437" s="160">
        <f>IF(Sales[[#This Row],[Status]]="Cancelled",0,Sales[[#This Row],[Qty]])</f>
        <v>3</v>
      </c>
      <c r="R1437" s="161">
        <f>IF(Sales[[#This Row],[Status]]="Cancelled",0,Sales[[#This Row],[Total Amount]])</f>
        <v>3681.6</v>
      </c>
      <c r="S1437" s="162">
        <f>SUM(Sales[Net Amount])</f>
        <v>406839287.73200053</v>
      </c>
    </row>
    <row r="1438" spans="1:19" ht="18.75" x14ac:dyDescent="0.25">
      <c r="A1438" s="163" t="s">
        <v>5042</v>
      </c>
      <c r="B1438" s="164">
        <v>45851</v>
      </c>
      <c r="C1438" s="34" t="s">
        <v>779</v>
      </c>
      <c r="D1438" s="53" t="str">
        <f>VLOOKUP(Sales[[#This Row],[Customer ID]],Customer[#All],2,0)</f>
        <v>Rakesh Verma</v>
      </c>
      <c r="E1438" s="34" t="s">
        <v>359</v>
      </c>
      <c r="F1438" s="34" t="str">
        <f>VLOOKUP(Sales[[#This Row],[Product ID]],Product[#All],2,0)</f>
        <v>Sandisk Pen Drive</v>
      </c>
      <c r="G1438" s="53">
        <v>7</v>
      </c>
      <c r="H1438" s="165">
        <f>VLOOKUP(Sales[[#This Row],[Product ID]],Product[#All],7,0)</f>
        <v>1140</v>
      </c>
      <c r="I1438" s="165">
        <f>Sales[[#This Row],[Selling Rate]]*Sales[[#This Row],[Qty]]</f>
        <v>7980</v>
      </c>
      <c r="J1438" s="45">
        <v>0.15</v>
      </c>
      <c r="K1438" s="46">
        <f>Sales[[#This Row],[Gross Amount]]*Sales[[#This Row],[Disc %]]</f>
        <v>1197</v>
      </c>
      <c r="L1438" s="43">
        <v>0.18</v>
      </c>
      <c r="M1438" s="46">
        <f>(Sales[[#This Row],[Gross Amount]]-Sales[[#This Row],[Disc. Amt.]])*Sales[[#This Row],[GST %]]</f>
        <v>1220.94</v>
      </c>
      <c r="N1438" s="161">
        <f>Sales[[#This Row],[Gross Amount]]-Sales[[#This Row],[Disc. Amt.]]+Sales[[#This Row],[GST Amount]]</f>
        <v>8003.9400000000005</v>
      </c>
      <c r="O1438" s="34" t="s">
        <v>3566</v>
      </c>
      <c r="P1438" s="34" t="s">
        <v>3562</v>
      </c>
      <c r="Q1438" s="165">
        <f>IF(Sales[[#This Row],[Status]]="Cancelled",0,Sales[[#This Row],[Qty]])</f>
        <v>7</v>
      </c>
      <c r="R1438" s="166">
        <f>IF(Sales[[#This Row],[Status]]="Cancelled",0,Sales[[#This Row],[Total Amount]])</f>
        <v>8003.9400000000005</v>
      </c>
      <c r="S1438" s="162">
        <f>SUM(Sales[Net Amount])</f>
        <v>406839287.73200053</v>
      </c>
    </row>
    <row r="1439" spans="1:19" ht="18.75" x14ac:dyDescent="0.25">
      <c r="A1439" s="156" t="s">
        <v>5043</v>
      </c>
      <c r="B1439" s="157">
        <v>45851</v>
      </c>
      <c r="C1439" s="158" t="s">
        <v>947</v>
      </c>
      <c r="D1439" s="159" t="str">
        <f>VLOOKUP(Sales[[#This Row],[Customer ID]],Customer[#All],2,0)</f>
        <v>Sunita Singh</v>
      </c>
      <c r="E1439" s="158" t="s">
        <v>383</v>
      </c>
      <c r="F1439" s="158" t="str">
        <f>VLOOKUP(Sales[[#This Row],[Product ID]],Product[#All],2,0)</f>
        <v>Logitech Mouse</v>
      </c>
      <c r="G1439" s="159">
        <v>4</v>
      </c>
      <c r="H1439" s="160">
        <f>VLOOKUP(Sales[[#This Row],[Product ID]],Product[#All],7,0)</f>
        <v>3080</v>
      </c>
      <c r="I1439" s="160">
        <f>Sales[[#This Row],[Selling Rate]]*Sales[[#This Row],[Qty]]</f>
        <v>12320</v>
      </c>
      <c r="J1439" s="43">
        <v>0.02</v>
      </c>
      <c r="K1439" s="44">
        <f>Sales[[#This Row],[Gross Amount]]*Sales[[#This Row],[Disc %]]</f>
        <v>246.4</v>
      </c>
      <c r="L1439" s="43">
        <v>0.18</v>
      </c>
      <c r="M1439" s="44">
        <f>(Sales[[#This Row],[Gross Amount]]-Sales[[#This Row],[Disc. Amt.]])*Sales[[#This Row],[GST %]]</f>
        <v>2173.248</v>
      </c>
      <c r="N1439" s="161">
        <f>Sales[[#This Row],[Gross Amount]]-Sales[[#This Row],[Disc. Amt.]]+Sales[[#This Row],[GST Amount]]</f>
        <v>14246.848</v>
      </c>
      <c r="O1439" s="158" t="s">
        <v>3566</v>
      </c>
      <c r="P1439" s="158" t="s">
        <v>3562</v>
      </c>
      <c r="Q1439" s="160">
        <f>IF(Sales[[#This Row],[Status]]="Cancelled",0,Sales[[#This Row],[Qty]])</f>
        <v>4</v>
      </c>
      <c r="R1439" s="161">
        <f>IF(Sales[[#This Row],[Status]]="Cancelled",0,Sales[[#This Row],[Total Amount]])</f>
        <v>14246.848</v>
      </c>
      <c r="S1439" s="162">
        <f>SUM(Sales[Net Amount])</f>
        <v>406839287.73200053</v>
      </c>
    </row>
    <row r="1440" spans="1:19" ht="18.75" x14ac:dyDescent="0.25">
      <c r="A1440" s="163" t="s">
        <v>5044</v>
      </c>
      <c r="B1440" s="164">
        <v>45851</v>
      </c>
      <c r="C1440" s="34" t="s">
        <v>888</v>
      </c>
      <c r="D1440" s="53" t="str">
        <f>VLOOKUP(Sales[[#This Row],[Customer ID]],Customer[#All],2,0)</f>
        <v>Rahul Patel</v>
      </c>
      <c r="E1440" s="34" t="s">
        <v>380</v>
      </c>
      <c r="F1440" s="34" t="str">
        <f>VLOOKUP(Sales[[#This Row],[Product ID]],Product[#All],2,0)</f>
        <v>Acer Laptop</v>
      </c>
      <c r="G1440" s="53">
        <v>1</v>
      </c>
      <c r="H1440" s="165">
        <f>VLOOKUP(Sales[[#This Row],[Product ID]],Product[#All],7,0)</f>
        <v>91320</v>
      </c>
      <c r="I1440" s="165">
        <f>Sales[[#This Row],[Selling Rate]]*Sales[[#This Row],[Qty]]</f>
        <v>91320</v>
      </c>
      <c r="J1440" s="45">
        <v>0.02</v>
      </c>
      <c r="K1440" s="46">
        <f>Sales[[#This Row],[Gross Amount]]*Sales[[#This Row],[Disc %]]</f>
        <v>1826.4</v>
      </c>
      <c r="L1440" s="43">
        <v>0.18</v>
      </c>
      <c r="M1440" s="46">
        <f>(Sales[[#This Row],[Gross Amount]]-Sales[[#This Row],[Disc. Amt.]])*Sales[[#This Row],[GST %]]</f>
        <v>16108.848</v>
      </c>
      <c r="N1440" s="161">
        <f>Sales[[#This Row],[Gross Amount]]-Sales[[#This Row],[Disc. Amt.]]+Sales[[#This Row],[GST Amount]]</f>
        <v>105602.448</v>
      </c>
      <c r="O1440" s="34" t="s">
        <v>8876</v>
      </c>
      <c r="P1440" s="34" t="s">
        <v>3562</v>
      </c>
      <c r="Q1440" s="165">
        <f>IF(Sales[[#This Row],[Status]]="Cancelled",0,Sales[[#This Row],[Qty]])</f>
        <v>1</v>
      </c>
      <c r="R1440" s="166">
        <f>IF(Sales[[#This Row],[Status]]="Cancelled",0,Sales[[#This Row],[Total Amount]])</f>
        <v>105602.448</v>
      </c>
      <c r="S1440" s="162">
        <f>SUM(Sales[Net Amount])</f>
        <v>406839287.73200053</v>
      </c>
    </row>
    <row r="1441" spans="1:19" ht="18.75" x14ac:dyDescent="0.25">
      <c r="A1441" s="156" t="s">
        <v>5045</v>
      </c>
      <c r="B1441" s="157">
        <v>45851</v>
      </c>
      <c r="C1441" s="158" t="s">
        <v>798</v>
      </c>
      <c r="D1441" s="159" t="str">
        <f>VLOOKUP(Sales[[#This Row],[Customer ID]],Customer[#All],2,0)</f>
        <v>Amit Singh</v>
      </c>
      <c r="E1441" s="158" t="s">
        <v>205</v>
      </c>
      <c r="F1441" s="158" t="str">
        <f>VLOOKUP(Sales[[#This Row],[Product ID]],Product[#All],2,0)</f>
        <v>HP Power Adapter</v>
      </c>
      <c r="G1441" s="159">
        <v>3</v>
      </c>
      <c r="H1441" s="160">
        <f>VLOOKUP(Sales[[#This Row],[Product ID]],Product[#All],7,0)</f>
        <v>4820</v>
      </c>
      <c r="I1441" s="160">
        <f>Sales[[#This Row],[Selling Rate]]*Sales[[#This Row],[Qty]]</f>
        <v>14460</v>
      </c>
      <c r="J1441" s="43">
        <v>0.12</v>
      </c>
      <c r="K1441" s="44">
        <f>Sales[[#This Row],[Gross Amount]]*Sales[[#This Row],[Disc %]]</f>
        <v>1735.2</v>
      </c>
      <c r="L1441" s="43">
        <v>0.18</v>
      </c>
      <c r="M1441" s="44">
        <f>(Sales[[#This Row],[Gross Amount]]-Sales[[#This Row],[Disc. Amt.]])*Sales[[#This Row],[GST %]]</f>
        <v>2290.4639999999999</v>
      </c>
      <c r="N1441" s="161">
        <f>Sales[[#This Row],[Gross Amount]]-Sales[[#This Row],[Disc. Amt.]]+Sales[[#This Row],[GST Amount]]</f>
        <v>15015.263999999999</v>
      </c>
      <c r="O1441" s="158" t="s">
        <v>3569</v>
      </c>
      <c r="P1441" s="158" t="s">
        <v>3562</v>
      </c>
      <c r="Q1441" s="160">
        <f>IF(Sales[[#This Row],[Status]]="Cancelled",0,Sales[[#This Row],[Qty]])</f>
        <v>3</v>
      </c>
      <c r="R1441" s="161">
        <f>IF(Sales[[#This Row],[Status]]="Cancelled",0,Sales[[#This Row],[Total Amount]])</f>
        <v>15015.263999999999</v>
      </c>
      <c r="S1441" s="162">
        <f>SUM(Sales[Net Amount])</f>
        <v>406839287.73200053</v>
      </c>
    </row>
    <row r="1442" spans="1:19" ht="18.75" x14ac:dyDescent="0.25">
      <c r="A1442" s="163" t="s">
        <v>5046</v>
      </c>
      <c r="B1442" s="164">
        <v>45852</v>
      </c>
      <c r="C1442" s="34" t="s">
        <v>891</v>
      </c>
      <c r="D1442" s="53" t="str">
        <f>VLOOKUP(Sales[[#This Row],[Customer ID]],Customer[#All],2,0)</f>
        <v>Pooja Verma</v>
      </c>
      <c r="E1442" s="34" t="s">
        <v>370</v>
      </c>
      <c r="F1442" s="34" t="str">
        <f>VLOOKUP(Sales[[#This Row],[Product ID]],Product[#All],2,0)</f>
        <v>Samsung Monitor</v>
      </c>
      <c r="G1442" s="53">
        <v>1</v>
      </c>
      <c r="H1442" s="165">
        <f>VLOOKUP(Sales[[#This Row],[Product ID]],Product[#All],7,0)</f>
        <v>24770</v>
      </c>
      <c r="I1442" s="165">
        <f>Sales[[#This Row],[Selling Rate]]*Sales[[#This Row],[Qty]]</f>
        <v>24770</v>
      </c>
      <c r="J1442" s="45">
        <v>0.02</v>
      </c>
      <c r="K1442" s="46">
        <f>Sales[[#This Row],[Gross Amount]]*Sales[[#This Row],[Disc %]]</f>
        <v>495.40000000000003</v>
      </c>
      <c r="L1442" s="43">
        <v>0.18</v>
      </c>
      <c r="M1442" s="46">
        <f>(Sales[[#This Row],[Gross Amount]]-Sales[[#This Row],[Disc. Amt.]])*Sales[[#This Row],[GST %]]</f>
        <v>4369.4279999999999</v>
      </c>
      <c r="N1442" s="161">
        <f>Sales[[#This Row],[Gross Amount]]-Sales[[#This Row],[Disc. Amt.]]+Sales[[#This Row],[GST Amount]]</f>
        <v>28644.027999999998</v>
      </c>
      <c r="O1442" s="34" t="s">
        <v>8876</v>
      </c>
      <c r="P1442" s="34" t="s">
        <v>1040</v>
      </c>
      <c r="Q1442" s="165">
        <f>IF(Sales[[#This Row],[Status]]="Cancelled",0,Sales[[#This Row],[Qty]])</f>
        <v>0</v>
      </c>
      <c r="R1442" s="166">
        <f>IF(Sales[[#This Row],[Status]]="Cancelled",0,Sales[[#This Row],[Total Amount]])</f>
        <v>0</v>
      </c>
      <c r="S1442" s="162">
        <f>SUM(Sales[Net Amount])</f>
        <v>406839287.73200053</v>
      </c>
    </row>
    <row r="1443" spans="1:19" ht="18.75" x14ac:dyDescent="0.25">
      <c r="A1443" s="156" t="s">
        <v>5047</v>
      </c>
      <c r="B1443" s="157">
        <v>45852</v>
      </c>
      <c r="C1443" s="158" t="s">
        <v>761</v>
      </c>
      <c r="D1443" s="159" t="str">
        <f>VLOOKUP(Sales[[#This Row],[Customer ID]],Customer[#All],2,0)</f>
        <v>Priya Verma</v>
      </c>
      <c r="E1443" s="158" t="s">
        <v>272</v>
      </c>
      <c r="F1443" s="158" t="str">
        <f>VLOOKUP(Sales[[#This Row],[Product ID]],Product[#All],2,0)</f>
        <v>Jbl Speaker</v>
      </c>
      <c r="G1443" s="159">
        <v>6</v>
      </c>
      <c r="H1443" s="160">
        <f>VLOOKUP(Sales[[#This Row],[Product ID]],Product[#All],7,0)</f>
        <v>10960</v>
      </c>
      <c r="I1443" s="160">
        <f>Sales[[#This Row],[Selling Rate]]*Sales[[#This Row],[Qty]]</f>
        <v>65760</v>
      </c>
      <c r="J1443" s="43">
        <v>0.12</v>
      </c>
      <c r="K1443" s="44">
        <f>Sales[[#This Row],[Gross Amount]]*Sales[[#This Row],[Disc %]]</f>
        <v>7891.2</v>
      </c>
      <c r="L1443" s="43">
        <v>0.18</v>
      </c>
      <c r="M1443" s="44">
        <f>(Sales[[#This Row],[Gross Amount]]-Sales[[#This Row],[Disc. Amt.]])*Sales[[#This Row],[GST %]]</f>
        <v>10416.384</v>
      </c>
      <c r="N1443" s="161">
        <f>Sales[[#This Row],[Gross Amount]]-Sales[[#This Row],[Disc. Amt.]]+Sales[[#This Row],[GST Amount]]</f>
        <v>68285.184000000008</v>
      </c>
      <c r="O1443" s="158" t="s">
        <v>8876</v>
      </c>
      <c r="P1443" s="158" t="s">
        <v>3562</v>
      </c>
      <c r="Q1443" s="160">
        <f>IF(Sales[[#This Row],[Status]]="Cancelled",0,Sales[[#This Row],[Qty]])</f>
        <v>6</v>
      </c>
      <c r="R1443" s="161">
        <f>IF(Sales[[#This Row],[Status]]="Cancelled",0,Sales[[#This Row],[Total Amount]])</f>
        <v>68285.184000000008</v>
      </c>
      <c r="S1443" s="162">
        <f>SUM(Sales[Net Amount])</f>
        <v>406839287.73200053</v>
      </c>
    </row>
    <row r="1444" spans="1:19" ht="18.75" x14ac:dyDescent="0.25">
      <c r="A1444" s="163" t="s">
        <v>5048</v>
      </c>
      <c r="B1444" s="164">
        <v>45852</v>
      </c>
      <c r="C1444" s="34" t="s">
        <v>672</v>
      </c>
      <c r="D1444" s="53" t="str">
        <f>VLOOKUP(Sales[[#This Row],[Customer ID]],Customer[#All],2,0)</f>
        <v>Rahul Patel</v>
      </c>
      <c r="E1444" s="34" t="s">
        <v>216</v>
      </c>
      <c r="F1444" s="34" t="str">
        <f>VLOOKUP(Sales[[#This Row],[Product ID]],Product[#All],2,0)</f>
        <v>Amazon Basics Hdmi Cable</v>
      </c>
      <c r="G1444" s="53">
        <v>3</v>
      </c>
      <c r="H1444" s="165">
        <f>VLOOKUP(Sales[[#This Row],[Product ID]],Product[#All],7,0)</f>
        <v>1080</v>
      </c>
      <c r="I1444" s="165">
        <f>Sales[[#This Row],[Selling Rate]]*Sales[[#This Row],[Qty]]</f>
        <v>3240</v>
      </c>
      <c r="J1444" s="45">
        <v>0</v>
      </c>
      <c r="K1444" s="46">
        <f>Sales[[#This Row],[Gross Amount]]*Sales[[#This Row],[Disc %]]</f>
        <v>0</v>
      </c>
      <c r="L1444" s="43">
        <v>0.18</v>
      </c>
      <c r="M1444" s="46">
        <f>(Sales[[#This Row],[Gross Amount]]-Sales[[#This Row],[Disc. Amt.]])*Sales[[#This Row],[GST %]]</f>
        <v>583.19999999999993</v>
      </c>
      <c r="N1444" s="161">
        <f>Sales[[#This Row],[Gross Amount]]-Sales[[#This Row],[Disc. Amt.]]+Sales[[#This Row],[GST Amount]]</f>
        <v>3823.2</v>
      </c>
      <c r="O1444" s="34" t="s">
        <v>8876</v>
      </c>
      <c r="P1444" s="34" t="s">
        <v>3562</v>
      </c>
      <c r="Q1444" s="165">
        <f>IF(Sales[[#This Row],[Status]]="Cancelled",0,Sales[[#This Row],[Qty]])</f>
        <v>3</v>
      </c>
      <c r="R1444" s="166">
        <f>IF(Sales[[#This Row],[Status]]="Cancelled",0,Sales[[#This Row],[Total Amount]])</f>
        <v>3823.2</v>
      </c>
      <c r="S1444" s="162">
        <f>SUM(Sales[Net Amount])</f>
        <v>406839287.73200053</v>
      </c>
    </row>
    <row r="1445" spans="1:19" ht="18.75" x14ac:dyDescent="0.25">
      <c r="A1445" s="156" t="s">
        <v>5049</v>
      </c>
      <c r="B1445" s="157">
        <v>45852</v>
      </c>
      <c r="C1445" s="158" t="s">
        <v>941</v>
      </c>
      <c r="D1445" s="159" t="str">
        <f>VLOOKUP(Sales[[#This Row],[Customer ID]],Customer[#All],2,0)</f>
        <v>Sahil Verma</v>
      </c>
      <c r="E1445" s="158" t="s">
        <v>448</v>
      </c>
      <c r="F1445" s="158" t="str">
        <f>VLOOKUP(Sales[[#This Row],[Product ID]],Product[#All],2,0)</f>
        <v>Crucial Ssd</v>
      </c>
      <c r="G1445" s="159">
        <v>1</v>
      </c>
      <c r="H1445" s="160">
        <f>VLOOKUP(Sales[[#This Row],[Product ID]],Product[#All],7,0)</f>
        <v>7930</v>
      </c>
      <c r="I1445" s="160">
        <f>Sales[[#This Row],[Selling Rate]]*Sales[[#This Row],[Qty]]</f>
        <v>7930</v>
      </c>
      <c r="J1445" s="43">
        <v>0</v>
      </c>
      <c r="K1445" s="44">
        <f>Sales[[#This Row],[Gross Amount]]*Sales[[#This Row],[Disc %]]</f>
        <v>0</v>
      </c>
      <c r="L1445" s="43">
        <v>0.18</v>
      </c>
      <c r="M1445" s="44">
        <f>(Sales[[#This Row],[Gross Amount]]-Sales[[#This Row],[Disc. Amt.]])*Sales[[#This Row],[GST %]]</f>
        <v>1427.3999999999999</v>
      </c>
      <c r="N1445" s="161">
        <f>Sales[[#This Row],[Gross Amount]]-Sales[[#This Row],[Disc. Amt.]]+Sales[[#This Row],[GST Amount]]</f>
        <v>9357.4</v>
      </c>
      <c r="O1445" s="158" t="s">
        <v>8876</v>
      </c>
      <c r="P1445" s="158" t="s">
        <v>3562</v>
      </c>
      <c r="Q1445" s="160">
        <f>IF(Sales[[#This Row],[Status]]="Cancelled",0,Sales[[#This Row],[Qty]])</f>
        <v>1</v>
      </c>
      <c r="R1445" s="161">
        <f>IF(Sales[[#This Row],[Status]]="Cancelled",0,Sales[[#This Row],[Total Amount]])</f>
        <v>9357.4</v>
      </c>
      <c r="S1445" s="162">
        <f>SUM(Sales[Net Amount])</f>
        <v>406839287.73200053</v>
      </c>
    </row>
    <row r="1446" spans="1:19" ht="18.75" x14ac:dyDescent="0.25">
      <c r="A1446" s="163" t="s">
        <v>5050</v>
      </c>
      <c r="B1446" s="164">
        <v>45852</v>
      </c>
      <c r="C1446" s="34" t="s">
        <v>943</v>
      </c>
      <c r="D1446" s="53" t="str">
        <f>VLOOKUP(Sales[[#This Row],[Customer ID]],Customer[#All],2,0)</f>
        <v>Sahil Singh</v>
      </c>
      <c r="E1446" s="34" t="s">
        <v>432</v>
      </c>
      <c r="F1446" s="34" t="str">
        <f>VLOOKUP(Sales[[#This Row],[Product ID]],Product[#All],2,0)</f>
        <v>Boat Speaker</v>
      </c>
      <c r="G1446" s="53">
        <v>6</v>
      </c>
      <c r="H1446" s="165">
        <f>VLOOKUP(Sales[[#This Row],[Product ID]],Product[#All],7,0)</f>
        <v>750</v>
      </c>
      <c r="I1446" s="165">
        <f>Sales[[#This Row],[Selling Rate]]*Sales[[#This Row],[Qty]]</f>
        <v>4500</v>
      </c>
      <c r="J1446" s="45">
        <v>0</v>
      </c>
      <c r="K1446" s="46">
        <f>Sales[[#This Row],[Gross Amount]]*Sales[[#This Row],[Disc %]]</f>
        <v>0</v>
      </c>
      <c r="L1446" s="43">
        <v>0.18</v>
      </c>
      <c r="M1446" s="46">
        <f>(Sales[[#This Row],[Gross Amount]]-Sales[[#This Row],[Disc. Amt.]])*Sales[[#This Row],[GST %]]</f>
        <v>810</v>
      </c>
      <c r="N1446" s="161">
        <f>Sales[[#This Row],[Gross Amount]]-Sales[[#This Row],[Disc. Amt.]]+Sales[[#This Row],[GST Amount]]</f>
        <v>5310</v>
      </c>
      <c r="O1446" s="34" t="s">
        <v>8876</v>
      </c>
      <c r="P1446" s="34" t="s">
        <v>3562</v>
      </c>
      <c r="Q1446" s="165">
        <f>IF(Sales[[#This Row],[Status]]="Cancelled",0,Sales[[#This Row],[Qty]])</f>
        <v>6</v>
      </c>
      <c r="R1446" s="166">
        <f>IF(Sales[[#This Row],[Status]]="Cancelled",0,Sales[[#This Row],[Total Amount]])</f>
        <v>5310</v>
      </c>
      <c r="S1446" s="162">
        <f>SUM(Sales[Net Amount])</f>
        <v>406839287.73200053</v>
      </c>
    </row>
    <row r="1447" spans="1:19" ht="18.75" x14ac:dyDescent="0.25">
      <c r="A1447" s="156" t="s">
        <v>5051</v>
      </c>
      <c r="B1447" s="157">
        <v>45852</v>
      </c>
      <c r="C1447" s="158" t="s">
        <v>871</v>
      </c>
      <c r="D1447" s="159" t="str">
        <f>VLOOKUP(Sales[[#This Row],[Customer ID]],Customer[#All],2,0)</f>
        <v>Rakesh Kumar</v>
      </c>
      <c r="E1447" s="158" t="s">
        <v>410</v>
      </c>
      <c r="F1447" s="158" t="str">
        <f>VLOOKUP(Sales[[#This Row],[Product ID]],Product[#All],2,0)</f>
        <v>Microtek UPS</v>
      </c>
      <c r="G1447" s="159">
        <v>1</v>
      </c>
      <c r="H1447" s="160">
        <f>VLOOKUP(Sales[[#This Row],[Product ID]],Product[#All],7,0)</f>
        <v>12250</v>
      </c>
      <c r="I1447" s="160">
        <f>Sales[[#This Row],[Selling Rate]]*Sales[[#This Row],[Qty]]</f>
        <v>12250</v>
      </c>
      <c r="J1447" s="43">
        <v>0.1</v>
      </c>
      <c r="K1447" s="44">
        <f>Sales[[#This Row],[Gross Amount]]*Sales[[#This Row],[Disc %]]</f>
        <v>1225</v>
      </c>
      <c r="L1447" s="43">
        <v>0.18</v>
      </c>
      <c r="M1447" s="44">
        <f>(Sales[[#This Row],[Gross Amount]]-Sales[[#This Row],[Disc. Amt.]])*Sales[[#This Row],[GST %]]</f>
        <v>1984.5</v>
      </c>
      <c r="N1447" s="161">
        <f>Sales[[#This Row],[Gross Amount]]-Sales[[#This Row],[Disc. Amt.]]+Sales[[#This Row],[GST Amount]]</f>
        <v>13009.5</v>
      </c>
      <c r="O1447" s="158" t="s">
        <v>3561</v>
      </c>
      <c r="P1447" s="158" t="s">
        <v>3562</v>
      </c>
      <c r="Q1447" s="160">
        <f>IF(Sales[[#This Row],[Status]]="Cancelled",0,Sales[[#This Row],[Qty]])</f>
        <v>1</v>
      </c>
      <c r="R1447" s="161">
        <f>IF(Sales[[#This Row],[Status]]="Cancelled",0,Sales[[#This Row],[Total Amount]])</f>
        <v>13009.5</v>
      </c>
      <c r="S1447" s="162">
        <f>SUM(Sales[Net Amount])</f>
        <v>406839287.73200053</v>
      </c>
    </row>
    <row r="1448" spans="1:19" ht="18.75" x14ac:dyDescent="0.25">
      <c r="A1448" s="163" t="s">
        <v>5052</v>
      </c>
      <c r="B1448" s="164">
        <v>45852</v>
      </c>
      <c r="C1448" s="34" t="s">
        <v>698</v>
      </c>
      <c r="D1448" s="53" t="str">
        <f>VLOOKUP(Sales[[#This Row],[Customer ID]],Customer[#All],2,0)</f>
        <v>Neha Sharma</v>
      </c>
      <c r="E1448" s="34" t="s">
        <v>84</v>
      </c>
      <c r="F1448" s="34" t="str">
        <f>VLOOKUP(Sales[[#This Row],[Product ID]],Product[#All],2,0)</f>
        <v>HP Mouse</v>
      </c>
      <c r="G1448" s="53">
        <v>8</v>
      </c>
      <c r="H1448" s="165">
        <f>VLOOKUP(Sales[[#This Row],[Product ID]],Product[#All],7,0)</f>
        <v>1240</v>
      </c>
      <c r="I1448" s="165">
        <f>Sales[[#This Row],[Selling Rate]]*Sales[[#This Row],[Qty]]</f>
        <v>9920</v>
      </c>
      <c r="J1448" s="45">
        <v>0.05</v>
      </c>
      <c r="K1448" s="46">
        <f>Sales[[#This Row],[Gross Amount]]*Sales[[#This Row],[Disc %]]</f>
        <v>496</v>
      </c>
      <c r="L1448" s="43">
        <v>0.18</v>
      </c>
      <c r="M1448" s="46">
        <f>(Sales[[#This Row],[Gross Amount]]-Sales[[#This Row],[Disc. Amt.]])*Sales[[#This Row],[GST %]]</f>
        <v>1696.32</v>
      </c>
      <c r="N1448" s="161">
        <f>Sales[[#This Row],[Gross Amount]]-Sales[[#This Row],[Disc. Amt.]]+Sales[[#This Row],[GST Amount]]</f>
        <v>11120.32</v>
      </c>
      <c r="O1448" s="34" t="s">
        <v>8876</v>
      </c>
      <c r="P1448" s="34" t="s">
        <v>3562</v>
      </c>
      <c r="Q1448" s="165">
        <f>IF(Sales[[#This Row],[Status]]="Cancelled",0,Sales[[#This Row],[Qty]])</f>
        <v>8</v>
      </c>
      <c r="R1448" s="166">
        <f>IF(Sales[[#This Row],[Status]]="Cancelled",0,Sales[[#This Row],[Total Amount]])</f>
        <v>11120.32</v>
      </c>
      <c r="S1448" s="162">
        <f>SUM(Sales[Net Amount])</f>
        <v>406839287.73200053</v>
      </c>
    </row>
    <row r="1449" spans="1:19" ht="18.75" x14ac:dyDescent="0.25">
      <c r="A1449" s="156" t="s">
        <v>5053</v>
      </c>
      <c r="B1449" s="157">
        <v>45852</v>
      </c>
      <c r="C1449" s="158" t="s">
        <v>881</v>
      </c>
      <c r="D1449" s="159" t="str">
        <f>VLOOKUP(Sales[[#This Row],[Customer ID]],Customer[#All],2,0)</f>
        <v>Vikas Verma</v>
      </c>
      <c r="E1449" s="158" t="s">
        <v>30</v>
      </c>
      <c r="F1449" s="158" t="str">
        <f>VLOOKUP(Sales[[#This Row],[Product ID]],Product[#All],2,0)</f>
        <v>Samsung Monitor</v>
      </c>
      <c r="G1449" s="159">
        <v>5</v>
      </c>
      <c r="H1449" s="160">
        <f>VLOOKUP(Sales[[#This Row],[Product ID]],Product[#All],7,0)</f>
        <v>16740</v>
      </c>
      <c r="I1449" s="160">
        <f>Sales[[#This Row],[Selling Rate]]*Sales[[#This Row],[Qty]]</f>
        <v>83700</v>
      </c>
      <c r="J1449" s="43">
        <v>0.15</v>
      </c>
      <c r="K1449" s="44">
        <f>Sales[[#This Row],[Gross Amount]]*Sales[[#This Row],[Disc %]]</f>
        <v>12555</v>
      </c>
      <c r="L1449" s="43">
        <v>0.18</v>
      </c>
      <c r="M1449" s="44">
        <f>(Sales[[#This Row],[Gross Amount]]-Sales[[#This Row],[Disc. Amt.]])*Sales[[#This Row],[GST %]]</f>
        <v>12806.1</v>
      </c>
      <c r="N1449" s="161">
        <f>Sales[[#This Row],[Gross Amount]]-Sales[[#This Row],[Disc. Amt.]]+Sales[[#This Row],[GST Amount]]</f>
        <v>83951.1</v>
      </c>
      <c r="O1449" s="158" t="s">
        <v>8876</v>
      </c>
      <c r="P1449" s="158" t="s">
        <v>3562</v>
      </c>
      <c r="Q1449" s="160">
        <f>IF(Sales[[#This Row],[Status]]="Cancelled",0,Sales[[#This Row],[Qty]])</f>
        <v>5</v>
      </c>
      <c r="R1449" s="161">
        <f>IF(Sales[[#This Row],[Status]]="Cancelled",0,Sales[[#This Row],[Total Amount]])</f>
        <v>83951.1</v>
      </c>
      <c r="S1449" s="162">
        <f>SUM(Sales[Net Amount])</f>
        <v>406839287.73200053</v>
      </c>
    </row>
    <row r="1450" spans="1:19" ht="18.75" x14ac:dyDescent="0.25">
      <c r="A1450" s="163" t="s">
        <v>5054</v>
      </c>
      <c r="B1450" s="164">
        <v>45852</v>
      </c>
      <c r="C1450" s="34" t="s">
        <v>741</v>
      </c>
      <c r="D1450" s="53" t="str">
        <f>VLOOKUP(Sales[[#This Row],[Customer ID]],Customer[#All],2,0)</f>
        <v>Rahul Patel</v>
      </c>
      <c r="E1450" s="34" t="s">
        <v>118</v>
      </c>
      <c r="F1450" s="34" t="str">
        <f>VLOOKUP(Sales[[#This Row],[Product ID]],Product[#All],2,0)</f>
        <v>American TouristerLaptopBag</v>
      </c>
      <c r="G1450" s="53">
        <v>3</v>
      </c>
      <c r="H1450" s="165">
        <f>VLOOKUP(Sales[[#This Row],[Product ID]],Product[#All],7,0)</f>
        <v>4160</v>
      </c>
      <c r="I1450" s="165">
        <f>Sales[[#This Row],[Selling Rate]]*Sales[[#This Row],[Qty]]</f>
        <v>12480</v>
      </c>
      <c r="J1450" s="45">
        <v>0.05</v>
      </c>
      <c r="K1450" s="46">
        <f>Sales[[#This Row],[Gross Amount]]*Sales[[#This Row],[Disc %]]</f>
        <v>624</v>
      </c>
      <c r="L1450" s="43">
        <v>0.18</v>
      </c>
      <c r="M1450" s="46">
        <f>(Sales[[#This Row],[Gross Amount]]-Sales[[#This Row],[Disc. Amt.]])*Sales[[#This Row],[GST %]]</f>
        <v>2134.08</v>
      </c>
      <c r="N1450" s="161">
        <f>Sales[[#This Row],[Gross Amount]]-Sales[[#This Row],[Disc. Amt.]]+Sales[[#This Row],[GST Amount]]</f>
        <v>13990.08</v>
      </c>
      <c r="O1450" s="34" t="s">
        <v>3566</v>
      </c>
      <c r="P1450" s="34" t="s">
        <v>3562</v>
      </c>
      <c r="Q1450" s="165">
        <f>IF(Sales[[#This Row],[Status]]="Cancelled",0,Sales[[#This Row],[Qty]])</f>
        <v>3</v>
      </c>
      <c r="R1450" s="166">
        <f>IF(Sales[[#This Row],[Status]]="Cancelled",0,Sales[[#This Row],[Total Amount]])</f>
        <v>13990.08</v>
      </c>
      <c r="S1450" s="162">
        <f>SUM(Sales[Net Amount])</f>
        <v>406839287.73200053</v>
      </c>
    </row>
    <row r="1451" spans="1:19" ht="18.75" x14ac:dyDescent="0.25">
      <c r="A1451" s="156" t="s">
        <v>5055</v>
      </c>
      <c r="B1451" s="157">
        <v>45852</v>
      </c>
      <c r="C1451" s="158" t="s">
        <v>858</v>
      </c>
      <c r="D1451" s="159" t="str">
        <f>VLOOKUP(Sales[[#This Row],[Customer ID]],Customer[#All],2,0)</f>
        <v>Neha Sharma</v>
      </c>
      <c r="E1451" s="158" t="s">
        <v>403</v>
      </c>
      <c r="F1451" s="158" t="str">
        <f>VLOOKUP(Sales[[#This Row],[Product ID]],Product[#All],2,0)</f>
        <v>Apc UPS</v>
      </c>
      <c r="G1451" s="159">
        <v>2</v>
      </c>
      <c r="H1451" s="160">
        <f>VLOOKUP(Sales[[#This Row],[Product ID]],Product[#All],7,0)</f>
        <v>15810</v>
      </c>
      <c r="I1451" s="160">
        <f>Sales[[#This Row],[Selling Rate]]*Sales[[#This Row],[Qty]]</f>
        <v>31620</v>
      </c>
      <c r="J1451" s="43">
        <v>0.05</v>
      </c>
      <c r="K1451" s="44">
        <f>Sales[[#This Row],[Gross Amount]]*Sales[[#This Row],[Disc %]]</f>
        <v>1581</v>
      </c>
      <c r="L1451" s="43">
        <v>0.18</v>
      </c>
      <c r="M1451" s="44">
        <f>(Sales[[#This Row],[Gross Amount]]-Sales[[#This Row],[Disc. Amt.]])*Sales[[#This Row],[GST %]]</f>
        <v>5407.0199999999995</v>
      </c>
      <c r="N1451" s="161">
        <f>Sales[[#This Row],[Gross Amount]]-Sales[[#This Row],[Disc. Amt.]]+Sales[[#This Row],[GST Amount]]</f>
        <v>35446.019999999997</v>
      </c>
      <c r="O1451" s="158" t="s">
        <v>3561</v>
      </c>
      <c r="P1451" s="158" t="s">
        <v>3562</v>
      </c>
      <c r="Q1451" s="160">
        <f>IF(Sales[[#This Row],[Status]]="Cancelled",0,Sales[[#This Row],[Qty]])</f>
        <v>2</v>
      </c>
      <c r="R1451" s="161">
        <f>IF(Sales[[#This Row],[Status]]="Cancelled",0,Sales[[#This Row],[Total Amount]])</f>
        <v>35446.019999999997</v>
      </c>
      <c r="S1451" s="162">
        <f>SUM(Sales[Net Amount])</f>
        <v>406839287.73200053</v>
      </c>
    </row>
    <row r="1452" spans="1:19" ht="18.75" x14ac:dyDescent="0.25">
      <c r="A1452" s="163" t="s">
        <v>5056</v>
      </c>
      <c r="B1452" s="164">
        <v>45852</v>
      </c>
      <c r="C1452" s="34" t="s">
        <v>743</v>
      </c>
      <c r="D1452" s="53" t="str">
        <f>VLOOKUP(Sales[[#This Row],[Customer ID]],Customer[#All],2,0)</f>
        <v>Rahul Gupta</v>
      </c>
      <c r="E1452" s="34" t="s">
        <v>173</v>
      </c>
      <c r="F1452" s="34" t="str">
        <f>VLOOKUP(Sales[[#This Row],[Product ID]],Product[#All],2,0)</f>
        <v>HP Desktop</v>
      </c>
      <c r="G1452" s="53">
        <v>4</v>
      </c>
      <c r="H1452" s="165">
        <f>VLOOKUP(Sales[[#This Row],[Product ID]],Product[#All],7,0)</f>
        <v>69180</v>
      </c>
      <c r="I1452" s="165">
        <f>Sales[[#This Row],[Selling Rate]]*Sales[[#This Row],[Qty]]</f>
        <v>276720</v>
      </c>
      <c r="J1452" s="45">
        <v>0.15</v>
      </c>
      <c r="K1452" s="46">
        <f>Sales[[#This Row],[Gross Amount]]*Sales[[#This Row],[Disc %]]</f>
        <v>41508</v>
      </c>
      <c r="L1452" s="43">
        <v>0.18</v>
      </c>
      <c r="M1452" s="46">
        <f>(Sales[[#This Row],[Gross Amount]]-Sales[[#This Row],[Disc. Amt.]])*Sales[[#This Row],[GST %]]</f>
        <v>42338.159999999996</v>
      </c>
      <c r="N1452" s="161">
        <f>Sales[[#This Row],[Gross Amount]]-Sales[[#This Row],[Disc. Amt.]]+Sales[[#This Row],[GST Amount]]</f>
        <v>277550.15999999997</v>
      </c>
      <c r="O1452" s="34" t="s">
        <v>8876</v>
      </c>
      <c r="P1452" s="34" t="s">
        <v>3562</v>
      </c>
      <c r="Q1452" s="165">
        <f>IF(Sales[[#This Row],[Status]]="Cancelled",0,Sales[[#This Row],[Qty]])</f>
        <v>4</v>
      </c>
      <c r="R1452" s="166">
        <f>IF(Sales[[#This Row],[Status]]="Cancelled",0,Sales[[#This Row],[Total Amount]])</f>
        <v>277550.15999999997</v>
      </c>
      <c r="S1452" s="162">
        <f>SUM(Sales[Net Amount])</f>
        <v>406839287.73200053</v>
      </c>
    </row>
    <row r="1453" spans="1:19" ht="18.75" x14ac:dyDescent="0.25">
      <c r="A1453" s="156" t="s">
        <v>5057</v>
      </c>
      <c r="B1453" s="157">
        <v>45852</v>
      </c>
      <c r="C1453" s="158" t="s">
        <v>868</v>
      </c>
      <c r="D1453" s="159" t="str">
        <f>VLOOKUP(Sales[[#This Row],[Customer ID]],Customer[#All],2,0)</f>
        <v>Rahul Verma</v>
      </c>
      <c r="E1453" s="158" t="s">
        <v>192</v>
      </c>
      <c r="F1453" s="158" t="str">
        <f>VLOOKUP(Sales[[#This Row],[Product ID]],Product[#All],2,0)</f>
        <v>HP Laptop</v>
      </c>
      <c r="G1453" s="159">
        <v>8</v>
      </c>
      <c r="H1453" s="160">
        <f>VLOOKUP(Sales[[#This Row],[Product ID]],Product[#All],7,0)</f>
        <v>59870</v>
      </c>
      <c r="I1453" s="160">
        <f>Sales[[#This Row],[Selling Rate]]*Sales[[#This Row],[Qty]]</f>
        <v>478960</v>
      </c>
      <c r="J1453" s="43">
        <v>0.12</v>
      </c>
      <c r="K1453" s="44">
        <f>Sales[[#This Row],[Gross Amount]]*Sales[[#This Row],[Disc %]]</f>
        <v>57475.199999999997</v>
      </c>
      <c r="L1453" s="43">
        <v>0.18</v>
      </c>
      <c r="M1453" s="44">
        <f>(Sales[[#This Row],[Gross Amount]]-Sales[[#This Row],[Disc. Amt.]])*Sales[[#This Row],[GST %]]</f>
        <v>75867.263999999996</v>
      </c>
      <c r="N1453" s="161">
        <f>Sales[[#This Row],[Gross Amount]]-Sales[[#This Row],[Disc. Amt.]]+Sales[[#This Row],[GST Amount]]</f>
        <v>497352.06400000001</v>
      </c>
      <c r="O1453" s="158" t="s">
        <v>3566</v>
      </c>
      <c r="P1453" s="158" t="s">
        <v>3562</v>
      </c>
      <c r="Q1453" s="160">
        <f>IF(Sales[[#This Row],[Status]]="Cancelled",0,Sales[[#This Row],[Qty]])</f>
        <v>8</v>
      </c>
      <c r="R1453" s="161">
        <f>IF(Sales[[#This Row],[Status]]="Cancelled",0,Sales[[#This Row],[Total Amount]])</f>
        <v>497352.06400000001</v>
      </c>
      <c r="S1453" s="162">
        <f>SUM(Sales[Net Amount])</f>
        <v>406839287.73200053</v>
      </c>
    </row>
    <row r="1454" spans="1:19" ht="18.75" x14ac:dyDescent="0.25">
      <c r="A1454" s="163" t="s">
        <v>5058</v>
      </c>
      <c r="B1454" s="164">
        <v>45852</v>
      </c>
      <c r="C1454" s="34" t="s">
        <v>828</v>
      </c>
      <c r="D1454" s="53" t="str">
        <f>VLOOKUP(Sales[[#This Row],[Customer ID]],Customer[#All],2,0)</f>
        <v>Ankit Verma</v>
      </c>
      <c r="E1454" s="34" t="s">
        <v>131</v>
      </c>
      <c r="F1454" s="34" t="str">
        <f>VLOOKUP(Sales[[#This Row],[Product ID]],Product[#All],2,0)</f>
        <v>HP Power Adapter</v>
      </c>
      <c r="G1454" s="53">
        <v>8</v>
      </c>
      <c r="H1454" s="165">
        <f>VLOOKUP(Sales[[#This Row],[Product ID]],Product[#All],7,0)</f>
        <v>2540</v>
      </c>
      <c r="I1454" s="165">
        <f>Sales[[#This Row],[Selling Rate]]*Sales[[#This Row],[Qty]]</f>
        <v>20320</v>
      </c>
      <c r="J1454" s="45">
        <v>0.05</v>
      </c>
      <c r="K1454" s="46">
        <f>Sales[[#This Row],[Gross Amount]]*Sales[[#This Row],[Disc %]]</f>
        <v>1016</v>
      </c>
      <c r="L1454" s="43">
        <v>0.18</v>
      </c>
      <c r="M1454" s="46">
        <f>(Sales[[#This Row],[Gross Amount]]-Sales[[#This Row],[Disc. Amt.]])*Sales[[#This Row],[GST %]]</f>
        <v>3474.72</v>
      </c>
      <c r="N1454" s="161">
        <f>Sales[[#This Row],[Gross Amount]]-Sales[[#This Row],[Disc. Amt.]]+Sales[[#This Row],[GST Amount]]</f>
        <v>22778.720000000001</v>
      </c>
      <c r="O1454" s="34" t="s">
        <v>8876</v>
      </c>
      <c r="P1454" s="34" t="s">
        <v>3562</v>
      </c>
      <c r="Q1454" s="165">
        <f>IF(Sales[[#This Row],[Status]]="Cancelled",0,Sales[[#This Row],[Qty]])</f>
        <v>8</v>
      </c>
      <c r="R1454" s="166">
        <f>IF(Sales[[#This Row],[Status]]="Cancelled",0,Sales[[#This Row],[Total Amount]])</f>
        <v>22778.720000000001</v>
      </c>
      <c r="S1454" s="162">
        <f>SUM(Sales[Net Amount])</f>
        <v>406839287.73200053</v>
      </c>
    </row>
    <row r="1455" spans="1:19" ht="18.75" x14ac:dyDescent="0.25">
      <c r="A1455" s="156" t="s">
        <v>5059</v>
      </c>
      <c r="B1455" s="157">
        <v>45852</v>
      </c>
      <c r="C1455" s="158" t="s">
        <v>945</v>
      </c>
      <c r="D1455" s="159" t="str">
        <f>VLOOKUP(Sales[[#This Row],[Customer ID]],Customer[#All],2,0)</f>
        <v>Rahul Singh</v>
      </c>
      <c r="E1455" s="158" t="s">
        <v>504</v>
      </c>
      <c r="F1455" s="158" t="str">
        <f>VLOOKUP(Sales[[#This Row],[Product ID]],Product[#All],2,0)</f>
        <v>Logitech Keyboard</v>
      </c>
      <c r="G1455" s="159">
        <v>6</v>
      </c>
      <c r="H1455" s="160">
        <f>VLOOKUP(Sales[[#This Row],[Product ID]],Product[#All],7,0)</f>
        <v>3930</v>
      </c>
      <c r="I1455" s="160">
        <f>Sales[[#This Row],[Selling Rate]]*Sales[[#This Row],[Qty]]</f>
        <v>23580</v>
      </c>
      <c r="J1455" s="43">
        <v>0.12</v>
      </c>
      <c r="K1455" s="44">
        <f>Sales[[#This Row],[Gross Amount]]*Sales[[#This Row],[Disc %]]</f>
        <v>2829.6</v>
      </c>
      <c r="L1455" s="43">
        <v>0.18</v>
      </c>
      <c r="M1455" s="44">
        <f>(Sales[[#This Row],[Gross Amount]]-Sales[[#This Row],[Disc. Amt.]])*Sales[[#This Row],[GST %]]</f>
        <v>3735.0720000000001</v>
      </c>
      <c r="N1455" s="161">
        <f>Sales[[#This Row],[Gross Amount]]-Sales[[#This Row],[Disc. Amt.]]+Sales[[#This Row],[GST Amount]]</f>
        <v>24485.472000000002</v>
      </c>
      <c r="O1455" s="158" t="s">
        <v>3561</v>
      </c>
      <c r="P1455" s="158" t="s">
        <v>3562</v>
      </c>
      <c r="Q1455" s="160">
        <f>IF(Sales[[#This Row],[Status]]="Cancelled",0,Sales[[#This Row],[Qty]])</f>
        <v>6</v>
      </c>
      <c r="R1455" s="161">
        <f>IF(Sales[[#This Row],[Status]]="Cancelled",0,Sales[[#This Row],[Total Amount]])</f>
        <v>24485.472000000002</v>
      </c>
      <c r="S1455" s="162">
        <f>SUM(Sales[Net Amount])</f>
        <v>406839287.73200053</v>
      </c>
    </row>
    <row r="1456" spans="1:19" ht="18.75" x14ac:dyDescent="0.25">
      <c r="A1456" s="163" t="s">
        <v>5060</v>
      </c>
      <c r="B1456" s="164">
        <v>45852</v>
      </c>
      <c r="C1456" s="34" t="s">
        <v>855</v>
      </c>
      <c r="D1456" s="53" t="str">
        <f>VLOOKUP(Sales[[#This Row],[Customer ID]],Customer[#All],2,0)</f>
        <v>Sahil Singh</v>
      </c>
      <c r="E1456" s="34" t="s">
        <v>416</v>
      </c>
      <c r="F1456" s="34" t="str">
        <f>VLOOKUP(Sales[[#This Row],[Product ID]],Product[#All],2,0)</f>
        <v>Portronics USB Cable</v>
      </c>
      <c r="G1456" s="53">
        <v>1</v>
      </c>
      <c r="H1456" s="165">
        <f>VLOOKUP(Sales[[#This Row],[Product ID]],Product[#All],7,0)</f>
        <v>960</v>
      </c>
      <c r="I1456" s="165">
        <f>Sales[[#This Row],[Selling Rate]]*Sales[[#This Row],[Qty]]</f>
        <v>960</v>
      </c>
      <c r="J1456" s="45">
        <v>0.12</v>
      </c>
      <c r="K1456" s="46">
        <f>Sales[[#This Row],[Gross Amount]]*Sales[[#This Row],[Disc %]]</f>
        <v>115.19999999999999</v>
      </c>
      <c r="L1456" s="43">
        <v>0.18</v>
      </c>
      <c r="M1456" s="46">
        <f>(Sales[[#This Row],[Gross Amount]]-Sales[[#This Row],[Disc. Amt.]])*Sales[[#This Row],[GST %]]</f>
        <v>152.06399999999999</v>
      </c>
      <c r="N1456" s="161">
        <f>Sales[[#This Row],[Gross Amount]]-Sales[[#This Row],[Disc. Amt.]]+Sales[[#This Row],[GST Amount]]</f>
        <v>996.86399999999992</v>
      </c>
      <c r="O1456" s="34" t="s">
        <v>3569</v>
      </c>
      <c r="P1456" s="34" t="s">
        <v>3562</v>
      </c>
      <c r="Q1456" s="165">
        <f>IF(Sales[[#This Row],[Status]]="Cancelled",0,Sales[[#This Row],[Qty]])</f>
        <v>1</v>
      </c>
      <c r="R1456" s="166">
        <f>IF(Sales[[#This Row],[Status]]="Cancelled",0,Sales[[#This Row],[Total Amount]])</f>
        <v>996.86399999999992</v>
      </c>
      <c r="S1456" s="162">
        <f>SUM(Sales[Net Amount])</f>
        <v>406839287.73200053</v>
      </c>
    </row>
    <row r="1457" spans="1:19" ht="18.75" x14ac:dyDescent="0.25">
      <c r="A1457" s="156" t="s">
        <v>5061</v>
      </c>
      <c r="B1457" s="157">
        <v>45852</v>
      </c>
      <c r="C1457" s="158" t="s">
        <v>941</v>
      </c>
      <c r="D1457" s="159" t="str">
        <f>VLOOKUP(Sales[[#This Row],[Customer ID]],Customer[#All],2,0)</f>
        <v>Sahil Verma</v>
      </c>
      <c r="E1457" s="158" t="s">
        <v>10</v>
      </c>
      <c r="F1457" s="158" t="str">
        <f>VLOOKUP(Sales[[#This Row],[Product ID]],Product[#All],2,0)</f>
        <v>Dell Monitor</v>
      </c>
      <c r="G1457" s="159">
        <v>8</v>
      </c>
      <c r="H1457" s="160">
        <f>VLOOKUP(Sales[[#This Row],[Product ID]],Product[#All],7,0)</f>
        <v>17230</v>
      </c>
      <c r="I1457" s="160">
        <f>Sales[[#This Row],[Selling Rate]]*Sales[[#This Row],[Qty]]</f>
        <v>137840</v>
      </c>
      <c r="J1457" s="43">
        <v>0.02</v>
      </c>
      <c r="K1457" s="44">
        <f>Sales[[#This Row],[Gross Amount]]*Sales[[#This Row],[Disc %]]</f>
        <v>2756.8</v>
      </c>
      <c r="L1457" s="43">
        <v>0.18</v>
      </c>
      <c r="M1457" s="44">
        <f>(Sales[[#This Row],[Gross Amount]]-Sales[[#This Row],[Disc. Amt.]])*Sales[[#This Row],[GST %]]</f>
        <v>24314.976000000002</v>
      </c>
      <c r="N1457" s="161">
        <f>Sales[[#This Row],[Gross Amount]]-Sales[[#This Row],[Disc. Amt.]]+Sales[[#This Row],[GST Amount]]</f>
        <v>159398.17600000001</v>
      </c>
      <c r="O1457" s="158" t="s">
        <v>3561</v>
      </c>
      <c r="P1457" s="158" t="s">
        <v>3562</v>
      </c>
      <c r="Q1457" s="160">
        <f>IF(Sales[[#This Row],[Status]]="Cancelled",0,Sales[[#This Row],[Qty]])</f>
        <v>8</v>
      </c>
      <c r="R1457" s="161">
        <f>IF(Sales[[#This Row],[Status]]="Cancelled",0,Sales[[#This Row],[Total Amount]])</f>
        <v>159398.17600000001</v>
      </c>
      <c r="S1457" s="162">
        <f>SUM(Sales[Net Amount])</f>
        <v>406839287.73200053</v>
      </c>
    </row>
    <row r="1458" spans="1:19" ht="18.75" x14ac:dyDescent="0.25">
      <c r="A1458" s="163" t="s">
        <v>5062</v>
      </c>
      <c r="B1458" s="164">
        <v>45852</v>
      </c>
      <c r="C1458" s="34" t="s">
        <v>728</v>
      </c>
      <c r="D1458" s="53" t="str">
        <f>VLOOKUP(Sales[[#This Row],[Customer ID]],Customer[#All],2,0)</f>
        <v>Rahul Gupta</v>
      </c>
      <c r="E1458" s="34" t="s">
        <v>480</v>
      </c>
      <c r="F1458" s="34" t="str">
        <f>VLOOKUP(Sales[[#This Row],[Product ID]],Product[#All],2,0)</f>
        <v>TP-link Bluetooth Adapter</v>
      </c>
      <c r="G1458" s="53">
        <v>3</v>
      </c>
      <c r="H1458" s="165">
        <f>VLOOKUP(Sales[[#This Row],[Product ID]],Product[#All],7,0)</f>
        <v>1670</v>
      </c>
      <c r="I1458" s="165">
        <f>Sales[[#This Row],[Selling Rate]]*Sales[[#This Row],[Qty]]</f>
        <v>5010</v>
      </c>
      <c r="J1458" s="45">
        <v>0.15</v>
      </c>
      <c r="K1458" s="46">
        <f>Sales[[#This Row],[Gross Amount]]*Sales[[#This Row],[Disc %]]</f>
        <v>751.5</v>
      </c>
      <c r="L1458" s="43">
        <v>0.18</v>
      </c>
      <c r="M1458" s="46">
        <f>(Sales[[#This Row],[Gross Amount]]-Sales[[#This Row],[Disc. Amt.]])*Sales[[#This Row],[GST %]]</f>
        <v>766.53</v>
      </c>
      <c r="N1458" s="161">
        <f>Sales[[#This Row],[Gross Amount]]-Sales[[#This Row],[Disc. Amt.]]+Sales[[#This Row],[GST Amount]]</f>
        <v>5025.03</v>
      </c>
      <c r="O1458" s="34" t="s">
        <v>3561</v>
      </c>
      <c r="P1458" s="34" t="s">
        <v>3562</v>
      </c>
      <c r="Q1458" s="165">
        <f>IF(Sales[[#This Row],[Status]]="Cancelled",0,Sales[[#This Row],[Qty]])</f>
        <v>3</v>
      </c>
      <c r="R1458" s="166">
        <f>IF(Sales[[#This Row],[Status]]="Cancelled",0,Sales[[#This Row],[Total Amount]])</f>
        <v>5025.03</v>
      </c>
      <c r="S1458" s="162">
        <f>SUM(Sales[Net Amount])</f>
        <v>406839287.73200053</v>
      </c>
    </row>
    <row r="1459" spans="1:19" ht="18.75" x14ac:dyDescent="0.25">
      <c r="A1459" s="156" t="s">
        <v>5063</v>
      </c>
      <c r="B1459" s="157">
        <v>45852</v>
      </c>
      <c r="C1459" s="158" t="s">
        <v>732</v>
      </c>
      <c r="D1459" s="159" t="str">
        <f>VLOOKUP(Sales[[#This Row],[Customer ID]],Customer[#All],2,0)</f>
        <v>Sunita Gupta</v>
      </c>
      <c r="E1459" s="158" t="s">
        <v>28</v>
      </c>
      <c r="F1459" s="158" t="str">
        <f>VLOOKUP(Sales[[#This Row],[Product ID]],Product[#All],2,0)</f>
        <v>Lenovo Laptop</v>
      </c>
      <c r="G1459" s="159">
        <v>4</v>
      </c>
      <c r="H1459" s="160">
        <f>VLOOKUP(Sales[[#This Row],[Product ID]],Product[#All],7,0)</f>
        <v>86330</v>
      </c>
      <c r="I1459" s="160">
        <f>Sales[[#This Row],[Selling Rate]]*Sales[[#This Row],[Qty]]</f>
        <v>345320</v>
      </c>
      <c r="J1459" s="43">
        <v>0.12</v>
      </c>
      <c r="K1459" s="44">
        <f>Sales[[#This Row],[Gross Amount]]*Sales[[#This Row],[Disc %]]</f>
        <v>41438.400000000001</v>
      </c>
      <c r="L1459" s="43">
        <v>0.18</v>
      </c>
      <c r="M1459" s="44">
        <f>(Sales[[#This Row],[Gross Amount]]-Sales[[#This Row],[Disc. Amt.]])*Sales[[#This Row],[GST %]]</f>
        <v>54698.687999999995</v>
      </c>
      <c r="N1459" s="161">
        <f>Sales[[#This Row],[Gross Amount]]-Sales[[#This Row],[Disc. Amt.]]+Sales[[#This Row],[GST Amount]]</f>
        <v>358580.28799999994</v>
      </c>
      <c r="O1459" s="158" t="s">
        <v>3566</v>
      </c>
      <c r="P1459" s="158" t="s">
        <v>3562</v>
      </c>
      <c r="Q1459" s="160">
        <f>IF(Sales[[#This Row],[Status]]="Cancelled",0,Sales[[#This Row],[Qty]])</f>
        <v>4</v>
      </c>
      <c r="R1459" s="161">
        <f>IF(Sales[[#This Row],[Status]]="Cancelled",0,Sales[[#This Row],[Total Amount]])</f>
        <v>358580.28799999994</v>
      </c>
      <c r="S1459" s="162">
        <f>SUM(Sales[Net Amount])</f>
        <v>406839287.73200053</v>
      </c>
    </row>
    <row r="1460" spans="1:19" ht="18.75" x14ac:dyDescent="0.25">
      <c r="A1460" s="163" t="s">
        <v>5064</v>
      </c>
      <c r="B1460" s="164">
        <v>45852</v>
      </c>
      <c r="C1460" s="34" t="s">
        <v>894</v>
      </c>
      <c r="D1460" s="53" t="str">
        <f>VLOOKUP(Sales[[#This Row],[Customer ID]],Customer[#All],2,0)</f>
        <v>Sunita Patel</v>
      </c>
      <c r="E1460" s="34" t="s">
        <v>112</v>
      </c>
      <c r="F1460" s="34" t="str">
        <f>VLOOKUP(Sales[[#This Row],[Product ID]],Product[#All],2,0)</f>
        <v>Logitech Keyboard</v>
      </c>
      <c r="G1460" s="53">
        <v>2</v>
      </c>
      <c r="H1460" s="165">
        <f>VLOOKUP(Sales[[#This Row],[Product ID]],Product[#All],7,0)</f>
        <v>3300</v>
      </c>
      <c r="I1460" s="165">
        <f>Sales[[#This Row],[Selling Rate]]*Sales[[#This Row],[Qty]]</f>
        <v>6600</v>
      </c>
      <c r="J1460" s="45">
        <v>0.05</v>
      </c>
      <c r="K1460" s="46">
        <f>Sales[[#This Row],[Gross Amount]]*Sales[[#This Row],[Disc %]]</f>
        <v>330</v>
      </c>
      <c r="L1460" s="43">
        <v>0.18</v>
      </c>
      <c r="M1460" s="46">
        <f>(Sales[[#This Row],[Gross Amount]]-Sales[[#This Row],[Disc. Amt.]])*Sales[[#This Row],[GST %]]</f>
        <v>1128.5999999999999</v>
      </c>
      <c r="N1460" s="161">
        <f>Sales[[#This Row],[Gross Amount]]-Sales[[#This Row],[Disc. Amt.]]+Sales[[#This Row],[GST Amount]]</f>
        <v>7398.6</v>
      </c>
      <c r="O1460" s="34" t="s">
        <v>8876</v>
      </c>
      <c r="P1460" s="34" t="s">
        <v>3562</v>
      </c>
      <c r="Q1460" s="165">
        <f>IF(Sales[[#This Row],[Status]]="Cancelled",0,Sales[[#This Row],[Qty]])</f>
        <v>2</v>
      </c>
      <c r="R1460" s="166">
        <f>IF(Sales[[#This Row],[Status]]="Cancelled",0,Sales[[#This Row],[Total Amount]])</f>
        <v>7398.6</v>
      </c>
      <c r="S1460" s="162">
        <f>SUM(Sales[Net Amount])</f>
        <v>406839287.73200053</v>
      </c>
    </row>
    <row r="1461" spans="1:19" ht="18.75" x14ac:dyDescent="0.25">
      <c r="A1461" s="156" t="s">
        <v>5065</v>
      </c>
      <c r="B1461" s="157">
        <v>45852</v>
      </c>
      <c r="C1461" s="158" t="s">
        <v>836</v>
      </c>
      <c r="D1461" s="159" t="str">
        <f>VLOOKUP(Sales[[#This Row],[Customer ID]],Customer[#All],2,0)</f>
        <v>Sunita Patel</v>
      </c>
      <c r="E1461" s="158" t="s">
        <v>456</v>
      </c>
      <c r="F1461" s="158" t="str">
        <f>VLOOKUP(Sales[[#This Row],[Product ID]],Product[#All],2,0)</f>
        <v>Acer Laptop</v>
      </c>
      <c r="G1461" s="159">
        <v>7</v>
      </c>
      <c r="H1461" s="160">
        <f>VLOOKUP(Sales[[#This Row],[Product ID]],Product[#All],7,0)</f>
        <v>66790</v>
      </c>
      <c r="I1461" s="160">
        <f>Sales[[#This Row],[Selling Rate]]*Sales[[#This Row],[Qty]]</f>
        <v>467530</v>
      </c>
      <c r="J1461" s="43">
        <v>0.02</v>
      </c>
      <c r="K1461" s="44">
        <f>Sales[[#This Row],[Gross Amount]]*Sales[[#This Row],[Disc %]]</f>
        <v>9350.6</v>
      </c>
      <c r="L1461" s="43">
        <v>0.18</v>
      </c>
      <c r="M1461" s="44">
        <f>(Sales[[#This Row],[Gross Amount]]-Sales[[#This Row],[Disc. Amt.]])*Sales[[#This Row],[GST %]]</f>
        <v>82472.292000000001</v>
      </c>
      <c r="N1461" s="161">
        <f>Sales[[#This Row],[Gross Amount]]-Sales[[#This Row],[Disc. Amt.]]+Sales[[#This Row],[GST Amount]]</f>
        <v>540651.69200000004</v>
      </c>
      <c r="O1461" s="158" t="s">
        <v>3561</v>
      </c>
      <c r="P1461" s="158" t="s">
        <v>3562</v>
      </c>
      <c r="Q1461" s="160">
        <f>IF(Sales[[#This Row],[Status]]="Cancelled",0,Sales[[#This Row],[Qty]])</f>
        <v>7</v>
      </c>
      <c r="R1461" s="161">
        <f>IF(Sales[[#This Row],[Status]]="Cancelled",0,Sales[[#This Row],[Total Amount]])</f>
        <v>540651.69200000004</v>
      </c>
      <c r="S1461" s="162">
        <f>SUM(Sales[Net Amount])</f>
        <v>406839287.73200053</v>
      </c>
    </row>
    <row r="1462" spans="1:19" ht="18.75" x14ac:dyDescent="0.25">
      <c r="A1462" s="163" t="s">
        <v>5066</v>
      </c>
      <c r="B1462" s="164">
        <v>45852</v>
      </c>
      <c r="C1462" s="34" t="s">
        <v>864</v>
      </c>
      <c r="D1462" s="53" t="str">
        <f>VLOOKUP(Sales[[#This Row],[Customer ID]],Customer[#All],2,0)</f>
        <v>Sahil Sharma</v>
      </c>
      <c r="E1462" s="34" t="s">
        <v>464</v>
      </c>
      <c r="F1462" s="34" t="str">
        <f>VLOOKUP(Sales[[#This Row],[Product ID]],Product[#All],2,0)</f>
        <v>Lg Monitor</v>
      </c>
      <c r="G1462" s="53">
        <v>2</v>
      </c>
      <c r="H1462" s="165">
        <f>VLOOKUP(Sales[[#This Row],[Product ID]],Product[#All],7,0)</f>
        <v>27140</v>
      </c>
      <c r="I1462" s="165">
        <f>Sales[[#This Row],[Selling Rate]]*Sales[[#This Row],[Qty]]</f>
        <v>54280</v>
      </c>
      <c r="J1462" s="45">
        <v>0.02</v>
      </c>
      <c r="K1462" s="46">
        <f>Sales[[#This Row],[Gross Amount]]*Sales[[#This Row],[Disc %]]</f>
        <v>1085.5999999999999</v>
      </c>
      <c r="L1462" s="43">
        <v>0.18</v>
      </c>
      <c r="M1462" s="46">
        <f>(Sales[[#This Row],[Gross Amount]]-Sales[[#This Row],[Disc. Amt.]])*Sales[[#This Row],[GST %]]</f>
        <v>9574.9920000000002</v>
      </c>
      <c r="N1462" s="161">
        <f>Sales[[#This Row],[Gross Amount]]-Sales[[#This Row],[Disc. Amt.]]+Sales[[#This Row],[GST Amount]]</f>
        <v>62769.392</v>
      </c>
      <c r="O1462" s="34" t="s">
        <v>8876</v>
      </c>
      <c r="P1462" s="34" t="s">
        <v>3562</v>
      </c>
      <c r="Q1462" s="165">
        <f>IF(Sales[[#This Row],[Status]]="Cancelled",0,Sales[[#This Row],[Qty]])</f>
        <v>2</v>
      </c>
      <c r="R1462" s="166">
        <f>IF(Sales[[#This Row],[Status]]="Cancelled",0,Sales[[#This Row],[Total Amount]])</f>
        <v>62769.392</v>
      </c>
      <c r="S1462" s="162">
        <f>SUM(Sales[Net Amount])</f>
        <v>406839287.73200053</v>
      </c>
    </row>
    <row r="1463" spans="1:19" ht="18.75" x14ac:dyDescent="0.25">
      <c r="A1463" s="156" t="s">
        <v>5067</v>
      </c>
      <c r="B1463" s="157">
        <v>45852</v>
      </c>
      <c r="C1463" s="158" t="s">
        <v>724</v>
      </c>
      <c r="D1463" s="159" t="str">
        <f>VLOOKUP(Sales[[#This Row],[Customer ID]],Customer[#All],2,0)</f>
        <v>Sunita Sharma</v>
      </c>
      <c r="E1463" s="158" t="s">
        <v>347</v>
      </c>
      <c r="F1463" s="158" t="str">
        <f>VLOOKUP(Sales[[#This Row],[Product ID]],Product[#All],2,0)</f>
        <v>Logitech Mouse</v>
      </c>
      <c r="G1463" s="159">
        <v>7</v>
      </c>
      <c r="H1463" s="160">
        <f>VLOOKUP(Sales[[#This Row],[Product ID]],Product[#All],7,0)</f>
        <v>680</v>
      </c>
      <c r="I1463" s="160">
        <f>Sales[[#This Row],[Selling Rate]]*Sales[[#This Row],[Qty]]</f>
        <v>4760</v>
      </c>
      <c r="J1463" s="43">
        <v>0</v>
      </c>
      <c r="K1463" s="44">
        <f>Sales[[#This Row],[Gross Amount]]*Sales[[#This Row],[Disc %]]</f>
        <v>0</v>
      </c>
      <c r="L1463" s="43">
        <v>0.18</v>
      </c>
      <c r="M1463" s="44">
        <f>(Sales[[#This Row],[Gross Amount]]-Sales[[#This Row],[Disc. Amt.]])*Sales[[#This Row],[GST %]]</f>
        <v>856.8</v>
      </c>
      <c r="N1463" s="161">
        <f>Sales[[#This Row],[Gross Amount]]-Sales[[#This Row],[Disc. Amt.]]+Sales[[#This Row],[GST Amount]]</f>
        <v>5616.8</v>
      </c>
      <c r="O1463" s="158" t="s">
        <v>3569</v>
      </c>
      <c r="P1463" s="158" t="s">
        <v>3562</v>
      </c>
      <c r="Q1463" s="160">
        <f>IF(Sales[[#This Row],[Status]]="Cancelled",0,Sales[[#This Row],[Qty]])</f>
        <v>7</v>
      </c>
      <c r="R1463" s="161">
        <f>IF(Sales[[#This Row],[Status]]="Cancelled",0,Sales[[#This Row],[Total Amount]])</f>
        <v>5616.8</v>
      </c>
      <c r="S1463" s="162">
        <f>SUM(Sales[Net Amount])</f>
        <v>406839287.73200053</v>
      </c>
    </row>
    <row r="1464" spans="1:19" ht="18.75" x14ac:dyDescent="0.25">
      <c r="A1464" s="163" t="s">
        <v>5068</v>
      </c>
      <c r="B1464" s="164">
        <v>45852</v>
      </c>
      <c r="C1464" s="34" t="s">
        <v>689</v>
      </c>
      <c r="D1464" s="53" t="str">
        <f>VLOOKUP(Sales[[#This Row],[Customer ID]],Customer[#All],2,0)</f>
        <v>Sahil Kumar</v>
      </c>
      <c r="E1464" s="34" t="s">
        <v>224</v>
      </c>
      <c r="F1464" s="34" t="str">
        <f>VLOOKUP(Sales[[#This Row],[Product ID]],Product[#All],2,0)</f>
        <v>Seagate HDD</v>
      </c>
      <c r="G1464" s="53">
        <v>5</v>
      </c>
      <c r="H1464" s="165">
        <f>VLOOKUP(Sales[[#This Row],[Product ID]],Product[#All],7,0)</f>
        <v>8130</v>
      </c>
      <c r="I1464" s="165">
        <f>Sales[[#This Row],[Selling Rate]]*Sales[[#This Row],[Qty]]</f>
        <v>40650</v>
      </c>
      <c r="J1464" s="45">
        <v>0.1</v>
      </c>
      <c r="K1464" s="46">
        <f>Sales[[#This Row],[Gross Amount]]*Sales[[#This Row],[Disc %]]</f>
        <v>4065</v>
      </c>
      <c r="L1464" s="43">
        <v>0.18</v>
      </c>
      <c r="M1464" s="46">
        <f>(Sales[[#This Row],[Gross Amount]]-Sales[[#This Row],[Disc. Amt.]])*Sales[[#This Row],[GST %]]</f>
        <v>6585.3</v>
      </c>
      <c r="N1464" s="161">
        <f>Sales[[#This Row],[Gross Amount]]-Sales[[#This Row],[Disc. Amt.]]+Sales[[#This Row],[GST Amount]]</f>
        <v>43170.3</v>
      </c>
      <c r="O1464" s="34" t="s">
        <v>8876</v>
      </c>
      <c r="P1464" s="34" t="s">
        <v>3562</v>
      </c>
      <c r="Q1464" s="165">
        <f>IF(Sales[[#This Row],[Status]]="Cancelled",0,Sales[[#This Row],[Qty]])</f>
        <v>5</v>
      </c>
      <c r="R1464" s="166">
        <f>IF(Sales[[#This Row],[Status]]="Cancelled",0,Sales[[#This Row],[Total Amount]])</f>
        <v>43170.3</v>
      </c>
      <c r="S1464" s="162">
        <f>SUM(Sales[Net Amount])</f>
        <v>406839287.73200053</v>
      </c>
    </row>
    <row r="1465" spans="1:19" ht="18.75" x14ac:dyDescent="0.25">
      <c r="A1465" s="156" t="s">
        <v>5069</v>
      </c>
      <c r="B1465" s="157">
        <v>45852</v>
      </c>
      <c r="C1465" s="158" t="s">
        <v>892</v>
      </c>
      <c r="D1465" s="159" t="str">
        <f>VLOOKUP(Sales[[#This Row],[Customer ID]],Customer[#All],2,0)</f>
        <v>Sahil Verma</v>
      </c>
      <c r="E1465" s="158" t="s">
        <v>10</v>
      </c>
      <c r="F1465" s="158" t="str">
        <f>VLOOKUP(Sales[[#This Row],[Product ID]],Product[#All],2,0)</f>
        <v>Dell Monitor</v>
      </c>
      <c r="G1465" s="159">
        <v>2</v>
      </c>
      <c r="H1465" s="160">
        <f>VLOOKUP(Sales[[#This Row],[Product ID]],Product[#All],7,0)</f>
        <v>17230</v>
      </c>
      <c r="I1465" s="160">
        <f>Sales[[#This Row],[Selling Rate]]*Sales[[#This Row],[Qty]]</f>
        <v>34460</v>
      </c>
      <c r="J1465" s="43">
        <v>0.05</v>
      </c>
      <c r="K1465" s="44">
        <f>Sales[[#This Row],[Gross Amount]]*Sales[[#This Row],[Disc %]]</f>
        <v>1723</v>
      </c>
      <c r="L1465" s="43">
        <v>0.18</v>
      </c>
      <c r="M1465" s="44">
        <f>(Sales[[#This Row],[Gross Amount]]-Sales[[#This Row],[Disc. Amt.]])*Sales[[#This Row],[GST %]]</f>
        <v>5892.66</v>
      </c>
      <c r="N1465" s="161">
        <f>Sales[[#This Row],[Gross Amount]]-Sales[[#This Row],[Disc. Amt.]]+Sales[[#This Row],[GST Amount]]</f>
        <v>38629.660000000003</v>
      </c>
      <c r="O1465" s="158" t="s">
        <v>3561</v>
      </c>
      <c r="P1465" s="158" t="s">
        <v>3562</v>
      </c>
      <c r="Q1465" s="160">
        <f>IF(Sales[[#This Row],[Status]]="Cancelled",0,Sales[[#This Row],[Qty]])</f>
        <v>2</v>
      </c>
      <c r="R1465" s="161">
        <f>IF(Sales[[#This Row],[Status]]="Cancelled",0,Sales[[#This Row],[Total Amount]])</f>
        <v>38629.660000000003</v>
      </c>
      <c r="S1465" s="162">
        <f>SUM(Sales[Net Amount])</f>
        <v>406839287.73200053</v>
      </c>
    </row>
    <row r="1466" spans="1:19" ht="18.75" x14ac:dyDescent="0.25">
      <c r="A1466" s="163" t="s">
        <v>5070</v>
      </c>
      <c r="B1466" s="164">
        <v>45852</v>
      </c>
      <c r="C1466" s="34" t="s">
        <v>768</v>
      </c>
      <c r="D1466" s="53" t="str">
        <f>VLOOKUP(Sales[[#This Row],[Customer ID]],Customer[#All],2,0)</f>
        <v>Priya Kumar</v>
      </c>
      <c r="E1466" s="34" t="s">
        <v>382</v>
      </c>
      <c r="F1466" s="34" t="str">
        <f>VLOOKUP(Sales[[#This Row],[Product ID]],Product[#All],2,0)</f>
        <v>Canon Printer</v>
      </c>
      <c r="G1466" s="53">
        <v>3</v>
      </c>
      <c r="H1466" s="165">
        <f>VLOOKUP(Sales[[#This Row],[Product ID]],Product[#All],7,0)</f>
        <v>32930</v>
      </c>
      <c r="I1466" s="165">
        <f>Sales[[#This Row],[Selling Rate]]*Sales[[#This Row],[Qty]]</f>
        <v>98790</v>
      </c>
      <c r="J1466" s="45">
        <v>0.02</v>
      </c>
      <c r="K1466" s="46">
        <f>Sales[[#This Row],[Gross Amount]]*Sales[[#This Row],[Disc %]]</f>
        <v>1975.8</v>
      </c>
      <c r="L1466" s="43">
        <v>0.18</v>
      </c>
      <c r="M1466" s="46">
        <f>(Sales[[#This Row],[Gross Amount]]-Sales[[#This Row],[Disc. Amt.]])*Sales[[#This Row],[GST %]]</f>
        <v>17426.556</v>
      </c>
      <c r="N1466" s="161">
        <f>Sales[[#This Row],[Gross Amount]]-Sales[[#This Row],[Disc. Amt.]]+Sales[[#This Row],[GST Amount]]</f>
        <v>114240.75599999999</v>
      </c>
      <c r="O1466" s="34" t="s">
        <v>3561</v>
      </c>
      <c r="P1466" s="34" t="s">
        <v>3562</v>
      </c>
      <c r="Q1466" s="165">
        <f>IF(Sales[[#This Row],[Status]]="Cancelled",0,Sales[[#This Row],[Qty]])</f>
        <v>3</v>
      </c>
      <c r="R1466" s="166">
        <f>IF(Sales[[#This Row],[Status]]="Cancelled",0,Sales[[#This Row],[Total Amount]])</f>
        <v>114240.75599999999</v>
      </c>
      <c r="S1466" s="162">
        <f>SUM(Sales[Net Amount])</f>
        <v>406839287.73200053</v>
      </c>
    </row>
    <row r="1467" spans="1:19" ht="18.75" x14ac:dyDescent="0.25">
      <c r="A1467" s="156" t="s">
        <v>5071</v>
      </c>
      <c r="B1467" s="157">
        <v>45852</v>
      </c>
      <c r="C1467" s="158" t="s">
        <v>691</v>
      </c>
      <c r="D1467" s="159" t="str">
        <f>VLOOKUP(Sales[[#This Row],[Customer ID]],Customer[#All],2,0)</f>
        <v>Pooja Patel</v>
      </c>
      <c r="E1467" s="158" t="s">
        <v>509</v>
      </c>
      <c r="F1467" s="158" t="str">
        <f>VLOOKUP(Sales[[#This Row],[Product ID]],Product[#All],2,0)</f>
        <v>D-Link Router</v>
      </c>
      <c r="G1467" s="159">
        <v>5</v>
      </c>
      <c r="H1467" s="160">
        <f>VLOOKUP(Sales[[#This Row],[Product ID]],Product[#All],7,0)</f>
        <v>3460</v>
      </c>
      <c r="I1467" s="160">
        <f>Sales[[#This Row],[Selling Rate]]*Sales[[#This Row],[Qty]]</f>
        <v>17300</v>
      </c>
      <c r="J1467" s="43">
        <v>0.15</v>
      </c>
      <c r="K1467" s="44">
        <f>Sales[[#This Row],[Gross Amount]]*Sales[[#This Row],[Disc %]]</f>
        <v>2595</v>
      </c>
      <c r="L1467" s="43">
        <v>0.18</v>
      </c>
      <c r="M1467" s="44">
        <f>(Sales[[#This Row],[Gross Amount]]-Sales[[#This Row],[Disc. Amt.]])*Sales[[#This Row],[GST %]]</f>
        <v>2646.9</v>
      </c>
      <c r="N1467" s="161">
        <f>Sales[[#This Row],[Gross Amount]]-Sales[[#This Row],[Disc. Amt.]]+Sales[[#This Row],[GST Amount]]</f>
        <v>17351.900000000001</v>
      </c>
      <c r="O1467" s="158" t="s">
        <v>3561</v>
      </c>
      <c r="P1467" s="158" t="s">
        <v>3562</v>
      </c>
      <c r="Q1467" s="160">
        <f>IF(Sales[[#This Row],[Status]]="Cancelled",0,Sales[[#This Row],[Qty]])</f>
        <v>5</v>
      </c>
      <c r="R1467" s="161">
        <f>IF(Sales[[#This Row],[Status]]="Cancelled",0,Sales[[#This Row],[Total Amount]])</f>
        <v>17351.900000000001</v>
      </c>
      <c r="S1467" s="162">
        <f>SUM(Sales[Net Amount])</f>
        <v>406839287.73200053</v>
      </c>
    </row>
    <row r="1468" spans="1:19" ht="18.75" x14ac:dyDescent="0.25">
      <c r="A1468" s="163" t="s">
        <v>5072</v>
      </c>
      <c r="B1468" s="164">
        <v>45852</v>
      </c>
      <c r="C1468" s="34" t="s">
        <v>747</v>
      </c>
      <c r="D1468" s="53" t="str">
        <f>VLOOKUP(Sales[[#This Row],[Customer ID]],Customer[#All],2,0)</f>
        <v>Sunita Gupta</v>
      </c>
      <c r="E1468" s="34" t="s">
        <v>179</v>
      </c>
      <c r="F1468" s="34" t="str">
        <f>VLOOKUP(Sales[[#This Row],[Product ID]],Product[#All],2,0)</f>
        <v>TP-link Wi-Fi Adapter</v>
      </c>
      <c r="G1468" s="53">
        <v>1</v>
      </c>
      <c r="H1468" s="165">
        <f>VLOOKUP(Sales[[#This Row],[Product ID]],Product[#All],7,0)</f>
        <v>1490</v>
      </c>
      <c r="I1468" s="165">
        <f>Sales[[#This Row],[Selling Rate]]*Sales[[#This Row],[Qty]]</f>
        <v>1490</v>
      </c>
      <c r="J1468" s="45">
        <v>0.1</v>
      </c>
      <c r="K1468" s="46">
        <f>Sales[[#This Row],[Gross Amount]]*Sales[[#This Row],[Disc %]]</f>
        <v>149</v>
      </c>
      <c r="L1468" s="43">
        <v>0.18</v>
      </c>
      <c r="M1468" s="46">
        <f>(Sales[[#This Row],[Gross Amount]]-Sales[[#This Row],[Disc. Amt.]])*Sales[[#This Row],[GST %]]</f>
        <v>241.38</v>
      </c>
      <c r="N1468" s="161">
        <f>Sales[[#This Row],[Gross Amount]]-Sales[[#This Row],[Disc. Amt.]]+Sales[[#This Row],[GST Amount]]</f>
        <v>1582.38</v>
      </c>
      <c r="O1468" s="34" t="s">
        <v>8876</v>
      </c>
      <c r="P1468" s="34" t="s">
        <v>3562</v>
      </c>
      <c r="Q1468" s="165">
        <f>IF(Sales[[#This Row],[Status]]="Cancelled",0,Sales[[#This Row],[Qty]])</f>
        <v>1</v>
      </c>
      <c r="R1468" s="166">
        <f>IF(Sales[[#This Row],[Status]]="Cancelled",0,Sales[[#This Row],[Total Amount]])</f>
        <v>1582.38</v>
      </c>
      <c r="S1468" s="162">
        <f>SUM(Sales[Net Amount])</f>
        <v>406839287.73200053</v>
      </c>
    </row>
    <row r="1469" spans="1:19" ht="18.75" x14ac:dyDescent="0.25">
      <c r="A1469" s="156" t="s">
        <v>5073</v>
      </c>
      <c r="B1469" s="157">
        <v>45852</v>
      </c>
      <c r="C1469" s="158" t="s">
        <v>760</v>
      </c>
      <c r="D1469" s="159" t="str">
        <f>VLOOKUP(Sales[[#This Row],[Customer ID]],Customer[#All],2,0)</f>
        <v>Pooja Singh</v>
      </c>
      <c r="E1469" s="158" t="s">
        <v>291</v>
      </c>
      <c r="F1469" s="158" t="str">
        <f>VLOOKUP(Sales[[#This Row],[Product ID]],Product[#All],2,0)</f>
        <v>Jbl Speaker</v>
      </c>
      <c r="G1469" s="159">
        <v>3</v>
      </c>
      <c r="H1469" s="160">
        <f>VLOOKUP(Sales[[#This Row],[Product ID]],Product[#All],7,0)</f>
        <v>12040</v>
      </c>
      <c r="I1469" s="160">
        <f>Sales[[#This Row],[Selling Rate]]*Sales[[#This Row],[Qty]]</f>
        <v>36120</v>
      </c>
      <c r="J1469" s="43">
        <v>0.12</v>
      </c>
      <c r="K1469" s="44">
        <f>Sales[[#This Row],[Gross Amount]]*Sales[[#This Row],[Disc %]]</f>
        <v>4334.3999999999996</v>
      </c>
      <c r="L1469" s="43">
        <v>0.18</v>
      </c>
      <c r="M1469" s="44">
        <f>(Sales[[#This Row],[Gross Amount]]-Sales[[#This Row],[Disc. Amt.]])*Sales[[#This Row],[GST %]]</f>
        <v>5721.4079999999994</v>
      </c>
      <c r="N1469" s="161">
        <f>Sales[[#This Row],[Gross Amount]]-Sales[[#This Row],[Disc. Amt.]]+Sales[[#This Row],[GST Amount]]</f>
        <v>37507.008000000002</v>
      </c>
      <c r="O1469" s="158" t="s">
        <v>3566</v>
      </c>
      <c r="P1469" s="158" t="s">
        <v>3562</v>
      </c>
      <c r="Q1469" s="160">
        <f>IF(Sales[[#This Row],[Status]]="Cancelled",0,Sales[[#This Row],[Qty]])</f>
        <v>3</v>
      </c>
      <c r="R1469" s="161">
        <f>IF(Sales[[#This Row],[Status]]="Cancelled",0,Sales[[#This Row],[Total Amount]])</f>
        <v>37507.008000000002</v>
      </c>
      <c r="S1469" s="162">
        <f>SUM(Sales[Net Amount])</f>
        <v>406839287.73200053</v>
      </c>
    </row>
    <row r="1470" spans="1:19" ht="18.75" x14ac:dyDescent="0.25">
      <c r="A1470" s="163" t="s">
        <v>5074</v>
      </c>
      <c r="B1470" s="164">
        <v>45852</v>
      </c>
      <c r="C1470" s="34" t="s">
        <v>706</v>
      </c>
      <c r="D1470" s="53" t="str">
        <f>VLOOKUP(Sales[[#This Row],[Customer ID]],Customer[#All],2,0)</f>
        <v>Amit Sharma</v>
      </c>
      <c r="E1470" s="34" t="s">
        <v>495</v>
      </c>
      <c r="F1470" s="34" t="str">
        <f>VLOOKUP(Sales[[#This Row],[Product ID]],Product[#All],2,0)</f>
        <v>Dell Laptop</v>
      </c>
      <c r="G1470" s="53">
        <v>8</v>
      </c>
      <c r="H1470" s="165">
        <f>VLOOKUP(Sales[[#This Row],[Product ID]],Product[#All],7,0)</f>
        <v>63410</v>
      </c>
      <c r="I1470" s="165">
        <f>Sales[[#This Row],[Selling Rate]]*Sales[[#This Row],[Qty]]</f>
        <v>507280</v>
      </c>
      <c r="J1470" s="45">
        <v>0.02</v>
      </c>
      <c r="K1470" s="46">
        <f>Sales[[#This Row],[Gross Amount]]*Sales[[#This Row],[Disc %]]</f>
        <v>10145.6</v>
      </c>
      <c r="L1470" s="43">
        <v>0.18</v>
      </c>
      <c r="M1470" s="46">
        <f>(Sales[[#This Row],[Gross Amount]]-Sales[[#This Row],[Disc. Amt.]])*Sales[[#This Row],[GST %]]</f>
        <v>89484.191999999995</v>
      </c>
      <c r="N1470" s="161">
        <f>Sales[[#This Row],[Gross Amount]]-Sales[[#This Row],[Disc. Amt.]]+Sales[[#This Row],[GST Amount]]</f>
        <v>586618.59200000006</v>
      </c>
      <c r="O1470" s="34" t="s">
        <v>8876</v>
      </c>
      <c r="P1470" s="34" t="s">
        <v>3562</v>
      </c>
      <c r="Q1470" s="165">
        <f>IF(Sales[[#This Row],[Status]]="Cancelled",0,Sales[[#This Row],[Qty]])</f>
        <v>8</v>
      </c>
      <c r="R1470" s="166">
        <f>IF(Sales[[#This Row],[Status]]="Cancelled",0,Sales[[#This Row],[Total Amount]])</f>
        <v>586618.59200000006</v>
      </c>
      <c r="S1470" s="162">
        <f>SUM(Sales[Net Amount])</f>
        <v>406839287.73200053</v>
      </c>
    </row>
    <row r="1471" spans="1:19" ht="18.75" x14ac:dyDescent="0.25">
      <c r="A1471" s="156" t="s">
        <v>5075</v>
      </c>
      <c r="B1471" s="157">
        <v>45852</v>
      </c>
      <c r="C1471" s="158" t="s">
        <v>757</v>
      </c>
      <c r="D1471" s="159" t="str">
        <f>VLOOKUP(Sales[[#This Row],[Customer ID]],Customer[#All],2,0)</f>
        <v>Amit Singh</v>
      </c>
      <c r="E1471" s="158" t="s">
        <v>129</v>
      </c>
      <c r="F1471" s="158" t="str">
        <f>VLOOKUP(Sales[[#This Row],[Product ID]],Product[#All],2,0)</f>
        <v>Logitech Mouse</v>
      </c>
      <c r="G1471" s="159">
        <v>4</v>
      </c>
      <c r="H1471" s="160">
        <f>VLOOKUP(Sales[[#This Row],[Product ID]],Product[#All],7,0)</f>
        <v>2000</v>
      </c>
      <c r="I1471" s="160">
        <f>Sales[[#This Row],[Selling Rate]]*Sales[[#This Row],[Qty]]</f>
        <v>8000</v>
      </c>
      <c r="J1471" s="43">
        <v>0.05</v>
      </c>
      <c r="K1471" s="44">
        <f>Sales[[#This Row],[Gross Amount]]*Sales[[#This Row],[Disc %]]</f>
        <v>400</v>
      </c>
      <c r="L1471" s="43">
        <v>0.18</v>
      </c>
      <c r="M1471" s="44">
        <f>(Sales[[#This Row],[Gross Amount]]-Sales[[#This Row],[Disc. Amt.]])*Sales[[#This Row],[GST %]]</f>
        <v>1368</v>
      </c>
      <c r="N1471" s="161">
        <f>Sales[[#This Row],[Gross Amount]]-Sales[[#This Row],[Disc. Amt.]]+Sales[[#This Row],[GST Amount]]</f>
        <v>8968</v>
      </c>
      <c r="O1471" s="158" t="s">
        <v>3569</v>
      </c>
      <c r="P1471" s="158" t="s">
        <v>3562</v>
      </c>
      <c r="Q1471" s="160">
        <f>IF(Sales[[#This Row],[Status]]="Cancelled",0,Sales[[#This Row],[Qty]])</f>
        <v>4</v>
      </c>
      <c r="R1471" s="161">
        <f>IF(Sales[[#This Row],[Status]]="Cancelled",0,Sales[[#This Row],[Total Amount]])</f>
        <v>8968</v>
      </c>
      <c r="S1471" s="162">
        <f>SUM(Sales[Net Amount])</f>
        <v>406839287.73200053</v>
      </c>
    </row>
    <row r="1472" spans="1:19" ht="18.75" x14ac:dyDescent="0.25">
      <c r="A1472" s="163" t="s">
        <v>5076</v>
      </c>
      <c r="B1472" s="164">
        <v>45852</v>
      </c>
      <c r="C1472" s="34" t="s">
        <v>749</v>
      </c>
      <c r="D1472" s="53" t="str">
        <f>VLOOKUP(Sales[[#This Row],[Customer ID]],Customer[#All],2,0)</f>
        <v>Sahil Patel</v>
      </c>
      <c r="E1472" s="34" t="s">
        <v>416</v>
      </c>
      <c r="F1472" s="34" t="str">
        <f>VLOOKUP(Sales[[#This Row],[Product ID]],Product[#All],2,0)</f>
        <v>Portronics USB Cable</v>
      </c>
      <c r="G1472" s="53">
        <v>5</v>
      </c>
      <c r="H1472" s="165">
        <f>VLOOKUP(Sales[[#This Row],[Product ID]],Product[#All],7,0)</f>
        <v>960</v>
      </c>
      <c r="I1472" s="165">
        <f>Sales[[#This Row],[Selling Rate]]*Sales[[#This Row],[Qty]]</f>
        <v>4800</v>
      </c>
      <c r="J1472" s="45">
        <v>0.12</v>
      </c>
      <c r="K1472" s="46">
        <f>Sales[[#This Row],[Gross Amount]]*Sales[[#This Row],[Disc %]]</f>
        <v>576</v>
      </c>
      <c r="L1472" s="43">
        <v>0.18</v>
      </c>
      <c r="M1472" s="46">
        <f>(Sales[[#This Row],[Gross Amount]]-Sales[[#This Row],[Disc. Amt.]])*Sales[[#This Row],[GST %]]</f>
        <v>760.31999999999994</v>
      </c>
      <c r="N1472" s="161">
        <f>Sales[[#This Row],[Gross Amount]]-Sales[[#This Row],[Disc. Amt.]]+Sales[[#This Row],[GST Amount]]</f>
        <v>4984.32</v>
      </c>
      <c r="O1472" s="34" t="s">
        <v>3566</v>
      </c>
      <c r="P1472" s="34" t="s">
        <v>3562</v>
      </c>
      <c r="Q1472" s="165">
        <f>IF(Sales[[#This Row],[Status]]="Cancelled",0,Sales[[#This Row],[Qty]])</f>
        <v>5</v>
      </c>
      <c r="R1472" s="166">
        <f>IF(Sales[[#This Row],[Status]]="Cancelled",0,Sales[[#This Row],[Total Amount]])</f>
        <v>4984.32</v>
      </c>
      <c r="S1472" s="162">
        <f>SUM(Sales[Net Amount])</f>
        <v>406839287.73200053</v>
      </c>
    </row>
    <row r="1473" spans="1:19" ht="18.75" x14ac:dyDescent="0.25">
      <c r="A1473" s="156" t="s">
        <v>5077</v>
      </c>
      <c r="B1473" s="157">
        <v>45853</v>
      </c>
      <c r="C1473" s="158" t="s">
        <v>742</v>
      </c>
      <c r="D1473" s="159" t="str">
        <f>VLOOKUP(Sales[[#This Row],[Customer ID]],Customer[#All],2,0)</f>
        <v>Rahul Patel</v>
      </c>
      <c r="E1473" s="158" t="s">
        <v>342</v>
      </c>
      <c r="F1473" s="158" t="str">
        <f>VLOOKUP(Sales[[#This Row],[Product ID]],Product[#All],2,0)</f>
        <v>HP Laptop</v>
      </c>
      <c r="G1473" s="159">
        <v>8</v>
      </c>
      <c r="H1473" s="160">
        <f>VLOOKUP(Sales[[#This Row],[Product ID]],Product[#All],7,0)</f>
        <v>66290</v>
      </c>
      <c r="I1473" s="160">
        <f>Sales[[#This Row],[Selling Rate]]*Sales[[#This Row],[Qty]]</f>
        <v>530320</v>
      </c>
      <c r="J1473" s="43">
        <v>0</v>
      </c>
      <c r="K1473" s="44">
        <f>Sales[[#This Row],[Gross Amount]]*Sales[[#This Row],[Disc %]]</f>
        <v>0</v>
      </c>
      <c r="L1473" s="43">
        <v>0.18</v>
      </c>
      <c r="M1473" s="44">
        <f>(Sales[[#This Row],[Gross Amount]]-Sales[[#This Row],[Disc. Amt.]])*Sales[[#This Row],[GST %]]</f>
        <v>95457.599999999991</v>
      </c>
      <c r="N1473" s="161">
        <f>Sales[[#This Row],[Gross Amount]]-Sales[[#This Row],[Disc. Amt.]]+Sales[[#This Row],[GST Amount]]</f>
        <v>625777.6</v>
      </c>
      <c r="O1473" s="158" t="s">
        <v>3561</v>
      </c>
      <c r="P1473" s="158" t="s">
        <v>3562</v>
      </c>
      <c r="Q1473" s="160">
        <f>IF(Sales[[#This Row],[Status]]="Cancelled",0,Sales[[#This Row],[Qty]])</f>
        <v>8</v>
      </c>
      <c r="R1473" s="161">
        <f>IF(Sales[[#This Row],[Status]]="Cancelled",0,Sales[[#This Row],[Total Amount]])</f>
        <v>625777.6</v>
      </c>
      <c r="S1473" s="162">
        <f>SUM(Sales[Net Amount])</f>
        <v>406839287.73200053</v>
      </c>
    </row>
    <row r="1474" spans="1:19" ht="18.75" x14ac:dyDescent="0.25">
      <c r="A1474" s="163" t="s">
        <v>5078</v>
      </c>
      <c r="B1474" s="164">
        <v>45853</v>
      </c>
      <c r="C1474" s="34" t="s">
        <v>893</v>
      </c>
      <c r="D1474" s="53" t="str">
        <f>VLOOKUP(Sales[[#This Row],[Customer ID]],Customer[#All],2,0)</f>
        <v>Sunita Sharma</v>
      </c>
      <c r="E1474" s="34" t="s">
        <v>417</v>
      </c>
      <c r="F1474" s="34" t="str">
        <f>VLOOKUP(Sales[[#This Row],[Product ID]],Product[#All],2,0)</f>
        <v>HP Power Adapter</v>
      </c>
      <c r="G1474" s="53">
        <v>6</v>
      </c>
      <c r="H1474" s="165">
        <f>VLOOKUP(Sales[[#This Row],[Product ID]],Product[#All],7,0)</f>
        <v>4330</v>
      </c>
      <c r="I1474" s="165">
        <f>Sales[[#This Row],[Selling Rate]]*Sales[[#This Row],[Qty]]</f>
        <v>25980</v>
      </c>
      <c r="J1474" s="45">
        <v>0.05</v>
      </c>
      <c r="K1474" s="46">
        <f>Sales[[#This Row],[Gross Amount]]*Sales[[#This Row],[Disc %]]</f>
        <v>1299</v>
      </c>
      <c r="L1474" s="43">
        <v>0.18</v>
      </c>
      <c r="M1474" s="46">
        <f>(Sales[[#This Row],[Gross Amount]]-Sales[[#This Row],[Disc. Amt.]])*Sales[[#This Row],[GST %]]</f>
        <v>4442.58</v>
      </c>
      <c r="N1474" s="161">
        <f>Sales[[#This Row],[Gross Amount]]-Sales[[#This Row],[Disc. Amt.]]+Sales[[#This Row],[GST Amount]]</f>
        <v>29123.58</v>
      </c>
      <c r="O1474" s="34" t="s">
        <v>3561</v>
      </c>
      <c r="P1474" s="34" t="s">
        <v>3562</v>
      </c>
      <c r="Q1474" s="165">
        <f>IF(Sales[[#This Row],[Status]]="Cancelled",0,Sales[[#This Row],[Qty]])</f>
        <v>6</v>
      </c>
      <c r="R1474" s="166">
        <f>IF(Sales[[#This Row],[Status]]="Cancelled",0,Sales[[#This Row],[Total Amount]])</f>
        <v>29123.58</v>
      </c>
      <c r="S1474" s="162">
        <f>SUM(Sales[Net Amount])</f>
        <v>406839287.73200053</v>
      </c>
    </row>
    <row r="1475" spans="1:19" ht="18.75" x14ac:dyDescent="0.25">
      <c r="A1475" s="156" t="s">
        <v>5079</v>
      </c>
      <c r="B1475" s="157">
        <v>45853</v>
      </c>
      <c r="C1475" s="158" t="s">
        <v>891</v>
      </c>
      <c r="D1475" s="159" t="str">
        <f>VLOOKUP(Sales[[#This Row],[Customer ID]],Customer[#All],2,0)</f>
        <v>Pooja Verma</v>
      </c>
      <c r="E1475" s="158" t="s">
        <v>432</v>
      </c>
      <c r="F1475" s="158" t="str">
        <f>VLOOKUP(Sales[[#This Row],[Product ID]],Product[#All],2,0)</f>
        <v>Boat Speaker</v>
      </c>
      <c r="G1475" s="159">
        <v>2</v>
      </c>
      <c r="H1475" s="160">
        <f>VLOOKUP(Sales[[#This Row],[Product ID]],Product[#All],7,0)</f>
        <v>750</v>
      </c>
      <c r="I1475" s="160">
        <f>Sales[[#This Row],[Selling Rate]]*Sales[[#This Row],[Qty]]</f>
        <v>1500</v>
      </c>
      <c r="J1475" s="43">
        <v>0.1</v>
      </c>
      <c r="K1475" s="44">
        <f>Sales[[#This Row],[Gross Amount]]*Sales[[#This Row],[Disc %]]</f>
        <v>150</v>
      </c>
      <c r="L1475" s="43">
        <v>0.18</v>
      </c>
      <c r="M1475" s="44">
        <f>(Sales[[#This Row],[Gross Amount]]-Sales[[#This Row],[Disc. Amt.]])*Sales[[#This Row],[GST %]]</f>
        <v>243</v>
      </c>
      <c r="N1475" s="161">
        <f>Sales[[#This Row],[Gross Amount]]-Sales[[#This Row],[Disc. Amt.]]+Sales[[#This Row],[GST Amount]]</f>
        <v>1593</v>
      </c>
      <c r="O1475" s="158" t="s">
        <v>3566</v>
      </c>
      <c r="P1475" s="158" t="s">
        <v>3562</v>
      </c>
      <c r="Q1475" s="160">
        <f>IF(Sales[[#This Row],[Status]]="Cancelled",0,Sales[[#This Row],[Qty]])</f>
        <v>2</v>
      </c>
      <c r="R1475" s="161">
        <f>IF(Sales[[#This Row],[Status]]="Cancelled",0,Sales[[#This Row],[Total Amount]])</f>
        <v>1593</v>
      </c>
      <c r="S1475" s="162">
        <f>SUM(Sales[Net Amount])</f>
        <v>406839287.73200053</v>
      </c>
    </row>
    <row r="1476" spans="1:19" ht="18.75" x14ac:dyDescent="0.25">
      <c r="A1476" s="163" t="s">
        <v>5080</v>
      </c>
      <c r="B1476" s="164">
        <v>45853</v>
      </c>
      <c r="C1476" s="34" t="s">
        <v>942</v>
      </c>
      <c r="D1476" s="53" t="str">
        <f>VLOOKUP(Sales[[#This Row],[Customer ID]],Customer[#All],2,0)</f>
        <v>Sunita Kumar</v>
      </c>
      <c r="E1476" s="34" t="s">
        <v>334</v>
      </c>
      <c r="F1476" s="34" t="str">
        <f>VLOOKUP(Sales[[#This Row],[Product ID]],Product[#All],2,0)</f>
        <v>Jbl Headset</v>
      </c>
      <c r="G1476" s="53">
        <v>8</v>
      </c>
      <c r="H1476" s="165">
        <f>VLOOKUP(Sales[[#This Row],[Product ID]],Product[#All],7,0)</f>
        <v>3150</v>
      </c>
      <c r="I1476" s="165">
        <f>Sales[[#This Row],[Selling Rate]]*Sales[[#This Row],[Qty]]</f>
        <v>25200</v>
      </c>
      <c r="J1476" s="45">
        <v>0.12</v>
      </c>
      <c r="K1476" s="46">
        <f>Sales[[#This Row],[Gross Amount]]*Sales[[#This Row],[Disc %]]</f>
        <v>3024</v>
      </c>
      <c r="L1476" s="43">
        <v>0.18</v>
      </c>
      <c r="M1476" s="46">
        <f>(Sales[[#This Row],[Gross Amount]]-Sales[[#This Row],[Disc. Amt.]])*Sales[[#This Row],[GST %]]</f>
        <v>3991.68</v>
      </c>
      <c r="N1476" s="161">
        <f>Sales[[#This Row],[Gross Amount]]-Sales[[#This Row],[Disc. Amt.]]+Sales[[#This Row],[GST Amount]]</f>
        <v>26167.68</v>
      </c>
      <c r="O1476" s="34" t="s">
        <v>3566</v>
      </c>
      <c r="P1476" s="34" t="s">
        <v>3562</v>
      </c>
      <c r="Q1476" s="165">
        <f>IF(Sales[[#This Row],[Status]]="Cancelled",0,Sales[[#This Row],[Qty]])</f>
        <v>8</v>
      </c>
      <c r="R1476" s="166">
        <f>IF(Sales[[#This Row],[Status]]="Cancelled",0,Sales[[#This Row],[Total Amount]])</f>
        <v>26167.68</v>
      </c>
      <c r="S1476" s="162">
        <f>SUM(Sales[Net Amount])</f>
        <v>406839287.73200053</v>
      </c>
    </row>
    <row r="1477" spans="1:19" ht="18.75" x14ac:dyDescent="0.25">
      <c r="A1477" s="156" t="s">
        <v>5081</v>
      </c>
      <c r="B1477" s="157">
        <v>45853</v>
      </c>
      <c r="C1477" s="158" t="s">
        <v>753</v>
      </c>
      <c r="D1477" s="159" t="str">
        <f>VLOOKUP(Sales[[#This Row],[Customer ID]],Customer[#All],2,0)</f>
        <v>Sunita Gupta</v>
      </c>
      <c r="E1477" s="158" t="s">
        <v>304</v>
      </c>
      <c r="F1477" s="158" t="str">
        <f>VLOOKUP(Sales[[#This Row],[Product ID]],Product[#All],2,0)</f>
        <v>TP-link Router</v>
      </c>
      <c r="G1477" s="159">
        <v>4</v>
      </c>
      <c r="H1477" s="160">
        <f>VLOOKUP(Sales[[#This Row],[Product ID]],Product[#All],7,0)</f>
        <v>3320</v>
      </c>
      <c r="I1477" s="160">
        <f>Sales[[#This Row],[Selling Rate]]*Sales[[#This Row],[Qty]]</f>
        <v>13280</v>
      </c>
      <c r="J1477" s="43">
        <v>0.02</v>
      </c>
      <c r="K1477" s="44">
        <f>Sales[[#This Row],[Gross Amount]]*Sales[[#This Row],[Disc %]]</f>
        <v>265.60000000000002</v>
      </c>
      <c r="L1477" s="43">
        <v>0.18</v>
      </c>
      <c r="M1477" s="44">
        <f>(Sales[[#This Row],[Gross Amount]]-Sales[[#This Row],[Disc. Amt.]])*Sales[[#This Row],[GST %]]</f>
        <v>2342.5919999999996</v>
      </c>
      <c r="N1477" s="161">
        <f>Sales[[#This Row],[Gross Amount]]-Sales[[#This Row],[Disc. Amt.]]+Sales[[#This Row],[GST Amount]]</f>
        <v>15356.991999999998</v>
      </c>
      <c r="O1477" s="158" t="s">
        <v>8876</v>
      </c>
      <c r="P1477" s="158" t="s">
        <v>3562</v>
      </c>
      <c r="Q1477" s="160">
        <f>IF(Sales[[#This Row],[Status]]="Cancelled",0,Sales[[#This Row],[Qty]])</f>
        <v>4</v>
      </c>
      <c r="R1477" s="161">
        <f>IF(Sales[[#This Row],[Status]]="Cancelled",0,Sales[[#This Row],[Total Amount]])</f>
        <v>15356.991999999998</v>
      </c>
      <c r="S1477" s="162">
        <f>SUM(Sales[Net Amount])</f>
        <v>406839287.73200053</v>
      </c>
    </row>
    <row r="1478" spans="1:19" ht="18.75" x14ac:dyDescent="0.25">
      <c r="A1478" s="163" t="s">
        <v>5082</v>
      </c>
      <c r="B1478" s="164">
        <v>45853</v>
      </c>
      <c r="C1478" s="34" t="s">
        <v>835</v>
      </c>
      <c r="D1478" s="53" t="str">
        <f>VLOOKUP(Sales[[#This Row],[Customer ID]],Customer[#All],2,0)</f>
        <v>Ankit Kumar</v>
      </c>
      <c r="E1478" s="34" t="s">
        <v>530</v>
      </c>
      <c r="F1478" s="34" t="str">
        <f>VLOOKUP(Sales[[#This Row],[Product ID]],Product[#All],2,0)</f>
        <v>Acer Laptop</v>
      </c>
      <c r="G1478" s="53">
        <v>1</v>
      </c>
      <c r="H1478" s="165">
        <f>VLOOKUP(Sales[[#This Row],[Product ID]],Product[#All],7,0)</f>
        <v>31390</v>
      </c>
      <c r="I1478" s="165">
        <f>Sales[[#This Row],[Selling Rate]]*Sales[[#This Row],[Qty]]</f>
        <v>31390</v>
      </c>
      <c r="J1478" s="45">
        <v>0.05</v>
      </c>
      <c r="K1478" s="46">
        <f>Sales[[#This Row],[Gross Amount]]*Sales[[#This Row],[Disc %]]</f>
        <v>1569.5</v>
      </c>
      <c r="L1478" s="43">
        <v>0.18</v>
      </c>
      <c r="M1478" s="46">
        <f>(Sales[[#This Row],[Gross Amount]]-Sales[[#This Row],[Disc. Amt.]])*Sales[[#This Row],[GST %]]</f>
        <v>5367.69</v>
      </c>
      <c r="N1478" s="161">
        <f>Sales[[#This Row],[Gross Amount]]-Sales[[#This Row],[Disc. Amt.]]+Sales[[#This Row],[GST Amount]]</f>
        <v>35188.19</v>
      </c>
      <c r="O1478" s="34" t="s">
        <v>8876</v>
      </c>
      <c r="P1478" s="34" t="s">
        <v>3562</v>
      </c>
      <c r="Q1478" s="165">
        <f>IF(Sales[[#This Row],[Status]]="Cancelled",0,Sales[[#This Row],[Qty]])</f>
        <v>1</v>
      </c>
      <c r="R1478" s="166">
        <f>IF(Sales[[#This Row],[Status]]="Cancelled",0,Sales[[#This Row],[Total Amount]])</f>
        <v>35188.19</v>
      </c>
      <c r="S1478" s="162">
        <f>SUM(Sales[Net Amount])</f>
        <v>406839287.73200053</v>
      </c>
    </row>
    <row r="1479" spans="1:19" ht="18.75" x14ac:dyDescent="0.25">
      <c r="A1479" s="156" t="s">
        <v>5083</v>
      </c>
      <c r="B1479" s="157">
        <v>45853</v>
      </c>
      <c r="C1479" s="158" t="s">
        <v>892</v>
      </c>
      <c r="D1479" s="159" t="str">
        <f>VLOOKUP(Sales[[#This Row],[Customer ID]],Customer[#All],2,0)</f>
        <v>Sahil Verma</v>
      </c>
      <c r="E1479" s="158" t="s">
        <v>58</v>
      </c>
      <c r="F1479" s="158" t="str">
        <f>VLOOKUP(Sales[[#This Row],[Product ID]],Product[#All],2,0)</f>
        <v>Lenovo Laptop</v>
      </c>
      <c r="G1479" s="159">
        <v>8</v>
      </c>
      <c r="H1479" s="160">
        <f>VLOOKUP(Sales[[#This Row],[Product ID]],Product[#All],7,0)</f>
        <v>50200</v>
      </c>
      <c r="I1479" s="160">
        <f>Sales[[#This Row],[Selling Rate]]*Sales[[#This Row],[Qty]]</f>
        <v>401600</v>
      </c>
      <c r="J1479" s="43">
        <v>0</v>
      </c>
      <c r="K1479" s="44">
        <f>Sales[[#This Row],[Gross Amount]]*Sales[[#This Row],[Disc %]]</f>
        <v>0</v>
      </c>
      <c r="L1479" s="43">
        <v>0.18</v>
      </c>
      <c r="M1479" s="44">
        <f>(Sales[[#This Row],[Gross Amount]]-Sales[[#This Row],[Disc. Amt.]])*Sales[[#This Row],[GST %]]</f>
        <v>72288</v>
      </c>
      <c r="N1479" s="161">
        <f>Sales[[#This Row],[Gross Amount]]-Sales[[#This Row],[Disc. Amt.]]+Sales[[#This Row],[GST Amount]]</f>
        <v>473888</v>
      </c>
      <c r="O1479" s="158" t="s">
        <v>3561</v>
      </c>
      <c r="P1479" s="158" t="s">
        <v>3562</v>
      </c>
      <c r="Q1479" s="160">
        <f>IF(Sales[[#This Row],[Status]]="Cancelled",0,Sales[[#This Row],[Qty]])</f>
        <v>8</v>
      </c>
      <c r="R1479" s="161">
        <f>IF(Sales[[#This Row],[Status]]="Cancelled",0,Sales[[#This Row],[Total Amount]])</f>
        <v>473888</v>
      </c>
      <c r="S1479" s="162">
        <f>SUM(Sales[Net Amount])</f>
        <v>406839287.73200053</v>
      </c>
    </row>
    <row r="1480" spans="1:19" ht="18.75" x14ac:dyDescent="0.25">
      <c r="A1480" s="163" t="s">
        <v>5084</v>
      </c>
      <c r="B1480" s="164">
        <v>45853</v>
      </c>
      <c r="C1480" s="34" t="s">
        <v>747</v>
      </c>
      <c r="D1480" s="53" t="str">
        <f>VLOOKUP(Sales[[#This Row],[Customer ID]],Customer[#All],2,0)</f>
        <v>Sunita Gupta</v>
      </c>
      <c r="E1480" s="34" t="s">
        <v>449</v>
      </c>
      <c r="F1480" s="34" t="str">
        <f>VLOOKUP(Sales[[#This Row],[Product ID]],Product[#All],2,0)</f>
        <v>Dell Monitor</v>
      </c>
      <c r="G1480" s="53">
        <v>8</v>
      </c>
      <c r="H1480" s="165">
        <f>VLOOKUP(Sales[[#This Row],[Product ID]],Product[#All],7,0)</f>
        <v>19520</v>
      </c>
      <c r="I1480" s="165">
        <f>Sales[[#This Row],[Selling Rate]]*Sales[[#This Row],[Qty]]</f>
        <v>156160</v>
      </c>
      <c r="J1480" s="45">
        <v>0.15</v>
      </c>
      <c r="K1480" s="46">
        <f>Sales[[#This Row],[Gross Amount]]*Sales[[#This Row],[Disc %]]</f>
        <v>23424</v>
      </c>
      <c r="L1480" s="43">
        <v>0.18</v>
      </c>
      <c r="M1480" s="46">
        <f>(Sales[[#This Row],[Gross Amount]]-Sales[[#This Row],[Disc. Amt.]])*Sales[[#This Row],[GST %]]</f>
        <v>23892.48</v>
      </c>
      <c r="N1480" s="161">
        <f>Sales[[#This Row],[Gross Amount]]-Sales[[#This Row],[Disc. Amt.]]+Sales[[#This Row],[GST Amount]]</f>
        <v>156628.48000000001</v>
      </c>
      <c r="O1480" s="34" t="s">
        <v>3561</v>
      </c>
      <c r="P1480" s="34" t="s">
        <v>3562</v>
      </c>
      <c r="Q1480" s="165">
        <f>IF(Sales[[#This Row],[Status]]="Cancelled",0,Sales[[#This Row],[Qty]])</f>
        <v>8</v>
      </c>
      <c r="R1480" s="166">
        <f>IF(Sales[[#This Row],[Status]]="Cancelled",0,Sales[[#This Row],[Total Amount]])</f>
        <v>156628.48000000001</v>
      </c>
      <c r="S1480" s="162">
        <f>SUM(Sales[Net Amount])</f>
        <v>406839287.73200053</v>
      </c>
    </row>
    <row r="1481" spans="1:19" ht="18.75" x14ac:dyDescent="0.25">
      <c r="A1481" s="156" t="s">
        <v>5085</v>
      </c>
      <c r="B1481" s="157">
        <v>45853</v>
      </c>
      <c r="C1481" s="158" t="s">
        <v>739</v>
      </c>
      <c r="D1481" s="159" t="str">
        <f>VLOOKUP(Sales[[#This Row],[Customer ID]],Customer[#All],2,0)</f>
        <v>Ankit Singh</v>
      </c>
      <c r="E1481" s="158" t="s">
        <v>487</v>
      </c>
      <c r="F1481" s="158" t="str">
        <f>VLOOKUP(Sales[[#This Row],[Product ID]],Product[#All],2,0)</f>
        <v>TP-link Bluetooth Adapter</v>
      </c>
      <c r="G1481" s="159">
        <v>5</v>
      </c>
      <c r="H1481" s="160">
        <f>VLOOKUP(Sales[[#This Row],[Product ID]],Product[#All],7,0)</f>
        <v>660</v>
      </c>
      <c r="I1481" s="160">
        <f>Sales[[#This Row],[Selling Rate]]*Sales[[#This Row],[Qty]]</f>
        <v>3300</v>
      </c>
      <c r="J1481" s="43">
        <v>0.05</v>
      </c>
      <c r="K1481" s="44">
        <f>Sales[[#This Row],[Gross Amount]]*Sales[[#This Row],[Disc %]]</f>
        <v>165</v>
      </c>
      <c r="L1481" s="43">
        <v>0.18</v>
      </c>
      <c r="M1481" s="44">
        <f>(Sales[[#This Row],[Gross Amount]]-Sales[[#This Row],[Disc. Amt.]])*Sales[[#This Row],[GST %]]</f>
        <v>564.29999999999995</v>
      </c>
      <c r="N1481" s="161">
        <f>Sales[[#This Row],[Gross Amount]]-Sales[[#This Row],[Disc. Amt.]]+Sales[[#This Row],[GST Amount]]</f>
        <v>3699.3</v>
      </c>
      <c r="O1481" s="158" t="s">
        <v>3561</v>
      </c>
      <c r="P1481" s="158" t="s">
        <v>3562</v>
      </c>
      <c r="Q1481" s="160">
        <f>IF(Sales[[#This Row],[Status]]="Cancelled",0,Sales[[#This Row],[Qty]])</f>
        <v>5</v>
      </c>
      <c r="R1481" s="161">
        <f>IF(Sales[[#This Row],[Status]]="Cancelled",0,Sales[[#This Row],[Total Amount]])</f>
        <v>3699.3</v>
      </c>
      <c r="S1481" s="162">
        <f>SUM(Sales[Net Amount])</f>
        <v>406839287.73200053</v>
      </c>
    </row>
    <row r="1482" spans="1:19" ht="18.75" x14ac:dyDescent="0.25">
      <c r="A1482" s="163" t="s">
        <v>5086</v>
      </c>
      <c r="B1482" s="164">
        <v>45853</v>
      </c>
      <c r="C1482" s="34" t="s">
        <v>814</v>
      </c>
      <c r="D1482" s="53" t="str">
        <f>VLOOKUP(Sales[[#This Row],[Customer ID]],Customer[#All],2,0)</f>
        <v>Amit Kumar</v>
      </c>
      <c r="E1482" s="34" t="s">
        <v>425</v>
      </c>
      <c r="F1482" s="34" t="str">
        <f>VLOOKUP(Sales[[#This Row],[Product ID]],Product[#All],2,0)</f>
        <v>WD HDD</v>
      </c>
      <c r="G1482" s="53">
        <v>4</v>
      </c>
      <c r="H1482" s="165">
        <f>VLOOKUP(Sales[[#This Row],[Product ID]],Product[#All],7,0)</f>
        <v>7660</v>
      </c>
      <c r="I1482" s="165">
        <f>Sales[[#This Row],[Selling Rate]]*Sales[[#This Row],[Qty]]</f>
        <v>30640</v>
      </c>
      <c r="J1482" s="45">
        <v>0</v>
      </c>
      <c r="K1482" s="46">
        <f>Sales[[#This Row],[Gross Amount]]*Sales[[#This Row],[Disc %]]</f>
        <v>0</v>
      </c>
      <c r="L1482" s="43">
        <v>0.18</v>
      </c>
      <c r="M1482" s="46">
        <f>(Sales[[#This Row],[Gross Amount]]-Sales[[#This Row],[Disc. Amt.]])*Sales[[#This Row],[GST %]]</f>
        <v>5515.2</v>
      </c>
      <c r="N1482" s="161">
        <f>Sales[[#This Row],[Gross Amount]]-Sales[[#This Row],[Disc. Amt.]]+Sales[[#This Row],[GST Amount]]</f>
        <v>36155.199999999997</v>
      </c>
      <c r="O1482" s="34" t="s">
        <v>3569</v>
      </c>
      <c r="P1482" s="34" t="s">
        <v>3562</v>
      </c>
      <c r="Q1482" s="165">
        <f>IF(Sales[[#This Row],[Status]]="Cancelled",0,Sales[[#This Row],[Qty]])</f>
        <v>4</v>
      </c>
      <c r="R1482" s="166">
        <f>IF(Sales[[#This Row],[Status]]="Cancelled",0,Sales[[#This Row],[Total Amount]])</f>
        <v>36155.199999999997</v>
      </c>
      <c r="S1482" s="162">
        <f>SUM(Sales[Net Amount])</f>
        <v>406839287.73200053</v>
      </c>
    </row>
    <row r="1483" spans="1:19" ht="18.75" x14ac:dyDescent="0.25">
      <c r="A1483" s="156" t="s">
        <v>5087</v>
      </c>
      <c r="B1483" s="157">
        <v>45853</v>
      </c>
      <c r="C1483" s="158" t="s">
        <v>913</v>
      </c>
      <c r="D1483" s="159" t="str">
        <f>VLOOKUP(Sales[[#This Row],[Customer ID]],Customer[#All],2,0)</f>
        <v>Pooja Kumar</v>
      </c>
      <c r="E1483" s="158" t="s">
        <v>237</v>
      </c>
      <c r="F1483" s="158" t="str">
        <f>VLOOKUP(Sales[[#This Row],[Product ID]],Product[#All],2,0)</f>
        <v>Jbl Headset</v>
      </c>
      <c r="G1483" s="159">
        <v>5</v>
      </c>
      <c r="H1483" s="160">
        <f>VLOOKUP(Sales[[#This Row],[Product ID]],Product[#All],7,0)</f>
        <v>5520</v>
      </c>
      <c r="I1483" s="160">
        <f>Sales[[#This Row],[Selling Rate]]*Sales[[#This Row],[Qty]]</f>
        <v>27600</v>
      </c>
      <c r="J1483" s="43">
        <v>0</v>
      </c>
      <c r="K1483" s="44">
        <f>Sales[[#This Row],[Gross Amount]]*Sales[[#This Row],[Disc %]]</f>
        <v>0</v>
      </c>
      <c r="L1483" s="43">
        <v>0.18</v>
      </c>
      <c r="M1483" s="44">
        <f>(Sales[[#This Row],[Gross Amount]]-Sales[[#This Row],[Disc. Amt.]])*Sales[[#This Row],[GST %]]</f>
        <v>4968</v>
      </c>
      <c r="N1483" s="161">
        <f>Sales[[#This Row],[Gross Amount]]-Sales[[#This Row],[Disc. Amt.]]+Sales[[#This Row],[GST Amount]]</f>
        <v>32568</v>
      </c>
      <c r="O1483" s="158" t="s">
        <v>8876</v>
      </c>
      <c r="P1483" s="158" t="s">
        <v>3562</v>
      </c>
      <c r="Q1483" s="160">
        <f>IF(Sales[[#This Row],[Status]]="Cancelled",0,Sales[[#This Row],[Qty]])</f>
        <v>5</v>
      </c>
      <c r="R1483" s="161">
        <f>IF(Sales[[#This Row],[Status]]="Cancelled",0,Sales[[#This Row],[Total Amount]])</f>
        <v>32568</v>
      </c>
      <c r="S1483" s="162">
        <f>SUM(Sales[Net Amount])</f>
        <v>406839287.73200053</v>
      </c>
    </row>
    <row r="1484" spans="1:19" ht="18.75" x14ac:dyDescent="0.25">
      <c r="A1484" s="163" t="s">
        <v>5088</v>
      </c>
      <c r="B1484" s="164">
        <v>45853</v>
      </c>
      <c r="C1484" s="34" t="s">
        <v>771</v>
      </c>
      <c r="D1484" s="53" t="str">
        <f>VLOOKUP(Sales[[#This Row],[Customer ID]],Customer[#All],2,0)</f>
        <v>Pooja Sharma</v>
      </c>
      <c r="E1484" s="34" t="s">
        <v>201</v>
      </c>
      <c r="F1484" s="34" t="str">
        <f>VLOOKUP(Sales[[#This Row],[Product ID]],Product[#All],2,0)</f>
        <v>Jbl Headset</v>
      </c>
      <c r="G1484" s="53">
        <v>1</v>
      </c>
      <c r="H1484" s="165">
        <f>VLOOKUP(Sales[[#This Row],[Product ID]],Product[#All],7,0)</f>
        <v>2580</v>
      </c>
      <c r="I1484" s="165">
        <f>Sales[[#This Row],[Selling Rate]]*Sales[[#This Row],[Qty]]</f>
        <v>2580</v>
      </c>
      <c r="J1484" s="45">
        <v>0.15</v>
      </c>
      <c r="K1484" s="46">
        <f>Sales[[#This Row],[Gross Amount]]*Sales[[#This Row],[Disc %]]</f>
        <v>387</v>
      </c>
      <c r="L1484" s="43">
        <v>0.18</v>
      </c>
      <c r="M1484" s="46">
        <f>(Sales[[#This Row],[Gross Amount]]-Sales[[#This Row],[Disc. Amt.]])*Sales[[#This Row],[GST %]]</f>
        <v>394.74</v>
      </c>
      <c r="N1484" s="161">
        <f>Sales[[#This Row],[Gross Amount]]-Sales[[#This Row],[Disc. Amt.]]+Sales[[#This Row],[GST Amount]]</f>
        <v>2587.7399999999998</v>
      </c>
      <c r="O1484" s="34" t="s">
        <v>3569</v>
      </c>
      <c r="P1484" s="34" t="s">
        <v>3562</v>
      </c>
      <c r="Q1484" s="165">
        <f>IF(Sales[[#This Row],[Status]]="Cancelled",0,Sales[[#This Row],[Qty]])</f>
        <v>1</v>
      </c>
      <c r="R1484" s="166">
        <f>IF(Sales[[#This Row],[Status]]="Cancelled",0,Sales[[#This Row],[Total Amount]])</f>
        <v>2587.7399999999998</v>
      </c>
      <c r="S1484" s="162">
        <f>SUM(Sales[Net Amount])</f>
        <v>406839287.73200053</v>
      </c>
    </row>
    <row r="1485" spans="1:19" ht="18.75" x14ac:dyDescent="0.25">
      <c r="A1485" s="156" t="s">
        <v>5089</v>
      </c>
      <c r="B1485" s="157">
        <v>45853</v>
      </c>
      <c r="C1485" s="158" t="s">
        <v>798</v>
      </c>
      <c r="D1485" s="159" t="str">
        <f>VLOOKUP(Sales[[#This Row],[Customer ID]],Customer[#All],2,0)</f>
        <v>Amit Singh</v>
      </c>
      <c r="E1485" s="158" t="s">
        <v>205</v>
      </c>
      <c r="F1485" s="158" t="str">
        <f>VLOOKUP(Sales[[#This Row],[Product ID]],Product[#All],2,0)</f>
        <v>HP Power Adapter</v>
      </c>
      <c r="G1485" s="159">
        <v>3</v>
      </c>
      <c r="H1485" s="160">
        <f>VLOOKUP(Sales[[#This Row],[Product ID]],Product[#All],7,0)</f>
        <v>4820</v>
      </c>
      <c r="I1485" s="160">
        <f>Sales[[#This Row],[Selling Rate]]*Sales[[#This Row],[Qty]]</f>
        <v>14460</v>
      </c>
      <c r="J1485" s="43">
        <v>0.12</v>
      </c>
      <c r="K1485" s="44">
        <f>Sales[[#This Row],[Gross Amount]]*Sales[[#This Row],[Disc %]]</f>
        <v>1735.2</v>
      </c>
      <c r="L1485" s="43">
        <v>0.18</v>
      </c>
      <c r="M1485" s="44">
        <f>(Sales[[#This Row],[Gross Amount]]-Sales[[#This Row],[Disc. Amt.]])*Sales[[#This Row],[GST %]]</f>
        <v>2290.4639999999999</v>
      </c>
      <c r="N1485" s="161">
        <f>Sales[[#This Row],[Gross Amount]]-Sales[[#This Row],[Disc. Amt.]]+Sales[[#This Row],[GST Amount]]</f>
        <v>15015.263999999999</v>
      </c>
      <c r="O1485" s="158" t="s">
        <v>3561</v>
      </c>
      <c r="P1485" s="158" t="s">
        <v>3562</v>
      </c>
      <c r="Q1485" s="160">
        <f>IF(Sales[[#This Row],[Status]]="Cancelled",0,Sales[[#This Row],[Qty]])</f>
        <v>3</v>
      </c>
      <c r="R1485" s="161">
        <f>IF(Sales[[#This Row],[Status]]="Cancelled",0,Sales[[#This Row],[Total Amount]])</f>
        <v>15015.263999999999</v>
      </c>
      <c r="S1485" s="162">
        <f>SUM(Sales[Net Amount])</f>
        <v>406839287.73200053</v>
      </c>
    </row>
    <row r="1486" spans="1:19" ht="18.75" x14ac:dyDescent="0.25">
      <c r="A1486" s="163" t="s">
        <v>5090</v>
      </c>
      <c r="B1486" s="164">
        <v>45853</v>
      </c>
      <c r="C1486" s="34" t="s">
        <v>906</v>
      </c>
      <c r="D1486" s="53" t="str">
        <f>VLOOKUP(Sales[[#This Row],[Customer ID]],Customer[#All],2,0)</f>
        <v>Ankit Sharma</v>
      </c>
      <c r="E1486" s="34" t="s">
        <v>436</v>
      </c>
      <c r="F1486" s="34" t="str">
        <f>VLOOKUP(Sales[[#This Row],[Product ID]],Product[#All],2,0)</f>
        <v>Amazon Basics Hdmi Cable</v>
      </c>
      <c r="G1486" s="53">
        <v>2</v>
      </c>
      <c r="H1486" s="165">
        <f>VLOOKUP(Sales[[#This Row],[Product ID]],Product[#All],7,0)</f>
        <v>860</v>
      </c>
      <c r="I1486" s="165">
        <f>Sales[[#This Row],[Selling Rate]]*Sales[[#This Row],[Qty]]</f>
        <v>1720</v>
      </c>
      <c r="J1486" s="45">
        <v>0.15</v>
      </c>
      <c r="K1486" s="46">
        <f>Sales[[#This Row],[Gross Amount]]*Sales[[#This Row],[Disc %]]</f>
        <v>258</v>
      </c>
      <c r="L1486" s="43">
        <v>0.18</v>
      </c>
      <c r="M1486" s="46">
        <f>(Sales[[#This Row],[Gross Amount]]-Sales[[#This Row],[Disc. Amt.]])*Sales[[#This Row],[GST %]]</f>
        <v>263.15999999999997</v>
      </c>
      <c r="N1486" s="161">
        <f>Sales[[#This Row],[Gross Amount]]-Sales[[#This Row],[Disc. Amt.]]+Sales[[#This Row],[GST Amount]]</f>
        <v>1725.1599999999999</v>
      </c>
      <c r="O1486" s="34" t="s">
        <v>3561</v>
      </c>
      <c r="P1486" s="34" t="s">
        <v>3562</v>
      </c>
      <c r="Q1486" s="165">
        <f>IF(Sales[[#This Row],[Status]]="Cancelled",0,Sales[[#This Row],[Qty]])</f>
        <v>2</v>
      </c>
      <c r="R1486" s="166">
        <f>IF(Sales[[#This Row],[Status]]="Cancelled",0,Sales[[#This Row],[Total Amount]])</f>
        <v>1725.1599999999999</v>
      </c>
      <c r="S1486" s="162">
        <f>SUM(Sales[Net Amount])</f>
        <v>406839287.73200053</v>
      </c>
    </row>
    <row r="1487" spans="1:19" ht="18.75" x14ac:dyDescent="0.25">
      <c r="A1487" s="156" t="s">
        <v>5091</v>
      </c>
      <c r="B1487" s="157">
        <v>45853</v>
      </c>
      <c r="C1487" s="158" t="s">
        <v>834</v>
      </c>
      <c r="D1487" s="159" t="str">
        <f>VLOOKUP(Sales[[#This Row],[Customer ID]],Customer[#All],2,0)</f>
        <v>Rahul Verma</v>
      </c>
      <c r="E1487" s="158" t="s">
        <v>387</v>
      </c>
      <c r="F1487" s="158" t="str">
        <f>VLOOKUP(Sales[[#This Row],[Product ID]],Product[#All],2,0)</f>
        <v>HP Printer</v>
      </c>
      <c r="G1487" s="159">
        <v>1</v>
      </c>
      <c r="H1487" s="160">
        <f>VLOOKUP(Sales[[#This Row],[Product ID]],Product[#All],7,0)</f>
        <v>14390</v>
      </c>
      <c r="I1487" s="160">
        <f>Sales[[#This Row],[Selling Rate]]*Sales[[#This Row],[Qty]]</f>
        <v>14390</v>
      </c>
      <c r="J1487" s="43">
        <v>0</v>
      </c>
      <c r="K1487" s="44">
        <f>Sales[[#This Row],[Gross Amount]]*Sales[[#This Row],[Disc %]]</f>
        <v>0</v>
      </c>
      <c r="L1487" s="43">
        <v>0.18</v>
      </c>
      <c r="M1487" s="44">
        <f>(Sales[[#This Row],[Gross Amount]]-Sales[[#This Row],[Disc. Amt.]])*Sales[[#This Row],[GST %]]</f>
        <v>2590.1999999999998</v>
      </c>
      <c r="N1487" s="161">
        <f>Sales[[#This Row],[Gross Amount]]-Sales[[#This Row],[Disc. Amt.]]+Sales[[#This Row],[GST Amount]]</f>
        <v>16980.2</v>
      </c>
      <c r="O1487" s="158" t="s">
        <v>8876</v>
      </c>
      <c r="P1487" s="158" t="s">
        <v>3562</v>
      </c>
      <c r="Q1487" s="160">
        <f>IF(Sales[[#This Row],[Status]]="Cancelled",0,Sales[[#This Row],[Qty]])</f>
        <v>1</v>
      </c>
      <c r="R1487" s="161">
        <f>IF(Sales[[#This Row],[Status]]="Cancelled",0,Sales[[#This Row],[Total Amount]])</f>
        <v>16980.2</v>
      </c>
      <c r="S1487" s="162">
        <f>SUM(Sales[Net Amount])</f>
        <v>406839287.73200053</v>
      </c>
    </row>
    <row r="1488" spans="1:19" ht="18.75" x14ac:dyDescent="0.25">
      <c r="A1488" s="163" t="s">
        <v>5092</v>
      </c>
      <c r="B1488" s="164">
        <v>45853</v>
      </c>
      <c r="C1488" s="34" t="s">
        <v>715</v>
      </c>
      <c r="D1488" s="53" t="str">
        <f>VLOOKUP(Sales[[#This Row],[Customer ID]],Customer[#All],2,0)</f>
        <v>Sunita Patel</v>
      </c>
      <c r="E1488" s="34" t="s">
        <v>172</v>
      </c>
      <c r="F1488" s="34" t="str">
        <f>VLOOKUP(Sales[[#This Row],[Product ID]],Product[#All],2,0)</f>
        <v>Jbl Headset</v>
      </c>
      <c r="G1488" s="53">
        <v>7</v>
      </c>
      <c r="H1488" s="165">
        <f>VLOOKUP(Sales[[#This Row],[Product ID]],Product[#All],7,0)</f>
        <v>7300</v>
      </c>
      <c r="I1488" s="165">
        <f>Sales[[#This Row],[Selling Rate]]*Sales[[#This Row],[Qty]]</f>
        <v>51100</v>
      </c>
      <c r="J1488" s="45">
        <v>0.02</v>
      </c>
      <c r="K1488" s="46">
        <f>Sales[[#This Row],[Gross Amount]]*Sales[[#This Row],[Disc %]]</f>
        <v>1022</v>
      </c>
      <c r="L1488" s="43">
        <v>0.18</v>
      </c>
      <c r="M1488" s="46">
        <f>(Sales[[#This Row],[Gross Amount]]-Sales[[#This Row],[Disc. Amt.]])*Sales[[#This Row],[GST %]]</f>
        <v>9014.0399999999991</v>
      </c>
      <c r="N1488" s="161">
        <f>Sales[[#This Row],[Gross Amount]]-Sales[[#This Row],[Disc. Amt.]]+Sales[[#This Row],[GST Amount]]</f>
        <v>59092.04</v>
      </c>
      <c r="O1488" s="34" t="s">
        <v>8876</v>
      </c>
      <c r="P1488" s="34" t="s">
        <v>3562</v>
      </c>
      <c r="Q1488" s="165">
        <f>IF(Sales[[#This Row],[Status]]="Cancelled",0,Sales[[#This Row],[Qty]])</f>
        <v>7</v>
      </c>
      <c r="R1488" s="166">
        <f>IF(Sales[[#This Row],[Status]]="Cancelled",0,Sales[[#This Row],[Total Amount]])</f>
        <v>59092.04</v>
      </c>
      <c r="S1488" s="162">
        <f>SUM(Sales[Net Amount])</f>
        <v>406839287.73200053</v>
      </c>
    </row>
    <row r="1489" spans="1:19" ht="18.75" x14ac:dyDescent="0.25">
      <c r="A1489" s="156" t="s">
        <v>5093</v>
      </c>
      <c r="B1489" s="157">
        <v>45853</v>
      </c>
      <c r="C1489" s="158" t="s">
        <v>859</v>
      </c>
      <c r="D1489" s="159" t="str">
        <f>VLOOKUP(Sales[[#This Row],[Customer ID]],Customer[#All],2,0)</f>
        <v>Rakesh Kumar</v>
      </c>
      <c r="E1489" s="158" t="s">
        <v>264</v>
      </c>
      <c r="F1489" s="158" t="str">
        <f>VLOOKUP(Sales[[#This Row],[Product ID]],Product[#All],2,0)</f>
        <v>Acer Laptop</v>
      </c>
      <c r="G1489" s="159">
        <v>4</v>
      </c>
      <c r="H1489" s="160">
        <f>VLOOKUP(Sales[[#This Row],[Product ID]],Product[#All],7,0)</f>
        <v>65110</v>
      </c>
      <c r="I1489" s="160">
        <f>Sales[[#This Row],[Selling Rate]]*Sales[[#This Row],[Qty]]</f>
        <v>260440</v>
      </c>
      <c r="J1489" s="43">
        <v>0.05</v>
      </c>
      <c r="K1489" s="44">
        <f>Sales[[#This Row],[Gross Amount]]*Sales[[#This Row],[Disc %]]</f>
        <v>13022</v>
      </c>
      <c r="L1489" s="43">
        <v>0.18</v>
      </c>
      <c r="M1489" s="44">
        <f>(Sales[[#This Row],[Gross Amount]]-Sales[[#This Row],[Disc. Amt.]])*Sales[[#This Row],[GST %]]</f>
        <v>44535.24</v>
      </c>
      <c r="N1489" s="161">
        <f>Sales[[#This Row],[Gross Amount]]-Sales[[#This Row],[Disc. Amt.]]+Sales[[#This Row],[GST Amount]]</f>
        <v>291953.24</v>
      </c>
      <c r="O1489" s="158" t="s">
        <v>8876</v>
      </c>
      <c r="P1489" s="158" t="s">
        <v>3562</v>
      </c>
      <c r="Q1489" s="160">
        <f>IF(Sales[[#This Row],[Status]]="Cancelled",0,Sales[[#This Row],[Qty]])</f>
        <v>4</v>
      </c>
      <c r="R1489" s="161">
        <f>IF(Sales[[#This Row],[Status]]="Cancelled",0,Sales[[#This Row],[Total Amount]])</f>
        <v>291953.24</v>
      </c>
      <c r="S1489" s="162">
        <f>SUM(Sales[Net Amount])</f>
        <v>406839287.73200053</v>
      </c>
    </row>
    <row r="1490" spans="1:19" ht="18.75" x14ac:dyDescent="0.25">
      <c r="A1490" s="163" t="s">
        <v>5094</v>
      </c>
      <c r="B1490" s="164">
        <v>45853</v>
      </c>
      <c r="C1490" s="34" t="s">
        <v>712</v>
      </c>
      <c r="D1490" s="53" t="str">
        <f>VLOOKUP(Sales[[#This Row],[Customer ID]],Customer[#All],2,0)</f>
        <v>Sahil Verma</v>
      </c>
      <c r="E1490" s="34" t="s">
        <v>392</v>
      </c>
      <c r="F1490" s="34" t="str">
        <f>VLOOKUP(Sales[[#This Row],[Product ID]],Product[#All],2,0)</f>
        <v>Apc UPS</v>
      </c>
      <c r="G1490" s="53">
        <v>8</v>
      </c>
      <c r="H1490" s="165">
        <f>VLOOKUP(Sales[[#This Row],[Product ID]],Product[#All],7,0)</f>
        <v>3320</v>
      </c>
      <c r="I1490" s="165">
        <f>Sales[[#This Row],[Selling Rate]]*Sales[[#This Row],[Qty]]</f>
        <v>26560</v>
      </c>
      <c r="J1490" s="45">
        <v>0</v>
      </c>
      <c r="K1490" s="46">
        <f>Sales[[#This Row],[Gross Amount]]*Sales[[#This Row],[Disc %]]</f>
        <v>0</v>
      </c>
      <c r="L1490" s="43">
        <v>0.18</v>
      </c>
      <c r="M1490" s="46">
        <f>(Sales[[#This Row],[Gross Amount]]-Sales[[#This Row],[Disc. Amt.]])*Sales[[#This Row],[GST %]]</f>
        <v>4780.8</v>
      </c>
      <c r="N1490" s="161">
        <f>Sales[[#This Row],[Gross Amount]]-Sales[[#This Row],[Disc. Amt.]]+Sales[[#This Row],[GST Amount]]</f>
        <v>31340.799999999999</v>
      </c>
      <c r="O1490" s="34" t="s">
        <v>3561</v>
      </c>
      <c r="P1490" s="34" t="s">
        <v>3562</v>
      </c>
      <c r="Q1490" s="165">
        <f>IF(Sales[[#This Row],[Status]]="Cancelled",0,Sales[[#This Row],[Qty]])</f>
        <v>8</v>
      </c>
      <c r="R1490" s="166">
        <f>IF(Sales[[#This Row],[Status]]="Cancelled",0,Sales[[#This Row],[Total Amount]])</f>
        <v>31340.799999999999</v>
      </c>
      <c r="S1490" s="162">
        <f>SUM(Sales[Net Amount])</f>
        <v>406839287.73200053</v>
      </c>
    </row>
    <row r="1491" spans="1:19" ht="18.75" x14ac:dyDescent="0.25">
      <c r="A1491" s="156" t="s">
        <v>5095</v>
      </c>
      <c r="B1491" s="157">
        <v>45853</v>
      </c>
      <c r="C1491" s="158" t="s">
        <v>769</v>
      </c>
      <c r="D1491" s="159" t="str">
        <f>VLOOKUP(Sales[[#This Row],[Customer ID]],Customer[#All],2,0)</f>
        <v>Sahil Kumar</v>
      </c>
      <c r="E1491" s="158" t="s">
        <v>198</v>
      </c>
      <c r="F1491" s="158" t="str">
        <f>VLOOKUP(Sales[[#This Row],[Product ID]],Product[#All],2,0)</f>
        <v>PortronicsLaptopStand</v>
      </c>
      <c r="G1491" s="159">
        <v>2</v>
      </c>
      <c r="H1491" s="160">
        <f>VLOOKUP(Sales[[#This Row],[Product ID]],Product[#All],7,0)</f>
        <v>2240</v>
      </c>
      <c r="I1491" s="160">
        <f>Sales[[#This Row],[Selling Rate]]*Sales[[#This Row],[Qty]]</f>
        <v>4480</v>
      </c>
      <c r="J1491" s="43">
        <v>0</v>
      </c>
      <c r="K1491" s="44">
        <f>Sales[[#This Row],[Gross Amount]]*Sales[[#This Row],[Disc %]]</f>
        <v>0</v>
      </c>
      <c r="L1491" s="43">
        <v>0.18</v>
      </c>
      <c r="M1491" s="44">
        <f>(Sales[[#This Row],[Gross Amount]]-Sales[[#This Row],[Disc. Amt.]])*Sales[[#This Row],[GST %]]</f>
        <v>806.4</v>
      </c>
      <c r="N1491" s="161">
        <f>Sales[[#This Row],[Gross Amount]]-Sales[[#This Row],[Disc. Amt.]]+Sales[[#This Row],[GST Amount]]</f>
        <v>5286.4</v>
      </c>
      <c r="O1491" s="158" t="s">
        <v>3566</v>
      </c>
      <c r="P1491" s="158" t="s">
        <v>3562</v>
      </c>
      <c r="Q1491" s="160">
        <f>IF(Sales[[#This Row],[Status]]="Cancelled",0,Sales[[#This Row],[Qty]])</f>
        <v>2</v>
      </c>
      <c r="R1491" s="161">
        <f>IF(Sales[[#This Row],[Status]]="Cancelled",0,Sales[[#This Row],[Total Amount]])</f>
        <v>5286.4</v>
      </c>
      <c r="S1491" s="162">
        <f>SUM(Sales[Net Amount])</f>
        <v>406839287.73200053</v>
      </c>
    </row>
    <row r="1492" spans="1:19" ht="18.75" x14ac:dyDescent="0.25">
      <c r="A1492" s="163" t="s">
        <v>5096</v>
      </c>
      <c r="B1492" s="164">
        <v>45854</v>
      </c>
      <c r="C1492" s="34" t="s">
        <v>755</v>
      </c>
      <c r="D1492" s="53" t="str">
        <f>VLOOKUP(Sales[[#This Row],[Customer ID]],Customer[#All],2,0)</f>
        <v>Sunita Gupta</v>
      </c>
      <c r="E1492" s="34" t="s">
        <v>280</v>
      </c>
      <c r="F1492" s="34" t="str">
        <f>VLOOKUP(Sales[[#This Row],[Product ID]],Product[#All],2,0)</f>
        <v>Epson Printer</v>
      </c>
      <c r="G1492" s="53">
        <v>6</v>
      </c>
      <c r="H1492" s="165">
        <f>VLOOKUP(Sales[[#This Row],[Product ID]],Product[#All],7,0)</f>
        <v>34550</v>
      </c>
      <c r="I1492" s="165">
        <f>Sales[[#This Row],[Selling Rate]]*Sales[[#This Row],[Qty]]</f>
        <v>207300</v>
      </c>
      <c r="J1492" s="45">
        <v>0.1</v>
      </c>
      <c r="K1492" s="46">
        <f>Sales[[#This Row],[Gross Amount]]*Sales[[#This Row],[Disc %]]</f>
        <v>20730</v>
      </c>
      <c r="L1492" s="43">
        <v>0.18</v>
      </c>
      <c r="M1492" s="46">
        <f>(Sales[[#This Row],[Gross Amount]]-Sales[[#This Row],[Disc. Amt.]])*Sales[[#This Row],[GST %]]</f>
        <v>33582.6</v>
      </c>
      <c r="N1492" s="161">
        <f>Sales[[#This Row],[Gross Amount]]-Sales[[#This Row],[Disc. Amt.]]+Sales[[#This Row],[GST Amount]]</f>
        <v>220152.6</v>
      </c>
      <c r="O1492" s="34" t="s">
        <v>8876</v>
      </c>
      <c r="P1492" s="34" t="s">
        <v>3562</v>
      </c>
      <c r="Q1492" s="165">
        <f>IF(Sales[[#This Row],[Status]]="Cancelled",0,Sales[[#This Row],[Qty]])</f>
        <v>6</v>
      </c>
      <c r="R1492" s="166">
        <f>IF(Sales[[#This Row],[Status]]="Cancelled",0,Sales[[#This Row],[Total Amount]])</f>
        <v>220152.6</v>
      </c>
      <c r="S1492" s="162">
        <f>SUM(Sales[Net Amount])</f>
        <v>406839287.73200053</v>
      </c>
    </row>
    <row r="1493" spans="1:19" ht="18.75" x14ac:dyDescent="0.25">
      <c r="A1493" s="156" t="s">
        <v>5097</v>
      </c>
      <c r="B1493" s="157">
        <v>45854</v>
      </c>
      <c r="C1493" s="158" t="s">
        <v>781</v>
      </c>
      <c r="D1493" s="159" t="str">
        <f>VLOOKUP(Sales[[#This Row],[Customer ID]],Customer[#All],2,0)</f>
        <v>Vikas Sharma</v>
      </c>
      <c r="E1493" s="158" t="s">
        <v>486</v>
      </c>
      <c r="F1493" s="158" t="str">
        <f>VLOOKUP(Sales[[#This Row],[Product ID]],Product[#All],2,0)</f>
        <v>Logitech Mouse</v>
      </c>
      <c r="G1493" s="159">
        <v>5</v>
      </c>
      <c r="H1493" s="160">
        <f>VLOOKUP(Sales[[#This Row],[Product ID]],Product[#All],7,0)</f>
        <v>1650</v>
      </c>
      <c r="I1493" s="160">
        <f>Sales[[#This Row],[Selling Rate]]*Sales[[#This Row],[Qty]]</f>
        <v>8250</v>
      </c>
      <c r="J1493" s="43">
        <v>0.05</v>
      </c>
      <c r="K1493" s="44">
        <f>Sales[[#This Row],[Gross Amount]]*Sales[[#This Row],[Disc %]]</f>
        <v>412.5</v>
      </c>
      <c r="L1493" s="43">
        <v>0.18</v>
      </c>
      <c r="M1493" s="44">
        <f>(Sales[[#This Row],[Gross Amount]]-Sales[[#This Row],[Disc. Amt.]])*Sales[[#This Row],[GST %]]</f>
        <v>1410.75</v>
      </c>
      <c r="N1493" s="161">
        <f>Sales[[#This Row],[Gross Amount]]-Sales[[#This Row],[Disc. Amt.]]+Sales[[#This Row],[GST Amount]]</f>
        <v>9248.25</v>
      </c>
      <c r="O1493" s="158" t="s">
        <v>8876</v>
      </c>
      <c r="P1493" s="158" t="s">
        <v>3562</v>
      </c>
      <c r="Q1493" s="160">
        <f>IF(Sales[[#This Row],[Status]]="Cancelled",0,Sales[[#This Row],[Qty]])</f>
        <v>5</v>
      </c>
      <c r="R1493" s="161">
        <f>IF(Sales[[#This Row],[Status]]="Cancelled",0,Sales[[#This Row],[Total Amount]])</f>
        <v>9248.25</v>
      </c>
      <c r="S1493" s="162">
        <f>SUM(Sales[Net Amount])</f>
        <v>406839287.73200053</v>
      </c>
    </row>
    <row r="1494" spans="1:19" ht="18.75" x14ac:dyDescent="0.25">
      <c r="A1494" s="163" t="s">
        <v>5098</v>
      </c>
      <c r="B1494" s="164">
        <v>45854</v>
      </c>
      <c r="C1494" s="34" t="s">
        <v>737</v>
      </c>
      <c r="D1494" s="53" t="str">
        <f>VLOOKUP(Sales[[#This Row],[Customer ID]],Customer[#All],2,0)</f>
        <v>Pooja Verma</v>
      </c>
      <c r="E1494" s="34" t="s">
        <v>126</v>
      </c>
      <c r="F1494" s="34" t="str">
        <f>VLOOKUP(Sales[[#This Row],[Product ID]],Product[#All],2,0)</f>
        <v>Epson Printer</v>
      </c>
      <c r="G1494" s="53">
        <v>6</v>
      </c>
      <c r="H1494" s="165">
        <f>VLOOKUP(Sales[[#This Row],[Product ID]],Product[#All],7,0)</f>
        <v>23980</v>
      </c>
      <c r="I1494" s="165">
        <f>Sales[[#This Row],[Selling Rate]]*Sales[[#This Row],[Qty]]</f>
        <v>143880</v>
      </c>
      <c r="J1494" s="45">
        <v>0.15</v>
      </c>
      <c r="K1494" s="46">
        <f>Sales[[#This Row],[Gross Amount]]*Sales[[#This Row],[Disc %]]</f>
        <v>21582</v>
      </c>
      <c r="L1494" s="43">
        <v>0.18</v>
      </c>
      <c r="M1494" s="46">
        <f>(Sales[[#This Row],[Gross Amount]]-Sales[[#This Row],[Disc. Amt.]])*Sales[[#This Row],[GST %]]</f>
        <v>22013.64</v>
      </c>
      <c r="N1494" s="161">
        <f>Sales[[#This Row],[Gross Amount]]-Sales[[#This Row],[Disc. Amt.]]+Sales[[#This Row],[GST Amount]]</f>
        <v>144311.64000000001</v>
      </c>
      <c r="O1494" s="34" t="s">
        <v>8876</v>
      </c>
      <c r="P1494" s="34" t="s">
        <v>3562</v>
      </c>
      <c r="Q1494" s="165">
        <f>IF(Sales[[#This Row],[Status]]="Cancelled",0,Sales[[#This Row],[Qty]])</f>
        <v>6</v>
      </c>
      <c r="R1494" s="166">
        <f>IF(Sales[[#This Row],[Status]]="Cancelled",0,Sales[[#This Row],[Total Amount]])</f>
        <v>144311.64000000001</v>
      </c>
      <c r="S1494" s="162">
        <f>SUM(Sales[Net Amount])</f>
        <v>406839287.73200053</v>
      </c>
    </row>
    <row r="1495" spans="1:19" ht="18.75" x14ac:dyDescent="0.25">
      <c r="A1495" s="156" t="s">
        <v>5099</v>
      </c>
      <c r="B1495" s="157">
        <v>45854</v>
      </c>
      <c r="C1495" s="158" t="s">
        <v>927</v>
      </c>
      <c r="D1495" s="159" t="str">
        <f>VLOOKUP(Sales[[#This Row],[Customer ID]],Customer[#All],2,0)</f>
        <v>Sunita Patel</v>
      </c>
      <c r="E1495" s="158" t="s">
        <v>302</v>
      </c>
      <c r="F1495" s="158" t="str">
        <f>VLOOKUP(Sales[[#This Row],[Product ID]],Product[#All],2,0)</f>
        <v>Sandisk Pen Drive</v>
      </c>
      <c r="G1495" s="159">
        <v>7</v>
      </c>
      <c r="H1495" s="160">
        <f>VLOOKUP(Sales[[#This Row],[Product ID]],Product[#All],7,0)</f>
        <v>2500</v>
      </c>
      <c r="I1495" s="160">
        <f>Sales[[#This Row],[Selling Rate]]*Sales[[#This Row],[Qty]]</f>
        <v>17500</v>
      </c>
      <c r="J1495" s="43">
        <v>0.15</v>
      </c>
      <c r="K1495" s="44">
        <f>Sales[[#This Row],[Gross Amount]]*Sales[[#This Row],[Disc %]]</f>
        <v>2625</v>
      </c>
      <c r="L1495" s="43">
        <v>0.18</v>
      </c>
      <c r="M1495" s="44">
        <f>(Sales[[#This Row],[Gross Amount]]-Sales[[#This Row],[Disc. Amt.]])*Sales[[#This Row],[GST %]]</f>
        <v>2677.5</v>
      </c>
      <c r="N1495" s="161">
        <f>Sales[[#This Row],[Gross Amount]]-Sales[[#This Row],[Disc. Amt.]]+Sales[[#This Row],[GST Amount]]</f>
        <v>17552.5</v>
      </c>
      <c r="O1495" s="158" t="s">
        <v>3566</v>
      </c>
      <c r="P1495" s="158" t="s">
        <v>3562</v>
      </c>
      <c r="Q1495" s="160">
        <f>IF(Sales[[#This Row],[Status]]="Cancelled",0,Sales[[#This Row],[Qty]])</f>
        <v>7</v>
      </c>
      <c r="R1495" s="161">
        <f>IF(Sales[[#This Row],[Status]]="Cancelled",0,Sales[[#This Row],[Total Amount]])</f>
        <v>17552.5</v>
      </c>
      <c r="S1495" s="162">
        <f>SUM(Sales[Net Amount])</f>
        <v>406839287.73200053</v>
      </c>
    </row>
    <row r="1496" spans="1:19" ht="18.75" x14ac:dyDescent="0.25">
      <c r="A1496" s="163" t="s">
        <v>5100</v>
      </c>
      <c r="B1496" s="164">
        <v>45854</v>
      </c>
      <c r="C1496" s="34" t="s">
        <v>817</v>
      </c>
      <c r="D1496" s="53" t="str">
        <f>VLOOKUP(Sales[[#This Row],[Customer ID]],Customer[#All],2,0)</f>
        <v>Ankit Patel</v>
      </c>
      <c r="E1496" s="34" t="s">
        <v>472</v>
      </c>
      <c r="F1496" s="34" t="str">
        <f>VLOOKUP(Sales[[#This Row],[Product ID]],Product[#All],2,0)</f>
        <v>Seagate HDD</v>
      </c>
      <c r="G1496" s="53">
        <v>7</v>
      </c>
      <c r="H1496" s="165">
        <f>VLOOKUP(Sales[[#This Row],[Product ID]],Product[#All],7,0)</f>
        <v>6840</v>
      </c>
      <c r="I1496" s="165">
        <f>Sales[[#This Row],[Selling Rate]]*Sales[[#This Row],[Qty]]</f>
        <v>47880</v>
      </c>
      <c r="J1496" s="45">
        <v>0.05</v>
      </c>
      <c r="K1496" s="46">
        <f>Sales[[#This Row],[Gross Amount]]*Sales[[#This Row],[Disc %]]</f>
        <v>2394</v>
      </c>
      <c r="L1496" s="43">
        <v>0.18</v>
      </c>
      <c r="M1496" s="46">
        <f>(Sales[[#This Row],[Gross Amount]]-Sales[[#This Row],[Disc. Amt.]])*Sales[[#This Row],[GST %]]</f>
        <v>8187.48</v>
      </c>
      <c r="N1496" s="161">
        <f>Sales[[#This Row],[Gross Amount]]-Sales[[#This Row],[Disc. Amt.]]+Sales[[#This Row],[GST Amount]]</f>
        <v>53673.479999999996</v>
      </c>
      <c r="O1496" s="34" t="s">
        <v>3561</v>
      </c>
      <c r="P1496" s="34" t="s">
        <v>3562</v>
      </c>
      <c r="Q1496" s="165">
        <f>IF(Sales[[#This Row],[Status]]="Cancelled",0,Sales[[#This Row],[Qty]])</f>
        <v>7</v>
      </c>
      <c r="R1496" s="166">
        <f>IF(Sales[[#This Row],[Status]]="Cancelled",0,Sales[[#This Row],[Total Amount]])</f>
        <v>53673.479999999996</v>
      </c>
      <c r="S1496" s="162">
        <f>SUM(Sales[Net Amount])</f>
        <v>406839287.73200053</v>
      </c>
    </row>
    <row r="1497" spans="1:19" ht="18.75" x14ac:dyDescent="0.25">
      <c r="A1497" s="156" t="s">
        <v>5101</v>
      </c>
      <c r="B1497" s="157">
        <v>45854</v>
      </c>
      <c r="C1497" s="158" t="s">
        <v>659</v>
      </c>
      <c r="D1497" s="159" t="str">
        <f>VLOOKUP(Sales[[#This Row],[Customer ID]],Customer[#All],2,0)</f>
        <v>Rakesh Sharma</v>
      </c>
      <c r="E1497" s="158" t="s">
        <v>220</v>
      </c>
      <c r="F1497" s="158" t="str">
        <f>VLOOKUP(Sales[[#This Row],[Product ID]],Product[#All],2,0)</f>
        <v>HP Desktop</v>
      </c>
      <c r="G1497" s="159">
        <v>8</v>
      </c>
      <c r="H1497" s="160">
        <f>VLOOKUP(Sales[[#This Row],[Product ID]],Product[#All],7,0)</f>
        <v>40570</v>
      </c>
      <c r="I1497" s="160">
        <f>Sales[[#This Row],[Selling Rate]]*Sales[[#This Row],[Qty]]</f>
        <v>324560</v>
      </c>
      <c r="J1497" s="43">
        <v>0.15</v>
      </c>
      <c r="K1497" s="44">
        <f>Sales[[#This Row],[Gross Amount]]*Sales[[#This Row],[Disc %]]</f>
        <v>48684</v>
      </c>
      <c r="L1497" s="43">
        <v>0.18</v>
      </c>
      <c r="M1497" s="44">
        <f>(Sales[[#This Row],[Gross Amount]]-Sales[[#This Row],[Disc. Amt.]])*Sales[[#This Row],[GST %]]</f>
        <v>49657.68</v>
      </c>
      <c r="N1497" s="161">
        <f>Sales[[#This Row],[Gross Amount]]-Sales[[#This Row],[Disc. Amt.]]+Sales[[#This Row],[GST Amount]]</f>
        <v>325533.68</v>
      </c>
      <c r="O1497" s="158" t="s">
        <v>3566</v>
      </c>
      <c r="P1497" s="158" t="s">
        <v>3562</v>
      </c>
      <c r="Q1497" s="160">
        <f>IF(Sales[[#This Row],[Status]]="Cancelled",0,Sales[[#This Row],[Qty]])</f>
        <v>8</v>
      </c>
      <c r="R1497" s="161">
        <f>IF(Sales[[#This Row],[Status]]="Cancelled",0,Sales[[#This Row],[Total Amount]])</f>
        <v>325533.68</v>
      </c>
      <c r="S1497" s="162">
        <f>SUM(Sales[Net Amount])</f>
        <v>406839287.73200053</v>
      </c>
    </row>
    <row r="1498" spans="1:19" ht="18.75" x14ac:dyDescent="0.25">
      <c r="A1498" s="163" t="s">
        <v>5102</v>
      </c>
      <c r="B1498" s="164">
        <v>45854</v>
      </c>
      <c r="C1498" s="34" t="s">
        <v>935</v>
      </c>
      <c r="D1498" s="53" t="str">
        <f>VLOOKUP(Sales[[#This Row],[Customer ID]],Customer[#All],2,0)</f>
        <v>Ankit Kumar</v>
      </c>
      <c r="E1498" s="34" t="s">
        <v>461</v>
      </c>
      <c r="F1498" s="34" t="str">
        <f>VLOOKUP(Sales[[#This Row],[Product ID]],Product[#All],2,0)</f>
        <v>TP-link Wi-Fi Adapter</v>
      </c>
      <c r="G1498" s="53">
        <v>4</v>
      </c>
      <c r="H1498" s="165">
        <f>VLOOKUP(Sales[[#This Row],[Product ID]],Product[#All],7,0)</f>
        <v>2500</v>
      </c>
      <c r="I1498" s="165">
        <f>Sales[[#This Row],[Selling Rate]]*Sales[[#This Row],[Qty]]</f>
        <v>10000</v>
      </c>
      <c r="J1498" s="45">
        <v>0.02</v>
      </c>
      <c r="K1498" s="46">
        <f>Sales[[#This Row],[Gross Amount]]*Sales[[#This Row],[Disc %]]</f>
        <v>200</v>
      </c>
      <c r="L1498" s="43">
        <v>0.18</v>
      </c>
      <c r="M1498" s="46">
        <f>(Sales[[#This Row],[Gross Amount]]-Sales[[#This Row],[Disc. Amt.]])*Sales[[#This Row],[GST %]]</f>
        <v>1764</v>
      </c>
      <c r="N1498" s="161">
        <f>Sales[[#This Row],[Gross Amount]]-Sales[[#This Row],[Disc. Amt.]]+Sales[[#This Row],[GST Amount]]</f>
        <v>11564</v>
      </c>
      <c r="O1498" s="34" t="s">
        <v>8876</v>
      </c>
      <c r="P1498" s="34" t="s">
        <v>3562</v>
      </c>
      <c r="Q1498" s="165">
        <f>IF(Sales[[#This Row],[Status]]="Cancelled",0,Sales[[#This Row],[Qty]])</f>
        <v>4</v>
      </c>
      <c r="R1498" s="166">
        <f>IF(Sales[[#This Row],[Status]]="Cancelled",0,Sales[[#This Row],[Total Amount]])</f>
        <v>11564</v>
      </c>
      <c r="S1498" s="162">
        <f>SUM(Sales[Net Amount])</f>
        <v>406839287.73200053</v>
      </c>
    </row>
    <row r="1499" spans="1:19" ht="18.75" x14ac:dyDescent="0.25">
      <c r="A1499" s="156" t="s">
        <v>5103</v>
      </c>
      <c r="B1499" s="157">
        <v>45854</v>
      </c>
      <c r="C1499" s="158" t="s">
        <v>811</v>
      </c>
      <c r="D1499" s="159" t="str">
        <f>VLOOKUP(Sales[[#This Row],[Customer ID]],Customer[#All],2,0)</f>
        <v>Rahul Sharma</v>
      </c>
      <c r="E1499" s="158" t="s">
        <v>343</v>
      </c>
      <c r="F1499" s="158" t="str">
        <f>VLOOKUP(Sales[[#This Row],[Product ID]],Product[#All],2,0)</f>
        <v>Portronics USB Cable</v>
      </c>
      <c r="G1499" s="159">
        <v>5</v>
      </c>
      <c r="H1499" s="160">
        <f>VLOOKUP(Sales[[#This Row],[Product ID]],Product[#All],7,0)</f>
        <v>780</v>
      </c>
      <c r="I1499" s="160">
        <f>Sales[[#This Row],[Selling Rate]]*Sales[[#This Row],[Qty]]</f>
        <v>3900</v>
      </c>
      <c r="J1499" s="43">
        <v>0.05</v>
      </c>
      <c r="K1499" s="44">
        <f>Sales[[#This Row],[Gross Amount]]*Sales[[#This Row],[Disc %]]</f>
        <v>195</v>
      </c>
      <c r="L1499" s="43">
        <v>0.18</v>
      </c>
      <c r="M1499" s="44">
        <f>(Sales[[#This Row],[Gross Amount]]-Sales[[#This Row],[Disc. Amt.]])*Sales[[#This Row],[GST %]]</f>
        <v>666.9</v>
      </c>
      <c r="N1499" s="161">
        <f>Sales[[#This Row],[Gross Amount]]-Sales[[#This Row],[Disc. Amt.]]+Sales[[#This Row],[GST Amount]]</f>
        <v>4371.8999999999996</v>
      </c>
      <c r="O1499" s="158" t="s">
        <v>3561</v>
      </c>
      <c r="P1499" s="158" t="s">
        <v>3562</v>
      </c>
      <c r="Q1499" s="160">
        <f>IF(Sales[[#This Row],[Status]]="Cancelled",0,Sales[[#This Row],[Qty]])</f>
        <v>5</v>
      </c>
      <c r="R1499" s="161">
        <f>IF(Sales[[#This Row],[Status]]="Cancelled",0,Sales[[#This Row],[Total Amount]])</f>
        <v>4371.8999999999996</v>
      </c>
      <c r="S1499" s="162">
        <f>SUM(Sales[Net Amount])</f>
        <v>406839287.73200053</v>
      </c>
    </row>
    <row r="1500" spans="1:19" ht="18.75" x14ac:dyDescent="0.25">
      <c r="A1500" s="163" t="s">
        <v>5104</v>
      </c>
      <c r="B1500" s="164">
        <v>45854</v>
      </c>
      <c r="C1500" s="34" t="s">
        <v>824</v>
      </c>
      <c r="D1500" s="53" t="str">
        <f>VLOOKUP(Sales[[#This Row],[Customer ID]],Customer[#All],2,0)</f>
        <v>Sunita Verma</v>
      </c>
      <c r="E1500" s="34" t="s">
        <v>416</v>
      </c>
      <c r="F1500" s="34" t="str">
        <f>VLOOKUP(Sales[[#This Row],[Product ID]],Product[#All],2,0)</f>
        <v>Portronics USB Cable</v>
      </c>
      <c r="G1500" s="53">
        <v>8</v>
      </c>
      <c r="H1500" s="165">
        <f>VLOOKUP(Sales[[#This Row],[Product ID]],Product[#All],7,0)</f>
        <v>960</v>
      </c>
      <c r="I1500" s="165">
        <f>Sales[[#This Row],[Selling Rate]]*Sales[[#This Row],[Qty]]</f>
        <v>7680</v>
      </c>
      <c r="J1500" s="45">
        <v>0.1</v>
      </c>
      <c r="K1500" s="46">
        <f>Sales[[#This Row],[Gross Amount]]*Sales[[#This Row],[Disc %]]</f>
        <v>768</v>
      </c>
      <c r="L1500" s="43">
        <v>0.18</v>
      </c>
      <c r="M1500" s="46">
        <f>(Sales[[#This Row],[Gross Amount]]-Sales[[#This Row],[Disc. Amt.]])*Sales[[#This Row],[GST %]]</f>
        <v>1244.1599999999999</v>
      </c>
      <c r="N1500" s="161">
        <f>Sales[[#This Row],[Gross Amount]]-Sales[[#This Row],[Disc. Amt.]]+Sales[[#This Row],[GST Amount]]</f>
        <v>8156.16</v>
      </c>
      <c r="O1500" s="34" t="s">
        <v>3566</v>
      </c>
      <c r="P1500" s="34" t="s">
        <v>3562</v>
      </c>
      <c r="Q1500" s="165">
        <f>IF(Sales[[#This Row],[Status]]="Cancelled",0,Sales[[#This Row],[Qty]])</f>
        <v>8</v>
      </c>
      <c r="R1500" s="166">
        <f>IF(Sales[[#This Row],[Status]]="Cancelled",0,Sales[[#This Row],[Total Amount]])</f>
        <v>8156.16</v>
      </c>
      <c r="S1500" s="162">
        <f>SUM(Sales[Net Amount])</f>
        <v>406839287.73200053</v>
      </c>
    </row>
    <row r="1501" spans="1:19" ht="18.75" x14ac:dyDescent="0.25">
      <c r="A1501" s="156" t="s">
        <v>5105</v>
      </c>
      <c r="B1501" s="157">
        <v>45854</v>
      </c>
      <c r="C1501" s="158" t="s">
        <v>915</v>
      </c>
      <c r="D1501" s="159" t="str">
        <f>VLOOKUP(Sales[[#This Row],[Customer ID]],Customer[#All],2,0)</f>
        <v>Sunita Kumar</v>
      </c>
      <c r="E1501" s="158" t="s">
        <v>38</v>
      </c>
      <c r="F1501" s="158" t="str">
        <f>VLOOKUP(Sales[[#This Row],[Product ID]],Product[#All],2,0)</f>
        <v>Lenovo Laptop</v>
      </c>
      <c r="G1501" s="159">
        <v>3</v>
      </c>
      <c r="H1501" s="160">
        <f>VLOOKUP(Sales[[#This Row],[Product ID]],Product[#All],7,0)</f>
        <v>77490</v>
      </c>
      <c r="I1501" s="160">
        <f>Sales[[#This Row],[Selling Rate]]*Sales[[#This Row],[Qty]]</f>
        <v>232470</v>
      </c>
      <c r="J1501" s="43">
        <v>0</v>
      </c>
      <c r="K1501" s="44">
        <f>Sales[[#This Row],[Gross Amount]]*Sales[[#This Row],[Disc %]]</f>
        <v>0</v>
      </c>
      <c r="L1501" s="43">
        <v>0.18</v>
      </c>
      <c r="M1501" s="44">
        <f>(Sales[[#This Row],[Gross Amount]]-Sales[[#This Row],[Disc. Amt.]])*Sales[[#This Row],[GST %]]</f>
        <v>41844.6</v>
      </c>
      <c r="N1501" s="161">
        <f>Sales[[#This Row],[Gross Amount]]-Sales[[#This Row],[Disc. Amt.]]+Sales[[#This Row],[GST Amount]]</f>
        <v>274314.59999999998</v>
      </c>
      <c r="O1501" s="158" t="s">
        <v>8876</v>
      </c>
      <c r="P1501" s="158" t="s">
        <v>3562</v>
      </c>
      <c r="Q1501" s="160">
        <f>IF(Sales[[#This Row],[Status]]="Cancelled",0,Sales[[#This Row],[Qty]])</f>
        <v>3</v>
      </c>
      <c r="R1501" s="161">
        <f>IF(Sales[[#This Row],[Status]]="Cancelled",0,Sales[[#This Row],[Total Amount]])</f>
        <v>274314.59999999998</v>
      </c>
      <c r="S1501" s="162">
        <f>SUM(Sales[Net Amount])</f>
        <v>406839287.73200053</v>
      </c>
    </row>
    <row r="1502" spans="1:19" ht="18.75" x14ac:dyDescent="0.25">
      <c r="A1502" s="163" t="s">
        <v>5106</v>
      </c>
      <c r="B1502" s="164">
        <v>45854</v>
      </c>
      <c r="C1502" s="34" t="s">
        <v>775</v>
      </c>
      <c r="D1502" s="53" t="str">
        <f>VLOOKUP(Sales[[#This Row],[Customer ID]],Customer[#All],2,0)</f>
        <v>Ankit Kumar</v>
      </c>
      <c r="E1502" s="34" t="s">
        <v>545</v>
      </c>
      <c r="F1502" s="34" t="str">
        <f>VLOOKUP(Sales[[#This Row],[Product ID]],Product[#All],2,0)</f>
        <v>WD HDD</v>
      </c>
      <c r="G1502" s="53">
        <v>1</v>
      </c>
      <c r="H1502" s="165">
        <f>VLOOKUP(Sales[[#This Row],[Product ID]],Product[#All],7,0)</f>
        <v>6720</v>
      </c>
      <c r="I1502" s="165">
        <f>Sales[[#This Row],[Selling Rate]]*Sales[[#This Row],[Qty]]</f>
        <v>6720</v>
      </c>
      <c r="J1502" s="45">
        <v>0</v>
      </c>
      <c r="K1502" s="46">
        <f>Sales[[#This Row],[Gross Amount]]*Sales[[#This Row],[Disc %]]</f>
        <v>0</v>
      </c>
      <c r="L1502" s="43">
        <v>0.18</v>
      </c>
      <c r="M1502" s="46">
        <f>(Sales[[#This Row],[Gross Amount]]-Sales[[#This Row],[Disc. Amt.]])*Sales[[#This Row],[GST %]]</f>
        <v>1209.5999999999999</v>
      </c>
      <c r="N1502" s="161">
        <f>Sales[[#This Row],[Gross Amount]]-Sales[[#This Row],[Disc. Amt.]]+Sales[[#This Row],[GST Amount]]</f>
        <v>7929.6</v>
      </c>
      <c r="O1502" s="34" t="s">
        <v>3569</v>
      </c>
      <c r="P1502" s="34" t="s">
        <v>3562</v>
      </c>
      <c r="Q1502" s="165">
        <f>IF(Sales[[#This Row],[Status]]="Cancelled",0,Sales[[#This Row],[Qty]])</f>
        <v>1</v>
      </c>
      <c r="R1502" s="166">
        <f>IF(Sales[[#This Row],[Status]]="Cancelled",0,Sales[[#This Row],[Total Amount]])</f>
        <v>7929.6</v>
      </c>
      <c r="S1502" s="162">
        <f>SUM(Sales[Net Amount])</f>
        <v>406839287.73200053</v>
      </c>
    </row>
    <row r="1503" spans="1:19" ht="18.75" x14ac:dyDescent="0.25">
      <c r="A1503" s="156" t="s">
        <v>5107</v>
      </c>
      <c r="B1503" s="157">
        <v>45854</v>
      </c>
      <c r="C1503" s="158" t="s">
        <v>716</v>
      </c>
      <c r="D1503" s="159" t="str">
        <f>VLOOKUP(Sales[[#This Row],[Customer ID]],Customer[#All],2,0)</f>
        <v>Ankit Kumar</v>
      </c>
      <c r="E1503" s="158" t="s">
        <v>110</v>
      </c>
      <c r="F1503" s="158" t="str">
        <f>VLOOKUP(Sales[[#This Row],[Product ID]],Product[#All],2,0)</f>
        <v>Lenovo Laptop</v>
      </c>
      <c r="G1503" s="159">
        <v>2</v>
      </c>
      <c r="H1503" s="160">
        <f>VLOOKUP(Sales[[#This Row],[Product ID]],Product[#All],7,0)</f>
        <v>66670</v>
      </c>
      <c r="I1503" s="160">
        <f>Sales[[#This Row],[Selling Rate]]*Sales[[#This Row],[Qty]]</f>
        <v>133340</v>
      </c>
      <c r="J1503" s="43">
        <v>0</v>
      </c>
      <c r="K1503" s="44">
        <f>Sales[[#This Row],[Gross Amount]]*Sales[[#This Row],[Disc %]]</f>
        <v>0</v>
      </c>
      <c r="L1503" s="43">
        <v>0.18</v>
      </c>
      <c r="M1503" s="44">
        <f>(Sales[[#This Row],[Gross Amount]]-Sales[[#This Row],[Disc. Amt.]])*Sales[[#This Row],[GST %]]</f>
        <v>24001.200000000001</v>
      </c>
      <c r="N1503" s="161">
        <f>Sales[[#This Row],[Gross Amount]]-Sales[[#This Row],[Disc. Amt.]]+Sales[[#This Row],[GST Amount]]</f>
        <v>157341.20000000001</v>
      </c>
      <c r="O1503" s="158" t="s">
        <v>3569</v>
      </c>
      <c r="P1503" s="158" t="s">
        <v>3562</v>
      </c>
      <c r="Q1503" s="160">
        <f>IF(Sales[[#This Row],[Status]]="Cancelled",0,Sales[[#This Row],[Qty]])</f>
        <v>2</v>
      </c>
      <c r="R1503" s="161">
        <f>IF(Sales[[#This Row],[Status]]="Cancelled",0,Sales[[#This Row],[Total Amount]])</f>
        <v>157341.20000000001</v>
      </c>
      <c r="S1503" s="162">
        <f>SUM(Sales[Net Amount])</f>
        <v>406839287.73200053</v>
      </c>
    </row>
    <row r="1504" spans="1:19" ht="18.75" x14ac:dyDescent="0.25">
      <c r="A1504" s="163" t="s">
        <v>5108</v>
      </c>
      <c r="B1504" s="164">
        <v>45854</v>
      </c>
      <c r="C1504" s="34" t="s">
        <v>742</v>
      </c>
      <c r="D1504" s="53" t="str">
        <f>VLOOKUP(Sales[[#This Row],[Customer ID]],Customer[#All],2,0)</f>
        <v>Rahul Patel</v>
      </c>
      <c r="E1504" s="34" t="s">
        <v>274</v>
      </c>
      <c r="F1504" s="34" t="str">
        <f>VLOOKUP(Sales[[#This Row],[Product ID]],Product[#All],2,0)</f>
        <v>Dell Desktop</v>
      </c>
      <c r="G1504" s="53">
        <v>3</v>
      </c>
      <c r="H1504" s="165">
        <f>VLOOKUP(Sales[[#This Row],[Product ID]],Product[#All],7,0)</f>
        <v>54540</v>
      </c>
      <c r="I1504" s="165">
        <f>Sales[[#This Row],[Selling Rate]]*Sales[[#This Row],[Qty]]</f>
        <v>163620</v>
      </c>
      <c r="J1504" s="45">
        <v>0</v>
      </c>
      <c r="K1504" s="46">
        <f>Sales[[#This Row],[Gross Amount]]*Sales[[#This Row],[Disc %]]</f>
        <v>0</v>
      </c>
      <c r="L1504" s="43">
        <v>0.18</v>
      </c>
      <c r="M1504" s="46">
        <f>(Sales[[#This Row],[Gross Amount]]-Sales[[#This Row],[Disc. Amt.]])*Sales[[#This Row],[GST %]]</f>
        <v>29451.599999999999</v>
      </c>
      <c r="N1504" s="161">
        <f>Sales[[#This Row],[Gross Amount]]-Sales[[#This Row],[Disc. Amt.]]+Sales[[#This Row],[GST Amount]]</f>
        <v>193071.6</v>
      </c>
      <c r="O1504" s="34" t="s">
        <v>3569</v>
      </c>
      <c r="P1504" s="34" t="s">
        <v>3562</v>
      </c>
      <c r="Q1504" s="165">
        <f>IF(Sales[[#This Row],[Status]]="Cancelled",0,Sales[[#This Row],[Qty]])</f>
        <v>3</v>
      </c>
      <c r="R1504" s="166">
        <f>IF(Sales[[#This Row],[Status]]="Cancelled",0,Sales[[#This Row],[Total Amount]])</f>
        <v>193071.6</v>
      </c>
      <c r="S1504" s="162">
        <f>SUM(Sales[Net Amount])</f>
        <v>406839287.73200053</v>
      </c>
    </row>
    <row r="1505" spans="1:19" ht="18.75" x14ac:dyDescent="0.25">
      <c r="A1505" s="156" t="s">
        <v>5109</v>
      </c>
      <c r="B1505" s="157">
        <v>45854</v>
      </c>
      <c r="C1505" s="158" t="s">
        <v>663</v>
      </c>
      <c r="D1505" s="159" t="str">
        <f>VLOOKUP(Sales[[#This Row],[Customer ID]],Customer[#All],2,0)</f>
        <v>Amit Sharma</v>
      </c>
      <c r="E1505" s="158" t="s">
        <v>386</v>
      </c>
      <c r="F1505" s="158" t="str">
        <f>VLOOKUP(Sales[[#This Row],[Product ID]],Product[#All],2,0)</f>
        <v>Sandisk Pen Drive</v>
      </c>
      <c r="G1505" s="159">
        <v>7</v>
      </c>
      <c r="H1505" s="160">
        <f>VLOOKUP(Sales[[#This Row],[Product ID]],Product[#All],7,0)</f>
        <v>700</v>
      </c>
      <c r="I1505" s="160">
        <f>Sales[[#This Row],[Selling Rate]]*Sales[[#This Row],[Qty]]</f>
        <v>4900</v>
      </c>
      <c r="J1505" s="43">
        <v>0.1</v>
      </c>
      <c r="K1505" s="44">
        <f>Sales[[#This Row],[Gross Amount]]*Sales[[#This Row],[Disc %]]</f>
        <v>490</v>
      </c>
      <c r="L1505" s="43">
        <v>0.18</v>
      </c>
      <c r="M1505" s="44">
        <f>(Sales[[#This Row],[Gross Amount]]-Sales[[#This Row],[Disc. Amt.]])*Sales[[#This Row],[GST %]]</f>
        <v>793.8</v>
      </c>
      <c r="N1505" s="161">
        <f>Sales[[#This Row],[Gross Amount]]-Sales[[#This Row],[Disc. Amt.]]+Sales[[#This Row],[GST Amount]]</f>
        <v>5203.8</v>
      </c>
      <c r="O1505" s="158" t="s">
        <v>3566</v>
      </c>
      <c r="P1505" s="158" t="s">
        <v>3562</v>
      </c>
      <c r="Q1505" s="160">
        <f>IF(Sales[[#This Row],[Status]]="Cancelled",0,Sales[[#This Row],[Qty]])</f>
        <v>7</v>
      </c>
      <c r="R1505" s="161">
        <f>IF(Sales[[#This Row],[Status]]="Cancelled",0,Sales[[#This Row],[Total Amount]])</f>
        <v>5203.8</v>
      </c>
      <c r="S1505" s="162">
        <f>SUM(Sales[Net Amount])</f>
        <v>406839287.73200053</v>
      </c>
    </row>
    <row r="1506" spans="1:19" ht="18.75" x14ac:dyDescent="0.25">
      <c r="A1506" s="163" t="s">
        <v>5110</v>
      </c>
      <c r="B1506" s="164">
        <v>45854</v>
      </c>
      <c r="C1506" s="34" t="s">
        <v>758</v>
      </c>
      <c r="D1506" s="53" t="str">
        <f>VLOOKUP(Sales[[#This Row],[Customer ID]],Customer[#All],2,0)</f>
        <v>Rahul Verma</v>
      </c>
      <c r="E1506" s="34" t="s">
        <v>175</v>
      </c>
      <c r="F1506" s="34" t="str">
        <f>VLOOKUP(Sales[[#This Row],[Product ID]],Product[#All],2,0)</f>
        <v>Boat Headset</v>
      </c>
      <c r="G1506" s="53">
        <v>4</v>
      </c>
      <c r="H1506" s="165">
        <f>VLOOKUP(Sales[[#This Row],[Product ID]],Product[#All],7,0)</f>
        <v>2030</v>
      </c>
      <c r="I1506" s="165">
        <f>Sales[[#This Row],[Selling Rate]]*Sales[[#This Row],[Qty]]</f>
        <v>8120</v>
      </c>
      <c r="J1506" s="45">
        <v>0.05</v>
      </c>
      <c r="K1506" s="46">
        <f>Sales[[#This Row],[Gross Amount]]*Sales[[#This Row],[Disc %]]</f>
        <v>406</v>
      </c>
      <c r="L1506" s="43">
        <v>0.18</v>
      </c>
      <c r="M1506" s="46">
        <f>(Sales[[#This Row],[Gross Amount]]-Sales[[#This Row],[Disc. Amt.]])*Sales[[#This Row],[GST %]]</f>
        <v>1388.52</v>
      </c>
      <c r="N1506" s="161">
        <f>Sales[[#This Row],[Gross Amount]]-Sales[[#This Row],[Disc. Amt.]]+Sales[[#This Row],[GST Amount]]</f>
        <v>9102.52</v>
      </c>
      <c r="O1506" s="34" t="s">
        <v>8876</v>
      </c>
      <c r="P1506" s="34" t="s">
        <v>3562</v>
      </c>
      <c r="Q1506" s="165">
        <f>IF(Sales[[#This Row],[Status]]="Cancelled",0,Sales[[#This Row],[Qty]])</f>
        <v>4</v>
      </c>
      <c r="R1506" s="166">
        <f>IF(Sales[[#This Row],[Status]]="Cancelled",0,Sales[[#This Row],[Total Amount]])</f>
        <v>9102.52</v>
      </c>
      <c r="S1506" s="162">
        <f>SUM(Sales[Net Amount])</f>
        <v>406839287.73200053</v>
      </c>
    </row>
    <row r="1507" spans="1:19" ht="18.75" x14ac:dyDescent="0.25">
      <c r="A1507" s="156" t="s">
        <v>5111</v>
      </c>
      <c r="B1507" s="157">
        <v>45854</v>
      </c>
      <c r="C1507" s="158" t="s">
        <v>713</v>
      </c>
      <c r="D1507" s="159" t="str">
        <f>VLOOKUP(Sales[[#This Row],[Customer ID]],Customer[#All],2,0)</f>
        <v>Amit Gupta</v>
      </c>
      <c r="E1507" s="158" t="s">
        <v>393</v>
      </c>
      <c r="F1507" s="158" t="str">
        <f>VLOOKUP(Sales[[#This Row],[Product ID]],Product[#All],2,0)</f>
        <v>American TouristerLaptopBag</v>
      </c>
      <c r="G1507" s="159">
        <v>1</v>
      </c>
      <c r="H1507" s="160">
        <f>VLOOKUP(Sales[[#This Row],[Product ID]],Product[#All],7,0)</f>
        <v>3240</v>
      </c>
      <c r="I1507" s="160">
        <f>Sales[[#This Row],[Selling Rate]]*Sales[[#This Row],[Qty]]</f>
        <v>3240</v>
      </c>
      <c r="J1507" s="43">
        <v>0</v>
      </c>
      <c r="K1507" s="44">
        <f>Sales[[#This Row],[Gross Amount]]*Sales[[#This Row],[Disc %]]</f>
        <v>0</v>
      </c>
      <c r="L1507" s="43">
        <v>0.18</v>
      </c>
      <c r="M1507" s="44">
        <f>(Sales[[#This Row],[Gross Amount]]-Sales[[#This Row],[Disc. Amt.]])*Sales[[#This Row],[GST %]]</f>
        <v>583.19999999999993</v>
      </c>
      <c r="N1507" s="161">
        <f>Sales[[#This Row],[Gross Amount]]-Sales[[#This Row],[Disc. Amt.]]+Sales[[#This Row],[GST Amount]]</f>
        <v>3823.2</v>
      </c>
      <c r="O1507" s="158" t="s">
        <v>3569</v>
      </c>
      <c r="P1507" s="158" t="s">
        <v>3562</v>
      </c>
      <c r="Q1507" s="160">
        <f>IF(Sales[[#This Row],[Status]]="Cancelled",0,Sales[[#This Row],[Qty]])</f>
        <v>1</v>
      </c>
      <c r="R1507" s="161">
        <f>IF(Sales[[#This Row],[Status]]="Cancelled",0,Sales[[#This Row],[Total Amount]])</f>
        <v>3823.2</v>
      </c>
      <c r="S1507" s="162">
        <f>SUM(Sales[Net Amount])</f>
        <v>406839287.73200053</v>
      </c>
    </row>
    <row r="1508" spans="1:19" ht="18.75" x14ac:dyDescent="0.25">
      <c r="A1508" s="163" t="s">
        <v>5112</v>
      </c>
      <c r="B1508" s="164">
        <v>45854</v>
      </c>
      <c r="C1508" s="34" t="s">
        <v>805</v>
      </c>
      <c r="D1508" s="53" t="str">
        <f>VLOOKUP(Sales[[#This Row],[Customer ID]],Customer[#All],2,0)</f>
        <v>Priya Kumar</v>
      </c>
      <c r="E1508" s="34" t="s">
        <v>105</v>
      </c>
      <c r="F1508" s="34" t="str">
        <f>VLOOKUP(Sales[[#This Row],[Product ID]],Product[#All],2,0)</f>
        <v>HP Power Adapter</v>
      </c>
      <c r="G1508" s="53">
        <v>7</v>
      </c>
      <c r="H1508" s="165">
        <f>VLOOKUP(Sales[[#This Row],[Product ID]],Product[#All],7,0)</f>
        <v>3280</v>
      </c>
      <c r="I1508" s="165">
        <f>Sales[[#This Row],[Selling Rate]]*Sales[[#This Row],[Qty]]</f>
        <v>22960</v>
      </c>
      <c r="J1508" s="45">
        <v>0.15</v>
      </c>
      <c r="K1508" s="46">
        <f>Sales[[#This Row],[Gross Amount]]*Sales[[#This Row],[Disc %]]</f>
        <v>3444</v>
      </c>
      <c r="L1508" s="43">
        <v>0.18</v>
      </c>
      <c r="M1508" s="46">
        <f>(Sales[[#This Row],[Gross Amount]]-Sales[[#This Row],[Disc. Amt.]])*Sales[[#This Row],[GST %]]</f>
        <v>3512.8799999999997</v>
      </c>
      <c r="N1508" s="161">
        <f>Sales[[#This Row],[Gross Amount]]-Sales[[#This Row],[Disc. Amt.]]+Sales[[#This Row],[GST Amount]]</f>
        <v>23028.880000000001</v>
      </c>
      <c r="O1508" s="34" t="s">
        <v>3569</v>
      </c>
      <c r="P1508" s="34" t="s">
        <v>3562</v>
      </c>
      <c r="Q1508" s="165">
        <f>IF(Sales[[#This Row],[Status]]="Cancelled",0,Sales[[#This Row],[Qty]])</f>
        <v>7</v>
      </c>
      <c r="R1508" s="166">
        <f>IF(Sales[[#This Row],[Status]]="Cancelled",0,Sales[[#This Row],[Total Amount]])</f>
        <v>23028.880000000001</v>
      </c>
      <c r="S1508" s="162">
        <f>SUM(Sales[Net Amount])</f>
        <v>406839287.73200053</v>
      </c>
    </row>
    <row r="1509" spans="1:19" ht="18.75" x14ac:dyDescent="0.25">
      <c r="A1509" s="156" t="s">
        <v>5113</v>
      </c>
      <c r="B1509" s="157">
        <v>45854</v>
      </c>
      <c r="C1509" s="158" t="s">
        <v>749</v>
      </c>
      <c r="D1509" s="159" t="str">
        <f>VLOOKUP(Sales[[#This Row],[Customer ID]],Customer[#All],2,0)</f>
        <v>Sahil Patel</v>
      </c>
      <c r="E1509" s="158" t="s">
        <v>159</v>
      </c>
      <c r="F1509" s="158" t="str">
        <f>VLOOKUP(Sales[[#This Row],[Product ID]],Product[#All],2,0)</f>
        <v>HP Laptop</v>
      </c>
      <c r="G1509" s="159">
        <v>3</v>
      </c>
      <c r="H1509" s="160">
        <f>VLOOKUP(Sales[[#This Row],[Product ID]],Product[#All],7,0)</f>
        <v>90020</v>
      </c>
      <c r="I1509" s="160">
        <f>Sales[[#This Row],[Selling Rate]]*Sales[[#This Row],[Qty]]</f>
        <v>270060</v>
      </c>
      <c r="J1509" s="43">
        <v>0.05</v>
      </c>
      <c r="K1509" s="44">
        <f>Sales[[#This Row],[Gross Amount]]*Sales[[#This Row],[Disc %]]</f>
        <v>13503</v>
      </c>
      <c r="L1509" s="43">
        <v>0.18</v>
      </c>
      <c r="M1509" s="44">
        <f>(Sales[[#This Row],[Gross Amount]]-Sales[[#This Row],[Disc. Amt.]])*Sales[[#This Row],[GST %]]</f>
        <v>46180.259999999995</v>
      </c>
      <c r="N1509" s="161">
        <f>Sales[[#This Row],[Gross Amount]]-Sales[[#This Row],[Disc. Amt.]]+Sales[[#This Row],[GST Amount]]</f>
        <v>302737.26</v>
      </c>
      <c r="O1509" s="158" t="s">
        <v>3566</v>
      </c>
      <c r="P1509" s="158" t="s">
        <v>3562</v>
      </c>
      <c r="Q1509" s="160">
        <f>IF(Sales[[#This Row],[Status]]="Cancelled",0,Sales[[#This Row],[Qty]])</f>
        <v>3</v>
      </c>
      <c r="R1509" s="161">
        <f>IF(Sales[[#This Row],[Status]]="Cancelled",0,Sales[[#This Row],[Total Amount]])</f>
        <v>302737.26</v>
      </c>
      <c r="S1509" s="162">
        <f>SUM(Sales[Net Amount])</f>
        <v>406839287.73200053</v>
      </c>
    </row>
    <row r="1510" spans="1:19" ht="18.75" x14ac:dyDescent="0.25">
      <c r="A1510" s="163" t="s">
        <v>5114</v>
      </c>
      <c r="B1510" s="164">
        <v>45854</v>
      </c>
      <c r="C1510" s="34" t="s">
        <v>817</v>
      </c>
      <c r="D1510" s="53" t="str">
        <f>VLOOKUP(Sales[[#This Row],[Customer ID]],Customer[#All],2,0)</f>
        <v>Ankit Patel</v>
      </c>
      <c r="E1510" s="34" t="s">
        <v>370</v>
      </c>
      <c r="F1510" s="34" t="str">
        <f>VLOOKUP(Sales[[#This Row],[Product ID]],Product[#All],2,0)</f>
        <v>Samsung Monitor</v>
      </c>
      <c r="G1510" s="53">
        <v>1</v>
      </c>
      <c r="H1510" s="165">
        <f>VLOOKUP(Sales[[#This Row],[Product ID]],Product[#All],7,0)</f>
        <v>24770</v>
      </c>
      <c r="I1510" s="165">
        <f>Sales[[#This Row],[Selling Rate]]*Sales[[#This Row],[Qty]]</f>
        <v>24770</v>
      </c>
      <c r="J1510" s="45">
        <v>0</v>
      </c>
      <c r="K1510" s="46">
        <f>Sales[[#This Row],[Gross Amount]]*Sales[[#This Row],[Disc %]]</f>
        <v>0</v>
      </c>
      <c r="L1510" s="43">
        <v>0.18</v>
      </c>
      <c r="M1510" s="46">
        <f>(Sales[[#This Row],[Gross Amount]]-Sales[[#This Row],[Disc. Amt.]])*Sales[[#This Row],[GST %]]</f>
        <v>4458.5999999999995</v>
      </c>
      <c r="N1510" s="161">
        <f>Sales[[#This Row],[Gross Amount]]-Sales[[#This Row],[Disc. Amt.]]+Sales[[#This Row],[GST Amount]]</f>
        <v>29228.6</v>
      </c>
      <c r="O1510" s="34" t="s">
        <v>3569</v>
      </c>
      <c r="P1510" s="34" t="s">
        <v>3562</v>
      </c>
      <c r="Q1510" s="165">
        <f>IF(Sales[[#This Row],[Status]]="Cancelled",0,Sales[[#This Row],[Qty]])</f>
        <v>1</v>
      </c>
      <c r="R1510" s="166">
        <f>IF(Sales[[#This Row],[Status]]="Cancelled",0,Sales[[#This Row],[Total Amount]])</f>
        <v>29228.6</v>
      </c>
      <c r="S1510" s="162">
        <f>SUM(Sales[Net Amount])</f>
        <v>406839287.73200053</v>
      </c>
    </row>
    <row r="1511" spans="1:19" ht="18.75" x14ac:dyDescent="0.25">
      <c r="A1511" s="156" t="s">
        <v>5115</v>
      </c>
      <c r="B1511" s="157">
        <v>45854</v>
      </c>
      <c r="C1511" s="158" t="s">
        <v>789</v>
      </c>
      <c r="D1511" s="159" t="str">
        <f>VLOOKUP(Sales[[#This Row],[Customer ID]],Customer[#All],2,0)</f>
        <v>Ankit Patel</v>
      </c>
      <c r="E1511" s="158" t="s">
        <v>486</v>
      </c>
      <c r="F1511" s="158" t="str">
        <f>VLOOKUP(Sales[[#This Row],[Product ID]],Product[#All],2,0)</f>
        <v>Logitech Mouse</v>
      </c>
      <c r="G1511" s="159">
        <v>8</v>
      </c>
      <c r="H1511" s="160">
        <f>VLOOKUP(Sales[[#This Row],[Product ID]],Product[#All],7,0)</f>
        <v>1650</v>
      </c>
      <c r="I1511" s="160">
        <f>Sales[[#This Row],[Selling Rate]]*Sales[[#This Row],[Qty]]</f>
        <v>13200</v>
      </c>
      <c r="J1511" s="43">
        <v>0.05</v>
      </c>
      <c r="K1511" s="44">
        <f>Sales[[#This Row],[Gross Amount]]*Sales[[#This Row],[Disc %]]</f>
        <v>660</v>
      </c>
      <c r="L1511" s="43">
        <v>0.18</v>
      </c>
      <c r="M1511" s="44">
        <f>(Sales[[#This Row],[Gross Amount]]-Sales[[#This Row],[Disc. Amt.]])*Sales[[#This Row],[GST %]]</f>
        <v>2257.1999999999998</v>
      </c>
      <c r="N1511" s="161">
        <f>Sales[[#This Row],[Gross Amount]]-Sales[[#This Row],[Disc. Amt.]]+Sales[[#This Row],[GST Amount]]</f>
        <v>14797.2</v>
      </c>
      <c r="O1511" s="158" t="s">
        <v>3569</v>
      </c>
      <c r="P1511" s="158" t="s">
        <v>1040</v>
      </c>
      <c r="Q1511" s="160">
        <f>IF(Sales[[#This Row],[Status]]="Cancelled",0,Sales[[#This Row],[Qty]])</f>
        <v>0</v>
      </c>
      <c r="R1511" s="161">
        <f>IF(Sales[[#This Row],[Status]]="Cancelled",0,Sales[[#This Row],[Total Amount]])</f>
        <v>0</v>
      </c>
      <c r="S1511" s="162">
        <f>SUM(Sales[Net Amount])</f>
        <v>406839287.73200053</v>
      </c>
    </row>
    <row r="1512" spans="1:19" ht="18.75" x14ac:dyDescent="0.25">
      <c r="A1512" s="163" t="s">
        <v>5116</v>
      </c>
      <c r="B1512" s="164">
        <v>45854</v>
      </c>
      <c r="C1512" s="34" t="s">
        <v>730</v>
      </c>
      <c r="D1512" s="53" t="str">
        <f>VLOOKUP(Sales[[#This Row],[Customer ID]],Customer[#All],2,0)</f>
        <v>Neha Verma</v>
      </c>
      <c r="E1512" s="34" t="s">
        <v>428</v>
      </c>
      <c r="F1512" s="34" t="str">
        <f>VLOOKUP(Sales[[#This Row],[Product ID]],Product[#All],2,0)</f>
        <v>Microtek UPS</v>
      </c>
      <c r="G1512" s="53">
        <v>4</v>
      </c>
      <c r="H1512" s="165">
        <f>VLOOKUP(Sales[[#This Row],[Product ID]],Product[#All],7,0)</f>
        <v>8450</v>
      </c>
      <c r="I1512" s="165">
        <f>Sales[[#This Row],[Selling Rate]]*Sales[[#This Row],[Qty]]</f>
        <v>33800</v>
      </c>
      <c r="J1512" s="45">
        <v>0.1</v>
      </c>
      <c r="K1512" s="46">
        <f>Sales[[#This Row],[Gross Amount]]*Sales[[#This Row],[Disc %]]</f>
        <v>3380</v>
      </c>
      <c r="L1512" s="43">
        <v>0.18</v>
      </c>
      <c r="M1512" s="46">
        <f>(Sales[[#This Row],[Gross Amount]]-Sales[[#This Row],[Disc. Amt.]])*Sales[[#This Row],[GST %]]</f>
        <v>5475.5999999999995</v>
      </c>
      <c r="N1512" s="161">
        <f>Sales[[#This Row],[Gross Amount]]-Sales[[#This Row],[Disc. Amt.]]+Sales[[#This Row],[GST Amount]]</f>
        <v>35895.599999999999</v>
      </c>
      <c r="O1512" s="34" t="s">
        <v>8876</v>
      </c>
      <c r="P1512" s="34" t="s">
        <v>3562</v>
      </c>
      <c r="Q1512" s="165">
        <f>IF(Sales[[#This Row],[Status]]="Cancelled",0,Sales[[#This Row],[Qty]])</f>
        <v>4</v>
      </c>
      <c r="R1512" s="166">
        <f>IF(Sales[[#This Row],[Status]]="Cancelled",0,Sales[[#This Row],[Total Amount]])</f>
        <v>35895.599999999999</v>
      </c>
      <c r="S1512" s="162">
        <f>SUM(Sales[Net Amount])</f>
        <v>406839287.73200053</v>
      </c>
    </row>
    <row r="1513" spans="1:19" ht="18.75" x14ac:dyDescent="0.25">
      <c r="A1513" s="156" t="s">
        <v>5117</v>
      </c>
      <c r="B1513" s="157">
        <v>45855</v>
      </c>
      <c r="C1513" s="158" t="s">
        <v>860</v>
      </c>
      <c r="D1513" s="159" t="str">
        <f>VLOOKUP(Sales[[#This Row],[Customer ID]],Customer[#All],2,0)</f>
        <v>Rakesh Verma</v>
      </c>
      <c r="E1513" s="158" t="s">
        <v>214</v>
      </c>
      <c r="F1513" s="158" t="str">
        <f>VLOOKUP(Sales[[#This Row],[Product ID]],Product[#All],2,0)</f>
        <v>Microtek UPS</v>
      </c>
      <c r="G1513" s="159">
        <v>3</v>
      </c>
      <c r="H1513" s="160">
        <f>VLOOKUP(Sales[[#This Row],[Product ID]],Product[#All],7,0)</f>
        <v>10710</v>
      </c>
      <c r="I1513" s="160">
        <f>Sales[[#This Row],[Selling Rate]]*Sales[[#This Row],[Qty]]</f>
        <v>32130</v>
      </c>
      <c r="J1513" s="43">
        <v>0.05</v>
      </c>
      <c r="K1513" s="44">
        <f>Sales[[#This Row],[Gross Amount]]*Sales[[#This Row],[Disc %]]</f>
        <v>1606.5</v>
      </c>
      <c r="L1513" s="43">
        <v>0.18</v>
      </c>
      <c r="M1513" s="44">
        <f>(Sales[[#This Row],[Gross Amount]]-Sales[[#This Row],[Disc. Amt.]])*Sales[[#This Row],[GST %]]</f>
        <v>5494.23</v>
      </c>
      <c r="N1513" s="161">
        <f>Sales[[#This Row],[Gross Amount]]-Sales[[#This Row],[Disc. Amt.]]+Sales[[#This Row],[GST Amount]]</f>
        <v>36017.729999999996</v>
      </c>
      <c r="O1513" s="158" t="s">
        <v>3561</v>
      </c>
      <c r="P1513" s="158" t="s">
        <v>3562</v>
      </c>
      <c r="Q1513" s="160">
        <f>IF(Sales[[#This Row],[Status]]="Cancelled",0,Sales[[#This Row],[Qty]])</f>
        <v>3</v>
      </c>
      <c r="R1513" s="161">
        <f>IF(Sales[[#This Row],[Status]]="Cancelled",0,Sales[[#This Row],[Total Amount]])</f>
        <v>36017.729999999996</v>
      </c>
      <c r="S1513" s="162">
        <f>SUM(Sales[Net Amount])</f>
        <v>406839287.73200053</v>
      </c>
    </row>
    <row r="1514" spans="1:19" ht="18.75" x14ac:dyDescent="0.25">
      <c r="A1514" s="163" t="s">
        <v>5118</v>
      </c>
      <c r="B1514" s="164">
        <v>45855</v>
      </c>
      <c r="C1514" s="34" t="s">
        <v>843</v>
      </c>
      <c r="D1514" s="53" t="str">
        <f>VLOOKUP(Sales[[#This Row],[Customer ID]],Customer[#All],2,0)</f>
        <v>Amit Verma</v>
      </c>
      <c r="E1514" s="34" t="s">
        <v>343</v>
      </c>
      <c r="F1514" s="34" t="str">
        <f>VLOOKUP(Sales[[#This Row],[Product ID]],Product[#All],2,0)</f>
        <v>Portronics USB Cable</v>
      </c>
      <c r="G1514" s="53">
        <v>4</v>
      </c>
      <c r="H1514" s="165">
        <f>VLOOKUP(Sales[[#This Row],[Product ID]],Product[#All],7,0)</f>
        <v>780</v>
      </c>
      <c r="I1514" s="165">
        <f>Sales[[#This Row],[Selling Rate]]*Sales[[#This Row],[Qty]]</f>
        <v>3120</v>
      </c>
      <c r="J1514" s="45">
        <v>0</v>
      </c>
      <c r="K1514" s="46">
        <f>Sales[[#This Row],[Gross Amount]]*Sales[[#This Row],[Disc %]]</f>
        <v>0</v>
      </c>
      <c r="L1514" s="43">
        <v>0.18</v>
      </c>
      <c r="M1514" s="46">
        <f>(Sales[[#This Row],[Gross Amount]]-Sales[[#This Row],[Disc. Amt.]])*Sales[[#This Row],[GST %]]</f>
        <v>561.6</v>
      </c>
      <c r="N1514" s="161">
        <f>Sales[[#This Row],[Gross Amount]]-Sales[[#This Row],[Disc. Amt.]]+Sales[[#This Row],[GST Amount]]</f>
        <v>3681.6</v>
      </c>
      <c r="O1514" s="34" t="s">
        <v>3566</v>
      </c>
      <c r="P1514" s="34" t="s">
        <v>3562</v>
      </c>
      <c r="Q1514" s="165">
        <f>IF(Sales[[#This Row],[Status]]="Cancelled",0,Sales[[#This Row],[Qty]])</f>
        <v>4</v>
      </c>
      <c r="R1514" s="166">
        <f>IF(Sales[[#This Row],[Status]]="Cancelled",0,Sales[[#This Row],[Total Amount]])</f>
        <v>3681.6</v>
      </c>
      <c r="S1514" s="162">
        <f>SUM(Sales[Net Amount])</f>
        <v>406839287.73200053</v>
      </c>
    </row>
    <row r="1515" spans="1:19" ht="18.75" x14ac:dyDescent="0.25">
      <c r="A1515" s="156" t="s">
        <v>5119</v>
      </c>
      <c r="B1515" s="157">
        <v>45855</v>
      </c>
      <c r="C1515" s="158" t="s">
        <v>702</v>
      </c>
      <c r="D1515" s="159" t="str">
        <f>VLOOKUP(Sales[[#This Row],[Customer ID]],Customer[#All],2,0)</f>
        <v>Amit Patel</v>
      </c>
      <c r="E1515" s="158" t="s">
        <v>266</v>
      </c>
      <c r="F1515" s="158" t="str">
        <f>VLOOKUP(Sales[[#This Row],[Product ID]],Product[#All],2,0)</f>
        <v>American TouristerLaptopBag</v>
      </c>
      <c r="G1515" s="159">
        <v>2</v>
      </c>
      <c r="H1515" s="160">
        <f>VLOOKUP(Sales[[#This Row],[Product ID]],Product[#All],7,0)</f>
        <v>4170</v>
      </c>
      <c r="I1515" s="160">
        <f>Sales[[#This Row],[Selling Rate]]*Sales[[#This Row],[Qty]]</f>
        <v>8340</v>
      </c>
      <c r="J1515" s="43">
        <v>0.15</v>
      </c>
      <c r="K1515" s="44">
        <f>Sales[[#This Row],[Gross Amount]]*Sales[[#This Row],[Disc %]]</f>
        <v>1251</v>
      </c>
      <c r="L1515" s="43">
        <v>0.18</v>
      </c>
      <c r="M1515" s="44">
        <f>(Sales[[#This Row],[Gross Amount]]-Sales[[#This Row],[Disc. Amt.]])*Sales[[#This Row],[GST %]]</f>
        <v>1276.02</v>
      </c>
      <c r="N1515" s="161">
        <f>Sales[[#This Row],[Gross Amount]]-Sales[[#This Row],[Disc. Amt.]]+Sales[[#This Row],[GST Amount]]</f>
        <v>8365.02</v>
      </c>
      <c r="O1515" s="158" t="s">
        <v>3561</v>
      </c>
      <c r="P1515" s="158" t="s">
        <v>3562</v>
      </c>
      <c r="Q1515" s="160">
        <f>IF(Sales[[#This Row],[Status]]="Cancelled",0,Sales[[#This Row],[Qty]])</f>
        <v>2</v>
      </c>
      <c r="R1515" s="161">
        <f>IF(Sales[[#This Row],[Status]]="Cancelled",0,Sales[[#This Row],[Total Amount]])</f>
        <v>8365.02</v>
      </c>
      <c r="S1515" s="162">
        <f>SUM(Sales[Net Amount])</f>
        <v>406839287.73200053</v>
      </c>
    </row>
    <row r="1516" spans="1:19" ht="18.75" x14ac:dyDescent="0.25">
      <c r="A1516" s="163" t="s">
        <v>5120</v>
      </c>
      <c r="B1516" s="164">
        <v>45855</v>
      </c>
      <c r="C1516" s="34" t="s">
        <v>805</v>
      </c>
      <c r="D1516" s="53" t="str">
        <f>VLOOKUP(Sales[[#This Row],[Customer ID]],Customer[#All],2,0)</f>
        <v>Priya Kumar</v>
      </c>
      <c r="E1516" s="34" t="s">
        <v>139</v>
      </c>
      <c r="F1516" s="34" t="str">
        <f>VLOOKUP(Sales[[#This Row],[Product ID]],Product[#All],2,0)</f>
        <v>HP Printer</v>
      </c>
      <c r="G1516" s="53">
        <v>7</v>
      </c>
      <c r="H1516" s="165">
        <f>VLOOKUP(Sales[[#This Row],[Product ID]],Product[#All],7,0)</f>
        <v>25260</v>
      </c>
      <c r="I1516" s="165">
        <f>Sales[[#This Row],[Selling Rate]]*Sales[[#This Row],[Qty]]</f>
        <v>176820</v>
      </c>
      <c r="J1516" s="45">
        <v>0.15</v>
      </c>
      <c r="K1516" s="46">
        <f>Sales[[#This Row],[Gross Amount]]*Sales[[#This Row],[Disc %]]</f>
        <v>26523</v>
      </c>
      <c r="L1516" s="43">
        <v>0.18</v>
      </c>
      <c r="M1516" s="46">
        <f>(Sales[[#This Row],[Gross Amount]]-Sales[[#This Row],[Disc. Amt.]])*Sales[[#This Row],[GST %]]</f>
        <v>27053.46</v>
      </c>
      <c r="N1516" s="161">
        <f>Sales[[#This Row],[Gross Amount]]-Sales[[#This Row],[Disc. Amt.]]+Sales[[#This Row],[GST Amount]]</f>
        <v>177350.46</v>
      </c>
      <c r="O1516" s="34" t="s">
        <v>3569</v>
      </c>
      <c r="P1516" s="34" t="s">
        <v>3562</v>
      </c>
      <c r="Q1516" s="165">
        <f>IF(Sales[[#This Row],[Status]]="Cancelled",0,Sales[[#This Row],[Qty]])</f>
        <v>7</v>
      </c>
      <c r="R1516" s="166">
        <f>IF(Sales[[#This Row],[Status]]="Cancelled",0,Sales[[#This Row],[Total Amount]])</f>
        <v>177350.46</v>
      </c>
      <c r="S1516" s="162">
        <f>SUM(Sales[Net Amount])</f>
        <v>406839287.73200053</v>
      </c>
    </row>
    <row r="1517" spans="1:19" ht="18.75" x14ac:dyDescent="0.25">
      <c r="A1517" s="156" t="s">
        <v>5121</v>
      </c>
      <c r="B1517" s="157">
        <v>45855</v>
      </c>
      <c r="C1517" s="158" t="s">
        <v>671</v>
      </c>
      <c r="D1517" s="159" t="str">
        <f>VLOOKUP(Sales[[#This Row],[Customer ID]],Customer[#All],2,0)</f>
        <v>Sahil Patel</v>
      </c>
      <c r="E1517" s="158" t="s">
        <v>518</v>
      </c>
      <c r="F1517" s="158" t="str">
        <f>VLOOKUP(Sales[[#This Row],[Product ID]],Product[#All],2,0)</f>
        <v>Samsung Monitor</v>
      </c>
      <c r="G1517" s="159">
        <v>8</v>
      </c>
      <c r="H1517" s="160">
        <f>VLOOKUP(Sales[[#This Row],[Product ID]],Product[#All],7,0)</f>
        <v>23660</v>
      </c>
      <c r="I1517" s="160">
        <f>Sales[[#This Row],[Selling Rate]]*Sales[[#This Row],[Qty]]</f>
        <v>189280</v>
      </c>
      <c r="J1517" s="43">
        <v>0</v>
      </c>
      <c r="K1517" s="44">
        <f>Sales[[#This Row],[Gross Amount]]*Sales[[#This Row],[Disc %]]</f>
        <v>0</v>
      </c>
      <c r="L1517" s="43">
        <v>0.18</v>
      </c>
      <c r="M1517" s="44">
        <f>(Sales[[#This Row],[Gross Amount]]-Sales[[#This Row],[Disc. Amt.]])*Sales[[#This Row],[GST %]]</f>
        <v>34070.400000000001</v>
      </c>
      <c r="N1517" s="161">
        <f>Sales[[#This Row],[Gross Amount]]-Sales[[#This Row],[Disc. Amt.]]+Sales[[#This Row],[GST Amount]]</f>
        <v>223350.39999999999</v>
      </c>
      <c r="O1517" s="158" t="s">
        <v>3561</v>
      </c>
      <c r="P1517" s="158" t="s">
        <v>3562</v>
      </c>
      <c r="Q1517" s="160">
        <f>IF(Sales[[#This Row],[Status]]="Cancelled",0,Sales[[#This Row],[Qty]])</f>
        <v>8</v>
      </c>
      <c r="R1517" s="161">
        <f>IF(Sales[[#This Row],[Status]]="Cancelled",0,Sales[[#This Row],[Total Amount]])</f>
        <v>223350.39999999999</v>
      </c>
      <c r="S1517" s="162">
        <f>SUM(Sales[Net Amount])</f>
        <v>406839287.73200053</v>
      </c>
    </row>
    <row r="1518" spans="1:19" ht="18.75" x14ac:dyDescent="0.25">
      <c r="A1518" s="163" t="s">
        <v>5122</v>
      </c>
      <c r="B1518" s="164">
        <v>45855</v>
      </c>
      <c r="C1518" s="34" t="s">
        <v>655</v>
      </c>
      <c r="D1518" s="53" t="str">
        <f>VLOOKUP(Sales[[#This Row],[Customer ID]],Customer[#All],2,0)</f>
        <v>Pooja Singh</v>
      </c>
      <c r="E1518" s="34" t="s">
        <v>395</v>
      </c>
      <c r="F1518" s="34" t="str">
        <f>VLOOKUP(Sales[[#This Row],[Product ID]],Product[#All],2,0)</f>
        <v>American TouristerLaptopBag</v>
      </c>
      <c r="G1518" s="53">
        <v>7</v>
      </c>
      <c r="H1518" s="165">
        <f>VLOOKUP(Sales[[#This Row],[Product ID]],Product[#All],7,0)</f>
        <v>5010</v>
      </c>
      <c r="I1518" s="165">
        <f>Sales[[#This Row],[Selling Rate]]*Sales[[#This Row],[Qty]]</f>
        <v>35070</v>
      </c>
      <c r="J1518" s="45">
        <v>0.12</v>
      </c>
      <c r="K1518" s="46">
        <f>Sales[[#This Row],[Gross Amount]]*Sales[[#This Row],[Disc %]]</f>
        <v>4208.3999999999996</v>
      </c>
      <c r="L1518" s="43">
        <v>0.18</v>
      </c>
      <c r="M1518" s="46">
        <f>(Sales[[#This Row],[Gross Amount]]-Sales[[#This Row],[Disc. Amt.]])*Sales[[#This Row],[GST %]]</f>
        <v>5555.0879999999997</v>
      </c>
      <c r="N1518" s="161">
        <f>Sales[[#This Row],[Gross Amount]]-Sales[[#This Row],[Disc. Amt.]]+Sales[[#This Row],[GST Amount]]</f>
        <v>36416.687999999995</v>
      </c>
      <c r="O1518" s="34" t="s">
        <v>3569</v>
      </c>
      <c r="P1518" s="34" t="s">
        <v>3562</v>
      </c>
      <c r="Q1518" s="165">
        <f>IF(Sales[[#This Row],[Status]]="Cancelled",0,Sales[[#This Row],[Qty]])</f>
        <v>7</v>
      </c>
      <c r="R1518" s="166">
        <f>IF(Sales[[#This Row],[Status]]="Cancelled",0,Sales[[#This Row],[Total Amount]])</f>
        <v>36416.687999999995</v>
      </c>
      <c r="S1518" s="162">
        <f>SUM(Sales[Net Amount])</f>
        <v>406839287.73200053</v>
      </c>
    </row>
    <row r="1519" spans="1:19" ht="18.75" x14ac:dyDescent="0.25">
      <c r="A1519" s="156" t="s">
        <v>5123</v>
      </c>
      <c r="B1519" s="157">
        <v>45855</v>
      </c>
      <c r="C1519" s="158" t="s">
        <v>733</v>
      </c>
      <c r="D1519" s="159" t="str">
        <f>VLOOKUP(Sales[[#This Row],[Customer ID]],Customer[#All],2,0)</f>
        <v>Vikas Kumar</v>
      </c>
      <c r="E1519" s="158" t="s">
        <v>344</v>
      </c>
      <c r="F1519" s="158" t="str">
        <f>VLOOKUP(Sales[[#This Row],[Product ID]],Product[#All],2,0)</f>
        <v>WD HDD</v>
      </c>
      <c r="G1519" s="159">
        <v>4</v>
      </c>
      <c r="H1519" s="160">
        <f>VLOOKUP(Sales[[#This Row],[Product ID]],Product[#All],7,0)</f>
        <v>11260</v>
      </c>
      <c r="I1519" s="160">
        <f>Sales[[#This Row],[Selling Rate]]*Sales[[#This Row],[Qty]]</f>
        <v>45040</v>
      </c>
      <c r="J1519" s="43">
        <v>0</v>
      </c>
      <c r="K1519" s="44">
        <f>Sales[[#This Row],[Gross Amount]]*Sales[[#This Row],[Disc %]]</f>
        <v>0</v>
      </c>
      <c r="L1519" s="43">
        <v>0.18</v>
      </c>
      <c r="M1519" s="44">
        <f>(Sales[[#This Row],[Gross Amount]]-Sales[[#This Row],[Disc. Amt.]])*Sales[[#This Row],[GST %]]</f>
        <v>8107.2</v>
      </c>
      <c r="N1519" s="161">
        <f>Sales[[#This Row],[Gross Amount]]-Sales[[#This Row],[Disc. Amt.]]+Sales[[#This Row],[GST Amount]]</f>
        <v>53147.199999999997</v>
      </c>
      <c r="O1519" s="158" t="s">
        <v>3566</v>
      </c>
      <c r="P1519" s="158" t="s">
        <v>3562</v>
      </c>
      <c r="Q1519" s="160">
        <f>IF(Sales[[#This Row],[Status]]="Cancelled",0,Sales[[#This Row],[Qty]])</f>
        <v>4</v>
      </c>
      <c r="R1519" s="161">
        <f>IF(Sales[[#This Row],[Status]]="Cancelled",0,Sales[[#This Row],[Total Amount]])</f>
        <v>53147.199999999997</v>
      </c>
      <c r="S1519" s="162">
        <f>SUM(Sales[Net Amount])</f>
        <v>406839287.73200053</v>
      </c>
    </row>
    <row r="1520" spans="1:19" ht="18.75" x14ac:dyDescent="0.25">
      <c r="A1520" s="163" t="s">
        <v>5124</v>
      </c>
      <c r="B1520" s="164">
        <v>45855</v>
      </c>
      <c r="C1520" s="34" t="s">
        <v>719</v>
      </c>
      <c r="D1520" s="53" t="str">
        <f>VLOOKUP(Sales[[#This Row],[Customer ID]],Customer[#All],2,0)</f>
        <v>Priya Verma</v>
      </c>
      <c r="E1520" s="34" t="s">
        <v>267</v>
      </c>
      <c r="F1520" s="34" t="str">
        <f>VLOOKUP(Sales[[#This Row],[Product ID]],Product[#All],2,0)</f>
        <v>Boat Speaker</v>
      </c>
      <c r="G1520" s="53">
        <v>2</v>
      </c>
      <c r="H1520" s="165">
        <f>VLOOKUP(Sales[[#This Row],[Product ID]],Product[#All],7,0)</f>
        <v>2230</v>
      </c>
      <c r="I1520" s="165">
        <f>Sales[[#This Row],[Selling Rate]]*Sales[[#This Row],[Qty]]</f>
        <v>4460</v>
      </c>
      <c r="J1520" s="45">
        <v>0</v>
      </c>
      <c r="K1520" s="46">
        <f>Sales[[#This Row],[Gross Amount]]*Sales[[#This Row],[Disc %]]</f>
        <v>0</v>
      </c>
      <c r="L1520" s="43">
        <v>0.18</v>
      </c>
      <c r="M1520" s="46">
        <f>(Sales[[#This Row],[Gross Amount]]-Sales[[#This Row],[Disc. Amt.]])*Sales[[#This Row],[GST %]]</f>
        <v>802.8</v>
      </c>
      <c r="N1520" s="161">
        <f>Sales[[#This Row],[Gross Amount]]-Sales[[#This Row],[Disc. Amt.]]+Sales[[#This Row],[GST Amount]]</f>
        <v>5262.8</v>
      </c>
      <c r="O1520" s="34" t="s">
        <v>3561</v>
      </c>
      <c r="P1520" s="34" t="s">
        <v>3562</v>
      </c>
      <c r="Q1520" s="165">
        <f>IF(Sales[[#This Row],[Status]]="Cancelled",0,Sales[[#This Row],[Qty]])</f>
        <v>2</v>
      </c>
      <c r="R1520" s="166">
        <f>IF(Sales[[#This Row],[Status]]="Cancelled",0,Sales[[#This Row],[Total Amount]])</f>
        <v>5262.8</v>
      </c>
      <c r="S1520" s="162">
        <f>SUM(Sales[Net Amount])</f>
        <v>406839287.73200053</v>
      </c>
    </row>
    <row r="1521" spans="1:19" ht="18.75" x14ac:dyDescent="0.25">
      <c r="A1521" s="156" t="s">
        <v>5125</v>
      </c>
      <c r="B1521" s="157">
        <v>45855</v>
      </c>
      <c r="C1521" s="158" t="s">
        <v>746</v>
      </c>
      <c r="D1521" s="159" t="str">
        <f>VLOOKUP(Sales[[#This Row],[Customer ID]],Customer[#All],2,0)</f>
        <v>Sunita Kumar</v>
      </c>
      <c r="E1521" s="158" t="s">
        <v>104</v>
      </c>
      <c r="F1521" s="158" t="str">
        <f>VLOOKUP(Sales[[#This Row],[Product ID]],Product[#All],2,0)</f>
        <v>Canon Printer</v>
      </c>
      <c r="G1521" s="159">
        <v>1</v>
      </c>
      <c r="H1521" s="160">
        <f>VLOOKUP(Sales[[#This Row],[Product ID]],Product[#All],7,0)</f>
        <v>49170</v>
      </c>
      <c r="I1521" s="160">
        <f>Sales[[#This Row],[Selling Rate]]*Sales[[#This Row],[Qty]]</f>
        <v>49170</v>
      </c>
      <c r="J1521" s="43">
        <v>0.1</v>
      </c>
      <c r="K1521" s="44">
        <f>Sales[[#This Row],[Gross Amount]]*Sales[[#This Row],[Disc %]]</f>
        <v>4917</v>
      </c>
      <c r="L1521" s="43">
        <v>0.18</v>
      </c>
      <c r="M1521" s="44">
        <f>(Sales[[#This Row],[Gross Amount]]-Sales[[#This Row],[Disc. Amt.]])*Sales[[#This Row],[GST %]]</f>
        <v>7965.54</v>
      </c>
      <c r="N1521" s="161">
        <f>Sales[[#This Row],[Gross Amount]]-Sales[[#This Row],[Disc. Amt.]]+Sales[[#This Row],[GST Amount]]</f>
        <v>52218.54</v>
      </c>
      <c r="O1521" s="158" t="s">
        <v>3569</v>
      </c>
      <c r="P1521" s="158" t="s">
        <v>3562</v>
      </c>
      <c r="Q1521" s="160">
        <f>IF(Sales[[#This Row],[Status]]="Cancelled",0,Sales[[#This Row],[Qty]])</f>
        <v>1</v>
      </c>
      <c r="R1521" s="161">
        <f>IF(Sales[[#This Row],[Status]]="Cancelled",0,Sales[[#This Row],[Total Amount]])</f>
        <v>52218.54</v>
      </c>
      <c r="S1521" s="162">
        <f>SUM(Sales[Net Amount])</f>
        <v>406839287.73200053</v>
      </c>
    </row>
    <row r="1522" spans="1:19" ht="18.75" x14ac:dyDescent="0.25">
      <c r="A1522" s="163" t="s">
        <v>5126</v>
      </c>
      <c r="B1522" s="164">
        <v>45855</v>
      </c>
      <c r="C1522" s="34" t="s">
        <v>779</v>
      </c>
      <c r="D1522" s="53" t="str">
        <f>VLOOKUP(Sales[[#This Row],[Customer ID]],Customer[#All],2,0)</f>
        <v>Rakesh Verma</v>
      </c>
      <c r="E1522" s="34" t="s">
        <v>159</v>
      </c>
      <c r="F1522" s="34" t="str">
        <f>VLOOKUP(Sales[[#This Row],[Product ID]],Product[#All],2,0)</f>
        <v>HP Laptop</v>
      </c>
      <c r="G1522" s="53">
        <v>1</v>
      </c>
      <c r="H1522" s="165">
        <f>VLOOKUP(Sales[[#This Row],[Product ID]],Product[#All],7,0)</f>
        <v>90020</v>
      </c>
      <c r="I1522" s="165">
        <f>Sales[[#This Row],[Selling Rate]]*Sales[[#This Row],[Qty]]</f>
        <v>90020</v>
      </c>
      <c r="J1522" s="45">
        <v>0</v>
      </c>
      <c r="K1522" s="46">
        <f>Sales[[#This Row],[Gross Amount]]*Sales[[#This Row],[Disc %]]</f>
        <v>0</v>
      </c>
      <c r="L1522" s="43">
        <v>0.18</v>
      </c>
      <c r="M1522" s="46">
        <f>(Sales[[#This Row],[Gross Amount]]-Sales[[#This Row],[Disc. Amt.]])*Sales[[#This Row],[GST %]]</f>
        <v>16203.599999999999</v>
      </c>
      <c r="N1522" s="161">
        <f>Sales[[#This Row],[Gross Amount]]-Sales[[#This Row],[Disc. Amt.]]+Sales[[#This Row],[GST Amount]]</f>
        <v>106223.6</v>
      </c>
      <c r="O1522" s="34" t="s">
        <v>8876</v>
      </c>
      <c r="P1522" s="34" t="s">
        <v>3562</v>
      </c>
      <c r="Q1522" s="165">
        <f>IF(Sales[[#This Row],[Status]]="Cancelled",0,Sales[[#This Row],[Qty]])</f>
        <v>1</v>
      </c>
      <c r="R1522" s="166">
        <f>IF(Sales[[#This Row],[Status]]="Cancelled",0,Sales[[#This Row],[Total Amount]])</f>
        <v>106223.6</v>
      </c>
      <c r="S1522" s="162">
        <f>SUM(Sales[Net Amount])</f>
        <v>406839287.73200053</v>
      </c>
    </row>
    <row r="1523" spans="1:19" ht="18.75" x14ac:dyDescent="0.25">
      <c r="A1523" s="156" t="s">
        <v>5127</v>
      </c>
      <c r="B1523" s="157">
        <v>45855</v>
      </c>
      <c r="C1523" s="158" t="s">
        <v>850</v>
      </c>
      <c r="D1523" s="159" t="str">
        <f>VLOOKUP(Sales[[#This Row],[Customer ID]],Customer[#All],2,0)</f>
        <v>Sahil Patel</v>
      </c>
      <c r="E1523" s="158" t="s">
        <v>326</v>
      </c>
      <c r="F1523" s="158" t="str">
        <f>VLOOKUP(Sales[[#This Row],[Product ID]],Product[#All],2,0)</f>
        <v>Samsung Ssd</v>
      </c>
      <c r="G1523" s="159">
        <v>3</v>
      </c>
      <c r="H1523" s="160">
        <f>VLOOKUP(Sales[[#This Row],[Product ID]],Product[#All],7,0)</f>
        <v>8670</v>
      </c>
      <c r="I1523" s="160">
        <f>Sales[[#This Row],[Selling Rate]]*Sales[[#This Row],[Qty]]</f>
        <v>26010</v>
      </c>
      <c r="J1523" s="43">
        <v>0</v>
      </c>
      <c r="K1523" s="44">
        <f>Sales[[#This Row],[Gross Amount]]*Sales[[#This Row],[Disc %]]</f>
        <v>0</v>
      </c>
      <c r="L1523" s="43">
        <v>0.18</v>
      </c>
      <c r="M1523" s="44">
        <f>(Sales[[#This Row],[Gross Amount]]-Sales[[#This Row],[Disc. Amt.]])*Sales[[#This Row],[GST %]]</f>
        <v>4681.8</v>
      </c>
      <c r="N1523" s="161">
        <f>Sales[[#This Row],[Gross Amount]]-Sales[[#This Row],[Disc. Amt.]]+Sales[[#This Row],[GST Amount]]</f>
        <v>30691.8</v>
      </c>
      <c r="O1523" s="158" t="s">
        <v>3566</v>
      </c>
      <c r="P1523" s="158" t="s">
        <v>3562</v>
      </c>
      <c r="Q1523" s="160">
        <f>IF(Sales[[#This Row],[Status]]="Cancelled",0,Sales[[#This Row],[Qty]])</f>
        <v>3</v>
      </c>
      <c r="R1523" s="161">
        <f>IF(Sales[[#This Row],[Status]]="Cancelled",0,Sales[[#This Row],[Total Amount]])</f>
        <v>30691.8</v>
      </c>
      <c r="S1523" s="162">
        <f>SUM(Sales[Net Amount])</f>
        <v>406839287.73200053</v>
      </c>
    </row>
    <row r="1524" spans="1:19" ht="18.75" x14ac:dyDescent="0.25">
      <c r="A1524" s="163" t="s">
        <v>5128</v>
      </c>
      <c r="B1524" s="164">
        <v>45855</v>
      </c>
      <c r="C1524" s="34" t="s">
        <v>860</v>
      </c>
      <c r="D1524" s="53" t="str">
        <f>VLOOKUP(Sales[[#This Row],[Customer ID]],Customer[#All],2,0)</f>
        <v>Rakesh Verma</v>
      </c>
      <c r="E1524" s="34" t="s">
        <v>236</v>
      </c>
      <c r="F1524" s="34" t="str">
        <f>VLOOKUP(Sales[[#This Row],[Product ID]],Product[#All],2,0)</f>
        <v>Dell Desktop</v>
      </c>
      <c r="G1524" s="53">
        <v>1</v>
      </c>
      <c r="H1524" s="165">
        <f>VLOOKUP(Sales[[#This Row],[Product ID]],Product[#All],7,0)</f>
        <v>50050</v>
      </c>
      <c r="I1524" s="165">
        <f>Sales[[#This Row],[Selling Rate]]*Sales[[#This Row],[Qty]]</f>
        <v>50050</v>
      </c>
      <c r="J1524" s="45">
        <v>0.02</v>
      </c>
      <c r="K1524" s="46">
        <f>Sales[[#This Row],[Gross Amount]]*Sales[[#This Row],[Disc %]]</f>
        <v>1001</v>
      </c>
      <c r="L1524" s="43">
        <v>0.18</v>
      </c>
      <c r="M1524" s="46">
        <f>(Sales[[#This Row],[Gross Amount]]-Sales[[#This Row],[Disc. Amt.]])*Sales[[#This Row],[GST %]]</f>
        <v>8828.82</v>
      </c>
      <c r="N1524" s="161">
        <f>Sales[[#This Row],[Gross Amount]]-Sales[[#This Row],[Disc. Amt.]]+Sales[[#This Row],[GST Amount]]</f>
        <v>57877.82</v>
      </c>
      <c r="O1524" s="34" t="s">
        <v>3569</v>
      </c>
      <c r="P1524" s="34" t="s">
        <v>3562</v>
      </c>
      <c r="Q1524" s="165">
        <f>IF(Sales[[#This Row],[Status]]="Cancelled",0,Sales[[#This Row],[Qty]])</f>
        <v>1</v>
      </c>
      <c r="R1524" s="166">
        <f>IF(Sales[[#This Row],[Status]]="Cancelled",0,Sales[[#This Row],[Total Amount]])</f>
        <v>57877.82</v>
      </c>
      <c r="S1524" s="162">
        <f>SUM(Sales[Net Amount])</f>
        <v>406839287.73200053</v>
      </c>
    </row>
    <row r="1525" spans="1:19" ht="18.75" x14ac:dyDescent="0.25">
      <c r="A1525" s="156" t="s">
        <v>5129</v>
      </c>
      <c r="B1525" s="157">
        <v>45855</v>
      </c>
      <c r="C1525" s="158" t="s">
        <v>936</v>
      </c>
      <c r="D1525" s="159" t="str">
        <f>VLOOKUP(Sales[[#This Row],[Customer ID]],Customer[#All],2,0)</f>
        <v>Pooja Patel</v>
      </c>
      <c r="E1525" s="158" t="s">
        <v>506</v>
      </c>
      <c r="F1525" s="158" t="str">
        <f>VLOOKUP(Sales[[#This Row],[Product ID]],Product[#All],2,0)</f>
        <v>Epson Printer</v>
      </c>
      <c r="G1525" s="159">
        <v>6</v>
      </c>
      <c r="H1525" s="160">
        <f>VLOOKUP(Sales[[#This Row],[Product ID]],Product[#All],7,0)</f>
        <v>42690</v>
      </c>
      <c r="I1525" s="160">
        <f>Sales[[#This Row],[Selling Rate]]*Sales[[#This Row],[Qty]]</f>
        <v>256140</v>
      </c>
      <c r="J1525" s="43">
        <v>0.05</v>
      </c>
      <c r="K1525" s="44">
        <f>Sales[[#This Row],[Gross Amount]]*Sales[[#This Row],[Disc %]]</f>
        <v>12807</v>
      </c>
      <c r="L1525" s="43">
        <v>0.18</v>
      </c>
      <c r="M1525" s="44">
        <f>(Sales[[#This Row],[Gross Amount]]-Sales[[#This Row],[Disc. Amt.]])*Sales[[#This Row],[GST %]]</f>
        <v>43799.939999999995</v>
      </c>
      <c r="N1525" s="161">
        <f>Sales[[#This Row],[Gross Amount]]-Sales[[#This Row],[Disc. Amt.]]+Sales[[#This Row],[GST Amount]]</f>
        <v>287132.94</v>
      </c>
      <c r="O1525" s="158" t="s">
        <v>3561</v>
      </c>
      <c r="P1525" s="158" t="s">
        <v>3562</v>
      </c>
      <c r="Q1525" s="160">
        <f>IF(Sales[[#This Row],[Status]]="Cancelled",0,Sales[[#This Row],[Qty]])</f>
        <v>6</v>
      </c>
      <c r="R1525" s="161">
        <f>IF(Sales[[#This Row],[Status]]="Cancelled",0,Sales[[#This Row],[Total Amount]])</f>
        <v>287132.94</v>
      </c>
      <c r="S1525" s="162">
        <f>SUM(Sales[Net Amount])</f>
        <v>406839287.73200053</v>
      </c>
    </row>
    <row r="1526" spans="1:19" ht="18.75" x14ac:dyDescent="0.25">
      <c r="A1526" s="163" t="s">
        <v>5130</v>
      </c>
      <c r="B1526" s="164">
        <v>45855</v>
      </c>
      <c r="C1526" s="34" t="s">
        <v>858</v>
      </c>
      <c r="D1526" s="53" t="str">
        <f>VLOOKUP(Sales[[#This Row],[Customer ID]],Customer[#All],2,0)</f>
        <v>Neha Sharma</v>
      </c>
      <c r="E1526" s="34" t="s">
        <v>206</v>
      </c>
      <c r="F1526" s="34" t="str">
        <f>VLOOKUP(Sales[[#This Row],[Product ID]],Product[#All],2,0)</f>
        <v>Dell Power Adapter</v>
      </c>
      <c r="G1526" s="53">
        <v>7</v>
      </c>
      <c r="H1526" s="165">
        <f>VLOOKUP(Sales[[#This Row],[Product ID]],Product[#All],7,0)</f>
        <v>2490</v>
      </c>
      <c r="I1526" s="165">
        <f>Sales[[#This Row],[Selling Rate]]*Sales[[#This Row],[Qty]]</f>
        <v>17430</v>
      </c>
      <c r="J1526" s="45">
        <v>0.15</v>
      </c>
      <c r="K1526" s="46">
        <f>Sales[[#This Row],[Gross Amount]]*Sales[[#This Row],[Disc %]]</f>
        <v>2614.5</v>
      </c>
      <c r="L1526" s="43">
        <v>0.18</v>
      </c>
      <c r="M1526" s="46">
        <f>(Sales[[#This Row],[Gross Amount]]-Sales[[#This Row],[Disc. Amt.]])*Sales[[#This Row],[GST %]]</f>
        <v>2666.79</v>
      </c>
      <c r="N1526" s="161">
        <f>Sales[[#This Row],[Gross Amount]]-Sales[[#This Row],[Disc. Amt.]]+Sales[[#This Row],[GST Amount]]</f>
        <v>17482.29</v>
      </c>
      <c r="O1526" s="34" t="s">
        <v>8876</v>
      </c>
      <c r="P1526" s="34" t="s">
        <v>3562</v>
      </c>
      <c r="Q1526" s="165">
        <f>IF(Sales[[#This Row],[Status]]="Cancelled",0,Sales[[#This Row],[Qty]])</f>
        <v>7</v>
      </c>
      <c r="R1526" s="166">
        <f>IF(Sales[[#This Row],[Status]]="Cancelled",0,Sales[[#This Row],[Total Amount]])</f>
        <v>17482.29</v>
      </c>
      <c r="S1526" s="162">
        <f>SUM(Sales[Net Amount])</f>
        <v>406839287.73200053</v>
      </c>
    </row>
    <row r="1527" spans="1:19" ht="18.75" x14ac:dyDescent="0.25">
      <c r="A1527" s="156" t="s">
        <v>5131</v>
      </c>
      <c r="B1527" s="157">
        <v>45855</v>
      </c>
      <c r="C1527" s="158" t="s">
        <v>707</v>
      </c>
      <c r="D1527" s="159" t="str">
        <f>VLOOKUP(Sales[[#This Row],[Customer ID]],Customer[#All],2,0)</f>
        <v>Rahul Verma</v>
      </c>
      <c r="E1527" s="158" t="s">
        <v>147</v>
      </c>
      <c r="F1527" s="158" t="str">
        <f>VLOOKUP(Sales[[#This Row],[Product ID]],Product[#All],2,0)</f>
        <v>HP Power Adapter</v>
      </c>
      <c r="G1527" s="159">
        <v>6</v>
      </c>
      <c r="H1527" s="160">
        <f>VLOOKUP(Sales[[#This Row],[Product ID]],Product[#All],7,0)</f>
        <v>4680</v>
      </c>
      <c r="I1527" s="160">
        <f>Sales[[#This Row],[Selling Rate]]*Sales[[#This Row],[Qty]]</f>
        <v>28080</v>
      </c>
      <c r="J1527" s="43">
        <v>0.12</v>
      </c>
      <c r="K1527" s="44">
        <f>Sales[[#This Row],[Gross Amount]]*Sales[[#This Row],[Disc %]]</f>
        <v>3369.6</v>
      </c>
      <c r="L1527" s="43">
        <v>0.18</v>
      </c>
      <c r="M1527" s="44">
        <f>(Sales[[#This Row],[Gross Amount]]-Sales[[#This Row],[Disc. Amt.]])*Sales[[#This Row],[GST %]]</f>
        <v>4447.8720000000003</v>
      </c>
      <c r="N1527" s="161">
        <f>Sales[[#This Row],[Gross Amount]]-Sales[[#This Row],[Disc. Amt.]]+Sales[[#This Row],[GST Amount]]</f>
        <v>29158.272000000001</v>
      </c>
      <c r="O1527" s="158" t="s">
        <v>8876</v>
      </c>
      <c r="P1527" s="158" t="s">
        <v>3562</v>
      </c>
      <c r="Q1527" s="160">
        <f>IF(Sales[[#This Row],[Status]]="Cancelled",0,Sales[[#This Row],[Qty]])</f>
        <v>6</v>
      </c>
      <c r="R1527" s="161">
        <f>IF(Sales[[#This Row],[Status]]="Cancelled",0,Sales[[#This Row],[Total Amount]])</f>
        <v>29158.272000000001</v>
      </c>
      <c r="S1527" s="162">
        <f>SUM(Sales[Net Amount])</f>
        <v>406839287.73200053</v>
      </c>
    </row>
    <row r="1528" spans="1:19" ht="18.75" x14ac:dyDescent="0.25">
      <c r="A1528" s="163" t="s">
        <v>5132</v>
      </c>
      <c r="B1528" s="164">
        <v>45855</v>
      </c>
      <c r="C1528" s="34" t="s">
        <v>5133</v>
      </c>
      <c r="D1528" s="53" t="str">
        <f>VLOOKUP(Sales[[#This Row],[Customer ID]],Customer[#All],2,0)</f>
        <v>Sunita Sharma</v>
      </c>
      <c r="E1528" s="34" t="s">
        <v>169</v>
      </c>
      <c r="F1528" s="34" t="str">
        <f>VLOOKUP(Sales[[#This Row],[Product ID]],Product[#All],2,0)</f>
        <v>Dell Monitor</v>
      </c>
      <c r="G1528" s="53">
        <v>4</v>
      </c>
      <c r="H1528" s="165">
        <f>VLOOKUP(Sales[[#This Row],[Product ID]],Product[#All],7,0)</f>
        <v>22680</v>
      </c>
      <c r="I1528" s="165">
        <f>Sales[[#This Row],[Selling Rate]]*Sales[[#This Row],[Qty]]</f>
        <v>90720</v>
      </c>
      <c r="J1528" s="45">
        <v>0</v>
      </c>
      <c r="K1528" s="46">
        <f>Sales[[#This Row],[Gross Amount]]*Sales[[#This Row],[Disc %]]</f>
        <v>0</v>
      </c>
      <c r="L1528" s="43">
        <v>0.18</v>
      </c>
      <c r="M1528" s="46">
        <f>(Sales[[#This Row],[Gross Amount]]-Sales[[#This Row],[Disc. Amt.]])*Sales[[#This Row],[GST %]]</f>
        <v>16329.599999999999</v>
      </c>
      <c r="N1528" s="161">
        <f>Sales[[#This Row],[Gross Amount]]-Sales[[#This Row],[Disc. Amt.]]+Sales[[#This Row],[GST Amount]]</f>
        <v>107049.60000000001</v>
      </c>
      <c r="O1528" s="34" t="s">
        <v>3569</v>
      </c>
      <c r="P1528" s="34" t="s">
        <v>3562</v>
      </c>
      <c r="Q1528" s="165">
        <f>IF(Sales[[#This Row],[Status]]="Cancelled",0,Sales[[#This Row],[Qty]])</f>
        <v>4</v>
      </c>
      <c r="R1528" s="166">
        <f>IF(Sales[[#This Row],[Status]]="Cancelled",0,Sales[[#This Row],[Total Amount]])</f>
        <v>107049.60000000001</v>
      </c>
      <c r="S1528" s="162">
        <f>SUM(Sales[Net Amount])</f>
        <v>406839287.73200053</v>
      </c>
    </row>
    <row r="1529" spans="1:19" ht="18.75" x14ac:dyDescent="0.25">
      <c r="A1529" s="156" t="s">
        <v>5134</v>
      </c>
      <c r="B1529" s="157">
        <v>45855</v>
      </c>
      <c r="C1529" s="158" t="s">
        <v>821</v>
      </c>
      <c r="D1529" s="159" t="str">
        <f>VLOOKUP(Sales[[#This Row],[Customer ID]],Customer[#All],2,0)</f>
        <v>Rakesh Sharma</v>
      </c>
      <c r="E1529" s="158" t="s">
        <v>175</v>
      </c>
      <c r="F1529" s="158" t="str">
        <f>VLOOKUP(Sales[[#This Row],[Product ID]],Product[#All],2,0)</f>
        <v>Boat Headset</v>
      </c>
      <c r="G1529" s="159">
        <v>2</v>
      </c>
      <c r="H1529" s="160">
        <f>VLOOKUP(Sales[[#This Row],[Product ID]],Product[#All],7,0)</f>
        <v>2030</v>
      </c>
      <c r="I1529" s="160">
        <f>Sales[[#This Row],[Selling Rate]]*Sales[[#This Row],[Qty]]</f>
        <v>4060</v>
      </c>
      <c r="J1529" s="43">
        <v>0.15</v>
      </c>
      <c r="K1529" s="44">
        <f>Sales[[#This Row],[Gross Amount]]*Sales[[#This Row],[Disc %]]</f>
        <v>609</v>
      </c>
      <c r="L1529" s="43">
        <v>0.18</v>
      </c>
      <c r="M1529" s="44">
        <f>(Sales[[#This Row],[Gross Amount]]-Sales[[#This Row],[Disc. Amt.]])*Sales[[#This Row],[GST %]]</f>
        <v>621.17999999999995</v>
      </c>
      <c r="N1529" s="161">
        <f>Sales[[#This Row],[Gross Amount]]-Sales[[#This Row],[Disc. Amt.]]+Sales[[#This Row],[GST Amount]]</f>
        <v>4072.18</v>
      </c>
      <c r="O1529" s="158" t="s">
        <v>3569</v>
      </c>
      <c r="P1529" s="158" t="s">
        <v>3562</v>
      </c>
      <c r="Q1529" s="160">
        <f>IF(Sales[[#This Row],[Status]]="Cancelled",0,Sales[[#This Row],[Qty]])</f>
        <v>2</v>
      </c>
      <c r="R1529" s="161">
        <f>IF(Sales[[#This Row],[Status]]="Cancelled",0,Sales[[#This Row],[Total Amount]])</f>
        <v>4072.18</v>
      </c>
      <c r="S1529" s="162">
        <f>SUM(Sales[Net Amount])</f>
        <v>406839287.73200053</v>
      </c>
    </row>
    <row r="1530" spans="1:19" ht="18.75" x14ac:dyDescent="0.25">
      <c r="A1530" s="163" t="s">
        <v>5135</v>
      </c>
      <c r="B1530" s="164">
        <v>45855</v>
      </c>
      <c r="C1530" s="34" t="s">
        <v>872</v>
      </c>
      <c r="D1530" s="53" t="str">
        <f>VLOOKUP(Sales[[#This Row],[Customer ID]],Customer[#All],2,0)</f>
        <v>Rahul Verma</v>
      </c>
      <c r="E1530" s="34" t="s">
        <v>186</v>
      </c>
      <c r="F1530" s="34" t="str">
        <f>VLOOKUP(Sales[[#This Row],[Product ID]],Product[#All],2,0)</f>
        <v>Corsair Ram</v>
      </c>
      <c r="G1530" s="53">
        <v>5</v>
      </c>
      <c r="H1530" s="165">
        <f>VLOOKUP(Sales[[#This Row],[Product ID]],Product[#All],7,0)</f>
        <v>11620</v>
      </c>
      <c r="I1530" s="165">
        <f>Sales[[#This Row],[Selling Rate]]*Sales[[#This Row],[Qty]]</f>
        <v>58100</v>
      </c>
      <c r="J1530" s="45">
        <v>0</v>
      </c>
      <c r="K1530" s="46">
        <f>Sales[[#This Row],[Gross Amount]]*Sales[[#This Row],[Disc %]]</f>
        <v>0</v>
      </c>
      <c r="L1530" s="43">
        <v>0.18</v>
      </c>
      <c r="M1530" s="46">
        <f>(Sales[[#This Row],[Gross Amount]]-Sales[[#This Row],[Disc. Amt.]])*Sales[[#This Row],[GST %]]</f>
        <v>10458</v>
      </c>
      <c r="N1530" s="161">
        <f>Sales[[#This Row],[Gross Amount]]-Sales[[#This Row],[Disc. Amt.]]+Sales[[#This Row],[GST Amount]]</f>
        <v>68558</v>
      </c>
      <c r="O1530" s="34" t="s">
        <v>8876</v>
      </c>
      <c r="P1530" s="34" t="s">
        <v>3562</v>
      </c>
      <c r="Q1530" s="165">
        <f>IF(Sales[[#This Row],[Status]]="Cancelled",0,Sales[[#This Row],[Qty]])</f>
        <v>5</v>
      </c>
      <c r="R1530" s="166">
        <f>IF(Sales[[#This Row],[Status]]="Cancelled",0,Sales[[#This Row],[Total Amount]])</f>
        <v>68558</v>
      </c>
      <c r="S1530" s="162">
        <f>SUM(Sales[Net Amount])</f>
        <v>406839287.73200053</v>
      </c>
    </row>
    <row r="1531" spans="1:19" ht="18.75" x14ac:dyDescent="0.25">
      <c r="A1531" s="156" t="s">
        <v>5136</v>
      </c>
      <c r="B1531" s="157">
        <v>45855</v>
      </c>
      <c r="C1531" s="158" t="s">
        <v>700</v>
      </c>
      <c r="D1531" s="159" t="str">
        <f>VLOOKUP(Sales[[#This Row],[Customer ID]],Customer[#All],2,0)</f>
        <v>Ankit Gupta</v>
      </c>
      <c r="E1531" s="158" t="s">
        <v>126</v>
      </c>
      <c r="F1531" s="158" t="str">
        <f>VLOOKUP(Sales[[#This Row],[Product ID]],Product[#All],2,0)</f>
        <v>Epson Printer</v>
      </c>
      <c r="G1531" s="159">
        <v>1</v>
      </c>
      <c r="H1531" s="160">
        <f>VLOOKUP(Sales[[#This Row],[Product ID]],Product[#All],7,0)</f>
        <v>23980</v>
      </c>
      <c r="I1531" s="160">
        <f>Sales[[#This Row],[Selling Rate]]*Sales[[#This Row],[Qty]]</f>
        <v>23980</v>
      </c>
      <c r="J1531" s="43">
        <v>0.12</v>
      </c>
      <c r="K1531" s="44">
        <f>Sales[[#This Row],[Gross Amount]]*Sales[[#This Row],[Disc %]]</f>
        <v>2877.6</v>
      </c>
      <c r="L1531" s="43">
        <v>0.18</v>
      </c>
      <c r="M1531" s="44">
        <f>(Sales[[#This Row],[Gross Amount]]-Sales[[#This Row],[Disc. Amt.]])*Sales[[#This Row],[GST %]]</f>
        <v>3798.4320000000002</v>
      </c>
      <c r="N1531" s="161">
        <f>Sales[[#This Row],[Gross Amount]]-Sales[[#This Row],[Disc. Amt.]]+Sales[[#This Row],[GST Amount]]</f>
        <v>24900.832000000002</v>
      </c>
      <c r="O1531" s="158" t="s">
        <v>3569</v>
      </c>
      <c r="P1531" s="158" t="s">
        <v>3562</v>
      </c>
      <c r="Q1531" s="160">
        <f>IF(Sales[[#This Row],[Status]]="Cancelled",0,Sales[[#This Row],[Qty]])</f>
        <v>1</v>
      </c>
      <c r="R1531" s="161">
        <f>IF(Sales[[#This Row],[Status]]="Cancelled",0,Sales[[#This Row],[Total Amount]])</f>
        <v>24900.832000000002</v>
      </c>
      <c r="S1531" s="162">
        <f>SUM(Sales[Net Amount])</f>
        <v>406839287.73200053</v>
      </c>
    </row>
    <row r="1532" spans="1:19" ht="18.75" x14ac:dyDescent="0.25">
      <c r="A1532" s="163" t="s">
        <v>5137</v>
      </c>
      <c r="B1532" s="164">
        <v>45856</v>
      </c>
      <c r="C1532" s="34" t="s">
        <v>797</v>
      </c>
      <c r="D1532" s="53" t="str">
        <f>VLOOKUP(Sales[[#This Row],[Customer ID]],Customer[#All],2,0)</f>
        <v>Ankit Gupta</v>
      </c>
      <c r="E1532" s="34" t="s">
        <v>540</v>
      </c>
      <c r="F1532" s="34" t="str">
        <f>VLOOKUP(Sales[[#This Row],[Product ID]],Product[#All],2,0)</f>
        <v>Dell Desktop</v>
      </c>
      <c r="G1532" s="53">
        <v>8</v>
      </c>
      <c r="H1532" s="165">
        <f>VLOOKUP(Sales[[#This Row],[Product ID]],Product[#All],7,0)</f>
        <v>34160</v>
      </c>
      <c r="I1532" s="165">
        <f>Sales[[#This Row],[Selling Rate]]*Sales[[#This Row],[Qty]]</f>
        <v>273280</v>
      </c>
      <c r="J1532" s="45">
        <v>0.05</v>
      </c>
      <c r="K1532" s="46">
        <f>Sales[[#This Row],[Gross Amount]]*Sales[[#This Row],[Disc %]]</f>
        <v>13664</v>
      </c>
      <c r="L1532" s="43">
        <v>0.18</v>
      </c>
      <c r="M1532" s="46">
        <f>(Sales[[#This Row],[Gross Amount]]-Sales[[#This Row],[Disc. Amt.]])*Sales[[#This Row],[GST %]]</f>
        <v>46730.879999999997</v>
      </c>
      <c r="N1532" s="161">
        <f>Sales[[#This Row],[Gross Amount]]-Sales[[#This Row],[Disc. Amt.]]+Sales[[#This Row],[GST Amount]]</f>
        <v>306346.88</v>
      </c>
      <c r="O1532" s="34" t="s">
        <v>3569</v>
      </c>
      <c r="P1532" s="34" t="s">
        <v>3562</v>
      </c>
      <c r="Q1532" s="165">
        <f>IF(Sales[[#This Row],[Status]]="Cancelled",0,Sales[[#This Row],[Qty]])</f>
        <v>8</v>
      </c>
      <c r="R1532" s="166">
        <f>IF(Sales[[#This Row],[Status]]="Cancelled",0,Sales[[#This Row],[Total Amount]])</f>
        <v>306346.88</v>
      </c>
      <c r="S1532" s="162">
        <f>SUM(Sales[Net Amount])</f>
        <v>406839287.73200053</v>
      </c>
    </row>
    <row r="1533" spans="1:19" ht="18.75" x14ac:dyDescent="0.25">
      <c r="A1533" s="156" t="s">
        <v>5138</v>
      </c>
      <c r="B1533" s="157">
        <v>45856</v>
      </c>
      <c r="C1533" s="158" t="s">
        <v>888</v>
      </c>
      <c r="D1533" s="159" t="str">
        <f>VLOOKUP(Sales[[#This Row],[Customer ID]],Customer[#All],2,0)</f>
        <v>Rahul Patel</v>
      </c>
      <c r="E1533" s="158" t="s">
        <v>290</v>
      </c>
      <c r="F1533" s="158" t="str">
        <f>VLOOKUP(Sales[[#This Row],[Product ID]],Product[#All],2,0)</f>
        <v>Crucial Ssd</v>
      </c>
      <c r="G1533" s="159">
        <v>1</v>
      </c>
      <c r="H1533" s="160">
        <f>VLOOKUP(Sales[[#This Row],[Product ID]],Product[#All],7,0)</f>
        <v>7650</v>
      </c>
      <c r="I1533" s="160">
        <f>Sales[[#This Row],[Selling Rate]]*Sales[[#This Row],[Qty]]</f>
        <v>7650</v>
      </c>
      <c r="J1533" s="43">
        <v>0.1</v>
      </c>
      <c r="K1533" s="44">
        <f>Sales[[#This Row],[Gross Amount]]*Sales[[#This Row],[Disc %]]</f>
        <v>765</v>
      </c>
      <c r="L1533" s="43">
        <v>0.18</v>
      </c>
      <c r="M1533" s="44">
        <f>(Sales[[#This Row],[Gross Amount]]-Sales[[#This Row],[Disc. Amt.]])*Sales[[#This Row],[GST %]]</f>
        <v>1239.3</v>
      </c>
      <c r="N1533" s="161">
        <f>Sales[[#This Row],[Gross Amount]]-Sales[[#This Row],[Disc. Amt.]]+Sales[[#This Row],[GST Amount]]</f>
        <v>8124.3</v>
      </c>
      <c r="O1533" s="158" t="s">
        <v>8876</v>
      </c>
      <c r="P1533" s="158" t="s">
        <v>3562</v>
      </c>
      <c r="Q1533" s="160">
        <f>IF(Sales[[#This Row],[Status]]="Cancelled",0,Sales[[#This Row],[Qty]])</f>
        <v>1</v>
      </c>
      <c r="R1533" s="161">
        <f>IF(Sales[[#This Row],[Status]]="Cancelled",0,Sales[[#This Row],[Total Amount]])</f>
        <v>8124.3</v>
      </c>
      <c r="S1533" s="162">
        <f>SUM(Sales[Net Amount])</f>
        <v>406839287.73200053</v>
      </c>
    </row>
    <row r="1534" spans="1:19" ht="18.75" x14ac:dyDescent="0.25">
      <c r="A1534" s="163" t="s">
        <v>5139</v>
      </c>
      <c r="B1534" s="164">
        <v>45856</v>
      </c>
      <c r="C1534" s="34" t="s">
        <v>883</v>
      </c>
      <c r="D1534" s="53" t="str">
        <f>VLOOKUP(Sales[[#This Row],[Customer ID]],Customer[#All],2,0)</f>
        <v>Rahul Verma</v>
      </c>
      <c r="E1534" s="34" t="s">
        <v>263</v>
      </c>
      <c r="F1534" s="34" t="str">
        <f>VLOOKUP(Sales[[#This Row],[Product ID]],Product[#All],2,0)</f>
        <v>Amazon Basics Hdmi Cable</v>
      </c>
      <c r="G1534" s="53">
        <v>2</v>
      </c>
      <c r="H1534" s="165">
        <f>VLOOKUP(Sales[[#This Row],[Product ID]],Product[#All],7,0)</f>
        <v>770</v>
      </c>
      <c r="I1534" s="165">
        <f>Sales[[#This Row],[Selling Rate]]*Sales[[#This Row],[Qty]]</f>
        <v>1540</v>
      </c>
      <c r="J1534" s="45">
        <v>0.05</v>
      </c>
      <c r="K1534" s="46">
        <f>Sales[[#This Row],[Gross Amount]]*Sales[[#This Row],[Disc %]]</f>
        <v>77</v>
      </c>
      <c r="L1534" s="43">
        <v>0.18</v>
      </c>
      <c r="M1534" s="46">
        <f>(Sales[[#This Row],[Gross Amount]]-Sales[[#This Row],[Disc. Amt.]])*Sales[[#This Row],[GST %]]</f>
        <v>263.33999999999997</v>
      </c>
      <c r="N1534" s="161">
        <f>Sales[[#This Row],[Gross Amount]]-Sales[[#This Row],[Disc. Amt.]]+Sales[[#This Row],[GST Amount]]</f>
        <v>1726.34</v>
      </c>
      <c r="O1534" s="34" t="s">
        <v>3566</v>
      </c>
      <c r="P1534" s="34" t="s">
        <v>3562</v>
      </c>
      <c r="Q1534" s="165">
        <f>IF(Sales[[#This Row],[Status]]="Cancelled",0,Sales[[#This Row],[Qty]])</f>
        <v>2</v>
      </c>
      <c r="R1534" s="166">
        <f>IF(Sales[[#This Row],[Status]]="Cancelled",0,Sales[[#This Row],[Total Amount]])</f>
        <v>1726.34</v>
      </c>
      <c r="S1534" s="162">
        <f>SUM(Sales[Net Amount])</f>
        <v>406839287.73200053</v>
      </c>
    </row>
    <row r="1535" spans="1:19" ht="18.75" x14ac:dyDescent="0.25">
      <c r="A1535" s="156" t="s">
        <v>5140</v>
      </c>
      <c r="B1535" s="157">
        <v>45856</v>
      </c>
      <c r="C1535" s="158" t="s">
        <v>898</v>
      </c>
      <c r="D1535" s="159" t="str">
        <f>VLOOKUP(Sales[[#This Row],[Customer ID]],Customer[#All],2,0)</f>
        <v>Rahul Singh</v>
      </c>
      <c r="E1535" s="158" t="s">
        <v>344</v>
      </c>
      <c r="F1535" s="158" t="str">
        <f>VLOOKUP(Sales[[#This Row],[Product ID]],Product[#All],2,0)</f>
        <v>WD HDD</v>
      </c>
      <c r="G1535" s="159">
        <v>6</v>
      </c>
      <c r="H1535" s="160">
        <f>VLOOKUP(Sales[[#This Row],[Product ID]],Product[#All],7,0)</f>
        <v>11260</v>
      </c>
      <c r="I1535" s="160">
        <f>Sales[[#This Row],[Selling Rate]]*Sales[[#This Row],[Qty]]</f>
        <v>67560</v>
      </c>
      <c r="J1535" s="43">
        <v>0.02</v>
      </c>
      <c r="K1535" s="44">
        <f>Sales[[#This Row],[Gross Amount]]*Sales[[#This Row],[Disc %]]</f>
        <v>1351.2</v>
      </c>
      <c r="L1535" s="43">
        <v>0.18</v>
      </c>
      <c r="M1535" s="44">
        <f>(Sales[[#This Row],[Gross Amount]]-Sales[[#This Row],[Disc. Amt.]])*Sales[[#This Row],[GST %]]</f>
        <v>11917.584000000001</v>
      </c>
      <c r="N1535" s="161">
        <f>Sales[[#This Row],[Gross Amount]]-Sales[[#This Row],[Disc. Amt.]]+Sales[[#This Row],[GST Amount]]</f>
        <v>78126.384000000005</v>
      </c>
      <c r="O1535" s="158" t="s">
        <v>3566</v>
      </c>
      <c r="P1535" s="158" t="s">
        <v>3562</v>
      </c>
      <c r="Q1535" s="160">
        <f>IF(Sales[[#This Row],[Status]]="Cancelled",0,Sales[[#This Row],[Qty]])</f>
        <v>6</v>
      </c>
      <c r="R1535" s="161">
        <f>IF(Sales[[#This Row],[Status]]="Cancelled",0,Sales[[#This Row],[Total Amount]])</f>
        <v>78126.384000000005</v>
      </c>
      <c r="S1535" s="162">
        <f>SUM(Sales[Net Amount])</f>
        <v>406839287.73200053</v>
      </c>
    </row>
    <row r="1536" spans="1:19" ht="18.75" x14ac:dyDescent="0.25">
      <c r="A1536" s="163" t="s">
        <v>5141</v>
      </c>
      <c r="B1536" s="164">
        <v>45856</v>
      </c>
      <c r="C1536" s="34" t="s">
        <v>781</v>
      </c>
      <c r="D1536" s="53" t="str">
        <f>VLOOKUP(Sales[[#This Row],[Customer ID]],Customer[#All],2,0)</f>
        <v>Vikas Sharma</v>
      </c>
      <c r="E1536" s="34" t="s">
        <v>550</v>
      </c>
      <c r="F1536" s="34" t="str">
        <f>VLOOKUP(Sales[[#This Row],[Product ID]],Product[#All],2,0)</f>
        <v>TP-link Wi-Fi Adapter</v>
      </c>
      <c r="G1536" s="53">
        <v>6</v>
      </c>
      <c r="H1536" s="165">
        <f>VLOOKUP(Sales[[#This Row],[Product ID]],Product[#All],7,0)</f>
        <v>1300</v>
      </c>
      <c r="I1536" s="165">
        <f>Sales[[#This Row],[Selling Rate]]*Sales[[#This Row],[Qty]]</f>
        <v>7800</v>
      </c>
      <c r="J1536" s="45">
        <v>0.05</v>
      </c>
      <c r="K1536" s="46">
        <f>Sales[[#This Row],[Gross Amount]]*Sales[[#This Row],[Disc %]]</f>
        <v>390</v>
      </c>
      <c r="L1536" s="43">
        <v>0.18</v>
      </c>
      <c r="M1536" s="46">
        <f>(Sales[[#This Row],[Gross Amount]]-Sales[[#This Row],[Disc. Amt.]])*Sales[[#This Row],[GST %]]</f>
        <v>1333.8</v>
      </c>
      <c r="N1536" s="161">
        <f>Sales[[#This Row],[Gross Amount]]-Sales[[#This Row],[Disc. Amt.]]+Sales[[#This Row],[GST Amount]]</f>
        <v>8743.7999999999993</v>
      </c>
      <c r="O1536" s="34" t="s">
        <v>3561</v>
      </c>
      <c r="P1536" s="34" t="s">
        <v>3562</v>
      </c>
      <c r="Q1536" s="165">
        <f>IF(Sales[[#This Row],[Status]]="Cancelled",0,Sales[[#This Row],[Qty]])</f>
        <v>6</v>
      </c>
      <c r="R1536" s="166">
        <f>IF(Sales[[#This Row],[Status]]="Cancelled",0,Sales[[#This Row],[Total Amount]])</f>
        <v>8743.7999999999993</v>
      </c>
      <c r="S1536" s="162">
        <f>SUM(Sales[Net Amount])</f>
        <v>406839287.73200053</v>
      </c>
    </row>
    <row r="1537" spans="1:19" ht="18.75" x14ac:dyDescent="0.25">
      <c r="A1537" s="156" t="s">
        <v>5142</v>
      </c>
      <c r="B1537" s="157">
        <v>45856</v>
      </c>
      <c r="C1537" s="158" t="s">
        <v>703</v>
      </c>
      <c r="D1537" s="159" t="str">
        <f>VLOOKUP(Sales[[#This Row],[Customer ID]],Customer[#All],2,0)</f>
        <v>Rahul Singh</v>
      </c>
      <c r="E1537" s="158" t="s">
        <v>282</v>
      </c>
      <c r="F1537" s="158" t="str">
        <f>VLOOKUP(Sales[[#This Row],[Product ID]],Product[#All],2,0)</f>
        <v>Amazon Basics Hdmi Cable</v>
      </c>
      <c r="G1537" s="159">
        <v>4</v>
      </c>
      <c r="H1537" s="160">
        <f>VLOOKUP(Sales[[#This Row],[Product ID]],Product[#All],7,0)</f>
        <v>760</v>
      </c>
      <c r="I1537" s="160">
        <f>Sales[[#This Row],[Selling Rate]]*Sales[[#This Row],[Qty]]</f>
        <v>3040</v>
      </c>
      <c r="J1537" s="43">
        <v>0</v>
      </c>
      <c r="K1537" s="44">
        <f>Sales[[#This Row],[Gross Amount]]*Sales[[#This Row],[Disc %]]</f>
        <v>0</v>
      </c>
      <c r="L1537" s="43">
        <v>0.18</v>
      </c>
      <c r="M1537" s="44">
        <f>(Sales[[#This Row],[Gross Amount]]-Sales[[#This Row],[Disc. Amt.]])*Sales[[#This Row],[GST %]]</f>
        <v>547.19999999999993</v>
      </c>
      <c r="N1537" s="161">
        <f>Sales[[#This Row],[Gross Amount]]-Sales[[#This Row],[Disc. Amt.]]+Sales[[#This Row],[GST Amount]]</f>
        <v>3587.2</v>
      </c>
      <c r="O1537" s="158" t="s">
        <v>3561</v>
      </c>
      <c r="P1537" s="158" t="s">
        <v>3562</v>
      </c>
      <c r="Q1537" s="160">
        <f>IF(Sales[[#This Row],[Status]]="Cancelled",0,Sales[[#This Row],[Qty]])</f>
        <v>4</v>
      </c>
      <c r="R1537" s="161">
        <f>IF(Sales[[#This Row],[Status]]="Cancelled",0,Sales[[#This Row],[Total Amount]])</f>
        <v>3587.2</v>
      </c>
      <c r="S1537" s="162">
        <f>SUM(Sales[Net Amount])</f>
        <v>406839287.73200053</v>
      </c>
    </row>
    <row r="1538" spans="1:19" ht="18.75" x14ac:dyDescent="0.25">
      <c r="A1538" s="163" t="s">
        <v>5143</v>
      </c>
      <c r="B1538" s="164">
        <v>45856</v>
      </c>
      <c r="C1538" s="34" t="s">
        <v>720</v>
      </c>
      <c r="D1538" s="53" t="str">
        <f>VLOOKUP(Sales[[#This Row],[Customer ID]],Customer[#All],2,0)</f>
        <v>Rakesh Singh</v>
      </c>
      <c r="E1538" s="34" t="s">
        <v>239</v>
      </c>
      <c r="F1538" s="34" t="str">
        <f>VLOOKUP(Sales[[#This Row],[Product ID]],Product[#All],2,0)</f>
        <v>Microtek UPS</v>
      </c>
      <c r="G1538" s="53">
        <v>2</v>
      </c>
      <c r="H1538" s="165">
        <f>VLOOKUP(Sales[[#This Row],[Product ID]],Product[#All],7,0)</f>
        <v>7570</v>
      </c>
      <c r="I1538" s="165">
        <f>Sales[[#This Row],[Selling Rate]]*Sales[[#This Row],[Qty]]</f>
        <v>15140</v>
      </c>
      <c r="J1538" s="45">
        <v>0</v>
      </c>
      <c r="K1538" s="46">
        <f>Sales[[#This Row],[Gross Amount]]*Sales[[#This Row],[Disc %]]</f>
        <v>0</v>
      </c>
      <c r="L1538" s="43">
        <v>0.18</v>
      </c>
      <c r="M1538" s="46">
        <f>(Sales[[#This Row],[Gross Amount]]-Sales[[#This Row],[Disc. Amt.]])*Sales[[#This Row],[GST %]]</f>
        <v>2725.2</v>
      </c>
      <c r="N1538" s="161">
        <f>Sales[[#This Row],[Gross Amount]]-Sales[[#This Row],[Disc. Amt.]]+Sales[[#This Row],[GST Amount]]</f>
        <v>17865.2</v>
      </c>
      <c r="O1538" s="34" t="s">
        <v>3569</v>
      </c>
      <c r="P1538" s="34" t="s">
        <v>3562</v>
      </c>
      <c r="Q1538" s="165">
        <f>IF(Sales[[#This Row],[Status]]="Cancelled",0,Sales[[#This Row],[Qty]])</f>
        <v>2</v>
      </c>
      <c r="R1538" s="166">
        <f>IF(Sales[[#This Row],[Status]]="Cancelled",0,Sales[[#This Row],[Total Amount]])</f>
        <v>17865.2</v>
      </c>
      <c r="S1538" s="162">
        <f>SUM(Sales[Net Amount])</f>
        <v>406839287.73200053</v>
      </c>
    </row>
    <row r="1539" spans="1:19" ht="18.75" x14ac:dyDescent="0.25">
      <c r="A1539" s="156" t="s">
        <v>5144</v>
      </c>
      <c r="B1539" s="157">
        <v>45856</v>
      </c>
      <c r="C1539" s="158" t="s">
        <v>740</v>
      </c>
      <c r="D1539" s="159" t="str">
        <f>VLOOKUP(Sales[[#This Row],[Customer ID]],Customer[#All],2,0)</f>
        <v>Vikas Gupta</v>
      </c>
      <c r="E1539" s="158" t="s">
        <v>148</v>
      </c>
      <c r="F1539" s="158" t="str">
        <f>VLOOKUP(Sales[[#This Row],[Product ID]],Product[#All],2,0)</f>
        <v>Dell Monitor</v>
      </c>
      <c r="G1539" s="159">
        <v>3</v>
      </c>
      <c r="H1539" s="160">
        <f>VLOOKUP(Sales[[#This Row],[Product ID]],Product[#All],7,0)</f>
        <v>20170</v>
      </c>
      <c r="I1539" s="160">
        <f>Sales[[#This Row],[Selling Rate]]*Sales[[#This Row],[Qty]]</f>
        <v>60510</v>
      </c>
      <c r="J1539" s="43">
        <v>0</v>
      </c>
      <c r="K1539" s="44">
        <f>Sales[[#This Row],[Gross Amount]]*Sales[[#This Row],[Disc %]]</f>
        <v>0</v>
      </c>
      <c r="L1539" s="43">
        <v>0.18</v>
      </c>
      <c r="M1539" s="44">
        <f>(Sales[[#This Row],[Gross Amount]]-Sales[[#This Row],[Disc. Amt.]])*Sales[[#This Row],[GST %]]</f>
        <v>10891.8</v>
      </c>
      <c r="N1539" s="161">
        <f>Sales[[#This Row],[Gross Amount]]-Sales[[#This Row],[Disc. Amt.]]+Sales[[#This Row],[GST Amount]]</f>
        <v>71401.8</v>
      </c>
      <c r="O1539" s="158" t="s">
        <v>3566</v>
      </c>
      <c r="P1539" s="158" t="s">
        <v>3562</v>
      </c>
      <c r="Q1539" s="160">
        <f>IF(Sales[[#This Row],[Status]]="Cancelled",0,Sales[[#This Row],[Qty]])</f>
        <v>3</v>
      </c>
      <c r="R1539" s="161">
        <f>IF(Sales[[#This Row],[Status]]="Cancelled",0,Sales[[#This Row],[Total Amount]])</f>
        <v>71401.8</v>
      </c>
      <c r="S1539" s="162">
        <f>SUM(Sales[Net Amount])</f>
        <v>406839287.73200053</v>
      </c>
    </row>
    <row r="1540" spans="1:19" ht="18.75" x14ac:dyDescent="0.25">
      <c r="A1540" s="163" t="s">
        <v>5145</v>
      </c>
      <c r="B1540" s="164">
        <v>45856</v>
      </c>
      <c r="C1540" s="34" t="s">
        <v>763</v>
      </c>
      <c r="D1540" s="53" t="str">
        <f>VLOOKUP(Sales[[#This Row],[Customer ID]],Customer[#All],2,0)</f>
        <v>Pooja Verma</v>
      </c>
      <c r="E1540" s="34" t="s">
        <v>453</v>
      </c>
      <c r="F1540" s="34" t="str">
        <f>VLOOKUP(Sales[[#This Row],[Product ID]],Product[#All],2,0)</f>
        <v>American TouristerLaptopBag</v>
      </c>
      <c r="G1540" s="53">
        <v>2</v>
      </c>
      <c r="H1540" s="165">
        <f>VLOOKUP(Sales[[#This Row],[Product ID]],Product[#All],7,0)</f>
        <v>3050</v>
      </c>
      <c r="I1540" s="165">
        <f>Sales[[#This Row],[Selling Rate]]*Sales[[#This Row],[Qty]]</f>
        <v>6100</v>
      </c>
      <c r="J1540" s="45">
        <v>0.12</v>
      </c>
      <c r="K1540" s="46">
        <f>Sales[[#This Row],[Gross Amount]]*Sales[[#This Row],[Disc %]]</f>
        <v>732</v>
      </c>
      <c r="L1540" s="43">
        <v>0.18</v>
      </c>
      <c r="M1540" s="46">
        <f>(Sales[[#This Row],[Gross Amount]]-Sales[[#This Row],[Disc. Amt.]])*Sales[[#This Row],[GST %]]</f>
        <v>966.24</v>
      </c>
      <c r="N1540" s="161">
        <f>Sales[[#This Row],[Gross Amount]]-Sales[[#This Row],[Disc. Amt.]]+Sales[[#This Row],[GST Amount]]</f>
        <v>6334.24</v>
      </c>
      <c r="O1540" s="34" t="s">
        <v>3566</v>
      </c>
      <c r="P1540" s="34" t="s">
        <v>3562</v>
      </c>
      <c r="Q1540" s="165">
        <f>IF(Sales[[#This Row],[Status]]="Cancelled",0,Sales[[#This Row],[Qty]])</f>
        <v>2</v>
      </c>
      <c r="R1540" s="166">
        <f>IF(Sales[[#This Row],[Status]]="Cancelled",0,Sales[[#This Row],[Total Amount]])</f>
        <v>6334.24</v>
      </c>
      <c r="S1540" s="162">
        <f>SUM(Sales[Net Amount])</f>
        <v>406839287.73200053</v>
      </c>
    </row>
    <row r="1541" spans="1:19" ht="18.75" x14ac:dyDescent="0.25">
      <c r="A1541" s="156" t="s">
        <v>5146</v>
      </c>
      <c r="B1541" s="157">
        <v>45856</v>
      </c>
      <c r="C1541" s="158" t="s">
        <v>785</v>
      </c>
      <c r="D1541" s="159" t="str">
        <f>VLOOKUP(Sales[[#This Row],[Customer ID]],Customer[#All],2,0)</f>
        <v>Ankit Gupta</v>
      </c>
      <c r="E1541" s="158" t="s">
        <v>214</v>
      </c>
      <c r="F1541" s="158" t="str">
        <f>VLOOKUP(Sales[[#This Row],[Product ID]],Product[#All],2,0)</f>
        <v>Microtek UPS</v>
      </c>
      <c r="G1541" s="159">
        <v>1</v>
      </c>
      <c r="H1541" s="160">
        <f>VLOOKUP(Sales[[#This Row],[Product ID]],Product[#All],7,0)</f>
        <v>10710</v>
      </c>
      <c r="I1541" s="160">
        <f>Sales[[#This Row],[Selling Rate]]*Sales[[#This Row],[Qty]]</f>
        <v>10710</v>
      </c>
      <c r="J1541" s="43">
        <v>0.02</v>
      </c>
      <c r="K1541" s="44">
        <f>Sales[[#This Row],[Gross Amount]]*Sales[[#This Row],[Disc %]]</f>
        <v>214.20000000000002</v>
      </c>
      <c r="L1541" s="43">
        <v>0.18</v>
      </c>
      <c r="M1541" s="44">
        <f>(Sales[[#This Row],[Gross Amount]]-Sales[[#This Row],[Disc. Amt.]])*Sales[[#This Row],[GST %]]</f>
        <v>1889.2439999999997</v>
      </c>
      <c r="N1541" s="161">
        <f>Sales[[#This Row],[Gross Amount]]-Sales[[#This Row],[Disc. Amt.]]+Sales[[#This Row],[GST Amount]]</f>
        <v>12385.043999999998</v>
      </c>
      <c r="O1541" s="158" t="s">
        <v>3566</v>
      </c>
      <c r="P1541" s="158" t="s">
        <v>3562</v>
      </c>
      <c r="Q1541" s="160">
        <f>IF(Sales[[#This Row],[Status]]="Cancelled",0,Sales[[#This Row],[Qty]])</f>
        <v>1</v>
      </c>
      <c r="R1541" s="161">
        <f>IF(Sales[[#This Row],[Status]]="Cancelled",0,Sales[[#This Row],[Total Amount]])</f>
        <v>12385.043999999998</v>
      </c>
      <c r="S1541" s="162">
        <f>SUM(Sales[Net Amount])</f>
        <v>406839287.73200053</v>
      </c>
    </row>
    <row r="1542" spans="1:19" ht="18.75" x14ac:dyDescent="0.25">
      <c r="A1542" s="163" t="s">
        <v>5147</v>
      </c>
      <c r="B1542" s="164">
        <v>45856</v>
      </c>
      <c r="C1542" s="34" t="s">
        <v>753</v>
      </c>
      <c r="D1542" s="53" t="str">
        <f>VLOOKUP(Sales[[#This Row],[Customer ID]],Customer[#All],2,0)</f>
        <v>Sunita Gupta</v>
      </c>
      <c r="E1542" s="34" t="s">
        <v>124</v>
      </c>
      <c r="F1542" s="34" t="str">
        <f>VLOOKUP(Sales[[#This Row],[Product ID]],Product[#All],2,0)</f>
        <v>Crucial Ssd</v>
      </c>
      <c r="G1542" s="53">
        <v>3</v>
      </c>
      <c r="H1542" s="165">
        <f>VLOOKUP(Sales[[#This Row],[Product ID]],Product[#All],7,0)</f>
        <v>14820</v>
      </c>
      <c r="I1542" s="165">
        <f>Sales[[#This Row],[Selling Rate]]*Sales[[#This Row],[Qty]]</f>
        <v>44460</v>
      </c>
      <c r="J1542" s="45">
        <v>0</v>
      </c>
      <c r="K1542" s="46">
        <f>Sales[[#This Row],[Gross Amount]]*Sales[[#This Row],[Disc %]]</f>
        <v>0</v>
      </c>
      <c r="L1542" s="43">
        <v>0.18</v>
      </c>
      <c r="M1542" s="46">
        <f>(Sales[[#This Row],[Gross Amount]]-Sales[[#This Row],[Disc. Amt.]])*Sales[[#This Row],[GST %]]</f>
        <v>8002.7999999999993</v>
      </c>
      <c r="N1542" s="161">
        <f>Sales[[#This Row],[Gross Amount]]-Sales[[#This Row],[Disc. Amt.]]+Sales[[#This Row],[GST Amount]]</f>
        <v>52462.8</v>
      </c>
      <c r="O1542" s="34" t="s">
        <v>3561</v>
      </c>
      <c r="P1542" s="34" t="s">
        <v>3562</v>
      </c>
      <c r="Q1542" s="165">
        <f>IF(Sales[[#This Row],[Status]]="Cancelled",0,Sales[[#This Row],[Qty]])</f>
        <v>3</v>
      </c>
      <c r="R1542" s="166">
        <f>IF(Sales[[#This Row],[Status]]="Cancelled",0,Sales[[#This Row],[Total Amount]])</f>
        <v>52462.8</v>
      </c>
      <c r="S1542" s="162">
        <f>SUM(Sales[Net Amount])</f>
        <v>406839287.73200053</v>
      </c>
    </row>
    <row r="1543" spans="1:19" ht="18.75" x14ac:dyDescent="0.25">
      <c r="A1543" s="156" t="s">
        <v>5148</v>
      </c>
      <c r="B1543" s="157">
        <v>45856</v>
      </c>
      <c r="C1543" s="158" t="s">
        <v>793</v>
      </c>
      <c r="D1543" s="159" t="str">
        <f>VLOOKUP(Sales[[#This Row],[Customer ID]],Customer[#All],2,0)</f>
        <v>Neha Verma</v>
      </c>
      <c r="E1543" s="158" t="s">
        <v>378</v>
      </c>
      <c r="F1543" s="158" t="str">
        <f>VLOOKUP(Sales[[#This Row],[Product ID]],Product[#All],2,0)</f>
        <v>Kingston Ram</v>
      </c>
      <c r="G1543" s="159">
        <v>1</v>
      </c>
      <c r="H1543" s="160">
        <f>VLOOKUP(Sales[[#This Row],[Product ID]],Product[#All],7,0)</f>
        <v>4420</v>
      </c>
      <c r="I1543" s="160">
        <f>Sales[[#This Row],[Selling Rate]]*Sales[[#This Row],[Qty]]</f>
        <v>4420</v>
      </c>
      <c r="J1543" s="43">
        <v>0.12</v>
      </c>
      <c r="K1543" s="44">
        <f>Sales[[#This Row],[Gross Amount]]*Sales[[#This Row],[Disc %]]</f>
        <v>530.4</v>
      </c>
      <c r="L1543" s="43">
        <v>0.18</v>
      </c>
      <c r="M1543" s="44">
        <f>(Sales[[#This Row],[Gross Amount]]-Sales[[#This Row],[Disc. Amt.]])*Sales[[#This Row],[GST %]]</f>
        <v>700.12799999999993</v>
      </c>
      <c r="N1543" s="161">
        <f>Sales[[#This Row],[Gross Amount]]-Sales[[#This Row],[Disc. Amt.]]+Sales[[#This Row],[GST Amount]]</f>
        <v>4589.7280000000001</v>
      </c>
      <c r="O1543" s="158" t="s">
        <v>3569</v>
      </c>
      <c r="P1543" s="158" t="s">
        <v>3562</v>
      </c>
      <c r="Q1543" s="160">
        <f>IF(Sales[[#This Row],[Status]]="Cancelled",0,Sales[[#This Row],[Qty]])</f>
        <v>1</v>
      </c>
      <c r="R1543" s="161">
        <f>IF(Sales[[#This Row],[Status]]="Cancelled",0,Sales[[#This Row],[Total Amount]])</f>
        <v>4589.7280000000001</v>
      </c>
      <c r="S1543" s="162">
        <f>SUM(Sales[Net Amount])</f>
        <v>406839287.73200053</v>
      </c>
    </row>
    <row r="1544" spans="1:19" ht="18.75" x14ac:dyDescent="0.25">
      <c r="A1544" s="163" t="s">
        <v>5149</v>
      </c>
      <c r="B1544" s="164">
        <v>45856</v>
      </c>
      <c r="C1544" s="34" t="s">
        <v>818</v>
      </c>
      <c r="D1544" s="53" t="str">
        <f>VLOOKUP(Sales[[#This Row],[Customer ID]],Customer[#All],2,0)</f>
        <v>Rahul Sharma</v>
      </c>
      <c r="E1544" s="34" t="s">
        <v>209</v>
      </c>
      <c r="F1544" s="34" t="str">
        <f>VLOOKUP(Sales[[#This Row],[Product ID]],Product[#All],2,0)</f>
        <v>HP Laptop</v>
      </c>
      <c r="G1544" s="53">
        <v>6</v>
      </c>
      <c r="H1544" s="165">
        <f>VLOOKUP(Sales[[#This Row],[Product ID]],Product[#All],7,0)</f>
        <v>60780</v>
      </c>
      <c r="I1544" s="165">
        <f>Sales[[#This Row],[Selling Rate]]*Sales[[#This Row],[Qty]]</f>
        <v>364680</v>
      </c>
      <c r="J1544" s="45">
        <v>0.12</v>
      </c>
      <c r="K1544" s="46">
        <f>Sales[[#This Row],[Gross Amount]]*Sales[[#This Row],[Disc %]]</f>
        <v>43761.599999999999</v>
      </c>
      <c r="L1544" s="43">
        <v>0.18</v>
      </c>
      <c r="M1544" s="46">
        <f>(Sales[[#This Row],[Gross Amount]]-Sales[[#This Row],[Disc. Amt.]])*Sales[[#This Row],[GST %]]</f>
        <v>57765.312000000005</v>
      </c>
      <c r="N1544" s="161">
        <f>Sales[[#This Row],[Gross Amount]]-Sales[[#This Row],[Disc. Amt.]]+Sales[[#This Row],[GST Amount]]</f>
        <v>378683.71200000006</v>
      </c>
      <c r="O1544" s="34" t="s">
        <v>3569</v>
      </c>
      <c r="P1544" s="34" t="s">
        <v>3562</v>
      </c>
      <c r="Q1544" s="165">
        <f>IF(Sales[[#This Row],[Status]]="Cancelled",0,Sales[[#This Row],[Qty]])</f>
        <v>6</v>
      </c>
      <c r="R1544" s="166">
        <f>IF(Sales[[#This Row],[Status]]="Cancelled",0,Sales[[#This Row],[Total Amount]])</f>
        <v>378683.71200000006</v>
      </c>
      <c r="S1544" s="162">
        <f>SUM(Sales[Net Amount])</f>
        <v>406839287.73200053</v>
      </c>
    </row>
    <row r="1545" spans="1:19" ht="18.75" x14ac:dyDescent="0.25">
      <c r="A1545" s="156" t="s">
        <v>5150</v>
      </c>
      <c r="B1545" s="157">
        <v>45856</v>
      </c>
      <c r="C1545" s="158" t="s">
        <v>904</v>
      </c>
      <c r="D1545" s="159" t="str">
        <f>VLOOKUP(Sales[[#This Row],[Customer ID]],Customer[#All],2,0)</f>
        <v>Sahil Patel</v>
      </c>
      <c r="E1545" s="158" t="s">
        <v>413</v>
      </c>
      <c r="F1545" s="158" t="str">
        <f>VLOOKUP(Sales[[#This Row],[Product ID]],Product[#All],2,0)</f>
        <v>Crucial Ssd</v>
      </c>
      <c r="G1545" s="159">
        <v>3</v>
      </c>
      <c r="H1545" s="160">
        <f>VLOOKUP(Sales[[#This Row],[Product ID]],Product[#All],7,0)</f>
        <v>10780</v>
      </c>
      <c r="I1545" s="160">
        <f>Sales[[#This Row],[Selling Rate]]*Sales[[#This Row],[Qty]]</f>
        <v>32340</v>
      </c>
      <c r="J1545" s="43">
        <v>0.02</v>
      </c>
      <c r="K1545" s="44">
        <f>Sales[[#This Row],[Gross Amount]]*Sales[[#This Row],[Disc %]]</f>
        <v>646.80000000000007</v>
      </c>
      <c r="L1545" s="43">
        <v>0.18</v>
      </c>
      <c r="M1545" s="44">
        <f>(Sales[[#This Row],[Gross Amount]]-Sales[[#This Row],[Disc. Amt.]])*Sales[[#This Row],[GST %]]</f>
        <v>5704.7759999999998</v>
      </c>
      <c r="N1545" s="161">
        <f>Sales[[#This Row],[Gross Amount]]-Sales[[#This Row],[Disc. Amt.]]+Sales[[#This Row],[GST Amount]]</f>
        <v>37397.976000000002</v>
      </c>
      <c r="O1545" s="158" t="s">
        <v>3566</v>
      </c>
      <c r="P1545" s="158" t="s">
        <v>3562</v>
      </c>
      <c r="Q1545" s="160">
        <f>IF(Sales[[#This Row],[Status]]="Cancelled",0,Sales[[#This Row],[Qty]])</f>
        <v>3</v>
      </c>
      <c r="R1545" s="161">
        <f>IF(Sales[[#This Row],[Status]]="Cancelled",0,Sales[[#This Row],[Total Amount]])</f>
        <v>37397.976000000002</v>
      </c>
      <c r="S1545" s="162">
        <f>SUM(Sales[Net Amount])</f>
        <v>406839287.73200053</v>
      </c>
    </row>
    <row r="1546" spans="1:19" ht="18.75" x14ac:dyDescent="0.25">
      <c r="A1546" s="163" t="s">
        <v>5151</v>
      </c>
      <c r="B1546" s="164">
        <v>45856</v>
      </c>
      <c r="C1546" s="34" t="s">
        <v>905</v>
      </c>
      <c r="D1546" s="53" t="str">
        <f>VLOOKUP(Sales[[#This Row],[Customer ID]],Customer[#All],2,0)</f>
        <v>Rakesh Gupta</v>
      </c>
      <c r="E1546" s="34" t="s">
        <v>176</v>
      </c>
      <c r="F1546" s="34" t="str">
        <f>VLOOKUP(Sales[[#This Row],[Product ID]],Product[#All],2,0)</f>
        <v>Dell Monitor</v>
      </c>
      <c r="G1546" s="53">
        <v>8</v>
      </c>
      <c r="H1546" s="165">
        <f>VLOOKUP(Sales[[#This Row],[Product ID]],Product[#All],7,0)</f>
        <v>18900</v>
      </c>
      <c r="I1546" s="165">
        <f>Sales[[#This Row],[Selling Rate]]*Sales[[#This Row],[Qty]]</f>
        <v>151200</v>
      </c>
      <c r="J1546" s="45">
        <v>0.02</v>
      </c>
      <c r="K1546" s="46">
        <f>Sales[[#This Row],[Gross Amount]]*Sales[[#This Row],[Disc %]]</f>
        <v>3024</v>
      </c>
      <c r="L1546" s="43">
        <v>0.18</v>
      </c>
      <c r="M1546" s="46">
        <f>(Sales[[#This Row],[Gross Amount]]-Sales[[#This Row],[Disc. Amt.]])*Sales[[#This Row],[GST %]]</f>
        <v>26671.68</v>
      </c>
      <c r="N1546" s="161">
        <f>Sales[[#This Row],[Gross Amount]]-Sales[[#This Row],[Disc. Amt.]]+Sales[[#This Row],[GST Amount]]</f>
        <v>174847.68</v>
      </c>
      <c r="O1546" s="34" t="s">
        <v>3561</v>
      </c>
      <c r="P1546" s="34" t="s">
        <v>3562</v>
      </c>
      <c r="Q1546" s="165">
        <f>IF(Sales[[#This Row],[Status]]="Cancelled",0,Sales[[#This Row],[Qty]])</f>
        <v>8</v>
      </c>
      <c r="R1546" s="166">
        <f>IF(Sales[[#This Row],[Status]]="Cancelled",0,Sales[[#This Row],[Total Amount]])</f>
        <v>174847.68</v>
      </c>
      <c r="S1546" s="162">
        <f>SUM(Sales[Net Amount])</f>
        <v>406839287.73200053</v>
      </c>
    </row>
    <row r="1547" spans="1:19" ht="18.75" x14ac:dyDescent="0.25">
      <c r="A1547" s="156" t="s">
        <v>5152</v>
      </c>
      <c r="B1547" s="157">
        <v>45856</v>
      </c>
      <c r="C1547" s="158" t="s">
        <v>786</v>
      </c>
      <c r="D1547" s="159" t="str">
        <f>VLOOKUP(Sales[[#This Row],[Customer ID]],Customer[#All],2,0)</f>
        <v>Pooja Kumar</v>
      </c>
      <c r="E1547" s="158" t="s">
        <v>148</v>
      </c>
      <c r="F1547" s="158" t="str">
        <f>VLOOKUP(Sales[[#This Row],[Product ID]],Product[#All],2,0)</f>
        <v>Dell Monitor</v>
      </c>
      <c r="G1547" s="159">
        <v>7</v>
      </c>
      <c r="H1547" s="160">
        <f>VLOOKUP(Sales[[#This Row],[Product ID]],Product[#All],7,0)</f>
        <v>20170</v>
      </c>
      <c r="I1547" s="160">
        <f>Sales[[#This Row],[Selling Rate]]*Sales[[#This Row],[Qty]]</f>
        <v>141190</v>
      </c>
      <c r="J1547" s="43">
        <v>0.02</v>
      </c>
      <c r="K1547" s="44">
        <f>Sales[[#This Row],[Gross Amount]]*Sales[[#This Row],[Disc %]]</f>
        <v>2823.8</v>
      </c>
      <c r="L1547" s="43">
        <v>0.18</v>
      </c>
      <c r="M1547" s="44">
        <f>(Sales[[#This Row],[Gross Amount]]-Sales[[#This Row],[Disc. Amt.]])*Sales[[#This Row],[GST %]]</f>
        <v>24905.916000000001</v>
      </c>
      <c r="N1547" s="161">
        <f>Sales[[#This Row],[Gross Amount]]-Sales[[#This Row],[Disc. Amt.]]+Sales[[#This Row],[GST Amount]]</f>
        <v>163272.11600000001</v>
      </c>
      <c r="O1547" s="158" t="s">
        <v>3569</v>
      </c>
      <c r="P1547" s="158" t="s">
        <v>3562</v>
      </c>
      <c r="Q1547" s="160">
        <f>IF(Sales[[#This Row],[Status]]="Cancelled",0,Sales[[#This Row],[Qty]])</f>
        <v>7</v>
      </c>
      <c r="R1547" s="161">
        <f>IF(Sales[[#This Row],[Status]]="Cancelled",0,Sales[[#This Row],[Total Amount]])</f>
        <v>163272.11600000001</v>
      </c>
      <c r="S1547" s="162">
        <f>SUM(Sales[Net Amount])</f>
        <v>406839287.73200053</v>
      </c>
    </row>
    <row r="1548" spans="1:19" ht="18.75" x14ac:dyDescent="0.25">
      <c r="A1548" s="163" t="s">
        <v>5153</v>
      </c>
      <c r="B1548" s="164">
        <v>45856</v>
      </c>
      <c r="C1548" s="34" t="s">
        <v>932</v>
      </c>
      <c r="D1548" s="53" t="str">
        <f>VLOOKUP(Sales[[#This Row],[Customer ID]],Customer[#All],2,0)</f>
        <v>Vikas Gupta</v>
      </c>
      <c r="E1548" s="34" t="s">
        <v>400</v>
      </c>
      <c r="F1548" s="34" t="str">
        <f>VLOOKUP(Sales[[#This Row],[Product ID]],Product[#All],2,0)</f>
        <v>TP-link Bluetooth Adapter</v>
      </c>
      <c r="G1548" s="53">
        <v>1</v>
      </c>
      <c r="H1548" s="165">
        <f>VLOOKUP(Sales[[#This Row],[Product ID]],Product[#All],7,0)</f>
        <v>1320</v>
      </c>
      <c r="I1548" s="165">
        <f>Sales[[#This Row],[Selling Rate]]*Sales[[#This Row],[Qty]]</f>
        <v>1320</v>
      </c>
      <c r="J1548" s="45">
        <v>0.05</v>
      </c>
      <c r="K1548" s="46">
        <f>Sales[[#This Row],[Gross Amount]]*Sales[[#This Row],[Disc %]]</f>
        <v>66</v>
      </c>
      <c r="L1548" s="43">
        <v>0.18</v>
      </c>
      <c r="M1548" s="46">
        <f>(Sales[[#This Row],[Gross Amount]]-Sales[[#This Row],[Disc. Amt.]])*Sales[[#This Row],[GST %]]</f>
        <v>225.72</v>
      </c>
      <c r="N1548" s="161">
        <f>Sales[[#This Row],[Gross Amount]]-Sales[[#This Row],[Disc. Amt.]]+Sales[[#This Row],[GST Amount]]</f>
        <v>1479.72</v>
      </c>
      <c r="O1548" s="34" t="s">
        <v>8876</v>
      </c>
      <c r="P1548" s="34" t="s">
        <v>3562</v>
      </c>
      <c r="Q1548" s="165">
        <f>IF(Sales[[#This Row],[Status]]="Cancelled",0,Sales[[#This Row],[Qty]])</f>
        <v>1</v>
      </c>
      <c r="R1548" s="166">
        <f>IF(Sales[[#This Row],[Status]]="Cancelled",0,Sales[[#This Row],[Total Amount]])</f>
        <v>1479.72</v>
      </c>
      <c r="S1548" s="162">
        <f>SUM(Sales[Net Amount])</f>
        <v>406839287.73200053</v>
      </c>
    </row>
    <row r="1549" spans="1:19" ht="18.75" x14ac:dyDescent="0.25">
      <c r="A1549" s="156" t="s">
        <v>5154</v>
      </c>
      <c r="B1549" s="157">
        <v>45856</v>
      </c>
      <c r="C1549" s="158" t="s">
        <v>876</v>
      </c>
      <c r="D1549" s="159" t="str">
        <f>VLOOKUP(Sales[[#This Row],[Customer ID]],Customer[#All],2,0)</f>
        <v>Sahil Verma</v>
      </c>
      <c r="E1549" s="158" t="s">
        <v>499</v>
      </c>
      <c r="F1549" s="158" t="str">
        <f>VLOOKUP(Sales[[#This Row],[Product ID]],Product[#All],2,0)</f>
        <v>HP Laptop</v>
      </c>
      <c r="G1549" s="159">
        <v>5</v>
      </c>
      <c r="H1549" s="160">
        <f>VLOOKUP(Sales[[#This Row],[Product ID]],Product[#All],7,0)</f>
        <v>83390</v>
      </c>
      <c r="I1549" s="160">
        <f>Sales[[#This Row],[Selling Rate]]*Sales[[#This Row],[Qty]]</f>
        <v>416950</v>
      </c>
      <c r="J1549" s="43">
        <v>0.1</v>
      </c>
      <c r="K1549" s="44">
        <f>Sales[[#This Row],[Gross Amount]]*Sales[[#This Row],[Disc %]]</f>
        <v>41695</v>
      </c>
      <c r="L1549" s="43">
        <v>0.18</v>
      </c>
      <c r="M1549" s="44">
        <f>(Sales[[#This Row],[Gross Amount]]-Sales[[#This Row],[Disc. Amt.]])*Sales[[#This Row],[GST %]]</f>
        <v>67545.899999999994</v>
      </c>
      <c r="N1549" s="161">
        <f>Sales[[#This Row],[Gross Amount]]-Sales[[#This Row],[Disc. Amt.]]+Sales[[#This Row],[GST Amount]]</f>
        <v>442800.9</v>
      </c>
      <c r="O1549" s="158" t="s">
        <v>8876</v>
      </c>
      <c r="P1549" s="158" t="s">
        <v>3562</v>
      </c>
      <c r="Q1549" s="160">
        <f>IF(Sales[[#This Row],[Status]]="Cancelled",0,Sales[[#This Row],[Qty]])</f>
        <v>5</v>
      </c>
      <c r="R1549" s="161">
        <f>IF(Sales[[#This Row],[Status]]="Cancelled",0,Sales[[#This Row],[Total Amount]])</f>
        <v>442800.9</v>
      </c>
      <c r="S1549" s="162">
        <f>SUM(Sales[Net Amount])</f>
        <v>406839287.73200053</v>
      </c>
    </row>
    <row r="1550" spans="1:19" ht="18.75" x14ac:dyDescent="0.25">
      <c r="A1550" s="163" t="s">
        <v>5155</v>
      </c>
      <c r="B1550" s="164">
        <v>45856</v>
      </c>
      <c r="C1550" s="34" t="s">
        <v>728</v>
      </c>
      <c r="D1550" s="53" t="str">
        <f>VLOOKUP(Sales[[#This Row],[Customer ID]],Customer[#All],2,0)</f>
        <v>Rahul Gupta</v>
      </c>
      <c r="E1550" s="34" t="s">
        <v>178</v>
      </c>
      <c r="F1550" s="34" t="str">
        <f>VLOOKUP(Sales[[#This Row],[Product ID]],Product[#All],2,0)</f>
        <v>Kingston Ram</v>
      </c>
      <c r="G1550" s="53">
        <v>4</v>
      </c>
      <c r="H1550" s="165">
        <f>VLOOKUP(Sales[[#This Row],[Product ID]],Product[#All],7,0)</f>
        <v>9770</v>
      </c>
      <c r="I1550" s="165">
        <f>Sales[[#This Row],[Selling Rate]]*Sales[[#This Row],[Qty]]</f>
        <v>39080</v>
      </c>
      <c r="J1550" s="45">
        <v>0</v>
      </c>
      <c r="K1550" s="46">
        <f>Sales[[#This Row],[Gross Amount]]*Sales[[#This Row],[Disc %]]</f>
        <v>0</v>
      </c>
      <c r="L1550" s="43">
        <v>0.18</v>
      </c>
      <c r="M1550" s="46">
        <f>(Sales[[#This Row],[Gross Amount]]-Sales[[#This Row],[Disc. Amt.]])*Sales[[#This Row],[GST %]]</f>
        <v>7034.4</v>
      </c>
      <c r="N1550" s="161">
        <f>Sales[[#This Row],[Gross Amount]]-Sales[[#This Row],[Disc. Amt.]]+Sales[[#This Row],[GST Amount]]</f>
        <v>46114.400000000001</v>
      </c>
      <c r="O1550" s="34" t="s">
        <v>3561</v>
      </c>
      <c r="P1550" s="34" t="s">
        <v>3562</v>
      </c>
      <c r="Q1550" s="165">
        <f>IF(Sales[[#This Row],[Status]]="Cancelled",0,Sales[[#This Row],[Qty]])</f>
        <v>4</v>
      </c>
      <c r="R1550" s="166">
        <f>IF(Sales[[#This Row],[Status]]="Cancelled",0,Sales[[#This Row],[Total Amount]])</f>
        <v>46114.400000000001</v>
      </c>
      <c r="S1550" s="162">
        <f>SUM(Sales[Net Amount])</f>
        <v>406839287.73200053</v>
      </c>
    </row>
    <row r="1551" spans="1:19" ht="18.75" x14ac:dyDescent="0.25">
      <c r="A1551" s="156" t="s">
        <v>5156</v>
      </c>
      <c r="B1551" s="157">
        <v>45856</v>
      </c>
      <c r="C1551" s="158" t="s">
        <v>799</v>
      </c>
      <c r="D1551" s="159" t="str">
        <f>VLOOKUP(Sales[[#This Row],[Customer ID]],Customer[#All],2,0)</f>
        <v>Rakesh Gupta</v>
      </c>
      <c r="E1551" s="158" t="s">
        <v>440</v>
      </c>
      <c r="F1551" s="158" t="str">
        <f>VLOOKUP(Sales[[#This Row],[Product ID]],Product[#All],2,0)</f>
        <v>Dell Monitor</v>
      </c>
      <c r="G1551" s="159">
        <v>3</v>
      </c>
      <c r="H1551" s="160">
        <f>VLOOKUP(Sales[[#This Row],[Product ID]],Product[#All],7,0)</f>
        <v>22810</v>
      </c>
      <c r="I1551" s="160">
        <f>Sales[[#This Row],[Selling Rate]]*Sales[[#This Row],[Qty]]</f>
        <v>68430</v>
      </c>
      <c r="J1551" s="43">
        <v>0.05</v>
      </c>
      <c r="K1551" s="44">
        <f>Sales[[#This Row],[Gross Amount]]*Sales[[#This Row],[Disc %]]</f>
        <v>3421.5</v>
      </c>
      <c r="L1551" s="43">
        <v>0.18</v>
      </c>
      <c r="M1551" s="44">
        <f>(Sales[[#This Row],[Gross Amount]]-Sales[[#This Row],[Disc. Amt.]])*Sales[[#This Row],[GST %]]</f>
        <v>11701.529999999999</v>
      </c>
      <c r="N1551" s="161">
        <f>Sales[[#This Row],[Gross Amount]]-Sales[[#This Row],[Disc. Amt.]]+Sales[[#This Row],[GST Amount]]</f>
        <v>76710.03</v>
      </c>
      <c r="O1551" s="158" t="s">
        <v>3566</v>
      </c>
      <c r="P1551" s="158" t="s">
        <v>3562</v>
      </c>
      <c r="Q1551" s="160">
        <f>IF(Sales[[#This Row],[Status]]="Cancelled",0,Sales[[#This Row],[Qty]])</f>
        <v>3</v>
      </c>
      <c r="R1551" s="161">
        <f>IF(Sales[[#This Row],[Status]]="Cancelled",0,Sales[[#This Row],[Total Amount]])</f>
        <v>76710.03</v>
      </c>
      <c r="S1551" s="162">
        <f>SUM(Sales[Net Amount])</f>
        <v>406839287.73200053</v>
      </c>
    </row>
    <row r="1552" spans="1:19" ht="18.75" x14ac:dyDescent="0.25">
      <c r="A1552" s="163" t="s">
        <v>5157</v>
      </c>
      <c r="B1552" s="164">
        <v>45856</v>
      </c>
      <c r="C1552" s="34" t="s">
        <v>811</v>
      </c>
      <c r="D1552" s="53" t="str">
        <f>VLOOKUP(Sales[[#This Row],[Customer ID]],Customer[#All],2,0)</f>
        <v>Rahul Sharma</v>
      </c>
      <c r="E1552" s="34" t="s">
        <v>52</v>
      </c>
      <c r="F1552" s="34" t="str">
        <f>VLOOKUP(Sales[[#This Row],[Product ID]],Product[#All],2,0)</f>
        <v>HP Power Adapter</v>
      </c>
      <c r="G1552" s="53">
        <v>5</v>
      </c>
      <c r="H1552" s="165">
        <f>VLOOKUP(Sales[[#This Row],[Product ID]],Product[#All],7,0)</f>
        <v>4510</v>
      </c>
      <c r="I1552" s="165">
        <f>Sales[[#This Row],[Selling Rate]]*Sales[[#This Row],[Qty]]</f>
        <v>22550</v>
      </c>
      <c r="J1552" s="45">
        <v>0.15</v>
      </c>
      <c r="K1552" s="46">
        <f>Sales[[#This Row],[Gross Amount]]*Sales[[#This Row],[Disc %]]</f>
        <v>3382.5</v>
      </c>
      <c r="L1552" s="43">
        <v>0.18</v>
      </c>
      <c r="M1552" s="46">
        <f>(Sales[[#This Row],[Gross Amount]]-Sales[[#This Row],[Disc. Amt.]])*Sales[[#This Row],[GST %]]</f>
        <v>3450.15</v>
      </c>
      <c r="N1552" s="161">
        <f>Sales[[#This Row],[Gross Amount]]-Sales[[#This Row],[Disc. Amt.]]+Sales[[#This Row],[GST Amount]]</f>
        <v>22617.65</v>
      </c>
      <c r="O1552" s="34" t="s">
        <v>3566</v>
      </c>
      <c r="P1552" s="34" t="s">
        <v>3562</v>
      </c>
      <c r="Q1552" s="165">
        <f>IF(Sales[[#This Row],[Status]]="Cancelled",0,Sales[[#This Row],[Qty]])</f>
        <v>5</v>
      </c>
      <c r="R1552" s="166">
        <f>IF(Sales[[#This Row],[Status]]="Cancelled",0,Sales[[#This Row],[Total Amount]])</f>
        <v>22617.65</v>
      </c>
      <c r="S1552" s="162">
        <f>SUM(Sales[Net Amount])</f>
        <v>406839287.73200053</v>
      </c>
    </row>
    <row r="1553" spans="1:19" ht="18.75" x14ac:dyDescent="0.25">
      <c r="A1553" s="156" t="s">
        <v>5158</v>
      </c>
      <c r="B1553" s="157">
        <v>45856</v>
      </c>
      <c r="C1553" s="158" t="s">
        <v>760</v>
      </c>
      <c r="D1553" s="159" t="str">
        <f>VLOOKUP(Sales[[#This Row],[Customer ID]],Customer[#All],2,0)</f>
        <v>Pooja Singh</v>
      </c>
      <c r="E1553" s="158" t="s">
        <v>486</v>
      </c>
      <c r="F1553" s="158" t="str">
        <f>VLOOKUP(Sales[[#This Row],[Product ID]],Product[#All],2,0)</f>
        <v>Logitech Mouse</v>
      </c>
      <c r="G1553" s="159">
        <v>1</v>
      </c>
      <c r="H1553" s="160">
        <f>VLOOKUP(Sales[[#This Row],[Product ID]],Product[#All],7,0)</f>
        <v>1650</v>
      </c>
      <c r="I1553" s="160">
        <f>Sales[[#This Row],[Selling Rate]]*Sales[[#This Row],[Qty]]</f>
        <v>1650</v>
      </c>
      <c r="J1553" s="43">
        <v>0.1</v>
      </c>
      <c r="K1553" s="44">
        <f>Sales[[#This Row],[Gross Amount]]*Sales[[#This Row],[Disc %]]</f>
        <v>165</v>
      </c>
      <c r="L1553" s="43">
        <v>0.18</v>
      </c>
      <c r="M1553" s="44">
        <f>(Sales[[#This Row],[Gross Amount]]-Sales[[#This Row],[Disc. Amt.]])*Sales[[#This Row],[GST %]]</f>
        <v>267.3</v>
      </c>
      <c r="N1553" s="161">
        <f>Sales[[#This Row],[Gross Amount]]-Sales[[#This Row],[Disc. Amt.]]+Sales[[#This Row],[GST Amount]]</f>
        <v>1752.3</v>
      </c>
      <c r="O1553" s="158" t="s">
        <v>3566</v>
      </c>
      <c r="P1553" s="158" t="s">
        <v>3562</v>
      </c>
      <c r="Q1553" s="160">
        <f>IF(Sales[[#This Row],[Status]]="Cancelled",0,Sales[[#This Row],[Qty]])</f>
        <v>1</v>
      </c>
      <c r="R1553" s="161">
        <f>IF(Sales[[#This Row],[Status]]="Cancelled",0,Sales[[#This Row],[Total Amount]])</f>
        <v>1752.3</v>
      </c>
      <c r="S1553" s="162">
        <f>SUM(Sales[Net Amount])</f>
        <v>406839287.73200053</v>
      </c>
    </row>
    <row r="1554" spans="1:19" ht="18.75" x14ac:dyDescent="0.25">
      <c r="A1554" s="163" t="s">
        <v>5159</v>
      </c>
      <c r="B1554" s="164">
        <v>45856</v>
      </c>
      <c r="C1554" s="34" t="s">
        <v>722</v>
      </c>
      <c r="D1554" s="53" t="str">
        <f>VLOOKUP(Sales[[#This Row],[Customer ID]],Customer[#All],2,0)</f>
        <v>Vikas Patel</v>
      </c>
      <c r="E1554" s="34" t="s">
        <v>530</v>
      </c>
      <c r="F1554" s="34" t="str">
        <f>VLOOKUP(Sales[[#This Row],[Product ID]],Product[#All],2,0)</f>
        <v>Acer Laptop</v>
      </c>
      <c r="G1554" s="53">
        <v>1</v>
      </c>
      <c r="H1554" s="165">
        <f>VLOOKUP(Sales[[#This Row],[Product ID]],Product[#All],7,0)</f>
        <v>31390</v>
      </c>
      <c r="I1554" s="165">
        <f>Sales[[#This Row],[Selling Rate]]*Sales[[#This Row],[Qty]]</f>
        <v>31390</v>
      </c>
      <c r="J1554" s="45">
        <v>0.05</v>
      </c>
      <c r="K1554" s="46">
        <f>Sales[[#This Row],[Gross Amount]]*Sales[[#This Row],[Disc %]]</f>
        <v>1569.5</v>
      </c>
      <c r="L1554" s="43">
        <v>0.18</v>
      </c>
      <c r="M1554" s="46">
        <f>(Sales[[#This Row],[Gross Amount]]-Sales[[#This Row],[Disc. Amt.]])*Sales[[#This Row],[GST %]]</f>
        <v>5367.69</v>
      </c>
      <c r="N1554" s="161">
        <f>Sales[[#This Row],[Gross Amount]]-Sales[[#This Row],[Disc. Amt.]]+Sales[[#This Row],[GST Amount]]</f>
        <v>35188.19</v>
      </c>
      <c r="O1554" s="34" t="s">
        <v>3569</v>
      </c>
      <c r="P1554" s="34" t="s">
        <v>3562</v>
      </c>
      <c r="Q1554" s="165">
        <f>IF(Sales[[#This Row],[Status]]="Cancelled",0,Sales[[#This Row],[Qty]])</f>
        <v>1</v>
      </c>
      <c r="R1554" s="166">
        <f>IF(Sales[[#This Row],[Status]]="Cancelled",0,Sales[[#This Row],[Total Amount]])</f>
        <v>35188.19</v>
      </c>
      <c r="S1554" s="162">
        <f>SUM(Sales[Net Amount])</f>
        <v>406839287.73200053</v>
      </c>
    </row>
    <row r="1555" spans="1:19" ht="18.75" x14ac:dyDescent="0.25">
      <c r="A1555" s="156" t="s">
        <v>5160</v>
      </c>
      <c r="B1555" s="157">
        <v>45856</v>
      </c>
      <c r="C1555" s="158" t="s">
        <v>699</v>
      </c>
      <c r="D1555" s="159" t="str">
        <f>VLOOKUP(Sales[[#This Row],[Customer ID]],Customer[#All],2,0)</f>
        <v>Amit Singh</v>
      </c>
      <c r="E1555" s="158" t="s">
        <v>275</v>
      </c>
      <c r="F1555" s="158" t="str">
        <f>VLOOKUP(Sales[[#This Row],[Product ID]],Product[#All],2,0)</f>
        <v>Canon Printer</v>
      </c>
      <c r="G1555" s="159">
        <v>3</v>
      </c>
      <c r="H1555" s="160">
        <f>VLOOKUP(Sales[[#This Row],[Product ID]],Product[#All],7,0)</f>
        <v>36460</v>
      </c>
      <c r="I1555" s="160">
        <f>Sales[[#This Row],[Selling Rate]]*Sales[[#This Row],[Qty]]</f>
        <v>109380</v>
      </c>
      <c r="J1555" s="43">
        <v>0.1</v>
      </c>
      <c r="K1555" s="44">
        <f>Sales[[#This Row],[Gross Amount]]*Sales[[#This Row],[Disc %]]</f>
        <v>10938</v>
      </c>
      <c r="L1555" s="43">
        <v>0.18</v>
      </c>
      <c r="M1555" s="44">
        <f>(Sales[[#This Row],[Gross Amount]]-Sales[[#This Row],[Disc. Amt.]])*Sales[[#This Row],[GST %]]</f>
        <v>17719.559999999998</v>
      </c>
      <c r="N1555" s="161">
        <f>Sales[[#This Row],[Gross Amount]]-Sales[[#This Row],[Disc. Amt.]]+Sales[[#This Row],[GST Amount]]</f>
        <v>116161.56</v>
      </c>
      <c r="O1555" s="158" t="s">
        <v>3566</v>
      </c>
      <c r="P1555" s="158" t="s">
        <v>3562</v>
      </c>
      <c r="Q1555" s="160">
        <f>IF(Sales[[#This Row],[Status]]="Cancelled",0,Sales[[#This Row],[Qty]])</f>
        <v>3</v>
      </c>
      <c r="R1555" s="161">
        <f>IF(Sales[[#This Row],[Status]]="Cancelled",0,Sales[[#This Row],[Total Amount]])</f>
        <v>116161.56</v>
      </c>
      <c r="S1555" s="162">
        <f>SUM(Sales[Net Amount])</f>
        <v>406839287.73200053</v>
      </c>
    </row>
    <row r="1556" spans="1:19" ht="18.75" x14ac:dyDescent="0.25">
      <c r="A1556" s="163" t="s">
        <v>5161</v>
      </c>
      <c r="B1556" s="164">
        <v>45857</v>
      </c>
      <c r="C1556" s="34" t="s">
        <v>696</v>
      </c>
      <c r="D1556" s="53" t="str">
        <f>VLOOKUP(Sales[[#This Row],[Customer ID]],Customer[#All],2,0)</f>
        <v>Sunita Verma</v>
      </c>
      <c r="E1556" s="34" t="s">
        <v>115</v>
      </c>
      <c r="F1556" s="34" t="str">
        <f>VLOOKUP(Sales[[#This Row],[Product ID]],Product[#All],2,0)</f>
        <v>Dell Power Adapter</v>
      </c>
      <c r="G1556" s="53">
        <v>6</v>
      </c>
      <c r="H1556" s="165">
        <f>VLOOKUP(Sales[[#This Row],[Product ID]],Product[#All],7,0)</f>
        <v>1890</v>
      </c>
      <c r="I1556" s="165">
        <f>Sales[[#This Row],[Selling Rate]]*Sales[[#This Row],[Qty]]</f>
        <v>11340</v>
      </c>
      <c r="J1556" s="45">
        <v>0.1</v>
      </c>
      <c r="K1556" s="46">
        <f>Sales[[#This Row],[Gross Amount]]*Sales[[#This Row],[Disc %]]</f>
        <v>1134</v>
      </c>
      <c r="L1556" s="43">
        <v>0.18</v>
      </c>
      <c r="M1556" s="46">
        <f>(Sales[[#This Row],[Gross Amount]]-Sales[[#This Row],[Disc. Amt.]])*Sales[[#This Row],[GST %]]</f>
        <v>1837.08</v>
      </c>
      <c r="N1556" s="161">
        <f>Sales[[#This Row],[Gross Amount]]-Sales[[#This Row],[Disc. Amt.]]+Sales[[#This Row],[GST Amount]]</f>
        <v>12043.08</v>
      </c>
      <c r="O1556" s="34" t="s">
        <v>3566</v>
      </c>
      <c r="P1556" s="34" t="s">
        <v>3562</v>
      </c>
      <c r="Q1556" s="165">
        <f>IF(Sales[[#This Row],[Status]]="Cancelled",0,Sales[[#This Row],[Qty]])</f>
        <v>6</v>
      </c>
      <c r="R1556" s="166">
        <f>IF(Sales[[#This Row],[Status]]="Cancelled",0,Sales[[#This Row],[Total Amount]])</f>
        <v>12043.08</v>
      </c>
      <c r="S1556" s="162">
        <f>SUM(Sales[Net Amount])</f>
        <v>406839287.73200053</v>
      </c>
    </row>
    <row r="1557" spans="1:19" ht="18.75" x14ac:dyDescent="0.25">
      <c r="A1557" s="156" t="s">
        <v>5162</v>
      </c>
      <c r="B1557" s="157">
        <v>45857</v>
      </c>
      <c r="C1557" s="158" t="s">
        <v>952</v>
      </c>
      <c r="D1557" s="159" t="str">
        <f>VLOOKUP(Sales[[#This Row],[Customer ID]],Customer[#All],2,0)</f>
        <v>Pooja Singh</v>
      </c>
      <c r="E1557" s="158" t="s">
        <v>455</v>
      </c>
      <c r="F1557" s="158" t="str">
        <f>VLOOKUP(Sales[[#This Row],[Product ID]],Product[#All],2,0)</f>
        <v>WD HDD</v>
      </c>
      <c r="G1557" s="159">
        <v>8</v>
      </c>
      <c r="H1557" s="160">
        <f>VLOOKUP(Sales[[#This Row],[Product ID]],Product[#All],7,0)</f>
        <v>13980</v>
      </c>
      <c r="I1557" s="160">
        <f>Sales[[#This Row],[Selling Rate]]*Sales[[#This Row],[Qty]]</f>
        <v>111840</v>
      </c>
      <c r="J1557" s="43">
        <v>0.15</v>
      </c>
      <c r="K1557" s="44">
        <f>Sales[[#This Row],[Gross Amount]]*Sales[[#This Row],[Disc %]]</f>
        <v>16776</v>
      </c>
      <c r="L1557" s="43">
        <v>0.18</v>
      </c>
      <c r="M1557" s="44">
        <f>(Sales[[#This Row],[Gross Amount]]-Sales[[#This Row],[Disc. Amt.]])*Sales[[#This Row],[GST %]]</f>
        <v>17111.52</v>
      </c>
      <c r="N1557" s="161">
        <f>Sales[[#This Row],[Gross Amount]]-Sales[[#This Row],[Disc. Amt.]]+Sales[[#This Row],[GST Amount]]</f>
        <v>112175.52</v>
      </c>
      <c r="O1557" s="158" t="s">
        <v>3561</v>
      </c>
      <c r="P1557" s="158" t="s">
        <v>3562</v>
      </c>
      <c r="Q1557" s="160">
        <f>IF(Sales[[#This Row],[Status]]="Cancelled",0,Sales[[#This Row],[Qty]])</f>
        <v>8</v>
      </c>
      <c r="R1557" s="161">
        <f>IF(Sales[[#This Row],[Status]]="Cancelled",0,Sales[[#This Row],[Total Amount]])</f>
        <v>112175.52</v>
      </c>
      <c r="S1557" s="162">
        <f>SUM(Sales[Net Amount])</f>
        <v>406839287.73200053</v>
      </c>
    </row>
    <row r="1558" spans="1:19" ht="18.75" x14ac:dyDescent="0.25">
      <c r="A1558" s="163" t="s">
        <v>5163</v>
      </c>
      <c r="B1558" s="164">
        <v>45857</v>
      </c>
      <c r="C1558" s="34" t="s">
        <v>5164</v>
      </c>
      <c r="D1558" s="53" t="str">
        <f>VLOOKUP(Sales[[#This Row],[Customer ID]],Customer[#All],2,0)</f>
        <v>Rakesh Gupta</v>
      </c>
      <c r="E1558" s="34" t="s">
        <v>359</v>
      </c>
      <c r="F1558" s="34" t="str">
        <f>VLOOKUP(Sales[[#This Row],[Product ID]],Product[#All],2,0)</f>
        <v>Sandisk Pen Drive</v>
      </c>
      <c r="G1558" s="53">
        <v>2</v>
      </c>
      <c r="H1558" s="165">
        <f>VLOOKUP(Sales[[#This Row],[Product ID]],Product[#All],7,0)</f>
        <v>1140</v>
      </c>
      <c r="I1558" s="165">
        <f>Sales[[#This Row],[Selling Rate]]*Sales[[#This Row],[Qty]]</f>
        <v>2280</v>
      </c>
      <c r="J1558" s="45">
        <v>0.1</v>
      </c>
      <c r="K1558" s="46">
        <f>Sales[[#This Row],[Gross Amount]]*Sales[[#This Row],[Disc %]]</f>
        <v>228</v>
      </c>
      <c r="L1558" s="43">
        <v>0.18</v>
      </c>
      <c r="M1558" s="46">
        <f>(Sales[[#This Row],[Gross Amount]]-Sales[[#This Row],[Disc. Amt.]])*Sales[[#This Row],[GST %]]</f>
        <v>369.36</v>
      </c>
      <c r="N1558" s="161">
        <f>Sales[[#This Row],[Gross Amount]]-Sales[[#This Row],[Disc. Amt.]]+Sales[[#This Row],[GST Amount]]</f>
        <v>2421.36</v>
      </c>
      <c r="O1558" s="34" t="s">
        <v>3569</v>
      </c>
      <c r="P1558" s="34" t="s">
        <v>3562</v>
      </c>
      <c r="Q1558" s="165">
        <f>IF(Sales[[#This Row],[Status]]="Cancelled",0,Sales[[#This Row],[Qty]])</f>
        <v>2</v>
      </c>
      <c r="R1558" s="166">
        <f>IF(Sales[[#This Row],[Status]]="Cancelled",0,Sales[[#This Row],[Total Amount]])</f>
        <v>2421.36</v>
      </c>
      <c r="S1558" s="162">
        <f>SUM(Sales[Net Amount])</f>
        <v>406839287.73200053</v>
      </c>
    </row>
    <row r="1559" spans="1:19" ht="18.75" x14ac:dyDescent="0.25">
      <c r="A1559" s="156" t="s">
        <v>5165</v>
      </c>
      <c r="B1559" s="157">
        <v>45857</v>
      </c>
      <c r="C1559" s="158" t="s">
        <v>804</v>
      </c>
      <c r="D1559" s="159" t="str">
        <f>VLOOKUP(Sales[[#This Row],[Customer ID]],Customer[#All],2,0)</f>
        <v>Amit Gupta</v>
      </c>
      <c r="E1559" s="158" t="s">
        <v>488</v>
      </c>
      <c r="F1559" s="158" t="str">
        <f>VLOOKUP(Sales[[#This Row],[Product ID]],Product[#All],2,0)</f>
        <v>Samsung Monitor</v>
      </c>
      <c r="G1559" s="159">
        <v>6</v>
      </c>
      <c r="H1559" s="160">
        <f>VLOOKUP(Sales[[#This Row],[Product ID]],Product[#All],7,0)</f>
        <v>32720</v>
      </c>
      <c r="I1559" s="160">
        <f>Sales[[#This Row],[Selling Rate]]*Sales[[#This Row],[Qty]]</f>
        <v>196320</v>
      </c>
      <c r="J1559" s="43">
        <v>0.05</v>
      </c>
      <c r="K1559" s="44">
        <f>Sales[[#This Row],[Gross Amount]]*Sales[[#This Row],[Disc %]]</f>
        <v>9816</v>
      </c>
      <c r="L1559" s="43">
        <v>0.18</v>
      </c>
      <c r="M1559" s="44">
        <f>(Sales[[#This Row],[Gross Amount]]-Sales[[#This Row],[Disc. Amt.]])*Sales[[#This Row],[GST %]]</f>
        <v>33570.720000000001</v>
      </c>
      <c r="N1559" s="161">
        <f>Sales[[#This Row],[Gross Amount]]-Sales[[#This Row],[Disc. Amt.]]+Sales[[#This Row],[GST Amount]]</f>
        <v>220074.72</v>
      </c>
      <c r="O1559" s="158" t="s">
        <v>3569</v>
      </c>
      <c r="P1559" s="158" t="s">
        <v>3562</v>
      </c>
      <c r="Q1559" s="160">
        <f>IF(Sales[[#This Row],[Status]]="Cancelled",0,Sales[[#This Row],[Qty]])</f>
        <v>6</v>
      </c>
      <c r="R1559" s="161">
        <f>IF(Sales[[#This Row],[Status]]="Cancelled",0,Sales[[#This Row],[Total Amount]])</f>
        <v>220074.72</v>
      </c>
      <c r="S1559" s="162">
        <f>SUM(Sales[Net Amount])</f>
        <v>406839287.73200053</v>
      </c>
    </row>
    <row r="1560" spans="1:19" ht="18.75" x14ac:dyDescent="0.25">
      <c r="A1560" s="163" t="s">
        <v>5166</v>
      </c>
      <c r="B1560" s="164">
        <v>45857</v>
      </c>
      <c r="C1560" s="34" t="s">
        <v>835</v>
      </c>
      <c r="D1560" s="53" t="str">
        <f>VLOOKUP(Sales[[#This Row],[Customer ID]],Customer[#All],2,0)</f>
        <v>Ankit Kumar</v>
      </c>
      <c r="E1560" s="34" t="s">
        <v>502</v>
      </c>
      <c r="F1560" s="34" t="str">
        <f>VLOOKUP(Sales[[#This Row],[Product ID]],Product[#All],2,0)</f>
        <v>HP Printer</v>
      </c>
      <c r="G1560" s="53">
        <v>1</v>
      </c>
      <c r="H1560" s="165">
        <f>VLOOKUP(Sales[[#This Row],[Product ID]],Product[#All],7,0)</f>
        <v>32100</v>
      </c>
      <c r="I1560" s="165">
        <f>Sales[[#This Row],[Selling Rate]]*Sales[[#This Row],[Qty]]</f>
        <v>32100</v>
      </c>
      <c r="J1560" s="45">
        <v>0.1</v>
      </c>
      <c r="K1560" s="46">
        <f>Sales[[#This Row],[Gross Amount]]*Sales[[#This Row],[Disc %]]</f>
        <v>3210</v>
      </c>
      <c r="L1560" s="43">
        <v>0.18</v>
      </c>
      <c r="M1560" s="46">
        <f>(Sales[[#This Row],[Gross Amount]]-Sales[[#This Row],[Disc. Amt.]])*Sales[[#This Row],[GST %]]</f>
        <v>5200.2</v>
      </c>
      <c r="N1560" s="161">
        <f>Sales[[#This Row],[Gross Amount]]-Sales[[#This Row],[Disc. Amt.]]+Sales[[#This Row],[GST Amount]]</f>
        <v>34090.199999999997</v>
      </c>
      <c r="O1560" s="34" t="s">
        <v>8876</v>
      </c>
      <c r="P1560" s="34" t="s">
        <v>3562</v>
      </c>
      <c r="Q1560" s="165">
        <f>IF(Sales[[#This Row],[Status]]="Cancelled",0,Sales[[#This Row],[Qty]])</f>
        <v>1</v>
      </c>
      <c r="R1560" s="166">
        <f>IF(Sales[[#This Row],[Status]]="Cancelled",0,Sales[[#This Row],[Total Amount]])</f>
        <v>34090.199999999997</v>
      </c>
      <c r="S1560" s="162">
        <f>SUM(Sales[Net Amount])</f>
        <v>406839287.73200053</v>
      </c>
    </row>
    <row r="1561" spans="1:19" ht="18.75" x14ac:dyDescent="0.25">
      <c r="A1561" s="156" t="s">
        <v>5167</v>
      </c>
      <c r="B1561" s="157">
        <v>45857</v>
      </c>
      <c r="C1561" s="158" t="s">
        <v>830</v>
      </c>
      <c r="D1561" s="159" t="str">
        <f>VLOOKUP(Sales[[#This Row],[Customer ID]],Customer[#All],2,0)</f>
        <v>Rakesh Singh</v>
      </c>
      <c r="E1561" s="158" t="s">
        <v>102</v>
      </c>
      <c r="F1561" s="158" t="str">
        <f>VLOOKUP(Sales[[#This Row],[Product ID]],Product[#All],2,0)</f>
        <v>Canon Printer</v>
      </c>
      <c r="G1561" s="159">
        <v>1</v>
      </c>
      <c r="H1561" s="160">
        <f>VLOOKUP(Sales[[#This Row],[Product ID]],Product[#All],7,0)</f>
        <v>13010</v>
      </c>
      <c r="I1561" s="160">
        <f>Sales[[#This Row],[Selling Rate]]*Sales[[#This Row],[Qty]]</f>
        <v>13010</v>
      </c>
      <c r="J1561" s="43">
        <v>0.05</v>
      </c>
      <c r="K1561" s="44">
        <f>Sales[[#This Row],[Gross Amount]]*Sales[[#This Row],[Disc %]]</f>
        <v>650.5</v>
      </c>
      <c r="L1561" s="43">
        <v>0.18</v>
      </c>
      <c r="M1561" s="44">
        <f>(Sales[[#This Row],[Gross Amount]]-Sales[[#This Row],[Disc. Amt.]])*Sales[[#This Row],[GST %]]</f>
        <v>2224.71</v>
      </c>
      <c r="N1561" s="161">
        <f>Sales[[#This Row],[Gross Amount]]-Sales[[#This Row],[Disc. Amt.]]+Sales[[#This Row],[GST Amount]]</f>
        <v>14584.21</v>
      </c>
      <c r="O1561" s="158" t="s">
        <v>3569</v>
      </c>
      <c r="P1561" s="158" t="s">
        <v>3562</v>
      </c>
      <c r="Q1561" s="160">
        <f>IF(Sales[[#This Row],[Status]]="Cancelled",0,Sales[[#This Row],[Qty]])</f>
        <v>1</v>
      </c>
      <c r="R1561" s="161">
        <f>IF(Sales[[#This Row],[Status]]="Cancelled",0,Sales[[#This Row],[Total Amount]])</f>
        <v>14584.21</v>
      </c>
      <c r="S1561" s="162">
        <f>SUM(Sales[Net Amount])</f>
        <v>406839287.73200053</v>
      </c>
    </row>
    <row r="1562" spans="1:19" ht="18.75" x14ac:dyDescent="0.25">
      <c r="A1562" s="163" t="s">
        <v>5168</v>
      </c>
      <c r="B1562" s="164">
        <v>45857</v>
      </c>
      <c r="C1562" s="34" t="s">
        <v>676</v>
      </c>
      <c r="D1562" s="53" t="str">
        <f>VLOOKUP(Sales[[#This Row],[Customer ID]],Customer[#All],2,0)</f>
        <v>Neha Singh</v>
      </c>
      <c r="E1562" s="34" t="s">
        <v>453</v>
      </c>
      <c r="F1562" s="34" t="str">
        <f>VLOOKUP(Sales[[#This Row],[Product ID]],Product[#All],2,0)</f>
        <v>American TouristerLaptopBag</v>
      </c>
      <c r="G1562" s="53">
        <v>7</v>
      </c>
      <c r="H1562" s="165">
        <f>VLOOKUP(Sales[[#This Row],[Product ID]],Product[#All],7,0)</f>
        <v>3050</v>
      </c>
      <c r="I1562" s="165">
        <f>Sales[[#This Row],[Selling Rate]]*Sales[[#This Row],[Qty]]</f>
        <v>21350</v>
      </c>
      <c r="J1562" s="45">
        <v>0.1</v>
      </c>
      <c r="K1562" s="46">
        <f>Sales[[#This Row],[Gross Amount]]*Sales[[#This Row],[Disc %]]</f>
        <v>2135</v>
      </c>
      <c r="L1562" s="43">
        <v>0.18</v>
      </c>
      <c r="M1562" s="46">
        <f>(Sales[[#This Row],[Gross Amount]]-Sales[[#This Row],[Disc. Amt.]])*Sales[[#This Row],[GST %]]</f>
        <v>3458.7</v>
      </c>
      <c r="N1562" s="161">
        <f>Sales[[#This Row],[Gross Amount]]-Sales[[#This Row],[Disc. Amt.]]+Sales[[#This Row],[GST Amount]]</f>
        <v>22673.7</v>
      </c>
      <c r="O1562" s="34" t="s">
        <v>3569</v>
      </c>
      <c r="P1562" s="34" t="s">
        <v>3562</v>
      </c>
      <c r="Q1562" s="165">
        <f>IF(Sales[[#This Row],[Status]]="Cancelled",0,Sales[[#This Row],[Qty]])</f>
        <v>7</v>
      </c>
      <c r="R1562" s="166">
        <f>IF(Sales[[#This Row],[Status]]="Cancelled",0,Sales[[#This Row],[Total Amount]])</f>
        <v>22673.7</v>
      </c>
      <c r="S1562" s="162">
        <f>SUM(Sales[Net Amount])</f>
        <v>406839287.73200053</v>
      </c>
    </row>
    <row r="1563" spans="1:19" ht="18.75" x14ac:dyDescent="0.25">
      <c r="A1563" s="156" t="s">
        <v>5169</v>
      </c>
      <c r="B1563" s="157">
        <v>45857</v>
      </c>
      <c r="C1563" s="158" t="s">
        <v>723</v>
      </c>
      <c r="D1563" s="159" t="str">
        <f>VLOOKUP(Sales[[#This Row],[Customer ID]],Customer[#All],2,0)</f>
        <v>Sahil Gupta</v>
      </c>
      <c r="E1563" s="158" t="s">
        <v>389</v>
      </c>
      <c r="F1563" s="158" t="str">
        <f>VLOOKUP(Sales[[#This Row],[Product ID]],Product[#All],2,0)</f>
        <v>WD HDD</v>
      </c>
      <c r="G1563" s="159">
        <v>2</v>
      </c>
      <c r="H1563" s="160">
        <f>VLOOKUP(Sales[[#This Row],[Product ID]],Product[#All],7,0)</f>
        <v>10530</v>
      </c>
      <c r="I1563" s="160">
        <f>Sales[[#This Row],[Selling Rate]]*Sales[[#This Row],[Qty]]</f>
        <v>21060</v>
      </c>
      <c r="J1563" s="43">
        <v>0.12</v>
      </c>
      <c r="K1563" s="44">
        <f>Sales[[#This Row],[Gross Amount]]*Sales[[#This Row],[Disc %]]</f>
        <v>2527.1999999999998</v>
      </c>
      <c r="L1563" s="43">
        <v>0.18</v>
      </c>
      <c r="M1563" s="44">
        <f>(Sales[[#This Row],[Gross Amount]]-Sales[[#This Row],[Disc. Amt.]])*Sales[[#This Row],[GST %]]</f>
        <v>3335.9039999999995</v>
      </c>
      <c r="N1563" s="161">
        <f>Sales[[#This Row],[Gross Amount]]-Sales[[#This Row],[Disc. Amt.]]+Sales[[#This Row],[GST Amount]]</f>
        <v>21868.703999999998</v>
      </c>
      <c r="O1563" s="158" t="s">
        <v>3566</v>
      </c>
      <c r="P1563" s="158" t="s">
        <v>3562</v>
      </c>
      <c r="Q1563" s="160">
        <f>IF(Sales[[#This Row],[Status]]="Cancelled",0,Sales[[#This Row],[Qty]])</f>
        <v>2</v>
      </c>
      <c r="R1563" s="161">
        <f>IF(Sales[[#This Row],[Status]]="Cancelled",0,Sales[[#This Row],[Total Amount]])</f>
        <v>21868.703999999998</v>
      </c>
      <c r="S1563" s="162">
        <f>SUM(Sales[Net Amount])</f>
        <v>406839287.73200053</v>
      </c>
    </row>
    <row r="1564" spans="1:19" ht="18.75" x14ac:dyDescent="0.25">
      <c r="A1564" s="163" t="s">
        <v>5170</v>
      </c>
      <c r="B1564" s="164">
        <v>45857</v>
      </c>
      <c r="C1564" s="34" t="s">
        <v>678</v>
      </c>
      <c r="D1564" s="53" t="str">
        <f>VLOOKUP(Sales[[#This Row],[Customer ID]],Customer[#All],2,0)</f>
        <v>Ankit Gupta</v>
      </c>
      <c r="E1564" s="34" t="s">
        <v>371</v>
      </c>
      <c r="F1564" s="34" t="str">
        <f>VLOOKUP(Sales[[#This Row],[Product ID]],Product[#All],2,0)</f>
        <v>Portronics USB Cable</v>
      </c>
      <c r="G1564" s="53">
        <v>5</v>
      </c>
      <c r="H1564" s="165">
        <f>VLOOKUP(Sales[[#This Row],[Product ID]],Product[#All],7,0)</f>
        <v>440</v>
      </c>
      <c r="I1564" s="165">
        <f>Sales[[#This Row],[Selling Rate]]*Sales[[#This Row],[Qty]]</f>
        <v>2200</v>
      </c>
      <c r="J1564" s="45">
        <v>0.1</v>
      </c>
      <c r="K1564" s="46">
        <f>Sales[[#This Row],[Gross Amount]]*Sales[[#This Row],[Disc %]]</f>
        <v>220</v>
      </c>
      <c r="L1564" s="43">
        <v>0.18</v>
      </c>
      <c r="M1564" s="46">
        <f>(Sales[[#This Row],[Gross Amount]]-Sales[[#This Row],[Disc. Amt.]])*Sales[[#This Row],[GST %]]</f>
        <v>356.4</v>
      </c>
      <c r="N1564" s="161">
        <f>Sales[[#This Row],[Gross Amount]]-Sales[[#This Row],[Disc. Amt.]]+Sales[[#This Row],[GST Amount]]</f>
        <v>2336.4</v>
      </c>
      <c r="O1564" s="34" t="s">
        <v>3566</v>
      </c>
      <c r="P1564" s="34" t="s">
        <v>1040</v>
      </c>
      <c r="Q1564" s="165">
        <f>IF(Sales[[#This Row],[Status]]="Cancelled",0,Sales[[#This Row],[Qty]])</f>
        <v>0</v>
      </c>
      <c r="R1564" s="166">
        <f>IF(Sales[[#This Row],[Status]]="Cancelled",0,Sales[[#This Row],[Total Amount]])</f>
        <v>0</v>
      </c>
      <c r="S1564" s="162">
        <f>SUM(Sales[Net Amount])</f>
        <v>406839287.73200053</v>
      </c>
    </row>
    <row r="1565" spans="1:19" ht="18.75" x14ac:dyDescent="0.25">
      <c r="A1565" s="156" t="s">
        <v>5171</v>
      </c>
      <c r="B1565" s="157">
        <v>45857</v>
      </c>
      <c r="C1565" s="158" t="s">
        <v>845</v>
      </c>
      <c r="D1565" s="159" t="str">
        <f>VLOOKUP(Sales[[#This Row],[Customer ID]],Customer[#All],2,0)</f>
        <v>Rahul Patel</v>
      </c>
      <c r="E1565" s="158" t="s">
        <v>79</v>
      </c>
      <c r="F1565" s="158" t="str">
        <f>VLOOKUP(Sales[[#This Row],[Product ID]],Product[#All],2,0)</f>
        <v>Samsung Monitor</v>
      </c>
      <c r="G1565" s="159">
        <v>6</v>
      </c>
      <c r="H1565" s="160">
        <f>VLOOKUP(Sales[[#This Row],[Product ID]],Product[#All],7,0)</f>
        <v>32480</v>
      </c>
      <c r="I1565" s="160">
        <f>Sales[[#This Row],[Selling Rate]]*Sales[[#This Row],[Qty]]</f>
        <v>194880</v>
      </c>
      <c r="J1565" s="43">
        <v>0.15</v>
      </c>
      <c r="K1565" s="44">
        <f>Sales[[#This Row],[Gross Amount]]*Sales[[#This Row],[Disc %]]</f>
        <v>29232</v>
      </c>
      <c r="L1565" s="43">
        <v>0.18</v>
      </c>
      <c r="M1565" s="44">
        <f>(Sales[[#This Row],[Gross Amount]]-Sales[[#This Row],[Disc. Amt.]])*Sales[[#This Row],[GST %]]</f>
        <v>29816.639999999999</v>
      </c>
      <c r="N1565" s="161">
        <f>Sales[[#This Row],[Gross Amount]]-Sales[[#This Row],[Disc. Amt.]]+Sales[[#This Row],[GST Amount]]</f>
        <v>195464.64</v>
      </c>
      <c r="O1565" s="158" t="s">
        <v>8876</v>
      </c>
      <c r="P1565" s="158" t="s">
        <v>3562</v>
      </c>
      <c r="Q1565" s="160">
        <f>IF(Sales[[#This Row],[Status]]="Cancelled",0,Sales[[#This Row],[Qty]])</f>
        <v>6</v>
      </c>
      <c r="R1565" s="161">
        <f>IF(Sales[[#This Row],[Status]]="Cancelled",0,Sales[[#This Row],[Total Amount]])</f>
        <v>195464.64</v>
      </c>
      <c r="S1565" s="162">
        <f>SUM(Sales[Net Amount])</f>
        <v>406839287.73200053</v>
      </c>
    </row>
    <row r="1566" spans="1:19" ht="18.75" x14ac:dyDescent="0.25">
      <c r="A1566" s="163" t="s">
        <v>5172</v>
      </c>
      <c r="B1566" s="164">
        <v>45857</v>
      </c>
      <c r="C1566" s="34" t="s">
        <v>815</v>
      </c>
      <c r="D1566" s="53" t="str">
        <f>VLOOKUP(Sales[[#This Row],[Customer ID]],Customer[#All],2,0)</f>
        <v>Priya Gupta</v>
      </c>
      <c r="E1566" s="34" t="s">
        <v>450</v>
      </c>
      <c r="F1566" s="34" t="str">
        <f>VLOOKUP(Sales[[#This Row],[Product ID]],Product[#All],2,0)</f>
        <v>TP-link Bluetooth Adapter</v>
      </c>
      <c r="G1566" s="53">
        <v>1</v>
      </c>
      <c r="H1566" s="165">
        <f>VLOOKUP(Sales[[#This Row],[Product ID]],Product[#All],7,0)</f>
        <v>1270</v>
      </c>
      <c r="I1566" s="165">
        <f>Sales[[#This Row],[Selling Rate]]*Sales[[#This Row],[Qty]]</f>
        <v>1270</v>
      </c>
      <c r="J1566" s="45">
        <v>0</v>
      </c>
      <c r="K1566" s="46">
        <f>Sales[[#This Row],[Gross Amount]]*Sales[[#This Row],[Disc %]]</f>
        <v>0</v>
      </c>
      <c r="L1566" s="43">
        <v>0.18</v>
      </c>
      <c r="M1566" s="46">
        <f>(Sales[[#This Row],[Gross Amount]]-Sales[[#This Row],[Disc. Amt.]])*Sales[[#This Row],[GST %]]</f>
        <v>228.6</v>
      </c>
      <c r="N1566" s="161">
        <f>Sales[[#This Row],[Gross Amount]]-Sales[[#This Row],[Disc. Amt.]]+Sales[[#This Row],[GST Amount]]</f>
        <v>1498.6</v>
      </c>
      <c r="O1566" s="34" t="s">
        <v>3569</v>
      </c>
      <c r="P1566" s="34" t="s">
        <v>3562</v>
      </c>
      <c r="Q1566" s="165">
        <f>IF(Sales[[#This Row],[Status]]="Cancelled",0,Sales[[#This Row],[Qty]])</f>
        <v>1</v>
      </c>
      <c r="R1566" s="166">
        <f>IF(Sales[[#This Row],[Status]]="Cancelled",0,Sales[[#This Row],[Total Amount]])</f>
        <v>1498.6</v>
      </c>
      <c r="S1566" s="162">
        <f>SUM(Sales[Net Amount])</f>
        <v>406839287.73200053</v>
      </c>
    </row>
    <row r="1567" spans="1:19" ht="18.75" x14ac:dyDescent="0.25">
      <c r="A1567" s="156" t="s">
        <v>5173</v>
      </c>
      <c r="B1567" s="157">
        <v>45857</v>
      </c>
      <c r="C1567" s="158" t="s">
        <v>734</v>
      </c>
      <c r="D1567" s="159" t="str">
        <f>VLOOKUP(Sales[[#This Row],[Customer ID]],Customer[#All],2,0)</f>
        <v>Ankit Sharma</v>
      </c>
      <c r="E1567" s="158" t="s">
        <v>215</v>
      </c>
      <c r="F1567" s="158" t="str">
        <f>VLOOKUP(Sales[[#This Row],[Product ID]],Product[#All],2,0)</f>
        <v>Apc UPS</v>
      </c>
      <c r="G1567" s="159">
        <v>3</v>
      </c>
      <c r="H1567" s="160">
        <f>VLOOKUP(Sales[[#This Row],[Product ID]],Product[#All],7,0)</f>
        <v>10210</v>
      </c>
      <c r="I1567" s="160">
        <f>Sales[[#This Row],[Selling Rate]]*Sales[[#This Row],[Qty]]</f>
        <v>30630</v>
      </c>
      <c r="J1567" s="43">
        <v>0.12</v>
      </c>
      <c r="K1567" s="44">
        <f>Sales[[#This Row],[Gross Amount]]*Sales[[#This Row],[Disc %]]</f>
        <v>3675.6</v>
      </c>
      <c r="L1567" s="43">
        <v>0.18</v>
      </c>
      <c r="M1567" s="44">
        <f>(Sales[[#This Row],[Gross Amount]]-Sales[[#This Row],[Disc. Amt.]])*Sales[[#This Row],[GST %]]</f>
        <v>4851.7920000000004</v>
      </c>
      <c r="N1567" s="161">
        <f>Sales[[#This Row],[Gross Amount]]-Sales[[#This Row],[Disc. Amt.]]+Sales[[#This Row],[GST Amount]]</f>
        <v>31806.192000000003</v>
      </c>
      <c r="O1567" s="158" t="s">
        <v>8876</v>
      </c>
      <c r="P1567" s="158" t="s">
        <v>3562</v>
      </c>
      <c r="Q1567" s="160">
        <f>IF(Sales[[#This Row],[Status]]="Cancelled",0,Sales[[#This Row],[Qty]])</f>
        <v>3</v>
      </c>
      <c r="R1567" s="161">
        <f>IF(Sales[[#This Row],[Status]]="Cancelled",0,Sales[[#This Row],[Total Amount]])</f>
        <v>31806.192000000003</v>
      </c>
      <c r="S1567" s="162">
        <f>SUM(Sales[Net Amount])</f>
        <v>406839287.73200053</v>
      </c>
    </row>
    <row r="1568" spans="1:19" ht="18.75" x14ac:dyDescent="0.25">
      <c r="A1568" s="163" t="s">
        <v>5174</v>
      </c>
      <c r="B1568" s="164">
        <v>45857</v>
      </c>
      <c r="C1568" s="34" t="s">
        <v>947</v>
      </c>
      <c r="D1568" s="53" t="str">
        <f>VLOOKUP(Sales[[#This Row],[Customer ID]],Customer[#All],2,0)</f>
        <v>Sunita Singh</v>
      </c>
      <c r="E1568" s="34" t="s">
        <v>116</v>
      </c>
      <c r="F1568" s="34" t="str">
        <f>VLOOKUP(Sales[[#This Row],[Product ID]],Product[#All],2,0)</f>
        <v>Epson Printer</v>
      </c>
      <c r="G1568" s="53">
        <v>4</v>
      </c>
      <c r="H1568" s="165">
        <f>VLOOKUP(Sales[[#This Row],[Product ID]],Product[#All],7,0)</f>
        <v>38550</v>
      </c>
      <c r="I1568" s="165">
        <f>Sales[[#This Row],[Selling Rate]]*Sales[[#This Row],[Qty]]</f>
        <v>154200</v>
      </c>
      <c r="J1568" s="45">
        <v>0.02</v>
      </c>
      <c r="K1568" s="46">
        <f>Sales[[#This Row],[Gross Amount]]*Sales[[#This Row],[Disc %]]</f>
        <v>3084</v>
      </c>
      <c r="L1568" s="43">
        <v>0.18</v>
      </c>
      <c r="M1568" s="46">
        <f>(Sales[[#This Row],[Gross Amount]]-Sales[[#This Row],[Disc. Amt.]])*Sales[[#This Row],[GST %]]</f>
        <v>27200.879999999997</v>
      </c>
      <c r="N1568" s="161">
        <f>Sales[[#This Row],[Gross Amount]]-Sales[[#This Row],[Disc. Amt.]]+Sales[[#This Row],[GST Amount]]</f>
        <v>178316.88</v>
      </c>
      <c r="O1568" s="34" t="s">
        <v>3566</v>
      </c>
      <c r="P1568" s="34" t="s">
        <v>1040</v>
      </c>
      <c r="Q1568" s="165">
        <f>IF(Sales[[#This Row],[Status]]="Cancelled",0,Sales[[#This Row],[Qty]])</f>
        <v>0</v>
      </c>
      <c r="R1568" s="166">
        <f>IF(Sales[[#This Row],[Status]]="Cancelled",0,Sales[[#This Row],[Total Amount]])</f>
        <v>0</v>
      </c>
      <c r="S1568" s="162">
        <f>SUM(Sales[Net Amount])</f>
        <v>406839287.73200053</v>
      </c>
    </row>
    <row r="1569" spans="1:19" ht="18.75" x14ac:dyDescent="0.25">
      <c r="A1569" s="156" t="s">
        <v>5175</v>
      </c>
      <c r="B1569" s="157">
        <v>45857</v>
      </c>
      <c r="C1569" s="158" t="s">
        <v>677</v>
      </c>
      <c r="D1569" s="159" t="str">
        <f>VLOOKUP(Sales[[#This Row],[Customer ID]],Customer[#All],2,0)</f>
        <v>Sahil Verma</v>
      </c>
      <c r="E1569" s="158" t="s">
        <v>511</v>
      </c>
      <c r="F1569" s="158" t="str">
        <f>VLOOKUP(Sales[[#This Row],[Product ID]],Product[#All],2,0)</f>
        <v>Amazon Basics Hdmi Cable</v>
      </c>
      <c r="G1569" s="159">
        <v>4</v>
      </c>
      <c r="H1569" s="160">
        <f>VLOOKUP(Sales[[#This Row],[Product ID]],Product[#All],7,0)</f>
        <v>1240</v>
      </c>
      <c r="I1569" s="160">
        <f>Sales[[#This Row],[Selling Rate]]*Sales[[#This Row],[Qty]]</f>
        <v>4960</v>
      </c>
      <c r="J1569" s="43">
        <v>0.12</v>
      </c>
      <c r="K1569" s="44">
        <f>Sales[[#This Row],[Gross Amount]]*Sales[[#This Row],[Disc %]]</f>
        <v>595.19999999999993</v>
      </c>
      <c r="L1569" s="43">
        <v>0.18</v>
      </c>
      <c r="M1569" s="44">
        <f>(Sales[[#This Row],[Gross Amount]]-Sales[[#This Row],[Disc. Amt.]])*Sales[[#This Row],[GST %]]</f>
        <v>785.66399999999999</v>
      </c>
      <c r="N1569" s="161">
        <f>Sales[[#This Row],[Gross Amount]]-Sales[[#This Row],[Disc. Amt.]]+Sales[[#This Row],[GST Amount]]</f>
        <v>5150.4639999999999</v>
      </c>
      <c r="O1569" s="158" t="s">
        <v>8876</v>
      </c>
      <c r="P1569" s="158" t="s">
        <v>3562</v>
      </c>
      <c r="Q1569" s="160">
        <f>IF(Sales[[#This Row],[Status]]="Cancelled",0,Sales[[#This Row],[Qty]])</f>
        <v>4</v>
      </c>
      <c r="R1569" s="161">
        <f>IF(Sales[[#This Row],[Status]]="Cancelled",0,Sales[[#This Row],[Total Amount]])</f>
        <v>5150.4639999999999</v>
      </c>
      <c r="S1569" s="162">
        <f>SUM(Sales[Net Amount])</f>
        <v>406839287.73200053</v>
      </c>
    </row>
    <row r="1570" spans="1:19" ht="18.75" x14ac:dyDescent="0.25">
      <c r="A1570" s="163" t="s">
        <v>5176</v>
      </c>
      <c r="B1570" s="164">
        <v>45857</v>
      </c>
      <c r="C1570" s="34" t="s">
        <v>750</v>
      </c>
      <c r="D1570" s="53" t="str">
        <f>VLOOKUP(Sales[[#This Row],[Customer ID]],Customer[#All],2,0)</f>
        <v>Rakesh Verma</v>
      </c>
      <c r="E1570" s="34" t="s">
        <v>471</v>
      </c>
      <c r="F1570" s="34" t="str">
        <f>VLOOKUP(Sales[[#This Row],[Product ID]],Product[#All],2,0)</f>
        <v>Samsung Monitor</v>
      </c>
      <c r="G1570" s="53">
        <v>5</v>
      </c>
      <c r="H1570" s="165">
        <f>VLOOKUP(Sales[[#This Row],[Product ID]],Product[#All],7,0)</f>
        <v>10840</v>
      </c>
      <c r="I1570" s="165">
        <f>Sales[[#This Row],[Selling Rate]]*Sales[[#This Row],[Qty]]</f>
        <v>54200</v>
      </c>
      <c r="J1570" s="45">
        <v>0.05</v>
      </c>
      <c r="K1570" s="46">
        <f>Sales[[#This Row],[Gross Amount]]*Sales[[#This Row],[Disc %]]</f>
        <v>2710</v>
      </c>
      <c r="L1570" s="43">
        <v>0.18</v>
      </c>
      <c r="M1570" s="46">
        <f>(Sales[[#This Row],[Gross Amount]]-Sales[[#This Row],[Disc. Amt.]])*Sales[[#This Row],[GST %]]</f>
        <v>9268.1999999999989</v>
      </c>
      <c r="N1570" s="161">
        <f>Sales[[#This Row],[Gross Amount]]-Sales[[#This Row],[Disc. Amt.]]+Sales[[#This Row],[GST Amount]]</f>
        <v>60758.2</v>
      </c>
      <c r="O1570" s="34" t="s">
        <v>3561</v>
      </c>
      <c r="P1570" s="34" t="s">
        <v>3562</v>
      </c>
      <c r="Q1570" s="165">
        <f>IF(Sales[[#This Row],[Status]]="Cancelled",0,Sales[[#This Row],[Qty]])</f>
        <v>5</v>
      </c>
      <c r="R1570" s="166">
        <f>IF(Sales[[#This Row],[Status]]="Cancelled",0,Sales[[#This Row],[Total Amount]])</f>
        <v>60758.2</v>
      </c>
      <c r="S1570" s="162">
        <f>SUM(Sales[Net Amount])</f>
        <v>406839287.73200053</v>
      </c>
    </row>
    <row r="1571" spans="1:19" ht="18.75" x14ac:dyDescent="0.25">
      <c r="A1571" s="156" t="s">
        <v>5177</v>
      </c>
      <c r="B1571" s="157">
        <v>45857</v>
      </c>
      <c r="C1571" s="158" t="s">
        <v>742</v>
      </c>
      <c r="D1571" s="159" t="str">
        <f>VLOOKUP(Sales[[#This Row],[Customer ID]],Customer[#All],2,0)</f>
        <v>Rahul Patel</v>
      </c>
      <c r="E1571" s="158" t="s">
        <v>77</v>
      </c>
      <c r="F1571" s="158" t="str">
        <f>VLOOKUP(Sales[[#This Row],[Product ID]],Product[#All],2,0)</f>
        <v>HP Power Adapter</v>
      </c>
      <c r="G1571" s="159">
        <v>7</v>
      </c>
      <c r="H1571" s="160">
        <f>VLOOKUP(Sales[[#This Row],[Product ID]],Product[#All],7,0)</f>
        <v>2770</v>
      </c>
      <c r="I1571" s="160">
        <f>Sales[[#This Row],[Selling Rate]]*Sales[[#This Row],[Qty]]</f>
        <v>19390</v>
      </c>
      <c r="J1571" s="43">
        <v>0.12</v>
      </c>
      <c r="K1571" s="44">
        <f>Sales[[#This Row],[Gross Amount]]*Sales[[#This Row],[Disc %]]</f>
        <v>2326.7999999999997</v>
      </c>
      <c r="L1571" s="43">
        <v>0.18</v>
      </c>
      <c r="M1571" s="44">
        <f>(Sales[[#This Row],[Gross Amount]]-Sales[[#This Row],[Disc. Amt.]])*Sales[[#This Row],[GST %]]</f>
        <v>3071.3760000000002</v>
      </c>
      <c r="N1571" s="161">
        <f>Sales[[#This Row],[Gross Amount]]-Sales[[#This Row],[Disc. Amt.]]+Sales[[#This Row],[GST Amount]]</f>
        <v>20134.576000000001</v>
      </c>
      <c r="O1571" s="158" t="s">
        <v>8876</v>
      </c>
      <c r="P1571" s="158" t="s">
        <v>3562</v>
      </c>
      <c r="Q1571" s="160">
        <f>IF(Sales[[#This Row],[Status]]="Cancelled",0,Sales[[#This Row],[Qty]])</f>
        <v>7</v>
      </c>
      <c r="R1571" s="161">
        <f>IF(Sales[[#This Row],[Status]]="Cancelled",0,Sales[[#This Row],[Total Amount]])</f>
        <v>20134.576000000001</v>
      </c>
      <c r="S1571" s="162">
        <f>SUM(Sales[Net Amount])</f>
        <v>406839287.73200053</v>
      </c>
    </row>
    <row r="1572" spans="1:19" ht="18.75" x14ac:dyDescent="0.25">
      <c r="A1572" s="163" t="s">
        <v>5178</v>
      </c>
      <c r="B1572" s="164">
        <v>45857</v>
      </c>
      <c r="C1572" s="34" t="s">
        <v>807</v>
      </c>
      <c r="D1572" s="53" t="str">
        <f>VLOOKUP(Sales[[#This Row],[Customer ID]],Customer[#All],2,0)</f>
        <v>Rakesh Patel</v>
      </c>
      <c r="E1572" s="34" t="s">
        <v>87</v>
      </c>
      <c r="F1572" s="34" t="str">
        <f>VLOOKUP(Sales[[#This Row],[Product ID]],Product[#All],2,0)</f>
        <v>Boat Headset</v>
      </c>
      <c r="G1572" s="53">
        <v>6</v>
      </c>
      <c r="H1572" s="165">
        <f>VLOOKUP(Sales[[#This Row],[Product ID]],Product[#All],7,0)</f>
        <v>1040</v>
      </c>
      <c r="I1572" s="165">
        <f>Sales[[#This Row],[Selling Rate]]*Sales[[#This Row],[Qty]]</f>
        <v>6240</v>
      </c>
      <c r="J1572" s="45">
        <v>0.02</v>
      </c>
      <c r="K1572" s="46">
        <f>Sales[[#This Row],[Gross Amount]]*Sales[[#This Row],[Disc %]]</f>
        <v>124.8</v>
      </c>
      <c r="L1572" s="43">
        <v>0.18</v>
      </c>
      <c r="M1572" s="46">
        <f>(Sales[[#This Row],[Gross Amount]]-Sales[[#This Row],[Disc. Amt.]])*Sales[[#This Row],[GST %]]</f>
        <v>1100.7359999999999</v>
      </c>
      <c r="N1572" s="161">
        <f>Sales[[#This Row],[Gross Amount]]-Sales[[#This Row],[Disc. Amt.]]+Sales[[#This Row],[GST Amount]]</f>
        <v>7215.9359999999997</v>
      </c>
      <c r="O1572" s="34" t="s">
        <v>8876</v>
      </c>
      <c r="P1572" s="34" t="s">
        <v>3562</v>
      </c>
      <c r="Q1572" s="165">
        <f>IF(Sales[[#This Row],[Status]]="Cancelled",0,Sales[[#This Row],[Qty]])</f>
        <v>6</v>
      </c>
      <c r="R1572" s="166">
        <f>IF(Sales[[#This Row],[Status]]="Cancelled",0,Sales[[#This Row],[Total Amount]])</f>
        <v>7215.9359999999997</v>
      </c>
      <c r="S1572" s="162">
        <f>SUM(Sales[Net Amount])</f>
        <v>406839287.73200053</v>
      </c>
    </row>
    <row r="1573" spans="1:19" ht="18.75" x14ac:dyDescent="0.25">
      <c r="A1573" s="156" t="s">
        <v>5179</v>
      </c>
      <c r="B1573" s="157">
        <v>45857</v>
      </c>
      <c r="C1573" s="158" t="s">
        <v>821</v>
      </c>
      <c r="D1573" s="159" t="str">
        <f>VLOOKUP(Sales[[#This Row],[Customer ID]],Customer[#All],2,0)</f>
        <v>Rakesh Sharma</v>
      </c>
      <c r="E1573" s="158" t="s">
        <v>310</v>
      </c>
      <c r="F1573" s="158" t="str">
        <f>VLOOKUP(Sales[[#This Row],[Product ID]],Product[#All],2,0)</f>
        <v>TP-link Wi-Fi Adapter</v>
      </c>
      <c r="G1573" s="159">
        <v>8</v>
      </c>
      <c r="H1573" s="160">
        <f>VLOOKUP(Sales[[#This Row],[Product ID]],Product[#All],7,0)</f>
        <v>700</v>
      </c>
      <c r="I1573" s="160">
        <f>Sales[[#This Row],[Selling Rate]]*Sales[[#This Row],[Qty]]</f>
        <v>5600</v>
      </c>
      <c r="J1573" s="43">
        <v>0.15</v>
      </c>
      <c r="K1573" s="44">
        <f>Sales[[#This Row],[Gross Amount]]*Sales[[#This Row],[Disc %]]</f>
        <v>840</v>
      </c>
      <c r="L1573" s="43">
        <v>0.18</v>
      </c>
      <c r="M1573" s="44">
        <f>(Sales[[#This Row],[Gross Amount]]-Sales[[#This Row],[Disc. Amt.]])*Sales[[#This Row],[GST %]]</f>
        <v>856.8</v>
      </c>
      <c r="N1573" s="161">
        <f>Sales[[#This Row],[Gross Amount]]-Sales[[#This Row],[Disc. Amt.]]+Sales[[#This Row],[GST Amount]]</f>
        <v>5616.8</v>
      </c>
      <c r="O1573" s="158" t="s">
        <v>8876</v>
      </c>
      <c r="P1573" s="158" t="s">
        <v>3562</v>
      </c>
      <c r="Q1573" s="160">
        <f>IF(Sales[[#This Row],[Status]]="Cancelled",0,Sales[[#This Row],[Qty]])</f>
        <v>8</v>
      </c>
      <c r="R1573" s="161">
        <f>IF(Sales[[#This Row],[Status]]="Cancelled",0,Sales[[#This Row],[Total Amount]])</f>
        <v>5616.8</v>
      </c>
      <c r="S1573" s="162">
        <f>SUM(Sales[Net Amount])</f>
        <v>406839287.73200053</v>
      </c>
    </row>
    <row r="1574" spans="1:19" ht="18.75" x14ac:dyDescent="0.25">
      <c r="A1574" s="163" t="s">
        <v>5180</v>
      </c>
      <c r="B1574" s="164">
        <v>45857</v>
      </c>
      <c r="C1574" s="34" t="s">
        <v>712</v>
      </c>
      <c r="D1574" s="53" t="str">
        <f>VLOOKUP(Sales[[#This Row],[Customer ID]],Customer[#All],2,0)</f>
        <v>Sahil Verma</v>
      </c>
      <c r="E1574" s="34" t="s">
        <v>477</v>
      </c>
      <c r="F1574" s="34" t="str">
        <f>VLOOKUP(Sales[[#This Row],[Product ID]],Product[#All],2,0)</f>
        <v>Epson Printer</v>
      </c>
      <c r="G1574" s="53">
        <v>1</v>
      </c>
      <c r="H1574" s="165">
        <f>VLOOKUP(Sales[[#This Row],[Product ID]],Product[#All],7,0)</f>
        <v>17550</v>
      </c>
      <c r="I1574" s="165">
        <f>Sales[[#This Row],[Selling Rate]]*Sales[[#This Row],[Qty]]</f>
        <v>17550</v>
      </c>
      <c r="J1574" s="45">
        <v>0.05</v>
      </c>
      <c r="K1574" s="46">
        <f>Sales[[#This Row],[Gross Amount]]*Sales[[#This Row],[Disc %]]</f>
        <v>877.5</v>
      </c>
      <c r="L1574" s="43">
        <v>0.18</v>
      </c>
      <c r="M1574" s="46">
        <f>(Sales[[#This Row],[Gross Amount]]-Sales[[#This Row],[Disc. Amt.]])*Sales[[#This Row],[GST %]]</f>
        <v>3001.0499999999997</v>
      </c>
      <c r="N1574" s="161">
        <f>Sales[[#This Row],[Gross Amount]]-Sales[[#This Row],[Disc. Amt.]]+Sales[[#This Row],[GST Amount]]</f>
        <v>19673.55</v>
      </c>
      <c r="O1574" s="34" t="s">
        <v>3566</v>
      </c>
      <c r="P1574" s="34" t="s">
        <v>3562</v>
      </c>
      <c r="Q1574" s="165">
        <f>IF(Sales[[#This Row],[Status]]="Cancelled",0,Sales[[#This Row],[Qty]])</f>
        <v>1</v>
      </c>
      <c r="R1574" s="166">
        <f>IF(Sales[[#This Row],[Status]]="Cancelled",0,Sales[[#This Row],[Total Amount]])</f>
        <v>19673.55</v>
      </c>
      <c r="S1574" s="162">
        <f>SUM(Sales[Net Amount])</f>
        <v>406839287.73200053</v>
      </c>
    </row>
    <row r="1575" spans="1:19" ht="18.75" x14ac:dyDescent="0.25">
      <c r="A1575" s="156" t="s">
        <v>5181</v>
      </c>
      <c r="B1575" s="157">
        <v>45857</v>
      </c>
      <c r="C1575" s="158" t="s">
        <v>899</v>
      </c>
      <c r="D1575" s="159" t="str">
        <f>VLOOKUP(Sales[[#This Row],[Customer ID]],Customer[#All],2,0)</f>
        <v>Sunita Verma</v>
      </c>
      <c r="E1575" s="158" t="s">
        <v>452</v>
      </c>
      <c r="F1575" s="158" t="str">
        <f>VLOOKUP(Sales[[#This Row],[Product ID]],Product[#All],2,0)</f>
        <v>Amazon Basics Hdmi Cable</v>
      </c>
      <c r="G1575" s="159">
        <v>4</v>
      </c>
      <c r="H1575" s="160">
        <f>VLOOKUP(Sales[[#This Row],[Product ID]],Product[#All],7,0)</f>
        <v>920</v>
      </c>
      <c r="I1575" s="160">
        <f>Sales[[#This Row],[Selling Rate]]*Sales[[#This Row],[Qty]]</f>
        <v>3680</v>
      </c>
      <c r="J1575" s="43">
        <v>0</v>
      </c>
      <c r="K1575" s="44">
        <f>Sales[[#This Row],[Gross Amount]]*Sales[[#This Row],[Disc %]]</f>
        <v>0</v>
      </c>
      <c r="L1575" s="43">
        <v>0.18</v>
      </c>
      <c r="M1575" s="44">
        <f>(Sales[[#This Row],[Gross Amount]]-Sales[[#This Row],[Disc. Amt.]])*Sales[[#This Row],[GST %]]</f>
        <v>662.4</v>
      </c>
      <c r="N1575" s="161">
        <f>Sales[[#This Row],[Gross Amount]]-Sales[[#This Row],[Disc. Amt.]]+Sales[[#This Row],[GST Amount]]</f>
        <v>4342.3999999999996</v>
      </c>
      <c r="O1575" s="158" t="s">
        <v>3566</v>
      </c>
      <c r="P1575" s="158" t="s">
        <v>3562</v>
      </c>
      <c r="Q1575" s="160">
        <f>IF(Sales[[#This Row],[Status]]="Cancelled",0,Sales[[#This Row],[Qty]])</f>
        <v>4</v>
      </c>
      <c r="R1575" s="161">
        <f>IF(Sales[[#This Row],[Status]]="Cancelled",0,Sales[[#This Row],[Total Amount]])</f>
        <v>4342.3999999999996</v>
      </c>
      <c r="S1575" s="162">
        <f>SUM(Sales[Net Amount])</f>
        <v>406839287.73200053</v>
      </c>
    </row>
    <row r="1576" spans="1:19" ht="18.75" x14ac:dyDescent="0.25">
      <c r="A1576" s="163" t="s">
        <v>5182</v>
      </c>
      <c r="B1576" s="164">
        <v>45857</v>
      </c>
      <c r="C1576" s="34" t="s">
        <v>917</v>
      </c>
      <c r="D1576" s="53" t="str">
        <f>VLOOKUP(Sales[[#This Row],[Customer ID]],Customer[#All],2,0)</f>
        <v>Sahil Gupta</v>
      </c>
      <c r="E1576" s="34" t="s">
        <v>526</v>
      </c>
      <c r="F1576" s="34" t="str">
        <f>VLOOKUP(Sales[[#This Row],[Product ID]],Product[#All],2,0)</f>
        <v>American TouristerLaptopBag</v>
      </c>
      <c r="G1576" s="53">
        <v>6</v>
      </c>
      <c r="H1576" s="165">
        <f>VLOOKUP(Sales[[#This Row],[Product ID]],Product[#All],7,0)</f>
        <v>2280</v>
      </c>
      <c r="I1576" s="165">
        <f>Sales[[#This Row],[Selling Rate]]*Sales[[#This Row],[Qty]]</f>
        <v>13680</v>
      </c>
      <c r="J1576" s="45">
        <v>0.1</v>
      </c>
      <c r="K1576" s="46">
        <f>Sales[[#This Row],[Gross Amount]]*Sales[[#This Row],[Disc %]]</f>
        <v>1368</v>
      </c>
      <c r="L1576" s="43">
        <v>0.18</v>
      </c>
      <c r="M1576" s="46">
        <f>(Sales[[#This Row],[Gross Amount]]-Sales[[#This Row],[Disc. Amt.]])*Sales[[#This Row],[GST %]]</f>
        <v>2216.16</v>
      </c>
      <c r="N1576" s="161">
        <f>Sales[[#This Row],[Gross Amount]]-Sales[[#This Row],[Disc. Amt.]]+Sales[[#This Row],[GST Amount]]</f>
        <v>14528.16</v>
      </c>
      <c r="O1576" s="34" t="s">
        <v>3566</v>
      </c>
      <c r="P1576" s="34" t="s">
        <v>3562</v>
      </c>
      <c r="Q1576" s="165">
        <f>IF(Sales[[#This Row],[Status]]="Cancelled",0,Sales[[#This Row],[Qty]])</f>
        <v>6</v>
      </c>
      <c r="R1576" s="166">
        <f>IF(Sales[[#This Row],[Status]]="Cancelled",0,Sales[[#This Row],[Total Amount]])</f>
        <v>14528.16</v>
      </c>
      <c r="S1576" s="162">
        <f>SUM(Sales[Net Amount])</f>
        <v>406839287.73200053</v>
      </c>
    </row>
    <row r="1577" spans="1:19" ht="18.75" x14ac:dyDescent="0.25">
      <c r="A1577" s="156" t="s">
        <v>5183</v>
      </c>
      <c r="B1577" s="157">
        <v>45857</v>
      </c>
      <c r="C1577" s="158" t="s">
        <v>769</v>
      </c>
      <c r="D1577" s="159" t="str">
        <f>VLOOKUP(Sales[[#This Row],[Customer ID]],Customer[#All],2,0)</f>
        <v>Sahil Kumar</v>
      </c>
      <c r="E1577" s="158" t="s">
        <v>364</v>
      </c>
      <c r="F1577" s="158" t="str">
        <f>VLOOKUP(Sales[[#This Row],[Product ID]],Product[#All],2,0)</f>
        <v>Canon Printer</v>
      </c>
      <c r="G1577" s="159">
        <v>5</v>
      </c>
      <c r="H1577" s="160">
        <f>VLOOKUP(Sales[[#This Row],[Product ID]],Product[#All],7,0)</f>
        <v>41460</v>
      </c>
      <c r="I1577" s="160">
        <f>Sales[[#This Row],[Selling Rate]]*Sales[[#This Row],[Qty]]</f>
        <v>207300</v>
      </c>
      <c r="J1577" s="43">
        <v>0.05</v>
      </c>
      <c r="K1577" s="44">
        <f>Sales[[#This Row],[Gross Amount]]*Sales[[#This Row],[Disc %]]</f>
        <v>10365</v>
      </c>
      <c r="L1577" s="43">
        <v>0.18</v>
      </c>
      <c r="M1577" s="44">
        <f>(Sales[[#This Row],[Gross Amount]]-Sales[[#This Row],[Disc. Amt.]])*Sales[[#This Row],[GST %]]</f>
        <v>35448.299999999996</v>
      </c>
      <c r="N1577" s="161">
        <f>Sales[[#This Row],[Gross Amount]]-Sales[[#This Row],[Disc. Amt.]]+Sales[[#This Row],[GST Amount]]</f>
        <v>232383.3</v>
      </c>
      <c r="O1577" s="158" t="s">
        <v>3561</v>
      </c>
      <c r="P1577" s="158" t="s">
        <v>3562</v>
      </c>
      <c r="Q1577" s="160">
        <f>IF(Sales[[#This Row],[Status]]="Cancelled",0,Sales[[#This Row],[Qty]])</f>
        <v>5</v>
      </c>
      <c r="R1577" s="161">
        <f>IF(Sales[[#This Row],[Status]]="Cancelled",0,Sales[[#This Row],[Total Amount]])</f>
        <v>232383.3</v>
      </c>
      <c r="S1577" s="162">
        <f>SUM(Sales[Net Amount])</f>
        <v>406839287.73200053</v>
      </c>
    </row>
    <row r="1578" spans="1:19" ht="18.75" x14ac:dyDescent="0.25">
      <c r="A1578" s="163" t="s">
        <v>5184</v>
      </c>
      <c r="B1578" s="164">
        <v>45857</v>
      </c>
      <c r="C1578" s="34" t="s">
        <v>655</v>
      </c>
      <c r="D1578" s="53" t="str">
        <f>VLOOKUP(Sales[[#This Row],[Customer ID]],Customer[#All],2,0)</f>
        <v>Pooja Singh</v>
      </c>
      <c r="E1578" s="34" t="s">
        <v>396</v>
      </c>
      <c r="F1578" s="34" t="str">
        <f>VLOOKUP(Sales[[#This Row],[Product ID]],Product[#All],2,0)</f>
        <v>HP Laptop</v>
      </c>
      <c r="G1578" s="53">
        <v>8</v>
      </c>
      <c r="H1578" s="165">
        <f>VLOOKUP(Sales[[#This Row],[Product ID]],Product[#All],7,0)</f>
        <v>77100</v>
      </c>
      <c r="I1578" s="165">
        <f>Sales[[#This Row],[Selling Rate]]*Sales[[#This Row],[Qty]]</f>
        <v>616800</v>
      </c>
      <c r="J1578" s="45">
        <v>0.05</v>
      </c>
      <c r="K1578" s="46">
        <f>Sales[[#This Row],[Gross Amount]]*Sales[[#This Row],[Disc %]]</f>
        <v>30840</v>
      </c>
      <c r="L1578" s="43">
        <v>0.18</v>
      </c>
      <c r="M1578" s="46">
        <f>(Sales[[#This Row],[Gross Amount]]-Sales[[#This Row],[Disc. Amt.]])*Sales[[#This Row],[GST %]]</f>
        <v>105472.8</v>
      </c>
      <c r="N1578" s="161">
        <f>Sales[[#This Row],[Gross Amount]]-Sales[[#This Row],[Disc. Amt.]]+Sales[[#This Row],[GST Amount]]</f>
        <v>691432.8</v>
      </c>
      <c r="O1578" s="34" t="s">
        <v>3566</v>
      </c>
      <c r="P1578" s="34" t="s">
        <v>3562</v>
      </c>
      <c r="Q1578" s="165">
        <f>IF(Sales[[#This Row],[Status]]="Cancelled",0,Sales[[#This Row],[Qty]])</f>
        <v>8</v>
      </c>
      <c r="R1578" s="166">
        <f>IF(Sales[[#This Row],[Status]]="Cancelled",0,Sales[[#This Row],[Total Amount]])</f>
        <v>691432.8</v>
      </c>
      <c r="S1578" s="162">
        <f>SUM(Sales[Net Amount])</f>
        <v>406839287.73200053</v>
      </c>
    </row>
    <row r="1579" spans="1:19" ht="18.75" x14ac:dyDescent="0.25">
      <c r="A1579" s="156" t="s">
        <v>5185</v>
      </c>
      <c r="B1579" s="157">
        <v>45857</v>
      </c>
      <c r="C1579" s="158" t="s">
        <v>778</v>
      </c>
      <c r="D1579" s="159" t="str">
        <f>VLOOKUP(Sales[[#This Row],[Customer ID]],Customer[#All],2,0)</f>
        <v>Ankit Gupta</v>
      </c>
      <c r="E1579" s="158" t="s">
        <v>79</v>
      </c>
      <c r="F1579" s="158" t="str">
        <f>VLOOKUP(Sales[[#This Row],[Product ID]],Product[#All],2,0)</f>
        <v>Samsung Monitor</v>
      </c>
      <c r="G1579" s="159">
        <v>4</v>
      </c>
      <c r="H1579" s="160">
        <f>VLOOKUP(Sales[[#This Row],[Product ID]],Product[#All],7,0)</f>
        <v>32480</v>
      </c>
      <c r="I1579" s="160">
        <f>Sales[[#This Row],[Selling Rate]]*Sales[[#This Row],[Qty]]</f>
        <v>129920</v>
      </c>
      <c r="J1579" s="43">
        <v>0.15</v>
      </c>
      <c r="K1579" s="44">
        <f>Sales[[#This Row],[Gross Amount]]*Sales[[#This Row],[Disc %]]</f>
        <v>19488</v>
      </c>
      <c r="L1579" s="43">
        <v>0.18</v>
      </c>
      <c r="M1579" s="44">
        <f>(Sales[[#This Row],[Gross Amount]]-Sales[[#This Row],[Disc. Amt.]])*Sales[[#This Row],[GST %]]</f>
        <v>19877.759999999998</v>
      </c>
      <c r="N1579" s="161">
        <f>Sales[[#This Row],[Gross Amount]]-Sales[[#This Row],[Disc. Amt.]]+Sales[[#This Row],[GST Amount]]</f>
        <v>130309.75999999999</v>
      </c>
      <c r="O1579" s="158" t="s">
        <v>3566</v>
      </c>
      <c r="P1579" s="158" t="s">
        <v>3562</v>
      </c>
      <c r="Q1579" s="160">
        <f>IF(Sales[[#This Row],[Status]]="Cancelled",0,Sales[[#This Row],[Qty]])</f>
        <v>4</v>
      </c>
      <c r="R1579" s="161">
        <f>IF(Sales[[#This Row],[Status]]="Cancelled",0,Sales[[#This Row],[Total Amount]])</f>
        <v>130309.75999999999</v>
      </c>
      <c r="S1579" s="162">
        <f>SUM(Sales[Net Amount])</f>
        <v>406839287.73200053</v>
      </c>
    </row>
    <row r="1580" spans="1:19" ht="18.75" x14ac:dyDescent="0.25">
      <c r="A1580" s="163" t="s">
        <v>5186</v>
      </c>
      <c r="B1580" s="164">
        <v>45857</v>
      </c>
      <c r="C1580" s="34" t="s">
        <v>863</v>
      </c>
      <c r="D1580" s="53" t="str">
        <f>VLOOKUP(Sales[[#This Row],[Customer ID]],Customer[#All],2,0)</f>
        <v>Sahil Sharma</v>
      </c>
      <c r="E1580" s="34" t="s">
        <v>198</v>
      </c>
      <c r="F1580" s="34" t="str">
        <f>VLOOKUP(Sales[[#This Row],[Product ID]],Product[#All],2,0)</f>
        <v>PortronicsLaptopStand</v>
      </c>
      <c r="G1580" s="53">
        <v>3</v>
      </c>
      <c r="H1580" s="165">
        <f>VLOOKUP(Sales[[#This Row],[Product ID]],Product[#All],7,0)</f>
        <v>2240</v>
      </c>
      <c r="I1580" s="165">
        <f>Sales[[#This Row],[Selling Rate]]*Sales[[#This Row],[Qty]]</f>
        <v>6720</v>
      </c>
      <c r="J1580" s="45">
        <v>0.1</v>
      </c>
      <c r="K1580" s="46">
        <f>Sales[[#This Row],[Gross Amount]]*Sales[[#This Row],[Disc %]]</f>
        <v>672</v>
      </c>
      <c r="L1580" s="43">
        <v>0.18</v>
      </c>
      <c r="M1580" s="46">
        <f>(Sales[[#This Row],[Gross Amount]]-Sales[[#This Row],[Disc. Amt.]])*Sales[[#This Row],[GST %]]</f>
        <v>1088.6399999999999</v>
      </c>
      <c r="N1580" s="161">
        <f>Sales[[#This Row],[Gross Amount]]-Sales[[#This Row],[Disc. Amt.]]+Sales[[#This Row],[GST Amount]]</f>
        <v>7136.6399999999994</v>
      </c>
      <c r="O1580" s="34" t="s">
        <v>3566</v>
      </c>
      <c r="P1580" s="34" t="s">
        <v>3562</v>
      </c>
      <c r="Q1580" s="165">
        <f>IF(Sales[[#This Row],[Status]]="Cancelled",0,Sales[[#This Row],[Qty]])</f>
        <v>3</v>
      </c>
      <c r="R1580" s="166">
        <f>IF(Sales[[#This Row],[Status]]="Cancelled",0,Sales[[#This Row],[Total Amount]])</f>
        <v>7136.6399999999994</v>
      </c>
      <c r="S1580" s="162">
        <f>SUM(Sales[Net Amount])</f>
        <v>406839287.73200053</v>
      </c>
    </row>
    <row r="1581" spans="1:19" ht="18.75" x14ac:dyDescent="0.25">
      <c r="A1581" s="156" t="s">
        <v>5187</v>
      </c>
      <c r="B1581" s="157">
        <v>45857</v>
      </c>
      <c r="C1581" s="158" t="s">
        <v>951</v>
      </c>
      <c r="D1581" s="159" t="str">
        <f>VLOOKUP(Sales[[#This Row],[Customer ID]],Customer[#All],2,0)</f>
        <v>Rahul Singh</v>
      </c>
      <c r="E1581" s="158" t="s">
        <v>306</v>
      </c>
      <c r="F1581" s="158" t="str">
        <f>VLOOKUP(Sales[[#This Row],[Product ID]],Product[#All],2,0)</f>
        <v>Portronics USB Cable</v>
      </c>
      <c r="G1581" s="159">
        <v>4</v>
      </c>
      <c r="H1581" s="160">
        <f>VLOOKUP(Sales[[#This Row],[Product ID]],Product[#All],7,0)</f>
        <v>200</v>
      </c>
      <c r="I1581" s="160">
        <f>Sales[[#This Row],[Selling Rate]]*Sales[[#This Row],[Qty]]</f>
        <v>800</v>
      </c>
      <c r="J1581" s="43">
        <v>0.12</v>
      </c>
      <c r="K1581" s="44">
        <f>Sales[[#This Row],[Gross Amount]]*Sales[[#This Row],[Disc %]]</f>
        <v>96</v>
      </c>
      <c r="L1581" s="43">
        <v>0.18</v>
      </c>
      <c r="M1581" s="44">
        <f>(Sales[[#This Row],[Gross Amount]]-Sales[[#This Row],[Disc. Amt.]])*Sales[[#This Row],[GST %]]</f>
        <v>126.72</v>
      </c>
      <c r="N1581" s="161">
        <f>Sales[[#This Row],[Gross Amount]]-Sales[[#This Row],[Disc. Amt.]]+Sales[[#This Row],[GST Amount]]</f>
        <v>830.72</v>
      </c>
      <c r="O1581" s="158" t="s">
        <v>8876</v>
      </c>
      <c r="P1581" s="158" t="s">
        <v>3562</v>
      </c>
      <c r="Q1581" s="160">
        <f>IF(Sales[[#This Row],[Status]]="Cancelled",0,Sales[[#This Row],[Qty]])</f>
        <v>4</v>
      </c>
      <c r="R1581" s="161">
        <f>IF(Sales[[#This Row],[Status]]="Cancelled",0,Sales[[#This Row],[Total Amount]])</f>
        <v>830.72</v>
      </c>
      <c r="S1581" s="162">
        <f>SUM(Sales[Net Amount])</f>
        <v>406839287.73200053</v>
      </c>
    </row>
    <row r="1582" spans="1:19" ht="18.75" x14ac:dyDescent="0.25">
      <c r="A1582" s="163" t="s">
        <v>5188</v>
      </c>
      <c r="B1582" s="164">
        <v>45857</v>
      </c>
      <c r="C1582" s="34" t="s">
        <v>683</v>
      </c>
      <c r="D1582" s="53" t="str">
        <f>VLOOKUP(Sales[[#This Row],[Customer ID]],Customer[#All],2,0)</f>
        <v>Rahul Kumar</v>
      </c>
      <c r="E1582" s="34" t="s">
        <v>434</v>
      </c>
      <c r="F1582" s="34" t="str">
        <f>VLOOKUP(Sales[[#This Row],[Product ID]],Product[#All],2,0)</f>
        <v>Logitech Webcam</v>
      </c>
      <c r="G1582" s="53">
        <v>1</v>
      </c>
      <c r="H1582" s="165">
        <f>VLOOKUP(Sales[[#This Row],[Product ID]],Product[#All],7,0)</f>
        <v>7230</v>
      </c>
      <c r="I1582" s="165">
        <f>Sales[[#This Row],[Selling Rate]]*Sales[[#This Row],[Qty]]</f>
        <v>7230</v>
      </c>
      <c r="J1582" s="45">
        <v>0.05</v>
      </c>
      <c r="K1582" s="46">
        <f>Sales[[#This Row],[Gross Amount]]*Sales[[#This Row],[Disc %]]</f>
        <v>361.5</v>
      </c>
      <c r="L1582" s="43">
        <v>0.18</v>
      </c>
      <c r="M1582" s="46">
        <f>(Sales[[#This Row],[Gross Amount]]-Sales[[#This Row],[Disc. Amt.]])*Sales[[#This Row],[GST %]]</f>
        <v>1236.33</v>
      </c>
      <c r="N1582" s="161">
        <f>Sales[[#This Row],[Gross Amount]]-Sales[[#This Row],[Disc. Amt.]]+Sales[[#This Row],[GST Amount]]</f>
        <v>8104.83</v>
      </c>
      <c r="O1582" s="34" t="s">
        <v>3561</v>
      </c>
      <c r="P1582" s="34" t="s">
        <v>3562</v>
      </c>
      <c r="Q1582" s="165">
        <f>IF(Sales[[#This Row],[Status]]="Cancelled",0,Sales[[#This Row],[Qty]])</f>
        <v>1</v>
      </c>
      <c r="R1582" s="166">
        <f>IF(Sales[[#This Row],[Status]]="Cancelled",0,Sales[[#This Row],[Total Amount]])</f>
        <v>8104.83</v>
      </c>
      <c r="S1582" s="162">
        <f>SUM(Sales[Net Amount])</f>
        <v>406839287.73200053</v>
      </c>
    </row>
    <row r="1583" spans="1:19" ht="18.75" x14ac:dyDescent="0.25">
      <c r="A1583" s="156" t="s">
        <v>5189</v>
      </c>
      <c r="B1583" s="157">
        <v>45858</v>
      </c>
      <c r="C1583" s="158" t="s">
        <v>766</v>
      </c>
      <c r="D1583" s="159" t="str">
        <f>VLOOKUP(Sales[[#This Row],[Customer ID]],Customer[#All],2,0)</f>
        <v>Neha Gupta</v>
      </c>
      <c r="E1583" s="158" t="s">
        <v>92</v>
      </c>
      <c r="F1583" s="158" t="str">
        <f>VLOOKUP(Sales[[#This Row],[Product ID]],Product[#All],2,0)</f>
        <v>Jbl Headset</v>
      </c>
      <c r="G1583" s="159">
        <v>1</v>
      </c>
      <c r="H1583" s="160">
        <f>VLOOKUP(Sales[[#This Row],[Product ID]],Product[#All],7,0)</f>
        <v>6180</v>
      </c>
      <c r="I1583" s="160">
        <f>Sales[[#This Row],[Selling Rate]]*Sales[[#This Row],[Qty]]</f>
        <v>6180</v>
      </c>
      <c r="J1583" s="43">
        <v>0.12</v>
      </c>
      <c r="K1583" s="44">
        <f>Sales[[#This Row],[Gross Amount]]*Sales[[#This Row],[Disc %]]</f>
        <v>741.6</v>
      </c>
      <c r="L1583" s="43">
        <v>0.18</v>
      </c>
      <c r="M1583" s="44">
        <f>(Sales[[#This Row],[Gross Amount]]-Sales[[#This Row],[Disc. Amt.]])*Sales[[#This Row],[GST %]]</f>
        <v>978.91199999999992</v>
      </c>
      <c r="N1583" s="161">
        <f>Sales[[#This Row],[Gross Amount]]-Sales[[#This Row],[Disc. Amt.]]+Sales[[#This Row],[GST Amount]]</f>
        <v>6417.3119999999999</v>
      </c>
      <c r="O1583" s="158" t="s">
        <v>3566</v>
      </c>
      <c r="P1583" s="158" t="s">
        <v>3562</v>
      </c>
      <c r="Q1583" s="160">
        <f>IF(Sales[[#This Row],[Status]]="Cancelled",0,Sales[[#This Row],[Qty]])</f>
        <v>1</v>
      </c>
      <c r="R1583" s="161">
        <f>IF(Sales[[#This Row],[Status]]="Cancelled",0,Sales[[#This Row],[Total Amount]])</f>
        <v>6417.3119999999999</v>
      </c>
      <c r="S1583" s="162">
        <f>SUM(Sales[Net Amount])</f>
        <v>406839287.73200053</v>
      </c>
    </row>
    <row r="1584" spans="1:19" ht="18.75" x14ac:dyDescent="0.25">
      <c r="A1584" s="163" t="s">
        <v>5190</v>
      </c>
      <c r="B1584" s="164">
        <v>45858</v>
      </c>
      <c r="C1584" s="34" t="s">
        <v>847</v>
      </c>
      <c r="D1584" s="53" t="str">
        <f>VLOOKUP(Sales[[#This Row],[Customer ID]],Customer[#All],2,0)</f>
        <v>Ankit Gupta</v>
      </c>
      <c r="E1584" s="34" t="s">
        <v>245</v>
      </c>
      <c r="F1584" s="34" t="str">
        <f>VLOOKUP(Sales[[#This Row],[Product ID]],Product[#All],2,0)</f>
        <v>HP Printer</v>
      </c>
      <c r="G1584" s="53">
        <v>2</v>
      </c>
      <c r="H1584" s="165">
        <f>VLOOKUP(Sales[[#This Row],[Product ID]],Product[#All],7,0)</f>
        <v>11410</v>
      </c>
      <c r="I1584" s="165">
        <f>Sales[[#This Row],[Selling Rate]]*Sales[[#This Row],[Qty]]</f>
        <v>22820</v>
      </c>
      <c r="J1584" s="45">
        <v>0</v>
      </c>
      <c r="K1584" s="46">
        <f>Sales[[#This Row],[Gross Amount]]*Sales[[#This Row],[Disc %]]</f>
        <v>0</v>
      </c>
      <c r="L1584" s="43">
        <v>0.18</v>
      </c>
      <c r="M1584" s="46">
        <f>(Sales[[#This Row],[Gross Amount]]-Sales[[#This Row],[Disc. Amt.]])*Sales[[#This Row],[GST %]]</f>
        <v>4107.5999999999995</v>
      </c>
      <c r="N1584" s="161">
        <f>Sales[[#This Row],[Gross Amount]]-Sales[[#This Row],[Disc. Amt.]]+Sales[[#This Row],[GST Amount]]</f>
        <v>26927.599999999999</v>
      </c>
      <c r="O1584" s="34" t="s">
        <v>8876</v>
      </c>
      <c r="P1584" s="34" t="s">
        <v>3562</v>
      </c>
      <c r="Q1584" s="165">
        <f>IF(Sales[[#This Row],[Status]]="Cancelled",0,Sales[[#This Row],[Qty]])</f>
        <v>2</v>
      </c>
      <c r="R1584" s="166">
        <f>IF(Sales[[#This Row],[Status]]="Cancelled",0,Sales[[#This Row],[Total Amount]])</f>
        <v>26927.599999999999</v>
      </c>
      <c r="S1584" s="162">
        <f>SUM(Sales[Net Amount])</f>
        <v>406839287.73200053</v>
      </c>
    </row>
    <row r="1585" spans="1:19" ht="18.75" x14ac:dyDescent="0.25">
      <c r="A1585" s="156" t="s">
        <v>5191</v>
      </c>
      <c r="B1585" s="157">
        <v>45858</v>
      </c>
      <c r="C1585" s="158" t="s">
        <v>899</v>
      </c>
      <c r="D1585" s="159" t="str">
        <f>VLOOKUP(Sales[[#This Row],[Customer ID]],Customer[#All],2,0)</f>
        <v>Sunita Verma</v>
      </c>
      <c r="E1585" s="158" t="s">
        <v>128</v>
      </c>
      <c r="F1585" s="158" t="str">
        <f>VLOOKUP(Sales[[#This Row],[Product ID]],Product[#All],2,0)</f>
        <v>American TouristerLaptopBag</v>
      </c>
      <c r="G1585" s="159">
        <v>4</v>
      </c>
      <c r="H1585" s="160">
        <f>VLOOKUP(Sales[[#This Row],[Product ID]],Product[#All],7,0)</f>
        <v>2990</v>
      </c>
      <c r="I1585" s="160">
        <f>Sales[[#This Row],[Selling Rate]]*Sales[[#This Row],[Qty]]</f>
        <v>11960</v>
      </c>
      <c r="J1585" s="43">
        <v>0.12</v>
      </c>
      <c r="K1585" s="44">
        <f>Sales[[#This Row],[Gross Amount]]*Sales[[#This Row],[Disc %]]</f>
        <v>1435.2</v>
      </c>
      <c r="L1585" s="43">
        <v>0.18</v>
      </c>
      <c r="M1585" s="44">
        <f>(Sales[[#This Row],[Gross Amount]]-Sales[[#This Row],[Disc. Amt.]])*Sales[[#This Row],[GST %]]</f>
        <v>1894.4639999999997</v>
      </c>
      <c r="N1585" s="161">
        <f>Sales[[#This Row],[Gross Amount]]-Sales[[#This Row],[Disc. Amt.]]+Sales[[#This Row],[GST Amount]]</f>
        <v>12419.263999999999</v>
      </c>
      <c r="O1585" s="158" t="s">
        <v>3569</v>
      </c>
      <c r="P1585" s="158" t="s">
        <v>3562</v>
      </c>
      <c r="Q1585" s="160">
        <f>IF(Sales[[#This Row],[Status]]="Cancelled",0,Sales[[#This Row],[Qty]])</f>
        <v>4</v>
      </c>
      <c r="R1585" s="161">
        <f>IF(Sales[[#This Row],[Status]]="Cancelled",0,Sales[[#This Row],[Total Amount]])</f>
        <v>12419.263999999999</v>
      </c>
      <c r="S1585" s="162">
        <f>SUM(Sales[Net Amount])</f>
        <v>406839287.73200053</v>
      </c>
    </row>
    <row r="1586" spans="1:19" ht="18.75" x14ac:dyDescent="0.25">
      <c r="A1586" s="163" t="s">
        <v>5192</v>
      </c>
      <c r="B1586" s="164">
        <v>45858</v>
      </c>
      <c r="C1586" s="34" t="s">
        <v>790</v>
      </c>
      <c r="D1586" s="53" t="str">
        <f>VLOOKUP(Sales[[#This Row],[Customer ID]],Customer[#All],2,0)</f>
        <v>Pooja Gupta</v>
      </c>
      <c r="E1586" s="34" t="s">
        <v>214</v>
      </c>
      <c r="F1586" s="34" t="str">
        <f>VLOOKUP(Sales[[#This Row],[Product ID]],Product[#All],2,0)</f>
        <v>Microtek UPS</v>
      </c>
      <c r="G1586" s="53">
        <v>5</v>
      </c>
      <c r="H1586" s="165">
        <f>VLOOKUP(Sales[[#This Row],[Product ID]],Product[#All],7,0)</f>
        <v>10710</v>
      </c>
      <c r="I1586" s="165">
        <f>Sales[[#This Row],[Selling Rate]]*Sales[[#This Row],[Qty]]</f>
        <v>53550</v>
      </c>
      <c r="J1586" s="45">
        <v>0.05</v>
      </c>
      <c r="K1586" s="46">
        <f>Sales[[#This Row],[Gross Amount]]*Sales[[#This Row],[Disc %]]</f>
        <v>2677.5</v>
      </c>
      <c r="L1586" s="43">
        <v>0.18</v>
      </c>
      <c r="M1586" s="46">
        <f>(Sales[[#This Row],[Gross Amount]]-Sales[[#This Row],[Disc. Amt.]])*Sales[[#This Row],[GST %]]</f>
        <v>9157.0499999999993</v>
      </c>
      <c r="N1586" s="161">
        <f>Sales[[#This Row],[Gross Amount]]-Sales[[#This Row],[Disc. Amt.]]+Sales[[#This Row],[GST Amount]]</f>
        <v>60029.55</v>
      </c>
      <c r="O1586" s="34" t="s">
        <v>3561</v>
      </c>
      <c r="P1586" s="34" t="s">
        <v>3562</v>
      </c>
      <c r="Q1586" s="165">
        <f>IF(Sales[[#This Row],[Status]]="Cancelled",0,Sales[[#This Row],[Qty]])</f>
        <v>5</v>
      </c>
      <c r="R1586" s="166">
        <f>IF(Sales[[#This Row],[Status]]="Cancelled",0,Sales[[#This Row],[Total Amount]])</f>
        <v>60029.55</v>
      </c>
      <c r="S1586" s="162">
        <f>SUM(Sales[Net Amount])</f>
        <v>406839287.73200053</v>
      </c>
    </row>
    <row r="1587" spans="1:19" ht="18.75" x14ac:dyDescent="0.25">
      <c r="A1587" s="156" t="s">
        <v>5193</v>
      </c>
      <c r="B1587" s="157">
        <v>45858</v>
      </c>
      <c r="C1587" s="158" t="s">
        <v>915</v>
      </c>
      <c r="D1587" s="159" t="str">
        <f>VLOOKUP(Sales[[#This Row],[Customer ID]],Customer[#All],2,0)</f>
        <v>Sunita Kumar</v>
      </c>
      <c r="E1587" s="158" t="s">
        <v>465</v>
      </c>
      <c r="F1587" s="158" t="str">
        <f>VLOOKUP(Sales[[#This Row],[Product ID]],Product[#All],2,0)</f>
        <v>Logitech Keyboard</v>
      </c>
      <c r="G1587" s="159">
        <v>3</v>
      </c>
      <c r="H1587" s="160">
        <f>VLOOKUP(Sales[[#This Row],[Product ID]],Product[#All],7,0)</f>
        <v>2230</v>
      </c>
      <c r="I1587" s="160">
        <f>Sales[[#This Row],[Selling Rate]]*Sales[[#This Row],[Qty]]</f>
        <v>6690</v>
      </c>
      <c r="J1587" s="43">
        <v>0.05</v>
      </c>
      <c r="K1587" s="44">
        <f>Sales[[#This Row],[Gross Amount]]*Sales[[#This Row],[Disc %]]</f>
        <v>334.5</v>
      </c>
      <c r="L1587" s="43">
        <v>0.18</v>
      </c>
      <c r="M1587" s="44">
        <f>(Sales[[#This Row],[Gross Amount]]-Sales[[#This Row],[Disc. Amt.]])*Sales[[#This Row],[GST %]]</f>
        <v>1143.99</v>
      </c>
      <c r="N1587" s="161">
        <f>Sales[[#This Row],[Gross Amount]]-Sales[[#This Row],[Disc. Amt.]]+Sales[[#This Row],[GST Amount]]</f>
        <v>7499.49</v>
      </c>
      <c r="O1587" s="158" t="s">
        <v>8876</v>
      </c>
      <c r="P1587" s="158" t="s">
        <v>3562</v>
      </c>
      <c r="Q1587" s="160">
        <f>IF(Sales[[#This Row],[Status]]="Cancelled",0,Sales[[#This Row],[Qty]])</f>
        <v>3</v>
      </c>
      <c r="R1587" s="161">
        <f>IF(Sales[[#This Row],[Status]]="Cancelled",0,Sales[[#This Row],[Total Amount]])</f>
        <v>7499.49</v>
      </c>
      <c r="S1587" s="162">
        <f>SUM(Sales[Net Amount])</f>
        <v>406839287.73200053</v>
      </c>
    </row>
    <row r="1588" spans="1:19" ht="18.75" x14ac:dyDescent="0.25">
      <c r="A1588" s="163" t="s">
        <v>5194</v>
      </c>
      <c r="B1588" s="164">
        <v>45858</v>
      </c>
      <c r="C1588" s="34" t="s">
        <v>718</v>
      </c>
      <c r="D1588" s="53" t="str">
        <f>VLOOKUP(Sales[[#This Row],[Customer ID]],Customer[#All],2,0)</f>
        <v>Rakesh Patel</v>
      </c>
      <c r="E1588" s="34" t="s">
        <v>188</v>
      </c>
      <c r="F1588" s="34" t="str">
        <f>VLOOKUP(Sales[[#This Row],[Product ID]],Product[#All],2,0)</f>
        <v>Crucial Ssd</v>
      </c>
      <c r="G1588" s="53">
        <v>8</v>
      </c>
      <c r="H1588" s="165">
        <f>VLOOKUP(Sales[[#This Row],[Product ID]],Product[#All],7,0)</f>
        <v>14390</v>
      </c>
      <c r="I1588" s="165">
        <f>Sales[[#This Row],[Selling Rate]]*Sales[[#This Row],[Qty]]</f>
        <v>115120</v>
      </c>
      <c r="J1588" s="45">
        <v>0</v>
      </c>
      <c r="K1588" s="46">
        <f>Sales[[#This Row],[Gross Amount]]*Sales[[#This Row],[Disc %]]</f>
        <v>0</v>
      </c>
      <c r="L1588" s="43">
        <v>0.18</v>
      </c>
      <c r="M1588" s="46">
        <f>(Sales[[#This Row],[Gross Amount]]-Sales[[#This Row],[Disc. Amt.]])*Sales[[#This Row],[GST %]]</f>
        <v>20721.599999999999</v>
      </c>
      <c r="N1588" s="161">
        <f>Sales[[#This Row],[Gross Amount]]-Sales[[#This Row],[Disc. Amt.]]+Sales[[#This Row],[GST Amount]]</f>
        <v>135841.60000000001</v>
      </c>
      <c r="O1588" s="34" t="s">
        <v>3569</v>
      </c>
      <c r="P1588" s="34" t="s">
        <v>3562</v>
      </c>
      <c r="Q1588" s="165">
        <f>IF(Sales[[#This Row],[Status]]="Cancelled",0,Sales[[#This Row],[Qty]])</f>
        <v>8</v>
      </c>
      <c r="R1588" s="166">
        <f>IF(Sales[[#This Row],[Status]]="Cancelled",0,Sales[[#This Row],[Total Amount]])</f>
        <v>135841.60000000001</v>
      </c>
      <c r="S1588" s="162">
        <f>SUM(Sales[Net Amount])</f>
        <v>406839287.73200053</v>
      </c>
    </row>
    <row r="1589" spans="1:19" ht="18.75" x14ac:dyDescent="0.25">
      <c r="A1589" s="156" t="s">
        <v>5195</v>
      </c>
      <c r="B1589" s="157">
        <v>45858</v>
      </c>
      <c r="C1589" s="158" t="s">
        <v>660</v>
      </c>
      <c r="D1589" s="159" t="str">
        <f>VLOOKUP(Sales[[#This Row],[Customer ID]],Customer[#All],2,0)</f>
        <v>Priya Sharma</v>
      </c>
      <c r="E1589" s="158" t="s">
        <v>204</v>
      </c>
      <c r="F1589" s="158" t="str">
        <f>VLOOKUP(Sales[[#This Row],[Product ID]],Product[#All],2,0)</f>
        <v>Lenovo Laptop</v>
      </c>
      <c r="G1589" s="159">
        <v>7</v>
      </c>
      <c r="H1589" s="160">
        <f>VLOOKUP(Sales[[#This Row],[Product ID]],Product[#All],7,0)</f>
        <v>42370</v>
      </c>
      <c r="I1589" s="160">
        <f>Sales[[#This Row],[Selling Rate]]*Sales[[#This Row],[Qty]]</f>
        <v>296590</v>
      </c>
      <c r="J1589" s="43">
        <v>0</v>
      </c>
      <c r="K1589" s="44">
        <f>Sales[[#This Row],[Gross Amount]]*Sales[[#This Row],[Disc %]]</f>
        <v>0</v>
      </c>
      <c r="L1589" s="43">
        <v>0.18</v>
      </c>
      <c r="M1589" s="44">
        <f>(Sales[[#This Row],[Gross Amount]]-Sales[[#This Row],[Disc. Amt.]])*Sales[[#This Row],[GST %]]</f>
        <v>53386.2</v>
      </c>
      <c r="N1589" s="161">
        <f>Sales[[#This Row],[Gross Amount]]-Sales[[#This Row],[Disc. Amt.]]+Sales[[#This Row],[GST Amount]]</f>
        <v>349976.2</v>
      </c>
      <c r="O1589" s="158" t="s">
        <v>8876</v>
      </c>
      <c r="P1589" s="158" t="s">
        <v>3562</v>
      </c>
      <c r="Q1589" s="160">
        <f>IF(Sales[[#This Row],[Status]]="Cancelled",0,Sales[[#This Row],[Qty]])</f>
        <v>7</v>
      </c>
      <c r="R1589" s="161">
        <f>IF(Sales[[#This Row],[Status]]="Cancelled",0,Sales[[#This Row],[Total Amount]])</f>
        <v>349976.2</v>
      </c>
      <c r="S1589" s="162">
        <f>SUM(Sales[Net Amount])</f>
        <v>406839287.73200053</v>
      </c>
    </row>
    <row r="1590" spans="1:19" ht="18.75" x14ac:dyDescent="0.25">
      <c r="A1590" s="163" t="s">
        <v>5196</v>
      </c>
      <c r="B1590" s="164">
        <v>45858</v>
      </c>
      <c r="C1590" s="34" t="s">
        <v>898</v>
      </c>
      <c r="D1590" s="53" t="str">
        <f>VLOOKUP(Sales[[#This Row],[Customer ID]],Customer[#All],2,0)</f>
        <v>Rahul Singh</v>
      </c>
      <c r="E1590" s="34" t="s">
        <v>198</v>
      </c>
      <c r="F1590" s="34" t="str">
        <f>VLOOKUP(Sales[[#This Row],[Product ID]],Product[#All],2,0)</f>
        <v>PortronicsLaptopStand</v>
      </c>
      <c r="G1590" s="53">
        <v>8</v>
      </c>
      <c r="H1590" s="165">
        <f>VLOOKUP(Sales[[#This Row],[Product ID]],Product[#All],7,0)</f>
        <v>2240</v>
      </c>
      <c r="I1590" s="165">
        <f>Sales[[#This Row],[Selling Rate]]*Sales[[#This Row],[Qty]]</f>
        <v>17920</v>
      </c>
      <c r="J1590" s="45">
        <v>0</v>
      </c>
      <c r="K1590" s="46">
        <f>Sales[[#This Row],[Gross Amount]]*Sales[[#This Row],[Disc %]]</f>
        <v>0</v>
      </c>
      <c r="L1590" s="43">
        <v>0.18</v>
      </c>
      <c r="M1590" s="46">
        <f>(Sales[[#This Row],[Gross Amount]]-Sales[[#This Row],[Disc. Amt.]])*Sales[[#This Row],[GST %]]</f>
        <v>3225.6</v>
      </c>
      <c r="N1590" s="161">
        <f>Sales[[#This Row],[Gross Amount]]-Sales[[#This Row],[Disc. Amt.]]+Sales[[#This Row],[GST Amount]]</f>
        <v>21145.599999999999</v>
      </c>
      <c r="O1590" s="34" t="s">
        <v>3561</v>
      </c>
      <c r="P1590" s="34" t="s">
        <v>3562</v>
      </c>
      <c r="Q1590" s="165">
        <f>IF(Sales[[#This Row],[Status]]="Cancelled",0,Sales[[#This Row],[Qty]])</f>
        <v>8</v>
      </c>
      <c r="R1590" s="166">
        <f>IF(Sales[[#This Row],[Status]]="Cancelled",0,Sales[[#This Row],[Total Amount]])</f>
        <v>21145.599999999999</v>
      </c>
      <c r="S1590" s="162">
        <f>SUM(Sales[Net Amount])</f>
        <v>406839287.73200053</v>
      </c>
    </row>
    <row r="1591" spans="1:19" ht="18.75" x14ac:dyDescent="0.25">
      <c r="A1591" s="156" t="s">
        <v>5197</v>
      </c>
      <c r="B1591" s="157">
        <v>45858</v>
      </c>
      <c r="C1591" s="158" t="s">
        <v>752</v>
      </c>
      <c r="D1591" s="159" t="str">
        <f>VLOOKUP(Sales[[#This Row],[Customer ID]],Customer[#All],2,0)</f>
        <v>Pooja Patel</v>
      </c>
      <c r="E1591" s="158" t="s">
        <v>237</v>
      </c>
      <c r="F1591" s="158" t="str">
        <f>VLOOKUP(Sales[[#This Row],[Product ID]],Product[#All],2,0)</f>
        <v>Jbl Headset</v>
      </c>
      <c r="G1591" s="159">
        <v>3</v>
      </c>
      <c r="H1591" s="160">
        <f>VLOOKUP(Sales[[#This Row],[Product ID]],Product[#All],7,0)</f>
        <v>5520</v>
      </c>
      <c r="I1591" s="160">
        <f>Sales[[#This Row],[Selling Rate]]*Sales[[#This Row],[Qty]]</f>
        <v>16560</v>
      </c>
      <c r="J1591" s="43">
        <v>0.15</v>
      </c>
      <c r="K1591" s="44">
        <f>Sales[[#This Row],[Gross Amount]]*Sales[[#This Row],[Disc %]]</f>
        <v>2484</v>
      </c>
      <c r="L1591" s="43">
        <v>0.18</v>
      </c>
      <c r="M1591" s="44">
        <f>(Sales[[#This Row],[Gross Amount]]-Sales[[#This Row],[Disc. Amt.]])*Sales[[#This Row],[GST %]]</f>
        <v>2533.6799999999998</v>
      </c>
      <c r="N1591" s="161">
        <f>Sales[[#This Row],[Gross Amount]]-Sales[[#This Row],[Disc. Amt.]]+Sales[[#This Row],[GST Amount]]</f>
        <v>16609.68</v>
      </c>
      <c r="O1591" s="158" t="s">
        <v>8876</v>
      </c>
      <c r="P1591" s="158" t="s">
        <v>3562</v>
      </c>
      <c r="Q1591" s="160">
        <f>IF(Sales[[#This Row],[Status]]="Cancelled",0,Sales[[#This Row],[Qty]])</f>
        <v>3</v>
      </c>
      <c r="R1591" s="161">
        <f>IF(Sales[[#This Row],[Status]]="Cancelled",0,Sales[[#This Row],[Total Amount]])</f>
        <v>16609.68</v>
      </c>
      <c r="S1591" s="162">
        <f>SUM(Sales[Net Amount])</f>
        <v>406839287.73200053</v>
      </c>
    </row>
    <row r="1592" spans="1:19" ht="18.75" x14ac:dyDescent="0.25">
      <c r="A1592" s="163" t="s">
        <v>5198</v>
      </c>
      <c r="B1592" s="164">
        <v>45858</v>
      </c>
      <c r="C1592" s="34" t="s">
        <v>833</v>
      </c>
      <c r="D1592" s="53" t="str">
        <f>VLOOKUP(Sales[[#This Row],[Customer ID]],Customer[#All],2,0)</f>
        <v>Sunita Kumar</v>
      </c>
      <c r="E1592" s="34" t="s">
        <v>468</v>
      </c>
      <c r="F1592" s="34" t="str">
        <f>VLOOKUP(Sales[[#This Row],[Product ID]],Product[#All],2,0)</f>
        <v>Dell Laptop</v>
      </c>
      <c r="G1592" s="53">
        <v>8</v>
      </c>
      <c r="H1592" s="165">
        <f>VLOOKUP(Sales[[#This Row],[Product ID]],Product[#All],7,0)</f>
        <v>93200</v>
      </c>
      <c r="I1592" s="165">
        <f>Sales[[#This Row],[Selling Rate]]*Sales[[#This Row],[Qty]]</f>
        <v>745600</v>
      </c>
      <c r="J1592" s="45">
        <v>0.15</v>
      </c>
      <c r="K1592" s="46">
        <f>Sales[[#This Row],[Gross Amount]]*Sales[[#This Row],[Disc %]]</f>
        <v>111840</v>
      </c>
      <c r="L1592" s="43">
        <v>0.18</v>
      </c>
      <c r="M1592" s="46">
        <f>(Sales[[#This Row],[Gross Amount]]-Sales[[#This Row],[Disc. Amt.]])*Sales[[#This Row],[GST %]]</f>
        <v>114076.8</v>
      </c>
      <c r="N1592" s="161">
        <f>Sales[[#This Row],[Gross Amount]]-Sales[[#This Row],[Disc. Amt.]]+Sales[[#This Row],[GST Amount]]</f>
        <v>747836.8</v>
      </c>
      <c r="O1592" s="34" t="s">
        <v>3566</v>
      </c>
      <c r="P1592" s="34" t="s">
        <v>3562</v>
      </c>
      <c r="Q1592" s="165">
        <f>IF(Sales[[#This Row],[Status]]="Cancelled",0,Sales[[#This Row],[Qty]])</f>
        <v>8</v>
      </c>
      <c r="R1592" s="166">
        <f>IF(Sales[[#This Row],[Status]]="Cancelled",0,Sales[[#This Row],[Total Amount]])</f>
        <v>747836.8</v>
      </c>
      <c r="S1592" s="162">
        <f>SUM(Sales[Net Amount])</f>
        <v>406839287.73200053</v>
      </c>
    </row>
    <row r="1593" spans="1:19" ht="18.75" x14ac:dyDescent="0.25">
      <c r="A1593" s="156" t="s">
        <v>5199</v>
      </c>
      <c r="B1593" s="157">
        <v>45858</v>
      </c>
      <c r="C1593" s="158" t="s">
        <v>779</v>
      </c>
      <c r="D1593" s="159" t="str">
        <f>VLOOKUP(Sales[[#This Row],[Customer ID]],Customer[#All],2,0)</f>
        <v>Rakesh Verma</v>
      </c>
      <c r="E1593" s="158" t="s">
        <v>500</v>
      </c>
      <c r="F1593" s="158" t="str">
        <f>VLOOKUP(Sales[[#This Row],[Product ID]],Product[#All],2,0)</f>
        <v>HP Power Adapter</v>
      </c>
      <c r="G1593" s="159">
        <v>7</v>
      </c>
      <c r="H1593" s="160">
        <f>VLOOKUP(Sales[[#This Row],[Product ID]],Product[#All],7,0)</f>
        <v>3160</v>
      </c>
      <c r="I1593" s="160">
        <f>Sales[[#This Row],[Selling Rate]]*Sales[[#This Row],[Qty]]</f>
        <v>22120</v>
      </c>
      <c r="J1593" s="43">
        <v>0.05</v>
      </c>
      <c r="K1593" s="44">
        <f>Sales[[#This Row],[Gross Amount]]*Sales[[#This Row],[Disc %]]</f>
        <v>1106</v>
      </c>
      <c r="L1593" s="43">
        <v>0.18</v>
      </c>
      <c r="M1593" s="44">
        <f>(Sales[[#This Row],[Gross Amount]]-Sales[[#This Row],[Disc. Amt.]])*Sales[[#This Row],[GST %]]</f>
        <v>3782.52</v>
      </c>
      <c r="N1593" s="161">
        <f>Sales[[#This Row],[Gross Amount]]-Sales[[#This Row],[Disc. Amt.]]+Sales[[#This Row],[GST Amount]]</f>
        <v>24796.52</v>
      </c>
      <c r="O1593" s="158" t="s">
        <v>3566</v>
      </c>
      <c r="P1593" s="158" t="s">
        <v>3562</v>
      </c>
      <c r="Q1593" s="160">
        <f>IF(Sales[[#This Row],[Status]]="Cancelled",0,Sales[[#This Row],[Qty]])</f>
        <v>7</v>
      </c>
      <c r="R1593" s="161">
        <f>IF(Sales[[#This Row],[Status]]="Cancelled",0,Sales[[#This Row],[Total Amount]])</f>
        <v>24796.52</v>
      </c>
      <c r="S1593" s="162">
        <f>SUM(Sales[Net Amount])</f>
        <v>406839287.73200053</v>
      </c>
    </row>
    <row r="1594" spans="1:19" ht="18.75" x14ac:dyDescent="0.25">
      <c r="A1594" s="163" t="s">
        <v>5200</v>
      </c>
      <c r="B1594" s="164">
        <v>45858</v>
      </c>
      <c r="C1594" s="34" t="s">
        <v>673</v>
      </c>
      <c r="D1594" s="53" t="str">
        <f>VLOOKUP(Sales[[#This Row],[Customer ID]],Customer[#All],2,0)</f>
        <v>Sunita Gupta</v>
      </c>
      <c r="E1594" s="34" t="s">
        <v>411</v>
      </c>
      <c r="F1594" s="34" t="str">
        <f>VLOOKUP(Sales[[#This Row],[Product ID]],Product[#All],2,0)</f>
        <v>Logitech Webcam</v>
      </c>
      <c r="G1594" s="53">
        <v>8</v>
      </c>
      <c r="H1594" s="165">
        <f>VLOOKUP(Sales[[#This Row],[Product ID]],Product[#All],7,0)</f>
        <v>2350</v>
      </c>
      <c r="I1594" s="165">
        <f>Sales[[#This Row],[Selling Rate]]*Sales[[#This Row],[Qty]]</f>
        <v>18800</v>
      </c>
      <c r="J1594" s="45">
        <v>0.12</v>
      </c>
      <c r="K1594" s="46">
        <f>Sales[[#This Row],[Gross Amount]]*Sales[[#This Row],[Disc %]]</f>
        <v>2256</v>
      </c>
      <c r="L1594" s="43">
        <v>0.18</v>
      </c>
      <c r="M1594" s="46">
        <f>(Sales[[#This Row],[Gross Amount]]-Sales[[#This Row],[Disc. Amt.]])*Sales[[#This Row],[GST %]]</f>
        <v>2977.92</v>
      </c>
      <c r="N1594" s="161">
        <f>Sales[[#This Row],[Gross Amount]]-Sales[[#This Row],[Disc. Amt.]]+Sales[[#This Row],[GST Amount]]</f>
        <v>19521.919999999998</v>
      </c>
      <c r="O1594" s="34" t="s">
        <v>3566</v>
      </c>
      <c r="P1594" s="34" t="s">
        <v>3562</v>
      </c>
      <c r="Q1594" s="165">
        <f>IF(Sales[[#This Row],[Status]]="Cancelled",0,Sales[[#This Row],[Qty]])</f>
        <v>8</v>
      </c>
      <c r="R1594" s="166">
        <f>IF(Sales[[#This Row],[Status]]="Cancelled",0,Sales[[#This Row],[Total Amount]])</f>
        <v>19521.919999999998</v>
      </c>
      <c r="S1594" s="162">
        <f>SUM(Sales[Net Amount])</f>
        <v>406839287.73200053</v>
      </c>
    </row>
    <row r="1595" spans="1:19" ht="18.75" x14ac:dyDescent="0.25">
      <c r="A1595" s="156" t="s">
        <v>5201</v>
      </c>
      <c r="B1595" s="157">
        <v>45858</v>
      </c>
      <c r="C1595" s="158" t="s">
        <v>833</v>
      </c>
      <c r="D1595" s="159" t="str">
        <f>VLOOKUP(Sales[[#This Row],[Customer ID]],Customer[#All],2,0)</f>
        <v>Sunita Kumar</v>
      </c>
      <c r="E1595" s="158" t="s">
        <v>41</v>
      </c>
      <c r="F1595" s="158" t="str">
        <f>VLOOKUP(Sales[[#This Row],[Product ID]],Product[#All],2,0)</f>
        <v>HP Laptop</v>
      </c>
      <c r="G1595" s="159">
        <v>8</v>
      </c>
      <c r="H1595" s="160">
        <f>VLOOKUP(Sales[[#This Row],[Product ID]],Product[#All],7,0)</f>
        <v>74700</v>
      </c>
      <c r="I1595" s="160">
        <f>Sales[[#This Row],[Selling Rate]]*Sales[[#This Row],[Qty]]</f>
        <v>597600</v>
      </c>
      <c r="J1595" s="43">
        <v>0.02</v>
      </c>
      <c r="K1595" s="44">
        <f>Sales[[#This Row],[Gross Amount]]*Sales[[#This Row],[Disc %]]</f>
        <v>11952</v>
      </c>
      <c r="L1595" s="43">
        <v>0.18</v>
      </c>
      <c r="M1595" s="44">
        <f>(Sales[[#This Row],[Gross Amount]]-Sales[[#This Row],[Disc. Amt.]])*Sales[[#This Row],[GST %]]</f>
        <v>105416.64</v>
      </c>
      <c r="N1595" s="161">
        <f>Sales[[#This Row],[Gross Amount]]-Sales[[#This Row],[Disc. Amt.]]+Sales[[#This Row],[GST Amount]]</f>
        <v>691064.64</v>
      </c>
      <c r="O1595" s="158" t="s">
        <v>3569</v>
      </c>
      <c r="P1595" s="158" t="s">
        <v>3562</v>
      </c>
      <c r="Q1595" s="160">
        <f>IF(Sales[[#This Row],[Status]]="Cancelled",0,Sales[[#This Row],[Qty]])</f>
        <v>8</v>
      </c>
      <c r="R1595" s="161">
        <f>IF(Sales[[#This Row],[Status]]="Cancelled",0,Sales[[#This Row],[Total Amount]])</f>
        <v>691064.64</v>
      </c>
      <c r="S1595" s="162">
        <f>SUM(Sales[Net Amount])</f>
        <v>406839287.73200053</v>
      </c>
    </row>
    <row r="1596" spans="1:19" ht="18.75" x14ac:dyDescent="0.25">
      <c r="A1596" s="163" t="s">
        <v>5202</v>
      </c>
      <c r="B1596" s="164">
        <v>45858</v>
      </c>
      <c r="C1596" s="34" t="s">
        <v>913</v>
      </c>
      <c r="D1596" s="53" t="str">
        <f>VLOOKUP(Sales[[#This Row],[Customer ID]],Customer[#All],2,0)</f>
        <v>Pooja Kumar</v>
      </c>
      <c r="E1596" s="34" t="s">
        <v>361</v>
      </c>
      <c r="F1596" s="34" t="str">
        <f>VLOOKUP(Sales[[#This Row],[Product ID]],Product[#All],2,0)</f>
        <v>Epson Printer</v>
      </c>
      <c r="G1596" s="53">
        <v>7</v>
      </c>
      <c r="H1596" s="165">
        <f>VLOOKUP(Sales[[#This Row],[Product ID]],Product[#All],7,0)</f>
        <v>26570</v>
      </c>
      <c r="I1596" s="165">
        <f>Sales[[#This Row],[Selling Rate]]*Sales[[#This Row],[Qty]]</f>
        <v>185990</v>
      </c>
      <c r="J1596" s="45">
        <v>0.12</v>
      </c>
      <c r="K1596" s="46">
        <f>Sales[[#This Row],[Gross Amount]]*Sales[[#This Row],[Disc %]]</f>
        <v>22318.799999999999</v>
      </c>
      <c r="L1596" s="43">
        <v>0.18</v>
      </c>
      <c r="M1596" s="46">
        <f>(Sales[[#This Row],[Gross Amount]]-Sales[[#This Row],[Disc. Amt.]])*Sales[[#This Row],[GST %]]</f>
        <v>29460.816000000003</v>
      </c>
      <c r="N1596" s="161">
        <f>Sales[[#This Row],[Gross Amount]]-Sales[[#This Row],[Disc. Amt.]]+Sales[[#This Row],[GST Amount]]</f>
        <v>193132.016</v>
      </c>
      <c r="O1596" s="34" t="s">
        <v>3569</v>
      </c>
      <c r="P1596" s="34" t="s">
        <v>3562</v>
      </c>
      <c r="Q1596" s="165">
        <f>IF(Sales[[#This Row],[Status]]="Cancelled",0,Sales[[#This Row],[Qty]])</f>
        <v>7</v>
      </c>
      <c r="R1596" s="166">
        <f>IF(Sales[[#This Row],[Status]]="Cancelled",0,Sales[[#This Row],[Total Amount]])</f>
        <v>193132.016</v>
      </c>
      <c r="S1596" s="162">
        <f>SUM(Sales[Net Amount])</f>
        <v>406839287.73200053</v>
      </c>
    </row>
    <row r="1597" spans="1:19" ht="18.75" x14ac:dyDescent="0.25">
      <c r="A1597" s="156" t="s">
        <v>5203</v>
      </c>
      <c r="B1597" s="157">
        <v>45858</v>
      </c>
      <c r="C1597" s="158" t="s">
        <v>756</v>
      </c>
      <c r="D1597" s="159" t="str">
        <f>VLOOKUP(Sales[[#This Row],[Customer ID]],Customer[#All],2,0)</f>
        <v>Amit Patel</v>
      </c>
      <c r="E1597" s="158" t="s">
        <v>308</v>
      </c>
      <c r="F1597" s="158" t="str">
        <f>VLOOKUP(Sales[[#This Row],[Product ID]],Product[#All],2,0)</f>
        <v>Kingston Ram</v>
      </c>
      <c r="G1597" s="159">
        <v>2</v>
      </c>
      <c r="H1597" s="160">
        <f>VLOOKUP(Sales[[#This Row],[Product ID]],Product[#All],7,0)</f>
        <v>3980</v>
      </c>
      <c r="I1597" s="160">
        <f>Sales[[#This Row],[Selling Rate]]*Sales[[#This Row],[Qty]]</f>
        <v>7960</v>
      </c>
      <c r="J1597" s="43">
        <v>0</v>
      </c>
      <c r="K1597" s="44">
        <f>Sales[[#This Row],[Gross Amount]]*Sales[[#This Row],[Disc %]]</f>
        <v>0</v>
      </c>
      <c r="L1597" s="43">
        <v>0.18</v>
      </c>
      <c r="M1597" s="44">
        <f>(Sales[[#This Row],[Gross Amount]]-Sales[[#This Row],[Disc. Amt.]])*Sales[[#This Row],[GST %]]</f>
        <v>1432.8</v>
      </c>
      <c r="N1597" s="161">
        <f>Sales[[#This Row],[Gross Amount]]-Sales[[#This Row],[Disc. Amt.]]+Sales[[#This Row],[GST Amount]]</f>
        <v>9392.7999999999993</v>
      </c>
      <c r="O1597" s="158" t="s">
        <v>3566</v>
      </c>
      <c r="P1597" s="158" t="s">
        <v>3562</v>
      </c>
      <c r="Q1597" s="160">
        <f>IF(Sales[[#This Row],[Status]]="Cancelled",0,Sales[[#This Row],[Qty]])</f>
        <v>2</v>
      </c>
      <c r="R1597" s="161">
        <f>IF(Sales[[#This Row],[Status]]="Cancelled",0,Sales[[#This Row],[Total Amount]])</f>
        <v>9392.7999999999993</v>
      </c>
      <c r="S1597" s="162">
        <f>SUM(Sales[Net Amount])</f>
        <v>406839287.73200053</v>
      </c>
    </row>
    <row r="1598" spans="1:19" ht="18.75" x14ac:dyDescent="0.25">
      <c r="A1598" s="163" t="s">
        <v>5204</v>
      </c>
      <c r="B1598" s="164">
        <v>45858</v>
      </c>
      <c r="C1598" s="34" t="s">
        <v>711</v>
      </c>
      <c r="D1598" s="53" t="str">
        <f>VLOOKUP(Sales[[#This Row],[Customer ID]],Customer[#All],2,0)</f>
        <v>Priya Verma</v>
      </c>
      <c r="E1598" s="34" t="s">
        <v>191</v>
      </c>
      <c r="F1598" s="34" t="str">
        <f>VLOOKUP(Sales[[#This Row],[Product ID]],Product[#All],2,0)</f>
        <v>Logitech Keyboard</v>
      </c>
      <c r="G1598" s="53">
        <v>1</v>
      </c>
      <c r="H1598" s="165">
        <f>VLOOKUP(Sales[[#This Row],[Product ID]],Product[#All],7,0)</f>
        <v>2000</v>
      </c>
      <c r="I1598" s="165">
        <f>Sales[[#This Row],[Selling Rate]]*Sales[[#This Row],[Qty]]</f>
        <v>2000</v>
      </c>
      <c r="J1598" s="45">
        <v>0</v>
      </c>
      <c r="K1598" s="46">
        <f>Sales[[#This Row],[Gross Amount]]*Sales[[#This Row],[Disc %]]</f>
        <v>0</v>
      </c>
      <c r="L1598" s="43">
        <v>0.18</v>
      </c>
      <c r="M1598" s="46">
        <f>(Sales[[#This Row],[Gross Amount]]-Sales[[#This Row],[Disc. Amt.]])*Sales[[#This Row],[GST %]]</f>
        <v>360</v>
      </c>
      <c r="N1598" s="161">
        <f>Sales[[#This Row],[Gross Amount]]-Sales[[#This Row],[Disc. Amt.]]+Sales[[#This Row],[GST Amount]]</f>
        <v>2360</v>
      </c>
      <c r="O1598" s="34" t="s">
        <v>3569</v>
      </c>
      <c r="P1598" s="34" t="s">
        <v>3562</v>
      </c>
      <c r="Q1598" s="165">
        <f>IF(Sales[[#This Row],[Status]]="Cancelled",0,Sales[[#This Row],[Qty]])</f>
        <v>1</v>
      </c>
      <c r="R1598" s="166">
        <f>IF(Sales[[#This Row],[Status]]="Cancelled",0,Sales[[#This Row],[Total Amount]])</f>
        <v>2360</v>
      </c>
      <c r="S1598" s="162">
        <f>SUM(Sales[Net Amount])</f>
        <v>406839287.73200053</v>
      </c>
    </row>
    <row r="1599" spans="1:19" ht="18.75" x14ac:dyDescent="0.25">
      <c r="A1599" s="156" t="s">
        <v>5205</v>
      </c>
      <c r="B1599" s="157">
        <v>45859</v>
      </c>
      <c r="C1599" s="158" t="s">
        <v>867</v>
      </c>
      <c r="D1599" s="159" t="str">
        <f>VLOOKUP(Sales[[#This Row],[Customer ID]],Customer[#All],2,0)</f>
        <v>Priya Gupta</v>
      </c>
      <c r="E1599" s="158" t="s">
        <v>513</v>
      </c>
      <c r="F1599" s="158" t="str">
        <f>VLOOKUP(Sales[[#This Row],[Product ID]],Product[#All],2,0)</f>
        <v>HP Power Adapter</v>
      </c>
      <c r="G1599" s="159">
        <v>1</v>
      </c>
      <c r="H1599" s="160">
        <f>VLOOKUP(Sales[[#This Row],[Product ID]],Product[#All],7,0)</f>
        <v>2470</v>
      </c>
      <c r="I1599" s="160">
        <f>Sales[[#This Row],[Selling Rate]]*Sales[[#This Row],[Qty]]</f>
        <v>2470</v>
      </c>
      <c r="J1599" s="43">
        <v>0.05</v>
      </c>
      <c r="K1599" s="44">
        <f>Sales[[#This Row],[Gross Amount]]*Sales[[#This Row],[Disc %]]</f>
        <v>123.5</v>
      </c>
      <c r="L1599" s="43">
        <v>0.18</v>
      </c>
      <c r="M1599" s="44">
        <f>(Sales[[#This Row],[Gross Amount]]-Sales[[#This Row],[Disc. Amt.]])*Sales[[#This Row],[GST %]]</f>
        <v>422.37</v>
      </c>
      <c r="N1599" s="161">
        <f>Sales[[#This Row],[Gross Amount]]-Sales[[#This Row],[Disc. Amt.]]+Sales[[#This Row],[GST Amount]]</f>
        <v>2768.87</v>
      </c>
      <c r="O1599" s="158" t="s">
        <v>3569</v>
      </c>
      <c r="P1599" s="158" t="s">
        <v>3562</v>
      </c>
      <c r="Q1599" s="160">
        <f>IF(Sales[[#This Row],[Status]]="Cancelled",0,Sales[[#This Row],[Qty]])</f>
        <v>1</v>
      </c>
      <c r="R1599" s="161">
        <f>IF(Sales[[#This Row],[Status]]="Cancelled",0,Sales[[#This Row],[Total Amount]])</f>
        <v>2768.87</v>
      </c>
      <c r="S1599" s="162">
        <f>SUM(Sales[Net Amount])</f>
        <v>406839287.73200053</v>
      </c>
    </row>
    <row r="1600" spans="1:19" ht="18.75" x14ac:dyDescent="0.25">
      <c r="A1600" s="163" t="s">
        <v>5206</v>
      </c>
      <c r="B1600" s="164">
        <v>45859</v>
      </c>
      <c r="C1600" s="34" t="s">
        <v>707</v>
      </c>
      <c r="D1600" s="53" t="str">
        <f>VLOOKUP(Sales[[#This Row],[Customer ID]],Customer[#All],2,0)</f>
        <v>Rahul Verma</v>
      </c>
      <c r="E1600" s="34" t="s">
        <v>130</v>
      </c>
      <c r="F1600" s="34" t="str">
        <f>VLOOKUP(Sales[[#This Row],[Product ID]],Product[#All],2,0)</f>
        <v>Lenovo Laptop</v>
      </c>
      <c r="G1600" s="53">
        <v>1</v>
      </c>
      <c r="H1600" s="165">
        <f>VLOOKUP(Sales[[#This Row],[Product ID]],Product[#All],7,0)</f>
        <v>39230</v>
      </c>
      <c r="I1600" s="165">
        <f>Sales[[#This Row],[Selling Rate]]*Sales[[#This Row],[Qty]]</f>
        <v>39230</v>
      </c>
      <c r="J1600" s="45">
        <v>0.02</v>
      </c>
      <c r="K1600" s="46">
        <f>Sales[[#This Row],[Gross Amount]]*Sales[[#This Row],[Disc %]]</f>
        <v>784.6</v>
      </c>
      <c r="L1600" s="43">
        <v>0.18</v>
      </c>
      <c r="M1600" s="46">
        <f>(Sales[[#This Row],[Gross Amount]]-Sales[[#This Row],[Disc. Amt.]])*Sales[[#This Row],[GST %]]</f>
        <v>6920.1719999999996</v>
      </c>
      <c r="N1600" s="161">
        <f>Sales[[#This Row],[Gross Amount]]-Sales[[#This Row],[Disc. Amt.]]+Sales[[#This Row],[GST Amount]]</f>
        <v>45365.572</v>
      </c>
      <c r="O1600" s="34" t="s">
        <v>3566</v>
      </c>
      <c r="P1600" s="34" t="s">
        <v>3562</v>
      </c>
      <c r="Q1600" s="165">
        <f>IF(Sales[[#This Row],[Status]]="Cancelled",0,Sales[[#This Row],[Qty]])</f>
        <v>1</v>
      </c>
      <c r="R1600" s="166">
        <f>IF(Sales[[#This Row],[Status]]="Cancelled",0,Sales[[#This Row],[Total Amount]])</f>
        <v>45365.572</v>
      </c>
      <c r="S1600" s="162">
        <f>SUM(Sales[Net Amount])</f>
        <v>406839287.73200053</v>
      </c>
    </row>
    <row r="1601" spans="1:19" ht="18.75" x14ac:dyDescent="0.25">
      <c r="A1601" s="156" t="s">
        <v>5207</v>
      </c>
      <c r="B1601" s="157">
        <v>45859</v>
      </c>
      <c r="C1601" s="158" t="s">
        <v>725</v>
      </c>
      <c r="D1601" s="159" t="str">
        <f>VLOOKUP(Sales[[#This Row],[Customer ID]],Customer[#All],2,0)</f>
        <v>Ankit Kumar</v>
      </c>
      <c r="E1601" s="158" t="s">
        <v>132</v>
      </c>
      <c r="F1601" s="158" t="str">
        <f>VLOOKUP(Sales[[#This Row],[Product ID]],Product[#All],2,0)</f>
        <v>Jbl Headset</v>
      </c>
      <c r="G1601" s="159">
        <v>8</v>
      </c>
      <c r="H1601" s="160">
        <f>VLOOKUP(Sales[[#This Row],[Product ID]],Product[#All],7,0)</f>
        <v>7470</v>
      </c>
      <c r="I1601" s="160">
        <f>Sales[[#This Row],[Selling Rate]]*Sales[[#This Row],[Qty]]</f>
        <v>59760</v>
      </c>
      <c r="J1601" s="43">
        <v>0</v>
      </c>
      <c r="K1601" s="44">
        <f>Sales[[#This Row],[Gross Amount]]*Sales[[#This Row],[Disc %]]</f>
        <v>0</v>
      </c>
      <c r="L1601" s="43">
        <v>0.18</v>
      </c>
      <c r="M1601" s="44">
        <f>(Sales[[#This Row],[Gross Amount]]-Sales[[#This Row],[Disc. Amt.]])*Sales[[#This Row],[GST %]]</f>
        <v>10756.8</v>
      </c>
      <c r="N1601" s="161">
        <f>Sales[[#This Row],[Gross Amount]]-Sales[[#This Row],[Disc. Amt.]]+Sales[[#This Row],[GST Amount]]</f>
        <v>70516.800000000003</v>
      </c>
      <c r="O1601" s="158" t="s">
        <v>3566</v>
      </c>
      <c r="P1601" s="158" t="s">
        <v>3562</v>
      </c>
      <c r="Q1601" s="160">
        <f>IF(Sales[[#This Row],[Status]]="Cancelled",0,Sales[[#This Row],[Qty]])</f>
        <v>8</v>
      </c>
      <c r="R1601" s="161">
        <f>IF(Sales[[#This Row],[Status]]="Cancelled",0,Sales[[#This Row],[Total Amount]])</f>
        <v>70516.800000000003</v>
      </c>
      <c r="S1601" s="162">
        <f>SUM(Sales[Net Amount])</f>
        <v>406839287.73200053</v>
      </c>
    </row>
    <row r="1602" spans="1:19" ht="18.75" x14ac:dyDescent="0.25">
      <c r="A1602" s="163" t="s">
        <v>5208</v>
      </c>
      <c r="B1602" s="164">
        <v>45859</v>
      </c>
      <c r="C1602" s="34" t="s">
        <v>911</v>
      </c>
      <c r="D1602" s="53" t="str">
        <f>VLOOKUP(Sales[[#This Row],[Customer ID]],Customer[#All],2,0)</f>
        <v>Amit Kumar</v>
      </c>
      <c r="E1602" s="34" t="s">
        <v>312</v>
      </c>
      <c r="F1602" s="34" t="str">
        <f>VLOOKUP(Sales[[#This Row],[Product ID]],Product[#All],2,0)</f>
        <v>Dell Desktop</v>
      </c>
      <c r="G1602" s="53">
        <v>3</v>
      </c>
      <c r="H1602" s="165">
        <f>VLOOKUP(Sales[[#This Row],[Product ID]],Product[#All],7,0)</f>
        <v>59050</v>
      </c>
      <c r="I1602" s="165">
        <f>Sales[[#This Row],[Selling Rate]]*Sales[[#This Row],[Qty]]</f>
        <v>177150</v>
      </c>
      <c r="J1602" s="45">
        <v>0.15</v>
      </c>
      <c r="K1602" s="46">
        <f>Sales[[#This Row],[Gross Amount]]*Sales[[#This Row],[Disc %]]</f>
        <v>26572.5</v>
      </c>
      <c r="L1602" s="43">
        <v>0.18</v>
      </c>
      <c r="M1602" s="46">
        <f>(Sales[[#This Row],[Gross Amount]]-Sales[[#This Row],[Disc. Amt.]])*Sales[[#This Row],[GST %]]</f>
        <v>27103.95</v>
      </c>
      <c r="N1602" s="161">
        <f>Sales[[#This Row],[Gross Amount]]-Sales[[#This Row],[Disc. Amt.]]+Sales[[#This Row],[GST Amount]]</f>
        <v>177681.45</v>
      </c>
      <c r="O1602" s="34" t="s">
        <v>3569</v>
      </c>
      <c r="P1602" s="34" t="s">
        <v>3562</v>
      </c>
      <c r="Q1602" s="165">
        <f>IF(Sales[[#This Row],[Status]]="Cancelled",0,Sales[[#This Row],[Qty]])</f>
        <v>3</v>
      </c>
      <c r="R1602" s="166">
        <f>IF(Sales[[#This Row],[Status]]="Cancelled",0,Sales[[#This Row],[Total Amount]])</f>
        <v>177681.45</v>
      </c>
      <c r="S1602" s="162">
        <f>SUM(Sales[Net Amount])</f>
        <v>406839287.73200053</v>
      </c>
    </row>
    <row r="1603" spans="1:19" ht="18.75" x14ac:dyDescent="0.25">
      <c r="A1603" s="156" t="s">
        <v>5209</v>
      </c>
      <c r="B1603" s="157">
        <v>45859</v>
      </c>
      <c r="C1603" s="158" t="s">
        <v>651</v>
      </c>
      <c r="D1603" s="159" t="str">
        <f>VLOOKUP(Sales[[#This Row],[Customer ID]],Customer[#All],2,0)</f>
        <v>Sahil Verma</v>
      </c>
      <c r="E1603" s="158" t="s">
        <v>427</v>
      </c>
      <c r="F1603" s="158" t="str">
        <f>VLOOKUP(Sales[[#This Row],[Product ID]],Product[#All],2,0)</f>
        <v>Logitech Mouse</v>
      </c>
      <c r="G1603" s="159">
        <v>1</v>
      </c>
      <c r="H1603" s="160">
        <f>VLOOKUP(Sales[[#This Row],[Product ID]],Product[#All],7,0)</f>
        <v>1190</v>
      </c>
      <c r="I1603" s="160">
        <f>Sales[[#This Row],[Selling Rate]]*Sales[[#This Row],[Qty]]</f>
        <v>1190</v>
      </c>
      <c r="J1603" s="43">
        <v>0</v>
      </c>
      <c r="K1603" s="44">
        <f>Sales[[#This Row],[Gross Amount]]*Sales[[#This Row],[Disc %]]</f>
        <v>0</v>
      </c>
      <c r="L1603" s="43">
        <v>0.18</v>
      </c>
      <c r="M1603" s="44">
        <f>(Sales[[#This Row],[Gross Amount]]-Sales[[#This Row],[Disc. Amt.]])*Sales[[#This Row],[GST %]]</f>
        <v>214.2</v>
      </c>
      <c r="N1603" s="161">
        <f>Sales[[#This Row],[Gross Amount]]-Sales[[#This Row],[Disc. Amt.]]+Sales[[#This Row],[GST Amount]]</f>
        <v>1404.2</v>
      </c>
      <c r="O1603" s="158" t="s">
        <v>3561</v>
      </c>
      <c r="P1603" s="158" t="s">
        <v>3562</v>
      </c>
      <c r="Q1603" s="160">
        <f>IF(Sales[[#This Row],[Status]]="Cancelled",0,Sales[[#This Row],[Qty]])</f>
        <v>1</v>
      </c>
      <c r="R1603" s="161">
        <f>IF(Sales[[#This Row],[Status]]="Cancelled",0,Sales[[#This Row],[Total Amount]])</f>
        <v>1404.2</v>
      </c>
      <c r="S1603" s="162">
        <f>SUM(Sales[Net Amount])</f>
        <v>406839287.73200053</v>
      </c>
    </row>
    <row r="1604" spans="1:19" ht="18.75" x14ac:dyDescent="0.25">
      <c r="A1604" s="163" t="s">
        <v>5210</v>
      </c>
      <c r="B1604" s="164">
        <v>45859</v>
      </c>
      <c r="C1604" s="34" t="s">
        <v>860</v>
      </c>
      <c r="D1604" s="53" t="str">
        <f>VLOOKUP(Sales[[#This Row],[Customer ID]],Customer[#All],2,0)</f>
        <v>Rakesh Verma</v>
      </c>
      <c r="E1604" s="34" t="s">
        <v>507</v>
      </c>
      <c r="F1604" s="34" t="str">
        <f>VLOOKUP(Sales[[#This Row],[Product ID]],Product[#All],2,0)</f>
        <v>American TouristerLaptopBag</v>
      </c>
      <c r="G1604" s="53">
        <v>6</v>
      </c>
      <c r="H1604" s="165">
        <f>VLOOKUP(Sales[[#This Row],[Product ID]],Product[#All],7,0)</f>
        <v>2030</v>
      </c>
      <c r="I1604" s="165">
        <f>Sales[[#This Row],[Selling Rate]]*Sales[[#This Row],[Qty]]</f>
        <v>12180</v>
      </c>
      <c r="J1604" s="45">
        <v>0.1</v>
      </c>
      <c r="K1604" s="46">
        <f>Sales[[#This Row],[Gross Amount]]*Sales[[#This Row],[Disc %]]</f>
        <v>1218</v>
      </c>
      <c r="L1604" s="43">
        <v>0.18</v>
      </c>
      <c r="M1604" s="46">
        <f>(Sales[[#This Row],[Gross Amount]]-Sales[[#This Row],[Disc. Amt.]])*Sales[[#This Row],[GST %]]</f>
        <v>1973.1599999999999</v>
      </c>
      <c r="N1604" s="161">
        <f>Sales[[#This Row],[Gross Amount]]-Sales[[#This Row],[Disc. Amt.]]+Sales[[#This Row],[GST Amount]]</f>
        <v>12935.16</v>
      </c>
      <c r="O1604" s="34" t="s">
        <v>3561</v>
      </c>
      <c r="P1604" s="34" t="s">
        <v>3562</v>
      </c>
      <c r="Q1604" s="165">
        <f>IF(Sales[[#This Row],[Status]]="Cancelled",0,Sales[[#This Row],[Qty]])</f>
        <v>6</v>
      </c>
      <c r="R1604" s="166">
        <f>IF(Sales[[#This Row],[Status]]="Cancelled",0,Sales[[#This Row],[Total Amount]])</f>
        <v>12935.16</v>
      </c>
      <c r="S1604" s="162">
        <f>SUM(Sales[Net Amount])</f>
        <v>406839287.73200053</v>
      </c>
    </row>
    <row r="1605" spans="1:19" ht="18.75" x14ac:dyDescent="0.25">
      <c r="A1605" s="156" t="s">
        <v>5211</v>
      </c>
      <c r="B1605" s="157">
        <v>45859</v>
      </c>
      <c r="C1605" s="158" t="s">
        <v>4423</v>
      </c>
      <c r="D1605" s="159" t="str">
        <f>VLOOKUP(Sales[[#This Row],[Customer ID]],Customer[#All],2,0)</f>
        <v>Rakesh Sharma</v>
      </c>
      <c r="E1605" s="158" t="s">
        <v>492</v>
      </c>
      <c r="F1605" s="158" t="str">
        <f>VLOOKUP(Sales[[#This Row],[Product ID]],Product[#All],2,0)</f>
        <v>Microtek UPS</v>
      </c>
      <c r="G1605" s="159">
        <v>8</v>
      </c>
      <c r="H1605" s="160">
        <f>VLOOKUP(Sales[[#This Row],[Product ID]],Product[#All],7,0)</f>
        <v>13470</v>
      </c>
      <c r="I1605" s="160">
        <f>Sales[[#This Row],[Selling Rate]]*Sales[[#This Row],[Qty]]</f>
        <v>107760</v>
      </c>
      <c r="J1605" s="43">
        <v>0.15</v>
      </c>
      <c r="K1605" s="44">
        <f>Sales[[#This Row],[Gross Amount]]*Sales[[#This Row],[Disc %]]</f>
        <v>16164</v>
      </c>
      <c r="L1605" s="43">
        <v>0.18</v>
      </c>
      <c r="M1605" s="44">
        <f>(Sales[[#This Row],[Gross Amount]]-Sales[[#This Row],[Disc. Amt.]])*Sales[[#This Row],[GST %]]</f>
        <v>16487.28</v>
      </c>
      <c r="N1605" s="161">
        <f>Sales[[#This Row],[Gross Amount]]-Sales[[#This Row],[Disc. Amt.]]+Sales[[#This Row],[GST Amount]]</f>
        <v>108083.28</v>
      </c>
      <c r="O1605" s="158" t="s">
        <v>3566</v>
      </c>
      <c r="P1605" s="158" t="s">
        <v>3562</v>
      </c>
      <c r="Q1605" s="160">
        <f>IF(Sales[[#This Row],[Status]]="Cancelled",0,Sales[[#This Row],[Qty]])</f>
        <v>8</v>
      </c>
      <c r="R1605" s="161">
        <f>IF(Sales[[#This Row],[Status]]="Cancelled",0,Sales[[#This Row],[Total Amount]])</f>
        <v>108083.28</v>
      </c>
      <c r="S1605" s="162">
        <f>SUM(Sales[Net Amount])</f>
        <v>406839287.73200053</v>
      </c>
    </row>
    <row r="1606" spans="1:19" ht="18.75" x14ac:dyDescent="0.25">
      <c r="A1606" s="163" t="s">
        <v>5212</v>
      </c>
      <c r="B1606" s="164">
        <v>45859</v>
      </c>
      <c r="C1606" s="34" t="s">
        <v>738</v>
      </c>
      <c r="D1606" s="53" t="str">
        <f>VLOOKUP(Sales[[#This Row],[Customer ID]],Customer[#All],2,0)</f>
        <v>Pooja Patel</v>
      </c>
      <c r="E1606" s="34" t="s">
        <v>198</v>
      </c>
      <c r="F1606" s="34" t="str">
        <f>VLOOKUP(Sales[[#This Row],[Product ID]],Product[#All],2,0)</f>
        <v>PortronicsLaptopStand</v>
      </c>
      <c r="G1606" s="53">
        <v>8</v>
      </c>
      <c r="H1606" s="165">
        <f>VLOOKUP(Sales[[#This Row],[Product ID]],Product[#All],7,0)</f>
        <v>2240</v>
      </c>
      <c r="I1606" s="165">
        <f>Sales[[#This Row],[Selling Rate]]*Sales[[#This Row],[Qty]]</f>
        <v>17920</v>
      </c>
      <c r="J1606" s="45">
        <v>0.05</v>
      </c>
      <c r="K1606" s="46">
        <f>Sales[[#This Row],[Gross Amount]]*Sales[[#This Row],[Disc %]]</f>
        <v>896</v>
      </c>
      <c r="L1606" s="43">
        <v>0.18</v>
      </c>
      <c r="M1606" s="46">
        <f>(Sales[[#This Row],[Gross Amount]]-Sales[[#This Row],[Disc. Amt.]])*Sales[[#This Row],[GST %]]</f>
        <v>3064.3199999999997</v>
      </c>
      <c r="N1606" s="161">
        <f>Sales[[#This Row],[Gross Amount]]-Sales[[#This Row],[Disc. Amt.]]+Sales[[#This Row],[GST Amount]]</f>
        <v>20088.32</v>
      </c>
      <c r="O1606" s="34" t="s">
        <v>8876</v>
      </c>
      <c r="P1606" s="34" t="s">
        <v>3562</v>
      </c>
      <c r="Q1606" s="165">
        <f>IF(Sales[[#This Row],[Status]]="Cancelled",0,Sales[[#This Row],[Qty]])</f>
        <v>8</v>
      </c>
      <c r="R1606" s="166">
        <f>IF(Sales[[#This Row],[Status]]="Cancelled",0,Sales[[#This Row],[Total Amount]])</f>
        <v>20088.32</v>
      </c>
      <c r="S1606" s="162">
        <f>SUM(Sales[Net Amount])</f>
        <v>406839287.73200053</v>
      </c>
    </row>
    <row r="1607" spans="1:19" ht="18.75" x14ac:dyDescent="0.25">
      <c r="A1607" s="156" t="s">
        <v>5213</v>
      </c>
      <c r="B1607" s="157">
        <v>45859</v>
      </c>
      <c r="C1607" s="158" t="s">
        <v>849</v>
      </c>
      <c r="D1607" s="159" t="str">
        <f>VLOOKUP(Sales[[#This Row],[Customer ID]],Customer[#All],2,0)</f>
        <v>Sunita Sharma</v>
      </c>
      <c r="E1607" s="158" t="s">
        <v>318</v>
      </c>
      <c r="F1607" s="158" t="str">
        <f>VLOOKUP(Sales[[#This Row],[Product ID]],Product[#All],2,0)</f>
        <v>HP Printer</v>
      </c>
      <c r="G1607" s="159">
        <v>5</v>
      </c>
      <c r="H1607" s="160">
        <f>VLOOKUP(Sales[[#This Row],[Product ID]],Product[#All],7,0)</f>
        <v>30590</v>
      </c>
      <c r="I1607" s="160">
        <f>Sales[[#This Row],[Selling Rate]]*Sales[[#This Row],[Qty]]</f>
        <v>152950</v>
      </c>
      <c r="J1607" s="43">
        <v>0.02</v>
      </c>
      <c r="K1607" s="44">
        <f>Sales[[#This Row],[Gross Amount]]*Sales[[#This Row],[Disc %]]</f>
        <v>3059</v>
      </c>
      <c r="L1607" s="43">
        <v>0.18</v>
      </c>
      <c r="M1607" s="44">
        <f>(Sales[[#This Row],[Gross Amount]]-Sales[[#This Row],[Disc. Amt.]])*Sales[[#This Row],[GST %]]</f>
        <v>26980.379999999997</v>
      </c>
      <c r="N1607" s="161">
        <f>Sales[[#This Row],[Gross Amount]]-Sales[[#This Row],[Disc. Amt.]]+Sales[[#This Row],[GST Amount]]</f>
        <v>176871.38</v>
      </c>
      <c r="O1607" s="158" t="s">
        <v>3566</v>
      </c>
      <c r="P1607" s="158" t="s">
        <v>3562</v>
      </c>
      <c r="Q1607" s="160">
        <f>IF(Sales[[#This Row],[Status]]="Cancelled",0,Sales[[#This Row],[Qty]])</f>
        <v>5</v>
      </c>
      <c r="R1607" s="161">
        <f>IF(Sales[[#This Row],[Status]]="Cancelled",0,Sales[[#This Row],[Total Amount]])</f>
        <v>176871.38</v>
      </c>
      <c r="S1607" s="162">
        <f>SUM(Sales[Net Amount])</f>
        <v>406839287.73200053</v>
      </c>
    </row>
    <row r="1608" spans="1:19" ht="18.75" x14ac:dyDescent="0.25">
      <c r="A1608" s="163" t="s">
        <v>5214</v>
      </c>
      <c r="B1608" s="164">
        <v>45859</v>
      </c>
      <c r="C1608" s="34" t="s">
        <v>897</v>
      </c>
      <c r="D1608" s="53" t="str">
        <f>VLOOKUP(Sales[[#This Row],[Customer ID]],Customer[#All],2,0)</f>
        <v>Amit Patel</v>
      </c>
      <c r="E1608" s="34" t="s">
        <v>534</v>
      </c>
      <c r="F1608" s="34" t="str">
        <f>VLOOKUP(Sales[[#This Row],[Product ID]],Product[#All],2,0)</f>
        <v>Dell Laptop</v>
      </c>
      <c r="G1608" s="53">
        <v>3</v>
      </c>
      <c r="H1608" s="165">
        <f>VLOOKUP(Sales[[#This Row],[Product ID]],Product[#All],7,0)</f>
        <v>35560</v>
      </c>
      <c r="I1608" s="165">
        <f>Sales[[#This Row],[Selling Rate]]*Sales[[#This Row],[Qty]]</f>
        <v>106680</v>
      </c>
      <c r="J1608" s="45">
        <v>0.1</v>
      </c>
      <c r="K1608" s="46">
        <f>Sales[[#This Row],[Gross Amount]]*Sales[[#This Row],[Disc %]]</f>
        <v>10668</v>
      </c>
      <c r="L1608" s="43">
        <v>0.18</v>
      </c>
      <c r="M1608" s="46">
        <f>(Sales[[#This Row],[Gross Amount]]-Sales[[#This Row],[Disc. Amt.]])*Sales[[#This Row],[GST %]]</f>
        <v>17282.16</v>
      </c>
      <c r="N1608" s="161">
        <f>Sales[[#This Row],[Gross Amount]]-Sales[[#This Row],[Disc. Amt.]]+Sales[[#This Row],[GST Amount]]</f>
        <v>113294.16</v>
      </c>
      <c r="O1608" s="34" t="s">
        <v>3561</v>
      </c>
      <c r="P1608" s="34" t="s">
        <v>3562</v>
      </c>
      <c r="Q1608" s="165">
        <f>IF(Sales[[#This Row],[Status]]="Cancelled",0,Sales[[#This Row],[Qty]])</f>
        <v>3</v>
      </c>
      <c r="R1608" s="166">
        <f>IF(Sales[[#This Row],[Status]]="Cancelled",0,Sales[[#This Row],[Total Amount]])</f>
        <v>113294.16</v>
      </c>
      <c r="S1608" s="162">
        <f>SUM(Sales[Net Amount])</f>
        <v>406839287.73200053</v>
      </c>
    </row>
    <row r="1609" spans="1:19" ht="18.75" x14ac:dyDescent="0.25">
      <c r="A1609" s="156" t="s">
        <v>5215</v>
      </c>
      <c r="B1609" s="157">
        <v>45859</v>
      </c>
      <c r="C1609" s="158" t="s">
        <v>866</v>
      </c>
      <c r="D1609" s="159" t="str">
        <f>VLOOKUP(Sales[[#This Row],[Customer ID]],Customer[#All],2,0)</f>
        <v>Priya Patel</v>
      </c>
      <c r="E1609" s="158" t="s">
        <v>219</v>
      </c>
      <c r="F1609" s="158" t="str">
        <f>VLOOKUP(Sales[[#This Row],[Product ID]],Product[#All],2,0)</f>
        <v>Samsung Monitor</v>
      </c>
      <c r="G1609" s="159">
        <v>8</v>
      </c>
      <c r="H1609" s="160">
        <f>VLOOKUP(Sales[[#This Row],[Product ID]],Product[#All],7,0)</f>
        <v>22630</v>
      </c>
      <c r="I1609" s="160">
        <f>Sales[[#This Row],[Selling Rate]]*Sales[[#This Row],[Qty]]</f>
        <v>181040</v>
      </c>
      <c r="J1609" s="43">
        <v>0.02</v>
      </c>
      <c r="K1609" s="44">
        <f>Sales[[#This Row],[Gross Amount]]*Sales[[#This Row],[Disc %]]</f>
        <v>3620.8</v>
      </c>
      <c r="L1609" s="43">
        <v>0.18</v>
      </c>
      <c r="M1609" s="44">
        <f>(Sales[[#This Row],[Gross Amount]]-Sales[[#This Row],[Disc. Amt.]])*Sales[[#This Row],[GST %]]</f>
        <v>31935.456000000002</v>
      </c>
      <c r="N1609" s="161">
        <f>Sales[[#This Row],[Gross Amount]]-Sales[[#This Row],[Disc. Amt.]]+Sales[[#This Row],[GST Amount]]</f>
        <v>209354.65600000002</v>
      </c>
      <c r="O1609" s="158" t="s">
        <v>3569</v>
      </c>
      <c r="P1609" s="158" t="s">
        <v>3562</v>
      </c>
      <c r="Q1609" s="160">
        <f>IF(Sales[[#This Row],[Status]]="Cancelled",0,Sales[[#This Row],[Qty]])</f>
        <v>8</v>
      </c>
      <c r="R1609" s="161">
        <f>IF(Sales[[#This Row],[Status]]="Cancelled",0,Sales[[#This Row],[Total Amount]])</f>
        <v>209354.65600000002</v>
      </c>
      <c r="S1609" s="162">
        <f>SUM(Sales[Net Amount])</f>
        <v>406839287.73200053</v>
      </c>
    </row>
    <row r="1610" spans="1:19" ht="18.75" x14ac:dyDescent="0.25">
      <c r="A1610" s="163" t="s">
        <v>5216</v>
      </c>
      <c r="B1610" s="164">
        <v>45859</v>
      </c>
      <c r="C1610" s="34" t="s">
        <v>756</v>
      </c>
      <c r="D1610" s="53" t="str">
        <f>VLOOKUP(Sales[[#This Row],[Customer ID]],Customer[#All],2,0)</f>
        <v>Amit Patel</v>
      </c>
      <c r="E1610" s="34" t="s">
        <v>550</v>
      </c>
      <c r="F1610" s="34" t="str">
        <f>VLOOKUP(Sales[[#This Row],[Product ID]],Product[#All],2,0)</f>
        <v>TP-link Wi-Fi Adapter</v>
      </c>
      <c r="G1610" s="53">
        <v>2</v>
      </c>
      <c r="H1610" s="165">
        <f>VLOOKUP(Sales[[#This Row],[Product ID]],Product[#All],7,0)</f>
        <v>1300</v>
      </c>
      <c r="I1610" s="165">
        <f>Sales[[#This Row],[Selling Rate]]*Sales[[#This Row],[Qty]]</f>
        <v>2600</v>
      </c>
      <c r="J1610" s="45">
        <v>0.05</v>
      </c>
      <c r="K1610" s="46">
        <f>Sales[[#This Row],[Gross Amount]]*Sales[[#This Row],[Disc %]]</f>
        <v>130</v>
      </c>
      <c r="L1610" s="43">
        <v>0.18</v>
      </c>
      <c r="M1610" s="46">
        <f>(Sales[[#This Row],[Gross Amount]]-Sales[[#This Row],[Disc. Amt.]])*Sales[[#This Row],[GST %]]</f>
        <v>444.59999999999997</v>
      </c>
      <c r="N1610" s="161">
        <f>Sales[[#This Row],[Gross Amount]]-Sales[[#This Row],[Disc. Amt.]]+Sales[[#This Row],[GST Amount]]</f>
        <v>2914.6</v>
      </c>
      <c r="O1610" s="34" t="s">
        <v>8876</v>
      </c>
      <c r="P1610" s="34" t="s">
        <v>1040</v>
      </c>
      <c r="Q1610" s="165">
        <f>IF(Sales[[#This Row],[Status]]="Cancelled",0,Sales[[#This Row],[Qty]])</f>
        <v>0</v>
      </c>
      <c r="R1610" s="166">
        <f>IF(Sales[[#This Row],[Status]]="Cancelled",0,Sales[[#This Row],[Total Amount]])</f>
        <v>0</v>
      </c>
      <c r="S1610" s="162">
        <f>SUM(Sales[Net Amount])</f>
        <v>406839287.73200053</v>
      </c>
    </row>
    <row r="1611" spans="1:19" ht="18.75" x14ac:dyDescent="0.25">
      <c r="A1611" s="156" t="s">
        <v>5217</v>
      </c>
      <c r="B1611" s="157">
        <v>45859</v>
      </c>
      <c r="C1611" s="158" t="s">
        <v>846</v>
      </c>
      <c r="D1611" s="159" t="str">
        <f>VLOOKUP(Sales[[#This Row],[Customer ID]],Customer[#All],2,0)</f>
        <v>Ankit Patel</v>
      </c>
      <c r="E1611" s="158" t="s">
        <v>145</v>
      </c>
      <c r="F1611" s="158" t="str">
        <f>VLOOKUP(Sales[[#This Row],[Product ID]],Product[#All],2,0)</f>
        <v>Crucial Ssd</v>
      </c>
      <c r="G1611" s="159">
        <v>5</v>
      </c>
      <c r="H1611" s="160">
        <f>VLOOKUP(Sales[[#This Row],[Product ID]],Product[#All],7,0)</f>
        <v>9790</v>
      </c>
      <c r="I1611" s="160">
        <f>Sales[[#This Row],[Selling Rate]]*Sales[[#This Row],[Qty]]</f>
        <v>48950</v>
      </c>
      <c r="J1611" s="43">
        <v>0.05</v>
      </c>
      <c r="K1611" s="44">
        <f>Sales[[#This Row],[Gross Amount]]*Sales[[#This Row],[Disc %]]</f>
        <v>2447.5</v>
      </c>
      <c r="L1611" s="43">
        <v>0.18</v>
      </c>
      <c r="M1611" s="44">
        <f>(Sales[[#This Row],[Gross Amount]]-Sales[[#This Row],[Disc. Amt.]])*Sales[[#This Row],[GST %]]</f>
        <v>8370.4499999999989</v>
      </c>
      <c r="N1611" s="161">
        <f>Sales[[#This Row],[Gross Amount]]-Sales[[#This Row],[Disc. Amt.]]+Sales[[#This Row],[GST Amount]]</f>
        <v>54872.95</v>
      </c>
      <c r="O1611" s="158" t="s">
        <v>3566</v>
      </c>
      <c r="P1611" s="158" t="s">
        <v>3562</v>
      </c>
      <c r="Q1611" s="160">
        <f>IF(Sales[[#This Row],[Status]]="Cancelled",0,Sales[[#This Row],[Qty]])</f>
        <v>5</v>
      </c>
      <c r="R1611" s="161">
        <f>IF(Sales[[#This Row],[Status]]="Cancelled",0,Sales[[#This Row],[Total Amount]])</f>
        <v>54872.95</v>
      </c>
      <c r="S1611" s="162">
        <f>SUM(Sales[Net Amount])</f>
        <v>406839287.73200053</v>
      </c>
    </row>
    <row r="1612" spans="1:19" ht="18.75" x14ac:dyDescent="0.25">
      <c r="A1612" s="163" t="s">
        <v>5218</v>
      </c>
      <c r="B1612" s="164">
        <v>45859</v>
      </c>
      <c r="C1612" s="34" t="s">
        <v>897</v>
      </c>
      <c r="D1612" s="53" t="str">
        <f>VLOOKUP(Sales[[#This Row],[Customer ID]],Customer[#All],2,0)</f>
        <v>Amit Patel</v>
      </c>
      <c r="E1612" s="34" t="s">
        <v>241</v>
      </c>
      <c r="F1612" s="34" t="str">
        <f>VLOOKUP(Sales[[#This Row],[Product ID]],Product[#All],2,0)</f>
        <v>Portronics USB Cable</v>
      </c>
      <c r="G1612" s="53">
        <v>5</v>
      </c>
      <c r="H1612" s="165">
        <f>VLOOKUP(Sales[[#This Row],[Product ID]],Product[#All],7,0)</f>
        <v>630</v>
      </c>
      <c r="I1612" s="165">
        <f>Sales[[#This Row],[Selling Rate]]*Sales[[#This Row],[Qty]]</f>
        <v>3150</v>
      </c>
      <c r="J1612" s="45">
        <v>0</v>
      </c>
      <c r="K1612" s="46">
        <f>Sales[[#This Row],[Gross Amount]]*Sales[[#This Row],[Disc %]]</f>
        <v>0</v>
      </c>
      <c r="L1612" s="43">
        <v>0.18</v>
      </c>
      <c r="M1612" s="46">
        <f>(Sales[[#This Row],[Gross Amount]]-Sales[[#This Row],[Disc. Amt.]])*Sales[[#This Row],[GST %]]</f>
        <v>567</v>
      </c>
      <c r="N1612" s="161">
        <f>Sales[[#This Row],[Gross Amount]]-Sales[[#This Row],[Disc. Amt.]]+Sales[[#This Row],[GST Amount]]</f>
        <v>3717</v>
      </c>
      <c r="O1612" s="34" t="s">
        <v>8876</v>
      </c>
      <c r="P1612" s="34" t="s">
        <v>3562</v>
      </c>
      <c r="Q1612" s="165">
        <f>IF(Sales[[#This Row],[Status]]="Cancelled",0,Sales[[#This Row],[Qty]])</f>
        <v>5</v>
      </c>
      <c r="R1612" s="166">
        <f>IF(Sales[[#This Row],[Status]]="Cancelled",0,Sales[[#This Row],[Total Amount]])</f>
        <v>3717</v>
      </c>
      <c r="S1612" s="162">
        <f>SUM(Sales[Net Amount])</f>
        <v>406839287.73200053</v>
      </c>
    </row>
    <row r="1613" spans="1:19" ht="18.75" x14ac:dyDescent="0.25">
      <c r="A1613" s="156" t="s">
        <v>5219</v>
      </c>
      <c r="B1613" s="157">
        <v>45859</v>
      </c>
      <c r="C1613" s="158" t="s">
        <v>736</v>
      </c>
      <c r="D1613" s="159" t="str">
        <f>VLOOKUP(Sales[[#This Row],[Customer ID]],Customer[#All],2,0)</f>
        <v>Ankit Verma</v>
      </c>
      <c r="E1613" s="158" t="s">
        <v>193</v>
      </c>
      <c r="F1613" s="158" t="str">
        <f>VLOOKUP(Sales[[#This Row],[Product ID]],Product[#All],2,0)</f>
        <v>Apc UPS</v>
      </c>
      <c r="G1613" s="159">
        <v>5</v>
      </c>
      <c r="H1613" s="160">
        <f>VLOOKUP(Sales[[#This Row],[Product ID]],Product[#All],7,0)</f>
        <v>18760</v>
      </c>
      <c r="I1613" s="160">
        <f>Sales[[#This Row],[Selling Rate]]*Sales[[#This Row],[Qty]]</f>
        <v>93800</v>
      </c>
      <c r="J1613" s="43">
        <v>0.02</v>
      </c>
      <c r="K1613" s="44">
        <f>Sales[[#This Row],[Gross Amount]]*Sales[[#This Row],[Disc %]]</f>
        <v>1876</v>
      </c>
      <c r="L1613" s="43">
        <v>0.18</v>
      </c>
      <c r="M1613" s="44">
        <f>(Sales[[#This Row],[Gross Amount]]-Sales[[#This Row],[Disc. Amt.]])*Sales[[#This Row],[GST %]]</f>
        <v>16546.32</v>
      </c>
      <c r="N1613" s="161">
        <f>Sales[[#This Row],[Gross Amount]]-Sales[[#This Row],[Disc. Amt.]]+Sales[[#This Row],[GST Amount]]</f>
        <v>108470.32</v>
      </c>
      <c r="O1613" s="158" t="s">
        <v>3566</v>
      </c>
      <c r="P1613" s="158" t="s">
        <v>3562</v>
      </c>
      <c r="Q1613" s="160">
        <f>IF(Sales[[#This Row],[Status]]="Cancelled",0,Sales[[#This Row],[Qty]])</f>
        <v>5</v>
      </c>
      <c r="R1613" s="161">
        <f>IF(Sales[[#This Row],[Status]]="Cancelled",0,Sales[[#This Row],[Total Amount]])</f>
        <v>108470.32</v>
      </c>
      <c r="S1613" s="162">
        <f>SUM(Sales[Net Amount])</f>
        <v>406839287.73200053</v>
      </c>
    </row>
    <row r="1614" spans="1:19" ht="18.75" x14ac:dyDescent="0.25">
      <c r="A1614" s="163" t="s">
        <v>5220</v>
      </c>
      <c r="B1614" s="164">
        <v>45860</v>
      </c>
      <c r="C1614" s="34" t="s">
        <v>794</v>
      </c>
      <c r="D1614" s="53" t="str">
        <f>VLOOKUP(Sales[[#This Row],[Customer ID]],Customer[#All],2,0)</f>
        <v>Sunita Sharma</v>
      </c>
      <c r="E1614" s="34" t="s">
        <v>67</v>
      </c>
      <c r="F1614" s="34" t="str">
        <f>VLOOKUP(Sales[[#This Row],[Product ID]],Product[#All],2,0)</f>
        <v>TP-link Wi-Fi Adapter</v>
      </c>
      <c r="G1614" s="53">
        <v>3</v>
      </c>
      <c r="H1614" s="165">
        <f>VLOOKUP(Sales[[#This Row],[Product ID]],Product[#All],7,0)</f>
        <v>2990</v>
      </c>
      <c r="I1614" s="165">
        <f>Sales[[#This Row],[Selling Rate]]*Sales[[#This Row],[Qty]]</f>
        <v>8970</v>
      </c>
      <c r="J1614" s="45">
        <v>0</v>
      </c>
      <c r="K1614" s="46">
        <f>Sales[[#This Row],[Gross Amount]]*Sales[[#This Row],[Disc %]]</f>
        <v>0</v>
      </c>
      <c r="L1614" s="43">
        <v>0.18</v>
      </c>
      <c r="M1614" s="46">
        <f>(Sales[[#This Row],[Gross Amount]]-Sales[[#This Row],[Disc. Amt.]])*Sales[[#This Row],[GST %]]</f>
        <v>1614.6</v>
      </c>
      <c r="N1614" s="161">
        <f>Sales[[#This Row],[Gross Amount]]-Sales[[#This Row],[Disc. Amt.]]+Sales[[#This Row],[GST Amount]]</f>
        <v>10584.6</v>
      </c>
      <c r="O1614" s="34" t="s">
        <v>3569</v>
      </c>
      <c r="P1614" s="34" t="s">
        <v>3562</v>
      </c>
      <c r="Q1614" s="165">
        <f>IF(Sales[[#This Row],[Status]]="Cancelled",0,Sales[[#This Row],[Qty]])</f>
        <v>3</v>
      </c>
      <c r="R1614" s="166">
        <f>IF(Sales[[#This Row],[Status]]="Cancelled",0,Sales[[#This Row],[Total Amount]])</f>
        <v>10584.6</v>
      </c>
      <c r="S1614" s="162">
        <f>SUM(Sales[Net Amount])</f>
        <v>406839287.73200053</v>
      </c>
    </row>
    <row r="1615" spans="1:19" ht="18.75" x14ac:dyDescent="0.25">
      <c r="A1615" s="156" t="s">
        <v>5221</v>
      </c>
      <c r="B1615" s="157">
        <v>45860</v>
      </c>
      <c r="C1615" s="158" t="s">
        <v>925</v>
      </c>
      <c r="D1615" s="159" t="str">
        <f>VLOOKUP(Sales[[#This Row],[Customer ID]],Customer[#All],2,0)</f>
        <v>Neha Singh</v>
      </c>
      <c r="E1615" s="158" t="s">
        <v>170</v>
      </c>
      <c r="F1615" s="158" t="str">
        <f>VLOOKUP(Sales[[#This Row],[Product ID]],Product[#All],2,0)</f>
        <v>Lenovo Laptop</v>
      </c>
      <c r="G1615" s="159">
        <v>8</v>
      </c>
      <c r="H1615" s="160">
        <f>VLOOKUP(Sales[[#This Row],[Product ID]],Product[#All],7,0)</f>
        <v>29710</v>
      </c>
      <c r="I1615" s="160">
        <f>Sales[[#This Row],[Selling Rate]]*Sales[[#This Row],[Qty]]</f>
        <v>237680</v>
      </c>
      <c r="J1615" s="43">
        <v>0</v>
      </c>
      <c r="K1615" s="44">
        <f>Sales[[#This Row],[Gross Amount]]*Sales[[#This Row],[Disc %]]</f>
        <v>0</v>
      </c>
      <c r="L1615" s="43">
        <v>0.18</v>
      </c>
      <c r="M1615" s="44">
        <f>(Sales[[#This Row],[Gross Amount]]-Sales[[#This Row],[Disc. Amt.]])*Sales[[#This Row],[GST %]]</f>
        <v>42782.400000000001</v>
      </c>
      <c r="N1615" s="161">
        <f>Sales[[#This Row],[Gross Amount]]-Sales[[#This Row],[Disc. Amt.]]+Sales[[#This Row],[GST Amount]]</f>
        <v>280462.40000000002</v>
      </c>
      <c r="O1615" s="158" t="s">
        <v>3569</v>
      </c>
      <c r="P1615" s="158" t="s">
        <v>3562</v>
      </c>
      <c r="Q1615" s="160">
        <f>IF(Sales[[#This Row],[Status]]="Cancelled",0,Sales[[#This Row],[Qty]])</f>
        <v>8</v>
      </c>
      <c r="R1615" s="161">
        <f>IF(Sales[[#This Row],[Status]]="Cancelled",0,Sales[[#This Row],[Total Amount]])</f>
        <v>280462.40000000002</v>
      </c>
      <c r="S1615" s="162">
        <f>SUM(Sales[Net Amount])</f>
        <v>406839287.73200053</v>
      </c>
    </row>
    <row r="1616" spans="1:19" ht="18.75" x14ac:dyDescent="0.25">
      <c r="A1616" s="163" t="s">
        <v>5222</v>
      </c>
      <c r="B1616" s="164">
        <v>45860</v>
      </c>
      <c r="C1616" s="34" t="s">
        <v>934</v>
      </c>
      <c r="D1616" s="53" t="str">
        <f>VLOOKUP(Sales[[#This Row],[Customer ID]],Customer[#All],2,0)</f>
        <v>Pooja Singh</v>
      </c>
      <c r="E1616" s="34" t="s">
        <v>507</v>
      </c>
      <c r="F1616" s="34" t="str">
        <f>VLOOKUP(Sales[[#This Row],[Product ID]],Product[#All],2,0)</f>
        <v>American TouristerLaptopBag</v>
      </c>
      <c r="G1616" s="53">
        <v>7</v>
      </c>
      <c r="H1616" s="165">
        <f>VLOOKUP(Sales[[#This Row],[Product ID]],Product[#All],7,0)</f>
        <v>2030</v>
      </c>
      <c r="I1616" s="165">
        <f>Sales[[#This Row],[Selling Rate]]*Sales[[#This Row],[Qty]]</f>
        <v>14210</v>
      </c>
      <c r="J1616" s="45">
        <v>0.12</v>
      </c>
      <c r="K1616" s="46">
        <f>Sales[[#This Row],[Gross Amount]]*Sales[[#This Row],[Disc %]]</f>
        <v>1705.2</v>
      </c>
      <c r="L1616" s="43">
        <v>0.18</v>
      </c>
      <c r="M1616" s="46">
        <f>(Sales[[#This Row],[Gross Amount]]-Sales[[#This Row],[Disc. Amt.]])*Sales[[#This Row],[GST %]]</f>
        <v>2250.8639999999996</v>
      </c>
      <c r="N1616" s="161">
        <f>Sales[[#This Row],[Gross Amount]]-Sales[[#This Row],[Disc. Amt.]]+Sales[[#This Row],[GST Amount]]</f>
        <v>14755.663999999999</v>
      </c>
      <c r="O1616" s="34" t="s">
        <v>3566</v>
      </c>
      <c r="P1616" s="34" t="s">
        <v>3562</v>
      </c>
      <c r="Q1616" s="165">
        <f>IF(Sales[[#This Row],[Status]]="Cancelled",0,Sales[[#This Row],[Qty]])</f>
        <v>7</v>
      </c>
      <c r="R1616" s="166">
        <f>IF(Sales[[#This Row],[Status]]="Cancelled",0,Sales[[#This Row],[Total Amount]])</f>
        <v>14755.663999999999</v>
      </c>
      <c r="S1616" s="162">
        <f>SUM(Sales[Net Amount])</f>
        <v>406839287.73200053</v>
      </c>
    </row>
    <row r="1617" spans="1:19" ht="18.75" x14ac:dyDescent="0.25">
      <c r="A1617" s="156" t="s">
        <v>5223</v>
      </c>
      <c r="B1617" s="157">
        <v>45860</v>
      </c>
      <c r="C1617" s="158" t="s">
        <v>865</v>
      </c>
      <c r="D1617" s="159" t="str">
        <f>VLOOKUP(Sales[[#This Row],[Customer ID]],Customer[#All],2,0)</f>
        <v>Sunita Gupta</v>
      </c>
      <c r="E1617" s="158" t="s">
        <v>459</v>
      </c>
      <c r="F1617" s="158" t="str">
        <f>VLOOKUP(Sales[[#This Row],[Product ID]],Product[#All],2,0)</f>
        <v>Logitech Mouse</v>
      </c>
      <c r="G1617" s="159">
        <v>8</v>
      </c>
      <c r="H1617" s="160">
        <f>VLOOKUP(Sales[[#This Row],[Product ID]],Product[#All],7,0)</f>
        <v>1680</v>
      </c>
      <c r="I1617" s="160">
        <f>Sales[[#This Row],[Selling Rate]]*Sales[[#This Row],[Qty]]</f>
        <v>13440</v>
      </c>
      <c r="J1617" s="43">
        <v>0.05</v>
      </c>
      <c r="K1617" s="44">
        <f>Sales[[#This Row],[Gross Amount]]*Sales[[#This Row],[Disc %]]</f>
        <v>672</v>
      </c>
      <c r="L1617" s="43">
        <v>0.18</v>
      </c>
      <c r="M1617" s="44">
        <f>(Sales[[#This Row],[Gross Amount]]-Sales[[#This Row],[Disc. Amt.]])*Sales[[#This Row],[GST %]]</f>
        <v>2298.2399999999998</v>
      </c>
      <c r="N1617" s="161">
        <f>Sales[[#This Row],[Gross Amount]]-Sales[[#This Row],[Disc. Amt.]]+Sales[[#This Row],[GST Amount]]</f>
        <v>15066.24</v>
      </c>
      <c r="O1617" s="158" t="s">
        <v>3569</v>
      </c>
      <c r="P1617" s="158" t="s">
        <v>3562</v>
      </c>
      <c r="Q1617" s="160">
        <f>IF(Sales[[#This Row],[Status]]="Cancelled",0,Sales[[#This Row],[Qty]])</f>
        <v>8</v>
      </c>
      <c r="R1617" s="161">
        <f>IF(Sales[[#This Row],[Status]]="Cancelled",0,Sales[[#This Row],[Total Amount]])</f>
        <v>15066.24</v>
      </c>
      <c r="S1617" s="162">
        <f>SUM(Sales[Net Amount])</f>
        <v>406839287.73200053</v>
      </c>
    </row>
    <row r="1618" spans="1:19" ht="18.75" x14ac:dyDescent="0.25">
      <c r="A1618" s="163" t="s">
        <v>5224</v>
      </c>
      <c r="B1618" s="164">
        <v>45860</v>
      </c>
      <c r="C1618" s="34" t="s">
        <v>850</v>
      </c>
      <c r="D1618" s="53" t="str">
        <f>VLOOKUP(Sales[[#This Row],[Customer ID]],Customer[#All],2,0)</f>
        <v>Sahil Patel</v>
      </c>
      <c r="E1618" s="34" t="s">
        <v>201</v>
      </c>
      <c r="F1618" s="34" t="str">
        <f>VLOOKUP(Sales[[#This Row],[Product ID]],Product[#All],2,0)</f>
        <v>Jbl Headset</v>
      </c>
      <c r="G1618" s="53">
        <v>1</v>
      </c>
      <c r="H1618" s="165">
        <f>VLOOKUP(Sales[[#This Row],[Product ID]],Product[#All],7,0)</f>
        <v>2580</v>
      </c>
      <c r="I1618" s="165">
        <f>Sales[[#This Row],[Selling Rate]]*Sales[[#This Row],[Qty]]</f>
        <v>2580</v>
      </c>
      <c r="J1618" s="45">
        <v>0.1</v>
      </c>
      <c r="K1618" s="46">
        <f>Sales[[#This Row],[Gross Amount]]*Sales[[#This Row],[Disc %]]</f>
        <v>258</v>
      </c>
      <c r="L1618" s="43">
        <v>0.18</v>
      </c>
      <c r="M1618" s="46">
        <f>(Sales[[#This Row],[Gross Amount]]-Sales[[#This Row],[Disc. Amt.]])*Sales[[#This Row],[GST %]]</f>
        <v>417.96</v>
      </c>
      <c r="N1618" s="161">
        <f>Sales[[#This Row],[Gross Amount]]-Sales[[#This Row],[Disc. Amt.]]+Sales[[#This Row],[GST Amount]]</f>
        <v>2739.96</v>
      </c>
      <c r="O1618" s="34" t="s">
        <v>3561</v>
      </c>
      <c r="P1618" s="34" t="s">
        <v>3562</v>
      </c>
      <c r="Q1618" s="165">
        <f>IF(Sales[[#This Row],[Status]]="Cancelled",0,Sales[[#This Row],[Qty]])</f>
        <v>1</v>
      </c>
      <c r="R1618" s="166">
        <f>IF(Sales[[#This Row],[Status]]="Cancelled",0,Sales[[#This Row],[Total Amount]])</f>
        <v>2739.96</v>
      </c>
      <c r="S1618" s="162">
        <f>SUM(Sales[Net Amount])</f>
        <v>406839287.73200053</v>
      </c>
    </row>
    <row r="1619" spans="1:19" ht="18.75" x14ac:dyDescent="0.25">
      <c r="A1619" s="156" t="s">
        <v>5225</v>
      </c>
      <c r="B1619" s="157">
        <v>45860</v>
      </c>
      <c r="C1619" s="158" t="s">
        <v>720</v>
      </c>
      <c r="D1619" s="159" t="str">
        <f>VLOOKUP(Sales[[#This Row],[Customer ID]],Customer[#All],2,0)</f>
        <v>Rakesh Singh</v>
      </c>
      <c r="E1619" s="158" t="s">
        <v>239</v>
      </c>
      <c r="F1619" s="158" t="str">
        <f>VLOOKUP(Sales[[#This Row],[Product ID]],Product[#All],2,0)</f>
        <v>Microtek UPS</v>
      </c>
      <c r="G1619" s="159">
        <v>2</v>
      </c>
      <c r="H1619" s="160">
        <f>VLOOKUP(Sales[[#This Row],[Product ID]],Product[#All],7,0)</f>
        <v>7570</v>
      </c>
      <c r="I1619" s="160">
        <f>Sales[[#This Row],[Selling Rate]]*Sales[[#This Row],[Qty]]</f>
        <v>15140</v>
      </c>
      <c r="J1619" s="43">
        <v>0.05</v>
      </c>
      <c r="K1619" s="44">
        <f>Sales[[#This Row],[Gross Amount]]*Sales[[#This Row],[Disc %]]</f>
        <v>757</v>
      </c>
      <c r="L1619" s="43">
        <v>0.18</v>
      </c>
      <c r="M1619" s="44">
        <f>(Sales[[#This Row],[Gross Amount]]-Sales[[#This Row],[Disc. Amt.]])*Sales[[#This Row],[GST %]]</f>
        <v>2588.94</v>
      </c>
      <c r="N1619" s="161">
        <f>Sales[[#This Row],[Gross Amount]]-Sales[[#This Row],[Disc. Amt.]]+Sales[[#This Row],[GST Amount]]</f>
        <v>16971.939999999999</v>
      </c>
      <c r="O1619" s="158" t="s">
        <v>3566</v>
      </c>
      <c r="P1619" s="158" t="s">
        <v>3562</v>
      </c>
      <c r="Q1619" s="160">
        <f>IF(Sales[[#This Row],[Status]]="Cancelled",0,Sales[[#This Row],[Qty]])</f>
        <v>2</v>
      </c>
      <c r="R1619" s="161">
        <f>IF(Sales[[#This Row],[Status]]="Cancelled",0,Sales[[#This Row],[Total Amount]])</f>
        <v>16971.939999999999</v>
      </c>
      <c r="S1619" s="162">
        <f>SUM(Sales[Net Amount])</f>
        <v>406839287.73200053</v>
      </c>
    </row>
    <row r="1620" spans="1:19" ht="18.75" x14ac:dyDescent="0.25">
      <c r="A1620" s="163" t="s">
        <v>5226</v>
      </c>
      <c r="B1620" s="164">
        <v>45860</v>
      </c>
      <c r="C1620" s="34" t="s">
        <v>933</v>
      </c>
      <c r="D1620" s="53" t="str">
        <f>VLOOKUP(Sales[[#This Row],[Customer ID]],Customer[#All],2,0)</f>
        <v>Vikas Verma</v>
      </c>
      <c r="E1620" s="34" t="s">
        <v>242</v>
      </c>
      <c r="F1620" s="34" t="str">
        <f>VLOOKUP(Sales[[#This Row],[Product ID]],Product[#All],2,0)</f>
        <v>HP Printer</v>
      </c>
      <c r="G1620" s="53">
        <v>4</v>
      </c>
      <c r="H1620" s="165">
        <f>VLOOKUP(Sales[[#This Row],[Product ID]],Product[#All],7,0)</f>
        <v>20380</v>
      </c>
      <c r="I1620" s="165">
        <f>Sales[[#This Row],[Selling Rate]]*Sales[[#This Row],[Qty]]</f>
        <v>81520</v>
      </c>
      <c r="J1620" s="45">
        <v>0.15</v>
      </c>
      <c r="K1620" s="46">
        <f>Sales[[#This Row],[Gross Amount]]*Sales[[#This Row],[Disc %]]</f>
        <v>12228</v>
      </c>
      <c r="L1620" s="43">
        <v>0.18</v>
      </c>
      <c r="M1620" s="46">
        <f>(Sales[[#This Row],[Gross Amount]]-Sales[[#This Row],[Disc. Amt.]])*Sales[[#This Row],[GST %]]</f>
        <v>12472.56</v>
      </c>
      <c r="N1620" s="161">
        <f>Sales[[#This Row],[Gross Amount]]-Sales[[#This Row],[Disc. Amt.]]+Sales[[#This Row],[GST Amount]]</f>
        <v>81764.56</v>
      </c>
      <c r="O1620" s="34" t="s">
        <v>3569</v>
      </c>
      <c r="P1620" s="34" t="s">
        <v>3562</v>
      </c>
      <c r="Q1620" s="165">
        <f>IF(Sales[[#This Row],[Status]]="Cancelled",0,Sales[[#This Row],[Qty]])</f>
        <v>4</v>
      </c>
      <c r="R1620" s="166">
        <f>IF(Sales[[#This Row],[Status]]="Cancelled",0,Sales[[#This Row],[Total Amount]])</f>
        <v>81764.56</v>
      </c>
      <c r="S1620" s="162">
        <f>SUM(Sales[Net Amount])</f>
        <v>406839287.73200053</v>
      </c>
    </row>
    <row r="1621" spans="1:19" ht="18.75" x14ac:dyDescent="0.25">
      <c r="A1621" s="156" t="s">
        <v>5227</v>
      </c>
      <c r="B1621" s="157">
        <v>45860</v>
      </c>
      <c r="C1621" s="158" t="s">
        <v>834</v>
      </c>
      <c r="D1621" s="159" t="str">
        <f>VLOOKUP(Sales[[#This Row],[Customer ID]],Customer[#All],2,0)</f>
        <v>Rahul Verma</v>
      </c>
      <c r="E1621" s="158" t="s">
        <v>268</v>
      </c>
      <c r="F1621" s="158" t="str">
        <f>VLOOKUP(Sales[[#This Row],[Product ID]],Product[#All],2,0)</f>
        <v>American TouristerLaptopBag</v>
      </c>
      <c r="G1621" s="159">
        <v>2</v>
      </c>
      <c r="H1621" s="160">
        <f>VLOOKUP(Sales[[#This Row],[Product ID]],Product[#All],7,0)</f>
        <v>2080</v>
      </c>
      <c r="I1621" s="160">
        <f>Sales[[#This Row],[Selling Rate]]*Sales[[#This Row],[Qty]]</f>
        <v>4160</v>
      </c>
      <c r="J1621" s="43">
        <v>0</v>
      </c>
      <c r="K1621" s="44">
        <f>Sales[[#This Row],[Gross Amount]]*Sales[[#This Row],[Disc %]]</f>
        <v>0</v>
      </c>
      <c r="L1621" s="43">
        <v>0.18</v>
      </c>
      <c r="M1621" s="44">
        <f>(Sales[[#This Row],[Gross Amount]]-Sales[[#This Row],[Disc. Amt.]])*Sales[[#This Row],[GST %]]</f>
        <v>748.8</v>
      </c>
      <c r="N1621" s="161">
        <f>Sales[[#This Row],[Gross Amount]]-Sales[[#This Row],[Disc. Amt.]]+Sales[[#This Row],[GST Amount]]</f>
        <v>4908.8</v>
      </c>
      <c r="O1621" s="158" t="s">
        <v>3561</v>
      </c>
      <c r="P1621" s="158" t="s">
        <v>3562</v>
      </c>
      <c r="Q1621" s="160">
        <f>IF(Sales[[#This Row],[Status]]="Cancelled",0,Sales[[#This Row],[Qty]])</f>
        <v>2</v>
      </c>
      <c r="R1621" s="161">
        <f>IF(Sales[[#This Row],[Status]]="Cancelled",0,Sales[[#This Row],[Total Amount]])</f>
        <v>4908.8</v>
      </c>
      <c r="S1621" s="162">
        <f>SUM(Sales[Net Amount])</f>
        <v>406839287.73200053</v>
      </c>
    </row>
    <row r="1622" spans="1:19" ht="18.75" x14ac:dyDescent="0.25">
      <c r="A1622" s="163" t="s">
        <v>5228</v>
      </c>
      <c r="B1622" s="164">
        <v>45860</v>
      </c>
      <c r="C1622" s="34" t="s">
        <v>838</v>
      </c>
      <c r="D1622" s="53" t="str">
        <f>VLOOKUP(Sales[[#This Row],[Customer ID]],Customer[#All],2,0)</f>
        <v>Priya Gupta</v>
      </c>
      <c r="E1622" s="34" t="s">
        <v>85</v>
      </c>
      <c r="F1622" s="34" t="str">
        <f>VLOOKUP(Sales[[#This Row],[Product ID]],Product[#All],2,0)</f>
        <v>Apc UPS</v>
      </c>
      <c r="G1622" s="53">
        <v>3</v>
      </c>
      <c r="H1622" s="165">
        <f>VLOOKUP(Sales[[#This Row],[Product ID]],Product[#All],7,0)</f>
        <v>8770</v>
      </c>
      <c r="I1622" s="165">
        <f>Sales[[#This Row],[Selling Rate]]*Sales[[#This Row],[Qty]]</f>
        <v>26310</v>
      </c>
      <c r="J1622" s="45">
        <v>0.15</v>
      </c>
      <c r="K1622" s="46">
        <f>Sales[[#This Row],[Gross Amount]]*Sales[[#This Row],[Disc %]]</f>
        <v>3946.5</v>
      </c>
      <c r="L1622" s="43">
        <v>0.18</v>
      </c>
      <c r="M1622" s="46">
        <f>(Sales[[#This Row],[Gross Amount]]-Sales[[#This Row],[Disc. Amt.]])*Sales[[#This Row],[GST %]]</f>
        <v>4025.43</v>
      </c>
      <c r="N1622" s="161">
        <f>Sales[[#This Row],[Gross Amount]]-Sales[[#This Row],[Disc. Amt.]]+Sales[[#This Row],[GST Amount]]</f>
        <v>26388.93</v>
      </c>
      <c r="O1622" s="34" t="s">
        <v>3561</v>
      </c>
      <c r="P1622" s="34" t="s">
        <v>3562</v>
      </c>
      <c r="Q1622" s="165">
        <f>IF(Sales[[#This Row],[Status]]="Cancelled",0,Sales[[#This Row],[Qty]])</f>
        <v>3</v>
      </c>
      <c r="R1622" s="166">
        <f>IF(Sales[[#This Row],[Status]]="Cancelled",0,Sales[[#This Row],[Total Amount]])</f>
        <v>26388.93</v>
      </c>
      <c r="S1622" s="162">
        <f>SUM(Sales[Net Amount])</f>
        <v>406839287.73200053</v>
      </c>
    </row>
    <row r="1623" spans="1:19" ht="18.75" x14ac:dyDescent="0.25">
      <c r="A1623" s="156" t="s">
        <v>5229</v>
      </c>
      <c r="B1623" s="157">
        <v>45860</v>
      </c>
      <c r="C1623" s="158" t="s">
        <v>663</v>
      </c>
      <c r="D1623" s="159" t="str">
        <f>VLOOKUP(Sales[[#This Row],[Customer ID]],Customer[#All],2,0)</f>
        <v>Amit Sharma</v>
      </c>
      <c r="E1623" s="158" t="s">
        <v>474</v>
      </c>
      <c r="F1623" s="158" t="str">
        <f>VLOOKUP(Sales[[#This Row],[Product ID]],Product[#All],2,0)</f>
        <v>Logitech Mouse</v>
      </c>
      <c r="G1623" s="159">
        <v>2</v>
      </c>
      <c r="H1623" s="160">
        <f>VLOOKUP(Sales[[#This Row],[Product ID]],Product[#All],7,0)</f>
        <v>1320</v>
      </c>
      <c r="I1623" s="160">
        <f>Sales[[#This Row],[Selling Rate]]*Sales[[#This Row],[Qty]]</f>
        <v>2640</v>
      </c>
      <c r="J1623" s="43">
        <v>0.05</v>
      </c>
      <c r="K1623" s="44">
        <f>Sales[[#This Row],[Gross Amount]]*Sales[[#This Row],[Disc %]]</f>
        <v>132</v>
      </c>
      <c r="L1623" s="43">
        <v>0.18</v>
      </c>
      <c r="M1623" s="44">
        <f>(Sales[[#This Row],[Gross Amount]]-Sales[[#This Row],[Disc. Amt.]])*Sales[[#This Row],[GST %]]</f>
        <v>451.44</v>
      </c>
      <c r="N1623" s="161">
        <f>Sales[[#This Row],[Gross Amount]]-Sales[[#This Row],[Disc. Amt.]]+Sales[[#This Row],[GST Amount]]</f>
        <v>2959.44</v>
      </c>
      <c r="O1623" s="158" t="s">
        <v>3569</v>
      </c>
      <c r="P1623" s="158" t="s">
        <v>3562</v>
      </c>
      <c r="Q1623" s="160">
        <f>IF(Sales[[#This Row],[Status]]="Cancelled",0,Sales[[#This Row],[Qty]])</f>
        <v>2</v>
      </c>
      <c r="R1623" s="161">
        <f>IF(Sales[[#This Row],[Status]]="Cancelled",0,Sales[[#This Row],[Total Amount]])</f>
        <v>2959.44</v>
      </c>
      <c r="S1623" s="162">
        <f>SUM(Sales[Net Amount])</f>
        <v>406839287.73200053</v>
      </c>
    </row>
    <row r="1624" spans="1:19" ht="18.75" x14ac:dyDescent="0.25">
      <c r="A1624" s="163" t="s">
        <v>5230</v>
      </c>
      <c r="B1624" s="164">
        <v>45860</v>
      </c>
      <c r="C1624" s="34" t="s">
        <v>655</v>
      </c>
      <c r="D1624" s="53" t="str">
        <f>VLOOKUP(Sales[[#This Row],[Customer ID]],Customer[#All],2,0)</f>
        <v>Pooja Singh</v>
      </c>
      <c r="E1624" s="34" t="s">
        <v>381</v>
      </c>
      <c r="F1624" s="34" t="str">
        <f>VLOOKUP(Sales[[#This Row],[Product ID]],Product[#All],2,0)</f>
        <v>HP Power Adapter</v>
      </c>
      <c r="G1624" s="53">
        <v>1</v>
      </c>
      <c r="H1624" s="165">
        <f>VLOOKUP(Sales[[#This Row],[Product ID]],Product[#All],7,0)</f>
        <v>990</v>
      </c>
      <c r="I1624" s="165">
        <f>Sales[[#This Row],[Selling Rate]]*Sales[[#This Row],[Qty]]</f>
        <v>990</v>
      </c>
      <c r="J1624" s="45">
        <v>0.12</v>
      </c>
      <c r="K1624" s="46">
        <f>Sales[[#This Row],[Gross Amount]]*Sales[[#This Row],[Disc %]]</f>
        <v>118.8</v>
      </c>
      <c r="L1624" s="43">
        <v>0.18</v>
      </c>
      <c r="M1624" s="46">
        <f>(Sales[[#This Row],[Gross Amount]]-Sales[[#This Row],[Disc. Amt.]])*Sales[[#This Row],[GST %]]</f>
        <v>156.816</v>
      </c>
      <c r="N1624" s="161">
        <f>Sales[[#This Row],[Gross Amount]]-Sales[[#This Row],[Disc. Amt.]]+Sales[[#This Row],[GST Amount]]</f>
        <v>1028.0160000000001</v>
      </c>
      <c r="O1624" s="34" t="s">
        <v>3561</v>
      </c>
      <c r="P1624" s="34" t="s">
        <v>3562</v>
      </c>
      <c r="Q1624" s="165">
        <f>IF(Sales[[#This Row],[Status]]="Cancelled",0,Sales[[#This Row],[Qty]])</f>
        <v>1</v>
      </c>
      <c r="R1624" s="166">
        <f>IF(Sales[[#This Row],[Status]]="Cancelled",0,Sales[[#This Row],[Total Amount]])</f>
        <v>1028.0160000000001</v>
      </c>
      <c r="S1624" s="162">
        <f>SUM(Sales[Net Amount])</f>
        <v>406839287.73200053</v>
      </c>
    </row>
    <row r="1625" spans="1:19" ht="18.75" x14ac:dyDescent="0.25">
      <c r="A1625" s="156" t="s">
        <v>5231</v>
      </c>
      <c r="B1625" s="157">
        <v>45860</v>
      </c>
      <c r="C1625" s="158" t="s">
        <v>950</v>
      </c>
      <c r="D1625" s="159" t="str">
        <f>VLOOKUP(Sales[[#This Row],[Customer ID]],Customer[#All],2,0)</f>
        <v>Sunita Sharma</v>
      </c>
      <c r="E1625" s="158" t="s">
        <v>304</v>
      </c>
      <c r="F1625" s="158" t="str">
        <f>VLOOKUP(Sales[[#This Row],[Product ID]],Product[#All],2,0)</f>
        <v>TP-link Router</v>
      </c>
      <c r="G1625" s="159">
        <v>5</v>
      </c>
      <c r="H1625" s="160">
        <f>VLOOKUP(Sales[[#This Row],[Product ID]],Product[#All],7,0)</f>
        <v>3320</v>
      </c>
      <c r="I1625" s="160">
        <f>Sales[[#This Row],[Selling Rate]]*Sales[[#This Row],[Qty]]</f>
        <v>16600</v>
      </c>
      <c r="J1625" s="43">
        <v>0</v>
      </c>
      <c r="K1625" s="44">
        <f>Sales[[#This Row],[Gross Amount]]*Sales[[#This Row],[Disc %]]</f>
        <v>0</v>
      </c>
      <c r="L1625" s="43">
        <v>0.18</v>
      </c>
      <c r="M1625" s="44">
        <f>(Sales[[#This Row],[Gross Amount]]-Sales[[#This Row],[Disc. Amt.]])*Sales[[#This Row],[GST %]]</f>
        <v>2988</v>
      </c>
      <c r="N1625" s="161">
        <f>Sales[[#This Row],[Gross Amount]]-Sales[[#This Row],[Disc. Amt.]]+Sales[[#This Row],[GST Amount]]</f>
        <v>19588</v>
      </c>
      <c r="O1625" s="158" t="s">
        <v>8876</v>
      </c>
      <c r="P1625" s="158" t="s">
        <v>3562</v>
      </c>
      <c r="Q1625" s="160">
        <f>IF(Sales[[#This Row],[Status]]="Cancelled",0,Sales[[#This Row],[Qty]])</f>
        <v>5</v>
      </c>
      <c r="R1625" s="161">
        <f>IF(Sales[[#This Row],[Status]]="Cancelled",0,Sales[[#This Row],[Total Amount]])</f>
        <v>19588</v>
      </c>
      <c r="S1625" s="162">
        <f>SUM(Sales[Net Amount])</f>
        <v>406839287.73200053</v>
      </c>
    </row>
    <row r="1626" spans="1:19" ht="18.75" x14ac:dyDescent="0.25">
      <c r="A1626" s="163" t="s">
        <v>5232</v>
      </c>
      <c r="B1626" s="164">
        <v>45860</v>
      </c>
      <c r="C1626" s="34" t="s">
        <v>744</v>
      </c>
      <c r="D1626" s="53" t="str">
        <f>VLOOKUP(Sales[[#This Row],[Customer ID]],Customer[#All],2,0)</f>
        <v>Rakesh Patel</v>
      </c>
      <c r="E1626" s="34" t="s">
        <v>306</v>
      </c>
      <c r="F1626" s="34" t="str">
        <f>VLOOKUP(Sales[[#This Row],[Product ID]],Product[#All],2,0)</f>
        <v>Portronics USB Cable</v>
      </c>
      <c r="G1626" s="53">
        <v>7</v>
      </c>
      <c r="H1626" s="165">
        <f>VLOOKUP(Sales[[#This Row],[Product ID]],Product[#All],7,0)</f>
        <v>200</v>
      </c>
      <c r="I1626" s="165">
        <f>Sales[[#This Row],[Selling Rate]]*Sales[[#This Row],[Qty]]</f>
        <v>1400</v>
      </c>
      <c r="J1626" s="45">
        <v>0.05</v>
      </c>
      <c r="K1626" s="46">
        <f>Sales[[#This Row],[Gross Amount]]*Sales[[#This Row],[Disc %]]</f>
        <v>70</v>
      </c>
      <c r="L1626" s="43">
        <v>0.18</v>
      </c>
      <c r="M1626" s="46">
        <f>(Sales[[#This Row],[Gross Amount]]-Sales[[#This Row],[Disc. Amt.]])*Sales[[#This Row],[GST %]]</f>
        <v>239.39999999999998</v>
      </c>
      <c r="N1626" s="161">
        <f>Sales[[#This Row],[Gross Amount]]-Sales[[#This Row],[Disc. Amt.]]+Sales[[#This Row],[GST Amount]]</f>
        <v>1569.4</v>
      </c>
      <c r="O1626" s="34" t="s">
        <v>3561</v>
      </c>
      <c r="P1626" s="34" t="s">
        <v>3562</v>
      </c>
      <c r="Q1626" s="165">
        <f>IF(Sales[[#This Row],[Status]]="Cancelled",0,Sales[[#This Row],[Qty]])</f>
        <v>7</v>
      </c>
      <c r="R1626" s="166">
        <f>IF(Sales[[#This Row],[Status]]="Cancelled",0,Sales[[#This Row],[Total Amount]])</f>
        <v>1569.4</v>
      </c>
      <c r="S1626" s="162">
        <f>SUM(Sales[Net Amount])</f>
        <v>406839287.73200053</v>
      </c>
    </row>
    <row r="1627" spans="1:19" ht="18.75" x14ac:dyDescent="0.25">
      <c r="A1627" s="156" t="s">
        <v>5233</v>
      </c>
      <c r="B1627" s="157">
        <v>45860</v>
      </c>
      <c r="C1627" s="158" t="s">
        <v>952</v>
      </c>
      <c r="D1627" s="159" t="str">
        <f>VLOOKUP(Sales[[#This Row],[Customer ID]],Customer[#All],2,0)</f>
        <v>Pooja Singh</v>
      </c>
      <c r="E1627" s="158" t="s">
        <v>312</v>
      </c>
      <c r="F1627" s="158" t="str">
        <f>VLOOKUP(Sales[[#This Row],[Product ID]],Product[#All],2,0)</f>
        <v>Dell Desktop</v>
      </c>
      <c r="G1627" s="159">
        <v>3</v>
      </c>
      <c r="H1627" s="160">
        <f>VLOOKUP(Sales[[#This Row],[Product ID]],Product[#All],7,0)</f>
        <v>59050</v>
      </c>
      <c r="I1627" s="160">
        <f>Sales[[#This Row],[Selling Rate]]*Sales[[#This Row],[Qty]]</f>
        <v>177150</v>
      </c>
      <c r="J1627" s="43">
        <v>0.05</v>
      </c>
      <c r="K1627" s="44">
        <f>Sales[[#This Row],[Gross Amount]]*Sales[[#This Row],[Disc %]]</f>
        <v>8857.5</v>
      </c>
      <c r="L1627" s="43">
        <v>0.18</v>
      </c>
      <c r="M1627" s="44">
        <f>(Sales[[#This Row],[Gross Amount]]-Sales[[#This Row],[Disc. Amt.]])*Sales[[#This Row],[GST %]]</f>
        <v>30292.649999999998</v>
      </c>
      <c r="N1627" s="161">
        <f>Sales[[#This Row],[Gross Amount]]-Sales[[#This Row],[Disc. Amt.]]+Sales[[#This Row],[GST Amount]]</f>
        <v>198585.15</v>
      </c>
      <c r="O1627" s="158" t="s">
        <v>3569</v>
      </c>
      <c r="P1627" s="158" t="s">
        <v>3562</v>
      </c>
      <c r="Q1627" s="160">
        <f>IF(Sales[[#This Row],[Status]]="Cancelled",0,Sales[[#This Row],[Qty]])</f>
        <v>3</v>
      </c>
      <c r="R1627" s="161">
        <f>IF(Sales[[#This Row],[Status]]="Cancelled",0,Sales[[#This Row],[Total Amount]])</f>
        <v>198585.15</v>
      </c>
      <c r="S1627" s="162">
        <f>SUM(Sales[Net Amount])</f>
        <v>406839287.73200053</v>
      </c>
    </row>
    <row r="1628" spans="1:19" ht="18.75" x14ac:dyDescent="0.25">
      <c r="A1628" s="163" t="s">
        <v>5234</v>
      </c>
      <c r="B1628" s="164">
        <v>45860</v>
      </c>
      <c r="C1628" s="34" t="s">
        <v>855</v>
      </c>
      <c r="D1628" s="53" t="str">
        <f>VLOOKUP(Sales[[#This Row],[Customer ID]],Customer[#All],2,0)</f>
        <v>Sahil Singh</v>
      </c>
      <c r="E1628" s="34" t="s">
        <v>282</v>
      </c>
      <c r="F1628" s="34" t="str">
        <f>VLOOKUP(Sales[[#This Row],[Product ID]],Product[#All],2,0)</f>
        <v>Amazon Basics Hdmi Cable</v>
      </c>
      <c r="G1628" s="53">
        <v>2</v>
      </c>
      <c r="H1628" s="165">
        <f>VLOOKUP(Sales[[#This Row],[Product ID]],Product[#All],7,0)</f>
        <v>760</v>
      </c>
      <c r="I1628" s="165">
        <f>Sales[[#This Row],[Selling Rate]]*Sales[[#This Row],[Qty]]</f>
        <v>1520</v>
      </c>
      <c r="J1628" s="45">
        <v>0.05</v>
      </c>
      <c r="K1628" s="46">
        <f>Sales[[#This Row],[Gross Amount]]*Sales[[#This Row],[Disc %]]</f>
        <v>76</v>
      </c>
      <c r="L1628" s="43">
        <v>0.18</v>
      </c>
      <c r="M1628" s="46">
        <f>(Sales[[#This Row],[Gross Amount]]-Sales[[#This Row],[Disc. Amt.]])*Sales[[#This Row],[GST %]]</f>
        <v>259.92</v>
      </c>
      <c r="N1628" s="161">
        <f>Sales[[#This Row],[Gross Amount]]-Sales[[#This Row],[Disc. Amt.]]+Sales[[#This Row],[GST Amount]]</f>
        <v>1703.92</v>
      </c>
      <c r="O1628" s="34" t="s">
        <v>3566</v>
      </c>
      <c r="P1628" s="34" t="s">
        <v>3562</v>
      </c>
      <c r="Q1628" s="165">
        <f>IF(Sales[[#This Row],[Status]]="Cancelled",0,Sales[[#This Row],[Qty]])</f>
        <v>2</v>
      </c>
      <c r="R1628" s="166">
        <f>IF(Sales[[#This Row],[Status]]="Cancelled",0,Sales[[#This Row],[Total Amount]])</f>
        <v>1703.92</v>
      </c>
      <c r="S1628" s="162">
        <f>SUM(Sales[Net Amount])</f>
        <v>406839287.73200053</v>
      </c>
    </row>
    <row r="1629" spans="1:19" ht="18.75" x14ac:dyDescent="0.25">
      <c r="A1629" s="156" t="s">
        <v>5235</v>
      </c>
      <c r="B1629" s="157">
        <v>45861</v>
      </c>
      <c r="C1629" s="158" t="s">
        <v>822</v>
      </c>
      <c r="D1629" s="159" t="str">
        <f>VLOOKUP(Sales[[#This Row],[Customer ID]],Customer[#All],2,0)</f>
        <v>Vikas Singh</v>
      </c>
      <c r="E1629" s="158" t="s">
        <v>363</v>
      </c>
      <c r="F1629" s="158" t="str">
        <f>VLOOKUP(Sales[[#This Row],[Product ID]],Product[#All],2,0)</f>
        <v>Dell Desktop</v>
      </c>
      <c r="G1629" s="159">
        <v>1</v>
      </c>
      <c r="H1629" s="160">
        <f>VLOOKUP(Sales[[#This Row],[Product ID]],Product[#All],7,0)</f>
        <v>37430</v>
      </c>
      <c r="I1629" s="160">
        <f>Sales[[#This Row],[Selling Rate]]*Sales[[#This Row],[Qty]]</f>
        <v>37430</v>
      </c>
      <c r="J1629" s="43">
        <v>0</v>
      </c>
      <c r="K1629" s="44">
        <f>Sales[[#This Row],[Gross Amount]]*Sales[[#This Row],[Disc %]]</f>
        <v>0</v>
      </c>
      <c r="L1629" s="43">
        <v>0.18</v>
      </c>
      <c r="M1629" s="44">
        <f>(Sales[[#This Row],[Gross Amount]]-Sales[[#This Row],[Disc. Amt.]])*Sales[[#This Row],[GST %]]</f>
        <v>6737.4</v>
      </c>
      <c r="N1629" s="161">
        <f>Sales[[#This Row],[Gross Amount]]-Sales[[#This Row],[Disc. Amt.]]+Sales[[#This Row],[GST Amount]]</f>
        <v>44167.4</v>
      </c>
      <c r="O1629" s="158" t="s">
        <v>3566</v>
      </c>
      <c r="P1629" s="158" t="s">
        <v>3562</v>
      </c>
      <c r="Q1629" s="160">
        <f>IF(Sales[[#This Row],[Status]]="Cancelled",0,Sales[[#This Row],[Qty]])</f>
        <v>1</v>
      </c>
      <c r="R1629" s="161">
        <f>IF(Sales[[#This Row],[Status]]="Cancelled",0,Sales[[#This Row],[Total Amount]])</f>
        <v>44167.4</v>
      </c>
      <c r="S1629" s="162">
        <f>SUM(Sales[Net Amount])</f>
        <v>406839287.73200053</v>
      </c>
    </row>
    <row r="1630" spans="1:19" ht="18.75" x14ac:dyDescent="0.25">
      <c r="A1630" s="163" t="s">
        <v>5236</v>
      </c>
      <c r="B1630" s="164">
        <v>45861</v>
      </c>
      <c r="C1630" s="34" t="s">
        <v>875</v>
      </c>
      <c r="D1630" s="53" t="str">
        <f>VLOOKUP(Sales[[#This Row],[Customer ID]],Customer[#All],2,0)</f>
        <v>Rahul Verma</v>
      </c>
      <c r="E1630" s="34" t="s">
        <v>364</v>
      </c>
      <c r="F1630" s="34" t="str">
        <f>VLOOKUP(Sales[[#This Row],[Product ID]],Product[#All],2,0)</f>
        <v>Canon Printer</v>
      </c>
      <c r="G1630" s="53">
        <v>8</v>
      </c>
      <c r="H1630" s="165">
        <f>VLOOKUP(Sales[[#This Row],[Product ID]],Product[#All],7,0)</f>
        <v>41460</v>
      </c>
      <c r="I1630" s="165">
        <f>Sales[[#This Row],[Selling Rate]]*Sales[[#This Row],[Qty]]</f>
        <v>331680</v>
      </c>
      <c r="J1630" s="45">
        <v>0.12</v>
      </c>
      <c r="K1630" s="46">
        <f>Sales[[#This Row],[Gross Amount]]*Sales[[#This Row],[Disc %]]</f>
        <v>39801.599999999999</v>
      </c>
      <c r="L1630" s="43">
        <v>0.18</v>
      </c>
      <c r="M1630" s="46">
        <f>(Sales[[#This Row],[Gross Amount]]-Sales[[#This Row],[Disc. Amt.]])*Sales[[#This Row],[GST %]]</f>
        <v>52538.112000000001</v>
      </c>
      <c r="N1630" s="161">
        <f>Sales[[#This Row],[Gross Amount]]-Sales[[#This Row],[Disc. Amt.]]+Sales[[#This Row],[GST Amount]]</f>
        <v>344416.51200000005</v>
      </c>
      <c r="O1630" s="34" t="s">
        <v>3569</v>
      </c>
      <c r="P1630" s="34" t="s">
        <v>3562</v>
      </c>
      <c r="Q1630" s="165">
        <f>IF(Sales[[#This Row],[Status]]="Cancelled",0,Sales[[#This Row],[Qty]])</f>
        <v>8</v>
      </c>
      <c r="R1630" s="166">
        <f>IF(Sales[[#This Row],[Status]]="Cancelled",0,Sales[[#This Row],[Total Amount]])</f>
        <v>344416.51200000005</v>
      </c>
      <c r="S1630" s="162">
        <f>SUM(Sales[Net Amount])</f>
        <v>406839287.73200053</v>
      </c>
    </row>
    <row r="1631" spans="1:19" ht="18.75" x14ac:dyDescent="0.25">
      <c r="A1631" s="156" t="s">
        <v>5237</v>
      </c>
      <c r="B1631" s="157">
        <v>45861</v>
      </c>
      <c r="C1631" s="158" t="s">
        <v>796</v>
      </c>
      <c r="D1631" s="159" t="str">
        <f>VLOOKUP(Sales[[#This Row],[Customer ID]],Customer[#All],2,0)</f>
        <v>Rahul Verma</v>
      </c>
      <c r="E1631" s="158" t="s">
        <v>474</v>
      </c>
      <c r="F1631" s="158" t="str">
        <f>VLOOKUP(Sales[[#This Row],[Product ID]],Product[#All],2,0)</f>
        <v>Logitech Mouse</v>
      </c>
      <c r="G1631" s="159">
        <v>8</v>
      </c>
      <c r="H1631" s="160">
        <f>VLOOKUP(Sales[[#This Row],[Product ID]],Product[#All],7,0)</f>
        <v>1320</v>
      </c>
      <c r="I1631" s="160">
        <f>Sales[[#This Row],[Selling Rate]]*Sales[[#This Row],[Qty]]</f>
        <v>10560</v>
      </c>
      <c r="J1631" s="43">
        <v>0.05</v>
      </c>
      <c r="K1631" s="44">
        <f>Sales[[#This Row],[Gross Amount]]*Sales[[#This Row],[Disc %]]</f>
        <v>528</v>
      </c>
      <c r="L1631" s="43">
        <v>0.18</v>
      </c>
      <c r="M1631" s="44">
        <f>(Sales[[#This Row],[Gross Amount]]-Sales[[#This Row],[Disc. Amt.]])*Sales[[#This Row],[GST %]]</f>
        <v>1805.76</v>
      </c>
      <c r="N1631" s="161">
        <f>Sales[[#This Row],[Gross Amount]]-Sales[[#This Row],[Disc. Amt.]]+Sales[[#This Row],[GST Amount]]</f>
        <v>11837.76</v>
      </c>
      <c r="O1631" s="158" t="s">
        <v>3561</v>
      </c>
      <c r="P1631" s="158" t="s">
        <v>3562</v>
      </c>
      <c r="Q1631" s="160">
        <f>IF(Sales[[#This Row],[Status]]="Cancelled",0,Sales[[#This Row],[Qty]])</f>
        <v>8</v>
      </c>
      <c r="R1631" s="161">
        <f>IF(Sales[[#This Row],[Status]]="Cancelled",0,Sales[[#This Row],[Total Amount]])</f>
        <v>11837.76</v>
      </c>
      <c r="S1631" s="162">
        <f>SUM(Sales[Net Amount])</f>
        <v>406839287.73200053</v>
      </c>
    </row>
    <row r="1632" spans="1:19" ht="18.75" x14ac:dyDescent="0.25">
      <c r="A1632" s="163" t="s">
        <v>5238</v>
      </c>
      <c r="B1632" s="164">
        <v>45861</v>
      </c>
      <c r="C1632" s="34" t="s">
        <v>941</v>
      </c>
      <c r="D1632" s="53" t="str">
        <f>VLOOKUP(Sales[[#This Row],[Customer ID]],Customer[#All],2,0)</f>
        <v>Sahil Verma</v>
      </c>
      <c r="E1632" s="34" t="s">
        <v>112</v>
      </c>
      <c r="F1632" s="34" t="str">
        <f>VLOOKUP(Sales[[#This Row],[Product ID]],Product[#All],2,0)</f>
        <v>Logitech Keyboard</v>
      </c>
      <c r="G1632" s="53">
        <v>8</v>
      </c>
      <c r="H1632" s="165">
        <f>VLOOKUP(Sales[[#This Row],[Product ID]],Product[#All],7,0)</f>
        <v>3300</v>
      </c>
      <c r="I1632" s="165">
        <f>Sales[[#This Row],[Selling Rate]]*Sales[[#This Row],[Qty]]</f>
        <v>26400</v>
      </c>
      <c r="J1632" s="45">
        <v>0.05</v>
      </c>
      <c r="K1632" s="46">
        <f>Sales[[#This Row],[Gross Amount]]*Sales[[#This Row],[Disc %]]</f>
        <v>1320</v>
      </c>
      <c r="L1632" s="43">
        <v>0.18</v>
      </c>
      <c r="M1632" s="46">
        <f>(Sales[[#This Row],[Gross Amount]]-Sales[[#This Row],[Disc. Amt.]])*Sales[[#This Row],[GST %]]</f>
        <v>4514.3999999999996</v>
      </c>
      <c r="N1632" s="161">
        <f>Sales[[#This Row],[Gross Amount]]-Sales[[#This Row],[Disc. Amt.]]+Sales[[#This Row],[GST Amount]]</f>
        <v>29594.400000000001</v>
      </c>
      <c r="O1632" s="34" t="s">
        <v>3569</v>
      </c>
      <c r="P1632" s="34" t="s">
        <v>3562</v>
      </c>
      <c r="Q1632" s="165">
        <f>IF(Sales[[#This Row],[Status]]="Cancelled",0,Sales[[#This Row],[Qty]])</f>
        <v>8</v>
      </c>
      <c r="R1632" s="166">
        <f>IF(Sales[[#This Row],[Status]]="Cancelled",0,Sales[[#This Row],[Total Amount]])</f>
        <v>29594.400000000001</v>
      </c>
      <c r="S1632" s="162">
        <f>SUM(Sales[Net Amount])</f>
        <v>406839287.73200053</v>
      </c>
    </row>
    <row r="1633" spans="1:19" ht="18.75" x14ac:dyDescent="0.25">
      <c r="A1633" s="156" t="s">
        <v>5239</v>
      </c>
      <c r="B1633" s="157">
        <v>45861</v>
      </c>
      <c r="C1633" s="158" t="s">
        <v>934</v>
      </c>
      <c r="D1633" s="159" t="str">
        <f>VLOOKUP(Sales[[#This Row],[Customer ID]],Customer[#All],2,0)</f>
        <v>Pooja Singh</v>
      </c>
      <c r="E1633" s="158" t="s">
        <v>310</v>
      </c>
      <c r="F1633" s="158" t="str">
        <f>VLOOKUP(Sales[[#This Row],[Product ID]],Product[#All],2,0)</f>
        <v>TP-link Wi-Fi Adapter</v>
      </c>
      <c r="G1633" s="159">
        <v>2</v>
      </c>
      <c r="H1633" s="160">
        <f>VLOOKUP(Sales[[#This Row],[Product ID]],Product[#All],7,0)</f>
        <v>700</v>
      </c>
      <c r="I1633" s="160">
        <f>Sales[[#This Row],[Selling Rate]]*Sales[[#This Row],[Qty]]</f>
        <v>1400</v>
      </c>
      <c r="J1633" s="43">
        <v>0.12</v>
      </c>
      <c r="K1633" s="44">
        <f>Sales[[#This Row],[Gross Amount]]*Sales[[#This Row],[Disc %]]</f>
        <v>168</v>
      </c>
      <c r="L1633" s="43">
        <v>0.18</v>
      </c>
      <c r="M1633" s="44">
        <f>(Sales[[#This Row],[Gross Amount]]-Sales[[#This Row],[Disc. Amt.]])*Sales[[#This Row],[GST %]]</f>
        <v>221.76</v>
      </c>
      <c r="N1633" s="161">
        <f>Sales[[#This Row],[Gross Amount]]-Sales[[#This Row],[Disc. Amt.]]+Sales[[#This Row],[GST Amount]]</f>
        <v>1453.76</v>
      </c>
      <c r="O1633" s="158" t="s">
        <v>3566</v>
      </c>
      <c r="P1633" s="158" t="s">
        <v>3562</v>
      </c>
      <c r="Q1633" s="160">
        <f>IF(Sales[[#This Row],[Status]]="Cancelled",0,Sales[[#This Row],[Qty]])</f>
        <v>2</v>
      </c>
      <c r="R1633" s="161">
        <f>IF(Sales[[#This Row],[Status]]="Cancelled",0,Sales[[#This Row],[Total Amount]])</f>
        <v>1453.76</v>
      </c>
      <c r="S1633" s="162">
        <f>SUM(Sales[Net Amount])</f>
        <v>406839287.73200053</v>
      </c>
    </row>
    <row r="1634" spans="1:19" ht="18.75" x14ac:dyDescent="0.25">
      <c r="A1634" s="163" t="s">
        <v>5240</v>
      </c>
      <c r="B1634" s="164">
        <v>45861</v>
      </c>
      <c r="C1634" s="34" t="s">
        <v>689</v>
      </c>
      <c r="D1634" s="53" t="str">
        <f>VLOOKUP(Sales[[#This Row],[Customer ID]],Customer[#All],2,0)</f>
        <v>Sahil Kumar</v>
      </c>
      <c r="E1634" s="34" t="s">
        <v>306</v>
      </c>
      <c r="F1634" s="34" t="str">
        <f>VLOOKUP(Sales[[#This Row],[Product ID]],Product[#All],2,0)</f>
        <v>Portronics USB Cable</v>
      </c>
      <c r="G1634" s="53">
        <v>4</v>
      </c>
      <c r="H1634" s="165">
        <f>VLOOKUP(Sales[[#This Row],[Product ID]],Product[#All],7,0)</f>
        <v>200</v>
      </c>
      <c r="I1634" s="165">
        <f>Sales[[#This Row],[Selling Rate]]*Sales[[#This Row],[Qty]]</f>
        <v>800</v>
      </c>
      <c r="J1634" s="45">
        <v>0.05</v>
      </c>
      <c r="K1634" s="46">
        <f>Sales[[#This Row],[Gross Amount]]*Sales[[#This Row],[Disc %]]</f>
        <v>40</v>
      </c>
      <c r="L1634" s="43">
        <v>0.18</v>
      </c>
      <c r="M1634" s="46">
        <f>(Sales[[#This Row],[Gross Amount]]-Sales[[#This Row],[Disc. Amt.]])*Sales[[#This Row],[GST %]]</f>
        <v>136.79999999999998</v>
      </c>
      <c r="N1634" s="161">
        <f>Sales[[#This Row],[Gross Amount]]-Sales[[#This Row],[Disc. Amt.]]+Sales[[#This Row],[GST Amount]]</f>
        <v>896.8</v>
      </c>
      <c r="O1634" s="34" t="s">
        <v>8876</v>
      </c>
      <c r="P1634" s="34" t="s">
        <v>3562</v>
      </c>
      <c r="Q1634" s="165">
        <f>IF(Sales[[#This Row],[Status]]="Cancelled",0,Sales[[#This Row],[Qty]])</f>
        <v>4</v>
      </c>
      <c r="R1634" s="166">
        <f>IF(Sales[[#This Row],[Status]]="Cancelled",0,Sales[[#This Row],[Total Amount]])</f>
        <v>896.8</v>
      </c>
      <c r="S1634" s="162">
        <f>SUM(Sales[Net Amount])</f>
        <v>406839287.73200053</v>
      </c>
    </row>
    <row r="1635" spans="1:19" ht="18.75" x14ac:dyDescent="0.25">
      <c r="A1635" s="156" t="s">
        <v>5241</v>
      </c>
      <c r="B1635" s="157">
        <v>45861</v>
      </c>
      <c r="C1635" s="158" t="s">
        <v>671</v>
      </c>
      <c r="D1635" s="159" t="str">
        <f>VLOOKUP(Sales[[#This Row],[Customer ID]],Customer[#All],2,0)</f>
        <v>Sahil Patel</v>
      </c>
      <c r="E1635" s="158" t="s">
        <v>479</v>
      </c>
      <c r="F1635" s="158" t="str">
        <f>VLOOKUP(Sales[[#This Row],[Product ID]],Product[#All],2,0)</f>
        <v>TP-link Router</v>
      </c>
      <c r="G1635" s="159">
        <v>6</v>
      </c>
      <c r="H1635" s="160">
        <f>VLOOKUP(Sales[[#This Row],[Product ID]],Product[#All],7,0)</f>
        <v>5740</v>
      </c>
      <c r="I1635" s="160">
        <f>Sales[[#This Row],[Selling Rate]]*Sales[[#This Row],[Qty]]</f>
        <v>34440</v>
      </c>
      <c r="J1635" s="43">
        <v>0.15</v>
      </c>
      <c r="K1635" s="44">
        <f>Sales[[#This Row],[Gross Amount]]*Sales[[#This Row],[Disc %]]</f>
        <v>5166</v>
      </c>
      <c r="L1635" s="43">
        <v>0.18</v>
      </c>
      <c r="M1635" s="44">
        <f>(Sales[[#This Row],[Gross Amount]]-Sales[[#This Row],[Disc. Amt.]])*Sales[[#This Row],[GST %]]</f>
        <v>5269.32</v>
      </c>
      <c r="N1635" s="161">
        <f>Sales[[#This Row],[Gross Amount]]-Sales[[#This Row],[Disc. Amt.]]+Sales[[#This Row],[GST Amount]]</f>
        <v>34543.32</v>
      </c>
      <c r="O1635" s="158" t="s">
        <v>3569</v>
      </c>
      <c r="P1635" s="158" t="s">
        <v>3562</v>
      </c>
      <c r="Q1635" s="160">
        <f>IF(Sales[[#This Row],[Status]]="Cancelled",0,Sales[[#This Row],[Qty]])</f>
        <v>6</v>
      </c>
      <c r="R1635" s="161">
        <f>IF(Sales[[#This Row],[Status]]="Cancelled",0,Sales[[#This Row],[Total Amount]])</f>
        <v>34543.32</v>
      </c>
      <c r="S1635" s="162">
        <f>SUM(Sales[Net Amount])</f>
        <v>406839287.73200053</v>
      </c>
    </row>
    <row r="1636" spans="1:19" ht="18.75" x14ac:dyDescent="0.25">
      <c r="A1636" s="163" t="s">
        <v>5242</v>
      </c>
      <c r="B1636" s="164">
        <v>45861</v>
      </c>
      <c r="C1636" s="34" t="s">
        <v>850</v>
      </c>
      <c r="D1636" s="53" t="str">
        <f>VLOOKUP(Sales[[#This Row],[Customer ID]],Customer[#All],2,0)</f>
        <v>Sahil Patel</v>
      </c>
      <c r="E1636" s="34" t="s">
        <v>258</v>
      </c>
      <c r="F1636" s="34" t="str">
        <f>VLOOKUP(Sales[[#This Row],[Product ID]],Product[#All],2,0)</f>
        <v>HP Power Adapter</v>
      </c>
      <c r="G1636" s="53">
        <v>4</v>
      </c>
      <c r="H1636" s="165">
        <f>VLOOKUP(Sales[[#This Row],[Product ID]],Product[#All],7,0)</f>
        <v>2370</v>
      </c>
      <c r="I1636" s="165">
        <f>Sales[[#This Row],[Selling Rate]]*Sales[[#This Row],[Qty]]</f>
        <v>9480</v>
      </c>
      <c r="J1636" s="45">
        <v>0</v>
      </c>
      <c r="K1636" s="46">
        <f>Sales[[#This Row],[Gross Amount]]*Sales[[#This Row],[Disc %]]</f>
        <v>0</v>
      </c>
      <c r="L1636" s="43">
        <v>0.18</v>
      </c>
      <c r="M1636" s="46">
        <f>(Sales[[#This Row],[Gross Amount]]-Sales[[#This Row],[Disc. Amt.]])*Sales[[#This Row],[GST %]]</f>
        <v>1706.3999999999999</v>
      </c>
      <c r="N1636" s="161">
        <f>Sales[[#This Row],[Gross Amount]]-Sales[[#This Row],[Disc. Amt.]]+Sales[[#This Row],[GST Amount]]</f>
        <v>11186.4</v>
      </c>
      <c r="O1636" s="34" t="s">
        <v>3561</v>
      </c>
      <c r="P1636" s="34" t="s">
        <v>3562</v>
      </c>
      <c r="Q1636" s="165">
        <f>IF(Sales[[#This Row],[Status]]="Cancelled",0,Sales[[#This Row],[Qty]])</f>
        <v>4</v>
      </c>
      <c r="R1636" s="166">
        <f>IF(Sales[[#This Row],[Status]]="Cancelled",0,Sales[[#This Row],[Total Amount]])</f>
        <v>11186.4</v>
      </c>
      <c r="S1636" s="162">
        <f>SUM(Sales[Net Amount])</f>
        <v>406839287.73200053</v>
      </c>
    </row>
    <row r="1637" spans="1:19" ht="18.75" x14ac:dyDescent="0.25">
      <c r="A1637" s="156" t="s">
        <v>5243</v>
      </c>
      <c r="B1637" s="157">
        <v>45861</v>
      </c>
      <c r="C1637" s="158" t="s">
        <v>890</v>
      </c>
      <c r="D1637" s="159" t="str">
        <f>VLOOKUP(Sales[[#This Row],[Customer ID]],Customer[#All],2,0)</f>
        <v>Rakesh Patel</v>
      </c>
      <c r="E1637" s="158" t="s">
        <v>427</v>
      </c>
      <c r="F1637" s="158" t="str">
        <f>VLOOKUP(Sales[[#This Row],[Product ID]],Product[#All],2,0)</f>
        <v>Logitech Mouse</v>
      </c>
      <c r="G1637" s="159">
        <v>1</v>
      </c>
      <c r="H1637" s="160">
        <f>VLOOKUP(Sales[[#This Row],[Product ID]],Product[#All],7,0)</f>
        <v>1190</v>
      </c>
      <c r="I1637" s="160">
        <f>Sales[[#This Row],[Selling Rate]]*Sales[[#This Row],[Qty]]</f>
        <v>1190</v>
      </c>
      <c r="J1637" s="43">
        <v>0.05</v>
      </c>
      <c r="K1637" s="44">
        <f>Sales[[#This Row],[Gross Amount]]*Sales[[#This Row],[Disc %]]</f>
        <v>59.5</v>
      </c>
      <c r="L1637" s="43">
        <v>0.18</v>
      </c>
      <c r="M1637" s="44">
        <f>(Sales[[#This Row],[Gross Amount]]-Sales[[#This Row],[Disc. Amt.]])*Sales[[#This Row],[GST %]]</f>
        <v>203.48999999999998</v>
      </c>
      <c r="N1637" s="161">
        <f>Sales[[#This Row],[Gross Amount]]-Sales[[#This Row],[Disc. Amt.]]+Sales[[#This Row],[GST Amount]]</f>
        <v>1333.99</v>
      </c>
      <c r="O1637" s="158" t="s">
        <v>3566</v>
      </c>
      <c r="P1637" s="158" t="s">
        <v>3562</v>
      </c>
      <c r="Q1637" s="160">
        <f>IF(Sales[[#This Row],[Status]]="Cancelled",0,Sales[[#This Row],[Qty]])</f>
        <v>1</v>
      </c>
      <c r="R1637" s="161">
        <f>IF(Sales[[#This Row],[Status]]="Cancelled",0,Sales[[#This Row],[Total Amount]])</f>
        <v>1333.99</v>
      </c>
      <c r="S1637" s="162">
        <f>SUM(Sales[Net Amount])</f>
        <v>406839287.73200053</v>
      </c>
    </row>
    <row r="1638" spans="1:19" ht="18.75" x14ac:dyDescent="0.25">
      <c r="A1638" s="163" t="s">
        <v>5244</v>
      </c>
      <c r="B1638" s="164">
        <v>45861</v>
      </c>
      <c r="C1638" s="34" t="s">
        <v>659</v>
      </c>
      <c r="D1638" s="53" t="str">
        <f>VLOOKUP(Sales[[#This Row],[Customer ID]],Customer[#All],2,0)</f>
        <v>Rakesh Sharma</v>
      </c>
      <c r="E1638" s="34" t="s">
        <v>426</v>
      </c>
      <c r="F1638" s="34" t="str">
        <f>VLOOKUP(Sales[[#This Row],[Product ID]],Product[#All],2,0)</f>
        <v>Jbl Speaker</v>
      </c>
      <c r="G1638" s="53">
        <v>3</v>
      </c>
      <c r="H1638" s="165">
        <f>VLOOKUP(Sales[[#This Row],[Product ID]],Product[#All],7,0)</f>
        <v>5260</v>
      </c>
      <c r="I1638" s="165">
        <f>Sales[[#This Row],[Selling Rate]]*Sales[[#This Row],[Qty]]</f>
        <v>15780</v>
      </c>
      <c r="J1638" s="45">
        <v>0.02</v>
      </c>
      <c r="K1638" s="46">
        <f>Sales[[#This Row],[Gross Amount]]*Sales[[#This Row],[Disc %]]</f>
        <v>315.60000000000002</v>
      </c>
      <c r="L1638" s="43">
        <v>0.18</v>
      </c>
      <c r="M1638" s="46">
        <f>(Sales[[#This Row],[Gross Amount]]-Sales[[#This Row],[Disc. Amt.]])*Sales[[#This Row],[GST %]]</f>
        <v>2783.5919999999996</v>
      </c>
      <c r="N1638" s="161">
        <f>Sales[[#This Row],[Gross Amount]]-Sales[[#This Row],[Disc. Amt.]]+Sales[[#This Row],[GST Amount]]</f>
        <v>18247.991999999998</v>
      </c>
      <c r="O1638" s="34" t="s">
        <v>3561</v>
      </c>
      <c r="P1638" s="34" t="s">
        <v>3562</v>
      </c>
      <c r="Q1638" s="165">
        <f>IF(Sales[[#This Row],[Status]]="Cancelled",0,Sales[[#This Row],[Qty]])</f>
        <v>3</v>
      </c>
      <c r="R1638" s="166">
        <f>IF(Sales[[#This Row],[Status]]="Cancelled",0,Sales[[#This Row],[Total Amount]])</f>
        <v>18247.991999999998</v>
      </c>
      <c r="S1638" s="162">
        <f>SUM(Sales[Net Amount])</f>
        <v>406839287.73200053</v>
      </c>
    </row>
    <row r="1639" spans="1:19" ht="18.75" x14ac:dyDescent="0.25">
      <c r="A1639" s="156" t="s">
        <v>5245</v>
      </c>
      <c r="B1639" s="157">
        <v>45861</v>
      </c>
      <c r="C1639" s="158" t="s">
        <v>756</v>
      </c>
      <c r="D1639" s="159" t="str">
        <f>VLOOKUP(Sales[[#This Row],[Customer ID]],Customer[#All],2,0)</f>
        <v>Amit Patel</v>
      </c>
      <c r="E1639" s="158" t="s">
        <v>351</v>
      </c>
      <c r="F1639" s="158" t="str">
        <f>VLOOKUP(Sales[[#This Row],[Product ID]],Product[#All],2,0)</f>
        <v>Logitech Mouse</v>
      </c>
      <c r="G1639" s="159">
        <v>8</v>
      </c>
      <c r="H1639" s="160">
        <f>VLOOKUP(Sales[[#This Row],[Product ID]],Product[#All],7,0)</f>
        <v>2130</v>
      </c>
      <c r="I1639" s="160">
        <f>Sales[[#This Row],[Selling Rate]]*Sales[[#This Row],[Qty]]</f>
        <v>17040</v>
      </c>
      <c r="J1639" s="43">
        <v>0.05</v>
      </c>
      <c r="K1639" s="44">
        <f>Sales[[#This Row],[Gross Amount]]*Sales[[#This Row],[Disc %]]</f>
        <v>852</v>
      </c>
      <c r="L1639" s="43">
        <v>0.18</v>
      </c>
      <c r="M1639" s="44">
        <f>(Sales[[#This Row],[Gross Amount]]-Sales[[#This Row],[Disc. Amt.]])*Sales[[#This Row],[GST %]]</f>
        <v>2913.8399999999997</v>
      </c>
      <c r="N1639" s="161">
        <f>Sales[[#This Row],[Gross Amount]]-Sales[[#This Row],[Disc. Amt.]]+Sales[[#This Row],[GST Amount]]</f>
        <v>19101.84</v>
      </c>
      <c r="O1639" s="158" t="s">
        <v>3569</v>
      </c>
      <c r="P1639" s="158" t="s">
        <v>3562</v>
      </c>
      <c r="Q1639" s="160">
        <f>IF(Sales[[#This Row],[Status]]="Cancelled",0,Sales[[#This Row],[Qty]])</f>
        <v>8</v>
      </c>
      <c r="R1639" s="161">
        <f>IF(Sales[[#This Row],[Status]]="Cancelled",0,Sales[[#This Row],[Total Amount]])</f>
        <v>19101.84</v>
      </c>
      <c r="S1639" s="162">
        <f>SUM(Sales[Net Amount])</f>
        <v>406839287.73200053</v>
      </c>
    </row>
    <row r="1640" spans="1:19" ht="18.75" x14ac:dyDescent="0.25">
      <c r="A1640" s="163" t="s">
        <v>5246</v>
      </c>
      <c r="B1640" s="164">
        <v>45861</v>
      </c>
      <c r="C1640" s="34" t="s">
        <v>876</v>
      </c>
      <c r="D1640" s="53" t="str">
        <f>VLOOKUP(Sales[[#This Row],[Customer ID]],Customer[#All],2,0)</f>
        <v>Sahil Verma</v>
      </c>
      <c r="E1640" s="34" t="s">
        <v>164</v>
      </c>
      <c r="F1640" s="34" t="str">
        <f>VLOOKUP(Sales[[#This Row],[Product ID]],Product[#All],2,0)</f>
        <v>Jbl Headset</v>
      </c>
      <c r="G1640" s="53">
        <v>3</v>
      </c>
      <c r="H1640" s="165">
        <f>VLOOKUP(Sales[[#This Row],[Product ID]],Product[#All],7,0)</f>
        <v>3360</v>
      </c>
      <c r="I1640" s="165">
        <f>Sales[[#This Row],[Selling Rate]]*Sales[[#This Row],[Qty]]</f>
        <v>10080</v>
      </c>
      <c r="J1640" s="45">
        <v>0.05</v>
      </c>
      <c r="K1640" s="46">
        <f>Sales[[#This Row],[Gross Amount]]*Sales[[#This Row],[Disc %]]</f>
        <v>504</v>
      </c>
      <c r="L1640" s="43">
        <v>0.18</v>
      </c>
      <c r="M1640" s="46">
        <f>(Sales[[#This Row],[Gross Amount]]-Sales[[#This Row],[Disc. Amt.]])*Sales[[#This Row],[GST %]]</f>
        <v>1723.6799999999998</v>
      </c>
      <c r="N1640" s="161">
        <f>Sales[[#This Row],[Gross Amount]]-Sales[[#This Row],[Disc. Amt.]]+Sales[[#This Row],[GST Amount]]</f>
        <v>11299.68</v>
      </c>
      <c r="O1640" s="34" t="s">
        <v>3566</v>
      </c>
      <c r="P1640" s="34" t="s">
        <v>3562</v>
      </c>
      <c r="Q1640" s="165">
        <f>IF(Sales[[#This Row],[Status]]="Cancelled",0,Sales[[#This Row],[Qty]])</f>
        <v>3</v>
      </c>
      <c r="R1640" s="166">
        <f>IF(Sales[[#This Row],[Status]]="Cancelled",0,Sales[[#This Row],[Total Amount]])</f>
        <v>11299.68</v>
      </c>
      <c r="S1640" s="162">
        <f>SUM(Sales[Net Amount])</f>
        <v>406839287.73200053</v>
      </c>
    </row>
    <row r="1641" spans="1:19" ht="18.75" x14ac:dyDescent="0.25">
      <c r="A1641" s="156" t="s">
        <v>5247</v>
      </c>
      <c r="B1641" s="157">
        <v>45861</v>
      </c>
      <c r="C1641" s="158" t="s">
        <v>930</v>
      </c>
      <c r="D1641" s="159" t="str">
        <f>VLOOKUP(Sales[[#This Row],[Customer ID]],Customer[#All],2,0)</f>
        <v>Rakesh Gupta</v>
      </c>
      <c r="E1641" s="158" t="s">
        <v>524</v>
      </c>
      <c r="F1641" s="158" t="str">
        <f>VLOOKUP(Sales[[#This Row],[Product ID]],Product[#All],2,0)</f>
        <v>TP-link Bluetooth Adapter</v>
      </c>
      <c r="G1641" s="159">
        <v>5</v>
      </c>
      <c r="H1641" s="160">
        <f>VLOOKUP(Sales[[#This Row],[Product ID]],Product[#All],7,0)</f>
        <v>750</v>
      </c>
      <c r="I1641" s="160">
        <f>Sales[[#This Row],[Selling Rate]]*Sales[[#This Row],[Qty]]</f>
        <v>3750</v>
      </c>
      <c r="J1641" s="43">
        <v>0</v>
      </c>
      <c r="K1641" s="44">
        <f>Sales[[#This Row],[Gross Amount]]*Sales[[#This Row],[Disc %]]</f>
        <v>0</v>
      </c>
      <c r="L1641" s="43">
        <v>0.18</v>
      </c>
      <c r="M1641" s="44">
        <f>(Sales[[#This Row],[Gross Amount]]-Sales[[#This Row],[Disc. Amt.]])*Sales[[#This Row],[GST %]]</f>
        <v>675</v>
      </c>
      <c r="N1641" s="161">
        <f>Sales[[#This Row],[Gross Amount]]-Sales[[#This Row],[Disc. Amt.]]+Sales[[#This Row],[GST Amount]]</f>
        <v>4425</v>
      </c>
      <c r="O1641" s="158" t="s">
        <v>8876</v>
      </c>
      <c r="P1641" s="158" t="s">
        <v>3562</v>
      </c>
      <c r="Q1641" s="160">
        <f>IF(Sales[[#This Row],[Status]]="Cancelled",0,Sales[[#This Row],[Qty]])</f>
        <v>5</v>
      </c>
      <c r="R1641" s="161">
        <f>IF(Sales[[#This Row],[Status]]="Cancelled",0,Sales[[#This Row],[Total Amount]])</f>
        <v>4425</v>
      </c>
      <c r="S1641" s="162">
        <f>SUM(Sales[Net Amount])</f>
        <v>406839287.73200053</v>
      </c>
    </row>
    <row r="1642" spans="1:19" ht="18.75" x14ac:dyDescent="0.25">
      <c r="A1642" s="163" t="s">
        <v>5248</v>
      </c>
      <c r="B1642" s="164">
        <v>45861</v>
      </c>
      <c r="C1642" s="34" t="s">
        <v>882</v>
      </c>
      <c r="D1642" s="53" t="str">
        <f>VLOOKUP(Sales[[#This Row],[Customer ID]],Customer[#All],2,0)</f>
        <v>Rahul Sharma</v>
      </c>
      <c r="E1642" s="34" t="s">
        <v>70</v>
      </c>
      <c r="F1642" s="34" t="str">
        <f>VLOOKUP(Sales[[#This Row],[Product ID]],Product[#All],2,0)</f>
        <v>Logitech Webcam</v>
      </c>
      <c r="G1642" s="53">
        <v>6</v>
      </c>
      <c r="H1642" s="165">
        <f>VLOOKUP(Sales[[#This Row],[Product ID]],Product[#All],7,0)</f>
        <v>5200</v>
      </c>
      <c r="I1642" s="165">
        <f>Sales[[#This Row],[Selling Rate]]*Sales[[#This Row],[Qty]]</f>
        <v>31200</v>
      </c>
      <c r="J1642" s="45">
        <v>0.12</v>
      </c>
      <c r="K1642" s="46">
        <f>Sales[[#This Row],[Gross Amount]]*Sales[[#This Row],[Disc %]]</f>
        <v>3744</v>
      </c>
      <c r="L1642" s="43">
        <v>0.18</v>
      </c>
      <c r="M1642" s="46">
        <f>(Sales[[#This Row],[Gross Amount]]-Sales[[#This Row],[Disc. Amt.]])*Sales[[#This Row],[GST %]]</f>
        <v>4942.08</v>
      </c>
      <c r="N1642" s="161">
        <f>Sales[[#This Row],[Gross Amount]]-Sales[[#This Row],[Disc. Amt.]]+Sales[[#This Row],[GST Amount]]</f>
        <v>32398.080000000002</v>
      </c>
      <c r="O1642" s="34" t="s">
        <v>3566</v>
      </c>
      <c r="P1642" s="34" t="s">
        <v>3562</v>
      </c>
      <c r="Q1642" s="165">
        <f>IF(Sales[[#This Row],[Status]]="Cancelled",0,Sales[[#This Row],[Qty]])</f>
        <v>6</v>
      </c>
      <c r="R1642" s="166">
        <f>IF(Sales[[#This Row],[Status]]="Cancelled",0,Sales[[#This Row],[Total Amount]])</f>
        <v>32398.080000000002</v>
      </c>
      <c r="S1642" s="162">
        <f>SUM(Sales[Net Amount])</f>
        <v>406839287.73200053</v>
      </c>
    </row>
    <row r="1643" spans="1:19" ht="18.75" x14ac:dyDescent="0.25">
      <c r="A1643" s="156" t="s">
        <v>5249</v>
      </c>
      <c r="B1643" s="157">
        <v>45861</v>
      </c>
      <c r="C1643" s="158" t="s">
        <v>706</v>
      </c>
      <c r="D1643" s="159" t="str">
        <f>VLOOKUP(Sales[[#This Row],[Customer ID]],Customer[#All],2,0)</f>
        <v>Amit Sharma</v>
      </c>
      <c r="E1643" s="158" t="s">
        <v>100</v>
      </c>
      <c r="F1643" s="158" t="str">
        <f>VLOOKUP(Sales[[#This Row],[Product ID]],Product[#All],2,0)</f>
        <v>Portronics USB Cable</v>
      </c>
      <c r="G1643" s="159">
        <v>2</v>
      </c>
      <c r="H1643" s="160">
        <f>VLOOKUP(Sales[[#This Row],[Product ID]],Product[#All],7,0)</f>
        <v>210</v>
      </c>
      <c r="I1643" s="160">
        <f>Sales[[#This Row],[Selling Rate]]*Sales[[#This Row],[Qty]]</f>
        <v>420</v>
      </c>
      <c r="J1643" s="43">
        <v>0</v>
      </c>
      <c r="K1643" s="44">
        <f>Sales[[#This Row],[Gross Amount]]*Sales[[#This Row],[Disc %]]</f>
        <v>0</v>
      </c>
      <c r="L1643" s="43">
        <v>0.18</v>
      </c>
      <c r="M1643" s="44">
        <f>(Sales[[#This Row],[Gross Amount]]-Sales[[#This Row],[Disc. Amt.]])*Sales[[#This Row],[GST %]]</f>
        <v>75.599999999999994</v>
      </c>
      <c r="N1643" s="161">
        <f>Sales[[#This Row],[Gross Amount]]-Sales[[#This Row],[Disc. Amt.]]+Sales[[#This Row],[GST Amount]]</f>
        <v>495.6</v>
      </c>
      <c r="O1643" s="158" t="s">
        <v>3569</v>
      </c>
      <c r="P1643" s="158" t="s">
        <v>3562</v>
      </c>
      <c r="Q1643" s="160">
        <f>IF(Sales[[#This Row],[Status]]="Cancelled",0,Sales[[#This Row],[Qty]])</f>
        <v>2</v>
      </c>
      <c r="R1643" s="161">
        <f>IF(Sales[[#This Row],[Status]]="Cancelled",0,Sales[[#This Row],[Total Amount]])</f>
        <v>495.6</v>
      </c>
      <c r="S1643" s="162">
        <f>SUM(Sales[Net Amount])</f>
        <v>406839287.73200053</v>
      </c>
    </row>
    <row r="1644" spans="1:19" ht="18.75" x14ac:dyDescent="0.25">
      <c r="A1644" s="163" t="s">
        <v>5250</v>
      </c>
      <c r="B1644" s="164">
        <v>45861</v>
      </c>
      <c r="C1644" s="34" t="s">
        <v>915</v>
      </c>
      <c r="D1644" s="53" t="str">
        <f>VLOOKUP(Sales[[#This Row],[Customer ID]],Customer[#All],2,0)</f>
        <v>Sunita Kumar</v>
      </c>
      <c r="E1644" s="34" t="s">
        <v>82</v>
      </c>
      <c r="F1644" s="34" t="str">
        <f>VLOOKUP(Sales[[#This Row],[Product ID]],Product[#All],2,0)</f>
        <v>American TouristerLaptopBag</v>
      </c>
      <c r="G1644" s="53">
        <v>7</v>
      </c>
      <c r="H1644" s="165">
        <f>VLOOKUP(Sales[[#This Row],[Product ID]],Product[#All],7,0)</f>
        <v>5480</v>
      </c>
      <c r="I1644" s="165">
        <f>Sales[[#This Row],[Selling Rate]]*Sales[[#This Row],[Qty]]</f>
        <v>38360</v>
      </c>
      <c r="J1644" s="45">
        <v>0</v>
      </c>
      <c r="K1644" s="46">
        <f>Sales[[#This Row],[Gross Amount]]*Sales[[#This Row],[Disc %]]</f>
        <v>0</v>
      </c>
      <c r="L1644" s="43">
        <v>0.18</v>
      </c>
      <c r="M1644" s="46">
        <f>(Sales[[#This Row],[Gross Amount]]-Sales[[#This Row],[Disc. Amt.]])*Sales[[#This Row],[GST %]]</f>
        <v>6904.8</v>
      </c>
      <c r="N1644" s="161">
        <f>Sales[[#This Row],[Gross Amount]]-Sales[[#This Row],[Disc. Amt.]]+Sales[[#This Row],[GST Amount]]</f>
        <v>45264.800000000003</v>
      </c>
      <c r="O1644" s="34" t="s">
        <v>3569</v>
      </c>
      <c r="P1644" s="34" t="s">
        <v>3562</v>
      </c>
      <c r="Q1644" s="165">
        <f>IF(Sales[[#This Row],[Status]]="Cancelled",0,Sales[[#This Row],[Qty]])</f>
        <v>7</v>
      </c>
      <c r="R1644" s="166">
        <f>IF(Sales[[#This Row],[Status]]="Cancelled",0,Sales[[#This Row],[Total Amount]])</f>
        <v>45264.800000000003</v>
      </c>
      <c r="S1644" s="162">
        <f>SUM(Sales[Net Amount])</f>
        <v>406839287.73200053</v>
      </c>
    </row>
    <row r="1645" spans="1:19" ht="18.75" x14ac:dyDescent="0.25">
      <c r="A1645" s="156" t="s">
        <v>5251</v>
      </c>
      <c r="B1645" s="157">
        <v>45861</v>
      </c>
      <c r="C1645" s="158" t="s">
        <v>681</v>
      </c>
      <c r="D1645" s="159" t="str">
        <f>VLOOKUP(Sales[[#This Row],[Customer ID]],Customer[#All],2,0)</f>
        <v>Amit Kumar</v>
      </c>
      <c r="E1645" s="158" t="s">
        <v>366</v>
      </c>
      <c r="F1645" s="158" t="str">
        <f>VLOOKUP(Sales[[#This Row],[Product ID]],Product[#All],2,0)</f>
        <v>Samsung Ssd</v>
      </c>
      <c r="G1645" s="159">
        <v>8</v>
      </c>
      <c r="H1645" s="160">
        <f>VLOOKUP(Sales[[#This Row],[Product ID]],Product[#All],7,0)</f>
        <v>5140</v>
      </c>
      <c r="I1645" s="160">
        <f>Sales[[#This Row],[Selling Rate]]*Sales[[#This Row],[Qty]]</f>
        <v>41120</v>
      </c>
      <c r="J1645" s="43">
        <v>0.15</v>
      </c>
      <c r="K1645" s="44">
        <f>Sales[[#This Row],[Gross Amount]]*Sales[[#This Row],[Disc %]]</f>
        <v>6168</v>
      </c>
      <c r="L1645" s="43">
        <v>0.18</v>
      </c>
      <c r="M1645" s="44">
        <f>(Sales[[#This Row],[Gross Amount]]-Sales[[#This Row],[Disc. Amt.]])*Sales[[#This Row],[GST %]]</f>
        <v>6291.36</v>
      </c>
      <c r="N1645" s="161">
        <f>Sales[[#This Row],[Gross Amount]]-Sales[[#This Row],[Disc. Amt.]]+Sales[[#This Row],[GST Amount]]</f>
        <v>41243.360000000001</v>
      </c>
      <c r="O1645" s="158" t="s">
        <v>3569</v>
      </c>
      <c r="P1645" s="158" t="s">
        <v>3562</v>
      </c>
      <c r="Q1645" s="160">
        <f>IF(Sales[[#This Row],[Status]]="Cancelled",0,Sales[[#This Row],[Qty]])</f>
        <v>8</v>
      </c>
      <c r="R1645" s="161">
        <f>IF(Sales[[#This Row],[Status]]="Cancelled",0,Sales[[#This Row],[Total Amount]])</f>
        <v>41243.360000000001</v>
      </c>
      <c r="S1645" s="162">
        <f>SUM(Sales[Net Amount])</f>
        <v>406839287.73200053</v>
      </c>
    </row>
    <row r="1646" spans="1:19" ht="18.75" x14ac:dyDescent="0.25">
      <c r="A1646" s="163" t="s">
        <v>5252</v>
      </c>
      <c r="B1646" s="164">
        <v>45861</v>
      </c>
      <c r="C1646" s="34" t="s">
        <v>732</v>
      </c>
      <c r="D1646" s="53" t="str">
        <f>VLOOKUP(Sales[[#This Row],[Customer ID]],Customer[#All],2,0)</f>
        <v>Sunita Gupta</v>
      </c>
      <c r="E1646" s="34" t="s">
        <v>322</v>
      </c>
      <c r="F1646" s="34" t="str">
        <f>VLOOKUP(Sales[[#This Row],[Product ID]],Product[#All],2,0)</f>
        <v>Jbl Speaker</v>
      </c>
      <c r="G1646" s="53">
        <v>8</v>
      </c>
      <c r="H1646" s="165">
        <f>VLOOKUP(Sales[[#This Row],[Product ID]],Product[#All],7,0)</f>
        <v>10370</v>
      </c>
      <c r="I1646" s="165">
        <f>Sales[[#This Row],[Selling Rate]]*Sales[[#This Row],[Qty]]</f>
        <v>82960</v>
      </c>
      <c r="J1646" s="45">
        <v>0.12</v>
      </c>
      <c r="K1646" s="46">
        <f>Sales[[#This Row],[Gross Amount]]*Sales[[#This Row],[Disc %]]</f>
        <v>9955.1999999999989</v>
      </c>
      <c r="L1646" s="43">
        <v>0.18</v>
      </c>
      <c r="M1646" s="46">
        <f>(Sales[[#This Row],[Gross Amount]]-Sales[[#This Row],[Disc. Amt.]])*Sales[[#This Row],[GST %]]</f>
        <v>13140.864</v>
      </c>
      <c r="N1646" s="161">
        <f>Sales[[#This Row],[Gross Amount]]-Sales[[#This Row],[Disc. Amt.]]+Sales[[#This Row],[GST Amount]]</f>
        <v>86145.664000000004</v>
      </c>
      <c r="O1646" s="34" t="s">
        <v>8876</v>
      </c>
      <c r="P1646" s="34" t="s">
        <v>3562</v>
      </c>
      <c r="Q1646" s="165">
        <f>IF(Sales[[#This Row],[Status]]="Cancelled",0,Sales[[#This Row],[Qty]])</f>
        <v>8</v>
      </c>
      <c r="R1646" s="166">
        <f>IF(Sales[[#This Row],[Status]]="Cancelled",0,Sales[[#This Row],[Total Amount]])</f>
        <v>86145.664000000004</v>
      </c>
      <c r="S1646" s="162">
        <f>SUM(Sales[Net Amount])</f>
        <v>406839287.73200053</v>
      </c>
    </row>
    <row r="1647" spans="1:19" ht="18.75" x14ac:dyDescent="0.25">
      <c r="A1647" s="156" t="s">
        <v>5253</v>
      </c>
      <c r="B1647" s="157">
        <v>45861</v>
      </c>
      <c r="C1647" s="158" t="s">
        <v>864</v>
      </c>
      <c r="D1647" s="159" t="str">
        <f>VLOOKUP(Sales[[#This Row],[Customer ID]],Customer[#All],2,0)</f>
        <v>Sahil Sharma</v>
      </c>
      <c r="E1647" s="158" t="s">
        <v>102</v>
      </c>
      <c r="F1647" s="158" t="str">
        <f>VLOOKUP(Sales[[#This Row],[Product ID]],Product[#All],2,0)</f>
        <v>Canon Printer</v>
      </c>
      <c r="G1647" s="159">
        <v>6</v>
      </c>
      <c r="H1647" s="160">
        <f>VLOOKUP(Sales[[#This Row],[Product ID]],Product[#All],7,0)</f>
        <v>13010</v>
      </c>
      <c r="I1647" s="160">
        <f>Sales[[#This Row],[Selling Rate]]*Sales[[#This Row],[Qty]]</f>
        <v>78060</v>
      </c>
      <c r="J1647" s="43">
        <v>0.02</v>
      </c>
      <c r="K1647" s="44">
        <f>Sales[[#This Row],[Gross Amount]]*Sales[[#This Row],[Disc %]]</f>
        <v>1561.2</v>
      </c>
      <c r="L1647" s="43">
        <v>0.18</v>
      </c>
      <c r="M1647" s="44">
        <f>(Sales[[#This Row],[Gross Amount]]-Sales[[#This Row],[Disc. Amt.]])*Sales[[#This Row],[GST %]]</f>
        <v>13769.784</v>
      </c>
      <c r="N1647" s="161">
        <f>Sales[[#This Row],[Gross Amount]]-Sales[[#This Row],[Disc. Amt.]]+Sales[[#This Row],[GST Amount]]</f>
        <v>90268.584000000003</v>
      </c>
      <c r="O1647" s="158" t="s">
        <v>3566</v>
      </c>
      <c r="P1647" s="158" t="s">
        <v>3562</v>
      </c>
      <c r="Q1647" s="160">
        <f>IF(Sales[[#This Row],[Status]]="Cancelled",0,Sales[[#This Row],[Qty]])</f>
        <v>6</v>
      </c>
      <c r="R1647" s="161">
        <f>IF(Sales[[#This Row],[Status]]="Cancelled",0,Sales[[#This Row],[Total Amount]])</f>
        <v>90268.584000000003</v>
      </c>
      <c r="S1647" s="162">
        <f>SUM(Sales[Net Amount])</f>
        <v>406839287.73200053</v>
      </c>
    </row>
    <row r="1648" spans="1:19" ht="18.75" x14ac:dyDescent="0.25">
      <c r="A1648" s="163" t="s">
        <v>5254</v>
      </c>
      <c r="B1648" s="164">
        <v>45861</v>
      </c>
      <c r="C1648" s="34" t="s">
        <v>868</v>
      </c>
      <c r="D1648" s="53" t="str">
        <f>VLOOKUP(Sales[[#This Row],[Customer ID]],Customer[#All],2,0)</f>
        <v>Rahul Verma</v>
      </c>
      <c r="E1648" s="34" t="s">
        <v>536</v>
      </c>
      <c r="F1648" s="34" t="str">
        <f>VLOOKUP(Sales[[#This Row],[Product ID]],Product[#All],2,0)</f>
        <v>Logitech Keyboard</v>
      </c>
      <c r="G1648" s="53">
        <v>5</v>
      </c>
      <c r="H1648" s="165">
        <f>VLOOKUP(Sales[[#This Row],[Product ID]],Product[#All],7,0)</f>
        <v>1160</v>
      </c>
      <c r="I1648" s="165">
        <f>Sales[[#This Row],[Selling Rate]]*Sales[[#This Row],[Qty]]</f>
        <v>5800</v>
      </c>
      <c r="J1648" s="45">
        <v>0.1</v>
      </c>
      <c r="K1648" s="46">
        <f>Sales[[#This Row],[Gross Amount]]*Sales[[#This Row],[Disc %]]</f>
        <v>580</v>
      </c>
      <c r="L1648" s="43">
        <v>0.18</v>
      </c>
      <c r="M1648" s="46">
        <f>(Sales[[#This Row],[Gross Amount]]-Sales[[#This Row],[Disc. Amt.]])*Sales[[#This Row],[GST %]]</f>
        <v>939.59999999999991</v>
      </c>
      <c r="N1648" s="161">
        <f>Sales[[#This Row],[Gross Amount]]-Sales[[#This Row],[Disc. Amt.]]+Sales[[#This Row],[GST Amount]]</f>
        <v>6159.6</v>
      </c>
      <c r="O1648" s="34" t="s">
        <v>3569</v>
      </c>
      <c r="P1648" s="34" t="s">
        <v>3562</v>
      </c>
      <c r="Q1648" s="165">
        <f>IF(Sales[[#This Row],[Status]]="Cancelled",0,Sales[[#This Row],[Qty]])</f>
        <v>5</v>
      </c>
      <c r="R1648" s="166">
        <f>IF(Sales[[#This Row],[Status]]="Cancelled",0,Sales[[#This Row],[Total Amount]])</f>
        <v>6159.6</v>
      </c>
      <c r="S1648" s="162">
        <f>SUM(Sales[Net Amount])</f>
        <v>406839287.73200053</v>
      </c>
    </row>
    <row r="1649" spans="1:19" ht="18.75" x14ac:dyDescent="0.25">
      <c r="A1649" s="156" t="s">
        <v>5255</v>
      </c>
      <c r="B1649" s="157">
        <v>45861</v>
      </c>
      <c r="C1649" s="158" t="s">
        <v>750</v>
      </c>
      <c r="D1649" s="159" t="str">
        <f>VLOOKUP(Sales[[#This Row],[Customer ID]],Customer[#All],2,0)</f>
        <v>Rakesh Verma</v>
      </c>
      <c r="E1649" s="158" t="s">
        <v>166</v>
      </c>
      <c r="F1649" s="158" t="str">
        <f>VLOOKUP(Sales[[#This Row],[Product ID]],Product[#All],2,0)</f>
        <v>Canon Printer</v>
      </c>
      <c r="G1649" s="159">
        <v>6</v>
      </c>
      <c r="H1649" s="160">
        <f>VLOOKUP(Sales[[#This Row],[Product ID]],Product[#All],7,0)</f>
        <v>36680</v>
      </c>
      <c r="I1649" s="160">
        <f>Sales[[#This Row],[Selling Rate]]*Sales[[#This Row],[Qty]]</f>
        <v>220080</v>
      </c>
      <c r="J1649" s="43">
        <v>0.12</v>
      </c>
      <c r="K1649" s="44">
        <f>Sales[[#This Row],[Gross Amount]]*Sales[[#This Row],[Disc %]]</f>
        <v>26409.599999999999</v>
      </c>
      <c r="L1649" s="43">
        <v>0.18</v>
      </c>
      <c r="M1649" s="44">
        <f>(Sales[[#This Row],[Gross Amount]]-Sales[[#This Row],[Disc. Amt.]])*Sales[[#This Row],[GST %]]</f>
        <v>34860.671999999999</v>
      </c>
      <c r="N1649" s="161">
        <f>Sales[[#This Row],[Gross Amount]]-Sales[[#This Row],[Disc. Amt.]]+Sales[[#This Row],[GST Amount]]</f>
        <v>228531.07199999999</v>
      </c>
      <c r="O1649" s="158" t="s">
        <v>3561</v>
      </c>
      <c r="P1649" s="158" t="s">
        <v>3562</v>
      </c>
      <c r="Q1649" s="160">
        <f>IF(Sales[[#This Row],[Status]]="Cancelled",0,Sales[[#This Row],[Qty]])</f>
        <v>6</v>
      </c>
      <c r="R1649" s="161">
        <f>IF(Sales[[#This Row],[Status]]="Cancelled",0,Sales[[#This Row],[Total Amount]])</f>
        <v>228531.07199999999</v>
      </c>
      <c r="S1649" s="162">
        <f>SUM(Sales[Net Amount])</f>
        <v>406839287.73200053</v>
      </c>
    </row>
    <row r="1650" spans="1:19" ht="18.75" x14ac:dyDescent="0.25">
      <c r="A1650" s="163" t="s">
        <v>5256</v>
      </c>
      <c r="B1650" s="164">
        <v>45862</v>
      </c>
      <c r="C1650" s="34" t="s">
        <v>764</v>
      </c>
      <c r="D1650" s="53" t="str">
        <f>VLOOKUP(Sales[[#This Row],[Customer ID]],Customer[#All],2,0)</f>
        <v>Priya Gupta</v>
      </c>
      <c r="E1650" s="34" t="s">
        <v>15</v>
      </c>
      <c r="F1650" s="34" t="str">
        <f>VLOOKUP(Sales[[#This Row],[Product ID]],Product[#All],2,0)</f>
        <v>Sandisk Pen Drive</v>
      </c>
      <c r="G1650" s="53">
        <v>5</v>
      </c>
      <c r="H1650" s="165">
        <f>VLOOKUP(Sales[[#This Row],[Product ID]],Product[#All],7,0)</f>
        <v>4530</v>
      </c>
      <c r="I1650" s="165">
        <f>Sales[[#This Row],[Selling Rate]]*Sales[[#This Row],[Qty]]</f>
        <v>22650</v>
      </c>
      <c r="J1650" s="45">
        <v>0</v>
      </c>
      <c r="K1650" s="46">
        <f>Sales[[#This Row],[Gross Amount]]*Sales[[#This Row],[Disc %]]</f>
        <v>0</v>
      </c>
      <c r="L1650" s="43">
        <v>0.18</v>
      </c>
      <c r="M1650" s="46">
        <f>(Sales[[#This Row],[Gross Amount]]-Sales[[#This Row],[Disc. Amt.]])*Sales[[#This Row],[GST %]]</f>
        <v>4077</v>
      </c>
      <c r="N1650" s="161">
        <f>Sales[[#This Row],[Gross Amount]]-Sales[[#This Row],[Disc. Amt.]]+Sales[[#This Row],[GST Amount]]</f>
        <v>26727</v>
      </c>
      <c r="O1650" s="34" t="s">
        <v>3561</v>
      </c>
      <c r="P1650" s="34" t="s">
        <v>3562</v>
      </c>
      <c r="Q1650" s="165">
        <f>IF(Sales[[#This Row],[Status]]="Cancelled",0,Sales[[#This Row],[Qty]])</f>
        <v>5</v>
      </c>
      <c r="R1650" s="166">
        <f>IF(Sales[[#This Row],[Status]]="Cancelled",0,Sales[[#This Row],[Total Amount]])</f>
        <v>26727</v>
      </c>
      <c r="S1650" s="162">
        <f>SUM(Sales[Net Amount])</f>
        <v>406839287.73200053</v>
      </c>
    </row>
    <row r="1651" spans="1:19" ht="18.75" x14ac:dyDescent="0.25">
      <c r="A1651" s="156" t="s">
        <v>5257</v>
      </c>
      <c r="B1651" s="157">
        <v>45862</v>
      </c>
      <c r="C1651" s="158" t="s">
        <v>822</v>
      </c>
      <c r="D1651" s="159" t="str">
        <f>VLOOKUP(Sales[[#This Row],[Customer ID]],Customer[#All],2,0)</f>
        <v>Vikas Singh</v>
      </c>
      <c r="E1651" s="158" t="s">
        <v>286</v>
      </c>
      <c r="F1651" s="158" t="str">
        <f>VLOOKUP(Sales[[#This Row],[Product ID]],Product[#All],2,0)</f>
        <v>HP Laptop</v>
      </c>
      <c r="G1651" s="159">
        <v>2</v>
      </c>
      <c r="H1651" s="160">
        <f>VLOOKUP(Sales[[#This Row],[Product ID]],Product[#All],7,0)</f>
        <v>62100</v>
      </c>
      <c r="I1651" s="160">
        <f>Sales[[#This Row],[Selling Rate]]*Sales[[#This Row],[Qty]]</f>
        <v>124200</v>
      </c>
      <c r="J1651" s="43">
        <v>0.12</v>
      </c>
      <c r="K1651" s="44">
        <f>Sales[[#This Row],[Gross Amount]]*Sales[[#This Row],[Disc %]]</f>
        <v>14904</v>
      </c>
      <c r="L1651" s="43">
        <v>0.18</v>
      </c>
      <c r="M1651" s="44">
        <f>(Sales[[#This Row],[Gross Amount]]-Sales[[#This Row],[Disc. Amt.]])*Sales[[#This Row],[GST %]]</f>
        <v>19673.28</v>
      </c>
      <c r="N1651" s="161">
        <f>Sales[[#This Row],[Gross Amount]]-Sales[[#This Row],[Disc. Amt.]]+Sales[[#This Row],[GST Amount]]</f>
        <v>128969.28</v>
      </c>
      <c r="O1651" s="158" t="s">
        <v>3561</v>
      </c>
      <c r="P1651" s="158" t="s">
        <v>3562</v>
      </c>
      <c r="Q1651" s="160">
        <f>IF(Sales[[#This Row],[Status]]="Cancelled",0,Sales[[#This Row],[Qty]])</f>
        <v>2</v>
      </c>
      <c r="R1651" s="161">
        <f>IF(Sales[[#This Row],[Status]]="Cancelled",0,Sales[[#This Row],[Total Amount]])</f>
        <v>128969.28</v>
      </c>
      <c r="S1651" s="162">
        <f>SUM(Sales[Net Amount])</f>
        <v>406839287.73200053</v>
      </c>
    </row>
    <row r="1652" spans="1:19" ht="18.75" x14ac:dyDescent="0.25">
      <c r="A1652" s="163" t="s">
        <v>5258</v>
      </c>
      <c r="B1652" s="164">
        <v>45862</v>
      </c>
      <c r="C1652" s="34" t="s">
        <v>672</v>
      </c>
      <c r="D1652" s="53" t="str">
        <f>VLOOKUP(Sales[[#This Row],[Customer ID]],Customer[#All],2,0)</f>
        <v>Rahul Patel</v>
      </c>
      <c r="E1652" s="34" t="s">
        <v>15</v>
      </c>
      <c r="F1652" s="34" t="str">
        <f>VLOOKUP(Sales[[#This Row],[Product ID]],Product[#All],2,0)</f>
        <v>Sandisk Pen Drive</v>
      </c>
      <c r="G1652" s="53">
        <v>4</v>
      </c>
      <c r="H1652" s="165">
        <f>VLOOKUP(Sales[[#This Row],[Product ID]],Product[#All],7,0)</f>
        <v>4530</v>
      </c>
      <c r="I1652" s="165">
        <f>Sales[[#This Row],[Selling Rate]]*Sales[[#This Row],[Qty]]</f>
        <v>18120</v>
      </c>
      <c r="J1652" s="45">
        <v>0.1</v>
      </c>
      <c r="K1652" s="46">
        <f>Sales[[#This Row],[Gross Amount]]*Sales[[#This Row],[Disc %]]</f>
        <v>1812</v>
      </c>
      <c r="L1652" s="43">
        <v>0.18</v>
      </c>
      <c r="M1652" s="46">
        <f>(Sales[[#This Row],[Gross Amount]]-Sales[[#This Row],[Disc. Amt.]])*Sales[[#This Row],[GST %]]</f>
        <v>2935.44</v>
      </c>
      <c r="N1652" s="161">
        <f>Sales[[#This Row],[Gross Amount]]-Sales[[#This Row],[Disc. Amt.]]+Sales[[#This Row],[GST Amount]]</f>
        <v>19243.439999999999</v>
      </c>
      <c r="O1652" s="34" t="s">
        <v>3561</v>
      </c>
      <c r="P1652" s="34" t="s">
        <v>3562</v>
      </c>
      <c r="Q1652" s="165">
        <f>IF(Sales[[#This Row],[Status]]="Cancelled",0,Sales[[#This Row],[Qty]])</f>
        <v>4</v>
      </c>
      <c r="R1652" s="166">
        <f>IF(Sales[[#This Row],[Status]]="Cancelled",0,Sales[[#This Row],[Total Amount]])</f>
        <v>19243.439999999999</v>
      </c>
      <c r="S1652" s="162">
        <f>SUM(Sales[Net Amount])</f>
        <v>406839287.73200053</v>
      </c>
    </row>
    <row r="1653" spans="1:19" ht="18.75" x14ac:dyDescent="0.25">
      <c r="A1653" s="156" t="s">
        <v>5259</v>
      </c>
      <c r="B1653" s="157">
        <v>45862</v>
      </c>
      <c r="C1653" s="158" t="s">
        <v>837</v>
      </c>
      <c r="D1653" s="159" t="str">
        <f>VLOOKUP(Sales[[#This Row],[Customer ID]],Customer[#All],2,0)</f>
        <v>Sahil Patel</v>
      </c>
      <c r="E1653" s="158" t="s">
        <v>260</v>
      </c>
      <c r="F1653" s="158" t="str">
        <f>VLOOKUP(Sales[[#This Row],[Product ID]],Product[#All],2,0)</f>
        <v>Corsair Ram</v>
      </c>
      <c r="G1653" s="159">
        <v>4</v>
      </c>
      <c r="H1653" s="160">
        <f>VLOOKUP(Sales[[#This Row],[Product ID]],Product[#All],7,0)</f>
        <v>6010</v>
      </c>
      <c r="I1653" s="160">
        <f>Sales[[#This Row],[Selling Rate]]*Sales[[#This Row],[Qty]]</f>
        <v>24040</v>
      </c>
      <c r="J1653" s="43">
        <v>0.1</v>
      </c>
      <c r="K1653" s="44">
        <f>Sales[[#This Row],[Gross Amount]]*Sales[[#This Row],[Disc %]]</f>
        <v>2404</v>
      </c>
      <c r="L1653" s="43">
        <v>0.18</v>
      </c>
      <c r="M1653" s="44">
        <f>(Sales[[#This Row],[Gross Amount]]-Sales[[#This Row],[Disc. Amt.]])*Sales[[#This Row],[GST %]]</f>
        <v>3894.48</v>
      </c>
      <c r="N1653" s="161">
        <f>Sales[[#This Row],[Gross Amount]]-Sales[[#This Row],[Disc. Amt.]]+Sales[[#This Row],[GST Amount]]</f>
        <v>25530.48</v>
      </c>
      <c r="O1653" s="158" t="s">
        <v>3566</v>
      </c>
      <c r="P1653" s="158" t="s">
        <v>3562</v>
      </c>
      <c r="Q1653" s="160">
        <f>IF(Sales[[#This Row],[Status]]="Cancelled",0,Sales[[#This Row],[Qty]])</f>
        <v>4</v>
      </c>
      <c r="R1653" s="161">
        <f>IF(Sales[[#This Row],[Status]]="Cancelled",0,Sales[[#This Row],[Total Amount]])</f>
        <v>25530.48</v>
      </c>
      <c r="S1653" s="162">
        <f>SUM(Sales[Net Amount])</f>
        <v>406839287.73200053</v>
      </c>
    </row>
    <row r="1654" spans="1:19" ht="18.75" x14ac:dyDescent="0.25">
      <c r="A1654" s="163" t="s">
        <v>5260</v>
      </c>
      <c r="B1654" s="164">
        <v>45862</v>
      </c>
      <c r="C1654" s="34" t="s">
        <v>726</v>
      </c>
      <c r="D1654" s="53" t="str">
        <f>VLOOKUP(Sales[[#This Row],[Customer ID]],Customer[#All],2,0)</f>
        <v>Priya Singh</v>
      </c>
      <c r="E1654" s="34" t="s">
        <v>102</v>
      </c>
      <c r="F1654" s="34" t="str">
        <f>VLOOKUP(Sales[[#This Row],[Product ID]],Product[#All],2,0)</f>
        <v>Canon Printer</v>
      </c>
      <c r="G1654" s="53">
        <v>1</v>
      </c>
      <c r="H1654" s="165">
        <f>VLOOKUP(Sales[[#This Row],[Product ID]],Product[#All],7,0)</f>
        <v>13010</v>
      </c>
      <c r="I1654" s="165">
        <f>Sales[[#This Row],[Selling Rate]]*Sales[[#This Row],[Qty]]</f>
        <v>13010</v>
      </c>
      <c r="J1654" s="45">
        <v>0.05</v>
      </c>
      <c r="K1654" s="46">
        <f>Sales[[#This Row],[Gross Amount]]*Sales[[#This Row],[Disc %]]</f>
        <v>650.5</v>
      </c>
      <c r="L1654" s="43">
        <v>0.18</v>
      </c>
      <c r="M1654" s="46">
        <f>(Sales[[#This Row],[Gross Amount]]-Sales[[#This Row],[Disc. Amt.]])*Sales[[#This Row],[GST %]]</f>
        <v>2224.71</v>
      </c>
      <c r="N1654" s="161">
        <f>Sales[[#This Row],[Gross Amount]]-Sales[[#This Row],[Disc. Amt.]]+Sales[[#This Row],[GST Amount]]</f>
        <v>14584.21</v>
      </c>
      <c r="O1654" s="34" t="s">
        <v>3569</v>
      </c>
      <c r="P1654" s="34" t="s">
        <v>3562</v>
      </c>
      <c r="Q1654" s="165">
        <f>IF(Sales[[#This Row],[Status]]="Cancelled",0,Sales[[#This Row],[Qty]])</f>
        <v>1</v>
      </c>
      <c r="R1654" s="166">
        <f>IF(Sales[[#This Row],[Status]]="Cancelled",0,Sales[[#This Row],[Total Amount]])</f>
        <v>14584.21</v>
      </c>
      <c r="S1654" s="162">
        <f>SUM(Sales[Net Amount])</f>
        <v>406839287.73200053</v>
      </c>
    </row>
    <row r="1655" spans="1:19" ht="18.75" x14ac:dyDescent="0.25">
      <c r="A1655" s="156" t="s">
        <v>5261</v>
      </c>
      <c r="B1655" s="157">
        <v>45862</v>
      </c>
      <c r="C1655" s="158" t="s">
        <v>5262</v>
      </c>
      <c r="D1655" s="159" t="str">
        <f>VLOOKUP(Sales[[#This Row],[Customer ID]],Customer[#All],2,0)</f>
        <v>Amit Singh</v>
      </c>
      <c r="E1655" s="158" t="s">
        <v>257</v>
      </c>
      <c r="F1655" s="158" t="str">
        <f>VLOOKUP(Sales[[#This Row],[Product ID]],Product[#All],2,0)</f>
        <v>Epson Printer</v>
      </c>
      <c r="G1655" s="159">
        <v>1</v>
      </c>
      <c r="H1655" s="160">
        <f>VLOOKUP(Sales[[#This Row],[Product ID]],Product[#All],7,0)</f>
        <v>15720</v>
      </c>
      <c r="I1655" s="160">
        <f>Sales[[#This Row],[Selling Rate]]*Sales[[#This Row],[Qty]]</f>
        <v>15720</v>
      </c>
      <c r="J1655" s="43">
        <v>0</v>
      </c>
      <c r="K1655" s="44">
        <f>Sales[[#This Row],[Gross Amount]]*Sales[[#This Row],[Disc %]]</f>
        <v>0</v>
      </c>
      <c r="L1655" s="43">
        <v>0.18</v>
      </c>
      <c r="M1655" s="44">
        <f>(Sales[[#This Row],[Gross Amount]]-Sales[[#This Row],[Disc. Amt.]])*Sales[[#This Row],[GST %]]</f>
        <v>2829.6</v>
      </c>
      <c r="N1655" s="161">
        <f>Sales[[#This Row],[Gross Amount]]-Sales[[#This Row],[Disc. Amt.]]+Sales[[#This Row],[GST Amount]]</f>
        <v>18549.599999999999</v>
      </c>
      <c r="O1655" s="158" t="s">
        <v>3569</v>
      </c>
      <c r="P1655" s="158" t="s">
        <v>3562</v>
      </c>
      <c r="Q1655" s="160">
        <f>IF(Sales[[#This Row],[Status]]="Cancelled",0,Sales[[#This Row],[Qty]])</f>
        <v>1</v>
      </c>
      <c r="R1655" s="161">
        <f>IF(Sales[[#This Row],[Status]]="Cancelled",0,Sales[[#This Row],[Total Amount]])</f>
        <v>18549.599999999999</v>
      </c>
      <c r="S1655" s="162">
        <f>SUM(Sales[Net Amount])</f>
        <v>406839287.73200053</v>
      </c>
    </row>
    <row r="1656" spans="1:19" ht="18.75" x14ac:dyDescent="0.25">
      <c r="A1656" s="163" t="s">
        <v>5263</v>
      </c>
      <c r="B1656" s="164">
        <v>45862</v>
      </c>
      <c r="C1656" s="34" t="s">
        <v>718</v>
      </c>
      <c r="D1656" s="53" t="str">
        <f>VLOOKUP(Sales[[#This Row],[Customer ID]],Customer[#All],2,0)</f>
        <v>Rakesh Patel</v>
      </c>
      <c r="E1656" s="34" t="s">
        <v>130</v>
      </c>
      <c r="F1656" s="34" t="str">
        <f>VLOOKUP(Sales[[#This Row],[Product ID]],Product[#All],2,0)</f>
        <v>Lenovo Laptop</v>
      </c>
      <c r="G1656" s="53">
        <v>8</v>
      </c>
      <c r="H1656" s="165">
        <f>VLOOKUP(Sales[[#This Row],[Product ID]],Product[#All],7,0)</f>
        <v>39230</v>
      </c>
      <c r="I1656" s="165">
        <f>Sales[[#This Row],[Selling Rate]]*Sales[[#This Row],[Qty]]</f>
        <v>313840</v>
      </c>
      <c r="J1656" s="45">
        <v>0</v>
      </c>
      <c r="K1656" s="46">
        <f>Sales[[#This Row],[Gross Amount]]*Sales[[#This Row],[Disc %]]</f>
        <v>0</v>
      </c>
      <c r="L1656" s="43">
        <v>0.18</v>
      </c>
      <c r="M1656" s="46">
        <f>(Sales[[#This Row],[Gross Amount]]-Sales[[#This Row],[Disc. Amt.]])*Sales[[#This Row],[GST %]]</f>
        <v>56491.199999999997</v>
      </c>
      <c r="N1656" s="161">
        <f>Sales[[#This Row],[Gross Amount]]-Sales[[#This Row],[Disc. Amt.]]+Sales[[#This Row],[GST Amount]]</f>
        <v>370331.2</v>
      </c>
      <c r="O1656" s="34" t="s">
        <v>3561</v>
      </c>
      <c r="P1656" s="34" t="s">
        <v>3562</v>
      </c>
      <c r="Q1656" s="165">
        <f>IF(Sales[[#This Row],[Status]]="Cancelled",0,Sales[[#This Row],[Qty]])</f>
        <v>8</v>
      </c>
      <c r="R1656" s="166">
        <f>IF(Sales[[#This Row],[Status]]="Cancelled",0,Sales[[#This Row],[Total Amount]])</f>
        <v>370331.2</v>
      </c>
      <c r="S1656" s="162">
        <f>SUM(Sales[Net Amount])</f>
        <v>406839287.73200053</v>
      </c>
    </row>
    <row r="1657" spans="1:19" ht="18.75" x14ac:dyDescent="0.25">
      <c r="A1657" s="156" t="s">
        <v>5264</v>
      </c>
      <c r="B1657" s="157">
        <v>45862</v>
      </c>
      <c r="C1657" s="158" t="s">
        <v>757</v>
      </c>
      <c r="D1657" s="159" t="str">
        <f>VLOOKUP(Sales[[#This Row],[Customer ID]],Customer[#All],2,0)</f>
        <v>Amit Singh</v>
      </c>
      <c r="E1657" s="158" t="s">
        <v>236</v>
      </c>
      <c r="F1657" s="158" t="str">
        <f>VLOOKUP(Sales[[#This Row],[Product ID]],Product[#All],2,0)</f>
        <v>Dell Desktop</v>
      </c>
      <c r="G1657" s="159">
        <v>4</v>
      </c>
      <c r="H1657" s="160">
        <f>VLOOKUP(Sales[[#This Row],[Product ID]],Product[#All],7,0)</f>
        <v>50050</v>
      </c>
      <c r="I1657" s="160">
        <f>Sales[[#This Row],[Selling Rate]]*Sales[[#This Row],[Qty]]</f>
        <v>200200</v>
      </c>
      <c r="J1657" s="43">
        <v>0.1</v>
      </c>
      <c r="K1657" s="44">
        <f>Sales[[#This Row],[Gross Amount]]*Sales[[#This Row],[Disc %]]</f>
        <v>20020</v>
      </c>
      <c r="L1657" s="43">
        <v>0.18</v>
      </c>
      <c r="M1657" s="44">
        <f>(Sales[[#This Row],[Gross Amount]]-Sales[[#This Row],[Disc. Amt.]])*Sales[[#This Row],[GST %]]</f>
        <v>32432.399999999998</v>
      </c>
      <c r="N1657" s="161">
        <f>Sales[[#This Row],[Gross Amount]]-Sales[[#This Row],[Disc. Amt.]]+Sales[[#This Row],[GST Amount]]</f>
        <v>212612.4</v>
      </c>
      <c r="O1657" s="158" t="s">
        <v>8876</v>
      </c>
      <c r="P1657" s="158" t="s">
        <v>3562</v>
      </c>
      <c r="Q1657" s="160">
        <f>IF(Sales[[#This Row],[Status]]="Cancelled",0,Sales[[#This Row],[Qty]])</f>
        <v>4</v>
      </c>
      <c r="R1657" s="161">
        <f>IF(Sales[[#This Row],[Status]]="Cancelled",0,Sales[[#This Row],[Total Amount]])</f>
        <v>212612.4</v>
      </c>
      <c r="S1657" s="162">
        <f>SUM(Sales[Net Amount])</f>
        <v>406839287.73200053</v>
      </c>
    </row>
    <row r="1658" spans="1:19" ht="18.75" x14ac:dyDescent="0.25">
      <c r="A1658" s="163" t="s">
        <v>5265</v>
      </c>
      <c r="B1658" s="164">
        <v>45862</v>
      </c>
      <c r="C1658" s="34" t="s">
        <v>669</v>
      </c>
      <c r="D1658" s="53" t="str">
        <f>VLOOKUP(Sales[[#This Row],[Customer ID]],Customer[#All],2,0)</f>
        <v>Sahil Kumar</v>
      </c>
      <c r="E1658" s="34" t="s">
        <v>448</v>
      </c>
      <c r="F1658" s="34" t="str">
        <f>VLOOKUP(Sales[[#This Row],[Product ID]],Product[#All],2,0)</f>
        <v>Crucial Ssd</v>
      </c>
      <c r="G1658" s="53">
        <v>3</v>
      </c>
      <c r="H1658" s="165">
        <f>VLOOKUP(Sales[[#This Row],[Product ID]],Product[#All],7,0)</f>
        <v>7930</v>
      </c>
      <c r="I1658" s="165">
        <f>Sales[[#This Row],[Selling Rate]]*Sales[[#This Row],[Qty]]</f>
        <v>23790</v>
      </c>
      <c r="J1658" s="45">
        <v>0.05</v>
      </c>
      <c r="K1658" s="46">
        <f>Sales[[#This Row],[Gross Amount]]*Sales[[#This Row],[Disc %]]</f>
        <v>1189.5</v>
      </c>
      <c r="L1658" s="43">
        <v>0.18</v>
      </c>
      <c r="M1658" s="46">
        <f>(Sales[[#This Row],[Gross Amount]]-Sales[[#This Row],[Disc. Amt.]])*Sales[[#This Row],[GST %]]</f>
        <v>4068.0899999999997</v>
      </c>
      <c r="N1658" s="161">
        <f>Sales[[#This Row],[Gross Amount]]-Sales[[#This Row],[Disc. Amt.]]+Sales[[#This Row],[GST Amount]]</f>
        <v>26668.59</v>
      </c>
      <c r="O1658" s="34" t="s">
        <v>3561</v>
      </c>
      <c r="P1658" s="34" t="s">
        <v>3562</v>
      </c>
      <c r="Q1658" s="165">
        <f>IF(Sales[[#This Row],[Status]]="Cancelled",0,Sales[[#This Row],[Qty]])</f>
        <v>3</v>
      </c>
      <c r="R1658" s="166">
        <f>IF(Sales[[#This Row],[Status]]="Cancelled",0,Sales[[#This Row],[Total Amount]])</f>
        <v>26668.59</v>
      </c>
      <c r="S1658" s="162">
        <f>SUM(Sales[Net Amount])</f>
        <v>406839287.73200053</v>
      </c>
    </row>
    <row r="1659" spans="1:19" ht="18.75" x14ac:dyDescent="0.25">
      <c r="A1659" s="156" t="s">
        <v>5266</v>
      </c>
      <c r="B1659" s="157">
        <v>45862</v>
      </c>
      <c r="C1659" s="158" t="s">
        <v>920</v>
      </c>
      <c r="D1659" s="159" t="str">
        <f>VLOOKUP(Sales[[#This Row],[Customer ID]],Customer[#All],2,0)</f>
        <v>Rakesh Sharma</v>
      </c>
      <c r="E1659" s="158" t="s">
        <v>408</v>
      </c>
      <c r="F1659" s="158" t="str">
        <f>VLOOKUP(Sales[[#This Row],[Product ID]],Product[#All],2,0)</f>
        <v>HP Laptop</v>
      </c>
      <c r="G1659" s="159">
        <v>5</v>
      </c>
      <c r="H1659" s="160">
        <f>VLOOKUP(Sales[[#This Row],[Product ID]],Product[#All],7,0)</f>
        <v>93130</v>
      </c>
      <c r="I1659" s="160">
        <f>Sales[[#This Row],[Selling Rate]]*Sales[[#This Row],[Qty]]</f>
        <v>465650</v>
      </c>
      <c r="J1659" s="43">
        <v>0</v>
      </c>
      <c r="K1659" s="44">
        <f>Sales[[#This Row],[Gross Amount]]*Sales[[#This Row],[Disc %]]</f>
        <v>0</v>
      </c>
      <c r="L1659" s="43">
        <v>0.18</v>
      </c>
      <c r="M1659" s="44">
        <f>(Sales[[#This Row],[Gross Amount]]-Sales[[#This Row],[Disc. Amt.]])*Sales[[#This Row],[GST %]]</f>
        <v>83817</v>
      </c>
      <c r="N1659" s="161">
        <f>Sales[[#This Row],[Gross Amount]]-Sales[[#This Row],[Disc. Amt.]]+Sales[[#This Row],[GST Amount]]</f>
        <v>549467</v>
      </c>
      <c r="O1659" s="158" t="s">
        <v>3569</v>
      </c>
      <c r="P1659" s="158" t="s">
        <v>3562</v>
      </c>
      <c r="Q1659" s="160">
        <f>IF(Sales[[#This Row],[Status]]="Cancelled",0,Sales[[#This Row],[Qty]])</f>
        <v>5</v>
      </c>
      <c r="R1659" s="161">
        <f>IF(Sales[[#This Row],[Status]]="Cancelled",0,Sales[[#This Row],[Total Amount]])</f>
        <v>549467</v>
      </c>
      <c r="S1659" s="162">
        <f>SUM(Sales[Net Amount])</f>
        <v>406839287.73200053</v>
      </c>
    </row>
    <row r="1660" spans="1:19" ht="18.75" x14ac:dyDescent="0.25">
      <c r="A1660" s="163" t="s">
        <v>5267</v>
      </c>
      <c r="B1660" s="164">
        <v>45862</v>
      </c>
      <c r="C1660" s="34" t="s">
        <v>737</v>
      </c>
      <c r="D1660" s="53" t="str">
        <f>VLOOKUP(Sales[[#This Row],[Customer ID]],Customer[#All],2,0)</f>
        <v>Pooja Verma</v>
      </c>
      <c r="E1660" s="34" t="s">
        <v>324</v>
      </c>
      <c r="F1660" s="34" t="str">
        <f>VLOOKUP(Sales[[#This Row],[Product ID]],Product[#All],2,0)</f>
        <v>Sandisk Pen Drive</v>
      </c>
      <c r="G1660" s="53">
        <v>7</v>
      </c>
      <c r="H1660" s="165">
        <f>VLOOKUP(Sales[[#This Row],[Product ID]],Product[#All],7,0)</f>
        <v>4150</v>
      </c>
      <c r="I1660" s="165">
        <f>Sales[[#This Row],[Selling Rate]]*Sales[[#This Row],[Qty]]</f>
        <v>29050</v>
      </c>
      <c r="J1660" s="45">
        <v>0.02</v>
      </c>
      <c r="K1660" s="46">
        <f>Sales[[#This Row],[Gross Amount]]*Sales[[#This Row],[Disc %]]</f>
        <v>581</v>
      </c>
      <c r="L1660" s="43">
        <v>0.18</v>
      </c>
      <c r="M1660" s="46">
        <f>(Sales[[#This Row],[Gross Amount]]-Sales[[#This Row],[Disc. Amt.]])*Sales[[#This Row],[GST %]]</f>
        <v>5124.42</v>
      </c>
      <c r="N1660" s="161">
        <f>Sales[[#This Row],[Gross Amount]]-Sales[[#This Row],[Disc. Amt.]]+Sales[[#This Row],[GST Amount]]</f>
        <v>33593.42</v>
      </c>
      <c r="O1660" s="34" t="s">
        <v>8876</v>
      </c>
      <c r="P1660" s="34" t="s">
        <v>3562</v>
      </c>
      <c r="Q1660" s="165">
        <f>IF(Sales[[#This Row],[Status]]="Cancelled",0,Sales[[#This Row],[Qty]])</f>
        <v>7</v>
      </c>
      <c r="R1660" s="166">
        <f>IF(Sales[[#This Row],[Status]]="Cancelled",0,Sales[[#This Row],[Total Amount]])</f>
        <v>33593.42</v>
      </c>
      <c r="S1660" s="162">
        <f>SUM(Sales[Net Amount])</f>
        <v>406839287.73200053</v>
      </c>
    </row>
    <row r="1661" spans="1:19" ht="18.75" x14ac:dyDescent="0.25">
      <c r="A1661" s="156" t="s">
        <v>5268</v>
      </c>
      <c r="B1661" s="157">
        <v>45862</v>
      </c>
      <c r="C1661" s="158" t="s">
        <v>797</v>
      </c>
      <c r="D1661" s="159" t="str">
        <f>VLOOKUP(Sales[[#This Row],[Customer ID]],Customer[#All],2,0)</f>
        <v>Ankit Gupta</v>
      </c>
      <c r="E1661" s="158" t="s">
        <v>376</v>
      </c>
      <c r="F1661" s="158" t="str">
        <f>VLOOKUP(Sales[[#This Row],[Product ID]],Product[#All],2,0)</f>
        <v>Lenovo Laptop</v>
      </c>
      <c r="G1661" s="159">
        <v>7</v>
      </c>
      <c r="H1661" s="160">
        <f>VLOOKUP(Sales[[#This Row],[Product ID]],Product[#All],7,0)</f>
        <v>38140</v>
      </c>
      <c r="I1661" s="160">
        <f>Sales[[#This Row],[Selling Rate]]*Sales[[#This Row],[Qty]]</f>
        <v>266980</v>
      </c>
      <c r="J1661" s="43">
        <v>0</v>
      </c>
      <c r="K1661" s="44">
        <f>Sales[[#This Row],[Gross Amount]]*Sales[[#This Row],[Disc %]]</f>
        <v>0</v>
      </c>
      <c r="L1661" s="43">
        <v>0.18</v>
      </c>
      <c r="M1661" s="44">
        <f>(Sales[[#This Row],[Gross Amount]]-Sales[[#This Row],[Disc. Amt.]])*Sales[[#This Row],[GST %]]</f>
        <v>48056.4</v>
      </c>
      <c r="N1661" s="161">
        <f>Sales[[#This Row],[Gross Amount]]-Sales[[#This Row],[Disc. Amt.]]+Sales[[#This Row],[GST Amount]]</f>
        <v>315036.40000000002</v>
      </c>
      <c r="O1661" s="158" t="s">
        <v>3566</v>
      </c>
      <c r="P1661" s="158" t="s">
        <v>3562</v>
      </c>
      <c r="Q1661" s="160">
        <f>IF(Sales[[#This Row],[Status]]="Cancelled",0,Sales[[#This Row],[Qty]])</f>
        <v>7</v>
      </c>
      <c r="R1661" s="161">
        <f>IF(Sales[[#This Row],[Status]]="Cancelled",0,Sales[[#This Row],[Total Amount]])</f>
        <v>315036.40000000002</v>
      </c>
      <c r="S1661" s="162">
        <f>SUM(Sales[Net Amount])</f>
        <v>406839287.73200053</v>
      </c>
    </row>
    <row r="1662" spans="1:19" ht="18.75" x14ac:dyDescent="0.25">
      <c r="A1662" s="163" t="s">
        <v>5269</v>
      </c>
      <c r="B1662" s="164">
        <v>45862</v>
      </c>
      <c r="C1662" s="34" t="s">
        <v>689</v>
      </c>
      <c r="D1662" s="53" t="str">
        <f>VLOOKUP(Sales[[#This Row],[Customer ID]],Customer[#All],2,0)</f>
        <v>Sahil Kumar</v>
      </c>
      <c r="E1662" s="34" t="s">
        <v>164</v>
      </c>
      <c r="F1662" s="34" t="str">
        <f>VLOOKUP(Sales[[#This Row],[Product ID]],Product[#All],2,0)</f>
        <v>Jbl Headset</v>
      </c>
      <c r="G1662" s="53">
        <v>8</v>
      </c>
      <c r="H1662" s="165">
        <f>VLOOKUP(Sales[[#This Row],[Product ID]],Product[#All],7,0)</f>
        <v>3360</v>
      </c>
      <c r="I1662" s="165">
        <f>Sales[[#This Row],[Selling Rate]]*Sales[[#This Row],[Qty]]</f>
        <v>26880</v>
      </c>
      <c r="J1662" s="45">
        <v>0.12</v>
      </c>
      <c r="K1662" s="46">
        <f>Sales[[#This Row],[Gross Amount]]*Sales[[#This Row],[Disc %]]</f>
        <v>3225.6</v>
      </c>
      <c r="L1662" s="43">
        <v>0.18</v>
      </c>
      <c r="M1662" s="46">
        <f>(Sales[[#This Row],[Gross Amount]]-Sales[[#This Row],[Disc. Amt.]])*Sales[[#This Row],[GST %]]</f>
        <v>4257.7920000000004</v>
      </c>
      <c r="N1662" s="161">
        <f>Sales[[#This Row],[Gross Amount]]-Sales[[#This Row],[Disc. Amt.]]+Sales[[#This Row],[GST Amount]]</f>
        <v>27912.192000000003</v>
      </c>
      <c r="O1662" s="34" t="s">
        <v>3566</v>
      </c>
      <c r="P1662" s="34" t="s">
        <v>3562</v>
      </c>
      <c r="Q1662" s="165">
        <f>IF(Sales[[#This Row],[Status]]="Cancelled",0,Sales[[#This Row],[Qty]])</f>
        <v>8</v>
      </c>
      <c r="R1662" s="166">
        <f>IF(Sales[[#This Row],[Status]]="Cancelled",0,Sales[[#This Row],[Total Amount]])</f>
        <v>27912.192000000003</v>
      </c>
      <c r="S1662" s="162">
        <f>SUM(Sales[Net Amount])</f>
        <v>406839287.73200053</v>
      </c>
    </row>
    <row r="1663" spans="1:19" ht="18.75" x14ac:dyDescent="0.25">
      <c r="A1663" s="156" t="s">
        <v>5270</v>
      </c>
      <c r="B1663" s="157">
        <v>45862</v>
      </c>
      <c r="C1663" s="158" t="s">
        <v>755</v>
      </c>
      <c r="D1663" s="159" t="str">
        <f>VLOOKUP(Sales[[#This Row],[Customer ID]],Customer[#All],2,0)</f>
        <v>Sunita Gupta</v>
      </c>
      <c r="E1663" s="158" t="s">
        <v>539</v>
      </c>
      <c r="F1663" s="158" t="str">
        <f>VLOOKUP(Sales[[#This Row],[Product ID]],Product[#All],2,0)</f>
        <v>Canon Printer</v>
      </c>
      <c r="G1663" s="159">
        <v>3</v>
      </c>
      <c r="H1663" s="160">
        <f>VLOOKUP(Sales[[#This Row],[Product ID]],Product[#All],7,0)</f>
        <v>25640</v>
      </c>
      <c r="I1663" s="160">
        <f>Sales[[#This Row],[Selling Rate]]*Sales[[#This Row],[Qty]]</f>
        <v>76920</v>
      </c>
      <c r="J1663" s="43">
        <v>0.15</v>
      </c>
      <c r="K1663" s="44">
        <f>Sales[[#This Row],[Gross Amount]]*Sales[[#This Row],[Disc %]]</f>
        <v>11538</v>
      </c>
      <c r="L1663" s="43">
        <v>0.18</v>
      </c>
      <c r="M1663" s="44">
        <f>(Sales[[#This Row],[Gross Amount]]-Sales[[#This Row],[Disc. Amt.]])*Sales[[#This Row],[GST %]]</f>
        <v>11768.76</v>
      </c>
      <c r="N1663" s="161">
        <f>Sales[[#This Row],[Gross Amount]]-Sales[[#This Row],[Disc. Amt.]]+Sales[[#This Row],[GST Amount]]</f>
        <v>77150.759999999995</v>
      </c>
      <c r="O1663" s="158" t="s">
        <v>3566</v>
      </c>
      <c r="P1663" s="158" t="s">
        <v>3562</v>
      </c>
      <c r="Q1663" s="160">
        <f>IF(Sales[[#This Row],[Status]]="Cancelled",0,Sales[[#This Row],[Qty]])</f>
        <v>3</v>
      </c>
      <c r="R1663" s="161">
        <f>IF(Sales[[#This Row],[Status]]="Cancelled",0,Sales[[#This Row],[Total Amount]])</f>
        <v>77150.759999999995</v>
      </c>
      <c r="S1663" s="162">
        <f>SUM(Sales[Net Amount])</f>
        <v>406839287.73200053</v>
      </c>
    </row>
    <row r="1664" spans="1:19" ht="18.75" x14ac:dyDescent="0.25">
      <c r="A1664" s="163" t="s">
        <v>5271</v>
      </c>
      <c r="B1664" s="164">
        <v>45862</v>
      </c>
      <c r="C1664" s="34" t="s">
        <v>757</v>
      </c>
      <c r="D1664" s="53" t="str">
        <f>VLOOKUP(Sales[[#This Row],[Customer ID]],Customer[#All],2,0)</f>
        <v>Amit Singh</v>
      </c>
      <c r="E1664" s="34" t="s">
        <v>189</v>
      </c>
      <c r="F1664" s="34" t="str">
        <f>VLOOKUP(Sales[[#This Row],[Product ID]],Product[#All],2,0)</f>
        <v>Boat Headset</v>
      </c>
      <c r="G1664" s="53">
        <v>5</v>
      </c>
      <c r="H1664" s="165">
        <f>VLOOKUP(Sales[[#This Row],[Product ID]],Product[#All],7,0)</f>
        <v>1610</v>
      </c>
      <c r="I1664" s="165">
        <f>Sales[[#This Row],[Selling Rate]]*Sales[[#This Row],[Qty]]</f>
        <v>8050</v>
      </c>
      <c r="J1664" s="45">
        <v>0.1</v>
      </c>
      <c r="K1664" s="46">
        <f>Sales[[#This Row],[Gross Amount]]*Sales[[#This Row],[Disc %]]</f>
        <v>805</v>
      </c>
      <c r="L1664" s="43">
        <v>0.18</v>
      </c>
      <c r="M1664" s="46">
        <f>(Sales[[#This Row],[Gross Amount]]-Sales[[#This Row],[Disc. Amt.]])*Sales[[#This Row],[GST %]]</f>
        <v>1304.0999999999999</v>
      </c>
      <c r="N1664" s="161">
        <f>Sales[[#This Row],[Gross Amount]]-Sales[[#This Row],[Disc. Amt.]]+Sales[[#This Row],[GST Amount]]</f>
        <v>8549.1</v>
      </c>
      <c r="O1664" s="34" t="s">
        <v>8876</v>
      </c>
      <c r="P1664" s="34" t="s">
        <v>3562</v>
      </c>
      <c r="Q1664" s="165">
        <f>IF(Sales[[#This Row],[Status]]="Cancelled",0,Sales[[#This Row],[Qty]])</f>
        <v>5</v>
      </c>
      <c r="R1664" s="166">
        <f>IF(Sales[[#This Row],[Status]]="Cancelled",0,Sales[[#This Row],[Total Amount]])</f>
        <v>8549.1</v>
      </c>
      <c r="S1664" s="162">
        <f>SUM(Sales[Net Amount])</f>
        <v>406839287.73200053</v>
      </c>
    </row>
    <row r="1665" spans="1:19" ht="18.75" x14ac:dyDescent="0.25">
      <c r="A1665" s="156" t="s">
        <v>5272</v>
      </c>
      <c r="B1665" s="157">
        <v>45862</v>
      </c>
      <c r="C1665" s="158" t="s">
        <v>763</v>
      </c>
      <c r="D1665" s="159" t="str">
        <f>VLOOKUP(Sales[[#This Row],[Customer ID]],Customer[#All],2,0)</f>
        <v>Pooja Verma</v>
      </c>
      <c r="E1665" s="158" t="s">
        <v>282</v>
      </c>
      <c r="F1665" s="158" t="str">
        <f>VLOOKUP(Sales[[#This Row],[Product ID]],Product[#All],2,0)</f>
        <v>Amazon Basics Hdmi Cable</v>
      </c>
      <c r="G1665" s="159">
        <v>5</v>
      </c>
      <c r="H1665" s="160">
        <f>VLOOKUP(Sales[[#This Row],[Product ID]],Product[#All],7,0)</f>
        <v>760</v>
      </c>
      <c r="I1665" s="160">
        <f>Sales[[#This Row],[Selling Rate]]*Sales[[#This Row],[Qty]]</f>
        <v>3800</v>
      </c>
      <c r="J1665" s="43">
        <v>0.02</v>
      </c>
      <c r="K1665" s="44">
        <f>Sales[[#This Row],[Gross Amount]]*Sales[[#This Row],[Disc %]]</f>
        <v>76</v>
      </c>
      <c r="L1665" s="43">
        <v>0.18</v>
      </c>
      <c r="M1665" s="44">
        <f>(Sales[[#This Row],[Gross Amount]]-Sales[[#This Row],[Disc. Amt.]])*Sales[[#This Row],[GST %]]</f>
        <v>670.31999999999994</v>
      </c>
      <c r="N1665" s="161">
        <f>Sales[[#This Row],[Gross Amount]]-Sales[[#This Row],[Disc. Amt.]]+Sales[[#This Row],[GST Amount]]</f>
        <v>4394.32</v>
      </c>
      <c r="O1665" s="158" t="s">
        <v>8876</v>
      </c>
      <c r="P1665" s="158" t="s">
        <v>3562</v>
      </c>
      <c r="Q1665" s="160">
        <f>IF(Sales[[#This Row],[Status]]="Cancelled",0,Sales[[#This Row],[Qty]])</f>
        <v>5</v>
      </c>
      <c r="R1665" s="161">
        <f>IF(Sales[[#This Row],[Status]]="Cancelled",0,Sales[[#This Row],[Total Amount]])</f>
        <v>4394.32</v>
      </c>
      <c r="S1665" s="162">
        <f>SUM(Sales[Net Amount])</f>
        <v>406839287.73200053</v>
      </c>
    </row>
    <row r="1666" spans="1:19" ht="18.75" x14ac:dyDescent="0.25">
      <c r="A1666" s="163" t="s">
        <v>5273</v>
      </c>
      <c r="B1666" s="164">
        <v>45862</v>
      </c>
      <c r="C1666" s="34" t="s">
        <v>708</v>
      </c>
      <c r="D1666" s="53" t="str">
        <f>VLOOKUP(Sales[[#This Row],[Customer ID]],Customer[#All],2,0)</f>
        <v>Amit Verma</v>
      </c>
      <c r="E1666" s="34" t="s">
        <v>387</v>
      </c>
      <c r="F1666" s="34" t="str">
        <f>VLOOKUP(Sales[[#This Row],[Product ID]],Product[#All],2,0)</f>
        <v>HP Printer</v>
      </c>
      <c r="G1666" s="53">
        <v>8</v>
      </c>
      <c r="H1666" s="165">
        <f>VLOOKUP(Sales[[#This Row],[Product ID]],Product[#All],7,0)</f>
        <v>14390</v>
      </c>
      <c r="I1666" s="165">
        <f>Sales[[#This Row],[Selling Rate]]*Sales[[#This Row],[Qty]]</f>
        <v>115120</v>
      </c>
      <c r="J1666" s="45">
        <v>0.05</v>
      </c>
      <c r="K1666" s="46">
        <f>Sales[[#This Row],[Gross Amount]]*Sales[[#This Row],[Disc %]]</f>
        <v>5756</v>
      </c>
      <c r="L1666" s="43">
        <v>0.18</v>
      </c>
      <c r="M1666" s="46">
        <f>(Sales[[#This Row],[Gross Amount]]-Sales[[#This Row],[Disc. Amt.]])*Sales[[#This Row],[GST %]]</f>
        <v>19685.52</v>
      </c>
      <c r="N1666" s="161">
        <f>Sales[[#This Row],[Gross Amount]]-Sales[[#This Row],[Disc. Amt.]]+Sales[[#This Row],[GST Amount]]</f>
        <v>129049.52</v>
      </c>
      <c r="O1666" s="34" t="s">
        <v>3561</v>
      </c>
      <c r="P1666" s="34" t="s">
        <v>3562</v>
      </c>
      <c r="Q1666" s="165">
        <f>IF(Sales[[#This Row],[Status]]="Cancelled",0,Sales[[#This Row],[Qty]])</f>
        <v>8</v>
      </c>
      <c r="R1666" s="166">
        <f>IF(Sales[[#This Row],[Status]]="Cancelled",0,Sales[[#This Row],[Total Amount]])</f>
        <v>129049.52</v>
      </c>
      <c r="S1666" s="162">
        <f>SUM(Sales[Net Amount])</f>
        <v>406839287.73200053</v>
      </c>
    </row>
    <row r="1667" spans="1:19" ht="18.75" x14ac:dyDescent="0.25">
      <c r="A1667" s="156" t="s">
        <v>5274</v>
      </c>
      <c r="B1667" s="157">
        <v>45862</v>
      </c>
      <c r="C1667" s="158" t="s">
        <v>952</v>
      </c>
      <c r="D1667" s="159" t="str">
        <f>VLOOKUP(Sales[[#This Row],[Customer ID]],Customer[#All],2,0)</f>
        <v>Pooja Singh</v>
      </c>
      <c r="E1667" s="158" t="s">
        <v>176</v>
      </c>
      <c r="F1667" s="158" t="str">
        <f>VLOOKUP(Sales[[#This Row],[Product ID]],Product[#All],2,0)</f>
        <v>Dell Monitor</v>
      </c>
      <c r="G1667" s="159">
        <v>5</v>
      </c>
      <c r="H1667" s="160">
        <f>VLOOKUP(Sales[[#This Row],[Product ID]],Product[#All],7,0)</f>
        <v>18900</v>
      </c>
      <c r="I1667" s="160">
        <f>Sales[[#This Row],[Selling Rate]]*Sales[[#This Row],[Qty]]</f>
        <v>94500</v>
      </c>
      <c r="J1667" s="43">
        <v>0</v>
      </c>
      <c r="K1667" s="44">
        <f>Sales[[#This Row],[Gross Amount]]*Sales[[#This Row],[Disc %]]</f>
        <v>0</v>
      </c>
      <c r="L1667" s="43">
        <v>0.18</v>
      </c>
      <c r="M1667" s="44">
        <f>(Sales[[#This Row],[Gross Amount]]-Sales[[#This Row],[Disc. Amt.]])*Sales[[#This Row],[GST %]]</f>
        <v>17010</v>
      </c>
      <c r="N1667" s="161">
        <f>Sales[[#This Row],[Gross Amount]]-Sales[[#This Row],[Disc. Amt.]]+Sales[[#This Row],[GST Amount]]</f>
        <v>111510</v>
      </c>
      <c r="O1667" s="158" t="s">
        <v>3569</v>
      </c>
      <c r="P1667" s="158" t="s">
        <v>3562</v>
      </c>
      <c r="Q1667" s="160">
        <f>IF(Sales[[#This Row],[Status]]="Cancelled",0,Sales[[#This Row],[Qty]])</f>
        <v>5</v>
      </c>
      <c r="R1667" s="161">
        <f>IF(Sales[[#This Row],[Status]]="Cancelled",0,Sales[[#This Row],[Total Amount]])</f>
        <v>111510</v>
      </c>
      <c r="S1667" s="162">
        <f>SUM(Sales[Net Amount])</f>
        <v>406839287.73200053</v>
      </c>
    </row>
    <row r="1668" spans="1:19" ht="18.75" x14ac:dyDescent="0.25">
      <c r="A1668" s="163" t="s">
        <v>5275</v>
      </c>
      <c r="B1668" s="164">
        <v>45862</v>
      </c>
      <c r="C1668" s="34" t="s">
        <v>888</v>
      </c>
      <c r="D1668" s="53" t="str">
        <f>VLOOKUP(Sales[[#This Row],[Customer ID]],Customer[#All],2,0)</f>
        <v>Rahul Patel</v>
      </c>
      <c r="E1668" s="34" t="s">
        <v>41</v>
      </c>
      <c r="F1668" s="34" t="str">
        <f>VLOOKUP(Sales[[#This Row],[Product ID]],Product[#All],2,0)</f>
        <v>HP Laptop</v>
      </c>
      <c r="G1668" s="53">
        <v>5</v>
      </c>
      <c r="H1668" s="165">
        <f>VLOOKUP(Sales[[#This Row],[Product ID]],Product[#All],7,0)</f>
        <v>74700</v>
      </c>
      <c r="I1668" s="165">
        <f>Sales[[#This Row],[Selling Rate]]*Sales[[#This Row],[Qty]]</f>
        <v>373500</v>
      </c>
      <c r="J1668" s="45">
        <v>0.15</v>
      </c>
      <c r="K1668" s="46">
        <f>Sales[[#This Row],[Gross Amount]]*Sales[[#This Row],[Disc %]]</f>
        <v>56025</v>
      </c>
      <c r="L1668" s="43">
        <v>0.18</v>
      </c>
      <c r="M1668" s="46">
        <f>(Sales[[#This Row],[Gross Amount]]-Sales[[#This Row],[Disc. Amt.]])*Sales[[#This Row],[GST %]]</f>
        <v>57145.5</v>
      </c>
      <c r="N1668" s="161">
        <f>Sales[[#This Row],[Gross Amount]]-Sales[[#This Row],[Disc. Amt.]]+Sales[[#This Row],[GST Amount]]</f>
        <v>374620.5</v>
      </c>
      <c r="O1668" s="34" t="s">
        <v>3566</v>
      </c>
      <c r="P1668" s="34" t="s">
        <v>3562</v>
      </c>
      <c r="Q1668" s="165">
        <f>IF(Sales[[#This Row],[Status]]="Cancelled",0,Sales[[#This Row],[Qty]])</f>
        <v>5</v>
      </c>
      <c r="R1668" s="166">
        <f>IF(Sales[[#This Row],[Status]]="Cancelled",0,Sales[[#This Row],[Total Amount]])</f>
        <v>374620.5</v>
      </c>
      <c r="S1668" s="162">
        <f>SUM(Sales[Net Amount])</f>
        <v>406839287.73200053</v>
      </c>
    </row>
    <row r="1669" spans="1:19" ht="18.75" x14ac:dyDescent="0.25">
      <c r="A1669" s="156" t="s">
        <v>5276</v>
      </c>
      <c r="B1669" s="157">
        <v>45862</v>
      </c>
      <c r="C1669" s="158" t="s">
        <v>802</v>
      </c>
      <c r="D1669" s="159" t="str">
        <f>VLOOKUP(Sales[[#This Row],[Customer ID]],Customer[#All],2,0)</f>
        <v>Rakesh Patel</v>
      </c>
      <c r="E1669" s="158" t="s">
        <v>114</v>
      </c>
      <c r="F1669" s="158" t="str">
        <f>VLOOKUP(Sales[[#This Row],[Product ID]],Product[#All],2,0)</f>
        <v>Apc UPS</v>
      </c>
      <c r="G1669" s="159">
        <v>5</v>
      </c>
      <c r="H1669" s="160">
        <f>VLOOKUP(Sales[[#This Row],[Product ID]],Product[#All],7,0)</f>
        <v>17310</v>
      </c>
      <c r="I1669" s="160">
        <f>Sales[[#This Row],[Selling Rate]]*Sales[[#This Row],[Qty]]</f>
        <v>86550</v>
      </c>
      <c r="J1669" s="43">
        <v>0</v>
      </c>
      <c r="K1669" s="44">
        <f>Sales[[#This Row],[Gross Amount]]*Sales[[#This Row],[Disc %]]</f>
        <v>0</v>
      </c>
      <c r="L1669" s="43">
        <v>0.18</v>
      </c>
      <c r="M1669" s="44">
        <f>(Sales[[#This Row],[Gross Amount]]-Sales[[#This Row],[Disc. Amt.]])*Sales[[#This Row],[GST %]]</f>
        <v>15579</v>
      </c>
      <c r="N1669" s="161">
        <f>Sales[[#This Row],[Gross Amount]]-Sales[[#This Row],[Disc. Amt.]]+Sales[[#This Row],[GST Amount]]</f>
        <v>102129</v>
      </c>
      <c r="O1669" s="158" t="s">
        <v>3569</v>
      </c>
      <c r="P1669" s="158" t="s">
        <v>3562</v>
      </c>
      <c r="Q1669" s="160">
        <f>IF(Sales[[#This Row],[Status]]="Cancelled",0,Sales[[#This Row],[Qty]])</f>
        <v>5</v>
      </c>
      <c r="R1669" s="161">
        <f>IF(Sales[[#This Row],[Status]]="Cancelled",0,Sales[[#This Row],[Total Amount]])</f>
        <v>102129</v>
      </c>
      <c r="S1669" s="162">
        <f>SUM(Sales[Net Amount])</f>
        <v>406839287.73200053</v>
      </c>
    </row>
    <row r="1670" spans="1:19" ht="18.75" x14ac:dyDescent="0.25">
      <c r="A1670" s="163" t="s">
        <v>5277</v>
      </c>
      <c r="B1670" s="164">
        <v>45862</v>
      </c>
      <c r="C1670" s="34" t="s">
        <v>857</v>
      </c>
      <c r="D1670" s="53" t="str">
        <f>VLOOKUP(Sales[[#This Row],[Customer ID]],Customer[#All],2,0)</f>
        <v>Pooja Singh</v>
      </c>
      <c r="E1670" s="34" t="s">
        <v>545</v>
      </c>
      <c r="F1670" s="34" t="str">
        <f>VLOOKUP(Sales[[#This Row],[Product ID]],Product[#All],2,0)</f>
        <v>WD HDD</v>
      </c>
      <c r="G1670" s="53">
        <v>8</v>
      </c>
      <c r="H1670" s="165">
        <f>VLOOKUP(Sales[[#This Row],[Product ID]],Product[#All],7,0)</f>
        <v>6720</v>
      </c>
      <c r="I1670" s="165">
        <f>Sales[[#This Row],[Selling Rate]]*Sales[[#This Row],[Qty]]</f>
        <v>53760</v>
      </c>
      <c r="J1670" s="45">
        <v>0.02</v>
      </c>
      <c r="K1670" s="46">
        <f>Sales[[#This Row],[Gross Amount]]*Sales[[#This Row],[Disc %]]</f>
        <v>1075.2</v>
      </c>
      <c r="L1670" s="43">
        <v>0.18</v>
      </c>
      <c r="M1670" s="46">
        <f>(Sales[[#This Row],[Gross Amount]]-Sales[[#This Row],[Disc. Amt.]])*Sales[[#This Row],[GST %]]</f>
        <v>9483.264000000001</v>
      </c>
      <c r="N1670" s="161">
        <f>Sales[[#This Row],[Gross Amount]]-Sales[[#This Row],[Disc. Amt.]]+Sales[[#This Row],[GST Amount]]</f>
        <v>62168.064000000006</v>
      </c>
      <c r="O1670" s="34" t="s">
        <v>8876</v>
      </c>
      <c r="P1670" s="34" t="s">
        <v>3562</v>
      </c>
      <c r="Q1670" s="165">
        <f>IF(Sales[[#This Row],[Status]]="Cancelled",0,Sales[[#This Row],[Qty]])</f>
        <v>8</v>
      </c>
      <c r="R1670" s="166">
        <f>IF(Sales[[#This Row],[Status]]="Cancelled",0,Sales[[#This Row],[Total Amount]])</f>
        <v>62168.064000000006</v>
      </c>
      <c r="S1670" s="162">
        <f>SUM(Sales[Net Amount])</f>
        <v>406839287.73200053</v>
      </c>
    </row>
    <row r="1671" spans="1:19" ht="18.75" x14ac:dyDescent="0.25">
      <c r="A1671" s="156" t="s">
        <v>5278</v>
      </c>
      <c r="B1671" s="157">
        <v>45863</v>
      </c>
      <c r="C1671" s="158" t="s">
        <v>748</v>
      </c>
      <c r="D1671" s="159" t="str">
        <f>VLOOKUP(Sales[[#This Row],[Customer ID]],Customer[#All],2,0)</f>
        <v>Priya Singh</v>
      </c>
      <c r="E1671" s="158" t="s">
        <v>438</v>
      </c>
      <c r="F1671" s="158" t="str">
        <f>VLOOKUP(Sales[[#This Row],[Product ID]],Product[#All],2,0)</f>
        <v>Jbl Headset</v>
      </c>
      <c r="G1671" s="159">
        <v>2</v>
      </c>
      <c r="H1671" s="160">
        <f>VLOOKUP(Sales[[#This Row],[Product ID]],Product[#All],7,0)</f>
        <v>1670</v>
      </c>
      <c r="I1671" s="160">
        <f>Sales[[#This Row],[Selling Rate]]*Sales[[#This Row],[Qty]]</f>
        <v>3340</v>
      </c>
      <c r="J1671" s="43">
        <v>0.12</v>
      </c>
      <c r="K1671" s="44">
        <f>Sales[[#This Row],[Gross Amount]]*Sales[[#This Row],[Disc %]]</f>
        <v>400.8</v>
      </c>
      <c r="L1671" s="43">
        <v>0.18</v>
      </c>
      <c r="M1671" s="44">
        <f>(Sales[[#This Row],[Gross Amount]]-Sales[[#This Row],[Disc. Amt.]])*Sales[[#This Row],[GST %]]</f>
        <v>529.05599999999993</v>
      </c>
      <c r="N1671" s="161">
        <f>Sales[[#This Row],[Gross Amount]]-Sales[[#This Row],[Disc. Amt.]]+Sales[[#This Row],[GST Amount]]</f>
        <v>3468.2559999999999</v>
      </c>
      <c r="O1671" s="158" t="s">
        <v>3569</v>
      </c>
      <c r="P1671" s="158" t="s">
        <v>3562</v>
      </c>
      <c r="Q1671" s="160">
        <f>IF(Sales[[#This Row],[Status]]="Cancelled",0,Sales[[#This Row],[Qty]])</f>
        <v>2</v>
      </c>
      <c r="R1671" s="161">
        <f>IF(Sales[[#This Row],[Status]]="Cancelled",0,Sales[[#This Row],[Total Amount]])</f>
        <v>3468.2559999999999</v>
      </c>
      <c r="S1671" s="162">
        <f>SUM(Sales[Net Amount])</f>
        <v>406839287.73200053</v>
      </c>
    </row>
    <row r="1672" spans="1:19" ht="18.75" x14ac:dyDescent="0.25">
      <c r="A1672" s="163" t="s">
        <v>5279</v>
      </c>
      <c r="B1672" s="164">
        <v>45863</v>
      </c>
      <c r="C1672" s="34" t="s">
        <v>876</v>
      </c>
      <c r="D1672" s="53" t="str">
        <f>VLOOKUP(Sales[[#This Row],[Customer ID]],Customer[#All],2,0)</f>
        <v>Sahil Verma</v>
      </c>
      <c r="E1672" s="34" t="s">
        <v>277</v>
      </c>
      <c r="F1672" s="34" t="str">
        <f>VLOOKUP(Sales[[#This Row],[Product ID]],Product[#All],2,0)</f>
        <v>D-Link Router</v>
      </c>
      <c r="G1672" s="53">
        <v>3</v>
      </c>
      <c r="H1672" s="165">
        <f>VLOOKUP(Sales[[#This Row],[Product ID]],Product[#All],7,0)</f>
        <v>4630</v>
      </c>
      <c r="I1672" s="165">
        <f>Sales[[#This Row],[Selling Rate]]*Sales[[#This Row],[Qty]]</f>
        <v>13890</v>
      </c>
      <c r="J1672" s="45">
        <v>0</v>
      </c>
      <c r="K1672" s="46">
        <f>Sales[[#This Row],[Gross Amount]]*Sales[[#This Row],[Disc %]]</f>
        <v>0</v>
      </c>
      <c r="L1672" s="43">
        <v>0.18</v>
      </c>
      <c r="M1672" s="46">
        <f>(Sales[[#This Row],[Gross Amount]]-Sales[[#This Row],[Disc. Amt.]])*Sales[[#This Row],[GST %]]</f>
        <v>2500.1999999999998</v>
      </c>
      <c r="N1672" s="161">
        <f>Sales[[#This Row],[Gross Amount]]-Sales[[#This Row],[Disc. Amt.]]+Sales[[#This Row],[GST Amount]]</f>
        <v>16390.2</v>
      </c>
      <c r="O1672" s="34" t="s">
        <v>3566</v>
      </c>
      <c r="P1672" s="34" t="s">
        <v>3562</v>
      </c>
      <c r="Q1672" s="165">
        <f>IF(Sales[[#This Row],[Status]]="Cancelled",0,Sales[[#This Row],[Qty]])</f>
        <v>3</v>
      </c>
      <c r="R1672" s="166">
        <f>IF(Sales[[#This Row],[Status]]="Cancelled",0,Sales[[#This Row],[Total Amount]])</f>
        <v>16390.2</v>
      </c>
      <c r="S1672" s="162">
        <f>SUM(Sales[Net Amount])</f>
        <v>406839287.73200053</v>
      </c>
    </row>
    <row r="1673" spans="1:19" ht="18.75" x14ac:dyDescent="0.25">
      <c r="A1673" s="156" t="s">
        <v>5280</v>
      </c>
      <c r="B1673" s="157">
        <v>45863</v>
      </c>
      <c r="C1673" s="158" t="s">
        <v>875</v>
      </c>
      <c r="D1673" s="159" t="str">
        <f>VLOOKUP(Sales[[#This Row],[Customer ID]],Customer[#All],2,0)</f>
        <v>Rahul Verma</v>
      </c>
      <c r="E1673" s="158" t="s">
        <v>443</v>
      </c>
      <c r="F1673" s="158" t="str">
        <f>VLOOKUP(Sales[[#This Row],[Product ID]],Product[#All],2,0)</f>
        <v>HP Power Adapter</v>
      </c>
      <c r="G1673" s="159">
        <v>2</v>
      </c>
      <c r="H1673" s="160">
        <f>VLOOKUP(Sales[[#This Row],[Product ID]],Product[#All],7,0)</f>
        <v>3850</v>
      </c>
      <c r="I1673" s="160">
        <f>Sales[[#This Row],[Selling Rate]]*Sales[[#This Row],[Qty]]</f>
        <v>7700</v>
      </c>
      <c r="J1673" s="43">
        <v>0.05</v>
      </c>
      <c r="K1673" s="44">
        <f>Sales[[#This Row],[Gross Amount]]*Sales[[#This Row],[Disc %]]</f>
        <v>385</v>
      </c>
      <c r="L1673" s="43">
        <v>0.18</v>
      </c>
      <c r="M1673" s="44">
        <f>(Sales[[#This Row],[Gross Amount]]-Sales[[#This Row],[Disc. Amt.]])*Sales[[#This Row],[GST %]]</f>
        <v>1316.7</v>
      </c>
      <c r="N1673" s="161">
        <f>Sales[[#This Row],[Gross Amount]]-Sales[[#This Row],[Disc. Amt.]]+Sales[[#This Row],[GST Amount]]</f>
        <v>8631.7000000000007</v>
      </c>
      <c r="O1673" s="158" t="s">
        <v>8876</v>
      </c>
      <c r="P1673" s="158" t="s">
        <v>3562</v>
      </c>
      <c r="Q1673" s="160">
        <f>IF(Sales[[#This Row],[Status]]="Cancelled",0,Sales[[#This Row],[Qty]])</f>
        <v>2</v>
      </c>
      <c r="R1673" s="161">
        <f>IF(Sales[[#This Row],[Status]]="Cancelled",0,Sales[[#This Row],[Total Amount]])</f>
        <v>8631.7000000000007</v>
      </c>
      <c r="S1673" s="162">
        <f>SUM(Sales[Net Amount])</f>
        <v>406839287.73200053</v>
      </c>
    </row>
    <row r="1674" spans="1:19" ht="18.75" x14ac:dyDescent="0.25">
      <c r="A1674" s="163" t="s">
        <v>5281</v>
      </c>
      <c r="B1674" s="164">
        <v>45863</v>
      </c>
      <c r="C1674" s="34" t="s">
        <v>661</v>
      </c>
      <c r="D1674" s="53" t="str">
        <f>VLOOKUP(Sales[[#This Row],[Customer ID]],Customer[#All],2,0)</f>
        <v>Pooja Gupta</v>
      </c>
      <c r="E1674" s="34" t="s">
        <v>419</v>
      </c>
      <c r="F1674" s="34" t="str">
        <f>VLOOKUP(Sales[[#This Row],[Product ID]],Product[#All],2,0)</f>
        <v>WD HDD</v>
      </c>
      <c r="G1674" s="53">
        <v>5</v>
      </c>
      <c r="H1674" s="165">
        <f>VLOOKUP(Sales[[#This Row],[Product ID]],Product[#All],7,0)</f>
        <v>8930</v>
      </c>
      <c r="I1674" s="165">
        <f>Sales[[#This Row],[Selling Rate]]*Sales[[#This Row],[Qty]]</f>
        <v>44650</v>
      </c>
      <c r="J1674" s="45">
        <v>0.05</v>
      </c>
      <c r="K1674" s="46">
        <f>Sales[[#This Row],[Gross Amount]]*Sales[[#This Row],[Disc %]]</f>
        <v>2232.5</v>
      </c>
      <c r="L1674" s="43">
        <v>0.18</v>
      </c>
      <c r="M1674" s="46">
        <f>(Sales[[#This Row],[Gross Amount]]-Sales[[#This Row],[Disc. Amt.]])*Sales[[#This Row],[GST %]]</f>
        <v>7635.15</v>
      </c>
      <c r="N1674" s="161">
        <f>Sales[[#This Row],[Gross Amount]]-Sales[[#This Row],[Disc. Amt.]]+Sales[[#This Row],[GST Amount]]</f>
        <v>50052.65</v>
      </c>
      <c r="O1674" s="34" t="s">
        <v>3566</v>
      </c>
      <c r="P1674" s="34" t="s">
        <v>1040</v>
      </c>
      <c r="Q1674" s="165">
        <f>IF(Sales[[#This Row],[Status]]="Cancelled",0,Sales[[#This Row],[Qty]])</f>
        <v>0</v>
      </c>
      <c r="R1674" s="166">
        <f>IF(Sales[[#This Row],[Status]]="Cancelled",0,Sales[[#This Row],[Total Amount]])</f>
        <v>0</v>
      </c>
      <c r="S1674" s="162">
        <f>SUM(Sales[Net Amount])</f>
        <v>406839287.73200053</v>
      </c>
    </row>
    <row r="1675" spans="1:19" ht="18.75" x14ac:dyDescent="0.25">
      <c r="A1675" s="156" t="s">
        <v>5282</v>
      </c>
      <c r="B1675" s="157">
        <v>45863</v>
      </c>
      <c r="C1675" s="158" t="s">
        <v>723</v>
      </c>
      <c r="D1675" s="159" t="str">
        <f>VLOOKUP(Sales[[#This Row],[Customer ID]],Customer[#All],2,0)</f>
        <v>Sahil Gupta</v>
      </c>
      <c r="E1675" s="158" t="s">
        <v>496</v>
      </c>
      <c r="F1675" s="158" t="str">
        <f>VLOOKUP(Sales[[#This Row],[Product ID]],Product[#All],2,0)</f>
        <v>Boat Speaker</v>
      </c>
      <c r="G1675" s="159">
        <v>3</v>
      </c>
      <c r="H1675" s="160">
        <f>VLOOKUP(Sales[[#This Row],[Product ID]],Product[#All],7,0)</f>
        <v>2230</v>
      </c>
      <c r="I1675" s="160">
        <f>Sales[[#This Row],[Selling Rate]]*Sales[[#This Row],[Qty]]</f>
        <v>6690</v>
      </c>
      <c r="J1675" s="43">
        <v>0.05</v>
      </c>
      <c r="K1675" s="44">
        <f>Sales[[#This Row],[Gross Amount]]*Sales[[#This Row],[Disc %]]</f>
        <v>334.5</v>
      </c>
      <c r="L1675" s="43">
        <v>0.18</v>
      </c>
      <c r="M1675" s="44">
        <f>(Sales[[#This Row],[Gross Amount]]-Sales[[#This Row],[Disc. Amt.]])*Sales[[#This Row],[GST %]]</f>
        <v>1143.99</v>
      </c>
      <c r="N1675" s="161">
        <f>Sales[[#This Row],[Gross Amount]]-Sales[[#This Row],[Disc. Amt.]]+Sales[[#This Row],[GST Amount]]</f>
        <v>7499.49</v>
      </c>
      <c r="O1675" s="158" t="s">
        <v>3561</v>
      </c>
      <c r="P1675" s="158" t="s">
        <v>3562</v>
      </c>
      <c r="Q1675" s="160">
        <f>IF(Sales[[#This Row],[Status]]="Cancelled",0,Sales[[#This Row],[Qty]])</f>
        <v>3</v>
      </c>
      <c r="R1675" s="161">
        <f>IF(Sales[[#This Row],[Status]]="Cancelled",0,Sales[[#This Row],[Total Amount]])</f>
        <v>7499.49</v>
      </c>
      <c r="S1675" s="162">
        <f>SUM(Sales[Net Amount])</f>
        <v>406839287.73200053</v>
      </c>
    </row>
    <row r="1676" spans="1:19" ht="18.75" x14ac:dyDescent="0.25">
      <c r="A1676" s="163" t="s">
        <v>5283</v>
      </c>
      <c r="B1676" s="164">
        <v>45863</v>
      </c>
      <c r="C1676" s="34" t="s">
        <v>5284</v>
      </c>
      <c r="D1676" s="53" t="str">
        <f>VLOOKUP(Sales[[#This Row],[Customer ID]],Customer[#All],2,0)</f>
        <v>Rahul Verma</v>
      </c>
      <c r="E1676" s="34" t="s">
        <v>359</v>
      </c>
      <c r="F1676" s="34" t="str">
        <f>VLOOKUP(Sales[[#This Row],[Product ID]],Product[#All],2,0)</f>
        <v>Sandisk Pen Drive</v>
      </c>
      <c r="G1676" s="53">
        <v>3</v>
      </c>
      <c r="H1676" s="165">
        <f>VLOOKUP(Sales[[#This Row],[Product ID]],Product[#All],7,0)</f>
        <v>1140</v>
      </c>
      <c r="I1676" s="165">
        <f>Sales[[#This Row],[Selling Rate]]*Sales[[#This Row],[Qty]]</f>
        <v>3420</v>
      </c>
      <c r="J1676" s="45">
        <v>0</v>
      </c>
      <c r="K1676" s="46">
        <f>Sales[[#This Row],[Gross Amount]]*Sales[[#This Row],[Disc %]]</f>
        <v>0</v>
      </c>
      <c r="L1676" s="43">
        <v>0.18</v>
      </c>
      <c r="M1676" s="46">
        <f>(Sales[[#This Row],[Gross Amount]]-Sales[[#This Row],[Disc. Amt.]])*Sales[[#This Row],[GST %]]</f>
        <v>615.6</v>
      </c>
      <c r="N1676" s="161">
        <f>Sales[[#This Row],[Gross Amount]]-Sales[[#This Row],[Disc. Amt.]]+Sales[[#This Row],[GST Amount]]</f>
        <v>4035.6</v>
      </c>
      <c r="O1676" s="34" t="s">
        <v>3561</v>
      </c>
      <c r="P1676" s="34" t="s">
        <v>3562</v>
      </c>
      <c r="Q1676" s="165">
        <f>IF(Sales[[#This Row],[Status]]="Cancelled",0,Sales[[#This Row],[Qty]])</f>
        <v>3</v>
      </c>
      <c r="R1676" s="166">
        <f>IF(Sales[[#This Row],[Status]]="Cancelled",0,Sales[[#This Row],[Total Amount]])</f>
        <v>4035.6</v>
      </c>
      <c r="S1676" s="162">
        <f>SUM(Sales[Net Amount])</f>
        <v>406839287.73200053</v>
      </c>
    </row>
    <row r="1677" spans="1:19" ht="18.75" x14ac:dyDescent="0.25">
      <c r="A1677" s="156" t="s">
        <v>5285</v>
      </c>
      <c r="B1677" s="157">
        <v>45863</v>
      </c>
      <c r="C1677" s="158" t="s">
        <v>651</v>
      </c>
      <c r="D1677" s="159" t="str">
        <f>VLOOKUP(Sales[[#This Row],[Customer ID]],Customer[#All],2,0)</f>
        <v>Sahil Verma</v>
      </c>
      <c r="E1677" s="158" t="s">
        <v>312</v>
      </c>
      <c r="F1677" s="158" t="str">
        <f>VLOOKUP(Sales[[#This Row],[Product ID]],Product[#All],2,0)</f>
        <v>Dell Desktop</v>
      </c>
      <c r="G1677" s="159">
        <v>1</v>
      </c>
      <c r="H1677" s="160">
        <f>VLOOKUP(Sales[[#This Row],[Product ID]],Product[#All],7,0)</f>
        <v>59050</v>
      </c>
      <c r="I1677" s="160">
        <f>Sales[[#This Row],[Selling Rate]]*Sales[[#This Row],[Qty]]</f>
        <v>59050</v>
      </c>
      <c r="J1677" s="43">
        <v>0.1</v>
      </c>
      <c r="K1677" s="44">
        <f>Sales[[#This Row],[Gross Amount]]*Sales[[#This Row],[Disc %]]</f>
        <v>5905</v>
      </c>
      <c r="L1677" s="43">
        <v>0.18</v>
      </c>
      <c r="M1677" s="44">
        <f>(Sales[[#This Row],[Gross Amount]]-Sales[[#This Row],[Disc. Amt.]])*Sales[[#This Row],[GST %]]</f>
        <v>9566.1</v>
      </c>
      <c r="N1677" s="161">
        <f>Sales[[#This Row],[Gross Amount]]-Sales[[#This Row],[Disc. Amt.]]+Sales[[#This Row],[GST Amount]]</f>
        <v>62711.1</v>
      </c>
      <c r="O1677" s="158" t="s">
        <v>3566</v>
      </c>
      <c r="P1677" s="158" t="s">
        <v>1040</v>
      </c>
      <c r="Q1677" s="160">
        <f>IF(Sales[[#This Row],[Status]]="Cancelled",0,Sales[[#This Row],[Qty]])</f>
        <v>0</v>
      </c>
      <c r="R1677" s="161">
        <f>IF(Sales[[#This Row],[Status]]="Cancelled",0,Sales[[#This Row],[Total Amount]])</f>
        <v>0</v>
      </c>
      <c r="S1677" s="162">
        <f>SUM(Sales[Net Amount])</f>
        <v>406839287.73200053</v>
      </c>
    </row>
    <row r="1678" spans="1:19" ht="18.75" x14ac:dyDescent="0.25">
      <c r="A1678" s="163" t="s">
        <v>5286</v>
      </c>
      <c r="B1678" s="164">
        <v>45863</v>
      </c>
      <c r="C1678" s="34" t="s">
        <v>655</v>
      </c>
      <c r="D1678" s="53" t="str">
        <f>VLOOKUP(Sales[[#This Row],[Customer ID]],Customer[#All],2,0)</f>
        <v>Pooja Singh</v>
      </c>
      <c r="E1678" s="34" t="s">
        <v>157</v>
      </c>
      <c r="F1678" s="34" t="str">
        <f>VLOOKUP(Sales[[#This Row],[Product ID]],Product[#All],2,0)</f>
        <v>Epson Printer</v>
      </c>
      <c r="G1678" s="53">
        <v>4</v>
      </c>
      <c r="H1678" s="165">
        <f>VLOOKUP(Sales[[#This Row],[Product ID]],Product[#All],7,0)</f>
        <v>12100</v>
      </c>
      <c r="I1678" s="165">
        <f>Sales[[#This Row],[Selling Rate]]*Sales[[#This Row],[Qty]]</f>
        <v>48400</v>
      </c>
      <c r="J1678" s="45">
        <v>0.02</v>
      </c>
      <c r="K1678" s="46">
        <f>Sales[[#This Row],[Gross Amount]]*Sales[[#This Row],[Disc %]]</f>
        <v>968</v>
      </c>
      <c r="L1678" s="43">
        <v>0.18</v>
      </c>
      <c r="M1678" s="46">
        <f>(Sales[[#This Row],[Gross Amount]]-Sales[[#This Row],[Disc. Amt.]])*Sales[[#This Row],[GST %]]</f>
        <v>8537.76</v>
      </c>
      <c r="N1678" s="161">
        <f>Sales[[#This Row],[Gross Amount]]-Sales[[#This Row],[Disc. Amt.]]+Sales[[#This Row],[GST Amount]]</f>
        <v>55969.760000000002</v>
      </c>
      <c r="O1678" s="34" t="s">
        <v>3569</v>
      </c>
      <c r="P1678" s="34" t="s">
        <v>3562</v>
      </c>
      <c r="Q1678" s="165">
        <f>IF(Sales[[#This Row],[Status]]="Cancelled",0,Sales[[#This Row],[Qty]])</f>
        <v>4</v>
      </c>
      <c r="R1678" s="166">
        <f>IF(Sales[[#This Row],[Status]]="Cancelled",0,Sales[[#This Row],[Total Amount]])</f>
        <v>55969.760000000002</v>
      </c>
      <c r="S1678" s="162">
        <f>SUM(Sales[Net Amount])</f>
        <v>406839287.73200053</v>
      </c>
    </row>
    <row r="1679" spans="1:19" ht="18.75" x14ac:dyDescent="0.25">
      <c r="A1679" s="156" t="s">
        <v>5287</v>
      </c>
      <c r="B1679" s="157">
        <v>45863</v>
      </c>
      <c r="C1679" s="158" t="s">
        <v>784</v>
      </c>
      <c r="D1679" s="159" t="str">
        <f>VLOOKUP(Sales[[#This Row],[Customer ID]],Customer[#All],2,0)</f>
        <v>Amit Kumar</v>
      </c>
      <c r="E1679" s="158" t="s">
        <v>364</v>
      </c>
      <c r="F1679" s="158" t="str">
        <f>VLOOKUP(Sales[[#This Row],[Product ID]],Product[#All],2,0)</f>
        <v>Canon Printer</v>
      </c>
      <c r="G1679" s="159">
        <v>2</v>
      </c>
      <c r="H1679" s="160">
        <f>VLOOKUP(Sales[[#This Row],[Product ID]],Product[#All],7,0)</f>
        <v>41460</v>
      </c>
      <c r="I1679" s="160">
        <f>Sales[[#This Row],[Selling Rate]]*Sales[[#This Row],[Qty]]</f>
        <v>82920</v>
      </c>
      <c r="J1679" s="43">
        <v>0</v>
      </c>
      <c r="K1679" s="44">
        <f>Sales[[#This Row],[Gross Amount]]*Sales[[#This Row],[Disc %]]</f>
        <v>0</v>
      </c>
      <c r="L1679" s="43">
        <v>0.18</v>
      </c>
      <c r="M1679" s="44">
        <f>(Sales[[#This Row],[Gross Amount]]-Sales[[#This Row],[Disc. Amt.]])*Sales[[#This Row],[GST %]]</f>
        <v>14925.599999999999</v>
      </c>
      <c r="N1679" s="161">
        <f>Sales[[#This Row],[Gross Amount]]-Sales[[#This Row],[Disc. Amt.]]+Sales[[#This Row],[GST Amount]]</f>
        <v>97845.6</v>
      </c>
      <c r="O1679" s="158" t="s">
        <v>3561</v>
      </c>
      <c r="P1679" s="158" t="s">
        <v>3562</v>
      </c>
      <c r="Q1679" s="160">
        <f>IF(Sales[[#This Row],[Status]]="Cancelled",0,Sales[[#This Row],[Qty]])</f>
        <v>2</v>
      </c>
      <c r="R1679" s="161">
        <f>IF(Sales[[#This Row],[Status]]="Cancelled",0,Sales[[#This Row],[Total Amount]])</f>
        <v>97845.6</v>
      </c>
      <c r="S1679" s="162">
        <f>SUM(Sales[Net Amount])</f>
        <v>406839287.73200053</v>
      </c>
    </row>
    <row r="1680" spans="1:19" ht="18.75" x14ac:dyDescent="0.25">
      <c r="A1680" s="163" t="s">
        <v>5288</v>
      </c>
      <c r="B1680" s="164">
        <v>45863</v>
      </c>
      <c r="C1680" s="34" t="s">
        <v>772</v>
      </c>
      <c r="D1680" s="53" t="str">
        <f>VLOOKUP(Sales[[#This Row],[Customer ID]],Customer[#All],2,0)</f>
        <v>Rahul Patel</v>
      </c>
      <c r="E1680" s="34" t="s">
        <v>401</v>
      </c>
      <c r="F1680" s="34" t="str">
        <f>VLOOKUP(Sales[[#This Row],[Product ID]],Product[#All],2,0)</f>
        <v>Amazon Basics Hdmi Cable</v>
      </c>
      <c r="G1680" s="53">
        <v>6</v>
      </c>
      <c r="H1680" s="165">
        <f>VLOOKUP(Sales[[#This Row],[Product ID]],Product[#All],7,0)</f>
        <v>670</v>
      </c>
      <c r="I1680" s="165">
        <f>Sales[[#This Row],[Selling Rate]]*Sales[[#This Row],[Qty]]</f>
        <v>4020</v>
      </c>
      <c r="J1680" s="45">
        <v>0.05</v>
      </c>
      <c r="K1680" s="46">
        <f>Sales[[#This Row],[Gross Amount]]*Sales[[#This Row],[Disc %]]</f>
        <v>201</v>
      </c>
      <c r="L1680" s="43">
        <v>0.18</v>
      </c>
      <c r="M1680" s="46">
        <f>(Sales[[#This Row],[Gross Amount]]-Sales[[#This Row],[Disc. Amt.]])*Sales[[#This Row],[GST %]]</f>
        <v>687.42</v>
      </c>
      <c r="N1680" s="161">
        <f>Sales[[#This Row],[Gross Amount]]-Sales[[#This Row],[Disc. Amt.]]+Sales[[#This Row],[GST Amount]]</f>
        <v>4506.42</v>
      </c>
      <c r="O1680" s="34" t="s">
        <v>3561</v>
      </c>
      <c r="P1680" s="34" t="s">
        <v>3562</v>
      </c>
      <c r="Q1680" s="165">
        <f>IF(Sales[[#This Row],[Status]]="Cancelled",0,Sales[[#This Row],[Qty]])</f>
        <v>6</v>
      </c>
      <c r="R1680" s="166">
        <f>IF(Sales[[#This Row],[Status]]="Cancelled",0,Sales[[#This Row],[Total Amount]])</f>
        <v>4506.42</v>
      </c>
      <c r="S1680" s="162">
        <f>SUM(Sales[Net Amount])</f>
        <v>406839287.73200053</v>
      </c>
    </row>
    <row r="1681" spans="1:19" ht="18.75" x14ac:dyDescent="0.25">
      <c r="A1681" s="156" t="s">
        <v>5289</v>
      </c>
      <c r="B1681" s="157">
        <v>45863</v>
      </c>
      <c r="C1681" s="158" t="s">
        <v>719</v>
      </c>
      <c r="D1681" s="159" t="str">
        <f>VLOOKUP(Sales[[#This Row],[Customer ID]],Customer[#All],2,0)</f>
        <v>Priya Verma</v>
      </c>
      <c r="E1681" s="158" t="s">
        <v>362</v>
      </c>
      <c r="F1681" s="158" t="str">
        <f>VLOOKUP(Sales[[#This Row],[Product ID]],Product[#All],2,0)</f>
        <v>Dell Power Adapter</v>
      </c>
      <c r="G1681" s="159">
        <v>4</v>
      </c>
      <c r="H1681" s="160">
        <f>VLOOKUP(Sales[[#This Row],[Product ID]],Product[#All],7,0)</f>
        <v>4050</v>
      </c>
      <c r="I1681" s="160">
        <f>Sales[[#This Row],[Selling Rate]]*Sales[[#This Row],[Qty]]</f>
        <v>16200</v>
      </c>
      <c r="J1681" s="43">
        <v>0.05</v>
      </c>
      <c r="K1681" s="44">
        <f>Sales[[#This Row],[Gross Amount]]*Sales[[#This Row],[Disc %]]</f>
        <v>810</v>
      </c>
      <c r="L1681" s="43">
        <v>0.18</v>
      </c>
      <c r="M1681" s="44">
        <f>(Sales[[#This Row],[Gross Amount]]-Sales[[#This Row],[Disc. Amt.]])*Sales[[#This Row],[GST %]]</f>
        <v>2770.2</v>
      </c>
      <c r="N1681" s="161">
        <f>Sales[[#This Row],[Gross Amount]]-Sales[[#This Row],[Disc. Amt.]]+Sales[[#This Row],[GST Amount]]</f>
        <v>18160.2</v>
      </c>
      <c r="O1681" s="158" t="s">
        <v>3561</v>
      </c>
      <c r="P1681" s="158" t="s">
        <v>3562</v>
      </c>
      <c r="Q1681" s="160">
        <f>IF(Sales[[#This Row],[Status]]="Cancelled",0,Sales[[#This Row],[Qty]])</f>
        <v>4</v>
      </c>
      <c r="R1681" s="161">
        <f>IF(Sales[[#This Row],[Status]]="Cancelled",0,Sales[[#This Row],[Total Amount]])</f>
        <v>18160.2</v>
      </c>
      <c r="S1681" s="162">
        <f>SUM(Sales[Net Amount])</f>
        <v>406839287.73200053</v>
      </c>
    </row>
    <row r="1682" spans="1:19" ht="18.75" x14ac:dyDescent="0.25">
      <c r="A1682" s="163" t="s">
        <v>5290</v>
      </c>
      <c r="B1682" s="164">
        <v>45863</v>
      </c>
      <c r="C1682" s="34" t="s">
        <v>759</v>
      </c>
      <c r="D1682" s="53" t="str">
        <f>VLOOKUP(Sales[[#This Row],[Customer ID]],Customer[#All],2,0)</f>
        <v>Ankit Sharma</v>
      </c>
      <c r="E1682" s="34" t="s">
        <v>438</v>
      </c>
      <c r="F1682" s="34" t="str">
        <f>VLOOKUP(Sales[[#This Row],[Product ID]],Product[#All],2,0)</f>
        <v>Jbl Headset</v>
      </c>
      <c r="G1682" s="53">
        <v>5</v>
      </c>
      <c r="H1682" s="165">
        <f>VLOOKUP(Sales[[#This Row],[Product ID]],Product[#All],7,0)</f>
        <v>1670</v>
      </c>
      <c r="I1682" s="165">
        <f>Sales[[#This Row],[Selling Rate]]*Sales[[#This Row],[Qty]]</f>
        <v>8350</v>
      </c>
      <c r="J1682" s="45">
        <v>0</v>
      </c>
      <c r="K1682" s="46">
        <f>Sales[[#This Row],[Gross Amount]]*Sales[[#This Row],[Disc %]]</f>
        <v>0</v>
      </c>
      <c r="L1682" s="43">
        <v>0.18</v>
      </c>
      <c r="M1682" s="46">
        <f>(Sales[[#This Row],[Gross Amount]]-Sales[[#This Row],[Disc. Amt.]])*Sales[[#This Row],[GST %]]</f>
        <v>1503</v>
      </c>
      <c r="N1682" s="161">
        <f>Sales[[#This Row],[Gross Amount]]-Sales[[#This Row],[Disc. Amt.]]+Sales[[#This Row],[GST Amount]]</f>
        <v>9853</v>
      </c>
      <c r="O1682" s="34" t="s">
        <v>3561</v>
      </c>
      <c r="P1682" s="34" t="s">
        <v>3562</v>
      </c>
      <c r="Q1682" s="165">
        <f>IF(Sales[[#This Row],[Status]]="Cancelled",0,Sales[[#This Row],[Qty]])</f>
        <v>5</v>
      </c>
      <c r="R1682" s="166">
        <f>IF(Sales[[#This Row],[Status]]="Cancelled",0,Sales[[#This Row],[Total Amount]])</f>
        <v>9853</v>
      </c>
      <c r="S1682" s="162">
        <f>SUM(Sales[Net Amount])</f>
        <v>406839287.73200053</v>
      </c>
    </row>
    <row r="1683" spans="1:19" ht="18.75" x14ac:dyDescent="0.25">
      <c r="A1683" s="156" t="s">
        <v>5291</v>
      </c>
      <c r="B1683" s="157">
        <v>45863</v>
      </c>
      <c r="C1683" s="158" t="s">
        <v>928</v>
      </c>
      <c r="D1683" s="159" t="str">
        <f>VLOOKUP(Sales[[#This Row],[Customer ID]],Customer[#All],2,0)</f>
        <v>Rahul Kumar</v>
      </c>
      <c r="E1683" s="158" t="s">
        <v>177</v>
      </c>
      <c r="F1683" s="158" t="str">
        <f>VLOOKUP(Sales[[#This Row],[Product ID]],Product[#All],2,0)</f>
        <v>Dell Laptop</v>
      </c>
      <c r="G1683" s="159">
        <v>7</v>
      </c>
      <c r="H1683" s="160">
        <f>VLOOKUP(Sales[[#This Row],[Product ID]],Product[#All],7,0)</f>
        <v>56790</v>
      </c>
      <c r="I1683" s="160">
        <f>Sales[[#This Row],[Selling Rate]]*Sales[[#This Row],[Qty]]</f>
        <v>397530</v>
      </c>
      <c r="J1683" s="43">
        <v>0.05</v>
      </c>
      <c r="K1683" s="44">
        <f>Sales[[#This Row],[Gross Amount]]*Sales[[#This Row],[Disc %]]</f>
        <v>19876.5</v>
      </c>
      <c r="L1683" s="43">
        <v>0.18</v>
      </c>
      <c r="M1683" s="44">
        <f>(Sales[[#This Row],[Gross Amount]]-Sales[[#This Row],[Disc. Amt.]])*Sales[[#This Row],[GST %]]</f>
        <v>67977.63</v>
      </c>
      <c r="N1683" s="161">
        <f>Sales[[#This Row],[Gross Amount]]-Sales[[#This Row],[Disc. Amt.]]+Sales[[#This Row],[GST Amount]]</f>
        <v>445631.13</v>
      </c>
      <c r="O1683" s="158" t="s">
        <v>3561</v>
      </c>
      <c r="P1683" s="158" t="s">
        <v>3562</v>
      </c>
      <c r="Q1683" s="160">
        <f>IF(Sales[[#This Row],[Status]]="Cancelled",0,Sales[[#This Row],[Qty]])</f>
        <v>7</v>
      </c>
      <c r="R1683" s="161">
        <f>IF(Sales[[#This Row],[Status]]="Cancelled",0,Sales[[#This Row],[Total Amount]])</f>
        <v>445631.13</v>
      </c>
      <c r="S1683" s="162">
        <f>SUM(Sales[Net Amount])</f>
        <v>406839287.73200053</v>
      </c>
    </row>
    <row r="1684" spans="1:19" ht="18.75" x14ac:dyDescent="0.25">
      <c r="A1684" s="163" t="s">
        <v>5292</v>
      </c>
      <c r="B1684" s="164">
        <v>45863</v>
      </c>
      <c r="C1684" s="34" t="s">
        <v>781</v>
      </c>
      <c r="D1684" s="53" t="str">
        <f>VLOOKUP(Sales[[#This Row],[Customer ID]],Customer[#All],2,0)</f>
        <v>Vikas Sharma</v>
      </c>
      <c r="E1684" s="34" t="s">
        <v>395</v>
      </c>
      <c r="F1684" s="34" t="str">
        <f>VLOOKUP(Sales[[#This Row],[Product ID]],Product[#All],2,0)</f>
        <v>American TouristerLaptopBag</v>
      </c>
      <c r="G1684" s="53">
        <v>5</v>
      </c>
      <c r="H1684" s="165">
        <f>VLOOKUP(Sales[[#This Row],[Product ID]],Product[#All],7,0)</f>
        <v>5010</v>
      </c>
      <c r="I1684" s="165">
        <f>Sales[[#This Row],[Selling Rate]]*Sales[[#This Row],[Qty]]</f>
        <v>25050</v>
      </c>
      <c r="J1684" s="45">
        <v>0.02</v>
      </c>
      <c r="K1684" s="46">
        <f>Sales[[#This Row],[Gross Amount]]*Sales[[#This Row],[Disc %]]</f>
        <v>501</v>
      </c>
      <c r="L1684" s="43">
        <v>0.18</v>
      </c>
      <c r="M1684" s="46">
        <f>(Sales[[#This Row],[Gross Amount]]-Sales[[#This Row],[Disc. Amt.]])*Sales[[#This Row],[GST %]]</f>
        <v>4418.82</v>
      </c>
      <c r="N1684" s="161">
        <f>Sales[[#This Row],[Gross Amount]]-Sales[[#This Row],[Disc. Amt.]]+Sales[[#This Row],[GST Amount]]</f>
        <v>28967.82</v>
      </c>
      <c r="O1684" s="34" t="s">
        <v>3566</v>
      </c>
      <c r="P1684" s="34" t="s">
        <v>3562</v>
      </c>
      <c r="Q1684" s="165">
        <f>IF(Sales[[#This Row],[Status]]="Cancelled",0,Sales[[#This Row],[Qty]])</f>
        <v>5</v>
      </c>
      <c r="R1684" s="166">
        <f>IF(Sales[[#This Row],[Status]]="Cancelled",0,Sales[[#This Row],[Total Amount]])</f>
        <v>28967.82</v>
      </c>
      <c r="S1684" s="162">
        <f>SUM(Sales[Net Amount])</f>
        <v>406839287.73200053</v>
      </c>
    </row>
    <row r="1685" spans="1:19" ht="18.75" x14ac:dyDescent="0.25">
      <c r="A1685" s="156" t="s">
        <v>5293</v>
      </c>
      <c r="B1685" s="157">
        <v>45863</v>
      </c>
      <c r="C1685" s="158" t="s">
        <v>904</v>
      </c>
      <c r="D1685" s="159" t="str">
        <f>VLOOKUP(Sales[[#This Row],[Customer ID]],Customer[#All],2,0)</f>
        <v>Sahil Patel</v>
      </c>
      <c r="E1685" s="158" t="s">
        <v>553</v>
      </c>
      <c r="F1685" s="158" t="str">
        <f>VLOOKUP(Sales[[#This Row],[Product ID]],Product[#All],2,0)</f>
        <v>Logitech Webcam</v>
      </c>
      <c r="G1685" s="159">
        <v>7</v>
      </c>
      <c r="H1685" s="160">
        <f>VLOOKUP(Sales[[#This Row],[Product ID]],Product[#All],7,0)</f>
        <v>3820</v>
      </c>
      <c r="I1685" s="160">
        <f>Sales[[#This Row],[Selling Rate]]*Sales[[#This Row],[Qty]]</f>
        <v>26740</v>
      </c>
      <c r="J1685" s="43">
        <v>0.02</v>
      </c>
      <c r="K1685" s="44">
        <f>Sales[[#This Row],[Gross Amount]]*Sales[[#This Row],[Disc %]]</f>
        <v>534.79999999999995</v>
      </c>
      <c r="L1685" s="43">
        <v>0.18</v>
      </c>
      <c r="M1685" s="44">
        <f>(Sales[[#This Row],[Gross Amount]]-Sales[[#This Row],[Disc. Amt.]])*Sales[[#This Row],[GST %]]</f>
        <v>4716.9359999999997</v>
      </c>
      <c r="N1685" s="161">
        <f>Sales[[#This Row],[Gross Amount]]-Sales[[#This Row],[Disc. Amt.]]+Sales[[#This Row],[GST Amount]]</f>
        <v>30922.135999999999</v>
      </c>
      <c r="O1685" s="158" t="s">
        <v>3561</v>
      </c>
      <c r="P1685" s="158" t="s">
        <v>3562</v>
      </c>
      <c r="Q1685" s="160">
        <f>IF(Sales[[#This Row],[Status]]="Cancelled",0,Sales[[#This Row],[Qty]])</f>
        <v>7</v>
      </c>
      <c r="R1685" s="161">
        <f>IF(Sales[[#This Row],[Status]]="Cancelled",0,Sales[[#This Row],[Total Amount]])</f>
        <v>30922.135999999999</v>
      </c>
      <c r="S1685" s="162">
        <f>SUM(Sales[Net Amount])</f>
        <v>406839287.73200053</v>
      </c>
    </row>
    <row r="1686" spans="1:19" ht="18.75" x14ac:dyDescent="0.25">
      <c r="A1686" s="163" t="s">
        <v>5294</v>
      </c>
      <c r="B1686" s="164">
        <v>45863</v>
      </c>
      <c r="C1686" s="34" t="s">
        <v>807</v>
      </c>
      <c r="D1686" s="53" t="str">
        <f>VLOOKUP(Sales[[#This Row],[Customer ID]],Customer[#All],2,0)</f>
        <v>Rakesh Patel</v>
      </c>
      <c r="E1686" s="34" t="s">
        <v>20</v>
      </c>
      <c r="F1686" s="34" t="str">
        <f>VLOOKUP(Sales[[#This Row],[Product ID]],Product[#All],2,0)</f>
        <v>Logitech Keyboard</v>
      </c>
      <c r="G1686" s="53">
        <v>7</v>
      </c>
      <c r="H1686" s="165">
        <f>VLOOKUP(Sales[[#This Row],[Product ID]],Product[#All],7,0)</f>
        <v>3290</v>
      </c>
      <c r="I1686" s="165">
        <f>Sales[[#This Row],[Selling Rate]]*Sales[[#This Row],[Qty]]</f>
        <v>23030</v>
      </c>
      <c r="J1686" s="45">
        <v>0.1</v>
      </c>
      <c r="K1686" s="46">
        <f>Sales[[#This Row],[Gross Amount]]*Sales[[#This Row],[Disc %]]</f>
        <v>2303</v>
      </c>
      <c r="L1686" s="43">
        <v>0.18</v>
      </c>
      <c r="M1686" s="46">
        <f>(Sales[[#This Row],[Gross Amount]]-Sales[[#This Row],[Disc. Amt.]])*Sales[[#This Row],[GST %]]</f>
        <v>3730.8599999999997</v>
      </c>
      <c r="N1686" s="161">
        <f>Sales[[#This Row],[Gross Amount]]-Sales[[#This Row],[Disc. Amt.]]+Sales[[#This Row],[GST Amount]]</f>
        <v>24457.86</v>
      </c>
      <c r="O1686" s="34" t="s">
        <v>3569</v>
      </c>
      <c r="P1686" s="34" t="s">
        <v>3562</v>
      </c>
      <c r="Q1686" s="165">
        <f>IF(Sales[[#This Row],[Status]]="Cancelled",0,Sales[[#This Row],[Qty]])</f>
        <v>7</v>
      </c>
      <c r="R1686" s="166">
        <f>IF(Sales[[#This Row],[Status]]="Cancelled",0,Sales[[#This Row],[Total Amount]])</f>
        <v>24457.86</v>
      </c>
      <c r="S1686" s="162">
        <f>SUM(Sales[Net Amount])</f>
        <v>406839287.73200053</v>
      </c>
    </row>
    <row r="1687" spans="1:19" ht="18.75" x14ac:dyDescent="0.25">
      <c r="A1687" s="156" t="s">
        <v>5295</v>
      </c>
      <c r="B1687" s="157">
        <v>45863</v>
      </c>
      <c r="C1687" s="158" t="s">
        <v>863</v>
      </c>
      <c r="D1687" s="159" t="str">
        <f>VLOOKUP(Sales[[#This Row],[Customer ID]],Customer[#All],2,0)</f>
        <v>Sahil Sharma</v>
      </c>
      <c r="E1687" s="158" t="s">
        <v>79</v>
      </c>
      <c r="F1687" s="158" t="str">
        <f>VLOOKUP(Sales[[#This Row],[Product ID]],Product[#All],2,0)</f>
        <v>Samsung Monitor</v>
      </c>
      <c r="G1687" s="159">
        <v>8</v>
      </c>
      <c r="H1687" s="160">
        <f>VLOOKUP(Sales[[#This Row],[Product ID]],Product[#All],7,0)</f>
        <v>32480</v>
      </c>
      <c r="I1687" s="160">
        <f>Sales[[#This Row],[Selling Rate]]*Sales[[#This Row],[Qty]]</f>
        <v>259840</v>
      </c>
      <c r="J1687" s="43">
        <v>0.12</v>
      </c>
      <c r="K1687" s="44">
        <f>Sales[[#This Row],[Gross Amount]]*Sales[[#This Row],[Disc %]]</f>
        <v>31180.799999999999</v>
      </c>
      <c r="L1687" s="43">
        <v>0.18</v>
      </c>
      <c r="M1687" s="44">
        <f>(Sales[[#This Row],[Gross Amount]]-Sales[[#This Row],[Disc. Amt.]])*Sales[[#This Row],[GST %]]</f>
        <v>41158.656000000003</v>
      </c>
      <c r="N1687" s="161">
        <f>Sales[[#This Row],[Gross Amount]]-Sales[[#This Row],[Disc. Amt.]]+Sales[[#This Row],[GST Amount]]</f>
        <v>269817.85600000003</v>
      </c>
      <c r="O1687" s="158" t="s">
        <v>3569</v>
      </c>
      <c r="P1687" s="158" t="s">
        <v>3562</v>
      </c>
      <c r="Q1687" s="160">
        <f>IF(Sales[[#This Row],[Status]]="Cancelled",0,Sales[[#This Row],[Qty]])</f>
        <v>8</v>
      </c>
      <c r="R1687" s="161">
        <f>IF(Sales[[#This Row],[Status]]="Cancelled",0,Sales[[#This Row],[Total Amount]])</f>
        <v>269817.85600000003</v>
      </c>
      <c r="S1687" s="162">
        <f>SUM(Sales[Net Amount])</f>
        <v>406839287.73200053</v>
      </c>
    </row>
    <row r="1688" spans="1:19" ht="18.75" x14ac:dyDescent="0.25">
      <c r="A1688" s="163" t="s">
        <v>5296</v>
      </c>
      <c r="B1688" s="164">
        <v>45863</v>
      </c>
      <c r="C1688" s="34" t="s">
        <v>770</v>
      </c>
      <c r="D1688" s="53" t="str">
        <f>VLOOKUP(Sales[[#This Row],[Customer ID]],Customer[#All],2,0)</f>
        <v>Sunita Sharma</v>
      </c>
      <c r="E1688" s="34" t="s">
        <v>375</v>
      </c>
      <c r="F1688" s="34" t="str">
        <f>VLOOKUP(Sales[[#This Row],[Product ID]],Product[#All],2,0)</f>
        <v>American TouristerLaptopBag</v>
      </c>
      <c r="G1688" s="53">
        <v>6</v>
      </c>
      <c r="H1688" s="165">
        <f>VLOOKUP(Sales[[#This Row],[Product ID]],Product[#All],7,0)</f>
        <v>4990</v>
      </c>
      <c r="I1688" s="165">
        <f>Sales[[#This Row],[Selling Rate]]*Sales[[#This Row],[Qty]]</f>
        <v>29940</v>
      </c>
      <c r="J1688" s="45">
        <v>0.12</v>
      </c>
      <c r="K1688" s="46">
        <f>Sales[[#This Row],[Gross Amount]]*Sales[[#This Row],[Disc %]]</f>
        <v>3592.7999999999997</v>
      </c>
      <c r="L1688" s="43">
        <v>0.18</v>
      </c>
      <c r="M1688" s="46">
        <f>(Sales[[#This Row],[Gross Amount]]-Sales[[#This Row],[Disc. Amt.]])*Sales[[#This Row],[GST %]]</f>
        <v>4742.4960000000001</v>
      </c>
      <c r="N1688" s="161">
        <f>Sales[[#This Row],[Gross Amount]]-Sales[[#This Row],[Disc. Amt.]]+Sales[[#This Row],[GST Amount]]</f>
        <v>31089.696</v>
      </c>
      <c r="O1688" s="34" t="s">
        <v>3561</v>
      </c>
      <c r="P1688" s="34" t="s">
        <v>3562</v>
      </c>
      <c r="Q1688" s="165">
        <f>IF(Sales[[#This Row],[Status]]="Cancelled",0,Sales[[#This Row],[Qty]])</f>
        <v>6</v>
      </c>
      <c r="R1688" s="166">
        <f>IF(Sales[[#This Row],[Status]]="Cancelled",0,Sales[[#This Row],[Total Amount]])</f>
        <v>31089.696</v>
      </c>
      <c r="S1688" s="162">
        <f>SUM(Sales[Net Amount])</f>
        <v>406839287.73200053</v>
      </c>
    </row>
    <row r="1689" spans="1:19" ht="18.75" x14ac:dyDescent="0.25">
      <c r="A1689" s="156" t="s">
        <v>5297</v>
      </c>
      <c r="B1689" s="157">
        <v>45863</v>
      </c>
      <c r="C1689" s="158" t="s">
        <v>714</v>
      </c>
      <c r="D1689" s="159" t="str">
        <f>VLOOKUP(Sales[[#This Row],[Customer ID]],Customer[#All],2,0)</f>
        <v>Rakesh Kumar</v>
      </c>
      <c r="E1689" s="158" t="s">
        <v>112</v>
      </c>
      <c r="F1689" s="158" t="str">
        <f>VLOOKUP(Sales[[#This Row],[Product ID]],Product[#All],2,0)</f>
        <v>Logitech Keyboard</v>
      </c>
      <c r="G1689" s="159">
        <v>2</v>
      </c>
      <c r="H1689" s="160">
        <f>VLOOKUP(Sales[[#This Row],[Product ID]],Product[#All],7,0)</f>
        <v>3300</v>
      </c>
      <c r="I1689" s="160">
        <f>Sales[[#This Row],[Selling Rate]]*Sales[[#This Row],[Qty]]</f>
        <v>6600</v>
      </c>
      <c r="J1689" s="43">
        <v>0.15</v>
      </c>
      <c r="K1689" s="44">
        <f>Sales[[#This Row],[Gross Amount]]*Sales[[#This Row],[Disc %]]</f>
        <v>990</v>
      </c>
      <c r="L1689" s="43">
        <v>0.18</v>
      </c>
      <c r="M1689" s="44">
        <f>(Sales[[#This Row],[Gross Amount]]-Sales[[#This Row],[Disc. Amt.]])*Sales[[#This Row],[GST %]]</f>
        <v>1009.8</v>
      </c>
      <c r="N1689" s="161">
        <f>Sales[[#This Row],[Gross Amount]]-Sales[[#This Row],[Disc. Amt.]]+Sales[[#This Row],[GST Amount]]</f>
        <v>6619.8</v>
      </c>
      <c r="O1689" s="158" t="s">
        <v>3569</v>
      </c>
      <c r="P1689" s="158" t="s">
        <v>3562</v>
      </c>
      <c r="Q1689" s="160">
        <f>IF(Sales[[#This Row],[Status]]="Cancelled",0,Sales[[#This Row],[Qty]])</f>
        <v>2</v>
      </c>
      <c r="R1689" s="161">
        <f>IF(Sales[[#This Row],[Status]]="Cancelled",0,Sales[[#This Row],[Total Amount]])</f>
        <v>6619.8</v>
      </c>
      <c r="S1689" s="162">
        <f>SUM(Sales[Net Amount])</f>
        <v>406839287.73200053</v>
      </c>
    </row>
    <row r="1690" spans="1:19" ht="18.75" x14ac:dyDescent="0.25">
      <c r="A1690" s="163" t="s">
        <v>5298</v>
      </c>
      <c r="B1690" s="164">
        <v>45863</v>
      </c>
      <c r="C1690" s="34" t="s">
        <v>854</v>
      </c>
      <c r="D1690" s="53" t="str">
        <f>VLOOKUP(Sales[[#This Row],[Customer ID]],Customer[#All],2,0)</f>
        <v>Neha Sharma</v>
      </c>
      <c r="E1690" s="34" t="s">
        <v>269</v>
      </c>
      <c r="F1690" s="34" t="str">
        <f>VLOOKUP(Sales[[#This Row],[Product ID]],Product[#All],2,0)</f>
        <v>Dell Monitor</v>
      </c>
      <c r="G1690" s="53">
        <v>6</v>
      </c>
      <c r="H1690" s="165">
        <f>VLOOKUP(Sales[[#This Row],[Product ID]],Product[#All],7,0)</f>
        <v>11390</v>
      </c>
      <c r="I1690" s="165">
        <f>Sales[[#This Row],[Selling Rate]]*Sales[[#This Row],[Qty]]</f>
        <v>68340</v>
      </c>
      <c r="J1690" s="45">
        <v>0.15</v>
      </c>
      <c r="K1690" s="46">
        <f>Sales[[#This Row],[Gross Amount]]*Sales[[#This Row],[Disc %]]</f>
        <v>10251</v>
      </c>
      <c r="L1690" s="43">
        <v>0.18</v>
      </c>
      <c r="M1690" s="46">
        <f>(Sales[[#This Row],[Gross Amount]]-Sales[[#This Row],[Disc. Amt.]])*Sales[[#This Row],[GST %]]</f>
        <v>10456.02</v>
      </c>
      <c r="N1690" s="161">
        <f>Sales[[#This Row],[Gross Amount]]-Sales[[#This Row],[Disc. Amt.]]+Sales[[#This Row],[GST Amount]]</f>
        <v>68545.02</v>
      </c>
      <c r="O1690" s="34" t="s">
        <v>3566</v>
      </c>
      <c r="P1690" s="34" t="s">
        <v>3562</v>
      </c>
      <c r="Q1690" s="165">
        <f>IF(Sales[[#This Row],[Status]]="Cancelled",0,Sales[[#This Row],[Qty]])</f>
        <v>6</v>
      </c>
      <c r="R1690" s="166">
        <f>IF(Sales[[#This Row],[Status]]="Cancelled",0,Sales[[#This Row],[Total Amount]])</f>
        <v>68545.02</v>
      </c>
      <c r="S1690" s="162">
        <f>SUM(Sales[Net Amount])</f>
        <v>406839287.73200053</v>
      </c>
    </row>
    <row r="1691" spans="1:19" ht="18.75" x14ac:dyDescent="0.25">
      <c r="A1691" s="156" t="s">
        <v>5299</v>
      </c>
      <c r="B1691" s="157">
        <v>45864</v>
      </c>
      <c r="C1691" s="158" t="s">
        <v>947</v>
      </c>
      <c r="D1691" s="159" t="str">
        <f>VLOOKUP(Sales[[#This Row],[Customer ID]],Customer[#All],2,0)</f>
        <v>Sunita Singh</v>
      </c>
      <c r="E1691" s="158" t="s">
        <v>387</v>
      </c>
      <c r="F1691" s="158" t="str">
        <f>VLOOKUP(Sales[[#This Row],[Product ID]],Product[#All],2,0)</f>
        <v>HP Printer</v>
      </c>
      <c r="G1691" s="159">
        <v>2</v>
      </c>
      <c r="H1691" s="160">
        <f>VLOOKUP(Sales[[#This Row],[Product ID]],Product[#All],7,0)</f>
        <v>14390</v>
      </c>
      <c r="I1691" s="160">
        <f>Sales[[#This Row],[Selling Rate]]*Sales[[#This Row],[Qty]]</f>
        <v>28780</v>
      </c>
      <c r="J1691" s="43">
        <v>0.05</v>
      </c>
      <c r="K1691" s="44">
        <f>Sales[[#This Row],[Gross Amount]]*Sales[[#This Row],[Disc %]]</f>
        <v>1439</v>
      </c>
      <c r="L1691" s="43">
        <v>0.18</v>
      </c>
      <c r="M1691" s="44">
        <f>(Sales[[#This Row],[Gross Amount]]-Sales[[#This Row],[Disc. Amt.]])*Sales[[#This Row],[GST %]]</f>
        <v>4921.38</v>
      </c>
      <c r="N1691" s="161">
        <f>Sales[[#This Row],[Gross Amount]]-Sales[[#This Row],[Disc. Amt.]]+Sales[[#This Row],[GST Amount]]</f>
        <v>32262.38</v>
      </c>
      <c r="O1691" s="158" t="s">
        <v>3561</v>
      </c>
      <c r="P1691" s="158" t="s">
        <v>3562</v>
      </c>
      <c r="Q1691" s="160">
        <f>IF(Sales[[#This Row],[Status]]="Cancelled",0,Sales[[#This Row],[Qty]])</f>
        <v>2</v>
      </c>
      <c r="R1691" s="161">
        <f>IF(Sales[[#This Row],[Status]]="Cancelled",0,Sales[[#This Row],[Total Amount]])</f>
        <v>32262.38</v>
      </c>
      <c r="S1691" s="162">
        <f>SUM(Sales[Net Amount])</f>
        <v>406839287.73200053</v>
      </c>
    </row>
    <row r="1692" spans="1:19" ht="18.75" x14ac:dyDescent="0.25">
      <c r="A1692" s="163" t="s">
        <v>5300</v>
      </c>
      <c r="B1692" s="164">
        <v>45864</v>
      </c>
      <c r="C1692" s="34" t="s">
        <v>661</v>
      </c>
      <c r="D1692" s="53" t="str">
        <f>VLOOKUP(Sales[[#This Row],[Customer ID]],Customer[#All],2,0)</f>
        <v>Pooja Gupta</v>
      </c>
      <c r="E1692" s="34" t="s">
        <v>133</v>
      </c>
      <c r="F1692" s="34" t="str">
        <f>VLOOKUP(Sales[[#This Row],[Product ID]],Product[#All],2,0)</f>
        <v>HP Laptop</v>
      </c>
      <c r="G1692" s="53">
        <v>5</v>
      </c>
      <c r="H1692" s="165">
        <f>VLOOKUP(Sales[[#This Row],[Product ID]],Product[#All],7,0)</f>
        <v>44790</v>
      </c>
      <c r="I1692" s="165">
        <f>Sales[[#This Row],[Selling Rate]]*Sales[[#This Row],[Qty]]</f>
        <v>223950</v>
      </c>
      <c r="J1692" s="45">
        <v>0</v>
      </c>
      <c r="K1692" s="46">
        <f>Sales[[#This Row],[Gross Amount]]*Sales[[#This Row],[Disc %]]</f>
        <v>0</v>
      </c>
      <c r="L1692" s="43">
        <v>0.18</v>
      </c>
      <c r="M1692" s="46">
        <f>(Sales[[#This Row],[Gross Amount]]-Sales[[#This Row],[Disc. Amt.]])*Sales[[#This Row],[GST %]]</f>
        <v>40311</v>
      </c>
      <c r="N1692" s="161">
        <f>Sales[[#This Row],[Gross Amount]]-Sales[[#This Row],[Disc. Amt.]]+Sales[[#This Row],[GST Amount]]</f>
        <v>264261</v>
      </c>
      <c r="O1692" s="34" t="s">
        <v>8876</v>
      </c>
      <c r="P1692" s="34" t="s">
        <v>3562</v>
      </c>
      <c r="Q1692" s="165">
        <f>IF(Sales[[#This Row],[Status]]="Cancelled",0,Sales[[#This Row],[Qty]])</f>
        <v>5</v>
      </c>
      <c r="R1692" s="166">
        <f>IF(Sales[[#This Row],[Status]]="Cancelled",0,Sales[[#This Row],[Total Amount]])</f>
        <v>264261</v>
      </c>
      <c r="S1692" s="162">
        <f>SUM(Sales[Net Amount])</f>
        <v>406839287.73200053</v>
      </c>
    </row>
    <row r="1693" spans="1:19" ht="18.75" x14ac:dyDescent="0.25">
      <c r="A1693" s="156" t="s">
        <v>5301</v>
      </c>
      <c r="B1693" s="157">
        <v>45864</v>
      </c>
      <c r="C1693" s="158" t="s">
        <v>705</v>
      </c>
      <c r="D1693" s="159" t="str">
        <f>VLOOKUP(Sales[[#This Row],[Customer ID]],Customer[#All],2,0)</f>
        <v>Priya Verma</v>
      </c>
      <c r="E1693" s="158" t="s">
        <v>535</v>
      </c>
      <c r="F1693" s="158" t="str">
        <f>VLOOKUP(Sales[[#This Row],[Product ID]],Product[#All],2,0)</f>
        <v>Logitech Keyboard</v>
      </c>
      <c r="G1693" s="159">
        <v>1</v>
      </c>
      <c r="H1693" s="160">
        <f>VLOOKUP(Sales[[#This Row],[Product ID]],Product[#All],7,0)</f>
        <v>810</v>
      </c>
      <c r="I1693" s="160">
        <f>Sales[[#This Row],[Selling Rate]]*Sales[[#This Row],[Qty]]</f>
        <v>810</v>
      </c>
      <c r="J1693" s="43">
        <v>0</v>
      </c>
      <c r="K1693" s="44">
        <f>Sales[[#This Row],[Gross Amount]]*Sales[[#This Row],[Disc %]]</f>
        <v>0</v>
      </c>
      <c r="L1693" s="43">
        <v>0.18</v>
      </c>
      <c r="M1693" s="44">
        <f>(Sales[[#This Row],[Gross Amount]]-Sales[[#This Row],[Disc. Amt.]])*Sales[[#This Row],[GST %]]</f>
        <v>145.79999999999998</v>
      </c>
      <c r="N1693" s="161">
        <f>Sales[[#This Row],[Gross Amount]]-Sales[[#This Row],[Disc. Amt.]]+Sales[[#This Row],[GST Amount]]</f>
        <v>955.8</v>
      </c>
      <c r="O1693" s="158" t="s">
        <v>8876</v>
      </c>
      <c r="P1693" s="158" t="s">
        <v>3562</v>
      </c>
      <c r="Q1693" s="160">
        <f>IF(Sales[[#This Row],[Status]]="Cancelled",0,Sales[[#This Row],[Qty]])</f>
        <v>1</v>
      </c>
      <c r="R1693" s="161">
        <f>IF(Sales[[#This Row],[Status]]="Cancelled",0,Sales[[#This Row],[Total Amount]])</f>
        <v>955.8</v>
      </c>
      <c r="S1693" s="162">
        <f>SUM(Sales[Net Amount])</f>
        <v>406839287.73200053</v>
      </c>
    </row>
    <row r="1694" spans="1:19" ht="18.75" x14ac:dyDescent="0.25">
      <c r="A1694" s="163" t="s">
        <v>5302</v>
      </c>
      <c r="B1694" s="164">
        <v>45864</v>
      </c>
      <c r="C1694" s="34" t="s">
        <v>705</v>
      </c>
      <c r="D1694" s="53" t="str">
        <f>VLOOKUP(Sales[[#This Row],[Customer ID]],Customer[#All],2,0)</f>
        <v>Priya Verma</v>
      </c>
      <c r="E1694" s="34" t="s">
        <v>331</v>
      </c>
      <c r="F1694" s="34" t="str">
        <f>VLOOKUP(Sales[[#This Row],[Product ID]],Product[#All],2,0)</f>
        <v>Dell Keyboard</v>
      </c>
      <c r="G1694" s="53">
        <v>5</v>
      </c>
      <c r="H1694" s="165">
        <f>VLOOKUP(Sales[[#This Row],[Product ID]],Product[#All],7,0)</f>
        <v>2070</v>
      </c>
      <c r="I1694" s="165">
        <f>Sales[[#This Row],[Selling Rate]]*Sales[[#This Row],[Qty]]</f>
        <v>10350</v>
      </c>
      <c r="J1694" s="45">
        <v>0.05</v>
      </c>
      <c r="K1694" s="46">
        <f>Sales[[#This Row],[Gross Amount]]*Sales[[#This Row],[Disc %]]</f>
        <v>517.5</v>
      </c>
      <c r="L1694" s="43">
        <v>0.18</v>
      </c>
      <c r="M1694" s="46">
        <f>(Sales[[#This Row],[Gross Amount]]-Sales[[#This Row],[Disc. Amt.]])*Sales[[#This Row],[GST %]]</f>
        <v>1769.85</v>
      </c>
      <c r="N1694" s="161">
        <f>Sales[[#This Row],[Gross Amount]]-Sales[[#This Row],[Disc. Amt.]]+Sales[[#This Row],[GST Amount]]</f>
        <v>11602.35</v>
      </c>
      <c r="O1694" s="34" t="s">
        <v>3569</v>
      </c>
      <c r="P1694" s="34" t="s">
        <v>3562</v>
      </c>
      <c r="Q1694" s="165">
        <f>IF(Sales[[#This Row],[Status]]="Cancelled",0,Sales[[#This Row],[Qty]])</f>
        <v>5</v>
      </c>
      <c r="R1694" s="166">
        <f>IF(Sales[[#This Row],[Status]]="Cancelled",0,Sales[[#This Row],[Total Amount]])</f>
        <v>11602.35</v>
      </c>
      <c r="S1694" s="162">
        <f>SUM(Sales[Net Amount])</f>
        <v>406839287.73200053</v>
      </c>
    </row>
    <row r="1695" spans="1:19" ht="18.75" x14ac:dyDescent="0.25">
      <c r="A1695" s="156" t="s">
        <v>5303</v>
      </c>
      <c r="B1695" s="157">
        <v>45864</v>
      </c>
      <c r="C1695" s="158" t="s">
        <v>690</v>
      </c>
      <c r="D1695" s="159" t="str">
        <f>VLOOKUP(Sales[[#This Row],[Customer ID]],Customer[#All],2,0)</f>
        <v>Priya Patel</v>
      </c>
      <c r="E1695" s="158" t="s">
        <v>40</v>
      </c>
      <c r="F1695" s="158" t="str">
        <f>VLOOKUP(Sales[[#This Row],[Product ID]],Product[#All],2,0)</f>
        <v>Boat Headset</v>
      </c>
      <c r="G1695" s="159">
        <v>7</v>
      </c>
      <c r="H1695" s="160">
        <f>VLOOKUP(Sales[[#This Row],[Product ID]],Product[#All],7,0)</f>
        <v>3470</v>
      </c>
      <c r="I1695" s="160">
        <f>Sales[[#This Row],[Selling Rate]]*Sales[[#This Row],[Qty]]</f>
        <v>24290</v>
      </c>
      <c r="J1695" s="43">
        <v>0.12</v>
      </c>
      <c r="K1695" s="44">
        <f>Sales[[#This Row],[Gross Amount]]*Sales[[#This Row],[Disc %]]</f>
        <v>2914.7999999999997</v>
      </c>
      <c r="L1695" s="43">
        <v>0.18</v>
      </c>
      <c r="M1695" s="44">
        <f>(Sales[[#This Row],[Gross Amount]]-Sales[[#This Row],[Disc. Amt.]])*Sales[[#This Row],[GST %]]</f>
        <v>3847.5360000000001</v>
      </c>
      <c r="N1695" s="161">
        <f>Sales[[#This Row],[Gross Amount]]-Sales[[#This Row],[Disc. Amt.]]+Sales[[#This Row],[GST Amount]]</f>
        <v>25222.736000000001</v>
      </c>
      <c r="O1695" s="158" t="s">
        <v>3566</v>
      </c>
      <c r="P1695" s="158" t="s">
        <v>3562</v>
      </c>
      <c r="Q1695" s="160">
        <f>IF(Sales[[#This Row],[Status]]="Cancelled",0,Sales[[#This Row],[Qty]])</f>
        <v>7</v>
      </c>
      <c r="R1695" s="161">
        <f>IF(Sales[[#This Row],[Status]]="Cancelled",0,Sales[[#This Row],[Total Amount]])</f>
        <v>25222.736000000001</v>
      </c>
      <c r="S1695" s="162">
        <f>SUM(Sales[Net Amount])</f>
        <v>406839287.73200053</v>
      </c>
    </row>
    <row r="1696" spans="1:19" ht="18.75" x14ac:dyDescent="0.25">
      <c r="A1696" s="163" t="s">
        <v>5304</v>
      </c>
      <c r="B1696" s="164">
        <v>45864</v>
      </c>
      <c r="C1696" s="34" t="s">
        <v>748</v>
      </c>
      <c r="D1696" s="53" t="str">
        <f>VLOOKUP(Sales[[#This Row],[Customer ID]],Customer[#All],2,0)</f>
        <v>Priya Singh</v>
      </c>
      <c r="E1696" s="34" t="s">
        <v>482</v>
      </c>
      <c r="F1696" s="34" t="str">
        <f>VLOOKUP(Sales[[#This Row],[Product ID]],Product[#All],2,0)</f>
        <v>HP Mouse</v>
      </c>
      <c r="G1696" s="53">
        <v>8</v>
      </c>
      <c r="H1696" s="165">
        <f>VLOOKUP(Sales[[#This Row],[Product ID]],Product[#All],7,0)</f>
        <v>790</v>
      </c>
      <c r="I1696" s="165">
        <f>Sales[[#This Row],[Selling Rate]]*Sales[[#This Row],[Qty]]</f>
        <v>6320</v>
      </c>
      <c r="J1696" s="45">
        <v>0.05</v>
      </c>
      <c r="K1696" s="46">
        <f>Sales[[#This Row],[Gross Amount]]*Sales[[#This Row],[Disc %]]</f>
        <v>316</v>
      </c>
      <c r="L1696" s="43">
        <v>0.18</v>
      </c>
      <c r="M1696" s="46">
        <f>(Sales[[#This Row],[Gross Amount]]-Sales[[#This Row],[Disc. Amt.]])*Sales[[#This Row],[GST %]]</f>
        <v>1080.72</v>
      </c>
      <c r="N1696" s="161">
        <f>Sales[[#This Row],[Gross Amount]]-Sales[[#This Row],[Disc. Amt.]]+Sales[[#This Row],[GST Amount]]</f>
        <v>7084.72</v>
      </c>
      <c r="O1696" s="34" t="s">
        <v>8876</v>
      </c>
      <c r="P1696" s="34" t="s">
        <v>3562</v>
      </c>
      <c r="Q1696" s="165">
        <f>IF(Sales[[#This Row],[Status]]="Cancelled",0,Sales[[#This Row],[Qty]])</f>
        <v>8</v>
      </c>
      <c r="R1696" s="166">
        <f>IF(Sales[[#This Row],[Status]]="Cancelled",0,Sales[[#This Row],[Total Amount]])</f>
        <v>7084.72</v>
      </c>
      <c r="S1696" s="162">
        <f>SUM(Sales[Net Amount])</f>
        <v>406839287.73200053</v>
      </c>
    </row>
    <row r="1697" spans="1:19" ht="18.75" x14ac:dyDescent="0.25">
      <c r="A1697" s="156" t="s">
        <v>5305</v>
      </c>
      <c r="B1697" s="157">
        <v>45864</v>
      </c>
      <c r="C1697" s="158" t="s">
        <v>776</v>
      </c>
      <c r="D1697" s="159" t="str">
        <f>VLOOKUP(Sales[[#This Row],[Customer ID]],Customer[#All],2,0)</f>
        <v>Sunita Singh</v>
      </c>
      <c r="E1697" s="158" t="s">
        <v>211</v>
      </c>
      <c r="F1697" s="158" t="str">
        <f>VLOOKUP(Sales[[#This Row],[Product ID]],Product[#All],2,0)</f>
        <v>Samsung Ssd</v>
      </c>
      <c r="G1697" s="159">
        <v>8</v>
      </c>
      <c r="H1697" s="160">
        <f>VLOOKUP(Sales[[#This Row],[Product ID]],Product[#All],7,0)</f>
        <v>16100</v>
      </c>
      <c r="I1697" s="160">
        <f>Sales[[#This Row],[Selling Rate]]*Sales[[#This Row],[Qty]]</f>
        <v>128800</v>
      </c>
      <c r="J1697" s="43">
        <v>0.1</v>
      </c>
      <c r="K1697" s="44">
        <f>Sales[[#This Row],[Gross Amount]]*Sales[[#This Row],[Disc %]]</f>
        <v>12880</v>
      </c>
      <c r="L1697" s="43">
        <v>0.18</v>
      </c>
      <c r="M1697" s="44">
        <f>(Sales[[#This Row],[Gross Amount]]-Sales[[#This Row],[Disc. Amt.]])*Sales[[#This Row],[GST %]]</f>
        <v>20865.599999999999</v>
      </c>
      <c r="N1697" s="161">
        <f>Sales[[#This Row],[Gross Amount]]-Sales[[#This Row],[Disc. Amt.]]+Sales[[#This Row],[GST Amount]]</f>
        <v>136785.60000000001</v>
      </c>
      <c r="O1697" s="158" t="s">
        <v>8876</v>
      </c>
      <c r="P1697" s="158" t="s">
        <v>3562</v>
      </c>
      <c r="Q1697" s="160">
        <f>IF(Sales[[#This Row],[Status]]="Cancelled",0,Sales[[#This Row],[Qty]])</f>
        <v>8</v>
      </c>
      <c r="R1697" s="161">
        <f>IF(Sales[[#This Row],[Status]]="Cancelled",0,Sales[[#This Row],[Total Amount]])</f>
        <v>136785.60000000001</v>
      </c>
      <c r="S1697" s="162">
        <f>SUM(Sales[Net Amount])</f>
        <v>406839287.73200053</v>
      </c>
    </row>
    <row r="1698" spans="1:19" ht="18.75" x14ac:dyDescent="0.25">
      <c r="A1698" s="163" t="s">
        <v>5306</v>
      </c>
      <c r="B1698" s="164">
        <v>45864</v>
      </c>
      <c r="C1698" s="34" t="s">
        <v>691</v>
      </c>
      <c r="D1698" s="53" t="str">
        <f>VLOOKUP(Sales[[#This Row],[Customer ID]],Customer[#All],2,0)</f>
        <v>Pooja Patel</v>
      </c>
      <c r="E1698" s="34" t="s">
        <v>292</v>
      </c>
      <c r="F1698" s="34" t="str">
        <f>VLOOKUP(Sales[[#This Row],[Product ID]],Product[#All],2,0)</f>
        <v>Microtek UPS</v>
      </c>
      <c r="G1698" s="53">
        <v>6</v>
      </c>
      <c r="H1698" s="165">
        <f>VLOOKUP(Sales[[#This Row],[Product ID]],Product[#All],7,0)</f>
        <v>6260</v>
      </c>
      <c r="I1698" s="165">
        <f>Sales[[#This Row],[Selling Rate]]*Sales[[#This Row],[Qty]]</f>
        <v>37560</v>
      </c>
      <c r="J1698" s="45">
        <v>0.1</v>
      </c>
      <c r="K1698" s="46">
        <f>Sales[[#This Row],[Gross Amount]]*Sales[[#This Row],[Disc %]]</f>
        <v>3756</v>
      </c>
      <c r="L1698" s="43">
        <v>0.18</v>
      </c>
      <c r="M1698" s="46">
        <f>(Sales[[#This Row],[Gross Amount]]-Sales[[#This Row],[Disc. Amt.]])*Sales[[#This Row],[GST %]]</f>
        <v>6084.7199999999993</v>
      </c>
      <c r="N1698" s="161">
        <f>Sales[[#This Row],[Gross Amount]]-Sales[[#This Row],[Disc. Amt.]]+Sales[[#This Row],[GST Amount]]</f>
        <v>39888.720000000001</v>
      </c>
      <c r="O1698" s="34" t="s">
        <v>3561</v>
      </c>
      <c r="P1698" s="34" t="s">
        <v>3562</v>
      </c>
      <c r="Q1698" s="165">
        <f>IF(Sales[[#This Row],[Status]]="Cancelled",0,Sales[[#This Row],[Qty]])</f>
        <v>6</v>
      </c>
      <c r="R1698" s="166">
        <f>IF(Sales[[#This Row],[Status]]="Cancelled",0,Sales[[#This Row],[Total Amount]])</f>
        <v>39888.720000000001</v>
      </c>
      <c r="S1698" s="162">
        <f>SUM(Sales[Net Amount])</f>
        <v>406839287.73200053</v>
      </c>
    </row>
    <row r="1699" spans="1:19" ht="18.75" x14ac:dyDescent="0.25">
      <c r="A1699" s="156" t="s">
        <v>5307</v>
      </c>
      <c r="B1699" s="157">
        <v>45864</v>
      </c>
      <c r="C1699" s="158" t="s">
        <v>912</v>
      </c>
      <c r="D1699" s="159" t="str">
        <f>VLOOKUP(Sales[[#This Row],[Customer ID]],Customer[#All],2,0)</f>
        <v>Sunita Verma</v>
      </c>
      <c r="E1699" s="158" t="s">
        <v>439</v>
      </c>
      <c r="F1699" s="158" t="str">
        <f>VLOOKUP(Sales[[#This Row],[Product ID]],Product[#All],2,0)</f>
        <v>HP Laptop</v>
      </c>
      <c r="G1699" s="159">
        <v>1</v>
      </c>
      <c r="H1699" s="160">
        <f>VLOOKUP(Sales[[#This Row],[Product ID]],Product[#All],7,0)</f>
        <v>83330</v>
      </c>
      <c r="I1699" s="160">
        <f>Sales[[#This Row],[Selling Rate]]*Sales[[#This Row],[Qty]]</f>
        <v>83330</v>
      </c>
      <c r="J1699" s="43">
        <v>0.02</v>
      </c>
      <c r="K1699" s="44">
        <f>Sales[[#This Row],[Gross Amount]]*Sales[[#This Row],[Disc %]]</f>
        <v>1666.6000000000001</v>
      </c>
      <c r="L1699" s="43">
        <v>0.18</v>
      </c>
      <c r="M1699" s="44">
        <f>(Sales[[#This Row],[Gross Amount]]-Sales[[#This Row],[Disc. Amt.]])*Sales[[#This Row],[GST %]]</f>
        <v>14699.411999999998</v>
      </c>
      <c r="N1699" s="161">
        <f>Sales[[#This Row],[Gross Amount]]-Sales[[#This Row],[Disc. Amt.]]+Sales[[#This Row],[GST Amount]]</f>
        <v>96362.811999999991</v>
      </c>
      <c r="O1699" s="158" t="s">
        <v>3569</v>
      </c>
      <c r="P1699" s="158" t="s">
        <v>3562</v>
      </c>
      <c r="Q1699" s="160">
        <f>IF(Sales[[#This Row],[Status]]="Cancelled",0,Sales[[#This Row],[Qty]])</f>
        <v>1</v>
      </c>
      <c r="R1699" s="161">
        <f>IF(Sales[[#This Row],[Status]]="Cancelled",0,Sales[[#This Row],[Total Amount]])</f>
        <v>96362.811999999991</v>
      </c>
      <c r="S1699" s="162">
        <f>SUM(Sales[Net Amount])</f>
        <v>406839287.73200053</v>
      </c>
    </row>
    <row r="1700" spans="1:19" ht="18.75" x14ac:dyDescent="0.25">
      <c r="A1700" s="163" t="s">
        <v>5308</v>
      </c>
      <c r="B1700" s="164">
        <v>45864</v>
      </c>
      <c r="C1700" s="34" t="s">
        <v>802</v>
      </c>
      <c r="D1700" s="53" t="str">
        <f>VLOOKUP(Sales[[#This Row],[Customer ID]],Customer[#All],2,0)</f>
        <v>Rakesh Patel</v>
      </c>
      <c r="E1700" s="34" t="s">
        <v>515</v>
      </c>
      <c r="F1700" s="34" t="str">
        <f>VLOOKUP(Sales[[#This Row],[Product ID]],Product[#All],2,0)</f>
        <v>HP Mouse</v>
      </c>
      <c r="G1700" s="53">
        <v>7</v>
      </c>
      <c r="H1700" s="165">
        <f>VLOOKUP(Sales[[#This Row],[Product ID]],Product[#All],7,0)</f>
        <v>2520</v>
      </c>
      <c r="I1700" s="165">
        <f>Sales[[#This Row],[Selling Rate]]*Sales[[#This Row],[Qty]]</f>
        <v>17640</v>
      </c>
      <c r="J1700" s="45">
        <v>0</v>
      </c>
      <c r="K1700" s="46">
        <f>Sales[[#This Row],[Gross Amount]]*Sales[[#This Row],[Disc %]]</f>
        <v>0</v>
      </c>
      <c r="L1700" s="43">
        <v>0.18</v>
      </c>
      <c r="M1700" s="46">
        <f>(Sales[[#This Row],[Gross Amount]]-Sales[[#This Row],[Disc. Amt.]])*Sales[[#This Row],[GST %]]</f>
        <v>3175.2</v>
      </c>
      <c r="N1700" s="161">
        <f>Sales[[#This Row],[Gross Amount]]-Sales[[#This Row],[Disc. Amt.]]+Sales[[#This Row],[GST Amount]]</f>
        <v>20815.2</v>
      </c>
      <c r="O1700" s="34" t="s">
        <v>3566</v>
      </c>
      <c r="P1700" s="34" t="s">
        <v>3562</v>
      </c>
      <c r="Q1700" s="165">
        <f>IF(Sales[[#This Row],[Status]]="Cancelled",0,Sales[[#This Row],[Qty]])</f>
        <v>7</v>
      </c>
      <c r="R1700" s="166">
        <f>IF(Sales[[#This Row],[Status]]="Cancelled",0,Sales[[#This Row],[Total Amount]])</f>
        <v>20815.2</v>
      </c>
      <c r="S1700" s="162">
        <f>SUM(Sales[Net Amount])</f>
        <v>406839287.73200053</v>
      </c>
    </row>
    <row r="1701" spans="1:19" ht="18.75" x14ac:dyDescent="0.25">
      <c r="A1701" s="156" t="s">
        <v>5309</v>
      </c>
      <c r="B1701" s="157">
        <v>45864</v>
      </c>
      <c r="C1701" s="158" t="s">
        <v>885</v>
      </c>
      <c r="D1701" s="159" t="str">
        <f>VLOOKUP(Sales[[#This Row],[Customer ID]],Customer[#All],2,0)</f>
        <v>Pooja Verma</v>
      </c>
      <c r="E1701" s="158" t="s">
        <v>445</v>
      </c>
      <c r="F1701" s="158" t="str">
        <f>VLOOKUP(Sales[[#This Row],[Product ID]],Product[#All],2,0)</f>
        <v>Lenovo Laptop</v>
      </c>
      <c r="G1701" s="159">
        <v>7</v>
      </c>
      <c r="H1701" s="160">
        <f>VLOOKUP(Sales[[#This Row],[Product ID]],Product[#All],7,0)</f>
        <v>37710</v>
      </c>
      <c r="I1701" s="160">
        <f>Sales[[#This Row],[Selling Rate]]*Sales[[#This Row],[Qty]]</f>
        <v>263970</v>
      </c>
      <c r="J1701" s="43">
        <v>0.15</v>
      </c>
      <c r="K1701" s="44">
        <f>Sales[[#This Row],[Gross Amount]]*Sales[[#This Row],[Disc %]]</f>
        <v>39595.5</v>
      </c>
      <c r="L1701" s="43">
        <v>0.18</v>
      </c>
      <c r="M1701" s="44">
        <f>(Sales[[#This Row],[Gross Amount]]-Sales[[#This Row],[Disc. Amt.]])*Sales[[#This Row],[GST %]]</f>
        <v>40387.409999999996</v>
      </c>
      <c r="N1701" s="161">
        <f>Sales[[#This Row],[Gross Amount]]-Sales[[#This Row],[Disc. Amt.]]+Sales[[#This Row],[GST Amount]]</f>
        <v>264761.90999999997</v>
      </c>
      <c r="O1701" s="158" t="s">
        <v>3569</v>
      </c>
      <c r="P1701" s="158" t="s">
        <v>3562</v>
      </c>
      <c r="Q1701" s="160">
        <f>IF(Sales[[#This Row],[Status]]="Cancelled",0,Sales[[#This Row],[Qty]])</f>
        <v>7</v>
      </c>
      <c r="R1701" s="161">
        <f>IF(Sales[[#This Row],[Status]]="Cancelled",0,Sales[[#This Row],[Total Amount]])</f>
        <v>264761.90999999997</v>
      </c>
      <c r="S1701" s="162">
        <f>SUM(Sales[Net Amount])</f>
        <v>406839287.73200053</v>
      </c>
    </row>
    <row r="1702" spans="1:19" ht="18.75" x14ac:dyDescent="0.25">
      <c r="A1702" s="163" t="s">
        <v>5310</v>
      </c>
      <c r="B1702" s="164">
        <v>45864</v>
      </c>
      <c r="C1702" s="34" t="s">
        <v>679</v>
      </c>
      <c r="D1702" s="53" t="str">
        <f>VLOOKUP(Sales[[#This Row],[Customer ID]],Customer[#All],2,0)</f>
        <v>Rahul Singh</v>
      </c>
      <c r="E1702" s="34" t="s">
        <v>435</v>
      </c>
      <c r="F1702" s="34" t="str">
        <f>VLOOKUP(Sales[[#This Row],[Product ID]],Product[#All],2,0)</f>
        <v>Corsair Ram</v>
      </c>
      <c r="G1702" s="53">
        <v>7</v>
      </c>
      <c r="H1702" s="165">
        <f>VLOOKUP(Sales[[#This Row],[Product ID]],Product[#All],7,0)</f>
        <v>8060</v>
      </c>
      <c r="I1702" s="165">
        <f>Sales[[#This Row],[Selling Rate]]*Sales[[#This Row],[Qty]]</f>
        <v>56420</v>
      </c>
      <c r="J1702" s="45">
        <v>0.12</v>
      </c>
      <c r="K1702" s="46">
        <f>Sales[[#This Row],[Gross Amount]]*Sales[[#This Row],[Disc %]]</f>
        <v>6770.4</v>
      </c>
      <c r="L1702" s="43">
        <v>0.18</v>
      </c>
      <c r="M1702" s="46">
        <f>(Sales[[#This Row],[Gross Amount]]-Sales[[#This Row],[Disc. Amt.]])*Sales[[#This Row],[GST %]]</f>
        <v>8936.9279999999999</v>
      </c>
      <c r="N1702" s="161">
        <f>Sales[[#This Row],[Gross Amount]]-Sales[[#This Row],[Disc. Amt.]]+Sales[[#This Row],[GST Amount]]</f>
        <v>58586.527999999998</v>
      </c>
      <c r="O1702" s="34" t="s">
        <v>3561</v>
      </c>
      <c r="P1702" s="34" t="s">
        <v>3562</v>
      </c>
      <c r="Q1702" s="165">
        <f>IF(Sales[[#This Row],[Status]]="Cancelled",0,Sales[[#This Row],[Qty]])</f>
        <v>7</v>
      </c>
      <c r="R1702" s="166">
        <f>IF(Sales[[#This Row],[Status]]="Cancelled",0,Sales[[#This Row],[Total Amount]])</f>
        <v>58586.527999999998</v>
      </c>
      <c r="S1702" s="162">
        <f>SUM(Sales[Net Amount])</f>
        <v>406839287.73200053</v>
      </c>
    </row>
    <row r="1703" spans="1:19" ht="18.75" x14ac:dyDescent="0.25">
      <c r="A1703" s="156" t="s">
        <v>5311</v>
      </c>
      <c r="B1703" s="157">
        <v>45864</v>
      </c>
      <c r="C1703" s="158" t="s">
        <v>913</v>
      </c>
      <c r="D1703" s="159" t="str">
        <f>VLOOKUP(Sales[[#This Row],[Customer ID]],Customer[#All],2,0)</f>
        <v>Pooja Kumar</v>
      </c>
      <c r="E1703" s="158" t="s">
        <v>541</v>
      </c>
      <c r="F1703" s="158" t="str">
        <f>VLOOKUP(Sales[[#This Row],[Product ID]],Product[#All],2,0)</f>
        <v>Crucial Ssd</v>
      </c>
      <c r="G1703" s="159">
        <v>1</v>
      </c>
      <c r="H1703" s="160">
        <f>VLOOKUP(Sales[[#This Row],[Product ID]],Product[#All],7,0)</f>
        <v>9350</v>
      </c>
      <c r="I1703" s="160">
        <f>Sales[[#This Row],[Selling Rate]]*Sales[[#This Row],[Qty]]</f>
        <v>9350</v>
      </c>
      <c r="J1703" s="43">
        <v>0.02</v>
      </c>
      <c r="K1703" s="44">
        <f>Sales[[#This Row],[Gross Amount]]*Sales[[#This Row],[Disc %]]</f>
        <v>187</v>
      </c>
      <c r="L1703" s="43">
        <v>0.18</v>
      </c>
      <c r="M1703" s="44">
        <f>(Sales[[#This Row],[Gross Amount]]-Sales[[#This Row],[Disc. Amt.]])*Sales[[#This Row],[GST %]]</f>
        <v>1649.34</v>
      </c>
      <c r="N1703" s="161">
        <f>Sales[[#This Row],[Gross Amount]]-Sales[[#This Row],[Disc. Amt.]]+Sales[[#This Row],[GST Amount]]</f>
        <v>10812.34</v>
      </c>
      <c r="O1703" s="158" t="s">
        <v>3566</v>
      </c>
      <c r="P1703" s="158" t="s">
        <v>3562</v>
      </c>
      <c r="Q1703" s="160">
        <f>IF(Sales[[#This Row],[Status]]="Cancelled",0,Sales[[#This Row],[Qty]])</f>
        <v>1</v>
      </c>
      <c r="R1703" s="161">
        <f>IF(Sales[[#This Row],[Status]]="Cancelled",0,Sales[[#This Row],[Total Amount]])</f>
        <v>10812.34</v>
      </c>
      <c r="S1703" s="162">
        <f>SUM(Sales[Net Amount])</f>
        <v>406839287.73200053</v>
      </c>
    </row>
    <row r="1704" spans="1:19" ht="18.75" x14ac:dyDescent="0.25">
      <c r="A1704" s="163" t="s">
        <v>5312</v>
      </c>
      <c r="B1704" s="164">
        <v>45864</v>
      </c>
      <c r="C1704" s="34" t="s">
        <v>924</v>
      </c>
      <c r="D1704" s="53" t="str">
        <f>VLOOKUP(Sales[[#This Row],[Customer ID]],Customer[#All],2,0)</f>
        <v>Rakesh Gupta</v>
      </c>
      <c r="E1704" s="34" t="s">
        <v>515</v>
      </c>
      <c r="F1704" s="34" t="str">
        <f>VLOOKUP(Sales[[#This Row],[Product ID]],Product[#All],2,0)</f>
        <v>HP Mouse</v>
      </c>
      <c r="G1704" s="53">
        <v>3</v>
      </c>
      <c r="H1704" s="165">
        <f>VLOOKUP(Sales[[#This Row],[Product ID]],Product[#All],7,0)</f>
        <v>2520</v>
      </c>
      <c r="I1704" s="165">
        <f>Sales[[#This Row],[Selling Rate]]*Sales[[#This Row],[Qty]]</f>
        <v>7560</v>
      </c>
      <c r="J1704" s="45">
        <v>0.05</v>
      </c>
      <c r="K1704" s="46">
        <f>Sales[[#This Row],[Gross Amount]]*Sales[[#This Row],[Disc %]]</f>
        <v>378</v>
      </c>
      <c r="L1704" s="43">
        <v>0.18</v>
      </c>
      <c r="M1704" s="46">
        <f>(Sales[[#This Row],[Gross Amount]]-Sales[[#This Row],[Disc. Amt.]])*Sales[[#This Row],[GST %]]</f>
        <v>1292.76</v>
      </c>
      <c r="N1704" s="161">
        <f>Sales[[#This Row],[Gross Amount]]-Sales[[#This Row],[Disc. Amt.]]+Sales[[#This Row],[GST Amount]]</f>
        <v>8474.76</v>
      </c>
      <c r="O1704" s="34" t="s">
        <v>3561</v>
      </c>
      <c r="P1704" s="34" t="s">
        <v>3562</v>
      </c>
      <c r="Q1704" s="165">
        <f>IF(Sales[[#This Row],[Status]]="Cancelled",0,Sales[[#This Row],[Qty]])</f>
        <v>3</v>
      </c>
      <c r="R1704" s="166">
        <f>IF(Sales[[#This Row],[Status]]="Cancelled",0,Sales[[#This Row],[Total Amount]])</f>
        <v>8474.76</v>
      </c>
      <c r="S1704" s="162">
        <f>SUM(Sales[Net Amount])</f>
        <v>406839287.73200053</v>
      </c>
    </row>
    <row r="1705" spans="1:19" ht="18.75" x14ac:dyDescent="0.25">
      <c r="A1705" s="156" t="s">
        <v>5313</v>
      </c>
      <c r="B1705" s="157">
        <v>45864</v>
      </c>
      <c r="C1705" s="158" t="s">
        <v>790</v>
      </c>
      <c r="D1705" s="159" t="str">
        <f>VLOOKUP(Sales[[#This Row],[Customer ID]],Customer[#All],2,0)</f>
        <v>Pooja Gupta</v>
      </c>
      <c r="E1705" s="158" t="s">
        <v>251</v>
      </c>
      <c r="F1705" s="158" t="str">
        <f>VLOOKUP(Sales[[#This Row],[Product ID]],Product[#All],2,0)</f>
        <v>Corsair Ram</v>
      </c>
      <c r="G1705" s="159">
        <v>7</v>
      </c>
      <c r="H1705" s="160">
        <f>VLOOKUP(Sales[[#This Row],[Product ID]],Product[#All],7,0)</f>
        <v>2890</v>
      </c>
      <c r="I1705" s="160">
        <f>Sales[[#This Row],[Selling Rate]]*Sales[[#This Row],[Qty]]</f>
        <v>20230</v>
      </c>
      <c r="J1705" s="43">
        <v>0.05</v>
      </c>
      <c r="K1705" s="44">
        <f>Sales[[#This Row],[Gross Amount]]*Sales[[#This Row],[Disc %]]</f>
        <v>1011.5</v>
      </c>
      <c r="L1705" s="43">
        <v>0.18</v>
      </c>
      <c r="M1705" s="44">
        <f>(Sales[[#This Row],[Gross Amount]]-Sales[[#This Row],[Disc. Amt.]])*Sales[[#This Row],[GST %]]</f>
        <v>3459.33</v>
      </c>
      <c r="N1705" s="161">
        <f>Sales[[#This Row],[Gross Amount]]-Sales[[#This Row],[Disc. Amt.]]+Sales[[#This Row],[GST Amount]]</f>
        <v>22677.83</v>
      </c>
      <c r="O1705" s="158" t="s">
        <v>3566</v>
      </c>
      <c r="P1705" s="158" t="s">
        <v>3562</v>
      </c>
      <c r="Q1705" s="160">
        <f>IF(Sales[[#This Row],[Status]]="Cancelled",0,Sales[[#This Row],[Qty]])</f>
        <v>7</v>
      </c>
      <c r="R1705" s="161">
        <f>IF(Sales[[#This Row],[Status]]="Cancelled",0,Sales[[#This Row],[Total Amount]])</f>
        <v>22677.83</v>
      </c>
      <c r="S1705" s="162">
        <f>SUM(Sales[Net Amount])</f>
        <v>406839287.73200053</v>
      </c>
    </row>
    <row r="1706" spans="1:19" ht="18.75" x14ac:dyDescent="0.25">
      <c r="A1706" s="163" t="s">
        <v>5314</v>
      </c>
      <c r="B1706" s="164">
        <v>45864</v>
      </c>
      <c r="C1706" s="34" t="s">
        <v>889</v>
      </c>
      <c r="D1706" s="53" t="str">
        <f>VLOOKUP(Sales[[#This Row],[Customer ID]],Customer[#All],2,0)</f>
        <v>Rakesh Sharma</v>
      </c>
      <c r="E1706" s="34" t="s">
        <v>155</v>
      </c>
      <c r="F1706" s="34" t="str">
        <f>VLOOKUP(Sales[[#This Row],[Product ID]],Product[#All],2,0)</f>
        <v>Sandisk Pen Drive</v>
      </c>
      <c r="G1706" s="53">
        <v>6</v>
      </c>
      <c r="H1706" s="165">
        <f>VLOOKUP(Sales[[#This Row],[Product ID]],Product[#All],7,0)</f>
        <v>3650</v>
      </c>
      <c r="I1706" s="165">
        <f>Sales[[#This Row],[Selling Rate]]*Sales[[#This Row],[Qty]]</f>
        <v>21900</v>
      </c>
      <c r="J1706" s="45">
        <v>0.12</v>
      </c>
      <c r="K1706" s="46">
        <f>Sales[[#This Row],[Gross Amount]]*Sales[[#This Row],[Disc %]]</f>
        <v>2628</v>
      </c>
      <c r="L1706" s="43">
        <v>0.18</v>
      </c>
      <c r="M1706" s="46">
        <f>(Sales[[#This Row],[Gross Amount]]-Sales[[#This Row],[Disc. Amt.]])*Sales[[#This Row],[GST %]]</f>
        <v>3468.96</v>
      </c>
      <c r="N1706" s="161">
        <f>Sales[[#This Row],[Gross Amount]]-Sales[[#This Row],[Disc. Amt.]]+Sales[[#This Row],[GST Amount]]</f>
        <v>22740.959999999999</v>
      </c>
      <c r="O1706" s="34" t="s">
        <v>3566</v>
      </c>
      <c r="P1706" s="34" t="s">
        <v>3562</v>
      </c>
      <c r="Q1706" s="165">
        <f>IF(Sales[[#This Row],[Status]]="Cancelled",0,Sales[[#This Row],[Qty]])</f>
        <v>6</v>
      </c>
      <c r="R1706" s="166">
        <f>IF(Sales[[#This Row],[Status]]="Cancelled",0,Sales[[#This Row],[Total Amount]])</f>
        <v>22740.959999999999</v>
      </c>
      <c r="S1706" s="162">
        <f>SUM(Sales[Net Amount])</f>
        <v>406839287.73200053</v>
      </c>
    </row>
    <row r="1707" spans="1:19" ht="18.75" x14ac:dyDescent="0.25">
      <c r="A1707" s="156" t="s">
        <v>5315</v>
      </c>
      <c r="B1707" s="157">
        <v>45864</v>
      </c>
      <c r="C1707" s="158" t="s">
        <v>909</v>
      </c>
      <c r="D1707" s="159" t="str">
        <f>VLOOKUP(Sales[[#This Row],[Customer ID]],Customer[#All],2,0)</f>
        <v>Priya Sharma</v>
      </c>
      <c r="E1707" s="158" t="s">
        <v>260</v>
      </c>
      <c r="F1707" s="158" t="str">
        <f>VLOOKUP(Sales[[#This Row],[Product ID]],Product[#All],2,0)</f>
        <v>Corsair Ram</v>
      </c>
      <c r="G1707" s="159">
        <v>8</v>
      </c>
      <c r="H1707" s="160">
        <f>VLOOKUP(Sales[[#This Row],[Product ID]],Product[#All],7,0)</f>
        <v>6010</v>
      </c>
      <c r="I1707" s="160">
        <f>Sales[[#This Row],[Selling Rate]]*Sales[[#This Row],[Qty]]</f>
        <v>48080</v>
      </c>
      <c r="J1707" s="43">
        <v>0</v>
      </c>
      <c r="K1707" s="44">
        <f>Sales[[#This Row],[Gross Amount]]*Sales[[#This Row],[Disc %]]</f>
        <v>0</v>
      </c>
      <c r="L1707" s="43">
        <v>0.18</v>
      </c>
      <c r="M1707" s="44">
        <f>(Sales[[#This Row],[Gross Amount]]-Sales[[#This Row],[Disc. Amt.]])*Sales[[#This Row],[GST %]]</f>
        <v>8654.4</v>
      </c>
      <c r="N1707" s="161">
        <f>Sales[[#This Row],[Gross Amount]]-Sales[[#This Row],[Disc. Amt.]]+Sales[[#This Row],[GST Amount]]</f>
        <v>56734.400000000001</v>
      </c>
      <c r="O1707" s="158" t="s">
        <v>3566</v>
      </c>
      <c r="P1707" s="158" t="s">
        <v>3562</v>
      </c>
      <c r="Q1707" s="160">
        <f>IF(Sales[[#This Row],[Status]]="Cancelled",0,Sales[[#This Row],[Qty]])</f>
        <v>8</v>
      </c>
      <c r="R1707" s="161">
        <f>IF(Sales[[#This Row],[Status]]="Cancelled",0,Sales[[#This Row],[Total Amount]])</f>
        <v>56734.400000000001</v>
      </c>
      <c r="S1707" s="162">
        <f>SUM(Sales[Net Amount])</f>
        <v>406839287.73200053</v>
      </c>
    </row>
    <row r="1708" spans="1:19" ht="18.75" x14ac:dyDescent="0.25">
      <c r="A1708" s="163" t="s">
        <v>5316</v>
      </c>
      <c r="B1708" s="164">
        <v>45864</v>
      </c>
      <c r="C1708" s="34" t="s">
        <v>777</v>
      </c>
      <c r="D1708" s="53" t="str">
        <f>VLOOKUP(Sales[[#This Row],[Customer ID]],Customer[#All],2,0)</f>
        <v>Neha Sharma</v>
      </c>
      <c r="E1708" s="34" t="s">
        <v>511</v>
      </c>
      <c r="F1708" s="34" t="str">
        <f>VLOOKUP(Sales[[#This Row],[Product ID]],Product[#All],2,0)</f>
        <v>Amazon Basics Hdmi Cable</v>
      </c>
      <c r="G1708" s="53">
        <v>1</v>
      </c>
      <c r="H1708" s="165">
        <f>VLOOKUP(Sales[[#This Row],[Product ID]],Product[#All],7,0)</f>
        <v>1240</v>
      </c>
      <c r="I1708" s="165">
        <f>Sales[[#This Row],[Selling Rate]]*Sales[[#This Row],[Qty]]</f>
        <v>1240</v>
      </c>
      <c r="J1708" s="45">
        <v>0.05</v>
      </c>
      <c r="K1708" s="46">
        <f>Sales[[#This Row],[Gross Amount]]*Sales[[#This Row],[Disc %]]</f>
        <v>62</v>
      </c>
      <c r="L1708" s="43">
        <v>0.18</v>
      </c>
      <c r="M1708" s="46">
        <f>(Sales[[#This Row],[Gross Amount]]-Sales[[#This Row],[Disc. Amt.]])*Sales[[#This Row],[GST %]]</f>
        <v>212.04</v>
      </c>
      <c r="N1708" s="161">
        <f>Sales[[#This Row],[Gross Amount]]-Sales[[#This Row],[Disc. Amt.]]+Sales[[#This Row],[GST Amount]]</f>
        <v>1390.04</v>
      </c>
      <c r="O1708" s="34" t="s">
        <v>3561</v>
      </c>
      <c r="P1708" s="34" t="s">
        <v>3562</v>
      </c>
      <c r="Q1708" s="165">
        <f>IF(Sales[[#This Row],[Status]]="Cancelled",0,Sales[[#This Row],[Qty]])</f>
        <v>1</v>
      </c>
      <c r="R1708" s="166">
        <f>IF(Sales[[#This Row],[Status]]="Cancelled",0,Sales[[#This Row],[Total Amount]])</f>
        <v>1390.04</v>
      </c>
      <c r="S1708" s="162">
        <f>SUM(Sales[Net Amount])</f>
        <v>406839287.73200053</v>
      </c>
    </row>
    <row r="1709" spans="1:19" ht="18.75" x14ac:dyDescent="0.25">
      <c r="A1709" s="156" t="s">
        <v>5317</v>
      </c>
      <c r="B1709" s="157">
        <v>45864</v>
      </c>
      <c r="C1709" s="158" t="s">
        <v>766</v>
      </c>
      <c r="D1709" s="159" t="str">
        <f>VLOOKUP(Sales[[#This Row],[Customer ID]],Customer[#All],2,0)</f>
        <v>Neha Gupta</v>
      </c>
      <c r="E1709" s="158" t="s">
        <v>82</v>
      </c>
      <c r="F1709" s="158" t="str">
        <f>VLOOKUP(Sales[[#This Row],[Product ID]],Product[#All],2,0)</f>
        <v>American TouristerLaptopBag</v>
      </c>
      <c r="G1709" s="159">
        <v>6</v>
      </c>
      <c r="H1709" s="160">
        <f>VLOOKUP(Sales[[#This Row],[Product ID]],Product[#All],7,0)</f>
        <v>5480</v>
      </c>
      <c r="I1709" s="160">
        <f>Sales[[#This Row],[Selling Rate]]*Sales[[#This Row],[Qty]]</f>
        <v>32880</v>
      </c>
      <c r="J1709" s="43">
        <v>0.02</v>
      </c>
      <c r="K1709" s="44">
        <f>Sales[[#This Row],[Gross Amount]]*Sales[[#This Row],[Disc %]]</f>
        <v>657.6</v>
      </c>
      <c r="L1709" s="43">
        <v>0.18</v>
      </c>
      <c r="M1709" s="44">
        <f>(Sales[[#This Row],[Gross Amount]]-Sales[[#This Row],[Disc. Amt.]])*Sales[[#This Row],[GST %]]</f>
        <v>5800.0320000000002</v>
      </c>
      <c r="N1709" s="161">
        <f>Sales[[#This Row],[Gross Amount]]-Sales[[#This Row],[Disc. Amt.]]+Sales[[#This Row],[GST Amount]]</f>
        <v>38022.432000000001</v>
      </c>
      <c r="O1709" s="158" t="s">
        <v>3566</v>
      </c>
      <c r="P1709" s="158" t="s">
        <v>3562</v>
      </c>
      <c r="Q1709" s="160">
        <f>IF(Sales[[#This Row],[Status]]="Cancelled",0,Sales[[#This Row],[Qty]])</f>
        <v>6</v>
      </c>
      <c r="R1709" s="161">
        <f>IF(Sales[[#This Row],[Status]]="Cancelled",0,Sales[[#This Row],[Total Amount]])</f>
        <v>38022.432000000001</v>
      </c>
      <c r="S1709" s="162">
        <f>SUM(Sales[Net Amount])</f>
        <v>406839287.73200053</v>
      </c>
    </row>
    <row r="1710" spans="1:19" ht="18.75" x14ac:dyDescent="0.25">
      <c r="A1710" s="163" t="s">
        <v>5318</v>
      </c>
      <c r="B1710" s="164">
        <v>45864</v>
      </c>
      <c r="C1710" s="34" t="s">
        <v>741</v>
      </c>
      <c r="D1710" s="53" t="str">
        <f>VLOOKUP(Sales[[#This Row],[Customer ID]],Customer[#All],2,0)</f>
        <v>Rahul Patel</v>
      </c>
      <c r="E1710" s="34" t="s">
        <v>533</v>
      </c>
      <c r="F1710" s="34" t="str">
        <f>VLOOKUP(Sales[[#This Row],[Product ID]],Product[#All],2,0)</f>
        <v>HP Desktop</v>
      </c>
      <c r="G1710" s="53">
        <v>5</v>
      </c>
      <c r="H1710" s="165">
        <f>VLOOKUP(Sales[[#This Row],[Product ID]],Product[#All],7,0)</f>
        <v>72430</v>
      </c>
      <c r="I1710" s="165">
        <f>Sales[[#This Row],[Selling Rate]]*Sales[[#This Row],[Qty]]</f>
        <v>362150</v>
      </c>
      <c r="J1710" s="45">
        <v>0</v>
      </c>
      <c r="K1710" s="46">
        <f>Sales[[#This Row],[Gross Amount]]*Sales[[#This Row],[Disc %]]</f>
        <v>0</v>
      </c>
      <c r="L1710" s="43">
        <v>0.18</v>
      </c>
      <c r="M1710" s="46">
        <f>(Sales[[#This Row],[Gross Amount]]-Sales[[#This Row],[Disc. Amt.]])*Sales[[#This Row],[GST %]]</f>
        <v>65187</v>
      </c>
      <c r="N1710" s="161">
        <f>Sales[[#This Row],[Gross Amount]]-Sales[[#This Row],[Disc. Amt.]]+Sales[[#This Row],[GST Amount]]</f>
        <v>427337</v>
      </c>
      <c r="O1710" s="34" t="s">
        <v>3569</v>
      </c>
      <c r="P1710" s="34" t="s">
        <v>3562</v>
      </c>
      <c r="Q1710" s="165">
        <f>IF(Sales[[#This Row],[Status]]="Cancelled",0,Sales[[#This Row],[Qty]])</f>
        <v>5</v>
      </c>
      <c r="R1710" s="166">
        <f>IF(Sales[[#This Row],[Status]]="Cancelled",0,Sales[[#This Row],[Total Amount]])</f>
        <v>427337</v>
      </c>
      <c r="S1710" s="162">
        <f>SUM(Sales[Net Amount])</f>
        <v>406839287.73200053</v>
      </c>
    </row>
    <row r="1711" spans="1:19" ht="18.75" x14ac:dyDescent="0.25">
      <c r="A1711" s="156" t="s">
        <v>5319</v>
      </c>
      <c r="B1711" s="157">
        <v>45865</v>
      </c>
      <c r="C1711" s="158" t="s">
        <v>916</v>
      </c>
      <c r="D1711" s="159" t="str">
        <f>VLOOKUP(Sales[[#This Row],[Customer ID]],Customer[#All],2,0)</f>
        <v>Ankit Singh</v>
      </c>
      <c r="E1711" s="158" t="s">
        <v>488</v>
      </c>
      <c r="F1711" s="158" t="str">
        <f>VLOOKUP(Sales[[#This Row],[Product ID]],Product[#All],2,0)</f>
        <v>Samsung Monitor</v>
      </c>
      <c r="G1711" s="159">
        <v>5</v>
      </c>
      <c r="H1711" s="160">
        <f>VLOOKUP(Sales[[#This Row],[Product ID]],Product[#All],7,0)</f>
        <v>32720</v>
      </c>
      <c r="I1711" s="160">
        <f>Sales[[#This Row],[Selling Rate]]*Sales[[#This Row],[Qty]]</f>
        <v>163600</v>
      </c>
      <c r="J1711" s="43">
        <v>0.12</v>
      </c>
      <c r="K1711" s="44">
        <f>Sales[[#This Row],[Gross Amount]]*Sales[[#This Row],[Disc %]]</f>
        <v>19632</v>
      </c>
      <c r="L1711" s="43">
        <v>0.18</v>
      </c>
      <c r="M1711" s="44">
        <f>(Sales[[#This Row],[Gross Amount]]-Sales[[#This Row],[Disc. Amt.]])*Sales[[#This Row],[GST %]]</f>
        <v>25914.239999999998</v>
      </c>
      <c r="N1711" s="161">
        <f>Sales[[#This Row],[Gross Amount]]-Sales[[#This Row],[Disc. Amt.]]+Sales[[#This Row],[GST Amount]]</f>
        <v>169882.23999999999</v>
      </c>
      <c r="O1711" s="158" t="s">
        <v>3561</v>
      </c>
      <c r="P1711" s="158" t="s">
        <v>3562</v>
      </c>
      <c r="Q1711" s="160">
        <f>IF(Sales[[#This Row],[Status]]="Cancelled",0,Sales[[#This Row],[Qty]])</f>
        <v>5</v>
      </c>
      <c r="R1711" s="161">
        <f>IF(Sales[[#This Row],[Status]]="Cancelled",0,Sales[[#This Row],[Total Amount]])</f>
        <v>169882.23999999999</v>
      </c>
      <c r="S1711" s="162">
        <f>SUM(Sales[Net Amount])</f>
        <v>406839287.73200053</v>
      </c>
    </row>
    <row r="1712" spans="1:19" ht="18.75" x14ac:dyDescent="0.25">
      <c r="A1712" s="163" t="s">
        <v>5320</v>
      </c>
      <c r="B1712" s="164">
        <v>45865</v>
      </c>
      <c r="C1712" s="34" t="s">
        <v>936</v>
      </c>
      <c r="D1712" s="53" t="str">
        <f>VLOOKUP(Sales[[#This Row],[Customer ID]],Customer[#All],2,0)</f>
        <v>Pooja Patel</v>
      </c>
      <c r="E1712" s="34" t="s">
        <v>172</v>
      </c>
      <c r="F1712" s="34" t="str">
        <f>VLOOKUP(Sales[[#This Row],[Product ID]],Product[#All],2,0)</f>
        <v>Jbl Headset</v>
      </c>
      <c r="G1712" s="53">
        <v>1</v>
      </c>
      <c r="H1712" s="165">
        <f>VLOOKUP(Sales[[#This Row],[Product ID]],Product[#All],7,0)</f>
        <v>7300</v>
      </c>
      <c r="I1712" s="165">
        <f>Sales[[#This Row],[Selling Rate]]*Sales[[#This Row],[Qty]]</f>
        <v>7300</v>
      </c>
      <c r="J1712" s="45">
        <v>0.15</v>
      </c>
      <c r="K1712" s="46">
        <f>Sales[[#This Row],[Gross Amount]]*Sales[[#This Row],[Disc %]]</f>
        <v>1095</v>
      </c>
      <c r="L1712" s="43">
        <v>0.18</v>
      </c>
      <c r="M1712" s="46">
        <f>(Sales[[#This Row],[Gross Amount]]-Sales[[#This Row],[Disc. Amt.]])*Sales[[#This Row],[GST %]]</f>
        <v>1116.8999999999999</v>
      </c>
      <c r="N1712" s="161">
        <f>Sales[[#This Row],[Gross Amount]]-Sales[[#This Row],[Disc. Amt.]]+Sales[[#This Row],[GST Amount]]</f>
        <v>7321.9</v>
      </c>
      <c r="O1712" s="34" t="s">
        <v>3561</v>
      </c>
      <c r="P1712" s="34" t="s">
        <v>3562</v>
      </c>
      <c r="Q1712" s="165">
        <f>IF(Sales[[#This Row],[Status]]="Cancelled",0,Sales[[#This Row],[Qty]])</f>
        <v>1</v>
      </c>
      <c r="R1712" s="166">
        <f>IF(Sales[[#This Row],[Status]]="Cancelled",0,Sales[[#This Row],[Total Amount]])</f>
        <v>7321.9</v>
      </c>
      <c r="S1712" s="162">
        <f>SUM(Sales[Net Amount])</f>
        <v>406839287.73200053</v>
      </c>
    </row>
    <row r="1713" spans="1:19" ht="18.75" x14ac:dyDescent="0.25">
      <c r="A1713" s="156" t="s">
        <v>5321</v>
      </c>
      <c r="B1713" s="157">
        <v>45865</v>
      </c>
      <c r="C1713" s="158" t="s">
        <v>5322</v>
      </c>
      <c r="D1713" s="159" t="str">
        <f>VLOOKUP(Sales[[#This Row],[Customer ID]],Customer[#All],2,0)</f>
        <v>Rakesh Verma</v>
      </c>
      <c r="E1713" s="158" t="s">
        <v>481</v>
      </c>
      <c r="F1713" s="158" t="str">
        <f>VLOOKUP(Sales[[#This Row],[Product ID]],Product[#All],2,0)</f>
        <v>Dell Laptop</v>
      </c>
      <c r="G1713" s="159">
        <v>8</v>
      </c>
      <c r="H1713" s="160">
        <f>VLOOKUP(Sales[[#This Row],[Product ID]],Product[#All],7,0)</f>
        <v>36050</v>
      </c>
      <c r="I1713" s="160">
        <f>Sales[[#This Row],[Selling Rate]]*Sales[[#This Row],[Qty]]</f>
        <v>288400</v>
      </c>
      <c r="J1713" s="43">
        <v>0.15</v>
      </c>
      <c r="K1713" s="44">
        <f>Sales[[#This Row],[Gross Amount]]*Sales[[#This Row],[Disc %]]</f>
        <v>43260</v>
      </c>
      <c r="L1713" s="43">
        <v>0.18</v>
      </c>
      <c r="M1713" s="44">
        <f>(Sales[[#This Row],[Gross Amount]]-Sales[[#This Row],[Disc. Amt.]])*Sales[[#This Row],[GST %]]</f>
        <v>44125.2</v>
      </c>
      <c r="N1713" s="161">
        <f>Sales[[#This Row],[Gross Amount]]-Sales[[#This Row],[Disc. Amt.]]+Sales[[#This Row],[GST Amount]]</f>
        <v>289265.2</v>
      </c>
      <c r="O1713" s="158" t="s">
        <v>3569</v>
      </c>
      <c r="P1713" s="158" t="s">
        <v>3562</v>
      </c>
      <c r="Q1713" s="160">
        <f>IF(Sales[[#This Row],[Status]]="Cancelled",0,Sales[[#This Row],[Qty]])</f>
        <v>8</v>
      </c>
      <c r="R1713" s="161">
        <f>IF(Sales[[#This Row],[Status]]="Cancelled",0,Sales[[#This Row],[Total Amount]])</f>
        <v>289265.2</v>
      </c>
      <c r="S1713" s="162">
        <f>SUM(Sales[Net Amount])</f>
        <v>406839287.73200053</v>
      </c>
    </row>
    <row r="1714" spans="1:19" ht="18.75" x14ac:dyDescent="0.25">
      <c r="A1714" s="163" t="s">
        <v>5323</v>
      </c>
      <c r="B1714" s="164">
        <v>45865</v>
      </c>
      <c r="C1714" s="34" t="s">
        <v>832</v>
      </c>
      <c r="D1714" s="53" t="str">
        <f>VLOOKUP(Sales[[#This Row],[Customer ID]],Customer[#All],2,0)</f>
        <v>Vikas Sharma</v>
      </c>
      <c r="E1714" s="34" t="s">
        <v>533</v>
      </c>
      <c r="F1714" s="34" t="str">
        <f>VLOOKUP(Sales[[#This Row],[Product ID]],Product[#All],2,0)</f>
        <v>HP Desktop</v>
      </c>
      <c r="G1714" s="53">
        <v>6</v>
      </c>
      <c r="H1714" s="165">
        <f>VLOOKUP(Sales[[#This Row],[Product ID]],Product[#All],7,0)</f>
        <v>72430</v>
      </c>
      <c r="I1714" s="165">
        <f>Sales[[#This Row],[Selling Rate]]*Sales[[#This Row],[Qty]]</f>
        <v>434580</v>
      </c>
      <c r="J1714" s="45">
        <v>0.05</v>
      </c>
      <c r="K1714" s="46">
        <f>Sales[[#This Row],[Gross Amount]]*Sales[[#This Row],[Disc %]]</f>
        <v>21729</v>
      </c>
      <c r="L1714" s="43">
        <v>0.18</v>
      </c>
      <c r="M1714" s="46">
        <f>(Sales[[#This Row],[Gross Amount]]-Sales[[#This Row],[Disc. Amt.]])*Sales[[#This Row],[GST %]]</f>
        <v>74313.179999999993</v>
      </c>
      <c r="N1714" s="161">
        <f>Sales[[#This Row],[Gross Amount]]-Sales[[#This Row],[Disc. Amt.]]+Sales[[#This Row],[GST Amount]]</f>
        <v>487164.18</v>
      </c>
      <c r="O1714" s="34" t="s">
        <v>3569</v>
      </c>
      <c r="P1714" s="34" t="s">
        <v>3562</v>
      </c>
      <c r="Q1714" s="165">
        <f>IF(Sales[[#This Row],[Status]]="Cancelled",0,Sales[[#This Row],[Qty]])</f>
        <v>6</v>
      </c>
      <c r="R1714" s="166">
        <f>IF(Sales[[#This Row],[Status]]="Cancelled",0,Sales[[#This Row],[Total Amount]])</f>
        <v>487164.18</v>
      </c>
      <c r="S1714" s="162">
        <f>SUM(Sales[Net Amount])</f>
        <v>406839287.73200053</v>
      </c>
    </row>
    <row r="1715" spans="1:19" ht="18.75" x14ac:dyDescent="0.25">
      <c r="A1715" s="156" t="s">
        <v>5324</v>
      </c>
      <c r="B1715" s="157">
        <v>45865</v>
      </c>
      <c r="C1715" s="158" t="s">
        <v>797</v>
      </c>
      <c r="D1715" s="159" t="str">
        <f>VLOOKUP(Sales[[#This Row],[Customer ID]],Customer[#All],2,0)</f>
        <v>Ankit Gupta</v>
      </c>
      <c r="E1715" s="158" t="s">
        <v>415</v>
      </c>
      <c r="F1715" s="158" t="str">
        <f>VLOOKUP(Sales[[#This Row],[Product ID]],Product[#All],2,0)</f>
        <v>American TouristerLaptopBag</v>
      </c>
      <c r="G1715" s="159">
        <v>8</v>
      </c>
      <c r="H1715" s="160">
        <f>VLOOKUP(Sales[[#This Row],[Product ID]],Product[#All],7,0)</f>
        <v>5180</v>
      </c>
      <c r="I1715" s="160">
        <f>Sales[[#This Row],[Selling Rate]]*Sales[[#This Row],[Qty]]</f>
        <v>41440</v>
      </c>
      <c r="J1715" s="43">
        <v>0.12</v>
      </c>
      <c r="K1715" s="44">
        <f>Sales[[#This Row],[Gross Amount]]*Sales[[#This Row],[Disc %]]</f>
        <v>4972.8</v>
      </c>
      <c r="L1715" s="43">
        <v>0.18</v>
      </c>
      <c r="M1715" s="44">
        <f>(Sales[[#This Row],[Gross Amount]]-Sales[[#This Row],[Disc. Amt.]])*Sales[[#This Row],[GST %]]</f>
        <v>6564.0959999999995</v>
      </c>
      <c r="N1715" s="161">
        <f>Sales[[#This Row],[Gross Amount]]-Sales[[#This Row],[Disc. Amt.]]+Sales[[#This Row],[GST Amount]]</f>
        <v>43031.295999999995</v>
      </c>
      <c r="O1715" s="158" t="s">
        <v>3566</v>
      </c>
      <c r="P1715" s="158" t="s">
        <v>3562</v>
      </c>
      <c r="Q1715" s="160">
        <f>IF(Sales[[#This Row],[Status]]="Cancelled",0,Sales[[#This Row],[Qty]])</f>
        <v>8</v>
      </c>
      <c r="R1715" s="161">
        <f>IF(Sales[[#This Row],[Status]]="Cancelled",0,Sales[[#This Row],[Total Amount]])</f>
        <v>43031.295999999995</v>
      </c>
      <c r="S1715" s="162">
        <f>SUM(Sales[Net Amount])</f>
        <v>406839287.73200053</v>
      </c>
    </row>
    <row r="1716" spans="1:19" ht="18.75" x14ac:dyDescent="0.25">
      <c r="A1716" s="163" t="s">
        <v>5325</v>
      </c>
      <c r="B1716" s="164">
        <v>45865</v>
      </c>
      <c r="C1716" s="34" t="s">
        <v>825</v>
      </c>
      <c r="D1716" s="53" t="str">
        <f>VLOOKUP(Sales[[#This Row],[Customer ID]],Customer[#All],2,0)</f>
        <v>Rahul Kumar</v>
      </c>
      <c r="E1716" s="34" t="s">
        <v>239</v>
      </c>
      <c r="F1716" s="34" t="str">
        <f>VLOOKUP(Sales[[#This Row],[Product ID]],Product[#All],2,0)</f>
        <v>Microtek UPS</v>
      </c>
      <c r="G1716" s="53">
        <v>6</v>
      </c>
      <c r="H1716" s="165">
        <f>VLOOKUP(Sales[[#This Row],[Product ID]],Product[#All],7,0)</f>
        <v>7570</v>
      </c>
      <c r="I1716" s="165">
        <f>Sales[[#This Row],[Selling Rate]]*Sales[[#This Row],[Qty]]</f>
        <v>45420</v>
      </c>
      <c r="J1716" s="45">
        <v>0</v>
      </c>
      <c r="K1716" s="46">
        <f>Sales[[#This Row],[Gross Amount]]*Sales[[#This Row],[Disc %]]</f>
        <v>0</v>
      </c>
      <c r="L1716" s="43">
        <v>0.18</v>
      </c>
      <c r="M1716" s="46">
        <f>(Sales[[#This Row],[Gross Amount]]-Sales[[#This Row],[Disc. Amt.]])*Sales[[#This Row],[GST %]]</f>
        <v>8175.5999999999995</v>
      </c>
      <c r="N1716" s="161">
        <f>Sales[[#This Row],[Gross Amount]]-Sales[[#This Row],[Disc. Amt.]]+Sales[[#This Row],[GST Amount]]</f>
        <v>53595.6</v>
      </c>
      <c r="O1716" s="34" t="s">
        <v>3566</v>
      </c>
      <c r="P1716" s="34" t="s">
        <v>3562</v>
      </c>
      <c r="Q1716" s="165">
        <f>IF(Sales[[#This Row],[Status]]="Cancelled",0,Sales[[#This Row],[Qty]])</f>
        <v>6</v>
      </c>
      <c r="R1716" s="166">
        <f>IF(Sales[[#This Row],[Status]]="Cancelled",0,Sales[[#This Row],[Total Amount]])</f>
        <v>53595.6</v>
      </c>
      <c r="S1716" s="162">
        <f>SUM(Sales[Net Amount])</f>
        <v>406839287.73200053</v>
      </c>
    </row>
    <row r="1717" spans="1:19" ht="18.75" x14ac:dyDescent="0.25">
      <c r="A1717" s="156" t="s">
        <v>5326</v>
      </c>
      <c r="B1717" s="157">
        <v>45865</v>
      </c>
      <c r="C1717" s="158" t="s">
        <v>863</v>
      </c>
      <c r="D1717" s="159" t="str">
        <f>VLOOKUP(Sales[[#This Row],[Customer ID]],Customer[#All],2,0)</f>
        <v>Sahil Sharma</v>
      </c>
      <c r="E1717" s="158" t="s">
        <v>40</v>
      </c>
      <c r="F1717" s="158" t="str">
        <f>VLOOKUP(Sales[[#This Row],[Product ID]],Product[#All],2,0)</f>
        <v>Boat Headset</v>
      </c>
      <c r="G1717" s="159">
        <v>6</v>
      </c>
      <c r="H1717" s="160">
        <f>VLOOKUP(Sales[[#This Row],[Product ID]],Product[#All],7,0)</f>
        <v>3470</v>
      </c>
      <c r="I1717" s="160">
        <f>Sales[[#This Row],[Selling Rate]]*Sales[[#This Row],[Qty]]</f>
        <v>20820</v>
      </c>
      <c r="J1717" s="43">
        <v>0.1</v>
      </c>
      <c r="K1717" s="44">
        <f>Sales[[#This Row],[Gross Amount]]*Sales[[#This Row],[Disc %]]</f>
        <v>2082</v>
      </c>
      <c r="L1717" s="43">
        <v>0.18</v>
      </c>
      <c r="M1717" s="44">
        <f>(Sales[[#This Row],[Gross Amount]]-Sales[[#This Row],[Disc. Amt.]])*Sales[[#This Row],[GST %]]</f>
        <v>3372.8399999999997</v>
      </c>
      <c r="N1717" s="161">
        <f>Sales[[#This Row],[Gross Amount]]-Sales[[#This Row],[Disc. Amt.]]+Sales[[#This Row],[GST Amount]]</f>
        <v>22110.84</v>
      </c>
      <c r="O1717" s="158" t="s">
        <v>3569</v>
      </c>
      <c r="P1717" s="158" t="s">
        <v>3562</v>
      </c>
      <c r="Q1717" s="160">
        <f>IF(Sales[[#This Row],[Status]]="Cancelled",0,Sales[[#This Row],[Qty]])</f>
        <v>6</v>
      </c>
      <c r="R1717" s="161">
        <f>IF(Sales[[#This Row],[Status]]="Cancelled",0,Sales[[#This Row],[Total Amount]])</f>
        <v>22110.84</v>
      </c>
      <c r="S1717" s="162">
        <f>SUM(Sales[Net Amount])</f>
        <v>406839287.73200053</v>
      </c>
    </row>
    <row r="1718" spans="1:19" ht="18.75" x14ac:dyDescent="0.25">
      <c r="A1718" s="163" t="s">
        <v>5327</v>
      </c>
      <c r="B1718" s="164">
        <v>45865</v>
      </c>
      <c r="C1718" s="34" t="s">
        <v>762</v>
      </c>
      <c r="D1718" s="53" t="str">
        <f>VLOOKUP(Sales[[#This Row],[Customer ID]],Customer[#All],2,0)</f>
        <v>Amit Patel</v>
      </c>
      <c r="E1718" s="34" t="s">
        <v>349</v>
      </c>
      <c r="F1718" s="34" t="str">
        <f>VLOOKUP(Sales[[#This Row],[Product ID]],Product[#All],2,0)</f>
        <v>Samsung Monitor</v>
      </c>
      <c r="G1718" s="53">
        <v>1</v>
      </c>
      <c r="H1718" s="165">
        <f>VLOOKUP(Sales[[#This Row],[Product ID]],Product[#All],7,0)</f>
        <v>11070</v>
      </c>
      <c r="I1718" s="165">
        <f>Sales[[#This Row],[Selling Rate]]*Sales[[#This Row],[Qty]]</f>
        <v>11070</v>
      </c>
      <c r="J1718" s="45">
        <v>0.05</v>
      </c>
      <c r="K1718" s="46">
        <f>Sales[[#This Row],[Gross Amount]]*Sales[[#This Row],[Disc %]]</f>
        <v>553.5</v>
      </c>
      <c r="L1718" s="43">
        <v>0.18</v>
      </c>
      <c r="M1718" s="46">
        <f>(Sales[[#This Row],[Gross Amount]]-Sales[[#This Row],[Disc. Amt.]])*Sales[[#This Row],[GST %]]</f>
        <v>1892.97</v>
      </c>
      <c r="N1718" s="161">
        <f>Sales[[#This Row],[Gross Amount]]-Sales[[#This Row],[Disc. Amt.]]+Sales[[#This Row],[GST Amount]]</f>
        <v>12409.47</v>
      </c>
      <c r="O1718" s="34" t="s">
        <v>3561</v>
      </c>
      <c r="P1718" s="34" t="s">
        <v>3562</v>
      </c>
      <c r="Q1718" s="165">
        <f>IF(Sales[[#This Row],[Status]]="Cancelled",0,Sales[[#This Row],[Qty]])</f>
        <v>1</v>
      </c>
      <c r="R1718" s="166">
        <f>IF(Sales[[#This Row],[Status]]="Cancelled",0,Sales[[#This Row],[Total Amount]])</f>
        <v>12409.47</v>
      </c>
      <c r="S1718" s="162">
        <f>SUM(Sales[Net Amount])</f>
        <v>406839287.73200053</v>
      </c>
    </row>
    <row r="1719" spans="1:19" ht="18.75" x14ac:dyDescent="0.25">
      <c r="A1719" s="156" t="s">
        <v>5328</v>
      </c>
      <c r="B1719" s="157">
        <v>45865</v>
      </c>
      <c r="C1719" s="158" t="s">
        <v>926</v>
      </c>
      <c r="D1719" s="159" t="str">
        <f>VLOOKUP(Sales[[#This Row],[Customer ID]],Customer[#All],2,0)</f>
        <v>Pooja Singh</v>
      </c>
      <c r="E1719" s="158" t="s">
        <v>354</v>
      </c>
      <c r="F1719" s="158" t="str">
        <f>VLOOKUP(Sales[[#This Row],[Product ID]],Product[#All],2,0)</f>
        <v>Dell Monitor</v>
      </c>
      <c r="G1719" s="159">
        <v>3</v>
      </c>
      <c r="H1719" s="160">
        <f>VLOOKUP(Sales[[#This Row],[Product ID]],Product[#All],7,0)</f>
        <v>12450</v>
      </c>
      <c r="I1719" s="160">
        <f>Sales[[#This Row],[Selling Rate]]*Sales[[#This Row],[Qty]]</f>
        <v>37350</v>
      </c>
      <c r="J1719" s="43">
        <v>0</v>
      </c>
      <c r="K1719" s="44">
        <f>Sales[[#This Row],[Gross Amount]]*Sales[[#This Row],[Disc %]]</f>
        <v>0</v>
      </c>
      <c r="L1719" s="43">
        <v>0.18</v>
      </c>
      <c r="M1719" s="44">
        <f>(Sales[[#This Row],[Gross Amount]]-Sales[[#This Row],[Disc. Amt.]])*Sales[[#This Row],[GST %]]</f>
        <v>6723</v>
      </c>
      <c r="N1719" s="161">
        <f>Sales[[#This Row],[Gross Amount]]-Sales[[#This Row],[Disc. Amt.]]+Sales[[#This Row],[GST Amount]]</f>
        <v>44073</v>
      </c>
      <c r="O1719" s="158" t="s">
        <v>3561</v>
      </c>
      <c r="P1719" s="158" t="s">
        <v>1040</v>
      </c>
      <c r="Q1719" s="160">
        <f>IF(Sales[[#This Row],[Status]]="Cancelled",0,Sales[[#This Row],[Qty]])</f>
        <v>0</v>
      </c>
      <c r="R1719" s="161">
        <f>IF(Sales[[#This Row],[Status]]="Cancelled",0,Sales[[#This Row],[Total Amount]])</f>
        <v>0</v>
      </c>
      <c r="S1719" s="162">
        <f>SUM(Sales[Net Amount])</f>
        <v>406839287.73200053</v>
      </c>
    </row>
    <row r="1720" spans="1:19" ht="18.75" x14ac:dyDescent="0.25">
      <c r="A1720" s="163" t="s">
        <v>5329</v>
      </c>
      <c r="B1720" s="164">
        <v>45865</v>
      </c>
      <c r="C1720" s="34" t="s">
        <v>691</v>
      </c>
      <c r="D1720" s="53" t="str">
        <f>VLOOKUP(Sales[[#This Row],[Customer ID]],Customer[#All],2,0)</f>
        <v>Pooja Patel</v>
      </c>
      <c r="E1720" s="34" t="s">
        <v>257</v>
      </c>
      <c r="F1720" s="34" t="str">
        <f>VLOOKUP(Sales[[#This Row],[Product ID]],Product[#All],2,0)</f>
        <v>Epson Printer</v>
      </c>
      <c r="G1720" s="53">
        <v>6</v>
      </c>
      <c r="H1720" s="165">
        <f>VLOOKUP(Sales[[#This Row],[Product ID]],Product[#All],7,0)</f>
        <v>15720</v>
      </c>
      <c r="I1720" s="165">
        <f>Sales[[#This Row],[Selling Rate]]*Sales[[#This Row],[Qty]]</f>
        <v>94320</v>
      </c>
      <c r="J1720" s="45">
        <v>0.12</v>
      </c>
      <c r="K1720" s="46">
        <f>Sales[[#This Row],[Gross Amount]]*Sales[[#This Row],[Disc %]]</f>
        <v>11318.4</v>
      </c>
      <c r="L1720" s="43">
        <v>0.18</v>
      </c>
      <c r="M1720" s="46">
        <f>(Sales[[#This Row],[Gross Amount]]-Sales[[#This Row],[Disc. Amt.]])*Sales[[#This Row],[GST %]]</f>
        <v>14940.288</v>
      </c>
      <c r="N1720" s="161">
        <f>Sales[[#This Row],[Gross Amount]]-Sales[[#This Row],[Disc. Amt.]]+Sales[[#This Row],[GST Amount]]</f>
        <v>97941.888000000006</v>
      </c>
      <c r="O1720" s="34" t="s">
        <v>3561</v>
      </c>
      <c r="P1720" s="34" t="s">
        <v>3562</v>
      </c>
      <c r="Q1720" s="165">
        <f>IF(Sales[[#This Row],[Status]]="Cancelled",0,Sales[[#This Row],[Qty]])</f>
        <v>6</v>
      </c>
      <c r="R1720" s="166">
        <f>IF(Sales[[#This Row],[Status]]="Cancelled",0,Sales[[#This Row],[Total Amount]])</f>
        <v>97941.888000000006</v>
      </c>
      <c r="S1720" s="162">
        <f>SUM(Sales[Net Amount])</f>
        <v>406839287.73200053</v>
      </c>
    </row>
    <row r="1721" spans="1:19" ht="18.75" x14ac:dyDescent="0.25">
      <c r="A1721" s="156" t="s">
        <v>5330</v>
      </c>
      <c r="B1721" s="157">
        <v>45865</v>
      </c>
      <c r="C1721" s="158" t="s">
        <v>748</v>
      </c>
      <c r="D1721" s="159" t="str">
        <f>VLOOKUP(Sales[[#This Row],[Customer ID]],Customer[#All],2,0)</f>
        <v>Priya Singh</v>
      </c>
      <c r="E1721" s="158" t="s">
        <v>472</v>
      </c>
      <c r="F1721" s="158" t="str">
        <f>VLOOKUP(Sales[[#This Row],[Product ID]],Product[#All],2,0)</f>
        <v>Seagate HDD</v>
      </c>
      <c r="G1721" s="159">
        <v>8</v>
      </c>
      <c r="H1721" s="160">
        <f>VLOOKUP(Sales[[#This Row],[Product ID]],Product[#All],7,0)</f>
        <v>6840</v>
      </c>
      <c r="I1721" s="160">
        <f>Sales[[#This Row],[Selling Rate]]*Sales[[#This Row],[Qty]]</f>
        <v>54720</v>
      </c>
      <c r="J1721" s="43">
        <v>0.05</v>
      </c>
      <c r="K1721" s="44">
        <f>Sales[[#This Row],[Gross Amount]]*Sales[[#This Row],[Disc %]]</f>
        <v>2736</v>
      </c>
      <c r="L1721" s="43">
        <v>0.18</v>
      </c>
      <c r="M1721" s="44">
        <f>(Sales[[#This Row],[Gross Amount]]-Sales[[#This Row],[Disc. Amt.]])*Sales[[#This Row],[GST %]]</f>
        <v>9357.119999999999</v>
      </c>
      <c r="N1721" s="161">
        <f>Sales[[#This Row],[Gross Amount]]-Sales[[#This Row],[Disc. Amt.]]+Sales[[#This Row],[GST Amount]]</f>
        <v>61341.119999999995</v>
      </c>
      <c r="O1721" s="158" t="s">
        <v>8876</v>
      </c>
      <c r="P1721" s="158" t="s">
        <v>3562</v>
      </c>
      <c r="Q1721" s="160">
        <f>IF(Sales[[#This Row],[Status]]="Cancelled",0,Sales[[#This Row],[Qty]])</f>
        <v>8</v>
      </c>
      <c r="R1721" s="161">
        <f>IF(Sales[[#This Row],[Status]]="Cancelled",0,Sales[[#This Row],[Total Amount]])</f>
        <v>61341.119999999995</v>
      </c>
      <c r="S1721" s="162">
        <f>SUM(Sales[Net Amount])</f>
        <v>406839287.73200053</v>
      </c>
    </row>
    <row r="1722" spans="1:19" ht="18.75" x14ac:dyDescent="0.25">
      <c r="A1722" s="163" t="s">
        <v>5331</v>
      </c>
      <c r="B1722" s="164">
        <v>45865</v>
      </c>
      <c r="C1722" s="34" t="s">
        <v>3879</v>
      </c>
      <c r="D1722" s="53" t="str">
        <f>VLOOKUP(Sales[[#This Row],[Customer ID]],Customer[#All],2,0)</f>
        <v>Rakesh Kumar</v>
      </c>
      <c r="E1722" s="34" t="s">
        <v>261</v>
      </c>
      <c r="F1722" s="34" t="str">
        <f>VLOOKUP(Sales[[#This Row],[Product ID]],Product[#All],2,0)</f>
        <v>American TouristerLaptopBag</v>
      </c>
      <c r="G1722" s="53">
        <v>7</v>
      </c>
      <c r="H1722" s="165">
        <f>VLOOKUP(Sales[[#This Row],[Product ID]],Product[#All],7,0)</f>
        <v>1320</v>
      </c>
      <c r="I1722" s="165">
        <f>Sales[[#This Row],[Selling Rate]]*Sales[[#This Row],[Qty]]</f>
        <v>9240</v>
      </c>
      <c r="J1722" s="45">
        <v>0.05</v>
      </c>
      <c r="K1722" s="46">
        <f>Sales[[#This Row],[Gross Amount]]*Sales[[#This Row],[Disc %]]</f>
        <v>462</v>
      </c>
      <c r="L1722" s="43">
        <v>0.18</v>
      </c>
      <c r="M1722" s="46">
        <f>(Sales[[#This Row],[Gross Amount]]-Sales[[#This Row],[Disc. Amt.]])*Sales[[#This Row],[GST %]]</f>
        <v>1580.04</v>
      </c>
      <c r="N1722" s="161">
        <f>Sales[[#This Row],[Gross Amount]]-Sales[[#This Row],[Disc. Amt.]]+Sales[[#This Row],[GST Amount]]</f>
        <v>10358.040000000001</v>
      </c>
      <c r="O1722" s="34" t="s">
        <v>3561</v>
      </c>
      <c r="P1722" s="34" t="s">
        <v>3562</v>
      </c>
      <c r="Q1722" s="165">
        <f>IF(Sales[[#This Row],[Status]]="Cancelled",0,Sales[[#This Row],[Qty]])</f>
        <v>7</v>
      </c>
      <c r="R1722" s="166">
        <f>IF(Sales[[#This Row],[Status]]="Cancelled",0,Sales[[#This Row],[Total Amount]])</f>
        <v>10358.040000000001</v>
      </c>
      <c r="S1722" s="162">
        <f>SUM(Sales[Net Amount])</f>
        <v>406839287.73200053</v>
      </c>
    </row>
    <row r="1723" spans="1:19" ht="18.75" x14ac:dyDescent="0.25">
      <c r="A1723" s="156" t="s">
        <v>5332</v>
      </c>
      <c r="B1723" s="157">
        <v>45865</v>
      </c>
      <c r="C1723" s="158" t="s">
        <v>657</v>
      </c>
      <c r="D1723" s="159" t="str">
        <f>VLOOKUP(Sales[[#This Row],[Customer ID]],Customer[#All],2,0)</f>
        <v>Rahul Verma</v>
      </c>
      <c r="E1723" s="158" t="s">
        <v>188</v>
      </c>
      <c r="F1723" s="158" t="str">
        <f>VLOOKUP(Sales[[#This Row],[Product ID]],Product[#All],2,0)</f>
        <v>Crucial Ssd</v>
      </c>
      <c r="G1723" s="159">
        <v>8</v>
      </c>
      <c r="H1723" s="160">
        <f>VLOOKUP(Sales[[#This Row],[Product ID]],Product[#All],7,0)</f>
        <v>14390</v>
      </c>
      <c r="I1723" s="160">
        <f>Sales[[#This Row],[Selling Rate]]*Sales[[#This Row],[Qty]]</f>
        <v>115120</v>
      </c>
      <c r="J1723" s="43">
        <v>0.12</v>
      </c>
      <c r="K1723" s="44">
        <f>Sales[[#This Row],[Gross Amount]]*Sales[[#This Row],[Disc %]]</f>
        <v>13814.4</v>
      </c>
      <c r="L1723" s="43">
        <v>0.18</v>
      </c>
      <c r="M1723" s="44">
        <f>(Sales[[#This Row],[Gross Amount]]-Sales[[#This Row],[Disc. Amt.]])*Sales[[#This Row],[GST %]]</f>
        <v>18235.008000000002</v>
      </c>
      <c r="N1723" s="161">
        <f>Sales[[#This Row],[Gross Amount]]-Sales[[#This Row],[Disc. Amt.]]+Sales[[#This Row],[GST Amount]]</f>
        <v>119540.60800000001</v>
      </c>
      <c r="O1723" s="158" t="s">
        <v>3569</v>
      </c>
      <c r="P1723" s="158" t="s">
        <v>3562</v>
      </c>
      <c r="Q1723" s="160">
        <f>IF(Sales[[#This Row],[Status]]="Cancelled",0,Sales[[#This Row],[Qty]])</f>
        <v>8</v>
      </c>
      <c r="R1723" s="161">
        <f>IF(Sales[[#This Row],[Status]]="Cancelled",0,Sales[[#This Row],[Total Amount]])</f>
        <v>119540.60800000001</v>
      </c>
      <c r="S1723" s="162">
        <f>SUM(Sales[Net Amount])</f>
        <v>406839287.73200053</v>
      </c>
    </row>
    <row r="1724" spans="1:19" ht="18.75" x14ac:dyDescent="0.25">
      <c r="A1724" s="163" t="s">
        <v>5333</v>
      </c>
      <c r="B1724" s="164">
        <v>45865</v>
      </c>
      <c r="C1724" s="34" t="s">
        <v>799</v>
      </c>
      <c r="D1724" s="53" t="str">
        <f>VLOOKUP(Sales[[#This Row],[Customer ID]],Customer[#All],2,0)</f>
        <v>Rakesh Gupta</v>
      </c>
      <c r="E1724" s="34" t="s">
        <v>203</v>
      </c>
      <c r="F1724" s="34" t="str">
        <f>VLOOKUP(Sales[[#This Row],[Product ID]],Product[#All],2,0)</f>
        <v>Logitech Mouse</v>
      </c>
      <c r="G1724" s="53">
        <v>8</v>
      </c>
      <c r="H1724" s="165">
        <f>VLOOKUP(Sales[[#This Row],[Product ID]],Product[#All],7,0)</f>
        <v>2110</v>
      </c>
      <c r="I1724" s="165">
        <f>Sales[[#This Row],[Selling Rate]]*Sales[[#This Row],[Qty]]</f>
        <v>16880</v>
      </c>
      <c r="J1724" s="45">
        <v>0.02</v>
      </c>
      <c r="K1724" s="46">
        <f>Sales[[#This Row],[Gross Amount]]*Sales[[#This Row],[Disc %]]</f>
        <v>337.6</v>
      </c>
      <c r="L1724" s="43">
        <v>0.18</v>
      </c>
      <c r="M1724" s="46">
        <f>(Sales[[#This Row],[Gross Amount]]-Sales[[#This Row],[Disc. Amt.]])*Sales[[#This Row],[GST %]]</f>
        <v>2977.6320000000001</v>
      </c>
      <c r="N1724" s="161">
        <f>Sales[[#This Row],[Gross Amount]]-Sales[[#This Row],[Disc. Amt.]]+Sales[[#This Row],[GST Amount]]</f>
        <v>19520.032000000003</v>
      </c>
      <c r="O1724" s="34" t="s">
        <v>3569</v>
      </c>
      <c r="P1724" s="34" t="s">
        <v>3562</v>
      </c>
      <c r="Q1724" s="165">
        <f>IF(Sales[[#This Row],[Status]]="Cancelled",0,Sales[[#This Row],[Qty]])</f>
        <v>8</v>
      </c>
      <c r="R1724" s="166">
        <f>IF(Sales[[#This Row],[Status]]="Cancelled",0,Sales[[#This Row],[Total Amount]])</f>
        <v>19520.032000000003</v>
      </c>
      <c r="S1724" s="162">
        <f>SUM(Sales[Net Amount])</f>
        <v>406839287.73200053</v>
      </c>
    </row>
    <row r="1725" spans="1:19" ht="18.75" x14ac:dyDescent="0.25">
      <c r="A1725" s="156" t="s">
        <v>5334</v>
      </c>
      <c r="B1725" s="157">
        <v>45865</v>
      </c>
      <c r="C1725" s="158" t="s">
        <v>786</v>
      </c>
      <c r="D1725" s="159" t="str">
        <f>VLOOKUP(Sales[[#This Row],[Customer ID]],Customer[#All],2,0)</f>
        <v>Pooja Kumar</v>
      </c>
      <c r="E1725" s="158" t="s">
        <v>248</v>
      </c>
      <c r="F1725" s="158" t="str">
        <f>VLOOKUP(Sales[[#This Row],[Product ID]],Product[#All],2,0)</f>
        <v>Amazon Basics Hdmi Cable</v>
      </c>
      <c r="G1725" s="159">
        <v>2</v>
      </c>
      <c r="H1725" s="160">
        <f>VLOOKUP(Sales[[#This Row],[Product ID]],Product[#All],7,0)</f>
        <v>980</v>
      </c>
      <c r="I1725" s="160">
        <f>Sales[[#This Row],[Selling Rate]]*Sales[[#This Row],[Qty]]</f>
        <v>1960</v>
      </c>
      <c r="J1725" s="43">
        <v>0.12</v>
      </c>
      <c r="K1725" s="44">
        <f>Sales[[#This Row],[Gross Amount]]*Sales[[#This Row],[Disc %]]</f>
        <v>235.2</v>
      </c>
      <c r="L1725" s="43">
        <v>0.18</v>
      </c>
      <c r="M1725" s="44">
        <f>(Sales[[#This Row],[Gross Amount]]-Sales[[#This Row],[Disc. Amt.]])*Sales[[#This Row],[GST %]]</f>
        <v>310.464</v>
      </c>
      <c r="N1725" s="161">
        <f>Sales[[#This Row],[Gross Amount]]-Sales[[#This Row],[Disc. Amt.]]+Sales[[#This Row],[GST Amount]]</f>
        <v>2035.2639999999999</v>
      </c>
      <c r="O1725" s="158" t="s">
        <v>3561</v>
      </c>
      <c r="P1725" s="158" t="s">
        <v>3562</v>
      </c>
      <c r="Q1725" s="160">
        <f>IF(Sales[[#This Row],[Status]]="Cancelled",0,Sales[[#This Row],[Qty]])</f>
        <v>2</v>
      </c>
      <c r="R1725" s="161">
        <f>IF(Sales[[#This Row],[Status]]="Cancelled",0,Sales[[#This Row],[Total Amount]])</f>
        <v>2035.2639999999999</v>
      </c>
      <c r="S1725" s="162">
        <f>SUM(Sales[Net Amount])</f>
        <v>406839287.73200053</v>
      </c>
    </row>
    <row r="1726" spans="1:19" ht="18.75" x14ac:dyDescent="0.25">
      <c r="A1726" s="163" t="s">
        <v>5335</v>
      </c>
      <c r="B1726" s="164">
        <v>45865</v>
      </c>
      <c r="C1726" s="34" t="s">
        <v>894</v>
      </c>
      <c r="D1726" s="53" t="str">
        <f>VLOOKUP(Sales[[#This Row],[Customer ID]],Customer[#All],2,0)</f>
        <v>Sunita Patel</v>
      </c>
      <c r="E1726" s="34" t="s">
        <v>152</v>
      </c>
      <c r="F1726" s="34" t="str">
        <f>VLOOKUP(Sales[[#This Row],[Product ID]],Product[#All],2,0)</f>
        <v>Acer Laptop</v>
      </c>
      <c r="G1726" s="53">
        <v>5</v>
      </c>
      <c r="H1726" s="165">
        <f>VLOOKUP(Sales[[#This Row],[Product ID]],Product[#All],7,0)</f>
        <v>33410</v>
      </c>
      <c r="I1726" s="165">
        <f>Sales[[#This Row],[Selling Rate]]*Sales[[#This Row],[Qty]]</f>
        <v>167050</v>
      </c>
      <c r="J1726" s="45">
        <v>0</v>
      </c>
      <c r="K1726" s="46">
        <f>Sales[[#This Row],[Gross Amount]]*Sales[[#This Row],[Disc %]]</f>
        <v>0</v>
      </c>
      <c r="L1726" s="43">
        <v>0.18</v>
      </c>
      <c r="M1726" s="46">
        <f>(Sales[[#This Row],[Gross Amount]]-Sales[[#This Row],[Disc. Amt.]])*Sales[[#This Row],[GST %]]</f>
        <v>30069</v>
      </c>
      <c r="N1726" s="161">
        <f>Sales[[#This Row],[Gross Amount]]-Sales[[#This Row],[Disc. Amt.]]+Sales[[#This Row],[GST Amount]]</f>
        <v>197119</v>
      </c>
      <c r="O1726" s="34" t="s">
        <v>3566</v>
      </c>
      <c r="P1726" s="34" t="s">
        <v>3562</v>
      </c>
      <c r="Q1726" s="165">
        <f>IF(Sales[[#This Row],[Status]]="Cancelled",0,Sales[[#This Row],[Qty]])</f>
        <v>5</v>
      </c>
      <c r="R1726" s="166">
        <f>IF(Sales[[#This Row],[Status]]="Cancelled",0,Sales[[#This Row],[Total Amount]])</f>
        <v>197119</v>
      </c>
      <c r="S1726" s="162">
        <f>SUM(Sales[Net Amount])</f>
        <v>406839287.73200053</v>
      </c>
    </row>
    <row r="1727" spans="1:19" ht="18.75" x14ac:dyDescent="0.25">
      <c r="A1727" s="156" t="s">
        <v>5336</v>
      </c>
      <c r="B1727" s="157">
        <v>45865</v>
      </c>
      <c r="C1727" s="158" t="s">
        <v>699</v>
      </c>
      <c r="D1727" s="159" t="str">
        <f>VLOOKUP(Sales[[#This Row],[Customer ID]],Customer[#All],2,0)</f>
        <v>Amit Singh</v>
      </c>
      <c r="E1727" s="158" t="s">
        <v>26</v>
      </c>
      <c r="F1727" s="158" t="str">
        <f>VLOOKUP(Sales[[#This Row],[Product ID]],Product[#All],2,0)</f>
        <v>Lg Monitor</v>
      </c>
      <c r="G1727" s="159">
        <v>3</v>
      </c>
      <c r="H1727" s="160">
        <f>VLOOKUP(Sales[[#This Row],[Product ID]],Product[#All],7,0)</f>
        <v>21600</v>
      </c>
      <c r="I1727" s="160">
        <f>Sales[[#This Row],[Selling Rate]]*Sales[[#This Row],[Qty]]</f>
        <v>64800</v>
      </c>
      <c r="J1727" s="43">
        <v>0.05</v>
      </c>
      <c r="K1727" s="44">
        <f>Sales[[#This Row],[Gross Amount]]*Sales[[#This Row],[Disc %]]</f>
        <v>3240</v>
      </c>
      <c r="L1727" s="43">
        <v>0.18</v>
      </c>
      <c r="M1727" s="44">
        <f>(Sales[[#This Row],[Gross Amount]]-Sales[[#This Row],[Disc. Amt.]])*Sales[[#This Row],[GST %]]</f>
        <v>11080.8</v>
      </c>
      <c r="N1727" s="161">
        <f>Sales[[#This Row],[Gross Amount]]-Sales[[#This Row],[Disc. Amt.]]+Sales[[#This Row],[GST Amount]]</f>
        <v>72640.800000000003</v>
      </c>
      <c r="O1727" s="158" t="s">
        <v>3561</v>
      </c>
      <c r="P1727" s="158" t="s">
        <v>3562</v>
      </c>
      <c r="Q1727" s="160">
        <f>IF(Sales[[#This Row],[Status]]="Cancelled",0,Sales[[#This Row],[Qty]])</f>
        <v>3</v>
      </c>
      <c r="R1727" s="161">
        <f>IF(Sales[[#This Row],[Status]]="Cancelled",0,Sales[[#This Row],[Total Amount]])</f>
        <v>72640.800000000003</v>
      </c>
      <c r="S1727" s="162">
        <f>SUM(Sales[Net Amount])</f>
        <v>406839287.73200053</v>
      </c>
    </row>
    <row r="1728" spans="1:19" ht="18.75" x14ac:dyDescent="0.25">
      <c r="A1728" s="163" t="s">
        <v>5337</v>
      </c>
      <c r="B1728" s="164">
        <v>45865</v>
      </c>
      <c r="C1728" s="34" t="s">
        <v>3601</v>
      </c>
      <c r="D1728" s="53" t="str">
        <f>VLOOKUP(Sales[[#This Row],[Customer ID]],Customer[#All],2,0)</f>
        <v>Rahul Singh</v>
      </c>
      <c r="E1728" s="34" t="s">
        <v>375</v>
      </c>
      <c r="F1728" s="34" t="str">
        <f>VLOOKUP(Sales[[#This Row],[Product ID]],Product[#All],2,0)</f>
        <v>American TouristerLaptopBag</v>
      </c>
      <c r="G1728" s="53">
        <v>4</v>
      </c>
      <c r="H1728" s="165">
        <f>VLOOKUP(Sales[[#This Row],[Product ID]],Product[#All],7,0)</f>
        <v>4990</v>
      </c>
      <c r="I1728" s="165">
        <f>Sales[[#This Row],[Selling Rate]]*Sales[[#This Row],[Qty]]</f>
        <v>19960</v>
      </c>
      <c r="J1728" s="45">
        <v>0.05</v>
      </c>
      <c r="K1728" s="46">
        <f>Sales[[#This Row],[Gross Amount]]*Sales[[#This Row],[Disc %]]</f>
        <v>998</v>
      </c>
      <c r="L1728" s="43">
        <v>0.18</v>
      </c>
      <c r="M1728" s="46">
        <f>(Sales[[#This Row],[Gross Amount]]-Sales[[#This Row],[Disc. Amt.]])*Sales[[#This Row],[GST %]]</f>
        <v>3413.16</v>
      </c>
      <c r="N1728" s="161">
        <f>Sales[[#This Row],[Gross Amount]]-Sales[[#This Row],[Disc. Amt.]]+Sales[[#This Row],[GST Amount]]</f>
        <v>22375.16</v>
      </c>
      <c r="O1728" s="34" t="s">
        <v>3566</v>
      </c>
      <c r="P1728" s="34" t="s">
        <v>3562</v>
      </c>
      <c r="Q1728" s="165">
        <f>IF(Sales[[#This Row],[Status]]="Cancelled",0,Sales[[#This Row],[Qty]])</f>
        <v>4</v>
      </c>
      <c r="R1728" s="166">
        <f>IF(Sales[[#This Row],[Status]]="Cancelled",0,Sales[[#This Row],[Total Amount]])</f>
        <v>22375.16</v>
      </c>
      <c r="S1728" s="162">
        <f>SUM(Sales[Net Amount])</f>
        <v>406839287.73200053</v>
      </c>
    </row>
    <row r="1729" spans="1:19" ht="18.75" x14ac:dyDescent="0.25">
      <c r="A1729" s="156" t="s">
        <v>5338</v>
      </c>
      <c r="B1729" s="157">
        <v>45865</v>
      </c>
      <c r="C1729" s="158" t="s">
        <v>910</v>
      </c>
      <c r="D1729" s="159" t="str">
        <f>VLOOKUP(Sales[[#This Row],[Customer ID]],Customer[#All],2,0)</f>
        <v>Sahil Sharma</v>
      </c>
      <c r="E1729" s="158" t="s">
        <v>454</v>
      </c>
      <c r="F1729" s="158" t="str">
        <f>VLOOKUP(Sales[[#This Row],[Product ID]],Product[#All],2,0)</f>
        <v>Dell Monitor</v>
      </c>
      <c r="G1729" s="159">
        <v>5</v>
      </c>
      <c r="H1729" s="160">
        <f>VLOOKUP(Sales[[#This Row],[Product ID]],Product[#All],7,0)</f>
        <v>16760</v>
      </c>
      <c r="I1729" s="160">
        <f>Sales[[#This Row],[Selling Rate]]*Sales[[#This Row],[Qty]]</f>
        <v>83800</v>
      </c>
      <c r="J1729" s="43">
        <v>0</v>
      </c>
      <c r="K1729" s="44">
        <f>Sales[[#This Row],[Gross Amount]]*Sales[[#This Row],[Disc %]]</f>
        <v>0</v>
      </c>
      <c r="L1729" s="43">
        <v>0.18</v>
      </c>
      <c r="M1729" s="44">
        <f>(Sales[[#This Row],[Gross Amount]]-Sales[[#This Row],[Disc. Amt.]])*Sales[[#This Row],[GST %]]</f>
        <v>15084</v>
      </c>
      <c r="N1729" s="161">
        <f>Sales[[#This Row],[Gross Amount]]-Sales[[#This Row],[Disc. Amt.]]+Sales[[#This Row],[GST Amount]]</f>
        <v>98884</v>
      </c>
      <c r="O1729" s="158" t="s">
        <v>8876</v>
      </c>
      <c r="P1729" s="158" t="s">
        <v>3562</v>
      </c>
      <c r="Q1729" s="160">
        <f>IF(Sales[[#This Row],[Status]]="Cancelled",0,Sales[[#This Row],[Qty]])</f>
        <v>5</v>
      </c>
      <c r="R1729" s="161">
        <f>IF(Sales[[#This Row],[Status]]="Cancelled",0,Sales[[#This Row],[Total Amount]])</f>
        <v>98884</v>
      </c>
      <c r="S1729" s="162">
        <f>SUM(Sales[Net Amount])</f>
        <v>406839287.73200053</v>
      </c>
    </row>
    <row r="1730" spans="1:19" ht="18.75" x14ac:dyDescent="0.25">
      <c r="A1730" s="163" t="s">
        <v>5339</v>
      </c>
      <c r="B1730" s="164">
        <v>45865</v>
      </c>
      <c r="C1730" s="34" t="s">
        <v>941</v>
      </c>
      <c r="D1730" s="53" t="str">
        <f>VLOOKUP(Sales[[#This Row],[Customer ID]],Customer[#All],2,0)</f>
        <v>Sahil Verma</v>
      </c>
      <c r="E1730" s="34" t="s">
        <v>372</v>
      </c>
      <c r="F1730" s="34" t="str">
        <f>VLOOKUP(Sales[[#This Row],[Product ID]],Product[#All],2,0)</f>
        <v>Sandisk Pen Drive</v>
      </c>
      <c r="G1730" s="53">
        <v>2</v>
      </c>
      <c r="H1730" s="165">
        <f>VLOOKUP(Sales[[#This Row],[Product ID]],Product[#All],7,0)</f>
        <v>580</v>
      </c>
      <c r="I1730" s="165">
        <f>Sales[[#This Row],[Selling Rate]]*Sales[[#This Row],[Qty]]</f>
        <v>1160</v>
      </c>
      <c r="J1730" s="45">
        <v>0</v>
      </c>
      <c r="K1730" s="46">
        <f>Sales[[#This Row],[Gross Amount]]*Sales[[#This Row],[Disc %]]</f>
        <v>0</v>
      </c>
      <c r="L1730" s="43">
        <v>0.18</v>
      </c>
      <c r="M1730" s="46">
        <f>(Sales[[#This Row],[Gross Amount]]-Sales[[#This Row],[Disc. Amt.]])*Sales[[#This Row],[GST %]]</f>
        <v>208.79999999999998</v>
      </c>
      <c r="N1730" s="161">
        <f>Sales[[#This Row],[Gross Amount]]-Sales[[#This Row],[Disc. Amt.]]+Sales[[#This Row],[GST Amount]]</f>
        <v>1368.8</v>
      </c>
      <c r="O1730" s="34" t="s">
        <v>3566</v>
      </c>
      <c r="P1730" s="34" t="s">
        <v>3562</v>
      </c>
      <c r="Q1730" s="165">
        <f>IF(Sales[[#This Row],[Status]]="Cancelled",0,Sales[[#This Row],[Qty]])</f>
        <v>2</v>
      </c>
      <c r="R1730" s="166">
        <f>IF(Sales[[#This Row],[Status]]="Cancelled",0,Sales[[#This Row],[Total Amount]])</f>
        <v>1368.8</v>
      </c>
      <c r="S1730" s="162">
        <f>SUM(Sales[Net Amount])</f>
        <v>406839287.73200053</v>
      </c>
    </row>
    <row r="1731" spans="1:19" ht="18.75" x14ac:dyDescent="0.25">
      <c r="A1731" s="156" t="s">
        <v>5340</v>
      </c>
      <c r="B1731" s="157">
        <v>45865</v>
      </c>
      <c r="C1731" s="158" t="s">
        <v>918</v>
      </c>
      <c r="D1731" s="159" t="str">
        <f>VLOOKUP(Sales[[#This Row],[Customer ID]],Customer[#All],2,0)</f>
        <v>Pooja Patel</v>
      </c>
      <c r="E1731" s="158" t="s">
        <v>554</v>
      </c>
      <c r="F1731" s="158" t="str">
        <f>VLOOKUP(Sales[[#This Row],[Product ID]],Product[#All],2,0)</f>
        <v>TP-link Router</v>
      </c>
      <c r="G1731" s="159">
        <v>6</v>
      </c>
      <c r="H1731" s="160">
        <f>VLOOKUP(Sales[[#This Row],[Product ID]],Product[#All],7,0)</f>
        <v>6320</v>
      </c>
      <c r="I1731" s="160">
        <f>Sales[[#This Row],[Selling Rate]]*Sales[[#This Row],[Qty]]</f>
        <v>37920</v>
      </c>
      <c r="J1731" s="43">
        <v>0</v>
      </c>
      <c r="K1731" s="44">
        <f>Sales[[#This Row],[Gross Amount]]*Sales[[#This Row],[Disc %]]</f>
        <v>0</v>
      </c>
      <c r="L1731" s="43">
        <v>0.18</v>
      </c>
      <c r="M1731" s="44">
        <f>(Sales[[#This Row],[Gross Amount]]-Sales[[#This Row],[Disc. Amt.]])*Sales[[#This Row],[GST %]]</f>
        <v>6825.5999999999995</v>
      </c>
      <c r="N1731" s="161">
        <f>Sales[[#This Row],[Gross Amount]]-Sales[[#This Row],[Disc. Amt.]]+Sales[[#This Row],[GST Amount]]</f>
        <v>44745.599999999999</v>
      </c>
      <c r="O1731" s="158" t="s">
        <v>8876</v>
      </c>
      <c r="P1731" s="158" t="s">
        <v>3562</v>
      </c>
      <c r="Q1731" s="160">
        <f>IF(Sales[[#This Row],[Status]]="Cancelled",0,Sales[[#This Row],[Qty]])</f>
        <v>6</v>
      </c>
      <c r="R1731" s="161">
        <f>IF(Sales[[#This Row],[Status]]="Cancelled",0,Sales[[#This Row],[Total Amount]])</f>
        <v>44745.599999999999</v>
      </c>
      <c r="S1731" s="162">
        <f>SUM(Sales[Net Amount])</f>
        <v>406839287.73200053</v>
      </c>
    </row>
    <row r="1732" spans="1:19" ht="18.75" x14ac:dyDescent="0.25">
      <c r="A1732" s="163" t="s">
        <v>5341</v>
      </c>
      <c r="B1732" s="164">
        <v>45865</v>
      </c>
      <c r="C1732" s="34" t="s">
        <v>948</v>
      </c>
      <c r="D1732" s="53" t="str">
        <f>VLOOKUP(Sales[[#This Row],[Customer ID]],Customer[#All],2,0)</f>
        <v>Pooja Patel</v>
      </c>
      <c r="E1732" s="34" t="s">
        <v>245</v>
      </c>
      <c r="F1732" s="34" t="str">
        <f>VLOOKUP(Sales[[#This Row],[Product ID]],Product[#All],2,0)</f>
        <v>HP Printer</v>
      </c>
      <c r="G1732" s="53">
        <v>5</v>
      </c>
      <c r="H1732" s="165">
        <f>VLOOKUP(Sales[[#This Row],[Product ID]],Product[#All],7,0)</f>
        <v>11410</v>
      </c>
      <c r="I1732" s="165">
        <f>Sales[[#This Row],[Selling Rate]]*Sales[[#This Row],[Qty]]</f>
        <v>57050</v>
      </c>
      <c r="J1732" s="45">
        <v>0.12</v>
      </c>
      <c r="K1732" s="46">
        <f>Sales[[#This Row],[Gross Amount]]*Sales[[#This Row],[Disc %]]</f>
        <v>6846</v>
      </c>
      <c r="L1732" s="43">
        <v>0.18</v>
      </c>
      <c r="M1732" s="46">
        <f>(Sales[[#This Row],[Gross Amount]]-Sales[[#This Row],[Disc. Amt.]])*Sales[[#This Row],[GST %]]</f>
        <v>9036.7199999999993</v>
      </c>
      <c r="N1732" s="161">
        <f>Sales[[#This Row],[Gross Amount]]-Sales[[#This Row],[Disc. Amt.]]+Sales[[#This Row],[GST Amount]]</f>
        <v>59240.72</v>
      </c>
      <c r="O1732" s="34" t="s">
        <v>3566</v>
      </c>
      <c r="P1732" s="34" t="s">
        <v>3562</v>
      </c>
      <c r="Q1732" s="165">
        <f>IF(Sales[[#This Row],[Status]]="Cancelled",0,Sales[[#This Row],[Qty]])</f>
        <v>5</v>
      </c>
      <c r="R1732" s="166">
        <f>IF(Sales[[#This Row],[Status]]="Cancelled",0,Sales[[#This Row],[Total Amount]])</f>
        <v>59240.72</v>
      </c>
      <c r="S1732" s="162">
        <f>SUM(Sales[Net Amount])</f>
        <v>406839287.73200053</v>
      </c>
    </row>
    <row r="1733" spans="1:19" ht="18.75" x14ac:dyDescent="0.25">
      <c r="A1733" s="156" t="s">
        <v>5342</v>
      </c>
      <c r="B1733" s="157">
        <v>45865</v>
      </c>
      <c r="C1733" s="158" t="s">
        <v>833</v>
      </c>
      <c r="D1733" s="159" t="str">
        <f>VLOOKUP(Sales[[#This Row],[Customer ID]],Customer[#All],2,0)</f>
        <v>Sunita Kumar</v>
      </c>
      <c r="E1733" s="158" t="s">
        <v>473</v>
      </c>
      <c r="F1733" s="158" t="str">
        <f>VLOOKUP(Sales[[#This Row],[Product ID]],Product[#All],2,0)</f>
        <v>Boat Headset</v>
      </c>
      <c r="G1733" s="159">
        <v>6</v>
      </c>
      <c r="H1733" s="160">
        <f>VLOOKUP(Sales[[#This Row],[Product ID]],Product[#All],7,0)</f>
        <v>2840</v>
      </c>
      <c r="I1733" s="160">
        <f>Sales[[#This Row],[Selling Rate]]*Sales[[#This Row],[Qty]]</f>
        <v>17040</v>
      </c>
      <c r="J1733" s="43">
        <v>0.05</v>
      </c>
      <c r="K1733" s="44">
        <f>Sales[[#This Row],[Gross Amount]]*Sales[[#This Row],[Disc %]]</f>
        <v>852</v>
      </c>
      <c r="L1733" s="43">
        <v>0.18</v>
      </c>
      <c r="M1733" s="44">
        <f>(Sales[[#This Row],[Gross Amount]]-Sales[[#This Row],[Disc. Amt.]])*Sales[[#This Row],[GST %]]</f>
        <v>2913.8399999999997</v>
      </c>
      <c r="N1733" s="161">
        <f>Sales[[#This Row],[Gross Amount]]-Sales[[#This Row],[Disc. Amt.]]+Sales[[#This Row],[GST Amount]]</f>
        <v>19101.84</v>
      </c>
      <c r="O1733" s="158" t="s">
        <v>8876</v>
      </c>
      <c r="P1733" s="158" t="s">
        <v>3562</v>
      </c>
      <c r="Q1733" s="160">
        <f>IF(Sales[[#This Row],[Status]]="Cancelled",0,Sales[[#This Row],[Qty]])</f>
        <v>6</v>
      </c>
      <c r="R1733" s="161">
        <f>IF(Sales[[#This Row],[Status]]="Cancelled",0,Sales[[#This Row],[Total Amount]])</f>
        <v>19101.84</v>
      </c>
      <c r="S1733" s="162">
        <f>SUM(Sales[Net Amount])</f>
        <v>406839287.73200053</v>
      </c>
    </row>
    <row r="1734" spans="1:19" ht="18.75" x14ac:dyDescent="0.25">
      <c r="A1734" s="163" t="s">
        <v>5343</v>
      </c>
      <c r="B1734" s="164">
        <v>45865</v>
      </c>
      <c r="C1734" s="34" t="s">
        <v>750</v>
      </c>
      <c r="D1734" s="53" t="str">
        <f>VLOOKUP(Sales[[#This Row],[Customer ID]],Customer[#All],2,0)</f>
        <v>Rakesh Verma</v>
      </c>
      <c r="E1734" s="34" t="s">
        <v>287</v>
      </c>
      <c r="F1734" s="34" t="str">
        <f>VLOOKUP(Sales[[#This Row],[Product ID]],Product[#All],2,0)</f>
        <v>HP Power Adapter</v>
      </c>
      <c r="G1734" s="53">
        <v>5</v>
      </c>
      <c r="H1734" s="165">
        <f>VLOOKUP(Sales[[#This Row],[Product ID]],Product[#All],7,0)</f>
        <v>2270</v>
      </c>
      <c r="I1734" s="165">
        <f>Sales[[#This Row],[Selling Rate]]*Sales[[#This Row],[Qty]]</f>
        <v>11350</v>
      </c>
      <c r="J1734" s="45">
        <v>0.05</v>
      </c>
      <c r="K1734" s="46">
        <f>Sales[[#This Row],[Gross Amount]]*Sales[[#This Row],[Disc %]]</f>
        <v>567.5</v>
      </c>
      <c r="L1734" s="43">
        <v>0.18</v>
      </c>
      <c r="M1734" s="46">
        <f>(Sales[[#This Row],[Gross Amount]]-Sales[[#This Row],[Disc. Amt.]])*Sales[[#This Row],[GST %]]</f>
        <v>1940.85</v>
      </c>
      <c r="N1734" s="161">
        <f>Sales[[#This Row],[Gross Amount]]-Sales[[#This Row],[Disc. Amt.]]+Sales[[#This Row],[GST Amount]]</f>
        <v>12723.35</v>
      </c>
      <c r="O1734" s="34" t="s">
        <v>3566</v>
      </c>
      <c r="P1734" s="34" t="s">
        <v>3562</v>
      </c>
      <c r="Q1734" s="165">
        <f>IF(Sales[[#This Row],[Status]]="Cancelled",0,Sales[[#This Row],[Qty]])</f>
        <v>5</v>
      </c>
      <c r="R1734" s="166">
        <f>IF(Sales[[#This Row],[Status]]="Cancelled",0,Sales[[#This Row],[Total Amount]])</f>
        <v>12723.35</v>
      </c>
      <c r="S1734" s="162">
        <f>SUM(Sales[Net Amount])</f>
        <v>406839287.73200053</v>
      </c>
    </row>
    <row r="1735" spans="1:19" ht="18.75" x14ac:dyDescent="0.25">
      <c r="A1735" s="156" t="s">
        <v>5344</v>
      </c>
      <c r="B1735" s="157">
        <v>45866</v>
      </c>
      <c r="C1735" s="158" t="s">
        <v>944</v>
      </c>
      <c r="D1735" s="159" t="str">
        <f>VLOOKUP(Sales[[#This Row],[Customer ID]],Customer[#All],2,0)</f>
        <v>Pooja Patel</v>
      </c>
      <c r="E1735" s="158" t="s">
        <v>513</v>
      </c>
      <c r="F1735" s="158" t="str">
        <f>VLOOKUP(Sales[[#This Row],[Product ID]],Product[#All],2,0)</f>
        <v>HP Power Adapter</v>
      </c>
      <c r="G1735" s="159">
        <v>3</v>
      </c>
      <c r="H1735" s="160">
        <f>VLOOKUP(Sales[[#This Row],[Product ID]],Product[#All],7,0)</f>
        <v>2470</v>
      </c>
      <c r="I1735" s="160">
        <f>Sales[[#This Row],[Selling Rate]]*Sales[[#This Row],[Qty]]</f>
        <v>7410</v>
      </c>
      <c r="J1735" s="43">
        <v>0.02</v>
      </c>
      <c r="K1735" s="44">
        <f>Sales[[#This Row],[Gross Amount]]*Sales[[#This Row],[Disc %]]</f>
        <v>148.20000000000002</v>
      </c>
      <c r="L1735" s="43">
        <v>0.18</v>
      </c>
      <c r="M1735" s="44">
        <f>(Sales[[#This Row],[Gross Amount]]-Sales[[#This Row],[Disc. Amt.]])*Sales[[#This Row],[GST %]]</f>
        <v>1307.124</v>
      </c>
      <c r="N1735" s="161">
        <f>Sales[[#This Row],[Gross Amount]]-Sales[[#This Row],[Disc. Amt.]]+Sales[[#This Row],[GST Amount]]</f>
        <v>8568.9240000000009</v>
      </c>
      <c r="O1735" s="158" t="s">
        <v>3569</v>
      </c>
      <c r="P1735" s="158" t="s">
        <v>3562</v>
      </c>
      <c r="Q1735" s="160">
        <f>IF(Sales[[#This Row],[Status]]="Cancelled",0,Sales[[#This Row],[Qty]])</f>
        <v>3</v>
      </c>
      <c r="R1735" s="161">
        <f>IF(Sales[[#This Row],[Status]]="Cancelled",0,Sales[[#This Row],[Total Amount]])</f>
        <v>8568.9240000000009</v>
      </c>
      <c r="S1735" s="162">
        <f>SUM(Sales[Net Amount])</f>
        <v>406839287.73200053</v>
      </c>
    </row>
    <row r="1736" spans="1:19" ht="18.75" x14ac:dyDescent="0.25">
      <c r="A1736" s="163" t="s">
        <v>5345</v>
      </c>
      <c r="B1736" s="164">
        <v>45866</v>
      </c>
      <c r="C1736" s="34" t="s">
        <v>873</v>
      </c>
      <c r="D1736" s="53" t="str">
        <f>VLOOKUP(Sales[[#This Row],[Customer ID]],Customer[#All],2,0)</f>
        <v>Sahil Verma</v>
      </c>
      <c r="E1736" s="34" t="s">
        <v>241</v>
      </c>
      <c r="F1736" s="34" t="str">
        <f>VLOOKUP(Sales[[#This Row],[Product ID]],Product[#All],2,0)</f>
        <v>Portronics USB Cable</v>
      </c>
      <c r="G1736" s="53">
        <v>5</v>
      </c>
      <c r="H1736" s="165">
        <f>VLOOKUP(Sales[[#This Row],[Product ID]],Product[#All],7,0)</f>
        <v>630</v>
      </c>
      <c r="I1736" s="165">
        <f>Sales[[#This Row],[Selling Rate]]*Sales[[#This Row],[Qty]]</f>
        <v>3150</v>
      </c>
      <c r="J1736" s="45">
        <v>0.02</v>
      </c>
      <c r="K1736" s="46">
        <f>Sales[[#This Row],[Gross Amount]]*Sales[[#This Row],[Disc %]]</f>
        <v>63</v>
      </c>
      <c r="L1736" s="43">
        <v>0.18</v>
      </c>
      <c r="M1736" s="46">
        <f>(Sales[[#This Row],[Gross Amount]]-Sales[[#This Row],[Disc. Amt.]])*Sales[[#This Row],[GST %]]</f>
        <v>555.66</v>
      </c>
      <c r="N1736" s="161">
        <f>Sales[[#This Row],[Gross Amount]]-Sales[[#This Row],[Disc. Amt.]]+Sales[[#This Row],[GST Amount]]</f>
        <v>3642.66</v>
      </c>
      <c r="O1736" s="34" t="s">
        <v>3569</v>
      </c>
      <c r="P1736" s="34" t="s">
        <v>1040</v>
      </c>
      <c r="Q1736" s="165">
        <f>IF(Sales[[#This Row],[Status]]="Cancelled",0,Sales[[#This Row],[Qty]])</f>
        <v>0</v>
      </c>
      <c r="R1736" s="166">
        <f>IF(Sales[[#This Row],[Status]]="Cancelled",0,Sales[[#This Row],[Total Amount]])</f>
        <v>0</v>
      </c>
      <c r="S1736" s="162">
        <f>SUM(Sales[Net Amount])</f>
        <v>406839287.73200053</v>
      </c>
    </row>
    <row r="1737" spans="1:19" ht="18.75" x14ac:dyDescent="0.25">
      <c r="A1737" s="156" t="s">
        <v>5346</v>
      </c>
      <c r="B1737" s="157">
        <v>45866</v>
      </c>
      <c r="C1737" s="158" t="s">
        <v>744</v>
      </c>
      <c r="D1737" s="159" t="str">
        <f>VLOOKUP(Sales[[#This Row],[Customer ID]],Customer[#All],2,0)</f>
        <v>Rakesh Patel</v>
      </c>
      <c r="E1737" s="158" t="s">
        <v>33</v>
      </c>
      <c r="F1737" s="158" t="str">
        <f>VLOOKUP(Sales[[#This Row],[Product ID]],Product[#All],2,0)</f>
        <v>Samsung Monitor</v>
      </c>
      <c r="G1737" s="159">
        <v>7</v>
      </c>
      <c r="H1737" s="160">
        <f>VLOOKUP(Sales[[#This Row],[Product ID]],Product[#All],7,0)</f>
        <v>9840</v>
      </c>
      <c r="I1737" s="160">
        <f>Sales[[#This Row],[Selling Rate]]*Sales[[#This Row],[Qty]]</f>
        <v>68880</v>
      </c>
      <c r="J1737" s="43">
        <v>0.05</v>
      </c>
      <c r="K1737" s="44">
        <f>Sales[[#This Row],[Gross Amount]]*Sales[[#This Row],[Disc %]]</f>
        <v>3444</v>
      </c>
      <c r="L1737" s="43">
        <v>0.18</v>
      </c>
      <c r="M1737" s="44">
        <f>(Sales[[#This Row],[Gross Amount]]-Sales[[#This Row],[Disc. Amt.]])*Sales[[#This Row],[GST %]]</f>
        <v>11778.48</v>
      </c>
      <c r="N1737" s="161">
        <f>Sales[[#This Row],[Gross Amount]]-Sales[[#This Row],[Disc. Amt.]]+Sales[[#This Row],[GST Amount]]</f>
        <v>77214.48</v>
      </c>
      <c r="O1737" s="158" t="s">
        <v>3569</v>
      </c>
      <c r="P1737" s="158" t="s">
        <v>3562</v>
      </c>
      <c r="Q1737" s="160">
        <f>IF(Sales[[#This Row],[Status]]="Cancelled",0,Sales[[#This Row],[Qty]])</f>
        <v>7</v>
      </c>
      <c r="R1737" s="161">
        <f>IF(Sales[[#This Row],[Status]]="Cancelled",0,Sales[[#This Row],[Total Amount]])</f>
        <v>77214.48</v>
      </c>
      <c r="S1737" s="162">
        <f>SUM(Sales[Net Amount])</f>
        <v>406839287.73200053</v>
      </c>
    </row>
    <row r="1738" spans="1:19" ht="18.75" x14ac:dyDescent="0.25">
      <c r="A1738" s="163" t="s">
        <v>5347</v>
      </c>
      <c r="B1738" s="164">
        <v>45866</v>
      </c>
      <c r="C1738" s="34" t="s">
        <v>747</v>
      </c>
      <c r="D1738" s="53" t="str">
        <f>VLOOKUP(Sales[[#This Row],[Customer ID]],Customer[#All],2,0)</f>
        <v>Sunita Gupta</v>
      </c>
      <c r="E1738" s="34" t="s">
        <v>104</v>
      </c>
      <c r="F1738" s="34" t="str">
        <f>VLOOKUP(Sales[[#This Row],[Product ID]],Product[#All],2,0)</f>
        <v>Canon Printer</v>
      </c>
      <c r="G1738" s="53">
        <v>4</v>
      </c>
      <c r="H1738" s="165">
        <f>VLOOKUP(Sales[[#This Row],[Product ID]],Product[#All],7,0)</f>
        <v>49170</v>
      </c>
      <c r="I1738" s="165">
        <f>Sales[[#This Row],[Selling Rate]]*Sales[[#This Row],[Qty]]</f>
        <v>196680</v>
      </c>
      <c r="J1738" s="45">
        <v>0.05</v>
      </c>
      <c r="K1738" s="46">
        <f>Sales[[#This Row],[Gross Amount]]*Sales[[#This Row],[Disc %]]</f>
        <v>9834</v>
      </c>
      <c r="L1738" s="43">
        <v>0.18</v>
      </c>
      <c r="M1738" s="46">
        <f>(Sales[[#This Row],[Gross Amount]]-Sales[[#This Row],[Disc. Amt.]])*Sales[[#This Row],[GST %]]</f>
        <v>33632.28</v>
      </c>
      <c r="N1738" s="161">
        <f>Sales[[#This Row],[Gross Amount]]-Sales[[#This Row],[Disc. Amt.]]+Sales[[#This Row],[GST Amount]]</f>
        <v>220478.28</v>
      </c>
      <c r="O1738" s="34" t="s">
        <v>3566</v>
      </c>
      <c r="P1738" s="34" t="s">
        <v>3562</v>
      </c>
      <c r="Q1738" s="165">
        <f>IF(Sales[[#This Row],[Status]]="Cancelled",0,Sales[[#This Row],[Qty]])</f>
        <v>4</v>
      </c>
      <c r="R1738" s="166">
        <f>IF(Sales[[#This Row],[Status]]="Cancelled",0,Sales[[#This Row],[Total Amount]])</f>
        <v>220478.28</v>
      </c>
      <c r="S1738" s="162">
        <f>SUM(Sales[Net Amount])</f>
        <v>406839287.73200053</v>
      </c>
    </row>
    <row r="1739" spans="1:19" ht="18.75" x14ac:dyDescent="0.25">
      <c r="A1739" s="156" t="s">
        <v>5348</v>
      </c>
      <c r="B1739" s="157">
        <v>45866</v>
      </c>
      <c r="C1739" s="158" t="s">
        <v>723</v>
      </c>
      <c r="D1739" s="159" t="str">
        <f>VLOOKUP(Sales[[#This Row],[Customer ID]],Customer[#All],2,0)</f>
        <v>Sahil Gupta</v>
      </c>
      <c r="E1739" s="158" t="s">
        <v>545</v>
      </c>
      <c r="F1739" s="158" t="str">
        <f>VLOOKUP(Sales[[#This Row],[Product ID]],Product[#All],2,0)</f>
        <v>WD HDD</v>
      </c>
      <c r="G1739" s="159">
        <v>2</v>
      </c>
      <c r="H1739" s="160">
        <f>VLOOKUP(Sales[[#This Row],[Product ID]],Product[#All],7,0)</f>
        <v>6720</v>
      </c>
      <c r="I1739" s="160">
        <f>Sales[[#This Row],[Selling Rate]]*Sales[[#This Row],[Qty]]</f>
        <v>13440</v>
      </c>
      <c r="J1739" s="43">
        <v>0.1</v>
      </c>
      <c r="K1739" s="44">
        <f>Sales[[#This Row],[Gross Amount]]*Sales[[#This Row],[Disc %]]</f>
        <v>1344</v>
      </c>
      <c r="L1739" s="43">
        <v>0.18</v>
      </c>
      <c r="M1739" s="44">
        <f>(Sales[[#This Row],[Gross Amount]]-Sales[[#This Row],[Disc. Amt.]])*Sales[[#This Row],[GST %]]</f>
        <v>2177.2799999999997</v>
      </c>
      <c r="N1739" s="161">
        <f>Sales[[#This Row],[Gross Amount]]-Sales[[#This Row],[Disc. Amt.]]+Sales[[#This Row],[GST Amount]]</f>
        <v>14273.279999999999</v>
      </c>
      <c r="O1739" s="158" t="s">
        <v>3569</v>
      </c>
      <c r="P1739" s="158" t="s">
        <v>3562</v>
      </c>
      <c r="Q1739" s="160">
        <f>IF(Sales[[#This Row],[Status]]="Cancelled",0,Sales[[#This Row],[Qty]])</f>
        <v>2</v>
      </c>
      <c r="R1739" s="161">
        <f>IF(Sales[[#This Row],[Status]]="Cancelled",0,Sales[[#This Row],[Total Amount]])</f>
        <v>14273.279999999999</v>
      </c>
      <c r="S1739" s="162">
        <f>SUM(Sales[Net Amount])</f>
        <v>406839287.73200053</v>
      </c>
    </row>
    <row r="1740" spans="1:19" ht="18.75" x14ac:dyDescent="0.25">
      <c r="A1740" s="163" t="s">
        <v>5349</v>
      </c>
      <c r="B1740" s="164">
        <v>45866</v>
      </c>
      <c r="C1740" s="34" t="s">
        <v>812</v>
      </c>
      <c r="D1740" s="53" t="str">
        <f>VLOOKUP(Sales[[#This Row],[Customer ID]],Customer[#All],2,0)</f>
        <v>Neha Gupta</v>
      </c>
      <c r="E1740" s="34" t="s">
        <v>200</v>
      </c>
      <c r="F1740" s="34" t="str">
        <f>VLOOKUP(Sales[[#This Row],[Product ID]],Product[#All],2,0)</f>
        <v>Logitech Webcam</v>
      </c>
      <c r="G1740" s="53">
        <v>7</v>
      </c>
      <c r="H1740" s="165">
        <f>VLOOKUP(Sales[[#This Row],[Product ID]],Product[#All],7,0)</f>
        <v>5040</v>
      </c>
      <c r="I1740" s="165">
        <f>Sales[[#This Row],[Selling Rate]]*Sales[[#This Row],[Qty]]</f>
        <v>35280</v>
      </c>
      <c r="J1740" s="45">
        <v>0.05</v>
      </c>
      <c r="K1740" s="46">
        <f>Sales[[#This Row],[Gross Amount]]*Sales[[#This Row],[Disc %]]</f>
        <v>1764</v>
      </c>
      <c r="L1740" s="43">
        <v>0.18</v>
      </c>
      <c r="M1740" s="46">
        <f>(Sales[[#This Row],[Gross Amount]]-Sales[[#This Row],[Disc. Amt.]])*Sales[[#This Row],[GST %]]</f>
        <v>6032.88</v>
      </c>
      <c r="N1740" s="161">
        <f>Sales[[#This Row],[Gross Amount]]-Sales[[#This Row],[Disc. Amt.]]+Sales[[#This Row],[GST Amount]]</f>
        <v>39548.879999999997</v>
      </c>
      <c r="O1740" s="34" t="s">
        <v>3569</v>
      </c>
      <c r="P1740" s="34" t="s">
        <v>3562</v>
      </c>
      <c r="Q1740" s="165">
        <f>IF(Sales[[#This Row],[Status]]="Cancelled",0,Sales[[#This Row],[Qty]])</f>
        <v>7</v>
      </c>
      <c r="R1740" s="166">
        <f>IF(Sales[[#This Row],[Status]]="Cancelled",0,Sales[[#This Row],[Total Amount]])</f>
        <v>39548.879999999997</v>
      </c>
      <c r="S1740" s="162">
        <f>SUM(Sales[Net Amount])</f>
        <v>406839287.73200053</v>
      </c>
    </row>
    <row r="1741" spans="1:19" ht="18.75" x14ac:dyDescent="0.25">
      <c r="A1741" s="156" t="s">
        <v>5350</v>
      </c>
      <c r="B1741" s="157">
        <v>45866</v>
      </c>
      <c r="C1741" s="158" t="s">
        <v>5351</v>
      </c>
      <c r="D1741" s="159" t="str">
        <f>VLOOKUP(Sales[[#This Row],[Customer ID]],Customer[#All],2,0)</f>
        <v>Rakesh Patel</v>
      </c>
      <c r="E1741" s="158" t="s">
        <v>271</v>
      </c>
      <c r="F1741" s="158" t="str">
        <f>VLOOKUP(Sales[[#This Row],[Product ID]],Product[#All],2,0)</f>
        <v>TP-link Bluetooth Adapter</v>
      </c>
      <c r="G1741" s="159">
        <v>2</v>
      </c>
      <c r="H1741" s="160">
        <f>VLOOKUP(Sales[[#This Row],[Product ID]],Product[#All],7,0)</f>
        <v>410</v>
      </c>
      <c r="I1741" s="160">
        <f>Sales[[#This Row],[Selling Rate]]*Sales[[#This Row],[Qty]]</f>
        <v>820</v>
      </c>
      <c r="J1741" s="43">
        <v>0.05</v>
      </c>
      <c r="K1741" s="44">
        <f>Sales[[#This Row],[Gross Amount]]*Sales[[#This Row],[Disc %]]</f>
        <v>41</v>
      </c>
      <c r="L1741" s="43">
        <v>0.18</v>
      </c>
      <c r="M1741" s="44">
        <f>(Sales[[#This Row],[Gross Amount]]-Sales[[#This Row],[Disc. Amt.]])*Sales[[#This Row],[GST %]]</f>
        <v>140.22</v>
      </c>
      <c r="N1741" s="161">
        <f>Sales[[#This Row],[Gross Amount]]-Sales[[#This Row],[Disc. Amt.]]+Sales[[#This Row],[GST Amount]]</f>
        <v>919.22</v>
      </c>
      <c r="O1741" s="158" t="s">
        <v>3566</v>
      </c>
      <c r="P1741" s="158" t="s">
        <v>3562</v>
      </c>
      <c r="Q1741" s="160">
        <f>IF(Sales[[#This Row],[Status]]="Cancelled",0,Sales[[#This Row],[Qty]])</f>
        <v>2</v>
      </c>
      <c r="R1741" s="161">
        <f>IF(Sales[[#This Row],[Status]]="Cancelled",0,Sales[[#This Row],[Total Amount]])</f>
        <v>919.22</v>
      </c>
      <c r="S1741" s="162">
        <f>SUM(Sales[Net Amount])</f>
        <v>406839287.73200053</v>
      </c>
    </row>
    <row r="1742" spans="1:19" ht="18.75" x14ac:dyDescent="0.25">
      <c r="A1742" s="163" t="s">
        <v>5352</v>
      </c>
      <c r="B1742" s="164">
        <v>45866</v>
      </c>
      <c r="C1742" s="34" t="s">
        <v>863</v>
      </c>
      <c r="D1742" s="53" t="str">
        <f>VLOOKUP(Sales[[#This Row],[Customer ID]],Customer[#All],2,0)</f>
        <v>Sahil Sharma</v>
      </c>
      <c r="E1742" s="34" t="s">
        <v>262</v>
      </c>
      <c r="F1742" s="34" t="str">
        <f>VLOOKUP(Sales[[#This Row],[Product ID]],Product[#All],2,0)</f>
        <v>HP Power Adapter</v>
      </c>
      <c r="G1742" s="53">
        <v>7</v>
      </c>
      <c r="H1742" s="165">
        <f>VLOOKUP(Sales[[#This Row],[Product ID]],Product[#All],7,0)</f>
        <v>3560</v>
      </c>
      <c r="I1742" s="165">
        <f>Sales[[#This Row],[Selling Rate]]*Sales[[#This Row],[Qty]]</f>
        <v>24920</v>
      </c>
      <c r="J1742" s="45">
        <v>0.1</v>
      </c>
      <c r="K1742" s="46">
        <f>Sales[[#This Row],[Gross Amount]]*Sales[[#This Row],[Disc %]]</f>
        <v>2492</v>
      </c>
      <c r="L1742" s="43">
        <v>0.18</v>
      </c>
      <c r="M1742" s="46">
        <f>(Sales[[#This Row],[Gross Amount]]-Sales[[#This Row],[Disc. Amt.]])*Sales[[#This Row],[GST %]]</f>
        <v>4037.04</v>
      </c>
      <c r="N1742" s="161">
        <f>Sales[[#This Row],[Gross Amount]]-Sales[[#This Row],[Disc. Amt.]]+Sales[[#This Row],[GST Amount]]</f>
        <v>26465.040000000001</v>
      </c>
      <c r="O1742" s="34" t="s">
        <v>8876</v>
      </c>
      <c r="P1742" s="34" t="s">
        <v>3562</v>
      </c>
      <c r="Q1742" s="165">
        <f>IF(Sales[[#This Row],[Status]]="Cancelled",0,Sales[[#This Row],[Qty]])</f>
        <v>7</v>
      </c>
      <c r="R1742" s="166">
        <f>IF(Sales[[#This Row],[Status]]="Cancelled",0,Sales[[#This Row],[Total Amount]])</f>
        <v>26465.040000000001</v>
      </c>
      <c r="S1742" s="162">
        <f>SUM(Sales[Net Amount])</f>
        <v>406839287.73200053</v>
      </c>
    </row>
    <row r="1743" spans="1:19" ht="18.75" x14ac:dyDescent="0.25">
      <c r="A1743" s="156" t="s">
        <v>5353</v>
      </c>
      <c r="B1743" s="157">
        <v>45866</v>
      </c>
      <c r="C1743" s="158" t="s">
        <v>692</v>
      </c>
      <c r="D1743" s="159" t="str">
        <f>VLOOKUP(Sales[[#This Row],[Customer ID]],Customer[#All],2,0)</f>
        <v>Rahul Patel</v>
      </c>
      <c r="E1743" s="158" t="s">
        <v>56</v>
      </c>
      <c r="F1743" s="158" t="str">
        <f>VLOOKUP(Sales[[#This Row],[Product ID]],Product[#All],2,0)</f>
        <v>Boat Headset</v>
      </c>
      <c r="G1743" s="159">
        <v>4</v>
      </c>
      <c r="H1743" s="160">
        <f>VLOOKUP(Sales[[#This Row],[Product ID]],Product[#All],7,0)</f>
        <v>4140</v>
      </c>
      <c r="I1743" s="160">
        <f>Sales[[#This Row],[Selling Rate]]*Sales[[#This Row],[Qty]]</f>
        <v>16560</v>
      </c>
      <c r="J1743" s="43">
        <v>0.02</v>
      </c>
      <c r="K1743" s="44">
        <f>Sales[[#This Row],[Gross Amount]]*Sales[[#This Row],[Disc %]]</f>
        <v>331.2</v>
      </c>
      <c r="L1743" s="43">
        <v>0.18</v>
      </c>
      <c r="M1743" s="44">
        <f>(Sales[[#This Row],[Gross Amount]]-Sales[[#This Row],[Disc. Amt.]])*Sales[[#This Row],[GST %]]</f>
        <v>2921.1839999999997</v>
      </c>
      <c r="N1743" s="161">
        <f>Sales[[#This Row],[Gross Amount]]-Sales[[#This Row],[Disc. Amt.]]+Sales[[#This Row],[GST Amount]]</f>
        <v>19149.984</v>
      </c>
      <c r="O1743" s="158" t="s">
        <v>8876</v>
      </c>
      <c r="P1743" s="158" t="s">
        <v>3562</v>
      </c>
      <c r="Q1743" s="160">
        <f>IF(Sales[[#This Row],[Status]]="Cancelled",0,Sales[[#This Row],[Qty]])</f>
        <v>4</v>
      </c>
      <c r="R1743" s="161">
        <f>IF(Sales[[#This Row],[Status]]="Cancelled",0,Sales[[#This Row],[Total Amount]])</f>
        <v>19149.984</v>
      </c>
      <c r="S1743" s="162">
        <f>SUM(Sales[Net Amount])</f>
        <v>406839287.73200053</v>
      </c>
    </row>
    <row r="1744" spans="1:19" ht="18.75" x14ac:dyDescent="0.25">
      <c r="A1744" s="163" t="s">
        <v>5354</v>
      </c>
      <c r="B1744" s="164">
        <v>45866</v>
      </c>
      <c r="C1744" s="34" t="s">
        <v>822</v>
      </c>
      <c r="D1744" s="53" t="str">
        <f>VLOOKUP(Sales[[#This Row],[Customer ID]],Customer[#All],2,0)</f>
        <v>Vikas Singh</v>
      </c>
      <c r="E1744" s="34" t="s">
        <v>88</v>
      </c>
      <c r="F1744" s="34" t="str">
        <f>VLOOKUP(Sales[[#This Row],[Product ID]],Product[#All],2,0)</f>
        <v>Dell Laptop</v>
      </c>
      <c r="G1744" s="53">
        <v>6</v>
      </c>
      <c r="H1744" s="165">
        <f>VLOOKUP(Sales[[#This Row],[Product ID]],Product[#All],7,0)</f>
        <v>43690</v>
      </c>
      <c r="I1744" s="165">
        <f>Sales[[#This Row],[Selling Rate]]*Sales[[#This Row],[Qty]]</f>
        <v>262140</v>
      </c>
      <c r="J1744" s="45">
        <v>0</v>
      </c>
      <c r="K1744" s="46">
        <f>Sales[[#This Row],[Gross Amount]]*Sales[[#This Row],[Disc %]]</f>
        <v>0</v>
      </c>
      <c r="L1744" s="43">
        <v>0.18</v>
      </c>
      <c r="M1744" s="46">
        <f>(Sales[[#This Row],[Gross Amount]]-Sales[[#This Row],[Disc. Amt.]])*Sales[[#This Row],[GST %]]</f>
        <v>47185.2</v>
      </c>
      <c r="N1744" s="161">
        <f>Sales[[#This Row],[Gross Amount]]-Sales[[#This Row],[Disc. Amt.]]+Sales[[#This Row],[GST Amount]]</f>
        <v>309325.2</v>
      </c>
      <c r="O1744" s="34" t="s">
        <v>3561</v>
      </c>
      <c r="P1744" s="34" t="s">
        <v>3562</v>
      </c>
      <c r="Q1744" s="165">
        <f>IF(Sales[[#This Row],[Status]]="Cancelled",0,Sales[[#This Row],[Qty]])</f>
        <v>6</v>
      </c>
      <c r="R1744" s="166">
        <f>IF(Sales[[#This Row],[Status]]="Cancelled",0,Sales[[#This Row],[Total Amount]])</f>
        <v>309325.2</v>
      </c>
      <c r="S1744" s="162">
        <f>SUM(Sales[Net Amount])</f>
        <v>406839287.73200053</v>
      </c>
    </row>
    <row r="1745" spans="1:19" ht="18.75" x14ac:dyDescent="0.25">
      <c r="A1745" s="156" t="s">
        <v>5355</v>
      </c>
      <c r="B1745" s="157">
        <v>45866</v>
      </c>
      <c r="C1745" s="158" t="s">
        <v>774</v>
      </c>
      <c r="D1745" s="159" t="str">
        <f>VLOOKUP(Sales[[#This Row],[Customer ID]],Customer[#All],2,0)</f>
        <v>Vikas Patel</v>
      </c>
      <c r="E1745" s="158" t="s">
        <v>47</v>
      </c>
      <c r="F1745" s="158" t="str">
        <f>VLOOKUP(Sales[[#This Row],[Product ID]],Product[#All],2,0)</f>
        <v>Logitech Keyboard</v>
      </c>
      <c r="G1745" s="159">
        <v>7</v>
      </c>
      <c r="H1745" s="160">
        <f>VLOOKUP(Sales[[#This Row],[Product ID]],Product[#All],7,0)</f>
        <v>930</v>
      </c>
      <c r="I1745" s="160">
        <f>Sales[[#This Row],[Selling Rate]]*Sales[[#This Row],[Qty]]</f>
        <v>6510</v>
      </c>
      <c r="J1745" s="43">
        <v>0.15</v>
      </c>
      <c r="K1745" s="44">
        <f>Sales[[#This Row],[Gross Amount]]*Sales[[#This Row],[Disc %]]</f>
        <v>976.5</v>
      </c>
      <c r="L1745" s="43">
        <v>0.18</v>
      </c>
      <c r="M1745" s="44">
        <f>(Sales[[#This Row],[Gross Amount]]-Sales[[#This Row],[Disc. Amt.]])*Sales[[#This Row],[GST %]]</f>
        <v>996.03</v>
      </c>
      <c r="N1745" s="161">
        <f>Sales[[#This Row],[Gross Amount]]-Sales[[#This Row],[Disc. Amt.]]+Sales[[#This Row],[GST Amount]]</f>
        <v>6529.53</v>
      </c>
      <c r="O1745" s="158" t="s">
        <v>3566</v>
      </c>
      <c r="P1745" s="158" t="s">
        <v>3562</v>
      </c>
      <c r="Q1745" s="160">
        <f>IF(Sales[[#This Row],[Status]]="Cancelled",0,Sales[[#This Row],[Qty]])</f>
        <v>7</v>
      </c>
      <c r="R1745" s="161">
        <f>IF(Sales[[#This Row],[Status]]="Cancelled",0,Sales[[#This Row],[Total Amount]])</f>
        <v>6529.53</v>
      </c>
      <c r="S1745" s="162">
        <f>SUM(Sales[Net Amount])</f>
        <v>406839287.73200053</v>
      </c>
    </row>
    <row r="1746" spans="1:19" ht="18.75" x14ac:dyDescent="0.25">
      <c r="A1746" s="163" t="s">
        <v>5356</v>
      </c>
      <c r="B1746" s="164">
        <v>45866</v>
      </c>
      <c r="C1746" s="34" t="s">
        <v>759</v>
      </c>
      <c r="D1746" s="53" t="str">
        <f>VLOOKUP(Sales[[#This Row],[Customer ID]],Customer[#All],2,0)</f>
        <v>Ankit Sharma</v>
      </c>
      <c r="E1746" s="34" t="s">
        <v>380</v>
      </c>
      <c r="F1746" s="34" t="str">
        <f>VLOOKUP(Sales[[#This Row],[Product ID]],Product[#All],2,0)</f>
        <v>Acer Laptop</v>
      </c>
      <c r="G1746" s="53">
        <v>6</v>
      </c>
      <c r="H1746" s="165">
        <f>VLOOKUP(Sales[[#This Row],[Product ID]],Product[#All],7,0)</f>
        <v>91320</v>
      </c>
      <c r="I1746" s="165">
        <f>Sales[[#This Row],[Selling Rate]]*Sales[[#This Row],[Qty]]</f>
        <v>547920</v>
      </c>
      <c r="J1746" s="45">
        <v>0.15</v>
      </c>
      <c r="K1746" s="46">
        <f>Sales[[#This Row],[Gross Amount]]*Sales[[#This Row],[Disc %]]</f>
        <v>82188</v>
      </c>
      <c r="L1746" s="43">
        <v>0.18</v>
      </c>
      <c r="M1746" s="46">
        <f>(Sales[[#This Row],[Gross Amount]]-Sales[[#This Row],[Disc. Amt.]])*Sales[[#This Row],[GST %]]</f>
        <v>83831.759999999995</v>
      </c>
      <c r="N1746" s="161">
        <f>Sales[[#This Row],[Gross Amount]]-Sales[[#This Row],[Disc. Amt.]]+Sales[[#This Row],[GST Amount]]</f>
        <v>549563.76</v>
      </c>
      <c r="O1746" s="34" t="s">
        <v>3566</v>
      </c>
      <c r="P1746" s="34" t="s">
        <v>3562</v>
      </c>
      <c r="Q1746" s="165">
        <f>IF(Sales[[#This Row],[Status]]="Cancelled",0,Sales[[#This Row],[Qty]])</f>
        <v>6</v>
      </c>
      <c r="R1746" s="166">
        <f>IF(Sales[[#This Row],[Status]]="Cancelled",0,Sales[[#This Row],[Total Amount]])</f>
        <v>549563.76</v>
      </c>
      <c r="S1746" s="162">
        <f>SUM(Sales[Net Amount])</f>
        <v>406839287.73200053</v>
      </c>
    </row>
    <row r="1747" spans="1:19" ht="18.75" x14ac:dyDescent="0.25">
      <c r="A1747" s="156" t="s">
        <v>5357</v>
      </c>
      <c r="B1747" s="157">
        <v>45866</v>
      </c>
      <c r="C1747" s="158" t="s">
        <v>738</v>
      </c>
      <c r="D1747" s="159" t="str">
        <f>VLOOKUP(Sales[[#This Row],[Customer ID]],Customer[#All],2,0)</f>
        <v>Pooja Patel</v>
      </c>
      <c r="E1747" s="158" t="s">
        <v>326</v>
      </c>
      <c r="F1747" s="158" t="str">
        <f>VLOOKUP(Sales[[#This Row],[Product ID]],Product[#All],2,0)</f>
        <v>Samsung Ssd</v>
      </c>
      <c r="G1747" s="159">
        <v>5</v>
      </c>
      <c r="H1747" s="160">
        <f>VLOOKUP(Sales[[#This Row],[Product ID]],Product[#All],7,0)</f>
        <v>8670</v>
      </c>
      <c r="I1747" s="160">
        <f>Sales[[#This Row],[Selling Rate]]*Sales[[#This Row],[Qty]]</f>
        <v>43350</v>
      </c>
      <c r="J1747" s="43">
        <v>0.1</v>
      </c>
      <c r="K1747" s="44">
        <f>Sales[[#This Row],[Gross Amount]]*Sales[[#This Row],[Disc %]]</f>
        <v>4335</v>
      </c>
      <c r="L1747" s="43">
        <v>0.18</v>
      </c>
      <c r="M1747" s="44">
        <f>(Sales[[#This Row],[Gross Amount]]-Sales[[#This Row],[Disc. Amt.]])*Sales[[#This Row],[GST %]]</f>
        <v>7022.7</v>
      </c>
      <c r="N1747" s="161">
        <f>Sales[[#This Row],[Gross Amount]]-Sales[[#This Row],[Disc. Amt.]]+Sales[[#This Row],[GST Amount]]</f>
        <v>46037.7</v>
      </c>
      <c r="O1747" s="158" t="s">
        <v>3566</v>
      </c>
      <c r="P1747" s="158" t="s">
        <v>3562</v>
      </c>
      <c r="Q1747" s="160">
        <f>IF(Sales[[#This Row],[Status]]="Cancelled",0,Sales[[#This Row],[Qty]])</f>
        <v>5</v>
      </c>
      <c r="R1747" s="161">
        <f>IF(Sales[[#This Row],[Status]]="Cancelled",0,Sales[[#This Row],[Total Amount]])</f>
        <v>46037.7</v>
      </c>
      <c r="S1747" s="162">
        <f>SUM(Sales[Net Amount])</f>
        <v>406839287.73200053</v>
      </c>
    </row>
    <row r="1748" spans="1:19" ht="18.75" x14ac:dyDescent="0.25">
      <c r="A1748" s="163" t="s">
        <v>5358</v>
      </c>
      <c r="B1748" s="164">
        <v>45866</v>
      </c>
      <c r="C1748" s="34" t="s">
        <v>891</v>
      </c>
      <c r="D1748" s="53" t="str">
        <f>VLOOKUP(Sales[[#This Row],[Customer ID]],Customer[#All],2,0)</f>
        <v>Pooja Verma</v>
      </c>
      <c r="E1748" s="34" t="s">
        <v>424</v>
      </c>
      <c r="F1748" s="34" t="str">
        <f>VLOOKUP(Sales[[#This Row],[Product ID]],Product[#All],2,0)</f>
        <v>TP-link Wi-Fi Adapter</v>
      </c>
      <c r="G1748" s="53">
        <v>3</v>
      </c>
      <c r="H1748" s="165">
        <f>VLOOKUP(Sales[[#This Row],[Product ID]],Product[#All],7,0)</f>
        <v>690</v>
      </c>
      <c r="I1748" s="165">
        <f>Sales[[#This Row],[Selling Rate]]*Sales[[#This Row],[Qty]]</f>
        <v>2070</v>
      </c>
      <c r="J1748" s="45">
        <v>0</v>
      </c>
      <c r="K1748" s="46">
        <f>Sales[[#This Row],[Gross Amount]]*Sales[[#This Row],[Disc %]]</f>
        <v>0</v>
      </c>
      <c r="L1748" s="43">
        <v>0.18</v>
      </c>
      <c r="M1748" s="46">
        <f>(Sales[[#This Row],[Gross Amount]]-Sales[[#This Row],[Disc. Amt.]])*Sales[[#This Row],[GST %]]</f>
        <v>372.59999999999997</v>
      </c>
      <c r="N1748" s="161">
        <f>Sales[[#This Row],[Gross Amount]]-Sales[[#This Row],[Disc. Amt.]]+Sales[[#This Row],[GST Amount]]</f>
        <v>2442.6</v>
      </c>
      <c r="O1748" s="34" t="s">
        <v>8876</v>
      </c>
      <c r="P1748" s="34" t="s">
        <v>3562</v>
      </c>
      <c r="Q1748" s="165">
        <f>IF(Sales[[#This Row],[Status]]="Cancelled",0,Sales[[#This Row],[Qty]])</f>
        <v>3</v>
      </c>
      <c r="R1748" s="166">
        <f>IF(Sales[[#This Row],[Status]]="Cancelled",0,Sales[[#This Row],[Total Amount]])</f>
        <v>2442.6</v>
      </c>
      <c r="S1748" s="162">
        <f>SUM(Sales[Net Amount])</f>
        <v>406839287.73200053</v>
      </c>
    </row>
    <row r="1749" spans="1:19" ht="18.75" x14ac:dyDescent="0.25">
      <c r="A1749" s="156" t="s">
        <v>5359</v>
      </c>
      <c r="B1749" s="157">
        <v>45866</v>
      </c>
      <c r="C1749" s="158" t="s">
        <v>737</v>
      </c>
      <c r="D1749" s="159" t="str">
        <f>VLOOKUP(Sales[[#This Row],[Customer ID]],Customer[#All],2,0)</f>
        <v>Pooja Verma</v>
      </c>
      <c r="E1749" s="158" t="s">
        <v>81</v>
      </c>
      <c r="F1749" s="158" t="str">
        <f>VLOOKUP(Sales[[#This Row],[Product ID]],Product[#All],2,0)</f>
        <v>HP Desktop</v>
      </c>
      <c r="G1749" s="159">
        <v>7</v>
      </c>
      <c r="H1749" s="160">
        <f>VLOOKUP(Sales[[#This Row],[Product ID]],Product[#All],7,0)</f>
        <v>65470</v>
      </c>
      <c r="I1749" s="160">
        <f>Sales[[#This Row],[Selling Rate]]*Sales[[#This Row],[Qty]]</f>
        <v>458290</v>
      </c>
      <c r="J1749" s="43">
        <v>0.05</v>
      </c>
      <c r="K1749" s="44">
        <f>Sales[[#This Row],[Gross Amount]]*Sales[[#This Row],[Disc %]]</f>
        <v>22914.5</v>
      </c>
      <c r="L1749" s="43">
        <v>0.18</v>
      </c>
      <c r="M1749" s="44">
        <f>(Sales[[#This Row],[Gross Amount]]-Sales[[#This Row],[Disc. Amt.]])*Sales[[#This Row],[GST %]]</f>
        <v>78367.59</v>
      </c>
      <c r="N1749" s="161">
        <f>Sales[[#This Row],[Gross Amount]]-Sales[[#This Row],[Disc. Amt.]]+Sales[[#This Row],[GST Amount]]</f>
        <v>513743.08999999997</v>
      </c>
      <c r="O1749" s="158" t="s">
        <v>8876</v>
      </c>
      <c r="P1749" s="158" t="s">
        <v>3562</v>
      </c>
      <c r="Q1749" s="160">
        <f>IF(Sales[[#This Row],[Status]]="Cancelled",0,Sales[[#This Row],[Qty]])</f>
        <v>7</v>
      </c>
      <c r="R1749" s="161">
        <f>IF(Sales[[#This Row],[Status]]="Cancelled",0,Sales[[#This Row],[Total Amount]])</f>
        <v>513743.08999999997</v>
      </c>
      <c r="S1749" s="162">
        <f>SUM(Sales[Net Amount])</f>
        <v>406839287.73200053</v>
      </c>
    </row>
    <row r="1750" spans="1:19" ht="18.75" x14ac:dyDescent="0.25">
      <c r="A1750" s="163" t="s">
        <v>5360</v>
      </c>
      <c r="B1750" s="164">
        <v>45866</v>
      </c>
      <c r="C1750" s="34" t="s">
        <v>880</v>
      </c>
      <c r="D1750" s="53" t="str">
        <f>VLOOKUP(Sales[[#This Row],[Customer ID]],Customer[#All],2,0)</f>
        <v>Rahul Sharma</v>
      </c>
      <c r="E1750" s="34" t="s">
        <v>413</v>
      </c>
      <c r="F1750" s="34" t="str">
        <f>VLOOKUP(Sales[[#This Row],[Product ID]],Product[#All],2,0)</f>
        <v>Crucial Ssd</v>
      </c>
      <c r="G1750" s="53">
        <v>4</v>
      </c>
      <c r="H1750" s="165">
        <f>VLOOKUP(Sales[[#This Row],[Product ID]],Product[#All],7,0)</f>
        <v>10780</v>
      </c>
      <c r="I1750" s="165">
        <f>Sales[[#This Row],[Selling Rate]]*Sales[[#This Row],[Qty]]</f>
        <v>43120</v>
      </c>
      <c r="J1750" s="45">
        <v>0.1</v>
      </c>
      <c r="K1750" s="46">
        <f>Sales[[#This Row],[Gross Amount]]*Sales[[#This Row],[Disc %]]</f>
        <v>4312</v>
      </c>
      <c r="L1750" s="43">
        <v>0.18</v>
      </c>
      <c r="M1750" s="46">
        <f>(Sales[[#This Row],[Gross Amount]]-Sales[[#This Row],[Disc. Amt.]])*Sales[[#This Row],[GST %]]</f>
        <v>6985.44</v>
      </c>
      <c r="N1750" s="161">
        <f>Sales[[#This Row],[Gross Amount]]-Sales[[#This Row],[Disc. Amt.]]+Sales[[#This Row],[GST Amount]]</f>
        <v>45793.440000000002</v>
      </c>
      <c r="O1750" s="34" t="s">
        <v>3561</v>
      </c>
      <c r="P1750" s="34" t="s">
        <v>3562</v>
      </c>
      <c r="Q1750" s="165">
        <f>IF(Sales[[#This Row],[Status]]="Cancelled",0,Sales[[#This Row],[Qty]])</f>
        <v>4</v>
      </c>
      <c r="R1750" s="166">
        <f>IF(Sales[[#This Row],[Status]]="Cancelled",0,Sales[[#This Row],[Total Amount]])</f>
        <v>45793.440000000002</v>
      </c>
      <c r="S1750" s="162">
        <f>SUM(Sales[Net Amount])</f>
        <v>406839287.73200053</v>
      </c>
    </row>
    <row r="1751" spans="1:19" ht="18.75" x14ac:dyDescent="0.25">
      <c r="A1751" s="156" t="s">
        <v>5361</v>
      </c>
      <c r="B1751" s="157">
        <v>45866</v>
      </c>
      <c r="C1751" s="158" t="s">
        <v>912</v>
      </c>
      <c r="D1751" s="159" t="str">
        <f>VLOOKUP(Sales[[#This Row],[Customer ID]],Customer[#All],2,0)</f>
        <v>Sunita Verma</v>
      </c>
      <c r="E1751" s="158" t="s">
        <v>221</v>
      </c>
      <c r="F1751" s="158" t="str">
        <f>VLOOKUP(Sales[[#This Row],[Product ID]],Product[#All],2,0)</f>
        <v>TP-link Wi-Fi Adapter</v>
      </c>
      <c r="G1751" s="159">
        <v>3</v>
      </c>
      <c r="H1751" s="160">
        <f>VLOOKUP(Sales[[#This Row],[Product ID]],Product[#All],7,0)</f>
        <v>2920</v>
      </c>
      <c r="I1751" s="160">
        <f>Sales[[#This Row],[Selling Rate]]*Sales[[#This Row],[Qty]]</f>
        <v>8760</v>
      </c>
      <c r="J1751" s="43">
        <v>0.12</v>
      </c>
      <c r="K1751" s="44">
        <f>Sales[[#This Row],[Gross Amount]]*Sales[[#This Row],[Disc %]]</f>
        <v>1051.2</v>
      </c>
      <c r="L1751" s="43">
        <v>0.18</v>
      </c>
      <c r="M1751" s="44">
        <f>(Sales[[#This Row],[Gross Amount]]-Sales[[#This Row],[Disc. Amt.]])*Sales[[#This Row],[GST %]]</f>
        <v>1387.5840000000001</v>
      </c>
      <c r="N1751" s="161">
        <f>Sales[[#This Row],[Gross Amount]]-Sales[[#This Row],[Disc. Amt.]]+Sales[[#This Row],[GST Amount]]</f>
        <v>9096.384</v>
      </c>
      <c r="O1751" s="158" t="s">
        <v>3561</v>
      </c>
      <c r="P1751" s="158" t="s">
        <v>3562</v>
      </c>
      <c r="Q1751" s="160">
        <f>IF(Sales[[#This Row],[Status]]="Cancelled",0,Sales[[#This Row],[Qty]])</f>
        <v>3</v>
      </c>
      <c r="R1751" s="161">
        <f>IF(Sales[[#This Row],[Status]]="Cancelled",0,Sales[[#This Row],[Total Amount]])</f>
        <v>9096.384</v>
      </c>
      <c r="S1751" s="162">
        <f>SUM(Sales[Net Amount])</f>
        <v>406839287.73200053</v>
      </c>
    </row>
    <row r="1752" spans="1:19" ht="18.75" x14ac:dyDescent="0.25">
      <c r="A1752" s="163" t="s">
        <v>5362</v>
      </c>
      <c r="B1752" s="164">
        <v>45866</v>
      </c>
      <c r="C1752" s="34" t="s">
        <v>822</v>
      </c>
      <c r="D1752" s="53" t="str">
        <f>VLOOKUP(Sales[[#This Row],[Customer ID]],Customer[#All],2,0)</f>
        <v>Vikas Singh</v>
      </c>
      <c r="E1752" s="34" t="s">
        <v>419</v>
      </c>
      <c r="F1752" s="34" t="str">
        <f>VLOOKUP(Sales[[#This Row],[Product ID]],Product[#All],2,0)</f>
        <v>WD HDD</v>
      </c>
      <c r="G1752" s="53">
        <v>8</v>
      </c>
      <c r="H1752" s="165">
        <f>VLOOKUP(Sales[[#This Row],[Product ID]],Product[#All],7,0)</f>
        <v>8930</v>
      </c>
      <c r="I1752" s="165">
        <f>Sales[[#This Row],[Selling Rate]]*Sales[[#This Row],[Qty]]</f>
        <v>71440</v>
      </c>
      <c r="J1752" s="45">
        <v>0</v>
      </c>
      <c r="K1752" s="46">
        <f>Sales[[#This Row],[Gross Amount]]*Sales[[#This Row],[Disc %]]</f>
        <v>0</v>
      </c>
      <c r="L1752" s="43">
        <v>0.18</v>
      </c>
      <c r="M1752" s="46">
        <f>(Sales[[#This Row],[Gross Amount]]-Sales[[#This Row],[Disc. Amt.]])*Sales[[#This Row],[GST %]]</f>
        <v>12859.199999999999</v>
      </c>
      <c r="N1752" s="161">
        <f>Sales[[#This Row],[Gross Amount]]-Sales[[#This Row],[Disc. Amt.]]+Sales[[#This Row],[GST Amount]]</f>
        <v>84299.199999999997</v>
      </c>
      <c r="O1752" s="34" t="s">
        <v>3569</v>
      </c>
      <c r="P1752" s="34" t="s">
        <v>3562</v>
      </c>
      <c r="Q1752" s="165">
        <f>IF(Sales[[#This Row],[Status]]="Cancelled",0,Sales[[#This Row],[Qty]])</f>
        <v>8</v>
      </c>
      <c r="R1752" s="166">
        <f>IF(Sales[[#This Row],[Status]]="Cancelled",0,Sales[[#This Row],[Total Amount]])</f>
        <v>84299.199999999997</v>
      </c>
      <c r="S1752" s="162">
        <f>SUM(Sales[Net Amount])</f>
        <v>406839287.73200053</v>
      </c>
    </row>
    <row r="1753" spans="1:19" ht="18.75" x14ac:dyDescent="0.25">
      <c r="A1753" s="156" t="s">
        <v>5363</v>
      </c>
      <c r="B1753" s="157">
        <v>45866</v>
      </c>
      <c r="C1753" s="158" t="s">
        <v>844</v>
      </c>
      <c r="D1753" s="159" t="str">
        <f>VLOOKUP(Sales[[#This Row],[Customer ID]],Customer[#All],2,0)</f>
        <v>Rahul Sharma</v>
      </c>
      <c r="E1753" s="158" t="s">
        <v>187</v>
      </c>
      <c r="F1753" s="158" t="str">
        <f>VLOOKUP(Sales[[#This Row],[Product ID]],Product[#All],2,0)</f>
        <v>American TouristerLaptopBag</v>
      </c>
      <c r="G1753" s="159">
        <v>4</v>
      </c>
      <c r="H1753" s="160">
        <f>VLOOKUP(Sales[[#This Row],[Product ID]],Product[#All],7,0)</f>
        <v>840</v>
      </c>
      <c r="I1753" s="160">
        <f>Sales[[#This Row],[Selling Rate]]*Sales[[#This Row],[Qty]]</f>
        <v>3360</v>
      </c>
      <c r="J1753" s="43">
        <v>0.1</v>
      </c>
      <c r="K1753" s="44">
        <f>Sales[[#This Row],[Gross Amount]]*Sales[[#This Row],[Disc %]]</f>
        <v>336</v>
      </c>
      <c r="L1753" s="43">
        <v>0.18</v>
      </c>
      <c r="M1753" s="44">
        <f>(Sales[[#This Row],[Gross Amount]]-Sales[[#This Row],[Disc. Amt.]])*Sales[[#This Row],[GST %]]</f>
        <v>544.31999999999994</v>
      </c>
      <c r="N1753" s="161">
        <f>Sales[[#This Row],[Gross Amount]]-Sales[[#This Row],[Disc. Amt.]]+Sales[[#This Row],[GST Amount]]</f>
        <v>3568.3199999999997</v>
      </c>
      <c r="O1753" s="158" t="s">
        <v>3569</v>
      </c>
      <c r="P1753" s="158" t="s">
        <v>3562</v>
      </c>
      <c r="Q1753" s="160">
        <f>IF(Sales[[#This Row],[Status]]="Cancelled",0,Sales[[#This Row],[Qty]])</f>
        <v>4</v>
      </c>
      <c r="R1753" s="161">
        <f>IF(Sales[[#This Row],[Status]]="Cancelled",0,Sales[[#This Row],[Total Amount]])</f>
        <v>3568.3199999999997</v>
      </c>
      <c r="S1753" s="162">
        <f>SUM(Sales[Net Amount])</f>
        <v>406839287.73200053</v>
      </c>
    </row>
    <row r="1754" spans="1:19" ht="18.75" x14ac:dyDescent="0.25">
      <c r="A1754" s="163" t="s">
        <v>5364</v>
      </c>
      <c r="B1754" s="164">
        <v>45866</v>
      </c>
      <c r="C1754" s="34" t="s">
        <v>763</v>
      </c>
      <c r="D1754" s="53" t="str">
        <f>VLOOKUP(Sales[[#This Row],[Customer ID]],Customer[#All],2,0)</f>
        <v>Pooja Verma</v>
      </c>
      <c r="E1754" s="34" t="s">
        <v>330</v>
      </c>
      <c r="F1754" s="34" t="str">
        <f>VLOOKUP(Sales[[#This Row],[Product ID]],Product[#All],2,0)</f>
        <v>American TouristerLaptopBag</v>
      </c>
      <c r="G1754" s="53">
        <v>3</v>
      </c>
      <c r="H1754" s="165">
        <f>VLOOKUP(Sales[[#This Row],[Product ID]],Product[#All],7,0)</f>
        <v>4970</v>
      </c>
      <c r="I1754" s="165">
        <f>Sales[[#This Row],[Selling Rate]]*Sales[[#This Row],[Qty]]</f>
        <v>14910</v>
      </c>
      <c r="J1754" s="45">
        <v>0</v>
      </c>
      <c r="K1754" s="46">
        <f>Sales[[#This Row],[Gross Amount]]*Sales[[#This Row],[Disc %]]</f>
        <v>0</v>
      </c>
      <c r="L1754" s="43">
        <v>0.18</v>
      </c>
      <c r="M1754" s="46">
        <f>(Sales[[#This Row],[Gross Amount]]-Sales[[#This Row],[Disc. Amt.]])*Sales[[#This Row],[GST %]]</f>
        <v>2683.7999999999997</v>
      </c>
      <c r="N1754" s="161">
        <f>Sales[[#This Row],[Gross Amount]]-Sales[[#This Row],[Disc. Amt.]]+Sales[[#This Row],[GST Amount]]</f>
        <v>17593.8</v>
      </c>
      <c r="O1754" s="34" t="s">
        <v>3566</v>
      </c>
      <c r="P1754" s="34" t="s">
        <v>3562</v>
      </c>
      <c r="Q1754" s="165">
        <f>IF(Sales[[#This Row],[Status]]="Cancelled",0,Sales[[#This Row],[Qty]])</f>
        <v>3</v>
      </c>
      <c r="R1754" s="166">
        <f>IF(Sales[[#This Row],[Status]]="Cancelled",0,Sales[[#This Row],[Total Amount]])</f>
        <v>17593.8</v>
      </c>
      <c r="S1754" s="162">
        <f>SUM(Sales[Net Amount])</f>
        <v>406839287.73200053</v>
      </c>
    </row>
    <row r="1755" spans="1:19" ht="18.75" x14ac:dyDescent="0.25">
      <c r="A1755" s="156" t="s">
        <v>5365</v>
      </c>
      <c r="B1755" s="157">
        <v>45866</v>
      </c>
      <c r="C1755" s="158" t="s">
        <v>853</v>
      </c>
      <c r="D1755" s="159" t="str">
        <f>VLOOKUP(Sales[[#This Row],[Customer ID]],Customer[#All],2,0)</f>
        <v>Amit Singh</v>
      </c>
      <c r="E1755" s="158" t="s">
        <v>226</v>
      </c>
      <c r="F1755" s="158" t="str">
        <f>VLOOKUP(Sales[[#This Row],[Product ID]],Product[#All],2,0)</f>
        <v>Jbl Speaker</v>
      </c>
      <c r="G1755" s="159">
        <v>7</v>
      </c>
      <c r="H1755" s="160">
        <f>VLOOKUP(Sales[[#This Row],[Product ID]],Product[#All],7,0)</f>
        <v>5020</v>
      </c>
      <c r="I1755" s="160">
        <f>Sales[[#This Row],[Selling Rate]]*Sales[[#This Row],[Qty]]</f>
        <v>35140</v>
      </c>
      <c r="J1755" s="43">
        <v>0.1</v>
      </c>
      <c r="K1755" s="44">
        <f>Sales[[#This Row],[Gross Amount]]*Sales[[#This Row],[Disc %]]</f>
        <v>3514</v>
      </c>
      <c r="L1755" s="43">
        <v>0.18</v>
      </c>
      <c r="M1755" s="44">
        <f>(Sales[[#This Row],[Gross Amount]]-Sales[[#This Row],[Disc. Amt.]])*Sales[[#This Row],[GST %]]</f>
        <v>5692.6799999999994</v>
      </c>
      <c r="N1755" s="161">
        <f>Sales[[#This Row],[Gross Amount]]-Sales[[#This Row],[Disc. Amt.]]+Sales[[#This Row],[GST Amount]]</f>
        <v>37318.68</v>
      </c>
      <c r="O1755" s="158" t="s">
        <v>8876</v>
      </c>
      <c r="P1755" s="158" t="s">
        <v>3562</v>
      </c>
      <c r="Q1755" s="160">
        <f>IF(Sales[[#This Row],[Status]]="Cancelled",0,Sales[[#This Row],[Qty]])</f>
        <v>7</v>
      </c>
      <c r="R1755" s="161">
        <f>IF(Sales[[#This Row],[Status]]="Cancelled",0,Sales[[#This Row],[Total Amount]])</f>
        <v>37318.68</v>
      </c>
      <c r="S1755" s="162">
        <f>SUM(Sales[Net Amount])</f>
        <v>406839287.73200053</v>
      </c>
    </row>
    <row r="1756" spans="1:19" ht="18.75" x14ac:dyDescent="0.25">
      <c r="A1756" s="163" t="s">
        <v>5366</v>
      </c>
      <c r="B1756" s="164">
        <v>45866</v>
      </c>
      <c r="C1756" s="34" t="s">
        <v>910</v>
      </c>
      <c r="D1756" s="53" t="str">
        <f>VLOOKUP(Sales[[#This Row],[Customer ID]],Customer[#All],2,0)</f>
        <v>Sahil Sharma</v>
      </c>
      <c r="E1756" s="34" t="s">
        <v>266</v>
      </c>
      <c r="F1756" s="34" t="str">
        <f>VLOOKUP(Sales[[#This Row],[Product ID]],Product[#All],2,0)</f>
        <v>American TouristerLaptopBag</v>
      </c>
      <c r="G1756" s="53">
        <v>8</v>
      </c>
      <c r="H1756" s="165">
        <f>VLOOKUP(Sales[[#This Row],[Product ID]],Product[#All],7,0)</f>
        <v>4170</v>
      </c>
      <c r="I1756" s="165">
        <f>Sales[[#This Row],[Selling Rate]]*Sales[[#This Row],[Qty]]</f>
        <v>33360</v>
      </c>
      <c r="J1756" s="45">
        <v>0.12</v>
      </c>
      <c r="K1756" s="46">
        <f>Sales[[#This Row],[Gross Amount]]*Sales[[#This Row],[Disc %]]</f>
        <v>4003.2</v>
      </c>
      <c r="L1756" s="43">
        <v>0.18</v>
      </c>
      <c r="M1756" s="46">
        <f>(Sales[[#This Row],[Gross Amount]]-Sales[[#This Row],[Disc. Amt.]])*Sales[[#This Row],[GST %]]</f>
        <v>5284.2239999999993</v>
      </c>
      <c r="N1756" s="161">
        <f>Sales[[#This Row],[Gross Amount]]-Sales[[#This Row],[Disc. Amt.]]+Sales[[#This Row],[GST Amount]]</f>
        <v>34641.023999999998</v>
      </c>
      <c r="O1756" s="34" t="s">
        <v>3561</v>
      </c>
      <c r="P1756" s="34" t="s">
        <v>3562</v>
      </c>
      <c r="Q1756" s="165">
        <f>IF(Sales[[#This Row],[Status]]="Cancelled",0,Sales[[#This Row],[Qty]])</f>
        <v>8</v>
      </c>
      <c r="R1756" s="166">
        <f>IF(Sales[[#This Row],[Status]]="Cancelled",0,Sales[[#This Row],[Total Amount]])</f>
        <v>34641.023999999998</v>
      </c>
      <c r="S1756" s="162">
        <f>SUM(Sales[Net Amount])</f>
        <v>406839287.73200053</v>
      </c>
    </row>
    <row r="1757" spans="1:19" ht="18.75" x14ac:dyDescent="0.25">
      <c r="A1757" s="156" t="s">
        <v>5367</v>
      </c>
      <c r="B1757" s="157">
        <v>45866</v>
      </c>
      <c r="C1757" s="158" t="s">
        <v>776</v>
      </c>
      <c r="D1757" s="159" t="str">
        <f>VLOOKUP(Sales[[#This Row],[Customer ID]],Customer[#All],2,0)</f>
        <v>Sunita Singh</v>
      </c>
      <c r="E1757" s="158" t="s">
        <v>345</v>
      </c>
      <c r="F1757" s="158" t="str">
        <f>VLOOKUP(Sales[[#This Row],[Product ID]],Product[#All],2,0)</f>
        <v>Amazon Basics Hdmi Cable</v>
      </c>
      <c r="G1757" s="159">
        <v>8</v>
      </c>
      <c r="H1757" s="160">
        <f>VLOOKUP(Sales[[#This Row],[Product ID]],Product[#All],7,0)</f>
        <v>190</v>
      </c>
      <c r="I1757" s="160">
        <f>Sales[[#This Row],[Selling Rate]]*Sales[[#This Row],[Qty]]</f>
        <v>1520</v>
      </c>
      <c r="J1757" s="43">
        <v>0.05</v>
      </c>
      <c r="K1757" s="44">
        <f>Sales[[#This Row],[Gross Amount]]*Sales[[#This Row],[Disc %]]</f>
        <v>76</v>
      </c>
      <c r="L1757" s="43">
        <v>0.18</v>
      </c>
      <c r="M1757" s="44">
        <f>(Sales[[#This Row],[Gross Amount]]-Sales[[#This Row],[Disc. Amt.]])*Sales[[#This Row],[GST %]]</f>
        <v>259.92</v>
      </c>
      <c r="N1757" s="161">
        <f>Sales[[#This Row],[Gross Amount]]-Sales[[#This Row],[Disc. Amt.]]+Sales[[#This Row],[GST Amount]]</f>
        <v>1703.92</v>
      </c>
      <c r="O1757" s="158" t="s">
        <v>3569</v>
      </c>
      <c r="P1757" s="158" t="s">
        <v>3562</v>
      </c>
      <c r="Q1757" s="160">
        <f>IF(Sales[[#This Row],[Status]]="Cancelled",0,Sales[[#This Row],[Qty]])</f>
        <v>8</v>
      </c>
      <c r="R1757" s="161">
        <f>IF(Sales[[#This Row],[Status]]="Cancelled",0,Sales[[#This Row],[Total Amount]])</f>
        <v>1703.92</v>
      </c>
      <c r="S1757" s="162">
        <f>SUM(Sales[Net Amount])</f>
        <v>406839287.73200053</v>
      </c>
    </row>
    <row r="1758" spans="1:19" ht="18.75" x14ac:dyDescent="0.25">
      <c r="A1758" s="163" t="s">
        <v>5368</v>
      </c>
      <c r="B1758" s="164">
        <v>45866</v>
      </c>
      <c r="C1758" s="34" t="s">
        <v>5284</v>
      </c>
      <c r="D1758" s="53" t="str">
        <f>VLOOKUP(Sales[[#This Row],[Customer ID]],Customer[#All],2,0)</f>
        <v>Rahul Verma</v>
      </c>
      <c r="E1758" s="34" t="s">
        <v>259</v>
      </c>
      <c r="F1758" s="34" t="str">
        <f>VLOOKUP(Sales[[#This Row],[Product ID]],Product[#All],2,0)</f>
        <v>Lg Monitor</v>
      </c>
      <c r="G1758" s="53">
        <v>3</v>
      </c>
      <c r="H1758" s="165">
        <f>VLOOKUP(Sales[[#This Row],[Product ID]],Product[#All],7,0)</f>
        <v>28600</v>
      </c>
      <c r="I1758" s="165">
        <f>Sales[[#This Row],[Selling Rate]]*Sales[[#This Row],[Qty]]</f>
        <v>85800</v>
      </c>
      <c r="J1758" s="45">
        <v>0.12</v>
      </c>
      <c r="K1758" s="46">
        <f>Sales[[#This Row],[Gross Amount]]*Sales[[#This Row],[Disc %]]</f>
        <v>10296</v>
      </c>
      <c r="L1758" s="43">
        <v>0.18</v>
      </c>
      <c r="M1758" s="46">
        <f>(Sales[[#This Row],[Gross Amount]]-Sales[[#This Row],[Disc. Amt.]])*Sales[[#This Row],[GST %]]</f>
        <v>13590.72</v>
      </c>
      <c r="N1758" s="161">
        <f>Sales[[#This Row],[Gross Amount]]-Sales[[#This Row],[Disc. Amt.]]+Sales[[#This Row],[GST Amount]]</f>
        <v>89094.720000000001</v>
      </c>
      <c r="O1758" s="34" t="s">
        <v>3566</v>
      </c>
      <c r="P1758" s="34" t="s">
        <v>3562</v>
      </c>
      <c r="Q1758" s="165">
        <f>IF(Sales[[#This Row],[Status]]="Cancelled",0,Sales[[#This Row],[Qty]])</f>
        <v>3</v>
      </c>
      <c r="R1758" s="166">
        <f>IF(Sales[[#This Row],[Status]]="Cancelled",0,Sales[[#This Row],[Total Amount]])</f>
        <v>89094.720000000001</v>
      </c>
      <c r="S1758" s="162">
        <f>SUM(Sales[Net Amount])</f>
        <v>406839287.73200053</v>
      </c>
    </row>
    <row r="1759" spans="1:19" ht="18.75" x14ac:dyDescent="0.25">
      <c r="A1759" s="156" t="s">
        <v>5369</v>
      </c>
      <c r="B1759" s="157">
        <v>45867</v>
      </c>
      <c r="C1759" s="158" t="s">
        <v>896</v>
      </c>
      <c r="D1759" s="159" t="str">
        <f>VLOOKUP(Sales[[#This Row],[Customer ID]],Customer[#All],2,0)</f>
        <v>Amit Gupta</v>
      </c>
      <c r="E1759" s="158" t="s">
        <v>395</v>
      </c>
      <c r="F1759" s="158" t="str">
        <f>VLOOKUP(Sales[[#This Row],[Product ID]],Product[#All],2,0)</f>
        <v>American TouristerLaptopBag</v>
      </c>
      <c r="G1759" s="159">
        <v>5</v>
      </c>
      <c r="H1759" s="160">
        <f>VLOOKUP(Sales[[#This Row],[Product ID]],Product[#All],7,0)</f>
        <v>5010</v>
      </c>
      <c r="I1759" s="160">
        <f>Sales[[#This Row],[Selling Rate]]*Sales[[#This Row],[Qty]]</f>
        <v>25050</v>
      </c>
      <c r="J1759" s="43">
        <v>0.12</v>
      </c>
      <c r="K1759" s="44">
        <f>Sales[[#This Row],[Gross Amount]]*Sales[[#This Row],[Disc %]]</f>
        <v>3006</v>
      </c>
      <c r="L1759" s="43">
        <v>0.18</v>
      </c>
      <c r="M1759" s="44">
        <f>(Sales[[#This Row],[Gross Amount]]-Sales[[#This Row],[Disc. Amt.]])*Sales[[#This Row],[GST %]]</f>
        <v>3967.92</v>
      </c>
      <c r="N1759" s="161">
        <f>Sales[[#This Row],[Gross Amount]]-Sales[[#This Row],[Disc. Amt.]]+Sales[[#This Row],[GST Amount]]</f>
        <v>26011.919999999998</v>
      </c>
      <c r="O1759" s="158" t="s">
        <v>8876</v>
      </c>
      <c r="P1759" s="158" t="s">
        <v>3562</v>
      </c>
      <c r="Q1759" s="160">
        <f>IF(Sales[[#This Row],[Status]]="Cancelled",0,Sales[[#This Row],[Qty]])</f>
        <v>5</v>
      </c>
      <c r="R1759" s="161">
        <f>IF(Sales[[#This Row],[Status]]="Cancelled",0,Sales[[#This Row],[Total Amount]])</f>
        <v>26011.919999999998</v>
      </c>
      <c r="S1759" s="162">
        <f>SUM(Sales[Net Amount])</f>
        <v>406839287.73200053</v>
      </c>
    </row>
    <row r="1760" spans="1:19" ht="18.75" x14ac:dyDescent="0.25">
      <c r="A1760" s="163" t="s">
        <v>5370</v>
      </c>
      <c r="B1760" s="164">
        <v>45867</v>
      </c>
      <c r="C1760" s="34" t="s">
        <v>666</v>
      </c>
      <c r="D1760" s="53" t="str">
        <f>VLOOKUP(Sales[[#This Row],[Customer ID]],Customer[#All],2,0)</f>
        <v>Sahil Gupta</v>
      </c>
      <c r="E1760" s="34" t="s">
        <v>445</v>
      </c>
      <c r="F1760" s="34" t="str">
        <f>VLOOKUP(Sales[[#This Row],[Product ID]],Product[#All],2,0)</f>
        <v>Lenovo Laptop</v>
      </c>
      <c r="G1760" s="53">
        <v>1</v>
      </c>
      <c r="H1760" s="165">
        <f>VLOOKUP(Sales[[#This Row],[Product ID]],Product[#All],7,0)</f>
        <v>37710</v>
      </c>
      <c r="I1760" s="165">
        <f>Sales[[#This Row],[Selling Rate]]*Sales[[#This Row],[Qty]]</f>
        <v>37710</v>
      </c>
      <c r="J1760" s="45">
        <v>0</v>
      </c>
      <c r="K1760" s="46">
        <f>Sales[[#This Row],[Gross Amount]]*Sales[[#This Row],[Disc %]]</f>
        <v>0</v>
      </c>
      <c r="L1760" s="43">
        <v>0.18</v>
      </c>
      <c r="M1760" s="46">
        <f>(Sales[[#This Row],[Gross Amount]]-Sales[[#This Row],[Disc. Amt.]])*Sales[[#This Row],[GST %]]</f>
        <v>6787.8</v>
      </c>
      <c r="N1760" s="161">
        <f>Sales[[#This Row],[Gross Amount]]-Sales[[#This Row],[Disc. Amt.]]+Sales[[#This Row],[GST Amount]]</f>
        <v>44497.8</v>
      </c>
      <c r="O1760" s="34" t="s">
        <v>3569</v>
      </c>
      <c r="P1760" s="34" t="s">
        <v>3562</v>
      </c>
      <c r="Q1760" s="165">
        <f>IF(Sales[[#This Row],[Status]]="Cancelled",0,Sales[[#This Row],[Qty]])</f>
        <v>1</v>
      </c>
      <c r="R1760" s="166">
        <f>IF(Sales[[#This Row],[Status]]="Cancelled",0,Sales[[#This Row],[Total Amount]])</f>
        <v>44497.8</v>
      </c>
      <c r="S1760" s="162">
        <f>SUM(Sales[Net Amount])</f>
        <v>406839287.73200053</v>
      </c>
    </row>
    <row r="1761" spans="1:19" ht="18.75" x14ac:dyDescent="0.25">
      <c r="A1761" s="156" t="s">
        <v>5371</v>
      </c>
      <c r="B1761" s="157">
        <v>45867</v>
      </c>
      <c r="C1761" s="158" t="s">
        <v>765</v>
      </c>
      <c r="D1761" s="159" t="str">
        <f>VLOOKUP(Sales[[#This Row],[Customer ID]],Customer[#All],2,0)</f>
        <v>Neha Gupta</v>
      </c>
      <c r="E1761" s="158" t="s">
        <v>70</v>
      </c>
      <c r="F1761" s="158" t="str">
        <f>VLOOKUP(Sales[[#This Row],[Product ID]],Product[#All],2,0)</f>
        <v>Logitech Webcam</v>
      </c>
      <c r="G1761" s="159">
        <v>6</v>
      </c>
      <c r="H1761" s="160">
        <f>VLOOKUP(Sales[[#This Row],[Product ID]],Product[#All],7,0)</f>
        <v>5200</v>
      </c>
      <c r="I1761" s="160">
        <f>Sales[[#This Row],[Selling Rate]]*Sales[[#This Row],[Qty]]</f>
        <v>31200</v>
      </c>
      <c r="J1761" s="43">
        <v>0</v>
      </c>
      <c r="K1761" s="44">
        <f>Sales[[#This Row],[Gross Amount]]*Sales[[#This Row],[Disc %]]</f>
        <v>0</v>
      </c>
      <c r="L1761" s="43">
        <v>0.18</v>
      </c>
      <c r="M1761" s="44">
        <f>(Sales[[#This Row],[Gross Amount]]-Sales[[#This Row],[Disc. Amt.]])*Sales[[#This Row],[GST %]]</f>
        <v>5616</v>
      </c>
      <c r="N1761" s="161">
        <f>Sales[[#This Row],[Gross Amount]]-Sales[[#This Row],[Disc. Amt.]]+Sales[[#This Row],[GST Amount]]</f>
        <v>36816</v>
      </c>
      <c r="O1761" s="158" t="s">
        <v>3566</v>
      </c>
      <c r="P1761" s="158" t="s">
        <v>3562</v>
      </c>
      <c r="Q1761" s="160">
        <f>IF(Sales[[#This Row],[Status]]="Cancelled",0,Sales[[#This Row],[Qty]])</f>
        <v>6</v>
      </c>
      <c r="R1761" s="161">
        <f>IF(Sales[[#This Row],[Status]]="Cancelled",0,Sales[[#This Row],[Total Amount]])</f>
        <v>36816</v>
      </c>
      <c r="S1761" s="162">
        <f>SUM(Sales[Net Amount])</f>
        <v>406839287.73200053</v>
      </c>
    </row>
    <row r="1762" spans="1:19" ht="18.75" x14ac:dyDescent="0.25">
      <c r="A1762" s="163" t="s">
        <v>5372</v>
      </c>
      <c r="B1762" s="164">
        <v>45867</v>
      </c>
      <c r="C1762" s="34" t="s">
        <v>757</v>
      </c>
      <c r="D1762" s="53" t="str">
        <f>VLOOKUP(Sales[[#This Row],[Customer ID]],Customer[#All],2,0)</f>
        <v>Amit Singh</v>
      </c>
      <c r="E1762" s="34" t="s">
        <v>422</v>
      </c>
      <c r="F1762" s="34" t="str">
        <f>VLOOKUP(Sales[[#This Row],[Product ID]],Product[#All],2,0)</f>
        <v>Microtek UPS</v>
      </c>
      <c r="G1762" s="53">
        <v>3</v>
      </c>
      <c r="H1762" s="165">
        <f>VLOOKUP(Sales[[#This Row],[Product ID]],Product[#All],7,0)</f>
        <v>6450</v>
      </c>
      <c r="I1762" s="165">
        <f>Sales[[#This Row],[Selling Rate]]*Sales[[#This Row],[Qty]]</f>
        <v>19350</v>
      </c>
      <c r="J1762" s="45">
        <v>0</v>
      </c>
      <c r="K1762" s="46">
        <f>Sales[[#This Row],[Gross Amount]]*Sales[[#This Row],[Disc %]]</f>
        <v>0</v>
      </c>
      <c r="L1762" s="43">
        <v>0.18</v>
      </c>
      <c r="M1762" s="46">
        <f>(Sales[[#This Row],[Gross Amount]]-Sales[[#This Row],[Disc. Amt.]])*Sales[[#This Row],[GST %]]</f>
        <v>3483</v>
      </c>
      <c r="N1762" s="161">
        <f>Sales[[#This Row],[Gross Amount]]-Sales[[#This Row],[Disc. Amt.]]+Sales[[#This Row],[GST Amount]]</f>
        <v>22833</v>
      </c>
      <c r="O1762" s="34" t="s">
        <v>8876</v>
      </c>
      <c r="P1762" s="34" t="s">
        <v>3562</v>
      </c>
      <c r="Q1762" s="165">
        <f>IF(Sales[[#This Row],[Status]]="Cancelled",0,Sales[[#This Row],[Qty]])</f>
        <v>3</v>
      </c>
      <c r="R1762" s="166">
        <f>IF(Sales[[#This Row],[Status]]="Cancelled",0,Sales[[#This Row],[Total Amount]])</f>
        <v>22833</v>
      </c>
      <c r="S1762" s="162">
        <f>SUM(Sales[Net Amount])</f>
        <v>406839287.73200053</v>
      </c>
    </row>
    <row r="1763" spans="1:19" ht="18.75" x14ac:dyDescent="0.25">
      <c r="A1763" s="156" t="s">
        <v>5373</v>
      </c>
      <c r="B1763" s="157">
        <v>45867</v>
      </c>
      <c r="C1763" s="158" t="s">
        <v>927</v>
      </c>
      <c r="D1763" s="159" t="str">
        <f>VLOOKUP(Sales[[#This Row],[Customer ID]],Customer[#All],2,0)</f>
        <v>Sunita Patel</v>
      </c>
      <c r="E1763" s="158" t="s">
        <v>313</v>
      </c>
      <c r="F1763" s="158" t="str">
        <f>VLOOKUP(Sales[[#This Row],[Product ID]],Product[#All],2,0)</f>
        <v>Portronics USB Cable</v>
      </c>
      <c r="G1763" s="159">
        <v>4</v>
      </c>
      <c r="H1763" s="160">
        <f>VLOOKUP(Sales[[#This Row],[Product ID]],Product[#All],7,0)</f>
        <v>240</v>
      </c>
      <c r="I1763" s="160">
        <f>Sales[[#This Row],[Selling Rate]]*Sales[[#This Row],[Qty]]</f>
        <v>960</v>
      </c>
      <c r="J1763" s="43">
        <v>0.15</v>
      </c>
      <c r="K1763" s="44">
        <f>Sales[[#This Row],[Gross Amount]]*Sales[[#This Row],[Disc %]]</f>
        <v>144</v>
      </c>
      <c r="L1763" s="43">
        <v>0.18</v>
      </c>
      <c r="M1763" s="44">
        <f>(Sales[[#This Row],[Gross Amount]]-Sales[[#This Row],[Disc. Amt.]])*Sales[[#This Row],[GST %]]</f>
        <v>146.88</v>
      </c>
      <c r="N1763" s="161">
        <f>Sales[[#This Row],[Gross Amount]]-Sales[[#This Row],[Disc. Amt.]]+Sales[[#This Row],[GST Amount]]</f>
        <v>962.88</v>
      </c>
      <c r="O1763" s="158" t="s">
        <v>3561</v>
      </c>
      <c r="P1763" s="158" t="s">
        <v>3562</v>
      </c>
      <c r="Q1763" s="160">
        <f>IF(Sales[[#This Row],[Status]]="Cancelled",0,Sales[[#This Row],[Qty]])</f>
        <v>4</v>
      </c>
      <c r="R1763" s="161">
        <f>IF(Sales[[#This Row],[Status]]="Cancelled",0,Sales[[#This Row],[Total Amount]])</f>
        <v>962.88</v>
      </c>
      <c r="S1763" s="162">
        <f>SUM(Sales[Net Amount])</f>
        <v>406839287.73200053</v>
      </c>
    </row>
    <row r="1764" spans="1:19" ht="18.75" x14ac:dyDescent="0.25">
      <c r="A1764" s="163" t="s">
        <v>5374</v>
      </c>
      <c r="B1764" s="164">
        <v>45867</v>
      </c>
      <c r="C1764" s="34" t="s">
        <v>873</v>
      </c>
      <c r="D1764" s="53" t="str">
        <f>VLOOKUP(Sales[[#This Row],[Customer ID]],Customer[#All],2,0)</f>
        <v>Sahil Verma</v>
      </c>
      <c r="E1764" s="34" t="s">
        <v>456</v>
      </c>
      <c r="F1764" s="34" t="str">
        <f>VLOOKUP(Sales[[#This Row],[Product ID]],Product[#All],2,0)</f>
        <v>Acer Laptop</v>
      </c>
      <c r="G1764" s="53">
        <v>5</v>
      </c>
      <c r="H1764" s="165">
        <f>VLOOKUP(Sales[[#This Row],[Product ID]],Product[#All],7,0)</f>
        <v>66790</v>
      </c>
      <c r="I1764" s="165">
        <f>Sales[[#This Row],[Selling Rate]]*Sales[[#This Row],[Qty]]</f>
        <v>333950</v>
      </c>
      <c r="J1764" s="45">
        <v>0</v>
      </c>
      <c r="K1764" s="46">
        <f>Sales[[#This Row],[Gross Amount]]*Sales[[#This Row],[Disc %]]</f>
        <v>0</v>
      </c>
      <c r="L1764" s="43">
        <v>0.18</v>
      </c>
      <c r="M1764" s="46">
        <f>(Sales[[#This Row],[Gross Amount]]-Sales[[#This Row],[Disc. Amt.]])*Sales[[#This Row],[GST %]]</f>
        <v>60111</v>
      </c>
      <c r="N1764" s="161">
        <f>Sales[[#This Row],[Gross Amount]]-Sales[[#This Row],[Disc. Amt.]]+Sales[[#This Row],[GST Amount]]</f>
        <v>394061</v>
      </c>
      <c r="O1764" s="34" t="s">
        <v>8876</v>
      </c>
      <c r="P1764" s="34" t="s">
        <v>1040</v>
      </c>
      <c r="Q1764" s="165">
        <f>IF(Sales[[#This Row],[Status]]="Cancelled",0,Sales[[#This Row],[Qty]])</f>
        <v>0</v>
      </c>
      <c r="R1764" s="166">
        <f>IF(Sales[[#This Row],[Status]]="Cancelled",0,Sales[[#This Row],[Total Amount]])</f>
        <v>0</v>
      </c>
      <c r="S1764" s="162">
        <f>SUM(Sales[Net Amount])</f>
        <v>406839287.73200053</v>
      </c>
    </row>
    <row r="1765" spans="1:19" ht="18.75" x14ac:dyDescent="0.25">
      <c r="A1765" s="156" t="s">
        <v>5375</v>
      </c>
      <c r="B1765" s="157">
        <v>45867</v>
      </c>
      <c r="C1765" s="158" t="s">
        <v>871</v>
      </c>
      <c r="D1765" s="159" t="str">
        <f>VLOOKUP(Sales[[#This Row],[Customer ID]],Customer[#All],2,0)</f>
        <v>Rakesh Kumar</v>
      </c>
      <c r="E1765" s="158" t="s">
        <v>15</v>
      </c>
      <c r="F1765" s="158" t="str">
        <f>VLOOKUP(Sales[[#This Row],[Product ID]],Product[#All],2,0)</f>
        <v>Sandisk Pen Drive</v>
      </c>
      <c r="G1765" s="159">
        <v>5</v>
      </c>
      <c r="H1765" s="160">
        <f>VLOOKUP(Sales[[#This Row],[Product ID]],Product[#All],7,0)</f>
        <v>4530</v>
      </c>
      <c r="I1765" s="160">
        <f>Sales[[#This Row],[Selling Rate]]*Sales[[#This Row],[Qty]]</f>
        <v>22650</v>
      </c>
      <c r="J1765" s="43">
        <v>0.05</v>
      </c>
      <c r="K1765" s="44">
        <f>Sales[[#This Row],[Gross Amount]]*Sales[[#This Row],[Disc %]]</f>
        <v>1132.5</v>
      </c>
      <c r="L1765" s="43">
        <v>0.18</v>
      </c>
      <c r="M1765" s="44">
        <f>(Sales[[#This Row],[Gross Amount]]-Sales[[#This Row],[Disc. Amt.]])*Sales[[#This Row],[GST %]]</f>
        <v>3873.1499999999996</v>
      </c>
      <c r="N1765" s="161">
        <f>Sales[[#This Row],[Gross Amount]]-Sales[[#This Row],[Disc. Amt.]]+Sales[[#This Row],[GST Amount]]</f>
        <v>25390.65</v>
      </c>
      <c r="O1765" s="158" t="s">
        <v>3561</v>
      </c>
      <c r="P1765" s="158" t="s">
        <v>3562</v>
      </c>
      <c r="Q1765" s="160">
        <f>IF(Sales[[#This Row],[Status]]="Cancelled",0,Sales[[#This Row],[Qty]])</f>
        <v>5</v>
      </c>
      <c r="R1765" s="161">
        <f>IF(Sales[[#This Row],[Status]]="Cancelled",0,Sales[[#This Row],[Total Amount]])</f>
        <v>25390.65</v>
      </c>
      <c r="S1765" s="162">
        <f>SUM(Sales[Net Amount])</f>
        <v>406839287.73200053</v>
      </c>
    </row>
    <row r="1766" spans="1:19" ht="18.75" x14ac:dyDescent="0.25">
      <c r="A1766" s="163" t="s">
        <v>5376</v>
      </c>
      <c r="B1766" s="164">
        <v>45867</v>
      </c>
      <c r="C1766" s="34" t="s">
        <v>710</v>
      </c>
      <c r="D1766" s="53" t="str">
        <f>VLOOKUP(Sales[[#This Row],[Customer ID]],Customer[#All],2,0)</f>
        <v>Sunita Patel</v>
      </c>
      <c r="E1766" s="34" t="s">
        <v>152</v>
      </c>
      <c r="F1766" s="34" t="str">
        <f>VLOOKUP(Sales[[#This Row],[Product ID]],Product[#All],2,0)</f>
        <v>Acer Laptop</v>
      </c>
      <c r="G1766" s="53">
        <v>2</v>
      </c>
      <c r="H1766" s="165">
        <f>VLOOKUP(Sales[[#This Row],[Product ID]],Product[#All],7,0)</f>
        <v>33410</v>
      </c>
      <c r="I1766" s="165">
        <f>Sales[[#This Row],[Selling Rate]]*Sales[[#This Row],[Qty]]</f>
        <v>66820</v>
      </c>
      <c r="J1766" s="45">
        <v>0</v>
      </c>
      <c r="K1766" s="46">
        <f>Sales[[#This Row],[Gross Amount]]*Sales[[#This Row],[Disc %]]</f>
        <v>0</v>
      </c>
      <c r="L1766" s="43">
        <v>0.18</v>
      </c>
      <c r="M1766" s="46">
        <f>(Sales[[#This Row],[Gross Amount]]-Sales[[#This Row],[Disc. Amt.]])*Sales[[#This Row],[GST %]]</f>
        <v>12027.6</v>
      </c>
      <c r="N1766" s="161">
        <f>Sales[[#This Row],[Gross Amount]]-Sales[[#This Row],[Disc. Amt.]]+Sales[[#This Row],[GST Amount]]</f>
        <v>78847.600000000006</v>
      </c>
      <c r="O1766" s="34" t="s">
        <v>3569</v>
      </c>
      <c r="P1766" s="34" t="s">
        <v>3562</v>
      </c>
      <c r="Q1766" s="165">
        <f>IF(Sales[[#This Row],[Status]]="Cancelled",0,Sales[[#This Row],[Qty]])</f>
        <v>2</v>
      </c>
      <c r="R1766" s="166">
        <f>IF(Sales[[#This Row],[Status]]="Cancelled",0,Sales[[#This Row],[Total Amount]])</f>
        <v>78847.600000000006</v>
      </c>
      <c r="S1766" s="162">
        <f>SUM(Sales[Net Amount])</f>
        <v>406839287.73200053</v>
      </c>
    </row>
    <row r="1767" spans="1:19" ht="18.75" x14ac:dyDescent="0.25">
      <c r="A1767" s="156" t="s">
        <v>5377</v>
      </c>
      <c r="B1767" s="157">
        <v>45867</v>
      </c>
      <c r="C1767" s="158" t="s">
        <v>673</v>
      </c>
      <c r="D1767" s="159" t="str">
        <f>VLOOKUP(Sales[[#This Row],[Customer ID]],Customer[#All],2,0)</f>
        <v>Sunita Gupta</v>
      </c>
      <c r="E1767" s="158" t="s">
        <v>131</v>
      </c>
      <c r="F1767" s="158" t="str">
        <f>VLOOKUP(Sales[[#This Row],[Product ID]],Product[#All],2,0)</f>
        <v>HP Power Adapter</v>
      </c>
      <c r="G1767" s="159">
        <v>1</v>
      </c>
      <c r="H1767" s="160">
        <f>VLOOKUP(Sales[[#This Row],[Product ID]],Product[#All],7,0)</f>
        <v>2540</v>
      </c>
      <c r="I1767" s="160">
        <f>Sales[[#This Row],[Selling Rate]]*Sales[[#This Row],[Qty]]</f>
        <v>2540</v>
      </c>
      <c r="J1767" s="43">
        <v>0</v>
      </c>
      <c r="K1767" s="44">
        <f>Sales[[#This Row],[Gross Amount]]*Sales[[#This Row],[Disc %]]</f>
        <v>0</v>
      </c>
      <c r="L1767" s="43">
        <v>0.18</v>
      </c>
      <c r="M1767" s="44">
        <f>(Sales[[#This Row],[Gross Amount]]-Sales[[#This Row],[Disc. Amt.]])*Sales[[#This Row],[GST %]]</f>
        <v>457.2</v>
      </c>
      <c r="N1767" s="161">
        <f>Sales[[#This Row],[Gross Amount]]-Sales[[#This Row],[Disc. Amt.]]+Sales[[#This Row],[GST Amount]]</f>
        <v>2997.2</v>
      </c>
      <c r="O1767" s="158" t="s">
        <v>3561</v>
      </c>
      <c r="P1767" s="158" t="s">
        <v>3562</v>
      </c>
      <c r="Q1767" s="160">
        <f>IF(Sales[[#This Row],[Status]]="Cancelled",0,Sales[[#This Row],[Qty]])</f>
        <v>1</v>
      </c>
      <c r="R1767" s="161">
        <f>IF(Sales[[#This Row],[Status]]="Cancelled",0,Sales[[#This Row],[Total Amount]])</f>
        <v>2997.2</v>
      </c>
      <c r="S1767" s="162">
        <f>SUM(Sales[Net Amount])</f>
        <v>406839287.73200053</v>
      </c>
    </row>
    <row r="1768" spans="1:19" ht="18.75" x14ac:dyDescent="0.25">
      <c r="A1768" s="163" t="s">
        <v>5378</v>
      </c>
      <c r="B1768" s="164">
        <v>45867</v>
      </c>
      <c r="C1768" s="34" t="s">
        <v>887</v>
      </c>
      <c r="D1768" s="53" t="str">
        <f>VLOOKUP(Sales[[#This Row],[Customer ID]],Customer[#All],2,0)</f>
        <v>Sahil Verma</v>
      </c>
      <c r="E1768" s="34" t="s">
        <v>473</v>
      </c>
      <c r="F1768" s="34" t="str">
        <f>VLOOKUP(Sales[[#This Row],[Product ID]],Product[#All],2,0)</f>
        <v>Boat Headset</v>
      </c>
      <c r="G1768" s="53">
        <v>2</v>
      </c>
      <c r="H1768" s="165">
        <f>VLOOKUP(Sales[[#This Row],[Product ID]],Product[#All],7,0)</f>
        <v>2840</v>
      </c>
      <c r="I1768" s="165">
        <f>Sales[[#This Row],[Selling Rate]]*Sales[[#This Row],[Qty]]</f>
        <v>5680</v>
      </c>
      <c r="J1768" s="45">
        <v>0.1</v>
      </c>
      <c r="K1768" s="46">
        <f>Sales[[#This Row],[Gross Amount]]*Sales[[#This Row],[Disc %]]</f>
        <v>568</v>
      </c>
      <c r="L1768" s="43">
        <v>0.18</v>
      </c>
      <c r="M1768" s="46">
        <f>(Sales[[#This Row],[Gross Amount]]-Sales[[#This Row],[Disc. Amt.]])*Sales[[#This Row],[GST %]]</f>
        <v>920.16</v>
      </c>
      <c r="N1768" s="161">
        <f>Sales[[#This Row],[Gross Amount]]-Sales[[#This Row],[Disc. Amt.]]+Sales[[#This Row],[GST Amount]]</f>
        <v>6032.16</v>
      </c>
      <c r="O1768" s="34" t="s">
        <v>3569</v>
      </c>
      <c r="P1768" s="34" t="s">
        <v>3562</v>
      </c>
      <c r="Q1768" s="165">
        <f>IF(Sales[[#This Row],[Status]]="Cancelled",0,Sales[[#This Row],[Qty]])</f>
        <v>2</v>
      </c>
      <c r="R1768" s="166">
        <f>IF(Sales[[#This Row],[Status]]="Cancelled",0,Sales[[#This Row],[Total Amount]])</f>
        <v>6032.16</v>
      </c>
      <c r="S1768" s="162">
        <f>SUM(Sales[Net Amount])</f>
        <v>406839287.73200053</v>
      </c>
    </row>
    <row r="1769" spans="1:19" ht="18.75" x14ac:dyDescent="0.25">
      <c r="A1769" s="156" t="s">
        <v>5379</v>
      </c>
      <c r="B1769" s="157">
        <v>45868</v>
      </c>
      <c r="C1769" s="158" t="s">
        <v>663</v>
      </c>
      <c r="D1769" s="159" t="str">
        <f>VLOOKUP(Sales[[#This Row],[Customer ID]],Customer[#All],2,0)</f>
        <v>Amit Sharma</v>
      </c>
      <c r="E1769" s="158" t="s">
        <v>487</v>
      </c>
      <c r="F1769" s="158" t="str">
        <f>VLOOKUP(Sales[[#This Row],[Product ID]],Product[#All],2,0)</f>
        <v>TP-link Bluetooth Adapter</v>
      </c>
      <c r="G1769" s="159">
        <v>8</v>
      </c>
      <c r="H1769" s="160">
        <f>VLOOKUP(Sales[[#This Row],[Product ID]],Product[#All],7,0)</f>
        <v>660</v>
      </c>
      <c r="I1769" s="160">
        <f>Sales[[#This Row],[Selling Rate]]*Sales[[#This Row],[Qty]]</f>
        <v>5280</v>
      </c>
      <c r="J1769" s="43">
        <v>0.05</v>
      </c>
      <c r="K1769" s="44">
        <f>Sales[[#This Row],[Gross Amount]]*Sales[[#This Row],[Disc %]]</f>
        <v>264</v>
      </c>
      <c r="L1769" s="43">
        <v>0.18</v>
      </c>
      <c r="M1769" s="44">
        <f>(Sales[[#This Row],[Gross Amount]]-Sales[[#This Row],[Disc. Amt.]])*Sales[[#This Row],[GST %]]</f>
        <v>902.88</v>
      </c>
      <c r="N1769" s="161">
        <f>Sales[[#This Row],[Gross Amount]]-Sales[[#This Row],[Disc. Amt.]]+Sales[[#This Row],[GST Amount]]</f>
        <v>5918.88</v>
      </c>
      <c r="O1769" s="158" t="s">
        <v>3561</v>
      </c>
      <c r="P1769" s="158" t="s">
        <v>3562</v>
      </c>
      <c r="Q1769" s="160">
        <f>IF(Sales[[#This Row],[Status]]="Cancelled",0,Sales[[#This Row],[Qty]])</f>
        <v>8</v>
      </c>
      <c r="R1769" s="161">
        <f>IF(Sales[[#This Row],[Status]]="Cancelled",0,Sales[[#This Row],[Total Amount]])</f>
        <v>5918.88</v>
      </c>
      <c r="S1769" s="162">
        <f>SUM(Sales[Net Amount])</f>
        <v>406839287.73200053</v>
      </c>
    </row>
    <row r="1770" spans="1:19" ht="18.75" x14ac:dyDescent="0.25">
      <c r="A1770" s="163" t="s">
        <v>5380</v>
      </c>
      <c r="B1770" s="164">
        <v>45868</v>
      </c>
      <c r="C1770" s="34" t="s">
        <v>817</v>
      </c>
      <c r="D1770" s="53" t="str">
        <f>VLOOKUP(Sales[[#This Row],[Customer ID]],Customer[#All],2,0)</f>
        <v>Ankit Patel</v>
      </c>
      <c r="E1770" s="34" t="s">
        <v>363</v>
      </c>
      <c r="F1770" s="34" t="str">
        <f>VLOOKUP(Sales[[#This Row],[Product ID]],Product[#All],2,0)</f>
        <v>Dell Desktop</v>
      </c>
      <c r="G1770" s="53">
        <v>5</v>
      </c>
      <c r="H1770" s="165">
        <f>VLOOKUP(Sales[[#This Row],[Product ID]],Product[#All],7,0)</f>
        <v>37430</v>
      </c>
      <c r="I1770" s="165">
        <f>Sales[[#This Row],[Selling Rate]]*Sales[[#This Row],[Qty]]</f>
        <v>187150</v>
      </c>
      <c r="J1770" s="45">
        <v>0.1</v>
      </c>
      <c r="K1770" s="46">
        <f>Sales[[#This Row],[Gross Amount]]*Sales[[#This Row],[Disc %]]</f>
        <v>18715</v>
      </c>
      <c r="L1770" s="43">
        <v>0.18</v>
      </c>
      <c r="M1770" s="46">
        <f>(Sales[[#This Row],[Gross Amount]]-Sales[[#This Row],[Disc. Amt.]])*Sales[[#This Row],[GST %]]</f>
        <v>30318.3</v>
      </c>
      <c r="N1770" s="161">
        <f>Sales[[#This Row],[Gross Amount]]-Sales[[#This Row],[Disc. Amt.]]+Sales[[#This Row],[GST Amount]]</f>
        <v>198753.3</v>
      </c>
      <c r="O1770" s="34" t="s">
        <v>3561</v>
      </c>
      <c r="P1770" s="34" t="s">
        <v>3562</v>
      </c>
      <c r="Q1770" s="165">
        <f>IF(Sales[[#This Row],[Status]]="Cancelled",0,Sales[[#This Row],[Qty]])</f>
        <v>5</v>
      </c>
      <c r="R1770" s="166">
        <f>IF(Sales[[#This Row],[Status]]="Cancelled",0,Sales[[#This Row],[Total Amount]])</f>
        <v>198753.3</v>
      </c>
      <c r="S1770" s="162">
        <f>SUM(Sales[Net Amount])</f>
        <v>406839287.73200053</v>
      </c>
    </row>
    <row r="1771" spans="1:19" ht="18.75" x14ac:dyDescent="0.25">
      <c r="A1771" s="156" t="s">
        <v>5381</v>
      </c>
      <c r="B1771" s="157">
        <v>45868</v>
      </c>
      <c r="C1771" s="158" t="s">
        <v>795</v>
      </c>
      <c r="D1771" s="159" t="str">
        <f>VLOOKUP(Sales[[#This Row],[Customer ID]],Customer[#All],2,0)</f>
        <v>Sahil Gupta</v>
      </c>
      <c r="E1771" s="158" t="s">
        <v>519</v>
      </c>
      <c r="F1771" s="158" t="str">
        <f>VLOOKUP(Sales[[#This Row],[Product ID]],Product[#All],2,0)</f>
        <v>WD HDD</v>
      </c>
      <c r="G1771" s="159">
        <v>6</v>
      </c>
      <c r="H1771" s="160">
        <f>VLOOKUP(Sales[[#This Row],[Product ID]],Product[#All],7,0)</f>
        <v>8730</v>
      </c>
      <c r="I1771" s="160">
        <f>Sales[[#This Row],[Selling Rate]]*Sales[[#This Row],[Qty]]</f>
        <v>52380</v>
      </c>
      <c r="J1771" s="43">
        <v>0</v>
      </c>
      <c r="K1771" s="44">
        <f>Sales[[#This Row],[Gross Amount]]*Sales[[#This Row],[Disc %]]</f>
        <v>0</v>
      </c>
      <c r="L1771" s="43">
        <v>0.18</v>
      </c>
      <c r="M1771" s="44">
        <f>(Sales[[#This Row],[Gross Amount]]-Sales[[#This Row],[Disc. Amt.]])*Sales[[#This Row],[GST %]]</f>
        <v>9428.4</v>
      </c>
      <c r="N1771" s="161">
        <f>Sales[[#This Row],[Gross Amount]]-Sales[[#This Row],[Disc. Amt.]]+Sales[[#This Row],[GST Amount]]</f>
        <v>61808.4</v>
      </c>
      <c r="O1771" s="158" t="s">
        <v>3569</v>
      </c>
      <c r="P1771" s="158" t="s">
        <v>3562</v>
      </c>
      <c r="Q1771" s="160">
        <f>IF(Sales[[#This Row],[Status]]="Cancelled",0,Sales[[#This Row],[Qty]])</f>
        <v>6</v>
      </c>
      <c r="R1771" s="161">
        <f>IF(Sales[[#This Row],[Status]]="Cancelled",0,Sales[[#This Row],[Total Amount]])</f>
        <v>61808.4</v>
      </c>
      <c r="S1771" s="162">
        <f>SUM(Sales[Net Amount])</f>
        <v>406839287.73200053</v>
      </c>
    </row>
    <row r="1772" spans="1:19" ht="18.75" x14ac:dyDescent="0.25">
      <c r="A1772" s="163" t="s">
        <v>5382</v>
      </c>
      <c r="B1772" s="164">
        <v>45868</v>
      </c>
      <c r="C1772" s="34" t="s">
        <v>915</v>
      </c>
      <c r="D1772" s="53" t="str">
        <f>VLOOKUP(Sales[[#This Row],[Customer ID]],Customer[#All],2,0)</f>
        <v>Sunita Kumar</v>
      </c>
      <c r="E1772" s="34" t="s">
        <v>115</v>
      </c>
      <c r="F1772" s="34" t="str">
        <f>VLOOKUP(Sales[[#This Row],[Product ID]],Product[#All],2,0)</f>
        <v>Dell Power Adapter</v>
      </c>
      <c r="G1772" s="53">
        <v>2</v>
      </c>
      <c r="H1772" s="165">
        <f>VLOOKUP(Sales[[#This Row],[Product ID]],Product[#All],7,0)</f>
        <v>1890</v>
      </c>
      <c r="I1772" s="165">
        <f>Sales[[#This Row],[Selling Rate]]*Sales[[#This Row],[Qty]]</f>
        <v>3780</v>
      </c>
      <c r="J1772" s="45">
        <v>0.05</v>
      </c>
      <c r="K1772" s="46">
        <f>Sales[[#This Row],[Gross Amount]]*Sales[[#This Row],[Disc %]]</f>
        <v>189</v>
      </c>
      <c r="L1772" s="43">
        <v>0.18</v>
      </c>
      <c r="M1772" s="46">
        <f>(Sales[[#This Row],[Gross Amount]]-Sales[[#This Row],[Disc. Amt.]])*Sales[[#This Row],[GST %]]</f>
        <v>646.38</v>
      </c>
      <c r="N1772" s="161">
        <f>Sales[[#This Row],[Gross Amount]]-Sales[[#This Row],[Disc. Amt.]]+Sales[[#This Row],[GST Amount]]</f>
        <v>4237.38</v>
      </c>
      <c r="O1772" s="34" t="s">
        <v>8876</v>
      </c>
      <c r="P1772" s="34" t="s">
        <v>3562</v>
      </c>
      <c r="Q1772" s="165">
        <f>IF(Sales[[#This Row],[Status]]="Cancelled",0,Sales[[#This Row],[Qty]])</f>
        <v>2</v>
      </c>
      <c r="R1772" s="166">
        <f>IF(Sales[[#This Row],[Status]]="Cancelled",0,Sales[[#This Row],[Total Amount]])</f>
        <v>4237.38</v>
      </c>
      <c r="S1772" s="162">
        <f>SUM(Sales[Net Amount])</f>
        <v>406839287.73200053</v>
      </c>
    </row>
    <row r="1773" spans="1:19" ht="18.75" x14ac:dyDescent="0.25">
      <c r="A1773" s="156" t="s">
        <v>5383</v>
      </c>
      <c r="B1773" s="157">
        <v>45868</v>
      </c>
      <c r="C1773" s="158" t="s">
        <v>811</v>
      </c>
      <c r="D1773" s="159" t="str">
        <f>VLOOKUP(Sales[[#This Row],[Customer ID]],Customer[#All],2,0)</f>
        <v>Rahul Sharma</v>
      </c>
      <c r="E1773" s="158" t="s">
        <v>304</v>
      </c>
      <c r="F1773" s="158" t="str">
        <f>VLOOKUP(Sales[[#This Row],[Product ID]],Product[#All],2,0)</f>
        <v>TP-link Router</v>
      </c>
      <c r="G1773" s="159">
        <v>3</v>
      </c>
      <c r="H1773" s="160">
        <f>VLOOKUP(Sales[[#This Row],[Product ID]],Product[#All],7,0)</f>
        <v>3320</v>
      </c>
      <c r="I1773" s="160">
        <f>Sales[[#This Row],[Selling Rate]]*Sales[[#This Row],[Qty]]</f>
        <v>9960</v>
      </c>
      <c r="J1773" s="43">
        <v>0.05</v>
      </c>
      <c r="K1773" s="44">
        <f>Sales[[#This Row],[Gross Amount]]*Sales[[#This Row],[Disc %]]</f>
        <v>498</v>
      </c>
      <c r="L1773" s="43">
        <v>0.18</v>
      </c>
      <c r="M1773" s="44">
        <f>(Sales[[#This Row],[Gross Amount]]-Sales[[#This Row],[Disc. Amt.]])*Sales[[#This Row],[GST %]]</f>
        <v>1703.1599999999999</v>
      </c>
      <c r="N1773" s="161">
        <f>Sales[[#This Row],[Gross Amount]]-Sales[[#This Row],[Disc. Amt.]]+Sales[[#This Row],[GST Amount]]</f>
        <v>11165.16</v>
      </c>
      <c r="O1773" s="158" t="s">
        <v>8876</v>
      </c>
      <c r="P1773" s="158" t="s">
        <v>3562</v>
      </c>
      <c r="Q1773" s="160">
        <f>IF(Sales[[#This Row],[Status]]="Cancelled",0,Sales[[#This Row],[Qty]])</f>
        <v>3</v>
      </c>
      <c r="R1773" s="161">
        <f>IF(Sales[[#This Row],[Status]]="Cancelled",0,Sales[[#This Row],[Total Amount]])</f>
        <v>11165.16</v>
      </c>
      <c r="S1773" s="162">
        <f>SUM(Sales[Net Amount])</f>
        <v>406839287.73200053</v>
      </c>
    </row>
    <row r="1774" spans="1:19" ht="18.75" x14ac:dyDescent="0.25">
      <c r="A1774" s="163" t="s">
        <v>5384</v>
      </c>
      <c r="B1774" s="164">
        <v>45868</v>
      </c>
      <c r="C1774" s="34" t="s">
        <v>909</v>
      </c>
      <c r="D1774" s="53" t="str">
        <f>VLOOKUP(Sales[[#This Row],[Customer ID]],Customer[#All],2,0)</f>
        <v>Priya Sharma</v>
      </c>
      <c r="E1774" s="34" t="s">
        <v>207</v>
      </c>
      <c r="F1774" s="34" t="str">
        <f>VLOOKUP(Sales[[#This Row],[Product ID]],Product[#All],2,0)</f>
        <v>Jbl Headset</v>
      </c>
      <c r="G1774" s="53">
        <v>5</v>
      </c>
      <c r="H1774" s="165">
        <f>VLOOKUP(Sales[[#This Row],[Product ID]],Product[#All],7,0)</f>
        <v>1400</v>
      </c>
      <c r="I1774" s="165">
        <f>Sales[[#This Row],[Selling Rate]]*Sales[[#This Row],[Qty]]</f>
        <v>7000</v>
      </c>
      <c r="J1774" s="45">
        <v>0.1</v>
      </c>
      <c r="K1774" s="46">
        <f>Sales[[#This Row],[Gross Amount]]*Sales[[#This Row],[Disc %]]</f>
        <v>700</v>
      </c>
      <c r="L1774" s="43">
        <v>0.18</v>
      </c>
      <c r="M1774" s="46">
        <f>(Sales[[#This Row],[Gross Amount]]-Sales[[#This Row],[Disc. Amt.]])*Sales[[#This Row],[GST %]]</f>
        <v>1134</v>
      </c>
      <c r="N1774" s="161">
        <f>Sales[[#This Row],[Gross Amount]]-Sales[[#This Row],[Disc. Amt.]]+Sales[[#This Row],[GST Amount]]</f>
        <v>7434</v>
      </c>
      <c r="O1774" s="34" t="s">
        <v>3561</v>
      </c>
      <c r="P1774" s="34" t="s">
        <v>3562</v>
      </c>
      <c r="Q1774" s="165">
        <f>IF(Sales[[#This Row],[Status]]="Cancelled",0,Sales[[#This Row],[Qty]])</f>
        <v>5</v>
      </c>
      <c r="R1774" s="166">
        <f>IF(Sales[[#This Row],[Status]]="Cancelled",0,Sales[[#This Row],[Total Amount]])</f>
        <v>7434</v>
      </c>
      <c r="S1774" s="162">
        <f>SUM(Sales[Net Amount])</f>
        <v>406839287.73200053</v>
      </c>
    </row>
    <row r="1775" spans="1:19" ht="18.75" x14ac:dyDescent="0.25">
      <c r="A1775" s="156" t="s">
        <v>5385</v>
      </c>
      <c r="B1775" s="157">
        <v>45868</v>
      </c>
      <c r="C1775" s="158" t="s">
        <v>690</v>
      </c>
      <c r="D1775" s="159" t="str">
        <f>VLOOKUP(Sales[[#This Row],[Customer ID]],Customer[#All],2,0)</f>
        <v>Priya Patel</v>
      </c>
      <c r="E1775" s="158" t="s">
        <v>151</v>
      </c>
      <c r="F1775" s="158" t="str">
        <f>VLOOKUP(Sales[[#This Row],[Product ID]],Product[#All],2,0)</f>
        <v>Jbl Speaker</v>
      </c>
      <c r="G1775" s="159">
        <v>3</v>
      </c>
      <c r="H1775" s="160">
        <f>VLOOKUP(Sales[[#This Row],[Product ID]],Product[#All],7,0)</f>
        <v>7010</v>
      </c>
      <c r="I1775" s="160">
        <f>Sales[[#This Row],[Selling Rate]]*Sales[[#This Row],[Qty]]</f>
        <v>21030</v>
      </c>
      <c r="J1775" s="43">
        <v>0.12</v>
      </c>
      <c r="K1775" s="44">
        <f>Sales[[#This Row],[Gross Amount]]*Sales[[#This Row],[Disc %]]</f>
        <v>2523.6</v>
      </c>
      <c r="L1775" s="43">
        <v>0.18</v>
      </c>
      <c r="M1775" s="44">
        <f>(Sales[[#This Row],[Gross Amount]]-Sales[[#This Row],[Disc. Amt.]])*Sales[[#This Row],[GST %]]</f>
        <v>3331.152</v>
      </c>
      <c r="N1775" s="161">
        <f>Sales[[#This Row],[Gross Amount]]-Sales[[#This Row],[Disc. Amt.]]+Sales[[#This Row],[GST Amount]]</f>
        <v>21837.552000000003</v>
      </c>
      <c r="O1775" s="158" t="s">
        <v>8876</v>
      </c>
      <c r="P1775" s="158" t="s">
        <v>3562</v>
      </c>
      <c r="Q1775" s="160">
        <f>IF(Sales[[#This Row],[Status]]="Cancelled",0,Sales[[#This Row],[Qty]])</f>
        <v>3</v>
      </c>
      <c r="R1775" s="161">
        <f>IF(Sales[[#This Row],[Status]]="Cancelled",0,Sales[[#This Row],[Total Amount]])</f>
        <v>21837.552000000003</v>
      </c>
      <c r="S1775" s="162">
        <f>SUM(Sales[Net Amount])</f>
        <v>406839287.73200053</v>
      </c>
    </row>
    <row r="1776" spans="1:19" ht="18.75" x14ac:dyDescent="0.25">
      <c r="A1776" s="163" t="s">
        <v>5386</v>
      </c>
      <c r="B1776" s="164">
        <v>45868</v>
      </c>
      <c r="C1776" s="34" t="s">
        <v>664</v>
      </c>
      <c r="D1776" s="53" t="str">
        <f>VLOOKUP(Sales[[#This Row],[Customer ID]],Customer[#All],2,0)</f>
        <v>Sahil Singh</v>
      </c>
      <c r="E1776" s="34" t="s">
        <v>314</v>
      </c>
      <c r="F1776" s="34" t="str">
        <f>VLOOKUP(Sales[[#This Row],[Product ID]],Product[#All],2,0)</f>
        <v>Dell Desktop</v>
      </c>
      <c r="G1776" s="53">
        <v>8</v>
      </c>
      <c r="H1776" s="165">
        <f>VLOOKUP(Sales[[#This Row],[Product ID]],Product[#All],7,0)</f>
        <v>59580</v>
      </c>
      <c r="I1776" s="165">
        <f>Sales[[#This Row],[Selling Rate]]*Sales[[#This Row],[Qty]]</f>
        <v>476640</v>
      </c>
      <c r="J1776" s="45">
        <v>0.12</v>
      </c>
      <c r="K1776" s="46">
        <f>Sales[[#This Row],[Gross Amount]]*Sales[[#This Row],[Disc %]]</f>
        <v>57196.799999999996</v>
      </c>
      <c r="L1776" s="43">
        <v>0.18</v>
      </c>
      <c r="M1776" s="46">
        <f>(Sales[[#This Row],[Gross Amount]]-Sales[[#This Row],[Disc. Amt.]])*Sales[[#This Row],[GST %]]</f>
        <v>75499.775999999998</v>
      </c>
      <c r="N1776" s="161">
        <f>Sales[[#This Row],[Gross Amount]]-Sales[[#This Row],[Disc. Amt.]]+Sales[[#This Row],[GST Amount]]</f>
        <v>494942.97600000002</v>
      </c>
      <c r="O1776" s="34" t="s">
        <v>3569</v>
      </c>
      <c r="P1776" s="34" t="s">
        <v>3562</v>
      </c>
      <c r="Q1776" s="165">
        <f>IF(Sales[[#This Row],[Status]]="Cancelled",0,Sales[[#This Row],[Qty]])</f>
        <v>8</v>
      </c>
      <c r="R1776" s="166">
        <f>IF(Sales[[#This Row],[Status]]="Cancelled",0,Sales[[#This Row],[Total Amount]])</f>
        <v>494942.97600000002</v>
      </c>
      <c r="S1776" s="162">
        <f>SUM(Sales[Net Amount])</f>
        <v>406839287.73200053</v>
      </c>
    </row>
    <row r="1777" spans="1:19" ht="18.75" x14ac:dyDescent="0.25">
      <c r="A1777" s="156" t="s">
        <v>5387</v>
      </c>
      <c r="B1777" s="157">
        <v>45868</v>
      </c>
      <c r="C1777" s="158" t="s">
        <v>793</v>
      </c>
      <c r="D1777" s="159" t="str">
        <f>VLOOKUP(Sales[[#This Row],[Customer ID]],Customer[#All],2,0)</f>
        <v>Neha Verma</v>
      </c>
      <c r="E1777" s="158" t="s">
        <v>490</v>
      </c>
      <c r="F1777" s="158" t="str">
        <f>VLOOKUP(Sales[[#This Row],[Product ID]],Product[#All],2,0)</f>
        <v>Acer Laptop</v>
      </c>
      <c r="G1777" s="159">
        <v>8</v>
      </c>
      <c r="H1777" s="160">
        <f>VLOOKUP(Sales[[#This Row],[Product ID]],Product[#All],7,0)</f>
        <v>38490</v>
      </c>
      <c r="I1777" s="160">
        <f>Sales[[#This Row],[Selling Rate]]*Sales[[#This Row],[Qty]]</f>
        <v>307920</v>
      </c>
      <c r="J1777" s="43">
        <v>0.1</v>
      </c>
      <c r="K1777" s="44">
        <f>Sales[[#This Row],[Gross Amount]]*Sales[[#This Row],[Disc %]]</f>
        <v>30792</v>
      </c>
      <c r="L1777" s="43">
        <v>0.18</v>
      </c>
      <c r="M1777" s="44">
        <f>(Sales[[#This Row],[Gross Amount]]-Sales[[#This Row],[Disc. Amt.]])*Sales[[#This Row],[GST %]]</f>
        <v>49883.040000000001</v>
      </c>
      <c r="N1777" s="161">
        <f>Sales[[#This Row],[Gross Amount]]-Sales[[#This Row],[Disc. Amt.]]+Sales[[#This Row],[GST Amount]]</f>
        <v>327011.03999999998</v>
      </c>
      <c r="O1777" s="158" t="s">
        <v>3561</v>
      </c>
      <c r="P1777" s="158" t="s">
        <v>3562</v>
      </c>
      <c r="Q1777" s="160">
        <f>IF(Sales[[#This Row],[Status]]="Cancelled",0,Sales[[#This Row],[Qty]])</f>
        <v>8</v>
      </c>
      <c r="R1777" s="161">
        <f>IF(Sales[[#This Row],[Status]]="Cancelled",0,Sales[[#This Row],[Total Amount]])</f>
        <v>327011.03999999998</v>
      </c>
      <c r="S1777" s="162">
        <f>SUM(Sales[Net Amount])</f>
        <v>406839287.73200053</v>
      </c>
    </row>
    <row r="1778" spans="1:19" ht="18.75" x14ac:dyDescent="0.25">
      <c r="A1778" s="163" t="s">
        <v>5388</v>
      </c>
      <c r="B1778" s="164">
        <v>45868</v>
      </c>
      <c r="C1778" s="34" t="s">
        <v>914</v>
      </c>
      <c r="D1778" s="53" t="str">
        <f>VLOOKUP(Sales[[#This Row],[Customer ID]],Customer[#All],2,0)</f>
        <v>Rakesh Patel</v>
      </c>
      <c r="E1778" s="34" t="s">
        <v>434</v>
      </c>
      <c r="F1778" s="34" t="str">
        <f>VLOOKUP(Sales[[#This Row],[Product ID]],Product[#All],2,0)</f>
        <v>Logitech Webcam</v>
      </c>
      <c r="G1778" s="53">
        <v>6</v>
      </c>
      <c r="H1778" s="165">
        <f>VLOOKUP(Sales[[#This Row],[Product ID]],Product[#All],7,0)</f>
        <v>7230</v>
      </c>
      <c r="I1778" s="165">
        <f>Sales[[#This Row],[Selling Rate]]*Sales[[#This Row],[Qty]]</f>
        <v>43380</v>
      </c>
      <c r="J1778" s="45">
        <v>0.12</v>
      </c>
      <c r="K1778" s="46">
        <f>Sales[[#This Row],[Gross Amount]]*Sales[[#This Row],[Disc %]]</f>
        <v>5205.5999999999995</v>
      </c>
      <c r="L1778" s="43">
        <v>0.18</v>
      </c>
      <c r="M1778" s="46">
        <f>(Sales[[#This Row],[Gross Amount]]-Sales[[#This Row],[Disc. Amt.]])*Sales[[#This Row],[GST %]]</f>
        <v>6871.3919999999998</v>
      </c>
      <c r="N1778" s="161">
        <f>Sales[[#This Row],[Gross Amount]]-Sales[[#This Row],[Disc. Amt.]]+Sales[[#This Row],[GST Amount]]</f>
        <v>45045.792000000001</v>
      </c>
      <c r="O1778" s="34" t="s">
        <v>8876</v>
      </c>
      <c r="P1778" s="34" t="s">
        <v>3562</v>
      </c>
      <c r="Q1778" s="165">
        <f>IF(Sales[[#This Row],[Status]]="Cancelled",0,Sales[[#This Row],[Qty]])</f>
        <v>6</v>
      </c>
      <c r="R1778" s="166">
        <f>IF(Sales[[#This Row],[Status]]="Cancelled",0,Sales[[#This Row],[Total Amount]])</f>
        <v>45045.792000000001</v>
      </c>
      <c r="S1778" s="162">
        <f>SUM(Sales[Net Amount])</f>
        <v>406839287.73200053</v>
      </c>
    </row>
    <row r="1779" spans="1:19" ht="18.75" x14ac:dyDescent="0.25">
      <c r="A1779" s="156" t="s">
        <v>5389</v>
      </c>
      <c r="B1779" s="157">
        <v>45868</v>
      </c>
      <c r="C1779" s="158" t="s">
        <v>848</v>
      </c>
      <c r="D1779" s="159" t="str">
        <f>VLOOKUP(Sales[[#This Row],[Customer ID]],Customer[#All],2,0)</f>
        <v>Rakesh Patel</v>
      </c>
      <c r="E1779" s="158" t="s">
        <v>362</v>
      </c>
      <c r="F1779" s="158" t="str">
        <f>VLOOKUP(Sales[[#This Row],[Product ID]],Product[#All],2,0)</f>
        <v>Dell Power Adapter</v>
      </c>
      <c r="G1779" s="159">
        <v>6</v>
      </c>
      <c r="H1779" s="160">
        <f>VLOOKUP(Sales[[#This Row],[Product ID]],Product[#All],7,0)</f>
        <v>4050</v>
      </c>
      <c r="I1779" s="160">
        <f>Sales[[#This Row],[Selling Rate]]*Sales[[#This Row],[Qty]]</f>
        <v>24300</v>
      </c>
      <c r="J1779" s="43">
        <v>0</v>
      </c>
      <c r="K1779" s="44">
        <f>Sales[[#This Row],[Gross Amount]]*Sales[[#This Row],[Disc %]]</f>
        <v>0</v>
      </c>
      <c r="L1779" s="43">
        <v>0.18</v>
      </c>
      <c r="M1779" s="44">
        <f>(Sales[[#This Row],[Gross Amount]]-Sales[[#This Row],[Disc. Amt.]])*Sales[[#This Row],[GST %]]</f>
        <v>4374</v>
      </c>
      <c r="N1779" s="161">
        <f>Sales[[#This Row],[Gross Amount]]-Sales[[#This Row],[Disc. Amt.]]+Sales[[#This Row],[GST Amount]]</f>
        <v>28674</v>
      </c>
      <c r="O1779" s="158" t="s">
        <v>8876</v>
      </c>
      <c r="P1779" s="158" t="s">
        <v>3562</v>
      </c>
      <c r="Q1779" s="160">
        <f>IF(Sales[[#This Row],[Status]]="Cancelled",0,Sales[[#This Row],[Qty]])</f>
        <v>6</v>
      </c>
      <c r="R1779" s="161">
        <f>IF(Sales[[#This Row],[Status]]="Cancelled",0,Sales[[#This Row],[Total Amount]])</f>
        <v>28674</v>
      </c>
      <c r="S1779" s="162">
        <f>SUM(Sales[Net Amount])</f>
        <v>406839287.73200053</v>
      </c>
    </row>
    <row r="1780" spans="1:19" ht="18.75" x14ac:dyDescent="0.25">
      <c r="A1780" s="163" t="s">
        <v>5390</v>
      </c>
      <c r="B1780" s="164">
        <v>45868</v>
      </c>
      <c r="C1780" s="34" t="s">
        <v>823</v>
      </c>
      <c r="D1780" s="53" t="str">
        <f>VLOOKUP(Sales[[#This Row],[Customer ID]],Customer[#All],2,0)</f>
        <v>Pooja Singh</v>
      </c>
      <c r="E1780" s="34" t="s">
        <v>127</v>
      </c>
      <c r="F1780" s="34" t="str">
        <f>VLOOKUP(Sales[[#This Row],[Product ID]],Product[#All],2,0)</f>
        <v>Samsung Ssd</v>
      </c>
      <c r="G1780" s="53">
        <v>7</v>
      </c>
      <c r="H1780" s="165">
        <f>VLOOKUP(Sales[[#This Row],[Product ID]],Product[#All],7,0)</f>
        <v>4570</v>
      </c>
      <c r="I1780" s="165">
        <f>Sales[[#This Row],[Selling Rate]]*Sales[[#This Row],[Qty]]</f>
        <v>31990</v>
      </c>
      <c r="J1780" s="45">
        <v>0.05</v>
      </c>
      <c r="K1780" s="46">
        <f>Sales[[#This Row],[Gross Amount]]*Sales[[#This Row],[Disc %]]</f>
        <v>1599.5</v>
      </c>
      <c r="L1780" s="43">
        <v>0.18</v>
      </c>
      <c r="M1780" s="46">
        <f>(Sales[[#This Row],[Gross Amount]]-Sales[[#This Row],[Disc. Amt.]])*Sales[[#This Row],[GST %]]</f>
        <v>5470.29</v>
      </c>
      <c r="N1780" s="161">
        <f>Sales[[#This Row],[Gross Amount]]-Sales[[#This Row],[Disc. Amt.]]+Sales[[#This Row],[GST Amount]]</f>
        <v>35860.79</v>
      </c>
      <c r="O1780" s="34" t="s">
        <v>3561</v>
      </c>
      <c r="P1780" s="34" t="s">
        <v>1040</v>
      </c>
      <c r="Q1780" s="165">
        <f>IF(Sales[[#This Row],[Status]]="Cancelled",0,Sales[[#This Row],[Qty]])</f>
        <v>0</v>
      </c>
      <c r="R1780" s="166">
        <f>IF(Sales[[#This Row],[Status]]="Cancelled",0,Sales[[#This Row],[Total Amount]])</f>
        <v>0</v>
      </c>
      <c r="S1780" s="162">
        <f>SUM(Sales[Net Amount])</f>
        <v>406839287.73200053</v>
      </c>
    </row>
    <row r="1781" spans="1:19" ht="18.75" x14ac:dyDescent="0.25">
      <c r="A1781" s="156" t="s">
        <v>5391</v>
      </c>
      <c r="B1781" s="157">
        <v>45868</v>
      </c>
      <c r="C1781" s="158" t="s">
        <v>711</v>
      </c>
      <c r="D1781" s="159" t="str">
        <f>VLOOKUP(Sales[[#This Row],[Customer ID]],Customer[#All],2,0)</f>
        <v>Priya Verma</v>
      </c>
      <c r="E1781" s="158" t="s">
        <v>236</v>
      </c>
      <c r="F1781" s="158" t="str">
        <f>VLOOKUP(Sales[[#This Row],[Product ID]],Product[#All],2,0)</f>
        <v>Dell Desktop</v>
      </c>
      <c r="G1781" s="159">
        <v>3</v>
      </c>
      <c r="H1781" s="160">
        <f>VLOOKUP(Sales[[#This Row],[Product ID]],Product[#All],7,0)</f>
        <v>50050</v>
      </c>
      <c r="I1781" s="160">
        <f>Sales[[#This Row],[Selling Rate]]*Sales[[#This Row],[Qty]]</f>
        <v>150150</v>
      </c>
      <c r="J1781" s="43">
        <v>0.12</v>
      </c>
      <c r="K1781" s="44">
        <f>Sales[[#This Row],[Gross Amount]]*Sales[[#This Row],[Disc %]]</f>
        <v>18018</v>
      </c>
      <c r="L1781" s="43">
        <v>0.18</v>
      </c>
      <c r="M1781" s="44">
        <f>(Sales[[#This Row],[Gross Amount]]-Sales[[#This Row],[Disc. Amt.]])*Sales[[#This Row],[GST %]]</f>
        <v>23783.759999999998</v>
      </c>
      <c r="N1781" s="161">
        <f>Sales[[#This Row],[Gross Amount]]-Sales[[#This Row],[Disc. Amt.]]+Sales[[#This Row],[GST Amount]]</f>
        <v>155915.76</v>
      </c>
      <c r="O1781" s="158" t="s">
        <v>3561</v>
      </c>
      <c r="P1781" s="158" t="s">
        <v>3562</v>
      </c>
      <c r="Q1781" s="160">
        <f>IF(Sales[[#This Row],[Status]]="Cancelled",0,Sales[[#This Row],[Qty]])</f>
        <v>3</v>
      </c>
      <c r="R1781" s="161">
        <f>IF(Sales[[#This Row],[Status]]="Cancelled",0,Sales[[#This Row],[Total Amount]])</f>
        <v>155915.76</v>
      </c>
      <c r="S1781" s="162">
        <f>SUM(Sales[Net Amount])</f>
        <v>406839287.73200053</v>
      </c>
    </row>
    <row r="1782" spans="1:19" ht="18.75" x14ac:dyDescent="0.25">
      <c r="A1782" s="163" t="s">
        <v>5392</v>
      </c>
      <c r="B1782" s="164">
        <v>45868</v>
      </c>
      <c r="C1782" s="34" t="s">
        <v>865</v>
      </c>
      <c r="D1782" s="53" t="str">
        <f>VLOOKUP(Sales[[#This Row],[Customer ID]],Customer[#All],2,0)</f>
        <v>Sunita Gupta</v>
      </c>
      <c r="E1782" s="34" t="s">
        <v>286</v>
      </c>
      <c r="F1782" s="34" t="str">
        <f>VLOOKUP(Sales[[#This Row],[Product ID]],Product[#All],2,0)</f>
        <v>HP Laptop</v>
      </c>
      <c r="G1782" s="53">
        <v>7</v>
      </c>
      <c r="H1782" s="165">
        <f>VLOOKUP(Sales[[#This Row],[Product ID]],Product[#All],7,0)</f>
        <v>62100</v>
      </c>
      <c r="I1782" s="165">
        <f>Sales[[#This Row],[Selling Rate]]*Sales[[#This Row],[Qty]]</f>
        <v>434700</v>
      </c>
      <c r="J1782" s="45">
        <v>0.02</v>
      </c>
      <c r="K1782" s="46">
        <f>Sales[[#This Row],[Gross Amount]]*Sales[[#This Row],[Disc %]]</f>
        <v>8694</v>
      </c>
      <c r="L1782" s="43">
        <v>0.18</v>
      </c>
      <c r="M1782" s="46">
        <f>(Sales[[#This Row],[Gross Amount]]-Sales[[#This Row],[Disc. Amt.]])*Sales[[#This Row],[GST %]]</f>
        <v>76681.08</v>
      </c>
      <c r="N1782" s="161">
        <f>Sales[[#This Row],[Gross Amount]]-Sales[[#This Row],[Disc. Amt.]]+Sales[[#This Row],[GST Amount]]</f>
        <v>502687.08</v>
      </c>
      <c r="O1782" s="34" t="s">
        <v>3566</v>
      </c>
      <c r="P1782" s="34" t="s">
        <v>3562</v>
      </c>
      <c r="Q1782" s="165">
        <f>IF(Sales[[#This Row],[Status]]="Cancelled",0,Sales[[#This Row],[Qty]])</f>
        <v>7</v>
      </c>
      <c r="R1782" s="166">
        <f>IF(Sales[[#This Row],[Status]]="Cancelled",0,Sales[[#This Row],[Total Amount]])</f>
        <v>502687.08</v>
      </c>
      <c r="S1782" s="162">
        <f>SUM(Sales[Net Amount])</f>
        <v>406839287.73200053</v>
      </c>
    </row>
    <row r="1783" spans="1:19" ht="18.75" x14ac:dyDescent="0.25">
      <c r="A1783" s="156" t="s">
        <v>5393</v>
      </c>
      <c r="B1783" s="157">
        <v>45869</v>
      </c>
      <c r="C1783" s="158" t="s">
        <v>724</v>
      </c>
      <c r="D1783" s="159" t="str">
        <f>VLOOKUP(Sales[[#This Row],[Customer ID]],Customer[#All],2,0)</f>
        <v>Sunita Sharma</v>
      </c>
      <c r="E1783" s="158" t="s">
        <v>496</v>
      </c>
      <c r="F1783" s="158" t="str">
        <f>VLOOKUP(Sales[[#This Row],[Product ID]],Product[#All],2,0)</f>
        <v>Boat Speaker</v>
      </c>
      <c r="G1783" s="159">
        <v>1</v>
      </c>
      <c r="H1783" s="160">
        <f>VLOOKUP(Sales[[#This Row],[Product ID]],Product[#All],7,0)</f>
        <v>2230</v>
      </c>
      <c r="I1783" s="160">
        <f>Sales[[#This Row],[Selling Rate]]*Sales[[#This Row],[Qty]]</f>
        <v>2230</v>
      </c>
      <c r="J1783" s="43">
        <v>0.02</v>
      </c>
      <c r="K1783" s="44">
        <f>Sales[[#This Row],[Gross Amount]]*Sales[[#This Row],[Disc %]]</f>
        <v>44.6</v>
      </c>
      <c r="L1783" s="43">
        <v>0.18</v>
      </c>
      <c r="M1783" s="44">
        <f>(Sales[[#This Row],[Gross Amount]]-Sales[[#This Row],[Disc. Amt.]])*Sales[[#This Row],[GST %]]</f>
        <v>393.37200000000001</v>
      </c>
      <c r="N1783" s="161">
        <f>Sales[[#This Row],[Gross Amount]]-Sales[[#This Row],[Disc. Amt.]]+Sales[[#This Row],[GST Amount]]</f>
        <v>2578.7719999999999</v>
      </c>
      <c r="O1783" s="158" t="s">
        <v>3561</v>
      </c>
      <c r="P1783" s="158" t="s">
        <v>3562</v>
      </c>
      <c r="Q1783" s="160">
        <f>IF(Sales[[#This Row],[Status]]="Cancelled",0,Sales[[#This Row],[Qty]])</f>
        <v>1</v>
      </c>
      <c r="R1783" s="161">
        <f>IF(Sales[[#This Row],[Status]]="Cancelled",0,Sales[[#This Row],[Total Amount]])</f>
        <v>2578.7719999999999</v>
      </c>
      <c r="S1783" s="162">
        <f>SUM(Sales[Net Amount])</f>
        <v>406839287.73200053</v>
      </c>
    </row>
    <row r="1784" spans="1:19" ht="18.75" x14ac:dyDescent="0.25">
      <c r="A1784" s="163" t="s">
        <v>5394</v>
      </c>
      <c r="B1784" s="164">
        <v>45869</v>
      </c>
      <c r="C1784" s="34" t="s">
        <v>781</v>
      </c>
      <c r="D1784" s="53" t="str">
        <f>VLOOKUP(Sales[[#This Row],[Customer ID]],Customer[#All],2,0)</f>
        <v>Vikas Sharma</v>
      </c>
      <c r="E1784" s="34" t="s">
        <v>449</v>
      </c>
      <c r="F1784" s="34" t="str">
        <f>VLOOKUP(Sales[[#This Row],[Product ID]],Product[#All],2,0)</f>
        <v>Dell Monitor</v>
      </c>
      <c r="G1784" s="53">
        <v>2</v>
      </c>
      <c r="H1784" s="165">
        <f>VLOOKUP(Sales[[#This Row],[Product ID]],Product[#All],7,0)</f>
        <v>19520</v>
      </c>
      <c r="I1784" s="165">
        <f>Sales[[#This Row],[Selling Rate]]*Sales[[#This Row],[Qty]]</f>
        <v>39040</v>
      </c>
      <c r="J1784" s="45">
        <v>0</v>
      </c>
      <c r="K1784" s="46">
        <f>Sales[[#This Row],[Gross Amount]]*Sales[[#This Row],[Disc %]]</f>
        <v>0</v>
      </c>
      <c r="L1784" s="43">
        <v>0.18</v>
      </c>
      <c r="M1784" s="46">
        <f>(Sales[[#This Row],[Gross Amount]]-Sales[[#This Row],[Disc. Amt.]])*Sales[[#This Row],[GST %]]</f>
        <v>7027.2</v>
      </c>
      <c r="N1784" s="161">
        <f>Sales[[#This Row],[Gross Amount]]-Sales[[#This Row],[Disc. Amt.]]+Sales[[#This Row],[GST Amount]]</f>
        <v>46067.199999999997</v>
      </c>
      <c r="O1784" s="34" t="s">
        <v>8876</v>
      </c>
      <c r="P1784" s="34" t="s">
        <v>3562</v>
      </c>
      <c r="Q1784" s="165">
        <f>IF(Sales[[#This Row],[Status]]="Cancelled",0,Sales[[#This Row],[Qty]])</f>
        <v>2</v>
      </c>
      <c r="R1784" s="166">
        <f>IF(Sales[[#This Row],[Status]]="Cancelled",0,Sales[[#This Row],[Total Amount]])</f>
        <v>46067.199999999997</v>
      </c>
      <c r="S1784" s="162">
        <f>SUM(Sales[Net Amount])</f>
        <v>406839287.73200053</v>
      </c>
    </row>
    <row r="1785" spans="1:19" ht="18.75" x14ac:dyDescent="0.25">
      <c r="A1785" s="156" t="s">
        <v>5395</v>
      </c>
      <c r="B1785" s="157">
        <v>45869</v>
      </c>
      <c r="C1785" s="158" t="s">
        <v>933</v>
      </c>
      <c r="D1785" s="159" t="str">
        <f>VLOOKUP(Sales[[#This Row],[Customer ID]],Customer[#All],2,0)</f>
        <v>Vikas Verma</v>
      </c>
      <c r="E1785" s="158" t="s">
        <v>194</v>
      </c>
      <c r="F1785" s="158" t="str">
        <f>VLOOKUP(Sales[[#This Row],[Product ID]],Product[#All],2,0)</f>
        <v>Crucial Ssd</v>
      </c>
      <c r="G1785" s="159">
        <v>7</v>
      </c>
      <c r="H1785" s="160">
        <f>VLOOKUP(Sales[[#This Row],[Product ID]],Product[#All],7,0)</f>
        <v>6290</v>
      </c>
      <c r="I1785" s="160">
        <f>Sales[[#This Row],[Selling Rate]]*Sales[[#This Row],[Qty]]</f>
        <v>44030</v>
      </c>
      <c r="J1785" s="43">
        <v>0.02</v>
      </c>
      <c r="K1785" s="44">
        <f>Sales[[#This Row],[Gross Amount]]*Sales[[#This Row],[Disc %]]</f>
        <v>880.6</v>
      </c>
      <c r="L1785" s="43">
        <v>0.18</v>
      </c>
      <c r="M1785" s="44">
        <f>(Sales[[#This Row],[Gross Amount]]-Sales[[#This Row],[Disc. Amt.]])*Sales[[#This Row],[GST %]]</f>
        <v>7766.8919999999998</v>
      </c>
      <c r="N1785" s="161">
        <f>Sales[[#This Row],[Gross Amount]]-Sales[[#This Row],[Disc. Amt.]]+Sales[[#This Row],[GST Amount]]</f>
        <v>50916.292000000001</v>
      </c>
      <c r="O1785" s="158" t="s">
        <v>8876</v>
      </c>
      <c r="P1785" s="158" t="s">
        <v>3562</v>
      </c>
      <c r="Q1785" s="160">
        <f>IF(Sales[[#This Row],[Status]]="Cancelled",0,Sales[[#This Row],[Qty]])</f>
        <v>7</v>
      </c>
      <c r="R1785" s="161">
        <f>IF(Sales[[#This Row],[Status]]="Cancelled",0,Sales[[#This Row],[Total Amount]])</f>
        <v>50916.292000000001</v>
      </c>
      <c r="S1785" s="162">
        <f>SUM(Sales[Net Amount])</f>
        <v>406839287.73200053</v>
      </c>
    </row>
    <row r="1786" spans="1:19" ht="18.75" x14ac:dyDescent="0.25">
      <c r="A1786" s="163" t="s">
        <v>5396</v>
      </c>
      <c r="B1786" s="164">
        <v>45869</v>
      </c>
      <c r="C1786" s="34" t="s">
        <v>866</v>
      </c>
      <c r="D1786" s="53" t="str">
        <f>VLOOKUP(Sales[[#This Row],[Customer ID]],Customer[#All],2,0)</f>
        <v>Priya Patel</v>
      </c>
      <c r="E1786" s="34" t="s">
        <v>307</v>
      </c>
      <c r="F1786" s="34" t="str">
        <f>VLOOKUP(Sales[[#This Row],[Product ID]],Product[#All],2,0)</f>
        <v>Dell Laptop</v>
      </c>
      <c r="G1786" s="53">
        <v>1</v>
      </c>
      <c r="H1786" s="165">
        <f>VLOOKUP(Sales[[#This Row],[Product ID]],Product[#All],7,0)</f>
        <v>45060</v>
      </c>
      <c r="I1786" s="165">
        <f>Sales[[#This Row],[Selling Rate]]*Sales[[#This Row],[Qty]]</f>
        <v>45060</v>
      </c>
      <c r="J1786" s="45">
        <v>0.02</v>
      </c>
      <c r="K1786" s="46">
        <f>Sales[[#This Row],[Gross Amount]]*Sales[[#This Row],[Disc %]]</f>
        <v>901.2</v>
      </c>
      <c r="L1786" s="43">
        <v>0.18</v>
      </c>
      <c r="M1786" s="46">
        <f>(Sales[[#This Row],[Gross Amount]]-Sales[[#This Row],[Disc. Amt.]])*Sales[[#This Row],[GST %]]</f>
        <v>7948.5839999999998</v>
      </c>
      <c r="N1786" s="161">
        <f>Sales[[#This Row],[Gross Amount]]-Sales[[#This Row],[Disc. Amt.]]+Sales[[#This Row],[GST Amount]]</f>
        <v>52107.384000000005</v>
      </c>
      <c r="O1786" s="34" t="s">
        <v>3561</v>
      </c>
      <c r="P1786" s="34" t="s">
        <v>3562</v>
      </c>
      <c r="Q1786" s="165">
        <f>IF(Sales[[#This Row],[Status]]="Cancelled",0,Sales[[#This Row],[Qty]])</f>
        <v>1</v>
      </c>
      <c r="R1786" s="166">
        <f>IF(Sales[[#This Row],[Status]]="Cancelled",0,Sales[[#This Row],[Total Amount]])</f>
        <v>52107.384000000005</v>
      </c>
      <c r="S1786" s="162">
        <f>SUM(Sales[Net Amount])</f>
        <v>406839287.73200053</v>
      </c>
    </row>
    <row r="1787" spans="1:19" ht="18.75" x14ac:dyDescent="0.25">
      <c r="A1787" s="156" t="s">
        <v>5397</v>
      </c>
      <c r="B1787" s="157">
        <v>45869</v>
      </c>
      <c r="C1787" s="158" t="s">
        <v>813</v>
      </c>
      <c r="D1787" s="159" t="str">
        <f>VLOOKUP(Sales[[#This Row],[Customer ID]],Customer[#All],2,0)</f>
        <v>Neha Verma</v>
      </c>
      <c r="E1787" s="158" t="s">
        <v>490</v>
      </c>
      <c r="F1787" s="158" t="str">
        <f>VLOOKUP(Sales[[#This Row],[Product ID]],Product[#All],2,0)</f>
        <v>Acer Laptop</v>
      </c>
      <c r="G1787" s="159">
        <v>7</v>
      </c>
      <c r="H1787" s="160">
        <f>VLOOKUP(Sales[[#This Row],[Product ID]],Product[#All],7,0)</f>
        <v>38490</v>
      </c>
      <c r="I1787" s="160">
        <f>Sales[[#This Row],[Selling Rate]]*Sales[[#This Row],[Qty]]</f>
        <v>269430</v>
      </c>
      <c r="J1787" s="43">
        <v>0.05</v>
      </c>
      <c r="K1787" s="44">
        <f>Sales[[#This Row],[Gross Amount]]*Sales[[#This Row],[Disc %]]</f>
        <v>13471.5</v>
      </c>
      <c r="L1787" s="43">
        <v>0.18</v>
      </c>
      <c r="M1787" s="44">
        <f>(Sales[[#This Row],[Gross Amount]]-Sales[[#This Row],[Disc. Amt.]])*Sales[[#This Row],[GST %]]</f>
        <v>46072.53</v>
      </c>
      <c r="N1787" s="161">
        <f>Sales[[#This Row],[Gross Amount]]-Sales[[#This Row],[Disc. Amt.]]+Sales[[#This Row],[GST Amount]]</f>
        <v>302031.03000000003</v>
      </c>
      <c r="O1787" s="158" t="s">
        <v>3566</v>
      </c>
      <c r="P1787" s="158" t="s">
        <v>3562</v>
      </c>
      <c r="Q1787" s="160">
        <f>IF(Sales[[#This Row],[Status]]="Cancelled",0,Sales[[#This Row],[Qty]])</f>
        <v>7</v>
      </c>
      <c r="R1787" s="161">
        <f>IF(Sales[[#This Row],[Status]]="Cancelled",0,Sales[[#This Row],[Total Amount]])</f>
        <v>302031.03000000003</v>
      </c>
      <c r="S1787" s="162">
        <f>SUM(Sales[Net Amount])</f>
        <v>406839287.73200053</v>
      </c>
    </row>
    <row r="1788" spans="1:19" ht="18.75" x14ac:dyDescent="0.25">
      <c r="A1788" s="163" t="s">
        <v>5398</v>
      </c>
      <c r="B1788" s="164">
        <v>45869</v>
      </c>
      <c r="C1788" s="34" t="s">
        <v>681</v>
      </c>
      <c r="D1788" s="53" t="str">
        <f>VLOOKUP(Sales[[#This Row],[Customer ID]],Customer[#All],2,0)</f>
        <v>Amit Kumar</v>
      </c>
      <c r="E1788" s="34" t="s">
        <v>522</v>
      </c>
      <c r="F1788" s="34" t="str">
        <f>VLOOKUP(Sales[[#This Row],[Product ID]],Product[#All],2,0)</f>
        <v>Dell Keyboard</v>
      </c>
      <c r="G1788" s="53">
        <v>4</v>
      </c>
      <c r="H1788" s="165">
        <f>VLOOKUP(Sales[[#This Row],[Product ID]],Product[#All],7,0)</f>
        <v>3020</v>
      </c>
      <c r="I1788" s="165">
        <f>Sales[[#This Row],[Selling Rate]]*Sales[[#This Row],[Qty]]</f>
        <v>12080</v>
      </c>
      <c r="J1788" s="45">
        <v>0.12</v>
      </c>
      <c r="K1788" s="46">
        <f>Sales[[#This Row],[Gross Amount]]*Sales[[#This Row],[Disc %]]</f>
        <v>1449.6</v>
      </c>
      <c r="L1788" s="43">
        <v>0.18</v>
      </c>
      <c r="M1788" s="46">
        <f>(Sales[[#This Row],[Gross Amount]]-Sales[[#This Row],[Disc. Amt.]])*Sales[[#This Row],[GST %]]</f>
        <v>1913.4719999999998</v>
      </c>
      <c r="N1788" s="161">
        <f>Sales[[#This Row],[Gross Amount]]-Sales[[#This Row],[Disc. Amt.]]+Sales[[#This Row],[GST Amount]]</f>
        <v>12543.871999999999</v>
      </c>
      <c r="O1788" s="34" t="s">
        <v>3569</v>
      </c>
      <c r="P1788" s="34" t="s">
        <v>3562</v>
      </c>
      <c r="Q1788" s="165">
        <f>IF(Sales[[#This Row],[Status]]="Cancelled",0,Sales[[#This Row],[Qty]])</f>
        <v>4</v>
      </c>
      <c r="R1788" s="166">
        <f>IF(Sales[[#This Row],[Status]]="Cancelled",0,Sales[[#This Row],[Total Amount]])</f>
        <v>12543.871999999999</v>
      </c>
      <c r="S1788" s="162">
        <f>SUM(Sales[Net Amount])</f>
        <v>406839287.73200053</v>
      </c>
    </row>
    <row r="1789" spans="1:19" ht="18.75" x14ac:dyDescent="0.25">
      <c r="A1789" s="156" t="s">
        <v>5399</v>
      </c>
      <c r="B1789" s="157">
        <v>45869</v>
      </c>
      <c r="C1789" s="158" t="s">
        <v>942</v>
      </c>
      <c r="D1789" s="159" t="str">
        <f>VLOOKUP(Sales[[#This Row],[Customer ID]],Customer[#All],2,0)</f>
        <v>Sunita Kumar</v>
      </c>
      <c r="E1789" s="158" t="s">
        <v>104</v>
      </c>
      <c r="F1789" s="158" t="str">
        <f>VLOOKUP(Sales[[#This Row],[Product ID]],Product[#All],2,0)</f>
        <v>Canon Printer</v>
      </c>
      <c r="G1789" s="159">
        <v>3</v>
      </c>
      <c r="H1789" s="160">
        <f>VLOOKUP(Sales[[#This Row],[Product ID]],Product[#All],7,0)</f>
        <v>49170</v>
      </c>
      <c r="I1789" s="160">
        <f>Sales[[#This Row],[Selling Rate]]*Sales[[#This Row],[Qty]]</f>
        <v>147510</v>
      </c>
      <c r="J1789" s="43">
        <v>0.15</v>
      </c>
      <c r="K1789" s="44">
        <f>Sales[[#This Row],[Gross Amount]]*Sales[[#This Row],[Disc %]]</f>
        <v>22126.5</v>
      </c>
      <c r="L1789" s="43">
        <v>0.18</v>
      </c>
      <c r="M1789" s="44">
        <f>(Sales[[#This Row],[Gross Amount]]-Sales[[#This Row],[Disc. Amt.]])*Sales[[#This Row],[GST %]]</f>
        <v>22569.03</v>
      </c>
      <c r="N1789" s="161">
        <f>Sales[[#This Row],[Gross Amount]]-Sales[[#This Row],[Disc. Amt.]]+Sales[[#This Row],[GST Amount]]</f>
        <v>147952.53</v>
      </c>
      <c r="O1789" s="158" t="s">
        <v>3566</v>
      </c>
      <c r="P1789" s="158" t="s">
        <v>3562</v>
      </c>
      <c r="Q1789" s="160">
        <f>IF(Sales[[#This Row],[Status]]="Cancelled",0,Sales[[#This Row],[Qty]])</f>
        <v>3</v>
      </c>
      <c r="R1789" s="161">
        <f>IF(Sales[[#This Row],[Status]]="Cancelled",0,Sales[[#This Row],[Total Amount]])</f>
        <v>147952.53</v>
      </c>
      <c r="S1789" s="162">
        <f>SUM(Sales[Net Amount])</f>
        <v>406839287.73200053</v>
      </c>
    </row>
    <row r="1790" spans="1:19" ht="18.75" x14ac:dyDescent="0.25">
      <c r="A1790" s="163" t="s">
        <v>5400</v>
      </c>
      <c r="B1790" s="164">
        <v>45869</v>
      </c>
      <c r="C1790" s="34" t="s">
        <v>798</v>
      </c>
      <c r="D1790" s="53" t="str">
        <f>VLOOKUP(Sales[[#This Row],[Customer ID]],Customer[#All],2,0)</f>
        <v>Amit Singh</v>
      </c>
      <c r="E1790" s="34" t="s">
        <v>175</v>
      </c>
      <c r="F1790" s="34" t="str">
        <f>VLOOKUP(Sales[[#This Row],[Product ID]],Product[#All],2,0)</f>
        <v>Boat Headset</v>
      </c>
      <c r="G1790" s="53">
        <v>1</v>
      </c>
      <c r="H1790" s="165">
        <f>VLOOKUP(Sales[[#This Row],[Product ID]],Product[#All],7,0)</f>
        <v>2030</v>
      </c>
      <c r="I1790" s="165">
        <f>Sales[[#This Row],[Selling Rate]]*Sales[[#This Row],[Qty]]</f>
        <v>2030</v>
      </c>
      <c r="J1790" s="45">
        <v>0.02</v>
      </c>
      <c r="K1790" s="46">
        <f>Sales[[#This Row],[Gross Amount]]*Sales[[#This Row],[Disc %]]</f>
        <v>40.6</v>
      </c>
      <c r="L1790" s="43">
        <v>0.18</v>
      </c>
      <c r="M1790" s="46">
        <f>(Sales[[#This Row],[Gross Amount]]-Sales[[#This Row],[Disc. Amt.]])*Sales[[#This Row],[GST %]]</f>
        <v>358.09199999999998</v>
      </c>
      <c r="N1790" s="161">
        <f>Sales[[#This Row],[Gross Amount]]-Sales[[#This Row],[Disc. Amt.]]+Sales[[#This Row],[GST Amount]]</f>
        <v>2347.4920000000002</v>
      </c>
      <c r="O1790" s="34" t="s">
        <v>3566</v>
      </c>
      <c r="P1790" s="34" t="s">
        <v>3562</v>
      </c>
      <c r="Q1790" s="165">
        <f>IF(Sales[[#This Row],[Status]]="Cancelled",0,Sales[[#This Row],[Qty]])</f>
        <v>1</v>
      </c>
      <c r="R1790" s="166">
        <f>IF(Sales[[#This Row],[Status]]="Cancelled",0,Sales[[#This Row],[Total Amount]])</f>
        <v>2347.4920000000002</v>
      </c>
      <c r="S1790" s="162">
        <f>SUM(Sales[Net Amount])</f>
        <v>406839287.73200053</v>
      </c>
    </row>
    <row r="1791" spans="1:19" ht="18.75" x14ac:dyDescent="0.25">
      <c r="A1791" s="156" t="s">
        <v>5401</v>
      </c>
      <c r="B1791" s="157">
        <v>45869</v>
      </c>
      <c r="C1791" s="158" t="s">
        <v>899</v>
      </c>
      <c r="D1791" s="159" t="str">
        <f>VLOOKUP(Sales[[#This Row],[Customer ID]],Customer[#All],2,0)</f>
        <v>Sunita Verma</v>
      </c>
      <c r="E1791" s="158" t="s">
        <v>181</v>
      </c>
      <c r="F1791" s="158" t="str">
        <f>VLOOKUP(Sales[[#This Row],[Product ID]],Product[#All],2,0)</f>
        <v>Logitech Webcam</v>
      </c>
      <c r="G1791" s="159">
        <v>8</v>
      </c>
      <c r="H1791" s="160">
        <f>VLOOKUP(Sales[[#This Row],[Product ID]],Product[#All],7,0)</f>
        <v>5880</v>
      </c>
      <c r="I1791" s="160">
        <f>Sales[[#This Row],[Selling Rate]]*Sales[[#This Row],[Qty]]</f>
        <v>47040</v>
      </c>
      <c r="J1791" s="43">
        <v>0.05</v>
      </c>
      <c r="K1791" s="44">
        <f>Sales[[#This Row],[Gross Amount]]*Sales[[#This Row],[Disc %]]</f>
        <v>2352</v>
      </c>
      <c r="L1791" s="43">
        <v>0.18</v>
      </c>
      <c r="M1791" s="44">
        <f>(Sales[[#This Row],[Gross Amount]]-Sales[[#This Row],[Disc. Amt.]])*Sales[[#This Row],[GST %]]</f>
        <v>8043.84</v>
      </c>
      <c r="N1791" s="161">
        <f>Sales[[#This Row],[Gross Amount]]-Sales[[#This Row],[Disc. Amt.]]+Sales[[#This Row],[GST Amount]]</f>
        <v>52731.839999999997</v>
      </c>
      <c r="O1791" s="158" t="s">
        <v>3566</v>
      </c>
      <c r="P1791" s="158" t="s">
        <v>3562</v>
      </c>
      <c r="Q1791" s="160">
        <f>IF(Sales[[#This Row],[Status]]="Cancelled",0,Sales[[#This Row],[Qty]])</f>
        <v>8</v>
      </c>
      <c r="R1791" s="161">
        <f>IF(Sales[[#This Row],[Status]]="Cancelled",0,Sales[[#This Row],[Total Amount]])</f>
        <v>52731.839999999997</v>
      </c>
      <c r="S1791" s="162">
        <f>SUM(Sales[Net Amount])</f>
        <v>406839287.73200053</v>
      </c>
    </row>
    <row r="1792" spans="1:19" ht="18.75" x14ac:dyDescent="0.25">
      <c r="A1792" s="163" t="s">
        <v>5402</v>
      </c>
      <c r="B1792" s="164">
        <v>45869</v>
      </c>
      <c r="C1792" s="34" t="s">
        <v>827</v>
      </c>
      <c r="D1792" s="53" t="str">
        <f>VLOOKUP(Sales[[#This Row],[Customer ID]],Customer[#All],2,0)</f>
        <v>Ankit Gupta</v>
      </c>
      <c r="E1792" s="34" t="s">
        <v>305</v>
      </c>
      <c r="F1792" s="34" t="str">
        <f>VLOOKUP(Sales[[#This Row],[Product ID]],Product[#All],2,0)</f>
        <v>HP Power Adapter</v>
      </c>
      <c r="G1792" s="53">
        <v>8</v>
      </c>
      <c r="H1792" s="165">
        <f>VLOOKUP(Sales[[#This Row],[Product ID]],Product[#All],7,0)</f>
        <v>2640</v>
      </c>
      <c r="I1792" s="165">
        <f>Sales[[#This Row],[Selling Rate]]*Sales[[#This Row],[Qty]]</f>
        <v>21120</v>
      </c>
      <c r="J1792" s="45">
        <v>0.05</v>
      </c>
      <c r="K1792" s="46">
        <f>Sales[[#This Row],[Gross Amount]]*Sales[[#This Row],[Disc %]]</f>
        <v>1056</v>
      </c>
      <c r="L1792" s="43">
        <v>0.18</v>
      </c>
      <c r="M1792" s="46">
        <f>(Sales[[#This Row],[Gross Amount]]-Sales[[#This Row],[Disc. Amt.]])*Sales[[#This Row],[GST %]]</f>
        <v>3611.52</v>
      </c>
      <c r="N1792" s="161">
        <f>Sales[[#This Row],[Gross Amount]]-Sales[[#This Row],[Disc. Amt.]]+Sales[[#This Row],[GST Amount]]</f>
        <v>23675.52</v>
      </c>
      <c r="O1792" s="34" t="s">
        <v>3566</v>
      </c>
      <c r="P1792" s="34" t="s">
        <v>3562</v>
      </c>
      <c r="Q1792" s="165">
        <f>IF(Sales[[#This Row],[Status]]="Cancelled",0,Sales[[#This Row],[Qty]])</f>
        <v>8</v>
      </c>
      <c r="R1792" s="166">
        <f>IF(Sales[[#This Row],[Status]]="Cancelled",0,Sales[[#This Row],[Total Amount]])</f>
        <v>23675.52</v>
      </c>
      <c r="S1792" s="162">
        <f>SUM(Sales[Net Amount])</f>
        <v>406839287.73200053</v>
      </c>
    </row>
    <row r="1793" spans="1:19" ht="18.75" x14ac:dyDescent="0.25">
      <c r="A1793" s="156" t="s">
        <v>5403</v>
      </c>
      <c r="B1793" s="157">
        <v>45869</v>
      </c>
      <c r="C1793" s="158" t="s">
        <v>816</v>
      </c>
      <c r="D1793" s="159" t="str">
        <f>VLOOKUP(Sales[[#This Row],[Customer ID]],Customer[#All],2,0)</f>
        <v>Amit Patel</v>
      </c>
      <c r="E1793" s="158" t="s">
        <v>359</v>
      </c>
      <c r="F1793" s="158" t="str">
        <f>VLOOKUP(Sales[[#This Row],[Product ID]],Product[#All],2,0)</f>
        <v>Sandisk Pen Drive</v>
      </c>
      <c r="G1793" s="159">
        <v>6</v>
      </c>
      <c r="H1793" s="160">
        <f>VLOOKUP(Sales[[#This Row],[Product ID]],Product[#All],7,0)</f>
        <v>1140</v>
      </c>
      <c r="I1793" s="160">
        <f>Sales[[#This Row],[Selling Rate]]*Sales[[#This Row],[Qty]]</f>
        <v>6840</v>
      </c>
      <c r="J1793" s="43">
        <v>0.15</v>
      </c>
      <c r="K1793" s="44">
        <f>Sales[[#This Row],[Gross Amount]]*Sales[[#This Row],[Disc %]]</f>
        <v>1026</v>
      </c>
      <c r="L1793" s="43">
        <v>0.18</v>
      </c>
      <c r="M1793" s="44">
        <f>(Sales[[#This Row],[Gross Amount]]-Sales[[#This Row],[Disc. Amt.]])*Sales[[#This Row],[GST %]]</f>
        <v>1046.52</v>
      </c>
      <c r="N1793" s="161">
        <f>Sales[[#This Row],[Gross Amount]]-Sales[[#This Row],[Disc. Amt.]]+Sales[[#This Row],[GST Amount]]</f>
        <v>6860.52</v>
      </c>
      <c r="O1793" s="158" t="s">
        <v>8876</v>
      </c>
      <c r="P1793" s="158" t="s">
        <v>3562</v>
      </c>
      <c r="Q1793" s="160">
        <f>IF(Sales[[#This Row],[Status]]="Cancelled",0,Sales[[#This Row],[Qty]])</f>
        <v>6</v>
      </c>
      <c r="R1793" s="161">
        <f>IF(Sales[[#This Row],[Status]]="Cancelled",0,Sales[[#This Row],[Total Amount]])</f>
        <v>6860.52</v>
      </c>
      <c r="S1793" s="162">
        <f>SUM(Sales[Net Amount])</f>
        <v>406839287.73200053</v>
      </c>
    </row>
    <row r="1794" spans="1:19" ht="18.75" x14ac:dyDescent="0.25">
      <c r="A1794" s="163" t="s">
        <v>5404</v>
      </c>
      <c r="B1794" s="164">
        <v>45869</v>
      </c>
      <c r="C1794" s="34" t="s">
        <v>865</v>
      </c>
      <c r="D1794" s="53" t="str">
        <f>VLOOKUP(Sales[[#This Row],[Customer ID]],Customer[#All],2,0)</f>
        <v>Sunita Gupta</v>
      </c>
      <c r="E1794" s="34" t="s">
        <v>422</v>
      </c>
      <c r="F1794" s="34" t="str">
        <f>VLOOKUP(Sales[[#This Row],[Product ID]],Product[#All],2,0)</f>
        <v>Microtek UPS</v>
      </c>
      <c r="G1794" s="53">
        <v>7</v>
      </c>
      <c r="H1794" s="165">
        <f>VLOOKUP(Sales[[#This Row],[Product ID]],Product[#All],7,0)</f>
        <v>6450</v>
      </c>
      <c r="I1794" s="165">
        <f>Sales[[#This Row],[Selling Rate]]*Sales[[#This Row],[Qty]]</f>
        <v>45150</v>
      </c>
      <c r="J1794" s="45">
        <v>0.15</v>
      </c>
      <c r="K1794" s="46">
        <f>Sales[[#This Row],[Gross Amount]]*Sales[[#This Row],[Disc %]]</f>
        <v>6772.5</v>
      </c>
      <c r="L1794" s="43">
        <v>0.18</v>
      </c>
      <c r="M1794" s="46">
        <f>(Sales[[#This Row],[Gross Amount]]-Sales[[#This Row],[Disc. Amt.]])*Sales[[#This Row],[GST %]]</f>
        <v>6907.95</v>
      </c>
      <c r="N1794" s="161">
        <f>Sales[[#This Row],[Gross Amount]]-Sales[[#This Row],[Disc. Amt.]]+Sales[[#This Row],[GST Amount]]</f>
        <v>45285.45</v>
      </c>
      <c r="O1794" s="34" t="s">
        <v>3566</v>
      </c>
      <c r="P1794" s="34" t="s">
        <v>3562</v>
      </c>
      <c r="Q1794" s="165">
        <f>IF(Sales[[#This Row],[Status]]="Cancelled",0,Sales[[#This Row],[Qty]])</f>
        <v>7</v>
      </c>
      <c r="R1794" s="166">
        <f>IF(Sales[[#This Row],[Status]]="Cancelled",0,Sales[[#This Row],[Total Amount]])</f>
        <v>45285.45</v>
      </c>
      <c r="S1794" s="162">
        <f>SUM(Sales[Net Amount])</f>
        <v>406839287.73200053</v>
      </c>
    </row>
    <row r="1795" spans="1:19" ht="18.75" x14ac:dyDescent="0.25">
      <c r="A1795" s="156" t="s">
        <v>5405</v>
      </c>
      <c r="B1795" s="157">
        <v>45869</v>
      </c>
      <c r="C1795" s="158" t="s">
        <v>734</v>
      </c>
      <c r="D1795" s="159" t="str">
        <f>VLOOKUP(Sales[[#This Row],[Customer ID]],Customer[#All],2,0)</f>
        <v>Ankit Sharma</v>
      </c>
      <c r="E1795" s="158" t="s">
        <v>459</v>
      </c>
      <c r="F1795" s="158" t="str">
        <f>VLOOKUP(Sales[[#This Row],[Product ID]],Product[#All],2,0)</f>
        <v>Logitech Mouse</v>
      </c>
      <c r="G1795" s="159">
        <v>8</v>
      </c>
      <c r="H1795" s="160">
        <f>VLOOKUP(Sales[[#This Row],[Product ID]],Product[#All],7,0)</f>
        <v>1680</v>
      </c>
      <c r="I1795" s="160">
        <f>Sales[[#This Row],[Selling Rate]]*Sales[[#This Row],[Qty]]</f>
        <v>13440</v>
      </c>
      <c r="J1795" s="43">
        <v>0.1</v>
      </c>
      <c r="K1795" s="44">
        <f>Sales[[#This Row],[Gross Amount]]*Sales[[#This Row],[Disc %]]</f>
        <v>1344</v>
      </c>
      <c r="L1795" s="43">
        <v>0.18</v>
      </c>
      <c r="M1795" s="44">
        <f>(Sales[[#This Row],[Gross Amount]]-Sales[[#This Row],[Disc. Amt.]])*Sales[[#This Row],[GST %]]</f>
        <v>2177.2799999999997</v>
      </c>
      <c r="N1795" s="161">
        <f>Sales[[#This Row],[Gross Amount]]-Sales[[#This Row],[Disc. Amt.]]+Sales[[#This Row],[GST Amount]]</f>
        <v>14273.279999999999</v>
      </c>
      <c r="O1795" s="158" t="s">
        <v>3569</v>
      </c>
      <c r="P1795" s="158" t="s">
        <v>3562</v>
      </c>
      <c r="Q1795" s="160">
        <f>IF(Sales[[#This Row],[Status]]="Cancelled",0,Sales[[#This Row],[Qty]])</f>
        <v>8</v>
      </c>
      <c r="R1795" s="161">
        <f>IF(Sales[[#This Row],[Status]]="Cancelled",0,Sales[[#This Row],[Total Amount]])</f>
        <v>14273.279999999999</v>
      </c>
      <c r="S1795" s="162">
        <f>SUM(Sales[Net Amount])</f>
        <v>406839287.73200053</v>
      </c>
    </row>
    <row r="1796" spans="1:19" ht="18.75" x14ac:dyDescent="0.25">
      <c r="A1796" s="163" t="s">
        <v>5406</v>
      </c>
      <c r="B1796" s="164">
        <v>45869</v>
      </c>
      <c r="C1796" s="34" t="s">
        <v>681</v>
      </c>
      <c r="D1796" s="53" t="str">
        <f>VLOOKUP(Sales[[#This Row],[Customer ID]],Customer[#All],2,0)</f>
        <v>Amit Kumar</v>
      </c>
      <c r="E1796" s="34" t="s">
        <v>57</v>
      </c>
      <c r="F1796" s="34" t="str">
        <f>VLOOKUP(Sales[[#This Row],[Product ID]],Product[#All],2,0)</f>
        <v>Dell Desktop</v>
      </c>
      <c r="G1796" s="53">
        <v>2</v>
      </c>
      <c r="H1796" s="165">
        <f>VLOOKUP(Sales[[#This Row],[Product ID]],Product[#All],7,0)</f>
        <v>56600</v>
      </c>
      <c r="I1796" s="165">
        <f>Sales[[#This Row],[Selling Rate]]*Sales[[#This Row],[Qty]]</f>
        <v>113200</v>
      </c>
      <c r="J1796" s="45">
        <v>0</v>
      </c>
      <c r="K1796" s="46">
        <f>Sales[[#This Row],[Gross Amount]]*Sales[[#This Row],[Disc %]]</f>
        <v>0</v>
      </c>
      <c r="L1796" s="43">
        <v>0.18</v>
      </c>
      <c r="M1796" s="46">
        <f>(Sales[[#This Row],[Gross Amount]]-Sales[[#This Row],[Disc. Amt.]])*Sales[[#This Row],[GST %]]</f>
        <v>20376</v>
      </c>
      <c r="N1796" s="161">
        <f>Sales[[#This Row],[Gross Amount]]-Sales[[#This Row],[Disc. Amt.]]+Sales[[#This Row],[GST Amount]]</f>
        <v>133576</v>
      </c>
      <c r="O1796" s="34" t="s">
        <v>3566</v>
      </c>
      <c r="P1796" s="34" t="s">
        <v>3562</v>
      </c>
      <c r="Q1796" s="165">
        <f>IF(Sales[[#This Row],[Status]]="Cancelled",0,Sales[[#This Row],[Qty]])</f>
        <v>2</v>
      </c>
      <c r="R1796" s="166">
        <f>IF(Sales[[#This Row],[Status]]="Cancelled",0,Sales[[#This Row],[Total Amount]])</f>
        <v>133576</v>
      </c>
      <c r="S1796" s="162">
        <f>SUM(Sales[Net Amount])</f>
        <v>406839287.73200053</v>
      </c>
    </row>
    <row r="1797" spans="1:19" ht="18.75" x14ac:dyDescent="0.25">
      <c r="A1797" s="156" t="s">
        <v>5407</v>
      </c>
      <c r="B1797" s="157">
        <v>45869</v>
      </c>
      <c r="C1797" s="158" t="s">
        <v>870</v>
      </c>
      <c r="D1797" s="159" t="str">
        <f>VLOOKUP(Sales[[#This Row],[Customer ID]],Customer[#All],2,0)</f>
        <v>Vikas Singh</v>
      </c>
      <c r="E1797" s="158" t="s">
        <v>423</v>
      </c>
      <c r="F1797" s="158" t="str">
        <f>VLOOKUP(Sales[[#This Row],[Product ID]],Product[#All],2,0)</f>
        <v>HP Laptop</v>
      </c>
      <c r="G1797" s="159">
        <v>5</v>
      </c>
      <c r="H1797" s="160">
        <f>VLOOKUP(Sales[[#This Row],[Product ID]],Product[#All],7,0)</f>
        <v>40880</v>
      </c>
      <c r="I1797" s="160">
        <f>Sales[[#This Row],[Selling Rate]]*Sales[[#This Row],[Qty]]</f>
        <v>204400</v>
      </c>
      <c r="J1797" s="43">
        <v>0.12</v>
      </c>
      <c r="K1797" s="44">
        <f>Sales[[#This Row],[Gross Amount]]*Sales[[#This Row],[Disc %]]</f>
        <v>24528</v>
      </c>
      <c r="L1797" s="43">
        <v>0.18</v>
      </c>
      <c r="M1797" s="44">
        <f>(Sales[[#This Row],[Gross Amount]]-Sales[[#This Row],[Disc. Amt.]])*Sales[[#This Row],[GST %]]</f>
        <v>32376.959999999999</v>
      </c>
      <c r="N1797" s="161">
        <f>Sales[[#This Row],[Gross Amount]]-Sales[[#This Row],[Disc. Amt.]]+Sales[[#This Row],[GST Amount]]</f>
        <v>212248.95999999999</v>
      </c>
      <c r="O1797" s="158" t="s">
        <v>3569</v>
      </c>
      <c r="P1797" s="158" t="s">
        <v>3562</v>
      </c>
      <c r="Q1797" s="160">
        <f>IF(Sales[[#This Row],[Status]]="Cancelled",0,Sales[[#This Row],[Qty]])</f>
        <v>5</v>
      </c>
      <c r="R1797" s="161">
        <f>IF(Sales[[#This Row],[Status]]="Cancelled",0,Sales[[#This Row],[Total Amount]])</f>
        <v>212248.95999999999</v>
      </c>
      <c r="S1797" s="162">
        <f>SUM(Sales[Net Amount])</f>
        <v>406839287.73200053</v>
      </c>
    </row>
    <row r="1798" spans="1:19" ht="18.75" x14ac:dyDescent="0.25">
      <c r="A1798" s="163" t="s">
        <v>5408</v>
      </c>
      <c r="B1798" s="164">
        <v>45869</v>
      </c>
      <c r="C1798" s="34" t="s">
        <v>931</v>
      </c>
      <c r="D1798" s="53" t="str">
        <f>VLOOKUP(Sales[[#This Row],[Customer ID]],Customer[#All],2,0)</f>
        <v>Sahil Patel</v>
      </c>
      <c r="E1798" s="34" t="s">
        <v>236</v>
      </c>
      <c r="F1798" s="34" t="str">
        <f>VLOOKUP(Sales[[#This Row],[Product ID]],Product[#All],2,0)</f>
        <v>Dell Desktop</v>
      </c>
      <c r="G1798" s="53">
        <v>3</v>
      </c>
      <c r="H1798" s="165">
        <f>VLOOKUP(Sales[[#This Row],[Product ID]],Product[#All],7,0)</f>
        <v>50050</v>
      </c>
      <c r="I1798" s="165">
        <f>Sales[[#This Row],[Selling Rate]]*Sales[[#This Row],[Qty]]</f>
        <v>150150</v>
      </c>
      <c r="J1798" s="45">
        <v>0.05</v>
      </c>
      <c r="K1798" s="46">
        <f>Sales[[#This Row],[Gross Amount]]*Sales[[#This Row],[Disc %]]</f>
        <v>7507.5</v>
      </c>
      <c r="L1798" s="43">
        <v>0.18</v>
      </c>
      <c r="M1798" s="46">
        <f>(Sales[[#This Row],[Gross Amount]]-Sales[[#This Row],[Disc. Amt.]])*Sales[[#This Row],[GST %]]</f>
        <v>25675.649999999998</v>
      </c>
      <c r="N1798" s="161">
        <f>Sales[[#This Row],[Gross Amount]]-Sales[[#This Row],[Disc. Amt.]]+Sales[[#This Row],[GST Amount]]</f>
        <v>168318.15</v>
      </c>
      <c r="O1798" s="34" t="s">
        <v>8876</v>
      </c>
      <c r="P1798" s="34" t="s">
        <v>3562</v>
      </c>
      <c r="Q1798" s="165">
        <f>IF(Sales[[#This Row],[Status]]="Cancelled",0,Sales[[#This Row],[Qty]])</f>
        <v>3</v>
      </c>
      <c r="R1798" s="166">
        <f>IF(Sales[[#This Row],[Status]]="Cancelled",0,Sales[[#This Row],[Total Amount]])</f>
        <v>168318.15</v>
      </c>
      <c r="S1798" s="162">
        <f>SUM(Sales[Net Amount])</f>
        <v>406839287.73200053</v>
      </c>
    </row>
    <row r="1799" spans="1:19" ht="18.75" x14ac:dyDescent="0.25">
      <c r="A1799" s="156" t="s">
        <v>5409</v>
      </c>
      <c r="B1799" s="157">
        <v>45869</v>
      </c>
      <c r="C1799" s="158" t="s">
        <v>702</v>
      </c>
      <c r="D1799" s="159" t="str">
        <f>VLOOKUP(Sales[[#This Row],[Customer ID]],Customer[#All],2,0)</f>
        <v>Amit Patel</v>
      </c>
      <c r="E1799" s="158" t="s">
        <v>238</v>
      </c>
      <c r="F1799" s="158" t="str">
        <f>VLOOKUP(Sales[[#This Row],[Product ID]],Product[#All],2,0)</f>
        <v>Samsung Monitor</v>
      </c>
      <c r="G1799" s="159">
        <v>7</v>
      </c>
      <c r="H1799" s="160">
        <f>VLOOKUP(Sales[[#This Row],[Product ID]],Product[#All],7,0)</f>
        <v>8180</v>
      </c>
      <c r="I1799" s="160">
        <f>Sales[[#This Row],[Selling Rate]]*Sales[[#This Row],[Qty]]</f>
        <v>57260</v>
      </c>
      <c r="J1799" s="43">
        <v>0.05</v>
      </c>
      <c r="K1799" s="44">
        <f>Sales[[#This Row],[Gross Amount]]*Sales[[#This Row],[Disc %]]</f>
        <v>2863</v>
      </c>
      <c r="L1799" s="43">
        <v>0.18</v>
      </c>
      <c r="M1799" s="44">
        <f>(Sales[[#This Row],[Gross Amount]]-Sales[[#This Row],[Disc. Amt.]])*Sales[[#This Row],[GST %]]</f>
        <v>9791.4599999999991</v>
      </c>
      <c r="N1799" s="161">
        <f>Sales[[#This Row],[Gross Amount]]-Sales[[#This Row],[Disc. Amt.]]+Sales[[#This Row],[GST Amount]]</f>
        <v>64188.46</v>
      </c>
      <c r="O1799" s="158" t="s">
        <v>8876</v>
      </c>
      <c r="P1799" s="158" t="s">
        <v>3562</v>
      </c>
      <c r="Q1799" s="160">
        <f>IF(Sales[[#This Row],[Status]]="Cancelled",0,Sales[[#This Row],[Qty]])</f>
        <v>7</v>
      </c>
      <c r="R1799" s="161">
        <f>IF(Sales[[#This Row],[Status]]="Cancelled",0,Sales[[#This Row],[Total Amount]])</f>
        <v>64188.46</v>
      </c>
      <c r="S1799" s="162">
        <f>SUM(Sales[Net Amount])</f>
        <v>406839287.73200053</v>
      </c>
    </row>
    <row r="1800" spans="1:19" ht="18.75" x14ac:dyDescent="0.25">
      <c r="A1800" s="163" t="s">
        <v>5410</v>
      </c>
      <c r="B1800" s="164">
        <v>45869</v>
      </c>
      <c r="C1800" s="34" t="s">
        <v>769</v>
      </c>
      <c r="D1800" s="53" t="str">
        <f>VLOOKUP(Sales[[#This Row],[Customer ID]],Customer[#All],2,0)</f>
        <v>Sahil Kumar</v>
      </c>
      <c r="E1800" s="34" t="s">
        <v>111</v>
      </c>
      <c r="F1800" s="34" t="str">
        <f>VLOOKUP(Sales[[#This Row],[Product ID]],Product[#All],2,0)</f>
        <v>Microtek UPS</v>
      </c>
      <c r="G1800" s="53">
        <v>3</v>
      </c>
      <c r="H1800" s="165">
        <f>VLOOKUP(Sales[[#This Row],[Product ID]],Product[#All],7,0)</f>
        <v>16680</v>
      </c>
      <c r="I1800" s="165">
        <f>Sales[[#This Row],[Selling Rate]]*Sales[[#This Row],[Qty]]</f>
        <v>50040</v>
      </c>
      <c r="J1800" s="45">
        <v>0.1</v>
      </c>
      <c r="K1800" s="46">
        <f>Sales[[#This Row],[Gross Amount]]*Sales[[#This Row],[Disc %]]</f>
        <v>5004</v>
      </c>
      <c r="L1800" s="43">
        <v>0.18</v>
      </c>
      <c r="M1800" s="46">
        <f>(Sales[[#This Row],[Gross Amount]]-Sales[[#This Row],[Disc. Amt.]])*Sales[[#This Row],[GST %]]</f>
        <v>8106.48</v>
      </c>
      <c r="N1800" s="161">
        <f>Sales[[#This Row],[Gross Amount]]-Sales[[#This Row],[Disc. Amt.]]+Sales[[#This Row],[GST Amount]]</f>
        <v>53142.479999999996</v>
      </c>
      <c r="O1800" s="34" t="s">
        <v>3566</v>
      </c>
      <c r="P1800" s="34" t="s">
        <v>3562</v>
      </c>
      <c r="Q1800" s="165">
        <f>IF(Sales[[#This Row],[Status]]="Cancelled",0,Sales[[#This Row],[Qty]])</f>
        <v>3</v>
      </c>
      <c r="R1800" s="166">
        <f>IF(Sales[[#This Row],[Status]]="Cancelled",0,Sales[[#This Row],[Total Amount]])</f>
        <v>53142.479999999996</v>
      </c>
      <c r="S1800" s="162">
        <f>SUM(Sales[Net Amount])</f>
        <v>406839287.73200053</v>
      </c>
    </row>
    <row r="1801" spans="1:19" ht="18.75" x14ac:dyDescent="0.25">
      <c r="A1801" s="156" t="s">
        <v>5411</v>
      </c>
      <c r="B1801" s="157">
        <v>45870</v>
      </c>
      <c r="C1801" s="158" t="s">
        <v>918</v>
      </c>
      <c r="D1801" s="159" t="str">
        <f>VLOOKUP(Sales[[#This Row],[Customer ID]],Customer[#All],2,0)</f>
        <v>Pooja Patel</v>
      </c>
      <c r="E1801" s="158" t="s">
        <v>163</v>
      </c>
      <c r="F1801" s="158" t="str">
        <f>VLOOKUP(Sales[[#This Row],[Product ID]],Product[#All],2,0)</f>
        <v>Corsair Ram</v>
      </c>
      <c r="G1801" s="159">
        <v>6</v>
      </c>
      <c r="H1801" s="160">
        <f>VLOOKUP(Sales[[#This Row],[Product ID]],Product[#All],7,0)</f>
        <v>16210</v>
      </c>
      <c r="I1801" s="160">
        <f>Sales[[#This Row],[Selling Rate]]*Sales[[#This Row],[Qty]]</f>
        <v>97260</v>
      </c>
      <c r="J1801" s="43">
        <v>0.1</v>
      </c>
      <c r="K1801" s="44">
        <f>Sales[[#This Row],[Gross Amount]]*Sales[[#This Row],[Disc %]]</f>
        <v>9726</v>
      </c>
      <c r="L1801" s="43">
        <v>0.18</v>
      </c>
      <c r="M1801" s="44">
        <f>(Sales[[#This Row],[Gross Amount]]-Sales[[#This Row],[Disc. Amt.]])*Sales[[#This Row],[GST %]]</f>
        <v>15756.119999999999</v>
      </c>
      <c r="N1801" s="161">
        <f>Sales[[#This Row],[Gross Amount]]-Sales[[#This Row],[Disc. Amt.]]+Sales[[#This Row],[GST Amount]]</f>
        <v>103290.12</v>
      </c>
      <c r="O1801" s="158" t="s">
        <v>3561</v>
      </c>
      <c r="P1801" s="158" t="s">
        <v>3562</v>
      </c>
      <c r="Q1801" s="160">
        <f>IF(Sales[[#This Row],[Status]]="Cancelled",0,Sales[[#This Row],[Qty]])</f>
        <v>6</v>
      </c>
      <c r="R1801" s="161">
        <f>IF(Sales[[#This Row],[Status]]="Cancelled",0,Sales[[#This Row],[Total Amount]])</f>
        <v>103290.12</v>
      </c>
      <c r="S1801" s="162">
        <f>SUM(Sales[Net Amount])</f>
        <v>406839287.73200053</v>
      </c>
    </row>
    <row r="1802" spans="1:19" ht="18.75" x14ac:dyDescent="0.25">
      <c r="A1802" s="163" t="s">
        <v>5412</v>
      </c>
      <c r="B1802" s="164">
        <v>45870</v>
      </c>
      <c r="C1802" s="34" t="s">
        <v>730</v>
      </c>
      <c r="D1802" s="53" t="str">
        <f>VLOOKUP(Sales[[#This Row],[Customer ID]],Customer[#All],2,0)</f>
        <v>Neha Verma</v>
      </c>
      <c r="E1802" s="34" t="s">
        <v>139</v>
      </c>
      <c r="F1802" s="34" t="str">
        <f>VLOOKUP(Sales[[#This Row],[Product ID]],Product[#All],2,0)</f>
        <v>HP Printer</v>
      </c>
      <c r="G1802" s="53">
        <v>1</v>
      </c>
      <c r="H1802" s="165">
        <f>VLOOKUP(Sales[[#This Row],[Product ID]],Product[#All],7,0)</f>
        <v>25260</v>
      </c>
      <c r="I1802" s="165">
        <f>Sales[[#This Row],[Selling Rate]]*Sales[[#This Row],[Qty]]</f>
        <v>25260</v>
      </c>
      <c r="J1802" s="45">
        <v>0</v>
      </c>
      <c r="K1802" s="46">
        <f>Sales[[#This Row],[Gross Amount]]*Sales[[#This Row],[Disc %]]</f>
        <v>0</v>
      </c>
      <c r="L1802" s="43">
        <v>0.18</v>
      </c>
      <c r="M1802" s="46">
        <f>(Sales[[#This Row],[Gross Amount]]-Sales[[#This Row],[Disc. Amt.]])*Sales[[#This Row],[GST %]]</f>
        <v>4546.8</v>
      </c>
      <c r="N1802" s="161">
        <f>Sales[[#This Row],[Gross Amount]]-Sales[[#This Row],[Disc. Amt.]]+Sales[[#This Row],[GST Amount]]</f>
        <v>29806.799999999999</v>
      </c>
      <c r="O1802" s="34" t="s">
        <v>3566</v>
      </c>
      <c r="P1802" s="34" t="s">
        <v>3562</v>
      </c>
      <c r="Q1802" s="165">
        <f>IF(Sales[[#This Row],[Status]]="Cancelled",0,Sales[[#This Row],[Qty]])</f>
        <v>1</v>
      </c>
      <c r="R1802" s="166">
        <f>IF(Sales[[#This Row],[Status]]="Cancelled",0,Sales[[#This Row],[Total Amount]])</f>
        <v>29806.799999999999</v>
      </c>
      <c r="S1802" s="162">
        <f>SUM(Sales[Net Amount])</f>
        <v>406839287.73200053</v>
      </c>
    </row>
    <row r="1803" spans="1:19" ht="18.75" x14ac:dyDescent="0.25">
      <c r="A1803" s="156" t="s">
        <v>5413</v>
      </c>
      <c r="B1803" s="157">
        <v>45870</v>
      </c>
      <c r="C1803" s="158" t="s">
        <v>819</v>
      </c>
      <c r="D1803" s="159" t="str">
        <f>VLOOKUP(Sales[[#This Row],[Customer ID]],Customer[#All],2,0)</f>
        <v>Neha Gupta</v>
      </c>
      <c r="E1803" s="158" t="s">
        <v>320</v>
      </c>
      <c r="F1803" s="158" t="str">
        <f>VLOOKUP(Sales[[#This Row],[Product ID]],Product[#All],2,0)</f>
        <v>Seagate HDD</v>
      </c>
      <c r="G1803" s="159">
        <v>2</v>
      </c>
      <c r="H1803" s="160">
        <f>VLOOKUP(Sales[[#This Row],[Product ID]],Product[#All],7,0)</f>
        <v>12040</v>
      </c>
      <c r="I1803" s="160">
        <f>Sales[[#This Row],[Selling Rate]]*Sales[[#This Row],[Qty]]</f>
        <v>24080</v>
      </c>
      <c r="J1803" s="43">
        <v>0</v>
      </c>
      <c r="K1803" s="44">
        <f>Sales[[#This Row],[Gross Amount]]*Sales[[#This Row],[Disc %]]</f>
        <v>0</v>
      </c>
      <c r="L1803" s="43">
        <v>0.18</v>
      </c>
      <c r="M1803" s="44">
        <f>(Sales[[#This Row],[Gross Amount]]-Sales[[#This Row],[Disc. Amt.]])*Sales[[#This Row],[GST %]]</f>
        <v>4334.3999999999996</v>
      </c>
      <c r="N1803" s="161">
        <f>Sales[[#This Row],[Gross Amount]]-Sales[[#This Row],[Disc. Amt.]]+Sales[[#This Row],[GST Amount]]</f>
        <v>28414.400000000001</v>
      </c>
      <c r="O1803" s="158" t="s">
        <v>3569</v>
      </c>
      <c r="P1803" s="158" t="s">
        <v>3562</v>
      </c>
      <c r="Q1803" s="160">
        <f>IF(Sales[[#This Row],[Status]]="Cancelled",0,Sales[[#This Row],[Qty]])</f>
        <v>2</v>
      </c>
      <c r="R1803" s="161">
        <f>IF(Sales[[#This Row],[Status]]="Cancelled",0,Sales[[#This Row],[Total Amount]])</f>
        <v>28414.400000000001</v>
      </c>
      <c r="S1803" s="162">
        <f>SUM(Sales[Net Amount])</f>
        <v>406839287.73200053</v>
      </c>
    </row>
    <row r="1804" spans="1:19" ht="18.75" x14ac:dyDescent="0.25">
      <c r="A1804" s="163" t="s">
        <v>5414</v>
      </c>
      <c r="B1804" s="164">
        <v>45870</v>
      </c>
      <c r="C1804" s="34" t="s">
        <v>652</v>
      </c>
      <c r="D1804" s="53" t="str">
        <f>VLOOKUP(Sales[[#This Row],[Customer ID]],Customer[#All],2,0)</f>
        <v>Sahil Kumar</v>
      </c>
      <c r="E1804" s="34" t="s">
        <v>376</v>
      </c>
      <c r="F1804" s="34" t="str">
        <f>VLOOKUP(Sales[[#This Row],[Product ID]],Product[#All],2,0)</f>
        <v>Lenovo Laptop</v>
      </c>
      <c r="G1804" s="53">
        <v>5</v>
      </c>
      <c r="H1804" s="165">
        <f>VLOOKUP(Sales[[#This Row],[Product ID]],Product[#All],7,0)</f>
        <v>38140</v>
      </c>
      <c r="I1804" s="165">
        <f>Sales[[#This Row],[Selling Rate]]*Sales[[#This Row],[Qty]]</f>
        <v>190700</v>
      </c>
      <c r="J1804" s="45">
        <v>0.05</v>
      </c>
      <c r="K1804" s="46">
        <f>Sales[[#This Row],[Gross Amount]]*Sales[[#This Row],[Disc %]]</f>
        <v>9535</v>
      </c>
      <c r="L1804" s="43">
        <v>0.18</v>
      </c>
      <c r="M1804" s="46">
        <f>(Sales[[#This Row],[Gross Amount]]-Sales[[#This Row],[Disc. Amt.]])*Sales[[#This Row],[GST %]]</f>
        <v>32609.699999999997</v>
      </c>
      <c r="N1804" s="161">
        <f>Sales[[#This Row],[Gross Amount]]-Sales[[#This Row],[Disc. Amt.]]+Sales[[#This Row],[GST Amount]]</f>
        <v>213774.7</v>
      </c>
      <c r="O1804" s="34" t="s">
        <v>8876</v>
      </c>
      <c r="P1804" s="34" t="s">
        <v>3562</v>
      </c>
      <c r="Q1804" s="165">
        <f>IF(Sales[[#This Row],[Status]]="Cancelled",0,Sales[[#This Row],[Qty]])</f>
        <v>5</v>
      </c>
      <c r="R1804" s="166">
        <f>IF(Sales[[#This Row],[Status]]="Cancelled",0,Sales[[#This Row],[Total Amount]])</f>
        <v>213774.7</v>
      </c>
      <c r="S1804" s="162">
        <f>SUM(Sales[Net Amount])</f>
        <v>406839287.73200053</v>
      </c>
    </row>
    <row r="1805" spans="1:19" ht="18.75" x14ac:dyDescent="0.25">
      <c r="A1805" s="156" t="s">
        <v>5415</v>
      </c>
      <c r="B1805" s="157">
        <v>45870</v>
      </c>
      <c r="C1805" s="158" t="s">
        <v>693</v>
      </c>
      <c r="D1805" s="159" t="str">
        <f>VLOOKUP(Sales[[#This Row],[Customer ID]],Customer[#All],2,0)</f>
        <v>Rahul Gupta</v>
      </c>
      <c r="E1805" s="158" t="s">
        <v>264</v>
      </c>
      <c r="F1805" s="158" t="str">
        <f>VLOOKUP(Sales[[#This Row],[Product ID]],Product[#All],2,0)</f>
        <v>Acer Laptop</v>
      </c>
      <c r="G1805" s="159">
        <v>6</v>
      </c>
      <c r="H1805" s="160">
        <f>VLOOKUP(Sales[[#This Row],[Product ID]],Product[#All],7,0)</f>
        <v>65110</v>
      </c>
      <c r="I1805" s="160">
        <f>Sales[[#This Row],[Selling Rate]]*Sales[[#This Row],[Qty]]</f>
        <v>390660</v>
      </c>
      <c r="J1805" s="43">
        <v>0.12</v>
      </c>
      <c r="K1805" s="44">
        <f>Sales[[#This Row],[Gross Amount]]*Sales[[#This Row],[Disc %]]</f>
        <v>46879.199999999997</v>
      </c>
      <c r="L1805" s="43">
        <v>0.18</v>
      </c>
      <c r="M1805" s="44">
        <f>(Sales[[#This Row],[Gross Amount]]-Sales[[#This Row],[Disc. Amt.]])*Sales[[#This Row],[GST %]]</f>
        <v>61880.543999999994</v>
      </c>
      <c r="N1805" s="161">
        <f>Sales[[#This Row],[Gross Amount]]-Sales[[#This Row],[Disc. Amt.]]+Sales[[#This Row],[GST Amount]]</f>
        <v>405661.34399999998</v>
      </c>
      <c r="O1805" s="158" t="s">
        <v>8876</v>
      </c>
      <c r="P1805" s="158" t="s">
        <v>3562</v>
      </c>
      <c r="Q1805" s="160">
        <f>IF(Sales[[#This Row],[Status]]="Cancelled",0,Sales[[#This Row],[Qty]])</f>
        <v>6</v>
      </c>
      <c r="R1805" s="161">
        <f>IF(Sales[[#This Row],[Status]]="Cancelled",0,Sales[[#This Row],[Total Amount]])</f>
        <v>405661.34399999998</v>
      </c>
      <c r="S1805" s="162">
        <f>SUM(Sales[Net Amount])</f>
        <v>406839287.73200053</v>
      </c>
    </row>
    <row r="1806" spans="1:19" ht="18.75" x14ac:dyDescent="0.25">
      <c r="A1806" s="163" t="s">
        <v>5416</v>
      </c>
      <c r="B1806" s="164">
        <v>45870</v>
      </c>
      <c r="C1806" s="34" t="s">
        <v>945</v>
      </c>
      <c r="D1806" s="53" t="str">
        <f>VLOOKUP(Sales[[#This Row],[Customer ID]],Customer[#All],2,0)</f>
        <v>Rahul Singh</v>
      </c>
      <c r="E1806" s="34" t="s">
        <v>330</v>
      </c>
      <c r="F1806" s="34" t="str">
        <f>VLOOKUP(Sales[[#This Row],[Product ID]],Product[#All],2,0)</f>
        <v>American TouristerLaptopBag</v>
      </c>
      <c r="G1806" s="53">
        <v>5</v>
      </c>
      <c r="H1806" s="165">
        <f>VLOOKUP(Sales[[#This Row],[Product ID]],Product[#All],7,0)</f>
        <v>4970</v>
      </c>
      <c r="I1806" s="165">
        <f>Sales[[#This Row],[Selling Rate]]*Sales[[#This Row],[Qty]]</f>
        <v>24850</v>
      </c>
      <c r="J1806" s="45">
        <v>0.1</v>
      </c>
      <c r="K1806" s="46">
        <f>Sales[[#This Row],[Gross Amount]]*Sales[[#This Row],[Disc %]]</f>
        <v>2485</v>
      </c>
      <c r="L1806" s="43">
        <v>0.18</v>
      </c>
      <c r="M1806" s="46">
        <f>(Sales[[#This Row],[Gross Amount]]-Sales[[#This Row],[Disc. Amt.]])*Sales[[#This Row],[GST %]]</f>
        <v>4025.7</v>
      </c>
      <c r="N1806" s="161">
        <f>Sales[[#This Row],[Gross Amount]]-Sales[[#This Row],[Disc. Amt.]]+Sales[[#This Row],[GST Amount]]</f>
        <v>26390.7</v>
      </c>
      <c r="O1806" s="34" t="s">
        <v>3566</v>
      </c>
      <c r="P1806" s="34" t="s">
        <v>3562</v>
      </c>
      <c r="Q1806" s="165">
        <f>IF(Sales[[#This Row],[Status]]="Cancelled",0,Sales[[#This Row],[Qty]])</f>
        <v>5</v>
      </c>
      <c r="R1806" s="166">
        <f>IF(Sales[[#This Row],[Status]]="Cancelled",0,Sales[[#This Row],[Total Amount]])</f>
        <v>26390.7</v>
      </c>
      <c r="S1806" s="162">
        <f>SUM(Sales[Net Amount])</f>
        <v>406839287.73200053</v>
      </c>
    </row>
    <row r="1807" spans="1:19" ht="18.75" x14ac:dyDescent="0.25">
      <c r="A1807" s="156" t="s">
        <v>5417</v>
      </c>
      <c r="B1807" s="157">
        <v>45870</v>
      </c>
      <c r="C1807" s="158" t="s">
        <v>822</v>
      </c>
      <c r="D1807" s="159" t="str">
        <f>VLOOKUP(Sales[[#This Row],[Customer ID]],Customer[#All],2,0)</f>
        <v>Vikas Singh</v>
      </c>
      <c r="E1807" s="158" t="s">
        <v>126</v>
      </c>
      <c r="F1807" s="158" t="str">
        <f>VLOOKUP(Sales[[#This Row],[Product ID]],Product[#All],2,0)</f>
        <v>Epson Printer</v>
      </c>
      <c r="G1807" s="159">
        <v>4</v>
      </c>
      <c r="H1807" s="160">
        <f>VLOOKUP(Sales[[#This Row],[Product ID]],Product[#All],7,0)</f>
        <v>23980</v>
      </c>
      <c r="I1807" s="160">
        <f>Sales[[#This Row],[Selling Rate]]*Sales[[#This Row],[Qty]]</f>
        <v>95920</v>
      </c>
      <c r="J1807" s="43">
        <v>0.02</v>
      </c>
      <c r="K1807" s="44">
        <f>Sales[[#This Row],[Gross Amount]]*Sales[[#This Row],[Disc %]]</f>
        <v>1918.4</v>
      </c>
      <c r="L1807" s="43">
        <v>0.18</v>
      </c>
      <c r="M1807" s="44">
        <f>(Sales[[#This Row],[Gross Amount]]-Sales[[#This Row],[Disc. Amt.]])*Sales[[#This Row],[GST %]]</f>
        <v>16920.288</v>
      </c>
      <c r="N1807" s="161">
        <f>Sales[[#This Row],[Gross Amount]]-Sales[[#This Row],[Disc. Amt.]]+Sales[[#This Row],[GST Amount]]</f>
        <v>110921.88800000001</v>
      </c>
      <c r="O1807" s="158" t="s">
        <v>3569</v>
      </c>
      <c r="P1807" s="158" t="s">
        <v>3562</v>
      </c>
      <c r="Q1807" s="160">
        <f>IF(Sales[[#This Row],[Status]]="Cancelled",0,Sales[[#This Row],[Qty]])</f>
        <v>4</v>
      </c>
      <c r="R1807" s="161">
        <f>IF(Sales[[#This Row],[Status]]="Cancelled",0,Sales[[#This Row],[Total Amount]])</f>
        <v>110921.88800000001</v>
      </c>
      <c r="S1807" s="162">
        <f>SUM(Sales[Net Amount])</f>
        <v>406839287.73200053</v>
      </c>
    </row>
    <row r="1808" spans="1:19" ht="18.75" x14ac:dyDescent="0.25">
      <c r="A1808" s="163" t="s">
        <v>5418</v>
      </c>
      <c r="B1808" s="164">
        <v>45870</v>
      </c>
      <c r="C1808" s="34" t="s">
        <v>884</v>
      </c>
      <c r="D1808" s="53" t="str">
        <f>VLOOKUP(Sales[[#This Row],[Customer ID]],Customer[#All],2,0)</f>
        <v>Sahil Patel</v>
      </c>
      <c r="E1808" s="34" t="s">
        <v>483</v>
      </c>
      <c r="F1808" s="34" t="str">
        <f>VLOOKUP(Sales[[#This Row],[Product ID]],Product[#All],2,0)</f>
        <v>Kingston Ram</v>
      </c>
      <c r="G1808" s="53">
        <v>5</v>
      </c>
      <c r="H1808" s="165">
        <f>VLOOKUP(Sales[[#This Row],[Product ID]],Product[#All],7,0)</f>
        <v>8630</v>
      </c>
      <c r="I1808" s="165">
        <f>Sales[[#This Row],[Selling Rate]]*Sales[[#This Row],[Qty]]</f>
        <v>43150</v>
      </c>
      <c r="J1808" s="45">
        <v>0.1</v>
      </c>
      <c r="K1808" s="46">
        <f>Sales[[#This Row],[Gross Amount]]*Sales[[#This Row],[Disc %]]</f>
        <v>4315</v>
      </c>
      <c r="L1808" s="43">
        <v>0.18</v>
      </c>
      <c r="M1808" s="46">
        <f>(Sales[[#This Row],[Gross Amount]]-Sales[[#This Row],[Disc. Amt.]])*Sales[[#This Row],[GST %]]</f>
        <v>6990.3</v>
      </c>
      <c r="N1808" s="161">
        <f>Sales[[#This Row],[Gross Amount]]-Sales[[#This Row],[Disc. Amt.]]+Sales[[#This Row],[GST Amount]]</f>
        <v>45825.3</v>
      </c>
      <c r="O1808" s="34" t="s">
        <v>3566</v>
      </c>
      <c r="P1808" s="34" t="s">
        <v>3562</v>
      </c>
      <c r="Q1808" s="165">
        <f>IF(Sales[[#This Row],[Status]]="Cancelled",0,Sales[[#This Row],[Qty]])</f>
        <v>5</v>
      </c>
      <c r="R1808" s="166">
        <f>IF(Sales[[#This Row],[Status]]="Cancelled",0,Sales[[#This Row],[Total Amount]])</f>
        <v>45825.3</v>
      </c>
      <c r="S1808" s="162">
        <f>SUM(Sales[Net Amount])</f>
        <v>406839287.73200053</v>
      </c>
    </row>
    <row r="1809" spans="1:19" ht="18.75" x14ac:dyDescent="0.25">
      <c r="A1809" s="156" t="s">
        <v>5419</v>
      </c>
      <c r="B1809" s="157">
        <v>45870</v>
      </c>
      <c r="C1809" s="158" t="s">
        <v>671</v>
      </c>
      <c r="D1809" s="159" t="str">
        <f>VLOOKUP(Sales[[#This Row],[Customer ID]],Customer[#All],2,0)</f>
        <v>Sahil Patel</v>
      </c>
      <c r="E1809" s="158" t="s">
        <v>383</v>
      </c>
      <c r="F1809" s="158" t="str">
        <f>VLOOKUP(Sales[[#This Row],[Product ID]],Product[#All],2,0)</f>
        <v>Logitech Mouse</v>
      </c>
      <c r="G1809" s="159">
        <v>8</v>
      </c>
      <c r="H1809" s="160">
        <f>VLOOKUP(Sales[[#This Row],[Product ID]],Product[#All],7,0)</f>
        <v>3080</v>
      </c>
      <c r="I1809" s="160">
        <f>Sales[[#This Row],[Selling Rate]]*Sales[[#This Row],[Qty]]</f>
        <v>24640</v>
      </c>
      <c r="J1809" s="43">
        <v>0.02</v>
      </c>
      <c r="K1809" s="44">
        <f>Sales[[#This Row],[Gross Amount]]*Sales[[#This Row],[Disc %]]</f>
        <v>492.8</v>
      </c>
      <c r="L1809" s="43">
        <v>0.18</v>
      </c>
      <c r="M1809" s="44">
        <f>(Sales[[#This Row],[Gross Amount]]-Sales[[#This Row],[Disc. Amt.]])*Sales[[#This Row],[GST %]]</f>
        <v>4346.4960000000001</v>
      </c>
      <c r="N1809" s="161">
        <f>Sales[[#This Row],[Gross Amount]]-Sales[[#This Row],[Disc. Amt.]]+Sales[[#This Row],[GST Amount]]</f>
        <v>28493.696</v>
      </c>
      <c r="O1809" s="158" t="s">
        <v>8876</v>
      </c>
      <c r="P1809" s="158" t="s">
        <v>3562</v>
      </c>
      <c r="Q1809" s="160">
        <f>IF(Sales[[#This Row],[Status]]="Cancelled",0,Sales[[#This Row],[Qty]])</f>
        <v>8</v>
      </c>
      <c r="R1809" s="161">
        <f>IF(Sales[[#This Row],[Status]]="Cancelled",0,Sales[[#This Row],[Total Amount]])</f>
        <v>28493.696</v>
      </c>
      <c r="S1809" s="162">
        <f>SUM(Sales[Net Amount])</f>
        <v>406839287.73200053</v>
      </c>
    </row>
    <row r="1810" spans="1:19" ht="18.75" x14ac:dyDescent="0.25">
      <c r="A1810" s="163" t="s">
        <v>5420</v>
      </c>
      <c r="B1810" s="164">
        <v>45870</v>
      </c>
      <c r="C1810" s="34" t="s">
        <v>737</v>
      </c>
      <c r="D1810" s="53" t="str">
        <f>VLOOKUP(Sales[[#This Row],[Customer ID]],Customer[#All],2,0)</f>
        <v>Pooja Verma</v>
      </c>
      <c r="E1810" s="34" t="s">
        <v>438</v>
      </c>
      <c r="F1810" s="34" t="str">
        <f>VLOOKUP(Sales[[#This Row],[Product ID]],Product[#All],2,0)</f>
        <v>Jbl Headset</v>
      </c>
      <c r="G1810" s="53">
        <v>2</v>
      </c>
      <c r="H1810" s="165">
        <f>VLOOKUP(Sales[[#This Row],[Product ID]],Product[#All],7,0)</f>
        <v>1670</v>
      </c>
      <c r="I1810" s="165">
        <f>Sales[[#This Row],[Selling Rate]]*Sales[[#This Row],[Qty]]</f>
        <v>3340</v>
      </c>
      <c r="J1810" s="45">
        <v>0.05</v>
      </c>
      <c r="K1810" s="46">
        <f>Sales[[#This Row],[Gross Amount]]*Sales[[#This Row],[Disc %]]</f>
        <v>167</v>
      </c>
      <c r="L1810" s="43">
        <v>0.18</v>
      </c>
      <c r="M1810" s="46">
        <f>(Sales[[#This Row],[Gross Amount]]-Sales[[#This Row],[Disc. Amt.]])*Sales[[#This Row],[GST %]]</f>
        <v>571.14</v>
      </c>
      <c r="N1810" s="161">
        <f>Sales[[#This Row],[Gross Amount]]-Sales[[#This Row],[Disc. Amt.]]+Sales[[#This Row],[GST Amount]]</f>
        <v>3744.14</v>
      </c>
      <c r="O1810" s="34" t="s">
        <v>3561</v>
      </c>
      <c r="P1810" s="34" t="s">
        <v>3562</v>
      </c>
      <c r="Q1810" s="165">
        <f>IF(Sales[[#This Row],[Status]]="Cancelled",0,Sales[[#This Row],[Qty]])</f>
        <v>2</v>
      </c>
      <c r="R1810" s="166">
        <f>IF(Sales[[#This Row],[Status]]="Cancelled",0,Sales[[#This Row],[Total Amount]])</f>
        <v>3744.14</v>
      </c>
      <c r="S1810" s="162">
        <f>SUM(Sales[Net Amount])</f>
        <v>406839287.73200053</v>
      </c>
    </row>
    <row r="1811" spans="1:19" ht="18.75" x14ac:dyDescent="0.25">
      <c r="A1811" s="156" t="s">
        <v>5421</v>
      </c>
      <c r="B1811" s="157">
        <v>45870</v>
      </c>
      <c r="C1811" s="158" t="s">
        <v>849</v>
      </c>
      <c r="D1811" s="159" t="str">
        <f>VLOOKUP(Sales[[#This Row],[Customer ID]],Customer[#All],2,0)</f>
        <v>Sunita Sharma</v>
      </c>
      <c r="E1811" s="158" t="s">
        <v>473</v>
      </c>
      <c r="F1811" s="158" t="str">
        <f>VLOOKUP(Sales[[#This Row],[Product ID]],Product[#All],2,0)</f>
        <v>Boat Headset</v>
      </c>
      <c r="G1811" s="159">
        <v>4</v>
      </c>
      <c r="H1811" s="160">
        <f>VLOOKUP(Sales[[#This Row],[Product ID]],Product[#All],7,0)</f>
        <v>2840</v>
      </c>
      <c r="I1811" s="160">
        <f>Sales[[#This Row],[Selling Rate]]*Sales[[#This Row],[Qty]]</f>
        <v>11360</v>
      </c>
      <c r="J1811" s="43">
        <v>0.05</v>
      </c>
      <c r="K1811" s="44">
        <f>Sales[[#This Row],[Gross Amount]]*Sales[[#This Row],[Disc %]]</f>
        <v>568</v>
      </c>
      <c r="L1811" s="43">
        <v>0.18</v>
      </c>
      <c r="M1811" s="44">
        <f>(Sales[[#This Row],[Gross Amount]]-Sales[[#This Row],[Disc. Amt.]])*Sales[[#This Row],[GST %]]</f>
        <v>1942.56</v>
      </c>
      <c r="N1811" s="161">
        <f>Sales[[#This Row],[Gross Amount]]-Sales[[#This Row],[Disc. Amt.]]+Sales[[#This Row],[GST Amount]]</f>
        <v>12734.56</v>
      </c>
      <c r="O1811" s="158" t="s">
        <v>3566</v>
      </c>
      <c r="P1811" s="158" t="s">
        <v>3562</v>
      </c>
      <c r="Q1811" s="160">
        <f>IF(Sales[[#This Row],[Status]]="Cancelled",0,Sales[[#This Row],[Qty]])</f>
        <v>4</v>
      </c>
      <c r="R1811" s="161">
        <f>IF(Sales[[#This Row],[Status]]="Cancelled",0,Sales[[#This Row],[Total Amount]])</f>
        <v>12734.56</v>
      </c>
      <c r="S1811" s="162">
        <f>SUM(Sales[Net Amount])</f>
        <v>406839287.73200053</v>
      </c>
    </row>
    <row r="1812" spans="1:19" ht="18.75" x14ac:dyDescent="0.25">
      <c r="A1812" s="163" t="s">
        <v>5422</v>
      </c>
      <c r="B1812" s="164">
        <v>45870</v>
      </c>
      <c r="C1812" s="34" t="s">
        <v>841</v>
      </c>
      <c r="D1812" s="53" t="str">
        <f>VLOOKUP(Sales[[#This Row],[Customer ID]],Customer[#All],2,0)</f>
        <v>Pooja Verma</v>
      </c>
      <c r="E1812" s="34" t="s">
        <v>437</v>
      </c>
      <c r="F1812" s="34" t="str">
        <f>VLOOKUP(Sales[[#This Row],[Product ID]],Product[#All],2,0)</f>
        <v>Boat Headset</v>
      </c>
      <c r="G1812" s="53">
        <v>2</v>
      </c>
      <c r="H1812" s="165">
        <f>VLOOKUP(Sales[[#This Row],[Product ID]],Product[#All],7,0)</f>
        <v>3260</v>
      </c>
      <c r="I1812" s="165">
        <f>Sales[[#This Row],[Selling Rate]]*Sales[[#This Row],[Qty]]</f>
        <v>6520</v>
      </c>
      <c r="J1812" s="45">
        <v>0.15</v>
      </c>
      <c r="K1812" s="46">
        <f>Sales[[#This Row],[Gross Amount]]*Sales[[#This Row],[Disc %]]</f>
        <v>978</v>
      </c>
      <c r="L1812" s="43">
        <v>0.18</v>
      </c>
      <c r="M1812" s="46">
        <f>(Sales[[#This Row],[Gross Amount]]-Sales[[#This Row],[Disc. Amt.]])*Sales[[#This Row],[GST %]]</f>
        <v>997.56</v>
      </c>
      <c r="N1812" s="161">
        <f>Sales[[#This Row],[Gross Amount]]-Sales[[#This Row],[Disc. Amt.]]+Sales[[#This Row],[GST Amount]]</f>
        <v>6539.5599999999995</v>
      </c>
      <c r="O1812" s="34" t="s">
        <v>3566</v>
      </c>
      <c r="P1812" s="34" t="s">
        <v>3562</v>
      </c>
      <c r="Q1812" s="165">
        <f>IF(Sales[[#This Row],[Status]]="Cancelled",0,Sales[[#This Row],[Qty]])</f>
        <v>2</v>
      </c>
      <c r="R1812" s="166">
        <f>IF(Sales[[#This Row],[Status]]="Cancelled",0,Sales[[#This Row],[Total Amount]])</f>
        <v>6539.5599999999995</v>
      </c>
      <c r="S1812" s="162">
        <f>SUM(Sales[Net Amount])</f>
        <v>406839287.73200053</v>
      </c>
    </row>
    <row r="1813" spans="1:19" ht="18.75" x14ac:dyDescent="0.25">
      <c r="A1813" s="156" t="s">
        <v>5423</v>
      </c>
      <c r="B1813" s="157">
        <v>45870</v>
      </c>
      <c r="C1813" s="158" t="s">
        <v>725</v>
      </c>
      <c r="D1813" s="159" t="str">
        <f>VLOOKUP(Sales[[#This Row],[Customer ID]],Customer[#All],2,0)</f>
        <v>Ankit Kumar</v>
      </c>
      <c r="E1813" s="158" t="s">
        <v>200</v>
      </c>
      <c r="F1813" s="158" t="str">
        <f>VLOOKUP(Sales[[#This Row],[Product ID]],Product[#All],2,0)</f>
        <v>Logitech Webcam</v>
      </c>
      <c r="G1813" s="159">
        <v>2</v>
      </c>
      <c r="H1813" s="160">
        <f>VLOOKUP(Sales[[#This Row],[Product ID]],Product[#All],7,0)</f>
        <v>5040</v>
      </c>
      <c r="I1813" s="160">
        <f>Sales[[#This Row],[Selling Rate]]*Sales[[#This Row],[Qty]]</f>
        <v>10080</v>
      </c>
      <c r="J1813" s="43">
        <v>0.15</v>
      </c>
      <c r="K1813" s="44">
        <f>Sales[[#This Row],[Gross Amount]]*Sales[[#This Row],[Disc %]]</f>
        <v>1512</v>
      </c>
      <c r="L1813" s="43">
        <v>0.18</v>
      </c>
      <c r="M1813" s="44">
        <f>(Sales[[#This Row],[Gross Amount]]-Sales[[#This Row],[Disc. Amt.]])*Sales[[#This Row],[GST %]]</f>
        <v>1542.24</v>
      </c>
      <c r="N1813" s="161">
        <f>Sales[[#This Row],[Gross Amount]]-Sales[[#This Row],[Disc. Amt.]]+Sales[[#This Row],[GST Amount]]</f>
        <v>10110.24</v>
      </c>
      <c r="O1813" s="158" t="s">
        <v>3561</v>
      </c>
      <c r="P1813" s="158" t="s">
        <v>3562</v>
      </c>
      <c r="Q1813" s="160">
        <f>IF(Sales[[#This Row],[Status]]="Cancelled",0,Sales[[#This Row],[Qty]])</f>
        <v>2</v>
      </c>
      <c r="R1813" s="161">
        <f>IF(Sales[[#This Row],[Status]]="Cancelled",0,Sales[[#This Row],[Total Amount]])</f>
        <v>10110.24</v>
      </c>
      <c r="S1813" s="162">
        <f>SUM(Sales[Net Amount])</f>
        <v>406839287.73200053</v>
      </c>
    </row>
    <row r="1814" spans="1:19" ht="18.75" x14ac:dyDescent="0.25">
      <c r="A1814" s="163" t="s">
        <v>5424</v>
      </c>
      <c r="B1814" s="164">
        <v>45870</v>
      </c>
      <c r="C1814" s="34" t="s">
        <v>854</v>
      </c>
      <c r="D1814" s="53" t="str">
        <f>VLOOKUP(Sales[[#This Row],[Customer ID]],Customer[#All],2,0)</f>
        <v>Neha Sharma</v>
      </c>
      <c r="E1814" s="34" t="s">
        <v>297</v>
      </c>
      <c r="F1814" s="34" t="str">
        <f>VLOOKUP(Sales[[#This Row],[Product ID]],Product[#All],2,0)</f>
        <v>Dell Desktop</v>
      </c>
      <c r="G1814" s="53">
        <v>6</v>
      </c>
      <c r="H1814" s="165">
        <f>VLOOKUP(Sales[[#This Row],[Product ID]],Product[#All],7,0)</f>
        <v>39300</v>
      </c>
      <c r="I1814" s="165">
        <f>Sales[[#This Row],[Selling Rate]]*Sales[[#This Row],[Qty]]</f>
        <v>235800</v>
      </c>
      <c r="J1814" s="45">
        <v>0.02</v>
      </c>
      <c r="K1814" s="46">
        <f>Sales[[#This Row],[Gross Amount]]*Sales[[#This Row],[Disc %]]</f>
        <v>4716</v>
      </c>
      <c r="L1814" s="43">
        <v>0.18</v>
      </c>
      <c r="M1814" s="46">
        <f>(Sales[[#This Row],[Gross Amount]]-Sales[[#This Row],[Disc. Amt.]])*Sales[[#This Row],[GST %]]</f>
        <v>41595.119999999995</v>
      </c>
      <c r="N1814" s="161">
        <f>Sales[[#This Row],[Gross Amount]]-Sales[[#This Row],[Disc. Amt.]]+Sales[[#This Row],[GST Amount]]</f>
        <v>272679.12</v>
      </c>
      <c r="O1814" s="34" t="s">
        <v>3566</v>
      </c>
      <c r="P1814" s="34" t="s">
        <v>3562</v>
      </c>
      <c r="Q1814" s="165">
        <f>IF(Sales[[#This Row],[Status]]="Cancelled",0,Sales[[#This Row],[Qty]])</f>
        <v>6</v>
      </c>
      <c r="R1814" s="166">
        <f>IF(Sales[[#This Row],[Status]]="Cancelled",0,Sales[[#This Row],[Total Amount]])</f>
        <v>272679.12</v>
      </c>
      <c r="S1814" s="162">
        <f>SUM(Sales[Net Amount])</f>
        <v>406839287.73200053</v>
      </c>
    </row>
    <row r="1815" spans="1:19" ht="18.75" x14ac:dyDescent="0.25">
      <c r="A1815" s="156" t="s">
        <v>5425</v>
      </c>
      <c r="B1815" s="157">
        <v>45870</v>
      </c>
      <c r="C1815" s="158" t="s">
        <v>709</v>
      </c>
      <c r="D1815" s="159" t="str">
        <f>VLOOKUP(Sales[[#This Row],[Customer ID]],Customer[#All],2,0)</f>
        <v>Ankit Kumar</v>
      </c>
      <c r="E1815" s="158" t="s">
        <v>517</v>
      </c>
      <c r="F1815" s="158" t="str">
        <f>VLOOKUP(Sales[[#This Row],[Product ID]],Product[#All],2,0)</f>
        <v>Dell Laptop</v>
      </c>
      <c r="G1815" s="159">
        <v>3</v>
      </c>
      <c r="H1815" s="160">
        <f>VLOOKUP(Sales[[#This Row],[Product ID]],Product[#All],7,0)</f>
        <v>81860</v>
      </c>
      <c r="I1815" s="160">
        <f>Sales[[#This Row],[Selling Rate]]*Sales[[#This Row],[Qty]]</f>
        <v>245580</v>
      </c>
      <c r="J1815" s="43">
        <v>0.05</v>
      </c>
      <c r="K1815" s="44">
        <f>Sales[[#This Row],[Gross Amount]]*Sales[[#This Row],[Disc %]]</f>
        <v>12279</v>
      </c>
      <c r="L1815" s="43">
        <v>0.18</v>
      </c>
      <c r="M1815" s="44">
        <f>(Sales[[#This Row],[Gross Amount]]-Sales[[#This Row],[Disc. Amt.]])*Sales[[#This Row],[GST %]]</f>
        <v>41994.18</v>
      </c>
      <c r="N1815" s="161">
        <f>Sales[[#This Row],[Gross Amount]]-Sales[[#This Row],[Disc. Amt.]]+Sales[[#This Row],[GST Amount]]</f>
        <v>275295.18</v>
      </c>
      <c r="O1815" s="158" t="s">
        <v>8876</v>
      </c>
      <c r="P1815" s="158" t="s">
        <v>3562</v>
      </c>
      <c r="Q1815" s="160">
        <f>IF(Sales[[#This Row],[Status]]="Cancelled",0,Sales[[#This Row],[Qty]])</f>
        <v>3</v>
      </c>
      <c r="R1815" s="161">
        <f>IF(Sales[[#This Row],[Status]]="Cancelled",0,Sales[[#This Row],[Total Amount]])</f>
        <v>275295.18</v>
      </c>
      <c r="S1815" s="162">
        <f>SUM(Sales[Net Amount])</f>
        <v>406839287.73200053</v>
      </c>
    </row>
    <row r="1816" spans="1:19" ht="18.75" x14ac:dyDescent="0.25">
      <c r="A1816" s="163" t="s">
        <v>5426</v>
      </c>
      <c r="B1816" s="164">
        <v>45870</v>
      </c>
      <c r="C1816" s="34" t="s">
        <v>717</v>
      </c>
      <c r="D1816" s="53" t="str">
        <f>VLOOKUP(Sales[[#This Row],[Customer ID]],Customer[#All],2,0)</f>
        <v>Sunita Singh</v>
      </c>
      <c r="E1816" s="34" t="s">
        <v>240</v>
      </c>
      <c r="F1816" s="34" t="str">
        <f>VLOOKUP(Sales[[#This Row],[Product ID]],Product[#All],2,0)</f>
        <v>Crucial Ssd</v>
      </c>
      <c r="G1816" s="53">
        <v>6</v>
      </c>
      <c r="H1816" s="165">
        <f>VLOOKUP(Sales[[#This Row],[Product ID]],Product[#All],7,0)</f>
        <v>3310</v>
      </c>
      <c r="I1816" s="165">
        <f>Sales[[#This Row],[Selling Rate]]*Sales[[#This Row],[Qty]]</f>
        <v>19860</v>
      </c>
      <c r="J1816" s="45">
        <v>0</v>
      </c>
      <c r="K1816" s="46">
        <f>Sales[[#This Row],[Gross Amount]]*Sales[[#This Row],[Disc %]]</f>
        <v>0</v>
      </c>
      <c r="L1816" s="43">
        <v>0.18</v>
      </c>
      <c r="M1816" s="46">
        <f>(Sales[[#This Row],[Gross Amount]]-Sales[[#This Row],[Disc. Amt.]])*Sales[[#This Row],[GST %]]</f>
        <v>3574.7999999999997</v>
      </c>
      <c r="N1816" s="161">
        <f>Sales[[#This Row],[Gross Amount]]-Sales[[#This Row],[Disc. Amt.]]+Sales[[#This Row],[GST Amount]]</f>
        <v>23434.799999999999</v>
      </c>
      <c r="O1816" s="34" t="s">
        <v>3561</v>
      </c>
      <c r="P1816" s="34" t="s">
        <v>3562</v>
      </c>
      <c r="Q1816" s="165">
        <f>IF(Sales[[#This Row],[Status]]="Cancelled",0,Sales[[#This Row],[Qty]])</f>
        <v>6</v>
      </c>
      <c r="R1816" s="166">
        <f>IF(Sales[[#This Row],[Status]]="Cancelled",0,Sales[[#This Row],[Total Amount]])</f>
        <v>23434.799999999999</v>
      </c>
      <c r="S1816" s="162">
        <f>SUM(Sales[Net Amount])</f>
        <v>406839287.73200053</v>
      </c>
    </row>
    <row r="1817" spans="1:19" ht="18.75" x14ac:dyDescent="0.25">
      <c r="A1817" s="156" t="s">
        <v>5427</v>
      </c>
      <c r="B1817" s="157">
        <v>45870</v>
      </c>
      <c r="C1817" s="158" t="s">
        <v>793</v>
      </c>
      <c r="D1817" s="159" t="str">
        <f>VLOOKUP(Sales[[#This Row],[Customer ID]],Customer[#All],2,0)</f>
        <v>Neha Verma</v>
      </c>
      <c r="E1817" s="158" t="s">
        <v>152</v>
      </c>
      <c r="F1817" s="158" t="str">
        <f>VLOOKUP(Sales[[#This Row],[Product ID]],Product[#All],2,0)</f>
        <v>Acer Laptop</v>
      </c>
      <c r="G1817" s="159">
        <v>7</v>
      </c>
      <c r="H1817" s="160">
        <f>VLOOKUP(Sales[[#This Row],[Product ID]],Product[#All],7,0)</f>
        <v>33410</v>
      </c>
      <c r="I1817" s="160">
        <f>Sales[[#This Row],[Selling Rate]]*Sales[[#This Row],[Qty]]</f>
        <v>233870</v>
      </c>
      <c r="J1817" s="43">
        <v>0.12</v>
      </c>
      <c r="K1817" s="44">
        <f>Sales[[#This Row],[Gross Amount]]*Sales[[#This Row],[Disc %]]</f>
        <v>28064.399999999998</v>
      </c>
      <c r="L1817" s="43">
        <v>0.18</v>
      </c>
      <c r="M1817" s="44">
        <f>(Sales[[#This Row],[Gross Amount]]-Sales[[#This Row],[Disc. Amt.]])*Sales[[#This Row],[GST %]]</f>
        <v>37045.008000000002</v>
      </c>
      <c r="N1817" s="161">
        <f>Sales[[#This Row],[Gross Amount]]-Sales[[#This Row],[Disc. Amt.]]+Sales[[#This Row],[GST Amount]]</f>
        <v>242850.60800000001</v>
      </c>
      <c r="O1817" s="158" t="s">
        <v>8876</v>
      </c>
      <c r="P1817" s="158" t="s">
        <v>3562</v>
      </c>
      <c r="Q1817" s="160">
        <f>IF(Sales[[#This Row],[Status]]="Cancelled",0,Sales[[#This Row],[Qty]])</f>
        <v>7</v>
      </c>
      <c r="R1817" s="161">
        <f>IF(Sales[[#This Row],[Status]]="Cancelled",0,Sales[[#This Row],[Total Amount]])</f>
        <v>242850.60800000001</v>
      </c>
      <c r="S1817" s="162">
        <f>SUM(Sales[Net Amount])</f>
        <v>406839287.73200053</v>
      </c>
    </row>
    <row r="1818" spans="1:19" ht="18.75" x14ac:dyDescent="0.25">
      <c r="A1818" s="163" t="s">
        <v>5428</v>
      </c>
      <c r="B1818" s="164">
        <v>45870</v>
      </c>
      <c r="C1818" s="34" t="s">
        <v>820</v>
      </c>
      <c r="D1818" s="53" t="str">
        <f>VLOOKUP(Sales[[#This Row],[Customer ID]],Customer[#All],2,0)</f>
        <v>Sahil Gupta</v>
      </c>
      <c r="E1818" s="34" t="s">
        <v>514</v>
      </c>
      <c r="F1818" s="34" t="str">
        <f>VLOOKUP(Sales[[#This Row],[Product ID]],Product[#All],2,0)</f>
        <v>Apc UPS</v>
      </c>
      <c r="G1818" s="53">
        <v>3</v>
      </c>
      <c r="H1818" s="165">
        <f>VLOOKUP(Sales[[#This Row],[Product ID]],Product[#All],7,0)</f>
        <v>4660</v>
      </c>
      <c r="I1818" s="165">
        <f>Sales[[#This Row],[Selling Rate]]*Sales[[#This Row],[Qty]]</f>
        <v>13980</v>
      </c>
      <c r="J1818" s="45">
        <v>0.1</v>
      </c>
      <c r="K1818" s="46">
        <f>Sales[[#This Row],[Gross Amount]]*Sales[[#This Row],[Disc %]]</f>
        <v>1398</v>
      </c>
      <c r="L1818" s="43">
        <v>0.18</v>
      </c>
      <c r="M1818" s="46">
        <f>(Sales[[#This Row],[Gross Amount]]-Sales[[#This Row],[Disc. Amt.]])*Sales[[#This Row],[GST %]]</f>
        <v>2264.7599999999998</v>
      </c>
      <c r="N1818" s="161">
        <f>Sales[[#This Row],[Gross Amount]]-Sales[[#This Row],[Disc. Amt.]]+Sales[[#This Row],[GST Amount]]</f>
        <v>14846.76</v>
      </c>
      <c r="O1818" s="34" t="s">
        <v>8876</v>
      </c>
      <c r="P1818" s="34" t="s">
        <v>3562</v>
      </c>
      <c r="Q1818" s="165">
        <f>IF(Sales[[#This Row],[Status]]="Cancelled",0,Sales[[#This Row],[Qty]])</f>
        <v>3</v>
      </c>
      <c r="R1818" s="166">
        <f>IF(Sales[[#This Row],[Status]]="Cancelled",0,Sales[[#This Row],[Total Amount]])</f>
        <v>14846.76</v>
      </c>
      <c r="S1818" s="162">
        <f>SUM(Sales[Net Amount])</f>
        <v>406839287.73200053</v>
      </c>
    </row>
    <row r="1819" spans="1:19" ht="18.75" x14ac:dyDescent="0.25">
      <c r="A1819" s="156" t="s">
        <v>5429</v>
      </c>
      <c r="B1819" s="157">
        <v>45870</v>
      </c>
      <c r="C1819" s="158" t="s">
        <v>858</v>
      </c>
      <c r="D1819" s="159" t="str">
        <f>VLOOKUP(Sales[[#This Row],[Customer ID]],Customer[#All],2,0)</f>
        <v>Neha Sharma</v>
      </c>
      <c r="E1819" s="158" t="s">
        <v>485</v>
      </c>
      <c r="F1819" s="158" t="str">
        <f>VLOOKUP(Sales[[#This Row],[Product ID]],Product[#All],2,0)</f>
        <v>Lenovo Laptop</v>
      </c>
      <c r="G1819" s="159">
        <v>8</v>
      </c>
      <c r="H1819" s="160">
        <f>VLOOKUP(Sales[[#This Row],[Product ID]],Product[#All],7,0)</f>
        <v>55360</v>
      </c>
      <c r="I1819" s="160">
        <f>Sales[[#This Row],[Selling Rate]]*Sales[[#This Row],[Qty]]</f>
        <v>442880</v>
      </c>
      <c r="J1819" s="43">
        <v>0.05</v>
      </c>
      <c r="K1819" s="44">
        <f>Sales[[#This Row],[Gross Amount]]*Sales[[#This Row],[Disc %]]</f>
        <v>22144</v>
      </c>
      <c r="L1819" s="43">
        <v>0.18</v>
      </c>
      <c r="M1819" s="44">
        <f>(Sales[[#This Row],[Gross Amount]]-Sales[[#This Row],[Disc. Amt.]])*Sales[[#This Row],[GST %]]</f>
        <v>75732.479999999996</v>
      </c>
      <c r="N1819" s="161">
        <f>Sales[[#This Row],[Gross Amount]]-Sales[[#This Row],[Disc. Amt.]]+Sales[[#This Row],[GST Amount]]</f>
        <v>496468.47999999998</v>
      </c>
      <c r="O1819" s="158" t="s">
        <v>3561</v>
      </c>
      <c r="P1819" s="158" t="s">
        <v>3562</v>
      </c>
      <c r="Q1819" s="160">
        <f>IF(Sales[[#This Row],[Status]]="Cancelled",0,Sales[[#This Row],[Qty]])</f>
        <v>8</v>
      </c>
      <c r="R1819" s="161">
        <f>IF(Sales[[#This Row],[Status]]="Cancelled",0,Sales[[#This Row],[Total Amount]])</f>
        <v>496468.47999999998</v>
      </c>
      <c r="S1819" s="162">
        <f>SUM(Sales[Net Amount])</f>
        <v>406839287.73200053</v>
      </c>
    </row>
    <row r="1820" spans="1:19" ht="18.75" x14ac:dyDescent="0.25">
      <c r="A1820" s="163" t="s">
        <v>5430</v>
      </c>
      <c r="B1820" s="164">
        <v>45870</v>
      </c>
      <c r="C1820" s="34" t="s">
        <v>912</v>
      </c>
      <c r="D1820" s="53" t="str">
        <f>VLOOKUP(Sales[[#This Row],[Customer ID]],Customer[#All],2,0)</f>
        <v>Sunita Verma</v>
      </c>
      <c r="E1820" s="34" t="s">
        <v>395</v>
      </c>
      <c r="F1820" s="34" t="str">
        <f>VLOOKUP(Sales[[#This Row],[Product ID]],Product[#All],2,0)</f>
        <v>American TouristerLaptopBag</v>
      </c>
      <c r="G1820" s="53">
        <v>1</v>
      </c>
      <c r="H1820" s="165">
        <f>VLOOKUP(Sales[[#This Row],[Product ID]],Product[#All],7,0)</f>
        <v>5010</v>
      </c>
      <c r="I1820" s="165">
        <f>Sales[[#This Row],[Selling Rate]]*Sales[[#This Row],[Qty]]</f>
        <v>5010</v>
      </c>
      <c r="J1820" s="45">
        <v>0.12</v>
      </c>
      <c r="K1820" s="46">
        <f>Sales[[#This Row],[Gross Amount]]*Sales[[#This Row],[Disc %]]</f>
        <v>601.19999999999993</v>
      </c>
      <c r="L1820" s="43">
        <v>0.18</v>
      </c>
      <c r="M1820" s="46">
        <f>(Sales[[#This Row],[Gross Amount]]-Sales[[#This Row],[Disc. Amt.]])*Sales[[#This Row],[GST %]]</f>
        <v>793.58400000000006</v>
      </c>
      <c r="N1820" s="161">
        <f>Sales[[#This Row],[Gross Amount]]-Sales[[#This Row],[Disc. Amt.]]+Sales[[#This Row],[GST Amount]]</f>
        <v>5202.384</v>
      </c>
      <c r="O1820" s="34" t="s">
        <v>3561</v>
      </c>
      <c r="P1820" s="34" t="s">
        <v>3562</v>
      </c>
      <c r="Q1820" s="165">
        <f>IF(Sales[[#This Row],[Status]]="Cancelled",0,Sales[[#This Row],[Qty]])</f>
        <v>1</v>
      </c>
      <c r="R1820" s="166">
        <f>IF(Sales[[#This Row],[Status]]="Cancelled",0,Sales[[#This Row],[Total Amount]])</f>
        <v>5202.384</v>
      </c>
      <c r="S1820" s="162">
        <f>SUM(Sales[Net Amount])</f>
        <v>406839287.73200053</v>
      </c>
    </row>
    <row r="1821" spans="1:19" ht="18.75" x14ac:dyDescent="0.25">
      <c r="A1821" s="156" t="s">
        <v>5431</v>
      </c>
      <c r="B1821" s="157">
        <v>45871</v>
      </c>
      <c r="C1821" s="158" t="s">
        <v>737</v>
      </c>
      <c r="D1821" s="159" t="str">
        <f>VLOOKUP(Sales[[#This Row],[Customer ID]],Customer[#All],2,0)</f>
        <v>Pooja Verma</v>
      </c>
      <c r="E1821" s="158" t="s">
        <v>511</v>
      </c>
      <c r="F1821" s="158" t="str">
        <f>VLOOKUP(Sales[[#This Row],[Product ID]],Product[#All],2,0)</f>
        <v>Amazon Basics Hdmi Cable</v>
      </c>
      <c r="G1821" s="159">
        <v>2</v>
      </c>
      <c r="H1821" s="160">
        <f>VLOOKUP(Sales[[#This Row],[Product ID]],Product[#All],7,0)</f>
        <v>1240</v>
      </c>
      <c r="I1821" s="160">
        <f>Sales[[#This Row],[Selling Rate]]*Sales[[#This Row],[Qty]]</f>
        <v>2480</v>
      </c>
      <c r="J1821" s="43">
        <v>0.02</v>
      </c>
      <c r="K1821" s="44">
        <f>Sales[[#This Row],[Gross Amount]]*Sales[[#This Row],[Disc %]]</f>
        <v>49.6</v>
      </c>
      <c r="L1821" s="43">
        <v>0.18</v>
      </c>
      <c r="M1821" s="44">
        <f>(Sales[[#This Row],[Gross Amount]]-Sales[[#This Row],[Disc. Amt.]])*Sales[[#This Row],[GST %]]</f>
        <v>437.47199999999998</v>
      </c>
      <c r="N1821" s="161">
        <f>Sales[[#This Row],[Gross Amount]]-Sales[[#This Row],[Disc. Amt.]]+Sales[[#This Row],[GST Amount]]</f>
        <v>2867.8720000000003</v>
      </c>
      <c r="O1821" s="158" t="s">
        <v>3566</v>
      </c>
      <c r="P1821" s="158" t="s">
        <v>3562</v>
      </c>
      <c r="Q1821" s="160">
        <f>IF(Sales[[#This Row],[Status]]="Cancelled",0,Sales[[#This Row],[Qty]])</f>
        <v>2</v>
      </c>
      <c r="R1821" s="161">
        <f>IF(Sales[[#This Row],[Status]]="Cancelled",0,Sales[[#This Row],[Total Amount]])</f>
        <v>2867.8720000000003</v>
      </c>
      <c r="S1821" s="162">
        <f>SUM(Sales[Net Amount])</f>
        <v>406839287.73200053</v>
      </c>
    </row>
    <row r="1822" spans="1:19" ht="18.75" x14ac:dyDescent="0.25">
      <c r="A1822" s="163" t="s">
        <v>5432</v>
      </c>
      <c r="B1822" s="164">
        <v>45871</v>
      </c>
      <c r="C1822" s="34" t="s">
        <v>726</v>
      </c>
      <c r="D1822" s="53" t="str">
        <f>VLOOKUP(Sales[[#This Row],[Customer ID]],Customer[#All],2,0)</f>
        <v>Priya Singh</v>
      </c>
      <c r="E1822" s="34" t="s">
        <v>326</v>
      </c>
      <c r="F1822" s="34" t="str">
        <f>VLOOKUP(Sales[[#This Row],[Product ID]],Product[#All],2,0)</f>
        <v>Samsung Ssd</v>
      </c>
      <c r="G1822" s="53">
        <v>6</v>
      </c>
      <c r="H1822" s="165">
        <f>VLOOKUP(Sales[[#This Row],[Product ID]],Product[#All],7,0)</f>
        <v>8670</v>
      </c>
      <c r="I1822" s="165">
        <f>Sales[[#This Row],[Selling Rate]]*Sales[[#This Row],[Qty]]</f>
        <v>52020</v>
      </c>
      <c r="J1822" s="45">
        <v>0.15</v>
      </c>
      <c r="K1822" s="46">
        <f>Sales[[#This Row],[Gross Amount]]*Sales[[#This Row],[Disc %]]</f>
        <v>7803</v>
      </c>
      <c r="L1822" s="43">
        <v>0.18</v>
      </c>
      <c r="M1822" s="46">
        <f>(Sales[[#This Row],[Gross Amount]]-Sales[[#This Row],[Disc. Amt.]])*Sales[[#This Row],[GST %]]</f>
        <v>7959.0599999999995</v>
      </c>
      <c r="N1822" s="161">
        <f>Sales[[#This Row],[Gross Amount]]-Sales[[#This Row],[Disc. Amt.]]+Sales[[#This Row],[GST Amount]]</f>
        <v>52176.06</v>
      </c>
      <c r="O1822" s="34" t="s">
        <v>3561</v>
      </c>
      <c r="P1822" s="34" t="s">
        <v>3562</v>
      </c>
      <c r="Q1822" s="165">
        <f>IF(Sales[[#This Row],[Status]]="Cancelled",0,Sales[[#This Row],[Qty]])</f>
        <v>6</v>
      </c>
      <c r="R1822" s="166">
        <f>IF(Sales[[#This Row],[Status]]="Cancelled",0,Sales[[#This Row],[Total Amount]])</f>
        <v>52176.06</v>
      </c>
      <c r="S1822" s="162">
        <f>SUM(Sales[Net Amount])</f>
        <v>406839287.73200053</v>
      </c>
    </row>
    <row r="1823" spans="1:19" ht="18.75" x14ac:dyDescent="0.25">
      <c r="A1823" s="156" t="s">
        <v>5433</v>
      </c>
      <c r="B1823" s="157">
        <v>45871</v>
      </c>
      <c r="C1823" s="158" t="s">
        <v>655</v>
      </c>
      <c r="D1823" s="159" t="str">
        <f>VLOOKUP(Sales[[#This Row],[Customer ID]],Customer[#All],2,0)</f>
        <v>Pooja Singh</v>
      </c>
      <c r="E1823" s="158" t="s">
        <v>423</v>
      </c>
      <c r="F1823" s="158" t="str">
        <f>VLOOKUP(Sales[[#This Row],[Product ID]],Product[#All],2,0)</f>
        <v>HP Laptop</v>
      </c>
      <c r="G1823" s="159">
        <v>6</v>
      </c>
      <c r="H1823" s="160">
        <f>VLOOKUP(Sales[[#This Row],[Product ID]],Product[#All],7,0)</f>
        <v>40880</v>
      </c>
      <c r="I1823" s="160">
        <f>Sales[[#This Row],[Selling Rate]]*Sales[[#This Row],[Qty]]</f>
        <v>245280</v>
      </c>
      <c r="J1823" s="43">
        <v>0.05</v>
      </c>
      <c r="K1823" s="44">
        <f>Sales[[#This Row],[Gross Amount]]*Sales[[#This Row],[Disc %]]</f>
        <v>12264</v>
      </c>
      <c r="L1823" s="43">
        <v>0.18</v>
      </c>
      <c r="M1823" s="44">
        <f>(Sales[[#This Row],[Gross Amount]]-Sales[[#This Row],[Disc. Amt.]])*Sales[[#This Row],[GST %]]</f>
        <v>41942.879999999997</v>
      </c>
      <c r="N1823" s="161">
        <f>Sales[[#This Row],[Gross Amount]]-Sales[[#This Row],[Disc. Amt.]]+Sales[[#This Row],[GST Amount]]</f>
        <v>274958.88</v>
      </c>
      <c r="O1823" s="158" t="s">
        <v>3569</v>
      </c>
      <c r="P1823" s="158" t="s">
        <v>3562</v>
      </c>
      <c r="Q1823" s="160">
        <f>IF(Sales[[#This Row],[Status]]="Cancelled",0,Sales[[#This Row],[Qty]])</f>
        <v>6</v>
      </c>
      <c r="R1823" s="161">
        <f>IF(Sales[[#This Row],[Status]]="Cancelled",0,Sales[[#This Row],[Total Amount]])</f>
        <v>274958.88</v>
      </c>
      <c r="S1823" s="162">
        <f>SUM(Sales[Net Amount])</f>
        <v>406839287.73200053</v>
      </c>
    </row>
    <row r="1824" spans="1:19" ht="18.75" x14ac:dyDescent="0.25">
      <c r="A1824" s="163" t="s">
        <v>5434</v>
      </c>
      <c r="B1824" s="164">
        <v>45871</v>
      </c>
      <c r="C1824" s="34" t="s">
        <v>837</v>
      </c>
      <c r="D1824" s="53" t="str">
        <f>VLOOKUP(Sales[[#This Row],[Customer ID]],Customer[#All],2,0)</f>
        <v>Sahil Patel</v>
      </c>
      <c r="E1824" s="34" t="s">
        <v>28</v>
      </c>
      <c r="F1824" s="34" t="str">
        <f>VLOOKUP(Sales[[#This Row],[Product ID]],Product[#All],2,0)</f>
        <v>Lenovo Laptop</v>
      </c>
      <c r="G1824" s="53">
        <v>5</v>
      </c>
      <c r="H1824" s="165">
        <f>VLOOKUP(Sales[[#This Row],[Product ID]],Product[#All],7,0)</f>
        <v>86330</v>
      </c>
      <c r="I1824" s="165">
        <f>Sales[[#This Row],[Selling Rate]]*Sales[[#This Row],[Qty]]</f>
        <v>431650</v>
      </c>
      <c r="J1824" s="45">
        <v>0.12</v>
      </c>
      <c r="K1824" s="46">
        <f>Sales[[#This Row],[Gross Amount]]*Sales[[#This Row],[Disc %]]</f>
        <v>51798</v>
      </c>
      <c r="L1824" s="43">
        <v>0.18</v>
      </c>
      <c r="M1824" s="46">
        <f>(Sales[[#This Row],[Gross Amount]]-Sales[[#This Row],[Disc. Amt.]])*Sales[[#This Row],[GST %]]</f>
        <v>68373.36</v>
      </c>
      <c r="N1824" s="161">
        <f>Sales[[#This Row],[Gross Amount]]-Sales[[#This Row],[Disc. Amt.]]+Sales[[#This Row],[GST Amount]]</f>
        <v>448225.36</v>
      </c>
      <c r="O1824" s="34" t="s">
        <v>3561</v>
      </c>
      <c r="P1824" s="34" t="s">
        <v>3562</v>
      </c>
      <c r="Q1824" s="165">
        <f>IF(Sales[[#This Row],[Status]]="Cancelled",0,Sales[[#This Row],[Qty]])</f>
        <v>5</v>
      </c>
      <c r="R1824" s="166">
        <f>IF(Sales[[#This Row],[Status]]="Cancelled",0,Sales[[#This Row],[Total Amount]])</f>
        <v>448225.36</v>
      </c>
      <c r="S1824" s="162">
        <f>SUM(Sales[Net Amount])</f>
        <v>406839287.73200053</v>
      </c>
    </row>
    <row r="1825" spans="1:19" ht="18.75" x14ac:dyDescent="0.25">
      <c r="A1825" s="156" t="s">
        <v>5435</v>
      </c>
      <c r="B1825" s="157">
        <v>45871</v>
      </c>
      <c r="C1825" s="158" t="s">
        <v>677</v>
      </c>
      <c r="D1825" s="159" t="str">
        <f>VLOOKUP(Sales[[#This Row],[Customer ID]],Customer[#All],2,0)</f>
        <v>Sahil Verma</v>
      </c>
      <c r="E1825" s="158" t="s">
        <v>516</v>
      </c>
      <c r="F1825" s="158" t="str">
        <f>VLOOKUP(Sales[[#This Row],[Product ID]],Product[#All],2,0)</f>
        <v>Boat Headset</v>
      </c>
      <c r="G1825" s="159">
        <v>1</v>
      </c>
      <c r="H1825" s="160">
        <f>VLOOKUP(Sales[[#This Row],[Product ID]],Product[#All],7,0)</f>
        <v>2690</v>
      </c>
      <c r="I1825" s="160">
        <f>Sales[[#This Row],[Selling Rate]]*Sales[[#This Row],[Qty]]</f>
        <v>2690</v>
      </c>
      <c r="J1825" s="43">
        <v>0.15</v>
      </c>
      <c r="K1825" s="44">
        <f>Sales[[#This Row],[Gross Amount]]*Sales[[#This Row],[Disc %]]</f>
        <v>403.5</v>
      </c>
      <c r="L1825" s="43">
        <v>0.18</v>
      </c>
      <c r="M1825" s="44">
        <f>(Sales[[#This Row],[Gross Amount]]-Sales[[#This Row],[Disc. Amt.]])*Sales[[#This Row],[GST %]]</f>
        <v>411.57</v>
      </c>
      <c r="N1825" s="161">
        <f>Sales[[#This Row],[Gross Amount]]-Sales[[#This Row],[Disc. Amt.]]+Sales[[#This Row],[GST Amount]]</f>
        <v>2698.07</v>
      </c>
      <c r="O1825" s="158" t="s">
        <v>3561</v>
      </c>
      <c r="P1825" s="158" t="s">
        <v>3562</v>
      </c>
      <c r="Q1825" s="160">
        <f>IF(Sales[[#This Row],[Status]]="Cancelled",0,Sales[[#This Row],[Qty]])</f>
        <v>1</v>
      </c>
      <c r="R1825" s="161">
        <f>IF(Sales[[#This Row],[Status]]="Cancelled",0,Sales[[#This Row],[Total Amount]])</f>
        <v>2698.07</v>
      </c>
      <c r="S1825" s="162">
        <f>SUM(Sales[Net Amount])</f>
        <v>406839287.73200053</v>
      </c>
    </row>
    <row r="1826" spans="1:19" ht="18.75" x14ac:dyDescent="0.25">
      <c r="A1826" s="163" t="s">
        <v>5436</v>
      </c>
      <c r="B1826" s="164">
        <v>45871</v>
      </c>
      <c r="C1826" s="34" t="s">
        <v>828</v>
      </c>
      <c r="D1826" s="53" t="str">
        <f>VLOOKUP(Sales[[#This Row],[Customer ID]],Customer[#All],2,0)</f>
        <v>Ankit Verma</v>
      </c>
      <c r="E1826" s="34" t="s">
        <v>127</v>
      </c>
      <c r="F1826" s="34" t="str">
        <f>VLOOKUP(Sales[[#This Row],[Product ID]],Product[#All],2,0)</f>
        <v>Samsung Ssd</v>
      </c>
      <c r="G1826" s="53">
        <v>1</v>
      </c>
      <c r="H1826" s="165">
        <f>VLOOKUP(Sales[[#This Row],[Product ID]],Product[#All],7,0)</f>
        <v>4570</v>
      </c>
      <c r="I1826" s="165">
        <f>Sales[[#This Row],[Selling Rate]]*Sales[[#This Row],[Qty]]</f>
        <v>4570</v>
      </c>
      <c r="J1826" s="45">
        <v>0</v>
      </c>
      <c r="K1826" s="46">
        <f>Sales[[#This Row],[Gross Amount]]*Sales[[#This Row],[Disc %]]</f>
        <v>0</v>
      </c>
      <c r="L1826" s="43">
        <v>0.18</v>
      </c>
      <c r="M1826" s="46">
        <f>(Sales[[#This Row],[Gross Amount]]-Sales[[#This Row],[Disc. Amt.]])*Sales[[#This Row],[GST %]]</f>
        <v>822.6</v>
      </c>
      <c r="N1826" s="161">
        <f>Sales[[#This Row],[Gross Amount]]-Sales[[#This Row],[Disc. Amt.]]+Sales[[#This Row],[GST Amount]]</f>
        <v>5392.6</v>
      </c>
      <c r="O1826" s="34" t="s">
        <v>3566</v>
      </c>
      <c r="P1826" s="34" t="s">
        <v>1040</v>
      </c>
      <c r="Q1826" s="165">
        <f>IF(Sales[[#This Row],[Status]]="Cancelled",0,Sales[[#This Row],[Qty]])</f>
        <v>0</v>
      </c>
      <c r="R1826" s="166">
        <f>IF(Sales[[#This Row],[Status]]="Cancelled",0,Sales[[#This Row],[Total Amount]])</f>
        <v>0</v>
      </c>
      <c r="S1826" s="162">
        <f>SUM(Sales[Net Amount])</f>
        <v>406839287.73200053</v>
      </c>
    </row>
    <row r="1827" spans="1:19" ht="18.75" x14ac:dyDescent="0.25">
      <c r="A1827" s="156" t="s">
        <v>5437</v>
      </c>
      <c r="B1827" s="157">
        <v>45871</v>
      </c>
      <c r="C1827" s="158" t="s">
        <v>656</v>
      </c>
      <c r="D1827" s="159" t="str">
        <f>VLOOKUP(Sales[[#This Row],[Customer ID]],Customer[#All],2,0)</f>
        <v>Rahul Kumar</v>
      </c>
      <c r="E1827" s="158" t="s">
        <v>121</v>
      </c>
      <c r="F1827" s="158" t="str">
        <f>VLOOKUP(Sales[[#This Row],[Product ID]],Product[#All],2,0)</f>
        <v>Logitech Mouse</v>
      </c>
      <c r="G1827" s="159">
        <v>8</v>
      </c>
      <c r="H1827" s="160">
        <f>VLOOKUP(Sales[[#This Row],[Product ID]],Product[#All],7,0)</f>
        <v>2310</v>
      </c>
      <c r="I1827" s="160">
        <f>Sales[[#This Row],[Selling Rate]]*Sales[[#This Row],[Qty]]</f>
        <v>18480</v>
      </c>
      <c r="J1827" s="43">
        <v>0.15</v>
      </c>
      <c r="K1827" s="44">
        <f>Sales[[#This Row],[Gross Amount]]*Sales[[#This Row],[Disc %]]</f>
        <v>2772</v>
      </c>
      <c r="L1827" s="43">
        <v>0.18</v>
      </c>
      <c r="M1827" s="44">
        <f>(Sales[[#This Row],[Gross Amount]]-Sales[[#This Row],[Disc. Amt.]])*Sales[[#This Row],[GST %]]</f>
        <v>2827.44</v>
      </c>
      <c r="N1827" s="161">
        <f>Sales[[#This Row],[Gross Amount]]-Sales[[#This Row],[Disc. Amt.]]+Sales[[#This Row],[GST Amount]]</f>
        <v>18535.439999999999</v>
      </c>
      <c r="O1827" s="158" t="s">
        <v>3561</v>
      </c>
      <c r="P1827" s="158" t="s">
        <v>3562</v>
      </c>
      <c r="Q1827" s="160">
        <f>IF(Sales[[#This Row],[Status]]="Cancelled",0,Sales[[#This Row],[Qty]])</f>
        <v>8</v>
      </c>
      <c r="R1827" s="161">
        <f>IF(Sales[[#This Row],[Status]]="Cancelled",0,Sales[[#This Row],[Total Amount]])</f>
        <v>18535.439999999999</v>
      </c>
      <c r="S1827" s="162">
        <f>SUM(Sales[Net Amount])</f>
        <v>406839287.73200053</v>
      </c>
    </row>
    <row r="1828" spans="1:19" ht="18.75" x14ac:dyDescent="0.25">
      <c r="A1828" s="163" t="s">
        <v>5438</v>
      </c>
      <c r="B1828" s="164">
        <v>45871</v>
      </c>
      <c r="C1828" s="34" t="s">
        <v>949</v>
      </c>
      <c r="D1828" s="53" t="str">
        <f>VLOOKUP(Sales[[#This Row],[Customer ID]],Customer[#All],2,0)</f>
        <v>Amit Patel</v>
      </c>
      <c r="E1828" s="34" t="s">
        <v>465</v>
      </c>
      <c r="F1828" s="34" t="str">
        <f>VLOOKUP(Sales[[#This Row],[Product ID]],Product[#All],2,0)</f>
        <v>Logitech Keyboard</v>
      </c>
      <c r="G1828" s="53">
        <v>4</v>
      </c>
      <c r="H1828" s="165">
        <f>VLOOKUP(Sales[[#This Row],[Product ID]],Product[#All],7,0)</f>
        <v>2230</v>
      </c>
      <c r="I1828" s="165">
        <f>Sales[[#This Row],[Selling Rate]]*Sales[[#This Row],[Qty]]</f>
        <v>8920</v>
      </c>
      <c r="J1828" s="45">
        <v>0.05</v>
      </c>
      <c r="K1828" s="46">
        <f>Sales[[#This Row],[Gross Amount]]*Sales[[#This Row],[Disc %]]</f>
        <v>446</v>
      </c>
      <c r="L1828" s="43">
        <v>0.18</v>
      </c>
      <c r="M1828" s="46">
        <f>(Sales[[#This Row],[Gross Amount]]-Sales[[#This Row],[Disc. Amt.]])*Sales[[#This Row],[GST %]]</f>
        <v>1525.32</v>
      </c>
      <c r="N1828" s="161">
        <f>Sales[[#This Row],[Gross Amount]]-Sales[[#This Row],[Disc. Amt.]]+Sales[[#This Row],[GST Amount]]</f>
        <v>9999.32</v>
      </c>
      <c r="O1828" s="34" t="s">
        <v>3561</v>
      </c>
      <c r="P1828" s="34" t="s">
        <v>3562</v>
      </c>
      <c r="Q1828" s="165">
        <f>IF(Sales[[#This Row],[Status]]="Cancelled",0,Sales[[#This Row],[Qty]])</f>
        <v>4</v>
      </c>
      <c r="R1828" s="166">
        <f>IF(Sales[[#This Row],[Status]]="Cancelled",0,Sales[[#This Row],[Total Amount]])</f>
        <v>9999.32</v>
      </c>
      <c r="S1828" s="162">
        <f>SUM(Sales[Net Amount])</f>
        <v>406839287.73200053</v>
      </c>
    </row>
    <row r="1829" spans="1:19" ht="18.75" x14ac:dyDescent="0.25">
      <c r="A1829" s="156" t="s">
        <v>5439</v>
      </c>
      <c r="B1829" s="157">
        <v>45871</v>
      </c>
      <c r="C1829" s="158" t="s">
        <v>707</v>
      </c>
      <c r="D1829" s="159" t="str">
        <f>VLOOKUP(Sales[[#This Row],[Customer ID]],Customer[#All],2,0)</f>
        <v>Rahul Verma</v>
      </c>
      <c r="E1829" s="158" t="s">
        <v>311</v>
      </c>
      <c r="F1829" s="158" t="str">
        <f>VLOOKUP(Sales[[#This Row],[Product ID]],Product[#All],2,0)</f>
        <v>Logitech Keyboard</v>
      </c>
      <c r="G1829" s="159">
        <v>7</v>
      </c>
      <c r="H1829" s="160">
        <f>VLOOKUP(Sales[[#This Row],[Product ID]],Product[#All],7,0)</f>
        <v>530</v>
      </c>
      <c r="I1829" s="160">
        <f>Sales[[#This Row],[Selling Rate]]*Sales[[#This Row],[Qty]]</f>
        <v>3710</v>
      </c>
      <c r="J1829" s="43">
        <v>0.02</v>
      </c>
      <c r="K1829" s="44">
        <f>Sales[[#This Row],[Gross Amount]]*Sales[[#This Row],[Disc %]]</f>
        <v>74.2</v>
      </c>
      <c r="L1829" s="43">
        <v>0.18</v>
      </c>
      <c r="M1829" s="44">
        <f>(Sales[[#This Row],[Gross Amount]]-Sales[[#This Row],[Disc. Amt.]])*Sales[[#This Row],[GST %]]</f>
        <v>654.44399999999996</v>
      </c>
      <c r="N1829" s="161">
        <f>Sales[[#This Row],[Gross Amount]]-Sales[[#This Row],[Disc. Amt.]]+Sales[[#This Row],[GST Amount]]</f>
        <v>4290.2440000000006</v>
      </c>
      <c r="O1829" s="158" t="s">
        <v>8876</v>
      </c>
      <c r="P1829" s="158" t="s">
        <v>3562</v>
      </c>
      <c r="Q1829" s="160">
        <f>IF(Sales[[#This Row],[Status]]="Cancelled",0,Sales[[#This Row],[Qty]])</f>
        <v>7</v>
      </c>
      <c r="R1829" s="161">
        <f>IF(Sales[[#This Row],[Status]]="Cancelled",0,Sales[[#This Row],[Total Amount]])</f>
        <v>4290.2440000000006</v>
      </c>
      <c r="S1829" s="162">
        <f>SUM(Sales[Net Amount])</f>
        <v>406839287.73200053</v>
      </c>
    </row>
    <row r="1830" spans="1:19" ht="18.75" x14ac:dyDescent="0.25">
      <c r="A1830" s="163" t="s">
        <v>5440</v>
      </c>
      <c r="B1830" s="164">
        <v>45871</v>
      </c>
      <c r="C1830" s="34" t="s">
        <v>814</v>
      </c>
      <c r="D1830" s="53" t="str">
        <f>VLOOKUP(Sales[[#This Row],[Customer ID]],Customer[#All],2,0)</f>
        <v>Amit Kumar</v>
      </c>
      <c r="E1830" s="34" t="s">
        <v>299</v>
      </c>
      <c r="F1830" s="34" t="str">
        <f>VLOOKUP(Sales[[#This Row],[Product ID]],Product[#All],2,0)</f>
        <v>HP Printer</v>
      </c>
      <c r="G1830" s="53">
        <v>4</v>
      </c>
      <c r="H1830" s="165">
        <f>VLOOKUP(Sales[[#This Row],[Product ID]],Product[#All],7,0)</f>
        <v>15800</v>
      </c>
      <c r="I1830" s="165">
        <f>Sales[[#This Row],[Selling Rate]]*Sales[[#This Row],[Qty]]</f>
        <v>63200</v>
      </c>
      <c r="J1830" s="45">
        <v>0.1</v>
      </c>
      <c r="K1830" s="46">
        <f>Sales[[#This Row],[Gross Amount]]*Sales[[#This Row],[Disc %]]</f>
        <v>6320</v>
      </c>
      <c r="L1830" s="43">
        <v>0.18</v>
      </c>
      <c r="M1830" s="46">
        <f>(Sales[[#This Row],[Gross Amount]]-Sales[[#This Row],[Disc. Amt.]])*Sales[[#This Row],[GST %]]</f>
        <v>10238.4</v>
      </c>
      <c r="N1830" s="161">
        <f>Sales[[#This Row],[Gross Amount]]-Sales[[#This Row],[Disc. Amt.]]+Sales[[#This Row],[GST Amount]]</f>
        <v>67118.399999999994</v>
      </c>
      <c r="O1830" s="34" t="s">
        <v>8876</v>
      </c>
      <c r="P1830" s="34" t="s">
        <v>3562</v>
      </c>
      <c r="Q1830" s="165">
        <f>IF(Sales[[#This Row],[Status]]="Cancelled",0,Sales[[#This Row],[Qty]])</f>
        <v>4</v>
      </c>
      <c r="R1830" s="166">
        <f>IF(Sales[[#This Row],[Status]]="Cancelled",0,Sales[[#This Row],[Total Amount]])</f>
        <v>67118.399999999994</v>
      </c>
      <c r="S1830" s="162">
        <f>SUM(Sales[Net Amount])</f>
        <v>406839287.73200053</v>
      </c>
    </row>
    <row r="1831" spans="1:19" ht="18.75" x14ac:dyDescent="0.25">
      <c r="A1831" s="156" t="s">
        <v>5441</v>
      </c>
      <c r="B1831" s="157">
        <v>45871</v>
      </c>
      <c r="C1831" s="158" t="s">
        <v>798</v>
      </c>
      <c r="D1831" s="159" t="str">
        <f>VLOOKUP(Sales[[#This Row],[Customer ID]],Customer[#All],2,0)</f>
        <v>Amit Singh</v>
      </c>
      <c r="E1831" s="158" t="s">
        <v>188</v>
      </c>
      <c r="F1831" s="158" t="str">
        <f>VLOOKUP(Sales[[#This Row],[Product ID]],Product[#All],2,0)</f>
        <v>Crucial Ssd</v>
      </c>
      <c r="G1831" s="159">
        <v>3</v>
      </c>
      <c r="H1831" s="160">
        <f>VLOOKUP(Sales[[#This Row],[Product ID]],Product[#All],7,0)</f>
        <v>14390</v>
      </c>
      <c r="I1831" s="160">
        <f>Sales[[#This Row],[Selling Rate]]*Sales[[#This Row],[Qty]]</f>
        <v>43170</v>
      </c>
      <c r="J1831" s="43">
        <v>0</v>
      </c>
      <c r="K1831" s="44">
        <f>Sales[[#This Row],[Gross Amount]]*Sales[[#This Row],[Disc %]]</f>
        <v>0</v>
      </c>
      <c r="L1831" s="43">
        <v>0.18</v>
      </c>
      <c r="M1831" s="44">
        <f>(Sales[[#This Row],[Gross Amount]]-Sales[[#This Row],[Disc. Amt.]])*Sales[[#This Row],[GST %]]</f>
        <v>7770.5999999999995</v>
      </c>
      <c r="N1831" s="161">
        <f>Sales[[#This Row],[Gross Amount]]-Sales[[#This Row],[Disc. Amt.]]+Sales[[#This Row],[GST Amount]]</f>
        <v>50940.6</v>
      </c>
      <c r="O1831" s="158" t="s">
        <v>3569</v>
      </c>
      <c r="P1831" s="158" t="s">
        <v>3562</v>
      </c>
      <c r="Q1831" s="160">
        <f>IF(Sales[[#This Row],[Status]]="Cancelled",0,Sales[[#This Row],[Qty]])</f>
        <v>3</v>
      </c>
      <c r="R1831" s="161">
        <f>IF(Sales[[#This Row],[Status]]="Cancelled",0,Sales[[#This Row],[Total Amount]])</f>
        <v>50940.6</v>
      </c>
      <c r="S1831" s="162">
        <f>SUM(Sales[Net Amount])</f>
        <v>406839287.73200053</v>
      </c>
    </row>
    <row r="1832" spans="1:19" ht="18.75" x14ac:dyDescent="0.25">
      <c r="A1832" s="163" t="s">
        <v>5442</v>
      </c>
      <c r="B1832" s="164">
        <v>45871</v>
      </c>
      <c r="C1832" s="34" t="s">
        <v>929</v>
      </c>
      <c r="D1832" s="53" t="str">
        <f>VLOOKUP(Sales[[#This Row],[Customer ID]],Customer[#All],2,0)</f>
        <v>Sunita Gupta</v>
      </c>
      <c r="E1832" s="34" t="s">
        <v>485</v>
      </c>
      <c r="F1832" s="34" t="str">
        <f>VLOOKUP(Sales[[#This Row],[Product ID]],Product[#All],2,0)</f>
        <v>Lenovo Laptop</v>
      </c>
      <c r="G1832" s="53">
        <v>2</v>
      </c>
      <c r="H1832" s="165">
        <f>VLOOKUP(Sales[[#This Row],[Product ID]],Product[#All],7,0)</f>
        <v>55360</v>
      </c>
      <c r="I1832" s="165">
        <f>Sales[[#This Row],[Selling Rate]]*Sales[[#This Row],[Qty]]</f>
        <v>110720</v>
      </c>
      <c r="J1832" s="45">
        <v>0.1</v>
      </c>
      <c r="K1832" s="46">
        <f>Sales[[#This Row],[Gross Amount]]*Sales[[#This Row],[Disc %]]</f>
        <v>11072</v>
      </c>
      <c r="L1832" s="43">
        <v>0.18</v>
      </c>
      <c r="M1832" s="46">
        <f>(Sales[[#This Row],[Gross Amount]]-Sales[[#This Row],[Disc. Amt.]])*Sales[[#This Row],[GST %]]</f>
        <v>17936.64</v>
      </c>
      <c r="N1832" s="161">
        <f>Sales[[#This Row],[Gross Amount]]-Sales[[#This Row],[Disc. Amt.]]+Sales[[#This Row],[GST Amount]]</f>
        <v>117584.64</v>
      </c>
      <c r="O1832" s="34" t="s">
        <v>3566</v>
      </c>
      <c r="P1832" s="34" t="s">
        <v>3562</v>
      </c>
      <c r="Q1832" s="165">
        <f>IF(Sales[[#This Row],[Status]]="Cancelled",0,Sales[[#This Row],[Qty]])</f>
        <v>2</v>
      </c>
      <c r="R1832" s="166">
        <f>IF(Sales[[#This Row],[Status]]="Cancelled",0,Sales[[#This Row],[Total Amount]])</f>
        <v>117584.64</v>
      </c>
      <c r="S1832" s="162">
        <f>SUM(Sales[Net Amount])</f>
        <v>406839287.73200053</v>
      </c>
    </row>
    <row r="1833" spans="1:19" ht="18.75" x14ac:dyDescent="0.25">
      <c r="A1833" s="156" t="s">
        <v>5443</v>
      </c>
      <c r="B1833" s="157">
        <v>45871</v>
      </c>
      <c r="C1833" s="158" t="s">
        <v>682</v>
      </c>
      <c r="D1833" s="159" t="str">
        <f>VLOOKUP(Sales[[#This Row],[Customer ID]],Customer[#All],2,0)</f>
        <v>Rahul Sharma</v>
      </c>
      <c r="E1833" s="158" t="s">
        <v>396</v>
      </c>
      <c r="F1833" s="158" t="str">
        <f>VLOOKUP(Sales[[#This Row],[Product ID]],Product[#All],2,0)</f>
        <v>HP Laptop</v>
      </c>
      <c r="G1833" s="159">
        <v>2</v>
      </c>
      <c r="H1833" s="160">
        <f>VLOOKUP(Sales[[#This Row],[Product ID]],Product[#All],7,0)</f>
        <v>77100</v>
      </c>
      <c r="I1833" s="160">
        <f>Sales[[#This Row],[Selling Rate]]*Sales[[#This Row],[Qty]]</f>
        <v>154200</v>
      </c>
      <c r="J1833" s="43">
        <v>0.02</v>
      </c>
      <c r="K1833" s="44">
        <f>Sales[[#This Row],[Gross Amount]]*Sales[[#This Row],[Disc %]]</f>
        <v>3084</v>
      </c>
      <c r="L1833" s="43">
        <v>0.18</v>
      </c>
      <c r="M1833" s="44">
        <f>(Sales[[#This Row],[Gross Amount]]-Sales[[#This Row],[Disc. Amt.]])*Sales[[#This Row],[GST %]]</f>
        <v>27200.879999999997</v>
      </c>
      <c r="N1833" s="161">
        <f>Sales[[#This Row],[Gross Amount]]-Sales[[#This Row],[Disc. Amt.]]+Sales[[#This Row],[GST Amount]]</f>
        <v>178316.88</v>
      </c>
      <c r="O1833" s="158" t="s">
        <v>8876</v>
      </c>
      <c r="P1833" s="158" t="s">
        <v>3562</v>
      </c>
      <c r="Q1833" s="160">
        <f>IF(Sales[[#This Row],[Status]]="Cancelled",0,Sales[[#This Row],[Qty]])</f>
        <v>2</v>
      </c>
      <c r="R1833" s="161">
        <f>IF(Sales[[#This Row],[Status]]="Cancelled",0,Sales[[#This Row],[Total Amount]])</f>
        <v>178316.88</v>
      </c>
      <c r="S1833" s="162">
        <f>SUM(Sales[Net Amount])</f>
        <v>406839287.73200053</v>
      </c>
    </row>
    <row r="1834" spans="1:19" ht="18.75" x14ac:dyDescent="0.25">
      <c r="A1834" s="163" t="s">
        <v>5444</v>
      </c>
      <c r="B1834" s="164">
        <v>45871</v>
      </c>
      <c r="C1834" s="34" t="s">
        <v>656</v>
      </c>
      <c r="D1834" s="53" t="str">
        <f>VLOOKUP(Sales[[#This Row],[Customer ID]],Customer[#All],2,0)</f>
        <v>Rahul Kumar</v>
      </c>
      <c r="E1834" s="34" t="s">
        <v>98</v>
      </c>
      <c r="F1834" s="34" t="str">
        <f>VLOOKUP(Sales[[#This Row],[Product ID]],Product[#All],2,0)</f>
        <v>TP-link Bluetooth Adapter</v>
      </c>
      <c r="G1834" s="53">
        <v>8</v>
      </c>
      <c r="H1834" s="165">
        <f>VLOOKUP(Sales[[#This Row],[Product ID]],Product[#All],7,0)</f>
        <v>1420</v>
      </c>
      <c r="I1834" s="165">
        <f>Sales[[#This Row],[Selling Rate]]*Sales[[#This Row],[Qty]]</f>
        <v>11360</v>
      </c>
      <c r="J1834" s="45">
        <v>0.05</v>
      </c>
      <c r="K1834" s="46">
        <f>Sales[[#This Row],[Gross Amount]]*Sales[[#This Row],[Disc %]]</f>
        <v>568</v>
      </c>
      <c r="L1834" s="43">
        <v>0.18</v>
      </c>
      <c r="M1834" s="46">
        <f>(Sales[[#This Row],[Gross Amount]]-Sales[[#This Row],[Disc. Amt.]])*Sales[[#This Row],[GST %]]</f>
        <v>1942.56</v>
      </c>
      <c r="N1834" s="161">
        <f>Sales[[#This Row],[Gross Amount]]-Sales[[#This Row],[Disc. Amt.]]+Sales[[#This Row],[GST Amount]]</f>
        <v>12734.56</v>
      </c>
      <c r="O1834" s="34" t="s">
        <v>3561</v>
      </c>
      <c r="P1834" s="34" t="s">
        <v>3562</v>
      </c>
      <c r="Q1834" s="165">
        <f>IF(Sales[[#This Row],[Status]]="Cancelled",0,Sales[[#This Row],[Qty]])</f>
        <v>8</v>
      </c>
      <c r="R1834" s="166">
        <f>IF(Sales[[#This Row],[Status]]="Cancelled",0,Sales[[#This Row],[Total Amount]])</f>
        <v>12734.56</v>
      </c>
      <c r="S1834" s="162">
        <f>SUM(Sales[Net Amount])</f>
        <v>406839287.73200053</v>
      </c>
    </row>
    <row r="1835" spans="1:19" ht="18.75" x14ac:dyDescent="0.25">
      <c r="A1835" s="156" t="s">
        <v>5445</v>
      </c>
      <c r="B1835" s="157">
        <v>45871</v>
      </c>
      <c r="C1835" s="158" t="s">
        <v>700</v>
      </c>
      <c r="D1835" s="159" t="str">
        <f>VLOOKUP(Sales[[#This Row],[Customer ID]],Customer[#All],2,0)</f>
        <v>Ankit Gupta</v>
      </c>
      <c r="E1835" s="158" t="s">
        <v>405</v>
      </c>
      <c r="F1835" s="158" t="str">
        <f>VLOOKUP(Sales[[#This Row],[Product ID]],Product[#All],2,0)</f>
        <v>TP-link Bluetooth Adapter</v>
      </c>
      <c r="G1835" s="159">
        <v>5</v>
      </c>
      <c r="H1835" s="160">
        <f>VLOOKUP(Sales[[#This Row],[Product ID]],Product[#All],7,0)</f>
        <v>1470</v>
      </c>
      <c r="I1835" s="160">
        <f>Sales[[#This Row],[Selling Rate]]*Sales[[#This Row],[Qty]]</f>
        <v>7350</v>
      </c>
      <c r="J1835" s="43">
        <v>0.05</v>
      </c>
      <c r="K1835" s="44">
        <f>Sales[[#This Row],[Gross Amount]]*Sales[[#This Row],[Disc %]]</f>
        <v>367.5</v>
      </c>
      <c r="L1835" s="43">
        <v>0.18</v>
      </c>
      <c r="M1835" s="44">
        <f>(Sales[[#This Row],[Gross Amount]]-Sales[[#This Row],[Disc. Amt.]])*Sales[[#This Row],[GST %]]</f>
        <v>1256.8499999999999</v>
      </c>
      <c r="N1835" s="161">
        <f>Sales[[#This Row],[Gross Amount]]-Sales[[#This Row],[Disc. Amt.]]+Sales[[#This Row],[GST Amount]]</f>
        <v>8239.35</v>
      </c>
      <c r="O1835" s="158" t="s">
        <v>8876</v>
      </c>
      <c r="P1835" s="158" t="s">
        <v>3562</v>
      </c>
      <c r="Q1835" s="160">
        <f>IF(Sales[[#This Row],[Status]]="Cancelled",0,Sales[[#This Row],[Qty]])</f>
        <v>5</v>
      </c>
      <c r="R1835" s="161">
        <f>IF(Sales[[#This Row],[Status]]="Cancelled",0,Sales[[#This Row],[Total Amount]])</f>
        <v>8239.35</v>
      </c>
      <c r="S1835" s="162">
        <f>SUM(Sales[Net Amount])</f>
        <v>406839287.73200053</v>
      </c>
    </row>
    <row r="1836" spans="1:19" ht="18.75" x14ac:dyDescent="0.25">
      <c r="A1836" s="163" t="s">
        <v>5446</v>
      </c>
      <c r="B1836" s="164">
        <v>45871</v>
      </c>
      <c r="C1836" s="34" t="s">
        <v>720</v>
      </c>
      <c r="D1836" s="53" t="str">
        <f>VLOOKUP(Sales[[#This Row],[Customer ID]],Customer[#All],2,0)</f>
        <v>Rakesh Singh</v>
      </c>
      <c r="E1836" s="34" t="s">
        <v>162</v>
      </c>
      <c r="F1836" s="34" t="str">
        <f>VLOOKUP(Sales[[#This Row],[Product ID]],Product[#All],2,0)</f>
        <v>Amazon Basics Hdmi Cable</v>
      </c>
      <c r="G1836" s="53">
        <v>1</v>
      </c>
      <c r="H1836" s="165">
        <f>VLOOKUP(Sales[[#This Row],[Product ID]],Product[#All],7,0)</f>
        <v>820</v>
      </c>
      <c r="I1836" s="165">
        <f>Sales[[#This Row],[Selling Rate]]*Sales[[#This Row],[Qty]]</f>
        <v>820</v>
      </c>
      <c r="J1836" s="45">
        <v>0.12</v>
      </c>
      <c r="K1836" s="46">
        <f>Sales[[#This Row],[Gross Amount]]*Sales[[#This Row],[Disc %]]</f>
        <v>98.399999999999991</v>
      </c>
      <c r="L1836" s="43">
        <v>0.18</v>
      </c>
      <c r="M1836" s="46">
        <f>(Sales[[#This Row],[Gross Amount]]-Sales[[#This Row],[Disc. Amt.]])*Sales[[#This Row],[GST %]]</f>
        <v>129.88800000000001</v>
      </c>
      <c r="N1836" s="161">
        <f>Sales[[#This Row],[Gross Amount]]-Sales[[#This Row],[Disc. Amt.]]+Sales[[#This Row],[GST Amount]]</f>
        <v>851.48800000000006</v>
      </c>
      <c r="O1836" s="34" t="s">
        <v>3566</v>
      </c>
      <c r="P1836" s="34" t="s">
        <v>3562</v>
      </c>
      <c r="Q1836" s="165">
        <f>IF(Sales[[#This Row],[Status]]="Cancelled",0,Sales[[#This Row],[Qty]])</f>
        <v>1</v>
      </c>
      <c r="R1836" s="166">
        <f>IF(Sales[[#This Row],[Status]]="Cancelled",0,Sales[[#This Row],[Total Amount]])</f>
        <v>851.48800000000006</v>
      </c>
      <c r="S1836" s="162">
        <f>SUM(Sales[Net Amount])</f>
        <v>406839287.73200053</v>
      </c>
    </row>
    <row r="1837" spans="1:19" ht="18.75" x14ac:dyDescent="0.25">
      <c r="A1837" s="156" t="s">
        <v>5447</v>
      </c>
      <c r="B1837" s="157">
        <v>45871</v>
      </c>
      <c r="C1837" s="158" t="s">
        <v>5448</v>
      </c>
      <c r="D1837" s="159" t="str">
        <f>VLOOKUP(Sales[[#This Row],[Customer ID]],Customer[#All],2,0)</f>
        <v>Vikas Sharma</v>
      </c>
      <c r="E1837" s="158" t="s">
        <v>161</v>
      </c>
      <c r="F1837" s="158" t="str">
        <f>VLOOKUP(Sales[[#This Row],[Product ID]],Product[#All],2,0)</f>
        <v>TP-link Router</v>
      </c>
      <c r="G1837" s="159">
        <v>7</v>
      </c>
      <c r="H1837" s="160">
        <f>VLOOKUP(Sales[[#This Row],[Product ID]],Product[#All],7,0)</f>
        <v>1330</v>
      </c>
      <c r="I1837" s="160">
        <f>Sales[[#This Row],[Selling Rate]]*Sales[[#This Row],[Qty]]</f>
        <v>9310</v>
      </c>
      <c r="J1837" s="43">
        <v>0.05</v>
      </c>
      <c r="K1837" s="44">
        <f>Sales[[#This Row],[Gross Amount]]*Sales[[#This Row],[Disc %]]</f>
        <v>465.5</v>
      </c>
      <c r="L1837" s="43">
        <v>0.18</v>
      </c>
      <c r="M1837" s="44">
        <f>(Sales[[#This Row],[Gross Amount]]-Sales[[#This Row],[Disc. Amt.]])*Sales[[#This Row],[GST %]]</f>
        <v>1592.01</v>
      </c>
      <c r="N1837" s="161">
        <f>Sales[[#This Row],[Gross Amount]]-Sales[[#This Row],[Disc. Amt.]]+Sales[[#This Row],[GST Amount]]</f>
        <v>10436.51</v>
      </c>
      <c r="O1837" s="158" t="s">
        <v>3566</v>
      </c>
      <c r="P1837" s="158" t="s">
        <v>3562</v>
      </c>
      <c r="Q1837" s="160">
        <f>IF(Sales[[#This Row],[Status]]="Cancelled",0,Sales[[#This Row],[Qty]])</f>
        <v>7</v>
      </c>
      <c r="R1837" s="161">
        <f>IF(Sales[[#This Row],[Status]]="Cancelled",0,Sales[[#This Row],[Total Amount]])</f>
        <v>10436.51</v>
      </c>
      <c r="S1837" s="162">
        <f>SUM(Sales[Net Amount])</f>
        <v>406839287.73200053</v>
      </c>
    </row>
    <row r="1838" spans="1:19" ht="18.75" x14ac:dyDescent="0.25">
      <c r="A1838" s="163" t="s">
        <v>5449</v>
      </c>
      <c r="B1838" s="164">
        <v>45872</v>
      </c>
      <c r="C1838" s="34" t="s">
        <v>776</v>
      </c>
      <c r="D1838" s="53" t="str">
        <f>VLOOKUP(Sales[[#This Row],[Customer ID]],Customer[#All],2,0)</f>
        <v>Sunita Singh</v>
      </c>
      <c r="E1838" s="34" t="s">
        <v>159</v>
      </c>
      <c r="F1838" s="34" t="str">
        <f>VLOOKUP(Sales[[#This Row],[Product ID]],Product[#All],2,0)</f>
        <v>HP Laptop</v>
      </c>
      <c r="G1838" s="53">
        <v>3</v>
      </c>
      <c r="H1838" s="165">
        <f>VLOOKUP(Sales[[#This Row],[Product ID]],Product[#All],7,0)</f>
        <v>90020</v>
      </c>
      <c r="I1838" s="165">
        <f>Sales[[#This Row],[Selling Rate]]*Sales[[#This Row],[Qty]]</f>
        <v>270060</v>
      </c>
      <c r="J1838" s="45">
        <v>0.02</v>
      </c>
      <c r="K1838" s="46">
        <f>Sales[[#This Row],[Gross Amount]]*Sales[[#This Row],[Disc %]]</f>
        <v>5401.2</v>
      </c>
      <c r="L1838" s="43">
        <v>0.18</v>
      </c>
      <c r="M1838" s="46">
        <f>(Sales[[#This Row],[Gross Amount]]-Sales[[#This Row],[Disc. Amt.]])*Sales[[#This Row],[GST %]]</f>
        <v>47638.583999999995</v>
      </c>
      <c r="N1838" s="161">
        <f>Sales[[#This Row],[Gross Amount]]-Sales[[#This Row],[Disc. Amt.]]+Sales[[#This Row],[GST Amount]]</f>
        <v>312297.38399999996</v>
      </c>
      <c r="O1838" s="34" t="s">
        <v>3566</v>
      </c>
      <c r="P1838" s="34" t="s">
        <v>3562</v>
      </c>
      <c r="Q1838" s="165">
        <f>IF(Sales[[#This Row],[Status]]="Cancelled",0,Sales[[#This Row],[Qty]])</f>
        <v>3</v>
      </c>
      <c r="R1838" s="166">
        <f>IF(Sales[[#This Row],[Status]]="Cancelled",0,Sales[[#This Row],[Total Amount]])</f>
        <v>312297.38399999996</v>
      </c>
      <c r="S1838" s="162">
        <f>SUM(Sales[Net Amount])</f>
        <v>406839287.73200053</v>
      </c>
    </row>
    <row r="1839" spans="1:19" ht="18.75" x14ac:dyDescent="0.25">
      <c r="A1839" s="156" t="s">
        <v>5450</v>
      </c>
      <c r="B1839" s="157">
        <v>45872</v>
      </c>
      <c r="C1839" s="158" t="s">
        <v>780</v>
      </c>
      <c r="D1839" s="159" t="str">
        <f>VLOOKUP(Sales[[#This Row],[Customer ID]],Customer[#All],2,0)</f>
        <v>Sahil Gupta</v>
      </c>
      <c r="E1839" s="158" t="s">
        <v>406</v>
      </c>
      <c r="F1839" s="158" t="str">
        <f>VLOOKUP(Sales[[#This Row],[Product ID]],Product[#All],2,0)</f>
        <v>American TouristerLaptopBag</v>
      </c>
      <c r="G1839" s="159">
        <v>8</v>
      </c>
      <c r="H1839" s="160">
        <f>VLOOKUP(Sales[[#This Row],[Product ID]],Product[#All],7,0)</f>
        <v>1710</v>
      </c>
      <c r="I1839" s="160">
        <f>Sales[[#This Row],[Selling Rate]]*Sales[[#This Row],[Qty]]</f>
        <v>13680</v>
      </c>
      <c r="J1839" s="43">
        <v>0.05</v>
      </c>
      <c r="K1839" s="44">
        <f>Sales[[#This Row],[Gross Amount]]*Sales[[#This Row],[Disc %]]</f>
        <v>684</v>
      </c>
      <c r="L1839" s="43">
        <v>0.18</v>
      </c>
      <c r="M1839" s="44">
        <f>(Sales[[#This Row],[Gross Amount]]-Sales[[#This Row],[Disc. Amt.]])*Sales[[#This Row],[GST %]]</f>
        <v>2339.2799999999997</v>
      </c>
      <c r="N1839" s="161">
        <f>Sales[[#This Row],[Gross Amount]]-Sales[[#This Row],[Disc. Amt.]]+Sales[[#This Row],[GST Amount]]</f>
        <v>15335.279999999999</v>
      </c>
      <c r="O1839" s="158" t="s">
        <v>8876</v>
      </c>
      <c r="P1839" s="158" t="s">
        <v>3562</v>
      </c>
      <c r="Q1839" s="160">
        <f>IF(Sales[[#This Row],[Status]]="Cancelled",0,Sales[[#This Row],[Qty]])</f>
        <v>8</v>
      </c>
      <c r="R1839" s="161">
        <f>IF(Sales[[#This Row],[Status]]="Cancelled",0,Sales[[#This Row],[Total Amount]])</f>
        <v>15335.279999999999</v>
      </c>
      <c r="S1839" s="162">
        <f>SUM(Sales[Net Amount])</f>
        <v>406839287.73200053</v>
      </c>
    </row>
    <row r="1840" spans="1:19" ht="18.75" x14ac:dyDescent="0.25">
      <c r="A1840" s="163" t="s">
        <v>5451</v>
      </c>
      <c r="B1840" s="164">
        <v>45872</v>
      </c>
      <c r="C1840" s="34" t="s">
        <v>757</v>
      </c>
      <c r="D1840" s="53" t="str">
        <f>VLOOKUP(Sales[[#This Row],[Customer ID]],Customer[#All],2,0)</f>
        <v>Amit Singh</v>
      </c>
      <c r="E1840" s="34" t="s">
        <v>323</v>
      </c>
      <c r="F1840" s="34" t="str">
        <f>VLOOKUP(Sales[[#This Row],[Product ID]],Product[#All],2,0)</f>
        <v>Dell Desktop</v>
      </c>
      <c r="G1840" s="53">
        <v>2</v>
      </c>
      <c r="H1840" s="165">
        <f>VLOOKUP(Sales[[#This Row],[Product ID]],Product[#All],7,0)</f>
        <v>45070</v>
      </c>
      <c r="I1840" s="165">
        <f>Sales[[#This Row],[Selling Rate]]*Sales[[#This Row],[Qty]]</f>
        <v>90140</v>
      </c>
      <c r="J1840" s="45">
        <v>0.02</v>
      </c>
      <c r="K1840" s="46">
        <f>Sales[[#This Row],[Gross Amount]]*Sales[[#This Row],[Disc %]]</f>
        <v>1802.8</v>
      </c>
      <c r="L1840" s="43">
        <v>0.18</v>
      </c>
      <c r="M1840" s="46">
        <f>(Sales[[#This Row],[Gross Amount]]-Sales[[#This Row],[Disc. Amt.]])*Sales[[#This Row],[GST %]]</f>
        <v>15900.695999999998</v>
      </c>
      <c r="N1840" s="161">
        <f>Sales[[#This Row],[Gross Amount]]-Sales[[#This Row],[Disc. Amt.]]+Sales[[#This Row],[GST Amount]]</f>
        <v>104237.89599999999</v>
      </c>
      <c r="O1840" s="34" t="s">
        <v>3569</v>
      </c>
      <c r="P1840" s="34" t="s">
        <v>3562</v>
      </c>
      <c r="Q1840" s="165">
        <f>IF(Sales[[#This Row],[Status]]="Cancelled",0,Sales[[#This Row],[Qty]])</f>
        <v>2</v>
      </c>
      <c r="R1840" s="166">
        <f>IF(Sales[[#This Row],[Status]]="Cancelled",0,Sales[[#This Row],[Total Amount]])</f>
        <v>104237.89599999999</v>
      </c>
      <c r="S1840" s="162">
        <f>SUM(Sales[Net Amount])</f>
        <v>406839287.73200053</v>
      </c>
    </row>
    <row r="1841" spans="1:19" ht="18.75" x14ac:dyDescent="0.25">
      <c r="A1841" s="156" t="s">
        <v>5452</v>
      </c>
      <c r="B1841" s="157">
        <v>45872</v>
      </c>
      <c r="C1841" s="158" t="s">
        <v>853</v>
      </c>
      <c r="D1841" s="159" t="str">
        <f>VLOOKUP(Sales[[#This Row],[Customer ID]],Customer[#All],2,0)</f>
        <v>Amit Singh</v>
      </c>
      <c r="E1841" s="158" t="s">
        <v>181</v>
      </c>
      <c r="F1841" s="158" t="str">
        <f>VLOOKUP(Sales[[#This Row],[Product ID]],Product[#All],2,0)</f>
        <v>Logitech Webcam</v>
      </c>
      <c r="G1841" s="159">
        <v>5</v>
      </c>
      <c r="H1841" s="160">
        <f>VLOOKUP(Sales[[#This Row],[Product ID]],Product[#All],7,0)</f>
        <v>5880</v>
      </c>
      <c r="I1841" s="160">
        <f>Sales[[#This Row],[Selling Rate]]*Sales[[#This Row],[Qty]]</f>
        <v>29400</v>
      </c>
      <c r="J1841" s="43">
        <v>0.1</v>
      </c>
      <c r="K1841" s="44">
        <f>Sales[[#This Row],[Gross Amount]]*Sales[[#This Row],[Disc %]]</f>
        <v>2940</v>
      </c>
      <c r="L1841" s="43">
        <v>0.18</v>
      </c>
      <c r="M1841" s="44">
        <f>(Sales[[#This Row],[Gross Amount]]-Sales[[#This Row],[Disc. Amt.]])*Sales[[#This Row],[GST %]]</f>
        <v>4762.8</v>
      </c>
      <c r="N1841" s="161">
        <f>Sales[[#This Row],[Gross Amount]]-Sales[[#This Row],[Disc. Amt.]]+Sales[[#This Row],[GST Amount]]</f>
        <v>31222.799999999999</v>
      </c>
      <c r="O1841" s="158" t="s">
        <v>3561</v>
      </c>
      <c r="P1841" s="158" t="s">
        <v>3562</v>
      </c>
      <c r="Q1841" s="160">
        <f>IF(Sales[[#This Row],[Status]]="Cancelled",0,Sales[[#This Row],[Qty]])</f>
        <v>5</v>
      </c>
      <c r="R1841" s="161">
        <f>IF(Sales[[#This Row],[Status]]="Cancelled",0,Sales[[#This Row],[Total Amount]])</f>
        <v>31222.799999999999</v>
      </c>
      <c r="S1841" s="162">
        <f>SUM(Sales[Net Amount])</f>
        <v>406839287.73200053</v>
      </c>
    </row>
    <row r="1842" spans="1:19" ht="18.75" x14ac:dyDescent="0.25">
      <c r="A1842" s="163" t="s">
        <v>5453</v>
      </c>
      <c r="B1842" s="164">
        <v>45872</v>
      </c>
      <c r="C1842" s="34" t="s">
        <v>704</v>
      </c>
      <c r="D1842" s="53" t="str">
        <f>VLOOKUP(Sales[[#This Row],[Customer ID]],Customer[#All],2,0)</f>
        <v>Rahul Gupta</v>
      </c>
      <c r="E1842" s="34" t="s">
        <v>26</v>
      </c>
      <c r="F1842" s="34" t="str">
        <f>VLOOKUP(Sales[[#This Row],[Product ID]],Product[#All],2,0)</f>
        <v>Lg Monitor</v>
      </c>
      <c r="G1842" s="53">
        <v>3</v>
      </c>
      <c r="H1842" s="165">
        <f>VLOOKUP(Sales[[#This Row],[Product ID]],Product[#All],7,0)</f>
        <v>21600</v>
      </c>
      <c r="I1842" s="165">
        <f>Sales[[#This Row],[Selling Rate]]*Sales[[#This Row],[Qty]]</f>
        <v>64800</v>
      </c>
      <c r="J1842" s="45">
        <v>0.02</v>
      </c>
      <c r="K1842" s="46">
        <f>Sales[[#This Row],[Gross Amount]]*Sales[[#This Row],[Disc %]]</f>
        <v>1296</v>
      </c>
      <c r="L1842" s="43">
        <v>0.18</v>
      </c>
      <c r="M1842" s="46">
        <f>(Sales[[#This Row],[Gross Amount]]-Sales[[#This Row],[Disc. Amt.]])*Sales[[#This Row],[GST %]]</f>
        <v>11430.72</v>
      </c>
      <c r="N1842" s="161">
        <f>Sales[[#This Row],[Gross Amount]]-Sales[[#This Row],[Disc. Amt.]]+Sales[[#This Row],[GST Amount]]</f>
        <v>74934.720000000001</v>
      </c>
      <c r="O1842" s="34" t="s">
        <v>3569</v>
      </c>
      <c r="P1842" s="34" t="s">
        <v>3562</v>
      </c>
      <c r="Q1842" s="165">
        <f>IF(Sales[[#This Row],[Status]]="Cancelled",0,Sales[[#This Row],[Qty]])</f>
        <v>3</v>
      </c>
      <c r="R1842" s="166">
        <f>IF(Sales[[#This Row],[Status]]="Cancelled",0,Sales[[#This Row],[Total Amount]])</f>
        <v>74934.720000000001</v>
      </c>
      <c r="S1842" s="162">
        <f>SUM(Sales[Net Amount])</f>
        <v>406839287.73200053</v>
      </c>
    </row>
    <row r="1843" spans="1:19" ht="18.75" x14ac:dyDescent="0.25">
      <c r="A1843" s="156" t="s">
        <v>5454</v>
      </c>
      <c r="B1843" s="157">
        <v>45872</v>
      </c>
      <c r="C1843" s="158" t="s">
        <v>931</v>
      </c>
      <c r="D1843" s="159" t="str">
        <f>VLOOKUP(Sales[[#This Row],[Customer ID]],Customer[#All],2,0)</f>
        <v>Sahil Patel</v>
      </c>
      <c r="E1843" s="158" t="s">
        <v>505</v>
      </c>
      <c r="F1843" s="158" t="str">
        <f>VLOOKUP(Sales[[#This Row],[Product ID]],Product[#All],2,0)</f>
        <v>Dell Monitor</v>
      </c>
      <c r="G1843" s="159">
        <v>2</v>
      </c>
      <c r="H1843" s="160">
        <f>VLOOKUP(Sales[[#This Row],[Product ID]],Product[#All],7,0)</f>
        <v>12790</v>
      </c>
      <c r="I1843" s="160">
        <f>Sales[[#This Row],[Selling Rate]]*Sales[[#This Row],[Qty]]</f>
        <v>25580</v>
      </c>
      <c r="J1843" s="43">
        <v>0.02</v>
      </c>
      <c r="K1843" s="44">
        <f>Sales[[#This Row],[Gross Amount]]*Sales[[#This Row],[Disc %]]</f>
        <v>511.6</v>
      </c>
      <c r="L1843" s="43">
        <v>0.18</v>
      </c>
      <c r="M1843" s="44">
        <f>(Sales[[#This Row],[Gross Amount]]-Sales[[#This Row],[Disc. Amt.]])*Sales[[#This Row],[GST %]]</f>
        <v>4512.3119999999999</v>
      </c>
      <c r="N1843" s="161">
        <f>Sales[[#This Row],[Gross Amount]]-Sales[[#This Row],[Disc. Amt.]]+Sales[[#This Row],[GST Amount]]</f>
        <v>29580.712</v>
      </c>
      <c r="O1843" s="158" t="s">
        <v>3561</v>
      </c>
      <c r="P1843" s="158" t="s">
        <v>3562</v>
      </c>
      <c r="Q1843" s="160">
        <f>IF(Sales[[#This Row],[Status]]="Cancelled",0,Sales[[#This Row],[Qty]])</f>
        <v>2</v>
      </c>
      <c r="R1843" s="161">
        <f>IF(Sales[[#This Row],[Status]]="Cancelled",0,Sales[[#This Row],[Total Amount]])</f>
        <v>29580.712</v>
      </c>
      <c r="S1843" s="162">
        <f>SUM(Sales[Net Amount])</f>
        <v>406839287.73200053</v>
      </c>
    </row>
    <row r="1844" spans="1:19" ht="18.75" x14ac:dyDescent="0.25">
      <c r="A1844" s="163" t="s">
        <v>5455</v>
      </c>
      <c r="B1844" s="164">
        <v>45872</v>
      </c>
      <c r="C1844" s="34" t="s">
        <v>5456</v>
      </c>
      <c r="D1844" s="53" t="str">
        <f>VLOOKUP(Sales[[#This Row],[Customer ID]],Customer[#All],2,0)</f>
        <v>Neha Verma</v>
      </c>
      <c r="E1844" s="34" t="s">
        <v>523</v>
      </c>
      <c r="F1844" s="34" t="str">
        <f>VLOOKUP(Sales[[#This Row],[Product ID]],Product[#All],2,0)</f>
        <v>Logitech Mouse</v>
      </c>
      <c r="G1844" s="53">
        <v>6</v>
      </c>
      <c r="H1844" s="165">
        <f>VLOOKUP(Sales[[#This Row],[Product ID]],Product[#All],7,0)</f>
        <v>1300</v>
      </c>
      <c r="I1844" s="165">
        <f>Sales[[#This Row],[Selling Rate]]*Sales[[#This Row],[Qty]]</f>
        <v>7800</v>
      </c>
      <c r="J1844" s="45">
        <v>0.02</v>
      </c>
      <c r="K1844" s="46">
        <f>Sales[[#This Row],[Gross Amount]]*Sales[[#This Row],[Disc %]]</f>
        <v>156</v>
      </c>
      <c r="L1844" s="43">
        <v>0.18</v>
      </c>
      <c r="M1844" s="46">
        <f>(Sales[[#This Row],[Gross Amount]]-Sales[[#This Row],[Disc. Amt.]])*Sales[[#This Row],[GST %]]</f>
        <v>1375.9199999999998</v>
      </c>
      <c r="N1844" s="161">
        <f>Sales[[#This Row],[Gross Amount]]-Sales[[#This Row],[Disc. Amt.]]+Sales[[#This Row],[GST Amount]]</f>
        <v>9019.92</v>
      </c>
      <c r="O1844" s="34" t="s">
        <v>8876</v>
      </c>
      <c r="P1844" s="34" t="s">
        <v>3562</v>
      </c>
      <c r="Q1844" s="165">
        <f>IF(Sales[[#This Row],[Status]]="Cancelled",0,Sales[[#This Row],[Qty]])</f>
        <v>6</v>
      </c>
      <c r="R1844" s="166">
        <f>IF(Sales[[#This Row],[Status]]="Cancelled",0,Sales[[#This Row],[Total Amount]])</f>
        <v>9019.92</v>
      </c>
      <c r="S1844" s="162">
        <f>SUM(Sales[Net Amount])</f>
        <v>406839287.73200053</v>
      </c>
    </row>
    <row r="1845" spans="1:19" ht="18.75" x14ac:dyDescent="0.25">
      <c r="A1845" s="156" t="s">
        <v>5457</v>
      </c>
      <c r="B1845" s="157">
        <v>45872</v>
      </c>
      <c r="C1845" s="158" t="s">
        <v>5458</v>
      </c>
      <c r="D1845" s="159" t="str">
        <f>VLOOKUP(Sales[[#This Row],[Customer ID]],Customer[#All],2,0)</f>
        <v>Amit Patel</v>
      </c>
      <c r="E1845" s="158" t="s">
        <v>309</v>
      </c>
      <c r="F1845" s="158" t="str">
        <f>VLOOKUP(Sales[[#This Row],[Product ID]],Product[#All],2,0)</f>
        <v>D-Link Router</v>
      </c>
      <c r="G1845" s="159">
        <v>6</v>
      </c>
      <c r="H1845" s="160">
        <f>VLOOKUP(Sales[[#This Row],[Product ID]],Product[#All],7,0)</f>
        <v>1260</v>
      </c>
      <c r="I1845" s="160">
        <f>Sales[[#This Row],[Selling Rate]]*Sales[[#This Row],[Qty]]</f>
        <v>7560</v>
      </c>
      <c r="J1845" s="43">
        <v>0.05</v>
      </c>
      <c r="K1845" s="44">
        <f>Sales[[#This Row],[Gross Amount]]*Sales[[#This Row],[Disc %]]</f>
        <v>378</v>
      </c>
      <c r="L1845" s="43">
        <v>0.18</v>
      </c>
      <c r="M1845" s="44">
        <f>(Sales[[#This Row],[Gross Amount]]-Sales[[#This Row],[Disc. Amt.]])*Sales[[#This Row],[GST %]]</f>
        <v>1292.76</v>
      </c>
      <c r="N1845" s="161">
        <f>Sales[[#This Row],[Gross Amount]]-Sales[[#This Row],[Disc. Amt.]]+Sales[[#This Row],[GST Amount]]</f>
        <v>8474.76</v>
      </c>
      <c r="O1845" s="158" t="s">
        <v>3561</v>
      </c>
      <c r="P1845" s="158" t="s">
        <v>3562</v>
      </c>
      <c r="Q1845" s="160">
        <f>IF(Sales[[#This Row],[Status]]="Cancelled",0,Sales[[#This Row],[Qty]])</f>
        <v>6</v>
      </c>
      <c r="R1845" s="161">
        <f>IF(Sales[[#This Row],[Status]]="Cancelled",0,Sales[[#This Row],[Total Amount]])</f>
        <v>8474.76</v>
      </c>
      <c r="S1845" s="162">
        <f>SUM(Sales[Net Amount])</f>
        <v>406839287.73200053</v>
      </c>
    </row>
    <row r="1846" spans="1:19" ht="18.75" x14ac:dyDescent="0.25">
      <c r="A1846" s="163" t="s">
        <v>5459</v>
      </c>
      <c r="B1846" s="164">
        <v>45872</v>
      </c>
      <c r="C1846" s="34" t="s">
        <v>712</v>
      </c>
      <c r="D1846" s="53" t="str">
        <f>VLOOKUP(Sales[[#This Row],[Customer ID]],Customer[#All],2,0)</f>
        <v>Sahil Verma</v>
      </c>
      <c r="E1846" s="34" t="s">
        <v>157</v>
      </c>
      <c r="F1846" s="34" t="str">
        <f>VLOOKUP(Sales[[#This Row],[Product ID]],Product[#All],2,0)</f>
        <v>Epson Printer</v>
      </c>
      <c r="G1846" s="53">
        <v>5</v>
      </c>
      <c r="H1846" s="165">
        <f>VLOOKUP(Sales[[#This Row],[Product ID]],Product[#All],7,0)</f>
        <v>12100</v>
      </c>
      <c r="I1846" s="165">
        <f>Sales[[#This Row],[Selling Rate]]*Sales[[#This Row],[Qty]]</f>
        <v>60500</v>
      </c>
      <c r="J1846" s="45">
        <v>0.05</v>
      </c>
      <c r="K1846" s="46">
        <f>Sales[[#This Row],[Gross Amount]]*Sales[[#This Row],[Disc %]]</f>
        <v>3025</v>
      </c>
      <c r="L1846" s="43">
        <v>0.18</v>
      </c>
      <c r="M1846" s="46">
        <f>(Sales[[#This Row],[Gross Amount]]-Sales[[#This Row],[Disc. Amt.]])*Sales[[#This Row],[GST %]]</f>
        <v>10345.5</v>
      </c>
      <c r="N1846" s="161">
        <f>Sales[[#This Row],[Gross Amount]]-Sales[[#This Row],[Disc. Amt.]]+Sales[[#This Row],[GST Amount]]</f>
        <v>67820.5</v>
      </c>
      <c r="O1846" s="34" t="s">
        <v>3569</v>
      </c>
      <c r="P1846" s="34" t="s">
        <v>3562</v>
      </c>
      <c r="Q1846" s="165">
        <f>IF(Sales[[#This Row],[Status]]="Cancelled",0,Sales[[#This Row],[Qty]])</f>
        <v>5</v>
      </c>
      <c r="R1846" s="166">
        <f>IF(Sales[[#This Row],[Status]]="Cancelled",0,Sales[[#This Row],[Total Amount]])</f>
        <v>67820.5</v>
      </c>
      <c r="S1846" s="162">
        <f>SUM(Sales[Net Amount])</f>
        <v>406839287.73200053</v>
      </c>
    </row>
    <row r="1847" spans="1:19" ht="18.75" x14ac:dyDescent="0.25">
      <c r="A1847" s="156" t="s">
        <v>5460</v>
      </c>
      <c r="B1847" s="157">
        <v>45872</v>
      </c>
      <c r="C1847" s="158" t="s">
        <v>880</v>
      </c>
      <c r="D1847" s="159" t="str">
        <f>VLOOKUP(Sales[[#This Row],[Customer ID]],Customer[#All],2,0)</f>
        <v>Rahul Sharma</v>
      </c>
      <c r="E1847" s="158" t="s">
        <v>505</v>
      </c>
      <c r="F1847" s="158" t="str">
        <f>VLOOKUP(Sales[[#This Row],[Product ID]],Product[#All],2,0)</f>
        <v>Dell Monitor</v>
      </c>
      <c r="G1847" s="159">
        <v>6</v>
      </c>
      <c r="H1847" s="160">
        <f>VLOOKUP(Sales[[#This Row],[Product ID]],Product[#All],7,0)</f>
        <v>12790</v>
      </c>
      <c r="I1847" s="160">
        <f>Sales[[#This Row],[Selling Rate]]*Sales[[#This Row],[Qty]]</f>
        <v>76740</v>
      </c>
      <c r="J1847" s="43">
        <v>0</v>
      </c>
      <c r="K1847" s="44">
        <f>Sales[[#This Row],[Gross Amount]]*Sales[[#This Row],[Disc %]]</f>
        <v>0</v>
      </c>
      <c r="L1847" s="43">
        <v>0.18</v>
      </c>
      <c r="M1847" s="44">
        <f>(Sales[[#This Row],[Gross Amount]]-Sales[[#This Row],[Disc. Amt.]])*Sales[[#This Row],[GST %]]</f>
        <v>13813.199999999999</v>
      </c>
      <c r="N1847" s="161">
        <f>Sales[[#This Row],[Gross Amount]]-Sales[[#This Row],[Disc. Amt.]]+Sales[[#This Row],[GST Amount]]</f>
        <v>90553.2</v>
      </c>
      <c r="O1847" s="158" t="s">
        <v>8876</v>
      </c>
      <c r="P1847" s="158" t="s">
        <v>3562</v>
      </c>
      <c r="Q1847" s="160">
        <f>IF(Sales[[#This Row],[Status]]="Cancelled",0,Sales[[#This Row],[Qty]])</f>
        <v>6</v>
      </c>
      <c r="R1847" s="161">
        <f>IF(Sales[[#This Row],[Status]]="Cancelled",0,Sales[[#This Row],[Total Amount]])</f>
        <v>90553.2</v>
      </c>
      <c r="S1847" s="162">
        <f>SUM(Sales[Net Amount])</f>
        <v>406839287.73200053</v>
      </c>
    </row>
    <row r="1848" spans="1:19" ht="18.75" x14ac:dyDescent="0.25">
      <c r="A1848" s="163" t="s">
        <v>5461</v>
      </c>
      <c r="B1848" s="164">
        <v>45872</v>
      </c>
      <c r="C1848" s="34" t="s">
        <v>863</v>
      </c>
      <c r="D1848" s="53" t="str">
        <f>VLOOKUP(Sales[[#This Row],[Customer ID]],Customer[#All],2,0)</f>
        <v>Sahil Sharma</v>
      </c>
      <c r="E1848" s="34" t="s">
        <v>242</v>
      </c>
      <c r="F1848" s="34" t="str">
        <f>VLOOKUP(Sales[[#This Row],[Product ID]],Product[#All],2,0)</f>
        <v>HP Printer</v>
      </c>
      <c r="G1848" s="53">
        <v>1</v>
      </c>
      <c r="H1848" s="165">
        <f>VLOOKUP(Sales[[#This Row],[Product ID]],Product[#All],7,0)</f>
        <v>20380</v>
      </c>
      <c r="I1848" s="165">
        <f>Sales[[#This Row],[Selling Rate]]*Sales[[#This Row],[Qty]]</f>
        <v>20380</v>
      </c>
      <c r="J1848" s="45">
        <v>0.05</v>
      </c>
      <c r="K1848" s="46">
        <f>Sales[[#This Row],[Gross Amount]]*Sales[[#This Row],[Disc %]]</f>
        <v>1019</v>
      </c>
      <c r="L1848" s="43">
        <v>0.18</v>
      </c>
      <c r="M1848" s="46">
        <f>(Sales[[#This Row],[Gross Amount]]-Sales[[#This Row],[Disc. Amt.]])*Sales[[#This Row],[GST %]]</f>
        <v>3484.98</v>
      </c>
      <c r="N1848" s="161">
        <f>Sales[[#This Row],[Gross Amount]]-Sales[[#This Row],[Disc. Amt.]]+Sales[[#This Row],[GST Amount]]</f>
        <v>22845.98</v>
      </c>
      <c r="O1848" s="34" t="s">
        <v>8876</v>
      </c>
      <c r="P1848" s="34" t="s">
        <v>3562</v>
      </c>
      <c r="Q1848" s="165">
        <f>IF(Sales[[#This Row],[Status]]="Cancelled",0,Sales[[#This Row],[Qty]])</f>
        <v>1</v>
      </c>
      <c r="R1848" s="166">
        <f>IF(Sales[[#This Row],[Status]]="Cancelled",0,Sales[[#This Row],[Total Amount]])</f>
        <v>22845.98</v>
      </c>
      <c r="S1848" s="162">
        <f>SUM(Sales[Net Amount])</f>
        <v>406839287.73200053</v>
      </c>
    </row>
    <row r="1849" spans="1:19" ht="18.75" x14ac:dyDescent="0.25">
      <c r="A1849" s="156" t="s">
        <v>5462</v>
      </c>
      <c r="B1849" s="157">
        <v>45872</v>
      </c>
      <c r="C1849" s="158" t="s">
        <v>764</v>
      </c>
      <c r="D1849" s="159" t="str">
        <f>VLOOKUP(Sales[[#This Row],[Customer ID]],Customer[#All],2,0)</f>
        <v>Priya Gupta</v>
      </c>
      <c r="E1849" s="158" t="s">
        <v>62</v>
      </c>
      <c r="F1849" s="158" t="str">
        <f>VLOOKUP(Sales[[#This Row],[Product ID]],Product[#All],2,0)</f>
        <v>Apc UPS</v>
      </c>
      <c r="G1849" s="159">
        <v>8</v>
      </c>
      <c r="H1849" s="160">
        <f>VLOOKUP(Sales[[#This Row],[Product ID]],Product[#All],7,0)</f>
        <v>7270</v>
      </c>
      <c r="I1849" s="160">
        <f>Sales[[#This Row],[Selling Rate]]*Sales[[#This Row],[Qty]]</f>
        <v>58160</v>
      </c>
      <c r="J1849" s="43">
        <v>0.02</v>
      </c>
      <c r="K1849" s="44">
        <f>Sales[[#This Row],[Gross Amount]]*Sales[[#This Row],[Disc %]]</f>
        <v>1163.2</v>
      </c>
      <c r="L1849" s="43">
        <v>0.18</v>
      </c>
      <c r="M1849" s="44">
        <f>(Sales[[#This Row],[Gross Amount]]-Sales[[#This Row],[Disc. Amt.]])*Sales[[#This Row],[GST %]]</f>
        <v>10259.424000000001</v>
      </c>
      <c r="N1849" s="161">
        <f>Sales[[#This Row],[Gross Amount]]-Sales[[#This Row],[Disc. Amt.]]+Sales[[#This Row],[GST Amount]]</f>
        <v>67256.224000000002</v>
      </c>
      <c r="O1849" s="158" t="s">
        <v>3569</v>
      </c>
      <c r="P1849" s="158" t="s">
        <v>3562</v>
      </c>
      <c r="Q1849" s="160">
        <f>IF(Sales[[#This Row],[Status]]="Cancelled",0,Sales[[#This Row],[Qty]])</f>
        <v>8</v>
      </c>
      <c r="R1849" s="161">
        <f>IF(Sales[[#This Row],[Status]]="Cancelled",0,Sales[[#This Row],[Total Amount]])</f>
        <v>67256.224000000002</v>
      </c>
      <c r="S1849" s="162">
        <f>SUM(Sales[Net Amount])</f>
        <v>406839287.73200053</v>
      </c>
    </row>
    <row r="1850" spans="1:19" ht="18.75" x14ac:dyDescent="0.25">
      <c r="A1850" s="163" t="s">
        <v>5463</v>
      </c>
      <c r="B1850" s="164">
        <v>45872</v>
      </c>
      <c r="C1850" s="34" t="s">
        <v>781</v>
      </c>
      <c r="D1850" s="53" t="str">
        <f>VLOOKUP(Sales[[#This Row],[Customer ID]],Customer[#All],2,0)</f>
        <v>Vikas Sharma</v>
      </c>
      <c r="E1850" s="34" t="s">
        <v>501</v>
      </c>
      <c r="F1850" s="34" t="str">
        <f>VLOOKUP(Sales[[#This Row],[Product ID]],Product[#All],2,0)</f>
        <v>Samsung Ssd</v>
      </c>
      <c r="G1850" s="53">
        <v>7</v>
      </c>
      <c r="H1850" s="165">
        <f>VLOOKUP(Sales[[#This Row],[Product ID]],Product[#All],7,0)</f>
        <v>4260</v>
      </c>
      <c r="I1850" s="165">
        <f>Sales[[#This Row],[Selling Rate]]*Sales[[#This Row],[Qty]]</f>
        <v>29820</v>
      </c>
      <c r="J1850" s="45">
        <v>0.15</v>
      </c>
      <c r="K1850" s="46">
        <f>Sales[[#This Row],[Gross Amount]]*Sales[[#This Row],[Disc %]]</f>
        <v>4473</v>
      </c>
      <c r="L1850" s="43">
        <v>0.18</v>
      </c>
      <c r="M1850" s="46">
        <f>(Sales[[#This Row],[Gross Amount]]-Sales[[#This Row],[Disc. Amt.]])*Sales[[#This Row],[GST %]]</f>
        <v>4562.46</v>
      </c>
      <c r="N1850" s="161">
        <f>Sales[[#This Row],[Gross Amount]]-Sales[[#This Row],[Disc. Amt.]]+Sales[[#This Row],[GST Amount]]</f>
        <v>29909.46</v>
      </c>
      <c r="O1850" s="34" t="s">
        <v>8876</v>
      </c>
      <c r="P1850" s="34" t="s">
        <v>3562</v>
      </c>
      <c r="Q1850" s="165">
        <f>IF(Sales[[#This Row],[Status]]="Cancelled",0,Sales[[#This Row],[Qty]])</f>
        <v>7</v>
      </c>
      <c r="R1850" s="166">
        <f>IF(Sales[[#This Row],[Status]]="Cancelled",0,Sales[[#This Row],[Total Amount]])</f>
        <v>29909.46</v>
      </c>
      <c r="S1850" s="162">
        <f>SUM(Sales[Net Amount])</f>
        <v>406839287.73200053</v>
      </c>
    </row>
    <row r="1851" spans="1:19" ht="18.75" x14ac:dyDescent="0.25">
      <c r="A1851" s="156" t="s">
        <v>5464</v>
      </c>
      <c r="B1851" s="157">
        <v>45872</v>
      </c>
      <c r="C1851" s="158" t="s">
        <v>806</v>
      </c>
      <c r="D1851" s="159" t="str">
        <f>VLOOKUP(Sales[[#This Row],[Customer ID]],Customer[#All],2,0)</f>
        <v>Vikas Singh</v>
      </c>
      <c r="E1851" s="158" t="s">
        <v>350</v>
      </c>
      <c r="F1851" s="158" t="str">
        <f>VLOOKUP(Sales[[#This Row],[Product ID]],Product[#All],2,0)</f>
        <v>Apc UPS</v>
      </c>
      <c r="G1851" s="159">
        <v>2</v>
      </c>
      <c r="H1851" s="160">
        <f>VLOOKUP(Sales[[#This Row],[Product ID]],Product[#All],7,0)</f>
        <v>18110</v>
      </c>
      <c r="I1851" s="160">
        <f>Sales[[#This Row],[Selling Rate]]*Sales[[#This Row],[Qty]]</f>
        <v>36220</v>
      </c>
      <c r="J1851" s="43">
        <v>0.02</v>
      </c>
      <c r="K1851" s="44">
        <f>Sales[[#This Row],[Gross Amount]]*Sales[[#This Row],[Disc %]]</f>
        <v>724.4</v>
      </c>
      <c r="L1851" s="43">
        <v>0.18</v>
      </c>
      <c r="M1851" s="44">
        <f>(Sales[[#This Row],[Gross Amount]]-Sales[[#This Row],[Disc. Amt.]])*Sales[[#This Row],[GST %]]</f>
        <v>6389.2079999999996</v>
      </c>
      <c r="N1851" s="161">
        <f>Sales[[#This Row],[Gross Amount]]-Sales[[#This Row],[Disc. Amt.]]+Sales[[#This Row],[GST Amount]]</f>
        <v>41884.807999999997</v>
      </c>
      <c r="O1851" s="158" t="s">
        <v>3569</v>
      </c>
      <c r="P1851" s="158" t="s">
        <v>3562</v>
      </c>
      <c r="Q1851" s="160">
        <f>IF(Sales[[#This Row],[Status]]="Cancelled",0,Sales[[#This Row],[Qty]])</f>
        <v>2</v>
      </c>
      <c r="R1851" s="161">
        <f>IF(Sales[[#This Row],[Status]]="Cancelled",0,Sales[[#This Row],[Total Amount]])</f>
        <v>41884.807999999997</v>
      </c>
      <c r="S1851" s="162">
        <f>SUM(Sales[Net Amount])</f>
        <v>406839287.73200053</v>
      </c>
    </row>
    <row r="1852" spans="1:19" ht="18.75" x14ac:dyDescent="0.25">
      <c r="A1852" s="163" t="s">
        <v>5465</v>
      </c>
      <c r="B1852" s="164">
        <v>45872</v>
      </c>
      <c r="C1852" s="34" t="s">
        <v>825</v>
      </c>
      <c r="D1852" s="53" t="str">
        <f>VLOOKUP(Sales[[#This Row],[Customer ID]],Customer[#All],2,0)</f>
        <v>Rahul Kumar</v>
      </c>
      <c r="E1852" s="34" t="s">
        <v>269</v>
      </c>
      <c r="F1852" s="34" t="str">
        <f>VLOOKUP(Sales[[#This Row],[Product ID]],Product[#All],2,0)</f>
        <v>Dell Monitor</v>
      </c>
      <c r="G1852" s="53">
        <v>7</v>
      </c>
      <c r="H1852" s="165">
        <f>VLOOKUP(Sales[[#This Row],[Product ID]],Product[#All],7,0)</f>
        <v>11390</v>
      </c>
      <c r="I1852" s="165">
        <f>Sales[[#This Row],[Selling Rate]]*Sales[[#This Row],[Qty]]</f>
        <v>79730</v>
      </c>
      <c r="J1852" s="45">
        <v>0.12</v>
      </c>
      <c r="K1852" s="46">
        <f>Sales[[#This Row],[Gross Amount]]*Sales[[#This Row],[Disc %]]</f>
        <v>9567.6</v>
      </c>
      <c r="L1852" s="43">
        <v>0.18</v>
      </c>
      <c r="M1852" s="46">
        <f>(Sales[[#This Row],[Gross Amount]]-Sales[[#This Row],[Disc. Amt.]])*Sales[[#This Row],[GST %]]</f>
        <v>12629.231999999998</v>
      </c>
      <c r="N1852" s="161">
        <f>Sales[[#This Row],[Gross Amount]]-Sales[[#This Row],[Disc. Amt.]]+Sales[[#This Row],[GST Amount]]</f>
        <v>82791.631999999998</v>
      </c>
      <c r="O1852" s="34" t="s">
        <v>3569</v>
      </c>
      <c r="P1852" s="34" t="s">
        <v>3562</v>
      </c>
      <c r="Q1852" s="165">
        <f>IF(Sales[[#This Row],[Status]]="Cancelled",0,Sales[[#This Row],[Qty]])</f>
        <v>7</v>
      </c>
      <c r="R1852" s="166">
        <f>IF(Sales[[#This Row],[Status]]="Cancelled",0,Sales[[#This Row],[Total Amount]])</f>
        <v>82791.631999999998</v>
      </c>
      <c r="S1852" s="162">
        <f>SUM(Sales[Net Amount])</f>
        <v>406839287.73200053</v>
      </c>
    </row>
    <row r="1853" spans="1:19" ht="18.75" x14ac:dyDescent="0.25">
      <c r="A1853" s="156" t="s">
        <v>5466</v>
      </c>
      <c r="B1853" s="157">
        <v>45872</v>
      </c>
      <c r="C1853" s="158" t="s">
        <v>721</v>
      </c>
      <c r="D1853" s="159" t="str">
        <f>VLOOKUP(Sales[[#This Row],[Customer ID]],Customer[#All],2,0)</f>
        <v>Sahil Sharma</v>
      </c>
      <c r="E1853" s="158" t="s">
        <v>428</v>
      </c>
      <c r="F1853" s="158" t="str">
        <f>VLOOKUP(Sales[[#This Row],[Product ID]],Product[#All],2,0)</f>
        <v>Microtek UPS</v>
      </c>
      <c r="G1853" s="159">
        <v>5</v>
      </c>
      <c r="H1853" s="160">
        <f>VLOOKUP(Sales[[#This Row],[Product ID]],Product[#All],7,0)</f>
        <v>8450</v>
      </c>
      <c r="I1853" s="160">
        <f>Sales[[#This Row],[Selling Rate]]*Sales[[#This Row],[Qty]]</f>
        <v>42250</v>
      </c>
      <c r="J1853" s="43">
        <v>0</v>
      </c>
      <c r="K1853" s="44">
        <f>Sales[[#This Row],[Gross Amount]]*Sales[[#This Row],[Disc %]]</f>
        <v>0</v>
      </c>
      <c r="L1853" s="43">
        <v>0.18</v>
      </c>
      <c r="M1853" s="44">
        <f>(Sales[[#This Row],[Gross Amount]]-Sales[[#This Row],[Disc. Amt.]])*Sales[[#This Row],[GST %]]</f>
        <v>7605</v>
      </c>
      <c r="N1853" s="161">
        <f>Sales[[#This Row],[Gross Amount]]-Sales[[#This Row],[Disc. Amt.]]+Sales[[#This Row],[GST Amount]]</f>
        <v>49855</v>
      </c>
      <c r="O1853" s="158" t="s">
        <v>3566</v>
      </c>
      <c r="P1853" s="158" t="s">
        <v>3562</v>
      </c>
      <c r="Q1853" s="160">
        <f>IF(Sales[[#This Row],[Status]]="Cancelled",0,Sales[[#This Row],[Qty]])</f>
        <v>5</v>
      </c>
      <c r="R1853" s="161">
        <f>IF(Sales[[#This Row],[Status]]="Cancelled",0,Sales[[#This Row],[Total Amount]])</f>
        <v>49855</v>
      </c>
      <c r="S1853" s="162">
        <f>SUM(Sales[Net Amount])</f>
        <v>406839287.73200053</v>
      </c>
    </row>
    <row r="1854" spans="1:19" ht="18.75" x14ac:dyDescent="0.25">
      <c r="A1854" s="163" t="s">
        <v>5467</v>
      </c>
      <c r="B1854" s="164">
        <v>45873</v>
      </c>
      <c r="C1854" s="34" t="s">
        <v>746</v>
      </c>
      <c r="D1854" s="53" t="str">
        <f>VLOOKUP(Sales[[#This Row],[Customer ID]],Customer[#All],2,0)</f>
        <v>Sunita Kumar</v>
      </c>
      <c r="E1854" s="34" t="s">
        <v>291</v>
      </c>
      <c r="F1854" s="34" t="str">
        <f>VLOOKUP(Sales[[#This Row],[Product ID]],Product[#All],2,0)</f>
        <v>Jbl Speaker</v>
      </c>
      <c r="G1854" s="53">
        <v>2</v>
      </c>
      <c r="H1854" s="165">
        <f>VLOOKUP(Sales[[#This Row],[Product ID]],Product[#All],7,0)</f>
        <v>12040</v>
      </c>
      <c r="I1854" s="165">
        <f>Sales[[#This Row],[Selling Rate]]*Sales[[#This Row],[Qty]]</f>
        <v>24080</v>
      </c>
      <c r="J1854" s="45">
        <v>0</v>
      </c>
      <c r="K1854" s="46">
        <f>Sales[[#This Row],[Gross Amount]]*Sales[[#This Row],[Disc %]]</f>
        <v>0</v>
      </c>
      <c r="L1854" s="43">
        <v>0.18</v>
      </c>
      <c r="M1854" s="46">
        <f>(Sales[[#This Row],[Gross Amount]]-Sales[[#This Row],[Disc. Amt.]])*Sales[[#This Row],[GST %]]</f>
        <v>4334.3999999999996</v>
      </c>
      <c r="N1854" s="161">
        <f>Sales[[#This Row],[Gross Amount]]-Sales[[#This Row],[Disc. Amt.]]+Sales[[#This Row],[GST Amount]]</f>
        <v>28414.400000000001</v>
      </c>
      <c r="O1854" s="34" t="s">
        <v>3566</v>
      </c>
      <c r="P1854" s="34" t="s">
        <v>3562</v>
      </c>
      <c r="Q1854" s="165">
        <f>IF(Sales[[#This Row],[Status]]="Cancelled",0,Sales[[#This Row],[Qty]])</f>
        <v>2</v>
      </c>
      <c r="R1854" s="166">
        <f>IF(Sales[[#This Row],[Status]]="Cancelled",0,Sales[[#This Row],[Total Amount]])</f>
        <v>28414.400000000001</v>
      </c>
      <c r="S1854" s="162">
        <f>SUM(Sales[Net Amount])</f>
        <v>406839287.73200053</v>
      </c>
    </row>
    <row r="1855" spans="1:19" ht="18.75" x14ac:dyDescent="0.25">
      <c r="A1855" s="156" t="s">
        <v>5468</v>
      </c>
      <c r="B1855" s="157">
        <v>45873</v>
      </c>
      <c r="C1855" s="158" t="s">
        <v>908</v>
      </c>
      <c r="D1855" s="159" t="str">
        <f>VLOOKUP(Sales[[#This Row],[Customer ID]],Customer[#All],2,0)</f>
        <v>Rahul Singh</v>
      </c>
      <c r="E1855" s="158" t="s">
        <v>425</v>
      </c>
      <c r="F1855" s="158" t="str">
        <f>VLOOKUP(Sales[[#This Row],[Product ID]],Product[#All],2,0)</f>
        <v>WD HDD</v>
      </c>
      <c r="G1855" s="159">
        <v>8</v>
      </c>
      <c r="H1855" s="160">
        <f>VLOOKUP(Sales[[#This Row],[Product ID]],Product[#All],7,0)</f>
        <v>7660</v>
      </c>
      <c r="I1855" s="160">
        <f>Sales[[#This Row],[Selling Rate]]*Sales[[#This Row],[Qty]]</f>
        <v>61280</v>
      </c>
      <c r="J1855" s="43">
        <v>0.12</v>
      </c>
      <c r="K1855" s="44">
        <f>Sales[[#This Row],[Gross Amount]]*Sales[[#This Row],[Disc %]]</f>
        <v>7353.5999999999995</v>
      </c>
      <c r="L1855" s="43">
        <v>0.18</v>
      </c>
      <c r="M1855" s="44">
        <f>(Sales[[#This Row],[Gross Amount]]-Sales[[#This Row],[Disc. Amt.]])*Sales[[#This Row],[GST %]]</f>
        <v>9706.7520000000004</v>
      </c>
      <c r="N1855" s="161">
        <f>Sales[[#This Row],[Gross Amount]]-Sales[[#This Row],[Disc. Amt.]]+Sales[[#This Row],[GST Amount]]</f>
        <v>63633.152000000002</v>
      </c>
      <c r="O1855" s="158" t="s">
        <v>3561</v>
      </c>
      <c r="P1855" s="158" t="s">
        <v>3562</v>
      </c>
      <c r="Q1855" s="160">
        <f>IF(Sales[[#This Row],[Status]]="Cancelled",0,Sales[[#This Row],[Qty]])</f>
        <v>8</v>
      </c>
      <c r="R1855" s="161">
        <f>IF(Sales[[#This Row],[Status]]="Cancelled",0,Sales[[#This Row],[Total Amount]])</f>
        <v>63633.152000000002</v>
      </c>
      <c r="S1855" s="162">
        <f>SUM(Sales[Net Amount])</f>
        <v>406839287.73200053</v>
      </c>
    </row>
    <row r="1856" spans="1:19" ht="18.75" x14ac:dyDescent="0.25">
      <c r="A1856" s="163" t="s">
        <v>5469</v>
      </c>
      <c r="B1856" s="164">
        <v>45873</v>
      </c>
      <c r="C1856" s="34" t="s">
        <v>727</v>
      </c>
      <c r="D1856" s="53" t="str">
        <f>VLOOKUP(Sales[[#This Row],[Customer ID]],Customer[#All],2,0)</f>
        <v>Sahil Sharma</v>
      </c>
      <c r="E1856" s="34" t="s">
        <v>177</v>
      </c>
      <c r="F1856" s="34" t="str">
        <f>VLOOKUP(Sales[[#This Row],[Product ID]],Product[#All],2,0)</f>
        <v>Dell Laptop</v>
      </c>
      <c r="G1856" s="53">
        <v>7</v>
      </c>
      <c r="H1856" s="165">
        <f>VLOOKUP(Sales[[#This Row],[Product ID]],Product[#All],7,0)</f>
        <v>56790</v>
      </c>
      <c r="I1856" s="165">
        <f>Sales[[#This Row],[Selling Rate]]*Sales[[#This Row],[Qty]]</f>
        <v>397530</v>
      </c>
      <c r="J1856" s="45">
        <v>0</v>
      </c>
      <c r="K1856" s="46">
        <f>Sales[[#This Row],[Gross Amount]]*Sales[[#This Row],[Disc %]]</f>
        <v>0</v>
      </c>
      <c r="L1856" s="43">
        <v>0.18</v>
      </c>
      <c r="M1856" s="46">
        <f>(Sales[[#This Row],[Gross Amount]]-Sales[[#This Row],[Disc. Amt.]])*Sales[[#This Row],[GST %]]</f>
        <v>71555.399999999994</v>
      </c>
      <c r="N1856" s="161">
        <f>Sales[[#This Row],[Gross Amount]]-Sales[[#This Row],[Disc. Amt.]]+Sales[[#This Row],[GST Amount]]</f>
        <v>469085.4</v>
      </c>
      <c r="O1856" s="34" t="s">
        <v>3566</v>
      </c>
      <c r="P1856" s="34" t="s">
        <v>3562</v>
      </c>
      <c r="Q1856" s="165">
        <f>IF(Sales[[#This Row],[Status]]="Cancelled",0,Sales[[#This Row],[Qty]])</f>
        <v>7</v>
      </c>
      <c r="R1856" s="166">
        <f>IF(Sales[[#This Row],[Status]]="Cancelled",0,Sales[[#This Row],[Total Amount]])</f>
        <v>469085.4</v>
      </c>
      <c r="S1856" s="162">
        <f>SUM(Sales[Net Amount])</f>
        <v>406839287.73200053</v>
      </c>
    </row>
    <row r="1857" spans="1:19" ht="18.75" x14ac:dyDescent="0.25">
      <c r="A1857" s="156" t="s">
        <v>5470</v>
      </c>
      <c r="B1857" s="157">
        <v>45873</v>
      </c>
      <c r="C1857" s="158" t="s">
        <v>916</v>
      </c>
      <c r="D1857" s="159" t="str">
        <f>VLOOKUP(Sales[[#This Row],[Customer ID]],Customer[#All],2,0)</f>
        <v>Ankit Singh</v>
      </c>
      <c r="E1857" s="158" t="s">
        <v>331</v>
      </c>
      <c r="F1857" s="158" t="str">
        <f>VLOOKUP(Sales[[#This Row],[Product ID]],Product[#All],2,0)</f>
        <v>Dell Keyboard</v>
      </c>
      <c r="G1857" s="159">
        <v>6</v>
      </c>
      <c r="H1857" s="160">
        <f>VLOOKUP(Sales[[#This Row],[Product ID]],Product[#All],7,0)</f>
        <v>2070</v>
      </c>
      <c r="I1857" s="160">
        <f>Sales[[#This Row],[Selling Rate]]*Sales[[#This Row],[Qty]]</f>
        <v>12420</v>
      </c>
      <c r="J1857" s="43">
        <v>0.05</v>
      </c>
      <c r="K1857" s="44">
        <f>Sales[[#This Row],[Gross Amount]]*Sales[[#This Row],[Disc %]]</f>
        <v>621</v>
      </c>
      <c r="L1857" s="43">
        <v>0.18</v>
      </c>
      <c r="M1857" s="44">
        <f>(Sales[[#This Row],[Gross Amount]]-Sales[[#This Row],[Disc. Amt.]])*Sales[[#This Row],[GST %]]</f>
        <v>2123.8199999999997</v>
      </c>
      <c r="N1857" s="161">
        <f>Sales[[#This Row],[Gross Amount]]-Sales[[#This Row],[Disc. Amt.]]+Sales[[#This Row],[GST Amount]]</f>
        <v>13922.82</v>
      </c>
      <c r="O1857" s="158" t="s">
        <v>3569</v>
      </c>
      <c r="P1857" s="158" t="s">
        <v>3562</v>
      </c>
      <c r="Q1857" s="160">
        <f>IF(Sales[[#This Row],[Status]]="Cancelled",0,Sales[[#This Row],[Qty]])</f>
        <v>6</v>
      </c>
      <c r="R1857" s="161">
        <f>IF(Sales[[#This Row],[Status]]="Cancelled",0,Sales[[#This Row],[Total Amount]])</f>
        <v>13922.82</v>
      </c>
      <c r="S1857" s="162">
        <f>SUM(Sales[Net Amount])</f>
        <v>406839287.73200053</v>
      </c>
    </row>
    <row r="1858" spans="1:19" ht="18.75" x14ac:dyDescent="0.25">
      <c r="A1858" s="163" t="s">
        <v>5471</v>
      </c>
      <c r="B1858" s="164">
        <v>45873</v>
      </c>
      <c r="C1858" s="34" t="s">
        <v>929</v>
      </c>
      <c r="D1858" s="53" t="str">
        <f>VLOOKUP(Sales[[#This Row],[Customer ID]],Customer[#All],2,0)</f>
        <v>Sunita Gupta</v>
      </c>
      <c r="E1858" s="34" t="s">
        <v>128</v>
      </c>
      <c r="F1858" s="34" t="str">
        <f>VLOOKUP(Sales[[#This Row],[Product ID]],Product[#All],2,0)</f>
        <v>American TouristerLaptopBag</v>
      </c>
      <c r="G1858" s="53">
        <v>7</v>
      </c>
      <c r="H1858" s="165">
        <f>VLOOKUP(Sales[[#This Row],[Product ID]],Product[#All],7,0)</f>
        <v>2990</v>
      </c>
      <c r="I1858" s="165">
        <f>Sales[[#This Row],[Selling Rate]]*Sales[[#This Row],[Qty]]</f>
        <v>20930</v>
      </c>
      <c r="J1858" s="45">
        <v>0.15</v>
      </c>
      <c r="K1858" s="46">
        <f>Sales[[#This Row],[Gross Amount]]*Sales[[#This Row],[Disc %]]</f>
        <v>3139.5</v>
      </c>
      <c r="L1858" s="43">
        <v>0.18</v>
      </c>
      <c r="M1858" s="46">
        <f>(Sales[[#This Row],[Gross Amount]]-Sales[[#This Row],[Disc. Amt.]])*Sales[[#This Row],[GST %]]</f>
        <v>3202.29</v>
      </c>
      <c r="N1858" s="161">
        <f>Sales[[#This Row],[Gross Amount]]-Sales[[#This Row],[Disc. Amt.]]+Sales[[#This Row],[GST Amount]]</f>
        <v>20992.79</v>
      </c>
      <c r="O1858" s="34" t="s">
        <v>8876</v>
      </c>
      <c r="P1858" s="34" t="s">
        <v>3562</v>
      </c>
      <c r="Q1858" s="165">
        <f>IF(Sales[[#This Row],[Status]]="Cancelled",0,Sales[[#This Row],[Qty]])</f>
        <v>7</v>
      </c>
      <c r="R1858" s="166">
        <f>IF(Sales[[#This Row],[Status]]="Cancelled",0,Sales[[#This Row],[Total Amount]])</f>
        <v>20992.79</v>
      </c>
      <c r="S1858" s="162">
        <f>SUM(Sales[Net Amount])</f>
        <v>406839287.73200053</v>
      </c>
    </row>
    <row r="1859" spans="1:19" ht="18.75" x14ac:dyDescent="0.25">
      <c r="A1859" s="156" t="s">
        <v>5472</v>
      </c>
      <c r="B1859" s="157">
        <v>45873</v>
      </c>
      <c r="C1859" s="158" t="s">
        <v>719</v>
      </c>
      <c r="D1859" s="159" t="str">
        <f>VLOOKUP(Sales[[#This Row],[Customer ID]],Customer[#All],2,0)</f>
        <v>Priya Verma</v>
      </c>
      <c r="E1859" s="158" t="s">
        <v>188</v>
      </c>
      <c r="F1859" s="158" t="str">
        <f>VLOOKUP(Sales[[#This Row],[Product ID]],Product[#All],2,0)</f>
        <v>Crucial Ssd</v>
      </c>
      <c r="G1859" s="159">
        <v>1</v>
      </c>
      <c r="H1859" s="160">
        <f>VLOOKUP(Sales[[#This Row],[Product ID]],Product[#All],7,0)</f>
        <v>14390</v>
      </c>
      <c r="I1859" s="160">
        <f>Sales[[#This Row],[Selling Rate]]*Sales[[#This Row],[Qty]]</f>
        <v>14390</v>
      </c>
      <c r="J1859" s="43">
        <v>0</v>
      </c>
      <c r="K1859" s="44">
        <f>Sales[[#This Row],[Gross Amount]]*Sales[[#This Row],[Disc %]]</f>
        <v>0</v>
      </c>
      <c r="L1859" s="43">
        <v>0.18</v>
      </c>
      <c r="M1859" s="44">
        <f>(Sales[[#This Row],[Gross Amount]]-Sales[[#This Row],[Disc. Amt.]])*Sales[[#This Row],[GST %]]</f>
        <v>2590.1999999999998</v>
      </c>
      <c r="N1859" s="161">
        <f>Sales[[#This Row],[Gross Amount]]-Sales[[#This Row],[Disc. Amt.]]+Sales[[#This Row],[GST Amount]]</f>
        <v>16980.2</v>
      </c>
      <c r="O1859" s="158" t="s">
        <v>8876</v>
      </c>
      <c r="P1859" s="158" t="s">
        <v>1040</v>
      </c>
      <c r="Q1859" s="160">
        <f>IF(Sales[[#This Row],[Status]]="Cancelled",0,Sales[[#This Row],[Qty]])</f>
        <v>0</v>
      </c>
      <c r="R1859" s="161">
        <f>IF(Sales[[#This Row],[Status]]="Cancelled",0,Sales[[#This Row],[Total Amount]])</f>
        <v>0</v>
      </c>
      <c r="S1859" s="162">
        <f>SUM(Sales[Net Amount])</f>
        <v>406839287.73200053</v>
      </c>
    </row>
    <row r="1860" spans="1:19" ht="18.75" x14ac:dyDescent="0.25">
      <c r="A1860" s="163" t="s">
        <v>5473</v>
      </c>
      <c r="B1860" s="164">
        <v>45873</v>
      </c>
      <c r="C1860" s="34" t="s">
        <v>732</v>
      </c>
      <c r="D1860" s="53" t="str">
        <f>VLOOKUP(Sales[[#This Row],[Customer ID]],Customer[#All],2,0)</f>
        <v>Sunita Gupta</v>
      </c>
      <c r="E1860" s="34" t="s">
        <v>476</v>
      </c>
      <c r="F1860" s="34" t="str">
        <f>VLOOKUP(Sales[[#This Row],[Product ID]],Product[#All],2,0)</f>
        <v>Sandisk Pen Drive</v>
      </c>
      <c r="G1860" s="53">
        <v>3</v>
      </c>
      <c r="H1860" s="165">
        <f>VLOOKUP(Sales[[#This Row],[Product ID]],Product[#All],7,0)</f>
        <v>650</v>
      </c>
      <c r="I1860" s="165">
        <f>Sales[[#This Row],[Selling Rate]]*Sales[[#This Row],[Qty]]</f>
        <v>1950</v>
      </c>
      <c r="J1860" s="45">
        <v>0.1</v>
      </c>
      <c r="K1860" s="46">
        <f>Sales[[#This Row],[Gross Amount]]*Sales[[#This Row],[Disc %]]</f>
        <v>195</v>
      </c>
      <c r="L1860" s="43">
        <v>0.18</v>
      </c>
      <c r="M1860" s="46">
        <f>(Sales[[#This Row],[Gross Amount]]-Sales[[#This Row],[Disc. Amt.]])*Sales[[#This Row],[GST %]]</f>
        <v>315.89999999999998</v>
      </c>
      <c r="N1860" s="161">
        <f>Sales[[#This Row],[Gross Amount]]-Sales[[#This Row],[Disc. Amt.]]+Sales[[#This Row],[GST Amount]]</f>
        <v>2070.9</v>
      </c>
      <c r="O1860" s="34" t="s">
        <v>3566</v>
      </c>
      <c r="P1860" s="34" t="s">
        <v>3562</v>
      </c>
      <c r="Q1860" s="165">
        <f>IF(Sales[[#This Row],[Status]]="Cancelled",0,Sales[[#This Row],[Qty]])</f>
        <v>3</v>
      </c>
      <c r="R1860" s="166">
        <f>IF(Sales[[#This Row],[Status]]="Cancelled",0,Sales[[#This Row],[Total Amount]])</f>
        <v>2070.9</v>
      </c>
      <c r="S1860" s="162">
        <f>SUM(Sales[Net Amount])</f>
        <v>406839287.73200053</v>
      </c>
    </row>
    <row r="1861" spans="1:19" ht="18.75" x14ac:dyDescent="0.25">
      <c r="A1861" s="156" t="s">
        <v>5474</v>
      </c>
      <c r="B1861" s="157">
        <v>45873</v>
      </c>
      <c r="C1861" s="158" t="s">
        <v>679</v>
      </c>
      <c r="D1861" s="159" t="str">
        <f>VLOOKUP(Sales[[#This Row],[Customer ID]],Customer[#All],2,0)</f>
        <v>Rahul Singh</v>
      </c>
      <c r="E1861" s="158" t="s">
        <v>374</v>
      </c>
      <c r="F1861" s="158" t="str">
        <f>VLOOKUP(Sales[[#This Row],[Product ID]],Product[#All],2,0)</f>
        <v>Boat Headset</v>
      </c>
      <c r="G1861" s="159">
        <v>5</v>
      </c>
      <c r="H1861" s="160">
        <f>VLOOKUP(Sales[[#This Row],[Product ID]],Product[#All],7,0)</f>
        <v>3010</v>
      </c>
      <c r="I1861" s="160">
        <f>Sales[[#This Row],[Selling Rate]]*Sales[[#This Row],[Qty]]</f>
        <v>15050</v>
      </c>
      <c r="J1861" s="43">
        <v>0.05</v>
      </c>
      <c r="K1861" s="44">
        <f>Sales[[#This Row],[Gross Amount]]*Sales[[#This Row],[Disc %]]</f>
        <v>752.5</v>
      </c>
      <c r="L1861" s="43">
        <v>0.18</v>
      </c>
      <c r="M1861" s="44">
        <f>(Sales[[#This Row],[Gross Amount]]-Sales[[#This Row],[Disc. Amt.]])*Sales[[#This Row],[GST %]]</f>
        <v>2573.5499999999997</v>
      </c>
      <c r="N1861" s="161">
        <f>Sales[[#This Row],[Gross Amount]]-Sales[[#This Row],[Disc. Amt.]]+Sales[[#This Row],[GST Amount]]</f>
        <v>16871.05</v>
      </c>
      <c r="O1861" s="158" t="s">
        <v>3569</v>
      </c>
      <c r="P1861" s="158" t="s">
        <v>3562</v>
      </c>
      <c r="Q1861" s="160">
        <f>IF(Sales[[#This Row],[Status]]="Cancelled",0,Sales[[#This Row],[Qty]])</f>
        <v>5</v>
      </c>
      <c r="R1861" s="161">
        <f>IF(Sales[[#This Row],[Status]]="Cancelled",0,Sales[[#This Row],[Total Amount]])</f>
        <v>16871.05</v>
      </c>
      <c r="S1861" s="162">
        <f>SUM(Sales[Net Amount])</f>
        <v>406839287.73200053</v>
      </c>
    </row>
    <row r="1862" spans="1:19" ht="18.75" x14ac:dyDescent="0.25">
      <c r="A1862" s="163" t="s">
        <v>5475</v>
      </c>
      <c r="B1862" s="164">
        <v>45873</v>
      </c>
      <c r="C1862" s="34" t="s">
        <v>807</v>
      </c>
      <c r="D1862" s="53" t="str">
        <f>VLOOKUP(Sales[[#This Row],[Customer ID]],Customer[#All],2,0)</f>
        <v>Rakesh Patel</v>
      </c>
      <c r="E1862" s="34" t="s">
        <v>147</v>
      </c>
      <c r="F1862" s="34" t="str">
        <f>VLOOKUP(Sales[[#This Row],[Product ID]],Product[#All],2,0)</f>
        <v>HP Power Adapter</v>
      </c>
      <c r="G1862" s="53">
        <v>8</v>
      </c>
      <c r="H1862" s="165">
        <f>VLOOKUP(Sales[[#This Row],[Product ID]],Product[#All],7,0)</f>
        <v>4680</v>
      </c>
      <c r="I1862" s="165">
        <f>Sales[[#This Row],[Selling Rate]]*Sales[[#This Row],[Qty]]</f>
        <v>37440</v>
      </c>
      <c r="J1862" s="45">
        <v>0</v>
      </c>
      <c r="K1862" s="46">
        <f>Sales[[#This Row],[Gross Amount]]*Sales[[#This Row],[Disc %]]</f>
        <v>0</v>
      </c>
      <c r="L1862" s="43">
        <v>0.18</v>
      </c>
      <c r="M1862" s="46">
        <f>(Sales[[#This Row],[Gross Amount]]-Sales[[#This Row],[Disc. Amt.]])*Sales[[#This Row],[GST %]]</f>
        <v>6739.2</v>
      </c>
      <c r="N1862" s="161">
        <f>Sales[[#This Row],[Gross Amount]]-Sales[[#This Row],[Disc. Amt.]]+Sales[[#This Row],[GST Amount]]</f>
        <v>44179.199999999997</v>
      </c>
      <c r="O1862" s="34" t="s">
        <v>3569</v>
      </c>
      <c r="P1862" s="34" t="s">
        <v>3562</v>
      </c>
      <c r="Q1862" s="165">
        <f>IF(Sales[[#This Row],[Status]]="Cancelled",0,Sales[[#This Row],[Qty]])</f>
        <v>8</v>
      </c>
      <c r="R1862" s="166">
        <f>IF(Sales[[#This Row],[Status]]="Cancelled",0,Sales[[#This Row],[Total Amount]])</f>
        <v>44179.199999999997</v>
      </c>
      <c r="S1862" s="162">
        <f>SUM(Sales[Net Amount])</f>
        <v>406839287.73200053</v>
      </c>
    </row>
    <row r="1863" spans="1:19" ht="18.75" x14ac:dyDescent="0.25">
      <c r="A1863" s="156" t="s">
        <v>5476</v>
      </c>
      <c r="B1863" s="157">
        <v>45873</v>
      </c>
      <c r="C1863" s="158" t="s">
        <v>683</v>
      </c>
      <c r="D1863" s="159" t="str">
        <f>VLOOKUP(Sales[[#This Row],[Customer ID]],Customer[#All],2,0)</f>
        <v>Rahul Kumar</v>
      </c>
      <c r="E1863" s="158" t="s">
        <v>451</v>
      </c>
      <c r="F1863" s="158" t="str">
        <f>VLOOKUP(Sales[[#This Row],[Product ID]],Product[#All],2,0)</f>
        <v>HP Printer</v>
      </c>
      <c r="G1863" s="159">
        <v>7</v>
      </c>
      <c r="H1863" s="160">
        <f>VLOOKUP(Sales[[#This Row],[Product ID]],Product[#All],7,0)</f>
        <v>36160</v>
      </c>
      <c r="I1863" s="160">
        <f>Sales[[#This Row],[Selling Rate]]*Sales[[#This Row],[Qty]]</f>
        <v>253120</v>
      </c>
      <c r="J1863" s="43">
        <v>0</v>
      </c>
      <c r="K1863" s="44">
        <f>Sales[[#This Row],[Gross Amount]]*Sales[[#This Row],[Disc %]]</f>
        <v>0</v>
      </c>
      <c r="L1863" s="43">
        <v>0.18</v>
      </c>
      <c r="M1863" s="44">
        <f>(Sales[[#This Row],[Gross Amount]]-Sales[[#This Row],[Disc. Amt.]])*Sales[[#This Row],[GST %]]</f>
        <v>45561.599999999999</v>
      </c>
      <c r="N1863" s="161">
        <f>Sales[[#This Row],[Gross Amount]]-Sales[[#This Row],[Disc. Amt.]]+Sales[[#This Row],[GST Amount]]</f>
        <v>298681.59999999998</v>
      </c>
      <c r="O1863" s="158" t="s">
        <v>3566</v>
      </c>
      <c r="P1863" s="158" t="s">
        <v>3562</v>
      </c>
      <c r="Q1863" s="160">
        <f>IF(Sales[[#This Row],[Status]]="Cancelled",0,Sales[[#This Row],[Qty]])</f>
        <v>7</v>
      </c>
      <c r="R1863" s="161">
        <f>IF(Sales[[#This Row],[Status]]="Cancelled",0,Sales[[#This Row],[Total Amount]])</f>
        <v>298681.59999999998</v>
      </c>
      <c r="S1863" s="162">
        <f>SUM(Sales[Net Amount])</f>
        <v>406839287.73200053</v>
      </c>
    </row>
    <row r="1864" spans="1:19" ht="18.75" x14ac:dyDescent="0.25">
      <c r="A1864" s="163" t="s">
        <v>5477</v>
      </c>
      <c r="B1864" s="164">
        <v>45873</v>
      </c>
      <c r="C1864" s="34" t="s">
        <v>777</v>
      </c>
      <c r="D1864" s="53" t="str">
        <f>VLOOKUP(Sales[[#This Row],[Customer ID]],Customer[#All],2,0)</f>
        <v>Neha Sharma</v>
      </c>
      <c r="E1864" s="34" t="s">
        <v>452</v>
      </c>
      <c r="F1864" s="34" t="str">
        <f>VLOOKUP(Sales[[#This Row],[Product ID]],Product[#All],2,0)</f>
        <v>Amazon Basics Hdmi Cable</v>
      </c>
      <c r="G1864" s="53">
        <v>3</v>
      </c>
      <c r="H1864" s="165">
        <f>VLOOKUP(Sales[[#This Row],[Product ID]],Product[#All],7,0)</f>
        <v>920</v>
      </c>
      <c r="I1864" s="165">
        <f>Sales[[#This Row],[Selling Rate]]*Sales[[#This Row],[Qty]]</f>
        <v>2760</v>
      </c>
      <c r="J1864" s="45">
        <v>0.12</v>
      </c>
      <c r="K1864" s="46">
        <f>Sales[[#This Row],[Gross Amount]]*Sales[[#This Row],[Disc %]]</f>
        <v>331.2</v>
      </c>
      <c r="L1864" s="43">
        <v>0.18</v>
      </c>
      <c r="M1864" s="46">
        <f>(Sales[[#This Row],[Gross Amount]]-Sales[[#This Row],[Disc. Amt.]])*Sales[[#This Row],[GST %]]</f>
        <v>437.18400000000003</v>
      </c>
      <c r="N1864" s="161">
        <f>Sales[[#This Row],[Gross Amount]]-Sales[[#This Row],[Disc. Amt.]]+Sales[[#This Row],[GST Amount]]</f>
        <v>2865.9840000000004</v>
      </c>
      <c r="O1864" s="34" t="s">
        <v>3569</v>
      </c>
      <c r="P1864" s="34" t="s">
        <v>3562</v>
      </c>
      <c r="Q1864" s="165">
        <f>IF(Sales[[#This Row],[Status]]="Cancelled",0,Sales[[#This Row],[Qty]])</f>
        <v>3</v>
      </c>
      <c r="R1864" s="166">
        <f>IF(Sales[[#This Row],[Status]]="Cancelled",0,Sales[[#This Row],[Total Amount]])</f>
        <v>2865.9840000000004</v>
      </c>
      <c r="S1864" s="162">
        <f>SUM(Sales[Net Amount])</f>
        <v>406839287.73200053</v>
      </c>
    </row>
    <row r="1865" spans="1:19" ht="18.75" x14ac:dyDescent="0.25">
      <c r="A1865" s="156" t="s">
        <v>5478</v>
      </c>
      <c r="B1865" s="157">
        <v>45873</v>
      </c>
      <c r="C1865" s="158" t="s">
        <v>659</v>
      </c>
      <c r="D1865" s="159" t="str">
        <f>VLOOKUP(Sales[[#This Row],[Customer ID]],Customer[#All],2,0)</f>
        <v>Rakesh Sharma</v>
      </c>
      <c r="E1865" s="158" t="s">
        <v>116</v>
      </c>
      <c r="F1865" s="158" t="str">
        <f>VLOOKUP(Sales[[#This Row],[Product ID]],Product[#All],2,0)</f>
        <v>Epson Printer</v>
      </c>
      <c r="G1865" s="159">
        <v>7</v>
      </c>
      <c r="H1865" s="160">
        <f>VLOOKUP(Sales[[#This Row],[Product ID]],Product[#All],7,0)</f>
        <v>38550</v>
      </c>
      <c r="I1865" s="160">
        <f>Sales[[#This Row],[Selling Rate]]*Sales[[#This Row],[Qty]]</f>
        <v>269850</v>
      </c>
      <c r="J1865" s="43">
        <v>0.02</v>
      </c>
      <c r="K1865" s="44">
        <f>Sales[[#This Row],[Gross Amount]]*Sales[[#This Row],[Disc %]]</f>
        <v>5397</v>
      </c>
      <c r="L1865" s="43">
        <v>0.18</v>
      </c>
      <c r="M1865" s="44">
        <f>(Sales[[#This Row],[Gross Amount]]-Sales[[#This Row],[Disc. Amt.]])*Sales[[#This Row],[GST %]]</f>
        <v>47601.54</v>
      </c>
      <c r="N1865" s="161">
        <f>Sales[[#This Row],[Gross Amount]]-Sales[[#This Row],[Disc. Amt.]]+Sales[[#This Row],[GST Amount]]</f>
        <v>312054.53999999998</v>
      </c>
      <c r="O1865" s="158" t="s">
        <v>3569</v>
      </c>
      <c r="P1865" s="158" t="s">
        <v>3562</v>
      </c>
      <c r="Q1865" s="160">
        <f>IF(Sales[[#This Row],[Status]]="Cancelled",0,Sales[[#This Row],[Qty]])</f>
        <v>7</v>
      </c>
      <c r="R1865" s="161">
        <f>IF(Sales[[#This Row],[Status]]="Cancelled",0,Sales[[#This Row],[Total Amount]])</f>
        <v>312054.53999999998</v>
      </c>
      <c r="S1865" s="162">
        <f>SUM(Sales[Net Amount])</f>
        <v>406839287.73200053</v>
      </c>
    </row>
    <row r="1866" spans="1:19" ht="18.75" x14ac:dyDescent="0.25">
      <c r="A1866" s="163" t="s">
        <v>5479</v>
      </c>
      <c r="B1866" s="164">
        <v>45873</v>
      </c>
      <c r="C1866" s="34" t="s">
        <v>894</v>
      </c>
      <c r="D1866" s="53" t="str">
        <f>VLOOKUP(Sales[[#This Row],[Customer ID]],Customer[#All],2,0)</f>
        <v>Sunita Patel</v>
      </c>
      <c r="E1866" s="34" t="s">
        <v>290</v>
      </c>
      <c r="F1866" s="34" t="str">
        <f>VLOOKUP(Sales[[#This Row],[Product ID]],Product[#All],2,0)</f>
        <v>Crucial Ssd</v>
      </c>
      <c r="G1866" s="53">
        <v>5</v>
      </c>
      <c r="H1866" s="165">
        <f>VLOOKUP(Sales[[#This Row],[Product ID]],Product[#All],7,0)</f>
        <v>7650</v>
      </c>
      <c r="I1866" s="165">
        <f>Sales[[#This Row],[Selling Rate]]*Sales[[#This Row],[Qty]]</f>
        <v>38250</v>
      </c>
      <c r="J1866" s="45">
        <v>0</v>
      </c>
      <c r="K1866" s="46">
        <f>Sales[[#This Row],[Gross Amount]]*Sales[[#This Row],[Disc %]]</f>
        <v>0</v>
      </c>
      <c r="L1866" s="43">
        <v>0.18</v>
      </c>
      <c r="M1866" s="46">
        <f>(Sales[[#This Row],[Gross Amount]]-Sales[[#This Row],[Disc. Amt.]])*Sales[[#This Row],[GST %]]</f>
        <v>6885</v>
      </c>
      <c r="N1866" s="161">
        <f>Sales[[#This Row],[Gross Amount]]-Sales[[#This Row],[Disc. Amt.]]+Sales[[#This Row],[GST Amount]]</f>
        <v>45135</v>
      </c>
      <c r="O1866" s="34" t="s">
        <v>3569</v>
      </c>
      <c r="P1866" s="34" t="s">
        <v>3562</v>
      </c>
      <c r="Q1866" s="165">
        <f>IF(Sales[[#This Row],[Status]]="Cancelled",0,Sales[[#This Row],[Qty]])</f>
        <v>5</v>
      </c>
      <c r="R1866" s="166">
        <f>IF(Sales[[#This Row],[Status]]="Cancelled",0,Sales[[#This Row],[Total Amount]])</f>
        <v>45135</v>
      </c>
      <c r="S1866" s="162">
        <f>SUM(Sales[Net Amount])</f>
        <v>406839287.73200053</v>
      </c>
    </row>
    <row r="1867" spans="1:19" ht="18.75" x14ac:dyDescent="0.25">
      <c r="A1867" s="156" t="s">
        <v>5480</v>
      </c>
      <c r="B1867" s="157">
        <v>45873</v>
      </c>
      <c r="C1867" s="158" t="s">
        <v>904</v>
      </c>
      <c r="D1867" s="159" t="str">
        <f>VLOOKUP(Sales[[#This Row],[Customer ID]],Customer[#All],2,0)</f>
        <v>Sahil Patel</v>
      </c>
      <c r="E1867" s="158" t="s">
        <v>374</v>
      </c>
      <c r="F1867" s="158" t="str">
        <f>VLOOKUP(Sales[[#This Row],[Product ID]],Product[#All],2,0)</f>
        <v>Boat Headset</v>
      </c>
      <c r="G1867" s="159">
        <v>2</v>
      </c>
      <c r="H1867" s="160">
        <f>VLOOKUP(Sales[[#This Row],[Product ID]],Product[#All],7,0)</f>
        <v>3010</v>
      </c>
      <c r="I1867" s="160">
        <f>Sales[[#This Row],[Selling Rate]]*Sales[[#This Row],[Qty]]</f>
        <v>6020</v>
      </c>
      <c r="J1867" s="43">
        <v>0.1</v>
      </c>
      <c r="K1867" s="44">
        <f>Sales[[#This Row],[Gross Amount]]*Sales[[#This Row],[Disc %]]</f>
        <v>602</v>
      </c>
      <c r="L1867" s="43">
        <v>0.18</v>
      </c>
      <c r="M1867" s="44">
        <f>(Sales[[#This Row],[Gross Amount]]-Sales[[#This Row],[Disc. Amt.]])*Sales[[#This Row],[GST %]]</f>
        <v>975.24</v>
      </c>
      <c r="N1867" s="161">
        <f>Sales[[#This Row],[Gross Amount]]-Sales[[#This Row],[Disc. Amt.]]+Sales[[#This Row],[GST Amount]]</f>
        <v>6393.24</v>
      </c>
      <c r="O1867" s="158" t="s">
        <v>3569</v>
      </c>
      <c r="P1867" s="158" t="s">
        <v>3562</v>
      </c>
      <c r="Q1867" s="160">
        <f>IF(Sales[[#This Row],[Status]]="Cancelled",0,Sales[[#This Row],[Qty]])</f>
        <v>2</v>
      </c>
      <c r="R1867" s="161">
        <f>IF(Sales[[#This Row],[Status]]="Cancelled",0,Sales[[#This Row],[Total Amount]])</f>
        <v>6393.24</v>
      </c>
      <c r="S1867" s="162">
        <f>SUM(Sales[Net Amount])</f>
        <v>406839287.73200053</v>
      </c>
    </row>
    <row r="1868" spans="1:19" ht="18.75" x14ac:dyDescent="0.25">
      <c r="A1868" s="163" t="s">
        <v>5481</v>
      </c>
      <c r="B1868" s="164">
        <v>45873</v>
      </c>
      <c r="C1868" s="34" t="s">
        <v>669</v>
      </c>
      <c r="D1868" s="53" t="str">
        <f>VLOOKUP(Sales[[#This Row],[Customer ID]],Customer[#All],2,0)</f>
        <v>Sahil Kumar</v>
      </c>
      <c r="E1868" s="34" t="s">
        <v>536</v>
      </c>
      <c r="F1868" s="34" t="str">
        <f>VLOOKUP(Sales[[#This Row],[Product ID]],Product[#All],2,0)</f>
        <v>Logitech Keyboard</v>
      </c>
      <c r="G1868" s="53">
        <v>6</v>
      </c>
      <c r="H1868" s="165">
        <f>VLOOKUP(Sales[[#This Row],[Product ID]],Product[#All],7,0)</f>
        <v>1160</v>
      </c>
      <c r="I1868" s="165">
        <f>Sales[[#This Row],[Selling Rate]]*Sales[[#This Row],[Qty]]</f>
        <v>6960</v>
      </c>
      <c r="J1868" s="45">
        <v>0.1</v>
      </c>
      <c r="K1868" s="46">
        <f>Sales[[#This Row],[Gross Amount]]*Sales[[#This Row],[Disc %]]</f>
        <v>696</v>
      </c>
      <c r="L1868" s="43">
        <v>0.18</v>
      </c>
      <c r="M1868" s="46">
        <f>(Sales[[#This Row],[Gross Amount]]-Sales[[#This Row],[Disc. Amt.]])*Sales[[#This Row],[GST %]]</f>
        <v>1127.52</v>
      </c>
      <c r="N1868" s="161">
        <f>Sales[[#This Row],[Gross Amount]]-Sales[[#This Row],[Disc. Amt.]]+Sales[[#This Row],[GST Amount]]</f>
        <v>7391.52</v>
      </c>
      <c r="O1868" s="34" t="s">
        <v>3566</v>
      </c>
      <c r="P1868" s="34" t="s">
        <v>3562</v>
      </c>
      <c r="Q1868" s="165">
        <f>IF(Sales[[#This Row],[Status]]="Cancelled",0,Sales[[#This Row],[Qty]])</f>
        <v>6</v>
      </c>
      <c r="R1868" s="166">
        <f>IF(Sales[[#This Row],[Status]]="Cancelled",0,Sales[[#This Row],[Total Amount]])</f>
        <v>7391.52</v>
      </c>
      <c r="S1868" s="162">
        <f>SUM(Sales[Net Amount])</f>
        <v>406839287.73200053</v>
      </c>
    </row>
    <row r="1869" spans="1:19" ht="18.75" x14ac:dyDescent="0.25">
      <c r="A1869" s="156" t="s">
        <v>5482</v>
      </c>
      <c r="B1869" s="157">
        <v>45873</v>
      </c>
      <c r="C1869" s="158" t="s">
        <v>693</v>
      </c>
      <c r="D1869" s="159" t="str">
        <f>VLOOKUP(Sales[[#This Row],[Customer ID]],Customer[#All],2,0)</f>
        <v>Rahul Gupta</v>
      </c>
      <c r="E1869" s="158" t="s">
        <v>453</v>
      </c>
      <c r="F1869" s="158" t="str">
        <f>VLOOKUP(Sales[[#This Row],[Product ID]],Product[#All],2,0)</f>
        <v>American TouristerLaptopBag</v>
      </c>
      <c r="G1869" s="159">
        <v>3</v>
      </c>
      <c r="H1869" s="160">
        <f>VLOOKUP(Sales[[#This Row],[Product ID]],Product[#All],7,0)</f>
        <v>3050</v>
      </c>
      <c r="I1869" s="160">
        <f>Sales[[#This Row],[Selling Rate]]*Sales[[#This Row],[Qty]]</f>
        <v>9150</v>
      </c>
      <c r="J1869" s="43">
        <v>0</v>
      </c>
      <c r="K1869" s="44">
        <f>Sales[[#This Row],[Gross Amount]]*Sales[[#This Row],[Disc %]]</f>
        <v>0</v>
      </c>
      <c r="L1869" s="43">
        <v>0.18</v>
      </c>
      <c r="M1869" s="44">
        <f>(Sales[[#This Row],[Gross Amount]]-Sales[[#This Row],[Disc. Amt.]])*Sales[[#This Row],[GST %]]</f>
        <v>1647</v>
      </c>
      <c r="N1869" s="161">
        <f>Sales[[#This Row],[Gross Amount]]-Sales[[#This Row],[Disc. Amt.]]+Sales[[#This Row],[GST Amount]]</f>
        <v>10797</v>
      </c>
      <c r="O1869" s="158" t="s">
        <v>3569</v>
      </c>
      <c r="P1869" s="158" t="s">
        <v>3562</v>
      </c>
      <c r="Q1869" s="160">
        <f>IF(Sales[[#This Row],[Status]]="Cancelled",0,Sales[[#This Row],[Qty]])</f>
        <v>3</v>
      </c>
      <c r="R1869" s="161">
        <f>IF(Sales[[#This Row],[Status]]="Cancelled",0,Sales[[#This Row],[Total Amount]])</f>
        <v>10797</v>
      </c>
      <c r="S1869" s="162">
        <f>SUM(Sales[Net Amount])</f>
        <v>406839287.73200053</v>
      </c>
    </row>
    <row r="1870" spans="1:19" ht="18.75" x14ac:dyDescent="0.25">
      <c r="A1870" s="163" t="s">
        <v>5483</v>
      </c>
      <c r="B1870" s="164">
        <v>45873</v>
      </c>
      <c r="C1870" s="34" t="s">
        <v>928</v>
      </c>
      <c r="D1870" s="53" t="str">
        <f>VLOOKUP(Sales[[#This Row],[Customer ID]],Customer[#All],2,0)</f>
        <v>Rahul Kumar</v>
      </c>
      <c r="E1870" s="34" t="s">
        <v>509</v>
      </c>
      <c r="F1870" s="34" t="str">
        <f>VLOOKUP(Sales[[#This Row],[Product ID]],Product[#All],2,0)</f>
        <v>D-Link Router</v>
      </c>
      <c r="G1870" s="53">
        <v>8</v>
      </c>
      <c r="H1870" s="165">
        <f>VLOOKUP(Sales[[#This Row],[Product ID]],Product[#All],7,0)</f>
        <v>3460</v>
      </c>
      <c r="I1870" s="165">
        <f>Sales[[#This Row],[Selling Rate]]*Sales[[#This Row],[Qty]]</f>
        <v>27680</v>
      </c>
      <c r="J1870" s="45">
        <v>0</v>
      </c>
      <c r="K1870" s="46">
        <f>Sales[[#This Row],[Gross Amount]]*Sales[[#This Row],[Disc %]]</f>
        <v>0</v>
      </c>
      <c r="L1870" s="43">
        <v>0.18</v>
      </c>
      <c r="M1870" s="46">
        <f>(Sales[[#This Row],[Gross Amount]]-Sales[[#This Row],[Disc. Amt.]])*Sales[[#This Row],[GST %]]</f>
        <v>4982.3999999999996</v>
      </c>
      <c r="N1870" s="161">
        <f>Sales[[#This Row],[Gross Amount]]-Sales[[#This Row],[Disc. Amt.]]+Sales[[#This Row],[GST Amount]]</f>
        <v>32662.400000000001</v>
      </c>
      <c r="O1870" s="34" t="s">
        <v>3566</v>
      </c>
      <c r="P1870" s="34" t="s">
        <v>3562</v>
      </c>
      <c r="Q1870" s="165">
        <f>IF(Sales[[#This Row],[Status]]="Cancelled",0,Sales[[#This Row],[Qty]])</f>
        <v>8</v>
      </c>
      <c r="R1870" s="166">
        <f>IF(Sales[[#This Row],[Status]]="Cancelled",0,Sales[[#This Row],[Total Amount]])</f>
        <v>32662.400000000001</v>
      </c>
      <c r="S1870" s="162">
        <f>SUM(Sales[Net Amount])</f>
        <v>406839287.73200053</v>
      </c>
    </row>
    <row r="1871" spans="1:19" ht="18.75" x14ac:dyDescent="0.25">
      <c r="A1871" s="156" t="s">
        <v>5484</v>
      </c>
      <c r="B1871" s="157">
        <v>45873</v>
      </c>
      <c r="C1871" s="158" t="s">
        <v>775</v>
      </c>
      <c r="D1871" s="159" t="str">
        <f>VLOOKUP(Sales[[#This Row],[Customer ID]],Customer[#All],2,0)</f>
        <v>Ankit Kumar</v>
      </c>
      <c r="E1871" s="158" t="s">
        <v>161</v>
      </c>
      <c r="F1871" s="158" t="str">
        <f>VLOOKUP(Sales[[#This Row],[Product ID]],Product[#All],2,0)</f>
        <v>TP-link Router</v>
      </c>
      <c r="G1871" s="159">
        <v>8</v>
      </c>
      <c r="H1871" s="160">
        <f>VLOOKUP(Sales[[#This Row],[Product ID]],Product[#All],7,0)</f>
        <v>1330</v>
      </c>
      <c r="I1871" s="160">
        <f>Sales[[#This Row],[Selling Rate]]*Sales[[#This Row],[Qty]]</f>
        <v>10640</v>
      </c>
      <c r="J1871" s="43">
        <v>0.05</v>
      </c>
      <c r="K1871" s="44">
        <f>Sales[[#This Row],[Gross Amount]]*Sales[[#This Row],[Disc %]]</f>
        <v>532</v>
      </c>
      <c r="L1871" s="43">
        <v>0.18</v>
      </c>
      <c r="M1871" s="44">
        <f>(Sales[[#This Row],[Gross Amount]]-Sales[[#This Row],[Disc. Amt.]])*Sales[[#This Row],[GST %]]</f>
        <v>1819.4399999999998</v>
      </c>
      <c r="N1871" s="161">
        <f>Sales[[#This Row],[Gross Amount]]-Sales[[#This Row],[Disc. Amt.]]+Sales[[#This Row],[GST Amount]]</f>
        <v>11927.44</v>
      </c>
      <c r="O1871" s="158" t="s">
        <v>3561</v>
      </c>
      <c r="P1871" s="158" t="s">
        <v>3562</v>
      </c>
      <c r="Q1871" s="160">
        <f>IF(Sales[[#This Row],[Status]]="Cancelled",0,Sales[[#This Row],[Qty]])</f>
        <v>8</v>
      </c>
      <c r="R1871" s="161">
        <f>IF(Sales[[#This Row],[Status]]="Cancelled",0,Sales[[#This Row],[Total Amount]])</f>
        <v>11927.44</v>
      </c>
      <c r="S1871" s="162">
        <f>SUM(Sales[Net Amount])</f>
        <v>406839287.73200053</v>
      </c>
    </row>
    <row r="1872" spans="1:19" ht="18.75" x14ac:dyDescent="0.25">
      <c r="A1872" s="163" t="s">
        <v>5485</v>
      </c>
      <c r="B1872" s="164">
        <v>45873</v>
      </c>
      <c r="C1872" s="34" t="s">
        <v>701</v>
      </c>
      <c r="D1872" s="53" t="str">
        <f>VLOOKUP(Sales[[#This Row],[Customer ID]],Customer[#All],2,0)</f>
        <v>Ankit Kumar</v>
      </c>
      <c r="E1872" s="34" t="s">
        <v>339</v>
      </c>
      <c r="F1872" s="34" t="str">
        <f>VLOOKUP(Sales[[#This Row],[Product ID]],Product[#All],2,0)</f>
        <v>Microtek UPS</v>
      </c>
      <c r="G1872" s="53">
        <v>2</v>
      </c>
      <c r="H1872" s="165">
        <f>VLOOKUP(Sales[[#This Row],[Product ID]],Product[#All],7,0)</f>
        <v>8400</v>
      </c>
      <c r="I1872" s="165">
        <f>Sales[[#This Row],[Selling Rate]]*Sales[[#This Row],[Qty]]</f>
        <v>16800</v>
      </c>
      <c r="J1872" s="45">
        <v>0.12</v>
      </c>
      <c r="K1872" s="46">
        <f>Sales[[#This Row],[Gross Amount]]*Sales[[#This Row],[Disc %]]</f>
        <v>2016</v>
      </c>
      <c r="L1872" s="43">
        <v>0.18</v>
      </c>
      <c r="M1872" s="46">
        <f>(Sales[[#This Row],[Gross Amount]]-Sales[[#This Row],[Disc. Amt.]])*Sales[[#This Row],[GST %]]</f>
        <v>2661.12</v>
      </c>
      <c r="N1872" s="161">
        <f>Sales[[#This Row],[Gross Amount]]-Sales[[#This Row],[Disc. Amt.]]+Sales[[#This Row],[GST Amount]]</f>
        <v>17445.12</v>
      </c>
      <c r="O1872" s="34" t="s">
        <v>3569</v>
      </c>
      <c r="P1872" s="34" t="s">
        <v>3562</v>
      </c>
      <c r="Q1872" s="165">
        <f>IF(Sales[[#This Row],[Status]]="Cancelled",0,Sales[[#This Row],[Qty]])</f>
        <v>2</v>
      </c>
      <c r="R1872" s="166">
        <f>IF(Sales[[#This Row],[Status]]="Cancelled",0,Sales[[#This Row],[Total Amount]])</f>
        <v>17445.12</v>
      </c>
      <c r="S1872" s="162">
        <f>SUM(Sales[Net Amount])</f>
        <v>406839287.73200053</v>
      </c>
    </row>
    <row r="1873" spans="1:19" ht="18.75" x14ac:dyDescent="0.25">
      <c r="A1873" s="156" t="s">
        <v>5486</v>
      </c>
      <c r="B1873" s="157">
        <v>45874</v>
      </c>
      <c r="C1873" s="158" t="s">
        <v>776</v>
      </c>
      <c r="D1873" s="159" t="str">
        <f>VLOOKUP(Sales[[#This Row],[Customer ID]],Customer[#All],2,0)</f>
        <v>Sunita Singh</v>
      </c>
      <c r="E1873" s="158" t="s">
        <v>483</v>
      </c>
      <c r="F1873" s="158" t="str">
        <f>VLOOKUP(Sales[[#This Row],[Product ID]],Product[#All],2,0)</f>
        <v>Kingston Ram</v>
      </c>
      <c r="G1873" s="159">
        <v>6</v>
      </c>
      <c r="H1873" s="160">
        <f>VLOOKUP(Sales[[#This Row],[Product ID]],Product[#All],7,0)</f>
        <v>8630</v>
      </c>
      <c r="I1873" s="160">
        <f>Sales[[#This Row],[Selling Rate]]*Sales[[#This Row],[Qty]]</f>
        <v>51780</v>
      </c>
      <c r="J1873" s="43">
        <v>0.12</v>
      </c>
      <c r="K1873" s="44">
        <f>Sales[[#This Row],[Gross Amount]]*Sales[[#This Row],[Disc %]]</f>
        <v>6213.5999999999995</v>
      </c>
      <c r="L1873" s="43">
        <v>0.18</v>
      </c>
      <c r="M1873" s="44">
        <f>(Sales[[#This Row],[Gross Amount]]-Sales[[#This Row],[Disc. Amt.]])*Sales[[#This Row],[GST %]]</f>
        <v>8201.9519999999993</v>
      </c>
      <c r="N1873" s="161">
        <f>Sales[[#This Row],[Gross Amount]]-Sales[[#This Row],[Disc. Amt.]]+Sales[[#This Row],[GST Amount]]</f>
        <v>53768.351999999999</v>
      </c>
      <c r="O1873" s="158" t="s">
        <v>3561</v>
      </c>
      <c r="P1873" s="158" t="s">
        <v>3562</v>
      </c>
      <c r="Q1873" s="160">
        <f>IF(Sales[[#This Row],[Status]]="Cancelled",0,Sales[[#This Row],[Qty]])</f>
        <v>6</v>
      </c>
      <c r="R1873" s="161">
        <f>IF(Sales[[#This Row],[Status]]="Cancelled",0,Sales[[#This Row],[Total Amount]])</f>
        <v>53768.351999999999</v>
      </c>
      <c r="S1873" s="162">
        <f>SUM(Sales[Net Amount])</f>
        <v>406839287.73200053</v>
      </c>
    </row>
    <row r="1874" spans="1:19" ht="18.75" x14ac:dyDescent="0.25">
      <c r="A1874" s="163" t="s">
        <v>5487</v>
      </c>
      <c r="B1874" s="164">
        <v>45874</v>
      </c>
      <c r="C1874" s="34" t="s">
        <v>819</v>
      </c>
      <c r="D1874" s="53" t="str">
        <f>VLOOKUP(Sales[[#This Row],[Customer ID]],Customer[#All],2,0)</f>
        <v>Neha Gupta</v>
      </c>
      <c r="E1874" s="34" t="s">
        <v>273</v>
      </c>
      <c r="F1874" s="34" t="str">
        <f>VLOOKUP(Sales[[#This Row],[Product ID]],Product[#All],2,0)</f>
        <v>Boat Headset</v>
      </c>
      <c r="G1874" s="53">
        <v>5</v>
      </c>
      <c r="H1874" s="165">
        <f>VLOOKUP(Sales[[#This Row],[Product ID]],Product[#All],7,0)</f>
        <v>4970</v>
      </c>
      <c r="I1874" s="165">
        <f>Sales[[#This Row],[Selling Rate]]*Sales[[#This Row],[Qty]]</f>
        <v>24850</v>
      </c>
      <c r="J1874" s="45">
        <v>0.15</v>
      </c>
      <c r="K1874" s="46">
        <f>Sales[[#This Row],[Gross Amount]]*Sales[[#This Row],[Disc %]]</f>
        <v>3727.5</v>
      </c>
      <c r="L1874" s="43">
        <v>0.18</v>
      </c>
      <c r="M1874" s="46">
        <f>(Sales[[#This Row],[Gross Amount]]-Sales[[#This Row],[Disc. Amt.]])*Sales[[#This Row],[GST %]]</f>
        <v>3802.0499999999997</v>
      </c>
      <c r="N1874" s="161">
        <f>Sales[[#This Row],[Gross Amount]]-Sales[[#This Row],[Disc. Amt.]]+Sales[[#This Row],[GST Amount]]</f>
        <v>24924.55</v>
      </c>
      <c r="O1874" s="34" t="s">
        <v>8876</v>
      </c>
      <c r="P1874" s="34" t="s">
        <v>3562</v>
      </c>
      <c r="Q1874" s="165">
        <f>IF(Sales[[#This Row],[Status]]="Cancelled",0,Sales[[#This Row],[Qty]])</f>
        <v>5</v>
      </c>
      <c r="R1874" s="166">
        <f>IF(Sales[[#This Row],[Status]]="Cancelled",0,Sales[[#This Row],[Total Amount]])</f>
        <v>24924.55</v>
      </c>
      <c r="S1874" s="162">
        <f>SUM(Sales[Net Amount])</f>
        <v>406839287.73200053</v>
      </c>
    </row>
    <row r="1875" spans="1:19" ht="18.75" x14ac:dyDescent="0.25">
      <c r="A1875" s="156" t="s">
        <v>5488</v>
      </c>
      <c r="B1875" s="157">
        <v>45874</v>
      </c>
      <c r="C1875" s="158" t="s">
        <v>684</v>
      </c>
      <c r="D1875" s="159" t="str">
        <f>VLOOKUP(Sales[[#This Row],[Customer ID]],Customer[#All],2,0)</f>
        <v>Rahul Sharma</v>
      </c>
      <c r="E1875" s="158" t="s">
        <v>224</v>
      </c>
      <c r="F1875" s="158" t="str">
        <f>VLOOKUP(Sales[[#This Row],[Product ID]],Product[#All],2,0)</f>
        <v>Seagate HDD</v>
      </c>
      <c r="G1875" s="159">
        <v>8</v>
      </c>
      <c r="H1875" s="160">
        <f>VLOOKUP(Sales[[#This Row],[Product ID]],Product[#All],7,0)</f>
        <v>8130</v>
      </c>
      <c r="I1875" s="160">
        <f>Sales[[#This Row],[Selling Rate]]*Sales[[#This Row],[Qty]]</f>
        <v>65040</v>
      </c>
      <c r="J1875" s="43">
        <v>0.15</v>
      </c>
      <c r="K1875" s="44">
        <f>Sales[[#This Row],[Gross Amount]]*Sales[[#This Row],[Disc %]]</f>
        <v>9756</v>
      </c>
      <c r="L1875" s="43">
        <v>0.18</v>
      </c>
      <c r="M1875" s="44">
        <f>(Sales[[#This Row],[Gross Amount]]-Sales[[#This Row],[Disc. Amt.]])*Sales[[#This Row],[GST %]]</f>
        <v>9951.119999999999</v>
      </c>
      <c r="N1875" s="161">
        <f>Sales[[#This Row],[Gross Amount]]-Sales[[#This Row],[Disc. Amt.]]+Sales[[#This Row],[GST Amount]]</f>
        <v>65235.119999999995</v>
      </c>
      <c r="O1875" s="158" t="s">
        <v>3561</v>
      </c>
      <c r="P1875" s="158" t="s">
        <v>3562</v>
      </c>
      <c r="Q1875" s="160">
        <f>IF(Sales[[#This Row],[Status]]="Cancelled",0,Sales[[#This Row],[Qty]])</f>
        <v>8</v>
      </c>
      <c r="R1875" s="161">
        <f>IF(Sales[[#This Row],[Status]]="Cancelled",0,Sales[[#This Row],[Total Amount]])</f>
        <v>65235.119999999995</v>
      </c>
      <c r="S1875" s="162">
        <f>SUM(Sales[Net Amount])</f>
        <v>406839287.73200053</v>
      </c>
    </row>
    <row r="1876" spans="1:19" ht="18.75" x14ac:dyDescent="0.25">
      <c r="A1876" s="163" t="s">
        <v>5489</v>
      </c>
      <c r="B1876" s="164">
        <v>45874</v>
      </c>
      <c r="C1876" s="34" t="s">
        <v>720</v>
      </c>
      <c r="D1876" s="53" t="str">
        <f>VLOOKUP(Sales[[#This Row],[Customer ID]],Customer[#All],2,0)</f>
        <v>Rakesh Singh</v>
      </c>
      <c r="E1876" s="34" t="s">
        <v>340</v>
      </c>
      <c r="F1876" s="34" t="str">
        <f>VLOOKUP(Sales[[#This Row],[Product ID]],Product[#All],2,0)</f>
        <v>Amazon Basics Hdmi Cable</v>
      </c>
      <c r="G1876" s="53">
        <v>3</v>
      </c>
      <c r="H1876" s="165">
        <f>VLOOKUP(Sales[[#This Row],[Product ID]],Product[#All],7,0)</f>
        <v>1150</v>
      </c>
      <c r="I1876" s="165">
        <f>Sales[[#This Row],[Selling Rate]]*Sales[[#This Row],[Qty]]</f>
        <v>3450</v>
      </c>
      <c r="J1876" s="45">
        <v>0.05</v>
      </c>
      <c r="K1876" s="46">
        <f>Sales[[#This Row],[Gross Amount]]*Sales[[#This Row],[Disc %]]</f>
        <v>172.5</v>
      </c>
      <c r="L1876" s="43">
        <v>0.18</v>
      </c>
      <c r="M1876" s="46">
        <f>(Sales[[#This Row],[Gross Amount]]-Sales[[#This Row],[Disc. Amt.]])*Sales[[#This Row],[GST %]]</f>
        <v>589.94999999999993</v>
      </c>
      <c r="N1876" s="161">
        <f>Sales[[#This Row],[Gross Amount]]-Sales[[#This Row],[Disc. Amt.]]+Sales[[#This Row],[GST Amount]]</f>
        <v>3867.45</v>
      </c>
      <c r="O1876" s="34" t="s">
        <v>3569</v>
      </c>
      <c r="P1876" s="34" t="s">
        <v>3562</v>
      </c>
      <c r="Q1876" s="165">
        <f>IF(Sales[[#This Row],[Status]]="Cancelled",0,Sales[[#This Row],[Qty]])</f>
        <v>3</v>
      </c>
      <c r="R1876" s="166">
        <f>IF(Sales[[#This Row],[Status]]="Cancelled",0,Sales[[#This Row],[Total Amount]])</f>
        <v>3867.45</v>
      </c>
      <c r="S1876" s="162">
        <f>SUM(Sales[Net Amount])</f>
        <v>406839287.73200053</v>
      </c>
    </row>
    <row r="1877" spans="1:19" ht="18.75" x14ac:dyDescent="0.25">
      <c r="A1877" s="156" t="s">
        <v>5490</v>
      </c>
      <c r="B1877" s="157">
        <v>45874</v>
      </c>
      <c r="C1877" s="158" t="s">
        <v>663</v>
      </c>
      <c r="D1877" s="159" t="str">
        <f>VLOOKUP(Sales[[#This Row],[Customer ID]],Customer[#All],2,0)</f>
        <v>Amit Sharma</v>
      </c>
      <c r="E1877" s="158" t="s">
        <v>91</v>
      </c>
      <c r="F1877" s="158" t="str">
        <f>VLOOKUP(Sales[[#This Row],[Product ID]],Product[#All],2,0)</f>
        <v>Logitech Keyboard</v>
      </c>
      <c r="G1877" s="159">
        <v>4</v>
      </c>
      <c r="H1877" s="160">
        <f>VLOOKUP(Sales[[#This Row],[Product ID]],Product[#All],7,0)</f>
        <v>3950</v>
      </c>
      <c r="I1877" s="160">
        <f>Sales[[#This Row],[Selling Rate]]*Sales[[#This Row],[Qty]]</f>
        <v>15800</v>
      </c>
      <c r="J1877" s="43">
        <v>0.15</v>
      </c>
      <c r="K1877" s="44">
        <f>Sales[[#This Row],[Gross Amount]]*Sales[[#This Row],[Disc %]]</f>
        <v>2370</v>
      </c>
      <c r="L1877" s="43">
        <v>0.18</v>
      </c>
      <c r="M1877" s="44">
        <f>(Sales[[#This Row],[Gross Amount]]-Sales[[#This Row],[Disc. Amt.]])*Sales[[#This Row],[GST %]]</f>
        <v>2417.4</v>
      </c>
      <c r="N1877" s="161">
        <f>Sales[[#This Row],[Gross Amount]]-Sales[[#This Row],[Disc. Amt.]]+Sales[[#This Row],[GST Amount]]</f>
        <v>15847.4</v>
      </c>
      <c r="O1877" s="158" t="s">
        <v>3569</v>
      </c>
      <c r="P1877" s="158" t="s">
        <v>3562</v>
      </c>
      <c r="Q1877" s="160">
        <f>IF(Sales[[#This Row],[Status]]="Cancelled",0,Sales[[#This Row],[Qty]])</f>
        <v>4</v>
      </c>
      <c r="R1877" s="161">
        <f>IF(Sales[[#This Row],[Status]]="Cancelled",0,Sales[[#This Row],[Total Amount]])</f>
        <v>15847.4</v>
      </c>
      <c r="S1877" s="162">
        <f>SUM(Sales[Net Amount])</f>
        <v>406839287.73200053</v>
      </c>
    </row>
    <row r="1878" spans="1:19" ht="18.75" x14ac:dyDescent="0.25">
      <c r="A1878" s="163" t="s">
        <v>5491</v>
      </c>
      <c r="B1878" s="164">
        <v>45874</v>
      </c>
      <c r="C1878" s="34" t="s">
        <v>941</v>
      </c>
      <c r="D1878" s="53" t="str">
        <f>VLOOKUP(Sales[[#This Row],[Customer ID]],Customer[#All],2,0)</f>
        <v>Sahil Verma</v>
      </c>
      <c r="E1878" s="34" t="s">
        <v>220</v>
      </c>
      <c r="F1878" s="34" t="str">
        <f>VLOOKUP(Sales[[#This Row],[Product ID]],Product[#All],2,0)</f>
        <v>HP Desktop</v>
      </c>
      <c r="G1878" s="53">
        <v>4</v>
      </c>
      <c r="H1878" s="165">
        <f>VLOOKUP(Sales[[#This Row],[Product ID]],Product[#All],7,0)</f>
        <v>40570</v>
      </c>
      <c r="I1878" s="165">
        <f>Sales[[#This Row],[Selling Rate]]*Sales[[#This Row],[Qty]]</f>
        <v>162280</v>
      </c>
      <c r="J1878" s="45">
        <v>0.02</v>
      </c>
      <c r="K1878" s="46">
        <f>Sales[[#This Row],[Gross Amount]]*Sales[[#This Row],[Disc %]]</f>
        <v>3245.6</v>
      </c>
      <c r="L1878" s="43">
        <v>0.18</v>
      </c>
      <c r="M1878" s="46">
        <f>(Sales[[#This Row],[Gross Amount]]-Sales[[#This Row],[Disc. Amt.]])*Sales[[#This Row],[GST %]]</f>
        <v>28626.191999999999</v>
      </c>
      <c r="N1878" s="161">
        <f>Sales[[#This Row],[Gross Amount]]-Sales[[#This Row],[Disc. Amt.]]+Sales[[#This Row],[GST Amount]]</f>
        <v>187660.592</v>
      </c>
      <c r="O1878" s="34" t="s">
        <v>3561</v>
      </c>
      <c r="P1878" s="34" t="s">
        <v>3562</v>
      </c>
      <c r="Q1878" s="165">
        <f>IF(Sales[[#This Row],[Status]]="Cancelled",0,Sales[[#This Row],[Qty]])</f>
        <v>4</v>
      </c>
      <c r="R1878" s="166">
        <f>IF(Sales[[#This Row],[Status]]="Cancelled",0,Sales[[#This Row],[Total Amount]])</f>
        <v>187660.592</v>
      </c>
      <c r="S1878" s="162">
        <f>SUM(Sales[Net Amount])</f>
        <v>406839287.73200053</v>
      </c>
    </row>
    <row r="1879" spans="1:19" ht="18.75" x14ac:dyDescent="0.25">
      <c r="A1879" s="156" t="s">
        <v>5492</v>
      </c>
      <c r="B1879" s="157">
        <v>45874</v>
      </c>
      <c r="C1879" s="158" t="s">
        <v>844</v>
      </c>
      <c r="D1879" s="159" t="str">
        <f>VLOOKUP(Sales[[#This Row],[Customer ID]],Customer[#All],2,0)</f>
        <v>Rahul Sharma</v>
      </c>
      <c r="E1879" s="158" t="s">
        <v>61</v>
      </c>
      <c r="F1879" s="158" t="str">
        <f>VLOOKUP(Sales[[#This Row],[Product ID]],Product[#All],2,0)</f>
        <v>Boat Headset</v>
      </c>
      <c r="G1879" s="159">
        <v>7</v>
      </c>
      <c r="H1879" s="160">
        <f>VLOOKUP(Sales[[#This Row],[Product ID]],Product[#All],7,0)</f>
        <v>3570</v>
      </c>
      <c r="I1879" s="160">
        <f>Sales[[#This Row],[Selling Rate]]*Sales[[#This Row],[Qty]]</f>
        <v>24990</v>
      </c>
      <c r="J1879" s="43">
        <v>0</v>
      </c>
      <c r="K1879" s="44">
        <f>Sales[[#This Row],[Gross Amount]]*Sales[[#This Row],[Disc %]]</f>
        <v>0</v>
      </c>
      <c r="L1879" s="43">
        <v>0.18</v>
      </c>
      <c r="M1879" s="44">
        <f>(Sales[[#This Row],[Gross Amount]]-Sales[[#This Row],[Disc. Amt.]])*Sales[[#This Row],[GST %]]</f>
        <v>4498.2</v>
      </c>
      <c r="N1879" s="161">
        <f>Sales[[#This Row],[Gross Amount]]-Sales[[#This Row],[Disc. Amt.]]+Sales[[#This Row],[GST Amount]]</f>
        <v>29488.2</v>
      </c>
      <c r="O1879" s="158" t="s">
        <v>3566</v>
      </c>
      <c r="P1879" s="158" t="s">
        <v>3562</v>
      </c>
      <c r="Q1879" s="160">
        <f>IF(Sales[[#This Row],[Status]]="Cancelled",0,Sales[[#This Row],[Qty]])</f>
        <v>7</v>
      </c>
      <c r="R1879" s="161">
        <f>IF(Sales[[#This Row],[Status]]="Cancelled",0,Sales[[#This Row],[Total Amount]])</f>
        <v>29488.2</v>
      </c>
      <c r="S1879" s="162">
        <f>SUM(Sales[Net Amount])</f>
        <v>406839287.73200053</v>
      </c>
    </row>
    <row r="1880" spans="1:19" ht="18.75" x14ac:dyDescent="0.25">
      <c r="A1880" s="163" t="s">
        <v>5493</v>
      </c>
      <c r="B1880" s="164">
        <v>45874</v>
      </c>
      <c r="C1880" s="34" t="s">
        <v>655</v>
      </c>
      <c r="D1880" s="53" t="str">
        <f>VLOOKUP(Sales[[#This Row],[Customer ID]],Customer[#All],2,0)</f>
        <v>Pooja Singh</v>
      </c>
      <c r="E1880" s="34" t="s">
        <v>167</v>
      </c>
      <c r="F1880" s="34" t="str">
        <f>VLOOKUP(Sales[[#This Row],[Product ID]],Product[#All],2,0)</f>
        <v>Logitech Keyboard</v>
      </c>
      <c r="G1880" s="53">
        <v>8</v>
      </c>
      <c r="H1880" s="165">
        <f>VLOOKUP(Sales[[#This Row],[Product ID]],Product[#All],7,0)</f>
        <v>2460</v>
      </c>
      <c r="I1880" s="165">
        <f>Sales[[#This Row],[Selling Rate]]*Sales[[#This Row],[Qty]]</f>
        <v>19680</v>
      </c>
      <c r="J1880" s="45">
        <v>0.15</v>
      </c>
      <c r="K1880" s="46">
        <f>Sales[[#This Row],[Gross Amount]]*Sales[[#This Row],[Disc %]]</f>
        <v>2952</v>
      </c>
      <c r="L1880" s="43">
        <v>0.18</v>
      </c>
      <c r="M1880" s="46">
        <f>(Sales[[#This Row],[Gross Amount]]-Sales[[#This Row],[Disc. Amt.]])*Sales[[#This Row],[GST %]]</f>
        <v>3011.04</v>
      </c>
      <c r="N1880" s="161">
        <f>Sales[[#This Row],[Gross Amount]]-Sales[[#This Row],[Disc. Amt.]]+Sales[[#This Row],[GST Amount]]</f>
        <v>19739.04</v>
      </c>
      <c r="O1880" s="34" t="s">
        <v>8876</v>
      </c>
      <c r="P1880" s="34" t="s">
        <v>3562</v>
      </c>
      <c r="Q1880" s="165">
        <f>IF(Sales[[#This Row],[Status]]="Cancelled",0,Sales[[#This Row],[Qty]])</f>
        <v>8</v>
      </c>
      <c r="R1880" s="166">
        <f>IF(Sales[[#This Row],[Status]]="Cancelled",0,Sales[[#This Row],[Total Amount]])</f>
        <v>19739.04</v>
      </c>
      <c r="S1880" s="162">
        <f>SUM(Sales[Net Amount])</f>
        <v>406839287.73200053</v>
      </c>
    </row>
    <row r="1881" spans="1:19" ht="18.75" x14ac:dyDescent="0.25">
      <c r="A1881" s="156" t="s">
        <v>5494</v>
      </c>
      <c r="B1881" s="157">
        <v>45874</v>
      </c>
      <c r="C1881" s="158" t="s">
        <v>891</v>
      </c>
      <c r="D1881" s="159" t="str">
        <f>VLOOKUP(Sales[[#This Row],[Customer ID]],Customer[#All],2,0)</f>
        <v>Pooja Verma</v>
      </c>
      <c r="E1881" s="158" t="s">
        <v>501</v>
      </c>
      <c r="F1881" s="158" t="str">
        <f>VLOOKUP(Sales[[#This Row],[Product ID]],Product[#All],2,0)</f>
        <v>Samsung Ssd</v>
      </c>
      <c r="G1881" s="159">
        <v>6</v>
      </c>
      <c r="H1881" s="160">
        <f>VLOOKUP(Sales[[#This Row],[Product ID]],Product[#All],7,0)</f>
        <v>4260</v>
      </c>
      <c r="I1881" s="160">
        <f>Sales[[#This Row],[Selling Rate]]*Sales[[#This Row],[Qty]]</f>
        <v>25560</v>
      </c>
      <c r="J1881" s="43">
        <v>0</v>
      </c>
      <c r="K1881" s="44">
        <f>Sales[[#This Row],[Gross Amount]]*Sales[[#This Row],[Disc %]]</f>
        <v>0</v>
      </c>
      <c r="L1881" s="43">
        <v>0.18</v>
      </c>
      <c r="M1881" s="44">
        <f>(Sales[[#This Row],[Gross Amount]]-Sales[[#This Row],[Disc. Amt.]])*Sales[[#This Row],[GST %]]</f>
        <v>4600.8</v>
      </c>
      <c r="N1881" s="161">
        <f>Sales[[#This Row],[Gross Amount]]-Sales[[#This Row],[Disc. Amt.]]+Sales[[#This Row],[GST Amount]]</f>
        <v>30160.799999999999</v>
      </c>
      <c r="O1881" s="158" t="s">
        <v>3566</v>
      </c>
      <c r="P1881" s="158" t="s">
        <v>3562</v>
      </c>
      <c r="Q1881" s="160">
        <f>IF(Sales[[#This Row],[Status]]="Cancelled",0,Sales[[#This Row],[Qty]])</f>
        <v>6</v>
      </c>
      <c r="R1881" s="161">
        <f>IF(Sales[[#This Row],[Status]]="Cancelled",0,Sales[[#This Row],[Total Amount]])</f>
        <v>30160.799999999999</v>
      </c>
      <c r="S1881" s="162">
        <f>SUM(Sales[Net Amount])</f>
        <v>406839287.73200053</v>
      </c>
    </row>
    <row r="1882" spans="1:19" ht="18.75" x14ac:dyDescent="0.25">
      <c r="A1882" s="163" t="s">
        <v>5495</v>
      </c>
      <c r="B1882" s="164">
        <v>45874</v>
      </c>
      <c r="C1882" s="34" t="s">
        <v>936</v>
      </c>
      <c r="D1882" s="53" t="str">
        <f>VLOOKUP(Sales[[#This Row],[Customer ID]],Customer[#All],2,0)</f>
        <v>Pooja Patel</v>
      </c>
      <c r="E1882" s="34" t="s">
        <v>478</v>
      </c>
      <c r="F1882" s="34" t="str">
        <f>VLOOKUP(Sales[[#This Row],[Product ID]],Product[#All],2,0)</f>
        <v>American TouristerLaptopBag</v>
      </c>
      <c r="G1882" s="53">
        <v>6</v>
      </c>
      <c r="H1882" s="165">
        <f>VLOOKUP(Sales[[#This Row],[Product ID]],Product[#All],7,0)</f>
        <v>6010</v>
      </c>
      <c r="I1882" s="165">
        <f>Sales[[#This Row],[Selling Rate]]*Sales[[#This Row],[Qty]]</f>
        <v>36060</v>
      </c>
      <c r="J1882" s="45">
        <v>0</v>
      </c>
      <c r="K1882" s="46">
        <f>Sales[[#This Row],[Gross Amount]]*Sales[[#This Row],[Disc %]]</f>
        <v>0</v>
      </c>
      <c r="L1882" s="43">
        <v>0.18</v>
      </c>
      <c r="M1882" s="46">
        <f>(Sales[[#This Row],[Gross Amount]]-Sales[[#This Row],[Disc. Amt.]])*Sales[[#This Row],[GST %]]</f>
        <v>6490.8</v>
      </c>
      <c r="N1882" s="161">
        <f>Sales[[#This Row],[Gross Amount]]-Sales[[#This Row],[Disc. Amt.]]+Sales[[#This Row],[GST Amount]]</f>
        <v>42550.8</v>
      </c>
      <c r="O1882" s="34" t="s">
        <v>3569</v>
      </c>
      <c r="P1882" s="34" t="s">
        <v>3562</v>
      </c>
      <c r="Q1882" s="165">
        <f>IF(Sales[[#This Row],[Status]]="Cancelled",0,Sales[[#This Row],[Qty]])</f>
        <v>6</v>
      </c>
      <c r="R1882" s="166">
        <f>IF(Sales[[#This Row],[Status]]="Cancelled",0,Sales[[#This Row],[Total Amount]])</f>
        <v>42550.8</v>
      </c>
      <c r="S1882" s="162">
        <f>SUM(Sales[Net Amount])</f>
        <v>406839287.73200053</v>
      </c>
    </row>
    <row r="1883" spans="1:19" ht="18.75" x14ac:dyDescent="0.25">
      <c r="A1883" s="156" t="s">
        <v>5496</v>
      </c>
      <c r="B1883" s="157">
        <v>45874</v>
      </c>
      <c r="C1883" s="158" t="s">
        <v>802</v>
      </c>
      <c r="D1883" s="159" t="str">
        <f>VLOOKUP(Sales[[#This Row],[Customer ID]],Customer[#All],2,0)</f>
        <v>Rakesh Patel</v>
      </c>
      <c r="E1883" s="158" t="s">
        <v>110</v>
      </c>
      <c r="F1883" s="158" t="str">
        <f>VLOOKUP(Sales[[#This Row],[Product ID]],Product[#All],2,0)</f>
        <v>Lenovo Laptop</v>
      </c>
      <c r="G1883" s="159">
        <v>2</v>
      </c>
      <c r="H1883" s="160">
        <f>VLOOKUP(Sales[[#This Row],[Product ID]],Product[#All],7,0)</f>
        <v>66670</v>
      </c>
      <c r="I1883" s="160">
        <f>Sales[[#This Row],[Selling Rate]]*Sales[[#This Row],[Qty]]</f>
        <v>133340</v>
      </c>
      <c r="J1883" s="43">
        <v>0.1</v>
      </c>
      <c r="K1883" s="44">
        <f>Sales[[#This Row],[Gross Amount]]*Sales[[#This Row],[Disc %]]</f>
        <v>13334</v>
      </c>
      <c r="L1883" s="43">
        <v>0.18</v>
      </c>
      <c r="M1883" s="44">
        <f>(Sales[[#This Row],[Gross Amount]]-Sales[[#This Row],[Disc. Amt.]])*Sales[[#This Row],[GST %]]</f>
        <v>21601.079999999998</v>
      </c>
      <c r="N1883" s="161">
        <f>Sales[[#This Row],[Gross Amount]]-Sales[[#This Row],[Disc. Amt.]]+Sales[[#This Row],[GST Amount]]</f>
        <v>141607.07999999999</v>
      </c>
      <c r="O1883" s="158" t="s">
        <v>8876</v>
      </c>
      <c r="P1883" s="158" t="s">
        <v>3562</v>
      </c>
      <c r="Q1883" s="160">
        <f>IF(Sales[[#This Row],[Status]]="Cancelled",0,Sales[[#This Row],[Qty]])</f>
        <v>2</v>
      </c>
      <c r="R1883" s="161">
        <f>IF(Sales[[#This Row],[Status]]="Cancelled",0,Sales[[#This Row],[Total Amount]])</f>
        <v>141607.07999999999</v>
      </c>
      <c r="S1883" s="162">
        <f>SUM(Sales[Net Amount])</f>
        <v>406839287.73200053</v>
      </c>
    </row>
    <row r="1884" spans="1:19" ht="18.75" x14ac:dyDescent="0.25">
      <c r="A1884" s="163" t="s">
        <v>5497</v>
      </c>
      <c r="B1884" s="164">
        <v>45874</v>
      </c>
      <c r="C1884" s="34" t="s">
        <v>5498</v>
      </c>
      <c r="D1884" s="53" t="str">
        <f>VLOOKUP(Sales[[#This Row],[Customer ID]],Customer[#All],2,0)</f>
        <v>Rakesh Sharma</v>
      </c>
      <c r="E1884" s="34" t="s">
        <v>358</v>
      </c>
      <c r="F1884" s="34" t="str">
        <f>VLOOKUP(Sales[[#This Row],[Product ID]],Product[#All],2,0)</f>
        <v>TP-link Router</v>
      </c>
      <c r="G1884" s="53">
        <v>2</v>
      </c>
      <c r="H1884" s="165">
        <f>VLOOKUP(Sales[[#This Row],[Product ID]],Product[#All],7,0)</f>
        <v>3970</v>
      </c>
      <c r="I1884" s="165">
        <f>Sales[[#This Row],[Selling Rate]]*Sales[[#This Row],[Qty]]</f>
        <v>7940</v>
      </c>
      <c r="J1884" s="45">
        <v>0</v>
      </c>
      <c r="K1884" s="46">
        <f>Sales[[#This Row],[Gross Amount]]*Sales[[#This Row],[Disc %]]</f>
        <v>0</v>
      </c>
      <c r="L1884" s="43">
        <v>0.18</v>
      </c>
      <c r="M1884" s="46">
        <f>(Sales[[#This Row],[Gross Amount]]-Sales[[#This Row],[Disc. Amt.]])*Sales[[#This Row],[GST %]]</f>
        <v>1429.2</v>
      </c>
      <c r="N1884" s="161">
        <f>Sales[[#This Row],[Gross Amount]]-Sales[[#This Row],[Disc. Amt.]]+Sales[[#This Row],[GST Amount]]</f>
        <v>9369.2000000000007</v>
      </c>
      <c r="O1884" s="34" t="s">
        <v>3566</v>
      </c>
      <c r="P1884" s="34" t="s">
        <v>3562</v>
      </c>
      <c r="Q1884" s="165">
        <f>IF(Sales[[#This Row],[Status]]="Cancelled",0,Sales[[#This Row],[Qty]])</f>
        <v>2</v>
      </c>
      <c r="R1884" s="166">
        <f>IF(Sales[[#This Row],[Status]]="Cancelled",0,Sales[[#This Row],[Total Amount]])</f>
        <v>9369.2000000000007</v>
      </c>
      <c r="S1884" s="162">
        <f>SUM(Sales[Net Amount])</f>
        <v>406839287.73200053</v>
      </c>
    </row>
    <row r="1885" spans="1:19" ht="18.75" x14ac:dyDescent="0.25">
      <c r="A1885" s="156" t="s">
        <v>5499</v>
      </c>
      <c r="B1885" s="157">
        <v>45874</v>
      </c>
      <c r="C1885" s="158" t="s">
        <v>900</v>
      </c>
      <c r="D1885" s="159" t="str">
        <f>VLOOKUP(Sales[[#This Row],[Customer ID]],Customer[#All],2,0)</f>
        <v>Neha Kumar</v>
      </c>
      <c r="E1885" s="158" t="s">
        <v>370</v>
      </c>
      <c r="F1885" s="158" t="str">
        <f>VLOOKUP(Sales[[#This Row],[Product ID]],Product[#All],2,0)</f>
        <v>Samsung Monitor</v>
      </c>
      <c r="G1885" s="159">
        <v>1</v>
      </c>
      <c r="H1885" s="160">
        <f>VLOOKUP(Sales[[#This Row],[Product ID]],Product[#All],7,0)</f>
        <v>24770</v>
      </c>
      <c r="I1885" s="160">
        <f>Sales[[#This Row],[Selling Rate]]*Sales[[#This Row],[Qty]]</f>
        <v>24770</v>
      </c>
      <c r="J1885" s="43">
        <v>0.1</v>
      </c>
      <c r="K1885" s="44">
        <f>Sales[[#This Row],[Gross Amount]]*Sales[[#This Row],[Disc %]]</f>
        <v>2477</v>
      </c>
      <c r="L1885" s="43">
        <v>0.18</v>
      </c>
      <c r="M1885" s="44">
        <f>(Sales[[#This Row],[Gross Amount]]-Sales[[#This Row],[Disc. Amt.]])*Sales[[#This Row],[GST %]]</f>
        <v>4012.74</v>
      </c>
      <c r="N1885" s="161">
        <f>Sales[[#This Row],[Gross Amount]]-Sales[[#This Row],[Disc. Amt.]]+Sales[[#This Row],[GST Amount]]</f>
        <v>26305.739999999998</v>
      </c>
      <c r="O1885" s="158" t="s">
        <v>3569</v>
      </c>
      <c r="P1885" s="158" t="s">
        <v>3562</v>
      </c>
      <c r="Q1885" s="160">
        <f>IF(Sales[[#This Row],[Status]]="Cancelled",0,Sales[[#This Row],[Qty]])</f>
        <v>1</v>
      </c>
      <c r="R1885" s="161">
        <f>IF(Sales[[#This Row],[Status]]="Cancelled",0,Sales[[#This Row],[Total Amount]])</f>
        <v>26305.739999999998</v>
      </c>
      <c r="S1885" s="162">
        <f>SUM(Sales[Net Amount])</f>
        <v>406839287.73200053</v>
      </c>
    </row>
    <row r="1886" spans="1:19" ht="18.75" x14ac:dyDescent="0.25">
      <c r="A1886" s="163" t="s">
        <v>5500</v>
      </c>
      <c r="B1886" s="164">
        <v>45874</v>
      </c>
      <c r="C1886" s="34" t="s">
        <v>803</v>
      </c>
      <c r="D1886" s="53" t="str">
        <f>VLOOKUP(Sales[[#This Row],[Customer ID]],Customer[#All],2,0)</f>
        <v>Pooja Singh</v>
      </c>
      <c r="E1886" s="34" t="s">
        <v>336</v>
      </c>
      <c r="F1886" s="34" t="str">
        <f>VLOOKUP(Sales[[#This Row],[Product ID]],Product[#All],2,0)</f>
        <v>Boat Headset</v>
      </c>
      <c r="G1886" s="53">
        <v>5</v>
      </c>
      <c r="H1886" s="165">
        <f>VLOOKUP(Sales[[#This Row],[Product ID]],Product[#All],7,0)</f>
        <v>1380</v>
      </c>
      <c r="I1886" s="165">
        <f>Sales[[#This Row],[Selling Rate]]*Sales[[#This Row],[Qty]]</f>
        <v>6900</v>
      </c>
      <c r="J1886" s="45">
        <v>0.15</v>
      </c>
      <c r="K1886" s="46">
        <f>Sales[[#This Row],[Gross Amount]]*Sales[[#This Row],[Disc %]]</f>
        <v>1035</v>
      </c>
      <c r="L1886" s="43">
        <v>0.18</v>
      </c>
      <c r="M1886" s="46">
        <f>(Sales[[#This Row],[Gross Amount]]-Sales[[#This Row],[Disc. Amt.]])*Sales[[#This Row],[GST %]]</f>
        <v>1055.7</v>
      </c>
      <c r="N1886" s="161">
        <f>Sales[[#This Row],[Gross Amount]]-Sales[[#This Row],[Disc. Amt.]]+Sales[[#This Row],[GST Amount]]</f>
        <v>6920.7</v>
      </c>
      <c r="O1886" s="34" t="s">
        <v>3566</v>
      </c>
      <c r="P1886" s="34" t="s">
        <v>3562</v>
      </c>
      <c r="Q1886" s="165">
        <f>IF(Sales[[#This Row],[Status]]="Cancelled",0,Sales[[#This Row],[Qty]])</f>
        <v>5</v>
      </c>
      <c r="R1886" s="166">
        <f>IF(Sales[[#This Row],[Status]]="Cancelled",0,Sales[[#This Row],[Total Amount]])</f>
        <v>6920.7</v>
      </c>
      <c r="S1886" s="162">
        <f>SUM(Sales[Net Amount])</f>
        <v>406839287.73200053</v>
      </c>
    </row>
    <row r="1887" spans="1:19" ht="18.75" x14ac:dyDescent="0.25">
      <c r="A1887" s="156" t="s">
        <v>5501</v>
      </c>
      <c r="B1887" s="157">
        <v>45874</v>
      </c>
      <c r="C1887" s="158" t="s">
        <v>882</v>
      </c>
      <c r="D1887" s="159" t="str">
        <f>VLOOKUP(Sales[[#This Row],[Customer ID]],Customer[#All],2,0)</f>
        <v>Rahul Sharma</v>
      </c>
      <c r="E1887" s="158" t="s">
        <v>180</v>
      </c>
      <c r="F1887" s="158" t="str">
        <f>VLOOKUP(Sales[[#This Row],[Product ID]],Product[#All],2,0)</f>
        <v>Kingston Ram</v>
      </c>
      <c r="G1887" s="159">
        <v>2</v>
      </c>
      <c r="H1887" s="160">
        <f>VLOOKUP(Sales[[#This Row],[Product ID]],Product[#All],7,0)</f>
        <v>11780</v>
      </c>
      <c r="I1887" s="160">
        <f>Sales[[#This Row],[Selling Rate]]*Sales[[#This Row],[Qty]]</f>
        <v>23560</v>
      </c>
      <c r="J1887" s="43">
        <v>0.15</v>
      </c>
      <c r="K1887" s="44">
        <f>Sales[[#This Row],[Gross Amount]]*Sales[[#This Row],[Disc %]]</f>
        <v>3534</v>
      </c>
      <c r="L1887" s="43">
        <v>0.18</v>
      </c>
      <c r="M1887" s="44">
        <f>(Sales[[#This Row],[Gross Amount]]-Sales[[#This Row],[Disc. Amt.]])*Sales[[#This Row],[GST %]]</f>
        <v>3604.68</v>
      </c>
      <c r="N1887" s="161">
        <f>Sales[[#This Row],[Gross Amount]]-Sales[[#This Row],[Disc. Amt.]]+Sales[[#This Row],[GST Amount]]</f>
        <v>23630.68</v>
      </c>
      <c r="O1887" s="158" t="s">
        <v>3561</v>
      </c>
      <c r="P1887" s="158" t="s">
        <v>3562</v>
      </c>
      <c r="Q1887" s="160">
        <f>IF(Sales[[#This Row],[Status]]="Cancelled",0,Sales[[#This Row],[Qty]])</f>
        <v>2</v>
      </c>
      <c r="R1887" s="161">
        <f>IF(Sales[[#This Row],[Status]]="Cancelled",0,Sales[[#This Row],[Total Amount]])</f>
        <v>23630.68</v>
      </c>
      <c r="S1887" s="162">
        <f>SUM(Sales[Net Amount])</f>
        <v>406839287.73200053</v>
      </c>
    </row>
    <row r="1888" spans="1:19" ht="18.75" x14ac:dyDescent="0.25">
      <c r="A1888" s="163" t="s">
        <v>5502</v>
      </c>
      <c r="B1888" s="164">
        <v>45874</v>
      </c>
      <c r="C1888" s="34" t="s">
        <v>685</v>
      </c>
      <c r="D1888" s="53" t="str">
        <f>VLOOKUP(Sales[[#This Row],[Customer ID]],Customer[#All],2,0)</f>
        <v>Pooja Kumar</v>
      </c>
      <c r="E1888" s="34" t="s">
        <v>473</v>
      </c>
      <c r="F1888" s="34" t="str">
        <f>VLOOKUP(Sales[[#This Row],[Product ID]],Product[#All],2,0)</f>
        <v>Boat Headset</v>
      </c>
      <c r="G1888" s="53">
        <v>2</v>
      </c>
      <c r="H1888" s="165">
        <f>VLOOKUP(Sales[[#This Row],[Product ID]],Product[#All],7,0)</f>
        <v>2840</v>
      </c>
      <c r="I1888" s="165">
        <f>Sales[[#This Row],[Selling Rate]]*Sales[[#This Row],[Qty]]</f>
        <v>5680</v>
      </c>
      <c r="J1888" s="45">
        <v>0.12</v>
      </c>
      <c r="K1888" s="46">
        <f>Sales[[#This Row],[Gross Amount]]*Sales[[#This Row],[Disc %]]</f>
        <v>681.6</v>
      </c>
      <c r="L1888" s="43">
        <v>0.18</v>
      </c>
      <c r="M1888" s="46">
        <f>(Sales[[#This Row],[Gross Amount]]-Sales[[#This Row],[Disc. Amt.]])*Sales[[#This Row],[GST %]]</f>
        <v>899.71199999999988</v>
      </c>
      <c r="N1888" s="161">
        <f>Sales[[#This Row],[Gross Amount]]-Sales[[#This Row],[Disc. Amt.]]+Sales[[#This Row],[GST Amount]]</f>
        <v>5898.1119999999992</v>
      </c>
      <c r="O1888" s="34" t="s">
        <v>3569</v>
      </c>
      <c r="P1888" s="34" t="s">
        <v>3562</v>
      </c>
      <c r="Q1888" s="165">
        <f>IF(Sales[[#This Row],[Status]]="Cancelled",0,Sales[[#This Row],[Qty]])</f>
        <v>2</v>
      </c>
      <c r="R1888" s="166">
        <f>IF(Sales[[#This Row],[Status]]="Cancelled",0,Sales[[#This Row],[Total Amount]])</f>
        <v>5898.1119999999992</v>
      </c>
      <c r="S1888" s="162">
        <f>SUM(Sales[Net Amount])</f>
        <v>406839287.73200053</v>
      </c>
    </row>
    <row r="1889" spans="1:19" ht="18.75" x14ac:dyDescent="0.25">
      <c r="A1889" s="156" t="s">
        <v>5503</v>
      </c>
      <c r="B1889" s="157">
        <v>45874</v>
      </c>
      <c r="C1889" s="158" t="s">
        <v>908</v>
      </c>
      <c r="D1889" s="159" t="str">
        <f>VLOOKUP(Sales[[#This Row],[Customer ID]],Customer[#All],2,0)</f>
        <v>Rahul Singh</v>
      </c>
      <c r="E1889" s="158" t="s">
        <v>426</v>
      </c>
      <c r="F1889" s="158" t="str">
        <f>VLOOKUP(Sales[[#This Row],[Product ID]],Product[#All],2,0)</f>
        <v>Jbl Speaker</v>
      </c>
      <c r="G1889" s="159">
        <v>4</v>
      </c>
      <c r="H1889" s="160">
        <f>VLOOKUP(Sales[[#This Row],[Product ID]],Product[#All],7,0)</f>
        <v>5260</v>
      </c>
      <c r="I1889" s="160">
        <f>Sales[[#This Row],[Selling Rate]]*Sales[[#This Row],[Qty]]</f>
        <v>21040</v>
      </c>
      <c r="J1889" s="43">
        <v>0.15</v>
      </c>
      <c r="K1889" s="44">
        <f>Sales[[#This Row],[Gross Amount]]*Sales[[#This Row],[Disc %]]</f>
        <v>3156</v>
      </c>
      <c r="L1889" s="43">
        <v>0.18</v>
      </c>
      <c r="M1889" s="44">
        <f>(Sales[[#This Row],[Gross Amount]]-Sales[[#This Row],[Disc. Amt.]])*Sales[[#This Row],[GST %]]</f>
        <v>3219.12</v>
      </c>
      <c r="N1889" s="161">
        <f>Sales[[#This Row],[Gross Amount]]-Sales[[#This Row],[Disc. Amt.]]+Sales[[#This Row],[GST Amount]]</f>
        <v>21103.119999999999</v>
      </c>
      <c r="O1889" s="158" t="s">
        <v>3561</v>
      </c>
      <c r="P1889" s="158" t="s">
        <v>3562</v>
      </c>
      <c r="Q1889" s="160">
        <f>IF(Sales[[#This Row],[Status]]="Cancelled",0,Sales[[#This Row],[Qty]])</f>
        <v>4</v>
      </c>
      <c r="R1889" s="161">
        <f>IF(Sales[[#This Row],[Status]]="Cancelled",0,Sales[[#This Row],[Total Amount]])</f>
        <v>21103.119999999999</v>
      </c>
      <c r="S1889" s="162">
        <f>SUM(Sales[Net Amount])</f>
        <v>406839287.73200053</v>
      </c>
    </row>
    <row r="1890" spans="1:19" ht="18.75" x14ac:dyDescent="0.25">
      <c r="A1890" s="163" t="s">
        <v>5504</v>
      </c>
      <c r="B1890" s="164">
        <v>45874</v>
      </c>
      <c r="C1890" s="34" t="s">
        <v>930</v>
      </c>
      <c r="D1890" s="53" t="str">
        <f>VLOOKUP(Sales[[#This Row],[Customer ID]],Customer[#All],2,0)</f>
        <v>Rakesh Gupta</v>
      </c>
      <c r="E1890" s="34" t="s">
        <v>48</v>
      </c>
      <c r="F1890" s="34" t="str">
        <f>VLOOKUP(Sales[[#This Row],[Product ID]],Product[#All],2,0)</f>
        <v>Jbl Headset</v>
      </c>
      <c r="G1890" s="53">
        <v>2</v>
      </c>
      <c r="H1890" s="165">
        <f>VLOOKUP(Sales[[#This Row],[Product ID]],Product[#All],7,0)</f>
        <v>4610</v>
      </c>
      <c r="I1890" s="165">
        <f>Sales[[#This Row],[Selling Rate]]*Sales[[#This Row],[Qty]]</f>
        <v>9220</v>
      </c>
      <c r="J1890" s="45">
        <v>0.15</v>
      </c>
      <c r="K1890" s="46">
        <f>Sales[[#This Row],[Gross Amount]]*Sales[[#This Row],[Disc %]]</f>
        <v>1383</v>
      </c>
      <c r="L1890" s="43">
        <v>0.18</v>
      </c>
      <c r="M1890" s="46">
        <f>(Sales[[#This Row],[Gross Amount]]-Sales[[#This Row],[Disc. Amt.]])*Sales[[#This Row],[GST %]]</f>
        <v>1410.6599999999999</v>
      </c>
      <c r="N1890" s="161">
        <f>Sales[[#This Row],[Gross Amount]]-Sales[[#This Row],[Disc. Amt.]]+Sales[[#This Row],[GST Amount]]</f>
        <v>9247.66</v>
      </c>
      <c r="O1890" s="34" t="s">
        <v>3566</v>
      </c>
      <c r="P1890" s="34" t="s">
        <v>3562</v>
      </c>
      <c r="Q1890" s="165">
        <f>IF(Sales[[#This Row],[Status]]="Cancelled",0,Sales[[#This Row],[Qty]])</f>
        <v>2</v>
      </c>
      <c r="R1890" s="166">
        <f>IF(Sales[[#This Row],[Status]]="Cancelled",0,Sales[[#This Row],[Total Amount]])</f>
        <v>9247.66</v>
      </c>
      <c r="S1890" s="162">
        <f>SUM(Sales[Net Amount])</f>
        <v>406839287.73200053</v>
      </c>
    </row>
    <row r="1891" spans="1:19" ht="18.75" x14ac:dyDescent="0.25">
      <c r="A1891" s="156" t="s">
        <v>5505</v>
      </c>
      <c r="B1891" s="157">
        <v>45874</v>
      </c>
      <c r="C1891" s="158" t="s">
        <v>932</v>
      </c>
      <c r="D1891" s="159" t="str">
        <f>VLOOKUP(Sales[[#This Row],[Customer ID]],Customer[#All],2,0)</f>
        <v>Vikas Gupta</v>
      </c>
      <c r="E1891" s="158" t="s">
        <v>18</v>
      </c>
      <c r="F1891" s="158" t="str">
        <f>VLOOKUP(Sales[[#This Row],[Product ID]],Product[#All],2,0)</f>
        <v>TP-link Bluetooth Adapter</v>
      </c>
      <c r="G1891" s="159">
        <v>7</v>
      </c>
      <c r="H1891" s="160">
        <f>VLOOKUP(Sales[[#This Row],[Product ID]],Product[#All],7,0)</f>
        <v>870</v>
      </c>
      <c r="I1891" s="160">
        <f>Sales[[#This Row],[Selling Rate]]*Sales[[#This Row],[Qty]]</f>
        <v>6090</v>
      </c>
      <c r="J1891" s="43">
        <v>0.12</v>
      </c>
      <c r="K1891" s="44">
        <f>Sales[[#This Row],[Gross Amount]]*Sales[[#This Row],[Disc %]]</f>
        <v>730.8</v>
      </c>
      <c r="L1891" s="43">
        <v>0.18</v>
      </c>
      <c r="M1891" s="44">
        <f>(Sales[[#This Row],[Gross Amount]]-Sales[[#This Row],[Disc. Amt.]])*Sales[[#This Row],[GST %]]</f>
        <v>964.65599999999995</v>
      </c>
      <c r="N1891" s="161">
        <f>Sales[[#This Row],[Gross Amount]]-Sales[[#This Row],[Disc. Amt.]]+Sales[[#This Row],[GST Amount]]</f>
        <v>6323.8559999999998</v>
      </c>
      <c r="O1891" s="158" t="s">
        <v>3561</v>
      </c>
      <c r="P1891" s="158" t="s">
        <v>3562</v>
      </c>
      <c r="Q1891" s="160">
        <f>IF(Sales[[#This Row],[Status]]="Cancelled",0,Sales[[#This Row],[Qty]])</f>
        <v>7</v>
      </c>
      <c r="R1891" s="161">
        <f>IF(Sales[[#This Row],[Status]]="Cancelled",0,Sales[[#This Row],[Total Amount]])</f>
        <v>6323.8559999999998</v>
      </c>
      <c r="S1891" s="162">
        <f>SUM(Sales[Net Amount])</f>
        <v>406839287.73200053</v>
      </c>
    </row>
    <row r="1892" spans="1:19" ht="18.75" x14ac:dyDescent="0.25">
      <c r="A1892" s="163" t="s">
        <v>5506</v>
      </c>
      <c r="B1892" s="164">
        <v>45874</v>
      </c>
      <c r="C1892" s="34" t="s">
        <v>942</v>
      </c>
      <c r="D1892" s="53" t="str">
        <f>VLOOKUP(Sales[[#This Row],[Customer ID]],Customer[#All],2,0)</f>
        <v>Sunita Kumar</v>
      </c>
      <c r="E1892" s="34" t="s">
        <v>487</v>
      </c>
      <c r="F1892" s="34" t="str">
        <f>VLOOKUP(Sales[[#This Row],[Product ID]],Product[#All],2,0)</f>
        <v>TP-link Bluetooth Adapter</v>
      </c>
      <c r="G1892" s="53">
        <v>4</v>
      </c>
      <c r="H1892" s="165">
        <f>VLOOKUP(Sales[[#This Row],[Product ID]],Product[#All],7,0)</f>
        <v>660</v>
      </c>
      <c r="I1892" s="165">
        <f>Sales[[#This Row],[Selling Rate]]*Sales[[#This Row],[Qty]]</f>
        <v>2640</v>
      </c>
      <c r="J1892" s="45">
        <v>0.15</v>
      </c>
      <c r="K1892" s="46">
        <f>Sales[[#This Row],[Gross Amount]]*Sales[[#This Row],[Disc %]]</f>
        <v>396</v>
      </c>
      <c r="L1892" s="43">
        <v>0.18</v>
      </c>
      <c r="M1892" s="46">
        <f>(Sales[[#This Row],[Gross Amount]]-Sales[[#This Row],[Disc. Amt.]])*Sales[[#This Row],[GST %]]</f>
        <v>403.91999999999996</v>
      </c>
      <c r="N1892" s="161">
        <f>Sales[[#This Row],[Gross Amount]]-Sales[[#This Row],[Disc. Amt.]]+Sales[[#This Row],[GST Amount]]</f>
        <v>2647.92</v>
      </c>
      <c r="O1892" s="34" t="s">
        <v>3569</v>
      </c>
      <c r="P1892" s="34" t="s">
        <v>3562</v>
      </c>
      <c r="Q1892" s="165">
        <f>IF(Sales[[#This Row],[Status]]="Cancelled",0,Sales[[#This Row],[Qty]])</f>
        <v>4</v>
      </c>
      <c r="R1892" s="166">
        <f>IF(Sales[[#This Row],[Status]]="Cancelled",0,Sales[[#This Row],[Total Amount]])</f>
        <v>2647.92</v>
      </c>
      <c r="S1892" s="162">
        <f>SUM(Sales[Net Amount])</f>
        <v>406839287.73200053</v>
      </c>
    </row>
    <row r="1893" spans="1:19" ht="18.75" x14ac:dyDescent="0.25">
      <c r="A1893" s="156" t="s">
        <v>5507</v>
      </c>
      <c r="B1893" s="157">
        <v>45875</v>
      </c>
      <c r="C1893" s="158" t="s">
        <v>816</v>
      </c>
      <c r="D1893" s="159" t="str">
        <f>VLOOKUP(Sales[[#This Row],[Customer ID]],Customer[#All],2,0)</f>
        <v>Amit Patel</v>
      </c>
      <c r="E1893" s="158" t="s">
        <v>395</v>
      </c>
      <c r="F1893" s="158" t="str">
        <f>VLOOKUP(Sales[[#This Row],[Product ID]],Product[#All],2,0)</f>
        <v>American TouristerLaptopBag</v>
      </c>
      <c r="G1893" s="159">
        <v>3</v>
      </c>
      <c r="H1893" s="160">
        <f>VLOOKUP(Sales[[#This Row],[Product ID]],Product[#All],7,0)</f>
        <v>5010</v>
      </c>
      <c r="I1893" s="160">
        <f>Sales[[#This Row],[Selling Rate]]*Sales[[#This Row],[Qty]]</f>
        <v>15030</v>
      </c>
      <c r="J1893" s="43">
        <v>0.05</v>
      </c>
      <c r="K1893" s="44">
        <f>Sales[[#This Row],[Gross Amount]]*Sales[[#This Row],[Disc %]]</f>
        <v>751.5</v>
      </c>
      <c r="L1893" s="43">
        <v>0.18</v>
      </c>
      <c r="M1893" s="44">
        <f>(Sales[[#This Row],[Gross Amount]]-Sales[[#This Row],[Disc. Amt.]])*Sales[[#This Row],[GST %]]</f>
        <v>2570.13</v>
      </c>
      <c r="N1893" s="161">
        <f>Sales[[#This Row],[Gross Amount]]-Sales[[#This Row],[Disc. Amt.]]+Sales[[#This Row],[GST Amount]]</f>
        <v>16848.63</v>
      </c>
      <c r="O1893" s="158" t="s">
        <v>3569</v>
      </c>
      <c r="P1893" s="158" t="s">
        <v>3562</v>
      </c>
      <c r="Q1893" s="160">
        <f>IF(Sales[[#This Row],[Status]]="Cancelled",0,Sales[[#This Row],[Qty]])</f>
        <v>3</v>
      </c>
      <c r="R1893" s="161">
        <f>IF(Sales[[#This Row],[Status]]="Cancelled",0,Sales[[#This Row],[Total Amount]])</f>
        <v>16848.63</v>
      </c>
      <c r="S1893" s="162">
        <f>SUM(Sales[Net Amount])</f>
        <v>406839287.73200053</v>
      </c>
    </row>
    <row r="1894" spans="1:19" ht="18.75" x14ac:dyDescent="0.25">
      <c r="A1894" s="163" t="s">
        <v>5508</v>
      </c>
      <c r="B1894" s="164">
        <v>45875</v>
      </c>
      <c r="C1894" s="34" t="s">
        <v>5509</v>
      </c>
      <c r="D1894" s="53" t="str">
        <f>VLOOKUP(Sales[[#This Row],[Customer ID]],Customer[#All],2,0)</f>
        <v>Priya Kumar</v>
      </c>
      <c r="E1894" s="34" t="s">
        <v>302</v>
      </c>
      <c r="F1894" s="34" t="str">
        <f>VLOOKUP(Sales[[#This Row],[Product ID]],Product[#All],2,0)</f>
        <v>Sandisk Pen Drive</v>
      </c>
      <c r="G1894" s="53">
        <v>1</v>
      </c>
      <c r="H1894" s="165">
        <f>VLOOKUP(Sales[[#This Row],[Product ID]],Product[#All],7,0)</f>
        <v>2500</v>
      </c>
      <c r="I1894" s="165">
        <f>Sales[[#This Row],[Selling Rate]]*Sales[[#This Row],[Qty]]</f>
        <v>2500</v>
      </c>
      <c r="J1894" s="45">
        <v>0</v>
      </c>
      <c r="K1894" s="46">
        <f>Sales[[#This Row],[Gross Amount]]*Sales[[#This Row],[Disc %]]</f>
        <v>0</v>
      </c>
      <c r="L1894" s="43">
        <v>0.18</v>
      </c>
      <c r="M1894" s="46">
        <f>(Sales[[#This Row],[Gross Amount]]-Sales[[#This Row],[Disc. Amt.]])*Sales[[#This Row],[GST %]]</f>
        <v>450</v>
      </c>
      <c r="N1894" s="161">
        <f>Sales[[#This Row],[Gross Amount]]-Sales[[#This Row],[Disc. Amt.]]+Sales[[#This Row],[GST Amount]]</f>
        <v>2950</v>
      </c>
      <c r="O1894" s="34" t="s">
        <v>8876</v>
      </c>
      <c r="P1894" s="34" t="s">
        <v>3562</v>
      </c>
      <c r="Q1894" s="165">
        <f>IF(Sales[[#This Row],[Status]]="Cancelled",0,Sales[[#This Row],[Qty]])</f>
        <v>1</v>
      </c>
      <c r="R1894" s="166">
        <f>IF(Sales[[#This Row],[Status]]="Cancelled",0,Sales[[#This Row],[Total Amount]])</f>
        <v>2950</v>
      </c>
      <c r="S1894" s="162">
        <f>SUM(Sales[Net Amount])</f>
        <v>406839287.73200053</v>
      </c>
    </row>
    <row r="1895" spans="1:19" ht="18.75" x14ac:dyDescent="0.25">
      <c r="A1895" s="156" t="s">
        <v>5510</v>
      </c>
      <c r="B1895" s="157">
        <v>45875</v>
      </c>
      <c r="C1895" s="158" t="s">
        <v>787</v>
      </c>
      <c r="D1895" s="159" t="str">
        <f>VLOOKUP(Sales[[#This Row],[Customer ID]],Customer[#All],2,0)</f>
        <v>Amit Singh</v>
      </c>
      <c r="E1895" s="158" t="s">
        <v>514</v>
      </c>
      <c r="F1895" s="158" t="str">
        <f>VLOOKUP(Sales[[#This Row],[Product ID]],Product[#All],2,0)</f>
        <v>Apc UPS</v>
      </c>
      <c r="G1895" s="159">
        <v>8</v>
      </c>
      <c r="H1895" s="160">
        <f>VLOOKUP(Sales[[#This Row],[Product ID]],Product[#All],7,0)</f>
        <v>4660</v>
      </c>
      <c r="I1895" s="160">
        <f>Sales[[#This Row],[Selling Rate]]*Sales[[#This Row],[Qty]]</f>
        <v>37280</v>
      </c>
      <c r="J1895" s="43">
        <v>0</v>
      </c>
      <c r="K1895" s="44">
        <f>Sales[[#This Row],[Gross Amount]]*Sales[[#This Row],[Disc %]]</f>
        <v>0</v>
      </c>
      <c r="L1895" s="43">
        <v>0.18</v>
      </c>
      <c r="M1895" s="44">
        <f>(Sales[[#This Row],[Gross Amount]]-Sales[[#This Row],[Disc. Amt.]])*Sales[[#This Row],[GST %]]</f>
        <v>6710.4</v>
      </c>
      <c r="N1895" s="161">
        <f>Sales[[#This Row],[Gross Amount]]-Sales[[#This Row],[Disc. Amt.]]+Sales[[#This Row],[GST Amount]]</f>
        <v>43990.400000000001</v>
      </c>
      <c r="O1895" s="158" t="s">
        <v>8876</v>
      </c>
      <c r="P1895" s="158" t="s">
        <v>3562</v>
      </c>
      <c r="Q1895" s="160">
        <f>IF(Sales[[#This Row],[Status]]="Cancelled",0,Sales[[#This Row],[Qty]])</f>
        <v>8</v>
      </c>
      <c r="R1895" s="161">
        <f>IF(Sales[[#This Row],[Status]]="Cancelled",0,Sales[[#This Row],[Total Amount]])</f>
        <v>43990.400000000001</v>
      </c>
      <c r="S1895" s="162">
        <f>SUM(Sales[Net Amount])</f>
        <v>406839287.73200053</v>
      </c>
    </row>
    <row r="1896" spans="1:19" ht="18.75" x14ac:dyDescent="0.25">
      <c r="A1896" s="163" t="s">
        <v>5511</v>
      </c>
      <c r="B1896" s="164">
        <v>45875</v>
      </c>
      <c r="C1896" s="34" t="s">
        <v>918</v>
      </c>
      <c r="D1896" s="53" t="str">
        <f>VLOOKUP(Sales[[#This Row],[Customer ID]],Customer[#All],2,0)</f>
        <v>Pooja Patel</v>
      </c>
      <c r="E1896" s="34" t="s">
        <v>305</v>
      </c>
      <c r="F1896" s="34" t="str">
        <f>VLOOKUP(Sales[[#This Row],[Product ID]],Product[#All],2,0)</f>
        <v>HP Power Adapter</v>
      </c>
      <c r="G1896" s="53">
        <v>8</v>
      </c>
      <c r="H1896" s="165">
        <f>VLOOKUP(Sales[[#This Row],[Product ID]],Product[#All],7,0)</f>
        <v>2640</v>
      </c>
      <c r="I1896" s="165">
        <f>Sales[[#This Row],[Selling Rate]]*Sales[[#This Row],[Qty]]</f>
        <v>21120</v>
      </c>
      <c r="J1896" s="45">
        <v>0.05</v>
      </c>
      <c r="K1896" s="46">
        <f>Sales[[#This Row],[Gross Amount]]*Sales[[#This Row],[Disc %]]</f>
        <v>1056</v>
      </c>
      <c r="L1896" s="43">
        <v>0.18</v>
      </c>
      <c r="M1896" s="46">
        <f>(Sales[[#This Row],[Gross Amount]]-Sales[[#This Row],[Disc. Amt.]])*Sales[[#This Row],[GST %]]</f>
        <v>3611.52</v>
      </c>
      <c r="N1896" s="161">
        <f>Sales[[#This Row],[Gross Amount]]-Sales[[#This Row],[Disc. Amt.]]+Sales[[#This Row],[GST Amount]]</f>
        <v>23675.52</v>
      </c>
      <c r="O1896" s="34" t="s">
        <v>3569</v>
      </c>
      <c r="P1896" s="34" t="s">
        <v>3562</v>
      </c>
      <c r="Q1896" s="165">
        <f>IF(Sales[[#This Row],[Status]]="Cancelled",0,Sales[[#This Row],[Qty]])</f>
        <v>8</v>
      </c>
      <c r="R1896" s="166">
        <f>IF(Sales[[#This Row],[Status]]="Cancelled",0,Sales[[#This Row],[Total Amount]])</f>
        <v>23675.52</v>
      </c>
      <c r="S1896" s="162">
        <f>SUM(Sales[Net Amount])</f>
        <v>406839287.73200053</v>
      </c>
    </row>
    <row r="1897" spans="1:19" ht="18.75" x14ac:dyDescent="0.25">
      <c r="A1897" s="156" t="s">
        <v>5512</v>
      </c>
      <c r="B1897" s="157">
        <v>45875</v>
      </c>
      <c r="C1897" s="158" t="s">
        <v>650</v>
      </c>
      <c r="D1897" s="159" t="str">
        <f>VLOOKUP(Sales[[#This Row],[Customer ID]],Customer[#All],2,0)</f>
        <v xml:space="preserve">Pooja Patel </v>
      </c>
      <c r="E1897" s="158" t="s">
        <v>26</v>
      </c>
      <c r="F1897" s="158" t="str">
        <f>VLOOKUP(Sales[[#This Row],[Product ID]],Product[#All],2,0)</f>
        <v>Lg Monitor</v>
      </c>
      <c r="G1897" s="159">
        <v>7</v>
      </c>
      <c r="H1897" s="160">
        <f>VLOOKUP(Sales[[#This Row],[Product ID]],Product[#All],7,0)</f>
        <v>21600</v>
      </c>
      <c r="I1897" s="160">
        <f>Sales[[#This Row],[Selling Rate]]*Sales[[#This Row],[Qty]]</f>
        <v>151200</v>
      </c>
      <c r="J1897" s="43">
        <v>0.15</v>
      </c>
      <c r="K1897" s="44">
        <f>Sales[[#This Row],[Gross Amount]]*Sales[[#This Row],[Disc %]]</f>
        <v>22680</v>
      </c>
      <c r="L1897" s="43">
        <v>0.18</v>
      </c>
      <c r="M1897" s="44">
        <f>(Sales[[#This Row],[Gross Amount]]-Sales[[#This Row],[Disc. Amt.]])*Sales[[#This Row],[GST %]]</f>
        <v>23133.599999999999</v>
      </c>
      <c r="N1897" s="161">
        <f>Sales[[#This Row],[Gross Amount]]-Sales[[#This Row],[Disc. Amt.]]+Sales[[#This Row],[GST Amount]]</f>
        <v>151653.6</v>
      </c>
      <c r="O1897" s="158" t="s">
        <v>3561</v>
      </c>
      <c r="P1897" s="158" t="s">
        <v>3562</v>
      </c>
      <c r="Q1897" s="160">
        <f>IF(Sales[[#This Row],[Status]]="Cancelled",0,Sales[[#This Row],[Qty]])</f>
        <v>7</v>
      </c>
      <c r="R1897" s="161">
        <f>IF(Sales[[#This Row],[Status]]="Cancelled",0,Sales[[#This Row],[Total Amount]])</f>
        <v>151653.6</v>
      </c>
      <c r="S1897" s="162">
        <f>SUM(Sales[Net Amount])</f>
        <v>406839287.73200053</v>
      </c>
    </row>
    <row r="1898" spans="1:19" ht="18.75" x14ac:dyDescent="0.25">
      <c r="A1898" s="163" t="s">
        <v>5513</v>
      </c>
      <c r="B1898" s="164">
        <v>45875</v>
      </c>
      <c r="C1898" s="34" t="s">
        <v>718</v>
      </c>
      <c r="D1898" s="53" t="str">
        <f>VLOOKUP(Sales[[#This Row],[Customer ID]],Customer[#All],2,0)</f>
        <v>Rakesh Patel</v>
      </c>
      <c r="E1898" s="34" t="s">
        <v>373</v>
      </c>
      <c r="F1898" s="34" t="str">
        <f>VLOOKUP(Sales[[#This Row],[Product ID]],Product[#All],2,0)</f>
        <v>Epson Printer</v>
      </c>
      <c r="G1898" s="53">
        <v>8</v>
      </c>
      <c r="H1898" s="165">
        <f>VLOOKUP(Sales[[#This Row],[Product ID]],Product[#All],7,0)</f>
        <v>9710</v>
      </c>
      <c r="I1898" s="165">
        <f>Sales[[#This Row],[Selling Rate]]*Sales[[#This Row],[Qty]]</f>
        <v>77680</v>
      </c>
      <c r="J1898" s="45">
        <v>0</v>
      </c>
      <c r="K1898" s="46">
        <f>Sales[[#This Row],[Gross Amount]]*Sales[[#This Row],[Disc %]]</f>
        <v>0</v>
      </c>
      <c r="L1898" s="43">
        <v>0.18</v>
      </c>
      <c r="M1898" s="46">
        <f>(Sales[[#This Row],[Gross Amount]]-Sales[[#This Row],[Disc. Amt.]])*Sales[[#This Row],[GST %]]</f>
        <v>13982.4</v>
      </c>
      <c r="N1898" s="161">
        <f>Sales[[#This Row],[Gross Amount]]-Sales[[#This Row],[Disc. Amt.]]+Sales[[#This Row],[GST Amount]]</f>
        <v>91662.399999999994</v>
      </c>
      <c r="O1898" s="34" t="s">
        <v>3566</v>
      </c>
      <c r="P1898" s="34" t="s">
        <v>3562</v>
      </c>
      <c r="Q1898" s="165">
        <f>IF(Sales[[#This Row],[Status]]="Cancelled",0,Sales[[#This Row],[Qty]])</f>
        <v>8</v>
      </c>
      <c r="R1898" s="166">
        <f>IF(Sales[[#This Row],[Status]]="Cancelled",0,Sales[[#This Row],[Total Amount]])</f>
        <v>91662.399999999994</v>
      </c>
      <c r="S1898" s="162">
        <f>SUM(Sales[Net Amount])</f>
        <v>406839287.73200053</v>
      </c>
    </row>
    <row r="1899" spans="1:19" ht="18.75" x14ac:dyDescent="0.25">
      <c r="A1899" s="156" t="s">
        <v>5514</v>
      </c>
      <c r="B1899" s="157">
        <v>45875</v>
      </c>
      <c r="C1899" s="158" t="s">
        <v>921</v>
      </c>
      <c r="D1899" s="159" t="str">
        <f>VLOOKUP(Sales[[#This Row],[Customer ID]],Customer[#All],2,0)</f>
        <v>Sahil Gupta</v>
      </c>
      <c r="E1899" s="158" t="s">
        <v>135</v>
      </c>
      <c r="F1899" s="158" t="str">
        <f>VLOOKUP(Sales[[#This Row],[Product ID]],Product[#All],2,0)</f>
        <v>Kingston Ram</v>
      </c>
      <c r="G1899" s="159">
        <v>8</v>
      </c>
      <c r="H1899" s="160">
        <f>VLOOKUP(Sales[[#This Row],[Product ID]],Product[#All],7,0)</f>
        <v>3100</v>
      </c>
      <c r="I1899" s="160">
        <f>Sales[[#This Row],[Selling Rate]]*Sales[[#This Row],[Qty]]</f>
        <v>24800</v>
      </c>
      <c r="J1899" s="43">
        <v>0.05</v>
      </c>
      <c r="K1899" s="44">
        <f>Sales[[#This Row],[Gross Amount]]*Sales[[#This Row],[Disc %]]</f>
        <v>1240</v>
      </c>
      <c r="L1899" s="43">
        <v>0.18</v>
      </c>
      <c r="M1899" s="44">
        <f>(Sales[[#This Row],[Gross Amount]]-Sales[[#This Row],[Disc. Amt.]])*Sales[[#This Row],[GST %]]</f>
        <v>4240.8</v>
      </c>
      <c r="N1899" s="161">
        <f>Sales[[#This Row],[Gross Amount]]-Sales[[#This Row],[Disc. Amt.]]+Sales[[#This Row],[GST Amount]]</f>
        <v>27800.799999999999</v>
      </c>
      <c r="O1899" s="158" t="s">
        <v>3569</v>
      </c>
      <c r="P1899" s="158" t="s">
        <v>3562</v>
      </c>
      <c r="Q1899" s="160">
        <f>IF(Sales[[#This Row],[Status]]="Cancelled",0,Sales[[#This Row],[Qty]])</f>
        <v>8</v>
      </c>
      <c r="R1899" s="161">
        <f>IF(Sales[[#This Row],[Status]]="Cancelled",0,Sales[[#This Row],[Total Amount]])</f>
        <v>27800.799999999999</v>
      </c>
      <c r="S1899" s="162">
        <f>SUM(Sales[Net Amount])</f>
        <v>406839287.73200053</v>
      </c>
    </row>
    <row r="1900" spans="1:19" ht="18.75" x14ac:dyDescent="0.25">
      <c r="A1900" s="163" t="s">
        <v>5515</v>
      </c>
      <c r="B1900" s="164">
        <v>45875</v>
      </c>
      <c r="C1900" s="34" t="s">
        <v>653</v>
      </c>
      <c r="D1900" s="53" t="str">
        <f>VLOOKUP(Sales[[#This Row],[Customer ID]],Customer[#All],2,0)</f>
        <v>Pooja Patel</v>
      </c>
      <c r="E1900" s="34" t="s">
        <v>184</v>
      </c>
      <c r="F1900" s="34" t="str">
        <f>VLOOKUP(Sales[[#This Row],[Product ID]],Product[#All],2,0)</f>
        <v>Seagate HDD</v>
      </c>
      <c r="G1900" s="53">
        <v>8</v>
      </c>
      <c r="H1900" s="165">
        <f>VLOOKUP(Sales[[#This Row],[Product ID]],Product[#All],7,0)</f>
        <v>11550</v>
      </c>
      <c r="I1900" s="165">
        <f>Sales[[#This Row],[Selling Rate]]*Sales[[#This Row],[Qty]]</f>
        <v>92400</v>
      </c>
      <c r="J1900" s="45">
        <v>0.02</v>
      </c>
      <c r="K1900" s="46">
        <f>Sales[[#This Row],[Gross Amount]]*Sales[[#This Row],[Disc %]]</f>
        <v>1848</v>
      </c>
      <c r="L1900" s="43">
        <v>0.18</v>
      </c>
      <c r="M1900" s="46">
        <f>(Sales[[#This Row],[Gross Amount]]-Sales[[#This Row],[Disc. Amt.]])*Sales[[#This Row],[GST %]]</f>
        <v>16299.359999999999</v>
      </c>
      <c r="N1900" s="161">
        <f>Sales[[#This Row],[Gross Amount]]-Sales[[#This Row],[Disc. Amt.]]+Sales[[#This Row],[GST Amount]]</f>
        <v>106851.36</v>
      </c>
      <c r="O1900" s="34" t="s">
        <v>8876</v>
      </c>
      <c r="P1900" s="34" t="s">
        <v>3562</v>
      </c>
      <c r="Q1900" s="165">
        <f>IF(Sales[[#This Row],[Status]]="Cancelled",0,Sales[[#This Row],[Qty]])</f>
        <v>8</v>
      </c>
      <c r="R1900" s="166">
        <f>IF(Sales[[#This Row],[Status]]="Cancelled",0,Sales[[#This Row],[Total Amount]])</f>
        <v>106851.36</v>
      </c>
      <c r="S1900" s="162">
        <f>SUM(Sales[Net Amount])</f>
        <v>406839287.73200053</v>
      </c>
    </row>
    <row r="1901" spans="1:19" ht="18.75" x14ac:dyDescent="0.25">
      <c r="A1901" s="156" t="s">
        <v>5516</v>
      </c>
      <c r="B1901" s="157">
        <v>45875</v>
      </c>
      <c r="C1901" s="158" t="s">
        <v>906</v>
      </c>
      <c r="D1901" s="159" t="str">
        <f>VLOOKUP(Sales[[#This Row],[Customer ID]],Customer[#All],2,0)</f>
        <v>Ankit Sharma</v>
      </c>
      <c r="E1901" s="158" t="s">
        <v>458</v>
      </c>
      <c r="F1901" s="158" t="str">
        <f>VLOOKUP(Sales[[#This Row],[Product ID]],Product[#All],2,0)</f>
        <v>Dell Monitor</v>
      </c>
      <c r="G1901" s="159">
        <v>3</v>
      </c>
      <c r="H1901" s="160">
        <f>VLOOKUP(Sales[[#This Row],[Product ID]],Product[#All],7,0)</f>
        <v>6380</v>
      </c>
      <c r="I1901" s="160">
        <f>Sales[[#This Row],[Selling Rate]]*Sales[[#This Row],[Qty]]</f>
        <v>19140</v>
      </c>
      <c r="J1901" s="43">
        <v>0</v>
      </c>
      <c r="K1901" s="44">
        <f>Sales[[#This Row],[Gross Amount]]*Sales[[#This Row],[Disc %]]</f>
        <v>0</v>
      </c>
      <c r="L1901" s="43">
        <v>0.18</v>
      </c>
      <c r="M1901" s="44">
        <f>(Sales[[#This Row],[Gross Amount]]-Sales[[#This Row],[Disc. Amt.]])*Sales[[#This Row],[GST %]]</f>
        <v>3445.2</v>
      </c>
      <c r="N1901" s="161">
        <f>Sales[[#This Row],[Gross Amount]]-Sales[[#This Row],[Disc. Amt.]]+Sales[[#This Row],[GST Amount]]</f>
        <v>22585.200000000001</v>
      </c>
      <c r="O1901" s="158" t="s">
        <v>3561</v>
      </c>
      <c r="P1901" s="158" t="s">
        <v>3562</v>
      </c>
      <c r="Q1901" s="160">
        <f>IF(Sales[[#This Row],[Status]]="Cancelled",0,Sales[[#This Row],[Qty]])</f>
        <v>3</v>
      </c>
      <c r="R1901" s="161">
        <f>IF(Sales[[#This Row],[Status]]="Cancelled",0,Sales[[#This Row],[Total Amount]])</f>
        <v>22585.200000000001</v>
      </c>
      <c r="S1901" s="162">
        <f>SUM(Sales[Net Amount])</f>
        <v>406839287.73200053</v>
      </c>
    </row>
    <row r="1902" spans="1:19" ht="18.75" x14ac:dyDescent="0.25">
      <c r="A1902" s="163" t="s">
        <v>5517</v>
      </c>
      <c r="B1902" s="164">
        <v>45875</v>
      </c>
      <c r="C1902" s="34" t="s">
        <v>721</v>
      </c>
      <c r="D1902" s="53" t="str">
        <f>VLOOKUP(Sales[[#This Row],[Customer ID]],Customer[#All],2,0)</f>
        <v>Sahil Sharma</v>
      </c>
      <c r="E1902" s="34" t="s">
        <v>346</v>
      </c>
      <c r="F1902" s="34" t="str">
        <f>VLOOKUP(Sales[[#This Row],[Product ID]],Product[#All],2,0)</f>
        <v>HP Laptop</v>
      </c>
      <c r="G1902" s="53">
        <v>6</v>
      </c>
      <c r="H1902" s="165">
        <f>VLOOKUP(Sales[[#This Row],[Product ID]],Product[#All],7,0)</f>
        <v>88550</v>
      </c>
      <c r="I1902" s="165">
        <f>Sales[[#This Row],[Selling Rate]]*Sales[[#This Row],[Qty]]</f>
        <v>531300</v>
      </c>
      <c r="J1902" s="45">
        <v>0.05</v>
      </c>
      <c r="K1902" s="46">
        <f>Sales[[#This Row],[Gross Amount]]*Sales[[#This Row],[Disc %]]</f>
        <v>26565</v>
      </c>
      <c r="L1902" s="43">
        <v>0.18</v>
      </c>
      <c r="M1902" s="46">
        <f>(Sales[[#This Row],[Gross Amount]]-Sales[[#This Row],[Disc. Amt.]])*Sales[[#This Row],[GST %]]</f>
        <v>90852.3</v>
      </c>
      <c r="N1902" s="161">
        <f>Sales[[#This Row],[Gross Amount]]-Sales[[#This Row],[Disc. Amt.]]+Sales[[#This Row],[GST Amount]]</f>
        <v>595587.30000000005</v>
      </c>
      <c r="O1902" s="34" t="s">
        <v>3569</v>
      </c>
      <c r="P1902" s="34" t="s">
        <v>3562</v>
      </c>
      <c r="Q1902" s="165">
        <f>IF(Sales[[#This Row],[Status]]="Cancelled",0,Sales[[#This Row],[Qty]])</f>
        <v>6</v>
      </c>
      <c r="R1902" s="166">
        <f>IF(Sales[[#This Row],[Status]]="Cancelled",0,Sales[[#This Row],[Total Amount]])</f>
        <v>595587.30000000005</v>
      </c>
      <c r="S1902" s="162">
        <f>SUM(Sales[Net Amount])</f>
        <v>406839287.73200053</v>
      </c>
    </row>
    <row r="1903" spans="1:19" ht="18.75" x14ac:dyDescent="0.25">
      <c r="A1903" s="156" t="s">
        <v>5518</v>
      </c>
      <c r="B1903" s="157">
        <v>45875</v>
      </c>
      <c r="C1903" s="158" t="s">
        <v>915</v>
      </c>
      <c r="D1903" s="159" t="str">
        <f>VLOOKUP(Sales[[#This Row],[Customer ID]],Customer[#All],2,0)</f>
        <v>Sunita Kumar</v>
      </c>
      <c r="E1903" s="158" t="s">
        <v>406</v>
      </c>
      <c r="F1903" s="158" t="str">
        <f>VLOOKUP(Sales[[#This Row],[Product ID]],Product[#All],2,0)</f>
        <v>American TouristerLaptopBag</v>
      </c>
      <c r="G1903" s="159">
        <v>8</v>
      </c>
      <c r="H1903" s="160">
        <f>VLOOKUP(Sales[[#This Row],[Product ID]],Product[#All],7,0)</f>
        <v>1710</v>
      </c>
      <c r="I1903" s="160">
        <f>Sales[[#This Row],[Selling Rate]]*Sales[[#This Row],[Qty]]</f>
        <v>13680</v>
      </c>
      <c r="J1903" s="43">
        <v>0.1</v>
      </c>
      <c r="K1903" s="44">
        <f>Sales[[#This Row],[Gross Amount]]*Sales[[#This Row],[Disc %]]</f>
        <v>1368</v>
      </c>
      <c r="L1903" s="43">
        <v>0.18</v>
      </c>
      <c r="M1903" s="44">
        <f>(Sales[[#This Row],[Gross Amount]]-Sales[[#This Row],[Disc. Amt.]])*Sales[[#This Row],[GST %]]</f>
        <v>2216.16</v>
      </c>
      <c r="N1903" s="161">
        <f>Sales[[#This Row],[Gross Amount]]-Sales[[#This Row],[Disc. Amt.]]+Sales[[#This Row],[GST Amount]]</f>
        <v>14528.16</v>
      </c>
      <c r="O1903" s="158" t="s">
        <v>3561</v>
      </c>
      <c r="P1903" s="158" t="s">
        <v>3562</v>
      </c>
      <c r="Q1903" s="160">
        <f>IF(Sales[[#This Row],[Status]]="Cancelled",0,Sales[[#This Row],[Qty]])</f>
        <v>8</v>
      </c>
      <c r="R1903" s="161">
        <f>IF(Sales[[#This Row],[Status]]="Cancelled",0,Sales[[#This Row],[Total Amount]])</f>
        <v>14528.16</v>
      </c>
      <c r="S1903" s="162">
        <f>SUM(Sales[Net Amount])</f>
        <v>406839287.73200053</v>
      </c>
    </row>
    <row r="1904" spans="1:19" ht="18.75" x14ac:dyDescent="0.25">
      <c r="A1904" s="163" t="s">
        <v>5519</v>
      </c>
      <c r="B1904" s="164">
        <v>45875</v>
      </c>
      <c r="C1904" s="34" t="s">
        <v>740</v>
      </c>
      <c r="D1904" s="53" t="str">
        <f>VLOOKUP(Sales[[#This Row],[Customer ID]],Customer[#All],2,0)</f>
        <v>Vikas Gupta</v>
      </c>
      <c r="E1904" s="34" t="s">
        <v>137</v>
      </c>
      <c r="F1904" s="34" t="str">
        <f>VLOOKUP(Sales[[#This Row],[Product ID]],Product[#All],2,0)</f>
        <v>Seagate HDD</v>
      </c>
      <c r="G1904" s="53">
        <v>8</v>
      </c>
      <c r="H1904" s="165">
        <f>VLOOKUP(Sales[[#This Row],[Product ID]],Product[#All],7,0)</f>
        <v>7940</v>
      </c>
      <c r="I1904" s="165">
        <f>Sales[[#This Row],[Selling Rate]]*Sales[[#This Row],[Qty]]</f>
        <v>63520</v>
      </c>
      <c r="J1904" s="45">
        <v>0</v>
      </c>
      <c r="K1904" s="46">
        <f>Sales[[#This Row],[Gross Amount]]*Sales[[#This Row],[Disc %]]</f>
        <v>0</v>
      </c>
      <c r="L1904" s="43">
        <v>0.18</v>
      </c>
      <c r="M1904" s="46">
        <f>(Sales[[#This Row],[Gross Amount]]-Sales[[#This Row],[Disc. Amt.]])*Sales[[#This Row],[GST %]]</f>
        <v>11433.6</v>
      </c>
      <c r="N1904" s="161">
        <f>Sales[[#This Row],[Gross Amount]]-Sales[[#This Row],[Disc. Amt.]]+Sales[[#This Row],[GST Amount]]</f>
        <v>74953.600000000006</v>
      </c>
      <c r="O1904" s="34" t="s">
        <v>8876</v>
      </c>
      <c r="P1904" s="34" t="s">
        <v>3562</v>
      </c>
      <c r="Q1904" s="165">
        <f>IF(Sales[[#This Row],[Status]]="Cancelled",0,Sales[[#This Row],[Qty]])</f>
        <v>8</v>
      </c>
      <c r="R1904" s="166">
        <f>IF(Sales[[#This Row],[Status]]="Cancelled",0,Sales[[#This Row],[Total Amount]])</f>
        <v>74953.600000000006</v>
      </c>
      <c r="S1904" s="162">
        <f>SUM(Sales[Net Amount])</f>
        <v>406839287.73200053</v>
      </c>
    </row>
    <row r="1905" spans="1:19" ht="18.75" x14ac:dyDescent="0.25">
      <c r="A1905" s="156" t="s">
        <v>5520</v>
      </c>
      <c r="B1905" s="157">
        <v>45875</v>
      </c>
      <c r="C1905" s="158" t="s">
        <v>924</v>
      </c>
      <c r="D1905" s="159" t="str">
        <f>VLOOKUP(Sales[[#This Row],[Customer ID]],Customer[#All],2,0)</f>
        <v>Rakesh Gupta</v>
      </c>
      <c r="E1905" s="158" t="s">
        <v>356</v>
      </c>
      <c r="F1905" s="158" t="str">
        <f>VLOOKUP(Sales[[#This Row],[Product ID]],Product[#All],2,0)</f>
        <v>Corsair Ram</v>
      </c>
      <c r="G1905" s="159">
        <v>7</v>
      </c>
      <c r="H1905" s="160">
        <f>VLOOKUP(Sales[[#This Row],[Product ID]],Product[#All],7,0)</f>
        <v>8460</v>
      </c>
      <c r="I1905" s="160">
        <f>Sales[[#This Row],[Selling Rate]]*Sales[[#This Row],[Qty]]</f>
        <v>59220</v>
      </c>
      <c r="J1905" s="43">
        <v>0.15</v>
      </c>
      <c r="K1905" s="44">
        <f>Sales[[#This Row],[Gross Amount]]*Sales[[#This Row],[Disc %]]</f>
        <v>8883</v>
      </c>
      <c r="L1905" s="43">
        <v>0.18</v>
      </c>
      <c r="M1905" s="44">
        <f>(Sales[[#This Row],[Gross Amount]]-Sales[[#This Row],[Disc. Amt.]])*Sales[[#This Row],[GST %]]</f>
        <v>9060.66</v>
      </c>
      <c r="N1905" s="161">
        <f>Sales[[#This Row],[Gross Amount]]-Sales[[#This Row],[Disc. Amt.]]+Sales[[#This Row],[GST Amount]]</f>
        <v>59397.66</v>
      </c>
      <c r="O1905" s="158" t="s">
        <v>3561</v>
      </c>
      <c r="P1905" s="158" t="s">
        <v>3562</v>
      </c>
      <c r="Q1905" s="160">
        <f>IF(Sales[[#This Row],[Status]]="Cancelled",0,Sales[[#This Row],[Qty]])</f>
        <v>7</v>
      </c>
      <c r="R1905" s="161">
        <f>IF(Sales[[#This Row],[Status]]="Cancelled",0,Sales[[#This Row],[Total Amount]])</f>
        <v>59397.66</v>
      </c>
      <c r="S1905" s="162">
        <f>SUM(Sales[Net Amount])</f>
        <v>406839287.73200053</v>
      </c>
    </row>
    <row r="1906" spans="1:19" ht="18.75" x14ac:dyDescent="0.25">
      <c r="A1906" s="163" t="s">
        <v>5521</v>
      </c>
      <c r="B1906" s="164">
        <v>45875</v>
      </c>
      <c r="C1906" s="34" t="s">
        <v>866</v>
      </c>
      <c r="D1906" s="53" t="str">
        <f>VLOOKUP(Sales[[#This Row],[Customer ID]],Customer[#All],2,0)</f>
        <v>Priya Patel</v>
      </c>
      <c r="E1906" s="34" t="s">
        <v>229</v>
      </c>
      <c r="F1906" s="34" t="str">
        <f>VLOOKUP(Sales[[#This Row],[Product ID]],Product[#All],2,0)</f>
        <v>Jbl Headset</v>
      </c>
      <c r="G1906" s="53">
        <v>3</v>
      </c>
      <c r="H1906" s="165">
        <f>VLOOKUP(Sales[[#This Row],[Product ID]],Product[#All],7,0)</f>
        <v>3170</v>
      </c>
      <c r="I1906" s="165">
        <f>Sales[[#This Row],[Selling Rate]]*Sales[[#This Row],[Qty]]</f>
        <v>9510</v>
      </c>
      <c r="J1906" s="45">
        <v>0</v>
      </c>
      <c r="K1906" s="46">
        <f>Sales[[#This Row],[Gross Amount]]*Sales[[#This Row],[Disc %]]</f>
        <v>0</v>
      </c>
      <c r="L1906" s="43">
        <v>0.18</v>
      </c>
      <c r="M1906" s="46">
        <f>(Sales[[#This Row],[Gross Amount]]-Sales[[#This Row],[Disc. Amt.]])*Sales[[#This Row],[GST %]]</f>
        <v>1711.8</v>
      </c>
      <c r="N1906" s="161">
        <f>Sales[[#This Row],[Gross Amount]]-Sales[[#This Row],[Disc. Amt.]]+Sales[[#This Row],[GST Amount]]</f>
        <v>11221.8</v>
      </c>
      <c r="O1906" s="34" t="s">
        <v>3569</v>
      </c>
      <c r="P1906" s="34" t="s">
        <v>3562</v>
      </c>
      <c r="Q1906" s="165">
        <f>IF(Sales[[#This Row],[Status]]="Cancelled",0,Sales[[#This Row],[Qty]])</f>
        <v>3</v>
      </c>
      <c r="R1906" s="166">
        <f>IF(Sales[[#This Row],[Status]]="Cancelled",0,Sales[[#This Row],[Total Amount]])</f>
        <v>11221.8</v>
      </c>
      <c r="S1906" s="162">
        <f>SUM(Sales[Net Amount])</f>
        <v>406839287.73200053</v>
      </c>
    </row>
    <row r="1907" spans="1:19" ht="18.75" x14ac:dyDescent="0.25">
      <c r="A1907" s="156" t="s">
        <v>5522</v>
      </c>
      <c r="B1907" s="157">
        <v>45875</v>
      </c>
      <c r="C1907" s="158" t="s">
        <v>760</v>
      </c>
      <c r="D1907" s="159" t="str">
        <f>VLOOKUP(Sales[[#This Row],[Customer ID]],Customer[#All],2,0)</f>
        <v>Pooja Singh</v>
      </c>
      <c r="E1907" s="158" t="s">
        <v>104</v>
      </c>
      <c r="F1907" s="158" t="str">
        <f>VLOOKUP(Sales[[#This Row],[Product ID]],Product[#All],2,0)</f>
        <v>Canon Printer</v>
      </c>
      <c r="G1907" s="159">
        <v>7</v>
      </c>
      <c r="H1907" s="160">
        <f>VLOOKUP(Sales[[#This Row],[Product ID]],Product[#All],7,0)</f>
        <v>49170</v>
      </c>
      <c r="I1907" s="160">
        <f>Sales[[#This Row],[Selling Rate]]*Sales[[#This Row],[Qty]]</f>
        <v>344190</v>
      </c>
      <c r="J1907" s="43">
        <v>0.1</v>
      </c>
      <c r="K1907" s="44">
        <f>Sales[[#This Row],[Gross Amount]]*Sales[[#This Row],[Disc %]]</f>
        <v>34419</v>
      </c>
      <c r="L1907" s="43">
        <v>0.18</v>
      </c>
      <c r="M1907" s="44">
        <f>(Sales[[#This Row],[Gross Amount]]-Sales[[#This Row],[Disc. Amt.]])*Sales[[#This Row],[GST %]]</f>
        <v>55758.78</v>
      </c>
      <c r="N1907" s="161">
        <f>Sales[[#This Row],[Gross Amount]]-Sales[[#This Row],[Disc. Amt.]]+Sales[[#This Row],[GST Amount]]</f>
        <v>365529.78</v>
      </c>
      <c r="O1907" s="158" t="s">
        <v>3561</v>
      </c>
      <c r="P1907" s="158" t="s">
        <v>3562</v>
      </c>
      <c r="Q1907" s="160">
        <f>IF(Sales[[#This Row],[Status]]="Cancelled",0,Sales[[#This Row],[Qty]])</f>
        <v>7</v>
      </c>
      <c r="R1907" s="161">
        <f>IF(Sales[[#This Row],[Status]]="Cancelled",0,Sales[[#This Row],[Total Amount]])</f>
        <v>365529.78</v>
      </c>
      <c r="S1907" s="162">
        <f>SUM(Sales[Net Amount])</f>
        <v>406839287.73200053</v>
      </c>
    </row>
    <row r="1908" spans="1:19" ht="18.75" x14ac:dyDescent="0.25">
      <c r="A1908" s="163" t="s">
        <v>5523</v>
      </c>
      <c r="B1908" s="164">
        <v>45875</v>
      </c>
      <c r="C1908" s="34" t="s">
        <v>758</v>
      </c>
      <c r="D1908" s="53" t="str">
        <f>VLOOKUP(Sales[[#This Row],[Customer ID]],Customer[#All],2,0)</f>
        <v>Rahul Verma</v>
      </c>
      <c r="E1908" s="34" t="s">
        <v>206</v>
      </c>
      <c r="F1908" s="34" t="str">
        <f>VLOOKUP(Sales[[#This Row],[Product ID]],Product[#All],2,0)</f>
        <v>Dell Power Adapter</v>
      </c>
      <c r="G1908" s="53">
        <v>2</v>
      </c>
      <c r="H1908" s="165">
        <f>VLOOKUP(Sales[[#This Row],[Product ID]],Product[#All],7,0)</f>
        <v>2490</v>
      </c>
      <c r="I1908" s="165">
        <f>Sales[[#This Row],[Selling Rate]]*Sales[[#This Row],[Qty]]</f>
        <v>4980</v>
      </c>
      <c r="J1908" s="45">
        <v>0</v>
      </c>
      <c r="K1908" s="46">
        <f>Sales[[#This Row],[Gross Amount]]*Sales[[#This Row],[Disc %]]</f>
        <v>0</v>
      </c>
      <c r="L1908" s="43">
        <v>0.18</v>
      </c>
      <c r="M1908" s="46">
        <f>(Sales[[#This Row],[Gross Amount]]-Sales[[#This Row],[Disc. Amt.]])*Sales[[#This Row],[GST %]]</f>
        <v>896.4</v>
      </c>
      <c r="N1908" s="161">
        <f>Sales[[#This Row],[Gross Amount]]-Sales[[#This Row],[Disc. Amt.]]+Sales[[#This Row],[GST Amount]]</f>
        <v>5876.4</v>
      </c>
      <c r="O1908" s="34" t="s">
        <v>3569</v>
      </c>
      <c r="P1908" s="34" t="s">
        <v>1040</v>
      </c>
      <c r="Q1908" s="165">
        <f>IF(Sales[[#This Row],[Status]]="Cancelled",0,Sales[[#This Row],[Qty]])</f>
        <v>0</v>
      </c>
      <c r="R1908" s="166">
        <f>IF(Sales[[#This Row],[Status]]="Cancelled",0,Sales[[#This Row],[Total Amount]])</f>
        <v>0</v>
      </c>
      <c r="S1908" s="162">
        <f>SUM(Sales[Net Amount])</f>
        <v>406839287.73200053</v>
      </c>
    </row>
    <row r="1909" spans="1:19" ht="18.75" x14ac:dyDescent="0.25">
      <c r="A1909" s="156" t="s">
        <v>5524</v>
      </c>
      <c r="B1909" s="157">
        <v>45875</v>
      </c>
      <c r="C1909" s="158" t="s">
        <v>771</v>
      </c>
      <c r="D1909" s="159" t="str">
        <f>VLOOKUP(Sales[[#This Row],[Customer ID]],Customer[#All],2,0)</f>
        <v>Pooja Sharma</v>
      </c>
      <c r="E1909" s="158" t="s">
        <v>287</v>
      </c>
      <c r="F1909" s="158" t="str">
        <f>VLOOKUP(Sales[[#This Row],[Product ID]],Product[#All],2,0)</f>
        <v>HP Power Adapter</v>
      </c>
      <c r="G1909" s="159">
        <v>5</v>
      </c>
      <c r="H1909" s="160">
        <f>VLOOKUP(Sales[[#This Row],[Product ID]],Product[#All],7,0)</f>
        <v>2270</v>
      </c>
      <c r="I1909" s="160">
        <f>Sales[[#This Row],[Selling Rate]]*Sales[[#This Row],[Qty]]</f>
        <v>11350</v>
      </c>
      <c r="J1909" s="43">
        <v>0.12</v>
      </c>
      <c r="K1909" s="44">
        <f>Sales[[#This Row],[Gross Amount]]*Sales[[#This Row],[Disc %]]</f>
        <v>1362</v>
      </c>
      <c r="L1909" s="43">
        <v>0.18</v>
      </c>
      <c r="M1909" s="44">
        <f>(Sales[[#This Row],[Gross Amount]]-Sales[[#This Row],[Disc. Amt.]])*Sales[[#This Row],[GST %]]</f>
        <v>1797.84</v>
      </c>
      <c r="N1909" s="161">
        <f>Sales[[#This Row],[Gross Amount]]-Sales[[#This Row],[Disc. Amt.]]+Sales[[#This Row],[GST Amount]]</f>
        <v>11785.84</v>
      </c>
      <c r="O1909" s="158" t="s">
        <v>8876</v>
      </c>
      <c r="P1909" s="158" t="s">
        <v>3562</v>
      </c>
      <c r="Q1909" s="160">
        <f>IF(Sales[[#This Row],[Status]]="Cancelled",0,Sales[[#This Row],[Qty]])</f>
        <v>5</v>
      </c>
      <c r="R1909" s="161">
        <f>IF(Sales[[#This Row],[Status]]="Cancelled",0,Sales[[#This Row],[Total Amount]])</f>
        <v>11785.84</v>
      </c>
      <c r="S1909" s="162">
        <f>SUM(Sales[Net Amount])</f>
        <v>406839287.73200053</v>
      </c>
    </row>
    <row r="1910" spans="1:19" ht="18.75" x14ac:dyDescent="0.25">
      <c r="A1910" s="163" t="s">
        <v>5525</v>
      </c>
      <c r="B1910" s="164">
        <v>45875</v>
      </c>
      <c r="C1910" s="34" t="s">
        <v>670</v>
      </c>
      <c r="D1910" s="53" t="str">
        <f>VLOOKUP(Sales[[#This Row],[Customer ID]],Customer[#All],2,0)</f>
        <v>Rakesh Patel</v>
      </c>
      <c r="E1910" s="34" t="s">
        <v>463</v>
      </c>
      <c r="F1910" s="34" t="str">
        <f>VLOOKUP(Sales[[#This Row],[Product ID]],Product[#All],2,0)</f>
        <v>Apc UPS</v>
      </c>
      <c r="G1910" s="53">
        <v>8</v>
      </c>
      <c r="H1910" s="165">
        <f>VLOOKUP(Sales[[#This Row],[Product ID]],Product[#All],7,0)</f>
        <v>10050</v>
      </c>
      <c r="I1910" s="165">
        <f>Sales[[#This Row],[Selling Rate]]*Sales[[#This Row],[Qty]]</f>
        <v>80400</v>
      </c>
      <c r="J1910" s="45">
        <v>0.05</v>
      </c>
      <c r="K1910" s="46">
        <f>Sales[[#This Row],[Gross Amount]]*Sales[[#This Row],[Disc %]]</f>
        <v>4020</v>
      </c>
      <c r="L1910" s="43">
        <v>0.18</v>
      </c>
      <c r="M1910" s="46">
        <f>(Sales[[#This Row],[Gross Amount]]-Sales[[#This Row],[Disc. Amt.]])*Sales[[#This Row],[GST %]]</f>
        <v>13748.4</v>
      </c>
      <c r="N1910" s="161">
        <f>Sales[[#This Row],[Gross Amount]]-Sales[[#This Row],[Disc. Amt.]]+Sales[[#This Row],[GST Amount]]</f>
        <v>90128.4</v>
      </c>
      <c r="O1910" s="34" t="s">
        <v>3561</v>
      </c>
      <c r="P1910" s="34" t="s">
        <v>3562</v>
      </c>
      <c r="Q1910" s="165">
        <f>IF(Sales[[#This Row],[Status]]="Cancelled",0,Sales[[#This Row],[Qty]])</f>
        <v>8</v>
      </c>
      <c r="R1910" s="166">
        <f>IF(Sales[[#This Row],[Status]]="Cancelled",0,Sales[[#This Row],[Total Amount]])</f>
        <v>90128.4</v>
      </c>
      <c r="S1910" s="162">
        <f>SUM(Sales[Net Amount])</f>
        <v>406839287.73200053</v>
      </c>
    </row>
    <row r="1911" spans="1:19" ht="18.75" x14ac:dyDescent="0.25">
      <c r="A1911" s="156" t="s">
        <v>5526</v>
      </c>
      <c r="B1911" s="157">
        <v>45875</v>
      </c>
      <c r="C1911" s="158" t="s">
        <v>928</v>
      </c>
      <c r="D1911" s="159" t="str">
        <f>VLOOKUP(Sales[[#This Row],[Customer ID]],Customer[#All],2,0)</f>
        <v>Rahul Kumar</v>
      </c>
      <c r="E1911" s="158" t="s">
        <v>195</v>
      </c>
      <c r="F1911" s="158" t="str">
        <f>VLOOKUP(Sales[[#This Row],[Product ID]],Product[#All],2,0)</f>
        <v>Acer Laptop</v>
      </c>
      <c r="G1911" s="159">
        <v>1</v>
      </c>
      <c r="H1911" s="160">
        <f>VLOOKUP(Sales[[#This Row],[Product ID]],Product[#All],7,0)</f>
        <v>46790</v>
      </c>
      <c r="I1911" s="160">
        <f>Sales[[#This Row],[Selling Rate]]*Sales[[#This Row],[Qty]]</f>
        <v>46790</v>
      </c>
      <c r="J1911" s="43">
        <v>0.12</v>
      </c>
      <c r="K1911" s="44">
        <f>Sales[[#This Row],[Gross Amount]]*Sales[[#This Row],[Disc %]]</f>
        <v>5614.8</v>
      </c>
      <c r="L1911" s="43">
        <v>0.18</v>
      </c>
      <c r="M1911" s="44">
        <f>(Sales[[#This Row],[Gross Amount]]-Sales[[#This Row],[Disc. Amt.]])*Sales[[#This Row],[GST %]]</f>
        <v>7411.5359999999991</v>
      </c>
      <c r="N1911" s="161">
        <f>Sales[[#This Row],[Gross Amount]]-Sales[[#This Row],[Disc. Amt.]]+Sales[[#This Row],[GST Amount]]</f>
        <v>48586.735999999997</v>
      </c>
      <c r="O1911" s="158" t="s">
        <v>8876</v>
      </c>
      <c r="P1911" s="158" t="s">
        <v>3562</v>
      </c>
      <c r="Q1911" s="160">
        <f>IF(Sales[[#This Row],[Status]]="Cancelled",0,Sales[[#This Row],[Qty]])</f>
        <v>1</v>
      </c>
      <c r="R1911" s="161">
        <f>IF(Sales[[#This Row],[Status]]="Cancelled",0,Sales[[#This Row],[Total Amount]])</f>
        <v>48586.735999999997</v>
      </c>
      <c r="S1911" s="162">
        <f>SUM(Sales[Net Amount])</f>
        <v>406839287.73200053</v>
      </c>
    </row>
    <row r="1912" spans="1:19" ht="18.75" x14ac:dyDescent="0.25">
      <c r="A1912" s="163" t="s">
        <v>5527</v>
      </c>
      <c r="B1912" s="164">
        <v>45875</v>
      </c>
      <c r="C1912" s="34" t="s">
        <v>918</v>
      </c>
      <c r="D1912" s="53" t="str">
        <f>VLOOKUP(Sales[[#This Row],[Customer ID]],Customer[#All],2,0)</f>
        <v>Pooja Patel</v>
      </c>
      <c r="E1912" s="34" t="s">
        <v>243</v>
      </c>
      <c r="F1912" s="34" t="str">
        <f>VLOOKUP(Sales[[#This Row],[Product ID]],Product[#All],2,0)</f>
        <v>TP-link Router</v>
      </c>
      <c r="G1912" s="53">
        <v>4</v>
      </c>
      <c r="H1912" s="165">
        <f>VLOOKUP(Sales[[#This Row],[Product ID]],Product[#All],7,0)</f>
        <v>3230</v>
      </c>
      <c r="I1912" s="165">
        <f>Sales[[#This Row],[Selling Rate]]*Sales[[#This Row],[Qty]]</f>
        <v>12920</v>
      </c>
      <c r="J1912" s="45">
        <v>0.15</v>
      </c>
      <c r="K1912" s="46">
        <f>Sales[[#This Row],[Gross Amount]]*Sales[[#This Row],[Disc %]]</f>
        <v>1938</v>
      </c>
      <c r="L1912" s="43">
        <v>0.18</v>
      </c>
      <c r="M1912" s="46">
        <f>(Sales[[#This Row],[Gross Amount]]-Sales[[#This Row],[Disc. Amt.]])*Sales[[#This Row],[GST %]]</f>
        <v>1976.76</v>
      </c>
      <c r="N1912" s="161">
        <f>Sales[[#This Row],[Gross Amount]]-Sales[[#This Row],[Disc. Amt.]]+Sales[[#This Row],[GST Amount]]</f>
        <v>12958.76</v>
      </c>
      <c r="O1912" s="34" t="s">
        <v>8876</v>
      </c>
      <c r="P1912" s="34" t="s">
        <v>3562</v>
      </c>
      <c r="Q1912" s="165">
        <f>IF(Sales[[#This Row],[Status]]="Cancelled",0,Sales[[#This Row],[Qty]])</f>
        <v>4</v>
      </c>
      <c r="R1912" s="166">
        <f>IF(Sales[[#This Row],[Status]]="Cancelled",0,Sales[[#This Row],[Total Amount]])</f>
        <v>12958.76</v>
      </c>
      <c r="S1912" s="162">
        <f>SUM(Sales[Net Amount])</f>
        <v>406839287.73200053</v>
      </c>
    </row>
    <row r="1913" spans="1:19" ht="18.75" x14ac:dyDescent="0.25">
      <c r="A1913" s="156" t="s">
        <v>5528</v>
      </c>
      <c r="B1913" s="157">
        <v>45875</v>
      </c>
      <c r="C1913" s="158" t="s">
        <v>839</v>
      </c>
      <c r="D1913" s="159" t="str">
        <f>VLOOKUP(Sales[[#This Row],[Customer ID]],Customer[#All],2,0)</f>
        <v>Amit Patel</v>
      </c>
      <c r="E1913" s="158" t="s">
        <v>379</v>
      </c>
      <c r="F1913" s="158" t="str">
        <f>VLOOKUP(Sales[[#This Row],[Product ID]],Product[#All],2,0)</f>
        <v>Acer Laptop</v>
      </c>
      <c r="G1913" s="159">
        <v>8</v>
      </c>
      <c r="H1913" s="160">
        <f>VLOOKUP(Sales[[#This Row],[Product ID]],Product[#All],7,0)</f>
        <v>74390</v>
      </c>
      <c r="I1913" s="160">
        <f>Sales[[#This Row],[Selling Rate]]*Sales[[#This Row],[Qty]]</f>
        <v>595120</v>
      </c>
      <c r="J1913" s="43">
        <v>0.05</v>
      </c>
      <c r="K1913" s="44">
        <f>Sales[[#This Row],[Gross Amount]]*Sales[[#This Row],[Disc %]]</f>
        <v>29756</v>
      </c>
      <c r="L1913" s="43">
        <v>0.18</v>
      </c>
      <c r="M1913" s="44">
        <f>(Sales[[#This Row],[Gross Amount]]-Sales[[#This Row],[Disc. Amt.]])*Sales[[#This Row],[GST %]]</f>
        <v>101765.51999999999</v>
      </c>
      <c r="N1913" s="161">
        <f>Sales[[#This Row],[Gross Amount]]-Sales[[#This Row],[Disc. Amt.]]+Sales[[#This Row],[GST Amount]]</f>
        <v>667129.52</v>
      </c>
      <c r="O1913" s="158" t="s">
        <v>8876</v>
      </c>
      <c r="P1913" s="158" t="s">
        <v>3562</v>
      </c>
      <c r="Q1913" s="160">
        <f>IF(Sales[[#This Row],[Status]]="Cancelled",0,Sales[[#This Row],[Qty]])</f>
        <v>8</v>
      </c>
      <c r="R1913" s="161">
        <f>IF(Sales[[#This Row],[Status]]="Cancelled",0,Sales[[#This Row],[Total Amount]])</f>
        <v>667129.52</v>
      </c>
      <c r="S1913" s="162">
        <f>SUM(Sales[Net Amount])</f>
        <v>406839287.73200053</v>
      </c>
    </row>
    <row r="1914" spans="1:19" ht="18.75" x14ac:dyDescent="0.25">
      <c r="A1914" s="163" t="s">
        <v>5529</v>
      </c>
      <c r="B1914" s="164">
        <v>45875</v>
      </c>
      <c r="C1914" s="34" t="s">
        <v>821</v>
      </c>
      <c r="D1914" s="53" t="str">
        <f>VLOOKUP(Sales[[#This Row],[Customer ID]],Customer[#All],2,0)</f>
        <v>Rakesh Sharma</v>
      </c>
      <c r="E1914" s="34" t="s">
        <v>549</v>
      </c>
      <c r="F1914" s="34" t="str">
        <f>VLOOKUP(Sales[[#This Row],[Product ID]],Product[#All],2,0)</f>
        <v>Boat Headset</v>
      </c>
      <c r="G1914" s="53">
        <v>7</v>
      </c>
      <c r="H1914" s="165">
        <f>VLOOKUP(Sales[[#This Row],[Product ID]],Product[#All],7,0)</f>
        <v>3390</v>
      </c>
      <c r="I1914" s="165">
        <f>Sales[[#This Row],[Selling Rate]]*Sales[[#This Row],[Qty]]</f>
        <v>23730</v>
      </c>
      <c r="J1914" s="45">
        <v>0</v>
      </c>
      <c r="K1914" s="46">
        <f>Sales[[#This Row],[Gross Amount]]*Sales[[#This Row],[Disc %]]</f>
        <v>0</v>
      </c>
      <c r="L1914" s="43">
        <v>0.18</v>
      </c>
      <c r="M1914" s="46">
        <f>(Sales[[#This Row],[Gross Amount]]-Sales[[#This Row],[Disc. Amt.]])*Sales[[#This Row],[GST %]]</f>
        <v>4271.3999999999996</v>
      </c>
      <c r="N1914" s="161">
        <f>Sales[[#This Row],[Gross Amount]]-Sales[[#This Row],[Disc. Amt.]]+Sales[[#This Row],[GST Amount]]</f>
        <v>28001.4</v>
      </c>
      <c r="O1914" s="34" t="s">
        <v>8876</v>
      </c>
      <c r="P1914" s="34" t="s">
        <v>3562</v>
      </c>
      <c r="Q1914" s="165">
        <f>IF(Sales[[#This Row],[Status]]="Cancelled",0,Sales[[#This Row],[Qty]])</f>
        <v>7</v>
      </c>
      <c r="R1914" s="166">
        <f>IF(Sales[[#This Row],[Status]]="Cancelled",0,Sales[[#This Row],[Total Amount]])</f>
        <v>28001.4</v>
      </c>
      <c r="S1914" s="162">
        <f>SUM(Sales[Net Amount])</f>
        <v>406839287.73200053</v>
      </c>
    </row>
    <row r="1915" spans="1:19" ht="18.75" x14ac:dyDescent="0.25">
      <c r="A1915" s="156" t="s">
        <v>5530</v>
      </c>
      <c r="B1915" s="157">
        <v>45875</v>
      </c>
      <c r="C1915" s="158" t="s">
        <v>870</v>
      </c>
      <c r="D1915" s="159" t="str">
        <f>VLOOKUP(Sales[[#This Row],[Customer ID]],Customer[#All],2,0)</f>
        <v>Vikas Singh</v>
      </c>
      <c r="E1915" s="158" t="s">
        <v>427</v>
      </c>
      <c r="F1915" s="158" t="str">
        <f>VLOOKUP(Sales[[#This Row],[Product ID]],Product[#All],2,0)</f>
        <v>Logitech Mouse</v>
      </c>
      <c r="G1915" s="159">
        <v>8</v>
      </c>
      <c r="H1915" s="160">
        <f>VLOOKUP(Sales[[#This Row],[Product ID]],Product[#All],7,0)</f>
        <v>1190</v>
      </c>
      <c r="I1915" s="160">
        <f>Sales[[#This Row],[Selling Rate]]*Sales[[#This Row],[Qty]]</f>
        <v>9520</v>
      </c>
      <c r="J1915" s="43">
        <v>0</v>
      </c>
      <c r="K1915" s="44">
        <f>Sales[[#This Row],[Gross Amount]]*Sales[[#This Row],[Disc %]]</f>
        <v>0</v>
      </c>
      <c r="L1915" s="43">
        <v>0.18</v>
      </c>
      <c r="M1915" s="44">
        <f>(Sales[[#This Row],[Gross Amount]]-Sales[[#This Row],[Disc. Amt.]])*Sales[[#This Row],[GST %]]</f>
        <v>1713.6</v>
      </c>
      <c r="N1915" s="161">
        <f>Sales[[#This Row],[Gross Amount]]-Sales[[#This Row],[Disc. Amt.]]+Sales[[#This Row],[GST Amount]]</f>
        <v>11233.6</v>
      </c>
      <c r="O1915" s="158" t="s">
        <v>3569</v>
      </c>
      <c r="P1915" s="158" t="s">
        <v>3562</v>
      </c>
      <c r="Q1915" s="160">
        <f>IF(Sales[[#This Row],[Status]]="Cancelled",0,Sales[[#This Row],[Qty]])</f>
        <v>8</v>
      </c>
      <c r="R1915" s="161">
        <f>IF(Sales[[#This Row],[Status]]="Cancelled",0,Sales[[#This Row],[Total Amount]])</f>
        <v>11233.6</v>
      </c>
      <c r="S1915" s="162">
        <f>SUM(Sales[Net Amount])</f>
        <v>406839287.73200053</v>
      </c>
    </row>
    <row r="1916" spans="1:19" ht="18.75" x14ac:dyDescent="0.25">
      <c r="A1916" s="163" t="s">
        <v>5531</v>
      </c>
      <c r="B1916" s="164">
        <v>45875</v>
      </c>
      <c r="C1916" s="34" t="s">
        <v>746</v>
      </c>
      <c r="D1916" s="53" t="str">
        <f>VLOOKUP(Sales[[#This Row],[Customer ID]],Customer[#All],2,0)</f>
        <v>Sunita Kumar</v>
      </c>
      <c r="E1916" s="34" t="s">
        <v>386</v>
      </c>
      <c r="F1916" s="34" t="str">
        <f>VLOOKUP(Sales[[#This Row],[Product ID]],Product[#All],2,0)</f>
        <v>Sandisk Pen Drive</v>
      </c>
      <c r="G1916" s="53">
        <v>6</v>
      </c>
      <c r="H1916" s="165">
        <f>VLOOKUP(Sales[[#This Row],[Product ID]],Product[#All],7,0)</f>
        <v>700</v>
      </c>
      <c r="I1916" s="165">
        <f>Sales[[#This Row],[Selling Rate]]*Sales[[#This Row],[Qty]]</f>
        <v>4200</v>
      </c>
      <c r="J1916" s="45">
        <v>0</v>
      </c>
      <c r="K1916" s="46">
        <f>Sales[[#This Row],[Gross Amount]]*Sales[[#This Row],[Disc %]]</f>
        <v>0</v>
      </c>
      <c r="L1916" s="43">
        <v>0.18</v>
      </c>
      <c r="M1916" s="46">
        <f>(Sales[[#This Row],[Gross Amount]]-Sales[[#This Row],[Disc. Amt.]])*Sales[[#This Row],[GST %]]</f>
        <v>756</v>
      </c>
      <c r="N1916" s="161">
        <f>Sales[[#This Row],[Gross Amount]]-Sales[[#This Row],[Disc. Amt.]]+Sales[[#This Row],[GST Amount]]</f>
        <v>4956</v>
      </c>
      <c r="O1916" s="34" t="s">
        <v>3566</v>
      </c>
      <c r="P1916" s="34" t="s">
        <v>3562</v>
      </c>
      <c r="Q1916" s="165">
        <f>IF(Sales[[#This Row],[Status]]="Cancelled",0,Sales[[#This Row],[Qty]])</f>
        <v>6</v>
      </c>
      <c r="R1916" s="166">
        <f>IF(Sales[[#This Row],[Status]]="Cancelled",0,Sales[[#This Row],[Total Amount]])</f>
        <v>4956</v>
      </c>
      <c r="S1916" s="162">
        <f>SUM(Sales[Net Amount])</f>
        <v>406839287.73200053</v>
      </c>
    </row>
    <row r="1917" spans="1:19" ht="18.75" x14ac:dyDescent="0.25">
      <c r="A1917" s="156" t="s">
        <v>5532</v>
      </c>
      <c r="B1917" s="157">
        <v>45875</v>
      </c>
      <c r="C1917" s="158" t="s">
        <v>650</v>
      </c>
      <c r="D1917" s="159" t="str">
        <f>VLOOKUP(Sales[[#This Row],[Customer ID]],Customer[#All],2,0)</f>
        <v xml:space="preserve">Pooja Patel </v>
      </c>
      <c r="E1917" s="158" t="s">
        <v>215</v>
      </c>
      <c r="F1917" s="158" t="str">
        <f>VLOOKUP(Sales[[#This Row],[Product ID]],Product[#All],2,0)</f>
        <v>Apc UPS</v>
      </c>
      <c r="G1917" s="159">
        <v>4</v>
      </c>
      <c r="H1917" s="160">
        <f>VLOOKUP(Sales[[#This Row],[Product ID]],Product[#All],7,0)</f>
        <v>10210</v>
      </c>
      <c r="I1917" s="160">
        <f>Sales[[#This Row],[Selling Rate]]*Sales[[#This Row],[Qty]]</f>
        <v>40840</v>
      </c>
      <c r="J1917" s="43">
        <v>0.12</v>
      </c>
      <c r="K1917" s="44">
        <f>Sales[[#This Row],[Gross Amount]]*Sales[[#This Row],[Disc %]]</f>
        <v>4900.8</v>
      </c>
      <c r="L1917" s="43">
        <v>0.18</v>
      </c>
      <c r="M1917" s="44">
        <f>(Sales[[#This Row],[Gross Amount]]-Sales[[#This Row],[Disc. Amt.]])*Sales[[#This Row],[GST %]]</f>
        <v>6469.0559999999996</v>
      </c>
      <c r="N1917" s="161">
        <f>Sales[[#This Row],[Gross Amount]]-Sales[[#This Row],[Disc. Amt.]]+Sales[[#This Row],[GST Amount]]</f>
        <v>42408.255999999994</v>
      </c>
      <c r="O1917" s="158" t="s">
        <v>8876</v>
      </c>
      <c r="P1917" s="158" t="s">
        <v>3562</v>
      </c>
      <c r="Q1917" s="160">
        <f>IF(Sales[[#This Row],[Status]]="Cancelled",0,Sales[[#This Row],[Qty]])</f>
        <v>4</v>
      </c>
      <c r="R1917" s="161">
        <f>IF(Sales[[#This Row],[Status]]="Cancelled",0,Sales[[#This Row],[Total Amount]])</f>
        <v>42408.255999999994</v>
      </c>
      <c r="S1917" s="162">
        <f>SUM(Sales[Net Amount])</f>
        <v>406839287.73200053</v>
      </c>
    </row>
    <row r="1918" spans="1:19" ht="18.75" x14ac:dyDescent="0.25">
      <c r="A1918" s="163" t="s">
        <v>5533</v>
      </c>
      <c r="B1918" s="164">
        <v>45876</v>
      </c>
      <c r="C1918" s="34" t="s">
        <v>720</v>
      </c>
      <c r="D1918" s="53" t="str">
        <f>VLOOKUP(Sales[[#This Row],[Customer ID]],Customer[#All],2,0)</f>
        <v>Rakesh Singh</v>
      </c>
      <c r="E1918" s="34" t="s">
        <v>287</v>
      </c>
      <c r="F1918" s="34" t="str">
        <f>VLOOKUP(Sales[[#This Row],[Product ID]],Product[#All],2,0)</f>
        <v>HP Power Adapter</v>
      </c>
      <c r="G1918" s="53">
        <v>1</v>
      </c>
      <c r="H1918" s="165">
        <f>VLOOKUP(Sales[[#This Row],[Product ID]],Product[#All],7,0)</f>
        <v>2270</v>
      </c>
      <c r="I1918" s="165">
        <f>Sales[[#This Row],[Selling Rate]]*Sales[[#This Row],[Qty]]</f>
        <v>2270</v>
      </c>
      <c r="J1918" s="45">
        <v>0.05</v>
      </c>
      <c r="K1918" s="46">
        <f>Sales[[#This Row],[Gross Amount]]*Sales[[#This Row],[Disc %]]</f>
        <v>113.5</v>
      </c>
      <c r="L1918" s="43">
        <v>0.18</v>
      </c>
      <c r="M1918" s="46">
        <f>(Sales[[#This Row],[Gross Amount]]-Sales[[#This Row],[Disc. Amt.]])*Sales[[#This Row],[GST %]]</f>
        <v>388.16999999999996</v>
      </c>
      <c r="N1918" s="161">
        <f>Sales[[#This Row],[Gross Amount]]-Sales[[#This Row],[Disc. Amt.]]+Sales[[#This Row],[GST Amount]]</f>
        <v>2544.67</v>
      </c>
      <c r="O1918" s="34" t="s">
        <v>3561</v>
      </c>
      <c r="P1918" s="34" t="s">
        <v>1040</v>
      </c>
      <c r="Q1918" s="165">
        <f>IF(Sales[[#This Row],[Status]]="Cancelled",0,Sales[[#This Row],[Qty]])</f>
        <v>0</v>
      </c>
      <c r="R1918" s="166">
        <f>IF(Sales[[#This Row],[Status]]="Cancelled",0,Sales[[#This Row],[Total Amount]])</f>
        <v>0</v>
      </c>
      <c r="S1918" s="162">
        <f>SUM(Sales[Net Amount])</f>
        <v>406839287.73200053</v>
      </c>
    </row>
    <row r="1919" spans="1:19" ht="18.75" x14ac:dyDescent="0.25">
      <c r="A1919" s="156" t="s">
        <v>5534</v>
      </c>
      <c r="B1919" s="157">
        <v>45876</v>
      </c>
      <c r="C1919" s="158" t="s">
        <v>741</v>
      </c>
      <c r="D1919" s="159" t="str">
        <f>VLOOKUP(Sales[[#This Row],[Customer ID]],Customer[#All],2,0)</f>
        <v>Rahul Patel</v>
      </c>
      <c r="E1919" s="158" t="s">
        <v>133</v>
      </c>
      <c r="F1919" s="158" t="str">
        <f>VLOOKUP(Sales[[#This Row],[Product ID]],Product[#All],2,0)</f>
        <v>HP Laptop</v>
      </c>
      <c r="G1919" s="159">
        <v>6</v>
      </c>
      <c r="H1919" s="160">
        <f>VLOOKUP(Sales[[#This Row],[Product ID]],Product[#All],7,0)</f>
        <v>44790</v>
      </c>
      <c r="I1919" s="160">
        <f>Sales[[#This Row],[Selling Rate]]*Sales[[#This Row],[Qty]]</f>
        <v>268740</v>
      </c>
      <c r="J1919" s="43">
        <v>0.12</v>
      </c>
      <c r="K1919" s="44">
        <f>Sales[[#This Row],[Gross Amount]]*Sales[[#This Row],[Disc %]]</f>
        <v>32248.799999999999</v>
      </c>
      <c r="L1919" s="43">
        <v>0.18</v>
      </c>
      <c r="M1919" s="44">
        <f>(Sales[[#This Row],[Gross Amount]]-Sales[[#This Row],[Disc. Amt.]])*Sales[[#This Row],[GST %]]</f>
        <v>42568.415999999997</v>
      </c>
      <c r="N1919" s="161">
        <f>Sales[[#This Row],[Gross Amount]]-Sales[[#This Row],[Disc. Amt.]]+Sales[[#This Row],[GST Amount]]</f>
        <v>279059.61600000004</v>
      </c>
      <c r="O1919" s="158" t="s">
        <v>3569</v>
      </c>
      <c r="P1919" s="158" t="s">
        <v>3562</v>
      </c>
      <c r="Q1919" s="160">
        <f>IF(Sales[[#This Row],[Status]]="Cancelled",0,Sales[[#This Row],[Qty]])</f>
        <v>6</v>
      </c>
      <c r="R1919" s="161">
        <f>IF(Sales[[#This Row],[Status]]="Cancelled",0,Sales[[#This Row],[Total Amount]])</f>
        <v>279059.61600000004</v>
      </c>
      <c r="S1919" s="162">
        <f>SUM(Sales[Net Amount])</f>
        <v>406839287.73200053</v>
      </c>
    </row>
    <row r="1920" spans="1:19" ht="18.75" x14ac:dyDescent="0.25">
      <c r="A1920" s="163" t="s">
        <v>5535</v>
      </c>
      <c r="B1920" s="164">
        <v>45876</v>
      </c>
      <c r="C1920" s="34" t="s">
        <v>746</v>
      </c>
      <c r="D1920" s="53" t="str">
        <f>VLOOKUP(Sales[[#This Row],[Customer ID]],Customer[#All],2,0)</f>
        <v>Sunita Kumar</v>
      </c>
      <c r="E1920" s="34" t="s">
        <v>493</v>
      </c>
      <c r="F1920" s="34" t="str">
        <f>VLOOKUP(Sales[[#This Row],[Product ID]],Product[#All],2,0)</f>
        <v>Logitech Keyboard</v>
      </c>
      <c r="G1920" s="53">
        <v>1</v>
      </c>
      <c r="H1920" s="165">
        <f>VLOOKUP(Sales[[#This Row],[Product ID]],Product[#All],7,0)</f>
        <v>3040</v>
      </c>
      <c r="I1920" s="165">
        <f>Sales[[#This Row],[Selling Rate]]*Sales[[#This Row],[Qty]]</f>
        <v>3040</v>
      </c>
      <c r="J1920" s="45">
        <v>0.05</v>
      </c>
      <c r="K1920" s="46">
        <f>Sales[[#This Row],[Gross Amount]]*Sales[[#This Row],[Disc %]]</f>
        <v>152</v>
      </c>
      <c r="L1920" s="43">
        <v>0.18</v>
      </c>
      <c r="M1920" s="46">
        <f>(Sales[[#This Row],[Gross Amount]]-Sales[[#This Row],[Disc. Amt.]])*Sales[[#This Row],[GST %]]</f>
        <v>519.84</v>
      </c>
      <c r="N1920" s="161">
        <f>Sales[[#This Row],[Gross Amount]]-Sales[[#This Row],[Disc. Amt.]]+Sales[[#This Row],[GST Amount]]</f>
        <v>3407.84</v>
      </c>
      <c r="O1920" s="34" t="s">
        <v>8876</v>
      </c>
      <c r="P1920" s="34" t="s">
        <v>3562</v>
      </c>
      <c r="Q1920" s="165">
        <f>IF(Sales[[#This Row],[Status]]="Cancelled",0,Sales[[#This Row],[Qty]])</f>
        <v>1</v>
      </c>
      <c r="R1920" s="166">
        <f>IF(Sales[[#This Row],[Status]]="Cancelled",0,Sales[[#This Row],[Total Amount]])</f>
        <v>3407.84</v>
      </c>
      <c r="S1920" s="162">
        <f>SUM(Sales[Net Amount])</f>
        <v>406839287.73200053</v>
      </c>
    </row>
    <row r="1921" spans="1:19" ht="18.75" x14ac:dyDescent="0.25">
      <c r="A1921" s="156" t="s">
        <v>5536</v>
      </c>
      <c r="B1921" s="157">
        <v>45876</v>
      </c>
      <c r="C1921" s="158" t="s">
        <v>780</v>
      </c>
      <c r="D1921" s="159" t="str">
        <f>VLOOKUP(Sales[[#This Row],[Customer ID]],Customer[#All],2,0)</f>
        <v>Sahil Gupta</v>
      </c>
      <c r="E1921" s="158" t="s">
        <v>308</v>
      </c>
      <c r="F1921" s="158" t="str">
        <f>VLOOKUP(Sales[[#This Row],[Product ID]],Product[#All],2,0)</f>
        <v>Kingston Ram</v>
      </c>
      <c r="G1921" s="159">
        <v>1</v>
      </c>
      <c r="H1921" s="160">
        <f>VLOOKUP(Sales[[#This Row],[Product ID]],Product[#All],7,0)</f>
        <v>3980</v>
      </c>
      <c r="I1921" s="160">
        <f>Sales[[#This Row],[Selling Rate]]*Sales[[#This Row],[Qty]]</f>
        <v>3980</v>
      </c>
      <c r="J1921" s="43">
        <v>0</v>
      </c>
      <c r="K1921" s="44">
        <f>Sales[[#This Row],[Gross Amount]]*Sales[[#This Row],[Disc %]]</f>
        <v>0</v>
      </c>
      <c r="L1921" s="43">
        <v>0.18</v>
      </c>
      <c r="M1921" s="44">
        <f>(Sales[[#This Row],[Gross Amount]]-Sales[[#This Row],[Disc. Amt.]])*Sales[[#This Row],[GST %]]</f>
        <v>716.4</v>
      </c>
      <c r="N1921" s="161">
        <f>Sales[[#This Row],[Gross Amount]]-Sales[[#This Row],[Disc. Amt.]]+Sales[[#This Row],[GST Amount]]</f>
        <v>4696.3999999999996</v>
      </c>
      <c r="O1921" s="158" t="s">
        <v>3569</v>
      </c>
      <c r="P1921" s="158" t="s">
        <v>3562</v>
      </c>
      <c r="Q1921" s="160">
        <f>IF(Sales[[#This Row],[Status]]="Cancelled",0,Sales[[#This Row],[Qty]])</f>
        <v>1</v>
      </c>
      <c r="R1921" s="161">
        <f>IF(Sales[[#This Row],[Status]]="Cancelled",0,Sales[[#This Row],[Total Amount]])</f>
        <v>4696.3999999999996</v>
      </c>
      <c r="S1921" s="162">
        <f>SUM(Sales[Net Amount])</f>
        <v>406839287.73200053</v>
      </c>
    </row>
    <row r="1922" spans="1:19" ht="18.75" x14ac:dyDescent="0.25">
      <c r="A1922" s="163" t="s">
        <v>5537</v>
      </c>
      <c r="B1922" s="164">
        <v>45876</v>
      </c>
      <c r="C1922" s="34" t="s">
        <v>898</v>
      </c>
      <c r="D1922" s="53" t="str">
        <f>VLOOKUP(Sales[[#This Row],[Customer ID]],Customer[#All],2,0)</f>
        <v>Rahul Singh</v>
      </c>
      <c r="E1922" s="34" t="s">
        <v>485</v>
      </c>
      <c r="F1922" s="34" t="str">
        <f>VLOOKUP(Sales[[#This Row],[Product ID]],Product[#All],2,0)</f>
        <v>Lenovo Laptop</v>
      </c>
      <c r="G1922" s="53">
        <v>4</v>
      </c>
      <c r="H1922" s="165">
        <f>VLOOKUP(Sales[[#This Row],[Product ID]],Product[#All],7,0)</f>
        <v>55360</v>
      </c>
      <c r="I1922" s="165">
        <f>Sales[[#This Row],[Selling Rate]]*Sales[[#This Row],[Qty]]</f>
        <v>221440</v>
      </c>
      <c r="J1922" s="45">
        <v>0</v>
      </c>
      <c r="K1922" s="46">
        <f>Sales[[#This Row],[Gross Amount]]*Sales[[#This Row],[Disc %]]</f>
        <v>0</v>
      </c>
      <c r="L1922" s="43">
        <v>0.18</v>
      </c>
      <c r="M1922" s="46">
        <f>(Sales[[#This Row],[Gross Amount]]-Sales[[#This Row],[Disc. Amt.]])*Sales[[#This Row],[GST %]]</f>
        <v>39859.199999999997</v>
      </c>
      <c r="N1922" s="161">
        <f>Sales[[#This Row],[Gross Amount]]-Sales[[#This Row],[Disc. Amt.]]+Sales[[#This Row],[GST Amount]]</f>
        <v>261299.20000000001</v>
      </c>
      <c r="O1922" s="34" t="s">
        <v>3561</v>
      </c>
      <c r="P1922" s="34" t="s">
        <v>3562</v>
      </c>
      <c r="Q1922" s="165">
        <f>IF(Sales[[#This Row],[Status]]="Cancelled",0,Sales[[#This Row],[Qty]])</f>
        <v>4</v>
      </c>
      <c r="R1922" s="166">
        <f>IF(Sales[[#This Row],[Status]]="Cancelled",0,Sales[[#This Row],[Total Amount]])</f>
        <v>261299.20000000001</v>
      </c>
      <c r="S1922" s="162">
        <f>SUM(Sales[Net Amount])</f>
        <v>406839287.73200053</v>
      </c>
    </row>
    <row r="1923" spans="1:19" ht="18.75" x14ac:dyDescent="0.25">
      <c r="A1923" s="156" t="s">
        <v>5538</v>
      </c>
      <c r="B1923" s="157">
        <v>45876</v>
      </c>
      <c r="C1923" s="158" t="s">
        <v>747</v>
      </c>
      <c r="D1923" s="159" t="str">
        <f>VLOOKUP(Sales[[#This Row],[Customer ID]],Customer[#All],2,0)</f>
        <v>Sunita Gupta</v>
      </c>
      <c r="E1923" s="158" t="s">
        <v>320</v>
      </c>
      <c r="F1923" s="158" t="str">
        <f>VLOOKUP(Sales[[#This Row],[Product ID]],Product[#All],2,0)</f>
        <v>Seagate HDD</v>
      </c>
      <c r="G1923" s="159">
        <v>7</v>
      </c>
      <c r="H1923" s="160">
        <f>VLOOKUP(Sales[[#This Row],[Product ID]],Product[#All],7,0)</f>
        <v>12040</v>
      </c>
      <c r="I1923" s="160">
        <f>Sales[[#This Row],[Selling Rate]]*Sales[[#This Row],[Qty]]</f>
        <v>84280</v>
      </c>
      <c r="J1923" s="43">
        <v>0.05</v>
      </c>
      <c r="K1923" s="44">
        <f>Sales[[#This Row],[Gross Amount]]*Sales[[#This Row],[Disc %]]</f>
        <v>4214</v>
      </c>
      <c r="L1923" s="43">
        <v>0.18</v>
      </c>
      <c r="M1923" s="44">
        <f>(Sales[[#This Row],[Gross Amount]]-Sales[[#This Row],[Disc. Amt.]])*Sales[[#This Row],[GST %]]</f>
        <v>14411.88</v>
      </c>
      <c r="N1923" s="161">
        <f>Sales[[#This Row],[Gross Amount]]-Sales[[#This Row],[Disc. Amt.]]+Sales[[#This Row],[GST Amount]]</f>
        <v>94477.88</v>
      </c>
      <c r="O1923" s="158" t="s">
        <v>8876</v>
      </c>
      <c r="P1923" s="158" t="s">
        <v>3562</v>
      </c>
      <c r="Q1923" s="160">
        <f>IF(Sales[[#This Row],[Status]]="Cancelled",0,Sales[[#This Row],[Qty]])</f>
        <v>7</v>
      </c>
      <c r="R1923" s="161">
        <f>IF(Sales[[#This Row],[Status]]="Cancelled",0,Sales[[#This Row],[Total Amount]])</f>
        <v>94477.88</v>
      </c>
      <c r="S1923" s="162">
        <f>SUM(Sales[Net Amount])</f>
        <v>406839287.73200053</v>
      </c>
    </row>
    <row r="1924" spans="1:19" ht="18.75" x14ac:dyDescent="0.25">
      <c r="A1924" s="163" t="s">
        <v>5539</v>
      </c>
      <c r="B1924" s="164">
        <v>45876</v>
      </c>
      <c r="C1924" s="34" t="s">
        <v>909</v>
      </c>
      <c r="D1924" s="53" t="str">
        <f>VLOOKUP(Sales[[#This Row],[Customer ID]],Customer[#All],2,0)</f>
        <v>Priya Sharma</v>
      </c>
      <c r="E1924" s="34" t="s">
        <v>121</v>
      </c>
      <c r="F1924" s="34" t="str">
        <f>VLOOKUP(Sales[[#This Row],[Product ID]],Product[#All],2,0)</f>
        <v>Logitech Mouse</v>
      </c>
      <c r="G1924" s="53">
        <v>5</v>
      </c>
      <c r="H1924" s="165">
        <f>VLOOKUP(Sales[[#This Row],[Product ID]],Product[#All],7,0)</f>
        <v>2310</v>
      </c>
      <c r="I1924" s="165">
        <f>Sales[[#This Row],[Selling Rate]]*Sales[[#This Row],[Qty]]</f>
        <v>11550</v>
      </c>
      <c r="J1924" s="45">
        <v>0.05</v>
      </c>
      <c r="K1924" s="46">
        <f>Sales[[#This Row],[Gross Amount]]*Sales[[#This Row],[Disc %]]</f>
        <v>577.5</v>
      </c>
      <c r="L1924" s="43">
        <v>0.18</v>
      </c>
      <c r="M1924" s="46">
        <f>(Sales[[#This Row],[Gross Amount]]-Sales[[#This Row],[Disc. Amt.]])*Sales[[#This Row],[GST %]]</f>
        <v>1975.05</v>
      </c>
      <c r="N1924" s="161">
        <f>Sales[[#This Row],[Gross Amount]]-Sales[[#This Row],[Disc. Amt.]]+Sales[[#This Row],[GST Amount]]</f>
        <v>12947.55</v>
      </c>
      <c r="O1924" s="34" t="s">
        <v>8876</v>
      </c>
      <c r="P1924" s="34" t="s">
        <v>3562</v>
      </c>
      <c r="Q1924" s="165">
        <f>IF(Sales[[#This Row],[Status]]="Cancelled",0,Sales[[#This Row],[Qty]])</f>
        <v>5</v>
      </c>
      <c r="R1924" s="166">
        <f>IF(Sales[[#This Row],[Status]]="Cancelled",0,Sales[[#This Row],[Total Amount]])</f>
        <v>12947.55</v>
      </c>
      <c r="S1924" s="162">
        <f>SUM(Sales[Net Amount])</f>
        <v>406839287.73200053</v>
      </c>
    </row>
    <row r="1925" spans="1:19" ht="18.75" x14ac:dyDescent="0.25">
      <c r="A1925" s="156" t="s">
        <v>5540</v>
      </c>
      <c r="B1925" s="157">
        <v>45876</v>
      </c>
      <c r="C1925" s="158" t="s">
        <v>903</v>
      </c>
      <c r="D1925" s="159" t="str">
        <f>VLOOKUP(Sales[[#This Row],[Customer ID]],Customer[#All],2,0)</f>
        <v>Sahil Singh</v>
      </c>
      <c r="E1925" s="158" t="s">
        <v>497</v>
      </c>
      <c r="F1925" s="158" t="str">
        <f>VLOOKUP(Sales[[#This Row],[Product ID]],Product[#All],2,0)</f>
        <v>Boat Headset</v>
      </c>
      <c r="G1925" s="159">
        <v>7</v>
      </c>
      <c r="H1925" s="160">
        <f>VLOOKUP(Sales[[#This Row],[Product ID]],Product[#All],7,0)</f>
        <v>4930</v>
      </c>
      <c r="I1925" s="160">
        <f>Sales[[#This Row],[Selling Rate]]*Sales[[#This Row],[Qty]]</f>
        <v>34510</v>
      </c>
      <c r="J1925" s="43">
        <v>0.05</v>
      </c>
      <c r="K1925" s="44">
        <f>Sales[[#This Row],[Gross Amount]]*Sales[[#This Row],[Disc %]]</f>
        <v>1725.5</v>
      </c>
      <c r="L1925" s="43">
        <v>0.18</v>
      </c>
      <c r="M1925" s="44">
        <f>(Sales[[#This Row],[Gross Amount]]-Sales[[#This Row],[Disc. Amt.]])*Sales[[#This Row],[GST %]]</f>
        <v>5901.21</v>
      </c>
      <c r="N1925" s="161">
        <f>Sales[[#This Row],[Gross Amount]]-Sales[[#This Row],[Disc. Amt.]]+Sales[[#This Row],[GST Amount]]</f>
        <v>38685.71</v>
      </c>
      <c r="O1925" s="158" t="s">
        <v>3561</v>
      </c>
      <c r="P1925" s="158" t="s">
        <v>3562</v>
      </c>
      <c r="Q1925" s="160">
        <f>IF(Sales[[#This Row],[Status]]="Cancelled",0,Sales[[#This Row],[Qty]])</f>
        <v>7</v>
      </c>
      <c r="R1925" s="161">
        <f>IF(Sales[[#This Row],[Status]]="Cancelled",0,Sales[[#This Row],[Total Amount]])</f>
        <v>38685.71</v>
      </c>
      <c r="S1925" s="162">
        <f>SUM(Sales[Net Amount])</f>
        <v>406839287.73200053</v>
      </c>
    </row>
    <row r="1926" spans="1:19" ht="18.75" x14ac:dyDescent="0.25">
      <c r="A1926" s="163" t="s">
        <v>5541</v>
      </c>
      <c r="B1926" s="164">
        <v>45876</v>
      </c>
      <c r="C1926" s="34" t="s">
        <v>797</v>
      </c>
      <c r="D1926" s="53" t="str">
        <f>VLOOKUP(Sales[[#This Row],[Customer ID]],Customer[#All],2,0)</f>
        <v>Ankit Gupta</v>
      </c>
      <c r="E1926" s="34" t="s">
        <v>82</v>
      </c>
      <c r="F1926" s="34" t="str">
        <f>VLOOKUP(Sales[[#This Row],[Product ID]],Product[#All],2,0)</f>
        <v>American TouristerLaptopBag</v>
      </c>
      <c r="G1926" s="53">
        <v>7</v>
      </c>
      <c r="H1926" s="165">
        <f>VLOOKUP(Sales[[#This Row],[Product ID]],Product[#All],7,0)</f>
        <v>5480</v>
      </c>
      <c r="I1926" s="165">
        <f>Sales[[#This Row],[Selling Rate]]*Sales[[#This Row],[Qty]]</f>
        <v>38360</v>
      </c>
      <c r="J1926" s="45">
        <v>0</v>
      </c>
      <c r="K1926" s="46">
        <f>Sales[[#This Row],[Gross Amount]]*Sales[[#This Row],[Disc %]]</f>
        <v>0</v>
      </c>
      <c r="L1926" s="43">
        <v>0.18</v>
      </c>
      <c r="M1926" s="46">
        <f>(Sales[[#This Row],[Gross Amount]]-Sales[[#This Row],[Disc. Amt.]])*Sales[[#This Row],[GST %]]</f>
        <v>6904.8</v>
      </c>
      <c r="N1926" s="161">
        <f>Sales[[#This Row],[Gross Amount]]-Sales[[#This Row],[Disc. Amt.]]+Sales[[#This Row],[GST Amount]]</f>
        <v>45264.800000000003</v>
      </c>
      <c r="O1926" s="34" t="s">
        <v>3569</v>
      </c>
      <c r="P1926" s="34" t="s">
        <v>3562</v>
      </c>
      <c r="Q1926" s="165">
        <f>IF(Sales[[#This Row],[Status]]="Cancelled",0,Sales[[#This Row],[Qty]])</f>
        <v>7</v>
      </c>
      <c r="R1926" s="166">
        <f>IF(Sales[[#This Row],[Status]]="Cancelled",0,Sales[[#This Row],[Total Amount]])</f>
        <v>45264.800000000003</v>
      </c>
      <c r="S1926" s="162">
        <f>SUM(Sales[Net Amount])</f>
        <v>406839287.73200053</v>
      </c>
    </row>
    <row r="1927" spans="1:19" ht="18.75" x14ac:dyDescent="0.25">
      <c r="A1927" s="156" t="s">
        <v>5542</v>
      </c>
      <c r="B1927" s="157">
        <v>45876</v>
      </c>
      <c r="C1927" s="158" t="s">
        <v>910</v>
      </c>
      <c r="D1927" s="159" t="str">
        <f>VLOOKUP(Sales[[#This Row],[Customer ID]],Customer[#All],2,0)</f>
        <v>Sahil Sharma</v>
      </c>
      <c r="E1927" s="158" t="s">
        <v>324</v>
      </c>
      <c r="F1927" s="158" t="str">
        <f>VLOOKUP(Sales[[#This Row],[Product ID]],Product[#All],2,0)</f>
        <v>Sandisk Pen Drive</v>
      </c>
      <c r="G1927" s="159">
        <v>6</v>
      </c>
      <c r="H1927" s="160">
        <f>VLOOKUP(Sales[[#This Row],[Product ID]],Product[#All],7,0)</f>
        <v>4150</v>
      </c>
      <c r="I1927" s="160">
        <f>Sales[[#This Row],[Selling Rate]]*Sales[[#This Row],[Qty]]</f>
        <v>24900</v>
      </c>
      <c r="J1927" s="43">
        <v>0.05</v>
      </c>
      <c r="K1927" s="44">
        <f>Sales[[#This Row],[Gross Amount]]*Sales[[#This Row],[Disc %]]</f>
        <v>1245</v>
      </c>
      <c r="L1927" s="43">
        <v>0.18</v>
      </c>
      <c r="M1927" s="44">
        <f>(Sales[[#This Row],[Gross Amount]]-Sales[[#This Row],[Disc. Amt.]])*Sales[[#This Row],[GST %]]</f>
        <v>4257.8999999999996</v>
      </c>
      <c r="N1927" s="161">
        <f>Sales[[#This Row],[Gross Amount]]-Sales[[#This Row],[Disc. Amt.]]+Sales[[#This Row],[GST Amount]]</f>
        <v>27912.9</v>
      </c>
      <c r="O1927" s="158" t="s">
        <v>3569</v>
      </c>
      <c r="P1927" s="158" t="s">
        <v>3562</v>
      </c>
      <c r="Q1927" s="160">
        <f>IF(Sales[[#This Row],[Status]]="Cancelled",0,Sales[[#This Row],[Qty]])</f>
        <v>6</v>
      </c>
      <c r="R1927" s="161">
        <f>IF(Sales[[#This Row],[Status]]="Cancelled",0,Sales[[#This Row],[Total Amount]])</f>
        <v>27912.9</v>
      </c>
      <c r="S1927" s="162">
        <f>SUM(Sales[Net Amount])</f>
        <v>406839287.73200053</v>
      </c>
    </row>
    <row r="1928" spans="1:19" ht="18.75" x14ac:dyDescent="0.25">
      <c r="A1928" s="163" t="s">
        <v>5543</v>
      </c>
      <c r="B1928" s="164">
        <v>45876</v>
      </c>
      <c r="C1928" s="34" t="s">
        <v>704</v>
      </c>
      <c r="D1928" s="53" t="str">
        <f>VLOOKUP(Sales[[#This Row],[Customer ID]],Customer[#All],2,0)</f>
        <v>Rahul Gupta</v>
      </c>
      <c r="E1928" s="34" t="s">
        <v>171</v>
      </c>
      <c r="F1928" s="34" t="str">
        <f>VLOOKUP(Sales[[#This Row],[Product ID]],Product[#All],2,0)</f>
        <v>Boat Headset</v>
      </c>
      <c r="G1928" s="53">
        <v>5</v>
      </c>
      <c r="H1928" s="165">
        <f>VLOOKUP(Sales[[#This Row],[Product ID]],Product[#All],7,0)</f>
        <v>4010</v>
      </c>
      <c r="I1928" s="165">
        <f>Sales[[#This Row],[Selling Rate]]*Sales[[#This Row],[Qty]]</f>
        <v>20050</v>
      </c>
      <c r="J1928" s="45">
        <v>0.1</v>
      </c>
      <c r="K1928" s="46">
        <f>Sales[[#This Row],[Gross Amount]]*Sales[[#This Row],[Disc %]]</f>
        <v>2005</v>
      </c>
      <c r="L1928" s="43">
        <v>0.18</v>
      </c>
      <c r="M1928" s="46">
        <f>(Sales[[#This Row],[Gross Amount]]-Sales[[#This Row],[Disc. Amt.]])*Sales[[#This Row],[GST %]]</f>
        <v>3248.1</v>
      </c>
      <c r="N1928" s="161">
        <f>Sales[[#This Row],[Gross Amount]]-Sales[[#This Row],[Disc. Amt.]]+Sales[[#This Row],[GST Amount]]</f>
        <v>21293.1</v>
      </c>
      <c r="O1928" s="34" t="s">
        <v>3566</v>
      </c>
      <c r="P1928" s="34" t="s">
        <v>3562</v>
      </c>
      <c r="Q1928" s="165">
        <f>IF(Sales[[#This Row],[Status]]="Cancelled",0,Sales[[#This Row],[Qty]])</f>
        <v>5</v>
      </c>
      <c r="R1928" s="166">
        <f>IF(Sales[[#This Row],[Status]]="Cancelled",0,Sales[[#This Row],[Total Amount]])</f>
        <v>21293.1</v>
      </c>
      <c r="S1928" s="162">
        <f>SUM(Sales[Net Amount])</f>
        <v>406839287.73200053</v>
      </c>
    </row>
    <row r="1929" spans="1:19" ht="18.75" x14ac:dyDescent="0.25">
      <c r="A1929" s="156" t="s">
        <v>5544</v>
      </c>
      <c r="B1929" s="157">
        <v>45876</v>
      </c>
      <c r="C1929" s="158" t="s">
        <v>706</v>
      </c>
      <c r="D1929" s="159" t="str">
        <f>VLOOKUP(Sales[[#This Row],[Customer ID]],Customer[#All],2,0)</f>
        <v>Amit Sharma</v>
      </c>
      <c r="E1929" s="158" t="s">
        <v>246</v>
      </c>
      <c r="F1929" s="158" t="str">
        <f>VLOOKUP(Sales[[#This Row],[Product ID]],Product[#All],2,0)</f>
        <v>PortronicsLaptopStand</v>
      </c>
      <c r="G1929" s="159">
        <v>8</v>
      </c>
      <c r="H1929" s="160">
        <f>VLOOKUP(Sales[[#This Row],[Product ID]],Product[#All],7,0)</f>
        <v>1600</v>
      </c>
      <c r="I1929" s="160">
        <f>Sales[[#This Row],[Selling Rate]]*Sales[[#This Row],[Qty]]</f>
        <v>12800</v>
      </c>
      <c r="J1929" s="43">
        <v>0.02</v>
      </c>
      <c r="K1929" s="44">
        <f>Sales[[#This Row],[Gross Amount]]*Sales[[#This Row],[Disc %]]</f>
        <v>256</v>
      </c>
      <c r="L1929" s="43">
        <v>0.18</v>
      </c>
      <c r="M1929" s="44">
        <f>(Sales[[#This Row],[Gross Amount]]-Sales[[#This Row],[Disc. Amt.]])*Sales[[#This Row],[GST %]]</f>
        <v>2257.92</v>
      </c>
      <c r="N1929" s="161">
        <f>Sales[[#This Row],[Gross Amount]]-Sales[[#This Row],[Disc. Amt.]]+Sales[[#This Row],[GST Amount]]</f>
        <v>14801.92</v>
      </c>
      <c r="O1929" s="158" t="s">
        <v>3566</v>
      </c>
      <c r="P1929" s="158" t="s">
        <v>3562</v>
      </c>
      <c r="Q1929" s="160">
        <f>IF(Sales[[#This Row],[Status]]="Cancelled",0,Sales[[#This Row],[Qty]])</f>
        <v>8</v>
      </c>
      <c r="R1929" s="161">
        <f>IF(Sales[[#This Row],[Status]]="Cancelled",0,Sales[[#This Row],[Total Amount]])</f>
        <v>14801.92</v>
      </c>
      <c r="S1929" s="162">
        <f>SUM(Sales[Net Amount])</f>
        <v>406839287.73200053</v>
      </c>
    </row>
    <row r="1930" spans="1:19" ht="18.75" x14ac:dyDescent="0.25">
      <c r="A1930" s="163" t="s">
        <v>5545</v>
      </c>
      <c r="B1930" s="164">
        <v>45876</v>
      </c>
      <c r="C1930" s="34" t="s">
        <v>912</v>
      </c>
      <c r="D1930" s="53" t="str">
        <f>VLOOKUP(Sales[[#This Row],[Customer ID]],Customer[#All],2,0)</f>
        <v>Sunita Verma</v>
      </c>
      <c r="E1930" s="34" t="s">
        <v>476</v>
      </c>
      <c r="F1930" s="34" t="str">
        <f>VLOOKUP(Sales[[#This Row],[Product ID]],Product[#All],2,0)</f>
        <v>Sandisk Pen Drive</v>
      </c>
      <c r="G1930" s="53">
        <v>4</v>
      </c>
      <c r="H1930" s="165">
        <f>VLOOKUP(Sales[[#This Row],[Product ID]],Product[#All],7,0)</f>
        <v>650</v>
      </c>
      <c r="I1930" s="165">
        <f>Sales[[#This Row],[Selling Rate]]*Sales[[#This Row],[Qty]]</f>
        <v>2600</v>
      </c>
      <c r="J1930" s="45">
        <v>0.05</v>
      </c>
      <c r="K1930" s="46">
        <f>Sales[[#This Row],[Gross Amount]]*Sales[[#This Row],[Disc %]]</f>
        <v>130</v>
      </c>
      <c r="L1930" s="43">
        <v>0.18</v>
      </c>
      <c r="M1930" s="46">
        <f>(Sales[[#This Row],[Gross Amount]]-Sales[[#This Row],[Disc. Amt.]])*Sales[[#This Row],[GST %]]</f>
        <v>444.59999999999997</v>
      </c>
      <c r="N1930" s="161">
        <f>Sales[[#This Row],[Gross Amount]]-Sales[[#This Row],[Disc. Amt.]]+Sales[[#This Row],[GST Amount]]</f>
        <v>2914.6</v>
      </c>
      <c r="O1930" s="34" t="s">
        <v>8876</v>
      </c>
      <c r="P1930" s="34" t="s">
        <v>3562</v>
      </c>
      <c r="Q1930" s="165">
        <f>IF(Sales[[#This Row],[Status]]="Cancelled",0,Sales[[#This Row],[Qty]])</f>
        <v>4</v>
      </c>
      <c r="R1930" s="166">
        <f>IF(Sales[[#This Row],[Status]]="Cancelled",0,Sales[[#This Row],[Total Amount]])</f>
        <v>2914.6</v>
      </c>
      <c r="S1930" s="162">
        <f>SUM(Sales[Net Amount])</f>
        <v>406839287.73200053</v>
      </c>
    </row>
    <row r="1931" spans="1:19" ht="18.75" x14ac:dyDescent="0.25">
      <c r="A1931" s="156" t="s">
        <v>5546</v>
      </c>
      <c r="B1931" s="157">
        <v>45876</v>
      </c>
      <c r="C1931" s="158" t="s">
        <v>772</v>
      </c>
      <c r="D1931" s="159" t="str">
        <f>VLOOKUP(Sales[[#This Row],[Customer ID]],Customer[#All],2,0)</f>
        <v>Rahul Patel</v>
      </c>
      <c r="E1931" s="158" t="s">
        <v>546</v>
      </c>
      <c r="F1931" s="158" t="str">
        <f>VLOOKUP(Sales[[#This Row],[Product ID]],Product[#All],2,0)</f>
        <v>Crucial Ssd</v>
      </c>
      <c r="G1931" s="159">
        <v>1</v>
      </c>
      <c r="H1931" s="160">
        <f>VLOOKUP(Sales[[#This Row],[Product ID]],Product[#All],7,0)</f>
        <v>14200</v>
      </c>
      <c r="I1931" s="160">
        <f>Sales[[#This Row],[Selling Rate]]*Sales[[#This Row],[Qty]]</f>
        <v>14200</v>
      </c>
      <c r="J1931" s="43">
        <v>0.05</v>
      </c>
      <c r="K1931" s="44">
        <f>Sales[[#This Row],[Gross Amount]]*Sales[[#This Row],[Disc %]]</f>
        <v>710</v>
      </c>
      <c r="L1931" s="43">
        <v>0.18</v>
      </c>
      <c r="M1931" s="44">
        <f>(Sales[[#This Row],[Gross Amount]]-Sales[[#This Row],[Disc. Amt.]])*Sales[[#This Row],[GST %]]</f>
        <v>2428.1999999999998</v>
      </c>
      <c r="N1931" s="161">
        <f>Sales[[#This Row],[Gross Amount]]-Sales[[#This Row],[Disc. Amt.]]+Sales[[#This Row],[GST Amount]]</f>
        <v>15918.2</v>
      </c>
      <c r="O1931" s="158" t="s">
        <v>3569</v>
      </c>
      <c r="P1931" s="158" t="s">
        <v>3562</v>
      </c>
      <c r="Q1931" s="160">
        <f>IF(Sales[[#This Row],[Status]]="Cancelled",0,Sales[[#This Row],[Qty]])</f>
        <v>1</v>
      </c>
      <c r="R1931" s="161">
        <f>IF(Sales[[#This Row],[Status]]="Cancelled",0,Sales[[#This Row],[Total Amount]])</f>
        <v>15918.2</v>
      </c>
      <c r="S1931" s="162">
        <f>SUM(Sales[Net Amount])</f>
        <v>406839287.73200053</v>
      </c>
    </row>
    <row r="1932" spans="1:19" ht="18.75" x14ac:dyDescent="0.25">
      <c r="A1932" s="163" t="s">
        <v>5547</v>
      </c>
      <c r="B1932" s="164">
        <v>45876</v>
      </c>
      <c r="C1932" s="34" t="s">
        <v>885</v>
      </c>
      <c r="D1932" s="53" t="str">
        <f>VLOOKUP(Sales[[#This Row],[Customer ID]],Customer[#All],2,0)</f>
        <v>Pooja Verma</v>
      </c>
      <c r="E1932" s="34" t="s">
        <v>76</v>
      </c>
      <c r="F1932" s="34" t="str">
        <f>VLOOKUP(Sales[[#This Row],[Product ID]],Product[#All],2,0)</f>
        <v>Dell Keyboard</v>
      </c>
      <c r="G1932" s="53">
        <v>8</v>
      </c>
      <c r="H1932" s="165">
        <f>VLOOKUP(Sales[[#This Row],[Product ID]],Product[#All],7,0)</f>
        <v>1740</v>
      </c>
      <c r="I1932" s="165">
        <f>Sales[[#This Row],[Selling Rate]]*Sales[[#This Row],[Qty]]</f>
        <v>13920</v>
      </c>
      <c r="J1932" s="45">
        <v>0.02</v>
      </c>
      <c r="K1932" s="46">
        <f>Sales[[#This Row],[Gross Amount]]*Sales[[#This Row],[Disc %]]</f>
        <v>278.40000000000003</v>
      </c>
      <c r="L1932" s="43">
        <v>0.18</v>
      </c>
      <c r="M1932" s="46">
        <f>(Sales[[#This Row],[Gross Amount]]-Sales[[#This Row],[Disc. Amt.]])*Sales[[#This Row],[GST %]]</f>
        <v>2455.4879999999998</v>
      </c>
      <c r="N1932" s="161">
        <f>Sales[[#This Row],[Gross Amount]]-Sales[[#This Row],[Disc. Amt.]]+Sales[[#This Row],[GST Amount]]</f>
        <v>16097.088</v>
      </c>
      <c r="O1932" s="34" t="s">
        <v>3566</v>
      </c>
      <c r="P1932" s="34" t="s">
        <v>1040</v>
      </c>
      <c r="Q1932" s="165">
        <f>IF(Sales[[#This Row],[Status]]="Cancelled",0,Sales[[#This Row],[Qty]])</f>
        <v>0</v>
      </c>
      <c r="R1932" s="166">
        <f>IF(Sales[[#This Row],[Status]]="Cancelled",0,Sales[[#This Row],[Total Amount]])</f>
        <v>0</v>
      </c>
      <c r="S1932" s="162">
        <f>SUM(Sales[Net Amount])</f>
        <v>406839287.73200053</v>
      </c>
    </row>
    <row r="1933" spans="1:19" ht="18.75" x14ac:dyDescent="0.25">
      <c r="A1933" s="156" t="s">
        <v>5548</v>
      </c>
      <c r="B1933" s="157">
        <v>45876</v>
      </c>
      <c r="C1933" s="158" t="s">
        <v>716</v>
      </c>
      <c r="D1933" s="159" t="str">
        <f>VLOOKUP(Sales[[#This Row],[Customer ID]],Customer[#All],2,0)</f>
        <v>Ankit Kumar</v>
      </c>
      <c r="E1933" s="158" t="s">
        <v>363</v>
      </c>
      <c r="F1933" s="158" t="str">
        <f>VLOOKUP(Sales[[#This Row],[Product ID]],Product[#All],2,0)</f>
        <v>Dell Desktop</v>
      </c>
      <c r="G1933" s="159">
        <v>3</v>
      </c>
      <c r="H1933" s="160">
        <f>VLOOKUP(Sales[[#This Row],[Product ID]],Product[#All],7,0)</f>
        <v>37430</v>
      </c>
      <c r="I1933" s="160">
        <f>Sales[[#This Row],[Selling Rate]]*Sales[[#This Row],[Qty]]</f>
        <v>112290</v>
      </c>
      <c r="J1933" s="43">
        <v>0.1</v>
      </c>
      <c r="K1933" s="44">
        <f>Sales[[#This Row],[Gross Amount]]*Sales[[#This Row],[Disc %]]</f>
        <v>11229</v>
      </c>
      <c r="L1933" s="43">
        <v>0.18</v>
      </c>
      <c r="M1933" s="44">
        <f>(Sales[[#This Row],[Gross Amount]]-Sales[[#This Row],[Disc. Amt.]])*Sales[[#This Row],[GST %]]</f>
        <v>18190.98</v>
      </c>
      <c r="N1933" s="161">
        <f>Sales[[#This Row],[Gross Amount]]-Sales[[#This Row],[Disc. Amt.]]+Sales[[#This Row],[GST Amount]]</f>
        <v>119251.98</v>
      </c>
      <c r="O1933" s="158" t="s">
        <v>3561</v>
      </c>
      <c r="P1933" s="158" t="s">
        <v>3562</v>
      </c>
      <c r="Q1933" s="160">
        <f>IF(Sales[[#This Row],[Status]]="Cancelled",0,Sales[[#This Row],[Qty]])</f>
        <v>3</v>
      </c>
      <c r="R1933" s="161">
        <f>IF(Sales[[#This Row],[Status]]="Cancelled",0,Sales[[#This Row],[Total Amount]])</f>
        <v>119251.98</v>
      </c>
      <c r="S1933" s="162">
        <f>SUM(Sales[Net Amount])</f>
        <v>406839287.73200053</v>
      </c>
    </row>
    <row r="1934" spans="1:19" ht="18.75" x14ac:dyDescent="0.25">
      <c r="A1934" s="163" t="s">
        <v>5549</v>
      </c>
      <c r="B1934" s="164">
        <v>45876</v>
      </c>
      <c r="C1934" s="34" t="s">
        <v>833</v>
      </c>
      <c r="D1934" s="53" t="str">
        <f>VLOOKUP(Sales[[#This Row],[Customer ID]],Customer[#All],2,0)</f>
        <v>Sunita Kumar</v>
      </c>
      <c r="E1934" s="34" t="s">
        <v>551</v>
      </c>
      <c r="F1934" s="34" t="str">
        <f>VLOOKUP(Sales[[#This Row],[Product ID]],Product[#All],2,0)</f>
        <v>Epson Printer</v>
      </c>
      <c r="G1934" s="53">
        <v>2</v>
      </c>
      <c r="H1934" s="165">
        <f>VLOOKUP(Sales[[#This Row],[Product ID]],Product[#All],7,0)</f>
        <v>38370</v>
      </c>
      <c r="I1934" s="165">
        <f>Sales[[#This Row],[Selling Rate]]*Sales[[#This Row],[Qty]]</f>
        <v>76740</v>
      </c>
      <c r="J1934" s="45">
        <v>0.12</v>
      </c>
      <c r="K1934" s="46">
        <f>Sales[[#This Row],[Gross Amount]]*Sales[[#This Row],[Disc %]]</f>
        <v>9208.7999999999993</v>
      </c>
      <c r="L1934" s="43">
        <v>0.18</v>
      </c>
      <c r="M1934" s="46">
        <f>(Sales[[#This Row],[Gross Amount]]-Sales[[#This Row],[Disc. Amt.]])*Sales[[#This Row],[GST %]]</f>
        <v>12155.615999999998</v>
      </c>
      <c r="N1934" s="161">
        <f>Sales[[#This Row],[Gross Amount]]-Sales[[#This Row],[Disc. Amt.]]+Sales[[#This Row],[GST Amount]]</f>
        <v>79686.815999999992</v>
      </c>
      <c r="O1934" s="34" t="s">
        <v>3569</v>
      </c>
      <c r="P1934" s="34" t="s">
        <v>3562</v>
      </c>
      <c r="Q1934" s="165">
        <f>IF(Sales[[#This Row],[Status]]="Cancelled",0,Sales[[#This Row],[Qty]])</f>
        <v>2</v>
      </c>
      <c r="R1934" s="166">
        <f>IF(Sales[[#This Row],[Status]]="Cancelled",0,Sales[[#This Row],[Total Amount]])</f>
        <v>79686.815999999992</v>
      </c>
      <c r="S1934" s="162">
        <f>SUM(Sales[Net Amount])</f>
        <v>406839287.73200053</v>
      </c>
    </row>
    <row r="1935" spans="1:19" ht="18.75" x14ac:dyDescent="0.25">
      <c r="A1935" s="156" t="s">
        <v>5550</v>
      </c>
      <c r="B1935" s="157">
        <v>45876</v>
      </c>
      <c r="C1935" s="158" t="s">
        <v>940</v>
      </c>
      <c r="D1935" s="159" t="str">
        <f>VLOOKUP(Sales[[#This Row],[Customer ID]],Customer[#All],2,0)</f>
        <v>Rakesh Sharma</v>
      </c>
      <c r="E1935" s="158" t="s">
        <v>312</v>
      </c>
      <c r="F1935" s="158" t="str">
        <f>VLOOKUP(Sales[[#This Row],[Product ID]],Product[#All],2,0)</f>
        <v>Dell Desktop</v>
      </c>
      <c r="G1935" s="159">
        <v>2</v>
      </c>
      <c r="H1935" s="160">
        <f>VLOOKUP(Sales[[#This Row],[Product ID]],Product[#All],7,0)</f>
        <v>59050</v>
      </c>
      <c r="I1935" s="160">
        <f>Sales[[#This Row],[Selling Rate]]*Sales[[#This Row],[Qty]]</f>
        <v>118100</v>
      </c>
      <c r="J1935" s="43">
        <v>0.02</v>
      </c>
      <c r="K1935" s="44">
        <f>Sales[[#This Row],[Gross Amount]]*Sales[[#This Row],[Disc %]]</f>
        <v>2362</v>
      </c>
      <c r="L1935" s="43">
        <v>0.18</v>
      </c>
      <c r="M1935" s="44">
        <f>(Sales[[#This Row],[Gross Amount]]-Sales[[#This Row],[Disc. Amt.]])*Sales[[#This Row],[GST %]]</f>
        <v>20832.84</v>
      </c>
      <c r="N1935" s="161">
        <f>Sales[[#This Row],[Gross Amount]]-Sales[[#This Row],[Disc. Amt.]]+Sales[[#This Row],[GST Amount]]</f>
        <v>136570.84</v>
      </c>
      <c r="O1935" s="158" t="s">
        <v>8876</v>
      </c>
      <c r="P1935" s="158" t="s">
        <v>3562</v>
      </c>
      <c r="Q1935" s="160">
        <f>IF(Sales[[#This Row],[Status]]="Cancelled",0,Sales[[#This Row],[Qty]])</f>
        <v>2</v>
      </c>
      <c r="R1935" s="161">
        <f>IF(Sales[[#This Row],[Status]]="Cancelled",0,Sales[[#This Row],[Total Amount]])</f>
        <v>136570.84</v>
      </c>
      <c r="S1935" s="162">
        <f>SUM(Sales[Net Amount])</f>
        <v>406839287.73200053</v>
      </c>
    </row>
    <row r="1936" spans="1:19" ht="18.75" x14ac:dyDescent="0.25">
      <c r="A1936" s="163" t="s">
        <v>5551</v>
      </c>
      <c r="B1936" s="164">
        <v>45876</v>
      </c>
      <c r="C1936" s="34" t="s">
        <v>922</v>
      </c>
      <c r="D1936" s="53" t="str">
        <f>VLOOKUP(Sales[[#This Row],[Customer ID]],Customer[#All],2,0)</f>
        <v>Pooja Patel</v>
      </c>
      <c r="E1936" s="34" t="s">
        <v>115</v>
      </c>
      <c r="F1936" s="34" t="str">
        <f>VLOOKUP(Sales[[#This Row],[Product ID]],Product[#All],2,0)</f>
        <v>Dell Power Adapter</v>
      </c>
      <c r="G1936" s="53">
        <v>3</v>
      </c>
      <c r="H1936" s="165">
        <f>VLOOKUP(Sales[[#This Row],[Product ID]],Product[#All],7,0)</f>
        <v>1890</v>
      </c>
      <c r="I1936" s="165">
        <f>Sales[[#This Row],[Selling Rate]]*Sales[[#This Row],[Qty]]</f>
        <v>5670</v>
      </c>
      <c r="J1936" s="45">
        <v>0.02</v>
      </c>
      <c r="K1936" s="46">
        <f>Sales[[#This Row],[Gross Amount]]*Sales[[#This Row],[Disc %]]</f>
        <v>113.4</v>
      </c>
      <c r="L1936" s="43">
        <v>0.18</v>
      </c>
      <c r="M1936" s="46">
        <f>(Sales[[#This Row],[Gross Amount]]-Sales[[#This Row],[Disc. Amt.]])*Sales[[#This Row],[GST %]]</f>
        <v>1000.188</v>
      </c>
      <c r="N1936" s="161">
        <f>Sales[[#This Row],[Gross Amount]]-Sales[[#This Row],[Disc. Amt.]]+Sales[[#This Row],[GST Amount]]</f>
        <v>6556.7880000000005</v>
      </c>
      <c r="O1936" s="34" t="s">
        <v>8876</v>
      </c>
      <c r="P1936" s="34" t="s">
        <v>3562</v>
      </c>
      <c r="Q1936" s="165">
        <f>IF(Sales[[#This Row],[Status]]="Cancelled",0,Sales[[#This Row],[Qty]])</f>
        <v>3</v>
      </c>
      <c r="R1936" s="166">
        <f>IF(Sales[[#This Row],[Status]]="Cancelled",0,Sales[[#This Row],[Total Amount]])</f>
        <v>6556.7880000000005</v>
      </c>
      <c r="S1936" s="162">
        <f>SUM(Sales[Net Amount])</f>
        <v>406839287.73200053</v>
      </c>
    </row>
    <row r="1937" spans="1:19" ht="18.75" x14ac:dyDescent="0.25">
      <c r="A1937" s="156" t="s">
        <v>5552</v>
      </c>
      <c r="B1937" s="157">
        <v>45877</v>
      </c>
      <c r="C1937" s="158" t="s">
        <v>878</v>
      </c>
      <c r="D1937" s="159" t="str">
        <f>VLOOKUP(Sales[[#This Row],[Customer ID]],Customer[#All],2,0)</f>
        <v>Rahul Singh</v>
      </c>
      <c r="E1937" s="158" t="s">
        <v>519</v>
      </c>
      <c r="F1937" s="158" t="str">
        <f>VLOOKUP(Sales[[#This Row],[Product ID]],Product[#All],2,0)</f>
        <v>WD HDD</v>
      </c>
      <c r="G1937" s="159">
        <v>4</v>
      </c>
      <c r="H1937" s="160">
        <f>VLOOKUP(Sales[[#This Row],[Product ID]],Product[#All],7,0)</f>
        <v>8730</v>
      </c>
      <c r="I1937" s="160">
        <f>Sales[[#This Row],[Selling Rate]]*Sales[[#This Row],[Qty]]</f>
        <v>34920</v>
      </c>
      <c r="J1937" s="43">
        <v>0</v>
      </c>
      <c r="K1937" s="44">
        <f>Sales[[#This Row],[Gross Amount]]*Sales[[#This Row],[Disc %]]</f>
        <v>0</v>
      </c>
      <c r="L1937" s="43">
        <v>0.18</v>
      </c>
      <c r="M1937" s="44">
        <f>(Sales[[#This Row],[Gross Amount]]-Sales[[#This Row],[Disc. Amt.]])*Sales[[#This Row],[GST %]]</f>
        <v>6285.5999999999995</v>
      </c>
      <c r="N1937" s="161">
        <f>Sales[[#This Row],[Gross Amount]]-Sales[[#This Row],[Disc. Amt.]]+Sales[[#This Row],[GST Amount]]</f>
        <v>41205.599999999999</v>
      </c>
      <c r="O1937" s="158" t="s">
        <v>3569</v>
      </c>
      <c r="P1937" s="158" t="s">
        <v>3562</v>
      </c>
      <c r="Q1937" s="160">
        <f>IF(Sales[[#This Row],[Status]]="Cancelled",0,Sales[[#This Row],[Qty]])</f>
        <v>4</v>
      </c>
      <c r="R1937" s="161">
        <f>IF(Sales[[#This Row],[Status]]="Cancelled",0,Sales[[#This Row],[Total Amount]])</f>
        <v>41205.599999999999</v>
      </c>
      <c r="S1937" s="162">
        <f>SUM(Sales[Net Amount])</f>
        <v>406839287.73200053</v>
      </c>
    </row>
    <row r="1938" spans="1:19" ht="18.75" x14ac:dyDescent="0.25">
      <c r="A1938" s="163" t="s">
        <v>5553</v>
      </c>
      <c r="B1938" s="164">
        <v>45877</v>
      </c>
      <c r="C1938" s="34" t="s">
        <v>918</v>
      </c>
      <c r="D1938" s="53" t="str">
        <f>VLOOKUP(Sales[[#This Row],[Customer ID]],Customer[#All],2,0)</f>
        <v>Pooja Patel</v>
      </c>
      <c r="E1938" s="34" t="s">
        <v>362</v>
      </c>
      <c r="F1938" s="34" t="str">
        <f>VLOOKUP(Sales[[#This Row],[Product ID]],Product[#All],2,0)</f>
        <v>Dell Power Adapter</v>
      </c>
      <c r="G1938" s="53">
        <v>4</v>
      </c>
      <c r="H1938" s="165">
        <f>VLOOKUP(Sales[[#This Row],[Product ID]],Product[#All],7,0)</f>
        <v>4050</v>
      </c>
      <c r="I1938" s="165">
        <f>Sales[[#This Row],[Selling Rate]]*Sales[[#This Row],[Qty]]</f>
        <v>16200</v>
      </c>
      <c r="J1938" s="45">
        <v>0</v>
      </c>
      <c r="K1938" s="46">
        <f>Sales[[#This Row],[Gross Amount]]*Sales[[#This Row],[Disc %]]</f>
        <v>0</v>
      </c>
      <c r="L1938" s="43">
        <v>0.18</v>
      </c>
      <c r="M1938" s="46">
        <f>(Sales[[#This Row],[Gross Amount]]-Sales[[#This Row],[Disc. Amt.]])*Sales[[#This Row],[GST %]]</f>
        <v>2916</v>
      </c>
      <c r="N1938" s="161">
        <f>Sales[[#This Row],[Gross Amount]]-Sales[[#This Row],[Disc. Amt.]]+Sales[[#This Row],[GST Amount]]</f>
        <v>19116</v>
      </c>
      <c r="O1938" s="34" t="s">
        <v>3561</v>
      </c>
      <c r="P1938" s="34" t="s">
        <v>3562</v>
      </c>
      <c r="Q1938" s="165">
        <f>IF(Sales[[#This Row],[Status]]="Cancelled",0,Sales[[#This Row],[Qty]])</f>
        <v>4</v>
      </c>
      <c r="R1938" s="166">
        <f>IF(Sales[[#This Row],[Status]]="Cancelled",0,Sales[[#This Row],[Total Amount]])</f>
        <v>19116</v>
      </c>
      <c r="S1938" s="162">
        <f>SUM(Sales[Net Amount])</f>
        <v>406839287.73200053</v>
      </c>
    </row>
    <row r="1939" spans="1:19" ht="18.75" x14ac:dyDescent="0.25">
      <c r="A1939" s="156" t="s">
        <v>5554</v>
      </c>
      <c r="B1939" s="157">
        <v>45877</v>
      </c>
      <c r="C1939" s="158" t="s">
        <v>935</v>
      </c>
      <c r="D1939" s="159" t="str">
        <f>VLOOKUP(Sales[[#This Row],[Customer ID]],Customer[#All],2,0)</f>
        <v>Ankit Kumar</v>
      </c>
      <c r="E1939" s="158" t="s">
        <v>554</v>
      </c>
      <c r="F1939" s="158" t="str">
        <f>VLOOKUP(Sales[[#This Row],[Product ID]],Product[#All],2,0)</f>
        <v>TP-link Router</v>
      </c>
      <c r="G1939" s="159">
        <v>6</v>
      </c>
      <c r="H1939" s="160">
        <f>VLOOKUP(Sales[[#This Row],[Product ID]],Product[#All],7,0)</f>
        <v>6320</v>
      </c>
      <c r="I1939" s="160">
        <f>Sales[[#This Row],[Selling Rate]]*Sales[[#This Row],[Qty]]</f>
        <v>37920</v>
      </c>
      <c r="J1939" s="43">
        <v>0.05</v>
      </c>
      <c r="K1939" s="44">
        <f>Sales[[#This Row],[Gross Amount]]*Sales[[#This Row],[Disc %]]</f>
        <v>1896</v>
      </c>
      <c r="L1939" s="43">
        <v>0.18</v>
      </c>
      <c r="M1939" s="44">
        <f>(Sales[[#This Row],[Gross Amount]]-Sales[[#This Row],[Disc. Amt.]])*Sales[[#This Row],[GST %]]</f>
        <v>6484.32</v>
      </c>
      <c r="N1939" s="161">
        <f>Sales[[#This Row],[Gross Amount]]-Sales[[#This Row],[Disc. Amt.]]+Sales[[#This Row],[GST Amount]]</f>
        <v>42508.32</v>
      </c>
      <c r="O1939" s="158" t="s">
        <v>3561</v>
      </c>
      <c r="P1939" s="158" t="s">
        <v>3562</v>
      </c>
      <c r="Q1939" s="160">
        <f>IF(Sales[[#This Row],[Status]]="Cancelled",0,Sales[[#This Row],[Qty]])</f>
        <v>6</v>
      </c>
      <c r="R1939" s="161">
        <f>IF(Sales[[#This Row],[Status]]="Cancelled",0,Sales[[#This Row],[Total Amount]])</f>
        <v>42508.32</v>
      </c>
      <c r="S1939" s="162">
        <f>SUM(Sales[Net Amount])</f>
        <v>406839287.73200053</v>
      </c>
    </row>
    <row r="1940" spans="1:19" ht="18.75" x14ac:dyDescent="0.25">
      <c r="A1940" s="163" t="s">
        <v>5555</v>
      </c>
      <c r="B1940" s="164">
        <v>45877</v>
      </c>
      <c r="C1940" s="34" t="s">
        <v>657</v>
      </c>
      <c r="D1940" s="53" t="str">
        <f>VLOOKUP(Sales[[#This Row],[Customer ID]],Customer[#All],2,0)</f>
        <v>Rahul Verma</v>
      </c>
      <c r="E1940" s="34" t="s">
        <v>82</v>
      </c>
      <c r="F1940" s="34" t="str">
        <f>VLOOKUP(Sales[[#This Row],[Product ID]],Product[#All],2,0)</f>
        <v>American TouristerLaptopBag</v>
      </c>
      <c r="G1940" s="53">
        <v>3</v>
      </c>
      <c r="H1940" s="165">
        <f>VLOOKUP(Sales[[#This Row],[Product ID]],Product[#All],7,0)</f>
        <v>5480</v>
      </c>
      <c r="I1940" s="165">
        <f>Sales[[#This Row],[Selling Rate]]*Sales[[#This Row],[Qty]]</f>
        <v>16440</v>
      </c>
      <c r="J1940" s="45">
        <v>0.02</v>
      </c>
      <c r="K1940" s="46">
        <f>Sales[[#This Row],[Gross Amount]]*Sales[[#This Row],[Disc %]]</f>
        <v>328.8</v>
      </c>
      <c r="L1940" s="43">
        <v>0.18</v>
      </c>
      <c r="M1940" s="46">
        <f>(Sales[[#This Row],[Gross Amount]]-Sales[[#This Row],[Disc. Amt.]])*Sales[[#This Row],[GST %]]</f>
        <v>2900.0160000000001</v>
      </c>
      <c r="N1940" s="161">
        <f>Sales[[#This Row],[Gross Amount]]-Sales[[#This Row],[Disc. Amt.]]+Sales[[#This Row],[GST Amount]]</f>
        <v>19011.216</v>
      </c>
      <c r="O1940" s="34" t="s">
        <v>8876</v>
      </c>
      <c r="P1940" s="34" t="s">
        <v>3562</v>
      </c>
      <c r="Q1940" s="165">
        <f>IF(Sales[[#This Row],[Status]]="Cancelled",0,Sales[[#This Row],[Qty]])</f>
        <v>3</v>
      </c>
      <c r="R1940" s="166">
        <f>IF(Sales[[#This Row],[Status]]="Cancelled",0,Sales[[#This Row],[Total Amount]])</f>
        <v>19011.216</v>
      </c>
      <c r="S1940" s="162">
        <f>SUM(Sales[Net Amount])</f>
        <v>406839287.73200053</v>
      </c>
    </row>
    <row r="1941" spans="1:19" ht="18.75" x14ac:dyDescent="0.25">
      <c r="A1941" s="156" t="s">
        <v>5556</v>
      </c>
      <c r="B1941" s="157">
        <v>45877</v>
      </c>
      <c r="C1941" s="158" t="s">
        <v>938</v>
      </c>
      <c r="D1941" s="159" t="str">
        <f>VLOOKUP(Sales[[#This Row],[Customer ID]],Customer[#All],2,0)</f>
        <v>Sunita Sharma</v>
      </c>
      <c r="E1941" s="158" t="s">
        <v>59</v>
      </c>
      <c r="F1941" s="158" t="str">
        <f>VLOOKUP(Sales[[#This Row],[Product ID]],Product[#All],2,0)</f>
        <v>Amazon Basics Hdmi Cable</v>
      </c>
      <c r="G1941" s="159">
        <v>1</v>
      </c>
      <c r="H1941" s="160">
        <f>VLOOKUP(Sales[[#This Row],[Product ID]],Product[#All],7,0)</f>
        <v>1160</v>
      </c>
      <c r="I1941" s="160">
        <f>Sales[[#This Row],[Selling Rate]]*Sales[[#This Row],[Qty]]</f>
        <v>1160</v>
      </c>
      <c r="J1941" s="43">
        <v>0</v>
      </c>
      <c r="K1941" s="44">
        <f>Sales[[#This Row],[Gross Amount]]*Sales[[#This Row],[Disc %]]</f>
        <v>0</v>
      </c>
      <c r="L1941" s="43">
        <v>0.18</v>
      </c>
      <c r="M1941" s="44">
        <f>(Sales[[#This Row],[Gross Amount]]-Sales[[#This Row],[Disc. Amt.]])*Sales[[#This Row],[GST %]]</f>
        <v>208.79999999999998</v>
      </c>
      <c r="N1941" s="161">
        <f>Sales[[#This Row],[Gross Amount]]-Sales[[#This Row],[Disc. Amt.]]+Sales[[#This Row],[GST Amount]]</f>
        <v>1368.8</v>
      </c>
      <c r="O1941" s="158" t="s">
        <v>8876</v>
      </c>
      <c r="P1941" s="158" t="s">
        <v>3562</v>
      </c>
      <c r="Q1941" s="160">
        <f>IF(Sales[[#This Row],[Status]]="Cancelled",0,Sales[[#This Row],[Qty]])</f>
        <v>1</v>
      </c>
      <c r="R1941" s="161">
        <f>IF(Sales[[#This Row],[Status]]="Cancelled",0,Sales[[#This Row],[Total Amount]])</f>
        <v>1368.8</v>
      </c>
      <c r="S1941" s="162">
        <f>SUM(Sales[Net Amount])</f>
        <v>406839287.73200053</v>
      </c>
    </row>
    <row r="1942" spans="1:19" ht="18.75" x14ac:dyDescent="0.25">
      <c r="A1942" s="163" t="s">
        <v>5557</v>
      </c>
      <c r="B1942" s="164">
        <v>45877</v>
      </c>
      <c r="C1942" s="34" t="s">
        <v>719</v>
      </c>
      <c r="D1942" s="53" t="str">
        <f>VLOOKUP(Sales[[#This Row],[Customer ID]],Customer[#All],2,0)</f>
        <v>Priya Verma</v>
      </c>
      <c r="E1942" s="34" t="s">
        <v>89</v>
      </c>
      <c r="F1942" s="34" t="str">
        <f>VLOOKUP(Sales[[#This Row],[Product ID]],Product[#All],2,0)</f>
        <v>Portronics USB Cable</v>
      </c>
      <c r="G1942" s="53">
        <v>8</v>
      </c>
      <c r="H1942" s="165">
        <f>VLOOKUP(Sales[[#This Row],[Product ID]],Product[#All],7,0)</f>
        <v>390</v>
      </c>
      <c r="I1942" s="165">
        <f>Sales[[#This Row],[Selling Rate]]*Sales[[#This Row],[Qty]]</f>
        <v>3120</v>
      </c>
      <c r="J1942" s="45">
        <v>0.02</v>
      </c>
      <c r="K1942" s="46">
        <f>Sales[[#This Row],[Gross Amount]]*Sales[[#This Row],[Disc %]]</f>
        <v>62.4</v>
      </c>
      <c r="L1942" s="43">
        <v>0.18</v>
      </c>
      <c r="M1942" s="46">
        <f>(Sales[[#This Row],[Gross Amount]]-Sales[[#This Row],[Disc. Amt.]])*Sales[[#This Row],[GST %]]</f>
        <v>550.36799999999994</v>
      </c>
      <c r="N1942" s="161">
        <f>Sales[[#This Row],[Gross Amount]]-Sales[[#This Row],[Disc. Amt.]]+Sales[[#This Row],[GST Amount]]</f>
        <v>3607.9679999999998</v>
      </c>
      <c r="O1942" s="34" t="s">
        <v>3561</v>
      </c>
      <c r="P1942" s="34" t="s">
        <v>3562</v>
      </c>
      <c r="Q1942" s="165">
        <f>IF(Sales[[#This Row],[Status]]="Cancelled",0,Sales[[#This Row],[Qty]])</f>
        <v>8</v>
      </c>
      <c r="R1942" s="166">
        <f>IF(Sales[[#This Row],[Status]]="Cancelled",0,Sales[[#This Row],[Total Amount]])</f>
        <v>3607.9679999999998</v>
      </c>
      <c r="S1942" s="162">
        <f>SUM(Sales[Net Amount])</f>
        <v>406839287.73200053</v>
      </c>
    </row>
    <row r="1943" spans="1:19" ht="18.75" x14ac:dyDescent="0.25">
      <c r="A1943" s="156" t="s">
        <v>5558</v>
      </c>
      <c r="B1943" s="157">
        <v>45877</v>
      </c>
      <c r="C1943" s="158" t="s">
        <v>735</v>
      </c>
      <c r="D1943" s="159" t="str">
        <f>VLOOKUP(Sales[[#This Row],[Customer ID]],Customer[#All],2,0)</f>
        <v>Amit Singh</v>
      </c>
      <c r="E1943" s="158" t="s">
        <v>57</v>
      </c>
      <c r="F1943" s="158" t="str">
        <f>VLOOKUP(Sales[[#This Row],[Product ID]],Product[#All],2,0)</f>
        <v>Dell Desktop</v>
      </c>
      <c r="G1943" s="159">
        <v>2</v>
      </c>
      <c r="H1943" s="160">
        <f>VLOOKUP(Sales[[#This Row],[Product ID]],Product[#All],7,0)</f>
        <v>56600</v>
      </c>
      <c r="I1943" s="160">
        <f>Sales[[#This Row],[Selling Rate]]*Sales[[#This Row],[Qty]]</f>
        <v>113200</v>
      </c>
      <c r="J1943" s="43">
        <v>0</v>
      </c>
      <c r="K1943" s="44">
        <f>Sales[[#This Row],[Gross Amount]]*Sales[[#This Row],[Disc %]]</f>
        <v>0</v>
      </c>
      <c r="L1943" s="43">
        <v>0.18</v>
      </c>
      <c r="M1943" s="44">
        <f>(Sales[[#This Row],[Gross Amount]]-Sales[[#This Row],[Disc. Amt.]])*Sales[[#This Row],[GST %]]</f>
        <v>20376</v>
      </c>
      <c r="N1943" s="161">
        <f>Sales[[#This Row],[Gross Amount]]-Sales[[#This Row],[Disc. Amt.]]+Sales[[#This Row],[GST Amount]]</f>
        <v>133576</v>
      </c>
      <c r="O1943" s="158" t="s">
        <v>3561</v>
      </c>
      <c r="P1943" s="158" t="s">
        <v>3562</v>
      </c>
      <c r="Q1943" s="160">
        <f>IF(Sales[[#This Row],[Status]]="Cancelled",0,Sales[[#This Row],[Qty]])</f>
        <v>2</v>
      </c>
      <c r="R1943" s="161">
        <f>IF(Sales[[#This Row],[Status]]="Cancelled",0,Sales[[#This Row],[Total Amount]])</f>
        <v>133576</v>
      </c>
      <c r="S1943" s="162">
        <f>SUM(Sales[Net Amount])</f>
        <v>406839287.73200053</v>
      </c>
    </row>
    <row r="1944" spans="1:19" ht="18.75" x14ac:dyDescent="0.25">
      <c r="A1944" s="163" t="s">
        <v>5559</v>
      </c>
      <c r="B1944" s="164">
        <v>45877</v>
      </c>
      <c r="C1944" s="34" t="s">
        <v>722</v>
      </c>
      <c r="D1944" s="53" t="str">
        <f>VLOOKUP(Sales[[#This Row],[Customer ID]],Customer[#All],2,0)</f>
        <v>Vikas Patel</v>
      </c>
      <c r="E1944" s="34" t="s">
        <v>173</v>
      </c>
      <c r="F1944" s="34" t="str">
        <f>VLOOKUP(Sales[[#This Row],[Product ID]],Product[#All],2,0)</f>
        <v>HP Desktop</v>
      </c>
      <c r="G1944" s="53">
        <v>8</v>
      </c>
      <c r="H1944" s="165">
        <f>VLOOKUP(Sales[[#This Row],[Product ID]],Product[#All],7,0)</f>
        <v>69180</v>
      </c>
      <c r="I1944" s="165">
        <f>Sales[[#This Row],[Selling Rate]]*Sales[[#This Row],[Qty]]</f>
        <v>553440</v>
      </c>
      <c r="J1944" s="45">
        <v>0</v>
      </c>
      <c r="K1944" s="46">
        <f>Sales[[#This Row],[Gross Amount]]*Sales[[#This Row],[Disc %]]</f>
        <v>0</v>
      </c>
      <c r="L1944" s="43">
        <v>0.18</v>
      </c>
      <c r="M1944" s="46">
        <f>(Sales[[#This Row],[Gross Amount]]-Sales[[#This Row],[Disc. Amt.]])*Sales[[#This Row],[GST %]]</f>
        <v>99619.199999999997</v>
      </c>
      <c r="N1944" s="161">
        <f>Sales[[#This Row],[Gross Amount]]-Sales[[#This Row],[Disc. Amt.]]+Sales[[#This Row],[GST Amount]]</f>
        <v>653059.19999999995</v>
      </c>
      <c r="O1944" s="34" t="s">
        <v>8876</v>
      </c>
      <c r="P1944" s="34" t="s">
        <v>3562</v>
      </c>
      <c r="Q1944" s="165">
        <f>IF(Sales[[#This Row],[Status]]="Cancelled",0,Sales[[#This Row],[Qty]])</f>
        <v>8</v>
      </c>
      <c r="R1944" s="166">
        <f>IF(Sales[[#This Row],[Status]]="Cancelled",0,Sales[[#This Row],[Total Amount]])</f>
        <v>653059.19999999995</v>
      </c>
      <c r="S1944" s="162">
        <f>SUM(Sales[Net Amount])</f>
        <v>406839287.73200053</v>
      </c>
    </row>
    <row r="1945" spans="1:19" ht="18.75" x14ac:dyDescent="0.25">
      <c r="A1945" s="156" t="s">
        <v>5560</v>
      </c>
      <c r="B1945" s="157">
        <v>45877</v>
      </c>
      <c r="C1945" s="158" t="s">
        <v>921</v>
      </c>
      <c r="D1945" s="159" t="str">
        <f>VLOOKUP(Sales[[#This Row],[Customer ID]],Customer[#All],2,0)</f>
        <v>Sahil Gupta</v>
      </c>
      <c r="E1945" s="158" t="s">
        <v>431</v>
      </c>
      <c r="F1945" s="158" t="str">
        <f>VLOOKUP(Sales[[#This Row],[Product ID]],Product[#All],2,0)</f>
        <v>Canon Printer</v>
      </c>
      <c r="G1945" s="159">
        <v>5</v>
      </c>
      <c r="H1945" s="160">
        <f>VLOOKUP(Sales[[#This Row],[Product ID]],Product[#All],7,0)</f>
        <v>17260</v>
      </c>
      <c r="I1945" s="160">
        <f>Sales[[#This Row],[Selling Rate]]*Sales[[#This Row],[Qty]]</f>
        <v>86300</v>
      </c>
      <c r="J1945" s="43">
        <v>0</v>
      </c>
      <c r="K1945" s="44">
        <f>Sales[[#This Row],[Gross Amount]]*Sales[[#This Row],[Disc %]]</f>
        <v>0</v>
      </c>
      <c r="L1945" s="43">
        <v>0.18</v>
      </c>
      <c r="M1945" s="44">
        <f>(Sales[[#This Row],[Gross Amount]]-Sales[[#This Row],[Disc. Amt.]])*Sales[[#This Row],[GST %]]</f>
        <v>15534</v>
      </c>
      <c r="N1945" s="161">
        <f>Sales[[#This Row],[Gross Amount]]-Sales[[#This Row],[Disc. Amt.]]+Sales[[#This Row],[GST Amount]]</f>
        <v>101834</v>
      </c>
      <c r="O1945" s="158" t="s">
        <v>3569</v>
      </c>
      <c r="P1945" s="158" t="s">
        <v>3562</v>
      </c>
      <c r="Q1945" s="160">
        <f>IF(Sales[[#This Row],[Status]]="Cancelled",0,Sales[[#This Row],[Qty]])</f>
        <v>5</v>
      </c>
      <c r="R1945" s="161">
        <f>IF(Sales[[#This Row],[Status]]="Cancelled",0,Sales[[#This Row],[Total Amount]])</f>
        <v>101834</v>
      </c>
      <c r="S1945" s="162">
        <f>SUM(Sales[Net Amount])</f>
        <v>406839287.73200053</v>
      </c>
    </row>
    <row r="1946" spans="1:19" ht="18.75" x14ac:dyDescent="0.25">
      <c r="A1946" s="163" t="s">
        <v>5561</v>
      </c>
      <c r="B1946" s="164">
        <v>45877</v>
      </c>
      <c r="C1946" s="34" t="s">
        <v>887</v>
      </c>
      <c r="D1946" s="53" t="str">
        <f>VLOOKUP(Sales[[#This Row],[Customer ID]],Customer[#All],2,0)</f>
        <v>Sahil Verma</v>
      </c>
      <c r="E1946" s="34" t="s">
        <v>76</v>
      </c>
      <c r="F1946" s="34" t="str">
        <f>VLOOKUP(Sales[[#This Row],[Product ID]],Product[#All],2,0)</f>
        <v>Dell Keyboard</v>
      </c>
      <c r="G1946" s="53">
        <v>5</v>
      </c>
      <c r="H1946" s="165">
        <f>VLOOKUP(Sales[[#This Row],[Product ID]],Product[#All],7,0)</f>
        <v>1740</v>
      </c>
      <c r="I1946" s="165">
        <f>Sales[[#This Row],[Selling Rate]]*Sales[[#This Row],[Qty]]</f>
        <v>8700</v>
      </c>
      <c r="J1946" s="45">
        <v>0.05</v>
      </c>
      <c r="K1946" s="46">
        <f>Sales[[#This Row],[Gross Amount]]*Sales[[#This Row],[Disc %]]</f>
        <v>435</v>
      </c>
      <c r="L1946" s="43">
        <v>0.18</v>
      </c>
      <c r="M1946" s="46">
        <f>(Sales[[#This Row],[Gross Amount]]-Sales[[#This Row],[Disc. Amt.]])*Sales[[#This Row],[GST %]]</f>
        <v>1487.7</v>
      </c>
      <c r="N1946" s="161">
        <f>Sales[[#This Row],[Gross Amount]]-Sales[[#This Row],[Disc. Amt.]]+Sales[[#This Row],[GST Amount]]</f>
        <v>9752.7000000000007</v>
      </c>
      <c r="O1946" s="34" t="s">
        <v>3566</v>
      </c>
      <c r="P1946" s="34" t="s">
        <v>3562</v>
      </c>
      <c r="Q1946" s="165">
        <f>IF(Sales[[#This Row],[Status]]="Cancelled",0,Sales[[#This Row],[Qty]])</f>
        <v>5</v>
      </c>
      <c r="R1946" s="166">
        <f>IF(Sales[[#This Row],[Status]]="Cancelled",0,Sales[[#This Row],[Total Amount]])</f>
        <v>9752.7000000000007</v>
      </c>
      <c r="S1946" s="162">
        <f>SUM(Sales[Net Amount])</f>
        <v>406839287.73200053</v>
      </c>
    </row>
    <row r="1947" spans="1:19" ht="18.75" x14ac:dyDescent="0.25">
      <c r="A1947" s="156" t="s">
        <v>5562</v>
      </c>
      <c r="B1947" s="157">
        <v>45877</v>
      </c>
      <c r="C1947" s="158" t="s">
        <v>822</v>
      </c>
      <c r="D1947" s="159" t="str">
        <f>VLOOKUP(Sales[[#This Row],[Customer ID]],Customer[#All],2,0)</f>
        <v>Vikas Singh</v>
      </c>
      <c r="E1947" s="158" t="s">
        <v>487</v>
      </c>
      <c r="F1947" s="158" t="str">
        <f>VLOOKUP(Sales[[#This Row],[Product ID]],Product[#All],2,0)</f>
        <v>TP-link Bluetooth Adapter</v>
      </c>
      <c r="G1947" s="159">
        <v>8</v>
      </c>
      <c r="H1947" s="160">
        <f>VLOOKUP(Sales[[#This Row],[Product ID]],Product[#All],7,0)</f>
        <v>660</v>
      </c>
      <c r="I1947" s="160">
        <f>Sales[[#This Row],[Selling Rate]]*Sales[[#This Row],[Qty]]</f>
        <v>5280</v>
      </c>
      <c r="J1947" s="43">
        <v>0.05</v>
      </c>
      <c r="K1947" s="44">
        <f>Sales[[#This Row],[Gross Amount]]*Sales[[#This Row],[Disc %]]</f>
        <v>264</v>
      </c>
      <c r="L1947" s="43">
        <v>0.18</v>
      </c>
      <c r="M1947" s="44">
        <f>(Sales[[#This Row],[Gross Amount]]-Sales[[#This Row],[Disc. Amt.]])*Sales[[#This Row],[GST %]]</f>
        <v>902.88</v>
      </c>
      <c r="N1947" s="161">
        <f>Sales[[#This Row],[Gross Amount]]-Sales[[#This Row],[Disc. Amt.]]+Sales[[#This Row],[GST Amount]]</f>
        <v>5918.88</v>
      </c>
      <c r="O1947" s="158" t="s">
        <v>3569</v>
      </c>
      <c r="P1947" s="158" t="s">
        <v>3562</v>
      </c>
      <c r="Q1947" s="160">
        <f>IF(Sales[[#This Row],[Status]]="Cancelled",0,Sales[[#This Row],[Qty]])</f>
        <v>8</v>
      </c>
      <c r="R1947" s="161">
        <f>IF(Sales[[#This Row],[Status]]="Cancelled",0,Sales[[#This Row],[Total Amount]])</f>
        <v>5918.88</v>
      </c>
      <c r="S1947" s="162">
        <f>SUM(Sales[Net Amount])</f>
        <v>406839287.73200053</v>
      </c>
    </row>
    <row r="1948" spans="1:19" ht="18.75" x14ac:dyDescent="0.25">
      <c r="A1948" s="163" t="s">
        <v>5563</v>
      </c>
      <c r="B1948" s="164">
        <v>45877</v>
      </c>
      <c r="C1948" s="34" t="s">
        <v>690</v>
      </c>
      <c r="D1948" s="53" t="str">
        <f>VLOOKUP(Sales[[#This Row],[Customer ID]],Customer[#All],2,0)</f>
        <v>Priya Patel</v>
      </c>
      <c r="E1948" s="34" t="s">
        <v>511</v>
      </c>
      <c r="F1948" s="34" t="str">
        <f>VLOOKUP(Sales[[#This Row],[Product ID]],Product[#All],2,0)</f>
        <v>Amazon Basics Hdmi Cable</v>
      </c>
      <c r="G1948" s="53">
        <v>7</v>
      </c>
      <c r="H1948" s="165">
        <f>VLOOKUP(Sales[[#This Row],[Product ID]],Product[#All],7,0)</f>
        <v>1240</v>
      </c>
      <c r="I1948" s="165">
        <f>Sales[[#This Row],[Selling Rate]]*Sales[[#This Row],[Qty]]</f>
        <v>8680</v>
      </c>
      <c r="J1948" s="45">
        <v>0</v>
      </c>
      <c r="K1948" s="46">
        <f>Sales[[#This Row],[Gross Amount]]*Sales[[#This Row],[Disc %]]</f>
        <v>0</v>
      </c>
      <c r="L1948" s="43">
        <v>0.18</v>
      </c>
      <c r="M1948" s="46">
        <f>(Sales[[#This Row],[Gross Amount]]-Sales[[#This Row],[Disc. Amt.]])*Sales[[#This Row],[GST %]]</f>
        <v>1562.3999999999999</v>
      </c>
      <c r="N1948" s="161">
        <f>Sales[[#This Row],[Gross Amount]]-Sales[[#This Row],[Disc. Amt.]]+Sales[[#This Row],[GST Amount]]</f>
        <v>10242.4</v>
      </c>
      <c r="O1948" s="34" t="s">
        <v>3566</v>
      </c>
      <c r="P1948" s="34" t="s">
        <v>3562</v>
      </c>
      <c r="Q1948" s="165">
        <f>IF(Sales[[#This Row],[Status]]="Cancelled",0,Sales[[#This Row],[Qty]])</f>
        <v>7</v>
      </c>
      <c r="R1948" s="166">
        <f>IF(Sales[[#This Row],[Status]]="Cancelled",0,Sales[[#This Row],[Total Amount]])</f>
        <v>10242.4</v>
      </c>
      <c r="S1948" s="162">
        <f>SUM(Sales[Net Amount])</f>
        <v>406839287.73200053</v>
      </c>
    </row>
    <row r="1949" spans="1:19" ht="18.75" x14ac:dyDescent="0.25">
      <c r="A1949" s="156" t="s">
        <v>5564</v>
      </c>
      <c r="B1949" s="157">
        <v>45877</v>
      </c>
      <c r="C1949" s="158" t="s">
        <v>697</v>
      </c>
      <c r="D1949" s="159" t="str">
        <f>VLOOKUP(Sales[[#This Row],[Customer ID]],Customer[#All],2,0)</f>
        <v>Priya Kumar</v>
      </c>
      <c r="E1949" s="158" t="s">
        <v>180</v>
      </c>
      <c r="F1949" s="158" t="str">
        <f>VLOOKUP(Sales[[#This Row],[Product ID]],Product[#All],2,0)</f>
        <v>Kingston Ram</v>
      </c>
      <c r="G1949" s="159">
        <v>1</v>
      </c>
      <c r="H1949" s="160">
        <f>VLOOKUP(Sales[[#This Row],[Product ID]],Product[#All],7,0)</f>
        <v>11780</v>
      </c>
      <c r="I1949" s="160">
        <f>Sales[[#This Row],[Selling Rate]]*Sales[[#This Row],[Qty]]</f>
        <v>11780</v>
      </c>
      <c r="J1949" s="43">
        <v>0.02</v>
      </c>
      <c r="K1949" s="44">
        <f>Sales[[#This Row],[Gross Amount]]*Sales[[#This Row],[Disc %]]</f>
        <v>235.6</v>
      </c>
      <c r="L1949" s="43">
        <v>0.18</v>
      </c>
      <c r="M1949" s="44">
        <f>(Sales[[#This Row],[Gross Amount]]-Sales[[#This Row],[Disc. Amt.]])*Sales[[#This Row],[GST %]]</f>
        <v>2077.9919999999997</v>
      </c>
      <c r="N1949" s="161">
        <f>Sales[[#This Row],[Gross Amount]]-Sales[[#This Row],[Disc. Amt.]]+Sales[[#This Row],[GST Amount]]</f>
        <v>13622.392</v>
      </c>
      <c r="O1949" s="158" t="s">
        <v>3569</v>
      </c>
      <c r="P1949" s="158" t="s">
        <v>3562</v>
      </c>
      <c r="Q1949" s="160">
        <f>IF(Sales[[#This Row],[Status]]="Cancelled",0,Sales[[#This Row],[Qty]])</f>
        <v>1</v>
      </c>
      <c r="R1949" s="161">
        <f>IF(Sales[[#This Row],[Status]]="Cancelled",0,Sales[[#This Row],[Total Amount]])</f>
        <v>13622.392</v>
      </c>
      <c r="S1949" s="162">
        <f>SUM(Sales[Net Amount])</f>
        <v>406839287.73200053</v>
      </c>
    </row>
    <row r="1950" spans="1:19" ht="18.75" x14ac:dyDescent="0.25">
      <c r="A1950" s="163" t="s">
        <v>5565</v>
      </c>
      <c r="B1950" s="164">
        <v>45877</v>
      </c>
      <c r="C1950" s="34" t="s">
        <v>663</v>
      </c>
      <c r="D1950" s="53" t="str">
        <f>VLOOKUP(Sales[[#This Row],[Customer ID]],Customer[#All],2,0)</f>
        <v>Amit Sharma</v>
      </c>
      <c r="E1950" s="34" t="s">
        <v>418</v>
      </c>
      <c r="F1950" s="34" t="str">
        <f>VLOOKUP(Sales[[#This Row],[Product ID]],Product[#All],2,0)</f>
        <v>TP-link Router</v>
      </c>
      <c r="G1950" s="53">
        <v>8</v>
      </c>
      <c r="H1950" s="165">
        <f>VLOOKUP(Sales[[#This Row],[Product ID]],Product[#All],7,0)</f>
        <v>6750</v>
      </c>
      <c r="I1950" s="165">
        <f>Sales[[#This Row],[Selling Rate]]*Sales[[#This Row],[Qty]]</f>
        <v>54000</v>
      </c>
      <c r="J1950" s="45">
        <v>0.02</v>
      </c>
      <c r="K1950" s="46">
        <f>Sales[[#This Row],[Gross Amount]]*Sales[[#This Row],[Disc %]]</f>
        <v>1080</v>
      </c>
      <c r="L1950" s="43">
        <v>0.18</v>
      </c>
      <c r="M1950" s="46">
        <f>(Sales[[#This Row],[Gross Amount]]-Sales[[#This Row],[Disc. Amt.]])*Sales[[#This Row],[GST %]]</f>
        <v>9525.6</v>
      </c>
      <c r="N1950" s="161">
        <f>Sales[[#This Row],[Gross Amount]]-Sales[[#This Row],[Disc. Amt.]]+Sales[[#This Row],[GST Amount]]</f>
        <v>62445.599999999999</v>
      </c>
      <c r="O1950" s="34" t="s">
        <v>3566</v>
      </c>
      <c r="P1950" s="34" t="s">
        <v>3562</v>
      </c>
      <c r="Q1950" s="165">
        <f>IF(Sales[[#This Row],[Status]]="Cancelled",0,Sales[[#This Row],[Qty]])</f>
        <v>8</v>
      </c>
      <c r="R1950" s="166">
        <f>IF(Sales[[#This Row],[Status]]="Cancelled",0,Sales[[#This Row],[Total Amount]])</f>
        <v>62445.599999999999</v>
      </c>
      <c r="S1950" s="162">
        <f>SUM(Sales[Net Amount])</f>
        <v>406839287.73200053</v>
      </c>
    </row>
    <row r="1951" spans="1:19" ht="18.75" x14ac:dyDescent="0.25">
      <c r="A1951" s="156" t="s">
        <v>5566</v>
      </c>
      <c r="B1951" s="157">
        <v>45877</v>
      </c>
      <c r="C1951" s="158" t="s">
        <v>876</v>
      </c>
      <c r="D1951" s="159" t="str">
        <f>VLOOKUP(Sales[[#This Row],[Customer ID]],Customer[#All],2,0)</f>
        <v>Sahil Verma</v>
      </c>
      <c r="E1951" s="158" t="s">
        <v>456</v>
      </c>
      <c r="F1951" s="158" t="str">
        <f>VLOOKUP(Sales[[#This Row],[Product ID]],Product[#All],2,0)</f>
        <v>Acer Laptop</v>
      </c>
      <c r="G1951" s="159">
        <v>5</v>
      </c>
      <c r="H1951" s="160">
        <f>VLOOKUP(Sales[[#This Row],[Product ID]],Product[#All],7,0)</f>
        <v>66790</v>
      </c>
      <c r="I1951" s="160">
        <f>Sales[[#This Row],[Selling Rate]]*Sales[[#This Row],[Qty]]</f>
        <v>333950</v>
      </c>
      <c r="J1951" s="43">
        <v>0.15</v>
      </c>
      <c r="K1951" s="44">
        <f>Sales[[#This Row],[Gross Amount]]*Sales[[#This Row],[Disc %]]</f>
        <v>50092.5</v>
      </c>
      <c r="L1951" s="43">
        <v>0.18</v>
      </c>
      <c r="M1951" s="44">
        <f>(Sales[[#This Row],[Gross Amount]]-Sales[[#This Row],[Disc. Amt.]])*Sales[[#This Row],[GST %]]</f>
        <v>51094.35</v>
      </c>
      <c r="N1951" s="161">
        <f>Sales[[#This Row],[Gross Amount]]-Sales[[#This Row],[Disc. Amt.]]+Sales[[#This Row],[GST Amount]]</f>
        <v>334951.84999999998</v>
      </c>
      <c r="O1951" s="158" t="s">
        <v>3561</v>
      </c>
      <c r="P1951" s="158" t="s">
        <v>3562</v>
      </c>
      <c r="Q1951" s="160">
        <f>IF(Sales[[#This Row],[Status]]="Cancelled",0,Sales[[#This Row],[Qty]])</f>
        <v>5</v>
      </c>
      <c r="R1951" s="161">
        <f>IF(Sales[[#This Row],[Status]]="Cancelled",0,Sales[[#This Row],[Total Amount]])</f>
        <v>334951.84999999998</v>
      </c>
      <c r="S1951" s="162">
        <f>SUM(Sales[Net Amount])</f>
        <v>406839287.73200053</v>
      </c>
    </row>
    <row r="1952" spans="1:19" ht="18.75" x14ac:dyDescent="0.25">
      <c r="A1952" s="163" t="s">
        <v>5567</v>
      </c>
      <c r="B1952" s="164">
        <v>45877</v>
      </c>
      <c r="C1952" s="34" t="s">
        <v>784</v>
      </c>
      <c r="D1952" s="53" t="str">
        <f>VLOOKUP(Sales[[#This Row],[Customer ID]],Customer[#All],2,0)</f>
        <v>Amit Kumar</v>
      </c>
      <c r="E1952" s="34" t="s">
        <v>289</v>
      </c>
      <c r="F1952" s="34" t="str">
        <f>VLOOKUP(Sales[[#This Row],[Product ID]],Product[#All],2,0)</f>
        <v>HP Mouse</v>
      </c>
      <c r="G1952" s="53">
        <v>3</v>
      </c>
      <c r="H1952" s="165">
        <f>VLOOKUP(Sales[[#This Row],[Product ID]],Product[#All],7,0)</f>
        <v>1200</v>
      </c>
      <c r="I1952" s="165">
        <f>Sales[[#This Row],[Selling Rate]]*Sales[[#This Row],[Qty]]</f>
        <v>3600</v>
      </c>
      <c r="J1952" s="45">
        <v>0.12</v>
      </c>
      <c r="K1952" s="46">
        <f>Sales[[#This Row],[Gross Amount]]*Sales[[#This Row],[Disc %]]</f>
        <v>432</v>
      </c>
      <c r="L1952" s="43">
        <v>0.18</v>
      </c>
      <c r="M1952" s="46">
        <f>(Sales[[#This Row],[Gross Amount]]-Sales[[#This Row],[Disc. Amt.]])*Sales[[#This Row],[GST %]]</f>
        <v>570.24</v>
      </c>
      <c r="N1952" s="161">
        <f>Sales[[#This Row],[Gross Amount]]-Sales[[#This Row],[Disc. Amt.]]+Sales[[#This Row],[GST Amount]]</f>
        <v>3738.24</v>
      </c>
      <c r="O1952" s="34" t="s">
        <v>8876</v>
      </c>
      <c r="P1952" s="34" t="s">
        <v>3562</v>
      </c>
      <c r="Q1952" s="165">
        <f>IF(Sales[[#This Row],[Status]]="Cancelled",0,Sales[[#This Row],[Qty]])</f>
        <v>3</v>
      </c>
      <c r="R1952" s="166">
        <f>IF(Sales[[#This Row],[Status]]="Cancelled",0,Sales[[#This Row],[Total Amount]])</f>
        <v>3738.24</v>
      </c>
      <c r="S1952" s="162">
        <f>SUM(Sales[Net Amount])</f>
        <v>406839287.73200053</v>
      </c>
    </row>
    <row r="1953" spans="1:19" ht="18.75" x14ac:dyDescent="0.25">
      <c r="A1953" s="156" t="s">
        <v>5568</v>
      </c>
      <c r="B1953" s="157">
        <v>45877</v>
      </c>
      <c r="C1953" s="158" t="s">
        <v>829</v>
      </c>
      <c r="D1953" s="159" t="str">
        <f>VLOOKUP(Sales[[#This Row],[Customer ID]],Customer[#All],2,0)</f>
        <v>Pooja Patel</v>
      </c>
      <c r="E1953" s="158" t="s">
        <v>231</v>
      </c>
      <c r="F1953" s="158" t="str">
        <f>VLOOKUP(Sales[[#This Row],[Product ID]],Product[#All],2,0)</f>
        <v>TP-link Wi-Fi Adapter</v>
      </c>
      <c r="G1953" s="159">
        <v>3</v>
      </c>
      <c r="H1953" s="160">
        <f>VLOOKUP(Sales[[#This Row],[Product ID]],Product[#All],7,0)</f>
        <v>2200</v>
      </c>
      <c r="I1953" s="160">
        <f>Sales[[#This Row],[Selling Rate]]*Sales[[#This Row],[Qty]]</f>
        <v>6600</v>
      </c>
      <c r="J1953" s="43">
        <v>0.02</v>
      </c>
      <c r="K1953" s="44">
        <f>Sales[[#This Row],[Gross Amount]]*Sales[[#This Row],[Disc %]]</f>
        <v>132</v>
      </c>
      <c r="L1953" s="43">
        <v>0.18</v>
      </c>
      <c r="M1953" s="44">
        <f>(Sales[[#This Row],[Gross Amount]]-Sales[[#This Row],[Disc. Amt.]])*Sales[[#This Row],[GST %]]</f>
        <v>1164.24</v>
      </c>
      <c r="N1953" s="161">
        <f>Sales[[#This Row],[Gross Amount]]-Sales[[#This Row],[Disc. Amt.]]+Sales[[#This Row],[GST Amount]]</f>
        <v>7632.24</v>
      </c>
      <c r="O1953" s="158" t="s">
        <v>3561</v>
      </c>
      <c r="P1953" s="158" t="s">
        <v>3562</v>
      </c>
      <c r="Q1953" s="160">
        <f>IF(Sales[[#This Row],[Status]]="Cancelled",0,Sales[[#This Row],[Qty]])</f>
        <v>3</v>
      </c>
      <c r="R1953" s="161">
        <f>IF(Sales[[#This Row],[Status]]="Cancelled",0,Sales[[#This Row],[Total Amount]])</f>
        <v>7632.24</v>
      </c>
      <c r="S1953" s="162">
        <f>SUM(Sales[Net Amount])</f>
        <v>406839287.73200053</v>
      </c>
    </row>
    <row r="1954" spans="1:19" ht="18.75" x14ac:dyDescent="0.25">
      <c r="A1954" s="163" t="s">
        <v>5569</v>
      </c>
      <c r="B1954" s="164">
        <v>45877</v>
      </c>
      <c r="C1954" s="34" t="s">
        <v>841</v>
      </c>
      <c r="D1954" s="53" t="str">
        <f>VLOOKUP(Sales[[#This Row],[Customer ID]],Customer[#All],2,0)</f>
        <v>Pooja Verma</v>
      </c>
      <c r="E1954" s="34" t="s">
        <v>426</v>
      </c>
      <c r="F1954" s="34" t="str">
        <f>VLOOKUP(Sales[[#This Row],[Product ID]],Product[#All],2,0)</f>
        <v>Jbl Speaker</v>
      </c>
      <c r="G1954" s="53">
        <v>3</v>
      </c>
      <c r="H1954" s="165">
        <f>VLOOKUP(Sales[[#This Row],[Product ID]],Product[#All],7,0)</f>
        <v>5260</v>
      </c>
      <c r="I1954" s="165">
        <f>Sales[[#This Row],[Selling Rate]]*Sales[[#This Row],[Qty]]</f>
        <v>15780</v>
      </c>
      <c r="J1954" s="45">
        <v>0</v>
      </c>
      <c r="K1954" s="46">
        <f>Sales[[#This Row],[Gross Amount]]*Sales[[#This Row],[Disc %]]</f>
        <v>0</v>
      </c>
      <c r="L1954" s="43">
        <v>0.18</v>
      </c>
      <c r="M1954" s="46">
        <f>(Sales[[#This Row],[Gross Amount]]-Sales[[#This Row],[Disc. Amt.]])*Sales[[#This Row],[GST %]]</f>
        <v>2840.4</v>
      </c>
      <c r="N1954" s="161">
        <f>Sales[[#This Row],[Gross Amount]]-Sales[[#This Row],[Disc. Amt.]]+Sales[[#This Row],[GST Amount]]</f>
        <v>18620.400000000001</v>
      </c>
      <c r="O1954" s="34" t="s">
        <v>8876</v>
      </c>
      <c r="P1954" s="34" t="s">
        <v>3562</v>
      </c>
      <c r="Q1954" s="165">
        <f>IF(Sales[[#This Row],[Status]]="Cancelled",0,Sales[[#This Row],[Qty]])</f>
        <v>3</v>
      </c>
      <c r="R1954" s="166">
        <f>IF(Sales[[#This Row],[Status]]="Cancelled",0,Sales[[#This Row],[Total Amount]])</f>
        <v>18620.400000000001</v>
      </c>
      <c r="S1954" s="162">
        <f>SUM(Sales[Net Amount])</f>
        <v>406839287.73200053</v>
      </c>
    </row>
    <row r="1955" spans="1:19" ht="18.75" x14ac:dyDescent="0.25">
      <c r="A1955" s="156" t="s">
        <v>5570</v>
      </c>
      <c r="B1955" s="157">
        <v>45877</v>
      </c>
      <c r="C1955" s="158" t="s">
        <v>669</v>
      </c>
      <c r="D1955" s="159" t="str">
        <f>VLOOKUP(Sales[[#This Row],[Customer ID]],Customer[#All],2,0)</f>
        <v>Sahil Kumar</v>
      </c>
      <c r="E1955" s="158" t="s">
        <v>411</v>
      </c>
      <c r="F1955" s="158" t="str">
        <f>VLOOKUP(Sales[[#This Row],[Product ID]],Product[#All],2,0)</f>
        <v>Logitech Webcam</v>
      </c>
      <c r="G1955" s="159">
        <v>4</v>
      </c>
      <c r="H1955" s="160">
        <f>VLOOKUP(Sales[[#This Row],[Product ID]],Product[#All],7,0)</f>
        <v>2350</v>
      </c>
      <c r="I1955" s="160">
        <f>Sales[[#This Row],[Selling Rate]]*Sales[[#This Row],[Qty]]</f>
        <v>9400</v>
      </c>
      <c r="J1955" s="43">
        <v>0</v>
      </c>
      <c r="K1955" s="44">
        <f>Sales[[#This Row],[Gross Amount]]*Sales[[#This Row],[Disc %]]</f>
        <v>0</v>
      </c>
      <c r="L1955" s="43">
        <v>0.18</v>
      </c>
      <c r="M1955" s="44">
        <f>(Sales[[#This Row],[Gross Amount]]-Sales[[#This Row],[Disc. Amt.]])*Sales[[#This Row],[GST %]]</f>
        <v>1692</v>
      </c>
      <c r="N1955" s="161">
        <f>Sales[[#This Row],[Gross Amount]]-Sales[[#This Row],[Disc. Amt.]]+Sales[[#This Row],[GST Amount]]</f>
        <v>11092</v>
      </c>
      <c r="O1955" s="158" t="s">
        <v>3569</v>
      </c>
      <c r="P1955" s="158" t="s">
        <v>3562</v>
      </c>
      <c r="Q1955" s="160">
        <f>IF(Sales[[#This Row],[Status]]="Cancelled",0,Sales[[#This Row],[Qty]])</f>
        <v>4</v>
      </c>
      <c r="R1955" s="161">
        <f>IF(Sales[[#This Row],[Status]]="Cancelled",0,Sales[[#This Row],[Total Amount]])</f>
        <v>11092</v>
      </c>
      <c r="S1955" s="162">
        <f>SUM(Sales[Net Amount])</f>
        <v>406839287.73200053</v>
      </c>
    </row>
    <row r="1956" spans="1:19" ht="18.75" x14ac:dyDescent="0.25">
      <c r="A1956" s="163" t="s">
        <v>5571</v>
      </c>
      <c r="B1956" s="164">
        <v>45877</v>
      </c>
      <c r="C1956" s="34" t="s">
        <v>791</v>
      </c>
      <c r="D1956" s="53" t="str">
        <f>VLOOKUP(Sales[[#This Row],[Customer ID]],Customer[#All],2,0)</f>
        <v>Rakesh Sharma</v>
      </c>
      <c r="E1956" s="34" t="s">
        <v>509</v>
      </c>
      <c r="F1956" s="34" t="str">
        <f>VLOOKUP(Sales[[#This Row],[Product ID]],Product[#All],2,0)</f>
        <v>D-Link Router</v>
      </c>
      <c r="G1956" s="53">
        <v>8</v>
      </c>
      <c r="H1956" s="165">
        <f>VLOOKUP(Sales[[#This Row],[Product ID]],Product[#All],7,0)</f>
        <v>3460</v>
      </c>
      <c r="I1956" s="165">
        <f>Sales[[#This Row],[Selling Rate]]*Sales[[#This Row],[Qty]]</f>
        <v>27680</v>
      </c>
      <c r="J1956" s="45">
        <v>0</v>
      </c>
      <c r="K1956" s="46">
        <f>Sales[[#This Row],[Gross Amount]]*Sales[[#This Row],[Disc %]]</f>
        <v>0</v>
      </c>
      <c r="L1956" s="43">
        <v>0.18</v>
      </c>
      <c r="M1956" s="46">
        <f>(Sales[[#This Row],[Gross Amount]]-Sales[[#This Row],[Disc. Amt.]])*Sales[[#This Row],[GST %]]</f>
        <v>4982.3999999999996</v>
      </c>
      <c r="N1956" s="161">
        <f>Sales[[#This Row],[Gross Amount]]-Sales[[#This Row],[Disc. Amt.]]+Sales[[#This Row],[GST Amount]]</f>
        <v>32662.400000000001</v>
      </c>
      <c r="O1956" s="34" t="s">
        <v>8876</v>
      </c>
      <c r="P1956" s="34" t="s">
        <v>3562</v>
      </c>
      <c r="Q1956" s="165">
        <f>IF(Sales[[#This Row],[Status]]="Cancelled",0,Sales[[#This Row],[Qty]])</f>
        <v>8</v>
      </c>
      <c r="R1956" s="166">
        <f>IF(Sales[[#This Row],[Status]]="Cancelled",0,Sales[[#This Row],[Total Amount]])</f>
        <v>32662.400000000001</v>
      </c>
      <c r="S1956" s="162">
        <f>SUM(Sales[Net Amount])</f>
        <v>406839287.73200053</v>
      </c>
    </row>
    <row r="1957" spans="1:19" ht="18.75" x14ac:dyDescent="0.25">
      <c r="A1957" s="156" t="s">
        <v>5572</v>
      </c>
      <c r="B1957" s="157">
        <v>45878</v>
      </c>
      <c r="C1957" s="158" t="s">
        <v>834</v>
      </c>
      <c r="D1957" s="159" t="str">
        <f>VLOOKUP(Sales[[#This Row],[Customer ID]],Customer[#All],2,0)</f>
        <v>Rahul Verma</v>
      </c>
      <c r="E1957" s="158" t="s">
        <v>260</v>
      </c>
      <c r="F1957" s="158" t="str">
        <f>VLOOKUP(Sales[[#This Row],[Product ID]],Product[#All],2,0)</f>
        <v>Corsair Ram</v>
      </c>
      <c r="G1957" s="159">
        <v>8</v>
      </c>
      <c r="H1957" s="160">
        <f>VLOOKUP(Sales[[#This Row],[Product ID]],Product[#All],7,0)</f>
        <v>6010</v>
      </c>
      <c r="I1957" s="160">
        <f>Sales[[#This Row],[Selling Rate]]*Sales[[#This Row],[Qty]]</f>
        <v>48080</v>
      </c>
      <c r="J1957" s="43">
        <v>0.1</v>
      </c>
      <c r="K1957" s="44">
        <f>Sales[[#This Row],[Gross Amount]]*Sales[[#This Row],[Disc %]]</f>
        <v>4808</v>
      </c>
      <c r="L1957" s="43">
        <v>0.18</v>
      </c>
      <c r="M1957" s="44">
        <f>(Sales[[#This Row],[Gross Amount]]-Sales[[#This Row],[Disc. Amt.]])*Sales[[#This Row],[GST %]]</f>
        <v>7788.96</v>
      </c>
      <c r="N1957" s="161">
        <f>Sales[[#This Row],[Gross Amount]]-Sales[[#This Row],[Disc. Amt.]]+Sales[[#This Row],[GST Amount]]</f>
        <v>51060.959999999999</v>
      </c>
      <c r="O1957" s="158" t="s">
        <v>3566</v>
      </c>
      <c r="P1957" s="158" t="s">
        <v>3562</v>
      </c>
      <c r="Q1957" s="160">
        <f>IF(Sales[[#This Row],[Status]]="Cancelled",0,Sales[[#This Row],[Qty]])</f>
        <v>8</v>
      </c>
      <c r="R1957" s="161">
        <f>IF(Sales[[#This Row],[Status]]="Cancelled",0,Sales[[#This Row],[Total Amount]])</f>
        <v>51060.959999999999</v>
      </c>
      <c r="S1957" s="162">
        <f>SUM(Sales[Net Amount])</f>
        <v>406839287.73200053</v>
      </c>
    </row>
    <row r="1958" spans="1:19" ht="18.75" x14ac:dyDescent="0.25">
      <c r="A1958" s="163" t="s">
        <v>5573</v>
      </c>
      <c r="B1958" s="164">
        <v>45878</v>
      </c>
      <c r="C1958" s="34" t="s">
        <v>776</v>
      </c>
      <c r="D1958" s="53" t="str">
        <f>VLOOKUP(Sales[[#This Row],[Customer ID]],Customer[#All],2,0)</f>
        <v>Sunita Singh</v>
      </c>
      <c r="E1958" s="34" t="s">
        <v>151</v>
      </c>
      <c r="F1958" s="34" t="str">
        <f>VLOOKUP(Sales[[#This Row],[Product ID]],Product[#All],2,0)</f>
        <v>Jbl Speaker</v>
      </c>
      <c r="G1958" s="53">
        <v>2</v>
      </c>
      <c r="H1958" s="165">
        <f>VLOOKUP(Sales[[#This Row],[Product ID]],Product[#All],7,0)</f>
        <v>7010</v>
      </c>
      <c r="I1958" s="165">
        <f>Sales[[#This Row],[Selling Rate]]*Sales[[#This Row],[Qty]]</f>
        <v>14020</v>
      </c>
      <c r="J1958" s="45">
        <v>0.1</v>
      </c>
      <c r="K1958" s="46">
        <f>Sales[[#This Row],[Gross Amount]]*Sales[[#This Row],[Disc %]]</f>
        <v>1402</v>
      </c>
      <c r="L1958" s="43">
        <v>0.18</v>
      </c>
      <c r="M1958" s="46">
        <f>(Sales[[#This Row],[Gross Amount]]-Sales[[#This Row],[Disc. Amt.]])*Sales[[#This Row],[GST %]]</f>
        <v>2271.2399999999998</v>
      </c>
      <c r="N1958" s="161">
        <f>Sales[[#This Row],[Gross Amount]]-Sales[[#This Row],[Disc. Amt.]]+Sales[[#This Row],[GST Amount]]</f>
        <v>14889.24</v>
      </c>
      <c r="O1958" s="34" t="s">
        <v>8876</v>
      </c>
      <c r="P1958" s="34" t="s">
        <v>3562</v>
      </c>
      <c r="Q1958" s="165">
        <f>IF(Sales[[#This Row],[Status]]="Cancelled",0,Sales[[#This Row],[Qty]])</f>
        <v>2</v>
      </c>
      <c r="R1958" s="166">
        <f>IF(Sales[[#This Row],[Status]]="Cancelled",0,Sales[[#This Row],[Total Amount]])</f>
        <v>14889.24</v>
      </c>
      <c r="S1958" s="162">
        <f>SUM(Sales[Net Amount])</f>
        <v>406839287.73200053</v>
      </c>
    </row>
    <row r="1959" spans="1:19" ht="18.75" x14ac:dyDescent="0.25">
      <c r="A1959" s="156" t="s">
        <v>5574</v>
      </c>
      <c r="B1959" s="157">
        <v>45878</v>
      </c>
      <c r="C1959" s="158" t="s">
        <v>916</v>
      </c>
      <c r="D1959" s="159" t="str">
        <f>VLOOKUP(Sales[[#This Row],[Customer ID]],Customer[#All],2,0)</f>
        <v>Ankit Singh</v>
      </c>
      <c r="E1959" s="158" t="s">
        <v>225</v>
      </c>
      <c r="F1959" s="158" t="str">
        <f>VLOOKUP(Sales[[#This Row],[Product ID]],Product[#All],2,0)</f>
        <v>Sandisk Pen Drive</v>
      </c>
      <c r="G1959" s="159">
        <v>8</v>
      </c>
      <c r="H1959" s="160">
        <f>VLOOKUP(Sales[[#This Row],[Product ID]],Product[#All],7,0)</f>
        <v>3430</v>
      </c>
      <c r="I1959" s="160">
        <f>Sales[[#This Row],[Selling Rate]]*Sales[[#This Row],[Qty]]</f>
        <v>27440</v>
      </c>
      <c r="J1959" s="43">
        <v>0.15</v>
      </c>
      <c r="K1959" s="44">
        <f>Sales[[#This Row],[Gross Amount]]*Sales[[#This Row],[Disc %]]</f>
        <v>4116</v>
      </c>
      <c r="L1959" s="43">
        <v>0.18</v>
      </c>
      <c r="M1959" s="44">
        <f>(Sales[[#This Row],[Gross Amount]]-Sales[[#This Row],[Disc. Amt.]])*Sales[[#This Row],[GST %]]</f>
        <v>4198.32</v>
      </c>
      <c r="N1959" s="161">
        <f>Sales[[#This Row],[Gross Amount]]-Sales[[#This Row],[Disc. Amt.]]+Sales[[#This Row],[GST Amount]]</f>
        <v>27522.32</v>
      </c>
      <c r="O1959" s="158" t="s">
        <v>3561</v>
      </c>
      <c r="P1959" s="158" t="s">
        <v>3562</v>
      </c>
      <c r="Q1959" s="160">
        <f>IF(Sales[[#This Row],[Status]]="Cancelled",0,Sales[[#This Row],[Qty]])</f>
        <v>8</v>
      </c>
      <c r="R1959" s="161">
        <f>IF(Sales[[#This Row],[Status]]="Cancelled",0,Sales[[#This Row],[Total Amount]])</f>
        <v>27522.32</v>
      </c>
      <c r="S1959" s="162">
        <f>SUM(Sales[Net Amount])</f>
        <v>406839287.73200053</v>
      </c>
    </row>
    <row r="1960" spans="1:19" ht="18.75" x14ac:dyDescent="0.25">
      <c r="A1960" s="163" t="s">
        <v>5575</v>
      </c>
      <c r="B1960" s="164">
        <v>45878</v>
      </c>
      <c r="C1960" s="34" t="s">
        <v>812</v>
      </c>
      <c r="D1960" s="53" t="str">
        <f>VLOOKUP(Sales[[#This Row],[Customer ID]],Customer[#All],2,0)</f>
        <v>Neha Gupta</v>
      </c>
      <c r="E1960" s="34" t="s">
        <v>77</v>
      </c>
      <c r="F1960" s="34" t="str">
        <f>VLOOKUP(Sales[[#This Row],[Product ID]],Product[#All],2,0)</f>
        <v>HP Power Adapter</v>
      </c>
      <c r="G1960" s="53">
        <v>5</v>
      </c>
      <c r="H1960" s="165">
        <f>VLOOKUP(Sales[[#This Row],[Product ID]],Product[#All],7,0)</f>
        <v>2770</v>
      </c>
      <c r="I1960" s="165">
        <f>Sales[[#This Row],[Selling Rate]]*Sales[[#This Row],[Qty]]</f>
        <v>13850</v>
      </c>
      <c r="J1960" s="45">
        <v>0.05</v>
      </c>
      <c r="K1960" s="46">
        <f>Sales[[#This Row],[Gross Amount]]*Sales[[#This Row],[Disc %]]</f>
        <v>692.5</v>
      </c>
      <c r="L1960" s="43">
        <v>0.18</v>
      </c>
      <c r="M1960" s="46">
        <f>(Sales[[#This Row],[Gross Amount]]-Sales[[#This Row],[Disc. Amt.]])*Sales[[#This Row],[GST %]]</f>
        <v>2368.35</v>
      </c>
      <c r="N1960" s="161">
        <f>Sales[[#This Row],[Gross Amount]]-Sales[[#This Row],[Disc. Amt.]]+Sales[[#This Row],[GST Amount]]</f>
        <v>15525.85</v>
      </c>
      <c r="O1960" s="34" t="s">
        <v>3566</v>
      </c>
      <c r="P1960" s="34" t="s">
        <v>3562</v>
      </c>
      <c r="Q1960" s="165">
        <f>IF(Sales[[#This Row],[Status]]="Cancelled",0,Sales[[#This Row],[Qty]])</f>
        <v>5</v>
      </c>
      <c r="R1960" s="166">
        <f>IF(Sales[[#This Row],[Status]]="Cancelled",0,Sales[[#This Row],[Total Amount]])</f>
        <v>15525.85</v>
      </c>
      <c r="S1960" s="162">
        <f>SUM(Sales[Net Amount])</f>
        <v>406839287.73200053</v>
      </c>
    </row>
    <row r="1961" spans="1:19" ht="18.75" x14ac:dyDescent="0.25">
      <c r="A1961" s="156" t="s">
        <v>5576</v>
      </c>
      <c r="B1961" s="157">
        <v>45878</v>
      </c>
      <c r="C1961" s="158" t="s">
        <v>789</v>
      </c>
      <c r="D1961" s="159" t="str">
        <f>VLOOKUP(Sales[[#This Row],[Customer ID]],Customer[#All],2,0)</f>
        <v>Ankit Patel</v>
      </c>
      <c r="E1961" s="158" t="s">
        <v>390</v>
      </c>
      <c r="F1961" s="158" t="str">
        <f>VLOOKUP(Sales[[#This Row],[Product ID]],Product[#All],2,0)</f>
        <v>TP-link Router</v>
      </c>
      <c r="G1961" s="159">
        <v>5</v>
      </c>
      <c r="H1961" s="160">
        <f>VLOOKUP(Sales[[#This Row],[Product ID]],Product[#All],7,0)</f>
        <v>4620</v>
      </c>
      <c r="I1961" s="160">
        <f>Sales[[#This Row],[Selling Rate]]*Sales[[#This Row],[Qty]]</f>
        <v>23100</v>
      </c>
      <c r="J1961" s="43">
        <v>0.12</v>
      </c>
      <c r="K1961" s="44">
        <f>Sales[[#This Row],[Gross Amount]]*Sales[[#This Row],[Disc %]]</f>
        <v>2772</v>
      </c>
      <c r="L1961" s="43">
        <v>0.18</v>
      </c>
      <c r="M1961" s="44">
        <f>(Sales[[#This Row],[Gross Amount]]-Sales[[#This Row],[Disc. Amt.]])*Sales[[#This Row],[GST %]]</f>
        <v>3659.04</v>
      </c>
      <c r="N1961" s="161">
        <f>Sales[[#This Row],[Gross Amount]]-Sales[[#This Row],[Disc. Amt.]]+Sales[[#This Row],[GST Amount]]</f>
        <v>23987.040000000001</v>
      </c>
      <c r="O1961" s="158" t="s">
        <v>3569</v>
      </c>
      <c r="P1961" s="158" t="s">
        <v>3562</v>
      </c>
      <c r="Q1961" s="160">
        <f>IF(Sales[[#This Row],[Status]]="Cancelled",0,Sales[[#This Row],[Qty]])</f>
        <v>5</v>
      </c>
      <c r="R1961" s="161">
        <f>IF(Sales[[#This Row],[Status]]="Cancelled",0,Sales[[#This Row],[Total Amount]])</f>
        <v>23987.040000000001</v>
      </c>
      <c r="S1961" s="162">
        <f>SUM(Sales[Net Amount])</f>
        <v>406839287.73200053</v>
      </c>
    </row>
    <row r="1962" spans="1:19" ht="18.75" x14ac:dyDescent="0.25">
      <c r="A1962" s="163" t="s">
        <v>5577</v>
      </c>
      <c r="B1962" s="164">
        <v>45878</v>
      </c>
      <c r="C1962" s="34" t="s">
        <v>5578</v>
      </c>
      <c r="D1962" s="53" t="str">
        <f>VLOOKUP(Sales[[#This Row],[Customer ID]],Customer[#All],2,0)</f>
        <v>Sunita Verma</v>
      </c>
      <c r="E1962" s="34" t="s">
        <v>413</v>
      </c>
      <c r="F1962" s="34" t="str">
        <f>VLOOKUP(Sales[[#This Row],[Product ID]],Product[#All],2,0)</f>
        <v>Crucial Ssd</v>
      </c>
      <c r="G1962" s="53">
        <v>5</v>
      </c>
      <c r="H1962" s="165">
        <f>VLOOKUP(Sales[[#This Row],[Product ID]],Product[#All],7,0)</f>
        <v>10780</v>
      </c>
      <c r="I1962" s="165">
        <f>Sales[[#This Row],[Selling Rate]]*Sales[[#This Row],[Qty]]</f>
        <v>53900</v>
      </c>
      <c r="J1962" s="45">
        <v>0.05</v>
      </c>
      <c r="K1962" s="46">
        <f>Sales[[#This Row],[Gross Amount]]*Sales[[#This Row],[Disc %]]</f>
        <v>2695</v>
      </c>
      <c r="L1962" s="43">
        <v>0.18</v>
      </c>
      <c r="M1962" s="46">
        <f>(Sales[[#This Row],[Gross Amount]]-Sales[[#This Row],[Disc. Amt.]])*Sales[[#This Row],[GST %]]</f>
        <v>9216.9</v>
      </c>
      <c r="N1962" s="161">
        <f>Sales[[#This Row],[Gross Amount]]-Sales[[#This Row],[Disc. Amt.]]+Sales[[#This Row],[GST Amount]]</f>
        <v>60421.9</v>
      </c>
      <c r="O1962" s="34" t="s">
        <v>8876</v>
      </c>
      <c r="P1962" s="34" t="s">
        <v>3562</v>
      </c>
      <c r="Q1962" s="165">
        <f>IF(Sales[[#This Row],[Status]]="Cancelled",0,Sales[[#This Row],[Qty]])</f>
        <v>5</v>
      </c>
      <c r="R1962" s="166">
        <f>IF(Sales[[#This Row],[Status]]="Cancelled",0,Sales[[#This Row],[Total Amount]])</f>
        <v>60421.9</v>
      </c>
      <c r="S1962" s="162">
        <f>SUM(Sales[Net Amount])</f>
        <v>406839287.73200053</v>
      </c>
    </row>
    <row r="1963" spans="1:19" ht="18.75" x14ac:dyDescent="0.25">
      <c r="A1963" s="156" t="s">
        <v>5579</v>
      </c>
      <c r="B1963" s="157">
        <v>45878</v>
      </c>
      <c r="C1963" s="158" t="s">
        <v>859</v>
      </c>
      <c r="D1963" s="159" t="str">
        <f>VLOOKUP(Sales[[#This Row],[Customer ID]],Customer[#All],2,0)</f>
        <v>Rakesh Kumar</v>
      </c>
      <c r="E1963" s="158" t="s">
        <v>487</v>
      </c>
      <c r="F1963" s="158" t="str">
        <f>VLOOKUP(Sales[[#This Row],[Product ID]],Product[#All],2,0)</f>
        <v>TP-link Bluetooth Adapter</v>
      </c>
      <c r="G1963" s="159">
        <v>8</v>
      </c>
      <c r="H1963" s="160">
        <f>VLOOKUP(Sales[[#This Row],[Product ID]],Product[#All],7,0)</f>
        <v>660</v>
      </c>
      <c r="I1963" s="160">
        <f>Sales[[#This Row],[Selling Rate]]*Sales[[#This Row],[Qty]]</f>
        <v>5280</v>
      </c>
      <c r="J1963" s="43">
        <v>0</v>
      </c>
      <c r="K1963" s="44">
        <f>Sales[[#This Row],[Gross Amount]]*Sales[[#This Row],[Disc %]]</f>
        <v>0</v>
      </c>
      <c r="L1963" s="43">
        <v>0.18</v>
      </c>
      <c r="M1963" s="44">
        <f>(Sales[[#This Row],[Gross Amount]]-Sales[[#This Row],[Disc. Amt.]])*Sales[[#This Row],[GST %]]</f>
        <v>950.4</v>
      </c>
      <c r="N1963" s="161">
        <f>Sales[[#This Row],[Gross Amount]]-Sales[[#This Row],[Disc. Amt.]]+Sales[[#This Row],[GST Amount]]</f>
        <v>6230.4</v>
      </c>
      <c r="O1963" s="158" t="s">
        <v>3566</v>
      </c>
      <c r="P1963" s="158" t="s">
        <v>3562</v>
      </c>
      <c r="Q1963" s="160">
        <f>IF(Sales[[#This Row],[Status]]="Cancelled",0,Sales[[#This Row],[Qty]])</f>
        <v>8</v>
      </c>
      <c r="R1963" s="161">
        <f>IF(Sales[[#This Row],[Status]]="Cancelled",0,Sales[[#This Row],[Total Amount]])</f>
        <v>6230.4</v>
      </c>
      <c r="S1963" s="162">
        <f>SUM(Sales[Net Amount])</f>
        <v>406839287.73200053</v>
      </c>
    </row>
    <row r="1964" spans="1:19" ht="18.75" x14ac:dyDescent="0.25">
      <c r="A1964" s="163" t="s">
        <v>5580</v>
      </c>
      <c r="B1964" s="164">
        <v>45878</v>
      </c>
      <c r="C1964" s="34" t="s">
        <v>923</v>
      </c>
      <c r="D1964" s="53" t="str">
        <f>VLOOKUP(Sales[[#This Row],[Customer ID]],Customer[#All],2,0)</f>
        <v>Rahul Gupta</v>
      </c>
      <c r="E1964" s="34" t="s">
        <v>516</v>
      </c>
      <c r="F1964" s="34" t="str">
        <f>VLOOKUP(Sales[[#This Row],[Product ID]],Product[#All],2,0)</f>
        <v>Boat Headset</v>
      </c>
      <c r="G1964" s="53">
        <v>3</v>
      </c>
      <c r="H1964" s="165">
        <f>VLOOKUP(Sales[[#This Row],[Product ID]],Product[#All],7,0)</f>
        <v>2690</v>
      </c>
      <c r="I1964" s="165">
        <f>Sales[[#This Row],[Selling Rate]]*Sales[[#This Row],[Qty]]</f>
        <v>8070</v>
      </c>
      <c r="J1964" s="45">
        <v>0.02</v>
      </c>
      <c r="K1964" s="46">
        <f>Sales[[#This Row],[Gross Amount]]*Sales[[#This Row],[Disc %]]</f>
        <v>161.4</v>
      </c>
      <c r="L1964" s="43">
        <v>0.18</v>
      </c>
      <c r="M1964" s="46">
        <f>(Sales[[#This Row],[Gross Amount]]-Sales[[#This Row],[Disc. Amt.]])*Sales[[#This Row],[GST %]]</f>
        <v>1423.548</v>
      </c>
      <c r="N1964" s="161">
        <f>Sales[[#This Row],[Gross Amount]]-Sales[[#This Row],[Disc. Amt.]]+Sales[[#This Row],[GST Amount]]</f>
        <v>9332.148000000001</v>
      </c>
      <c r="O1964" s="34" t="s">
        <v>8876</v>
      </c>
      <c r="P1964" s="34" t="s">
        <v>3562</v>
      </c>
      <c r="Q1964" s="165">
        <f>IF(Sales[[#This Row],[Status]]="Cancelled",0,Sales[[#This Row],[Qty]])</f>
        <v>3</v>
      </c>
      <c r="R1964" s="166">
        <f>IF(Sales[[#This Row],[Status]]="Cancelled",0,Sales[[#This Row],[Total Amount]])</f>
        <v>9332.148000000001</v>
      </c>
      <c r="S1964" s="162">
        <f>SUM(Sales[Net Amount])</f>
        <v>406839287.73200053</v>
      </c>
    </row>
    <row r="1965" spans="1:19" ht="18.75" x14ac:dyDescent="0.25">
      <c r="A1965" s="156" t="s">
        <v>5581</v>
      </c>
      <c r="B1965" s="157">
        <v>45878</v>
      </c>
      <c r="C1965" s="158" t="s">
        <v>714</v>
      </c>
      <c r="D1965" s="159" t="str">
        <f>VLOOKUP(Sales[[#This Row],[Customer ID]],Customer[#All],2,0)</f>
        <v>Rakesh Kumar</v>
      </c>
      <c r="E1965" s="158" t="s">
        <v>202</v>
      </c>
      <c r="F1965" s="158" t="str">
        <f>VLOOKUP(Sales[[#This Row],[Product ID]],Product[#All],2,0)</f>
        <v>TP-link Wi-Fi Adapter</v>
      </c>
      <c r="G1965" s="159">
        <v>4</v>
      </c>
      <c r="H1965" s="160">
        <f>VLOOKUP(Sales[[#This Row],[Product ID]],Product[#All],7,0)</f>
        <v>1330</v>
      </c>
      <c r="I1965" s="160">
        <f>Sales[[#This Row],[Selling Rate]]*Sales[[#This Row],[Qty]]</f>
        <v>5320</v>
      </c>
      <c r="J1965" s="43">
        <v>0.05</v>
      </c>
      <c r="K1965" s="44">
        <f>Sales[[#This Row],[Gross Amount]]*Sales[[#This Row],[Disc %]]</f>
        <v>266</v>
      </c>
      <c r="L1965" s="43">
        <v>0.18</v>
      </c>
      <c r="M1965" s="44">
        <f>(Sales[[#This Row],[Gross Amount]]-Sales[[#This Row],[Disc. Amt.]])*Sales[[#This Row],[GST %]]</f>
        <v>909.71999999999991</v>
      </c>
      <c r="N1965" s="161">
        <f>Sales[[#This Row],[Gross Amount]]-Sales[[#This Row],[Disc. Amt.]]+Sales[[#This Row],[GST Amount]]</f>
        <v>5963.72</v>
      </c>
      <c r="O1965" s="158" t="s">
        <v>3566</v>
      </c>
      <c r="P1965" s="158" t="s">
        <v>3562</v>
      </c>
      <c r="Q1965" s="160">
        <f>IF(Sales[[#This Row],[Status]]="Cancelled",0,Sales[[#This Row],[Qty]])</f>
        <v>4</v>
      </c>
      <c r="R1965" s="161">
        <f>IF(Sales[[#This Row],[Status]]="Cancelled",0,Sales[[#This Row],[Total Amount]])</f>
        <v>5963.72</v>
      </c>
      <c r="S1965" s="162">
        <f>SUM(Sales[Net Amount])</f>
        <v>406839287.73200053</v>
      </c>
    </row>
    <row r="1966" spans="1:19" ht="18.75" x14ac:dyDescent="0.25">
      <c r="A1966" s="163" t="s">
        <v>5582</v>
      </c>
      <c r="B1966" s="164">
        <v>45878</v>
      </c>
      <c r="C1966" s="34" t="s">
        <v>763</v>
      </c>
      <c r="D1966" s="53" t="str">
        <f>VLOOKUP(Sales[[#This Row],[Customer ID]],Customer[#All],2,0)</f>
        <v>Pooja Verma</v>
      </c>
      <c r="E1966" s="34" t="s">
        <v>338</v>
      </c>
      <c r="F1966" s="34" t="str">
        <f>VLOOKUP(Sales[[#This Row],[Product ID]],Product[#All],2,0)</f>
        <v>Canon Printer</v>
      </c>
      <c r="G1966" s="53">
        <v>3</v>
      </c>
      <c r="H1966" s="165">
        <f>VLOOKUP(Sales[[#This Row],[Product ID]],Product[#All],7,0)</f>
        <v>13780</v>
      </c>
      <c r="I1966" s="165">
        <f>Sales[[#This Row],[Selling Rate]]*Sales[[#This Row],[Qty]]</f>
        <v>41340</v>
      </c>
      <c r="J1966" s="45">
        <v>0.02</v>
      </c>
      <c r="K1966" s="46">
        <f>Sales[[#This Row],[Gross Amount]]*Sales[[#This Row],[Disc %]]</f>
        <v>826.80000000000007</v>
      </c>
      <c r="L1966" s="43">
        <v>0.18</v>
      </c>
      <c r="M1966" s="46">
        <f>(Sales[[#This Row],[Gross Amount]]-Sales[[#This Row],[Disc. Amt.]])*Sales[[#This Row],[GST %]]</f>
        <v>7292.3759999999993</v>
      </c>
      <c r="N1966" s="161">
        <f>Sales[[#This Row],[Gross Amount]]-Sales[[#This Row],[Disc. Amt.]]+Sales[[#This Row],[GST Amount]]</f>
        <v>47805.575999999994</v>
      </c>
      <c r="O1966" s="34" t="s">
        <v>3569</v>
      </c>
      <c r="P1966" s="34" t="s">
        <v>3562</v>
      </c>
      <c r="Q1966" s="165">
        <f>IF(Sales[[#This Row],[Status]]="Cancelled",0,Sales[[#This Row],[Qty]])</f>
        <v>3</v>
      </c>
      <c r="R1966" s="166">
        <f>IF(Sales[[#This Row],[Status]]="Cancelled",0,Sales[[#This Row],[Total Amount]])</f>
        <v>47805.575999999994</v>
      </c>
      <c r="S1966" s="162">
        <f>SUM(Sales[Net Amount])</f>
        <v>406839287.73200053</v>
      </c>
    </row>
    <row r="1967" spans="1:19" ht="18.75" x14ac:dyDescent="0.25">
      <c r="A1967" s="156" t="s">
        <v>5583</v>
      </c>
      <c r="B1967" s="157">
        <v>45878</v>
      </c>
      <c r="C1967" s="158" t="s">
        <v>733</v>
      </c>
      <c r="D1967" s="159" t="str">
        <f>VLOOKUP(Sales[[#This Row],[Customer ID]],Customer[#All],2,0)</f>
        <v>Vikas Kumar</v>
      </c>
      <c r="E1967" s="158" t="s">
        <v>494</v>
      </c>
      <c r="F1967" s="158" t="str">
        <f>VLOOKUP(Sales[[#This Row],[Product ID]],Product[#All],2,0)</f>
        <v>Logitech Mouse</v>
      </c>
      <c r="G1967" s="159">
        <v>7</v>
      </c>
      <c r="H1967" s="160">
        <f>VLOOKUP(Sales[[#This Row],[Product ID]],Product[#All],7,0)</f>
        <v>660</v>
      </c>
      <c r="I1967" s="160">
        <f>Sales[[#This Row],[Selling Rate]]*Sales[[#This Row],[Qty]]</f>
        <v>4620</v>
      </c>
      <c r="J1967" s="43">
        <v>0.15</v>
      </c>
      <c r="K1967" s="44">
        <f>Sales[[#This Row],[Gross Amount]]*Sales[[#This Row],[Disc %]]</f>
        <v>693</v>
      </c>
      <c r="L1967" s="43">
        <v>0.18</v>
      </c>
      <c r="M1967" s="44">
        <f>(Sales[[#This Row],[Gross Amount]]-Sales[[#This Row],[Disc. Amt.]])*Sales[[#This Row],[GST %]]</f>
        <v>706.86</v>
      </c>
      <c r="N1967" s="161">
        <f>Sales[[#This Row],[Gross Amount]]-Sales[[#This Row],[Disc. Amt.]]+Sales[[#This Row],[GST Amount]]</f>
        <v>4633.8599999999997</v>
      </c>
      <c r="O1967" s="158" t="s">
        <v>3561</v>
      </c>
      <c r="P1967" s="158" t="s">
        <v>3562</v>
      </c>
      <c r="Q1967" s="160">
        <f>IF(Sales[[#This Row],[Status]]="Cancelled",0,Sales[[#This Row],[Qty]])</f>
        <v>7</v>
      </c>
      <c r="R1967" s="161">
        <f>IF(Sales[[#This Row],[Status]]="Cancelled",0,Sales[[#This Row],[Total Amount]])</f>
        <v>4633.8599999999997</v>
      </c>
      <c r="S1967" s="162">
        <f>SUM(Sales[Net Amount])</f>
        <v>406839287.73200053</v>
      </c>
    </row>
    <row r="1968" spans="1:19" ht="18.75" x14ac:dyDescent="0.25">
      <c r="A1968" s="163" t="s">
        <v>5584</v>
      </c>
      <c r="B1968" s="164">
        <v>45878</v>
      </c>
      <c r="C1968" s="34" t="s">
        <v>804</v>
      </c>
      <c r="D1968" s="53" t="str">
        <f>VLOOKUP(Sales[[#This Row],[Customer ID]],Customer[#All],2,0)</f>
        <v>Amit Gupta</v>
      </c>
      <c r="E1968" s="34" t="s">
        <v>344</v>
      </c>
      <c r="F1968" s="34" t="str">
        <f>VLOOKUP(Sales[[#This Row],[Product ID]],Product[#All],2,0)</f>
        <v>WD HDD</v>
      </c>
      <c r="G1968" s="53">
        <v>7</v>
      </c>
      <c r="H1968" s="165">
        <f>VLOOKUP(Sales[[#This Row],[Product ID]],Product[#All],7,0)</f>
        <v>11260</v>
      </c>
      <c r="I1968" s="165">
        <f>Sales[[#This Row],[Selling Rate]]*Sales[[#This Row],[Qty]]</f>
        <v>78820</v>
      </c>
      <c r="J1968" s="45">
        <v>0.15</v>
      </c>
      <c r="K1968" s="46">
        <f>Sales[[#This Row],[Gross Amount]]*Sales[[#This Row],[Disc %]]</f>
        <v>11823</v>
      </c>
      <c r="L1968" s="43">
        <v>0.18</v>
      </c>
      <c r="M1968" s="46">
        <f>(Sales[[#This Row],[Gross Amount]]-Sales[[#This Row],[Disc. Amt.]])*Sales[[#This Row],[GST %]]</f>
        <v>12059.46</v>
      </c>
      <c r="N1968" s="161">
        <f>Sales[[#This Row],[Gross Amount]]-Sales[[#This Row],[Disc. Amt.]]+Sales[[#This Row],[GST Amount]]</f>
        <v>79056.459999999992</v>
      </c>
      <c r="O1968" s="34" t="s">
        <v>3569</v>
      </c>
      <c r="P1968" s="34" t="s">
        <v>3562</v>
      </c>
      <c r="Q1968" s="165">
        <f>IF(Sales[[#This Row],[Status]]="Cancelled",0,Sales[[#This Row],[Qty]])</f>
        <v>7</v>
      </c>
      <c r="R1968" s="166">
        <f>IF(Sales[[#This Row],[Status]]="Cancelled",0,Sales[[#This Row],[Total Amount]])</f>
        <v>79056.459999999992</v>
      </c>
      <c r="S1968" s="162">
        <f>SUM(Sales[Net Amount])</f>
        <v>406839287.73200053</v>
      </c>
    </row>
    <row r="1969" spans="1:19" ht="18.75" x14ac:dyDescent="0.25">
      <c r="A1969" s="156" t="s">
        <v>5585</v>
      </c>
      <c r="B1969" s="157">
        <v>45878</v>
      </c>
      <c r="C1969" s="158" t="s">
        <v>947</v>
      </c>
      <c r="D1969" s="159" t="str">
        <f>VLOOKUP(Sales[[#This Row],[Customer ID]],Customer[#All],2,0)</f>
        <v>Sunita Singh</v>
      </c>
      <c r="E1969" s="158" t="s">
        <v>363</v>
      </c>
      <c r="F1969" s="158" t="str">
        <f>VLOOKUP(Sales[[#This Row],[Product ID]],Product[#All],2,0)</f>
        <v>Dell Desktop</v>
      </c>
      <c r="G1969" s="159">
        <v>7</v>
      </c>
      <c r="H1969" s="160">
        <f>VLOOKUP(Sales[[#This Row],[Product ID]],Product[#All],7,0)</f>
        <v>37430</v>
      </c>
      <c r="I1969" s="160">
        <f>Sales[[#This Row],[Selling Rate]]*Sales[[#This Row],[Qty]]</f>
        <v>262010</v>
      </c>
      <c r="J1969" s="43">
        <v>0.15</v>
      </c>
      <c r="K1969" s="44">
        <f>Sales[[#This Row],[Gross Amount]]*Sales[[#This Row],[Disc %]]</f>
        <v>39301.5</v>
      </c>
      <c r="L1969" s="43">
        <v>0.18</v>
      </c>
      <c r="M1969" s="44">
        <f>(Sales[[#This Row],[Gross Amount]]-Sales[[#This Row],[Disc. Amt.]])*Sales[[#This Row],[GST %]]</f>
        <v>40087.53</v>
      </c>
      <c r="N1969" s="161">
        <f>Sales[[#This Row],[Gross Amount]]-Sales[[#This Row],[Disc. Amt.]]+Sales[[#This Row],[GST Amount]]</f>
        <v>262796.03000000003</v>
      </c>
      <c r="O1969" s="158" t="s">
        <v>3569</v>
      </c>
      <c r="P1969" s="158" t="s">
        <v>3562</v>
      </c>
      <c r="Q1969" s="160">
        <f>IF(Sales[[#This Row],[Status]]="Cancelled",0,Sales[[#This Row],[Qty]])</f>
        <v>7</v>
      </c>
      <c r="R1969" s="161">
        <f>IF(Sales[[#This Row],[Status]]="Cancelled",0,Sales[[#This Row],[Total Amount]])</f>
        <v>262796.03000000003</v>
      </c>
      <c r="S1969" s="162">
        <f>SUM(Sales[Net Amount])</f>
        <v>406839287.73200053</v>
      </c>
    </row>
    <row r="1970" spans="1:19" ht="18.75" x14ac:dyDescent="0.25">
      <c r="A1970" s="163" t="s">
        <v>5586</v>
      </c>
      <c r="B1970" s="164">
        <v>45878</v>
      </c>
      <c r="C1970" s="34" t="s">
        <v>877</v>
      </c>
      <c r="D1970" s="53" t="str">
        <f>VLOOKUP(Sales[[#This Row],[Customer ID]],Customer[#All],2,0)</f>
        <v>Sahil Patel</v>
      </c>
      <c r="E1970" s="34" t="s">
        <v>451</v>
      </c>
      <c r="F1970" s="34" t="str">
        <f>VLOOKUP(Sales[[#This Row],[Product ID]],Product[#All],2,0)</f>
        <v>HP Printer</v>
      </c>
      <c r="G1970" s="53">
        <v>8</v>
      </c>
      <c r="H1970" s="165">
        <f>VLOOKUP(Sales[[#This Row],[Product ID]],Product[#All],7,0)</f>
        <v>36160</v>
      </c>
      <c r="I1970" s="165">
        <f>Sales[[#This Row],[Selling Rate]]*Sales[[#This Row],[Qty]]</f>
        <v>289280</v>
      </c>
      <c r="J1970" s="45">
        <v>0</v>
      </c>
      <c r="K1970" s="46">
        <f>Sales[[#This Row],[Gross Amount]]*Sales[[#This Row],[Disc %]]</f>
        <v>0</v>
      </c>
      <c r="L1970" s="43">
        <v>0.18</v>
      </c>
      <c r="M1970" s="46">
        <f>(Sales[[#This Row],[Gross Amount]]-Sales[[#This Row],[Disc. Amt.]])*Sales[[#This Row],[GST %]]</f>
        <v>52070.400000000001</v>
      </c>
      <c r="N1970" s="161">
        <f>Sales[[#This Row],[Gross Amount]]-Sales[[#This Row],[Disc. Amt.]]+Sales[[#This Row],[GST Amount]]</f>
        <v>341350.40000000002</v>
      </c>
      <c r="O1970" s="34" t="s">
        <v>8876</v>
      </c>
      <c r="P1970" s="34" t="s">
        <v>3562</v>
      </c>
      <c r="Q1970" s="165">
        <f>IF(Sales[[#This Row],[Status]]="Cancelled",0,Sales[[#This Row],[Qty]])</f>
        <v>8</v>
      </c>
      <c r="R1970" s="166">
        <f>IF(Sales[[#This Row],[Status]]="Cancelled",0,Sales[[#This Row],[Total Amount]])</f>
        <v>341350.40000000002</v>
      </c>
      <c r="S1970" s="162">
        <f>SUM(Sales[Net Amount])</f>
        <v>406839287.73200053</v>
      </c>
    </row>
    <row r="1971" spans="1:19" ht="18.75" x14ac:dyDescent="0.25">
      <c r="A1971" s="156" t="s">
        <v>5587</v>
      </c>
      <c r="B1971" s="157">
        <v>45878</v>
      </c>
      <c r="C1971" s="158" t="s">
        <v>695</v>
      </c>
      <c r="D1971" s="159" t="str">
        <f>VLOOKUP(Sales[[#This Row],[Customer ID]],Customer[#All],2,0)</f>
        <v>Rahul Kumar</v>
      </c>
      <c r="E1971" s="158" t="s">
        <v>331</v>
      </c>
      <c r="F1971" s="158" t="str">
        <f>VLOOKUP(Sales[[#This Row],[Product ID]],Product[#All],2,0)</f>
        <v>Dell Keyboard</v>
      </c>
      <c r="G1971" s="159">
        <v>7</v>
      </c>
      <c r="H1971" s="160">
        <f>VLOOKUP(Sales[[#This Row],[Product ID]],Product[#All],7,0)</f>
        <v>2070</v>
      </c>
      <c r="I1971" s="160">
        <f>Sales[[#This Row],[Selling Rate]]*Sales[[#This Row],[Qty]]</f>
        <v>14490</v>
      </c>
      <c r="J1971" s="43">
        <v>0.02</v>
      </c>
      <c r="K1971" s="44">
        <f>Sales[[#This Row],[Gross Amount]]*Sales[[#This Row],[Disc %]]</f>
        <v>289.8</v>
      </c>
      <c r="L1971" s="43">
        <v>0.18</v>
      </c>
      <c r="M1971" s="44">
        <f>(Sales[[#This Row],[Gross Amount]]-Sales[[#This Row],[Disc. Amt.]])*Sales[[#This Row],[GST %]]</f>
        <v>2556.0360000000001</v>
      </c>
      <c r="N1971" s="161">
        <f>Sales[[#This Row],[Gross Amount]]-Sales[[#This Row],[Disc. Amt.]]+Sales[[#This Row],[GST Amount]]</f>
        <v>16756.236000000001</v>
      </c>
      <c r="O1971" s="158" t="s">
        <v>3561</v>
      </c>
      <c r="P1971" s="158" t="s">
        <v>3562</v>
      </c>
      <c r="Q1971" s="160">
        <f>IF(Sales[[#This Row],[Status]]="Cancelled",0,Sales[[#This Row],[Qty]])</f>
        <v>7</v>
      </c>
      <c r="R1971" s="161">
        <f>IF(Sales[[#This Row],[Status]]="Cancelled",0,Sales[[#This Row],[Total Amount]])</f>
        <v>16756.236000000001</v>
      </c>
      <c r="S1971" s="162">
        <f>SUM(Sales[Net Amount])</f>
        <v>406839287.73200053</v>
      </c>
    </row>
    <row r="1972" spans="1:19" ht="18.75" x14ac:dyDescent="0.25">
      <c r="A1972" s="163" t="s">
        <v>5588</v>
      </c>
      <c r="B1972" s="164">
        <v>45878</v>
      </c>
      <c r="C1972" s="34" t="s">
        <v>692</v>
      </c>
      <c r="D1972" s="53" t="str">
        <f>VLOOKUP(Sales[[#This Row],[Customer ID]],Customer[#All],2,0)</f>
        <v>Rahul Patel</v>
      </c>
      <c r="E1972" s="34" t="s">
        <v>75</v>
      </c>
      <c r="F1972" s="34" t="str">
        <f>VLOOKUP(Sales[[#This Row],[Product ID]],Product[#All],2,0)</f>
        <v>Samsung Monitor</v>
      </c>
      <c r="G1972" s="53">
        <v>4</v>
      </c>
      <c r="H1972" s="165">
        <f>VLOOKUP(Sales[[#This Row],[Product ID]],Product[#All],7,0)</f>
        <v>30810</v>
      </c>
      <c r="I1972" s="165">
        <f>Sales[[#This Row],[Selling Rate]]*Sales[[#This Row],[Qty]]</f>
        <v>123240</v>
      </c>
      <c r="J1972" s="45">
        <v>0.1</v>
      </c>
      <c r="K1972" s="46">
        <f>Sales[[#This Row],[Gross Amount]]*Sales[[#This Row],[Disc %]]</f>
        <v>12324</v>
      </c>
      <c r="L1972" s="43">
        <v>0.18</v>
      </c>
      <c r="M1972" s="46">
        <f>(Sales[[#This Row],[Gross Amount]]-Sales[[#This Row],[Disc. Amt.]])*Sales[[#This Row],[GST %]]</f>
        <v>19964.88</v>
      </c>
      <c r="N1972" s="161">
        <f>Sales[[#This Row],[Gross Amount]]-Sales[[#This Row],[Disc. Amt.]]+Sales[[#This Row],[GST Amount]]</f>
        <v>130880.88</v>
      </c>
      <c r="O1972" s="34" t="s">
        <v>3561</v>
      </c>
      <c r="P1972" s="34" t="s">
        <v>3562</v>
      </c>
      <c r="Q1972" s="165">
        <f>IF(Sales[[#This Row],[Status]]="Cancelled",0,Sales[[#This Row],[Qty]])</f>
        <v>4</v>
      </c>
      <c r="R1972" s="166">
        <f>IF(Sales[[#This Row],[Status]]="Cancelled",0,Sales[[#This Row],[Total Amount]])</f>
        <v>130880.88</v>
      </c>
      <c r="S1972" s="162">
        <f>SUM(Sales[Net Amount])</f>
        <v>406839287.73200053</v>
      </c>
    </row>
    <row r="1973" spans="1:19" ht="18.75" x14ac:dyDescent="0.25">
      <c r="A1973" s="156" t="s">
        <v>5589</v>
      </c>
      <c r="B1973" s="157">
        <v>45878</v>
      </c>
      <c r="C1973" s="158" t="s">
        <v>817</v>
      </c>
      <c r="D1973" s="159" t="str">
        <f>VLOOKUP(Sales[[#This Row],[Customer ID]],Customer[#All],2,0)</f>
        <v>Ankit Patel</v>
      </c>
      <c r="E1973" s="158" t="s">
        <v>62</v>
      </c>
      <c r="F1973" s="158" t="str">
        <f>VLOOKUP(Sales[[#This Row],[Product ID]],Product[#All],2,0)</f>
        <v>Apc UPS</v>
      </c>
      <c r="G1973" s="159">
        <v>1</v>
      </c>
      <c r="H1973" s="160">
        <f>VLOOKUP(Sales[[#This Row],[Product ID]],Product[#All],7,0)</f>
        <v>7270</v>
      </c>
      <c r="I1973" s="160">
        <f>Sales[[#This Row],[Selling Rate]]*Sales[[#This Row],[Qty]]</f>
        <v>7270</v>
      </c>
      <c r="J1973" s="43">
        <v>0.1</v>
      </c>
      <c r="K1973" s="44">
        <f>Sales[[#This Row],[Gross Amount]]*Sales[[#This Row],[Disc %]]</f>
        <v>727</v>
      </c>
      <c r="L1973" s="43">
        <v>0.18</v>
      </c>
      <c r="M1973" s="44">
        <f>(Sales[[#This Row],[Gross Amount]]-Sales[[#This Row],[Disc. Amt.]])*Sales[[#This Row],[GST %]]</f>
        <v>1177.74</v>
      </c>
      <c r="N1973" s="161">
        <f>Sales[[#This Row],[Gross Amount]]-Sales[[#This Row],[Disc. Amt.]]+Sales[[#This Row],[GST Amount]]</f>
        <v>7720.74</v>
      </c>
      <c r="O1973" s="158" t="s">
        <v>8876</v>
      </c>
      <c r="P1973" s="158" t="s">
        <v>3562</v>
      </c>
      <c r="Q1973" s="160">
        <f>IF(Sales[[#This Row],[Status]]="Cancelled",0,Sales[[#This Row],[Qty]])</f>
        <v>1</v>
      </c>
      <c r="R1973" s="161">
        <f>IF(Sales[[#This Row],[Status]]="Cancelled",0,Sales[[#This Row],[Total Amount]])</f>
        <v>7720.74</v>
      </c>
      <c r="S1973" s="162">
        <f>SUM(Sales[Net Amount])</f>
        <v>406839287.73200053</v>
      </c>
    </row>
    <row r="1974" spans="1:19" ht="18.75" x14ac:dyDescent="0.25">
      <c r="A1974" s="163" t="s">
        <v>5590</v>
      </c>
      <c r="B1974" s="164">
        <v>45878</v>
      </c>
      <c r="C1974" s="34" t="s">
        <v>785</v>
      </c>
      <c r="D1974" s="53" t="str">
        <f>VLOOKUP(Sales[[#This Row],[Customer ID]],Customer[#All],2,0)</f>
        <v>Ankit Gupta</v>
      </c>
      <c r="E1974" s="34" t="s">
        <v>347</v>
      </c>
      <c r="F1974" s="34" t="str">
        <f>VLOOKUP(Sales[[#This Row],[Product ID]],Product[#All],2,0)</f>
        <v>Logitech Mouse</v>
      </c>
      <c r="G1974" s="53">
        <v>2</v>
      </c>
      <c r="H1974" s="165">
        <f>VLOOKUP(Sales[[#This Row],[Product ID]],Product[#All],7,0)</f>
        <v>680</v>
      </c>
      <c r="I1974" s="165">
        <f>Sales[[#This Row],[Selling Rate]]*Sales[[#This Row],[Qty]]</f>
        <v>1360</v>
      </c>
      <c r="J1974" s="45">
        <v>0.05</v>
      </c>
      <c r="K1974" s="46">
        <f>Sales[[#This Row],[Gross Amount]]*Sales[[#This Row],[Disc %]]</f>
        <v>68</v>
      </c>
      <c r="L1974" s="43">
        <v>0.18</v>
      </c>
      <c r="M1974" s="46">
        <f>(Sales[[#This Row],[Gross Amount]]-Sales[[#This Row],[Disc. Amt.]])*Sales[[#This Row],[GST %]]</f>
        <v>232.56</v>
      </c>
      <c r="N1974" s="161">
        <f>Sales[[#This Row],[Gross Amount]]-Sales[[#This Row],[Disc. Amt.]]+Sales[[#This Row],[GST Amount]]</f>
        <v>1524.56</v>
      </c>
      <c r="O1974" s="34" t="s">
        <v>3561</v>
      </c>
      <c r="P1974" s="34" t="s">
        <v>3562</v>
      </c>
      <c r="Q1974" s="165">
        <f>IF(Sales[[#This Row],[Status]]="Cancelled",0,Sales[[#This Row],[Qty]])</f>
        <v>2</v>
      </c>
      <c r="R1974" s="166">
        <f>IF(Sales[[#This Row],[Status]]="Cancelled",0,Sales[[#This Row],[Total Amount]])</f>
        <v>1524.56</v>
      </c>
      <c r="S1974" s="162">
        <f>SUM(Sales[Net Amount])</f>
        <v>406839287.73200053</v>
      </c>
    </row>
    <row r="1975" spans="1:19" ht="18.75" x14ac:dyDescent="0.25">
      <c r="A1975" s="156" t="s">
        <v>5591</v>
      </c>
      <c r="B1975" s="157">
        <v>45878</v>
      </c>
      <c r="C1975" s="158" t="s">
        <v>750</v>
      </c>
      <c r="D1975" s="159" t="str">
        <f>VLOOKUP(Sales[[#This Row],[Customer ID]],Customer[#All],2,0)</f>
        <v>Rakesh Verma</v>
      </c>
      <c r="E1975" s="158" t="s">
        <v>58</v>
      </c>
      <c r="F1975" s="158" t="str">
        <f>VLOOKUP(Sales[[#This Row],[Product ID]],Product[#All],2,0)</f>
        <v>Lenovo Laptop</v>
      </c>
      <c r="G1975" s="159">
        <v>7</v>
      </c>
      <c r="H1975" s="160">
        <f>VLOOKUP(Sales[[#This Row],[Product ID]],Product[#All],7,0)</f>
        <v>50200</v>
      </c>
      <c r="I1975" s="160">
        <f>Sales[[#This Row],[Selling Rate]]*Sales[[#This Row],[Qty]]</f>
        <v>351400</v>
      </c>
      <c r="J1975" s="43">
        <v>0.05</v>
      </c>
      <c r="K1975" s="44">
        <f>Sales[[#This Row],[Gross Amount]]*Sales[[#This Row],[Disc %]]</f>
        <v>17570</v>
      </c>
      <c r="L1975" s="43">
        <v>0.18</v>
      </c>
      <c r="M1975" s="44">
        <f>(Sales[[#This Row],[Gross Amount]]-Sales[[#This Row],[Disc. Amt.]])*Sales[[#This Row],[GST %]]</f>
        <v>60089.399999999994</v>
      </c>
      <c r="N1975" s="161">
        <f>Sales[[#This Row],[Gross Amount]]-Sales[[#This Row],[Disc. Amt.]]+Sales[[#This Row],[GST Amount]]</f>
        <v>393919.4</v>
      </c>
      <c r="O1975" s="158" t="s">
        <v>8876</v>
      </c>
      <c r="P1975" s="158" t="s">
        <v>3562</v>
      </c>
      <c r="Q1975" s="160">
        <f>IF(Sales[[#This Row],[Status]]="Cancelled",0,Sales[[#This Row],[Qty]])</f>
        <v>7</v>
      </c>
      <c r="R1975" s="161">
        <f>IF(Sales[[#This Row],[Status]]="Cancelled",0,Sales[[#This Row],[Total Amount]])</f>
        <v>393919.4</v>
      </c>
      <c r="S1975" s="162">
        <f>SUM(Sales[Net Amount])</f>
        <v>406839287.73200053</v>
      </c>
    </row>
    <row r="1976" spans="1:19" ht="18.75" x14ac:dyDescent="0.25">
      <c r="A1976" s="163" t="s">
        <v>5592</v>
      </c>
      <c r="B1976" s="164">
        <v>45878</v>
      </c>
      <c r="C1976" s="34" t="s">
        <v>805</v>
      </c>
      <c r="D1976" s="53" t="str">
        <f>VLOOKUP(Sales[[#This Row],[Customer ID]],Customer[#All],2,0)</f>
        <v>Priya Kumar</v>
      </c>
      <c r="E1976" s="34" t="s">
        <v>78</v>
      </c>
      <c r="F1976" s="34" t="str">
        <f>VLOOKUP(Sales[[#This Row],[Product ID]],Product[#All],2,0)</f>
        <v>Lg Monitor</v>
      </c>
      <c r="G1976" s="53">
        <v>7</v>
      </c>
      <c r="H1976" s="165">
        <f>VLOOKUP(Sales[[#This Row],[Product ID]],Product[#All],7,0)</f>
        <v>16690</v>
      </c>
      <c r="I1976" s="165">
        <f>Sales[[#This Row],[Selling Rate]]*Sales[[#This Row],[Qty]]</f>
        <v>116830</v>
      </c>
      <c r="J1976" s="45">
        <v>0</v>
      </c>
      <c r="K1976" s="46">
        <f>Sales[[#This Row],[Gross Amount]]*Sales[[#This Row],[Disc %]]</f>
        <v>0</v>
      </c>
      <c r="L1976" s="43">
        <v>0.18</v>
      </c>
      <c r="M1976" s="46">
        <f>(Sales[[#This Row],[Gross Amount]]-Sales[[#This Row],[Disc. Amt.]])*Sales[[#This Row],[GST %]]</f>
        <v>21029.399999999998</v>
      </c>
      <c r="N1976" s="161">
        <f>Sales[[#This Row],[Gross Amount]]-Sales[[#This Row],[Disc. Amt.]]+Sales[[#This Row],[GST Amount]]</f>
        <v>137859.4</v>
      </c>
      <c r="O1976" s="34" t="s">
        <v>3561</v>
      </c>
      <c r="P1976" s="34" t="s">
        <v>3562</v>
      </c>
      <c r="Q1976" s="165">
        <f>IF(Sales[[#This Row],[Status]]="Cancelled",0,Sales[[#This Row],[Qty]])</f>
        <v>7</v>
      </c>
      <c r="R1976" s="166">
        <f>IF(Sales[[#This Row],[Status]]="Cancelled",0,Sales[[#This Row],[Total Amount]])</f>
        <v>137859.4</v>
      </c>
      <c r="S1976" s="162">
        <f>SUM(Sales[Net Amount])</f>
        <v>406839287.73200053</v>
      </c>
    </row>
    <row r="1977" spans="1:19" ht="18.75" x14ac:dyDescent="0.25">
      <c r="A1977" s="156" t="s">
        <v>5593</v>
      </c>
      <c r="B1977" s="157">
        <v>45879</v>
      </c>
      <c r="C1977" s="158" t="s">
        <v>840</v>
      </c>
      <c r="D1977" s="159" t="str">
        <f>VLOOKUP(Sales[[#This Row],[Customer ID]],Customer[#All],2,0)</f>
        <v>Rakesh Verma</v>
      </c>
      <c r="E1977" s="158" t="s">
        <v>58</v>
      </c>
      <c r="F1977" s="158" t="str">
        <f>VLOOKUP(Sales[[#This Row],[Product ID]],Product[#All],2,0)</f>
        <v>Lenovo Laptop</v>
      </c>
      <c r="G1977" s="159">
        <v>5</v>
      </c>
      <c r="H1977" s="160">
        <f>VLOOKUP(Sales[[#This Row],[Product ID]],Product[#All],7,0)</f>
        <v>50200</v>
      </c>
      <c r="I1977" s="160">
        <f>Sales[[#This Row],[Selling Rate]]*Sales[[#This Row],[Qty]]</f>
        <v>251000</v>
      </c>
      <c r="J1977" s="43">
        <v>0.05</v>
      </c>
      <c r="K1977" s="44">
        <f>Sales[[#This Row],[Gross Amount]]*Sales[[#This Row],[Disc %]]</f>
        <v>12550</v>
      </c>
      <c r="L1977" s="43">
        <v>0.18</v>
      </c>
      <c r="M1977" s="44">
        <f>(Sales[[#This Row],[Gross Amount]]-Sales[[#This Row],[Disc. Amt.]])*Sales[[#This Row],[GST %]]</f>
        <v>42921</v>
      </c>
      <c r="N1977" s="161">
        <f>Sales[[#This Row],[Gross Amount]]-Sales[[#This Row],[Disc. Amt.]]+Sales[[#This Row],[GST Amount]]</f>
        <v>281371</v>
      </c>
      <c r="O1977" s="158" t="s">
        <v>3566</v>
      </c>
      <c r="P1977" s="158" t="s">
        <v>3562</v>
      </c>
      <c r="Q1977" s="160">
        <f>IF(Sales[[#This Row],[Status]]="Cancelled",0,Sales[[#This Row],[Qty]])</f>
        <v>5</v>
      </c>
      <c r="R1977" s="161">
        <f>IF(Sales[[#This Row],[Status]]="Cancelled",0,Sales[[#This Row],[Total Amount]])</f>
        <v>281371</v>
      </c>
      <c r="S1977" s="162">
        <f>SUM(Sales[Net Amount])</f>
        <v>406839287.73200053</v>
      </c>
    </row>
    <row r="1978" spans="1:19" ht="18.75" x14ac:dyDescent="0.25">
      <c r="A1978" s="163" t="s">
        <v>5594</v>
      </c>
      <c r="B1978" s="164">
        <v>45879</v>
      </c>
      <c r="C1978" s="34" t="s">
        <v>695</v>
      </c>
      <c r="D1978" s="53" t="str">
        <f>VLOOKUP(Sales[[#This Row],[Customer ID]],Customer[#All],2,0)</f>
        <v>Rahul Kumar</v>
      </c>
      <c r="E1978" s="34" t="s">
        <v>550</v>
      </c>
      <c r="F1978" s="34" t="str">
        <f>VLOOKUP(Sales[[#This Row],[Product ID]],Product[#All],2,0)</f>
        <v>TP-link Wi-Fi Adapter</v>
      </c>
      <c r="G1978" s="53">
        <v>1</v>
      </c>
      <c r="H1978" s="165">
        <f>VLOOKUP(Sales[[#This Row],[Product ID]],Product[#All],7,0)</f>
        <v>1300</v>
      </c>
      <c r="I1978" s="165">
        <f>Sales[[#This Row],[Selling Rate]]*Sales[[#This Row],[Qty]]</f>
        <v>1300</v>
      </c>
      <c r="J1978" s="45">
        <v>0.05</v>
      </c>
      <c r="K1978" s="46">
        <f>Sales[[#This Row],[Gross Amount]]*Sales[[#This Row],[Disc %]]</f>
        <v>65</v>
      </c>
      <c r="L1978" s="43">
        <v>0.18</v>
      </c>
      <c r="M1978" s="46">
        <f>(Sales[[#This Row],[Gross Amount]]-Sales[[#This Row],[Disc. Amt.]])*Sales[[#This Row],[GST %]]</f>
        <v>222.29999999999998</v>
      </c>
      <c r="N1978" s="161">
        <f>Sales[[#This Row],[Gross Amount]]-Sales[[#This Row],[Disc. Amt.]]+Sales[[#This Row],[GST Amount]]</f>
        <v>1457.3</v>
      </c>
      <c r="O1978" s="34" t="s">
        <v>3561</v>
      </c>
      <c r="P1978" s="34" t="s">
        <v>3562</v>
      </c>
      <c r="Q1978" s="165">
        <f>IF(Sales[[#This Row],[Status]]="Cancelled",0,Sales[[#This Row],[Qty]])</f>
        <v>1</v>
      </c>
      <c r="R1978" s="166">
        <f>IF(Sales[[#This Row],[Status]]="Cancelled",0,Sales[[#This Row],[Total Amount]])</f>
        <v>1457.3</v>
      </c>
      <c r="S1978" s="162">
        <f>SUM(Sales[Net Amount])</f>
        <v>406839287.73200053</v>
      </c>
    </row>
    <row r="1979" spans="1:19" ht="18.75" x14ac:dyDescent="0.25">
      <c r="A1979" s="156" t="s">
        <v>5595</v>
      </c>
      <c r="B1979" s="157">
        <v>45879</v>
      </c>
      <c r="C1979" s="158" t="s">
        <v>846</v>
      </c>
      <c r="D1979" s="159" t="str">
        <f>VLOOKUP(Sales[[#This Row],[Customer ID]],Customer[#All],2,0)</f>
        <v>Ankit Patel</v>
      </c>
      <c r="E1979" s="158" t="s">
        <v>81</v>
      </c>
      <c r="F1979" s="158" t="str">
        <f>VLOOKUP(Sales[[#This Row],[Product ID]],Product[#All],2,0)</f>
        <v>HP Desktop</v>
      </c>
      <c r="G1979" s="159">
        <v>1</v>
      </c>
      <c r="H1979" s="160">
        <f>VLOOKUP(Sales[[#This Row],[Product ID]],Product[#All],7,0)</f>
        <v>65470</v>
      </c>
      <c r="I1979" s="160">
        <f>Sales[[#This Row],[Selling Rate]]*Sales[[#This Row],[Qty]]</f>
        <v>65470</v>
      </c>
      <c r="J1979" s="43">
        <v>0</v>
      </c>
      <c r="K1979" s="44">
        <f>Sales[[#This Row],[Gross Amount]]*Sales[[#This Row],[Disc %]]</f>
        <v>0</v>
      </c>
      <c r="L1979" s="43">
        <v>0.18</v>
      </c>
      <c r="M1979" s="44">
        <f>(Sales[[#This Row],[Gross Amount]]-Sales[[#This Row],[Disc. Amt.]])*Sales[[#This Row],[GST %]]</f>
        <v>11784.6</v>
      </c>
      <c r="N1979" s="161">
        <f>Sales[[#This Row],[Gross Amount]]-Sales[[#This Row],[Disc. Amt.]]+Sales[[#This Row],[GST Amount]]</f>
        <v>77254.600000000006</v>
      </c>
      <c r="O1979" s="158" t="s">
        <v>3561</v>
      </c>
      <c r="P1979" s="158" t="s">
        <v>3562</v>
      </c>
      <c r="Q1979" s="160">
        <f>IF(Sales[[#This Row],[Status]]="Cancelled",0,Sales[[#This Row],[Qty]])</f>
        <v>1</v>
      </c>
      <c r="R1979" s="161">
        <f>IF(Sales[[#This Row],[Status]]="Cancelled",0,Sales[[#This Row],[Total Amount]])</f>
        <v>77254.600000000006</v>
      </c>
      <c r="S1979" s="162">
        <f>SUM(Sales[Net Amount])</f>
        <v>406839287.73200053</v>
      </c>
    </row>
    <row r="1980" spans="1:19" ht="18.75" x14ac:dyDescent="0.25">
      <c r="A1980" s="163" t="s">
        <v>5596</v>
      </c>
      <c r="B1980" s="164">
        <v>45879</v>
      </c>
      <c r="C1980" s="34" t="s">
        <v>930</v>
      </c>
      <c r="D1980" s="53" t="str">
        <f>VLOOKUP(Sales[[#This Row],[Customer ID]],Customer[#All],2,0)</f>
        <v>Rakesh Gupta</v>
      </c>
      <c r="E1980" s="34" t="s">
        <v>132</v>
      </c>
      <c r="F1980" s="34" t="str">
        <f>VLOOKUP(Sales[[#This Row],[Product ID]],Product[#All],2,0)</f>
        <v>Jbl Headset</v>
      </c>
      <c r="G1980" s="53">
        <v>8</v>
      </c>
      <c r="H1980" s="165">
        <f>VLOOKUP(Sales[[#This Row],[Product ID]],Product[#All],7,0)</f>
        <v>7470</v>
      </c>
      <c r="I1980" s="165">
        <f>Sales[[#This Row],[Selling Rate]]*Sales[[#This Row],[Qty]]</f>
        <v>59760</v>
      </c>
      <c r="J1980" s="45">
        <v>0.02</v>
      </c>
      <c r="K1980" s="46">
        <f>Sales[[#This Row],[Gross Amount]]*Sales[[#This Row],[Disc %]]</f>
        <v>1195.2</v>
      </c>
      <c r="L1980" s="43">
        <v>0.18</v>
      </c>
      <c r="M1980" s="46">
        <f>(Sales[[#This Row],[Gross Amount]]-Sales[[#This Row],[Disc. Amt.]])*Sales[[#This Row],[GST %]]</f>
        <v>10541.664000000001</v>
      </c>
      <c r="N1980" s="161">
        <f>Sales[[#This Row],[Gross Amount]]-Sales[[#This Row],[Disc. Amt.]]+Sales[[#This Row],[GST Amount]]</f>
        <v>69106.464000000007</v>
      </c>
      <c r="O1980" s="34" t="s">
        <v>3561</v>
      </c>
      <c r="P1980" s="34" t="s">
        <v>3562</v>
      </c>
      <c r="Q1980" s="165">
        <f>IF(Sales[[#This Row],[Status]]="Cancelled",0,Sales[[#This Row],[Qty]])</f>
        <v>8</v>
      </c>
      <c r="R1980" s="166">
        <f>IF(Sales[[#This Row],[Status]]="Cancelled",0,Sales[[#This Row],[Total Amount]])</f>
        <v>69106.464000000007</v>
      </c>
      <c r="S1980" s="162">
        <f>SUM(Sales[Net Amount])</f>
        <v>406839287.73200053</v>
      </c>
    </row>
    <row r="1981" spans="1:19" ht="18.75" x14ac:dyDescent="0.25">
      <c r="A1981" s="156" t="s">
        <v>5597</v>
      </c>
      <c r="B1981" s="157">
        <v>45879</v>
      </c>
      <c r="C1981" s="158" t="s">
        <v>901</v>
      </c>
      <c r="D1981" s="159" t="str">
        <f>VLOOKUP(Sales[[#This Row],[Customer ID]],Customer[#All],2,0)</f>
        <v>Vikas Kumar</v>
      </c>
      <c r="E1981" s="158" t="s">
        <v>379</v>
      </c>
      <c r="F1981" s="158" t="str">
        <f>VLOOKUP(Sales[[#This Row],[Product ID]],Product[#All],2,0)</f>
        <v>Acer Laptop</v>
      </c>
      <c r="G1981" s="159">
        <v>6</v>
      </c>
      <c r="H1981" s="160">
        <f>VLOOKUP(Sales[[#This Row],[Product ID]],Product[#All],7,0)</f>
        <v>74390</v>
      </c>
      <c r="I1981" s="160">
        <f>Sales[[#This Row],[Selling Rate]]*Sales[[#This Row],[Qty]]</f>
        <v>446340</v>
      </c>
      <c r="J1981" s="43">
        <v>0.05</v>
      </c>
      <c r="K1981" s="44">
        <f>Sales[[#This Row],[Gross Amount]]*Sales[[#This Row],[Disc %]]</f>
        <v>22317</v>
      </c>
      <c r="L1981" s="43">
        <v>0.18</v>
      </c>
      <c r="M1981" s="44">
        <f>(Sales[[#This Row],[Gross Amount]]-Sales[[#This Row],[Disc. Amt.]])*Sales[[#This Row],[GST %]]</f>
        <v>76324.14</v>
      </c>
      <c r="N1981" s="161">
        <f>Sales[[#This Row],[Gross Amount]]-Sales[[#This Row],[Disc. Amt.]]+Sales[[#This Row],[GST Amount]]</f>
        <v>500347.14</v>
      </c>
      <c r="O1981" s="158" t="s">
        <v>3566</v>
      </c>
      <c r="P1981" s="158" t="s">
        <v>3562</v>
      </c>
      <c r="Q1981" s="160">
        <f>IF(Sales[[#This Row],[Status]]="Cancelled",0,Sales[[#This Row],[Qty]])</f>
        <v>6</v>
      </c>
      <c r="R1981" s="161">
        <f>IF(Sales[[#This Row],[Status]]="Cancelled",0,Sales[[#This Row],[Total Amount]])</f>
        <v>500347.14</v>
      </c>
      <c r="S1981" s="162">
        <f>SUM(Sales[Net Amount])</f>
        <v>406839287.73200053</v>
      </c>
    </row>
    <row r="1982" spans="1:19" ht="18.75" x14ac:dyDescent="0.25">
      <c r="A1982" s="163" t="s">
        <v>5598</v>
      </c>
      <c r="B1982" s="164">
        <v>45879</v>
      </c>
      <c r="C1982" s="34" t="s">
        <v>655</v>
      </c>
      <c r="D1982" s="53" t="str">
        <f>VLOOKUP(Sales[[#This Row],[Customer ID]],Customer[#All],2,0)</f>
        <v>Pooja Singh</v>
      </c>
      <c r="E1982" s="34" t="s">
        <v>51</v>
      </c>
      <c r="F1982" s="34" t="str">
        <f>VLOOKUP(Sales[[#This Row],[Product ID]],Product[#All],2,0)</f>
        <v>Boat Speaker</v>
      </c>
      <c r="G1982" s="53">
        <v>4</v>
      </c>
      <c r="H1982" s="165">
        <f>VLOOKUP(Sales[[#This Row],[Product ID]],Product[#All],7,0)</f>
        <v>4730</v>
      </c>
      <c r="I1982" s="165">
        <f>Sales[[#This Row],[Selling Rate]]*Sales[[#This Row],[Qty]]</f>
        <v>18920</v>
      </c>
      <c r="J1982" s="45">
        <v>0.05</v>
      </c>
      <c r="K1982" s="46">
        <f>Sales[[#This Row],[Gross Amount]]*Sales[[#This Row],[Disc %]]</f>
        <v>946</v>
      </c>
      <c r="L1982" s="43">
        <v>0.18</v>
      </c>
      <c r="M1982" s="46">
        <f>(Sales[[#This Row],[Gross Amount]]-Sales[[#This Row],[Disc. Amt.]])*Sales[[#This Row],[GST %]]</f>
        <v>3235.3199999999997</v>
      </c>
      <c r="N1982" s="161">
        <f>Sales[[#This Row],[Gross Amount]]-Sales[[#This Row],[Disc. Amt.]]+Sales[[#This Row],[GST Amount]]</f>
        <v>21209.32</v>
      </c>
      <c r="O1982" s="34" t="s">
        <v>3566</v>
      </c>
      <c r="P1982" s="34" t="s">
        <v>3562</v>
      </c>
      <c r="Q1982" s="165">
        <f>IF(Sales[[#This Row],[Status]]="Cancelled",0,Sales[[#This Row],[Qty]])</f>
        <v>4</v>
      </c>
      <c r="R1982" s="166">
        <f>IF(Sales[[#This Row],[Status]]="Cancelled",0,Sales[[#This Row],[Total Amount]])</f>
        <v>21209.32</v>
      </c>
      <c r="S1982" s="162">
        <f>SUM(Sales[Net Amount])</f>
        <v>406839287.73200053</v>
      </c>
    </row>
    <row r="1983" spans="1:19" ht="18.75" x14ac:dyDescent="0.25">
      <c r="A1983" s="156" t="s">
        <v>5599</v>
      </c>
      <c r="B1983" s="157">
        <v>45879</v>
      </c>
      <c r="C1983" s="158" t="s">
        <v>750</v>
      </c>
      <c r="D1983" s="159" t="str">
        <f>VLOOKUP(Sales[[#This Row],[Customer ID]],Customer[#All],2,0)</f>
        <v>Rakesh Verma</v>
      </c>
      <c r="E1983" s="158" t="s">
        <v>47</v>
      </c>
      <c r="F1983" s="158" t="str">
        <f>VLOOKUP(Sales[[#This Row],[Product ID]],Product[#All],2,0)</f>
        <v>Logitech Keyboard</v>
      </c>
      <c r="G1983" s="159">
        <v>2</v>
      </c>
      <c r="H1983" s="160">
        <f>VLOOKUP(Sales[[#This Row],[Product ID]],Product[#All],7,0)</f>
        <v>930</v>
      </c>
      <c r="I1983" s="160">
        <f>Sales[[#This Row],[Selling Rate]]*Sales[[#This Row],[Qty]]</f>
        <v>1860</v>
      </c>
      <c r="J1983" s="43">
        <v>0.1</v>
      </c>
      <c r="K1983" s="44">
        <f>Sales[[#This Row],[Gross Amount]]*Sales[[#This Row],[Disc %]]</f>
        <v>186</v>
      </c>
      <c r="L1983" s="43">
        <v>0.18</v>
      </c>
      <c r="M1983" s="44">
        <f>(Sales[[#This Row],[Gross Amount]]-Sales[[#This Row],[Disc. Amt.]])*Sales[[#This Row],[GST %]]</f>
        <v>301.32</v>
      </c>
      <c r="N1983" s="161">
        <f>Sales[[#This Row],[Gross Amount]]-Sales[[#This Row],[Disc. Amt.]]+Sales[[#This Row],[GST Amount]]</f>
        <v>1975.32</v>
      </c>
      <c r="O1983" s="158" t="s">
        <v>3569</v>
      </c>
      <c r="P1983" s="158" t="s">
        <v>3562</v>
      </c>
      <c r="Q1983" s="160">
        <f>IF(Sales[[#This Row],[Status]]="Cancelled",0,Sales[[#This Row],[Qty]])</f>
        <v>2</v>
      </c>
      <c r="R1983" s="161">
        <f>IF(Sales[[#This Row],[Status]]="Cancelled",0,Sales[[#This Row],[Total Amount]])</f>
        <v>1975.32</v>
      </c>
      <c r="S1983" s="162">
        <f>SUM(Sales[Net Amount])</f>
        <v>406839287.73200053</v>
      </c>
    </row>
    <row r="1984" spans="1:19" ht="18.75" x14ac:dyDescent="0.25">
      <c r="A1984" s="163" t="s">
        <v>5600</v>
      </c>
      <c r="B1984" s="164">
        <v>45879</v>
      </c>
      <c r="C1984" s="34" t="s">
        <v>897</v>
      </c>
      <c r="D1984" s="53" t="str">
        <f>VLOOKUP(Sales[[#This Row],[Customer ID]],Customer[#All],2,0)</f>
        <v>Amit Patel</v>
      </c>
      <c r="E1984" s="34" t="s">
        <v>307</v>
      </c>
      <c r="F1984" s="34" t="str">
        <f>VLOOKUP(Sales[[#This Row],[Product ID]],Product[#All],2,0)</f>
        <v>Dell Laptop</v>
      </c>
      <c r="G1984" s="53">
        <v>7</v>
      </c>
      <c r="H1984" s="165">
        <f>VLOOKUP(Sales[[#This Row],[Product ID]],Product[#All],7,0)</f>
        <v>45060</v>
      </c>
      <c r="I1984" s="165">
        <f>Sales[[#This Row],[Selling Rate]]*Sales[[#This Row],[Qty]]</f>
        <v>315420</v>
      </c>
      <c r="J1984" s="45">
        <v>0.12</v>
      </c>
      <c r="K1984" s="46">
        <f>Sales[[#This Row],[Gross Amount]]*Sales[[#This Row],[Disc %]]</f>
        <v>37850.400000000001</v>
      </c>
      <c r="L1984" s="43">
        <v>0.18</v>
      </c>
      <c r="M1984" s="46">
        <f>(Sales[[#This Row],[Gross Amount]]-Sales[[#This Row],[Disc. Amt.]])*Sales[[#This Row],[GST %]]</f>
        <v>49962.527999999991</v>
      </c>
      <c r="N1984" s="161">
        <f>Sales[[#This Row],[Gross Amount]]-Sales[[#This Row],[Disc. Amt.]]+Sales[[#This Row],[GST Amount]]</f>
        <v>327532.12799999997</v>
      </c>
      <c r="O1984" s="34" t="s">
        <v>8876</v>
      </c>
      <c r="P1984" s="34" t="s">
        <v>3562</v>
      </c>
      <c r="Q1984" s="165">
        <f>IF(Sales[[#This Row],[Status]]="Cancelled",0,Sales[[#This Row],[Qty]])</f>
        <v>7</v>
      </c>
      <c r="R1984" s="166">
        <f>IF(Sales[[#This Row],[Status]]="Cancelled",0,Sales[[#This Row],[Total Amount]])</f>
        <v>327532.12799999997</v>
      </c>
      <c r="S1984" s="162">
        <f>SUM(Sales[Net Amount])</f>
        <v>406839287.73200053</v>
      </c>
    </row>
    <row r="1985" spans="1:19" ht="18.75" x14ac:dyDescent="0.25">
      <c r="A1985" s="156" t="s">
        <v>5601</v>
      </c>
      <c r="B1985" s="157">
        <v>45879</v>
      </c>
      <c r="C1985" s="158" t="s">
        <v>829</v>
      </c>
      <c r="D1985" s="159" t="str">
        <f>VLOOKUP(Sales[[#This Row],[Customer ID]],Customer[#All],2,0)</f>
        <v>Pooja Patel</v>
      </c>
      <c r="E1985" s="158" t="s">
        <v>324</v>
      </c>
      <c r="F1985" s="158" t="str">
        <f>VLOOKUP(Sales[[#This Row],[Product ID]],Product[#All],2,0)</f>
        <v>Sandisk Pen Drive</v>
      </c>
      <c r="G1985" s="159">
        <v>8</v>
      </c>
      <c r="H1985" s="160">
        <f>VLOOKUP(Sales[[#This Row],[Product ID]],Product[#All],7,0)</f>
        <v>4150</v>
      </c>
      <c r="I1985" s="160">
        <f>Sales[[#This Row],[Selling Rate]]*Sales[[#This Row],[Qty]]</f>
        <v>33200</v>
      </c>
      <c r="J1985" s="43">
        <v>0.12</v>
      </c>
      <c r="K1985" s="44">
        <f>Sales[[#This Row],[Gross Amount]]*Sales[[#This Row],[Disc %]]</f>
        <v>3984</v>
      </c>
      <c r="L1985" s="43">
        <v>0.18</v>
      </c>
      <c r="M1985" s="44">
        <f>(Sales[[#This Row],[Gross Amount]]-Sales[[#This Row],[Disc. Amt.]])*Sales[[#This Row],[GST %]]</f>
        <v>5258.88</v>
      </c>
      <c r="N1985" s="161">
        <f>Sales[[#This Row],[Gross Amount]]-Sales[[#This Row],[Disc. Amt.]]+Sales[[#This Row],[GST Amount]]</f>
        <v>34474.879999999997</v>
      </c>
      <c r="O1985" s="158" t="s">
        <v>3569</v>
      </c>
      <c r="P1985" s="158" t="s">
        <v>3562</v>
      </c>
      <c r="Q1985" s="160">
        <f>IF(Sales[[#This Row],[Status]]="Cancelled",0,Sales[[#This Row],[Qty]])</f>
        <v>8</v>
      </c>
      <c r="R1985" s="161">
        <f>IF(Sales[[#This Row],[Status]]="Cancelled",0,Sales[[#This Row],[Total Amount]])</f>
        <v>34474.879999999997</v>
      </c>
      <c r="S1985" s="162">
        <f>SUM(Sales[Net Amount])</f>
        <v>406839287.73200053</v>
      </c>
    </row>
    <row r="1986" spans="1:19" ht="18.75" x14ac:dyDescent="0.25">
      <c r="A1986" s="163" t="s">
        <v>5602</v>
      </c>
      <c r="B1986" s="164">
        <v>45879</v>
      </c>
      <c r="C1986" s="34" t="s">
        <v>703</v>
      </c>
      <c r="D1986" s="53" t="str">
        <f>VLOOKUP(Sales[[#This Row],[Customer ID]],Customer[#All],2,0)</f>
        <v>Rahul Singh</v>
      </c>
      <c r="E1986" s="34" t="s">
        <v>204</v>
      </c>
      <c r="F1986" s="34" t="str">
        <f>VLOOKUP(Sales[[#This Row],[Product ID]],Product[#All],2,0)</f>
        <v>Lenovo Laptop</v>
      </c>
      <c r="G1986" s="53">
        <v>2</v>
      </c>
      <c r="H1986" s="165">
        <f>VLOOKUP(Sales[[#This Row],[Product ID]],Product[#All],7,0)</f>
        <v>42370</v>
      </c>
      <c r="I1986" s="165">
        <f>Sales[[#This Row],[Selling Rate]]*Sales[[#This Row],[Qty]]</f>
        <v>84740</v>
      </c>
      <c r="J1986" s="45">
        <v>0.1</v>
      </c>
      <c r="K1986" s="46">
        <f>Sales[[#This Row],[Gross Amount]]*Sales[[#This Row],[Disc %]]</f>
        <v>8474</v>
      </c>
      <c r="L1986" s="43">
        <v>0.18</v>
      </c>
      <c r="M1986" s="46">
        <f>(Sales[[#This Row],[Gross Amount]]-Sales[[#This Row],[Disc. Amt.]])*Sales[[#This Row],[GST %]]</f>
        <v>13727.88</v>
      </c>
      <c r="N1986" s="161">
        <f>Sales[[#This Row],[Gross Amount]]-Sales[[#This Row],[Disc. Amt.]]+Sales[[#This Row],[GST Amount]]</f>
        <v>89993.88</v>
      </c>
      <c r="O1986" s="34" t="s">
        <v>3566</v>
      </c>
      <c r="P1986" s="34" t="s">
        <v>3562</v>
      </c>
      <c r="Q1986" s="165">
        <f>IF(Sales[[#This Row],[Status]]="Cancelled",0,Sales[[#This Row],[Qty]])</f>
        <v>2</v>
      </c>
      <c r="R1986" s="166">
        <f>IF(Sales[[#This Row],[Status]]="Cancelled",0,Sales[[#This Row],[Total Amount]])</f>
        <v>89993.88</v>
      </c>
      <c r="S1986" s="162">
        <f>SUM(Sales[Net Amount])</f>
        <v>406839287.73200053</v>
      </c>
    </row>
    <row r="1987" spans="1:19" ht="18.75" x14ac:dyDescent="0.25">
      <c r="A1987" s="156" t="s">
        <v>5603</v>
      </c>
      <c r="B1987" s="157">
        <v>45879</v>
      </c>
      <c r="C1987" s="158" t="s">
        <v>676</v>
      </c>
      <c r="D1987" s="159" t="str">
        <f>VLOOKUP(Sales[[#This Row],[Customer ID]],Customer[#All],2,0)</f>
        <v>Neha Singh</v>
      </c>
      <c r="E1987" s="158" t="s">
        <v>128</v>
      </c>
      <c r="F1987" s="158" t="str">
        <f>VLOOKUP(Sales[[#This Row],[Product ID]],Product[#All],2,0)</f>
        <v>American TouristerLaptopBag</v>
      </c>
      <c r="G1987" s="159">
        <v>5</v>
      </c>
      <c r="H1987" s="160">
        <f>VLOOKUP(Sales[[#This Row],[Product ID]],Product[#All],7,0)</f>
        <v>2990</v>
      </c>
      <c r="I1987" s="160">
        <f>Sales[[#This Row],[Selling Rate]]*Sales[[#This Row],[Qty]]</f>
        <v>14950</v>
      </c>
      <c r="J1987" s="43">
        <v>0.12</v>
      </c>
      <c r="K1987" s="44">
        <f>Sales[[#This Row],[Gross Amount]]*Sales[[#This Row],[Disc %]]</f>
        <v>1794</v>
      </c>
      <c r="L1987" s="43">
        <v>0.18</v>
      </c>
      <c r="M1987" s="44">
        <f>(Sales[[#This Row],[Gross Amount]]-Sales[[#This Row],[Disc. Amt.]])*Sales[[#This Row],[GST %]]</f>
        <v>2368.08</v>
      </c>
      <c r="N1987" s="161">
        <f>Sales[[#This Row],[Gross Amount]]-Sales[[#This Row],[Disc. Amt.]]+Sales[[#This Row],[GST Amount]]</f>
        <v>15524.08</v>
      </c>
      <c r="O1987" s="158" t="s">
        <v>3569</v>
      </c>
      <c r="P1987" s="158" t="s">
        <v>3562</v>
      </c>
      <c r="Q1987" s="160">
        <f>IF(Sales[[#This Row],[Status]]="Cancelled",0,Sales[[#This Row],[Qty]])</f>
        <v>5</v>
      </c>
      <c r="R1987" s="161">
        <f>IF(Sales[[#This Row],[Status]]="Cancelled",0,Sales[[#This Row],[Total Amount]])</f>
        <v>15524.08</v>
      </c>
      <c r="S1987" s="162">
        <f>SUM(Sales[Net Amount])</f>
        <v>406839287.73200053</v>
      </c>
    </row>
    <row r="1988" spans="1:19" ht="18.75" x14ac:dyDescent="0.25">
      <c r="A1988" s="163" t="s">
        <v>5604</v>
      </c>
      <c r="B1988" s="164">
        <v>45879</v>
      </c>
      <c r="C1988" s="34" t="s">
        <v>828</v>
      </c>
      <c r="D1988" s="53" t="str">
        <f>VLOOKUP(Sales[[#This Row],[Customer ID]],Customer[#All],2,0)</f>
        <v>Ankit Verma</v>
      </c>
      <c r="E1988" s="34" t="s">
        <v>376</v>
      </c>
      <c r="F1988" s="34" t="str">
        <f>VLOOKUP(Sales[[#This Row],[Product ID]],Product[#All],2,0)</f>
        <v>Lenovo Laptop</v>
      </c>
      <c r="G1988" s="53">
        <v>8</v>
      </c>
      <c r="H1988" s="165">
        <f>VLOOKUP(Sales[[#This Row],[Product ID]],Product[#All],7,0)</f>
        <v>38140</v>
      </c>
      <c r="I1988" s="165">
        <f>Sales[[#This Row],[Selling Rate]]*Sales[[#This Row],[Qty]]</f>
        <v>305120</v>
      </c>
      <c r="J1988" s="45">
        <v>0</v>
      </c>
      <c r="K1988" s="46">
        <f>Sales[[#This Row],[Gross Amount]]*Sales[[#This Row],[Disc %]]</f>
        <v>0</v>
      </c>
      <c r="L1988" s="43">
        <v>0.18</v>
      </c>
      <c r="M1988" s="46">
        <f>(Sales[[#This Row],[Gross Amount]]-Sales[[#This Row],[Disc. Amt.]])*Sales[[#This Row],[GST %]]</f>
        <v>54921.599999999999</v>
      </c>
      <c r="N1988" s="161">
        <f>Sales[[#This Row],[Gross Amount]]-Sales[[#This Row],[Disc. Amt.]]+Sales[[#This Row],[GST Amount]]</f>
        <v>360041.6</v>
      </c>
      <c r="O1988" s="34" t="s">
        <v>3561</v>
      </c>
      <c r="P1988" s="34" t="s">
        <v>3562</v>
      </c>
      <c r="Q1988" s="165">
        <f>IF(Sales[[#This Row],[Status]]="Cancelled",0,Sales[[#This Row],[Qty]])</f>
        <v>8</v>
      </c>
      <c r="R1988" s="166">
        <f>IF(Sales[[#This Row],[Status]]="Cancelled",0,Sales[[#This Row],[Total Amount]])</f>
        <v>360041.6</v>
      </c>
      <c r="S1988" s="162">
        <f>SUM(Sales[Net Amount])</f>
        <v>406839287.73200053</v>
      </c>
    </row>
    <row r="1989" spans="1:19" ht="18.75" x14ac:dyDescent="0.25">
      <c r="A1989" s="156" t="s">
        <v>5605</v>
      </c>
      <c r="B1989" s="157">
        <v>45879</v>
      </c>
      <c r="C1989" s="158" t="s">
        <v>903</v>
      </c>
      <c r="D1989" s="159" t="str">
        <f>VLOOKUP(Sales[[#This Row],[Customer ID]],Customer[#All],2,0)</f>
        <v>Sahil Singh</v>
      </c>
      <c r="E1989" s="158" t="s">
        <v>294</v>
      </c>
      <c r="F1989" s="158" t="str">
        <f>VLOOKUP(Sales[[#This Row],[Product ID]],Product[#All],2,0)</f>
        <v>Samsung Monitor</v>
      </c>
      <c r="G1989" s="159">
        <v>2</v>
      </c>
      <c r="H1989" s="160">
        <f>VLOOKUP(Sales[[#This Row],[Product ID]],Product[#All],7,0)</f>
        <v>33870</v>
      </c>
      <c r="I1989" s="160">
        <f>Sales[[#This Row],[Selling Rate]]*Sales[[#This Row],[Qty]]</f>
        <v>67740</v>
      </c>
      <c r="J1989" s="43">
        <v>0.1</v>
      </c>
      <c r="K1989" s="44">
        <f>Sales[[#This Row],[Gross Amount]]*Sales[[#This Row],[Disc %]]</f>
        <v>6774</v>
      </c>
      <c r="L1989" s="43">
        <v>0.18</v>
      </c>
      <c r="M1989" s="44">
        <f>(Sales[[#This Row],[Gross Amount]]-Sales[[#This Row],[Disc. Amt.]])*Sales[[#This Row],[GST %]]</f>
        <v>10973.88</v>
      </c>
      <c r="N1989" s="161">
        <f>Sales[[#This Row],[Gross Amount]]-Sales[[#This Row],[Disc. Amt.]]+Sales[[#This Row],[GST Amount]]</f>
        <v>71939.88</v>
      </c>
      <c r="O1989" s="158" t="s">
        <v>3569</v>
      </c>
      <c r="P1989" s="158" t="s">
        <v>3562</v>
      </c>
      <c r="Q1989" s="160">
        <f>IF(Sales[[#This Row],[Status]]="Cancelled",0,Sales[[#This Row],[Qty]])</f>
        <v>2</v>
      </c>
      <c r="R1989" s="161">
        <f>IF(Sales[[#This Row],[Status]]="Cancelled",0,Sales[[#This Row],[Total Amount]])</f>
        <v>71939.88</v>
      </c>
      <c r="S1989" s="162">
        <f>SUM(Sales[Net Amount])</f>
        <v>406839287.73200053</v>
      </c>
    </row>
    <row r="1990" spans="1:19" ht="18.75" x14ac:dyDescent="0.25">
      <c r="A1990" s="163" t="s">
        <v>5606</v>
      </c>
      <c r="B1990" s="164">
        <v>45879</v>
      </c>
      <c r="C1990" s="34" t="s">
        <v>5607</v>
      </c>
      <c r="D1990" s="53" t="str">
        <f>VLOOKUP(Sales[[#This Row],[Customer ID]],Customer[#All],2,0)</f>
        <v>Sahil Kumar</v>
      </c>
      <c r="E1990" s="34" t="s">
        <v>64</v>
      </c>
      <c r="F1990" s="34" t="str">
        <f>VLOOKUP(Sales[[#This Row],[Product ID]],Product[#All],2,0)</f>
        <v>Jbl Headset</v>
      </c>
      <c r="G1990" s="53">
        <v>2</v>
      </c>
      <c r="H1990" s="165">
        <f>VLOOKUP(Sales[[#This Row],[Product ID]],Product[#All],7,0)</f>
        <v>930</v>
      </c>
      <c r="I1990" s="165">
        <f>Sales[[#This Row],[Selling Rate]]*Sales[[#This Row],[Qty]]</f>
        <v>1860</v>
      </c>
      <c r="J1990" s="45">
        <v>0.12</v>
      </c>
      <c r="K1990" s="46">
        <f>Sales[[#This Row],[Gross Amount]]*Sales[[#This Row],[Disc %]]</f>
        <v>223.2</v>
      </c>
      <c r="L1990" s="43">
        <v>0.18</v>
      </c>
      <c r="M1990" s="46">
        <f>(Sales[[#This Row],[Gross Amount]]-Sales[[#This Row],[Disc. Amt.]])*Sales[[#This Row],[GST %]]</f>
        <v>294.62399999999997</v>
      </c>
      <c r="N1990" s="161">
        <f>Sales[[#This Row],[Gross Amount]]-Sales[[#This Row],[Disc. Amt.]]+Sales[[#This Row],[GST Amount]]</f>
        <v>1931.424</v>
      </c>
      <c r="O1990" s="34" t="s">
        <v>3566</v>
      </c>
      <c r="P1990" s="34" t="s">
        <v>3562</v>
      </c>
      <c r="Q1990" s="165">
        <f>IF(Sales[[#This Row],[Status]]="Cancelled",0,Sales[[#This Row],[Qty]])</f>
        <v>2</v>
      </c>
      <c r="R1990" s="166">
        <f>IF(Sales[[#This Row],[Status]]="Cancelled",0,Sales[[#This Row],[Total Amount]])</f>
        <v>1931.424</v>
      </c>
      <c r="S1990" s="162">
        <f>SUM(Sales[Net Amount])</f>
        <v>406839287.73200053</v>
      </c>
    </row>
    <row r="1991" spans="1:19" ht="18.75" x14ac:dyDescent="0.25">
      <c r="A1991" s="156" t="s">
        <v>5608</v>
      </c>
      <c r="B1991" s="157">
        <v>45880</v>
      </c>
      <c r="C1991" s="158" t="s">
        <v>879</v>
      </c>
      <c r="D1991" s="159" t="str">
        <f>VLOOKUP(Sales[[#This Row],[Customer ID]],Customer[#All],2,0)</f>
        <v>Ankit Patel</v>
      </c>
      <c r="E1991" s="158" t="s">
        <v>554</v>
      </c>
      <c r="F1991" s="158" t="str">
        <f>VLOOKUP(Sales[[#This Row],[Product ID]],Product[#All],2,0)</f>
        <v>TP-link Router</v>
      </c>
      <c r="G1991" s="159">
        <v>3</v>
      </c>
      <c r="H1991" s="160">
        <f>VLOOKUP(Sales[[#This Row],[Product ID]],Product[#All],7,0)</f>
        <v>6320</v>
      </c>
      <c r="I1991" s="160">
        <f>Sales[[#This Row],[Selling Rate]]*Sales[[#This Row],[Qty]]</f>
        <v>18960</v>
      </c>
      <c r="J1991" s="43">
        <v>0.15</v>
      </c>
      <c r="K1991" s="44">
        <f>Sales[[#This Row],[Gross Amount]]*Sales[[#This Row],[Disc %]]</f>
        <v>2844</v>
      </c>
      <c r="L1991" s="43">
        <v>0.18</v>
      </c>
      <c r="M1991" s="44">
        <f>(Sales[[#This Row],[Gross Amount]]-Sales[[#This Row],[Disc. Amt.]])*Sales[[#This Row],[GST %]]</f>
        <v>2900.88</v>
      </c>
      <c r="N1991" s="161">
        <f>Sales[[#This Row],[Gross Amount]]-Sales[[#This Row],[Disc. Amt.]]+Sales[[#This Row],[GST Amount]]</f>
        <v>19016.88</v>
      </c>
      <c r="O1991" s="158" t="s">
        <v>3569</v>
      </c>
      <c r="P1991" s="158" t="s">
        <v>3562</v>
      </c>
      <c r="Q1991" s="160">
        <f>IF(Sales[[#This Row],[Status]]="Cancelled",0,Sales[[#This Row],[Qty]])</f>
        <v>3</v>
      </c>
      <c r="R1991" s="161">
        <f>IF(Sales[[#This Row],[Status]]="Cancelled",0,Sales[[#This Row],[Total Amount]])</f>
        <v>19016.88</v>
      </c>
      <c r="S1991" s="162">
        <f>SUM(Sales[Net Amount])</f>
        <v>406839287.73200053</v>
      </c>
    </row>
    <row r="1992" spans="1:19" ht="18.75" x14ac:dyDescent="0.25">
      <c r="A1992" s="163" t="s">
        <v>5609</v>
      </c>
      <c r="B1992" s="164">
        <v>45880</v>
      </c>
      <c r="C1992" s="34" t="s">
        <v>783</v>
      </c>
      <c r="D1992" s="53" t="str">
        <f>VLOOKUP(Sales[[#This Row],[Customer ID]],Customer[#All],2,0)</f>
        <v>Neha Singh</v>
      </c>
      <c r="E1992" s="34" t="s">
        <v>310</v>
      </c>
      <c r="F1992" s="34" t="str">
        <f>VLOOKUP(Sales[[#This Row],[Product ID]],Product[#All],2,0)</f>
        <v>TP-link Wi-Fi Adapter</v>
      </c>
      <c r="G1992" s="53">
        <v>2</v>
      </c>
      <c r="H1992" s="165">
        <f>VLOOKUP(Sales[[#This Row],[Product ID]],Product[#All],7,0)</f>
        <v>700</v>
      </c>
      <c r="I1992" s="165">
        <f>Sales[[#This Row],[Selling Rate]]*Sales[[#This Row],[Qty]]</f>
        <v>1400</v>
      </c>
      <c r="J1992" s="45">
        <v>0.15</v>
      </c>
      <c r="K1992" s="46">
        <f>Sales[[#This Row],[Gross Amount]]*Sales[[#This Row],[Disc %]]</f>
        <v>210</v>
      </c>
      <c r="L1992" s="43">
        <v>0.18</v>
      </c>
      <c r="M1992" s="46">
        <f>(Sales[[#This Row],[Gross Amount]]-Sales[[#This Row],[Disc. Amt.]])*Sales[[#This Row],[GST %]]</f>
        <v>214.2</v>
      </c>
      <c r="N1992" s="161">
        <f>Sales[[#This Row],[Gross Amount]]-Sales[[#This Row],[Disc. Amt.]]+Sales[[#This Row],[GST Amount]]</f>
        <v>1404.2</v>
      </c>
      <c r="O1992" s="34" t="s">
        <v>3566</v>
      </c>
      <c r="P1992" s="34" t="s">
        <v>3562</v>
      </c>
      <c r="Q1992" s="165">
        <f>IF(Sales[[#This Row],[Status]]="Cancelled",0,Sales[[#This Row],[Qty]])</f>
        <v>2</v>
      </c>
      <c r="R1992" s="166">
        <f>IF(Sales[[#This Row],[Status]]="Cancelled",0,Sales[[#This Row],[Total Amount]])</f>
        <v>1404.2</v>
      </c>
      <c r="S1992" s="162">
        <f>SUM(Sales[Net Amount])</f>
        <v>406839287.73200053</v>
      </c>
    </row>
    <row r="1993" spans="1:19" ht="18.75" x14ac:dyDescent="0.25">
      <c r="A1993" s="156" t="s">
        <v>5610</v>
      </c>
      <c r="B1993" s="157">
        <v>45880</v>
      </c>
      <c r="C1993" s="158" t="s">
        <v>709</v>
      </c>
      <c r="D1993" s="159" t="str">
        <f>VLOOKUP(Sales[[#This Row],[Customer ID]],Customer[#All],2,0)</f>
        <v>Ankit Kumar</v>
      </c>
      <c r="E1993" s="158" t="s">
        <v>417</v>
      </c>
      <c r="F1993" s="158" t="str">
        <f>VLOOKUP(Sales[[#This Row],[Product ID]],Product[#All],2,0)</f>
        <v>HP Power Adapter</v>
      </c>
      <c r="G1993" s="159">
        <v>7</v>
      </c>
      <c r="H1993" s="160">
        <f>VLOOKUP(Sales[[#This Row],[Product ID]],Product[#All],7,0)</f>
        <v>4330</v>
      </c>
      <c r="I1993" s="160">
        <f>Sales[[#This Row],[Selling Rate]]*Sales[[#This Row],[Qty]]</f>
        <v>30310</v>
      </c>
      <c r="J1993" s="43">
        <v>0.02</v>
      </c>
      <c r="K1993" s="44">
        <f>Sales[[#This Row],[Gross Amount]]*Sales[[#This Row],[Disc %]]</f>
        <v>606.20000000000005</v>
      </c>
      <c r="L1993" s="43">
        <v>0.18</v>
      </c>
      <c r="M1993" s="44">
        <f>(Sales[[#This Row],[Gross Amount]]-Sales[[#This Row],[Disc. Amt.]])*Sales[[#This Row],[GST %]]</f>
        <v>5346.6839999999993</v>
      </c>
      <c r="N1993" s="161">
        <f>Sales[[#This Row],[Gross Amount]]-Sales[[#This Row],[Disc. Amt.]]+Sales[[#This Row],[GST Amount]]</f>
        <v>35050.483999999997</v>
      </c>
      <c r="O1993" s="158" t="s">
        <v>3569</v>
      </c>
      <c r="P1993" s="158" t="s">
        <v>3562</v>
      </c>
      <c r="Q1993" s="160">
        <f>IF(Sales[[#This Row],[Status]]="Cancelled",0,Sales[[#This Row],[Qty]])</f>
        <v>7</v>
      </c>
      <c r="R1993" s="161">
        <f>IF(Sales[[#This Row],[Status]]="Cancelled",0,Sales[[#This Row],[Total Amount]])</f>
        <v>35050.483999999997</v>
      </c>
      <c r="S1993" s="162">
        <f>SUM(Sales[Net Amount])</f>
        <v>406839287.73200053</v>
      </c>
    </row>
    <row r="1994" spans="1:19" ht="18.75" x14ac:dyDescent="0.25">
      <c r="A1994" s="163" t="s">
        <v>5611</v>
      </c>
      <c r="B1994" s="164">
        <v>45880</v>
      </c>
      <c r="C1994" s="34" t="s">
        <v>887</v>
      </c>
      <c r="D1994" s="53" t="str">
        <f>VLOOKUP(Sales[[#This Row],[Customer ID]],Customer[#All],2,0)</f>
        <v>Sahil Verma</v>
      </c>
      <c r="E1994" s="34" t="s">
        <v>473</v>
      </c>
      <c r="F1994" s="34" t="str">
        <f>VLOOKUP(Sales[[#This Row],[Product ID]],Product[#All],2,0)</f>
        <v>Boat Headset</v>
      </c>
      <c r="G1994" s="53">
        <v>1</v>
      </c>
      <c r="H1994" s="165">
        <f>VLOOKUP(Sales[[#This Row],[Product ID]],Product[#All],7,0)</f>
        <v>2840</v>
      </c>
      <c r="I1994" s="165">
        <f>Sales[[#This Row],[Selling Rate]]*Sales[[#This Row],[Qty]]</f>
        <v>2840</v>
      </c>
      <c r="J1994" s="45">
        <v>0</v>
      </c>
      <c r="K1994" s="46">
        <f>Sales[[#This Row],[Gross Amount]]*Sales[[#This Row],[Disc %]]</f>
        <v>0</v>
      </c>
      <c r="L1994" s="43">
        <v>0.18</v>
      </c>
      <c r="M1994" s="46">
        <f>(Sales[[#This Row],[Gross Amount]]-Sales[[#This Row],[Disc. Amt.]])*Sales[[#This Row],[GST %]]</f>
        <v>511.2</v>
      </c>
      <c r="N1994" s="161">
        <f>Sales[[#This Row],[Gross Amount]]-Sales[[#This Row],[Disc. Amt.]]+Sales[[#This Row],[GST Amount]]</f>
        <v>3351.2</v>
      </c>
      <c r="O1994" s="34" t="s">
        <v>8876</v>
      </c>
      <c r="P1994" s="34" t="s">
        <v>3562</v>
      </c>
      <c r="Q1994" s="165">
        <f>IF(Sales[[#This Row],[Status]]="Cancelled",0,Sales[[#This Row],[Qty]])</f>
        <v>1</v>
      </c>
      <c r="R1994" s="166">
        <f>IF(Sales[[#This Row],[Status]]="Cancelled",0,Sales[[#This Row],[Total Amount]])</f>
        <v>3351.2</v>
      </c>
      <c r="S1994" s="162">
        <f>SUM(Sales[Net Amount])</f>
        <v>406839287.73200053</v>
      </c>
    </row>
    <row r="1995" spans="1:19" ht="18.75" x14ac:dyDescent="0.25">
      <c r="A1995" s="156" t="s">
        <v>5612</v>
      </c>
      <c r="B1995" s="157">
        <v>45880</v>
      </c>
      <c r="C1995" s="158" t="s">
        <v>838</v>
      </c>
      <c r="D1995" s="159" t="str">
        <f>VLOOKUP(Sales[[#This Row],[Customer ID]],Customer[#All],2,0)</f>
        <v>Priya Gupta</v>
      </c>
      <c r="E1995" s="158" t="s">
        <v>508</v>
      </c>
      <c r="F1995" s="158" t="str">
        <f>VLOOKUP(Sales[[#This Row],[Product ID]],Product[#All],2,0)</f>
        <v>American TouristerLaptopBag</v>
      </c>
      <c r="G1995" s="159">
        <v>2</v>
      </c>
      <c r="H1995" s="160">
        <f>VLOOKUP(Sales[[#This Row],[Product ID]],Product[#All],7,0)</f>
        <v>2340</v>
      </c>
      <c r="I1995" s="160">
        <f>Sales[[#This Row],[Selling Rate]]*Sales[[#This Row],[Qty]]</f>
        <v>4680</v>
      </c>
      <c r="J1995" s="43">
        <v>0.02</v>
      </c>
      <c r="K1995" s="44">
        <f>Sales[[#This Row],[Gross Amount]]*Sales[[#This Row],[Disc %]]</f>
        <v>93.600000000000009</v>
      </c>
      <c r="L1995" s="43">
        <v>0.18</v>
      </c>
      <c r="M1995" s="44">
        <f>(Sales[[#This Row],[Gross Amount]]-Sales[[#This Row],[Disc. Amt.]])*Sales[[#This Row],[GST %]]</f>
        <v>825.55199999999991</v>
      </c>
      <c r="N1995" s="161">
        <f>Sales[[#This Row],[Gross Amount]]-Sales[[#This Row],[Disc. Amt.]]+Sales[[#This Row],[GST Amount]]</f>
        <v>5411.9519999999993</v>
      </c>
      <c r="O1995" s="158" t="s">
        <v>3561</v>
      </c>
      <c r="P1995" s="158" t="s">
        <v>3562</v>
      </c>
      <c r="Q1995" s="160">
        <f>IF(Sales[[#This Row],[Status]]="Cancelled",0,Sales[[#This Row],[Qty]])</f>
        <v>2</v>
      </c>
      <c r="R1995" s="161">
        <f>IF(Sales[[#This Row],[Status]]="Cancelled",0,Sales[[#This Row],[Total Amount]])</f>
        <v>5411.9519999999993</v>
      </c>
      <c r="S1995" s="162">
        <f>SUM(Sales[Net Amount])</f>
        <v>406839287.73200053</v>
      </c>
    </row>
    <row r="1996" spans="1:19" ht="18.75" x14ac:dyDescent="0.25">
      <c r="A1996" s="163" t="s">
        <v>5613</v>
      </c>
      <c r="B1996" s="164">
        <v>45880</v>
      </c>
      <c r="C1996" s="34" t="s">
        <v>716</v>
      </c>
      <c r="D1996" s="53" t="str">
        <f>VLOOKUP(Sales[[#This Row],[Customer ID]],Customer[#All],2,0)</f>
        <v>Ankit Kumar</v>
      </c>
      <c r="E1996" s="34" t="s">
        <v>80</v>
      </c>
      <c r="F1996" s="34" t="str">
        <f>VLOOKUP(Sales[[#This Row],[Product ID]],Product[#All],2,0)</f>
        <v>Epson Printer</v>
      </c>
      <c r="G1996" s="53">
        <v>3</v>
      </c>
      <c r="H1996" s="165">
        <f>VLOOKUP(Sales[[#This Row],[Product ID]],Product[#All],7,0)</f>
        <v>41620</v>
      </c>
      <c r="I1996" s="165">
        <f>Sales[[#This Row],[Selling Rate]]*Sales[[#This Row],[Qty]]</f>
        <v>124860</v>
      </c>
      <c r="J1996" s="45">
        <v>0</v>
      </c>
      <c r="K1996" s="46">
        <f>Sales[[#This Row],[Gross Amount]]*Sales[[#This Row],[Disc %]]</f>
        <v>0</v>
      </c>
      <c r="L1996" s="43">
        <v>0.18</v>
      </c>
      <c r="M1996" s="46">
        <f>(Sales[[#This Row],[Gross Amount]]-Sales[[#This Row],[Disc. Amt.]])*Sales[[#This Row],[GST %]]</f>
        <v>22474.799999999999</v>
      </c>
      <c r="N1996" s="161">
        <f>Sales[[#This Row],[Gross Amount]]-Sales[[#This Row],[Disc. Amt.]]+Sales[[#This Row],[GST Amount]]</f>
        <v>147334.79999999999</v>
      </c>
      <c r="O1996" s="34" t="s">
        <v>3566</v>
      </c>
      <c r="P1996" s="34" t="s">
        <v>3562</v>
      </c>
      <c r="Q1996" s="165">
        <f>IF(Sales[[#This Row],[Status]]="Cancelled",0,Sales[[#This Row],[Qty]])</f>
        <v>3</v>
      </c>
      <c r="R1996" s="166">
        <f>IF(Sales[[#This Row],[Status]]="Cancelled",0,Sales[[#This Row],[Total Amount]])</f>
        <v>147334.79999999999</v>
      </c>
      <c r="S1996" s="162">
        <f>SUM(Sales[Net Amount])</f>
        <v>406839287.73200053</v>
      </c>
    </row>
    <row r="1997" spans="1:19" ht="18.75" x14ac:dyDescent="0.25">
      <c r="A1997" s="156" t="s">
        <v>5614</v>
      </c>
      <c r="B1997" s="157">
        <v>45880</v>
      </c>
      <c r="C1997" s="158" t="s">
        <v>914</v>
      </c>
      <c r="D1997" s="159" t="str">
        <f>VLOOKUP(Sales[[#This Row],[Customer ID]],Customer[#All],2,0)</f>
        <v>Rakesh Patel</v>
      </c>
      <c r="E1997" s="158" t="s">
        <v>38</v>
      </c>
      <c r="F1997" s="158" t="str">
        <f>VLOOKUP(Sales[[#This Row],[Product ID]],Product[#All],2,0)</f>
        <v>Lenovo Laptop</v>
      </c>
      <c r="G1997" s="159">
        <v>1</v>
      </c>
      <c r="H1997" s="160">
        <f>VLOOKUP(Sales[[#This Row],[Product ID]],Product[#All],7,0)</f>
        <v>77490</v>
      </c>
      <c r="I1997" s="160">
        <f>Sales[[#This Row],[Selling Rate]]*Sales[[#This Row],[Qty]]</f>
        <v>77490</v>
      </c>
      <c r="J1997" s="43">
        <v>0.12</v>
      </c>
      <c r="K1997" s="44">
        <f>Sales[[#This Row],[Gross Amount]]*Sales[[#This Row],[Disc %]]</f>
        <v>9298.7999999999993</v>
      </c>
      <c r="L1997" s="43">
        <v>0.18</v>
      </c>
      <c r="M1997" s="44">
        <f>(Sales[[#This Row],[Gross Amount]]-Sales[[#This Row],[Disc. Amt.]])*Sales[[#This Row],[GST %]]</f>
        <v>12274.415999999999</v>
      </c>
      <c r="N1997" s="161">
        <f>Sales[[#This Row],[Gross Amount]]-Sales[[#This Row],[Disc. Amt.]]+Sales[[#This Row],[GST Amount]]</f>
        <v>80465.615999999995</v>
      </c>
      <c r="O1997" s="158" t="s">
        <v>3569</v>
      </c>
      <c r="P1997" s="158" t="s">
        <v>3562</v>
      </c>
      <c r="Q1997" s="160">
        <f>IF(Sales[[#This Row],[Status]]="Cancelled",0,Sales[[#This Row],[Qty]])</f>
        <v>1</v>
      </c>
      <c r="R1997" s="161">
        <f>IF(Sales[[#This Row],[Status]]="Cancelled",0,Sales[[#This Row],[Total Amount]])</f>
        <v>80465.615999999995</v>
      </c>
      <c r="S1997" s="162">
        <f>SUM(Sales[Net Amount])</f>
        <v>406839287.73200053</v>
      </c>
    </row>
    <row r="1998" spans="1:19" ht="18.75" x14ac:dyDescent="0.25">
      <c r="A1998" s="163" t="s">
        <v>5615</v>
      </c>
      <c r="B1998" s="164">
        <v>45880</v>
      </c>
      <c r="C1998" s="34" t="s">
        <v>910</v>
      </c>
      <c r="D1998" s="53" t="str">
        <f>VLOOKUP(Sales[[#This Row],[Customer ID]],Customer[#All],2,0)</f>
        <v>Sahil Sharma</v>
      </c>
      <c r="E1998" s="34" t="s">
        <v>105</v>
      </c>
      <c r="F1998" s="34" t="str">
        <f>VLOOKUP(Sales[[#This Row],[Product ID]],Product[#All],2,0)</f>
        <v>HP Power Adapter</v>
      </c>
      <c r="G1998" s="53">
        <v>7</v>
      </c>
      <c r="H1998" s="165">
        <f>VLOOKUP(Sales[[#This Row],[Product ID]],Product[#All],7,0)</f>
        <v>3280</v>
      </c>
      <c r="I1998" s="165">
        <f>Sales[[#This Row],[Selling Rate]]*Sales[[#This Row],[Qty]]</f>
        <v>22960</v>
      </c>
      <c r="J1998" s="45">
        <v>0.12</v>
      </c>
      <c r="K1998" s="46">
        <f>Sales[[#This Row],[Gross Amount]]*Sales[[#This Row],[Disc %]]</f>
        <v>2755.2</v>
      </c>
      <c r="L1998" s="43">
        <v>0.18</v>
      </c>
      <c r="M1998" s="46">
        <f>(Sales[[#This Row],[Gross Amount]]-Sales[[#This Row],[Disc. Amt.]])*Sales[[#This Row],[GST %]]</f>
        <v>3636.8639999999996</v>
      </c>
      <c r="N1998" s="161">
        <f>Sales[[#This Row],[Gross Amount]]-Sales[[#This Row],[Disc. Amt.]]+Sales[[#This Row],[GST Amount]]</f>
        <v>23841.663999999997</v>
      </c>
      <c r="O1998" s="34" t="s">
        <v>3561</v>
      </c>
      <c r="P1998" s="34" t="s">
        <v>3562</v>
      </c>
      <c r="Q1998" s="165">
        <f>IF(Sales[[#This Row],[Status]]="Cancelled",0,Sales[[#This Row],[Qty]])</f>
        <v>7</v>
      </c>
      <c r="R1998" s="166">
        <f>IF(Sales[[#This Row],[Status]]="Cancelled",0,Sales[[#This Row],[Total Amount]])</f>
        <v>23841.663999999997</v>
      </c>
      <c r="S1998" s="162">
        <f>SUM(Sales[Net Amount])</f>
        <v>406839287.73200053</v>
      </c>
    </row>
    <row r="1999" spans="1:19" ht="18.75" x14ac:dyDescent="0.25">
      <c r="A1999" s="156" t="s">
        <v>5616</v>
      </c>
      <c r="B1999" s="157">
        <v>45880</v>
      </c>
      <c r="C1999" s="158" t="s">
        <v>741</v>
      </c>
      <c r="D1999" s="159" t="str">
        <f>VLOOKUP(Sales[[#This Row],[Customer ID]],Customer[#All],2,0)</f>
        <v>Rahul Patel</v>
      </c>
      <c r="E1999" s="158" t="s">
        <v>177</v>
      </c>
      <c r="F1999" s="158" t="str">
        <f>VLOOKUP(Sales[[#This Row],[Product ID]],Product[#All],2,0)</f>
        <v>Dell Laptop</v>
      </c>
      <c r="G1999" s="159">
        <v>3</v>
      </c>
      <c r="H1999" s="160">
        <f>VLOOKUP(Sales[[#This Row],[Product ID]],Product[#All],7,0)</f>
        <v>56790</v>
      </c>
      <c r="I1999" s="160">
        <f>Sales[[#This Row],[Selling Rate]]*Sales[[#This Row],[Qty]]</f>
        <v>170370</v>
      </c>
      <c r="J1999" s="43">
        <v>0.02</v>
      </c>
      <c r="K1999" s="44">
        <f>Sales[[#This Row],[Gross Amount]]*Sales[[#This Row],[Disc %]]</f>
        <v>3407.4</v>
      </c>
      <c r="L1999" s="43">
        <v>0.18</v>
      </c>
      <c r="M1999" s="44">
        <f>(Sales[[#This Row],[Gross Amount]]-Sales[[#This Row],[Disc. Amt.]])*Sales[[#This Row],[GST %]]</f>
        <v>30053.268</v>
      </c>
      <c r="N1999" s="161">
        <f>Sales[[#This Row],[Gross Amount]]-Sales[[#This Row],[Disc. Amt.]]+Sales[[#This Row],[GST Amount]]</f>
        <v>197015.86800000002</v>
      </c>
      <c r="O1999" s="158" t="s">
        <v>3561</v>
      </c>
      <c r="P1999" s="158" t="s">
        <v>3562</v>
      </c>
      <c r="Q1999" s="160">
        <f>IF(Sales[[#This Row],[Status]]="Cancelled",0,Sales[[#This Row],[Qty]])</f>
        <v>3</v>
      </c>
      <c r="R1999" s="161">
        <f>IF(Sales[[#This Row],[Status]]="Cancelled",0,Sales[[#This Row],[Total Amount]])</f>
        <v>197015.86800000002</v>
      </c>
      <c r="S1999" s="162">
        <f>SUM(Sales[Net Amount])</f>
        <v>406839287.73200053</v>
      </c>
    </row>
    <row r="2000" spans="1:19" ht="18.75" x14ac:dyDescent="0.25">
      <c r="A2000" s="163" t="s">
        <v>5617</v>
      </c>
      <c r="B2000" s="164">
        <v>45880</v>
      </c>
      <c r="C2000" s="34" t="s">
        <v>900</v>
      </c>
      <c r="D2000" s="53" t="str">
        <f>VLOOKUP(Sales[[#This Row],[Customer ID]],Customer[#All],2,0)</f>
        <v>Neha Kumar</v>
      </c>
      <c r="E2000" s="34" t="s">
        <v>224</v>
      </c>
      <c r="F2000" s="34" t="str">
        <f>VLOOKUP(Sales[[#This Row],[Product ID]],Product[#All],2,0)</f>
        <v>Seagate HDD</v>
      </c>
      <c r="G2000" s="53">
        <v>7</v>
      </c>
      <c r="H2000" s="165">
        <f>VLOOKUP(Sales[[#This Row],[Product ID]],Product[#All],7,0)</f>
        <v>8130</v>
      </c>
      <c r="I2000" s="165">
        <f>Sales[[#This Row],[Selling Rate]]*Sales[[#This Row],[Qty]]</f>
        <v>56910</v>
      </c>
      <c r="J2000" s="45">
        <v>0.02</v>
      </c>
      <c r="K2000" s="46">
        <f>Sales[[#This Row],[Gross Amount]]*Sales[[#This Row],[Disc %]]</f>
        <v>1138.2</v>
      </c>
      <c r="L2000" s="43">
        <v>0.18</v>
      </c>
      <c r="M2000" s="46">
        <f>(Sales[[#This Row],[Gross Amount]]-Sales[[#This Row],[Disc. Amt.]])*Sales[[#This Row],[GST %]]</f>
        <v>10038.924000000001</v>
      </c>
      <c r="N2000" s="161">
        <f>Sales[[#This Row],[Gross Amount]]-Sales[[#This Row],[Disc. Amt.]]+Sales[[#This Row],[GST Amount]]</f>
        <v>65810.724000000002</v>
      </c>
      <c r="O2000" s="34" t="s">
        <v>3561</v>
      </c>
      <c r="P2000" s="34" t="s">
        <v>3562</v>
      </c>
      <c r="Q2000" s="165">
        <f>IF(Sales[[#This Row],[Status]]="Cancelled",0,Sales[[#This Row],[Qty]])</f>
        <v>7</v>
      </c>
      <c r="R2000" s="166">
        <f>IF(Sales[[#This Row],[Status]]="Cancelled",0,Sales[[#This Row],[Total Amount]])</f>
        <v>65810.724000000002</v>
      </c>
      <c r="S2000" s="162">
        <f>SUM(Sales[Net Amount])</f>
        <v>406839287.73200053</v>
      </c>
    </row>
    <row r="2001" spans="1:19" ht="18.75" x14ac:dyDescent="0.25">
      <c r="A2001" s="156" t="s">
        <v>5618</v>
      </c>
      <c r="B2001" s="157">
        <v>45880</v>
      </c>
      <c r="C2001" s="158" t="s">
        <v>850</v>
      </c>
      <c r="D2001" s="159" t="str">
        <f>VLOOKUP(Sales[[#This Row],[Customer ID]],Customer[#All],2,0)</f>
        <v>Sahil Patel</v>
      </c>
      <c r="E2001" s="158" t="s">
        <v>153</v>
      </c>
      <c r="F2001" s="158" t="str">
        <f>VLOOKUP(Sales[[#This Row],[Product ID]],Product[#All],2,0)</f>
        <v>HP Mouse</v>
      </c>
      <c r="G2001" s="159">
        <v>7</v>
      </c>
      <c r="H2001" s="160">
        <f>VLOOKUP(Sales[[#This Row],[Product ID]],Product[#All],7,0)</f>
        <v>1070</v>
      </c>
      <c r="I2001" s="160">
        <f>Sales[[#This Row],[Selling Rate]]*Sales[[#This Row],[Qty]]</f>
        <v>7490</v>
      </c>
      <c r="J2001" s="43">
        <v>0.1</v>
      </c>
      <c r="K2001" s="44">
        <f>Sales[[#This Row],[Gross Amount]]*Sales[[#This Row],[Disc %]]</f>
        <v>749</v>
      </c>
      <c r="L2001" s="43">
        <v>0.18</v>
      </c>
      <c r="M2001" s="44">
        <f>(Sales[[#This Row],[Gross Amount]]-Sales[[#This Row],[Disc. Amt.]])*Sales[[#This Row],[GST %]]</f>
        <v>1213.3799999999999</v>
      </c>
      <c r="N2001" s="161">
        <f>Sales[[#This Row],[Gross Amount]]-Sales[[#This Row],[Disc. Amt.]]+Sales[[#This Row],[GST Amount]]</f>
        <v>7954.38</v>
      </c>
      <c r="O2001" s="158" t="s">
        <v>3566</v>
      </c>
      <c r="P2001" s="158" t="s">
        <v>3562</v>
      </c>
      <c r="Q2001" s="160">
        <f>IF(Sales[[#This Row],[Status]]="Cancelled",0,Sales[[#This Row],[Qty]])</f>
        <v>7</v>
      </c>
      <c r="R2001" s="161">
        <f>IF(Sales[[#This Row],[Status]]="Cancelled",0,Sales[[#This Row],[Total Amount]])</f>
        <v>7954.38</v>
      </c>
      <c r="S2001" s="162">
        <f>SUM(Sales[Net Amount])</f>
        <v>406839287.73200053</v>
      </c>
    </row>
    <row r="2002" spans="1:19" ht="18.75" x14ac:dyDescent="0.25">
      <c r="A2002" s="163" t="s">
        <v>5619</v>
      </c>
      <c r="B2002" s="164">
        <v>45880</v>
      </c>
      <c r="C2002" s="34" t="s">
        <v>785</v>
      </c>
      <c r="D2002" s="53" t="str">
        <f>VLOOKUP(Sales[[#This Row],[Customer ID]],Customer[#All],2,0)</f>
        <v>Ankit Gupta</v>
      </c>
      <c r="E2002" s="34" t="s">
        <v>135</v>
      </c>
      <c r="F2002" s="34" t="str">
        <f>VLOOKUP(Sales[[#This Row],[Product ID]],Product[#All],2,0)</f>
        <v>Kingston Ram</v>
      </c>
      <c r="G2002" s="53">
        <v>3</v>
      </c>
      <c r="H2002" s="165">
        <f>VLOOKUP(Sales[[#This Row],[Product ID]],Product[#All],7,0)</f>
        <v>3100</v>
      </c>
      <c r="I2002" s="165">
        <f>Sales[[#This Row],[Selling Rate]]*Sales[[#This Row],[Qty]]</f>
        <v>9300</v>
      </c>
      <c r="J2002" s="45">
        <v>0.05</v>
      </c>
      <c r="K2002" s="46">
        <f>Sales[[#This Row],[Gross Amount]]*Sales[[#This Row],[Disc %]]</f>
        <v>465</v>
      </c>
      <c r="L2002" s="43">
        <v>0.18</v>
      </c>
      <c r="M2002" s="46">
        <f>(Sales[[#This Row],[Gross Amount]]-Sales[[#This Row],[Disc. Amt.]])*Sales[[#This Row],[GST %]]</f>
        <v>1590.3</v>
      </c>
      <c r="N2002" s="161">
        <f>Sales[[#This Row],[Gross Amount]]-Sales[[#This Row],[Disc. Amt.]]+Sales[[#This Row],[GST Amount]]</f>
        <v>10425.299999999999</v>
      </c>
      <c r="O2002" s="34" t="s">
        <v>3566</v>
      </c>
      <c r="P2002" s="34" t="s">
        <v>3562</v>
      </c>
      <c r="Q2002" s="165">
        <f>IF(Sales[[#This Row],[Status]]="Cancelled",0,Sales[[#This Row],[Qty]])</f>
        <v>3</v>
      </c>
      <c r="R2002" s="166">
        <f>IF(Sales[[#This Row],[Status]]="Cancelled",0,Sales[[#This Row],[Total Amount]])</f>
        <v>10425.299999999999</v>
      </c>
      <c r="S2002" s="162">
        <f>SUM(Sales[Net Amount])</f>
        <v>406839287.73200053</v>
      </c>
    </row>
    <row r="2003" spans="1:19" ht="18.75" x14ac:dyDescent="0.25">
      <c r="A2003" s="156" t="s">
        <v>5620</v>
      </c>
      <c r="B2003" s="157">
        <v>45880</v>
      </c>
      <c r="C2003" s="158" t="s">
        <v>765</v>
      </c>
      <c r="D2003" s="159" t="str">
        <f>VLOOKUP(Sales[[#This Row],[Customer ID]],Customer[#All],2,0)</f>
        <v>Neha Gupta</v>
      </c>
      <c r="E2003" s="158" t="s">
        <v>253</v>
      </c>
      <c r="F2003" s="158" t="str">
        <f>VLOOKUP(Sales[[#This Row],[Product ID]],Product[#All],2,0)</f>
        <v>Acer Laptop</v>
      </c>
      <c r="G2003" s="159">
        <v>2</v>
      </c>
      <c r="H2003" s="160">
        <f>VLOOKUP(Sales[[#This Row],[Product ID]],Product[#All],7,0)</f>
        <v>40550</v>
      </c>
      <c r="I2003" s="160">
        <f>Sales[[#This Row],[Selling Rate]]*Sales[[#This Row],[Qty]]</f>
        <v>81100</v>
      </c>
      <c r="J2003" s="43">
        <v>0.1</v>
      </c>
      <c r="K2003" s="44">
        <f>Sales[[#This Row],[Gross Amount]]*Sales[[#This Row],[Disc %]]</f>
        <v>8110</v>
      </c>
      <c r="L2003" s="43">
        <v>0.18</v>
      </c>
      <c r="M2003" s="44">
        <f>(Sales[[#This Row],[Gross Amount]]-Sales[[#This Row],[Disc. Amt.]])*Sales[[#This Row],[GST %]]</f>
        <v>13138.199999999999</v>
      </c>
      <c r="N2003" s="161">
        <f>Sales[[#This Row],[Gross Amount]]-Sales[[#This Row],[Disc. Amt.]]+Sales[[#This Row],[GST Amount]]</f>
        <v>86128.2</v>
      </c>
      <c r="O2003" s="158" t="s">
        <v>3561</v>
      </c>
      <c r="P2003" s="158" t="s">
        <v>3562</v>
      </c>
      <c r="Q2003" s="160">
        <f>IF(Sales[[#This Row],[Status]]="Cancelled",0,Sales[[#This Row],[Qty]])</f>
        <v>2</v>
      </c>
      <c r="R2003" s="161">
        <f>IF(Sales[[#This Row],[Status]]="Cancelled",0,Sales[[#This Row],[Total Amount]])</f>
        <v>86128.2</v>
      </c>
      <c r="S2003" s="162">
        <f>SUM(Sales[Net Amount])</f>
        <v>406839287.73200053</v>
      </c>
    </row>
    <row r="2004" spans="1:19" ht="18.75" x14ac:dyDescent="0.25">
      <c r="A2004" s="163" t="s">
        <v>5621</v>
      </c>
      <c r="B2004" s="164">
        <v>45880</v>
      </c>
      <c r="C2004" s="34" t="s">
        <v>951</v>
      </c>
      <c r="D2004" s="53" t="str">
        <f>VLOOKUP(Sales[[#This Row],[Customer ID]],Customer[#All],2,0)</f>
        <v>Rahul Singh</v>
      </c>
      <c r="E2004" s="34" t="s">
        <v>227</v>
      </c>
      <c r="F2004" s="34" t="str">
        <f>VLOOKUP(Sales[[#This Row],[Product ID]],Product[#All],2,0)</f>
        <v>Corsair Ram</v>
      </c>
      <c r="G2004" s="53">
        <v>5</v>
      </c>
      <c r="H2004" s="165">
        <f>VLOOKUP(Sales[[#This Row],[Product ID]],Product[#All],7,0)</f>
        <v>14420</v>
      </c>
      <c r="I2004" s="165">
        <f>Sales[[#This Row],[Selling Rate]]*Sales[[#This Row],[Qty]]</f>
        <v>72100</v>
      </c>
      <c r="J2004" s="45">
        <v>0.1</v>
      </c>
      <c r="K2004" s="46">
        <f>Sales[[#This Row],[Gross Amount]]*Sales[[#This Row],[Disc %]]</f>
        <v>7210</v>
      </c>
      <c r="L2004" s="43">
        <v>0.18</v>
      </c>
      <c r="M2004" s="46">
        <f>(Sales[[#This Row],[Gross Amount]]-Sales[[#This Row],[Disc. Amt.]])*Sales[[#This Row],[GST %]]</f>
        <v>11680.199999999999</v>
      </c>
      <c r="N2004" s="161">
        <f>Sales[[#This Row],[Gross Amount]]-Sales[[#This Row],[Disc. Amt.]]+Sales[[#This Row],[GST Amount]]</f>
        <v>76570.2</v>
      </c>
      <c r="O2004" s="34" t="s">
        <v>8876</v>
      </c>
      <c r="P2004" s="34" t="s">
        <v>3562</v>
      </c>
      <c r="Q2004" s="165">
        <f>IF(Sales[[#This Row],[Status]]="Cancelled",0,Sales[[#This Row],[Qty]])</f>
        <v>5</v>
      </c>
      <c r="R2004" s="166">
        <f>IF(Sales[[#This Row],[Status]]="Cancelled",0,Sales[[#This Row],[Total Amount]])</f>
        <v>76570.2</v>
      </c>
      <c r="S2004" s="162">
        <f>SUM(Sales[Net Amount])</f>
        <v>406839287.73200053</v>
      </c>
    </row>
    <row r="2005" spans="1:19" ht="18.75" x14ac:dyDescent="0.25">
      <c r="A2005" s="156" t="s">
        <v>5622</v>
      </c>
      <c r="B2005" s="157">
        <v>45880</v>
      </c>
      <c r="C2005" s="158" t="s">
        <v>949</v>
      </c>
      <c r="D2005" s="159" t="str">
        <f>VLOOKUP(Sales[[#This Row],[Customer ID]],Customer[#All],2,0)</f>
        <v>Amit Patel</v>
      </c>
      <c r="E2005" s="158" t="s">
        <v>444</v>
      </c>
      <c r="F2005" s="158" t="str">
        <f>VLOOKUP(Sales[[#This Row],[Product ID]],Product[#All],2,0)</f>
        <v>Dell Desktop</v>
      </c>
      <c r="G2005" s="159">
        <v>5</v>
      </c>
      <c r="H2005" s="160">
        <f>VLOOKUP(Sales[[#This Row],[Product ID]],Product[#All],7,0)</f>
        <v>55730</v>
      </c>
      <c r="I2005" s="160">
        <f>Sales[[#This Row],[Selling Rate]]*Sales[[#This Row],[Qty]]</f>
        <v>278650</v>
      </c>
      <c r="J2005" s="43">
        <v>0.05</v>
      </c>
      <c r="K2005" s="44">
        <f>Sales[[#This Row],[Gross Amount]]*Sales[[#This Row],[Disc %]]</f>
        <v>13932.5</v>
      </c>
      <c r="L2005" s="43">
        <v>0.18</v>
      </c>
      <c r="M2005" s="44">
        <f>(Sales[[#This Row],[Gross Amount]]-Sales[[#This Row],[Disc. Amt.]])*Sales[[#This Row],[GST %]]</f>
        <v>47649.15</v>
      </c>
      <c r="N2005" s="161">
        <f>Sales[[#This Row],[Gross Amount]]-Sales[[#This Row],[Disc. Amt.]]+Sales[[#This Row],[GST Amount]]</f>
        <v>312366.65000000002</v>
      </c>
      <c r="O2005" s="158" t="s">
        <v>8876</v>
      </c>
      <c r="P2005" s="158" t="s">
        <v>3562</v>
      </c>
      <c r="Q2005" s="160">
        <f>IF(Sales[[#This Row],[Status]]="Cancelled",0,Sales[[#This Row],[Qty]])</f>
        <v>5</v>
      </c>
      <c r="R2005" s="161">
        <f>IF(Sales[[#This Row],[Status]]="Cancelled",0,Sales[[#This Row],[Total Amount]])</f>
        <v>312366.65000000002</v>
      </c>
      <c r="S2005" s="162">
        <f>SUM(Sales[Net Amount])</f>
        <v>406839287.73200053</v>
      </c>
    </row>
    <row r="2006" spans="1:19" ht="18.75" x14ac:dyDescent="0.25">
      <c r="A2006" s="163" t="s">
        <v>5623</v>
      </c>
      <c r="B2006" s="164">
        <v>45880</v>
      </c>
      <c r="C2006" s="34" t="s">
        <v>702</v>
      </c>
      <c r="D2006" s="53" t="str">
        <f>VLOOKUP(Sales[[#This Row],[Customer ID]],Customer[#All],2,0)</f>
        <v>Amit Patel</v>
      </c>
      <c r="E2006" s="34" t="s">
        <v>215</v>
      </c>
      <c r="F2006" s="34" t="str">
        <f>VLOOKUP(Sales[[#This Row],[Product ID]],Product[#All],2,0)</f>
        <v>Apc UPS</v>
      </c>
      <c r="G2006" s="53">
        <v>5</v>
      </c>
      <c r="H2006" s="165">
        <f>VLOOKUP(Sales[[#This Row],[Product ID]],Product[#All],7,0)</f>
        <v>10210</v>
      </c>
      <c r="I2006" s="165">
        <f>Sales[[#This Row],[Selling Rate]]*Sales[[#This Row],[Qty]]</f>
        <v>51050</v>
      </c>
      <c r="J2006" s="45">
        <v>0.05</v>
      </c>
      <c r="K2006" s="46">
        <f>Sales[[#This Row],[Gross Amount]]*Sales[[#This Row],[Disc %]]</f>
        <v>2552.5</v>
      </c>
      <c r="L2006" s="43">
        <v>0.18</v>
      </c>
      <c r="M2006" s="46">
        <f>(Sales[[#This Row],[Gross Amount]]-Sales[[#This Row],[Disc. Amt.]])*Sales[[#This Row],[GST %]]</f>
        <v>8729.5499999999993</v>
      </c>
      <c r="N2006" s="161">
        <f>Sales[[#This Row],[Gross Amount]]-Sales[[#This Row],[Disc. Amt.]]+Sales[[#This Row],[GST Amount]]</f>
        <v>57227.05</v>
      </c>
      <c r="O2006" s="34" t="s">
        <v>3569</v>
      </c>
      <c r="P2006" s="34" t="s">
        <v>3562</v>
      </c>
      <c r="Q2006" s="165">
        <f>IF(Sales[[#This Row],[Status]]="Cancelled",0,Sales[[#This Row],[Qty]])</f>
        <v>5</v>
      </c>
      <c r="R2006" s="166">
        <f>IF(Sales[[#This Row],[Status]]="Cancelled",0,Sales[[#This Row],[Total Amount]])</f>
        <v>57227.05</v>
      </c>
      <c r="S2006" s="162">
        <f>SUM(Sales[Net Amount])</f>
        <v>406839287.73200053</v>
      </c>
    </row>
    <row r="2007" spans="1:19" ht="18.75" x14ac:dyDescent="0.25">
      <c r="A2007" s="156" t="s">
        <v>5624</v>
      </c>
      <c r="B2007" s="157">
        <v>45880</v>
      </c>
      <c r="C2007" s="158" t="s">
        <v>875</v>
      </c>
      <c r="D2007" s="159" t="str">
        <f>VLOOKUP(Sales[[#This Row],[Customer ID]],Customer[#All],2,0)</f>
        <v>Rahul Verma</v>
      </c>
      <c r="E2007" s="158" t="s">
        <v>391</v>
      </c>
      <c r="F2007" s="158" t="str">
        <f>VLOOKUP(Sales[[#This Row],[Product ID]],Product[#All],2,0)</f>
        <v>Seagate HDD</v>
      </c>
      <c r="G2007" s="159">
        <v>4</v>
      </c>
      <c r="H2007" s="160">
        <f>VLOOKUP(Sales[[#This Row],[Product ID]],Product[#All],7,0)</f>
        <v>10370</v>
      </c>
      <c r="I2007" s="160">
        <f>Sales[[#This Row],[Selling Rate]]*Sales[[#This Row],[Qty]]</f>
        <v>41480</v>
      </c>
      <c r="J2007" s="43">
        <v>0.05</v>
      </c>
      <c r="K2007" s="44">
        <f>Sales[[#This Row],[Gross Amount]]*Sales[[#This Row],[Disc %]]</f>
        <v>2074</v>
      </c>
      <c r="L2007" s="43">
        <v>0.18</v>
      </c>
      <c r="M2007" s="44">
        <f>(Sales[[#This Row],[Gross Amount]]-Sales[[#This Row],[Disc. Amt.]])*Sales[[#This Row],[GST %]]</f>
        <v>7093.08</v>
      </c>
      <c r="N2007" s="161">
        <f>Sales[[#This Row],[Gross Amount]]-Sales[[#This Row],[Disc. Amt.]]+Sales[[#This Row],[GST Amount]]</f>
        <v>46499.08</v>
      </c>
      <c r="O2007" s="158" t="s">
        <v>3561</v>
      </c>
      <c r="P2007" s="158" t="s">
        <v>3562</v>
      </c>
      <c r="Q2007" s="160">
        <f>IF(Sales[[#This Row],[Status]]="Cancelled",0,Sales[[#This Row],[Qty]])</f>
        <v>4</v>
      </c>
      <c r="R2007" s="161">
        <f>IF(Sales[[#This Row],[Status]]="Cancelled",0,Sales[[#This Row],[Total Amount]])</f>
        <v>46499.08</v>
      </c>
      <c r="S2007" s="162">
        <f>SUM(Sales[Net Amount])</f>
        <v>406839287.73200053</v>
      </c>
    </row>
    <row r="2008" spans="1:19" ht="18.75" x14ac:dyDescent="0.25">
      <c r="A2008" s="163" t="s">
        <v>5625</v>
      </c>
      <c r="B2008" s="164">
        <v>45880</v>
      </c>
      <c r="C2008" s="34" t="s">
        <v>920</v>
      </c>
      <c r="D2008" s="53" t="str">
        <f>VLOOKUP(Sales[[#This Row],[Customer ID]],Customer[#All],2,0)</f>
        <v>Rakesh Sharma</v>
      </c>
      <c r="E2008" s="34" t="s">
        <v>372</v>
      </c>
      <c r="F2008" s="34" t="str">
        <f>VLOOKUP(Sales[[#This Row],[Product ID]],Product[#All],2,0)</f>
        <v>Sandisk Pen Drive</v>
      </c>
      <c r="G2008" s="53">
        <v>6</v>
      </c>
      <c r="H2008" s="165">
        <f>VLOOKUP(Sales[[#This Row],[Product ID]],Product[#All],7,0)</f>
        <v>580</v>
      </c>
      <c r="I2008" s="165">
        <f>Sales[[#This Row],[Selling Rate]]*Sales[[#This Row],[Qty]]</f>
        <v>3480</v>
      </c>
      <c r="J2008" s="45">
        <v>0.15</v>
      </c>
      <c r="K2008" s="46">
        <f>Sales[[#This Row],[Gross Amount]]*Sales[[#This Row],[Disc %]]</f>
        <v>522</v>
      </c>
      <c r="L2008" s="43">
        <v>0.18</v>
      </c>
      <c r="M2008" s="46">
        <f>(Sales[[#This Row],[Gross Amount]]-Sales[[#This Row],[Disc. Amt.]])*Sales[[#This Row],[GST %]]</f>
        <v>532.43999999999994</v>
      </c>
      <c r="N2008" s="161">
        <f>Sales[[#This Row],[Gross Amount]]-Sales[[#This Row],[Disc. Amt.]]+Sales[[#This Row],[GST Amount]]</f>
        <v>3490.44</v>
      </c>
      <c r="O2008" s="34" t="s">
        <v>3561</v>
      </c>
      <c r="P2008" s="34" t="s">
        <v>3562</v>
      </c>
      <c r="Q2008" s="165">
        <f>IF(Sales[[#This Row],[Status]]="Cancelled",0,Sales[[#This Row],[Qty]])</f>
        <v>6</v>
      </c>
      <c r="R2008" s="166">
        <f>IF(Sales[[#This Row],[Status]]="Cancelled",0,Sales[[#This Row],[Total Amount]])</f>
        <v>3490.44</v>
      </c>
      <c r="S2008" s="162">
        <f>SUM(Sales[Net Amount])</f>
        <v>406839287.73200053</v>
      </c>
    </row>
    <row r="2009" spans="1:19" ht="18.75" x14ac:dyDescent="0.25">
      <c r="A2009" s="156" t="s">
        <v>5626</v>
      </c>
      <c r="B2009" s="157">
        <v>45880</v>
      </c>
      <c r="C2009" s="158" t="s">
        <v>743</v>
      </c>
      <c r="D2009" s="159" t="str">
        <f>VLOOKUP(Sales[[#This Row],[Customer ID]],Customer[#All],2,0)</f>
        <v>Rahul Gupta</v>
      </c>
      <c r="E2009" s="158" t="s">
        <v>530</v>
      </c>
      <c r="F2009" s="158" t="str">
        <f>VLOOKUP(Sales[[#This Row],[Product ID]],Product[#All],2,0)</f>
        <v>Acer Laptop</v>
      </c>
      <c r="G2009" s="159">
        <v>1</v>
      </c>
      <c r="H2009" s="160">
        <f>VLOOKUP(Sales[[#This Row],[Product ID]],Product[#All],7,0)</f>
        <v>31390</v>
      </c>
      <c r="I2009" s="160">
        <f>Sales[[#This Row],[Selling Rate]]*Sales[[#This Row],[Qty]]</f>
        <v>31390</v>
      </c>
      <c r="J2009" s="43">
        <v>0.05</v>
      </c>
      <c r="K2009" s="44">
        <f>Sales[[#This Row],[Gross Amount]]*Sales[[#This Row],[Disc %]]</f>
        <v>1569.5</v>
      </c>
      <c r="L2009" s="43">
        <v>0.18</v>
      </c>
      <c r="M2009" s="44">
        <f>(Sales[[#This Row],[Gross Amount]]-Sales[[#This Row],[Disc. Amt.]])*Sales[[#This Row],[GST %]]</f>
        <v>5367.69</v>
      </c>
      <c r="N2009" s="161">
        <f>Sales[[#This Row],[Gross Amount]]-Sales[[#This Row],[Disc. Amt.]]+Sales[[#This Row],[GST Amount]]</f>
        <v>35188.19</v>
      </c>
      <c r="O2009" s="158" t="s">
        <v>8876</v>
      </c>
      <c r="P2009" s="158" t="s">
        <v>3562</v>
      </c>
      <c r="Q2009" s="160">
        <f>IF(Sales[[#This Row],[Status]]="Cancelled",0,Sales[[#This Row],[Qty]])</f>
        <v>1</v>
      </c>
      <c r="R2009" s="161">
        <f>IF(Sales[[#This Row],[Status]]="Cancelled",0,Sales[[#This Row],[Total Amount]])</f>
        <v>35188.19</v>
      </c>
      <c r="S2009" s="162">
        <f>SUM(Sales[Net Amount])</f>
        <v>406839287.73200053</v>
      </c>
    </row>
    <row r="2010" spans="1:19" ht="18.75" x14ac:dyDescent="0.25">
      <c r="A2010" s="163" t="s">
        <v>5627</v>
      </c>
      <c r="B2010" s="164">
        <v>45880</v>
      </c>
      <c r="C2010" s="34" t="s">
        <v>946</v>
      </c>
      <c r="D2010" s="53" t="str">
        <f>VLOOKUP(Sales[[#This Row],[Customer ID]],Customer[#All],2,0)</f>
        <v>Priya Patel</v>
      </c>
      <c r="E2010" s="34" t="s">
        <v>186</v>
      </c>
      <c r="F2010" s="34" t="str">
        <f>VLOOKUP(Sales[[#This Row],[Product ID]],Product[#All],2,0)</f>
        <v>Corsair Ram</v>
      </c>
      <c r="G2010" s="53">
        <v>6</v>
      </c>
      <c r="H2010" s="165">
        <f>VLOOKUP(Sales[[#This Row],[Product ID]],Product[#All],7,0)</f>
        <v>11620</v>
      </c>
      <c r="I2010" s="165">
        <f>Sales[[#This Row],[Selling Rate]]*Sales[[#This Row],[Qty]]</f>
        <v>69720</v>
      </c>
      <c r="J2010" s="45">
        <v>0.05</v>
      </c>
      <c r="K2010" s="46">
        <f>Sales[[#This Row],[Gross Amount]]*Sales[[#This Row],[Disc %]]</f>
        <v>3486</v>
      </c>
      <c r="L2010" s="43">
        <v>0.18</v>
      </c>
      <c r="M2010" s="46">
        <f>(Sales[[#This Row],[Gross Amount]]-Sales[[#This Row],[Disc. Amt.]])*Sales[[#This Row],[GST %]]</f>
        <v>11922.119999999999</v>
      </c>
      <c r="N2010" s="161">
        <f>Sales[[#This Row],[Gross Amount]]-Sales[[#This Row],[Disc. Amt.]]+Sales[[#This Row],[GST Amount]]</f>
        <v>78156.12</v>
      </c>
      <c r="O2010" s="34" t="s">
        <v>3566</v>
      </c>
      <c r="P2010" s="34" t="s">
        <v>1040</v>
      </c>
      <c r="Q2010" s="165">
        <f>IF(Sales[[#This Row],[Status]]="Cancelled",0,Sales[[#This Row],[Qty]])</f>
        <v>0</v>
      </c>
      <c r="R2010" s="166">
        <f>IF(Sales[[#This Row],[Status]]="Cancelled",0,Sales[[#This Row],[Total Amount]])</f>
        <v>0</v>
      </c>
      <c r="S2010" s="162">
        <f>SUM(Sales[Net Amount])</f>
        <v>406839287.73200053</v>
      </c>
    </row>
    <row r="2011" spans="1:19" ht="18.75" x14ac:dyDescent="0.25">
      <c r="A2011" s="156" t="s">
        <v>5628</v>
      </c>
      <c r="B2011" s="157">
        <v>45880</v>
      </c>
      <c r="C2011" s="158" t="s">
        <v>729</v>
      </c>
      <c r="D2011" s="159" t="str">
        <f>VLOOKUP(Sales[[#This Row],[Customer ID]],Customer[#All],2,0)</f>
        <v>Ankit Kumar</v>
      </c>
      <c r="E2011" s="158" t="s">
        <v>541</v>
      </c>
      <c r="F2011" s="158" t="str">
        <f>VLOOKUP(Sales[[#This Row],[Product ID]],Product[#All],2,0)</f>
        <v>Crucial Ssd</v>
      </c>
      <c r="G2011" s="159">
        <v>8</v>
      </c>
      <c r="H2011" s="160">
        <f>VLOOKUP(Sales[[#This Row],[Product ID]],Product[#All],7,0)</f>
        <v>9350</v>
      </c>
      <c r="I2011" s="160">
        <f>Sales[[#This Row],[Selling Rate]]*Sales[[#This Row],[Qty]]</f>
        <v>74800</v>
      </c>
      <c r="J2011" s="43">
        <v>0.02</v>
      </c>
      <c r="K2011" s="44">
        <f>Sales[[#This Row],[Gross Amount]]*Sales[[#This Row],[Disc %]]</f>
        <v>1496</v>
      </c>
      <c r="L2011" s="43">
        <v>0.18</v>
      </c>
      <c r="M2011" s="44">
        <f>(Sales[[#This Row],[Gross Amount]]-Sales[[#This Row],[Disc. Amt.]])*Sales[[#This Row],[GST %]]</f>
        <v>13194.72</v>
      </c>
      <c r="N2011" s="161">
        <f>Sales[[#This Row],[Gross Amount]]-Sales[[#This Row],[Disc. Amt.]]+Sales[[#This Row],[GST Amount]]</f>
        <v>86498.72</v>
      </c>
      <c r="O2011" s="158" t="s">
        <v>3561</v>
      </c>
      <c r="P2011" s="158" t="s">
        <v>3562</v>
      </c>
      <c r="Q2011" s="160">
        <f>IF(Sales[[#This Row],[Status]]="Cancelled",0,Sales[[#This Row],[Qty]])</f>
        <v>8</v>
      </c>
      <c r="R2011" s="161">
        <f>IF(Sales[[#This Row],[Status]]="Cancelled",0,Sales[[#This Row],[Total Amount]])</f>
        <v>86498.72</v>
      </c>
      <c r="S2011" s="162">
        <f>SUM(Sales[Net Amount])</f>
        <v>406839287.73200053</v>
      </c>
    </row>
    <row r="2012" spans="1:19" ht="18.75" x14ac:dyDescent="0.25">
      <c r="A2012" s="163" t="s">
        <v>5629</v>
      </c>
      <c r="B2012" s="164">
        <v>45880</v>
      </c>
      <c r="C2012" s="34" t="s">
        <v>764</v>
      </c>
      <c r="D2012" s="53" t="str">
        <f>VLOOKUP(Sales[[#This Row],[Customer ID]],Customer[#All],2,0)</f>
        <v>Priya Gupta</v>
      </c>
      <c r="E2012" s="34" t="s">
        <v>358</v>
      </c>
      <c r="F2012" s="34" t="str">
        <f>VLOOKUP(Sales[[#This Row],[Product ID]],Product[#All],2,0)</f>
        <v>TP-link Router</v>
      </c>
      <c r="G2012" s="53">
        <v>3</v>
      </c>
      <c r="H2012" s="165">
        <f>VLOOKUP(Sales[[#This Row],[Product ID]],Product[#All],7,0)</f>
        <v>3970</v>
      </c>
      <c r="I2012" s="165">
        <f>Sales[[#This Row],[Selling Rate]]*Sales[[#This Row],[Qty]]</f>
        <v>11910</v>
      </c>
      <c r="J2012" s="45">
        <v>0.02</v>
      </c>
      <c r="K2012" s="46">
        <f>Sales[[#This Row],[Gross Amount]]*Sales[[#This Row],[Disc %]]</f>
        <v>238.20000000000002</v>
      </c>
      <c r="L2012" s="43">
        <v>0.18</v>
      </c>
      <c r="M2012" s="46">
        <f>(Sales[[#This Row],[Gross Amount]]-Sales[[#This Row],[Disc. Amt.]])*Sales[[#This Row],[GST %]]</f>
        <v>2100.924</v>
      </c>
      <c r="N2012" s="161">
        <f>Sales[[#This Row],[Gross Amount]]-Sales[[#This Row],[Disc. Amt.]]+Sales[[#This Row],[GST Amount]]</f>
        <v>13772.723999999998</v>
      </c>
      <c r="O2012" s="34" t="s">
        <v>3566</v>
      </c>
      <c r="P2012" s="34" t="s">
        <v>3562</v>
      </c>
      <c r="Q2012" s="165">
        <f>IF(Sales[[#This Row],[Status]]="Cancelled",0,Sales[[#This Row],[Qty]])</f>
        <v>3</v>
      </c>
      <c r="R2012" s="166">
        <f>IF(Sales[[#This Row],[Status]]="Cancelled",0,Sales[[#This Row],[Total Amount]])</f>
        <v>13772.723999999998</v>
      </c>
      <c r="S2012" s="162">
        <f>SUM(Sales[Net Amount])</f>
        <v>406839287.73200053</v>
      </c>
    </row>
    <row r="2013" spans="1:19" ht="18.75" x14ac:dyDescent="0.25">
      <c r="A2013" s="156" t="s">
        <v>5630</v>
      </c>
      <c r="B2013" s="157">
        <v>45880</v>
      </c>
      <c r="C2013" s="158" t="s">
        <v>888</v>
      </c>
      <c r="D2013" s="159" t="str">
        <f>VLOOKUP(Sales[[#This Row],[Customer ID]],Customer[#All],2,0)</f>
        <v>Rahul Patel</v>
      </c>
      <c r="E2013" s="158" t="s">
        <v>538</v>
      </c>
      <c r="F2013" s="158" t="str">
        <f>VLOOKUP(Sales[[#This Row],[Product ID]],Product[#All],2,0)</f>
        <v>Acer Laptop</v>
      </c>
      <c r="G2013" s="159">
        <v>7</v>
      </c>
      <c r="H2013" s="160">
        <f>VLOOKUP(Sales[[#This Row],[Product ID]],Product[#All],7,0)</f>
        <v>46800</v>
      </c>
      <c r="I2013" s="160">
        <f>Sales[[#This Row],[Selling Rate]]*Sales[[#This Row],[Qty]]</f>
        <v>327600</v>
      </c>
      <c r="J2013" s="43">
        <v>0.1</v>
      </c>
      <c r="K2013" s="44">
        <f>Sales[[#This Row],[Gross Amount]]*Sales[[#This Row],[Disc %]]</f>
        <v>32760</v>
      </c>
      <c r="L2013" s="43">
        <v>0.18</v>
      </c>
      <c r="M2013" s="44">
        <f>(Sales[[#This Row],[Gross Amount]]-Sales[[#This Row],[Disc. Amt.]])*Sales[[#This Row],[GST %]]</f>
        <v>53071.199999999997</v>
      </c>
      <c r="N2013" s="161">
        <f>Sales[[#This Row],[Gross Amount]]-Sales[[#This Row],[Disc. Amt.]]+Sales[[#This Row],[GST Amount]]</f>
        <v>347911.2</v>
      </c>
      <c r="O2013" s="158" t="s">
        <v>8876</v>
      </c>
      <c r="P2013" s="158" t="s">
        <v>3562</v>
      </c>
      <c r="Q2013" s="160">
        <f>IF(Sales[[#This Row],[Status]]="Cancelled",0,Sales[[#This Row],[Qty]])</f>
        <v>7</v>
      </c>
      <c r="R2013" s="161">
        <f>IF(Sales[[#This Row],[Status]]="Cancelled",0,Sales[[#This Row],[Total Amount]])</f>
        <v>347911.2</v>
      </c>
      <c r="S2013" s="162">
        <f>SUM(Sales[Net Amount])</f>
        <v>406839287.73200053</v>
      </c>
    </row>
    <row r="2014" spans="1:19" ht="18.75" x14ac:dyDescent="0.25">
      <c r="A2014" s="163" t="s">
        <v>5631</v>
      </c>
      <c r="B2014" s="164">
        <v>45880</v>
      </c>
      <c r="C2014" s="34" t="s">
        <v>898</v>
      </c>
      <c r="D2014" s="53" t="str">
        <f>VLOOKUP(Sales[[#This Row],[Customer ID]],Customer[#All],2,0)</f>
        <v>Rahul Singh</v>
      </c>
      <c r="E2014" s="34" t="s">
        <v>416</v>
      </c>
      <c r="F2014" s="34" t="str">
        <f>VLOOKUP(Sales[[#This Row],[Product ID]],Product[#All],2,0)</f>
        <v>Portronics USB Cable</v>
      </c>
      <c r="G2014" s="53">
        <v>3</v>
      </c>
      <c r="H2014" s="165">
        <f>VLOOKUP(Sales[[#This Row],[Product ID]],Product[#All],7,0)</f>
        <v>960</v>
      </c>
      <c r="I2014" s="165">
        <f>Sales[[#This Row],[Selling Rate]]*Sales[[#This Row],[Qty]]</f>
        <v>2880</v>
      </c>
      <c r="J2014" s="45">
        <v>0.1</v>
      </c>
      <c r="K2014" s="46">
        <f>Sales[[#This Row],[Gross Amount]]*Sales[[#This Row],[Disc %]]</f>
        <v>288</v>
      </c>
      <c r="L2014" s="43">
        <v>0.18</v>
      </c>
      <c r="M2014" s="46">
        <f>(Sales[[#This Row],[Gross Amount]]-Sales[[#This Row],[Disc. Amt.]])*Sales[[#This Row],[GST %]]</f>
        <v>466.56</v>
      </c>
      <c r="N2014" s="161">
        <f>Sales[[#This Row],[Gross Amount]]-Sales[[#This Row],[Disc. Amt.]]+Sales[[#This Row],[GST Amount]]</f>
        <v>3058.56</v>
      </c>
      <c r="O2014" s="34" t="s">
        <v>8876</v>
      </c>
      <c r="P2014" s="34" t="s">
        <v>3562</v>
      </c>
      <c r="Q2014" s="165">
        <f>IF(Sales[[#This Row],[Status]]="Cancelled",0,Sales[[#This Row],[Qty]])</f>
        <v>3</v>
      </c>
      <c r="R2014" s="166">
        <f>IF(Sales[[#This Row],[Status]]="Cancelled",0,Sales[[#This Row],[Total Amount]])</f>
        <v>3058.56</v>
      </c>
      <c r="S2014" s="162">
        <f>SUM(Sales[Net Amount])</f>
        <v>406839287.73200053</v>
      </c>
    </row>
    <row r="2015" spans="1:19" ht="18.75" x14ac:dyDescent="0.25">
      <c r="A2015" s="156" t="s">
        <v>5632</v>
      </c>
      <c r="B2015" s="157">
        <v>45880</v>
      </c>
      <c r="C2015" s="158" t="s">
        <v>809</v>
      </c>
      <c r="D2015" s="159" t="str">
        <f>VLOOKUP(Sales[[#This Row],[Customer ID]],Customer[#All],2,0)</f>
        <v>Priya Patel</v>
      </c>
      <c r="E2015" s="158" t="s">
        <v>331</v>
      </c>
      <c r="F2015" s="158" t="str">
        <f>VLOOKUP(Sales[[#This Row],[Product ID]],Product[#All],2,0)</f>
        <v>Dell Keyboard</v>
      </c>
      <c r="G2015" s="159">
        <v>8</v>
      </c>
      <c r="H2015" s="160">
        <f>VLOOKUP(Sales[[#This Row],[Product ID]],Product[#All],7,0)</f>
        <v>2070</v>
      </c>
      <c r="I2015" s="160">
        <f>Sales[[#This Row],[Selling Rate]]*Sales[[#This Row],[Qty]]</f>
        <v>16560</v>
      </c>
      <c r="J2015" s="43">
        <v>0.1</v>
      </c>
      <c r="K2015" s="44">
        <f>Sales[[#This Row],[Gross Amount]]*Sales[[#This Row],[Disc %]]</f>
        <v>1656</v>
      </c>
      <c r="L2015" s="43">
        <v>0.18</v>
      </c>
      <c r="M2015" s="44">
        <f>(Sales[[#This Row],[Gross Amount]]-Sales[[#This Row],[Disc. Amt.]])*Sales[[#This Row],[GST %]]</f>
        <v>2682.72</v>
      </c>
      <c r="N2015" s="161">
        <f>Sales[[#This Row],[Gross Amount]]-Sales[[#This Row],[Disc. Amt.]]+Sales[[#This Row],[GST Amount]]</f>
        <v>17586.72</v>
      </c>
      <c r="O2015" s="158" t="s">
        <v>8876</v>
      </c>
      <c r="P2015" s="158" t="s">
        <v>3562</v>
      </c>
      <c r="Q2015" s="160">
        <f>IF(Sales[[#This Row],[Status]]="Cancelled",0,Sales[[#This Row],[Qty]])</f>
        <v>8</v>
      </c>
      <c r="R2015" s="161">
        <f>IF(Sales[[#This Row],[Status]]="Cancelled",0,Sales[[#This Row],[Total Amount]])</f>
        <v>17586.72</v>
      </c>
      <c r="S2015" s="162">
        <f>SUM(Sales[Net Amount])</f>
        <v>406839287.73200053</v>
      </c>
    </row>
    <row r="2016" spans="1:19" ht="18.75" x14ac:dyDescent="0.25">
      <c r="A2016" s="163" t="s">
        <v>5633</v>
      </c>
      <c r="B2016" s="164">
        <v>45880</v>
      </c>
      <c r="C2016" s="34" t="s">
        <v>870</v>
      </c>
      <c r="D2016" s="53" t="str">
        <f>VLOOKUP(Sales[[#This Row],[Customer ID]],Customer[#All],2,0)</f>
        <v>Vikas Singh</v>
      </c>
      <c r="E2016" s="34" t="s">
        <v>62</v>
      </c>
      <c r="F2016" s="34" t="str">
        <f>VLOOKUP(Sales[[#This Row],[Product ID]],Product[#All],2,0)</f>
        <v>Apc UPS</v>
      </c>
      <c r="G2016" s="53">
        <v>5</v>
      </c>
      <c r="H2016" s="165">
        <f>VLOOKUP(Sales[[#This Row],[Product ID]],Product[#All],7,0)</f>
        <v>7270</v>
      </c>
      <c r="I2016" s="165">
        <f>Sales[[#This Row],[Selling Rate]]*Sales[[#This Row],[Qty]]</f>
        <v>36350</v>
      </c>
      <c r="J2016" s="45">
        <v>0.02</v>
      </c>
      <c r="K2016" s="46">
        <f>Sales[[#This Row],[Gross Amount]]*Sales[[#This Row],[Disc %]]</f>
        <v>727</v>
      </c>
      <c r="L2016" s="43">
        <v>0.18</v>
      </c>
      <c r="M2016" s="46">
        <f>(Sales[[#This Row],[Gross Amount]]-Sales[[#This Row],[Disc. Amt.]])*Sales[[#This Row],[GST %]]</f>
        <v>6412.1399999999994</v>
      </c>
      <c r="N2016" s="161">
        <f>Sales[[#This Row],[Gross Amount]]-Sales[[#This Row],[Disc. Amt.]]+Sales[[#This Row],[GST Amount]]</f>
        <v>42035.14</v>
      </c>
      <c r="O2016" s="34" t="s">
        <v>3561</v>
      </c>
      <c r="P2016" s="34" t="s">
        <v>3562</v>
      </c>
      <c r="Q2016" s="165">
        <f>IF(Sales[[#This Row],[Status]]="Cancelled",0,Sales[[#This Row],[Qty]])</f>
        <v>5</v>
      </c>
      <c r="R2016" s="166">
        <f>IF(Sales[[#This Row],[Status]]="Cancelled",0,Sales[[#This Row],[Total Amount]])</f>
        <v>42035.14</v>
      </c>
      <c r="S2016" s="162">
        <f>SUM(Sales[Net Amount])</f>
        <v>406839287.73200053</v>
      </c>
    </row>
    <row r="2017" spans="1:19" ht="18.75" x14ac:dyDescent="0.25">
      <c r="A2017" s="156" t="s">
        <v>5634</v>
      </c>
      <c r="B2017" s="157">
        <v>45880</v>
      </c>
      <c r="C2017" s="158" t="s">
        <v>848</v>
      </c>
      <c r="D2017" s="159" t="str">
        <f>VLOOKUP(Sales[[#This Row],[Customer ID]],Customer[#All],2,0)</f>
        <v>Rakesh Patel</v>
      </c>
      <c r="E2017" s="158" t="s">
        <v>551</v>
      </c>
      <c r="F2017" s="158" t="str">
        <f>VLOOKUP(Sales[[#This Row],[Product ID]],Product[#All],2,0)</f>
        <v>Epson Printer</v>
      </c>
      <c r="G2017" s="159">
        <v>7</v>
      </c>
      <c r="H2017" s="160">
        <f>VLOOKUP(Sales[[#This Row],[Product ID]],Product[#All],7,0)</f>
        <v>38370</v>
      </c>
      <c r="I2017" s="160">
        <f>Sales[[#This Row],[Selling Rate]]*Sales[[#This Row],[Qty]]</f>
        <v>268590</v>
      </c>
      <c r="J2017" s="43">
        <v>0.12</v>
      </c>
      <c r="K2017" s="44">
        <f>Sales[[#This Row],[Gross Amount]]*Sales[[#This Row],[Disc %]]</f>
        <v>32230.799999999999</v>
      </c>
      <c r="L2017" s="43">
        <v>0.18</v>
      </c>
      <c r="M2017" s="44">
        <f>(Sales[[#This Row],[Gross Amount]]-Sales[[#This Row],[Disc. Amt.]])*Sales[[#This Row],[GST %]]</f>
        <v>42544.656000000003</v>
      </c>
      <c r="N2017" s="161">
        <f>Sales[[#This Row],[Gross Amount]]-Sales[[#This Row],[Disc. Amt.]]+Sales[[#This Row],[GST Amount]]</f>
        <v>278903.85600000003</v>
      </c>
      <c r="O2017" s="158" t="s">
        <v>3569</v>
      </c>
      <c r="P2017" s="158" t="s">
        <v>3562</v>
      </c>
      <c r="Q2017" s="160">
        <f>IF(Sales[[#This Row],[Status]]="Cancelled",0,Sales[[#This Row],[Qty]])</f>
        <v>7</v>
      </c>
      <c r="R2017" s="161">
        <f>IF(Sales[[#This Row],[Status]]="Cancelled",0,Sales[[#This Row],[Total Amount]])</f>
        <v>278903.85600000003</v>
      </c>
      <c r="S2017" s="162">
        <f>SUM(Sales[Net Amount])</f>
        <v>406839287.73200053</v>
      </c>
    </row>
    <row r="2018" spans="1:19" ht="18.75" x14ac:dyDescent="0.25">
      <c r="A2018" s="163" t="s">
        <v>5635</v>
      </c>
      <c r="B2018" s="164">
        <v>45881</v>
      </c>
      <c r="C2018" s="34" t="s">
        <v>3645</v>
      </c>
      <c r="D2018" s="53" t="str">
        <f>VLOOKUP(Sales[[#This Row],[Customer ID]],Customer[#All],2,0)</f>
        <v>Vikas Kumar</v>
      </c>
      <c r="E2018" s="34" t="s">
        <v>123</v>
      </c>
      <c r="F2018" s="34" t="str">
        <f>VLOOKUP(Sales[[#This Row],[Product ID]],Product[#All],2,0)</f>
        <v>HP Mouse</v>
      </c>
      <c r="G2018" s="53">
        <v>4</v>
      </c>
      <c r="H2018" s="165">
        <f>VLOOKUP(Sales[[#This Row],[Product ID]],Product[#All],7,0)</f>
        <v>2480</v>
      </c>
      <c r="I2018" s="165">
        <f>Sales[[#This Row],[Selling Rate]]*Sales[[#This Row],[Qty]]</f>
        <v>9920</v>
      </c>
      <c r="J2018" s="45">
        <v>0</v>
      </c>
      <c r="K2018" s="46">
        <f>Sales[[#This Row],[Gross Amount]]*Sales[[#This Row],[Disc %]]</f>
        <v>0</v>
      </c>
      <c r="L2018" s="43">
        <v>0.18</v>
      </c>
      <c r="M2018" s="46">
        <f>(Sales[[#This Row],[Gross Amount]]-Sales[[#This Row],[Disc. Amt.]])*Sales[[#This Row],[GST %]]</f>
        <v>1785.6</v>
      </c>
      <c r="N2018" s="161">
        <f>Sales[[#This Row],[Gross Amount]]-Sales[[#This Row],[Disc. Amt.]]+Sales[[#This Row],[GST Amount]]</f>
        <v>11705.6</v>
      </c>
      <c r="O2018" s="34" t="s">
        <v>8876</v>
      </c>
      <c r="P2018" s="34" t="s">
        <v>3562</v>
      </c>
      <c r="Q2018" s="165">
        <f>IF(Sales[[#This Row],[Status]]="Cancelled",0,Sales[[#This Row],[Qty]])</f>
        <v>4</v>
      </c>
      <c r="R2018" s="166">
        <f>IF(Sales[[#This Row],[Status]]="Cancelled",0,Sales[[#This Row],[Total Amount]])</f>
        <v>11705.6</v>
      </c>
      <c r="S2018" s="162">
        <f>SUM(Sales[Net Amount])</f>
        <v>406839287.73200053</v>
      </c>
    </row>
    <row r="2019" spans="1:19" ht="18.75" x14ac:dyDescent="0.25">
      <c r="A2019" s="156" t="s">
        <v>5636</v>
      </c>
      <c r="B2019" s="157">
        <v>45881</v>
      </c>
      <c r="C2019" s="158" t="s">
        <v>717</v>
      </c>
      <c r="D2019" s="159" t="str">
        <f>VLOOKUP(Sales[[#This Row],[Customer ID]],Customer[#All],2,0)</f>
        <v>Sunita Singh</v>
      </c>
      <c r="E2019" s="158" t="s">
        <v>228</v>
      </c>
      <c r="F2019" s="158" t="str">
        <f>VLOOKUP(Sales[[#This Row],[Product ID]],Product[#All],2,0)</f>
        <v>Samsung Monitor</v>
      </c>
      <c r="G2019" s="159">
        <v>1</v>
      </c>
      <c r="H2019" s="160">
        <f>VLOOKUP(Sales[[#This Row],[Product ID]],Product[#All],7,0)</f>
        <v>29600</v>
      </c>
      <c r="I2019" s="160">
        <f>Sales[[#This Row],[Selling Rate]]*Sales[[#This Row],[Qty]]</f>
        <v>29600</v>
      </c>
      <c r="J2019" s="43">
        <v>0.15</v>
      </c>
      <c r="K2019" s="44">
        <f>Sales[[#This Row],[Gross Amount]]*Sales[[#This Row],[Disc %]]</f>
        <v>4440</v>
      </c>
      <c r="L2019" s="43">
        <v>0.18</v>
      </c>
      <c r="M2019" s="44">
        <f>(Sales[[#This Row],[Gross Amount]]-Sales[[#This Row],[Disc. Amt.]])*Sales[[#This Row],[GST %]]</f>
        <v>4528.8</v>
      </c>
      <c r="N2019" s="161">
        <f>Sales[[#This Row],[Gross Amount]]-Sales[[#This Row],[Disc. Amt.]]+Sales[[#This Row],[GST Amount]]</f>
        <v>29688.799999999999</v>
      </c>
      <c r="O2019" s="158" t="s">
        <v>3561</v>
      </c>
      <c r="P2019" s="158" t="s">
        <v>3562</v>
      </c>
      <c r="Q2019" s="160">
        <f>IF(Sales[[#This Row],[Status]]="Cancelled",0,Sales[[#This Row],[Qty]])</f>
        <v>1</v>
      </c>
      <c r="R2019" s="161">
        <f>IF(Sales[[#This Row],[Status]]="Cancelled",0,Sales[[#This Row],[Total Amount]])</f>
        <v>29688.799999999999</v>
      </c>
      <c r="S2019" s="162">
        <f>SUM(Sales[Net Amount])</f>
        <v>406839287.73200053</v>
      </c>
    </row>
    <row r="2020" spans="1:19" ht="18.75" x14ac:dyDescent="0.25">
      <c r="A2020" s="163" t="s">
        <v>5637</v>
      </c>
      <c r="B2020" s="164">
        <v>45881</v>
      </c>
      <c r="C2020" s="34" t="s">
        <v>874</v>
      </c>
      <c r="D2020" s="53" t="str">
        <f>VLOOKUP(Sales[[#This Row],[Customer ID]],Customer[#All],2,0)</f>
        <v>Vikas Sharma</v>
      </c>
      <c r="E2020" s="34" t="s">
        <v>81</v>
      </c>
      <c r="F2020" s="34" t="str">
        <f>VLOOKUP(Sales[[#This Row],[Product ID]],Product[#All],2,0)</f>
        <v>HP Desktop</v>
      </c>
      <c r="G2020" s="53">
        <v>8</v>
      </c>
      <c r="H2020" s="165">
        <f>VLOOKUP(Sales[[#This Row],[Product ID]],Product[#All],7,0)</f>
        <v>65470</v>
      </c>
      <c r="I2020" s="165">
        <f>Sales[[#This Row],[Selling Rate]]*Sales[[#This Row],[Qty]]</f>
        <v>523760</v>
      </c>
      <c r="J2020" s="45">
        <v>0.12</v>
      </c>
      <c r="K2020" s="46">
        <f>Sales[[#This Row],[Gross Amount]]*Sales[[#This Row],[Disc %]]</f>
        <v>62851.199999999997</v>
      </c>
      <c r="L2020" s="43">
        <v>0.18</v>
      </c>
      <c r="M2020" s="46">
        <f>(Sales[[#This Row],[Gross Amount]]-Sales[[#This Row],[Disc. Amt.]])*Sales[[#This Row],[GST %]]</f>
        <v>82963.583999999988</v>
      </c>
      <c r="N2020" s="161">
        <f>Sales[[#This Row],[Gross Amount]]-Sales[[#This Row],[Disc. Amt.]]+Sales[[#This Row],[GST Amount]]</f>
        <v>543872.38399999996</v>
      </c>
      <c r="O2020" s="34" t="s">
        <v>3566</v>
      </c>
      <c r="P2020" s="34" t="s">
        <v>3562</v>
      </c>
      <c r="Q2020" s="165">
        <f>IF(Sales[[#This Row],[Status]]="Cancelled",0,Sales[[#This Row],[Qty]])</f>
        <v>8</v>
      </c>
      <c r="R2020" s="166">
        <f>IF(Sales[[#This Row],[Status]]="Cancelled",0,Sales[[#This Row],[Total Amount]])</f>
        <v>543872.38399999996</v>
      </c>
      <c r="S2020" s="162">
        <f>SUM(Sales[Net Amount])</f>
        <v>406839287.73200053</v>
      </c>
    </row>
    <row r="2021" spans="1:19" ht="18.75" x14ac:dyDescent="0.25">
      <c r="A2021" s="156" t="s">
        <v>5638</v>
      </c>
      <c r="B2021" s="157">
        <v>45881</v>
      </c>
      <c r="C2021" s="158" t="s">
        <v>892</v>
      </c>
      <c r="D2021" s="159" t="str">
        <f>VLOOKUP(Sales[[#This Row],[Customer ID]],Customer[#All],2,0)</f>
        <v>Sahil Verma</v>
      </c>
      <c r="E2021" s="158" t="s">
        <v>416</v>
      </c>
      <c r="F2021" s="158" t="str">
        <f>VLOOKUP(Sales[[#This Row],[Product ID]],Product[#All],2,0)</f>
        <v>Portronics USB Cable</v>
      </c>
      <c r="G2021" s="159">
        <v>4</v>
      </c>
      <c r="H2021" s="160">
        <f>VLOOKUP(Sales[[#This Row],[Product ID]],Product[#All],7,0)</f>
        <v>960</v>
      </c>
      <c r="I2021" s="160">
        <f>Sales[[#This Row],[Selling Rate]]*Sales[[#This Row],[Qty]]</f>
        <v>3840</v>
      </c>
      <c r="J2021" s="43">
        <v>0.05</v>
      </c>
      <c r="K2021" s="44">
        <f>Sales[[#This Row],[Gross Amount]]*Sales[[#This Row],[Disc %]]</f>
        <v>192</v>
      </c>
      <c r="L2021" s="43">
        <v>0.18</v>
      </c>
      <c r="M2021" s="44">
        <f>(Sales[[#This Row],[Gross Amount]]-Sales[[#This Row],[Disc. Amt.]])*Sales[[#This Row],[GST %]]</f>
        <v>656.64</v>
      </c>
      <c r="N2021" s="161">
        <f>Sales[[#This Row],[Gross Amount]]-Sales[[#This Row],[Disc. Amt.]]+Sales[[#This Row],[GST Amount]]</f>
        <v>4304.6400000000003</v>
      </c>
      <c r="O2021" s="158" t="s">
        <v>3561</v>
      </c>
      <c r="P2021" s="158" t="s">
        <v>3562</v>
      </c>
      <c r="Q2021" s="160">
        <f>IF(Sales[[#This Row],[Status]]="Cancelled",0,Sales[[#This Row],[Qty]])</f>
        <v>4</v>
      </c>
      <c r="R2021" s="161">
        <f>IF(Sales[[#This Row],[Status]]="Cancelled",0,Sales[[#This Row],[Total Amount]])</f>
        <v>4304.6400000000003</v>
      </c>
      <c r="S2021" s="162">
        <f>SUM(Sales[Net Amount])</f>
        <v>406839287.73200053</v>
      </c>
    </row>
    <row r="2022" spans="1:19" ht="18.75" x14ac:dyDescent="0.25">
      <c r="A2022" s="163" t="s">
        <v>5639</v>
      </c>
      <c r="B2022" s="164">
        <v>45881</v>
      </c>
      <c r="C2022" s="34" t="s">
        <v>840</v>
      </c>
      <c r="D2022" s="53" t="str">
        <f>VLOOKUP(Sales[[#This Row],[Customer ID]],Customer[#All],2,0)</f>
        <v>Rakesh Verma</v>
      </c>
      <c r="E2022" s="34" t="s">
        <v>279</v>
      </c>
      <c r="F2022" s="34" t="str">
        <f>VLOOKUP(Sales[[#This Row],[Product ID]],Product[#All],2,0)</f>
        <v>HP Printer</v>
      </c>
      <c r="G2022" s="53">
        <v>8</v>
      </c>
      <c r="H2022" s="165">
        <f>VLOOKUP(Sales[[#This Row],[Product ID]],Product[#All],7,0)</f>
        <v>25880</v>
      </c>
      <c r="I2022" s="165">
        <f>Sales[[#This Row],[Selling Rate]]*Sales[[#This Row],[Qty]]</f>
        <v>207040</v>
      </c>
      <c r="J2022" s="45">
        <v>0.05</v>
      </c>
      <c r="K2022" s="46">
        <f>Sales[[#This Row],[Gross Amount]]*Sales[[#This Row],[Disc %]]</f>
        <v>10352</v>
      </c>
      <c r="L2022" s="43">
        <v>0.18</v>
      </c>
      <c r="M2022" s="46">
        <f>(Sales[[#This Row],[Gross Amount]]-Sales[[#This Row],[Disc. Amt.]])*Sales[[#This Row],[GST %]]</f>
        <v>35403.839999999997</v>
      </c>
      <c r="N2022" s="161">
        <f>Sales[[#This Row],[Gross Amount]]-Sales[[#This Row],[Disc. Amt.]]+Sales[[#This Row],[GST Amount]]</f>
        <v>232091.84</v>
      </c>
      <c r="O2022" s="34" t="s">
        <v>3561</v>
      </c>
      <c r="P2022" s="34" t="s">
        <v>3562</v>
      </c>
      <c r="Q2022" s="165">
        <f>IF(Sales[[#This Row],[Status]]="Cancelled",0,Sales[[#This Row],[Qty]])</f>
        <v>8</v>
      </c>
      <c r="R2022" s="166">
        <f>IF(Sales[[#This Row],[Status]]="Cancelled",0,Sales[[#This Row],[Total Amount]])</f>
        <v>232091.84</v>
      </c>
      <c r="S2022" s="162">
        <f>SUM(Sales[Net Amount])</f>
        <v>406839287.73200053</v>
      </c>
    </row>
    <row r="2023" spans="1:19" ht="18.75" x14ac:dyDescent="0.25">
      <c r="A2023" s="156" t="s">
        <v>5640</v>
      </c>
      <c r="B2023" s="157">
        <v>45881</v>
      </c>
      <c r="C2023" s="158" t="s">
        <v>690</v>
      </c>
      <c r="D2023" s="159" t="str">
        <f>VLOOKUP(Sales[[#This Row],[Customer ID]],Customer[#All],2,0)</f>
        <v>Priya Patel</v>
      </c>
      <c r="E2023" s="158" t="s">
        <v>465</v>
      </c>
      <c r="F2023" s="158" t="str">
        <f>VLOOKUP(Sales[[#This Row],[Product ID]],Product[#All],2,0)</f>
        <v>Logitech Keyboard</v>
      </c>
      <c r="G2023" s="159">
        <v>8</v>
      </c>
      <c r="H2023" s="160">
        <f>VLOOKUP(Sales[[#This Row],[Product ID]],Product[#All],7,0)</f>
        <v>2230</v>
      </c>
      <c r="I2023" s="160">
        <f>Sales[[#This Row],[Selling Rate]]*Sales[[#This Row],[Qty]]</f>
        <v>17840</v>
      </c>
      <c r="J2023" s="43">
        <v>0.1</v>
      </c>
      <c r="K2023" s="44">
        <f>Sales[[#This Row],[Gross Amount]]*Sales[[#This Row],[Disc %]]</f>
        <v>1784</v>
      </c>
      <c r="L2023" s="43">
        <v>0.18</v>
      </c>
      <c r="M2023" s="44">
        <f>(Sales[[#This Row],[Gross Amount]]-Sales[[#This Row],[Disc. Amt.]])*Sales[[#This Row],[GST %]]</f>
        <v>2890.08</v>
      </c>
      <c r="N2023" s="161">
        <f>Sales[[#This Row],[Gross Amount]]-Sales[[#This Row],[Disc. Amt.]]+Sales[[#This Row],[GST Amount]]</f>
        <v>18946.080000000002</v>
      </c>
      <c r="O2023" s="158" t="s">
        <v>3561</v>
      </c>
      <c r="P2023" s="158" t="s">
        <v>3562</v>
      </c>
      <c r="Q2023" s="160">
        <f>IF(Sales[[#This Row],[Status]]="Cancelled",0,Sales[[#This Row],[Qty]])</f>
        <v>8</v>
      </c>
      <c r="R2023" s="161">
        <f>IF(Sales[[#This Row],[Status]]="Cancelled",0,Sales[[#This Row],[Total Amount]])</f>
        <v>18946.080000000002</v>
      </c>
      <c r="S2023" s="162">
        <f>SUM(Sales[Net Amount])</f>
        <v>406839287.73200053</v>
      </c>
    </row>
    <row r="2024" spans="1:19" ht="18.75" x14ac:dyDescent="0.25">
      <c r="A2024" s="163" t="s">
        <v>5641</v>
      </c>
      <c r="B2024" s="164">
        <v>45881</v>
      </c>
      <c r="C2024" s="34" t="s">
        <v>820</v>
      </c>
      <c r="D2024" s="53" t="str">
        <f>VLOOKUP(Sales[[#This Row],[Customer ID]],Customer[#All],2,0)</f>
        <v>Sahil Gupta</v>
      </c>
      <c r="E2024" s="34" t="s">
        <v>393</v>
      </c>
      <c r="F2024" s="34" t="str">
        <f>VLOOKUP(Sales[[#This Row],[Product ID]],Product[#All],2,0)</f>
        <v>American TouristerLaptopBag</v>
      </c>
      <c r="G2024" s="53">
        <v>8</v>
      </c>
      <c r="H2024" s="165">
        <f>VLOOKUP(Sales[[#This Row],[Product ID]],Product[#All],7,0)</f>
        <v>3240</v>
      </c>
      <c r="I2024" s="165">
        <f>Sales[[#This Row],[Selling Rate]]*Sales[[#This Row],[Qty]]</f>
        <v>25920</v>
      </c>
      <c r="J2024" s="45">
        <v>0</v>
      </c>
      <c r="K2024" s="46">
        <f>Sales[[#This Row],[Gross Amount]]*Sales[[#This Row],[Disc %]]</f>
        <v>0</v>
      </c>
      <c r="L2024" s="43">
        <v>0.18</v>
      </c>
      <c r="M2024" s="46">
        <f>(Sales[[#This Row],[Gross Amount]]-Sales[[#This Row],[Disc. Amt.]])*Sales[[#This Row],[GST %]]</f>
        <v>4665.5999999999995</v>
      </c>
      <c r="N2024" s="161">
        <f>Sales[[#This Row],[Gross Amount]]-Sales[[#This Row],[Disc. Amt.]]+Sales[[#This Row],[GST Amount]]</f>
        <v>30585.599999999999</v>
      </c>
      <c r="O2024" s="34" t="s">
        <v>8876</v>
      </c>
      <c r="P2024" s="34" t="s">
        <v>3562</v>
      </c>
      <c r="Q2024" s="165">
        <f>IF(Sales[[#This Row],[Status]]="Cancelled",0,Sales[[#This Row],[Qty]])</f>
        <v>8</v>
      </c>
      <c r="R2024" s="166">
        <f>IF(Sales[[#This Row],[Status]]="Cancelled",0,Sales[[#This Row],[Total Amount]])</f>
        <v>30585.599999999999</v>
      </c>
      <c r="S2024" s="162">
        <f>SUM(Sales[Net Amount])</f>
        <v>406839287.73200053</v>
      </c>
    </row>
    <row r="2025" spans="1:19" ht="18.75" x14ac:dyDescent="0.25">
      <c r="A2025" s="156" t="s">
        <v>5642</v>
      </c>
      <c r="B2025" s="157">
        <v>45881</v>
      </c>
      <c r="C2025" s="158" t="s">
        <v>869</v>
      </c>
      <c r="D2025" s="159" t="str">
        <f>VLOOKUP(Sales[[#This Row],[Customer ID]],Customer[#All],2,0)</f>
        <v>Rakesh Patel</v>
      </c>
      <c r="E2025" s="158" t="s">
        <v>419</v>
      </c>
      <c r="F2025" s="158" t="str">
        <f>VLOOKUP(Sales[[#This Row],[Product ID]],Product[#All],2,0)</f>
        <v>WD HDD</v>
      </c>
      <c r="G2025" s="159">
        <v>2</v>
      </c>
      <c r="H2025" s="160">
        <f>VLOOKUP(Sales[[#This Row],[Product ID]],Product[#All],7,0)</f>
        <v>8930</v>
      </c>
      <c r="I2025" s="160">
        <f>Sales[[#This Row],[Selling Rate]]*Sales[[#This Row],[Qty]]</f>
        <v>17860</v>
      </c>
      <c r="J2025" s="43">
        <v>0</v>
      </c>
      <c r="K2025" s="44">
        <f>Sales[[#This Row],[Gross Amount]]*Sales[[#This Row],[Disc %]]</f>
        <v>0</v>
      </c>
      <c r="L2025" s="43">
        <v>0.18</v>
      </c>
      <c r="M2025" s="44">
        <f>(Sales[[#This Row],[Gross Amount]]-Sales[[#This Row],[Disc. Amt.]])*Sales[[#This Row],[GST %]]</f>
        <v>3214.7999999999997</v>
      </c>
      <c r="N2025" s="161">
        <f>Sales[[#This Row],[Gross Amount]]-Sales[[#This Row],[Disc. Amt.]]+Sales[[#This Row],[GST Amount]]</f>
        <v>21074.799999999999</v>
      </c>
      <c r="O2025" s="158" t="s">
        <v>3566</v>
      </c>
      <c r="P2025" s="158" t="s">
        <v>3562</v>
      </c>
      <c r="Q2025" s="160">
        <f>IF(Sales[[#This Row],[Status]]="Cancelled",0,Sales[[#This Row],[Qty]])</f>
        <v>2</v>
      </c>
      <c r="R2025" s="161">
        <f>IF(Sales[[#This Row],[Status]]="Cancelled",0,Sales[[#This Row],[Total Amount]])</f>
        <v>21074.799999999999</v>
      </c>
      <c r="S2025" s="162">
        <f>SUM(Sales[Net Amount])</f>
        <v>406839287.73200053</v>
      </c>
    </row>
    <row r="2026" spans="1:19" ht="18.75" x14ac:dyDescent="0.25">
      <c r="A2026" s="163" t="s">
        <v>5643</v>
      </c>
      <c r="B2026" s="164">
        <v>45881</v>
      </c>
      <c r="C2026" s="34" t="s">
        <v>951</v>
      </c>
      <c r="D2026" s="53" t="str">
        <f>VLOOKUP(Sales[[#This Row],[Customer ID]],Customer[#All],2,0)</f>
        <v>Rahul Singh</v>
      </c>
      <c r="E2026" s="34" t="s">
        <v>352</v>
      </c>
      <c r="F2026" s="34" t="str">
        <f>VLOOKUP(Sales[[#This Row],[Product ID]],Product[#All],2,0)</f>
        <v>Seagate HDD</v>
      </c>
      <c r="G2026" s="53">
        <v>4</v>
      </c>
      <c r="H2026" s="165">
        <f>VLOOKUP(Sales[[#This Row],[Product ID]],Product[#All],7,0)</f>
        <v>13350</v>
      </c>
      <c r="I2026" s="165">
        <f>Sales[[#This Row],[Selling Rate]]*Sales[[#This Row],[Qty]]</f>
        <v>53400</v>
      </c>
      <c r="J2026" s="45">
        <v>0.12</v>
      </c>
      <c r="K2026" s="46">
        <f>Sales[[#This Row],[Gross Amount]]*Sales[[#This Row],[Disc %]]</f>
        <v>6408</v>
      </c>
      <c r="L2026" s="43">
        <v>0.18</v>
      </c>
      <c r="M2026" s="46">
        <f>(Sales[[#This Row],[Gross Amount]]-Sales[[#This Row],[Disc. Amt.]])*Sales[[#This Row],[GST %]]</f>
        <v>8458.56</v>
      </c>
      <c r="N2026" s="161">
        <f>Sales[[#This Row],[Gross Amount]]-Sales[[#This Row],[Disc. Amt.]]+Sales[[#This Row],[GST Amount]]</f>
        <v>55450.559999999998</v>
      </c>
      <c r="O2026" s="34" t="s">
        <v>3569</v>
      </c>
      <c r="P2026" s="34" t="s">
        <v>3562</v>
      </c>
      <c r="Q2026" s="165">
        <f>IF(Sales[[#This Row],[Status]]="Cancelled",0,Sales[[#This Row],[Qty]])</f>
        <v>4</v>
      </c>
      <c r="R2026" s="166">
        <f>IF(Sales[[#This Row],[Status]]="Cancelled",0,Sales[[#This Row],[Total Amount]])</f>
        <v>55450.559999999998</v>
      </c>
      <c r="S2026" s="162">
        <f>SUM(Sales[Net Amount])</f>
        <v>406839287.73200053</v>
      </c>
    </row>
    <row r="2027" spans="1:19" ht="18.75" x14ac:dyDescent="0.25">
      <c r="A2027" s="156" t="s">
        <v>5644</v>
      </c>
      <c r="B2027" s="157">
        <v>45881</v>
      </c>
      <c r="C2027" s="158" t="s">
        <v>801</v>
      </c>
      <c r="D2027" s="159" t="str">
        <f>VLOOKUP(Sales[[#This Row],[Customer ID]],Customer[#All],2,0)</f>
        <v>Sunita Verma</v>
      </c>
      <c r="E2027" s="158" t="s">
        <v>341</v>
      </c>
      <c r="F2027" s="158" t="str">
        <f>VLOOKUP(Sales[[#This Row],[Product ID]],Product[#All],2,0)</f>
        <v>Dell Monitor</v>
      </c>
      <c r="G2027" s="159">
        <v>6</v>
      </c>
      <c r="H2027" s="160">
        <f>VLOOKUP(Sales[[#This Row],[Product ID]],Product[#All],7,0)</f>
        <v>20280</v>
      </c>
      <c r="I2027" s="160">
        <f>Sales[[#This Row],[Selling Rate]]*Sales[[#This Row],[Qty]]</f>
        <v>121680</v>
      </c>
      <c r="J2027" s="43">
        <v>0.15</v>
      </c>
      <c r="K2027" s="44">
        <f>Sales[[#This Row],[Gross Amount]]*Sales[[#This Row],[Disc %]]</f>
        <v>18252</v>
      </c>
      <c r="L2027" s="43">
        <v>0.18</v>
      </c>
      <c r="M2027" s="44">
        <f>(Sales[[#This Row],[Gross Amount]]-Sales[[#This Row],[Disc. Amt.]])*Sales[[#This Row],[GST %]]</f>
        <v>18617.04</v>
      </c>
      <c r="N2027" s="161">
        <f>Sales[[#This Row],[Gross Amount]]-Sales[[#This Row],[Disc. Amt.]]+Sales[[#This Row],[GST Amount]]</f>
        <v>122045.04000000001</v>
      </c>
      <c r="O2027" s="158" t="s">
        <v>8876</v>
      </c>
      <c r="P2027" s="158" t="s">
        <v>3562</v>
      </c>
      <c r="Q2027" s="160">
        <f>IF(Sales[[#This Row],[Status]]="Cancelled",0,Sales[[#This Row],[Qty]])</f>
        <v>6</v>
      </c>
      <c r="R2027" s="161">
        <f>IF(Sales[[#This Row],[Status]]="Cancelled",0,Sales[[#This Row],[Total Amount]])</f>
        <v>122045.04000000001</v>
      </c>
      <c r="S2027" s="162">
        <f>SUM(Sales[Net Amount])</f>
        <v>406839287.73200053</v>
      </c>
    </row>
    <row r="2028" spans="1:19" ht="18.75" x14ac:dyDescent="0.25">
      <c r="A2028" s="163" t="s">
        <v>5645</v>
      </c>
      <c r="B2028" s="164">
        <v>45881</v>
      </c>
      <c r="C2028" s="34" t="s">
        <v>841</v>
      </c>
      <c r="D2028" s="53" t="str">
        <f>VLOOKUP(Sales[[#This Row],[Customer ID]],Customer[#All],2,0)</f>
        <v>Pooja Verma</v>
      </c>
      <c r="E2028" s="34" t="s">
        <v>288</v>
      </c>
      <c r="F2028" s="34" t="str">
        <f>VLOOKUP(Sales[[#This Row],[Product ID]],Product[#All],2,0)</f>
        <v>Canon Printer</v>
      </c>
      <c r="G2028" s="53">
        <v>2</v>
      </c>
      <c r="H2028" s="165">
        <f>VLOOKUP(Sales[[#This Row],[Product ID]],Product[#All],7,0)</f>
        <v>41150</v>
      </c>
      <c r="I2028" s="165">
        <f>Sales[[#This Row],[Selling Rate]]*Sales[[#This Row],[Qty]]</f>
        <v>82300</v>
      </c>
      <c r="J2028" s="45">
        <v>0.1</v>
      </c>
      <c r="K2028" s="46">
        <f>Sales[[#This Row],[Gross Amount]]*Sales[[#This Row],[Disc %]]</f>
        <v>8230</v>
      </c>
      <c r="L2028" s="43">
        <v>0.18</v>
      </c>
      <c r="M2028" s="46">
        <f>(Sales[[#This Row],[Gross Amount]]-Sales[[#This Row],[Disc. Amt.]])*Sales[[#This Row],[GST %]]</f>
        <v>13332.6</v>
      </c>
      <c r="N2028" s="161">
        <f>Sales[[#This Row],[Gross Amount]]-Sales[[#This Row],[Disc. Amt.]]+Sales[[#This Row],[GST Amount]]</f>
        <v>87402.6</v>
      </c>
      <c r="O2028" s="34" t="s">
        <v>3569</v>
      </c>
      <c r="P2028" s="34" t="s">
        <v>3562</v>
      </c>
      <c r="Q2028" s="165">
        <f>IF(Sales[[#This Row],[Status]]="Cancelled",0,Sales[[#This Row],[Qty]])</f>
        <v>2</v>
      </c>
      <c r="R2028" s="166">
        <f>IF(Sales[[#This Row],[Status]]="Cancelled",0,Sales[[#This Row],[Total Amount]])</f>
        <v>87402.6</v>
      </c>
      <c r="S2028" s="162">
        <f>SUM(Sales[Net Amount])</f>
        <v>406839287.73200053</v>
      </c>
    </row>
    <row r="2029" spans="1:19" ht="18.75" x14ac:dyDescent="0.25">
      <c r="A2029" s="156" t="s">
        <v>5646</v>
      </c>
      <c r="B2029" s="157">
        <v>45881</v>
      </c>
      <c r="C2029" s="158" t="s">
        <v>683</v>
      </c>
      <c r="D2029" s="159" t="str">
        <f>VLOOKUP(Sales[[#This Row],[Customer ID]],Customer[#All],2,0)</f>
        <v>Rahul Kumar</v>
      </c>
      <c r="E2029" s="158" t="s">
        <v>495</v>
      </c>
      <c r="F2029" s="158" t="str">
        <f>VLOOKUP(Sales[[#This Row],[Product ID]],Product[#All],2,0)</f>
        <v>Dell Laptop</v>
      </c>
      <c r="G2029" s="159">
        <v>7</v>
      </c>
      <c r="H2029" s="160">
        <f>VLOOKUP(Sales[[#This Row],[Product ID]],Product[#All],7,0)</f>
        <v>63410</v>
      </c>
      <c r="I2029" s="160">
        <f>Sales[[#This Row],[Selling Rate]]*Sales[[#This Row],[Qty]]</f>
        <v>443870</v>
      </c>
      <c r="J2029" s="43">
        <v>0.02</v>
      </c>
      <c r="K2029" s="44">
        <f>Sales[[#This Row],[Gross Amount]]*Sales[[#This Row],[Disc %]]</f>
        <v>8877.4</v>
      </c>
      <c r="L2029" s="43">
        <v>0.18</v>
      </c>
      <c r="M2029" s="44">
        <f>(Sales[[#This Row],[Gross Amount]]-Sales[[#This Row],[Disc. Amt.]])*Sales[[#This Row],[GST %]]</f>
        <v>78298.667999999991</v>
      </c>
      <c r="N2029" s="161">
        <f>Sales[[#This Row],[Gross Amount]]-Sales[[#This Row],[Disc. Amt.]]+Sales[[#This Row],[GST Amount]]</f>
        <v>513291.26799999998</v>
      </c>
      <c r="O2029" s="158" t="s">
        <v>3561</v>
      </c>
      <c r="P2029" s="158" t="s">
        <v>3562</v>
      </c>
      <c r="Q2029" s="160">
        <f>IF(Sales[[#This Row],[Status]]="Cancelled",0,Sales[[#This Row],[Qty]])</f>
        <v>7</v>
      </c>
      <c r="R2029" s="161">
        <f>IF(Sales[[#This Row],[Status]]="Cancelled",0,Sales[[#This Row],[Total Amount]])</f>
        <v>513291.26799999998</v>
      </c>
      <c r="S2029" s="162">
        <f>SUM(Sales[Net Amount])</f>
        <v>406839287.73200053</v>
      </c>
    </row>
    <row r="2030" spans="1:19" ht="18.75" x14ac:dyDescent="0.25">
      <c r="A2030" s="163" t="s">
        <v>5647</v>
      </c>
      <c r="B2030" s="164">
        <v>45881</v>
      </c>
      <c r="C2030" s="34" t="s">
        <v>935</v>
      </c>
      <c r="D2030" s="53" t="str">
        <f>VLOOKUP(Sales[[#This Row],[Customer ID]],Customer[#All],2,0)</f>
        <v>Ankit Kumar</v>
      </c>
      <c r="E2030" s="34" t="s">
        <v>497</v>
      </c>
      <c r="F2030" s="34" t="str">
        <f>VLOOKUP(Sales[[#This Row],[Product ID]],Product[#All],2,0)</f>
        <v>Boat Headset</v>
      </c>
      <c r="G2030" s="53">
        <v>1</v>
      </c>
      <c r="H2030" s="165">
        <f>VLOOKUP(Sales[[#This Row],[Product ID]],Product[#All],7,0)</f>
        <v>4930</v>
      </c>
      <c r="I2030" s="165">
        <f>Sales[[#This Row],[Selling Rate]]*Sales[[#This Row],[Qty]]</f>
        <v>4930</v>
      </c>
      <c r="J2030" s="45">
        <v>0.05</v>
      </c>
      <c r="K2030" s="46">
        <f>Sales[[#This Row],[Gross Amount]]*Sales[[#This Row],[Disc %]]</f>
        <v>246.5</v>
      </c>
      <c r="L2030" s="43">
        <v>0.18</v>
      </c>
      <c r="M2030" s="46">
        <f>(Sales[[#This Row],[Gross Amount]]-Sales[[#This Row],[Disc. Amt.]])*Sales[[#This Row],[GST %]]</f>
        <v>843.03</v>
      </c>
      <c r="N2030" s="161">
        <f>Sales[[#This Row],[Gross Amount]]-Sales[[#This Row],[Disc. Amt.]]+Sales[[#This Row],[GST Amount]]</f>
        <v>5526.53</v>
      </c>
      <c r="O2030" s="34" t="s">
        <v>3569</v>
      </c>
      <c r="P2030" s="34" t="s">
        <v>3562</v>
      </c>
      <c r="Q2030" s="165">
        <f>IF(Sales[[#This Row],[Status]]="Cancelled",0,Sales[[#This Row],[Qty]])</f>
        <v>1</v>
      </c>
      <c r="R2030" s="166">
        <f>IF(Sales[[#This Row],[Status]]="Cancelled",0,Sales[[#This Row],[Total Amount]])</f>
        <v>5526.53</v>
      </c>
      <c r="S2030" s="162">
        <f>SUM(Sales[Net Amount])</f>
        <v>406839287.73200053</v>
      </c>
    </row>
    <row r="2031" spans="1:19" ht="18.75" x14ac:dyDescent="0.25">
      <c r="A2031" s="156" t="s">
        <v>5648</v>
      </c>
      <c r="B2031" s="157">
        <v>45881</v>
      </c>
      <c r="C2031" s="158" t="s">
        <v>931</v>
      </c>
      <c r="D2031" s="159" t="str">
        <f>VLOOKUP(Sales[[#This Row],[Customer ID]],Customer[#All],2,0)</f>
        <v>Sahil Patel</v>
      </c>
      <c r="E2031" s="158" t="s">
        <v>183</v>
      </c>
      <c r="F2031" s="158" t="str">
        <f>VLOOKUP(Sales[[#This Row],[Product ID]],Product[#All],2,0)</f>
        <v>Boat Speaker</v>
      </c>
      <c r="G2031" s="159">
        <v>3</v>
      </c>
      <c r="H2031" s="160">
        <f>VLOOKUP(Sales[[#This Row],[Product ID]],Product[#All],7,0)</f>
        <v>1430</v>
      </c>
      <c r="I2031" s="160">
        <f>Sales[[#This Row],[Selling Rate]]*Sales[[#This Row],[Qty]]</f>
        <v>4290</v>
      </c>
      <c r="J2031" s="43">
        <v>0.05</v>
      </c>
      <c r="K2031" s="44">
        <f>Sales[[#This Row],[Gross Amount]]*Sales[[#This Row],[Disc %]]</f>
        <v>214.5</v>
      </c>
      <c r="L2031" s="43">
        <v>0.18</v>
      </c>
      <c r="M2031" s="44">
        <f>(Sales[[#This Row],[Gross Amount]]-Sales[[#This Row],[Disc. Amt.]])*Sales[[#This Row],[GST %]]</f>
        <v>733.58999999999992</v>
      </c>
      <c r="N2031" s="161">
        <f>Sales[[#This Row],[Gross Amount]]-Sales[[#This Row],[Disc. Amt.]]+Sales[[#This Row],[GST Amount]]</f>
        <v>4809.09</v>
      </c>
      <c r="O2031" s="158" t="s">
        <v>3566</v>
      </c>
      <c r="P2031" s="158" t="s">
        <v>3562</v>
      </c>
      <c r="Q2031" s="160">
        <f>IF(Sales[[#This Row],[Status]]="Cancelled",0,Sales[[#This Row],[Qty]])</f>
        <v>3</v>
      </c>
      <c r="R2031" s="161">
        <f>IF(Sales[[#This Row],[Status]]="Cancelled",0,Sales[[#This Row],[Total Amount]])</f>
        <v>4809.09</v>
      </c>
      <c r="S2031" s="162">
        <f>SUM(Sales[Net Amount])</f>
        <v>406839287.73200053</v>
      </c>
    </row>
    <row r="2032" spans="1:19" ht="18.75" x14ac:dyDescent="0.25">
      <c r="A2032" s="163" t="s">
        <v>5649</v>
      </c>
      <c r="B2032" s="164">
        <v>45881</v>
      </c>
      <c r="C2032" s="34" t="s">
        <v>834</v>
      </c>
      <c r="D2032" s="53" t="str">
        <f>VLOOKUP(Sales[[#This Row],[Customer ID]],Customer[#All],2,0)</f>
        <v>Rahul Verma</v>
      </c>
      <c r="E2032" s="34" t="s">
        <v>165</v>
      </c>
      <c r="F2032" s="34" t="str">
        <f>VLOOKUP(Sales[[#This Row],[Product ID]],Product[#All],2,0)</f>
        <v>Kingston Ram</v>
      </c>
      <c r="G2032" s="53">
        <v>6</v>
      </c>
      <c r="H2032" s="165">
        <f>VLOOKUP(Sales[[#This Row],[Product ID]],Product[#All],7,0)</f>
        <v>8020</v>
      </c>
      <c r="I2032" s="165">
        <f>Sales[[#This Row],[Selling Rate]]*Sales[[#This Row],[Qty]]</f>
        <v>48120</v>
      </c>
      <c r="J2032" s="45">
        <v>0.12</v>
      </c>
      <c r="K2032" s="46">
        <f>Sales[[#This Row],[Gross Amount]]*Sales[[#This Row],[Disc %]]</f>
        <v>5774.4</v>
      </c>
      <c r="L2032" s="43">
        <v>0.18</v>
      </c>
      <c r="M2032" s="46">
        <f>(Sales[[#This Row],[Gross Amount]]-Sales[[#This Row],[Disc. Amt.]])*Sales[[#This Row],[GST %]]</f>
        <v>7622.2079999999996</v>
      </c>
      <c r="N2032" s="161">
        <f>Sales[[#This Row],[Gross Amount]]-Sales[[#This Row],[Disc. Amt.]]+Sales[[#This Row],[GST Amount]]</f>
        <v>49967.807999999997</v>
      </c>
      <c r="O2032" s="34" t="s">
        <v>3561</v>
      </c>
      <c r="P2032" s="34" t="s">
        <v>3562</v>
      </c>
      <c r="Q2032" s="165">
        <f>IF(Sales[[#This Row],[Status]]="Cancelled",0,Sales[[#This Row],[Qty]])</f>
        <v>6</v>
      </c>
      <c r="R2032" s="166">
        <f>IF(Sales[[#This Row],[Status]]="Cancelled",0,Sales[[#This Row],[Total Amount]])</f>
        <v>49967.807999999997</v>
      </c>
      <c r="S2032" s="162">
        <f>SUM(Sales[Net Amount])</f>
        <v>406839287.73200053</v>
      </c>
    </row>
    <row r="2033" spans="1:19" ht="18.75" x14ac:dyDescent="0.25">
      <c r="A2033" s="156" t="s">
        <v>5650</v>
      </c>
      <c r="B2033" s="157">
        <v>45881</v>
      </c>
      <c r="C2033" s="158" t="s">
        <v>919</v>
      </c>
      <c r="D2033" s="159" t="str">
        <f>VLOOKUP(Sales[[#This Row],[Customer ID]],Customer[#All],2,0)</f>
        <v>Pooja Patel</v>
      </c>
      <c r="E2033" s="158" t="s">
        <v>504</v>
      </c>
      <c r="F2033" s="158" t="str">
        <f>VLOOKUP(Sales[[#This Row],[Product ID]],Product[#All],2,0)</f>
        <v>Logitech Keyboard</v>
      </c>
      <c r="G2033" s="159">
        <v>7</v>
      </c>
      <c r="H2033" s="160">
        <f>VLOOKUP(Sales[[#This Row],[Product ID]],Product[#All],7,0)</f>
        <v>3930</v>
      </c>
      <c r="I2033" s="160">
        <f>Sales[[#This Row],[Selling Rate]]*Sales[[#This Row],[Qty]]</f>
        <v>27510</v>
      </c>
      <c r="J2033" s="43">
        <v>0.02</v>
      </c>
      <c r="K2033" s="44">
        <f>Sales[[#This Row],[Gross Amount]]*Sales[[#This Row],[Disc %]]</f>
        <v>550.20000000000005</v>
      </c>
      <c r="L2033" s="43">
        <v>0.18</v>
      </c>
      <c r="M2033" s="44">
        <f>(Sales[[#This Row],[Gross Amount]]-Sales[[#This Row],[Disc. Amt.]])*Sales[[#This Row],[GST %]]</f>
        <v>4852.7640000000001</v>
      </c>
      <c r="N2033" s="161">
        <f>Sales[[#This Row],[Gross Amount]]-Sales[[#This Row],[Disc. Amt.]]+Sales[[#This Row],[GST Amount]]</f>
        <v>31812.563999999998</v>
      </c>
      <c r="O2033" s="158" t="s">
        <v>3569</v>
      </c>
      <c r="P2033" s="158" t="s">
        <v>3562</v>
      </c>
      <c r="Q2033" s="160">
        <f>IF(Sales[[#This Row],[Status]]="Cancelled",0,Sales[[#This Row],[Qty]])</f>
        <v>7</v>
      </c>
      <c r="R2033" s="161">
        <f>IF(Sales[[#This Row],[Status]]="Cancelled",0,Sales[[#This Row],[Total Amount]])</f>
        <v>31812.563999999998</v>
      </c>
      <c r="S2033" s="162">
        <f>SUM(Sales[Net Amount])</f>
        <v>406839287.73200053</v>
      </c>
    </row>
    <row r="2034" spans="1:19" ht="18.75" x14ac:dyDescent="0.25">
      <c r="A2034" s="163" t="s">
        <v>5651</v>
      </c>
      <c r="B2034" s="164">
        <v>45881</v>
      </c>
      <c r="C2034" s="34" t="s">
        <v>821</v>
      </c>
      <c r="D2034" s="53" t="str">
        <f>VLOOKUP(Sales[[#This Row],[Customer ID]],Customer[#All],2,0)</f>
        <v>Rakesh Sharma</v>
      </c>
      <c r="E2034" s="34" t="s">
        <v>440</v>
      </c>
      <c r="F2034" s="34" t="str">
        <f>VLOOKUP(Sales[[#This Row],[Product ID]],Product[#All],2,0)</f>
        <v>Dell Monitor</v>
      </c>
      <c r="G2034" s="53">
        <v>2</v>
      </c>
      <c r="H2034" s="165">
        <f>VLOOKUP(Sales[[#This Row],[Product ID]],Product[#All],7,0)</f>
        <v>22810</v>
      </c>
      <c r="I2034" s="165">
        <f>Sales[[#This Row],[Selling Rate]]*Sales[[#This Row],[Qty]]</f>
        <v>45620</v>
      </c>
      <c r="J2034" s="45">
        <v>0.1</v>
      </c>
      <c r="K2034" s="46">
        <f>Sales[[#This Row],[Gross Amount]]*Sales[[#This Row],[Disc %]]</f>
        <v>4562</v>
      </c>
      <c r="L2034" s="43">
        <v>0.18</v>
      </c>
      <c r="M2034" s="46">
        <f>(Sales[[#This Row],[Gross Amount]]-Sales[[#This Row],[Disc. Amt.]])*Sales[[#This Row],[GST %]]</f>
        <v>7390.44</v>
      </c>
      <c r="N2034" s="161">
        <f>Sales[[#This Row],[Gross Amount]]-Sales[[#This Row],[Disc. Amt.]]+Sales[[#This Row],[GST Amount]]</f>
        <v>48448.44</v>
      </c>
      <c r="O2034" s="34" t="s">
        <v>8876</v>
      </c>
      <c r="P2034" s="34" t="s">
        <v>3562</v>
      </c>
      <c r="Q2034" s="165">
        <f>IF(Sales[[#This Row],[Status]]="Cancelled",0,Sales[[#This Row],[Qty]])</f>
        <v>2</v>
      </c>
      <c r="R2034" s="166">
        <f>IF(Sales[[#This Row],[Status]]="Cancelled",0,Sales[[#This Row],[Total Amount]])</f>
        <v>48448.44</v>
      </c>
      <c r="S2034" s="162">
        <f>SUM(Sales[Net Amount])</f>
        <v>406839287.73200053</v>
      </c>
    </row>
    <row r="2035" spans="1:19" ht="18.75" x14ac:dyDescent="0.25">
      <c r="A2035" s="156" t="s">
        <v>5652</v>
      </c>
      <c r="B2035" s="157">
        <v>45882</v>
      </c>
      <c r="C2035" s="158" t="s">
        <v>727</v>
      </c>
      <c r="D2035" s="159" t="str">
        <f>VLOOKUP(Sales[[#This Row],[Customer ID]],Customer[#All],2,0)</f>
        <v>Sahil Sharma</v>
      </c>
      <c r="E2035" s="158" t="s">
        <v>435</v>
      </c>
      <c r="F2035" s="158" t="str">
        <f>VLOOKUP(Sales[[#This Row],[Product ID]],Product[#All],2,0)</f>
        <v>Corsair Ram</v>
      </c>
      <c r="G2035" s="159">
        <v>1</v>
      </c>
      <c r="H2035" s="160">
        <f>VLOOKUP(Sales[[#This Row],[Product ID]],Product[#All],7,0)</f>
        <v>8060</v>
      </c>
      <c r="I2035" s="160">
        <f>Sales[[#This Row],[Selling Rate]]*Sales[[#This Row],[Qty]]</f>
        <v>8060</v>
      </c>
      <c r="J2035" s="43">
        <v>0.1</v>
      </c>
      <c r="K2035" s="44">
        <f>Sales[[#This Row],[Gross Amount]]*Sales[[#This Row],[Disc %]]</f>
        <v>806</v>
      </c>
      <c r="L2035" s="43">
        <v>0.18</v>
      </c>
      <c r="M2035" s="44">
        <f>(Sales[[#This Row],[Gross Amount]]-Sales[[#This Row],[Disc. Amt.]])*Sales[[#This Row],[GST %]]</f>
        <v>1305.72</v>
      </c>
      <c r="N2035" s="161">
        <f>Sales[[#This Row],[Gross Amount]]-Sales[[#This Row],[Disc. Amt.]]+Sales[[#This Row],[GST Amount]]</f>
        <v>8559.7199999999993</v>
      </c>
      <c r="O2035" s="158" t="s">
        <v>8876</v>
      </c>
      <c r="P2035" s="158" t="s">
        <v>3562</v>
      </c>
      <c r="Q2035" s="160">
        <f>IF(Sales[[#This Row],[Status]]="Cancelled",0,Sales[[#This Row],[Qty]])</f>
        <v>1</v>
      </c>
      <c r="R2035" s="161">
        <f>IF(Sales[[#This Row],[Status]]="Cancelled",0,Sales[[#This Row],[Total Amount]])</f>
        <v>8559.7199999999993</v>
      </c>
      <c r="S2035" s="162">
        <f>SUM(Sales[Net Amount])</f>
        <v>406839287.73200053</v>
      </c>
    </row>
    <row r="2036" spans="1:19" ht="18.75" x14ac:dyDescent="0.25">
      <c r="A2036" s="163" t="s">
        <v>5653</v>
      </c>
      <c r="B2036" s="164">
        <v>45882</v>
      </c>
      <c r="C2036" s="34" t="s">
        <v>892</v>
      </c>
      <c r="D2036" s="53" t="str">
        <f>VLOOKUP(Sales[[#This Row],[Customer ID]],Customer[#All],2,0)</f>
        <v>Sahil Verma</v>
      </c>
      <c r="E2036" s="34" t="s">
        <v>380</v>
      </c>
      <c r="F2036" s="34" t="str">
        <f>VLOOKUP(Sales[[#This Row],[Product ID]],Product[#All],2,0)</f>
        <v>Acer Laptop</v>
      </c>
      <c r="G2036" s="53">
        <v>3</v>
      </c>
      <c r="H2036" s="165">
        <f>VLOOKUP(Sales[[#This Row],[Product ID]],Product[#All],7,0)</f>
        <v>91320</v>
      </c>
      <c r="I2036" s="165">
        <f>Sales[[#This Row],[Selling Rate]]*Sales[[#This Row],[Qty]]</f>
        <v>273960</v>
      </c>
      <c r="J2036" s="45">
        <v>0.05</v>
      </c>
      <c r="K2036" s="46">
        <f>Sales[[#This Row],[Gross Amount]]*Sales[[#This Row],[Disc %]]</f>
        <v>13698</v>
      </c>
      <c r="L2036" s="43">
        <v>0.18</v>
      </c>
      <c r="M2036" s="46">
        <f>(Sales[[#This Row],[Gross Amount]]-Sales[[#This Row],[Disc. Amt.]])*Sales[[#This Row],[GST %]]</f>
        <v>46847.159999999996</v>
      </c>
      <c r="N2036" s="161">
        <f>Sales[[#This Row],[Gross Amount]]-Sales[[#This Row],[Disc. Amt.]]+Sales[[#This Row],[GST Amount]]</f>
        <v>307109.15999999997</v>
      </c>
      <c r="O2036" s="34" t="s">
        <v>3569</v>
      </c>
      <c r="P2036" s="34" t="s">
        <v>3562</v>
      </c>
      <c r="Q2036" s="165">
        <f>IF(Sales[[#This Row],[Status]]="Cancelled",0,Sales[[#This Row],[Qty]])</f>
        <v>3</v>
      </c>
      <c r="R2036" s="166">
        <f>IF(Sales[[#This Row],[Status]]="Cancelled",0,Sales[[#This Row],[Total Amount]])</f>
        <v>307109.15999999997</v>
      </c>
      <c r="S2036" s="162">
        <f>SUM(Sales[Net Amount])</f>
        <v>406839287.73200053</v>
      </c>
    </row>
    <row r="2037" spans="1:19" ht="18.75" x14ac:dyDescent="0.25">
      <c r="A2037" s="156" t="s">
        <v>5654</v>
      </c>
      <c r="B2037" s="157">
        <v>45882</v>
      </c>
      <c r="C2037" s="158" t="s">
        <v>796</v>
      </c>
      <c r="D2037" s="159" t="str">
        <f>VLOOKUP(Sales[[#This Row],[Customer ID]],Customer[#All],2,0)</f>
        <v>Rahul Verma</v>
      </c>
      <c r="E2037" s="158" t="s">
        <v>215</v>
      </c>
      <c r="F2037" s="158" t="str">
        <f>VLOOKUP(Sales[[#This Row],[Product ID]],Product[#All],2,0)</f>
        <v>Apc UPS</v>
      </c>
      <c r="G2037" s="159">
        <v>3</v>
      </c>
      <c r="H2037" s="160">
        <f>VLOOKUP(Sales[[#This Row],[Product ID]],Product[#All],7,0)</f>
        <v>10210</v>
      </c>
      <c r="I2037" s="160">
        <f>Sales[[#This Row],[Selling Rate]]*Sales[[#This Row],[Qty]]</f>
        <v>30630</v>
      </c>
      <c r="J2037" s="43">
        <v>0.12</v>
      </c>
      <c r="K2037" s="44">
        <f>Sales[[#This Row],[Gross Amount]]*Sales[[#This Row],[Disc %]]</f>
        <v>3675.6</v>
      </c>
      <c r="L2037" s="43">
        <v>0.18</v>
      </c>
      <c r="M2037" s="44">
        <f>(Sales[[#This Row],[Gross Amount]]-Sales[[#This Row],[Disc. Amt.]])*Sales[[#This Row],[GST %]]</f>
        <v>4851.7920000000004</v>
      </c>
      <c r="N2037" s="161">
        <f>Sales[[#This Row],[Gross Amount]]-Sales[[#This Row],[Disc. Amt.]]+Sales[[#This Row],[GST Amount]]</f>
        <v>31806.192000000003</v>
      </c>
      <c r="O2037" s="158" t="s">
        <v>3561</v>
      </c>
      <c r="P2037" s="158" t="s">
        <v>3562</v>
      </c>
      <c r="Q2037" s="160">
        <f>IF(Sales[[#This Row],[Status]]="Cancelled",0,Sales[[#This Row],[Qty]])</f>
        <v>3</v>
      </c>
      <c r="R2037" s="161">
        <f>IF(Sales[[#This Row],[Status]]="Cancelled",0,Sales[[#This Row],[Total Amount]])</f>
        <v>31806.192000000003</v>
      </c>
      <c r="S2037" s="162">
        <f>SUM(Sales[Net Amount])</f>
        <v>406839287.73200053</v>
      </c>
    </row>
    <row r="2038" spans="1:19" ht="18.75" x14ac:dyDescent="0.25">
      <c r="A2038" s="163" t="s">
        <v>5655</v>
      </c>
      <c r="B2038" s="164">
        <v>45882</v>
      </c>
      <c r="C2038" s="34" t="s">
        <v>933</v>
      </c>
      <c r="D2038" s="53" t="str">
        <f>VLOOKUP(Sales[[#This Row],[Customer ID]],Customer[#All],2,0)</f>
        <v>Vikas Verma</v>
      </c>
      <c r="E2038" s="34" t="s">
        <v>287</v>
      </c>
      <c r="F2038" s="34" t="str">
        <f>VLOOKUP(Sales[[#This Row],[Product ID]],Product[#All],2,0)</f>
        <v>HP Power Adapter</v>
      </c>
      <c r="G2038" s="53">
        <v>4</v>
      </c>
      <c r="H2038" s="165">
        <f>VLOOKUP(Sales[[#This Row],[Product ID]],Product[#All],7,0)</f>
        <v>2270</v>
      </c>
      <c r="I2038" s="165">
        <f>Sales[[#This Row],[Selling Rate]]*Sales[[#This Row],[Qty]]</f>
        <v>9080</v>
      </c>
      <c r="J2038" s="45">
        <v>0.1</v>
      </c>
      <c r="K2038" s="46">
        <f>Sales[[#This Row],[Gross Amount]]*Sales[[#This Row],[Disc %]]</f>
        <v>908</v>
      </c>
      <c r="L2038" s="43">
        <v>0.18</v>
      </c>
      <c r="M2038" s="46">
        <f>(Sales[[#This Row],[Gross Amount]]-Sales[[#This Row],[Disc. Amt.]])*Sales[[#This Row],[GST %]]</f>
        <v>1470.96</v>
      </c>
      <c r="N2038" s="161">
        <f>Sales[[#This Row],[Gross Amount]]-Sales[[#This Row],[Disc. Amt.]]+Sales[[#This Row],[GST Amount]]</f>
        <v>9642.9599999999991</v>
      </c>
      <c r="O2038" s="34" t="s">
        <v>3566</v>
      </c>
      <c r="P2038" s="34" t="s">
        <v>3562</v>
      </c>
      <c r="Q2038" s="165">
        <f>IF(Sales[[#This Row],[Status]]="Cancelled",0,Sales[[#This Row],[Qty]])</f>
        <v>4</v>
      </c>
      <c r="R2038" s="166">
        <f>IF(Sales[[#This Row],[Status]]="Cancelled",0,Sales[[#This Row],[Total Amount]])</f>
        <v>9642.9599999999991</v>
      </c>
      <c r="S2038" s="162">
        <f>SUM(Sales[Net Amount])</f>
        <v>406839287.73200053</v>
      </c>
    </row>
    <row r="2039" spans="1:19" ht="18.75" x14ac:dyDescent="0.25">
      <c r="A2039" s="156" t="s">
        <v>5656</v>
      </c>
      <c r="B2039" s="157">
        <v>45882</v>
      </c>
      <c r="C2039" s="158" t="s">
        <v>823</v>
      </c>
      <c r="D2039" s="159" t="str">
        <f>VLOOKUP(Sales[[#This Row],[Customer ID]],Customer[#All],2,0)</f>
        <v>Pooja Singh</v>
      </c>
      <c r="E2039" s="158" t="s">
        <v>291</v>
      </c>
      <c r="F2039" s="158" t="str">
        <f>VLOOKUP(Sales[[#This Row],[Product ID]],Product[#All],2,0)</f>
        <v>Jbl Speaker</v>
      </c>
      <c r="G2039" s="159">
        <v>5</v>
      </c>
      <c r="H2039" s="160">
        <f>VLOOKUP(Sales[[#This Row],[Product ID]],Product[#All],7,0)</f>
        <v>12040</v>
      </c>
      <c r="I2039" s="160">
        <f>Sales[[#This Row],[Selling Rate]]*Sales[[#This Row],[Qty]]</f>
        <v>60200</v>
      </c>
      <c r="J2039" s="43">
        <v>0.15</v>
      </c>
      <c r="K2039" s="44">
        <f>Sales[[#This Row],[Gross Amount]]*Sales[[#This Row],[Disc %]]</f>
        <v>9030</v>
      </c>
      <c r="L2039" s="43">
        <v>0.18</v>
      </c>
      <c r="M2039" s="44">
        <f>(Sales[[#This Row],[Gross Amount]]-Sales[[#This Row],[Disc. Amt.]])*Sales[[#This Row],[GST %]]</f>
        <v>9210.6</v>
      </c>
      <c r="N2039" s="161">
        <f>Sales[[#This Row],[Gross Amount]]-Sales[[#This Row],[Disc. Amt.]]+Sales[[#This Row],[GST Amount]]</f>
        <v>60380.6</v>
      </c>
      <c r="O2039" s="158" t="s">
        <v>3569</v>
      </c>
      <c r="P2039" s="158" t="s">
        <v>3562</v>
      </c>
      <c r="Q2039" s="160">
        <f>IF(Sales[[#This Row],[Status]]="Cancelled",0,Sales[[#This Row],[Qty]])</f>
        <v>5</v>
      </c>
      <c r="R2039" s="161">
        <f>IF(Sales[[#This Row],[Status]]="Cancelled",0,Sales[[#This Row],[Total Amount]])</f>
        <v>60380.6</v>
      </c>
      <c r="S2039" s="162">
        <f>SUM(Sales[Net Amount])</f>
        <v>406839287.73200053</v>
      </c>
    </row>
    <row r="2040" spans="1:19" ht="18.75" x14ac:dyDescent="0.25">
      <c r="A2040" s="163" t="s">
        <v>5657</v>
      </c>
      <c r="B2040" s="164">
        <v>45882</v>
      </c>
      <c r="C2040" s="34" t="s">
        <v>866</v>
      </c>
      <c r="D2040" s="53" t="str">
        <f>VLOOKUP(Sales[[#This Row],[Customer ID]],Customer[#All],2,0)</f>
        <v>Priya Patel</v>
      </c>
      <c r="E2040" s="34" t="s">
        <v>270</v>
      </c>
      <c r="F2040" s="34" t="str">
        <f>VLOOKUP(Sales[[#This Row],[Product ID]],Product[#All],2,0)</f>
        <v>Samsung Ssd</v>
      </c>
      <c r="G2040" s="53">
        <v>5</v>
      </c>
      <c r="H2040" s="165">
        <f>VLOOKUP(Sales[[#This Row],[Product ID]],Product[#All],7,0)</f>
        <v>6090</v>
      </c>
      <c r="I2040" s="165">
        <f>Sales[[#This Row],[Selling Rate]]*Sales[[#This Row],[Qty]]</f>
        <v>30450</v>
      </c>
      <c r="J2040" s="45">
        <v>0</v>
      </c>
      <c r="K2040" s="46">
        <f>Sales[[#This Row],[Gross Amount]]*Sales[[#This Row],[Disc %]]</f>
        <v>0</v>
      </c>
      <c r="L2040" s="43">
        <v>0.18</v>
      </c>
      <c r="M2040" s="46">
        <f>(Sales[[#This Row],[Gross Amount]]-Sales[[#This Row],[Disc. Amt.]])*Sales[[#This Row],[GST %]]</f>
        <v>5481</v>
      </c>
      <c r="N2040" s="161">
        <f>Sales[[#This Row],[Gross Amount]]-Sales[[#This Row],[Disc. Amt.]]+Sales[[#This Row],[GST Amount]]</f>
        <v>35931</v>
      </c>
      <c r="O2040" s="34" t="s">
        <v>3566</v>
      </c>
      <c r="P2040" s="34" t="s">
        <v>3562</v>
      </c>
      <c r="Q2040" s="165">
        <f>IF(Sales[[#This Row],[Status]]="Cancelled",0,Sales[[#This Row],[Qty]])</f>
        <v>5</v>
      </c>
      <c r="R2040" s="166">
        <f>IF(Sales[[#This Row],[Status]]="Cancelled",0,Sales[[#This Row],[Total Amount]])</f>
        <v>35931</v>
      </c>
      <c r="S2040" s="162">
        <f>SUM(Sales[Net Amount])</f>
        <v>406839287.73200053</v>
      </c>
    </row>
    <row r="2041" spans="1:19" ht="18.75" x14ac:dyDescent="0.25">
      <c r="A2041" s="156" t="s">
        <v>5658</v>
      </c>
      <c r="B2041" s="157">
        <v>45882</v>
      </c>
      <c r="C2041" s="158" t="s">
        <v>664</v>
      </c>
      <c r="D2041" s="159" t="str">
        <f>VLOOKUP(Sales[[#This Row],[Customer ID]],Customer[#All],2,0)</f>
        <v>Sahil Singh</v>
      </c>
      <c r="E2041" s="158" t="s">
        <v>157</v>
      </c>
      <c r="F2041" s="158" t="str">
        <f>VLOOKUP(Sales[[#This Row],[Product ID]],Product[#All],2,0)</f>
        <v>Epson Printer</v>
      </c>
      <c r="G2041" s="159">
        <v>1</v>
      </c>
      <c r="H2041" s="160">
        <f>VLOOKUP(Sales[[#This Row],[Product ID]],Product[#All],7,0)</f>
        <v>12100</v>
      </c>
      <c r="I2041" s="160">
        <f>Sales[[#This Row],[Selling Rate]]*Sales[[#This Row],[Qty]]</f>
        <v>12100</v>
      </c>
      <c r="J2041" s="43">
        <v>0.05</v>
      </c>
      <c r="K2041" s="44">
        <f>Sales[[#This Row],[Gross Amount]]*Sales[[#This Row],[Disc %]]</f>
        <v>605</v>
      </c>
      <c r="L2041" s="43">
        <v>0.18</v>
      </c>
      <c r="M2041" s="44">
        <f>(Sales[[#This Row],[Gross Amount]]-Sales[[#This Row],[Disc. Amt.]])*Sales[[#This Row],[GST %]]</f>
        <v>2069.1</v>
      </c>
      <c r="N2041" s="161">
        <f>Sales[[#This Row],[Gross Amount]]-Sales[[#This Row],[Disc. Amt.]]+Sales[[#This Row],[GST Amount]]</f>
        <v>13564.1</v>
      </c>
      <c r="O2041" s="158" t="s">
        <v>3569</v>
      </c>
      <c r="P2041" s="158" t="s">
        <v>3562</v>
      </c>
      <c r="Q2041" s="160">
        <f>IF(Sales[[#This Row],[Status]]="Cancelled",0,Sales[[#This Row],[Qty]])</f>
        <v>1</v>
      </c>
      <c r="R2041" s="161">
        <f>IF(Sales[[#This Row],[Status]]="Cancelled",0,Sales[[#This Row],[Total Amount]])</f>
        <v>13564.1</v>
      </c>
      <c r="S2041" s="162">
        <f>SUM(Sales[Net Amount])</f>
        <v>406839287.73200053</v>
      </c>
    </row>
    <row r="2042" spans="1:19" ht="18.75" x14ac:dyDescent="0.25">
      <c r="A2042" s="163" t="s">
        <v>5659</v>
      </c>
      <c r="B2042" s="164">
        <v>45882</v>
      </c>
      <c r="C2042" s="34" t="s">
        <v>937</v>
      </c>
      <c r="D2042" s="53" t="str">
        <f>VLOOKUP(Sales[[#This Row],[Customer ID]],Customer[#All],2,0)</f>
        <v>Rahul Singh</v>
      </c>
      <c r="E2042" s="34" t="s">
        <v>265</v>
      </c>
      <c r="F2042" s="34" t="str">
        <f>VLOOKUP(Sales[[#This Row],[Product ID]],Product[#All],2,0)</f>
        <v>Canon Printer</v>
      </c>
      <c r="G2042" s="53">
        <v>6</v>
      </c>
      <c r="H2042" s="165">
        <f>VLOOKUP(Sales[[#This Row],[Product ID]],Product[#All],7,0)</f>
        <v>33970</v>
      </c>
      <c r="I2042" s="165">
        <f>Sales[[#This Row],[Selling Rate]]*Sales[[#This Row],[Qty]]</f>
        <v>203820</v>
      </c>
      <c r="J2042" s="45">
        <v>0.12</v>
      </c>
      <c r="K2042" s="46">
        <f>Sales[[#This Row],[Gross Amount]]*Sales[[#This Row],[Disc %]]</f>
        <v>24458.399999999998</v>
      </c>
      <c r="L2042" s="43">
        <v>0.18</v>
      </c>
      <c r="M2042" s="46">
        <f>(Sales[[#This Row],[Gross Amount]]-Sales[[#This Row],[Disc. Amt.]])*Sales[[#This Row],[GST %]]</f>
        <v>32285.088</v>
      </c>
      <c r="N2042" s="161">
        <f>Sales[[#This Row],[Gross Amount]]-Sales[[#This Row],[Disc. Amt.]]+Sales[[#This Row],[GST Amount]]</f>
        <v>211646.68799999999</v>
      </c>
      <c r="O2042" s="34" t="s">
        <v>3561</v>
      </c>
      <c r="P2042" s="34" t="s">
        <v>3562</v>
      </c>
      <c r="Q2042" s="165">
        <f>IF(Sales[[#This Row],[Status]]="Cancelled",0,Sales[[#This Row],[Qty]])</f>
        <v>6</v>
      </c>
      <c r="R2042" s="166">
        <f>IF(Sales[[#This Row],[Status]]="Cancelled",0,Sales[[#This Row],[Total Amount]])</f>
        <v>211646.68799999999</v>
      </c>
      <c r="S2042" s="162">
        <f>SUM(Sales[Net Amount])</f>
        <v>406839287.73200053</v>
      </c>
    </row>
    <row r="2043" spans="1:19" ht="18.75" x14ac:dyDescent="0.25">
      <c r="A2043" s="156" t="s">
        <v>5660</v>
      </c>
      <c r="B2043" s="157">
        <v>45882</v>
      </c>
      <c r="C2043" s="158" t="s">
        <v>939</v>
      </c>
      <c r="D2043" s="159" t="str">
        <f>VLOOKUP(Sales[[#This Row],[Customer ID]],Customer[#All],2,0)</f>
        <v>Sunita Sharma</v>
      </c>
      <c r="E2043" s="158" t="s">
        <v>358</v>
      </c>
      <c r="F2043" s="158" t="str">
        <f>VLOOKUP(Sales[[#This Row],[Product ID]],Product[#All],2,0)</f>
        <v>TP-link Router</v>
      </c>
      <c r="G2043" s="159">
        <v>6</v>
      </c>
      <c r="H2043" s="160">
        <f>VLOOKUP(Sales[[#This Row],[Product ID]],Product[#All],7,0)</f>
        <v>3970</v>
      </c>
      <c r="I2043" s="160">
        <f>Sales[[#This Row],[Selling Rate]]*Sales[[#This Row],[Qty]]</f>
        <v>23820</v>
      </c>
      <c r="J2043" s="43">
        <v>0.05</v>
      </c>
      <c r="K2043" s="44">
        <f>Sales[[#This Row],[Gross Amount]]*Sales[[#This Row],[Disc %]]</f>
        <v>1191</v>
      </c>
      <c r="L2043" s="43">
        <v>0.18</v>
      </c>
      <c r="M2043" s="44">
        <f>(Sales[[#This Row],[Gross Amount]]-Sales[[#This Row],[Disc. Amt.]])*Sales[[#This Row],[GST %]]</f>
        <v>4073.22</v>
      </c>
      <c r="N2043" s="161">
        <f>Sales[[#This Row],[Gross Amount]]-Sales[[#This Row],[Disc. Amt.]]+Sales[[#This Row],[GST Amount]]</f>
        <v>26702.22</v>
      </c>
      <c r="O2043" s="158" t="s">
        <v>3561</v>
      </c>
      <c r="P2043" s="158" t="s">
        <v>3562</v>
      </c>
      <c r="Q2043" s="160">
        <f>IF(Sales[[#This Row],[Status]]="Cancelled",0,Sales[[#This Row],[Qty]])</f>
        <v>6</v>
      </c>
      <c r="R2043" s="161">
        <f>IF(Sales[[#This Row],[Status]]="Cancelled",0,Sales[[#This Row],[Total Amount]])</f>
        <v>26702.22</v>
      </c>
      <c r="S2043" s="162">
        <f>SUM(Sales[Net Amount])</f>
        <v>406839287.73200053</v>
      </c>
    </row>
    <row r="2044" spans="1:19" ht="18.75" x14ac:dyDescent="0.25">
      <c r="A2044" s="163" t="s">
        <v>5661</v>
      </c>
      <c r="B2044" s="164">
        <v>45882</v>
      </c>
      <c r="C2044" s="34" t="s">
        <v>852</v>
      </c>
      <c r="D2044" s="53" t="str">
        <f>VLOOKUP(Sales[[#This Row],[Customer ID]],Customer[#All],2,0)</f>
        <v>Neha Singh</v>
      </c>
      <c r="E2044" s="34" t="s">
        <v>164</v>
      </c>
      <c r="F2044" s="34" t="str">
        <f>VLOOKUP(Sales[[#This Row],[Product ID]],Product[#All],2,0)</f>
        <v>Jbl Headset</v>
      </c>
      <c r="G2044" s="53">
        <v>4</v>
      </c>
      <c r="H2044" s="165">
        <f>VLOOKUP(Sales[[#This Row],[Product ID]],Product[#All],7,0)</f>
        <v>3360</v>
      </c>
      <c r="I2044" s="165">
        <f>Sales[[#This Row],[Selling Rate]]*Sales[[#This Row],[Qty]]</f>
        <v>13440</v>
      </c>
      <c r="J2044" s="45">
        <v>0</v>
      </c>
      <c r="K2044" s="46">
        <f>Sales[[#This Row],[Gross Amount]]*Sales[[#This Row],[Disc %]]</f>
        <v>0</v>
      </c>
      <c r="L2044" s="43">
        <v>0.18</v>
      </c>
      <c r="M2044" s="46">
        <f>(Sales[[#This Row],[Gross Amount]]-Sales[[#This Row],[Disc. Amt.]])*Sales[[#This Row],[GST %]]</f>
        <v>2419.1999999999998</v>
      </c>
      <c r="N2044" s="161">
        <f>Sales[[#This Row],[Gross Amount]]-Sales[[#This Row],[Disc. Amt.]]+Sales[[#This Row],[GST Amount]]</f>
        <v>15859.2</v>
      </c>
      <c r="O2044" s="34" t="s">
        <v>8876</v>
      </c>
      <c r="P2044" s="34" t="s">
        <v>3562</v>
      </c>
      <c r="Q2044" s="165">
        <f>IF(Sales[[#This Row],[Status]]="Cancelled",0,Sales[[#This Row],[Qty]])</f>
        <v>4</v>
      </c>
      <c r="R2044" s="166">
        <f>IF(Sales[[#This Row],[Status]]="Cancelled",0,Sales[[#This Row],[Total Amount]])</f>
        <v>15859.2</v>
      </c>
      <c r="S2044" s="162">
        <f>SUM(Sales[Net Amount])</f>
        <v>406839287.73200053</v>
      </c>
    </row>
    <row r="2045" spans="1:19" ht="18.75" x14ac:dyDescent="0.25">
      <c r="A2045" s="156" t="s">
        <v>5662</v>
      </c>
      <c r="B2045" s="157">
        <v>45882</v>
      </c>
      <c r="C2045" s="158" t="s">
        <v>819</v>
      </c>
      <c r="D2045" s="159" t="str">
        <f>VLOOKUP(Sales[[#This Row],[Customer ID]],Customer[#All],2,0)</f>
        <v>Neha Gupta</v>
      </c>
      <c r="E2045" s="158" t="s">
        <v>70</v>
      </c>
      <c r="F2045" s="158" t="str">
        <f>VLOOKUP(Sales[[#This Row],[Product ID]],Product[#All],2,0)</f>
        <v>Logitech Webcam</v>
      </c>
      <c r="G2045" s="159">
        <v>1</v>
      </c>
      <c r="H2045" s="160">
        <f>VLOOKUP(Sales[[#This Row],[Product ID]],Product[#All],7,0)</f>
        <v>5200</v>
      </c>
      <c r="I2045" s="160">
        <f>Sales[[#This Row],[Selling Rate]]*Sales[[#This Row],[Qty]]</f>
        <v>5200</v>
      </c>
      <c r="J2045" s="43">
        <v>0.02</v>
      </c>
      <c r="K2045" s="44">
        <f>Sales[[#This Row],[Gross Amount]]*Sales[[#This Row],[Disc %]]</f>
        <v>104</v>
      </c>
      <c r="L2045" s="43">
        <v>0.18</v>
      </c>
      <c r="M2045" s="44">
        <f>(Sales[[#This Row],[Gross Amount]]-Sales[[#This Row],[Disc. Amt.]])*Sales[[#This Row],[GST %]]</f>
        <v>917.28</v>
      </c>
      <c r="N2045" s="161">
        <f>Sales[[#This Row],[Gross Amount]]-Sales[[#This Row],[Disc. Amt.]]+Sales[[#This Row],[GST Amount]]</f>
        <v>6013.28</v>
      </c>
      <c r="O2045" s="158" t="s">
        <v>3569</v>
      </c>
      <c r="P2045" s="158" t="s">
        <v>3562</v>
      </c>
      <c r="Q2045" s="160">
        <f>IF(Sales[[#This Row],[Status]]="Cancelled",0,Sales[[#This Row],[Qty]])</f>
        <v>1</v>
      </c>
      <c r="R2045" s="161">
        <f>IF(Sales[[#This Row],[Status]]="Cancelled",0,Sales[[#This Row],[Total Amount]])</f>
        <v>6013.28</v>
      </c>
      <c r="S2045" s="162">
        <f>SUM(Sales[Net Amount])</f>
        <v>406839287.73200053</v>
      </c>
    </row>
    <row r="2046" spans="1:19" ht="18.75" x14ac:dyDescent="0.25">
      <c r="A2046" s="163" t="s">
        <v>5663</v>
      </c>
      <c r="B2046" s="164">
        <v>45882</v>
      </c>
      <c r="C2046" s="34" t="s">
        <v>788</v>
      </c>
      <c r="D2046" s="53" t="str">
        <f>VLOOKUP(Sales[[#This Row],[Customer ID]],Customer[#All],2,0)</f>
        <v>Vikas Kumar</v>
      </c>
      <c r="E2046" s="34" t="s">
        <v>266</v>
      </c>
      <c r="F2046" s="34" t="str">
        <f>VLOOKUP(Sales[[#This Row],[Product ID]],Product[#All],2,0)</f>
        <v>American TouristerLaptopBag</v>
      </c>
      <c r="G2046" s="53">
        <v>7</v>
      </c>
      <c r="H2046" s="165">
        <f>VLOOKUP(Sales[[#This Row],[Product ID]],Product[#All],7,0)</f>
        <v>4170</v>
      </c>
      <c r="I2046" s="165">
        <f>Sales[[#This Row],[Selling Rate]]*Sales[[#This Row],[Qty]]</f>
        <v>29190</v>
      </c>
      <c r="J2046" s="45">
        <v>0</v>
      </c>
      <c r="K2046" s="46">
        <f>Sales[[#This Row],[Gross Amount]]*Sales[[#This Row],[Disc %]]</f>
        <v>0</v>
      </c>
      <c r="L2046" s="43">
        <v>0.18</v>
      </c>
      <c r="M2046" s="46">
        <f>(Sales[[#This Row],[Gross Amount]]-Sales[[#This Row],[Disc. Amt.]])*Sales[[#This Row],[GST %]]</f>
        <v>5254.2</v>
      </c>
      <c r="N2046" s="161">
        <f>Sales[[#This Row],[Gross Amount]]-Sales[[#This Row],[Disc. Amt.]]+Sales[[#This Row],[GST Amount]]</f>
        <v>34444.199999999997</v>
      </c>
      <c r="O2046" s="34" t="s">
        <v>3566</v>
      </c>
      <c r="P2046" s="34" t="s">
        <v>3562</v>
      </c>
      <c r="Q2046" s="165">
        <f>IF(Sales[[#This Row],[Status]]="Cancelled",0,Sales[[#This Row],[Qty]])</f>
        <v>7</v>
      </c>
      <c r="R2046" s="166">
        <f>IF(Sales[[#This Row],[Status]]="Cancelled",0,Sales[[#This Row],[Total Amount]])</f>
        <v>34444.199999999997</v>
      </c>
      <c r="S2046" s="162">
        <f>SUM(Sales[Net Amount])</f>
        <v>406839287.73200053</v>
      </c>
    </row>
    <row r="2047" spans="1:19" ht="18.75" x14ac:dyDescent="0.25">
      <c r="A2047" s="156" t="s">
        <v>5664</v>
      </c>
      <c r="B2047" s="157">
        <v>45882</v>
      </c>
      <c r="C2047" s="158" t="s">
        <v>750</v>
      </c>
      <c r="D2047" s="159" t="str">
        <f>VLOOKUP(Sales[[#This Row],[Customer ID]],Customer[#All],2,0)</f>
        <v>Rakesh Verma</v>
      </c>
      <c r="E2047" s="158" t="s">
        <v>185</v>
      </c>
      <c r="F2047" s="158" t="str">
        <f>VLOOKUP(Sales[[#This Row],[Product ID]],Product[#All],2,0)</f>
        <v>HP Power Adapter</v>
      </c>
      <c r="G2047" s="159">
        <v>4</v>
      </c>
      <c r="H2047" s="160">
        <f>VLOOKUP(Sales[[#This Row],[Product ID]],Product[#All],7,0)</f>
        <v>4850</v>
      </c>
      <c r="I2047" s="160">
        <f>Sales[[#This Row],[Selling Rate]]*Sales[[#This Row],[Qty]]</f>
        <v>19400</v>
      </c>
      <c r="J2047" s="43">
        <v>0.15</v>
      </c>
      <c r="K2047" s="44">
        <f>Sales[[#This Row],[Gross Amount]]*Sales[[#This Row],[Disc %]]</f>
        <v>2910</v>
      </c>
      <c r="L2047" s="43">
        <v>0.18</v>
      </c>
      <c r="M2047" s="44">
        <f>(Sales[[#This Row],[Gross Amount]]-Sales[[#This Row],[Disc. Amt.]])*Sales[[#This Row],[GST %]]</f>
        <v>2968.2</v>
      </c>
      <c r="N2047" s="161">
        <f>Sales[[#This Row],[Gross Amount]]-Sales[[#This Row],[Disc. Amt.]]+Sales[[#This Row],[GST Amount]]</f>
        <v>19458.2</v>
      </c>
      <c r="O2047" s="158" t="s">
        <v>3561</v>
      </c>
      <c r="P2047" s="158" t="s">
        <v>3562</v>
      </c>
      <c r="Q2047" s="160">
        <f>IF(Sales[[#This Row],[Status]]="Cancelled",0,Sales[[#This Row],[Qty]])</f>
        <v>4</v>
      </c>
      <c r="R2047" s="161">
        <f>IF(Sales[[#This Row],[Status]]="Cancelled",0,Sales[[#This Row],[Total Amount]])</f>
        <v>19458.2</v>
      </c>
      <c r="S2047" s="162">
        <f>SUM(Sales[Net Amount])</f>
        <v>406839287.73200053</v>
      </c>
    </row>
    <row r="2048" spans="1:19" ht="18.75" x14ac:dyDescent="0.25">
      <c r="A2048" s="163" t="s">
        <v>5665</v>
      </c>
      <c r="B2048" s="164">
        <v>45882</v>
      </c>
      <c r="C2048" s="34" t="s">
        <v>815</v>
      </c>
      <c r="D2048" s="53" t="str">
        <f>VLOOKUP(Sales[[#This Row],[Customer ID]],Customer[#All],2,0)</f>
        <v>Priya Gupta</v>
      </c>
      <c r="E2048" s="34" t="s">
        <v>203</v>
      </c>
      <c r="F2048" s="34" t="str">
        <f>VLOOKUP(Sales[[#This Row],[Product ID]],Product[#All],2,0)</f>
        <v>Logitech Mouse</v>
      </c>
      <c r="G2048" s="53">
        <v>4</v>
      </c>
      <c r="H2048" s="165">
        <f>VLOOKUP(Sales[[#This Row],[Product ID]],Product[#All],7,0)</f>
        <v>2110</v>
      </c>
      <c r="I2048" s="165">
        <f>Sales[[#This Row],[Selling Rate]]*Sales[[#This Row],[Qty]]</f>
        <v>8440</v>
      </c>
      <c r="J2048" s="45">
        <v>0</v>
      </c>
      <c r="K2048" s="46">
        <f>Sales[[#This Row],[Gross Amount]]*Sales[[#This Row],[Disc %]]</f>
        <v>0</v>
      </c>
      <c r="L2048" s="43">
        <v>0.18</v>
      </c>
      <c r="M2048" s="46">
        <f>(Sales[[#This Row],[Gross Amount]]-Sales[[#This Row],[Disc. Amt.]])*Sales[[#This Row],[GST %]]</f>
        <v>1519.2</v>
      </c>
      <c r="N2048" s="161">
        <f>Sales[[#This Row],[Gross Amount]]-Sales[[#This Row],[Disc. Amt.]]+Sales[[#This Row],[GST Amount]]</f>
        <v>9959.2000000000007</v>
      </c>
      <c r="O2048" s="34" t="s">
        <v>3561</v>
      </c>
      <c r="P2048" s="34" t="s">
        <v>3562</v>
      </c>
      <c r="Q2048" s="165">
        <f>IF(Sales[[#This Row],[Status]]="Cancelled",0,Sales[[#This Row],[Qty]])</f>
        <v>4</v>
      </c>
      <c r="R2048" s="166">
        <f>IF(Sales[[#This Row],[Status]]="Cancelled",0,Sales[[#This Row],[Total Amount]])</f>
        <v>9959.2000000000007</v>
      </c>
      <c r="S2048" s="162">
        <f>SUM(Sales[Net Amount])</f>
        <v>406839287.73200053</v>
      </c>
    </row>
    <row r="2049" spans="1:19" ht="18.75" x14ac:dyDescent="0.25">
      <c r="A2049" s="156" t="s">
        <v>5666</v>
      </c>
      <c r="B2049" s="157">
        <v>45882</v>
      </c>
      <c r="C2049" s="158" t="s">
        <v>670</v>
      </c>
      <c r="D2049" s="159" t="str">
        <f>VLOOKUP(Sales[[#This Row],[Customer ID]],Customer[#All],2,0)</f>
        <v>Rakesh Patel</v>
      </c>
      <c r="E2049" s="158" t="s">
        <v>549</v>
      </c>
      <c r="F2049" s="158" t="str">
        <f>VLOOKUP(Sales[[#This Row],[Product ID]],Product[#All],2,0)</f>
        <v>Boat Headset</v>
      </c>
      <c r="G2049" s="159">
        <v>4</v>
      </c>
      <c r="H2049" s="160">
        <f>VLOOKUP(Sales[[#This Row],[Product ID]],Product[#All],7,0)</f>
        <v>3390</v>
      </c>
      <c r="I2049" s="160">
        <f>Sales[[#This Row],[Selling Rate]]*Sales[[#This Row],[Qty]]</f>
        <v>13560</v>
      </c>
      <c r="J2049" s="43">
        <v>0.05</v>
      </c>
      <c r="K2049" s="44">
        <f>Sales[[#This Row],[Gross Amount]]*Sales[[#This Row],[Disc %]]</f>
        <v>678</v>
      </c>
      <c r="L2049" s="43">
        <v>0.18</v>
      </c>
      <c r="M2049" s="44">
        <f>(Sales[[#This Row],[Gross Amount]]-Sales[[#This Row],[Disc. Amt.]])*Sales[[#This Row],[GST %]]</f>
        <v>2318.7599999999998</v>
      </c>
      <c r="N2049" s="161">
        <f>Sales[[#This Row],[Gross Amount]]-Sales[[#This Row],[Disc. Amt.]]+Sales[[#This Row],[GST Amount]]</f>
        <v>15200.76</v>
      </c>
      <c r="O2049" s="158" t="s">
        <v>8876</v>
      </c>
      <c r="P2049" s="158" t="s">
        <v>3562</v>
      </c>
      <c r="Q2049" s="160">
        <f>IF(Sales[[#This Row],[Status]]="Cancelled",0,Sales[[#This Row],[Qty]])</f>
        <v>4</v>
      </c>
      <c r="R2049" s="161">
        <f>IF(Sales[[#This Row],[Status]]="Cancelled",0,Sales[[#This Row],[Total Amount]])</f>
        <v>15200.76</v>
      </c>
      <c r="S2049" s="162">
        <f>SUM(Sales[Net Amount])</f>
        <v>406839287.73200053</v>
      </c>
    </row>
    <row r="2050" spans="1:19" ht="18.75" x14ac:dyDescent="0.25">
      <c r="A2050" s="163" t="s">
        <v>5667</v>
      </c>
      <c r="B2050" s="164">
        <v>45882</v>
      </c>
      <c r="C2050" s="34" t="s">
        <v>845</v>
      </c>
      <c r="D2050" s="53" t="str">
        <f>VLOOKUP(Sales[[#This Row],[Customer ID]],Customer[#All],2,0)</f>
        <v>Rahul Patel</v>
      </c>
      <c r="E2050" s="34" t="s">
        <v>335</v>
      </c>
      <c r="F2050" s="34" t="str">
        <f>VLOOKUP(Sales[[#This Row],[Product ID]],Product[#All],2,0)</f>
        <v>Corsair Ram</v>
      </c>
      <c r="G2050" s="53">
        <v>4</v>
      </c>
      <c r="H2050" s="165">
        <f>VLOOKUP(Sales[[#This Row],[Product ID]],Product[#All],7,0)</f>
        <v>4450</v>
      </c>
      <c r="I2050" s="165">
        <f>Sales[[#This Row],[Selling Rate]]*Sales[[#This Row],[Qty]]</f>
        <v>17800</v>
      </c>
      <c r="J2050" s="45">
        <v>0.02</v>
      </c>
      <c r="K2050" s="46">
        <f>Sales[[#This Row],[Gross Amount]]*Sales[[#This Row],[Disc %]]</f>
        <v>356</v>
      </c>
      <c r="L2050" s="43">
        <v>0.18</v>
      </c>
      <c r="M2050" s="46">
        <f>(Sales[[#This Row],[Gross Amount]]-Sales[[#This Row],[Disc. Amt.]])*Sales[[#This Row],[GST %]]</f>
        <v>3139.92</v>
      </c>
      <c r="N2050" s="161">
        <f>Sales[[#This Row],[Gross Amount]]-Sales[[#This Row],[Disc. Amt.]]+Sales[[#This Row],[GST Amount]]</f>
        <v>20583.919999999998</v>
      </c>
      <c r="O2050" s="34" t="s">
        <v>8876</v>
      </c>
      <c r="P2050" s="34" t="s">
        <v>3562</v>
      </c>
      <c r="Q2050" s="165">
        <f>IF(Sales[[#This Row],[Status]]="Cancelled",0,Sales[[#This Row],[Qty]])</f>
        <v>4</v>
      </c>
      <c r="R2050" s="166">
        <f>IF(Sales[[#This Row],[Status]]="Cancelled",0,Sales[[#This Row],[Total Amount]])</f>
        <v>20583.919999999998</v>
      </c>
      <c r="S2050" s="162">
        <f>SUM(Sales[Net Amount])</f>
        <v>406839287.73200053</v>
      </c>
    </row>
    <row r="2051" spans="1:19" ht="18.75" x14ac:dyDescent="0.25">
      <c r="A2051" s="156" t="s">
        <v>5668</v>
      </c>
      <c r="B2051" s="157">
        <v>45882</v>
      </c>
      <c r="C2051" s="158" t="s">
        <v>820</v>
      </c>
      <c r="D2051" s="159" t="str">
        <f>VLOOKUP(Sales[[#This Row],[Customer ID]],Customer[#All],2,0)</f>
        <v>Sahil Gupta</v>
      </c>
      <c r="E2051" s="158" t="s">
        <v>59</v>
      </c>
      <c r="F2051" s="158" t="str">
        <f>VLOOKUP(Sales[[#This Row],[Product ID]],Product[#All],2,0)</f>
        <v>Amazon Basics Hdmi Cable</v>
      </c>
      <c r="G2051" s="159">
        <v>4</v>
      </c>
      <c r="H2051" s="160">
        <f>VLOOKUP(Sales[[#This Row],[Product ID]],Product[#All],7,0)</f>
        <v>1160</v>
      </c>
      <c r="I2051" s="160">
        <f>Sales[[#This Row],[Selling Rate]]*Sales[[#This Row],[Qty]]</f>
        <v>4640</v>
      </c>
      <c r="J2051" s="43">
        <v>0</v>
      </c>
      <c r="K2051" s="44">
        <f>Sales[[#This Row],[Gross Amount]]*Sales[[#This Row],[Disc %]]</f>
        <v>0</v>
      </c>
      <c r="L2051" s="43">
        <v>0.18</v>
      </c>
      <c r="M2051" s="44">
        <f>(Sales[[#This Row],[Gross Amount]]-Sales[[#This Row],[Disc. Amt.]])*Sales[[#This Row],[GST %]]</f>
        <v>835.19999999999993</v>
      </c>
      <c r="N2051" s="161">
        <f>Sales[[#This Row],[Gross Amount]]-Sales[[#This Row],[Disc. Amt.]]+Sales[[#This Row],[GST Amount]]</f>
        <v>5475.2</v>
      </c>
      <c r="O2051" s="158" t="s">
        <v>3561</v>
      </c>
      <c r="P2051" s="158" t="s">
        <v>3562</v>
      </c>
      <c r="Q2051" s="160">
        <f>IF(Sales[[#This Row],[Status]]="Cancelled",0,Sales[[#This Row],[Qty]])</f>
        <v>4</v>
      </c>
      <c r="R2051" s="161">
        <f>IF(Sales[[#This Row],[Status]]="Cancelled",0,Sales[[#This Row],[Total Amount]])</f>
        <v>5475.2</v>
      </c>
      <c r="S2051" s="162">
        <f>SUM(Sales[Net Amount])</f>
        <v>406839287.73200053</v>
      </c>
    </row>
    <row r="2052" spans="1:19" ht="18.75" x14ac:dyDescent="0.25">
      <c r="A2052" s="163" t="s">
        <v>5669</v>
      </c>
      <c r="B2052" s="164">
        <v>45882</v>
      </c>
      <c r="C2052" s="34" t="s">
        <v>915</v>
      </c>
      <c r="D2052" s="53" t="str">
        <f>VLOOKUP(Sales[[#This Row],[Customer ID]],Customer[#All],2,0)</f>
        <v>Sunita Kumar</v>
      </c>
      <c r="E2052" s="34" t="s">
        <v>403</v>
      </c>
      <c r="F2052" s="34" t="str">
        <f>VLOOKUP(Sales[[#This Row],[Product ID]],Product[#All],2,0)</f>
        <v>Apc UPS</v>
      </c>
      <c r="G2052" s="53">
        <v>4</v>
      </c>
      <c r="H2052" s="165">
        <f>VLOOKUP(Sales[[#This Row],[Product ID]],Product[#All],7,0)</f>
        <v>15810</v>
      </c>
      <c r="I2052" s="165">
        <f>Sales[[#This Row],[Selling Rate]]*Sales[[#This Row],[Qty]]</f>
        <v>63240</v>
      </c>
      <c r="J2052" s="45">
        <v>0.12</v>
      </c>
      <c r="K2052" s="46">
        <f>Sales[[#This Row],[Gross Amount]]*Sales[[#This Row],[Disc %]]</f>
        <v>7588.7999999999993</v>
      </c>
      <c r="L2052" s="43">
        <v>0.18</v>
      </c>
      <c r="M2052" s="46">
        <f>(Sales[[#This Row],[Gross Amount]]-Sales[[#This Row],[Disc. Amt.]])*Sales[[#This Row],[GST %]]</f>
        <v>10017.215999999999</v>
      </c>
      <c r="N2052" s="161">
        <f>Sales[[#This Row],[Gross Amount]]-Sales[[#This Row],[Disc. Amt.]]+Sales[[#This Row],[GST Amount]]</f>
        <v>65668.415999999997</v>
      </c>
      <c r="O2052" s="34" t="s">
        <v>3569</v>
      </c>
      <c r="P2052" s="34" t="s">
        <v>3562</v>
      </c>
      <c r="Q2052" s="165">
        <f>IF(Sales[[#This Row],[Status]]="Cancelled",0,Sales[[#This Row],[Qty]])</f>
        <v>4</v>
      </c>
      <c r="R2052" s="166">
        <f>IF(Sales[[#This Row],[Status]]="Cancelled",0,Sales[[#This Row],[Total Amount]])</f>
        <v>65668.415999999997</v>
      </c>
      <c r="S2052" s="162">
        <f>SUM(Sales[Net Amount])</f>
        <v>406839287.73200053</v>
      </c>
    </row>
    <row r="2053" spans="1:19" ht="18.75" x14ac:dyDescent="0.25">
      <c r="A2053" s="156" t="s">
        <v>5670</v>
      </c>
      <c r="B2053" s="157">
        <v>45882</v>
      </c>
      <c r="C2053" s="158" t="s">
        <v>5671</v>
      </c>
      <c r="D2053" s="159" t="str">
        <f>VLOOKUP(Sales[[#This Row],[Customer ID]],Customer[#All],2,0)</f>
        <v>Sahil Verma</v>
      </c>
      <c r="E2053" s="158" t="s">
        <v>519</v>
      </c>
      <c r="F2053" s="158" t="str">
        <f>VLOOKUP(Sales[[#This Row],[Product ID]],Product[#All],2,0)</f>
        <v>WD HDD</v>
      </c>
      <c r="G2053" s="159">
        <v>8</v>
      </c>
      <c r="H2053" s="160">
        <f>VLOOKUP(Sales[[#This Row],[Product ID]],Product[#All],7,0)</f>
        <v>8730</v>
      </c>
      <c r="I2053" s="160">
        <f>Sales[[#This Row],[Selling Rate]]*Sales[[#This Row],[Qty]]</f>
        <v>69840</v>
      </c>
      <c r="J2053" s="43">
        <v>0.05</v>
      </c>
      <c r="K2053" s="44">
        <f>Sales[[#This Row],[Gross Amount]]*Sales[[#This Row],[Disc %]]</f>
        <v>3492</v>
      </c>
      <c r="L2053" s="43">
        <v>0.18</v>
      </c>
      <c r="M2053" s="44">
        <f>(Sales[[#This Row],[Gross Amount]]-Sales[[#This Row],[Disc. Amt.]])*Sales[[#This Row],[GST %]]</f>
        <v>11942.64</v>
      </c>
      <c r="N2053" s="161">
        <f>Sales[[#This Row],[Gross Amount]]-Sales[[#This Row],[Disc. Amt.]]+Sales[[#This Row],[GST Amount]]</f>
        <v>78290.64</v>
      </c>
      <c r="O2053" s="158" t="s">
        <v>3566</v>
      </c>
      <c r="P2053" s="158" t="s">
        <v>3562</v>
      </c>
      <c r="Q2053" s="160">
        <f>IF(Sales[[#This Row],[Status]]="Cancelled",0,Sales[[#This Row],[Qty]])</f>
        <v>8</v>
      </c>
      <c r="R2053" s="161">
        <f>IF(Sales[[#This Row],[Status]]="Cancelled",0,Sales[[#This Row],[Total Amount]])</f>
        <v>78290.64</v>
      </c>
      <c r="S2053" s="162">
        <f>SUM(Sales[Net Amount])</f>
        <v>406839287.73200053</v>
      </c>
    </row>
    <row r="2054" spans="1:19" ht="18.75" x14ac:dyDescent="0.25">
      <c r="A2054" s="163" t="s">
        <v>5672</v>
      </c>
      <c r="B2054" s="164">
        <v>45882</v>
      </c>
      <c r="C2054" s="34" t="s">
        <v>841</v>
      </c>
      <c r="D2054" s="53" t="str">
        <f>VLOOKUP(Sales[[#This Row],[Customer ID]],Customer[#All],2,0)</f>
        <v>Pooja Verma</v>
      </c>
      <c r="E2054" s="34" t="s">
        <v>523</v>
      </c>
      <c r="F2054" s="34" t="str">
        <f>VLOOKUP(Sales[[#This Row],[Product ID]],Product[#All],2,0)</f>
        <v>Logitech Mouse</v>
      </c>
      <c r="G2054" s="53">
        <v>5</v>
      </c>
      <c r="H2054" s="165">
        <f>VLOOKUP(Sales[[#This Row],[Product ID]],Product[#All],7,0)</f>
        <v>1300</v>
      </c>
      <c r="I2054" s="165">
        <f>Sales[[#This Row],[Selling Rate]]*Sales[[#This Row],[Qty]]</f>
        <v>6500</v>
      </c>
      <c r="J2054" s="45">
        <v>0.02</v>
      </c>
      <c r="K2054" s="46">
        <f>Sales[[#This Row],[Gross Amount]]*Sales[[#This Row],[Disc %]]</f>
        <v>130</v>
      </c>
      <c r="L2054" s="43">
        <v>0.18</v>
      </c>
      <c r="M2054" s="46">
        <f>(Sales[[#This Row],[Gross Amount]]-Sales[[#This Row],[Disc. Amt.]])*Sales[[#This Row],[GST %]]</f>
        <v>1146.5999999999999</v>
      </c>
      <c r="N2054" s="161">
        <f>Sales[[#This Row],[Gross Amount]]-Sales[[#This Row],[Disc. Amt.]]+Sales[[#This Row],[GST Amount]]</f>
        <v>7516.6</v>
      </c>
      <c r="O2054" s="34" t="s">
        <v>8876</v>
      </c>
      <c r="P2054" s="34" t="s">
        <v>3562</v>
      </c>
      <c r="Q2054" s="165">
        <f>IF(Sales[[#This Row],[Status]]="Cancelled",0,Sales[[#This Row],[Qty]])</f>
        <v>5</v>
      </c>
      <c r="R2054" s="166">
        <f>IF(Sales[[#This Row],[Status]]="Cancelled",0,Sales[[#This Row],[Total Amount]])</f>
        <v>7516.6</v>
      </c>
      <c r="S2054" s="162">
        <f>SUM(Sales[Net Amount])</f>
        <v>406839287.73200053</v>
      </c>
    </row>
    <row r="2055" spans="1:19" ht="18.75" x14ac:dyDescent="0.25">
      <c r="A2055" s="156" t="s">
        <v>5673</v>
      </c>
      <c r="B2055" s="157">
        <v>45882</v>
      </c>
      <c r="C2055" s="158" t="s">
        <v>948</v>
      </c>
      <c r="D2055" s="159" t="str">
        <f>VLOOKUP(Sales[[#This Row],[Customer ID]],Customer[#All],2,0)</f>
        <v>Pooja Patel</v>
      </c>
      <c r="E2055" s="158" t="s">
        <v>399</v>
      </c>
      <c r="F2055" s="158" t="str">
        <f>VLOOKUP(Sales[[#This Row],[Product ID]],Product[#All],2,0)</f>
        <v>Dell Desktop</v>
      </c>
      <c r="G2055" s="159">
        <v>8</v>
      </c>
      <c r="H2055" s="160">
        <f>VLOOKUP(Sales[[#This Row],[Product ID]],Product[#All],7,0)</f>
        <v>43510</v>
      </c>
      <c r="I2055" s="160">
        <f>Sales[[#This Row],[Selling Rate]]*Sales[[#This Row],[Qty]]</f>
        <v>348080</v>
      </c>
      <c r="J2055" s="43">
        <v>0.12</v>
      </c>
      <c r="K2055" s="44">
        <f>Sales[[#This Row],[Gross Amount]]*Sales[[#This Row],[Disc %]]</f>
        <v>41769.599999999999</v>
      </c>
      <c r="L2055" s="43">
        <v>0.18</v>
      </c>
      <c r="M2055" s="44">
        <f>(Sales[[#This Row],[Gross Amount]]-Sales[[#This Row],[Disc. Amt.]])*Sales[[#This Row],[GST %]]</f>
        <v>55135.872000000003</v>
      </c>
      <c r="N2055" s="161">
        <f>Sales[[#This Row],[Gross Amount]]-Sales[[#This Row],[Disc. Amt.]]+Sales[[#This Row],[GST Amount]]</f>
        <v>361446.272</v>
      </c>
      <c r="O2055" s="158" t="s">
        <v>3569</v>
      </c>
      <c r="P2055" s="158" t="s">
        <v>3562</v>
      </c>
      <c r="Q2055" s="160">
        <f>IF(Sales[[#This Row],[Status]]="Cancelled",0,Sales[[#This Row],[Qty]])</f>
        <v>8</v>
      </c>
      <c r="R2055" s="161">
        <f>IF(Sales[[#This Row],[Status]]="Cancelled",0,Sales[[#This Row],[Total Amount]])</f>
        <v>361446.272</v>
      </c>
      <c r="S2055" s="162">
        <f>SUM(Sales[Net Amount])</f>
        <v>406839287.73200053</v>
      </c>
    </row>
    <row r="2056" spans="1:19" ht="18.75" x14ac:dyDescent="0.25">
      <c r="A2056" s="163" t="s">
        <v>5674</v>
      </c>
      <c r="B2056" s="164">
        <v>45882</v>
      </c>
      <c r="C2056" s="34" t="s">
        <v>716</v>
      </c>
      <c r="D2056" s="53" t="str">
        <f>VLOOKUP(Sales[[#This Row],[Customer ID]],Customer[#All],2,0)</f>
        <v>Ankit Kumar</v>
      </c>
      <c r="E2056" s="34" t="s">
        <v>509</v>
      </c>
      <c r="F2056" s="34" t="str">
        <f>VLOOKUP(Sales[[#This Row],[Product ID]],Product[#All],2,0)</f>
        <v>D-Link Router</v>
      </c>
      <c r="G2056" s="53">
        <v>5</v>
      </c>
      <c r="H2056" s="165">
        <f>VLOOKUP(Sales[[#This Row],[Product ID]],Product[#All],7,0)</f>
        <v>3460</v>
      </c>
      <c r="I2056" s="165">
        <f>Sales[[#This Row],[Selling Rate]]*Sales[[#This Row],[Qty]]</f>
        <v>17300</v>
      </c>
      <c r="J2056" s="45">
        <v>0</v>
      </c>
      <c r="K2056" s="46">
        <f>Sales[[#This Row],[Gross Amount]]*Sales[[#This Row],[Disc %]]</f>
        <v>0</v>
      </c>
      <c r="L2056" s="43">
        <v>0.18</v>
      </c>
      <c r="M2056" s="46">
        <f>(Sales[[#This Row],[Gross Amount]]-Sales[[#This Row],[Disc. Amt.]])*Sales[[#This Row],[GST %]]</f>
        <v>3114</v>
      </c>
      <c r="N2056" s="161">
        <f>Sales[[#This Row],[Gross Amount]]-Sales[[#This Row],[Disc. Amt.]]+Sales[[#This Row],[GST Amount]]</f>
        <v>20414</v>
      </c>
      <c r="O2056" s="34" t="s">
        <v>8876</v>
      </c>
      <c r="P2056" s="34" t="s">
        <v>3562</v>
      </c>
      <c r="Q2056" s="165">
        <f>IF(Sales[[#This Row],[Status]]="Cancelled",0,Sales[[#This Row],[Qty]])</f>
        <v>5</v>
      </c>
      <c r="R2056" s="166">
        <f>IF(Sales[[#This Row],[Status]]="Cancelled",0,Sales[[#This Row],[Total Amount]])</f>
        <v>20414</v>
      </c>
      <c r="S2056" s="162">
        <f>SUM(Sales[Net Amount])</f>
        <v>406839287.73200053</v>
      </c>
    </row>
    <row r="2057" spans="1:19" ht="18.75" x14ac:dyDescent="0.25">
      <c r="A2057" s="156" t="s">
        <v>5675</v>
      </c>
      <c r="B2057" s="157">
        <v>45882</v>
      </c>
      <c r="C2057" s="158" t="s">
        <v>876</v>
      </c>
      <c r="D2057" s="159" t="str">
        <f>VLOOKUP(Sales[[#This Row],[Customer ID]],Customer[#All],2,0)</f>
        <v>Sahil Verma</v>
      </c>
      <c r="E2057" s="158" t="s">
        <v>43</v>
      </c>
      <c r="F2057" s="158" t="str">
        <f>VLOOKUP(Sales[[#This Row],[Product ID]],Product[#All],2,0)</f>
        <v>Jbl Speaker</v>
      </c>
      <c r="G2057" s="159">
        <v>8</v>
      </c>
      <c r="H2057" s="160">
        <f>VLOOKUP(Sales[[#This Row],[Product ID]],Product[#All],7,0)</f>
        <v>11310</v>
      </c>
      <c r="I2057" s="160">
        <f>Sales[[#This Row],[Selling Rate]]*Sales[[#This Row],[Qty]]</f>
        <v>90480</v>
      </c>
      <c r="J2057" s="43">
        <v>0.12</v>
      </c>
      <c r="K2057" s="44">
        <f>Sales[[#This Row],[Gross Amount]]*Sales[[#This Row],[Disc %]]</f>
        <v>10857.6</v>
      </c>
      <c r="L2057" s="43">
        <v>0.18</v>
      </c>
      <c r="M2057" s="44">
        <f>(Sales[[#This Row],[Gross Amount]]-Sales[[#This Row],[Disc. Amt.]])*Sales[[#This Row],[GST %]]</f>
        <v>14332.031999999999</v>
      </c>
      <c r="N2057" s="161">
        <f>Sales[[#This Row],[Gross Amount]]-Sales[[#This Row],[Disc. Amt.]]+Sales[[#This Row],[GST Amount]]</f>
        <v>93954.432000000001</v>
      </c>
      <c r="O2057" s="158" t="s">
        <v>3561</v>
      </c>
      <c r="P2057" s="158" t="s">
        <v>3562</v>
      </c>
      <c r="Q2057" s="160">
        <f>IF(Sales[[#This Row],[Status]]="Cancelled",0,Sales[[#This Row],[Qty]])</f>
        <v>8</v>
      </c>
      <c r="R2057" s="161">
        <f>IF(Sales[[#This Row],[Status]]="Cancelled",0,Sales[[#This Row],[Total Amount]])</f>
        <v>93954.432000000001</v>
      </c>
      <c r="S2057" s="162">
        <f>SUM(Sales[Net Amount])</f>
        <v>406839287.73200053</v>
      </c>
    </row>
    <row r="2058" spans="1:19" ht="18.75" x14ac:dyDescent="0.25">
      <c r="A2058" s="163" t="s">
        <v>5676</v>
      </c>
      <c r="B2058" s="164">
        <v>45882</v>
      </c>
      <c r="C2058" s="34" t="s">
        <v>932</v>
      </c>
      <c r="D2058" s="53" t="str">
        <f>VLOOKUP(Sales[[#This Row],[Customer ID]],Customer[#All],2,0)</f>
        <v>Vikas Gupta</v>
      </c>
      <c r="E2058" s="34" t="s">
        <v>151</v>
      </c>
      <c r="F2058" s="34" t="str">
        <f>VLOOKUP(Sales[[#This Row],[Product ID]],Product[#All],2,0)</f>
        <v>Jbl Speaker</v>
      </c>
      <c r="G2058" s="53">
        <v>2</v>
      </c>
      <c r="H2058" s="165">
        <f>VLOOKUP(Sales[[#This Row],[Product ID]],Product[#All],7,0)</f>
        <v>7010</v>
      </c>
      <c r="I2058" s="165">
        <f>Sales[[#This Row],[Selling Rate]]*Sales[[#This Row],[Qty]]</f>
        <v>14020</v>
      </c>
      <c r="J2058" s="45">
        <v>0.02</v>
      </c>
      <c r="K2058" s="46">
        <f>Sales[[#This Row],[Gross Amount]]*Sales[[#This Row],[Disc %]]</f>
        <v>280.40000000000003</v>
      </c>
      <c r="L2058" s="43">
        <v>0.18</v>
      </c>
      <c r="M2058" s="46">
        <f>(Sales[[#This Row],[Gross Amount]]-Sales[[#This Row],[Disc. Amt.]])*Sales[[#This Row],[GST %]]</f>
        <v>2473.1280000000002</v>
      </c>
      <c r="N2058" s="161">
        <f>Sales[[#This Row],[Gross Amount]]-Sales[[#This Row],[Disc. Amt.]]+Sales[[#This Row],[GST Amount]]</f>
        <v>16212.728000000001</v>
      </c>
      <c r="O2058" s="34" t="s">
        <v>3569</v>
      </c>
      <c r="P2058" s="34" t="s">
        <v>3562</v>
      </c>
      <c r="Q2058" s="165">
        <f>IF(Sales[[#This Row],[Status]]="Cancelled",0,Sales[[#This Row],[Qty]])</f>
        <v>2</v>
      </c>
      <c r="R2058" s="166">
        <f>IF(Sales[[#This Row],[Status]]="Cancelled",0,Sales[[#This Row],[Total Amount]])</f>
        <v>16212.728000000001</v>
      </c>
      <c r="S2058" s="162">
        <f>SUM(Sales[Net Amount])</f>
        <v>406839287.73200053</v>
      </c>
    </row>
    <row r="2059" spans="1:19" ht="18.75" x14ac:dyDescent="0.25">
      <c r="A2059" s="156" t="s">
        <v>5677</v>
      </c>
      <c r="B2059" s="157">
        <v>45882</v>
      </c>
      <c r="C2059" s="158" t="s">
        <v>768</v>
      </c>
      <c r="D2059" s="159" t="str">
        <f>VLOOKUP(Sales[[#This Row],[Customer ID]],Customer[#All],2,0)</f>
        <v>Priya Kumar</v>
      </c>
      <c r="E2059" s="158" t="s">
        <v>427</v>
      </c>
      <c r="F2059" s="158" t="str">
        <f>VLOOKUP(Sales[[#This Row],[Product ID]],Product[#All],2,0)</f>
        <v>Logitech Mouse</v>
      </c>
      <c r="G2059" s="159">
        <v>8</v>
      </c>
      <c r="H2059" s="160">
        <f>VLOOKUP(Sales[[#This Row],[Product ID]],Product[#All],7,0)</f>
        <v>1190</v>
      </c>
      <c r="I2059" s="160">
        <f>Sales[[#This Row],[Selling Rate]]*Sales[[#This Row],[Qty]]</f>
        <v>9520</v>
      </c>
      <c r="J2059" s="43">
        <v>0</v>
      </c>
      <c r="K2059" s="44">
        <f>Sales[[#This Row],[Gross Amount]]*Sales[[#This Row],[Disc %]]</f>
        <v>0</v>
      </c>
      <c r="L2059" s="43">
        <v>0.18</v>
      </c>
      <c r="M2059" s="44">
        <f>(Sales[[#This Row],[Gross Amount]]-Sales[[#This Row],[Disc. Amt.]])*Sales[[#This Row],[GST %]]</f>
        <v>1713.6</v>
      </c>
      <c r="N2059" s="161">
        <f>Sales[[#This Row],[Gross Amount]]-Sales[[#This Row],[Disc. Amt.]]+Sales[[#This Row],[GST Amount]]</f>
        <v>11233.6</v>
      </c>
      <c r="O2059" s="158" t="s">
        <v>8876</v>
      </c>
      <c r="P2059" s="158" t="s">
        <v>3562</v>
      </c>
      <c r="Q2059" s="160">
        <f>IF(Sales[[#This Row],[Status]]="Cancelled",0,Sales[[#This Row],[Qty]])</f>
        <v>8</v>
      </c>
      <c r="R2059" s="161">
        <f>IF(Sales[[#This Row],[Status]]="Cancelled",0,Sales[[#This Row],[Total Amount]])</f>
        <v>11233.6</v>
      </c>
      <c r="S2059" s="162">
        <f>SUM(Sales[Net Amount])</f>
        <v>406839287.73200053</v>
      </c>
    </row>
    <row r="2060" spans="1:19" ht="18.75" x14ac:dyDescent="0.25">
      <c r="A2060" s="163" t="s">
        <v>5678</v>
      </c>
      <c r="B2060" s="164">
        <v>45883</v>
      </c>
      <c r="C2060" s="34" t="s">
        <v>721</v>
      </c>
      <c r="D2060" s="53" t="str">
        <f>VLOOKUP(Sales[[#This Row],[Customer ID]],Customer[#All],2,0)</f>
        <v>Sahil Sharma</v>
      </c>
      <c r="E2060" s="34" t="s">
        <v>161</v>
      </c>
      <c r="F2060" s="34" t="str">
        <f>VLOOKUP(Sales[[#This Row],[Product ID]],Product[#All],2,0)</f>
        <v>TP-link Router</v>
      </c>
      <c r="G2060" s="53">
        <v>5</v>
      </c>
      <c r="H2060" s="165">
        <f>VLOOKUP(Sales[[#This Row],[Product ID]],Product[#All],7,0)</f>
        <v>1330</v>
      </c>
      <c r="I2060" s="165">
        <f>Sales[[#This Row],[Selling Rate]]*Sales[[#This Row],[Qty]]</f>
        <v>6650</v>
      </c>
      <c r="J2060" s="45">
        <v>0.1</v>
      </c>
      <c r="K2060" s="46">
        <f>Sales[[#This Row],[Gross Amount]]*Sales[[#This Row],[Disc %]]</f>
        <v>665</v>
      </c>
      <c r="L2060" s="43">
        <v>0.18</v>
      </c>
      <c r="M2060" s="46">
        <f>(Sales[[#This Row],[Gross Amount]]-Sales[[#This Row],[Disc. Amt.]])*Sales[[#This Row],[GST %]]</f>
        <v>1077.3</v>
      </c>
      <c r="N2060" s="161">
        <f>Sales[[#This Row],[Gross Amount]]-Sales[[#This Row],[Disc. Amt.]]+Sales[[#This Row],[GST Amount]]</f>
        <v>7062.3</v>
      </c>
      <c r="O2060" s="34" t="s">
        <v>3561</v>
      </c>
      <c r="P2060" s="34" t="s">
        <v>3562</v>
      </c>
      <c r="Q2060" s="165">
        <f>IF(Sales[[#This Row],[Status]]="Cancelled",0,Sales[[#This Row],[Qty]])</f>
        <v>5</v>
      </c>
      <c r="R2060" s="166">
        <f>IF(Sales[[#This Row],[Status]]="Cancelled",0,Sales[[#This Row],[Total Amount]])</f>
        <v>7062.3</v>
      </c>
      <c r="S2060" s="162">
        <f>SUM(Sales[Net Amount])</f>
        <v>406839287.73200053</v>
      </c>
    </row>
    <row r="2061" spans="1:19" ht="18.75" x14ac:dyDescent="0.25">
      <c r="A2061" s="156" t="s">
        <v>5679</v>
      </c>
      <c r="B2061" s="157">
        <v>45883</v>
      </c>
      <c r="C2061" s="158" t="s">
        <v>5680</v>
      </c>
      <c r="D2061" s="159" t="str">
        <f>VLOOKUP(Sales[[#This Row],[Customer ID]],Customer[#All],2,0)</f>
        <v>Sunita Gupta</v>
      </c>
      <c r="E2061" s="158" t="s">
        <v>77</v>
      </c>
      <c r="F2061" s="158" t="str">
        <f>VLOOKUP(Sales[[#This Row],[Product ID]],Product[#All],2,0)</f>
        <v>HP Power Adapter</v>
      </c>
      <c r="G2061" s="159">
        <v>3</v>
      </c>
      <c r="H2061" s="160">
        <f>VLOOKUP(Sales[[#This Row],[Product ID]],Product[#All],7,0)</f>
        <v>2770</v>
      </c>
      <c r="I2061" s="160">
        <f>Sales[[#This Row],[Selling Rate]]*Sales[[#This Row],[Qty]]</f>
        <v>8310</v>
      </c>
      <c r="J2061" s="43">
        <v>0.15</v>
      </c>
      <c r="K2061" s="44">
        <f>Sales[[#This Row],[Gross Amount]]*Sales[[#This Row],[Disc %]]</f>
        <v>1246.5</v>
      </c>
      <c r="L2061" s="43">
        <v>0.18</v>
      </c>
      <c r="M2061" s="44">
        <f>(Sales[[#This Row],[Gross Amount]]-Sales[[#This Row],[Disc. Amt.]])*Sales[[#This Row],[GST %]]</f>
        <v>1271.43</v>
      </c>
      <c r="N2061" s="161">
        <f>Sales[[#This Row],[Gross Amount]]-Sales[[#This Row],[Disc. Amt.]]+Sales[[#This Row],[GST Amount]]</f>
        <v>8334.93</v>
      </c>
      <c r="O2061" s="158" t="s">
        <v>8876</v>
      </c>
      <c r="P2061" s="158" t="s">
        <v>3562</v>
      </c>
      <c r="Q2061" s="160">
        <f>IF(Sales[[#This Row],[Status]]="Cancelled",0,Sales[[#This Row],[Qty]])</f>
        <v>3</v>
      </c>
      <c r="R2061" s="161">
        <f>IF(Sales[[#This Row],[Status]]="Cancelled",0,Sales[[#This Row],[Total Amount]])</f>
        <v>8334.93</v>
      </c>
      <c r="S2061" s="162">
        <f>SUM(Sales[Net Amount])</f>
        <v>406839287.73200053</v>
      </c>
    </row>
    <row r="2062" spans="1:19" ht="18.75" x14ac:dyDescent="0.25">
      <c r="A2062" s="163" t="s">
        <v>5681</v>
      </c>
      <c r="B2062" s="164">
        <v>45883</v>
      </c>
      <c r="C2062" s="34" t="s">
        <v>749</v>
      </c>
      <c r="D2062" s="53" t="str">
        <f>VLOOKUP(Sales[[#This Row],[Customer ID]],Customer[#All],2,0)</f>
        <v>Sahil Patel</v>
      </c>
      <c r="E2062" s="34" t="s">
        <v>248</v>
      </c>
      <c r="F2062" s="34" t="str">
        <f>VLOOKUP(Sales[[#This Row],[Product ID]],Product[#All],2,0)</f>
        <v>Amazon Basics Hdmi Cable</v>
      </c>
      <c r="G2062" s="53">
        <v>4</v>
      </c>
      <c r="H2062" s="165">
        <f>VLOOKUP(Sales[[#This Row],[Product ID]],Product[#All],7,0)</f>
        <v>980</v>
      </c>
      <c r="I2062" s="165">
        <f>Sales[[#This Row],[Selling Rate]]*Sales[[#This Row],[Qty]]</f>
        <v>3920</v>
      </c>
      <c r="J2062" s="45">
        <v>0.02</v>
      </c>
      <c r="K2062" s="46">
        <f>Sales[[#This Row],[Gross Amount]]*Sales[[#This Row],[Disc %]]</f>
        <v>78.400000000000006</v>
      </c>
      <c r="L2062" s="43">
        <v>0.18</v>
      </c>
      <c r="M2062" s="46">
        <f>(Sales[[#This Row],[Gross Amount]]-Sales[[#This Row],[Disc. Amt.]])*Sales[[#This Row],[GST %]]</f>
        <v>691.48799999999994</v>
      </c>
      <c r="N2062" s="161">
        <f>Sales[[#This Row],[Gross Amount]]-Sales[[#This Row],[Disc. Amt.]]+Sales[[#This Row],[GST Amount]]</f>
        <v>4533.0879999999997</v>
      </c>
      <c r="O2062" s="34" t="s">
        <v>8876</v>
      </c>
      <c r="P2062" s="34" t="s">
        <v>3562</v>
      </c>
      <c r="Q2062" s="165">
        <f>IF(Sales[[#This Row],[Status]]="Cancelled",0,Sales[[#This Row],[Qty]])</f>
        <v>4</v>
      </c>
      <c r="R2062" s="166">
        <f>IF(Sales[[#This Row],[Status]]="Cancelled",0,Sales[[#This Row],[Total Amount]])</f>
        <v>4533.0879999999997</v>
      </c>
      <c r="S2062" s="162">
        <f>SUM(Sales[Net Amount])</f>
        <v>406839287.73200053</v>
      </c>
    </row>
    <row r="2063" spans="1:19" ht="18.75" x14ac:dyDescent="0.25">
      <c r="A2063" s="156" t="s">
        <v>5682</v>
      </c>
      <c r="B2063" s="157">
        <v>45883</v>
      </c>
      <c r="C2063" s="158" t="s">
        <v>926</v>
      </c>
      <c r="D2063" s="159" t="str">
        <f>VLOOKUP(Sales[[#This Row],[Customer ID]],Customer[#All],2,0)</f>
        <v>Pooja Singh</v>
      </c>
      <c r="E2063" s="158" t="s">
        <v>222</v>
      </c>
      <c r="F2063" s="158" t="str">
        <f>VLOOKUP(Sales[[#This Row],[Product ID]],Product[#All],2,0)</f>
        <v>Jbl Headset</v>
      </c>
      <c r="G2063" s="159">
        <v>6</v>
      </c>
      <c r="H2063" s="160">
        <f>VLOOKUP(Sales[[#This Row],[Product ID]],Product[#All],7,0)</f>
        <v>8550</v>
      </c>
      <c r="I2063" s="160">
        <f>Sales[[#This Row],[Selling Rate]]*Sales[[#This Row],[Qty]]</f>
        <v>51300</v>
      </c>
      <c r="J2063" s="43">
        <v>0.02</v>
      </c>
      <c r="K2063" s="44">
        <f>Sales[[#This Row],[Gross Amount]]*Sales[[#This Row],[Disc %]]</f>
        <v>1026</v>
      </c>
      <c r="L2063" s="43">
        <v>0.18</v>
      </c>
      <c r="M2063" s="44">
        <f>(Sales[[#This Row],[Gross Amount]]-Sales[[#This Row],[Disc. Amt.]])*Sales[[#This Row],[GST %]]</f>
        <v>9049.32</v>
      </c>
      <c r="N2063" s="161">
        <f>Sales[[#This Row],[Gross Amount]]-Sales[[#This Row],[Disc. Amt.]]+Sales[[#This Row],[GST Amount]]</f>
        <v>59323.32</v>
      </c>
      <c r="O2063" s="158" t="s">
        <v>8876</v>
      </c>
      <c r="P2063" s="158" t="s">
        <v>3562</v>
      </c>
      <c r="Q2063" s="160">
        <f>IF(Sales[[#This Row],[Status]]="Cancelled",0,Sales[[#This Row],[Qty]])</f>
        <v>6</v>
      </c>
      <c r="R2063" s="161">
        <f>IF(Sales[[#This Row],[Status]]="Cancelled",0,Sales[[#This Row],[Total Amount]])</f>
        <v>59323.32</v>
      </c>
      <c r="S2063" s="162">
        <f>SUM(Sales[Net Amount])</f>
        <v>406839287.73200053</v>
      </c>
    </row>
    <row r="2064" spans="1:19" ht="18.75" x14ac:dyDescent="0.25">
      <c r="A2064" s="163" t="s">
        <v>5683</v>
      </c>
      <c r="B2064" s="164">
        <v>45883</v>
      </c>
      <c r="C2064" s="34" t="s">
        <v>856</v>
      </c>
      <c r="D2064" s="53" t="str">
        <f>VLOOKUP(Sales[[#This Row],[Customer ID]],Customer[#All],2,0)</f>
        <v>Sunita Verma</v>
      </c>
      <c r="E2064" s="34" t="s">
        <v>336</v>
      </c>
      <c r="F2064" s="34" t="str">
        <f>VLOOKUP(Sales[[#This Row],[Product ID]],Product[#All],2,0)</f>
        <v>Boat Headset</v>
      </c>
      <c r="G2064" s="53">
        <v>6</v>
      </c>
      <c r="H2064" s="165">
        <f>VLOOKUP(Sales[[#This Row],[Product ID]],Product[#All],7,0)</f>
        <v>1380</v>
      </c>
      <c r="I2064" s="165">
        <f>Sales[[#This Row],[Selling Rate]]*Sales[[#This Row],[Qty]]</f>
        <v>8280</v>
      </c>
      <c r="J2064" s="45">
        <v>0.15</v>
      </c>
      <c r="K2064" s="46">
        <f>Sales[[#This Row],[Gross Amount]]*Sales[[#This Row],[Disc %]]</f>
        <v>1242</v>
      </c>
      <c r="L2064" s="43">
        <v>0.18</v>
      </c>
      <c r="M2064" s="46">
        <f>(Sales[[#This Row],[Gross Amount]]-Sales[[#This Row],[Disc. Amt.]])*Sales[[#This Row],[GST %]]</f>
        <v>1266.8399999999999</v>
      </c>
      <c r="N2064" s="161">
        <f>Sales[[#This Row],[Gross Amount]]-Sales[[#This Row],[Disc. Amt.]]+Sales[[#This Row],[GST Amount]]</f>
        <v>8304.84</v>
      </c>
      <c r="O2064" s="34" t="s">
        <v>3566</v>
      </c>
      <c r="P2064" s="34" t="s">
        <v>3562</v>
      </c>
      <c r="Q2064" s="165">
        <f>IF(Sales[[#This Row],[Status]]="Cancelled",0,Sales[[#This Row],[Qty]])</f>
        <v>6</v>
      </c>
      <c r="R2064" s="166">
        <f>IF(Sales[[#This Row],[Status]]="Cancelled",0,Sales[[#This Row],[Total Amount]])</f>
        <v>8304.84</v>
      </c>
      <c r="S2064" s="162">
        <f>SUM(Sales[Net Amount])</f>
        <v>406839287.73200053</v>
      </c>
    </row>
    <row r="2065" spans="1:19" ht="18.75" x14ac:dyDescent="0.25">
      <c r="A2065" s="156" t="s">
        <v>5684</v>
      </c>
      <c r="B2065" s="157">
        <v>45883</v>
      </c>
      <c r="C2065" s="158" t="s">
        <v>651</v>
      </c>
      <c r="D2065" s="159" t="str">
        <f>VLOOKUP(Sales[[#This Row],[Customer ID]],Customer[#All],2,0)</f>
        <v>Sahil Verma</v>
      </c>
      <c r="E2065" s="158" t="s">
        <v>208</v>
      </c>
      <c r="F2065" s="158" t="str">
        <f>VLOOKUP(Sales[[#This Row],[Product ID]],Product[#All],2,0)</f>
        <v>Dell Laptop</v>
      </c>
      <c r="G2065" s="159">
        <v>3</v>
      </c>
      <c r="H2065" s="160">
        <f>VLOOKUP(Sales[[#This Row],[Product ID]],Product[#All],7,0)</f>
        <v>67000</v>
      </c>
      <c r="I2065" s="160">
        <f>Sales[[#This Row],[Selling Rate]]*Sales[[#This Row],[Qty]]</f>
        <v>201000</v>
      </c>
      <c r="J2065" s="43">
        <v>0.12</v>
      </c>
      <c r="K2065" s="44">
        <f>Sales[[#This Row],[Gross Amount]]*Sales[[#This Row],[Disc %]]</f>
        <v>24120</v>
      </c>
      <c r="L2065" s="43">
        <v>0.18</v>
      </c>
      <c r="M2065" s="44">
        <f>(Sales[[#This Row],[Gross Amount]]-Sales[[#This Row],[Disc. Amt.]])*Sales[[#This Row],[GST %]]</f>
        <v>31838.399999999998</v>
      </c>
      <c r="N2065" s="161">
        <f>Sales[[#This Row],[Gross Amount]]-Sales[[#This Row],[Disc. Amt.]]+Sales[[#This Row],[GST Amount]]</f>
        <v>208718.4</v>
      </c>
      <c r="O2065" s="158" t="s">
        <v>3566</v>
      </c>
      <c r="P2065" s="158" t="s">
        <v>3562</v>
      </c>
      <c r="Q2065" s="160">
        <f>IF(Sales[[#This Row],[Status]]="Cancelled",0,Sales[[#This Row],[Qty]])</f>
        <v>3</v>
      </c>
      <c r="R2065" s="161">
        <f>IF(Sales[[#This Row],[Status]]="Cancelled",0,Sales[[#This Row],[Total Amount]])</f>
        <v>208718.4</v>
      </c>
      <c r="S2065" s="162">
        <f>SUM(Sales[Net Amount])</f>
        <v>406839287.73200053</v>
      </c>
    </row>
    <row r="2066" spans="1:19" ht="18.75" x14ac:dyDescent="0.25">
      <c r="A2066" s="163" t="s">
        <v>5685</v>
      </c>
      <c r="B2066" s="164">
        <v>45883</v>
      </c>
      <c r="C2066" s="34" t="s">
        <v>679</v>
      </c>
      <c r="D2066" s="53" t="str">
        <f>VLOOKUP(Sales[[#This Row],[Customer ID]],Customer[#All],2,0)</f>
        <v>Rahul Singh</v>
      </c>
      <c r="E2066" s="34" t="s">
        <v>427</v>
      </c>
      <c r="F2066" s="34" t="str">
        <f>VLOOKUP(Sales[[#This Row],[Product ID]],Product[#All],2,0)</f>
        <v>Logitech Mouse</v>
      </c>
      <c r="G2066" s="53">
        <v>8</v>
      </c>
      <c r="H2066" s="165">
        <f>VLOOKUP(Sales[[#This Row],[Product ID]],Product[#All],7,0)</f>
        <v>1190</v>
      </c>
      <c r="I2066" s="165">
        <f>Sales[[#This Row],[Selling Rate]]*Sales[[#This Row],[Qty]]</f>
        <v>9520</v>
      </c>
      <c r="J2066" s="45">
        <v>0.15</v>
      </c>
      <c r="K2066" s="46">
        <f>Sales[[#This Row],[Gross Amount]]*Sales[[#This Row],[Disc %]]</f>
        <v>1428</v>
      </c>
      <c r="L2066" s="43">
        <v>0.18</v>
      </c>
      <c r="M2066" s="46">
        <f>(Sales[[#This Row],[Gross Amount]]-Sales[[#This Row],[Disc. Amt.]])*Sales[[#This Row],[GST %]]</f>
        <v>1456.56</v>
      </c>
      <c r="N2066" s="161">
        <f>Sales[[#This Row],[Gross Amount]]-Sales[[#This Row],[Disc. Amt.]]+Sales[[#This Row],[GST Amount]]</f>
        <v>9548.56</v>
      </c>
      <c r="O2066" s="34" t="s">
        <v>3561</v>
      </c>
      <c r="P2066" s="34" t="s">
        <v>3562</v>
      </c>
      <c r="Q2066" s="165">
        <f>IF(Sales[[#This Row],[Status]]="Cancelled",0,Sales[[#This Row],[Qty]])</f>
        <v>8</v>
      </c>
      <c r="R2066" s="166">
        <f>IF(Sales[[#This Row],[Status]]="Cancelled",0,Sales[[#This Row],[Total Amount]])</f>
        <v>9548.56</v>
      </c>
      <c r="S2066" s="162">
        <f>SUM(Sales[Net Amount])</f>
        <v>406839287.73200053</v>
      </c>
    </row>
    <row r="2067" spans="1:19" ht="18.75" x14ac:dyDescent="0.25">
      <c r="A2067" s="156" t="s">
        <v>5686</v>
      </c>
      <c r="B2067" s="157">
        <v>45883</v>
      </c>
      <c r="C2067" s="158" t="s">
        <v>929</v>
      </c>
      <c r="D2067" s="159" t="str">
        <f>VLOOKUP(Sales[[#This Row],[Customer ID]],Customer[#All],2,0)</f>
        <v>Sunita Gupta</v>
      </c>
      <c r="E2067" s="158" t="s">
        <v>394</v>
      </c>
      <c r="F2067" s="158" t="str">
        <f>VLOOKUP(Sales[[#This Row],[Product ID]],Product[#All],2,0)</f>
        <v>Boat Speaker</v>
      </c>
      <c r="G2067" s="159">
        <v>3</v>
      </c>
      <c r="H2067" s="160">
        <f>VLOOKUP(Sales[[#This Row],[Product ID]],Product[#All],7,0)</f>
        <v>1720</v>
      </c>
      <c r="I2067" s="160">
        <f>Sales[[#This Row],[Selling Rate]]*Sales[[#This Row],[Qty]]</f>
        <v>5160</v>
      </c>
      <c r="J2067" s="43">
        <v>0.02</v>
      </c>
      <c r="K2067" s="44">
        <f>Sales[[#This Row],[Gross Amount]]*Sales[[#This Row],[Disc %]]</f>
        <v>103.2</v>
      </c>
      <c r="L2067" s="43">
        <v>0.18</v>
      </c>
      <c r="M2067" s="44">
        <f>(Sales[[#This Row],[Gross Amount]]-Sales[[#This Row],[Disc. Amt.]])*Sales[[#This Row],[GST %]]</f>
        <v>910.22400000000005</v>
      </c>
      <c r="N2067" s="161">
        <f>Sales[[#This Row],[Gross Amount]]-Sales[[#This Row],[Disc. Amt.]]+Sales[[#This Row],[GST Amount]]</f>
        <v>5967.0240000000003</v>
      </c>
      <c r="O2067" s="158" t="s">
        <v>3561</v>
      </c>
      <c r="P2067" s="158" t="s">
        <v>3562</v>
      </c>
      <c r="Q2067" s="160">
        <f>IF(Sales[[#This Row],[Status]]="Cancelled",0,Sales[[#This Row],[Qty]])</f>
        <v>3</v>
      </c>
      <c r="R2067" s="161">
        <f>IF(Sales[[#This Row],[Status]]="Cancelled",0,Sales[[#This Row],[Total Amount]])</f>
        <v>5967.0240000000003</v>
      </c>
      <c r="S2067" s="162">
        <f>SUM(Sales[Net Amount])</f>
        <v>406839287.73200053</v>
      </c>
    </row>
    <row r="2068" spans="1:19" ht="18.75" x14ac:dyDescent="0.25">
      <c r="A2068" s="163" t="s">
        <v>5687</v>
      </c>
      <c r="B2068" s="164">
        <v>45883</v>
      </c>
      <c r="C2068" s="34" t="s">
        <v>657</v>
      </c>
      <c r="D2068" s="53" t="str">
        <f>VLOOKUP(Sales[[#This Row],[Customer ID]],Customer[#All],2,0)</f>
        <v>Rahul Verma</v>
      </c>
      <c r="E2068" s="34" t="s">
        <v>399</v>
      </c>
      <c r="F2068" s="34" t="str">
        <f>VLOOKUP(Sales[[#This Row],[Product ID]],Product[#All],2,0)</f>
        <v>Dell Desktop</v>
      </c>
      <c r="G2068" s="53">
        <v>8</v>
      </c>
      <c r="H2068" s="165">
        <f>VLOOKUP(Sales[[#This Row],[Product ID]],Product[#All],7,0)</f>
        <v>43510</v>
      </c>
      <c r="I2068" s="165">
        <f>Sales[[#This Row],[Selling Rate]]*Sales[[#This Row],[Qty]]</f>
        <v>348080</v>
      </c>
      <c r="J2068" s="45">
        <v>0.05</v>
      </c>
      <c r="K2068" s="46">
        <f>Sales[[#This Row],[Gross Amount]]*Sales[[#This Row],[Disc %]]</f>
        <v>17404</v>
      </c>
      <c r="L2068" s="43">
        <v>0.18</v>
      </c>
      <c r="M2068" s="46">
        <f>(Sales[[#This Row],[Gross Amount]]-Sales[[#This Row],[Disc. Amt.]])*Sales[[#This Row],[GST %]]</f>
        <v>59521.68</v>
      </c>
      <c r="N2068" s="161">
        <f>Sales[[#This Row],[Gross Amount]]-Sales[[#This Row],[Disc. Amt.]]+Sales[[#This Row],[GST Amount]]</f>
        <v>390197.68</v>
      </c>
      <c r="O2068" s="34" t="s">
        <v>3569</v>
      </c>
      <c r="P2068" s="34" t="s">
        <v>3562</v>
      </c>
      <c r="Q2068" s="165">
        <f>IF(Sales[[#This Row],[Status]]="Cancelled",0,Sales[[#This Row],[Qty]])</f>
        <v>8</v>
      </c>
      <c r="R2068" s="166">
        <f>IF(Sales[[#This Row],[Status]]="Cancelled",0,Sales[[#This Row],[Total Amount]])</f>
        <v>390197.68</v>
      </c>
      <c r="S2068" s="162">
        <f>SUM(Sales[Net Amount])</f>
        <v>406839287.73200053</v>
      </c>
    </row>
    <row r="2069" spans="1:19" ht="18.75" x14ac:dyDescent="0.25">
      <c r="A2069" s="156" t="s">
        <v>5688</v>
      </c>
      <c r="B2069" s="157">
        <v>45883</v>
      </c>
      <c r="C2069" s="158" t="s">
        <v>852</v>
      </c>
      <c r="D2069" s="159" t="str">
        <f>VLOOKUP(Sales[[#This Row],[Customer ID]],Customer[#All],2,0)</f>
        <v>Neha Singh</v>
      </c>
      <c r="E2069" s="158" t="s">
        <v>443</v>
      </c>
      <c r="F2069" s="158" t="str">
        <f>VLOOKUP(Sales[[#This Row],[Product ID]],Product[#All],2,0)</f>
        <v>HP Power Adapter</v>
      </c>
      <c r="G2069" s="159">
        <v>2</v>
      </c>
      <c r="H2069" s="160">
        <f>VLOOKUP(Sales[[#This Row],[Product ID]],Product[#All],7,0)</f>
        <v>3850</v>
      </c>
      <c r="I2069" s="160">
        <f>Sales[[#This Row],[Selling Rate]]*Sales[[#This Row],[Qty]]</f>
        <v>7700</v>
      </c>
      <c r="J2069" s="43">
        <v>0.1</v>
      </c>
      <c r="K2069" s="44">
        <f>Sales[[#This Row],[Gross Amount]]*Sales[[#This Row],[Disc %]]</f>
        <v>770</v>
      </c>
      <c r="L2069" s="43">
        <v>0.18</v>
      </c>
      <c r="M2069" s="44">
        <f>(Sales[[#This Row],[Gross Amount]]-Sales[[#This Row],[Disc. Amt.]])*Sales[[#This Row],[GST %]]</f>
        <v>1247.3999999999999</v>
      </c>
      <c r="N2069" s="161">
        <f>Sales[[#This Row],[Gross Amount]]-Sales[[#This Row],[Disc. Amt.]]+Sales[[#This Row],[GST Amount]]</f>
        <v>8177.4</v>
      </c>
      <c r="O2069" s="158" t="s">
        <v>3566</v>
      </c>
      <c r="P2069" s="158" t="s">
        <v>3562</v>
      </c>
      <c r="Q2069" s="160">
        <f>IF(Sales[[#This Row],[Status]]="Cancelled",0,Sales[[#This Row],[Qty]])</f>
        <v>2</v>
      </c>
      <c r="R2069" s="161">
        <f>IF(Sales[[#This Row],[Status]]="Cancelled",0,Sales[[#This Row],[Total Amount]])</f>
        <v>8177.4</v>
      </c>
      <c r="S2069" s="162">
        <f>SUM(Sales[Net Amount])</f>
        <v>406839287.73200053</v>
      </c>
    </row>
    <row r="2070" spans="1:19" ht="18.75" x14ac:dyDescent="0.25">
      <c r="A2070" s="163" t="s">
        <v>5689</v>
      </c>
      <c r="B2070" s="164">
        <v>45883</v>
      </c>
      <c r="C2070" s="34" t="s">
        <v>932</v>
      </c>
      <c r="D2070" s="53" t="str">
        <f>VLOOKUP(Sales[[#This Row],[Customer ID]],Customer[#All],2,0)</f>
        <v>Vikas Gupta</v>
      </c>
      <c r="E2070" s="34" t="s">
        <v>452</v>
      </c>
      <c r="F2070" s="34" t="str">
        <f>VLOOKUP(Sales[[#This Row],[Product ID]],Product[#All],2,0)</f>
        <v>Amazon Basics Hdmi Cable</v>
      </c>
      <c r="G2070" s="53">
        <v>6</v>
      </c>
      <c r="H2070" s="165">
        <f>VLOOKUP(Sales[[#This Row],[Product ID]],Product[#All],7,0)</f>
        <v>920</v>
      </c>
      <c r="I2070" s="165">
        <f>Sales[[#This Row],[Selling Rate]]*Sales[[#This Row],[Qty]]</f>
        <v>5520</v>
      </c>
      <c r="J2070" s="45">
        <v>0.12</v>
      </c>
      <c r="K2070" s="46">
        <f>Sales[[#This Row],[Gross Amount]]*Sales[[#This Row],[Disc %]]</f>
        <v>662.4</v>
      </c>
      <c r="L2070" s="43">
        <v>0.18</v>
      </c>
      <c r="M2070" s="46">
        <f>(Sales[[#This Row],[Gross Amount]]-Sales[[#This Row],[Disc. Amt.]])*Sales[[#This Row],[GST %]]</f>
        <v>874.36800000000005</v>
      </c>
      <c r="N2070" s="161">
        <f>Sales[[#This Row],[Gross Amount]]-Sales[[#This Row],[Disc. Amt.]]+Sales[[#This Row],[GST Amount]]</f>
        <v>5731.9680000000008</v>
      </c>
      <c r="O2070" s="34" t="s">
        <v>8876</v>
      </c>
      <c r="P2070" s="34" t="s">
        <v>3562</v>
      </c>
      <c r="Q2070" s="165">
        <f>IF(Sales[[#This Row],[Status]]="Cancelled",0,Sales[[#This Row],[Qty]])</f>
        <v>6</v>
      </c>
      <c r="R2070" s="166">
        <f>IF(Sales[[#This Row],[Status]]="Cancelled",0,Sales[[#This Row],[Total Amount]])</f>
        <v>5731.9680000000008</v>
      </c>
      <c r="S2070" s="162">
        <f>SUM(Sales[Net Amount])</f>
        <v>406839287.73200053</v>
      </c>
    </row>
    <row r="2071" spans="1:19" ht="18.75" x14ac:dyDescent="0.25">
      <c r="A2071" s="156" t="s">
        <v>5690</v>
      </c>
      <c r="B2071" s="157">
        <v>45883</v>
      </c>
      <c r="C2071" s="158" t="s">
        <v>708</v>
      </c>
      <c r="D2071" s="159" t="str">
        <f>VLOOKUP(Sales[[#This Row],[Customer ID]],Customer[#All],2,0)</f>
        <v>Amit Verma</v>
      </c>
      <c r="E2071" s="158" t="s">
        <v>351</v>
      </c>
      <c r="F2071" s="158" t="str">
        <f>VLOOKUP(Sales[[#This Row],[Product ID]],Product[#All],2,0)</f>
        <v>Logitech Mouse</v>
      </c>
      <c r="G2071" s="159">
        <v>1</v>
      </c>
      <c r="H2071" s="160">
        <f>VLOOKUP(Sales[[#This Row],[Product ID]],Product[#All],7,0)</f>
        <v>2130</v>
      </c>
      <c r="I2071" s="160">
        <f>Sales[[#This Row],[Selling Rate]]*Sales[[#This Row],[Qty]]</f>
        <v>2130</v>
      </c>
      <c r="J2071" s="43">
        <v>0</v>
      </c>
      <c r="K2071" s="44">
        <f>Sales[[#This Row],[Gross Amount]]*Sales[[#This Row],[Disc %]]</f>
        <v>0</v>
      </c>
      <c r="L2071" s="43">
        <v>0.18</v>
      </c>
      <c r="M2071" s="44">
        <f>(Sales[[#This Row],[Gross Amount]]-Sales[[#This Row],[Disc. Amt.]])*Sales[[#This Row],[GST %]]</f>
        <v>383.4</v>
      </c>
      <c r="N2071" s="161">
        <f>Sales[[#This Row],[Gross Amount]]-Sales[[#This Row],[Disc. Amt.]]+Sales[[#This Row],[GST Amount]]</f>
        <v>2513.4</v>
      </c>
      <c r="O2071" s="158" t="s">
        <v>8876</v>
      </c>
      <c r="P2071" s="158" t="s">
        <v>3562</v>
      </c>
      <c r="Q2071" s="160">
        <f>IF(Sales[[#This Row],[Status]]="Cancelled",0,Sales[[#This Row],[Qty]])</f>
        <v>1</v>
      </c>
      <c r="R2071" s="161">
        <f>IF(Sales[[#This Row],[Status]]="Cancelled",0,Sales[[#This Row],[Total Amount]])</f>
        <v>2513.4</v>
      </c>
      <c r="S2071" s="162">
        <f>SUM(Sales[Net Amount])</f>
        <v>406839287.73200053</v>
      </c>
    </row>
    <row r="2072" spans="1:19" ht="18.75" x14ac:dyDescent="0.25">
      <c r="A2072" s="163" t="s">
        <v>5691</v>
      </c>
      <c r="B2072" s="164">
        <v>45883</v>
      </c>
      <c r="C2072" s="34" t="s">
        <v>717</v>
      </c>
      <c r="D2072" s="53" t="str">
        <f>VLOOKUP(Sales[[#This Row],[Customer ID]],Customer[#All],2,0)</f>
        <v>Sunita Singh</v>
      </c>
      <c r="E2072" s="34" t="s">
        <v>256</v>
      </c>
      <c r="F2072" s="34" t="str">
        <f>VLOOKUP(Sales[[#This Row],[Product ID]],Product[#All],2,0)</f>
        <v>HP Laptop</v>
      </c>
      <c r="G2072" s="53">
        <v>5</v>
      </c>
      <c r="H2072" s="165">
        <f>VLOOKUP(Sales[[#This Row],[Product ID]],Product[#All],7,0)</f>
        <v>106260</v>
      </c>
      <c r="I2072" s="165">
        <f>Sales[[#This Row],[Selling Rate]]*Sales[[#This Row],[Qty]]</f>
        <v>531300</v>
      </c>
      <c r="J2072" s="45">
        <v>0.1</v>
      </c>
      <c r="K2072" s="46">
        <f>Sales[[#This Row],[Gross Amount]]*Sales[[#This Row],[Disc %]]</f>
        <v>53130</v>
      </c>
      <c r="L2072" s="43">
        <v>0.18</v>
      </c>
      <c r="M2072" s="46">
        <f>(Sales[[#This Row],[Gross Amount]]-Sales[[#This Row],[Disc. Amt.]])*Sales[[#This Row],[GST %]]</f>
        <v>86070.599999999991</v>
      </c>
      <c r="N2072" s="161">
        <f>Sales[[#This Row],[Gross Amount]]-Sales[[#This Row],[Disc. Amt.]]+Sales[[#This Row],[GST Amount]]</f>
        <v>564240.6</v>
      </c>
      <c r="O2072" s="34" t="s">
        <v>3569</v>
      </c>
      <c r="P2072" s="34" t="s">
        <v>3562</v>
      </c>
      <c r="Q2072" s="165">
        <f>IF(Sales[[#This Row],[Status]]="Cancelled",0,Sales[[#This Row],[Qty]])</f>
        <v>5</v>
      </c>
      <c r="R2072" s="166">
        <f>IF(Sales[[#This Row],[Status]]="Cancelled",0,Sales[[#This Row],[Total Amount]])</f>
        <v>564240.6</v>
      </c>
      <c r="S2072" s="162">
        <f>SUM(Sales[Net Amount])</f>
        <v>406839287.73200053</v>
      </c>
    </row>
    <row r="2073" spans="1:19" ht="18.75" x14ac:dyDescent="0.25">
      <c r="A2073" s="156" t="s">
        <v>5692</v>
      </c>
      <c r="B2073" s="157">
        <v>45883</v>
      </c>
      <c r="C2073" s="158" t="s">
        <v>727</v>
      </c>
      <c r="D2073" s="159" t="str">
        <f>VLOOKUP(Sales[[#This Row],[Customer ID]],Customer[#All],2,0)</f>
        <v>Sahil Sharma</v>
      </c>
      <c r="E2073" s="158" t="s">
        <v>197</v>
      </c>
      <c r="F2073" s="158" t="str">
        <f>VLOOKUP(Sales[[#This Row],[Product ID]],Product[#All],2,0)</f>
        <v>Crucial Ssd</v>
      </c>
      <c r="G2073" s="159">
        <v>6</v>
      </c>
      <c r="H2073" s="160">
        <f>VLOOKUP(Sales[[#This Row],[Product ID]],Product[#All],7,0)</f>
        <v>16400</v>
      </c>
      <c r="I2073" s="160">
        <f>Sales[[#This Row],[Selling Rate]]*Sales[[#This Row],[Qty]]</f>
        <v>98400</v>
      </c>
      <c r="J2073" s="43">
        <v>0.05</v>
      </c>
      <c r="K2073" s="44">
        <f>Sales[[#This Row],[Gross Amount]]*Sales[[#This Row],[Disc %]]</f>
        <v>4920</v>
      </c>
      <c r="L2073" s="43">
        <v>0.18</v>
      </c>
      <c r="M2073" s="44">
        <f>(Sales[[#This Row],[Gross Amount]]-Sales[[#This Row],[Disc. Amt.]])*Sales[[#This Row],[GST %]]</f>
        <v>16826.399999999998</v>
      </c>
      <c r="N2073" s="161">
        <f>Sales[[#This Row],[Gross Amount]]-Sales[[#This Row],[Disc. Amt.]]+Sales[[#This Row],[GST Amount]]</f>
        <v>110306.4</v>
      </c>
      <c r="O2073" s="158" t="s">
        <v>8876</v>
      </c>
      <c r="P2073" s="158" t="s">
        <v>3562</v>
      </c>
      <c r="Q2073" s="160">
        <f>IF(Sales[[#This Row],[Status]]="Cancelled",0,Sales[[#This Row],[Qty]])</f>
        <v>6</v>
      </c>
      <c r="R2073" s="161">
        <f>IF(Sales[[#This Row],[Status]]="Cancelled",0,Sales[[#This Row],[Total Amount]])</f>
        <v>110306.4</v>
      </c>
      <c r="S2073" s="162">
        <f>SUM(Sales[Net Amount])</f>
        <v>406839287.73200053</v>
      </c>
    </row>
    <row r="2074" spans="1:19" ht="18.75" x14ac:dyDescent="0.25">
      <c r="A2074" s="163" t="s">
        <v>5693</v>
      </c>
      <c r="B2074" s="164">
        <v>45883</v>
      </c>
      <c r="C2074" s="34" t="s">
        <v>671</v>
      </c>
      <c r="D2074" s="53" t="str">
        <f>VLOOKUP(Sales[[#This Row],[Customer ID]],Customer[#All],2,0)</f>
        <v>Sahil Patel</v>
      </c>
      <c r="E2074" s="34" t="s">
        <v>76</v>
      </c>
      <c r="F2074" s="34" t="str">
        <f>VLOOKUP(Sales[[#This Row],[Product ID]],Product[#All],2,0)</f>
        <v>Dell Keyboard</v>
      </c>
      <c r="G2074" s="53">
        <v>6</v>
      </c>
      <c r="H2074" s="165">
        <f>VLOOKUP(Sales[[#This Row],[Product ID]],Product[#All],7,0)</f>
        <v>1740</v>
      </c>
      <c r="I2074" s="165">
        <f>Sales[[#This Row],[Selling Rate]]*Sales[[#This Row],[Qty]]</f>
        <v>10440</v>
      </c>
      <c r="J2074" s="45">
        <v>0.05</v>
      </c>
      <c r="K2074" s="46">
        <f>Sales[[#This Row],[Gross Amount]]*Sales[[#This Row],[Disc %]]</f>
        <v>522</v>
      </c>
      <c r="L2074" s="43">
        <v>0.18</v>
      </c>
      <c r="M2074" s="46">
        <f>(Sales[[#This Row],[Gross Amount]]-Sales[[#This Row],[Disc. Amt.]])*Sales[[#This Row],[GST %]]</f>
        <v>1785.24</v>
      </c>
      <c r="N2074" s="161">
        <f>Sales[[#This Row],[Gross Amount]]-Sales[[#This Row],[Disc. Amt.]]+Sales[[#This Row],[GST Amount]]</f>
        <v>11703.24</v>
      </c>
      <c r="O2074" s="34" t="s">
        <v>3566</v>
      </c>
      <c r="P2074" s="34" t="s">
        <v>3562</v>
      </c>
      <c r="Q2074" s="165">
        <f>IF(Sales[[#This Row],[Status]]="Cancelled",0,Sales[[#This Row],[Qty]])</f>
        <v>6</v>
      </c>
      <c r="R2074" s="166">
        <f>IF(Sales[[#This Row],[Status]]="Cancelled",0,Sales[[#This Row],[Total Amount]])</f>
        <v>11703.24</v>
      </c>
      <c r="S2074" s="162">
        <f>SUM(Sales[Net Amount])</f>
        <v>406839287.73200053</v>
      </c>
    </row>
    <row r="2075" spans="1:19" ht="18.75" x14ac:dyDescent="0.25">
      <c r="A2075" s="156" t="s">
        <v>5694</v>
      </c>
      <c r="B2075" s="157">
        <v>45883</v>
      </c>
      <c r="C2075" s="158" t="s">
        <v>857</v>
      </c>
      <c r="D2075" s="159" t="str">
        <f>VLOOKUP(Sales[[#This Row],[Customer ID]],Customer[#All],2,0)</f>
        <v>Pooja Singh</v>
      </c>
      <c r="E2075" s="158" t="s">
        <v>80</v>
      </c>
      <c r="F2075" s="158" t="str">
        <f>VLOOKUP(Sales[[#This Row],[Product ID]],Product[#All],2,0)</f>
        <v>Epson Printer</v>
      </c>
      <c r="G2075" s="159">
        <v>1</v>
      </c>
      <c r="H2075" s="160">
        <f>VLOOKUP(Sales[[#This Row],[Product ID]],Product[#All],7,0)</f>
        <v>41620</v>
      </c>
      <c r="I2075" s="160">
        <f>Sales[[#This Row],[Selling Rate]]*Sales[[#This Row],[Qty]]</f>
        <v>41620</v>
      </c>
      <c r="J2075" s="43">
        <v>0.12</v>
      </c>
      <c r="K2075" s="44">
        <f>Sales[[#This Row],[Gross Amount]]*Sales[[#This Row],[Disc %]]</f>
        <v>4994.3999999999996</v>
      </c>
      <c r="L2075" s="43">
        <v>0.18</v>
      </c>
      <c r="M2075" s="44">
        <f>(Sales[[#This Row],[Gross Amount]]-Sales[[#This Row],[Disc. Amt.]])*Sales[[#This Row],[GST %]]</f>
        <v>6592.6079999999993</v>
      </c>
      <c r="N2075" s="161">
        <f>Sales[[#This Row],[Gross Amount]]-Sales[[#This Row],[Disc. Amt.]]+Sales[[#This Row],[GST Amount]]</f>
        <v>43218.207999999999</v>
      </c>
      <c r="O2075" s="158" t="s">
        <v>3561</v>
      </c>
      <c r="P2075" s="158" t="s">
        <v>3562</v>
      </c>
      <c r="Q2075" s="160">
        <f>IF(Sales[[#This Row],[Status]]="Cancelled",0,Sales[[#This Row],[Qty]])</f>
        <v>1</v>
      </c>
      <c r="R2075" s="161">
        <f>IF(Sales[[#This Row],[Status]]="Cancelled",0,Sales[[#This Row],[Total Amount]])</f>
        <v>43218.207999999999</v>
      </c>
      <c r="S2075" s="162">
        <f>SUM(Sales[Net Amount])</f>
        <v>406839287.73200053</v>
      </c>
    </row>
    <row r="2076" spans="1:19" ht="18.75" x14ac:dyDescent="0.25">
      <c r="A2076" s="163" t="s">
        <v>5695</v>
      </c>
      <c r="B2076" s="164">
        <v>45883</v>
      </c>
      <c r="C2076" s="34" t="s">
        <v>4309</v>
      </c>
      <c r="D2076" s="53" t="str">
        <f>VLOOKUP(Sales[[#This Row],[Customer ID]],Customer[#All],2,0)</f>
        <v>Pooja Verma</v>
      </c>
      <c r="E2076" s="34" t="s">
        <v>214</v>
      </c>
      <c r="F2076" s="34" t="str">
        <f>VLOOKUP(Sales[[#This Row],[Product ID]],Product[#All],2,0)</f>
        <v>Microtek UPS</v>
      </c>
      <c r="G2076" s="53">
        <v>8</v>
      </c>
      <c r="H2076" s="165">
        <f>VLOOKUP(Sales[[#This Row],[Product ID]],Product[#All],7,0)</f>
        <v>10710</v>
      </c>
      <c r="I2076" s="165">
        <f>Sales[[#This Row],[Selling Rate]]*Sales[[#This Row],[Qty]]</f>
        <v>85680</v>
      </c>
      <c r="J2076" s="45">
        <v>0</v>
      </c>
      <c r="K2076" s="46">
        <f>Sales[[#This Row],[Gross Amount]]*Sales[[#This Row],[Disc %]]</f>
        <v>0</v>
      </c>
      <c r="L2076" s="43">
        <v>0.18</v>
      </c>
      <c r="M2076" s="46">
        <f>(Sales[[#This Row],[Gross Amount]]-Sales[[#This Row],[Disc. Amt.]])*Sales[[#This Row],[GST %]]</f>
        <v>15422.4</v>
      </c>
      <c r="N2076" s="161">
        <f>Sales[[#This Row],[Gross Amount]]-Sales[[#This Row],[Disc. Amt.]]+Sales[[#This Row],[GST Amount]]</f>
        <v>101102.39999999999</v>
      </c>
      <c r="O2076" s="34" t="s">
        <v>8876</v>
      </c>
      <c r="P2076" s="34" t="s">
        <v>3562</v>
      </c>
      <c r="Q2076" s="165">
        <f>IF(Sales[[#This Row],[Status]]="Cancelled",0,Sales[[#This Row],[Qty]])</f>
        <v>8</v>
      </c>
      <c r="R2076" s="166">
        <f>IF(Sales[[#This Row],[Status]]="Cancelled",0,Sales[[#This Row],[Total Amount]])</f>
        <v>101102.39999999999</v>
      </c>
      <c r="S2076" s="162">
        <f>SUM(Sales[Net Amount])</f>
        <v>406839287.73200053</v>
      </c>
    </row>
    <row r="2077" spans="1:19" ht="18.75" x14ac:dyDescent="0.25">
      <c r="A2077" s="156" t="s">
        <v>5696</v>
      </c>
      <c r="B2077" s="157">
        <v>45883</v>
      </c>
      <c r="C2077" s="158" t="s">
        <v>925</v>
      </c>
      <c r="D2077" s="159" t="str">
        <f>VLOOKUP(Sales[[#This Row],[Customer ID]],Customer[#All],2,0)</f>
        <v>Neha Singh</v>
      </c>
      <c r="E2077" s="158" t="s">
        <v>378</v>
      </c>
      <c r="F2077" s="158" t="str">
        <f>VLOOKUP(Sales[[#This Row],[Product ID]],Product[#All],2,0)</f>
        <v>Kingston Ram</v>
      </c>
      <c r="G2077" s="159">
        <v>5</v>
      </c>
      <c r="H2077" s="160">
        <f>VLOOKUP(Sales[[#This Row],[Product ID]],Product[#All],7,0)</f>
        <v>4420</v>
      </c>
      <c r="I2077" s="160">
        <f>Sales[[#This Row],[Selling Rate]]*Sales[[#This Row],[Qty]]</f>
        <v>22100</v>
      </c>
      <c r="J2077" s="43">
        <v>0</v>
      </c>
      <c r="K2077" s="44">
        <f>Sales[[#This Row],[Gross Amount]]*Sales[[#This Row],[Disc %]]</f>
        <v>0</v>
      </c>
      <c r="L2077" s="43">
        <v>0.18</v>
      </c>
      <c r="M2077" s="44">
        <f>(Sales[[#This Row],[Gross Amount]]-Sales[[#This Row],[Disc. Amt.]])*Sales[[#This Row],[GST %]]</f>
        <v>3978</v>
      </c>
      <c r="N2077" s="161">
        <f>Sales[[#This Row],[Gross Amount]]-Sales[[#This Row],[Disc. Amt.]]+Sales[[#This Row],[GST Amount]]</f>
        <v>26078</v>
      </c>
      <c r="O2077" s="158" t="s">
        <v>8876</v>
      </c>
      <c r="P2077" s="158" t="s">
        <v>3562</v>
      </c>
      <c r="Q2077" s="160">
        <f>IF(Sales[[#This Row],[Status]]="Cancelled",0,Sales[[#This Row],[Qty]])</f>
        <v>5</v>
      </c>
      <c r="R2077" s="161">
        <f>IF(Sales[[#This Row],[Status]]="Cancelled",0,Sales[[#This Row],[Total Amount]])</f>
        <v>26078</v>
      </c>
      <c r="S2077" s="162">
        <f>SUM(Sales[Net Amount])</f>
        <v>406839287.73200053</v>
      </c>
    </row>
    <row r="2078" spans="1:19" ht="18.75" x14ac:dyDescent="0.25">
      <c r="A2078" s="163" t="s">
        <v>5697</v>
      </c>
      <c r="B2078" s="164">
        <v>45883</v>
      </c>
      <c r="C2078" s="34" t="s">
        <v>715</v>
      </c>
      <c r="D2078" s="53" t="str">
        <f>VLOOKUP(Sales[[#This Row],[Customer ID]],Customer[#All],2,0)</f>
        <v>Sunita Patel</v>
      </c>
      <c r="E2078" s="34" t="s">
        <v>189</v>
      </c>
      <c r="F2078" s="34" t="str">
        <f>VLOOKUP(Sales[[#This Row],[Product ID]],Product[#All],2,0)</f>
        <v>Boat Headset</v>
      </c>
      <c r="G2078" s="53">
        <v>3</v>
      </c>
      <c r="H2078" s="165">
        <f>VLOOKUP(Sales[[#This Row],[Product ID]],Product[#All],7,0)</f>
        <v>1610</v>
      </c>
      <c r="I2078" s="165">
        <f>Sales[[#This Row],[Selling Rate]]*Sales[[#This Row],[Qty]]</f>
        <v>4830</v>
      </c>
      <c r="J2078" s="45">
        <v>0</v>
      </c>
      <c r="K2078" s="46">
        <f>Sales[[#This Row],[Gross Amount]]*Sales[[#This Row],[Disc %]]</f>
        <v>0</v>
      </c>
      <c r="L2078" s="43">
        <v>0.18</v>
      </c>
      <c r="M2078" s="46">
        <f>(Sales[[#This Row],[Gross Amount]]-Sales[[#This Row],[Disc. Amt.]])*Sales[[#This Row],[GST %]]</f>
        <v>869.4</v>
      </c>
      <c r="N2078" s="161">
        <f>Sales[[#This Row],[Gross Amount]]-Sales[[#This Row],[Disc. Amt.]]+Sales[[#This Row],[GST Amount]]</f>
        <v>5699.4</v>
      </c>
      <c r="O2078" s="34" t="s">
        <v>3566</v>
      </c>
      <c r="P2078" s="34" t="s">
        <v>3562</v>
      </c>
      <c r="Q2078" s="165">
        <f>IF(Sales[[#This Row],[Status]]="Cancelled",0,Sales[[#This Row],[Qty]])</f>
        <v>3</v>
      </c>
      <c r="R2078" s="166">
        <f>IF(Sales[[#This Row],[Status]]="Cancelled",0,Sales[[#This Row],[Total Amount]])</f>
        <v>5699.4</v>
      </c>
      <c r="S2078" s="162">
        <f>SUM(Sales[Net Amount])</f>
        <v>406839287.73200053</v>
      </c>
    </row>
    <row r="2079" spans="1:19" ht="18.75" x14ac:dyDescent="0.25">
      <c r="A2079" s="156" t="s">
        <v>5698</v>
      </c>
      <c r="B2079" s="157">
        <v>45883</v>
      </c>
      <c r="C2079" s="158" t="s">
        <v>823</v>
      </c>
      <c r="D2079" s="159" t="str">
        <f>VLOOKUP(Sales[[#This Row],[Customer ID]],Customer[#All],2,0)</f>
        <v>Pooja Singh</v>
      </c>
      <c r="E2079" s="158" t="s">
        <v>357</v>
      </c>
      <c r="F2079" s="158" t="str">
        <f>VLOOKUP(Sales[[#This Row],[Product ID]],Product[#All],2,0)</f>
        <v>Samsung Ssd</v>
      </c>
      <c r="G2079" s="159">
        <v>1</v>
      </c>
      <c r="H2079" s="160">
        <f>VLOOKUP(Sales[[#This Row],[Product ID]],Product[#All],7,0)</f>
        <v>9070</v>
      </c>
      <c r="I2079" s="160">
        <f>Sales[[#This Row],[Selling Rate]]*Sales[[#This Row],[Qty]]</f>
        <v>9070</v>
      </c>
      <c r="J2079" s="43">
        <v>0.05</v>
      </c>
      <c r="K2079" s="44">
        <f>Sales[[#This Row],[Gross Amount]]*Sales[[#This Row],[Disc %]]</f>
        <v>453.5</v>
      </c>
      <c r="L2079" s="43">
        <v>0.18</v>
      </c>
      <c r="M2079" s="44">
        <f>(Sales[[#This Row],[Gross Amount]]-Sales[[#This Row],[Disc. Amt.]])*Sales[[#This Row],[GST %]]</f>
        <v>1550.97</v>
      </c>
      <c r="N2079" s="161">
        <f>Sales[[#This Row],[Gross Amount]]-Sales[[#This Row],[Disc. Amt.]]+Sales[[#This Row],[GST Amount]]</f>
        <v>10167.469999999999</v>
      </c>
      <c r="O2079" s="158" t="s">
        <v>8876</v>
      </c>
      <c r="P2079" s="158" t="s">
        <v>3562</v>
      </c>
      <c r="Q2079" s="160">
        <f>IF(Sales[[#This Row],[Status]]="Cancelled",0,Sales[[#This Row],[Qty]])</f>
        <v>1</v>
      </c>
      <c r="R2079" s="161">
        <f>IF(Sales[[#This Row],[Status]]="Cancelled",0,Sales[[#This Row],[Total Amount]])</f>
        <v>10167.469999999999</v>
      </c>
      <c r="S2079" s="162">
        <f>SUM(Sales[Net Amount])</f>
        <v>406839287.73200053</v>
      </c>
    </row>
    <row r="2080" spans="1:19" ht="18.75" x14ac:dyDescent="0.25">
      <c r="A2080" s="163" t="s">
        <v>5699</v>
      </c>
      <c r="B2080" s="164">
        <v>45883</v>
      </c>
      <c r="C2080" s="34" t="s">
        <v>811</v>
      </c>
      <c r="D2080" s="53" t="str">
        <f>VLOOKUP(Sales[[#This Row],[Customer ID]],Customer[#All],2,0)</f>
        <v>Rahul Sharma</v>
      </c>
      <c r="E2080" s="34" t="s">
        <v>321</v>
      </c>
      <c r="F2080" s="34" t="str">
        <f>VLOOKUP(Sales[[#This Row],[Product ID]],Product[#All],2,0)</f>
        <v>WD HDD</v>
      </c>
      <c r="G2080" s="53">
        <v>5</v>
      </c>
      <c r="H2080" s="165">
        <f>VLOOKUP(Sales[[#This Row],[Product ID]],Product[#All],7,0)</f>
        <v>6810</v>
      </c>
      <c r="I2080" s="165">
        <f>Sales[[#This Row],[Selling Rate]]*Sales[[#This Row],[Qty]]</f>
        <v>34050</v>
      </c>
      <c r="J2080" s="45">
        <v>0</v>
      </c>
      <c r="K2080" s="46">
        <f>Sales[[#This Row],[Gross Amount]]*Sales[[#This Row],[Disc %]]</f>
        <v>0</v>
      </c>
      <c r="L2080" s="43">
        <v>0.18</v>
      </c>
      <c r="M2080" s="46">
        <f>(Sales[[#This Row],[Gross Amount]]-Sales[[#This Row],[Disc. Amt.]])*Sales[[#This Row],[GST %]]</f>
        <v>6129</v>
      </c>
      <c r="N2080" s="161">
        <f>Sales[[#This Row],[Gross Amount]]-Sales[[#This Row],[Disc. Amt.]]+Sales[[#This Row],[GST Amount]]</f>
        <v>40179</v>
      </c>
      <c r="O2080" s="34" t="s">
        <v>3566</v>
      </c>
      <c r="P2080" s="34" t="s">
        <v>3562</v>
      </c>
      <c r="Q2080" s="165">
        <f>IF(Sales[[#This Row],[Status]]="Cancelled",0,Sales[[#This Row],[Qty]])</f>
        <v>5</v>
      </c>
      <c r="R2080" s="166">
        <f>IF(Sales[[#This Row],[Status]]="Cancelled",0,Sales[[#This Row],[Total Amount]])</f>
        <v>40179</v>
      </c>
      <c r="S2080" s="162">
        <f>SUM(Sales[Net Amount])</f>
        <v>406839287.73200053</v>
      </c>
    </row>
    <row r="2081" spans="1:19" ht="18.75" x14ac:dyDescent="0.25">
      <c r="A2081" s="156" t="s">
        <v>5700</v>
      </c>
      <c r="B2081" s="157">
        <v>45883</v>
      </c>
      <c r="C2081" s="158" t="s">
        <v>699</v>
      </c>
      <c r="D2081" s="159" t="str">
        <f>VLOOKUP(Sales[[#This Row],[Customer ID]],Customer[#All],2,0)</f>
        <v>Amit Singh</v>
      </c>
      <c r="E2081" s="158" t="s">
        <v>33</v>
      </c>
      <c r="F2081" s="158" t="str">
        <f>VLOOKUP(Sales[[#This Row],[Product ID]],Product[#All],2,0)</f>
        <v>Samsung Monitor</v>
      </c>
      <c r="G2081" s="159">
        <v>4</v>
      </c>
      <c r="H2081" s="160">
        <f>VLOOKUP(Sales[[#This Row],[Product ID]],Product[#All],7,0)</f>
        <v>9840</v>
      </c>
      <c r="I2081" s="160">
        <f>Sales[[#This Row],[Selling Rate]]*Sales[[#This Row],[Qty]]</f>
        <v>39360</v>
      </c>
      <c r="J2081" s="43">
        <v>0.05</v>
      </c>
      <c r="K2081" s="44">
        <f>Sales[[#This Row],[Gross Amount]]*Sales[[#This Row],[Disc %]]</f>
        <v>1968</v>
      </c>
      <c r="L2081" s="43">
        <v>0.18</v>
      </c>
      <c r="M2081" s="44">
        <f>(Sales[[#This Row],[Gross Amount]]-Sales[[#This Row],[Disc. Amt.]])*Sales[[#This Row],[GST %]]</f>
        <v>6730.5599999999995</v>
      </c>
      <c r="N2081" s="161">
        <f>Sales[[#This Row],[Gross Amount]]-Sales[[#This Row],[Disc. Amt.]]+Sales[[#This Row],[GST Amount]]</f>
        <v>44122.559999999998</v>
      </c>
      <c r="O2081" s="158" t="s">
        <v>3569</v>
      </c>
      <c r="P2081" s="158" t="s">
        <v>3562</v>
      </c>
      <c r="Q2081" s="160">
        <f>IF(Sales[[#This Row],[Status]]="Cancelled",0,Sales[[#This Row],[Qty]])</f>
        <v>4</v>
      </c>
      <c r="R2081" s="161">
        <f>IF(Sales[[#This Row],[Status]]="Cancelled",0,Sales[[#This Row],[Total Amount]])</f>
        <v>44122.559999999998</v>
      </c>
      <c r="S2081" s="162">
        <f>SUM(Sales[Net Amount])</f>
        <v>406839287.73200053</v>
      </c>
    </row>
    <row r="2082" spans="1:19" ht="18.75" x14ac:dyDescent="0.25">
      <c r="A2082" s="163" t="s">
        <v>5701</v>
      </c>
      <c r="B2082" s="164">
        <v>45883</v>
      </c>
      <c r="C2082" s="34" t="s">
        <v>855</v>
      </c>
      <c r="D2082" s="53" t="str">
        <f>VLOOKUP(Sales[[#This Row],[Customer ID]],Customer[#All],2,0)</f>
        <v>Sahil Singh</v>
      </c>
      <c r="E2082" s="34" t="s">
        <v>76</v>
      </c>
      <c r="F2082" s="34" t="str">
        <f>VLOOKUP(Sales[[#This Row],[Product ID]],Product[#All],2,0)</f>
        <v>Dell Keyboard</v>
      </c>
      <c r="G2082" s="53">
        <v>1</v>
      </c>
      <c r="H2082" s="165">
        <f>VLOOKUP(Sales[[#This Row],[Product ID]],Product[#All],7,0)</f>
        <v>1740</v>
      </c>
      <c r="I2082" s="165">
        <f>Sales[[#This Row],[Selling Rate]]*Sales[[#This Row],[Qty]]</f>
        <v>1740</v>
      </c>
      <c r="J2082" s="45">
        <v>0.15</v>
      </c>
      <c r="K2082" s="46">
        <f>Sales[[#This Row],[Gross Amount]]*Sales[[#This Row],[Disc %]]</f>
        <v>261</v>
      </c>
      <c r="L2082" s="43">
        <v>0.18</v>
      </c>
      <c r="M2082" s="46">
        <f>(Sales[[#This Row],[Gross Amount]]-Sales[[#This Row],[Disc. Amt.]])*Sales[[#This Row],[GST %]]</f>
        <v>266.21999999999997</v>
      </c>
      <c r="N2082" s="161">
        <f>Sales[[#This Row],[Gross Amount]]-Sales[[#This Row],[Disc. Amt.]]+Sales[[#This Row],[GST Amount]]</f>
        <v>1745.22</v>
      </c>
      <c r="O2082" s="34" t="s">
        <v>3566</v>
      </c>
      <c r="P2082" s="34" t="s">
        <v>3562</v>
      </c>
      <c r="Q2082" s="165">
        <f>IF(Sales[[#This Row],[Status]]="Cancelled",0,Sales[[#This Row],[Qty]])</f>
        <v>1</v>
      </c>
      <c r="R2082" s="166">
        <f>IF(Sales[[#This Row],[Status]]="Cancelled",0,Sales[[#This Row],[Total Amount]])</f>
        <v>1745.22</v>
      </c>
      <c r="S2082" s="162">
        <f>SUM(Sales[Net Amount])</f>
        <v>406839287.73200053</v>
      </c>
    </row>
    <row r="2083" spans="1:19" ht="18.75" x14ac:dyDescent="0.25">
      <c r="A2083" s="156" t="s">
        <v>5702</v>
      </c>
      <c r="B2083" s="157">
        <v>45884</v>
      </c>
      <c r="C2083" s="158" t="s">
        <v>785</v>
      </c>
      <c r="D2083" s="159" t="str">
        <f>VLOOKUP(Sales[[#This Row],[Customer ID]],Customer[#All],2,0)</f>
        <v>Ankit Gupta</v>
      </c>
      <c r="E2083" s="158" t="s">
        <v>378</v>
      </c>
      <c r="F2083" s="158" t="str">
        <f>VLOOKUP(Sales[[#This Row],[Product ID]],Product[#All],2,0)</f>
        <v>Kingston Ram</v>
      </c>
      <c r="G2083" s="159">
        <v>7</v>
      </c>
      <c r="H2083" s="160">
        <f>VLOOKUP(Sales[[#This Row],[Product ID]],Product[#All],7,0)</f>
        <v>4420</v>
      </c>
      <c r="I2083" s="160">
        <f>Sales[[#This Row],[Selling Rate]]*Sales[[#This Row],[Qty]]</f>
        <v>30940</v>
      </c>
      <c r="J2083" s="43">
        <v>0.02</v>
      </c>
      <c r="K2083" s="44">
        <f>Sales[[#This Row],[Gross Amount]]*Sales[[#This Row],[Disc %]]</f>
        <v>618.80000000000007</v>
      </c>
      <c r="L2083" s="43">
        <v>0.18</v>
      </c>
      <c r="M2083" s="44">
        <f>(Sales[[#This Row],[Gross Amount]]-Sales[[#This Row],[Disc. Amt.]])*Sales[[#This Row],[GST %]]</f>
        <v>5457.8159999999998</v>
      </c>
      <c r="N2083" s="161">
        <f>Sales[[#This Row],[Gross Amount]]-Sales[[#This Row],[Disc. Amt.]]+Sales[[#This Row],[GST Amount]]</f>
        <v>35779.016000000003</v>
      </c>
      <c r="O2083" s="158" t="s">
        <v>3569</v>
      </c>
      <c r="P2083" s="158" t="s">
        <v>3562</v>
      </c>
      <c r="Q2083" s="160">
        <f>IF(Sales[[#This Row],[Status]]="Cancelled",0,Sales[[#This Row],[Qty]])</f>
        <v>7</v>
      </c>
      <c r="R2083" s="161">
        <f>IF(Sales[[#This Row],[Status]]="Cancelled",0,Sales[[#This Row],[Total Amount]])</f>
        <v>35779.016000000003</v>
      </c>
      <c r="S2083" s="162">
        <f>SUM(Sales[Net Amount])</f>
        <v>406839287.73200053</v>
      </c>
    </row>
    <row r="2084" spans="1:19" ht="18.75" x14ac:dyDescent="0.25">
      <c r="A2084" s="163" t="s">
        <v>5703</v>
      </c>
      <c r="B2084" s="164">
        <v>45884</v>
      </c>
      <c r="C2084" s="34" t="s">
        <v>785</v>
      </c>
      <c r="D2084" s="53" t="str">
        <f>VLOOKUP(Sales[[#This Row],[Customer ID]],Customer[#All],2,0)</f>
        <v>Ankit Gupta</v>
      </c>
      <c r="E2084" s="34" t="s">
        <v>141</v>
      </c>
      <c r="F2084" s="34" t="str">
        <f>VLOOKUP(Sales[[#This Row],[Product ID]],Product[#All],2,0)</f>
        <v>WD HDD</v>
      </c>
      <c r="G2084" s="53">
        <v>8</v>
      </c>
      <c r="H2084" s="165">
        <f>VLOOKUP(Sales[[#This Row],[Product ID]],Product[#All],7,0)</f>
        <v>15230</v>
      </c>
      <c r="I2084" s="165">
        <f>Sales[[#This Row],[Selling Rate]]*Sales[[#This Row],[Qty]]</f>
        <v>121840</v>
      </c>
      <c r="J2084" s="45">
        <v>0</v>
      </c>
      <c r="K2084" s="46">
        <f>Sales[[#This Row],[Gross Amount]]*Sales[[#This Row],[Disc %]]</f>
        <v>0</v>
      </c>
      <c r="L2084" s="43">
        <v>0.18</v>
      </c>
      <c r="M2084" s="46">
        <f>(Sales[[#This Row],[Gross Amount]]-Sales[[#This Row],[Disc. Amt.]])*Sales[[#This Row],[GST %]]</f>
        <v>21931.200000000001</v>
      </c>
      <c r="N2084" s="161">
        <f>Sales[[#This Row],[Gross Amount]]-Sales[[#This Row],[Disc. Amt.]]+Sales[[#This Row],[GST Amount]]</f>
        <v>143771.20000000001</v>
      </c>
      <c r="O2084" s="34" t="s">
        <v>8876</v>
      </c>
      <c r="P2084" s="34" t="s">
        <v>3562</v>
      </c>
      <c r="Q2084" s="165">
        <f>IF(Sales[[#This Row],[Status]]="Cancelled",0,Sales[[#This Row],[Qty]])</f>
        <v>8</v>
      </c>
      <c r="R2084" s="166">
        <f>IF(Sales[[#This Row],[Status]]="Cancelled",0,Sales[[#This Row],[Total Amount]])</f>
        <v>143771.20000000001</v>
      </c>
      <c r="S2084" s="162">
        <f>SUM(Sales[Net Amount])</f>
        <v>406839287.73200053</v>
      </c>
    </row>
    <row r="2085" spans="1:19" ht="18.75" x14ac:dyDescent="0.25">
      <c r="A2085" s="156" t="s">
        <v>5704</v>
      </c>
      <c r="B2085" s="157">
        <v>45884</v>
      </c>
      <c r="C2085" s="158" t="s">
        <v>946</v>
      </c>
      <c r="D2085" s="159" t="str">
        <f>VLOOKUP(Sales[[#This Row],[Customer ID]],Customer[#All],2,0)</f>
        <v>Priya Patel</v>
      </c>
      <c r="E2085" s="158" t="s">
        <v>50</v>
      </c>
      <c r="F2085" s="158" t="str">
        <f>VLOOKUP(Sales[[#This Row],[Product ID]],Product[#All],2,0)</f>
        <v>Lg Monitor</v>
      </c>
      <c r="G2085" s="159">
        <v>1</v>
      </c>
      <c r="H2085" s="160">
        <f>VLOOKUP(Sales[[#This Row],[Product ID]],Product[#All],7,0)</f>
        <v>35670</v>
      </c>
      <c r="I2085" s="160">
        <f>Sales[[#This Row],[Selling Rate]]*Sales[[#This Row],[Qty]]</f>
        <v>35670</v>
      </c>
      <c r="J2085" s="43">
        <v>0.1</v>
      </c>
      <c r="K2085" s="44">
        <f>Sales[[#This Row],[Gross Amount]]*Sales[[#This Row],[Disc %]]</f>
        <v>3567</v>
      </c>
      <c r="L2085" s="43">
        <v>0.18</v>
      </c>
      <c r="M2085" s="44">
        <f>(Sales[[#This Row],[Gross Amount]]-Sales[[#This Row],[Disc. Amt.]])*Sales[[#This Row],[GST %]]</f>
        <v>5778.54</v>
      </c>
      <c r="N2085" s="161">
        <f>Sales[[#This Row],[Gross Amount]]-Sales[[#This Row],[Disc. Amt.]]+Sales[[#This Row],[GST Amount]]</f>
        <v>37881.54</v>
      </c>
      <c r="O2085" s="158" t="s">
        <v>3569</v>
      </c>
      <c r="P2085" s="158" t="s">
        <v>3562</v>
      </c>
      <c r="Q2085" s="160">
        <f>IF(Sales[[#This Row],[Status]]="Cancelled",0,Sales[[#This Row],[Qty]])</f>
        <v>1</v>
      </c>
      <c r="R2085" s="161">
        <f>IF(Sales[[#This Row],[Status]]="Cancelled",0,Sales[[#This Row],[Total Amount]])</f>
        <v>37881.54</v>
      </c>
      <c r="S2085" s="162">
        <f>SUM(Sales[Net Amount])</f>
        <v>406839287.73200053</v>
      </c>
    </row>
    <row r="2086" spans="1:19" ht="18.75" x14ac:dyDescent="0.25">
      <c r="A2086" s="163" t="s">
        <v>5705</v>
      </c>
      <c r="B2086" s="164">
        <v>45884</v>
      </c>
      <c r="C2086" s="34" t="s">
        <v>835</v>
      </c>
      <c r="D2086" s="53" t="str">
        <f>VLOOKUP(Sales[[#This Row],[Customer ID]],Customer[#All],2,0)</f>
        <v>Ankit Kumar</v>
      </c>
      <c r="E2086" s="34" t="s">
        <v>549</v>
      </c>
      <c r="F2086" s="34" t="str">
        <f>VLOOKUP(Sales[[#This Row],[Product ID]],Product[#All],2,0)</f>
        <v>Boat Headset</v>
      </c>
      <c r="G2086" s="53">
        <v>3</v>
      </c>
      <c r="H2086" s="165">
        <f>VLOOKUP(Sales[[#This Row],[Product ID]],Product[#All],7,0)</f>
        <v>3390</v>
      </c>
      <c r="I2086" s="165">
        <f>Sales[[#This Row],[Selling Rate]]*Sales[[#This Row],[Qty]]</f>
        <v>10170</v>
      </c>
      <c r="J2086" s="45">
        <v>0.1</v>
      </c>
      <c r="K2086" s="46">
        <f>Sales[[#This Row],[Gross Amount]]*Sales[[#This Row],[Disc %]]</f>
        <v>1017</v>
      </c>
      <c r="L2086" s="43">
        <v>0.18</v>
      </c>
      <c r="M2086" s="46">
        <f>(Sales[[#This Row],[Gross Amount]]-Sales[[#This Row],[Disc. Amt.]])*Sales[[#This Row],[GST %]]</f>
        <v>1647.54</v>
      </c>
      <c r="N2086" s="161">
        <f>Sales[[#This Row],[Gross Amount]]-Sales[[#This Row],[Disc. Amt.]]+Sales[[#This Row],[GST Amount]]</f>
        <v>10800.54</v>
      </c>
      <c r="O2086" s="34" t="s">
        <v>3569</v>
      </c>
      <c r="P2086" s="34" t="s">
        <v>3562</v>
      </c>
      <c r="Q2086" s="165">
        <f>IF(Sales[[#This Row],[Status]]="Cancelled",0,Sales[[#This Row],[Qty]])</f>
        <v>3</v>
      </c>
      <c r="R2086" s="166">
        <f>IF(Sales[[#This Row],[Status]]="Cancelled",0,Sales[[#This Row],[Total Amount]])</f>
        <v>10800.54</v>
      </c>
      <c r="S2086" s="162">
        <f>SUM(Sales[Net Amount])</f>
        <v>406839287.73200053</v>
      </c>
    </row>
    <row r="2087" spans="1:19" ht="18.75" x14ac:dyDescent="0.25">
      <c r="A2087" s="156" t="s">
        <v>5706</v>
      </c>
      <c r="B2087" s="157">
        <v>45884</v>
      </c>
      <c r="C2087" s="158" t="s">
        <v>742</v>
      </c>
      <c r="D2087" s="159" t="str">
        <f>VLOOKUP(Sales[[#This Row],[Customer ID]],Customer[#All],2,0)</f>
        <v>Rahul Patel</v>
      </c>
      <c r="E2087" s="158" t="s">
        <v>175</v>
      </c>
      <c r="F2087" s="158" t="str">
        <f>VLOOKUP(Sales[[#This Row],[Product ID]],Product[#All],2,0)</f>
        <v>Boat Headset</v>
      </c>
      <c r="G2087" s="159">
        <v>5</v>
      </c>
      <c r="H2087" s="160">
        <f>VLOOKUP(Sales[[#This Row],[Product ID]],Product[#All],7,0)</f>
        <v>2030</v>
      </c>
      <c r="I2087" s="160">
        <f>Sales[[#This Row],[Selling Rate]]*Sales[[#This Row],[Qty]]</f>
        <v>10150</v>
      </c>
      <c r="J2087" s="43">
        <v>0.05</v>
      </c>
      <c r="K2087" s="44">
        <f>Sales[[#This Row],[Gross Amount]]*Sales[[#This Row],[Disc %]]</f>
        <v>507.5</v>
      </c>
      <c r="L2087" s="43">
        <v>0.18</v>
      </c>
      <c r="M2087" s="44">
        <f>(Sales[[#This Row],[Gross Amount]]-Sales[[#This Row],[Disc. Amt.]])*Sales[[#This Row],[GST %]]</f>
        <v>1735.6499999999999</v>
      </c>
      <c r="N2087" s="161">
        <f>Sales[[#This Row],[Gross Amount]]-Sales[[#This Row],[Disc. Amt.]]+Sales[[#This Row],[GST Amount]]</f>
        <v>11378.15</v>
      </c>
      <c r="O2087" s="158" t="s">
        <v>3566</v>
      </c>
      <c r="P2087" s="158" t="s">
        <v>3562</v>
      </c>
      <c r="Q2087" s="160">
        <f>IF(Sales[[#This Row],[Status]]="Cancelled",0,Sales[[#This Row],[Qty]])</f>
        <v>5</v>
      </c>
      <c r="R2087" s="161">
        <f>IF(Sales[[#This Row],[Status]]="Cancelled",0,Sales[[#This Row],[Total Amount]])</f>
        <v>11378.15</v>
      </c>
      <c r="S2087" s="162">
        <f>SUM(Sales[Net Amount])</f>
        <v>406839287.73200053</v>
      </c>
    </row>
    <row r="2088" spans="1:19" ht="18.75" x14ac:dyDescent="0.25">
      <c r="A2088" s="163" t="s">
        <v>5707</v>
      </c>
      <c r="B2088" s="164">
        <v>45884</v>
      </c>
      <c r="C2088" s="34" t="s">
        <v>682</v>
      </c>
      <c r="D2088" s="53" t="str">
        <f>VLOOKUP(Sales[[#This Row],[Customer ID]],Customer[#All],2,0)</f>
        <v>Rahul Sharma</v>
      </c>
      <c r="E2088" s="34" t="s">
        <v>12</v>
      </c>
      <c r="F2088" s="34" t="str">
        <f>VLOOKUP(Sales[[#This Row],[Product ID]],Product[#All],2,0)</f>
        <v>Boat Headset</v>
      </c>
      <c r="G2088" s="53">
        <v>8</v>
      </c>
      <c r="H2088" s="165">
        <f>VLOOKUP(Sales[[#This Row],[Product ID]],Product[#All],7,0)</f>
        <v>1990</v>
      </c>
      <c r="I2088" s="165">
        <f>Sales[[#This Row],[Selling Rate]]*Sales[[#This Row],[Qty]]</f>
        <v>15920</v>
      </c>
      <c r="J2088" s="45">
        <v>0.05</v>
      </c>
      <c r="K2088" s="46">
        <f>Sales[[#This Row],[Gross Amount]]*Sales[[#This Row],[Disc %]]</f>
        <v>796</v>
      </c>
      <c r="L2088" s="43">
        <v>0.18</v>
      </c>
      <c r="M2088" s="46">
        <f>(Sales[[#This Row],[Gross Amount]]-Sales[[#This Row],[Disc. Amt.]])*Sales[[#This Row],[GST %]]</f>
        <v>2722.3199999999997</v>
      </c>
      <c r="N2088" s="161">
        <f>Sales[[#This Row],[Gross Amount]]-Sales[[#This Row],[Disc. Amt.]]+Sales[[#This Row],[GST Amount]]</f>
        <v>17846.32</v>
      </c>
      <c r="O2088" s="34" t="s">
        <v>8876</v>
      </c>
      <c r="P2088" s="34" t="s">
        <v>3562</v>
      </c>
      <c r="Q2088" s="165">
        <f>IF(Sales[[#This Row],[Status]]="Cancelled",0,Sales[[#This Row],[Qty]])</f>
        <v>8</v>
      </c>
      <c r="R2088" s="166">
        <f>IF(Sales[[#This Row],[Status]]="Cancelled",0,Sales[[#This Row],[Total Amount]])</f>
        <v>17846.32</v>
      </c>
      <c r="S2088" s="162">
        <f>SUM(Sales[Net Amount])</f>
        <v>406839287.73200053</v>
      </c>
    </row>
    <row r="2089" spans="1:19" ht="18.75" x14ac:dyDescent="0.25">
      <c r="A2089" s="156" t="s">
        <v>5708</v>
      </c>
      <c r="B2089" s="157">
        <v>45884</v>
      </c>
      <c r="C2089" s="158" t="s">
        <v>699</v>
      </c>
      <c r="D2089" s="159" t="str">
        <f>VLOOKUP(Sales[[#This Row],[Customer ID]],Customer[#All],2,0)</f>
        <v>Amit Singh</v>
      </c>
      <c r="E2089" s="158" t="s">
        <v>96</v>
      </c>
      <c r="F2089" s="158" t="str">
        <f>VLOOKUP(Sales[[#This Row],[Product ID]],Product[#All],2,0)</f>
        <v>Corsair Ram</v>
      </c>
      <c r="G2089" s="159">
        <v>4</v>
      </c>
      <c r="H2089" s="160">
        <f>VLOOKUP(Sales[[#This Row],[Product ID]],Product[#All],7,0)</f>
        <v>4570</v>
      </c>
      <c r="I2089" s="160">
        <f>Sales[[#This Row],[Selling Rate]]*Sales[[#This Row],[Qty]]</f>
        <v>18280</v>
      </c>
      <c r="J2089" s="43">
        <v>0.1</v>
      </c>
      <c r="K2089" s="44">
        <f>Sales[[#This Row],[Gross Amount]]*Sales[[#This Row],[Disc %]]</f>
        <v>1828</v>
      </c>
      <c r="L2089" s="43">
        <v>0.18</v>
      </c>
      <c r="M2089" s="44">
        <f>(Sales[[#This Row],[Gross Amount]]-Sales[[#This Row],[Disc. Amt.]])*Sales[[#This Row],[GST %]]</f>
        <v>2961.3599999999997</v>
      </c>
      <c r="N2089" s="161">
        <f>Sales[[#This Row],[Gross Amount]]-Sales[[#This Row],[Disc. Amt.]]+Sales[[#This Row],[GST Amount]]</f>
        <v>19413.36</v>
      </c>
      <c r="O2089" s="158" t="s">
        <v>8876</v>
      </c>
      <c r="P2089" s="158" t="s">
        <v>3562</v>
      </c>
      <c r="Q2089" s="160">
        <f>IF(Sales[[#This Row],[Status]]="Cancelled",0,Sales[[#This Row],[Qty]])</f>
        <v>4</v>
      </c>
      <c r="R2089" s="161">
        <f>IF(Sales[[#This Row],[Status]]="Cancelled",0,Sales[[#This Row],[Total Amount]])</f>
        <v>19413.36</v>
      </c>
      <c r="S2089" s="162">
        <f>SUM(Sales[Net Amount])</f>
        <v>406839287.73200053</v>
      </c>
    </row>
    <row r="2090" spans="1:19" ht="18.75" x14ac:dyDescent="0.25">
      <c r="A2090" s="163" t="s">
        <v>5709</v>
      </c>
      <c r="B2090" s="164">
        <v>45884</v>
      </c>
      <c r="C2090" s="34" t="s">
        <v>749</v>
      </c>
      <c r="D2090" s="53" t="str">
        <f>VLOOKUP(Sales[[#This Row],[Customer ID]],Customer[#All],2,0)</f>
        <v>Sahil Patel</v>
      </c>
      <c r="E2090" s="34" t="s">
        <v>354</v>
      </c>
      <c r="F2090" s="34" t="str">
        <f>VLOOKUP(Sales[[#This Row],[Product ID]],Product[#All],2,0)</f>
        <v>Dell Monitor</v>
      </c>
      <c r="G2090" s="53">
        <v>8</v>
      </c>
      <c r="H2090" s="165">
        <f>VLOOKUP(Sales[[#This Row],[Product ID]],Product[#All],7,0)</f>
        <v>12450</v>
      </c>
      <c r="I2090" s="165">
        <f>Sales[[#This Row],[Selling Rate]]*Sales[[#This Row],[Qty]]</f>
        <v>99600</v>
      </c>
      <c r="J2090" s="45">
        <v>0.05</v>
      </c>
      <c r="K2090" s="46">
        <f>Sales[[#This Row],[Gross Amount]]*Sales[[#This Row],[Disc %]]</f>
        <v>4980</v>
      </c>
      <c r="L2090" s="43">
        <v>0.18</v>
      </c>
      <c r="M2090" s="46">
        <f>(Sales[[#This Row],[Gross Amount]]-Sales[[#This Row],[Disc. Amt.]])*Sales[[#This Row],[GST %]]</f>
        <v>17031.599999999999</v>
      </c>
      <c r="N2090" s="161">
        <f>Sales[[#This Row],[Gross Amount]]-Sales[[#This Row],[Disc. Amt.]]+Sales[[#This Row],[GST Amount]]</f>
        <v>111651.6</v>
      </c>
      <c r="O2090" s="34" t="s">
        <v>3569</v>
      </c>
      <c r="P2090" s="34" t="s">
        <v>3562</v>
      </c>
      <c r="Q2090" s="165">
        <f>IF(Sales[[#This Row],[Status]]="Cancelled",0,Sales[[#This Row],[Qty]])</f>
        <v>8</v>
      </c>
      <c r="R2090" s="166">
        <f>IF(Sales[[#This Row],[Status]]="Cancelled",0,Sales[[#This Row],[Total Amount]])</f>
        <v>111651.6</v>
      </c>
      <c r="S2090" s="162">
        <f>SUM(Sales[Net Amount])</f>
        <v>406839287.73200053</v>
      </c>
    </row>
    <row r="2091" spans="1:19" ht="18.75" x14ac:dyDescent="0.25">
      <c r="A2091" s="156" t="s">
        <v>5710</v>
      </c>
      <c r="B2091" s="157">
        <v>45884</v>
      </c>
      <c r="C2091" s="158" t="s">
        <v>5351</v>
      </c>
      <c r="D2091" s="159" t="str">
        <f>VLOOKUP(Sales[[#This Row],[Customer ID]],Customer[#All],2,0)</f>
        <v>Rakesh Patel</v>
      </c>
      <c r="E2091" s="158" t="s">
        <v>530</v>
      </c>
      <c r="F2091" s="158" t="str">
        <f>VLOOKUP(Sales[[#This Row],[Product ID]],Product[#All],2,0)</f>
        <v>Acer Laptop</v>
      </c>
      <c r="G2091" s="159">
        <v>3</v>
      </c>
      <c r="H2091" s="160">
        <f>VLOOKUP(Sales[[#This Row],[Product ID]],Product[#All],7,0)</f>
        <v>31390</v>
      </c>
      <c r="I2091" s="160">
        <f>Sales[[#This Row],[Selling Rate]]*Sales[[#This Row],[Qty]]</f>
        <v>94170</v>
      </c>
      <c r="J2091" s="43">
        <v>0.05</v>
      </c>
      <c r="K2091" s="44">
        <f>Sales[[#This Row],[Gross Amount]]*Sales[[#This Row],[Disc %]]</f>
        <v>4708.5</v>
      </c>
      <c r="L2091" s="43">
        <v>0.18</v>
      </c>
      <c r="M2091" s="44">
        <f>(Sales[[#This Row],[Gross Amount]]-Sales[[#This Row],[Disc. Amt.]])*Sales[[#This Row],[GST %]]</f>
        <v>16103.07</v>
      </c>
      <c r="N2091" s="161">
        <f>Sales[[#This Row],[Gross Amount]]-Sales[[#This Row],[Disc. Amt.]]+Sales[[#This Row],[GST Amount]]</f>
        <v>105564.57</v>
      </c>
      <c r="O2091" s="158" t="s">
        <v>8876</v>
      </c>
      <c r="P2091" s="158" t="s">
        <v>3562</v>
      </c>
      <c r="Q2091" s="160">
        <f>IF(Sales[[#This Row],[Status]]="Cancelled",0,Sales[[#This Row],[Qty]])</f>
        <v>3</v>
      </c>
      <c r="R2091" s="161">
        <f>IF(Sales[[#This Row],[Status]]="Cancelled",0,Sales[[#This Row],[Total Amount]])</f>
        <v>105564.57</v>
      </c>
      <c r="S2091" s="162">
        <f>SUM(Sales[Net Amount])</f>
        <v>406839287.73200053</v>
      </c>
    </row>
    <row r="2092" spans="1:19" ht="18.75" x14ac:dyDescent="0.25">
      <c r="A2092" s="163" t="s">
        <v>5711</v>
      </c>
      <c r="B2092" s="164">
        <v>45884</v>
      </c>
      <c r="C2092" s="34" t="s">
        <v>716</v>
      </c>
      <c r="D2092" s="53" t="str">
        <f>VLOOKUP(Sales[[#This Row],[Customer ID]],Customer[#All],2,0)</f>
        <v>Ankit Kumar</v>
      </c>
      <c r="E2092" s="34" t="s">
        <v>384</v>
      </c>
      <c r="F2092" s="34" t="str">
        <f>VLOOKUP(Sales[[#This Row],[Product ID]],Product[#All],2,0)</f>
        <v>Samsung Ssd</v>
      </c>
      <c r="G2092" s="53">
        <v>5</v>
      </c>
      <c r="H2092" s="165">
        <f>VLOOKUP(Sales[[#This Row],[Product ID]],Product[#All],7,0)</f>
        <v>14770</v>
      </c>
      <c r="I2092" s="165">
        <f>Sales[[#This Row],[Selling Rate]]*Sales[[#This Row],[Qty]]</f>
        <v>73850</v>
      </c>
      <c r="J2092" s="45">
        <v>0.02</v>
      </c>
      <c r="K2092" s="46">
        <f>Sales[[#This Row],[Gross Amount]]*Sales[[#This Row],[Disc %]]</f>
        <v>1477</v>
      </c>
      <c r="L2092" s="43">
        <v>0.18</v>
      </c>
      <c r="M2092" s="46">
        <f>(Sales[[#This Row],[Gross Amount]]-Sales[[#This Row],[Disc. Amt.]])*Sales[[#This Row],[GST %]]</f>
        <v>13027.14</v>
      </c>
      <c r="N2092" s="161">
        <f>Sales[[#This Row],[Gross Amount]]-Sales[[#This Row],[Disc. Amt.]]+Sales[[#This Row],[GST Amount]]</f>
        <v>85400.14</v>
      </c>
      <c r="O2092" s="34" t="s">
        <v>3569</v>
      </c>
      <c r="P2092" s="34" t="s">
        <v>3562</v>
      </c>
      <c r="Q2092" s="165">
        <f>IF(Sales[[#This Row],[Status]]="Cancelled",0,Sales[[#This Row],[Qty]])</f>
        <v>5</v>
      </c>
      <c r="R2092" s="166">
        <f>IF(Sales[[#This Row],[Status]]="Cancelled",0,Sales[[#This Row],[Total Amount]])</f>
        <v>85400.14</v>
      </c>
      <c r="S2092" s="162">
        <f>SUM(Sales[Net Amount])</f>
        <v>406839287.73200053</v>
      </c>
    </row>
    <row r="2093" spans="1:19" ht="18.75" x14ac:dyDescent="0.25">
      <c r="A2093" s="156" t="s">
        <v>5712</v>
      </c>
      <c r="B2093" s="157">
        <v>45884</v>
      </c>
      <c r="C2093" s="158" t="s">
        <v>933</v>
      </c>
      <c r="D2093" s="159" t="str">
        <f>VLOOKUP(Sales[[#This Row],[Customer ID]],Customer[#All],2,0)</f>
        <v>Vikas Verma</v>
      </c>
      <c r="E2093" s="158" t="s">
        <v>67</v>
      </c>
      <c r="F2093" s="158" t="str">
        <f>VLOOKUP(Sales[[#This Row],[Product ID]],Product[#All],2,0)</f>
        <v>TP-link Wi-Fi Adapter</v>
      </c>
      <c r="G2093" s="159">
        <v>5</v>
      </c>
      <c r="H2093" s="160">
        <f>VLOOKUP(Sales[[#This Row],[Product ID]],Product[#All],7,0)</f>
        <v>2990</v>
      </c>
      <c r="I2093" s="160">
        <f>Sales[[#This Row],[Selling Rate]]*Sales[[#This Row],[Qty]]</f>
        <v>14950</v>
      </c>
      <c r="J2093" s="43">
        <v>0.12</v>
      </c>
      <c r="K2093" s="44">
        <f>Sales[[#This Row],[Gross Amount]]*Sales[[#This Row],[Disc %]]</f>
        <v>1794</v>
      </c>
      <c r="L2093" s="43">
        <v>0.18</v>
      </c>
      <c r="M2093" s="44">
        <f>(Sales[[#This Row],[Gross Amount]]-Sales[[#This Row],[Disc. Amt.]])*Sales[[#This Row],[GST %]]</f>
        <v>2368.08</v>
      </c>
      <c r="N2093" s="161">
        <f>Sales[[#This Row],[Gross Amount]]-Sales[[#This Row],[Disc. Amt.]]+Sales[[#This Row],[GST Amount]]</f>
        <v>15524.08</v>
      </c>
      <c r="O2093" s="158" t="s">
        <v>3569</v>
      </c>
      <c r="P2093" s="158" t="s">
        <v>1040</v>
      </c>
      <c r="Q2093" s="160">
        <f>IF(Sales[[#This Row],[Status]]="Cancelled",0,Sales[[#This Row],[Qty]])</f>
        <v>0</v>
      </c>
      <c r="R2093" s="161">
        <f>IF(Sales[[#This Row],[Status]]="Cancelled",0,Sales[[#This Row],[Total Amount]])</f>
        <v>0</v>
      </c>
      <c r="S2093" s="162">
        <f>SUM(Sales[Net Amount])</f>
        <v>406839287.73200053</v>
      </c>
    </row>
    <row r="2094" spans="1:19" ht="18.75" x14ac:dyDescent="0.25">
      <c r="A2094" s="163" t="s">
        <v>5713</v>
      </c>
      <c r="B2094" s="164">
        <v>45884</v>
      </c>
      <c r="C2094" s="34" t="s">
        <v>859</v>
      </c>
      <c r="D2094" s="53" t="str">
        <f>VLOOKUP(Sales[[#This Row],[Customer ID]],Customer[#All],2,0)</f>
        <v>Rakesh Kumar</v>
      </c>
      <c r="E2094" s="34" t="s">
        <v>383</v>
      </c>
      <c r="F2094" s="34" t="str">
        <f>VLOOKUP(Sales[[#This Row],[Product ID]],Product[#All],2,0)</f>
        <v>Logitech Mouse</v>
      </c>
      <c r="G2094" s="53">
        <v>1</v>
      </c>
      <c r="H2094" s="165">
        <f>VLOOKUP(Sales[[#This Row],[Product ID]],Product[#All],7,0)</f>
        <v>3080</v>
      </c>
      <c r="I2094" s="165">
        <f>Sales[[#This Row],[Selling Rate]]*Sales[[#This Row],[Qty]]</f>
        <v>3080</v>
      </c>
      <c r="J2094" s="45">
        <v>0</v>
      </c>
      <c r="K2094" s="46">
        <f>Sales[[#This Row],[Gross Amount]]*Sales[[#This Row],[Disc %]]</f>
        <v>0</v>
      </c>
      <c r="L2094" s="43">
        <v>0.18</v>
      </c>
      <c r="M2094" s="46">
        <f>(Sales[[#This Row],[Gross Amount]]-Sales[[#This Row],[Disc. Amt.]])*Sales[[#This Row],[GST %]]</f>
        <v>554.4</v>
      </c>
      <c r="N2094" s="161">
        <f>Sales[[#This Row],[Gross Amount]]-Sales[[#This Row],[Disc. Amt.]]+Sales[[#This Row],[GST Amount]]</f>
        <v>3634.4</v>
      </c>
      <c r="O2094" s="34" t="s">
        <v>3561</v>
      </c>
      <c r="P2094" s="34" t="s">
        <v>3562</v>
      </c>
      <c r="Q2094" s="165">
        <f>IF(Sales[[#This Row],[Status]]="Cancelled",0,Sales[[#This Row],[Qty]])</f>
        <v>1</v>
      </c>
      <c r="R2094" s="166">
        <f>IF(Sales[[#This Row],[Status]]="Cancelled",0,Sales[[#This Row],[Total Amount]])</f>
        <v>3634.4</v>
      </c>
      <c r="S2094" s="162">
        <f>SUM(Sales[Net Amount])</f>
        <v>406839287.73200053</v>
      </c>
    </row>
    <row r="2095" spans="1:19" ht="18.75" x14ac:dyDescent="0.25">
      <c r="A2095" s="156" t="s">
        <v>5714</v>
      </c>
      <c r="B2095" s="157">
        <v>45884</v>
      </c>
      <c r="C2095" s="158" t="s">
        <v>878</v>
      </c>
      <c r="D2095" s="159" t="str">
        <f>VLOOKUP(Sales[[#This Row],[Customer ID]],Customer[#All],2,0)</f>
        <v>Rahul Singh</v>
      </c>
      <c r="E2095" s="158" t="s">
        <v>263</v>
      </c>
      <c r="F2095" s="158" t="str">
        <f>VLOOKUP(Sales[[#This Row],[Product ID]],Product[#All],2,0)</f>
        <v>Amazon Basics Hdmi Cable</v>
      </c>
      <c r="G2095" s="159">
        <v>3</v>
      </c>
      <c r="H2095" s="160">
        <f>VLOOKUP(Sales[[#This Row],[Product ID]],Product[#All],7,0)</f>
        <v>770</v>
      </c>
      <c r="I2095" s="160">
        <f>Sales[[#This Row],[Selling Rate]]*Sales[[#This Row],[Qty]]</f>
        <v>2310</v>
      </c>
      <c r="J2095" s="43">
        <v>0.15</v>
      </c>
      <c r="K2095" s="44">
        <f>Sales[[#This Row],[Gross Amount]]*Sales[[#This Row],[Disc %]]</f>
        <v>346.5</v>
      </c>
      <c r="L2095" s="43">
        <v>0.18</v>
      </c>
      <c r="M2095" s="44">
        <f>(Sales[[#This Row],[Gross Amount]]-Sales[[#This Row],[Disc. Amt.]])*Sales[[#This Row],[GST %]]</f>
        <v>353.43</v>
      </c>
      <c r="N2095" s="161">
        <f>Sales[[#This Row],[Gross Amount]]-Sales[[#This Row],[Disc. Amt.]]+Sales[[#This Row],[GST Amount]]</f>
        <v>2316.9299999999998</v>
      </c>
      <c r="O2095" s="158" t="s">
        <v>3569</v>
      </c>
      <c r="P2095" s="158" t="s">
        <v>3562</v>
      </c>
      <c r="Q2095" s="160">
        <f>IF(Sales[[#This Row],[Status]]="Cancelled",0,Sales[[#This Row],[Qty]])</f>
        <v>3</v>
      </c>
      <c r="R2095" s="161">
        <f>IF(Sales[[#This Row],[Status]]="Cancelled",0,Sales[[#This Row],[Total Amount]])</f>
        <v>2316.9299999999998</v>
      </c>
      <c r="S2095" s="162">
        <f>SUM(Sales[Net Amount])</f>
        <v>406839287.73200053</v>
      </c>
    </row>
    <row r="2096" spans="1:19" ht="18.75" x14ac:dyDescent="0.25">
      <c r="A2096" s="163" t="s">
        <v>5715</v>
      </c>
      <c r="B2096" s="164">
        <v>45884</v>
      </c>
      <c r="C2096" s="34" t="s">
        <v>698</v>
      </c>
      <c r="D2096" s="53" t="str">
        <f>VLOOKUP(Sales[[#This Row],[Customer ID]],Customer[#All],2,0)</f>
        <v>Neha Sharma</v>
      </c>
      <c r="E2096" s="34" t="s">
        <v>486</v>
      </c>
      <c r="F2096" s="34" t="str">
        <f>VLOOKUP(Sales[[#This Row],[Product ID]],Product[#All],2,0)</f>
        <v>Logitech Mouse</v>
      </c>
      <c r="G2096" s="53">
        <v>8</v>
      </c>
      <c r="H2096" s="165">
        <f>VLOOKUP(Sales[[#This Row],[Product ID]],Product[#All],7,0)</f>
        <v>1650</v>
      </c>
      <c r="I2096" s="165">
        <f>Sales[[#This Row],[Selling Rate]]*Sales[[#This Row],[Qty]]</f>
        <v>13200</v>
      </c>
      <c r="J2096" s="45">
        <v>0.1</v>
      </c>
      <c r="K2096" s="46">
        <f>Sales[[#This Row],[Gross Amount]]*Sales[[#This Row],[Disc %]]</f>
        <v>1320</v>
      </c>
      <c r="L2096" s="43">
        <v>0.18</v>
      </c>
      <c r="M2096" s="46">
        <f>(Sales[[#This Row],[Gross Amount]]-Sales[[#This Row],[Disc. Amt.]])*Sales[[#This Row],[GST %]]</f>
        <v>2138.4</v>
      </c>
      <c r="N2096" s="161">
        <f>Sales[[#This Row],[Gross Amount]]-Sales[[#This Row],[Disc. Amt.]]+Sales[[#This Row],[GST Amount]]</f>
        <v>14018.4</v>
      </c>
      <c r="O2096" s="34" t="s">
        <v>8876</v>
      </c>
      <c r="P2096" s="34" t="s">
        <v>3562</v>
      </c>
      <c r="Q2096" s="165">
        <f>IF(Sales[[#This Row],[Status]]="Cancelled",0,Sales[[#This Row],[Qty]])</f>
        <v>8</v>
      </c>
      <c r="R2096" s="166">
        <f>IF(Sales[[#This Row],[Status]]="Cancelled",0,Sales[[#This Row],[Total Amount]])</f>
        <v>14018.4</v>
      </c>
      <c r="S2096" s="162">
        <f>SUM(Sales[Net Amount])</f>
        <v>406839287.73200053</v>
      </c>
    </row>
    <row r="2097" spans="1:19" ht="18.75" x14ac:dyDescent="0.25">
      <c r="A2097" s="156" t="s">
        <v>5716</v>
      </c>
      <c r="B2097" s="157">
        <v>45884</v>
      </c>
      <c r="C2097" s="158" t="s">
        <v>916</v>
      </c>
      <c r="D2097" s="159" t="str">
        <f>VLOOKUP(Sales[[#This Row],[Customer ID]],Customer[#All],2,0)</f>
        <v>Ankit Singh</v>
      </c>
      <c r="E2097" s="158" t="s">
        <v>183</v>
      </c>
      <c r="F2097" s="158" t="str">
        <f>VLOOKUP(Sales[[#This Row],[Product ID]],Product[#All],2,0)</f>
        <v>Boat Speaker</v>
      </c>
      <c r="G2097" s="159">
        <v>7</v>
      </c>
      <c r="H2097" s="160">
        <f>VLOOKUP(Sales[[#This Row],[Product ID]],Product[#All],7,0)</f>
        <v>1430</v>
      </c>
      <c r="I2097" s="160">
        <f>Sales[[#This Row],[Selling Rate]]*Sales[[#This Row],[Qty]]</f>
        <v>10010</v>
      </c>
      <c r="J2097" s="43">
        <v>0.02</v>
      </c>
      <c r="K2097" s="44">
        <f>Sales[[#This Row],[Gross Amount]]*Sales[[#This Row],[Disc %]]</f>
        <v>200.20000000000002</v>
      </c>
      <c r="L2097" s="43">
        <v>0.18</v>
      </c>
      <c r="M2097" s="44">
        <f>(Sales[[#This Row],[Gross Amount]]-Sales[[#This Row],[Disc. Amt.]])*Sales[[#This Row],[GST %]]</f>
        <v>1765.7639999999999</v>
      </c>
      <c r="N2097" s="161">
        <f>Sales[[#This Row],[Gross Amount]]-Sales[[#This Row],[Disc. Amt.]]+Sales[[#This Row],[GST Amount]]</f>
        <v>11575.563999999998</v>
      </c>
      <c r="O2097" s="158" t="s">
        <v>8876</v>
      </c>
      <c r="P2097" s="158" t="s">
        <v>3562</v>
      </c>
      <c r="Q2097" s="160">
        <f>IF(Sales[[#This Row],[Status]]="Cancelled",0,Sales[[#This Row],[Qty]])</f>
        <v>7</v>
      </c>
      <c r="R2097" s="161">
        <f>IF(Sales[[#This Row],[Status]]="Cancelled",0,Sales[[#This Row],[Total Amount]])</f>
        <v>11575.563999999998</v>
      </c>
      <c r="S2097" s="162">
        <f>SUM(Sales[Net Amount])</f>
        <v>406839287.73200053</v>
      </c>
    </row>
    <row r="2098" spans="1:19" ht="18.75" x14ac:dyDescent="0.25">
      <c r="A2098" s="163" t="s">
        <v>5717</v>
      </c>
      <c r="B2098" s="164">
        <v>45884</v>
      </c>
      <c r="C2098" s="34" t="s">
        <v>5718</v>
      </c>
      <c r="D2098" s="53" t="str">
        <f>VLOOKUP(Sales[[#This Row],[Customer ID]],Customer[#All],2,0)</f>
        <v>Pooja Patel</v>
      </c>
      <c r="E2098" s="34" t="s">
        <v>538</v>
      </c>
      <c r="F2098" s="34" t="str">
        <f>VLOOKUP(Sales[[#This Row],[Product ID]],Product[#All],2,0)</f>
        <v>Acer Laptop</v>
      </c>
      <c r="G2098" s="53">
        <v>4</v>
      </c>
      <c r="H2098" s="165">
        <f>VLOOKUP(Sales[[#This Row],[Product ID]],Product[#All],7,0)</f>
        <v>46800</v>
      </c>
      <c r="I2098" s="165">
        <f>Sales[[#This Row],[Selling Rate]]*Sales[[#This Row],[Qty]]</f>
        <v>187200</v>
      </c>
      <c r="J2098" s="45">
        <v>0</v>
      </c>
      <c r="K2098" s="46">
        <f>Sales[[#This Row],[Gross Amount]]*Sales[[#This Row],[Disc %]]</f>
        <v>0</v>
      </c>
      <c r="L2098" s="43">
        <v>0.18</v>
      </c>
      <c r="M2098" s="46">
        <f>(Sales[[#This Row],[Gross Amount]]-Sales[[#This Row],[Disc. Amt.]])*Sales[[#This Row],[GST %]]</f>
        <v>33696</v>
      </c>
      <c r="N2098" s="161">
        <f>Sales[[#This Row],[Gross Amount]]-Sales[[#This Row],[Disc. Amt.]]+Sales[[#This Row],[GST Amount]]</f>
        <v>220896</v>
      </c>
      <c r="O2098" s="34" t="s">
        <v>3561</v>
      </c>
      <c r="P2098" s="34" t="s">
        <v>3562</v>
      </c>
      <c r="Q2098" s="165">
        <f>IF(Sales[[#This Row],[Status]]="Cancelled",0,Sales[[#This Row],[Qty]])</f>
        <v>4</v>
      </c>
      <c r="R2098" s="166">
        <f>IF(Sales[[#This Row],[Status]]="Cancelled",0,Sales[[#This Row],[Total Amount]])</f>
        <v>220896</v>
      </c>
      <c r="S2098" s="162">
        <f>SUM(Sales[Net Amount])</f>
        <v>406839287.73200053</v>
      </c>
    </row>
    <row r="2099" spans="1:19" ht="18.75" x14ac:dyDescent="0.25">
      <c r="A2099" s="156" t="s">
        <v>5719</v>
      </c>
      <c r="B2099" s="157">
        <v>45885</v>
      </c>
      <c r="C2099" s="158" t="s">
        <v>917</v>
      </c>
      <c r="D2099" s="159" t="str">
        <f>VLOOKUP(Sales[[#This Row],[Customer ID]],Customer[#All],2,0)</f>
        <v>Sahil Gupta</v>
      </c>
      <c r="E2099" s="158" t="s">
        <v>452</v>
      </c>
      <c r="F2099" s="158" t="str">
        <f>VLOOKUP(Sales[[#This Row],[Product ID]],Product[#All],2,0)</f>
        <v>Amazon Basics Hdmi Cable</v>
      </c>
      <c r="G2099" s="159">
        <v>4</v>
      </c>
      <c r="H2099" s="160">
        <f>VLOOKUP(Sales[[#This Row],[Product ID]],Product[#All],7,0)</f>
        <v>920</v>
      </c>
      <c r="I2099" s="160">
        <f>Sales[[#This Row],[Selling Rate]]*Sales[[#This Row],[Qty]]</f>
        <v>3680</v>
      </c>
      <c r="J2099" s="43">
        <v>0.12</v>
      </c>
      <c r="K2099" s="44">
        <f>Sales[[#This Row],[Gross Amount]]*Sales[[#This Row],[Disc %]]</f>
        <v>441.59999999999997</v>
      </c>
      <c r="L2099" s="43">
        <v>0.18</v>
      </c>
      <c r="M2099" s="44">
        <f>(Sales[[#This Row],[Gross Amount]]-Sales[[#This Row],[Disc. Amt.]])*Sales[[#This Row],[GST %]]</f>
        <v>582.91200000000003</v>
      </c>
      <c r="N2099" s="161">
        <f>Sales[[#This Row],[Gross Amount]]-Sales[[#This Row],[Disc. Amt.]]+Sales[[#This Row],[GST Amount]]</f>
        <v>3821.3119999999999</v>
      </c>
      <c r="O2099" s="158" t="s">
        <v>3561</v>
      </c>
      <c r="P2099" s="158" t="s">
        <v>3562</v>
      </c>
      <c r="Q2099" s="160">
        <f>IF(Sales[[#This Row],[Status]]="Cancelled",0,Sales[[#This Row],[Qty]])</f>
        <v>4</v>
      </c>
      <c r="R2099" s="161">
        <f>IF(Sales[[#This Row],[Status]]="Cancelled",0,Sales[[#This Row],[Total Amount]])</f>
        <v>3821.3119999999999</v>
      </c>
      <c r="S2099" s="162">
        <f>SUM(Sales[Net Amount])</f>
        <v>406839287.73200053</v>
      </c>
    </row>
    <row r="2100" spans="1:19" ht="18.75" x14ac:dyDescent="0.25">
      <c r="A2100" s="163" t="s">
        <v>5720</v>
      </c>
      <c r="B2100" s="164">
        <v>45885</v>
      </c>
      <c r="C2100" s="34" t="s">
        <v>897</v>
      </c>
      <c r="D2100" s="53" t="str">
        <f>VLOOKUP(Sales[[#This Row],[Customer ID]],Customer[#All],2,0)</f>
        <v>Amit Patel</v>
      </c>
      <c r="E2100" s="34" t="s">
        <v>325</v>
      </c>
      <c r="F2100" s="34" t="str">
        <f>VLOOKUP(Sales[[#This Row],[Product ID]],Product[#All],2,0)</f>
        <v>Dell Power Adapter</v>
      </c>
      <c r="G2100" s="53">
        <v>5</v>
      </c>
      <c r="H2100" s="165">
        <f>VLOOKUP(Sales[[#This Row],[Product ID]],Product[#All],7,0)</f>
        <v>1630</v>
      </c>
      <c r="I2100" s="165">
        <f>Sales[[#This Row],[Selling Rate]]*Sales[[#This Row],[Qty]]</f>
        <v>8150</v>
      </c>
      <c r="J2100" s="45">
        <v>0.05</v>
      </c>
      <c r="K2100" s="46">
        <f>Sales[[#This Row],[Gross Amount]]*Sales[[#This Row],[Disc %]]</f>
        <v>407.5</v>
      </c>
      <c r="L2100" s="43">
        <v>0.18</v>
      </c>
      <c r="M2100" s="46">
        <f>(Sales[[#This Row],[Gross Amount]]-Sales[[#This Row],[Disc. Amt.]])*Sales[[#This Row],[GST %]]</f>
        <v>1393.6499999999999</v>
      </c>
      <c r="N2100" s="161">
        <f>Sales[[#This Row],[Gross Amount]]-Sales[[#This Row],[Disc. Amt.]]+Sales[[#This Row],[GST Amount]]</f>
        <v>9136.15</v>
      </c>
      <c r="O2100" s="34" t="s">
        <v>3569</v>
      </c>
      <c r="P2100" s="34" t="s">
        <v>1040</v>
      </c>
      <c r="Q2100" s="165">
        <f>IF(Sales[[#This Row],[Status]]="Cancelled",0,Sales[[#This Row],[Qty]])</f>
        <v>0</v>
      </c>
      <c r="R2100" s="166">
        <f>IF(Sales[[#This Row],[Status]]="Cancelled",0,Sales[[#This Row],[Total Amount]])</f>
        <v>0</v>
      </c>
      <c r="S2100" s="162">
        <f>SUM(Sales[Net Amount])</f>
        <v>406839287.73200053</v>
      </c>
    </row>
    <row r="2101" spans="1:19" ht="18.75" x14ac:dyDescent="0.25">
      <c r="A2101" s="156" t="s">
        <v>5721</v>
      </c>
      <c r="B2101" s="157">
        <v>45885</v>
      </c>
      <c r="C2101" s="158" t="s">
        <v>5722</v>
      </c>
      <c r="D2101" s="159" t="str">
        <f>VLOOKUP(Sales[[#This Row],[Customer ID]],Customer[#All],2,0)</f>
        <v>Neha Singh</v>
      </c>
      <c r="E2101" s="158" t="s">
        <v>536</v>
      </c>
      <c r="F2101" s="158" t="str">
        <f>VLOOKUP(Sales[[#This Row],[Product ID]],Product[#All],2,0)</f>
        <v>Logitech Keyboard</v>
      </c>
      <c r="G2101" s="159">
        <v>3</v>
      </c>
      <c r="H2101" s="160">
        <f>VLOOKUP(Sales[[#This Row],[Product ID]],Product[#All],7,0)</f>
        <v>1160</v>
      </c>
      <c r="I2101" s="160">
        <f>Sales[[#This Row],[Selling Rate]]*Sales[[#This Row],[Qty]]</f>
        <v>3480</v>
      </c>
      <c r="J2101" s="43">
        <v>0.05</v>
      </c>
      <c r="K2101" s="44">
        <f>Sales[[#This Row],[Gross Amount]]*Sales[[#This Row],[Disc %]]</f>
        <v>174</v>
      </c>
      <c r="L2101" s="43">
        <v>0.18</v>
      </c>
      <c r="M2101" s="44">
        <f>(Sales[[#This Row],[Gross Amount]]-Sales[[#This Row],[Disc. Amt.]])*Sales[[#This Row],[GST %]]</f>
        <v>595.07999999999993</v>
      </c>
      <c r="N2101" s="161">
        <f>Sales[[#This Row],[Gross Amount]]-Sales[[#This Row],[Disc. Amt.]]+Sales[[#This Row],[GST Amount]]</f>
        <v>3901.08</v>
      </c>
      <c r="O2101" s="158" t="s">
        <v>3566</v>
      </c>
      <c r="P2101" s="158" t="s">
        <v>3562</v>
      </c>
      <c r="Q2101" s="160">
        <f>IF(Sales[[#This Row],[Status]]="Cancelled",0,Sales[[#This Row],[Qty]])</f>
        <v>3</v>
      </c>
      <c r="R2101" s="161">
        <f>IF(Sales[[#This Row],[Status]]="Cancelled",0,Sales[[#This Row],[Total Amount]])</f>
        <v>3901.08</v>
      </c>
      <c r="S2101" s="162">
        <f>SUM(Sales[Net Amount])</f>
        <v>406839287.73200053</v>
      </c>
    </row>
    <row r="2102" spans="1:19" ht="18.75" x14ac:dyDescent="0.25">
      <c r="A2102" s="163" t="s">
        <v>5723</v>
      </c>
      <c r="B2102" s="164">
        <v>45885</v>
      </c>
      <c r="C2102" s="34" t="s">
        <v>891</v>
      </c>
      <c r="D2102" s="53" t="str">
        <f>VLOOKUP(Sales[[#This Row],[Customer ID]],Customer[#All],2,0)</f>
        <v>Pooja Verma</v>
      </c>
      <c r="E2102" s="34" t="s">
        <v>451</v>
      </c>
      <c r="F2102" s="34" t="str">
        <f>VLOOKUP(Sales[[#This Row],[Product ID]],Product[#All],2,0)</f>
        <v>HP Printer</v>
      </c>
      <c r="G2102" s="53">
        <v>6</v>
      </c>
      <c r="H2102" s="165">
        <f>VLOOKUP(Sales[[#This Row],[Product ID]],Product[#All],7,0)</f>
        <v>36160</v>
      </c>
      <c r="I2102" s="165">
        <f>Sales[[#This Row],[Selling Rate]]*Sales[[#This Row],[Qty]]</f>
        <v>216960</v>
      </c>
      <c r="J2102" s="45">
        <v>0.05</v>
      </c>
      <c r="K2102" s="46">
        <f>Sales[[#This Row],[Gross Amount]]*Sales[[#This Row],[Disc %]]</f>
        <v>10848</v>
      </c>
      <c r="L2102" s="43">
        <v>0.18</v>
      </c>
      <c r="M2102" s="46">
        <f>(Sales[[#This Row],[Gross Amount]]-Sales[[#This Row],[Disc. Amt.]])*Sales[[#This Row],[GST %]]</f>
        <v>37100.159999999996</v>
      </c>
      <c r="N2102" s="161">
        <f>Sales[[#This Row],[Gross Amount]]-Sales[[#This Row],[Disc. Amt.]]+Sales[[#This Row],[GST Amount]]</f>
        <v>243212.16</v>
      </c>
      <c r="O2102" s="34" t="s">
        <v>8876</v>
      </c>
      <c r="P2102" s="34" t="s">
        <v>3562</v>
      </c>
      <c r="Q2102" s="165">
        <f>IF(Sales[[#This Row],[Status]]="Cancelled",0,Sales[[#This Row],[Qty]])</f>
        <v>6</v>
      </c>
      <c r="R2102" s="166">
        <f>IF(Sales[[#This Row],[Status]]="Cancelled",0,Sales[[#This Row],[Total Amount]])</f>
        <v>243212.16</v>
      </c>
      <c r="S2102" s="162">
        <f>SUM(Sales[Net Amount])</f>
        <v>406839287.73200053</v>
      </c>
    </row>
    <row r="2103" spans="1:19" ht="18.75" x14ac:dyDescent="0.25">
      <c r="A2103" s="156" t="s">
        <v>5724</v>
      </c>
      <c r="B2103" s="157">
        <v>45885</v>
      </c>
      <c r="C2103" s="158" t="s">
        <v>723</v>
      </c>
      <c r="D2103" s="159" t="str">
        <f>VLOOKUP(Sales[[#This Row],[Customer ID]],Customer[#All],2,0)</f>
        <v>Sahil Gupta</v>
      </c>
      <c r="E2103" s="158" t="s">
        <v>100</v>
      </c>
      <c r="F2103" s="158" t="str">
        <f>VLOOKUP(Sales[[#This Row],[Product ID]],Product[#All],2,0)</f>
        <v>Portronics USB Cable</v>
      </c>
      <c r="G2103" s="159">
        <v>7</v>
      </c>
      <c r="H2103" s="160">
        <f>VLOOKUP(Sales[[#This Row],[Product ID]],Product[#All],7,0)</f>
        <v>210</v>
      </c>
      <c r="I2103" s="160">
        <f>Sales[[#This Row],[Selling Rate]]*Sales[[#This Row],[Qty]]</f>
        <v>1470</v>
      </c>
      <c r="J2103" s="43">
        <v>0.05</v>
      </c>
      <c r="K2103" s="44">
        <f>Sales[[#This Row],[Gross Amount]]*Sales[[#This Row],[Disc %]]</f>
        <v>73.5</v>
      </c>
      <c r="L2103" s="43">
        <v>0.18</v>
      </c>
      <c r="M2103" s="44">
        <f>(Sales[[#This Row],[Gross Amount]]-Sales[[#This Row],[Disc. Amt.]])*Sales[[#This Row],[GST %]]</f>
        <v>251.37</v>
      </c>
      <c r="N2103" s="161">
        <f>Sales[[#This Row],[Gross Amount]]-Sales[[#This Row],[Disc. Amt.]]+Sales[[#This Row],[GST Amount]]</f>
        <v>1647.87</v>
      </c>
      <c r="O2103" s="158" t="s">
        <v>3566</v>
      </c>
      <c r="P2103" s="158" t="s">
        <v>3562</v>
      </c>
      <c r="Q2103" s="160">
        <f>IF(Sales[[#This Row],[Status]]="Cancelled",0,Sales[[#This Row],[Qty]])</f>
        <v>7</v>
      </c>
      <c r="R2103" s="161">
        <f>IF(Sales[[#This Row],[Status]]="Cancelled",0,Sales[[#This Row],[Total Amount]])</f>
        <v>1647.87</v>
      </c>
      <c r="S2103" s="162">
        <f>SUM(Sales[Net Amount])</f>
        <v>406839287.73200053</v>
      </c>
    </row>
    <row r="2104" spans="1:19" ht="18.75" x14ac:dyDescent="0.25">
      <c r="A2104" s="163" t="s">
        <v>5725</v>
      </c>
      <c r="B2104" s="164">
        <v>45885</v>
      </c>
      <c r="C2104" s="34" t="s">
        <v>946</v>
      </c>
      <c r="D2104" s="53" t="str">
        <f>VLOOKUP(Sales[[#This Row],[Customer ID]],Customer[#All],2,0)</f>
        <v>Priya Patel</v>
      </c>
      <c r="E2104" s="34" t="s">
        <v>366</v>
      </c>
      <c r="F2104" s="34" t="str">
        <f>VLOOKUP(Sales[[#This Row],[Product ID]],Product[#All],2,0)</f>
        <v>Samsung Ssd</v>
      </c>
      <c r="G2104" s="53">
        <v>7</v>
      </c>
      <c r="H2104" s="165">
        <f>VLOOKUP(Sales[[#This Row],[Product ID]],Product[#All],7,0)</f>
        <v>5140</v>
      </c>
      <c r="I2104" s="165">
        <f>Sales[[#This Row],[Selling Rate]]*Sales[[#This Row],[Qty]]</f>
        <v>35980</v>
      </c>
      <c r="J2104" s="45">
        <v>0.12</v>
      </c>
      <c r="K2104" s="46">
        <f>Sales[[#This Row],[Gross Amount]]*Sales[[#This Row],[Disc %]]</f>
        <v>4317.5999999999995</v>
      </c>
      <c r="L2104" s="43">
        <v>0.18</v>
      </c>
      <c r="M2104" s="46">
        <f>(Sales[[#This Row],[Gross Amount]]-Sales[[#This Row],[Disc. Amt.]])*Sales[[#This Row],[GST %]]</f>
        <v>5699.232</v>
      </c>
      <c r="N2104" s="161">
        <f>Sales[[#This Row],[Gross Amount]]-Sales[[#This Row],[Disc. Amt.]]+Sales[[#This Row],[GST Amount]]</f>
        <v>37361.631999999998</v>
      </c>
      <c r="O2104" s="34" t="s">
        <v>3566</v>
      </c>
      <c r="P2104" s="34" t="s">
        <v>1040</v>
      </c>
      <c r="Q2104" s="165">
        <f>IF(Sales[[#This Row],[Status]]="Cancelled",0,Sales[[#This Row],[Qty]])</f>
        <v>0</v>
      </c>
      <c r="R2104" s="166">
        <f>IF(Sales[[#This Row],[Status]]="Cancelled",0,Sales[[#This Row],[Total Amount]])</f>
        <v>0</v>
      </c>
      <c r="S2104" s="162">
        <f>SUM(Sales[Net Amount])</f>
        <v>406839287.73200053</v>
      </c>
    </row>
    <row r="2105" spans="1:19" ht="18.75" x14ac:dyDescent="0.25">
      <c r="A2105" s="156" t="s">
        <v>5726</v>
      </c>
      <c r="B2105" s="157">
        <v>45885</v>
      </c>
      <c r="C2105" s="158" t="s">
        <v>793</v>
      </c>
      <c r="D2105" s="159" t="str">
        <f>VLOOKUP(Sales[[#This Row],[Customer ID]],Customer[#All],2,0)</f>
        <v>Neha Verma</v>
      </c>
      <c r="E2105" s="158" t="s">
        <v>453</v>
      </c>
      <c r="F2105" s="158" t="str">
        <f>VLOOKUP(Sales[[#This Row],[Product ID]],Product[#All],2,0)</f>
        <v>American TouristerLaptopBag</v>
      </c>
      <c r="G2105" s="159">
        <v>6</v>
      </c>
      <c r="H2105" s="160">
        <f>VLOOKUP(Sales[[#This Row],[Product ID]],Product[#All],7,0)</f>
        <v>3050</v>
      </c>
      <c r="I2105" s="160">
        <f>Sales[[#This Row],[Selling Rate]]*Sales[[#This Row],[Qty]]</f>
        <v>18300</v>
      </c>
      <c r="J2105" s="43">
        <v>0</v>
      </c>
      <c r="K2105" s="44">
        <f>Sales[[#This Row],[Gross Amount]]*Sales[[#This Row],[Disc %]]</f>
        <v>0</v>
      </c>
      <c r="L2105" s="43">
        <v>0.18</v>
      </c>
      <c r="M2105" s="44">
        <f>(Sales[[#This Row],[Gross Amount]]-Sales[[#This Row],[Disc. Amt.]])*Sales[[#This Row],[GST %]]</f>
        <v>3294</v>
      </c>
      <c r="N2105" s="161">
        <f>Sales[[#This Row],[Gross Amount]]-Sales[[#This Row],[Disc. Amt.]]+Sales[[#This Row],[GST Amount]]</f>
        <v>21594</v>
      </c>
      <c r="O2105" s="158" t="s">
        <v>3566</v>
      </c>
      <c r="P2105" s="158" t="s">
        <v>3562</v>
      </c>
      <c r="Q2105" s="160">
        <f>IF(Sales[[#This Row],[Status]]="Cancelled",0,Sales[[#This Row],[Qty]])</f>
        <v>6</v>
      </c>
      <c r="R2105" s="161">
        <f>IF(Sales[[#This Row],[Status]]="Cancelled",0,Sales[[#This Row],[Total Amount]])</f>
        <v>21594</v>
      </c>
      <c r="S2105" s="162">
        <f>SUM(Sales[Net Amount])</f>
        <v>406839287.73200053</v>
      </c>
    </row>
    <row r="2106" spans="1:19" ht="18.75" x14ac:dyDescent="0.25">
      <c r="A2106" s="163" t="s">
        <v>5727</v>
      </c>
      <c r="B2106" s="164">
        <v>45885</v>
      </c>
      <c r="C2106" s="34" t="s">
        <v>738</v>
      </c>
      <c r="D2106" s="53" t="str">
        <f>VLOOKUP(Sales[[#This Row],[Customer ID]],Customer[#All],2,0)</f>
        <v>Pooja Patel</v>
      </c>
      <c r="E2106" s="34" t="s">
        <v>255</v>
      </c>
      <c r="F2106" s="34" t="str">
        <f>VLOOKUP(Sales[[#This Row],[Product ID]],Product[#All],2,0)</f>
        <v>Acer Laptop</v>
      </c>
      <c r="G2106" s="53">
        <v>8</v>
      </c>
      <c r="H2106" s="165">
        <f>VLOOKUP(Sales[[#This Row],[Product ID]],Product[#All],7,0)</f>
        <v>62430</v>
      </c>
      <c r="I2106" s="165">
        <f>Sales[[#This Row],[Selling Rate]]*Sales[[#This Row],[Qty]]</f>
        <v>499440</v>
      </c>
      <c r="J2106" s="45">
        <v>0</v>
      </c>
      <c r="K2106" s="46">
        <f>Sales[[#This Row],[Gross Amount]]*Sales[[#This Row],[Disc %]]</f>
        <v>0</v>
      </c>
      <c r="L2106" s="43">
        <v>0.18</v>
      </c>
      <c r="M2106" s="46">
        <f>(Sales[[#This Row],[Gross Amount]]-Sales[[#This Row],[Disc. Amt.]])*Sales[[#This Row],[GST %]]</f>
        <v>89899.199999999997</v>
      </c>
      <c r="N2106" s="161">
        <f>Sales[[#This Row],[Gross Amount]]-Sales[[#This Row],[Disc. Amt.]]+Sales[[#This Row],[GST Amount]]</f>
        <v>589339.19999999995</v>
      </c>
      <c r="O2106" s="34" t="s">
        <v>3569</v>
      </c>
      <c r="P2106" s="34" t="s">
        <v>1040</v>
      </c>
      <c r="Q2106" s="165">
        <f>IF(Sales[[#This Row],[Status]]="Cancelled",0,Sales[[#This Row],[Qty]])</f>
        <v>0</v>
      </c>
      <c r="R2106" s="166">
        <f>IF(Sales[[#This Row],[Status]]="Cancelled",0,Sales[[#This Row],[Total Amount]])</f>
        <v>0</v>
      </c>
      <c r="S2106" s="162">
        <f>SUM(Sales[Net Amount])</f>
        <v>406839287.73200053</v>
      </c>
    </row>
    <row r="2107" spans="1:19" ht="18.75" x14ac:dyDescent="0.25">
      <c r="A2107" s="156" t="s">
        <v>5728</v>
      </c>
      <c r="B2107" s="157">
        <v>45885</v>
      </c>
      <c r="C2107" s="158" t="s">
        <v>751</v>
      </c>
      <c r="D2107" s="159" t="str">
        <f>VLOOKUP(Sales[[#This Row],[Customer ID]],Customer[#All],2,0)</f>
        <v>Ankit Verma</v>
      </c>
      <c r="E2107" s="158" t="s">
        <v>501</v>
      </c>
      <c r="F2107" s="158" t="str">
        <f>VLOOKUP(Sales[[#This Row],[Product ID]],Product[#All],2,0)</f>
        <v>Samsung Ssd</v>
      </c>
      <c r="G2107" s="159">
        <v>1</v>
      </c>
      <c r="H2107" s="160">
        <f>VLOOKUP(Sales[[#This Row],[Product ID]],Product[#All],7,0)</f>
        <v>4260</v>
      </c>
      <c r="I2107" s="160">
        <f>Sales[[#This Row],[Selling Rate]]*Sales[[#This Row],[Qty]]</f>
        <v>4260</v>
      </c>
      <c r="J2107" s="43">
        <v>0.1</v>
      </c>
      <c r="K2107" s="44">
        <f>Sales[[#This Row],[Gross Amount]]*Sales[[#This Row],[Disc %]]</f>
        <v>426</v>
      </c>
      <c r="L2107" s="43">
        <v>0.18</v>
      </c>
      <c r="M2107" s="44">
        <f>(Sales[[#This Row],[Gross Amount]]-Sales[[#This Row],[Disc. Amt.]])*Sales[[#This Row],[GST %]]</f>
        <v>690.12</v>
      </c>
      <c r="N2107" s="161">
        <f>Sales[[#This Row],[Gross Amount]]-Sales[[#This Row],[Disc. Amt.]]+Sales[[#This Row],[GST Amount]]</f>
        <v>4524.12</v>
      </c>
      <c r="O2107" s="158" t="s">
        <v>8876</v>
      </c>
      <c r="P2107" s="158" t="s">
        <v>3562</v>
      </c>
      <c r="Q2107" s="160">
        <f>IF(Sales[[#This Row],[Status]]="Cancelled",0,Sales[[#This Row],[Qty]])</f>
        <v>1</v>
      </c>
      <c r="R2107" s="161">
        <f>IF(Sales[[#This Row],[Status]]="Cancelled",0,Sales[[#This Row],[Total Amount]])</f>
        <v>4524.12</v>
      </c>
      <c r="S2107" s="162">
        <f>SUM(Sales[Net Amount])</f>
        <v>406839287.73200053</v>
      </c>
    </row>
    <row r="2108" spans="1:19" ht="18.75" x14ac:dyDescent="0.25">
      <c r="A2108" s="163" t="s">
        <v>5729</v>
      </c>
      <c r="B2108" s="164">
        <v>45885</v>
      </c>
      <c r="C2108" s="34" t="s">
        <v>747</v>
      </c>
      <c r="D2108" s="53" t="str">
        <f>VLOOKUP(Sales[[#This Row],[Customer ID]],Customer[#All],2,0)</f>
        <v>Sunita Gupta</v>
      </c>
      <c r="E2108" s="34" t="s">
        <v>232</v>
      </c>
      <c r="F2108" s="34" t="str">
        <f>VLOOKUP(Sales[[#This Row],[Product ID]],Product[#All],2,0)</f>
        <v>HP Printer</v>
      </c>
      <c r="G2108" s="53">
        <v>2</v>
      </c>
      <c r="H2108" s="165">
        <f>VLOOKUP(Sales[[#This Row],[Product ID]],Product[#All],7,0)</f>
        <v>35700</v>
      </c>
      <c r="I2108" s="165">
        <f>Sales[[#This Row],[Selling Rate]]*Sales[[#This Row],[Qty]]</f>
        <v>71400</v>
      </c>
      <c r="J2108" s="45">
        <v>0.1</v>
      </c>
      <c r="K2108" s="46">
        <f>Sales[[#This Row],[Gross Amount]]*Sales[[#This Row],[Disc %]]</f>
        <v>7140</v>
      </c>
      <c r="L2108" s="43">
        <v>0.18</v>
      </c>
      <c r="M2108" s="46">
        <f>(Sales[[#This Row],[Gross Amount]]-Sales[[#This Row],[Disc. Amt.]])*Sales[[#This Row],[GST %]]</f>
        <v>11566.8</v>
      </c>
      <c r="N2108" s="161">
        <f>Sales[[#This Row],[Gross Amount]]-Sales[[#This Row],[Disc. Amt.]]+Sales[[#This Row],[GST Amount]]</f>
        <v>75826.8</v>
      </c>
      <c r="O2108" s="34" t="s">
        <v>3561</v>
      </c>
      <c r="P2108" s="34" t="s">
        <v>3562</v>
      </c>
      <c r="Q2108" s="165">
        <f>IF(Sales[[#This Row],[Status]]="Cancelled",0,Sales[[#This Row],[Qty]])</f>
        <v>2</v>
      </c>
      <c r="R2108" s="166">
        <f>IF(Sales[[#This Row],[Status]]="Cancelled",0,Sales[[#This Row],[Total Amount]])</f>
        <v>75826.8</v>
      </c>
      <c r="S2108" s="162">
        <f>SUM(Sales[Net Amount])</f>
        <v>406839287.73200053</v>
      </c>
    </row>
    <row r="2109" spans="1:19" ht="18.75" x14ac:dyDescent="0.25">
      <c r="A2109" s="156" t="s">
        <v>5730</v>
      </c>
      <c r="B2109" s="157">
        <v>45885</v>
      </c>
      <c r="C2109" s="158" t="s">
        <v>678</v>
      </c>
      <c r="D2109" s="159" t="str">
        <f>VLOOKUP(Sales[[#This Row],[Customer ID]],Customer[#All],2,0)</f>
        <v>Ankit Gupta</v>
      </c>
      <c r="E2109" s="158" t="s">
        <v>132</v>
      </c>
      <c r="F2109" s="158" t="str">
        <f>VLOOKUP(Sales[[#This Row],[Product ID]],Product[#All],2,0)</f>
        <v>Jbl Headset</v>
      </c>
      <c r="G2109" s="159">
        <v>7</v>
      </c>
      <c r="H2109" s="160">
        <f>VLOOKUP(Sales[[#This Row],[Product ID]],Product[#All],7,0)</f>
        <v>7470</v>
      </c>
      <c r="I2109" s="160">
        <f>Sales[[#This Row],[Selling Rate]]*Sales[[#This Row],[Qty]]</f>
        <v>52290</v>
      </c>
      <c r="J2109" s="43">
        <v>0.12</v>
      </c>
      <c r="K2109" s="44">
        <f>Sales[[#This Row],[Gross Amount]]*Sales[[#This Row],[Disc %]]</f>
        <v>6274.8</v>
      </c>
      <c r="L2109" s="43">
        <v>0.18</v>
      </c>
      <c r="M2109" s="44">
        <f>(Sales[[#This Row],[Gross Amount]]-Sales[[#This Row],[Disc. Amt.]])*Sales[[#This Row],[GST %]]</f>
        <v>8282.735999999999</v>
      </c>
      <c r="N2109" s="161">
        <f>Sales[[#This Row],[Gross Amount]]-Sales[[#This Row],[Disc. Amt.]]+Sales[[#This Row],[GST Amount]]</f>
        <v>54297.935999999994</v>
      </c>
      <c r="O2109" s="158" t="s">
        <v>3566</v>
      </c>
      <c r="P2109" s="158" t="s">
        <v>1040</v>
      </c>
      <c r="Q2109" s="160">
        <f>IF(Sales[[#This Row],[Status]]="Cancelled",0,Sales[[#This Row],[Qty]])</f>
        <v>0</v>
      </c>
      <c r="R2109" s="161">
        <f>IF(Sales[[#This Row],[Status]]="Cancelled",0,Sales[[#This Row],[Total Amount]])</f>
        <v>0</v>
      </c>
      <c r="S2109" s="162">
        <f>SUM(Sales[Net Amount])</f>
        <v>406839287.73200053</v>
      </c>
    </row>
    <row r="2110" spans="1:19" ht="18.75" x14ac:dyDescent="0.25">
      <c r="A2110" s="163" t="s">
        <v>5731</v>
      </c>
      <c r="B2110" s="164">
        <v>45885</v>
      </c>
      <c r="C2110" s="34" t="s">
        <v>748</v>
      </c>
      <c r="D2110" s="53" t="str">
        <f>VLOOKUP(Sales[[#This Row],[Customer ID]],Customer[#All],2,0)</f>
        <v>Priya Singh</v>
      </c>
      <c r="E2110" s="34" t="s">
        <v>486</v>
      </c>
      <c r="F2110" s="34" t="str">
        <f>VLOOKUP(Sales[[#This Row],[Product ID]],Product[#All],2,0)</f>
        <v>Logitech Mouse</v>
      </c>
      <c r="G2110" s="53">
        <v>5</v>
      </c>
      <c r="H2110" s="165">
        <f>VLOOKUP(Sales[[#This Row],[Product ID]],Product[#All],7,0)</f>
        <v>1650</v>
      </c>
      <c r="I2110" s="165">
        <f>Sales[[#This Row],[Selling Rate]]*Sales[[#This Row],[Qty]]</f>
        <v>8250</v>
      </c>
      <c r="J2110" s="45">
        <v>0.05</v>
      </c>
      <c r="K2110" s="46">
        <f>Sales[[#This Row],[Gross Amount]]*Sales[[#This Row],[Disc %]]</f>
        <v>412.5</v>
      </c>
      <c r="L2110" s="43">
        <v>0.18</v>
      </c>
      <c r="M2110" s="46">
        <f>(Sales[[#This Row],[Gross Amount]]-Sales[[#This Row],[Disc. Amt.]])*Sales[[#This Row],[GST %]]</f>
        <v>1410.75</v>
      </c>
      <c r="N2110" s="161">
        <f>Sales[[#This Row],[Gross Amount]]-Sales[[#This Row],[Disc. Amt.]]+Sales[[#This Row],[GST Amount]]</f>
        <v>9248.25</v>
      </c>
      <c r="O2110" s="34" t="s">
        <v>8876</v>
      </c>
      <c r="P2110" s="34" t="s">
        <v>3562</v>
      </c>
      <c r="Q2110" s="165">
        <f>IF(Sales[[#This Row],[Status]]="Cancelled",0,Sales[[#This Row],[Qty]])</f>
        <v>5</v>
      </c>
      <c r="R2110" s="166">
        <f>IF(Sales[[#This Row],[Status]]="Cancelled",0,Sales[[#This Row],[Total Amount]])</f>
        <v>9248.25</v>
      </c>
      <c r="S2110" s="162">
        <f>SUM(Sales[Net Amount])</f>
        <v>406839287.73200053</v>
      </c>
    </row>
    <row r="2111" spans="1:19" ht="18.75" x14ac:dyDescent="0.25">
      <c r="A2111" s="156" t="s">
        <v>5732</v>
      </c>
      <c r="B2111" s="157">
        <v>45885</v>
      </c>
      <c r="C2111" s="158" t="s">
        <v>825</v>
      </c>
      <c r="D2111" s="159" t="str">
        <f>VLOOKUP(Sales[[#This Row],[Customer ID]],Customer[#All],2,0)</f>
        <v>Rahul Kumar</v>
      </c>
      <c r="E2111" s="158" t="s">
        <v>237</v>
      </c>
      <c r="F2111" s="158" t="str">
        <f>VLOOKUP(Sales[[#This Row],[Product ID]],Product[#All],2,0)</f>
        <v>Jbl Headset</v>
      </c>
      <c r="G2111" s="159">
        <v>8</v>
      </c>
      <c r="H2111" s="160">
        <f>VLOOKUP(Sales[[#This Row],[Product ID]],Product[#All],7,0)</f>
        <v>5520</v>
      </c>
      <c r="I2111" s="160">
        <f>Sales[[#This Row],[Selling Rate]]*Sales[[#This Row],[Qty]]</f>
        <v>44160</v>
      </c>
      <c r="J2111" s="43">
        <v>0.05</v>
      </c>
      <c r="K2111" s="44">
        <f>Sales[[#This Row],[Gross Amount]]*Sales[[#This Row],[Disc %]]</f>
        <v>2208</v>
      </c>
      <c r="L2111" s="43">
        <v>0.18</v>
      </c>
      <c r="M2111" s="44">
        <f>(Sales[[#This Row],[Gross Amount]]-Sales[[#This Row],[Disc. Amt.]])*Sales[[#This Row],[GST %]]</f>
        <v>7551.36</v>
      </c>
      <c r="N2111" s="161">
        <f>Sales[[#This Row],[Gross Amount]]-Sales[[#This Row],[Disc. Amt.]]+Sales[[#This Row],[GST Amount]]</f>
        <v>49503.360000000001</v>
      </c>
      <c r="O2111" s="158" t="s">
        <v>3561</v>
      </c>
      <c r="P2111" s="158" t="s">
        <v>3562</v>
      </c>
      <c r="Q2111" s="160">
        <f>IF(Sales[[#This Row],[Status]]="Cancelled",0,Sales[[#This Row],[Qty]])</f>
        <v>8</v>
      </c>
      <c r="R2111" s="161">
        <f>IF(Sales[[#This Row],[Status]]="Cancelled",0,Sales[[#This Row],[Total Amount]])</f>
        <v>49503.360000000001</v>
      </c>
      <c r="S2111" s="162">
        <f>SUM(Sales[Net Amount])</f>
        <v>406839287.73200053</v>
      </c>
    </row>
    <row r="2112" spans="1:19" ht="18.75" x14ac:dyDescent="0.25">
      <c r="A2112" s="163" t="s">
        <v>5733</v>
      </c>
      <c r="B2112" s="164">
        <v>45885</v>
      </c>
      <c r="C2112" s="34" t="s">
        <v>841</v>
      </c>
      <c r="D2112" s="53" t="str">
        <f>VLOOKUP(Sales[[#This Row],[Customer ID]],Customer[#All],2,0)</f>
        <v>Pooja Verma</v>
      </c>
      <c r="E2112" s="34" t="s">
        <v>352</v>
      </c>
      <c r="F2112" s="34" t="str">
        <f>VLOOKUP(Sales[[#This Row],[Product ID]],Product[#All],2,0)</f>
        <v>Seagate HDD</v>
      </c>
      <c r="G2112" s="53">
        <v>4</v>
      </c>
      <c r="H2112" s="165">
        <f>VLOOKUP(Sales[[#This Row],[Product ID]],Product[#All],7,0)</f>
        <v>13350</v>
      </c>
      <c r="I2112" s="165">
        <f>Sales[[#This Row],[Selling Rate]]*Sales[[#This Row],[Qty]]</f>
        <v>53400</v>
      </c>
      <c r="J2112" s="45">
        <v>0</v>
      </c>
      <c r="K2112" s="46">
        <f>Sales[[#This Row],[Gross Amount]]*Sales[[#This Row],[Disc %]]</f>
        <v>0</v>
      </c>
      <c r="L2112" s="43">
        <v>0.18</v>
      </c>
      <c r="M2112" s="46">
        <f>(Sales[[#This Row],[Gross Amount]]-Sales[[#This Row],[Disc. Amt.]])*Sales[[#This Row],[GST %]]</f>
        <v>9612</v>
      </c>
      <c r="N2112" s="161">
        <f>Sales[[#This Row],[Gross Amount]]-Sales[[#This Row],[Disc. Amt.]]+Sales[[#This Row],[GST Amount]]</f>
        <v>63012</v>
      </c>
      <c r="O2112" s="34" t="s">
        <v>8876</v>
      </c>
      <c r="P2112" s="34" t="s">
        <v>3562</v>
      </c>
      <c r="Q2112" s="165">
        <f>IF(Sales[[#This Row],[Status]]="Cancelled",0,Sales[[#This Row],[Qty]])</f>
        <v>4</v>
      </c>
      <c r="R2112" s="166">
        <f>IF(Sales[[#This Row],[Status]]="Cancelled",0,Sales[[#This Row],[Total Amount]])</f>
        <v>63012</v>
      </c>
      <c r="S2112" s="162">
        <f>SUM(Sales[Net Amount])</f>
        <v>406839287.73200053</v>
      </c>
    </row>
    <row r="2113" spans="1:19" ht="18.75" x14ac:dyDescent="0.25">
      <c r="A2113" s="156" t="s">
        <v>5734</v>
      </c>
      <c r="B2113" s="157">
        <v>45885</v>
      </c>
      <c r="C2113" s="158" t="s">
        <v>727</v>
      </c>
      <c r="D2113" s="159" t="str">
        <f>VLOOKUP(Sales[[#This Row],[Customer ID]],Customer[#All],2,0)</f>
        <v>Sahil Sharma</v>
      </c>
      <c r="E2113" s="158" t="s">
        <v>224</v>
      </c>
      <c r="F2113" s="158" t="str">
        <f>VLOOKUP(Sales[[#This Row],[Product ID]],Product[#All],2,0)</f>
        <v>Seagate HDD</v>
      </c>
      <c r="G2113" s="159">
        <v>8</v>
      </c>
      <c r="H2113" s="160">
        <f>VLOOKUP(Sales[[#This Row],[Product ID]],Product[#All],7,0)</f>
        <v>8130</v>
      </c>
      <c r="I2113" s="160">
        <f>Sales[[#This Row],[Selling Rate]]*Sales[[#This Row],[Qty]]</f>
        <v>65040</v>
      </c>
      <c r="J2113" s="43">
        <v>0.12</v>
      </c>
      <c r="K2113" s="44">
        <f>Sales[[#This Row],[Gross Amount]]*Sales[[#This Row],[Disc %]]</f>
        <v>7804.7999999999993</v>
      </c>
      <c r="L2113" s="43">
        <v>0.18</v>
      </c>
      <c r="M2113" s="44">
        <f>(Sales[[#This Row],[Gross Amount]]-Sales[[#This Row],[Disc. Amt.]])*Sales[[#This Row],[GST %]]</f>
        <v>10302.335999999999</v>
      </c>
      <c r="N2113" s="161">
        <f>Sales[[#This Row],[Gross Amount]]-Sales[[#This Row],[Disc. Amt.]]+Sales[[#This Row],[GST Amount]]</f>
        <v>67537.535999999993</v>
      </c>
      <c r="O2113" s="158" t="s">
        <v>3569</v>
      </c>
      <c r="P2113" s="158" t="s">
        <v>1040</v>
      </c>
      <c r="Q2113" s="160">
        <f>IF(Sales[[#This Row],[Status]]="Cancelled",0,Sales[[#This Row],[Qty]])</f>
        <v>0</v>
      </c>
      <c r="R2113" s="161">
        <f>IF(Sales[[#This Row],[Status]]="Cancelled",0,Sales[[#This Row],[Total Amount]])</f>
        <v>0</v>
      </c>
      <c r="S2113" s="162">
        <f>SUM(Sales[Net Amount])</f>
        <v>406839287.73200053</v>
      </c>
    </row>
    <row r="2114" spans="1:19" ht="18.75" x14ac:dyDescent="0.25">
      <c r="A2114" s="163" t="s">
        <v>5735</v>
      </c>
      <c r="B2114" s="164">
        <v>45885</v>
      </c>
      <c r="C2114" s="34" t="s">
        <v>690</v>
      </c>
      <c r="D2114" s="53" t="str">
        <f>VLOOKUP(Sales[[#This Row],[Customer ID]],Customer[#All],2,0)</f>
        <v>Priya Patel</v>
      </c>
      <c r="E2114" s="34" t="s">
        <v>544</v>
      </c>
      <c r="F2114" s="34" t="str">
        <f>VLOOKUP(Sales[[#This Row],[Product ID]],Product[#All],2,0)</f>
        <v>HP Printer</v>
      </c>
      <c r="G2114" s="53">
        <v>2</v>
      </c>
      <c r="H2114" s="165">
        <f>VLOOKUP(Sales[[#This Row],[Product ID]],Product[#All],7,0)</f>
        <v>18010</v>
      </c>
      <c r="I2114" s="165">
        <f>Sales[[#This Row],[Selling Rate]]*Sales[[#This Row],[Qty]]</f>
        <v>36020</v>
      </c>
      <c r="J2114" s="45">
        <v>0</v>
      </c>
      <c r="K2114" s="46">
        <f>Sales[[#This Row],[Gross Amount]]*Sales[[#This Row],[Disc %]]</f>
        <v>0</v>
      </c>
      <c r="L2114" s="43">
        <v>0.18</v>
      </c>
      <c r="M2114" s="46">
        <f>(Sales[[#This Row],[Gross Amount]]-Sales[[#This Row],[Disc. Amt.]])*Sales[[#This Row],[GST %]]</f>
        <v>6483.5999999999995</v>
      </c>
      <c r="N2114" s="161">
        <f>Sales[[#This Row],[Gross Amount]]-Sales[[#This Row],[Disc. Amt.]]+Sales[[#This Row],[GST Amount]]</f>
        <v>42503.6</v>
      </c>
      <c r="O2114" s="34" t="s">
        <v>3561</v>
      </c>
      <c r="P2114" s="34" t="s">
        <v>3562</v>
      </c>
      <c r="Q2114" s="165">
        <f>IF(Sales[[#This Row],[Status]]="Cancelled",0,Sales[[#This Row],[Qty]])</f>
        <v>2</v>
      </c>
      <c r="R2114" s="166">
        <f>IF(Sales[[#This Row],[Status]]="Cancelled",0,Sales[[#This Row],[Total Amount]])</f>
        <v>42503.6</v>
      </c>
      <c r="S2114" s="162">
        <f>SUM(Sales[Net Amount])</f>
        <v>406839287.73200053</v>
      </c>
    </row>
    <row r="2115" spans="1:19" ht="18.75" x14ac:dyDescent="0.25">
      <c r="A2115" s="156" t="s">
        <v>5736</v>
      </c>
      <c r="B2115" s="157">
        <v>45885</v>
      </c>
      <c r="C2115" s="158" t="s">
        <v>683</v>
      </c>
      <c r="D2115" s="159" t="str">
        <f>VLOOKUP(Sales[[#This Row],[Customer ID]],Customer[#All],2,0)</f>
        <v>Rahul Kumar</v>
      </c>
      <c r="E2115" s="158" t="s">
        <v>64</v>
      </c>
      <c r="F2115" s="158" t="str">
        <f>VLOOKUP(Sales[[#This Row],[Product ID]],Product[#All],2,0)</f>
        <v>Jbl Headset</v>
      </c>
      <c r="G2115" s="159">
        <v>1</v>
      </c>
      <c r="H2115" s="160">
        <f>VLOOKUP(Sales[[#This Row],[Product ID]],Product[#All],7,0)</f>
        <v>930</v>
      </c>
      <c r="I2115" s="160">
        <f>Sales[[#This Row],[Selling Rate]]*Sales[[#This Row],[Qty]]</f>
        <v>930</v>
      </c>
      <c r="J2115" s="43">
        <v>0</v>
      </c>
      <c r="K2115" s="44">
        <f>Sales[[#This Row],[Gross Amount]]*Sales[[#This Row],[Disc %]]</f>
        <v>0</v>
      </c>
      <c r="L2115" s="43">
        <v>0.18</v>
      </c>
      <c r="M2115" s="44">
        <f>(Sales[[#This Row],[Gross Amount]]-Sales[[#This Row],[Disc. Amt.]])*Sales[[#This Row],[GST %]]</f>
        <v>167.4</v>
      </c>
      <c r="N2115" s="161">
        <f>Sales[[#This Row],[Gross Amount]]-Sales[[#This Row],[Disc. Amt.]]+Sales[[#This Row],[GST Amount]]</f>
        <v>1097.4000000000001</v>
      </c>
      <c r="O2115" s="158" t="s">
        <v>3561</v>
      </c>
      <c r="P2115" s="158" t="s">
        <v>3562</v>
      </c>
      <c r="Q2115" s="160">
        <f>IF(Sales[[#This Row],[Status]]="Cancelled",0,Sales[[#This Row],[Qty]])</f>
        <v>1</v>
      </c>
      <c r="R2115" s="161">
        <f>IF(Sales[[#This Row],[Status]]="Cancelled",0,Sales[[#This Row],[Total Amount]])</f>
        <v>1097.4000000000001</v>
      </c>
      <c r="S2115" s="162">
        <f>SUM(Sales[Net Amount])</f>
        <v>406839287.73200053</v>
      </c>
    </row>
    <row r="2116" spans="1:19" ht="18.75" x14ac:dyDescent="0.25">
      <c r="A2116" s="163" t="s">
        <v>5737</v>
      </c>
      <c r="B2116" s="164">
        <v>45885</v>
      </c>
      <c r="C2116" s="34" t="s">
        <v>656</v>
      </c>
      <c r="D2116" s="53" t="str">
        <f>VLOOKUP(Sales[[#This Row],[Customer ID]],Customer[#All],2,0)</f>
        <v>Rahul Kumar</v>
      </c>
      <c r="E2116" s="34" t="s">
        <v>28</v>
      </c>
      <c r="F2116" s="34" t="str">
        <f>VLOOKUP(Sales[[#This Row],[Product ID]],Product[#All],2,0)</f>
        <v>Lenovo Laptop</v>
      </c>
      <c r="G2116" s="53">
        <v>6</v>
      </c>
      <c r="H2116" s="165">
        <f>VLOOKUP(Sales[[#This Row],[Product ID]],Product[#All],7,0)</f>
        <v>86330</v>
      </c>
      <c r="I2116" s="165">
        <f>Sales[[#This Row],[Selling Rate]]*Sales[[#This Row],[Qty]]</f>
        <v>517980</v>
      </c>
      <c r="J2116" s="45">
        <v>0.05</v>
      </c>
      <c r="K2116" s="46">
        <f>Sales[[#This Row],[Gross Amount]]*Sales[[#This Row],[Disc %]]</f>
        <v>25899</v>
      </c>
      <c r="L2116" s="43">
        <v>0.18</v>
      </c>
      <c r="M2116" s="46">
        <f>(Sales[[#This Row],[Gross Amount]]-Sales[[#This Row],[Disc. Amt.]])*Sales[[#This Row],[GST %]]</f>
        <v>88574.58</v>
      </c>
      <c r="N2116" s="161">
        <f>Sales[[#This Row],[Gross Amount]]-Sales[[#This Row],[Disc. Amt.]]+Sales[[#This Row],[GST Amount]]</f>
        <v>580655.57999999996</v>
      </c>
      <c r="O2116" s="34" t="s">
        <v>3566</v>
      </c>
      <c r="P2116" s="34" t="s">
        <v>3562</v>
      </c>
      <c r="Q2116" s="165">
        <f>IF(Sales[[#This Row],[Status]]="Cancelled",0,Sales[[#This Row],[Qty]])</f>
        <v>6</v>
      </c>
      <c r="R2116" s="166">
        <f>IF(Sales[[#This Row],[Status]]="Cancelled",0,Sales[[#This Row],[Total Amount]])</f>
        <v>580655.57999999996</v>
      </c>
      <c r="S2116" s="162">
        <f>SUM(Sales[Net Amount])</f>
        <v>406839287.73200053</v>
      </c>
    </row>
    <row r="2117" spans="1:19" ht="18.75" x14ac:dyDescent="0.25">
      <c r="A2117" s="156" t="s">
        <v>5738</v>
      </c>
      <c r="B2117" s="157">
        <v>45885</v>
      </c>
      <c r="C2117" s="158" t="s">
        <v>666</v>
      </c>
      <c r="D2117" s="159" t="str">
        <f>VLOOKUP(Sales[[#This Row],[Customer ID]],Customer[#All],2,0)</f>
        <v>Sahil Gupta</v>
      </c>
      <c r="E2117" s="158" t="s">
        <v>125</v>
      </c>
      <c r="F2117" s="158" t="str">
        <f>VLOOKUP(Sales[[#This Row],[Product ID]],Product[#All],2,0)</f>
        <v>HP Printer</v>
      </c>
      <c r="G2117" s="159">
        <v>2</v>
      </c>
      <c r="H2117" s="160">
        <f>VLOOKUP(Sales[[#This Row],[Product ID]],Product[#All],7,0)</f>
        <v>41620</v>
      </c>
      <c r="I2117" s="160">
        <f>Sales[[#This Row],[Selling Rate]]*Sales[[#This Row],[Qty]]</f>
        <v>83240</v>
      </c>
      <c r="J2117" s="43">
        <v>0.05</v>
      </c>
      <c r="K2117" s="44">
        <f>Sales[[#This Row],[Gross Amount]]*Sales[[#This Row],[Disc %]]</f>
        <v>4162</v>
      </c>
      <c r="L2117" s="43">
        <v>0.18</v>
      </c>
      <c r="M2117" s="44">
        <f>(Sales[[#This Row],[Gross Amount]]-Sales[[#This Row],[Disc. Amt.]])*Sales[[#This Row],[GST %]]</f>
        <v>14234.039999999999</v>
      </c>
      <c r="N2117" s="161">
        <f>Sales[[#This Row],[Gross Amount]]-Sales[[#This Row],[Disc. Amt.]]+Sales[[#This Row],[GST Amount]]</f>
        <v>93312.04</v>
      </c>
      <c r="O2117" s="158" t="s">
        <v>3561</v>
      </c>
      <c r="P2117" s="158" t="s">
        <v>3562</v>
      </c>
      <c r="Q2117" s="160">
        <f>IF(Sales[[#This Row],[Status]]="Cancelled",0,Sales[[#This Row],[Qty]])</f>
        <v>2</v>
      </c>
      <c r="R2117" s="161">
        <f>IF(Sales[[#This Row],[Status]]="Cancelled",0,Sales[[#This Row],[Total Amount]])</f>
        <v>93312.04</v>
      </c>
      <c r="S2117" s="162">
        <f>SUM(Sales[Net Amount])</f>
        <v>406839287.73200053</v>
      </c>
    </row>
    <row r="2118" spans="1:19" ht="18.75" x14ac:dyDescent="0.25">
      <c r="A2118" s="163" t="s">
        <v>5739</v>
      </c>
      <c r="B2118" s="164">
        <v>45886</v>
      </c>
      <c r="C2118" s="34" t="s">
        <v>918</v>
      </c>
      <c r="D2118" s="53" t="str">
        <f>VLOOKUP(Sales[[#This Row],[Customer ID]],Customer[#All],2,0)</f>
        <v>Pooja Patel</v>
      </c>
      <c r="E2118" s="34" t="s">
        <v>206</v>
      </c>
      <c r="F2118" s="34" t="str">
        <f>VLOOKUP(Sales[[#This Row],[Product ID]],Product[#All],2,0)</f>
        <v>Dell Power Adapter</v>
      </c>
      <c r="G2118" s="53">
        <v>6</v>
      </c>
      <c r="H2118" s="165">
        <f>VLOOKUP(Sales[[#This Row],[Product ID]],Product[#All],7,0)</f>
        <v>2490</v>
      </c>
      <c r="I2118" s="165">
        <f>Sales[[#This Row],[Selling Rate]]*Sales[[#This Row],[Qty]]</f>
        <v>14940</v>
      </c>
      <c r="J2118" s="45">
        <v>0</v>
      </c>
      <c r="K2118" s="46">
        <f>Sales[[#This Row],[Gross Amount]]*Sales[[#This Row],[Disc %]]</f>
        <v>0</v>
      </c>
      <c r="L2118" s="43">
        <v>0.18</v>
      </c>
      <c r="M2118" s="46">
        <f>(Sales[[#This Row],[Gross Amount]]-Sales[[#This Row],[Disc. Amt.]])*Sales[[#This Row],[GST %]]</f>
        <v>2689.2</v>
      </c>
      <c r="N2118" s="161">
        <f>Sales[[#This Row],[Gross Amount]]-Sales[[#This Row],[Disc. Amt.]]+Sales[[#This Row],[GST Amount]]</f>
        <v>17629.2</v>
      </c>
      <c r="O2118" s="34" t="s">
        <v>3569</v>
      </c>
      <c r="P2118" s="34" t="s">
        <v>1040</v>
      </c>
      <c r="Q2118" s="165">
        <f>IF(Sales[[#This Row],[Status]]="Cancelled",0,Sales[[#This Row],[Qty]])</f>
        <v>0</v>
      </c>
      <c r="R2118" s="166">
        <f>IF(Sales[[#This Row],[Status]]="Cancelled",0,Sales[[#This Row],[Total Amount]])</f>
        <v>0</v>
      </c>
      <c r="S2118" s="162">
        <f>SUM(Sales[Net Amount])</f>
        <v>406839287.73200053</v>
      </c>
    </row>
    <row r="2119" spans="1:19" ht="18.75" x14ac:dyDescent="0.25">
      <c r="A2119" s="156" t="s">
        <v>5740</v>
      </c>
      <c r="B2119" s="157">
        <v>45886</v>
      </c>
      <c r="C2119" s="158" t="s">
        <v>894</v>
      </c>
      <c r="D2119" s="159" t="str">
        <f>VLOOKUP(Sales[[#This Row],[Customer ID]],Customer[#All],2,0)</f>
        <v>Sunita Patel</v>
      </c>
      <c r="E2119" s="158" t="s">
        <v>541</v>
      </c>
      <c r="F2119" s="158" t="str">
        <f>VLOOKUP(Sales[[#This Row],[Product ID]],Product[#All],2,0)</f>
        <v>Crucial Ssd</v>
      </c>
      <c r="G2119" s="159">
        <v>4</v>
      </c>
      <c r="H2119" s="160">
        <f>VLOOKUP(Sales[[#This Row],[Product ID]],Product[#All],7,0)</f>
        <v>9350</v>
      </c>
      <c r="I2119" s="160">
        <f>Sales[[#This Row],[Selling Rate]]*Sales[[#This Row],[Qty]]</f>
        <v>37400</v>
      </c>
      <c r="J2119" s="43">
        <v>0.02</v>
      </c>
      <c r="K2119" s="44">
        <f>Sales[[#This Row],[Gross Amount]]*Sales[[#This Row],[Disc %]]</f>
        <v>748</v>
      </c>
      <c r="L2119" s="43">
        <v>0.18</v>
      </c>
      <c r="M2119" s="44">
        <f>(Sales[[#This Row],[Gross Amount]]-Sales[[#This Row],[Disc. Amt.]])*Sales[[#This Row],[GST %]]</f>
        <v>6597.36</v>
      </c>
      <c r="N2119" s="161">
        <f>Sales[[#This Row],[Gross Amount]]-Sales[[#This Row],[Disc. Amt.]]+Sales[[#This Row],[GST Amount]]</f>
        <v>43249.36</v>
      </c>
      <c r="O2119" s="158" t="s">
        <v>3566</v>
      </c>
      <c r="P2119" s="158" t="s">
        <v>3562</v>
      </c>
      <c r="Q2119" s="160">
        <f>IF(Sales[[#This Row],[Status]]="Cancelled",0,Sales[[#This Row],[Qty]])</f>
        <v>4</v>
      </c>
      <c r="R2119" s="161">
        <f>IF(Sales[[#This Row],[Status]]="Cancelled",0,Sales[[#This Row],[Total Amount]])</f>
        <v>43249.36</v>
      </c>
      <c r="S2119" s="162">
        <f>SUM(Sales[Net Amount])</f>
        <v>406839287.73200053</v>
      </c>
    </row>
    <row r="2120" spans="1:19" ht="18.75" x14ac:dyDescent="0.25">
      <c r="A2120" s="163" t="s">
        <v>5741</v>
      </c>
      <c r="B2120" s="164">
        <v>45886</v>
      </c>
      <c r="C2120" s="34" t="s">
        <v>867</v>
      </c>
      <c r="D2120" s="53" t="str">
        <f>VLOOKUP(Sales[[#This Row],[Customer ID]],Customer[#All],2,0)</f>
        <v>Priya Gupta</v>
      </c>
      <c r="E2120" s="34" t="s">
        <v>394</v>
      </c>
      <c r="F2120" s="34" t="str">
        <f>VLOOKUP(Sales[[#This Row],[Product ID]],Product[#All],2,0)</f>
        <v>Boat Speaker</v>
      </c>
      <c r="G2120" s="53">
        <v>7</v>
      </c>
      <c r="H2120" s="165">
        <f>VLOOKUP(Sales[[#This Row],[Product ID]],Product[#All],7,0)</f>
        <v>1720</v>
      </c>
      <c r="I2120" s="165">
        <f>Sales[[#This Row],[Selling Rate]]*Sales[[#This Row],[Qty]]</f>
        <v>12040</v>
      </c>
      <c r="J2120" s="45">
        <v>0</v>
      </c>
      <c r="K2120" s="46">
        <f>Sales[[#This Row],[Gross Amount]]*Sales[[#This Row],[Disc %]]</f>
        <v>0</v>
      </c>
      <c r="L2120" s="43">
        <v>0.18</v>
      </c>
      <c r="M2120" s="46">
        <f>(Sales[[#This Row],[Gross Amount]]-Sales[[#This Row],[Disc. Amt.]])*Sales[[#This Row],[GST %]]</f>
        <v>2167.1999999999998</v>
      </c>
      <c r="N2120" s="161">
        <f>Sales[[#This Row],[Gross Amount]]-Sales[[#This Row],[Disc. Amt.]]+Sales[[#This Row],[GST Amount]]</f>
        <v>14207.2</v>
      </c>
      <c r="O2120" s="34" t="s">
        <v>3561</v>
      </c>
      <c r="P2120" s="34" t="s">
        <v>3562</v>
      </c>
      <c r="Q2120" s="165">
        <f>IF(Sales[[#This Row],[Status]]="Cancelled",0,Sales[[#This Row],[Qty]])</f>
        <v>7</v>
      </c>
      <c r="R2120" s="166">
        <f>IF(Sales[[#This Row],[Status]]="Cancelled",0,Sales[[#This Row],[Total Amount]])</f>
        <v>14207.2</v>
      </c>
      <c r="S2120" s="162">
        <f>SUM(Sales[Net Amount])</f>
        <v>406839287.73200053</v>
      </c>
    </row>
    <row r="2121" spans="1:19" ht="18.75" x14ac:dyDescent="0.25">
      <c r="A2121" s="156" t="s">
        <v>5742</v>
      </c>
      <c r="B2121" s="157">
        <v>45886</v>
      </c>
      <c r="C2121" s="158" t="s">
        <v>670</v>
      </c>
      <c r="D2121" s="159" t="str">
        <f>VLOOKUP(Sales[[#This Row],[Customer ID]],Customer[#All],2,0)</f>
        <v>Rakesh Patel</v>
      </c>
      <c r="E2121" s="158" t="s">
        <v>43</v>
      </c>
      <c r="F2121" s="158" t="str">
        <f>VLOOKUP(Sales[[#This Row],[Product ID]],Product[#All],2,0)</f>
        <v>Jbl Speaker</v>
      </c>
      <c r="G2121" s="159">
        <v>2</v>
      </c>
      <c r="H2121" s="160">
        <f>VLOOKUP(Sales[[#This Row],[Product ID]],Product[#All],7,0)</f>
        <v>11310</v>
      </c>
      <c r="I2121" s="160">
        <f>Sales[[#This Row],[Selling Rate]]*Sales[[#This Row],[Qty]]</f>
        <v>22620</v>
      </c>
      <c r="J2121" s="43">
        <v>0</v>
      </c>
      <c r="K2121" s="44">
        <f>Sales[[#This Row],[Gross Amount]]*Sales[[#This Row],[Disc %]]</f>
        <v>0</v>
      </c>
      <c r="L2121" s="43">
        <v>0.18</v>
      </c>
      <c r="M2121" s="44">
        <f>(Sales[[#This Row],[Gross Amount]]-Sales[[#This Row],[Disc. Amt.]])*Sales[[#This Row],[GST %]]</f>
        <v>4071.6</v>
      </c>
      <c r="N2121" s="161">
        <f>Sales[[#This Row],[Gross Amount]]-Sales[[#This Row],[Disc. Amt.]]+Sales[[#This Row],[GST Amount]]</f>
        <v>26691.599999999999</v>
      </c>
      <c r="O2121" s="158" t="s">
        <v>3566</v>
      </c>
      <c r="P2121" s="158" t="s">
        <v>3562</v>
      </c>
      <c r="Q2121" s="160">
        <f>IF(Sales[[#This Row],[Status]]="Cancelled",0,Sales[[#This Row],[Qty]])</f>
        <v>2</v>
      </c>
      <c r="R2121" s="161">
        <f>IF(Sales[[#This Row],[Status]]="Cancelled",0,Sales[[#This Row],[Total Amount]])</f>
        <v>26691.599999999999</v>
      </c>
      <c r="S2121" s="162">
        <f>SUM(Sales[Net Amount])</f>
        <v>406839287.73200053</v>
      </c>
    </row>
    <row r="2122" spans="1:19" ht="18.75" x14ac:dyDescent="0.25">
      <c r="A2122" s="163" t="s">
        <v>5743</v>
      </c>
      <c r="B2122" s="164">
        <v>45886</v>
      </c>
      <c r="C2122" s="34" t="s">
        <v>920</v>
      </c>
      <c r="D2122" s="53" t="str">
        <f>VLOOKUP(Sales[[#This Row],[Customer ID]],Customer[#All],2,0)</f>
        <v>Rakesh Sharma</v>
      </c>
      <c r="E2122" s="34" t="s">
        <v>472</v>
      </c>
      <c r="F2122" s="34" t="str">
        <f>VLOOKUP(Sales[[#This Row],[Product ID]],Product[#All],2,0)</f>
        <v>Seagate HDD</v>
      </c>
      <c r="G2122" s="53">
        <v>1</v>
      </c>
      <c r="H2122" s="165">
        <f>VLOOKUP(Sales[[#This Row],[Product ID]],Product[#All],7,0)</f>
        <v>6840</v>
      </c>
      <c r="I2122" s="165">
        <f>Sales[[#This Row],[Selling Rate]]*Sales[[#This Row],[Qty]]</f>
        <v>6840</v>
      </c>
      <c r="J2122" s="45">
        <v>0.05</v>
      </c>
      <c r="K2122" s="46">
        <f>Sales[[#This Row],[Gross Amount]]*Sales[[#This Row],[Disc %]]</f>
        <v>342</v>
      </c>
      <c r="L2122" s="43">
        <v>0.18</v>
      </c>
      <c r="M2122" s="46">
        <f>(Sales[[#This Row],[Gross Amount]]-Sales[[#This Row],[Disc. Amt.]])*Sales[[#This Row],[GST %]]</f>
        <v>1169.6399999999999</v>
      </c>
      <c r="N2122" s="161">
        <f>Sales[[#This Row],[Gross Amount]]-Sales[[#This Row],[Disc. Amt.]]+Sales[[#This Row],[GST Amount]]</f>
        <v>7667.6399999999994</v>
      </c>
      <c r="O2122" s="34" t="s">
        <v>3569</v>
      </c>
      <c r="P2122" s="34" t="s">
        <v>3562</v>
      </c>
      <c r="Q2122" s="165">
        <f>IF(Sales[[#This Row],[Status]]="Cancelled",0,Sales[[#This Row],[Qty]])</f>
        <v>1</v>
      </c>
      <c r="R2122" s="166">
        <f>IF(Sales[[#This Row],[Status]]="Cancelled",0,Sales[[#This Row],[Total Amount]])</f>
        <v>7667.6399999999994</v>
      </c>
      <c r="S2122" s="162">
        <f>SUM(Sales[Net Amount])</f>
        <v>406839287.73200053</v>
      </c>
    </row>
    <row r="2123" spans="1:19" ht="18.75" x14ac:dyDescent="0.25">
      <c r="A2123" s="156" t="s">
        <v>5744</v>
      </c>
      <c r="B2123" s="157">
        <v>45886</v>
      </c>
      <c r="C2123" s="158" t="s">
        <v>780</v>
      </c>
      <c r="D2123" s="159" t="str">
        <f>VLOOKUP(Sales[[#This Row],[Customer ID]],Customer[#All],2,0)</f>
        <v>Sahil Gupta</v>
      </c>
      <c r="E2123" s="158" t="s">
        <v>127</v>
      </c>
      <c r="F2123" s="158" t="str">
        <f>VLOOKUP(Sales[[#This Row],[Product ID]],Product[#All],2,0)</f>
        <v>Samsung Ssd</v>
      </c>
      <c r="G2123" s="159">
        <v>3</v>
      </c>
      <c r="H2123" s="160">
        <f>VLOOKUP(Sales[[#This Row],[Product ID]],Product[#All],7,0)</f>
        <v>4570</v>
      </c>
      <c r="I2123" s="160">
        <f>Sales[[#This Row],[Selling Rate]]*Sales[[#This Row],[Qty]]</f>
        <v>13710</v>
      </c>
      <c r="J2123" s="43">
        <v>0.15</v>
      </c>
      <c r="K2123" s="44">
        <f>Sales[[#This Row],[Gross Amount]]*Sales[[#This Row],[Disc %]]</f>
        <v>2056.5</v>
      </c>
      <c r="L2123" s="43">
        <v>0.18</v>
      </c>
      <c r="M2123" s="44">
        <f>(Sales[[#This Row],[Gross Amount]]-Sales[[#This Row],[Disc. Amt.]])*Sales[[#This Row],[GST %]]</f>
        <v>2097.63</v>
      </c>
      <c r="N2123" s="161">
        <f>Sales[[#This Row],[Gross Amount]]-Sales[[#This Row],[Disc. Amt.]]+Sales[[#This Row],[GST Amount]]</f>
        <v>13751.130000000001</v>
      </c>
      <c r="O2123" s="158" t="s">
        <v>3566</v>
      </c>
      <c r="P2123" s="158" t="s">
        <v>3562</v>
      </c>
      <c r="Q2123" s="160">
        <f>IF(Sales[[#This Row],[Status]]="Cancelled",0,Sales[[#This Row],[Qty]])</f>
        <v>3</v>
      </c>
      <c r="R2123" s="161">
        <f>IF(Sales[[#This Row],[Status]]="Cancelled",0,Sales[[#This Row],[Total Amount]])</f>
        <v>13751.130000000001</v>
      </c>
      <c r="S2123" s="162">
        <f>SUM(Sales[Net Amount])</f>
        <v>406839287.73200053</v>
      </c>
    </row>
    <row r="2124" spans="1:19" ht="18.75" x14ac:dyDescent="0.25">
      <c r="A2124" s="163" t="s">
        <v>5745</v>
      </c>
      <c r="B2124" s="164">
        <v>45886</v>
      </c>
      <c r="C2124" s="34" t="s">
        <v>666</v>
      </c>
      <c r="D2124" s="53" t="str">
        <f>VLOOKUP(Sales[[#This Row],[Customer ID]],Customer[#All],2,0)</f>
        <v>Sahil Gupta</v>
      </c>
      <c r="E2124" s="34" t="s">
        <v>213</v>
      </c>
      <c r="F2124" s="34" t="str">
        <f>VLOOKUP(Sales[[#This Row],[Product ID]],Product[#All],2,0)</f>
        <v>Dell Power Adapter</v>
      </c>
      <c r="G2124" s="53">
        <v>3</v>
      </c>
      <c r="H2124" s="165">
        <f>VLOOKUP(Sales[[#This Row],[Product ID]],Product[#All],7,0)</f>
        <v>3740</v>
      </c>
      <c r="I2124" s="165">
        <f>Sales[[#This Row],[Selling Rate]]*Sales[[#This Row],[Qty]]</f>
        <v>11220</v>
      </c>
      <c r="J2124" s="45">
        <v>0.02</v>
      </c>
      <c r="K2124" s="46">
        <f>Sales[[#This Row],[Gross Amount]]*Sales[[#This Row],[Disc %]]</f>
        <v>224.4</v>
      </c>
      <c r="L2124" s="43">
        <v>0.18</v>
      </c>
      <c r="M2124" s="46">
        <f>(Sales[[#This Row],[Gross Amount]]-Sales[[#This Row],[Disc. Amt.]])*Sales[[#This Row],[GST %]]</f>
        <v>1979.2080000000001</v>
      </c>
      <c r="N2124" s="161">
        <f>Sales[[#This Row],[Gross Amount]]-Sales[[#This Row],[Disc. Amt.]]+Sales[[#This Row],[GST Amount]]</f>
        <v>12974.808000000001</v>
      </c>
      <c r="O2124" s="34" t="s">
        <v>3561</v>
      </c>
      <c r="P2124" s="34" t="s">
        <v>3562</v>
      </c>
      <c r="Q2124" s="165">
        <f>IF(Sales[[#This Row],[Status]]="Cancelled",0,Sales[[#This Row],[Qty]])</f>
        <v>3</v>
      </c>
      <c r="R2124" s="166">
        <f>IF(Sales[[#This Row],[Status]]="Cancelled",0,Sales[[#This Row],[Total Amount]])</f>
        <v>12974.808000000001</v>
      </c>
      <c r="S2124" s="162">
        <f>SUM(Sales[Net Amount])</f>
        <v>406839287.73200053</v>
      </c>
    </row>
    <row r="2125" spans="1:19" ht="18.75" x14ac:dyDescent="0.25">
      <c r="A2125" s="156" t="s">
        <v>5746</v>
      </c>
      <c r="B2125" s="157">
        <v>45886</v>
      </c>
      <c r="C2125" s="158" t="s">
        <v>875</v>
      </c>
      <c r="D2125" s="159" t="str">
        <f>VLOOKUP(Sales[[#This Row],[Customer ID]],Customer[#All],2,0)</f>
        <v>Rahul Verma</v>
      </c>
      <c r="E2125" s="158" t="s">
        <v>338</v>
      </c>
      <c r="F2125" s="158" t="str">
        <f>VLOOKUP(Sales[[#This Row],[Product ID]],Product[#All],2,0)</f>
        <v>Canon Printer</v>
      </c>
      <c r="G2125" s="159">
        <v>7</v>
      </c>
      <c r="H2125" s="160">
        <f>VLOOKUP(Sales[[#This Row],[Product ID]],Product[#All],7,0)</f>
        <v>13780</v>
      </c>
      <c r="I2125" s="160">
        <f>Sales[[#This Row],[Selling Rate]]*Sales[[#This Row],[Qty]]</f>
        <v>96460</v>
      </c>
      <c r="J2125" s="43">
        <v>0.15</v>
      </c>
      <c r="K2125" s="44">
        <f>Sales[[#This Row],[Gross Amount]]*Sales[[#This Row],[Disc %]]</f>
        <v>14469</v>
      </c>
      <c r="L2125" s="43">
        <v>0.18</v>
      </c>
      <c r="M2125" s="44">
        <f>(Sales[[#This Row],[Gross Amount]]-Sales[[#This Row],[Disc. Amt.]])*Sales[[#This Row],[GST %]]</f>
        <v>14758.38</v>
      </c>
      <c r="N2125" s="161">
        <f>Sales[[#This Row],[Gross Amount]]-Sales[[#This Row],[Disc. Amt.]]+Sales[[#This Row],[GST Amount]]</f>
        <v>96749.38</v>
      </c>
      <c r="O2125" s="158" t="s">
        <v>8876</v>
      </c>
      <c r="P2125" s="158" t="s">
        <v>3562</v>
      </c>
      <c r="Q2125" s="160">
        <f>IF(Sales[[#This Row],[Status]]="Cancelled",0,Sales[[#This Row],[Qty]])</f>
        <v>7</v>
      </c>
      <c r="R2125" s="161">
        <f>IF(Sales[[#This Row],[Status]]="Cancelled",0,Sales[[#This Row],[Total Amount]])</f>
        <v>96749.38</v>
      </c>
      <c r="S2125" s="162">
        <f>SUM(Sales[Net Amount])</f>
        <v>406839287.73200053</v>
      </c>
    </row>
    <row r="2126" spans="1:19" ht="18.75" x14ac:dyDescent="0.25">
      <c r="A2126" s="163" t="s">
        <v>5747</v>
      </c>
      <c r="B2126" s="164">
        <v>45886</v>
      </c>
      <c r="C2126" s="34" t="s">
        <v>940</v>
      </c>
      <c r="D2126" s="53" t="str">
        <f>VLOOKUP(Sales[[#This Row],[Customer ID]],Customer[#All],2,0)</f>
        <v>Rakesh Sharma</v>
      </c>
      <c r="E2126" s="34" t="s">
        <v>433</v>
      </c>
      <c r="F2126" s="34" t="str">
        <f>VLOOKUP(Sales[[#This Row],[Product ID]],Product[#All],2,0)</f>
        <v>Seagate HDD</v>
      </c>
      <c r="G2126" s="53">
        <v>8</v>
      </c>
      <c r="H2126" s="165">
        <f>VLOOKUP(Sales[[#This Row],[Product ID]],Product[#All],7,0)</f>
        <v>13910</v>
      </c>
      <c r="I2126" s="165">
        <f>Sales[[#This Row],[Selling Rate]]*Sales[[#This Row],[Qty]]</f>
        <v>111280</v>
      </c>
      <c r="J2126" s="45">
        <v>0</v>
      </c>
      <c r="K2126" s="46">
        <f>Sales[[#This Row],[Gross Amount]]*Sales[[#This Row],[Disc %]]</f>
        <v>0</v>
      </c>
      <c r="L2126" s="43">
        <v>0.18</v>
      </c>
      <c r="M2126" s="46">
        <f>(Sales[[#This Row],[Gross Amount]]-Sales[[#This Row],[Disc. Amt.]])*Sales[[#This Row],[GST %]]</f>
        <v>20030.399999999998</v>
      </c>
      <c r="N2126" s="161">
        <f>Sales[[#This Row],[Gross Amount]]-Sales[[#This Row],[Disc. Amt.]]+Sales[[#This Row],[GST Amount]]</f>
        <v>131310.39999999999</v>
      </c>
      <c r="O2126" s="34" t="s">
        <v>3569</v>
      </c>
      <c r="P2126" s="34" t="s">
        <v>3562</v>
      </c>
      <c r="Q2126" s="165">
        <f>IF(Sales[[#This Row],[Status]]="Cancelled",0,Sales[[#This Row],[Qty]])</f>
        <v>8</v>
      </c>
      <c r="R2126" s="166">
        <f>IF(Sales[[#This Row],[Status]]="Cancelled",0,Sales[[#This Row],[Total Amount]])</f>
        <v>131310.39999999999</v>
      </c>
      <c r="S2126" s="162">
        <f>SUM(Sales[Net Amount])</f>
        <v>406839287.73200053</v>
      </c>
    </row>
    <row r="2127" spans="1:19" ht="18.75" x14ac:dyDescent="0.25">
      <c r="A2127" s="156" t="s">
        <v>5748</v>
      </c>
      <c r="B2127" s="157">
        <v>45886</v>
      </c>
      <c r="C2127" s="158" t="s">
        <v>669</v>
      </c>
      <c r="D2127" s="159" t="str">
        <f>VLOOKUP(Sales[[#This Row],[Customer ID]],Customer[#All],2,0)</f>
        <v>Sahil Kumar</v>
      </c>
      <c r="E2127" s="158" t="s">
        <v>327</v>
      </c>
      <c r="F2127" s="158" t="str">
        <f>VLOOKUP(Sales[[#This Row],[Product ID]],Product[#All],2,0)</f>
        <v>Samsung Ssd</v>
      </c>
      <c r="G2127" s="159">
        <v>1</v>
      </c>
      <c r="H2127" s="160">
        <f>VLOOKUP(Sales[[#This Row],[Product ID]],Product[#All],7,0)</f>
        <v>16390</v>
      </c>
      <c r="I2127" s="160">
        <f>Sales[[#This Row],[Selling Rate]]*Sales[[#This Row],[Qty]]</f>
        <v>16390</v>
      </c>
      <c r="J2127" s="43">
        <v>0.12</v>
      </c>
      <c r="K2127" s="44">
        <f>Sales[[#This Row],[Gross Amount]]*Sales[[#This Row],[Disc %]]</f>
        <v>1966.8</v>
      </c>
      <c r="L2127" s="43">
        <v>0.18</v>
      </c>
      <c r="M2127" s="44">
        <f>(Sales[[#This Row],[Gross Amount]]-Sales[[#This Row],[Disc. Amt.]])*Sales[[#This Row],[GST %]]</f>
        <v>2596.1759999999999</v>
      </c>
      <c r="N2127" s="161">
        <f>Sales[[#This Row],[Gross Amount]]-Sales[[#This Row],[Disc. Amt.]]+Sales[[#This Row],[GST Amount]]</f>
        <v>17019.376</v>
      </c>
      <c r="O2127" s="158" t="s">
        <v>3566</v>
      </c>
      <c r="P2127" s="158" t="s">
        <v>3562</v>
      </c>
      <c r="Q2127" s="160">
        <f>IF(Sales[[#This Row],[Status]]="Cancelled",0,Sales[[#This Row],[Qty]])</f>
        <v>1</v>
      </c>
      <c r="R2127" s="161">
        <f>IF(Sales[[#This Row],[Status]]="Cancelled",0,Sales[[#This Row],[Total Amount]])</f>
        <v>17019.376</v>
      </c>
      <c r="S2127" s="162">
        <f>SUM(Sales[Net Amount])</f>
        <v>406839287.73200053</v>
      </c>
    </row>
    <row r="2128" spans="1:19" ht="18.75" x14ac:dyDescent="0.25">
      <c r="A2128" s="163" t="s">
        <v>5749</v>
      </c>
      <c r="B2128" s="164">
        <v>45886</v>
      </c>
      <c r="C2128" s="34" t="s">
        <v>915</v>
      </c>
      <c r="D2128" s="53" t="str">
        <f>VLOOKUP(Sales[[#This Row],[Customer ID]],Customer[#All],2,0)</f>
        <v>Sunita Kumar</v>
      </c>
      <c r="E2128" s="34" t="s">
        <v>492</v>
      </c>
      <c r="F2128" s="34" t="str">
        <f>VLOOKUP(Sales[[#This Row],[Product ID]],Product[#All],2,0)</f>
        <v>Microtek UPS</v>
      </c>
      <c r="G2128" s="53">
        <v>8</v>
      </c>
      <c r="H2128" s="165">
        <f>VLOOKUP(Sales[[#This Row],[Product ID]],Product[#All],7,0)</f>
        <v>13470</v>
      </c>
      <c r="I2128" s="165">
        <f>Sales[[#This Row],[Selling Rate]]*Sales[[#This Row],[Qty]]</f>
        <v>107760</v>
      </c>
      <c r="J2128" s="45">
        <v>0.05</v>
      </c>
      <c r="K2128" s="46">
        <f>Sales[[#This Row],[Gross Amount]]*Sales[[#This Row],[Disc %]]</f>
        <v>5388</v>
      </c>
      <c r="L2128" s="43">
        <v>0.18</v>
      </c>
      <c r="M2128" s="46">
        <f>(Sales[[#This Row],[Gross Amount]]-Sales[[#This Row],[Disc. Amt.]])*Sales[[#This Row],[GST %]]</f>
        <v>18426.96</v>
      </c>
      <c r="N2128" s="161">
        <f>Sales[[#This Row],[Gross Amount]]-Sales[[#This Row],[Disc. Amt.]]+Sales[[#This Row],[GST Amount]]</f>
        <v>120798.95999999999</v>
      </c>
      <c r="O2128" s="34" t="s">
        <v>8876</v>
      </c>
      <c r="P2128" s="34" t="s">
        <v>3562</v>
      </c>
      <c r="Q2128" s="165">
        <f>IF(Sales[[#This Row],[Status]]="Cancelled",0,Sales[[#This Row],[Qty]])</f>
        <v>8</v>
      </c>
      <c r="R2128" s="166">
        <f>IF(Sales[[#This Row],[Status]]="Cancelled",0,Sales[[#This Row],[Total Amount]])</f>
        <v>120798.95999999999</v>
      </c>
      <c r="S2128" s="162">
        <f>SUM(Sales[Net Amount])</f>
        <v>406839287.73200053</v>
      </c>
    </row>
    <row r="2129" spans="1:19" ht="18.75" x14ac:dyDescent="0.25">
      <c r="A2129" s="156" t="s">
        <v>5750</v>
      </c>
      <c r="B2129" s="157">
        <v>45886</v>
      </c>
      <c r="C2129" s="158" t="s">
        <v>816</v>
      </c>
      <c r="D2129" s="159" t="str">
        <f>VLOOKUP(Sales[[#This Row],[Customer ID]],Customer[#All],2,0)</f>
        <v>Amit Patel</v>
      </c>
      <c r="E2129" s="158" t="s">
        <v>449</v>
      </c>
      <c r="F2129" s="158" t="str">
        <f>VLOOKUP(Sales[[#This Row],[Product ID]],Product[#All],2,0)</f>
        <v>Dell Monitor</v>
      </c>
      <c r="G2129" s="159">
        <v>4</v>
      </c>
      <c r="H2129" s="160">
        <f>VLOOKUP(Sales[[#This Row],[Product ID]],Product[#All],7,0)</f>
        <v>19520</v>
      </c>
      <c r="I2129" s="160">
        <f>Sales[[#This Row],[Selling Rate]]*Sales[[#This Row],[Qty]]</f>
        <v>78080</v>
      </c>
      <c r="J2129" s="43">
        <v>0.12</v>
      </c>
      <c r="K2129" s="44">
        <f>Sales[[#This Row],[Gross Amount]]*Sales[[#This Row],[Disc %]]</f>
        <v>9369.6</v>
      </c>
      <c r="L2129" s="43">
        <v>0.18</v>
      </c>
      <c r="M2129" s="44">
        <f>(Sales[[#This Row],[Gross Amount]]-Sales[[#This Row],[Disc. Amt.]])*Sales[[#This Row],[GST %]]</f>
        <v>12367.871999999999</v>
      </c>
      <c r="N2129" s="161">
        <f>Sales[[#This Row],[Gross Amount]]-Sales[[#This Row],[Disc. Amt.]]+Sales[[#This Row],[GST Amount]]</f>
        <v>81078.271999999997</v>
      </c>
      <c r="O2129" s="158" t="s">
        <v>8876</v>
      </c>
      <c r="P2129" s="158" t="s">
        <v>3562</v>
      </c>
      <c r="Q2129" s="160">
        <f>IF(Sales[[#This Row],[Status]]="Cancelled",0,Sales[[#This Row],[Qty]])</f>
        <v>4</v>
      </c>
      <c r="R2129" s="161">
        <f>IF(Sales[[#This Row],[Status]]="Cancelled",0,Sales[[#This Row],[Total Amount]])</f>
        <v>81078.271999999997</v>
      </c>
      <c r="S2129" s="162">
        <f>SUM(Sales[Net Amount])</f>
        <v>406839287.73200053</v>
      </c>
    </row>
    <row r="2130" spans="1:19" ht="18.75" x14ac:dyDescent="0.25">
      <c r="A2130" s="163" t="s">
        <v>5751</v>
      </c>
      <c r="B2130" s="164">
        <v>45886</v>
      </c>
      <c r="C2130" s="34" t="s">
        <v>745</v>
      </c>
      <c r="D2130" s="53" t="str">
        <f>VLOOKUP(Sales[[#This Row],[Customer ID]],Customer[#All],2,0)</f>
        <v>Priya Kumar</v>
      </c>
      <c r="E2130" s="34" t="s">
        <v>106</v>
      </c>
      <c r="F2130" s="34" t="str">
        <f>VLOOKUP(Sales[[#This Row],[Product ID]],Product[#All],2,0)</f>
        <v>Corsair Ram</v>
      </c>
      <c r="G2130" s="53">
        <v>6</v>
      </c>
      <c r="H2130" s="165">
        <f>VLOOKUP(Sales[[#This Row],[Product ID]],Product[#All],7,0)</f>
        <v>7990</v>
      </c>
      <c r="I2130" s="165">
        <f>Sales[[#This Row],[Selling Rate]]*Sales[[#This Row],[Qty]]</f>
        <v>47940</v>
      </c>
      <c r="J2130" s="45">
        <v>0.1</v>
      </c>
      <c r="K2130" s="46">
        <f>Sales[[#This Row],[Gross Amount]]*Sales[[#This Row],[Disc %]]</f>
        <v>4794</v>
      </c>
      <c r="L2130" s="43">
        <v>0.18</v>
      </c>
      <c r="M2130" s="46">
        <f>(Sales[[#This Row],[Gross Amount]]-Sales[[#This Row],[Disc. Amt.]])*Sales[[#This Row],[GST %]]</f>
        <v>7766.28</v>
      </c>
      <c r="N2130" s="161">
        <f>Sales[[#This Row],[Gross Amount]]-Sales[[#This Row],[Disc. Amt.]]+Sales[[#This Row],[GST Amount]]</f>
        <v>50912.28</v>
      </c>
      <c r="O2130" s="34" t="s">
        <v>8876</v>
      </c>
      <c r="P2130" s="34" t="s">
        <v>3562</v>
      </c>
      <c r="Q2130" s="165">
        <f>IF(Sales[[#This Row],[Status]]="Cancelled",0,Sales[[#This Row],[Qty]])</f>
        <v>6</v>
      </c>
      <c r="R2130" s="166">
        <f>IF(Sales[[#This Row],[Status]]="Cancelled",0,Sales[[#This Row],[Total Amount]])</f>
        <v>50912.28</v>
      </c>
      <c r="S2130" s="162">
        <f>SUM(Sales[Net Amount])</f>
        <v>406839287.73200053</v>
      </c>
    </row>
    <row r="2131" spans="1:19" ht="18.75" x14ac:dyDescent="0.25">
      <c r="A2131" s="156" t="s">
        <v>5752</v>
      </c>
      <c r="B2131" s="157">
        <v>45886</v>
      </c>
      <c r="C2131" s="158" t="s">
        <v>834</v>
      </c>
      <c r="D2131" s="159" t="str">
        <f>VLOOKUP(Sales[[#This Row],[Customer ID]],Customer[#All],2,0)</f>
        <v>Rahul Verma</v>
      </c>
      <c r="E2131" s="158" t="s">
        <v>236</v>
      </c>
      <c r="F2131" s="158" t="str">
        <f>VLOOKUP(Sales[[#This Row],[Product ID]],Product[#All],2,0)</f>
        <v>Dell Desktop</v>
      </c>
      <c r="G2131" s="159">
        <v>3</v>
      </c>
      <c r="H2131" s="160">
        <f>VLOOKUP(Sales[[#This Row],[Product ID]],Product[#All],7,0)</f>
        <v>50050</v>
      </c>
      <c r="I2131" s="160">
        <f>Sales[[#This Row],[Selling Rate]]*Sales[[#This Row],[Qty]]</f>
        <v>150150</v>
      </c>
      <c r="J2131" s="43">
        <v>0</v>
      </c>
      <c r="K2131" s="44">
        <f>Sales[[#This Row],[Gross Amount]]*Sales[[#This Row],[Disc %]]</f>
        <v>0</v>
      </c>
      <c r="L2131" s="43">
        <v>0.18</v>
      </c>
      <c r="M2131" s="44">
        <f>(Sales[[#This Row],[Gross Amount]]-Sales[[#This Row],[Disc. Amt.]])*Sales[[#This Row],[GST %]]</f>
        <v>27027</v>
      </c>
      <c r="N2131" s="161">
        <f>Sales[[#This Row],[Gross Amount]]-Sales[[#This Row],[Disc. Amt.]]+Sales[[#This Row],[GST Amount]]</f>
        <v>177177</v>
      </c>
      <c r="O2131" s="158" t="s">
        <v>3566</v>
      </c>
      <c r="P2131" s="158" t="s">
        <v>3562</v>
      </c>
      <c r="Q2131" s="160">
        <f>IF(Sales[[#This Row],[Status]]="Cancelled",0,Sales[[#This Row],[Qty]])</f>
        <v>3</v>
      </c>
      <c r="R2131" s="161">
        <f>IF(Sales[[#This Row],[Status]]="Cancelled",0,Sales[[#This Row],[Total Amount]])</f>
        <v>177177</v>
      </c>
      <c r="S2131" s="162">
        <f>SUM(Sales[Net Amount])</f>
        <v>406839287.73200053</v>
      </c>
    </row>
    <row r="2132" spans="1:19" ht="18.75" x14ac:dyDescent="0.25">
      <c r="A2132" s="163" t="s">
        <v>5753</v>
      </c>
      <c r="B2132" s="164">
        <v>45886</v>
      </c>
      <c r="C2132" s="34" t="s">
        <v>741</v>
      </c>
      <c r="D2132" s="53" t="str">
        <f>VLOOKUP(Sales[[#This Row],[Customer ID]],Customer[#All],2,0)</f>
        <v>Rahul Patel</v>
      </c>
      <c r="E2132" s="34" t="s">
        <v>181</v>
      </c>
      <c r="F2132" s="34" t="str">
        <f>VLOOKUP(Sales[[#This Row],[Product ID]],Product[#All],2,0)</f>
        <v>Logitech Webcam</v>
      </c>
      <c r="G2132" s="53">
        <v>3</v>
      </c>
      <c r="H2132" s="165">
        <f>VLOOKUP(Sales[[#This Row],[Product ID]],Product[#All],7,0)</f>
        <v>5880</v>
      </c>
      <c r="I2132" s="165">
        <f>Sales[[#This Row],[Selling Rate]]*Sales[[#This Row],[Qty]]</f>
        <v>17640</v>
      </c>
      <c r="J2132" s="45">
        <v>0</v>
      </c>
      <c r="K2132" s="46">
        <f>Sales[[#This Row],[Gross Amount]]*Sales[[#This Row],[Disc %]]</f>
        <v>0</v>
      </c>
      <c r="L2132" s="43">
        <v>0.18</v>
      </c>
      <c r="M2132" s="46">
        <f>(Sales[[#This Row],[Gross Amount]]-Sales[[#This Row],[Disc. Amt.]])*Sales[[#This Row],[GST %]]</f>
        <v>3175.2</v>
      </c>
      <c r="N2132" s="161">
        <f>Sales[[#This Row],[Gross Amount]]-Sales[[#This Row],[Disc. Amt.]]+Sales[[#This Row],[GST Amount]]</f>
        <v>20815.2</v>
      </c>
      <c r="O2132" s="34" t="s">
        <v>3561</v>
      </c>
      <c r="P2132" s="34" t="s">
        <v>3562</v>
      </c>
      <c r="Q2132" s="165">
        <f>IF(Sales[[#This Row],[Status]]="Cancelled",0,Sales[[#This Row],[Qty]])</f>
        <v>3</v>
      </c>
      <c r="R2132" s="166">
        <f>IF(Sales[[#This Row],[Status]]="Cancelled",0,Sales[[#This Row],[Total Amount]])</f>
        <v>20815.2</v>
      </c>
      <c r="S2132" s="162">
        <f>SUM(Sales[Net Amount])</f>
        <v>406839287.73200053</v>
      </c>
    </row>
    <row r="2133" spans="1:19" ht="18.75" x14ac:dyDescent="0.25">
      <c r="A2133" s="156" t="s">
        <v>5754</v>
      </c>
      <c r="B2133" s="157">
        <v>45886</v>
      </c>
      <c r="C2133" s="158" t="s">
        <v>830</v>
      </c>
      <c r="D2133" s="159" t="str">
        <f>VLOOKUP(Sales[[#This Row],[Customer ID]],Customer[#All],2,0)</f>
        <v>Rakesh Singh</v>
      </c>
      <c r="E2133" s="158" t="s">
        <v>341</v>
      </c>
      <c r="F2133" s="158" t="str">
        <f>VLOOKUP(Sales[[#This Row],[Product ID]],Product[#All],2,0)</f>
        <v>Dell Monitor</v>
      </c>
      <c r="G2133" s="159">
        <v>1</v>
      </c>
      <c r="H2133" s="160">
        <f>VLOOKUP(Sales[[#This Row],[Product ID]],Product[#All],7,0)</f>
        <v>20280</v>
      </c>
      <c r="I2133" s="160">
        <f>Sales[[#This Row],[Selling Rate]]*Sales[[#This Row],[Qty]]</f>
        <v>20280</v>
      </c>
      <c r="J2133" s="43">
        <v>0.02</v>
      </c>
      <c r="K2133" s="44">
        <f>Sales[[#This Row],[Gross Amount]]*Sales[[#This Row],[Disc %]]</f>
        <v>405.6</v>
      </c>
      <c r="L2133" s="43">
        <v>0.18</v>
      </c>
      <c r="M2133" s="44">
        <f>(Sales[[#This Row],[Gross Amount]]-Sales[[#This Row],[Disc. Amt.]])*Sales[[#This Row],[GST %]]</f>
        <v>3577.3920000000003</v>
      </c>
      <c r="N2133" s="161">
        <f>Sales[[#This Row],[Gross Amount]]-Sales[[#This Row],[Disc. Amt.]]+Sales[[#This Row],[GST Amount]]</f>
        <v>23451.792000000001</v>
      </c>
      <c r="O2133" s="158" t="s">
        <v>8876</v>
      </c>
      <c r="P2133" s="158" t="s">
        <v>3562</v>
      </c>
      <c r="Q2133" s="160">
        <f>IF(Sales[[#This Row],[Status]]="Cancelled",0,Sales[[#This Row],[Qty]])</f>
        <v>1</v>
      </c>
      <c r="R2133" s="161">
        <f>IF(Sales[[#This Row],[Status]]="Cancelled",0,Sales[[#This Row],[Total Amount]])</f>
        <v>23451.792000000001</v>
      </c>
      <c r="S2133" s="162">
        <f>SUM(Sales[Net Amount])</f>
        <v>406839287.73200053</v>
      </c>
    </row>
    <row r="2134" spans="1:19" ht="18.75" x14ac:dyDescent="0.25">
      <c r="A2134" s="163" t="s">
        <v>5755</v>
      </c>
      <c r="B2134" s="164">
        <v>45886</v>
      </c>
      <c r="C2134" s="34" t="s">
        <v>798</v>
      </c>
      <c r="D2134" s="53" t="str">
        <f>VLOOKUP(Sales[[#This Row],[Customer ID]],Customer[#All],2,0)</f>
        <v>Amit Singh</v>
      </c>
      <c r="E2134" s="34" t="s">
        <v>153</v>
      </c>
      <c r="F2134" s="34" t="str">
        <f>VLOOKUP(Sales[[#This Row],[Product ID]],Product[#All],2,0)</f>
        <v>HP Mouse</v>
      </c>
      <c r="G2134" s="53">
        <v>1</v>
      </c>
      <c r="H2134" s="165">
        <f>VLOOKUP(Sales[[#This Row],[Product ID]],Product[#All],7,0)</f>
        <v>1070</v>
      </c>
      <c r="I2134" s="165">
        <f>Sales[[#This Row],[Selling Rate]]*Sales[[#This Row],[Qty]]</f>
        <v>1070</v>
      </c>
      <c r="J2134" s="45">
        <v>0.05</v>
      </c>
      <c r="K2134" s="46">
        <f>Sales[[#This Row],[Gross Amount]]*Sales[[#This Row],[Disc %]]</f>
        <v>53.5</v>
      </c>
      <c r="L2134" s="43">
        <v>0.18</v>
      </c>
      <c r="M2134" s="46">
        <f>(Sales[[#This Row],[Gross Amount]]-Sales[[#This Row],[Disc. Amt.]])*Sales[[#This Row],[GST %]]</f>
        <v>182.97</v>
      </c>
      <c r="N2134" s="161">
        <f>Sales[[#This Row],[Gross Amount]]-Sales[[#This Row],[Disc. Amt.]]+Sales[[#This Row],[GST Amount]]</f>
        <v>1199.47</v>
      </c>
      <c r="O2134" s="34" t="s">
        <v>3561</v>
      </c>
      <c r="P2134" s="34" t="s">
        <v>3562</v>
      </c>
      <c r="Q2134" s="165">
        <f>IF(Sales[[#This Row],[Status]]="Cancelled",0,Sales[[#This Row],[Qty]])</f>
        <v>1</v>
      </c>
      <c r="R2134" s="166">
        <f>IF(Sales[[#This Row],[Status]]="Cancelled",0,Sales[[#This Row],[Total Amount]])</f>
        <v>1199.47</v>
      </c>
      <c r="S2134" s="162">
        <f>SUM(Sales[Net Amount])</f>
        <v>406839287.73200053</v>
      </c>
    </row>
    <row r="2135" spans="1:19" ht="18.75" x14ac:dyDescent="0.25">
      <c r="A2135" s="156" t="s">
        <v>5756</v>
      </c>
      <c r="B2135" s="157">
        <v>45886</v>
      </c>
      <c r="C2135" s="158" t="s">
        <v>712</v>
      </c>
      <c r="D2135" s="159" t="str">
        <f>VLOOKUP(Sales[[#This Row],[Customer ID]],Customer[#All],2,0)</f>
        <v>Sahil Verma</v>
      </c>
      <c r="E2135" s="158" t="s">
        <v>362</v>
      </c>
      <c r="F2135" s="158" t="str">
        <f>VLOOKUP(Sales[[#This Row],[Product ID]],Product[#All],2,0)</f>
        <v>Dell Power Adapter</v>
      </c>
      <c r="G2135" s="159">
        <v>6</v>
      </c>
      <c r="H2135" s="160">
        <f>VLOOKUP(Sales[[#This Row],[Product ID]],Product[#All],7,0)</f>
        <v>4050</v>
      </c>
      <c r="I2135" s="160">
        <f>Sales[[#This Row],[Selling Rate]]*Sales[[#This Row],[Qty]]</f>
        <v>24300</v>
      </c>
      <c r="J2135" s="43">
        <v>0.12</v>
      </c>
      <c r="K2135" s="44">
        <f>Sales[[#This Row],[Gross Amount]]*Sales[[#This Row],[Disc %]]</f>
        <v>2916</v>
      </c>
      <c r="L2135" s="43">
        <v>0.18</v>
      </c>
      <c r="M2135" s="44">
        <f>(Sales[[#This Row],[Gross Amount]]-Sales[[#This Row],[Disc. Amt.]])*Sales[[#This Row],[GST %]]</f>
        <v>3849.12</v>
      </c>
      <c r="N2135" s="161">
        <f>Sales[[#This Row],[Gross Amount]]-Sales[[#This Row],[Disc. Amt.]]+Sales[[#This Row],[GST Amount]]</f>
        <v>25233.119999999999</v>
      </c>
      <c r="O2135" s="158" t="s">
        <v>3569</v>
      </c>
      <c r="P2135" s="158" t="s">
        <v>3562</v>
      </c>
      <c r="Q2135" s="160">
        <f>IF(Sales[[#This Row],[Status]]="Cancelled",0,Sales[[#This Row],[Qty]])</f>
        <v>6</v>
      </c>
      <c r="R2135" s="161">
        <f>IF(Sales[[#This Row],[Status]]="Cancelled",0,Sales[[#This Row],[Total Amount]])</f>
        <v>25233.119999999999</v>
      </c>
      <c r="S2135" s="162">
        <f>SUM(Sales[Net Amount])</f>
        <v>406839287.73200053</v>
      </c>
    </row>
    <row r="2136" spans="1:19" ht="18.75" x14ac:dyDescent="0.25">
      <c r="A2136" s="163" t="s">
        <v>5757</v>
      </c>
      <c r="B2136" s="164">
        <v>45886</v>
      </c>
      <c r="C2136" s="34" t="s">
        <v>779</v>
      </c>
      <c r="D2136" s="53" t="str">
        <f>VLOOKUP(Sales[[#This Row],[Customer ID]],Customer[#All],2,0)</f>
        <v>Rakesh Verma</v>
      </c>
      <c r="E2136" s="34" t="s">
        <v>65</v>
      </c>
      <c r="F2136" s="34" t="str">
        <f>VLOOKUP(Sales[[#This Row],[Product ID]],Product[#All],2,0)</f>
        <v>Dell Power Adapter</v>
      </c>
      <c r="G2136" s="53">
        <v>2</v>
      </c>
      <c r="H2136" s="165">
        <f>VLOOKUP(Sales[[#This Row],[Product ID]],Product[#All],7,0)</f>
        <v>2070</v>
      </c>
      <c r="I2136" s="165">
        <f>Sales[[#This Row],[Selling Rate]]*Sales[[#This Row],[Qty]]</f>
        <v>4140</v>
      </c>
      <c r="J2136" s="45">
        <v>0.15</v>
      </c>
      <c r="K2136" s="46">
        <f>Sales[[#This Row],[Gross Amount]]*Sales[[#This Row],[Disc %]]</f>
        <v>621</v>
      </c>
      <c r="L2136" s="43">
        <v>0.18</v>
      </c>
      <c r="M2136" s="46">
        <f>(Sales[[#This Row],[Gross Amount]]-Sales[[#This Row],[Disc. Amt.]])*Sales[[#This Row],[GST %]]</f>
        <v>633.41999999999996</v>
      </c>
      <c r="N2136" s="161">
        <f>Sales[[#This Row],[Gross Amount]]-Sales[[#This Row],[Disc. Amt.]]+Sales[[#This Row],[GST Amount]]</f>
        <v>4152.42</v>
      </c>
      <c r="O2136" s="34" t="s">
        <v>3561</v>
      </c>
      <c r="P2136" s="34" t="s">
        <v>3562</v>
      </c>
      <c r="Q2136" s="165">
        <f>IF(Sales[[#This Row],[Status]]="Cancelled",0,Sales[[#This Row],[Qty]])</f>
        <v>2</v>
      </c>
      <c r="R2136" s="166">
        <f>IF(Sales[[#This Row],[Status]]="Cancelled",0,Sales[[#This Row],[Total Amount]])</f>
        <v>4152.42</v>
      </c>
      <c r="S2136" s="162">
        <f>SUM(Sales[Net Amount])</f>
        <v>406839287.73200053</v>
      </c>
    </row>
    <row r="2137" spans="1:19" ht="18.75" x14ac:dyDescent="0.25">
      <c r="A2137" s="156" t="s">
        <v>5758</v>
      </c>
      <c r="B2137" s="157">
        <v>45886</v>
      </c>
      <c r="C2137" s="158" t="s">
        <v>742</v>
      </c>
      <c r="D2137" s="159" t="str">
        <f>VLOOKUP(Sales[[#This Row],[Customer ID]],Customer[#All],2,0)</f>
        <v>Rahul Patel</v>
      </c>
      <c r="E2137" s="158" t="s">
        <v>417</v>
      </c>
      <c r="F2137" s="158" t="str">
        <f>VLOOKUP(Sales[[#This Row],[Product ID]],Product[#All],2,0)</f>
        <v>HP Power Adapter</v>
      </c>
      <c r="G2137" s="159">
        <v>6</v>
      </c>
      <c r="H2137" s="160">
        <f>VLOOKUP(Sales[[#This Row],[Product ID]],Product[#All],7,0)</f>
        <v>4330</v>
      </c>
      <c r="I2137" s="160">
        <f>Sales[[#This Row],[Selling Rate]]*Sales[[#This Row],[Qty]]</f>
        <v>25980</v>
      </c>
      <c r="J2137" s="43">
        <v>0.15</v>
      </c>
      <c r="K2137" s="44">
        <f>Sales[[#This Row],[Gross Amount]]*Sales[[#This Row],[Disc %]]</f>
        <v>3897</v>
      </c>
      <c r="L2137" s="43">
        <v>0.18</v>
      </c>
      <c r="M2137" s="44">
        <f>(Sales[[#This Row],[Gross Amount]]-Sales[[#This Row],[Disc. Amt.]])*Sales[[#This Row],[GST %]]</f>
        <v>3974.94</v>
      </c>
      <c r="N2137" s="161">
        <f>Sales[[#This Row],[Gross Amount]]-Sales[[#This Row],[Disc. Amt.]]+Sales[[#This Row],[GST Amount]]</f>
        <v>26057.94</v>
      </c>
      <c r="O2137" s="158" t="s">
        <v>3569</v>
      </c>
      <c r="P2137" s="158" t="s">
        <v>3562</v>
      </c>
      <c r="Q2137" s="160">
        <f>IF(Sales[[#This Row],[Status]]="Cancelled",0,Sales[[#This Row],[Qty]])</f>
        <v>6</v>
      </c>
      <c r="R2137" s="161">
        <f>IF(Sales[[#This Row],[Status]]="Cancelled",0,Sales[[#This Row],[Total Amount]])</f>
        <v>26057.94</v>
      </c>
      <c r="S2137" s="162">
        <f>SUM(Sales[Net Amount])</f>
        <v>406839287.73200053</v>
      </c>
    </row>
    <row r="2138" spans="1:19" ht="18.75" x14ac:dyDescent="0.25">
      <c r="A2138" s="163" t="s">
        <v>5759</v>
      </c>
      <c r="B2138" s="164">
        <v>45886</v>
      </c>
      <c r="C2138" s="34" t="s">
        <v>877</v>
      </c>
      <c r="D2138" s="53" t="str">
        <f>VLOOKUP(Sales[[#This Row],[Customer ID]],Customer[#All],2,0)</f>
        <v>Sahil Patel</v>
      </c>
      <c r="E2138" s="34" t="s">
        <v>197</v>
      </c>
      <c r="F2138" s="34" t="str">
        <f>VLOOKUP(Sales[[#This Row],[Product ID]],Product[#All],2,0)</f>
        <v>Crucial Ssd</v>
      </c>
      <c r="G2138" s="53">
        <v>5</v>
      </c>
      <c r="H2138" s="165">
        <f>VLOOKUP(Sales[[#This Row],[Product ID]],Product[#All],7,0)</f>
        <v>16400</v>
      </c>
      <c r="I2138" s="165">
        <f>Sales[[#This Row],[Selling Rate]]*Sales[[#This Row],[Qty]]</f>
        <v>82000</v>
      </c>
      <c r="J2138" s="45">
        <v>0.1</v>
      </c>
      <c r="K2138" s="46">
        <f>Sales[[#This Row],[Gross Amount]]*Sales[[#This Row],[Disc %]]</f>
        <v>8200</v>
      </c>
      <c r="L2138" s="43">
        <v>0.18</v>
      </c>
      <c r="M2138" s="46">
        <f>(Sales[[#This Row],[Gross Amount]]-Sales[[#This Row],[Disc. Amt.]])*Sales[[#This Row],[GST %]]</f>
        <v>13284</v>
      </c>
      <c r="N2138" s="161">
        <f>Sales[[#This Row],[Gross Amount]]-Sales[[#This Row],[Disc. Amt.]]+Sales[[#This Row],[GST Amount]]</f>
        <v>87084</v>
      </c>
      <c r="O2138" s="34" t="s">
        <v>3569</v>
      </c>
      <c r="P2138" s="34" t="s">
        <v>3562</v>
      </c>
      <c r="Q2138" s="165">
        <f>IF(Sales[[#This Row],[Status]]="Cancelled",0,Sales[[#This Row],[Qty]])</f>
        <v>5</v>
      </c>
      <c r="R2138" s="166">
        <f>IF(Sales[[#This Row],[Status]]="Cancelled",0,Sales[[#This Row],[Total Amount]])</f>
        <v>87084</v>
      </c>
      <c r="S2138" s="162">
        <f>SUM(Sales[Net Amount])</f>
        <v>406839287.73200053</v>
      </c>
    </row>
    <row r="2139" spans="1:19" ht="18.75" x14ac:dyDescent="0.25">
      <c r="A2139" s="156" t="s">
        <v>5760</v>
      </c>
      <c r="B2139" s="157">
        <v>45886</v>
      </c>
      <c r="C2139" s="158" t="s">
        <v>857</v>
      </c>
      <c r="D2139" s="159" t="str">
        <f>VLOOKUP(Sales[[#This Row],[Customer ID]],Customer[#All],2,0)</f>
        <v>Pooja Singh</v>
      </c>
      <c r="E2139" s="158" t="s">
        <v>217</v>
      </c>
      <c r="F2139" s="158" t="str">
        <f>VLOOKUP(Sales[[#This Row],[Product ID]],Product[#All],2,0)</f>
        <v>Logitech Webcam</v>
      </c>
      <c r="G2139" s="159">
        <v>1</v>
      </c>
      <c r="H2139" s="160">
        <f>VLOOKUP(Sales[[#This Row],[Product ID]],Product[#All],7,0)</f>
        <v>2420</v>
      </c>
      <c r="I2139" s="160">
        <f>Sales[[#This Row],[Selling Rate]]*Sales[[#This Row],[Qty]]</f>
        <v>2420</v>
      </c>
      <c r="J2139" s="43">
        <v>0</v>
      </c>
      <c r="K2139" s="44">
        <f>Sales[[#This Row],[Gross Amount]]*Sales[[#This Row],[Disc %]]</f>
        <v>0</v>
      </c>
      <c r="L2139" s="43">
        <v>0.18</v>
      </c>
      <c r="M2139" s="44">
        <f>(Sales[[#This Row],[Gross Amount]]-Sales[[#This Row],[Disc. Amt.]])*Sales[[#This Row],[GST %]]</f>
        <v>435.59999999999997</v>
      </c>
      <c r="N2139" s="161">
        <f>Sales[[#This Row],[Gross Amount]]-Sales[[#This Row],[Disc. Amt.]]+Sales[[#This Row],[GST Amount]]</f>
        <v>2855.6</v>
      </c>
      <c r="O2139" s="158" t="s">
        <v>3561</v>
      </c>
      <c r="P2139" s="158" t="s">
        <v>3562</v>
      </c>
      <c r="Q2139" s="160">
        <f>IF(Sales[[#This Row],[Status]]="Cancelled",0,Sales[[#This Row],[Qty]])</f>
        <v>1</v>
      </c>
      <c r="R2139" s="161">
        <f>IF(Sales[[#This Row],[Status]]="Cancelled",0,Sales[[#This Row],[Total Amount]])</f>
        <v>2855.6</v>
      </c>
      <c r="S2139" s="162">
        <f>SUM(Sales[Net Amount])</f>
        <v>406839287.73200053</v>
      </c>
    </row>
    <row r="2140" spans="1:19" ht="18.75" x14ac:dyDescent="0.25">
      <c r="A2140" s="163" t="s">
        <v>5761</v>
      </c>
      <c r="B2140" s="164">
        <v>45886</v>
      </c>
      <c r="C2140" s="34" t="s">
        <v>938</v>
      </c>
      <c r="D2140" s="53" t="str">
        <f>VLOOKUP(Sales[[#This Row],[Customer ID]],Customer[#All],2,0)</f>
        <v>Sunita Sharma</v>
      </c>
      <c r="E2140" s="34" t="s">
        <v>387</v>
      </c>
      <c r="F2140" s="34" t="str">
        <f>VLOOKUP(Sales[[#This Row],[Product ID]],Product[#All],2,0)</f>
        <v>HP Printer</v>
      </c>
      <c r="G2140" s="53">
        <v>8</v>
      </c>
      <c r="H2140" s="165">
        <f>VLOOKUP(Sales[[#This Row],[Product ID]],Product[#All],7,0)</f>
        <v>14390</v>
      </c>
      <c r="I2140" s="165">
        <f>Sales[[#This Row],[Selling Rate]]*Sales[[#This Row],[Qty]]</f>
        <v>115120</v>
      </c>
      <c r="J2140" s="45">
        <v>0.1</v>
      </c>
      <c r="K2140" s="46">
        <f>Sales[[#This Row],[Gross Amount]]*Sales[[#This Row],[Disc %]]</f>
        <v>11512</v>
      </c>
      <c r="L2140" s="43">
        <v>0.18</v>
      </c>
      <c r="M2140" s="46">
        <f>(Sales[[#This Row],[Gross Amount]]-Sales[[#This Row],[Disc. Amt.]])*Sales[[#This Row],[GST %]]</f>
        <v>18649.439999999999</v>
      </c>
      <c r="N2140" s="161">
        <f>Sales[[#This Row],[Gross Amount]]-Sales[[#This Row],[Disc. Amt.]]+Sales[[#This Row],[GST Amount]]</f>
        <v>122257.44</v>
      </c>
      <c r="O2140" s="34" t="s">
        <v>3566</v>
      </c>
      <c r="P2140" s="34" t="s">
        <v>3562</v>
      </c>
      <c r="Q2140" s="165">
        <f>IF(Sales[[#This Row],[Status]]="Cancelled",0,Sales[[#This Row],[Qty]])</f>
        <v>8</v>
      </c>
      <c r="R2140" s="166">
        <f>IF(Sales[[#This Row],[Status]]="Cancelled",0,Sales[[#This Row],[Total Amount]])</f>
        <v>122257.44</v>
      </c>
      <c r="S2140" s="162">
        <f>SUM(Sales[Net Amount])</f>
        <v>406839287.73200053</v>
      </c>
    </row>
    <row r="2141" spans="1:19" ht="18.75" x14ac:dyDescent="0.25">
      <c r="A2141" s="156" t="s">
        <v>5762</v>
      </c>
      <c r="B2141" s="157">
        <v>45887</v>
      </c>
      <c r="C2141" s="158" t="s">
        <v>795</v>
      </c>
      <c r="D2141" s="159" t="str">
        <f>VLOOKUP(Sales[[#This Row],[Customer ID]],Customer[#All],2,0)</f>
        <v>Sahil Gupta</v>
      </c>
      <c r="E2141" s="158" t="s">
        <v>493</v>
      </c>
      <c r="F2141" s="158" t="str">
        <f>VLOOKUP(Sales[[#This Row],[Product ID]],Product[#All],2,0)</f>
        <v>Logitech Keyboard</v>
      </c>
      <c r="G2141" s="159">
        <v>2</v>
      </c>
      <c r="H2141" s="160">
        <f>VLOOKUP(Sales[[#This Row],[Product ID]],Product[#All],7,0)</f>
        <v>3040</v>
      </c>
      <c r="I2141" s="160">
        <f>Sales[[#This Row],[Selling Rate]]*Sales[[#This Row],[Qty]]</f>
        <v>6080</v>
      </c>
      <c r="J2141" s="43">
        <v>0.05</v>
      </c>
      <c r="K2141" s="44">
        <f>Sales[[#This Row],[Gross Amount]]*Sales[[#This Row],[Disc %]]</f>
        <v>304</v>
      </c>
      <c r="L2141" s="43">
        <v>0.18</v>
      </c>
      <c r="M2141" s="44">
        <f>(Sales[[#This Row],[Gross Amount]]-Sales[[#This Row],[Disc. Amt.]])*Sales[[#This Row],[GST %]]</f>
        <v>1039.68</v>
      </c>
      <c r="N2141" s="161">
        <f>Sales[[#This Row],[Gross Amount]]-Sales[[#This Row],[Disc. Amt.]]+Sales[[#This Row],[GST Amount]]</f>
        <v>6815.68</v>
      </c>
      <c r="O2141" s="158" t="s">
        <v>8876</v>
      </c>
      <c r="P2141" s="158" t="s">
        <v>3562</v>
      </c>
      <c r="Q2141" s="160">
        <f>IF(Sales[[#This Row],[Status]]="Cancelled",0,Sales[[#This Row],[Qty]])</f>
        <v>2</v>
      </c>
      <c r="R2141" s="161">
        <f>IF(Sales[[#This Row],[Status]]="Cancelled",0,Sales[[#This Row],[Total Amount]])</f>
        <v>6815.68</v>
      </c>
      <c r="S2141" s="162">
        <f>SUM(Sales[Net Amount])</f>
        <v>406839287.73200053</v>
      </c>
    </row>
    <row r="2142" spans="1:19" ht="18.75" x14ac:dyDescent="0.25">
      <c r="A2142" s="163" t="s">
        <v>5763</v>
      </c>
      <c r="B2142" s="164">
        <v>45887</v>
      </c>
      <c r="C2142" s="34" t="s">
        <v>749</v>
      </c>
      <c r="D2142" s="53" t="str">
        <f>VLOOKUP(Sales[[#This Row],[Customer ID]],Customer[#All],2,0)</f>
        <v>Sahil Patel</v>
      </c>
      <c r="E2142" s="34" t="s">
        <v>152</v>
      </c>
      <c r="F2142" s="34" t="str">
        <f>VLOOKUP(Sales[[#This Row],[Product ID]],Product[#All],2,0)</f>
        <v>Acer Laptop</v>
      </c>
      <c r="G2142" s="53">
        <v>2</v>
      </c>
      <c r="H2142" s="165">
        <f>VLOOKUP(Sales[[#This Row],[Product ID]],Product[#All],7,0)</f>
        <v>33410</v>
      </c>
      <c r="I2142" s="165">
        <f>Sales[[#This Row],[Selling Rate]]*Sales[[#This Row],[Qty]]</f>
        <v>66820</v>
      </c>
      <c r="J2142" s="45">
        <v>0</v>
      </c>
      <c r="K2142" s="46">
        <f>Sales[[#This Row],[Gross Amount]]*Sales[[#This Row],[Disc %]]</f>
        <v>0</v>
      </c>
      <c r="L2142" s="43">
        <v>0.18</v>
      </c>
      <c r="M2142" s="46">
        <f>(Sales[[#This Row],[Gross Amount]]-Sales[[#This Row],[Disc. Amt.]])*Sales[[#This Row],[GST %]]</f>
        <v>12027.6</v>
      </c>
      <c r="N2142" s="161">
        <f>Sales[[#This Row],[Gross Amount]]-Sales[[#This Row],[Disc. Amt.]]+Sales[[#This Row],[GST Amount]]</f>
        <v>78847.600000000006</v>
      </c>
      <c r="O2142" s="34" t="s">
        <v>3569</v>
      </c>
      <c r="P2142" s="34" t="s">
        <v>3562</v>
      </c>
      <c r="Q2142" s="165">
        <f>IF(Sales[[#This Row],[Status]]="Cancelled",0,Sales[[#This Row],[Qty]])</f>
        <v>2</v>
      </c>
      <c r="R2142" s="166">
        <f>IF(Sales[[#This Row],[Status]]="Cancelled",0,Sales[[#This Row],[Total Amount]])</f>
        <v>78847.600000000006</v>
      </c>
      <c r="S2142" s="162">
        <f>SUM(Sales[Net Amount])</f>
        <v>406839287.73200053</v>
      </c>
    </row>
    <row r="2143" spans="1:19" ht="18.75" x14ac:dyDescent="0.25">
      <c r="A2143" s="156" t="s">
        <v>5764</v>
      </c>
      <c r="B2143" s="157">
        <v>45887</v>
      </c>
      <c r="C2143" s="158" t="s">
        <v>890</v>
      </c>
      <c r="D2143" s="159" t="str">
        <f>VLOOKUP(Sales[[#This Row],[Customer ID]],Customer[#All],2,0)</f>
        <v>Rakesh Patel</v>
      </c>
      <c r="E2143" s="158" t="s">
        <v>306</v>
      </c>
      <c r="F2143" s="158" t="str">
        <f>VLOOKUP(Sales[[#This Row],[Product ID]],Product[#All],2,0)</f>
        <v>Portronics USB Cable</v>
      </c>
      <c r="G2143" s="159">
        <v>7</v>
      </c>
      <c r="H2143" s="160">
        <f>VLOOKUP(Sales[[#This Row],[Product ID]],Product[#All],7,0)</f>
        <v>200</v>
      </c>
      <c r="I2143" s="160">
        <f>Sales[[#This Row],[Selling Rate]]*Sales[[#This Row],[Qty]]</f>
        <v>1400</v>
      </c>
      <c r="J2143" s="43">
        <v>0.05</v>
      </c>
      <c r="K2143" s="44">
        <f>Sales[[#This Row],[Gross Amount]]*Sales[[#This Row],[Disc %]]</f>
        <v>70</v>
      </c>
      <c r="L2143" s="43">
        <v>0.18</v>
      </c>
      <c r="M2143" s="44">
        <f>(Sales[[#This Row],[Gross Amount]]-Sales[[#This Row],[Disc. Amt.]])*Sales[[#This Row],[GST %]]</f>
        <v>239.39999999999998</v>
      </c>
      <c r="N2143" s="161">
        <f>Sales[[#This Row],[Gross Amount]]-Sales[[#This Row],[Disc. Amt.]]+Sales[[#This Row],[GST Amount]]</f>
        <v>1569.4</v>
      </c>
      <c r="O2143" s="158" t="s">
        <v>3561</v>
      </c>
      <c r="P2143" s="158" t="s">
        <v>3562</v>
      </c>
      <c r="Q2143" s="160">
        <f>IF(Sales[[#This Row],[Status]]="Cancelled",0,Sales[[#This Row],[Qty]])</f>
        <v>7</v>
      </c>
      <c r="R2143" s="161">
        <f>IF(Sales[[#This Row],[Status]]="Cancelled",0,Sales[[#This Row],[Total Amount]])</f>
        <v>1569.4</v>
      </c>
      <c r="S2143" s="162">
        <f>SUM(Sales[Net Amount])</f>
        <v>406839287.73200053</v>
      </c>
    </row>
    <row r="2144" spans="1:19" ht="18.75" x14ac:dyDescent="0.25">
      <c r="A2144" s="163" t="s">
        <v>5765</v>
      </c>
      <c r="B2144" s="164">
        <v>45887</v>
      </c>
      <c r="C2144" s="34" t="s">
        <v>734</v>
      </c>
      <c r="D2144" s="53" t="str">
        <f>VLOOKUP(Sales[[#This Row],[Customer ID]],Customer[#All],2,0)</f>
        <v>Ankit Sharma</v>
      </c>
      <c r="E2144" s="34" t="s">
        <v>169</v>
      </c>
      <c r="F2144" s="34" t="str">
        <f>VLOOKUP(Sales[[#This Row],[Product ID]],Product[#All],2,0)</f>
        <v>Dell Monitor</v>
      </c>
      <c r="G2144" s="53">
        <v>2</v>
      </c>
      <c r="H2144" s="165">
        <f>VLOOKUP(Sales[[#This Row],[Product ID]],Product[#All],7,0)</f>
        <v>22680</v>
      </c>
      <c r="I2144" s="165">
        <f>Sales[[#This Row],[Selling Rate]]*Sales[[#This Row],[Qty]]</f>
        <v>45360</v>
      </c>
      <c r="J2144" s="45">
        <v>0.05</v>
      </c>
      <c r="K2144" s="46">
        <f>Sales[[#This Row],[Gross Amount]]*Sales[[#This Row],[Disc %]]</f>
        <v>2268</v>
      </c>
      <c r="L2144" s="43">
        <v>0.18</v>
      </c>
      <c r="M2144" s="46">
        <f>(Sales[[#This Row],[Gross Amount]]-Sales[[#This Row],[Disc. Amt.]])*Sales[[#This Row],[GST %]]</f>
        <v>7756.5599999999995</v>
      </c>
      <c r="N2144" s="161">
        <f>Sales[[#This Row],[Gross Amount]]-Sales[[#This Row],[Disc. Amt.]]+Sales[[#This Row],[GST Amount]]</f>
        <v>50848.56</v>
      </c>
      <c r="O2144" s="34" t="s">
        <v>3566</v>
      </c>
      <c r="P2144" s="34" t="s">
        <v>3562</v>
      </c>
      <c r="Q2144" s="165">
        <f>IF(Sales[[#This Row],[Status]]="Cancelled",0,Sales[[#This Row],[Qty]])</f>
        <v>2</v>
      </c>
      <c r="R2144" s="166">
        <f>IF(Sales[[#This Row],[Status]]="Cancelled",0,Sales[[#This Row],[Total Amount]])</f>
        <v>50848.56</v>
      </c>
      <c r="S2144" s="162">
        <f>SUM(Sales[Net Amount])</f>
        <v>406839287.73200053</v>
      </c>
    </row>
    <row r="2145" spans="1:19" ht="18.75" x14ac:dyDescent="0.25">
      <c r="A2145" s="156" t="s">
        <v>5766</v>
      </c>
      <c r="B2145" s="157">
        <v>45887</v>
      </c>
      <c r="C2145" s="158" t="s">
        <v>738</v>
      </c>
      <c r="D2145" s="159" t="str">
        <f>VLOOKUP(Sales[[#This Row],[Customer ID]],Customer[#All],2,0)</f>
        <v>Pooja Patel</v>
      </c>
      <c r="E2145" s="158" t="s">
        <v>548</v>
      </c>
      <c r="F2145" s="158" t="str">
        <f>VLOOKUP(Sales[[#This Row],[Product ID]],Product[#All],2,0)</f>
        <v>HP Power Adapter</v>
      </c>
      <c r="G2145" s="159">
        <v>7</v>
      </c>
      <c r="H2145" s="160">
        <f>VLOOKUP(Sales[[#This Row],[Product ID]],Product[#All],7,0)</f>
        <v>2470</v>
      </c>
      <c r="I2145" s="160">
        <f>Sales[[#This Row],[Selling Rate]]*Sales[[#This Row],[Qty]]</f>
        <v>17290</v>
      </c>
      <c r="J2145" s="43">
        <v>0.05</v>
      </c>
      <c r="K2145" s="44">
        <f>Sales[[#This Row],[Gross Amount]]*Sales[[#This Row],[Disc %]]</f>
        <v>864.5</v>
      </c>
      <c r="L2145" s="43">
        <v>0.18</v>
      </c>
      <c r="M2145" s="44">
        <f>(Sales[[#This Row],[Gross Amount]]-Sales[[#This Row],[Disc. Amt.]])*Sales[[#This Row],[GST %]]</f>
        <v>2956.5899999999997</v>
      </c>
      <c r="N2145" s="161">
        <f>Sales[[#This Row],[Gross Amount]]-Sales[[#This Row],[Disc. Amt.]]+Sales[[#This Row],[GST Amount]]</f>
        <v>19382.09</v>
      </c>
      <c r="O2145" s="158" t="s">
        <v>3566</v>
      </c>
      <c r="P2145" s="158" t="s">
        <v>3562</v>
      </c>
      <c r="Q2145" s="160">
        <f>IF(Sales[[#This Row],[Status]]="Cancelled",0,Sales[[#This Row],[Qty]])</f>
        <v>7</v>
      </c>
      <c r="R2145" s="161">
        <f>IF(Sales[[#This Row],[Status]]="Cancelled",0,Sales[[#This Row],[Total Amount]])</f>
        <v>19382.09</v>
      </c>
      <c r="S2145" s="162">
        <f>SUM(Sales[Net Amount])</f>
        <v>406839287.73200053</v>
      </c>
    </row>
    <row r="2146" spans="1:19" ht="18.75" x14ac:dyDescent="0.25">
      <c r="A2146" s="163" t="s">
        <v>5767</v>
      </c>
      <c r="B2146" s="164">
        <v>45887</v>
      </c>
      <c r="C2146" s="34" t="s">
        <v>866</v>
      </c>
      <c r="D2146" s="53" t="str">
        <f>VLOOKUP(Sales[[#This Row],[Customer ID]],Customer[#All],2,0)</f>
        <v>Priya Patel</v>
      </c>
      <c r="E2146" s="34" t="s">
        <v>4</v>
      </c>
      <c r="F2146" s="34" t="str">
        <f>VLOOKUP(Sales[[#This Row],[Product ID]],Product[#All],2,0)</f>
        <v>Epson Printer</v>
      </c>
      <c r="G2146" s="53">
        <v>5</v>
      </c>
      <c r="H2146" s="165">
        <f>VLOOKUP(Sales[[#This Row],[Product ID]],Product[#All],7,0)</f>
        <v>45990</v>
      </c>
      <c r="I2146" s="165">
        <f>Sales[[#This Row],[Selling Rate]]*Sales[[#This Row],[Qty]]</f>
        <v>229950</v>
      </c>
      <c r="J2146" s="45">
        <v>0</v>
      </c>
      <c r="K2146" s="46">
        <f>Sales[[#This Row],[Gross Amount]]*Sales[[#This Row],[Disc %]]</f>
        <v>0</v>
      </c>
      <c r="L2146" s="43">
        <v>0.18</v>
      </c>
      <c r="M2146" s="46">
        <f>(Sales[[#This Row],[Gross Amount]]-Sales[[#This Row],[Disc. Amt.]])*Sales[[#This Row],[GST %]]</f>
        <v>41391</v>
      </c>
      <c r="N2146" s="161">
        <f>Sales[[#This Row],[Gross Amount]]-Sales[[#This Row],[Disc. Amt.]]+Sales[[#This Row],[GST Amount]]</f>
        <v>271341</v>
      </c>
      <c r="O2146" s="34" t="s">
        <v>3569</v>
      </c>
      <c r="P2146" s="34" t="s">
        <v>3562</v>
      </c>
      <c r="Q2146" s="165">
        <f>IF(Sales[[#This Row],[Status]]="Cancelled",0,Sales[[#This Row],[Qty]])</f>
        <v>5</v>
      </c>
      <c r="R2146" s="166">
        <f>IF(Sales[[#This Row],[Status]]="Cancelled",0,Sales[[#This Row],[Total Amount]])</f>
        <v>271341</v>
      </c>
      <c r="S2146" s="162">
        <f>SUM(Sales[Net Amount])</f>
        <v>406839287.73200053</v>
      </c>
    </row>
    <row r="2147" spans="1:19" ht="18.75" x14ac:dyDescent="0.25">
      <c r="A2147" s="156" t="s">
        <v>5768</v>
      </c>
      <c r="B2147" s="157">
        <v>45887</v>
      </c>
      <c r="C2147" s="158" t="s">
        <v>715</v>
      </c>
      <c r="D2147" s="159" t="str">
        <f>VLOOKUP(Sales[[#This Row],[Customer ID]],Customer[#All],2,0)</f>
        <v>Sunita Patel</v>
      </c>
      <c r="E2147" s="158" t="s">
        <v>35</v>
      </c>
      <c r="F2147" s="158" t="str">
        <f>VLOOKUP(Sales[[#This Row],[Product ID]],Product[#All],2,0)</f>
        <v>Dell Keyboard</v>
      </c>
      <c r="G2147" s="159">
        <v>1</v>
      </c>
      <c r="H2147" s="160">
        <f>VLOOKUP(Sales[[#This Row],[Product ID]],Product[#All],7,0)</f>
        <v>3560</v>
      </c>
      <c r="I2147" s="160">
        <f>Sales[[#This Row],[Selling Rate]]*Sales[[#This Row],[Qty]]</f>
        <v>3560</v>
      </c>
      <c r="J2147" s="43">
        <v>0.15</v>
      </c>
      <c r="K2147" s="44">
        <f>Sales[[#This Row],[Gross Amount]]*Sales[[#This Row],[Disc %]]</f>
        <v>534</v>
      </c>
      <c r="L2147" s="43">
        <v>0.18</v>
      </c>
      <c r="M2147" s="44">
        <f>(Sales[[#This Row],[Gross Amount]]-Sales[[#This Row],[Disc. Amt.]])*Sales[[#This Row],[GST %]]</f>
        <v>544.67999999999995</v>
      </c>
      <c r="N2147" s="161">
        <f>Sales[[#This Row],[Gross Amount]]-Sales[[#This Row],[Disc. Amt.]]+Sales[[#This Row],[GST Amount]]</f>
        <v>3570.68</v>
      </c>
      <c r="O2147" s="158" t="s">
        <v>3569</v>
      </c>
      <c r="P2147" s="158" t="s">
        <v>3562</v>
      </c>
      <c r="Q2147" s="160">
        <f>IF(Sales[[#This Row],[Status]]="Cancelled",0,Sales[[#This Row],[Qty]])</f>
        <v>1</v>
      </c>
      <c r="R2147" s="161">
        <f>IF(Sales[[#This Row],[Status]]="Cancelled",0,Sales[[#This Row],[Total Amount]])</f>
        <v>3570.68</v>
      </c>
      <c r="S2147" s="162">
        <f>SUM(Sales[Net Amount])</f>
        <v>406839287.73200053</v>
      </c>
    </row>
    <row r="2148" spans="1:19" ht="18.75" x14ac:dyDescent="0.25">
      <c r="A2148" s="163" t="s">
        <v>5769</v>
      </c>
      <c r="B2148" s="164">
        <v>45887</v>
      </c>
      <c r="C2148" s="34" t="s">
        <v>672</v>
      </c>
      <c r="D2148" s="53" t="str">
        <f>VLOOKUP(Sales[[#This Row],[Customer ID]],Customer[#All],2,0)</f>
        <v>Rahul Patel</v>
      </c>
      <c r="E2148" s="34" t="s">
        <v>87</v>
      </c>
      <c r="F2148" s="34" t="str">
        <f>VLOOKUP(Sales[[#This Row],[Product ID]],Product[#All],2,0)</f>
        <v>Boat Headset</v>
      </c>
      <c r="G2148" s="53">
        <v>6</v>
      </c>
      <c r="H2148" s="165">
        <f>VLOOKUP(Sales[[#This Row],[Product ID]],Product[#All],7,0)</f>
        <v>1040</v>
      </c>
      <c r="I2148" s="165">
        <f>Sales[[#This Row],[Selling Rate]]*Sales[[#This Row],[Qty]]</f>
        <v>6240</v>
      </c>
      <c r="J2148" s="45">
        <v>0</v>
      </c>
      <c r="K2148" s="46">
        <f>Sales[[#This Row],[Gross Amount]]*Sales[[#This Row],[Disc %]]</f>
        <v>0</v>
      </c>
      <c r="L2148" s="43">
        <v>0.18</v>
      </c>
      <c r="M2148" s="46">
        <f>(Sales[[#This Row],[Gross Amount]]-Sales[[#This Row],[Disc. Amt.]])*Sales[[#This Row],[GST %]]</f>
        <v>1123.2</v>
      </c>
      <c r="N2148" s="161">
        <f>Sales[[#This Row],[Gross Amount]]-Sales[[#This Row],[Disc. Amt.]]+Sales[[#This Row],[GST Amount]]</f>
        <v>7363.2</v>
      </c>
      <c r="O2148" s="34" t="s">
        <v>3566</v>
      </c>
      <c r="P2148" s="34" t="s">
        <v>3562</v>
      </c>
      <c r="Q2148" s="165">
        <f>IF(Sales[[#This Row],[Status]]="Cancelled",0,Sales[[#This Row],[Qty]])</f>
        <v>6</v>
      </c>
      <c r="R2148" s="166">
        <f>IF(Sales[[#This Row],[Status]]="Cancelled",0,Sales[[#This Row],[Total Amount]])</f>
        <v>7363.2</v>
      </c>
      <c r="S2148" s="162">
        <f>SUM(Sales[Net Amount])</f>
        <v>406839287.73200053</v>
      </c>
    </row>
    <row r="2149" spans="1:19" ht="18.75" x14ac:dyDescent="0.25">
      <c r="A2149" s="156" t="s">
        <v>5770</v>
      </c>
      <c r="B2149" s="157">
        <v>45887</v>
      </c>
      <c r="C2149" s="158" t="s">
        <v>853</v>
      </c>
      <c r="D2149" s="159" t="str">
        <f>VLOOKUP(Sales[[#This Row],[Customer ID]],Customer[#All],2,0)</f>
        <v>Amit Singh</v>
      </c>
      <c r="E2149" s="158" t="s">
        <v>380</v>
      </c>
      <c r="F2149" s="158" t="str">
        <f>VLOOKUP(Sales[[#This Row],[Product ID]],Product[#All],2,0)</f>
        <v>Acer Laptop</v>
      </c>
      <c r="G2149" s="159">
        <v>1</v>
      </c>
      <c r="H2149" s="160">
        <f>VLOOKUP(Sales[[#This Row],[Product ID]],Product[#All],7,0)</f>
        <v>91320</v>
      </c>
      <c r="I2149" s="160">
        <f>Sales[[#This Row],[Selling Rate]]*Sales[[#This Row],[Qty]]</f>
        <v>91320</v>
      </c>
      <c r="J2149" s="43">
        <v>0.1</v>
      </c>
      <c r="K2149" s="44">
        <f>Sales[[#This Row],[Gross Amount]]*Sales[[#This Row],[Disc %]]</f>
        <v>9132</v>
      </c>
      <c r="L2149" s="43">
        <v>0.18</v>
      </c>
      <c r="M2149" s="44">
        <f>(Sales[[#This Row],[Gross Amount]]-Sales[[#This Row],[Disc. Amt.]])*Sales[[#This Row],[GST %]]</f>
        <v>14793.84</v>
      </c>
      <c r="N2149" s="161">
        <f>Sales[[#This Row],[Gross Amount]]-Sales[[#This Row],[Disc. Amt.]]+Sales[[#This Row],[GST Amount]]</f>
        <v>96981.84</v>
      </c>
      <c r="O2149" s="158" t="s">
        <v>3569</v>
      </c>
      <c r="P2149" s="158" t="s">
        <v>3562</v>
      </c>
      <c r="Q2149" s="160">
        <f>IF(Sales[[#This Row],[Status]]="Cancelled",0,Sales[[#This Row],[Qty]])</f>
        <v>1</v>
      </c>
      <c r="R2149" s="161">
        <f>IF(Sales[[#This Row],[Status]]="Cancelled",0,Sales[[#This Row],[Total Amount]])</f>
        <v>96981.84</v>
      </c>
      <c r="S2149" s="162">
        <f>SUM(Sales[Net Amount])</f>
        <v>406839287.73200053</v>
      </c>
    </row>
    <row r="2150" spans="1:19" ht="18.75" x14ac:dyDescent="0.25">
      <c r="A2150" s="163" t="s">
        <v>5771</v>
      </c>
      <c r="B2150" s="164">
        <v>45887</v>
      </c>
      <c r="C2150" s="34" t="s">
        <v>741</v>
      </c>
      <c r="D2150" s="53" t="str">
        <f>VLOOKUP(Sales[[#This Row],[Customer ID]],Customer[#All],2,0)</f>
        <v>Rahul Patel</v>
      </c>
      <c r="E2150" s="34" t="s">
        <v>200</v>
      </c>
      <c r="F2150" s="34" t="str">
        <f>VLOOKUP(Sales[[#This Row],[Product ID]],Product[#All],2,0)</f>
        <v>Logitech Webcam</v>
      </c>
      <c r="G2150" s="53">
        <v>3</v>
      </c>
      <c r="H2150" s="165">
        <f>VLOOKUP(Sales[[#This Row],[Product ID]],Product[#All],7,0)</f>
        <v>5040</v>
      </c>
      <c r="I2150" s="165">
        <f>Sales[[#This Row],[Selling Rate]]*Sales[[#This Row],[Qty]]</f>
        <v>15120</v>
      </c>
      <c r="J2150" s="45">
        <v>0</v>
      </c>
      <c r="K2150" s="46">
        <f>Sales[[#This Row],[Gross Amount]]*Sales[[#This Row],[Disc %]]</f>
        <v>0</v>
      </c>
      <c r="L2150" s="43">
        <v>0.18</v>
      </c>
      <c r="M2150" s="46">
        <f>(Sales[[#This Row],[Gross Amount]]-Sales[[#This Row],[Disc. Amt.]])*Sales[[#This Row],[GST %]]</f>
        <v>2721.6</v>
      </c>
      <c r="N2150" s="161">
        <f>Sales[[#This Row],[Gross Amount]]-Sales[[#This Row],[Disc. Amt.]]+Sales[[#This Row],[GST Amount]]</f>
        <v>17841.599999999999</v>
      </c>
      <c r="O2150" s="34" t="s">
        <v>8876</v>
      </c>
      <c r="P2150" s="34" t="s">
        <v>1040</v>
      </c>
      <c r="Q2150" s="165">
        <f>IF(Sales[[#This Row],[Status]]="Cancelled",0,Sales[[#This Row],[Qty]])</f>
        <v>0</v>
      </c>
      <c r="R2150" s="166">
        <f>IF(Sales[[#This Row],[Status]]="Cancelled",0,Sales[[#This Row],[Total Amount]])</f>
        <v>0</v>
      </c>
      <c r="S2150" s="162">
        <f>SUM(Sales[Net Amount])</f>
        <v>406839287.73200053</v>
      </c>
    </row>
    <row r="2151" spans="1:19" ht="18.75" x14ac:dyDescent="0.25">
      <c r="A2151" s="156" t="s">
        <v>5772</v>
      </c>
      <c r="B2151" s="157">
        <v>45887</v>
      </c>
      <c r="C2151" s="158" t="s">
        <v>916</v>
      </c>
      <c r="D2151" s="159" t="str">
        <f>VLOOKUP(Sales[[#This Row],[Customer ID]],Customer[#All],2,0)</f>
        <v>Ankit Singh</v>
      </c>
      <c r="E2151" s="158" t="s">
        <v>423</v>
      </c>
      <c r="F2151" s="158" t="str">
        <f>VLOOKUP(Sales[[#This Row],[Product ID]],Product[#All],2,0)</f>
        <v>HP Laptop</v>
      </c>
      <c r="G2151" s="159">
        <v>8</v>
      </c>
      <c r="H2151" s="160">
        <f>VLOOKUP(Sales[[#This Row],[Product ID]],Product[#All],7,0)</f>
        <v>40880</v>
      </c>
      <c r="I2151" s="160">
        <f>Sales[[#This Row],[Selling Rate]]*Sales[[#This Row],[Qty]]</f>
        <v>327040</v>
      </c>
      <c r="J2151" s="43">
        <v>0.12</v>
      </c>
      <c r="K2151" s="44">
        <f>Sales[[#This Row],[Gross Amount]]*Sales[[#This Row],[Disc %]]</f>
        <v>39244.799999999996</v>
      </c>
      <c r="L2151" s="43">
        <v>0.18</v>
      </c>
      <c r="M2151" s="44">
        <f>(Sales[[#This Row],[Gross Amount]]-Sales[[#This Row],[Disc. Amt.]])*Sales[[#This Row],[GST %]]</f>
        <v>51803.135999999999</v>
      </c>
      <c r="N2151" s="161">
        <f>Sales[[#This Row],[Gross Amount]]-Sales[[#This Row],[Disc. Amt.]]+Sales[[#This Row],[GST Amount]]</f>
        <v>339598.33600000001</v>
      </c>
      <c r="O2151" s="158" t="s">
        <v>3561</v>
      </c>
      <c r="P2151" s="158" t="s">
        <v>3562</v>
      </c>
      <c r="Q2151" s="160">
        <f>IF(Sales[[#This Row],[Status]]="Cancelled",0,Sales[[#This Row],[Qty]])</f>
        <v>8</v>
      </c>
      <c r="R2151" s="161">
        <f>IF(Sales[[#This Row],[Status]]="Cancelled",0,Sales[[#This Row],[Total Amount]])</f>
        <v>339598.33600000001</v>
      </c>
      <c r="S2151" s="162">
        <f>SUM(Sales[Net Amount])</f>
        <v>406839287.73200053</v>
      </c>
    </row>
    <row r="2152" spans="1:19" ht="18.75" x14ac:dyDescent="0.25">
      <c r="A2152" s="163" t="s">
        <v>5773</v>
      </c>
      <c r="B2152" s="164">
        <v>45887</v>
      </c>
      <c r="C2152" s="34" t="s">
        <v>729</v>
      </c>
      <c r="D2152" s="53" t="str">
        <f>VLOOKUP(Sales[[#This Row],[Customer ID]],Customer[#All],2,0)</f>
        <v>Ankit Kumar</v>
      </c>
      <c r="E2152" s="34" t="s">
        <v>488</v>
      </c>
      <c r="F2152" s="34" t="str">
        <f>VLOOKUP(Sales[[#This Row],[Product ID]],Product[#All],2,0)</f>
        <v>Samsung Monitor</v>
      </c>
      <c r="G2152" s="53">
        <v>2</v>
      </c>
      <c r="H2152" s="165">
        <f>VLOOKUP(Sales[[#This Row],[Product ID]],Product[#All],7,0)</f>
        <v>32720</v>
      </c>
      <c r="I2152" s="165">
        <f>Sales[[#This Row],[Selling Rate]]*Sales[[#This Row],[Qty]]</f>
        <v>65440</v>
      </c>
      <c r="J2152" s="45">
        <v>0</v>
      </c>
      <c r="K2152" s="46">
        <f>Sales[[#This Row],[Gross Amount]]*Sales[[#This Row],[Disc %]]</f>
        <v>0</v>
      </c>
      <c r="L2152" s="43">
        <v>0.18</v>
      </c>
      <c r="M2152" s="46">
        <f>(Sales[[#This Row],[Gross Amount]]-Sales[[#This Row],[Disc. Amt.]])*Sales[[#This Row],[GST %]]</f>
        <v>11779.199999999999</v>
      </c>
      <c r="N2152" s="161">
        <f>Sales[[#This Row],[Gross Amount]]-Sales[[#This Row],[Disc. Amt.]]+Sales[[#This Row],[GST Amount]]</f>
        <v>77219.199999999997</v>
      </c>
      <c r="O2152" s="34" t="s">
        <v>3569</v>
      </c>
      <c r="P2152" s="34" t="s">
        <v>3562</v>
      </c>
      <c r="Q2152" s="165">
        <f>IF(Sales[[#This Row],[Status]]="Cancelled",0,Sales[[#This Row],[Qty]])</f>
        <v>2</v>
      </c>
      <c r="R2152" s="166">
        <f>IF(Sales[[#This Row],[Status]]="Cancelled",0,Sales[[#This Row],[Total Amount]])</f>
        <v>77219.199999999997</v>
      </c>
      <c r="S2152" s="162">
        <f>SUM(Sales[Net Amount])</f>
        <v>406839287.73200053</v>
      </c>
    </row>
    <row r="2153" spans="1:19" ht="18.75" x14ac:dyDescent="0.25">
      <c r="A2153" s="156" t="s">
        <v>5774</v>
      </c>
      <c r="B2153" s="157">
        <v>45887</v>
      </c>
      <c r="C2153" s="158" t="s">
        <v>741</v>
      </c>
      <c r="D2153" s="159" t="str">
        <f>VLOOKUP(Sales[[#This Row],[Customer ID]],Customer[#All],2,0)</f>
        <v>Rahul Patel</v>
      </c>
      <c r="E2153" s="158" t="s">
        <v>269</v>
      </c>
      <c r="F2153" s="158" t="str">
        <f>VLOOKUP(Sales[[#This Row],[Product ID]],Product[#All],2,0)</f>
        <v>Dell Monitor</v>
      </c>
      <c r="G2153" s="159">
        <v>5</v>
      </c>
      <c r="H2153" s="160">
        <f>VLOOKUP(Sales[[#This Row],[Product ID]],Product[#All],7,0)</f>
        <v>11390</v>
      </c>
      <c r="I2153" s="160">
        <f>Sales[[#This Row],[Selling Rate]]*Sales[[#This Row],[Qty]]</f>
        <v>56950</v>
      </c>
      <c r="J2153" s="43">
        <v>0</v>
      </c>
      <c r="K2153" s="44">
        <f>Sales[[#This Row],[Gross Amount]]*Sales[[#This Row],[Disc %]]</f>
        <v>0</v>
      </c>
      <c r="L2153" s="43">
        <v>0.18</v>
      </c>
      <c r="M2153" s="44">
        <f>(Sales[[#This Row],[Gross Amount]]-Sales[[#This Row],[Disc. Amt.]])*Sales[[#This Row],[GST %]]</f>
        <v>10251</v>
      </c>
      <c r="N2153" s="161">
        <f>Sales[[#This Row],[Gross Amount]]-Sales[[#This Row],[Disc. Amt.]]+Sales[[#This Row],[GST Amount]]</f>
        <v>67201</v>
      </c>
      <c r="O2153" s="158" t="s">
        <v>3561</v>
      </c>
      <c r="P2153" s="158" t="s">
        <v>3562</v>
      </c>
      <c r="Q2153" s="160">
        <f>IF(Sales[[#This Row],[Status]]="Cancelled",0,Sales[[#This Row],[Qty]])</f>
        <v>5</v>
      </c>
      <c r="R2153" s="161">
        <f>IF(Sales[[#This Row],[Status]]="Cancelled",0,Sales[[#This Row],[Total Amount]])</f>
        <v>67201</v>
      </c>
      <c r="S2153" s="162">
        <f>SUM(Sales[Net Amount])</f>
        <v>406839287.73200053</v>
      </c>
    </row>
    <row r="2154" spans="1:19" ht="18.75" x14ac:dyDescent="0.25">
      <c r="A2154" s="163" t="s">
        <v>5775</v>
      </c>
      <c r="B2154" s="164">
        <v>45887</v>
      </c>
      <c r="C2154" s="34" t="s">
        <v>828</v>
      </c>
      <c r="D2154" s="53" t="str">
        <f>VLOOKUP(Sales[[#This Row],[Customer ID]],Customer[#All],2,0)</f>
        <v>Ankit Verma</v>
      </c>
      <c r="E2154" s="34" t="s">
        <v>245</v>
      </c>
      <c r="F2154" s="34" t="str">
        <f>VLOOKUP(Sales[[#This Row],[Product ID]],Product[#All],2,0)</f>
        <v>HP Printer</v>
      </c>
      <c r="G2154" s="53">
        <v>4</v>
      </c>
      <c r="H2154" s="165">
        <f>VLOOKUP(Sales[[#This Row],[Product ID]],Product[#All],7,0)</f>
        <v>11410</v>
      </c>
      <c r="I2154" s="165">
        <f>Sales[[#This Row],[Selling Rate]]*Sales[[#This Row],[Qty]]</f>
        <v>45640</v>
      </c>
      <c r="J2154" s="45">
        <v>0</v>
      </c>
      <c r="K2154" s="46">
        <f>Sales[[#This Row],[Gross Amount]]*Sales[[#This Row],[Disc %]]</f>
        <v>0</v>
      </c>
      <c r="L2154" s="43">
        <v>0.18</v>
      </c>
      <c r="M2154" s="46">
        <f>(Sales[[#This Row],[Gross Amount]]-Sales[[#This Row],[Disc. Amt.]])*Sales[[#This Row],[GST %]]</f>
        <v>8215.1999999999989</v>
      </c>
      <c r="N2154" s="161">
        <f>Sales[[#This Row],[Gross Amount]]-Sales[[#This Row],[Disc. Amt.]]+Sales[[#This Row],[GST Amount]]</f>
        <v>53855.199999999997</v>
      </c>
      <c r="O2154" s="34" t="s">
        <v>8876</v>
      </c>
      <c r="P2154" s="34" t="s">
        <v>3562</v>
      </c>
      <c r="Q2154" s="165">
        <f>IF(Sales[[#This Row],[Status]]="Cancelled",0,Sales[[#This Row],[Qty]])</f>
        <v>4</v>
      </c>
      <c r="R2154" s="166">
        <f>IF(Sales[[#This Row],[Status]]="Cancelled",0,Sales[[#This Row],[Total Amount]])</f>
        <v>53855.199999999997</v>
      </c>
      <c r="S2154" s="162">
        <f>SUM(Sales[Net Amount])</f>
        <v>406839287.73200053</v>
      </c>
    </row>
    <row r="2155" spans="1:19" ht="18.75" x14ac:dyDescent="0.25">
      <c r="A2155" s="156" t="s">
        <v>5776</v>
      </c>
      <c r="B2155" s="157">
        <v>45887</v>
      </c>
      <c r="C2155" s="158" t="s">
        <v>758</v>
      </c>
      <c r="D2155" s="159" t="str">
        <f>VLOOKUP(Sales[[#This Row],[Customer ID]],Customer[#All],2,0)</f>
        <v>Rahul Verma</v>
      </c>
      <c r="E2155" s="158" t="s">
        <v>28</v>
      </c>
      <c r="F2155" s="158" t="str">
        <f>VLOOKUP(Sales[[#This Row],[Product ID]],Product[#All],2,0)</f>
        <v>Lenovo Laptop</v>
      </c>
      <c r="G2155" s="159">
        <v>7</v>
      </c>
      <c r="H2155" s="160">
        <f>VLOOKUP(Sales[[#This Row],[Product ID]],Product[#All],7,0)</f>
        <v>86330</v>
      </c>
      <c r="I2155" s="160">
        <f>Sales[[#This Row],[Selling Rate]]*Sales[[#This Row],[Qty]]</f>
        <v>604310</v>
      </c>
      <c r="J2155" s="43">
        <v>0.1</v>
      </c>
      <c r="K2155" s="44">
        <f>Sales[[#This Row],[Gross Amount]]*Sales[[#This Row],[Disc %]]</f>
        <v>60431</v>
      </c>
      <c r="L2155" s="43">
        <v>0.18</v>
      </c>
      <c r="M2155" s="44">
        <f>(Sales[[#This Row],[Gross Amount]]-Sales[[#This Row],[Disc. Amt.]])*Sales[[#This Row],[GST %]]</f>
        <v>97898.22</v>
      </c>
      <c r="N2155" s="161">
        <f>Sales[[#This Row],[Gross Amount]]-Sales[[#This Row],[Disc. Amt.]]+Sales[[#This Row],[GST Amount]]</f>
        <v>641777.22</v>
      </c>
      <c r="O2155" s="158" t="s">
        <v>3561</v>
      </c>
      <c r="P2155" s="158" t="s">
        <v>3562</v>
      </c>
      <c r="Q2155" s="160">
        <f>IF(Sales[[#This Row],[Status]]="Cancelled",0,Sales[[#This Row],[Qty]])</f>
        <v>7</v>
      </c>
      <c r="R2155" s="161">
        <f>IF(Sales[[#This Row],[Status]]="Cancelled",0,Sales[[#This Row],[Total Amount]])</f>
        <v>641777.22</v>
      </c>
      <c r="S2155" s="162">
        <f>SUM(Sales[Net Amount])</f>
        <v>406839287.73200053</v>
      </c>
    </row>
    <row r="2156" spans="1:19" ht="18.75" x14ac:dyDescent="0.25">
      <c r="A2156" s="163" t="s">
        <v>5777</v>
      </c>
      <c r="B2156" s="164">
        <v>45887</v>
      </c>
      <c r="C2156" s="34" t="s">
        <v>934</v>
      </c>
      <c r="D2156" s="53" t="str">
        <f>VLOOKUP(Sales[[#This Row],[Customer ID]],Customer[#All],2,0)</f>
        <v>Pooja Singh</v>
      </c>
      <c r="E2156" s="34" t="s">
        <v>114</v>
      </c>
      <c r="F2156" s="34" t="str">
        <f>VLOOKUP(Sales[[#This Row],[Product ID]],Product[#All],2,0)</f>
        <v>Apc UPS</v>
      </c>
      <c r="G2156" s="53">
        <v>2</v>
      </c>
      <c r="H2156" s="165">
        <f>VLOOKUP(Sales[[#This Row],[Product ID]],Product[#All],7,0)</f>
        <v>17310</v>
      </c>
      <c r="I2156" s="165">
        <f>Sales[[#This Row],[Selling Rate]]*Sales[[#This Row],[Qty]]</f>
        <v>34620</v>
      </c>
      <c r="J2156" s="45">
        <v>0.15</v>
      </c>
      <c r="K2156" s="46">
        <f>Sales[[#This Row],[Gross Amount]]*Sales[[#This Row],[Disc %]]</f>
        <v>5193</v>
      </c>
      <c r="L2156" s="43">
        <v>0.18</v>
      </c>
      <c r="M2156" s="46">
        <f>(Sales[[#This Row],[Gross Amount]]-Sales[[#This Row],[Disc. Amt.]])*Sales[[#This Row],[GST %]]</f>
        <v>5296.86</v>
      </c>
      <c r="N2156" s="161">
        <f>Sales[[#This Row],[Gross Amount]]-Sales[[#This Row],[Disc. Amt.]]+Sales[[#This Row],[GST Amount]]</f>
        <v>34723.86</v>
      </c>
      <c r="O2156" s="34" t="s">
        <v>3566</v>
      </c>
      <c r="P2156" s="34" t="s">
        <v>3562</v>
      </c>
      <c r="Q2156" s="165">
        <f>IF(Sales[[#This Row],[Status]]="Cancelled",0,Sales[[#This Row],[Qty]])</f>
        <v>2</v>
      </c>
      <c r="R2156" s="166">
        <f>IF(Sales[[#This Row],[Status]]="Cancelled",0,Sales[[#This Row],[Total Amount]])</f>
        <v>34723.86</v>
      </c>
      <c r="S2156" s="162">
        <f>SUM(Sales[Net Amount])</f>
        <v>406839287.73200053</v>
      </c>
    </row>
    <row r="2157" spans="1:19" ht="18.75" x14ac:dyDescent="0.25">
      <c r="A2157" s="156" t="s">
        <v>5778</v>
      </c>
      <c r="B2157" s="157">
        <v>45887</v>
      </c>
      <c r="C2157" s="158" t="s">
        <v>5779</v>
      </c>
      <c r="D2157" s="159" t="str">
        <f>VLOOKUP(Sales[[#This Row],[Customer ID]],Customer[#All],2,0)</f>
        <v>Pooja Verma</v>
      </c>
      <c r="E2157" s="158" t="s">
        <v>475</v>
      </c>
      <c r="F2157" s="158" t="str">
        <f>VLOOKUP(Sales[[#This Row],[Product ID]],Product[#All],2,0)</f>
        <v>TP-link Bluetooth Adapter</v>
      </c>
      <c r="G2157" s="159">
        <v>2</v>
      </c>
      <c r="H2157" s="160">
        <f>VLOOKUP(Sales[[#This Row],[Product ID]],Product[#All],7,0)</f>
        <v>1430</v>
      </c>
      <c r="I2157" s="160">
        <f>Sales[[#This Row],[Selling Rate]]*Sales[[#This Row],[Qty]]</f>
        <v>2860</v>
      </c>
      <c r="J2157" s="43">
        <v>0.1</v>
      </c>
      <c r="K2157" s="44">
        <f>Sales[[#This Row],[Gross Amount]]*Sales[[#This Row],[Disc %]]</f>
        <v>286</v>
      </c>
      <c r="L2157" s="43">
        <v>0.18</v>
      </c>
      <c r="M2157" s="44">
        <f>(Sales[[#This Row],[Gross Amount]]-Sales[[#This Row],[Disc. Amt.]])*Sales[[#This Row],[GST %]]</f>
        <v>463.32</v>
      </c>
      <c r="N2157" s="161">
        <f>Sales[[#This Row],[Gross Amount]]-Sales[[#This Row],[Disc. Amt.]]+Sales[[#This Row],[GST Amount]]</f>
        <v>3037.32</v>
      </c>
      <c r="O2157" s="158" t="s">
        <v>3561</v>
      </c>
      <c r="P2157" s="158" t="s">
        <v>3562</v>
      </c>
      <c r="Q2157" s="160">
        <f>IF(Sales[[#This Row],[Status]]="Cancelled",0,Sales[[#This Row],[Qty]])</f>
        <v>2</v>
      </c>
      <c r="R2157" s="161">
        <f>IF(Sales[[#This Row],[Status]]="Cancelled",0,Sales[[#This Row],[Total Amount]])</f>
        <v>3037.32</v>
      </c>
      <c r="S2157" s="162">
        <f>SUM(Sales[Net Amount])</f>
        <v>406839287.73200053</v>
      </c>
    </row>
    <row r="2158" spans="1:19" ht="18.75" x14ac:dyDescent="0.25">
      <c r="A2158" s="163" t="s">
        <v>5780</v>
      </c>
      <c r="B2158" s="164">
        <v>45888</v>
      </c>
      <c r="C2158" s="34" t="s">
        <v>670</v>
      </c>
      <c r="D2158" s="53" t="str">
        <f>VLOOKUP(Sales[[#This Row],[Customer ID]],Customer[#All],2,0)</f>
        <v>Rakesh Patel</v>
      </c>
      <c r="E2158" s="34" t="s">
        <v>201</v>
      </c>
      <c r="F2158" s="34" t="str">
        <f>VLOOKUP(Sales[[#This Row],[Product ID]],Product[#All],2,0)</f>
        <v>Jbl Headset</v>
      </c>
      <c r="G2158" s="53">
        <v>1</v>
      </c>
      <c r="H2158" s="165">
        <f>VLOOKUP(Sales[[#This Row],[Product ID]],Product[#All],7,0)</f>
        <v>2580</v>
      </c>
      <c r="I2158" s="165">
        <f>Sales[[#This Row],[Selling Rate]]*Sales[[#This Row],[Qty]]</f>
        <v>2580</v>
      </c>
      <c r="J2158" s="45">
        <v>0.05</v>
      </c>
      <c r="K2158" s="46">
        <f>Sales[[#This Row],[Gross Amount]]*Sales[[#This Row],[Disc %]]</f>
        <v>129</v>
      </c>
      <c r="L2158" s="43">
        <v>0.18</v>
      </c>
      <c r="M2158" s="46">
        <f>(Sales[[#This Row],[Gross Amount]]-Sales[[#This Row],[Disc. Amt.]])*Sales[[#This Row],[GST %]]</f>
        <v>441.18</v>
      </c>
      <c r="N2158" s="161">
        <f>Sales[[#This Row],[Gross Amount]]-Sales[[#This Row],[Disc. Amt.]]+Sales[[#This Row],[GST Amount]]</f>
        <v>2892.18</v>
      </c>
      <c r="O2158" s="34" t="s">
        <v>8876</v>
      </c>
      <c r="P2158" s="34" t="s">
        <v>3562</v>
      </c>
      <c r="Q2158" s="165">
        <f>IF(Sales[[#This Row],[Status]]="Cancelled",0,Sales[[#This Row],[Qty]])</f>
        <v>1</v>
      </c>
      <c r="R2158" s="166">
        <f>IF(Sales[[#This Row],[Status]]="Cancelled",0,Sales[[#This Row],[Total Amount]])</f>
        <v>2892.18</v>
      </c>
      <c r="S2158" s="162">
        <f>SUM(Sales[Net Amount])</f>
        <v>406839287.73200053</v>
      </c>
    </row>
    <row r="2159" spans="1:19" ht="18.75" x14ac:dyDescent="0.25">
      <c r="A2159" s="156" t="s">
        <v>5781</v>
      </c>
      <c r="B2159" s="157">
        <v>45888</v>
      </c>
      <c r="C2159" s="158" t="s">
        <v>952</v>
      </c>
      <c r="D2159" s="159" t="str">
        <f>VLOOKUP(Sales[[#This Row],[Customer ID]],Customer[#All],2,0)</f>
        <v>Pooja Singh</v>
      </c>
      <c r="E2159" s="158" t="s">
        <v>221</v>
      </c>
      <c r="F2159" s="158" t="str">
        <f>VLOOKUP(Sales[[#This Row],[Product ID]],Product[#All],2,0)</f>
        <v>TP-link Wi-Fi Adapter</v>
      </c>
      <c r="G2159" s="159">
        <v>2</v>
      </c>
      <c r="H2159" s="160">
        <f>VLOOKUP(Sales[[#This Row],[Product ID]],Product[#All],7,0)</f>
        <v>2920</v>
      </c>
      <c r="I2159" s="160">
        <f>Sales[[#This Row],[Selling Rate]]*Sales[[#This Row],[Qty]]</f>
        <v>5840</v>
      </c>
      <c r="J2159" s="43">
        <v>0</v>
      </c>
      <c r="K2159" s="44">
        <f>Sales[[#This Row],[Gross Amount]]*Sales[[#This Row],[Disc %]]</f>
        <v>0</v>
      </c>
      <c r="L2159" s="43">
        <v>0.18</v>
      </c>
      <c r="M2159" s="44">
        <f>(Sales[[#This Row],[Gross Amount]]-Sales[[#This Row],[Disc. Amt.]])*Sales[[#This Row],[GST %]]</f>
        <v>1051.2</v>
      </c>
      <c r="N2159" s="161">
        <f>Sales[[#This Row],[Gross Amount]]-Sales[[#This Row],[Disc. Amt.]]+Sales[[#This Row],[GST Amount]]</f>
        <v>6891.2</v>
      </c>
      <c r="O2159" s="158" t="s">
        <v>3566</v>
      </c>
      <c r="P2159" s="158" t="s">
        <v>3562</v>
      </c>
      <c r="Q2159" s="160">
        <f>IF(Sales[[#This Row],[Status]]="Cancelled",0,Sales[[#This Row],[Qty]])</f>
        <v>2</v>
      </c>
      <c r="R2159" s="161">
        <f>IF(Sales[[#This Row],[Status]]="Cancelled",0,Sales[[#This Row],[Total Amount]])</f>
        <v>6891.2</v>
      </c>
      <c r="S2159" s="162">
        <f>SUM(Sales[Net Amount])</f>
        <v>406839287.73200053</v>
      </c>
    </row>
    <row r="2160" spans="1:19" ht="18.75" x14ac:dyDescent="0.25">
      <c r="A2160" s="163" t="s">
        <v>5782</v>
      </c>
      <c r="B2160" s="164">
        <v>45888</v>
      </c>
      <c r="C2160" s="34" t="s">
        <v>885</v>
      </c>
      <c r="D2160" s="53" t="str">
        <f>VLOOKUP(Sales[[#This Row],[Customer ID]],Customer[#All],2,0)</f>
        <v>Pooja Verma</v>
      </c>
      <c r="E2160" s="34" t="s">
        <v>276</v>
      </c>
      <c r="F2160" s="34" t="str">
        <f>VLOOKUP(Sales[[#This Row],[Product ID]],Product[#All],2,0)</f>
        <v>Corsair Ram</v>
      </c>
      <c r="G2160" s="53">
        <v>4</v>
      </c>
      <c r="H2160" s="165">
        <f>VLOOKUP(Sales[[#This Row],[Product ID]],Product[#All],7,0)</f>
        <v>7140</v>
      </c>
      <c r="I2160" s="165">
        <f>Sales[[#This Row],[Selling Rate]]*Sales[[#This Row],[Qty]]</f>
        <v>28560</v>
      </c>
      <c r="J2160" s="45">
        <v>0.15</v>
      </c>
      <c r="K2160" s="46">
        <f>Sales[[#This Row],[Gross Amount]]*Sales[[#This Row],[Disc %]]</f>
        <v>4284</v>
      </c>
      <c r="L2160" s="43">
        <v>0.18</v>
      </c>
      <c r="M2160" s="46">
        <f>(Sales[[#This Row],[Gross Amount]]-Sales[[#This Row],[Disc. Amt.]])*Sales[[#This Row],[GST %]]</f>
        <v>4369.68</v>
      </c>
      <c r="N2160" s="161">
        <f>Sales[[#This Row],[Gross Amount]]-Sales[[#This Row],[Disc. Amt.]]+Sales[[#This Row],[GST Amount]]</f>
        <v>28645.68</v>
      </c>
      <c r="O2160" s="34" t="s">
        <v>3569</v>
      </c>
      <c r="P2160" s="34" t="s">
        <v>3562</v>
      </c>
      <c r="Q2160" s="165">
        <f>IF(Sales[[#This Row],[Status]]="Cancelled",0,Sales[[#This Row],[Qty]])</f>
        <v>4</v>
      </c>
      <c r="R2160" s="166">
        <f>IF(Sales[[#This Row],[Status]]="Cancelled",0,Sales[[#This Row],[Total Amount]])</f>
        <v>28645.68</v>
      </c>
      <c r="S2160" s="162">
        <f>SUM(Sales[Net Amount])</f>
        <v>406839287.73200053</v>
      </c>
    </row>
    <row r="2161" spans="1:19" ht="18.75" x14ac:dyDescent="0.25">
      <c r="A2161" s="156" t="s">
        <v>5783</v>
      </c>
      <c r="B2161" s="157">
        <v>45888</v>
      </c>
      <c r="C2161" s="158" t="s">
        <v>792</v>
      </c>
      <c r="D2161" s="159" t="str">
        <f>VLOOKUP(Sales[[#This Row],[Customer ID]],Customer[#All],2,0)</f>
        <v>Pooja Sharma</v>
      </c>
      <c r="E2161" s="158" t="s">
        <v>554</v>
      </c>
      <c r="F2161" s="158" t="str">
        <f>VLOOKUP(Sales[[#This Row],[Product ID]],Product[#All],2,0)</f>
        <v>TP-link Router</v>
      </c>
      <c r="G2161" s="159">
        <v>5</v>
      </c>
      <c r="H2161" s="160">
        <f>VLOOKUP(Sales[[#This Row],[Product ID]],Product[#All],7,0)</f>
        <v>6320</v>
      </c>
      <c r="I2161" s="160">
        <f>Sales[[#This Row],[Selling Rate]]*Sales[[#This Row],[Qty]]</f>
        <v>31600</v>
      </c>
      <c r="J2161" s="43">
        <v>0.02</v>
      </c>
      <c r="K2161" s="44">
        <f>Sales[[#This Row],[Gross Amount]]*Sales[[#This Row],[Disc %]]</f>
        <v>632</v>
      </c>
      <c r="L2161" s="43">
        <v>0.18</v>
      </c>
      <c r="M2161" s="44">
        <f>(Sales[[#This Row],[Gross Amount]]-Sales[[#This Row],[Disc. Amt.]])*Sales[[#This Row],[GST %]]</f>
        <v>5574.24</v>
      </c>
      <c r="N2161" s="161">
        <f>Sales[[#This Row],[Gross Amount]]-Sales[[#This Row],[Disc. Amt.]]+Sales[[#This Row],[GST Amount]]</f>
        <v>36542.239999999998</v>
      </c>
      <c r="O2161" s="158" t="s">
        <v>3561</v>
      </c>
      <c r="P2161" s="158" t="s">
        <v>3562</v>
      </c>
      <c r="Q2161" s="160">
        <f>IF(Sales[[#This Row],[Status]]="Cancelled",0,Sales[[#This Row],[Qty]])</f>
        <v>5</v>
      </c>
      <c r="R2161" s="161">
        <f>IF(Sales[[#This Row],[Status]]="Cancelled",0,Sales[[#This Row],[Total Amount]])</f>
        <v>36542.239999999998</v>
      </c>
      <c r="S2161" s="162">
        <f>SUM(Sales[Net Amount])</f>
        <v>406839287.73200053</v>
      </c>
    </row>
    <row r="2162" spans="1:19" ht="18.75" x14ac:dyDescent="0.25">
      <c r="A2162" s="163" t="s">
        <v>5784</v>
      </c>
      <c r="B2162" s="164">
        <v>45888</v>
      </c>
      <c r="C2162" s="34" t="s">
        <v>707</v>
      </c>
      <c r="D2162" s="53" t="str">
        <f>VLOOKUP(Sales[[#This Row],[Customer ID]],Customer[#All],2,0)</f>
        <v>Rahul Verma</v>
      </c>
      <c r="E2162" s="34" t="s">
        <v>87</v>
      </c>
      <c r="F2162" s="34" t="str">
        <f>VLOOKUP(Sales[[#This Row],[Product ID]],Product[#All],2,0)</f>
        <v>Boat Headset</v>
      </c>
      <c r="G2162" s="53">
        <v>3</v>
      </c>
      <c r="H2162" s="165">
        <f>VLOOKUP(Sales[[#This Row],[Product ID]],Product[#All],7,0)</f>
        <v>1040</v>
      </c>
      <c r="I2162" s="165">
        <f>Sales[[#This Row],[Selling Rate]]*Sales[[#This Row],[Qty]]</f>
        <v>3120</v>
      </c>
      <c r="J2162" s="45">
        <v>0</v>
      </c>
      <c r="K2162" s="46">
        <f>Sales[[#This Row],[Gross Amount]]*Sales[[#This Row],[Disc %]]</f>
        <v>0</v>
      </c>
      <c r="L2162" s="43">
        <v>0.18</v>
      </c>
      <c r="M2162" s="46">
        <f>(Sales[[#This Row],[Gross Amount]]-Sales[[#This Row],[Disc. Amt.]])*Sales[[#This Row],[GST %]]</f>
        <v>561.6</v>
      </c>
      <c r="N2162" s="161">
        <f>Sales[[#This Row],[Gross Amount]]-Sales[[#This Row],[Disc. Amt.]]+Sales[[#This Row],[GST Amount]]</f>
        <v>3681.6</v>
      </c>
      <c r="O2162" s="34" t="s">
        <v>8876</v>
      </c>
      <c r="P2162" s="34" t="s">
        <v>3562</v>
      </c>
      <c r="Q2162" s="165">
        <f>IF(Sales[[#This Row],[Status]]="Cancelled",0,Sales[[#This Row],[Qty]])</f>
        <v>3</v>
      </c>
      <c r="R2162" s="166">
        <f>IF(Sales[[#This Row],[Status]]="Cancelled",0,Sales[[#This Row],[Total Amount]])</f>
        <v>3681.6</v>
      </c>
      <c r="S2162" s="162">
        <f>SUM(Sales[Net Amount])</f>
        <v>406839287.73200053</v>
      </c>
    </row>
    <row r="2163" spans="1:19" ht="18.75" x14ac:dyDescent="0.25">
      <c r="A2163" s="156" t="s">
        <v>5785</v>
      </c>
      <c r="B2163" s="157">
        <v>45888</v>
      </c>
      <c r="C2163" s="158" t="s">
        <v>685</v>
      </c>
      <c r="D2163" s="159" t="str">
        <f>VLOOKUP(Sales[[#This Row],[Customer ID]],Customer[#All],2,0)</f>
        <v>Pooja Kumar</v>
      </c>
      <c r="E2163" s="158" t="s">
        <v>399</v>
      </c>
      <c r="F2163" s="158" t="str">
        <f>VLOOKUP(Sales[[#This Row],[Product ID]],Product[#All],2,0)</f>
        <v>Dell Desktop</v>
      </c>
      <c r="G2163" s="159">
        <v>6</v>
      </c>
      <c r="H2163" s="160">
        <f>VLOOKUP(Sales[[#This Row],[Product ID]],Product[#All],7,0)</f>
        <v>43510</v>
      </c>
      <c r="I2163" s="160">
        <f>Sales[[#This Row],[Selling Rate]]*Sales[[#This Row],[Qty]]</f>
        <v>261060</v>
      </c>
      <c r="J2163" s="43">
        <v>0.02</v>
      </c>
      <c r="K2163" s="44">
        <f>Sales[[#This Row],[Gross Amount]]*Sales[[#This Row],[Disc %]]</f>
        <v>5221.2</v>
      </c>
      <c r="L2163" s="43">
        <v>0.18</v>
      </c>
      <c r="M2163" s="44">
        <f>(Sales[[#This Row],[Gross Amount]]-Sales[[#This Row],[Disc. Amt.]])*Sales[[#This Row],[GST %]]</f>
        <v>46050.983999999997</v>
      </c>
      <c r="N2163" s="161">
        <f>Sales[[#This Row],[Gross Amount]]-Sales[[#This Row],[Disc. Amt.]]+Sales[[#This Row],[GST Amount]]</f>
        <v>301889.78399999999</v>
      </c>
      <c r="O2163" s="158" t="s">
        <v>8876</v>
      </c>
      <c r="P2163" s="158" t="s">
        <v>3562</v>
      </c>
      <c r="Q2163" s="160">
        <f>IF(Sales[[#This Row],[Status]]="Cancelled",0,Sales[[#This Row],[Qty]])</f>
        <v>6</v>
      </c>
      <c r="R2163" s="161">
        <f>IF(Sales[[#This Row],[Status]]="Cancelled",0,Sales[[#This Row],[Total Amount]])</f>
        <v>301889.78399999999</v>
      </c>
      <c r="S2163" s="162">
        <f>SUM(Sales[Net Amount])</f>
        <v>406839287.73200053</v>
      </c>
    </row>
    <row r="2164" spans="1:19" ht="18.75" x14ac:dyDescent="0.25">
      <c r="A2164" s="163" t="s">
        <v>5786</v>
      </c>
      <c r="B2164" s="164">
        <v>45888</v>
      </c>
      <c r="C2164" s="34" t="s">
        <v>932</v>
      </c>
      <c r="D2164" s="53" t="str">
        <f>VLOOKUP(Sales[[#This Row],[Customer ID]],Customer[#All],2,0)</f>
        <v>Vikas Gupta</v>
      </c>
      <c r="E2164" s="34" t="s">
        <v>182</v>
      </c>
      <c r="F2164" s="34" t="str">
        <f>VLOOKUP(Sales[[#This Row],[Product ID]],Product[#All],2,0)</f>
        <v>Kingston Ram</v>
      </c>
      <c r="G2164" s="53">
        <v>5</v>
      </c>
      <c r="H2164" s="165">
        <f>VLOOKUP(Sales[[#This Row],[Product ID]],Product[#All],7,0)</f>
        <v>10690</v>
      </c>
      <c r="I2164" s="165">
        <f>Sales[[#This Row],[Selling Rate]]*Sales[[#This Row],[Qty]]</f>
        <v>53450</v>
      </c>
      <c r="J2164" s="45">
        <v>0</v>
      </c>
      <c r="K2164" s="46">
        <f>Sales[[#This Row],[Gross Amount]]*Sales[[#This Row],[Disc %]]</f>
        <v>0</v>
      </c>
      <c r="L2164" s="43">
        <v>0.18</v>
      </c>
      <c r="M2164" s="46">
        <f>(Sales[[#This Row],[Gross Amount]]-Sales[[#This Row],[Disc. Amt.]])*Sales[[#This Row],[GST %]]</f>
        <v>9621</v>
      </c>
      <c r="N2164" s="161">
        <f>Sales[[#This Row],[Gross Amount]]-Sales[[#This Row],[Disc. Amt.]]+Sales[[#This Row],[GST Amount]]</f>
        <v>63071</v>
      </c>
      <c r="O2164" s="34" t="s">
        <v>8876</v>
      </c>
      <c r="P2164" s="34" t="s">
        <v>3562</v>
      </c>
      <c r="Q2164" s="165">
        <f>IF(Sales[[#This Row],[Status]]="Cancelled",0,Sales[[#This Row],[Qty]])</f>
        <v>5</v>
      </c>
      <c r="R2164" s="166">
        <f>IF(Sales[[#This Row],[Status]]="Cancelled",0,Sales[[#This Row],[Total Amount]])</f>
        <v>63071</v>
      </c>
      <c r="S2164" s="162">
        <f>SUM(Sales[Net Amount])</f>
        <v>406839287.73200053</v>
      </c>
    </row>
    <row r="2165" spans="1:19" ht="18.75" x14ac:dyDescent="0.25">
      <c r="A2165" s="156" t="s">
        <v>5787</v>
      </c>
      <c r="B2165" s="157">
        <v>45888</v>
      </c>
      <c r="C2165" s="158" t="s">
        <v>758</v>
      </c>
      <c r="D2165" s="159" t="str">
        <f>VLOOKUP(Sales[[#This Row],[Customer ID]],Customer[#All],2,0)</f>
        <v>Rahul Verma</v>
      </c>
      <c r="E2165" s="158" t="s">
        <v>145</v>
      </c>
      <c r="F2165" s="158" t="str">
        <f>VLOOKUP(Sales[[#This Row],[Product ID]],Product[#All],2,0)</f>
        <v>Crucial Ssd</v>
      </c>
      <c r="G2165" s="159">
        <v>8</v>
      </c>
      <c r="H2165" s="160">
        <f>VLOOKUP(Sales[[#This Row],[Product ID]],Product[#All],7,0)</f>
        <v>9790</v>
      </c>
      <c r="I2165" s="160">
        <f>Sales[[#This Row],[Selling Rate]]*Sales[[#This Row],[Qty]]</f>
        <v>78320</v>
      </c>
      <c r="J2165" s="43">
        <v>0</v>
      </c>
      <c r="K2165" s="44">
        <f>Sales[[#This Row],[Gross Amount]]*Sales[[#This Row],[Disc %]]</f>
        <v>0</v>
      </c>
      <c r="L2165" s="43">
        <v>0.18</v>
      </c>
      <c r="M2165" s="44">
        <f>(Sales[[#This Row],[Gross Amount]]-Sales[[#This Row],[Disc. Amt.]])*Sales[[#This Row],[GST %]]</f>
        <v>14097.6</v>
      </c>
      <c r="N2165" s="161">
        <f>Sales[[#This Row],[Gross Amount]]-Sales[[#This Row],[Disc. Amt.]]+Sales[[#This Row],[GST Amount]]</f>
        <v>92417.600000000006</v>
      </c>
      <c r="O2165" s="158" t="s">
        <v>3566</v>
      </c>
      <c r="P2165" s="158" t="s">
        <v>3562</v>
      </c>
      <c r="Q2165" s="160">
        <f>IF(Sales[[#This Row],[Status]]="Cancelled",0,Sales[[#This Row],[Qty]])</f>
        <v>8</v>
      </c>
      <c r="R2165" s="161">
        <f>IF(Sales[[#This Row],[Status]]="Cancelled",0,Sales[[#This Row],[Total Amount]])</f>
        <v>92417.600000000006</v>
      </c>
      <c r="S2165" s="162">
        <f>SUM(Sales[Net Amount])</f>
        <v>406839287.73200053</v>
      </c>
    </row>
    <row r="2166" spans="1:19" ht="18.75" x14ac:dyDescent="0.25">
      <c r="A2166" s="163" t="s">
        <v>5788</v>
      </c>
      <c r="B2166" s="164">
        <v>45888</v>
      </c>
      <c r="C2166" s="34" t="s">
        <v>786</v>
      </c>
      <c r="D2166" s="53" t="str">
        <f>VLOOKUP(Sales[[#This Row],[Customer ID]],Customer[#All],2,0)</f>
        <v>Pooja Kumar</v>
      </c>
      <c r="E2166" s="34" t="s">
        <v>496</v>
      </c>
      <c r="F2166" s="34" t="str">
        <f>VLOOKUP(Sales[[#This Row],[Product ID]],Product[#All],2,0)</f>
        <v>Boat Speaker</v>
      </c>
      <c r="G2166" s="53">
        <v>5</v>
      </c>
      <c r="H2166" s="165">
        <f>VLOOKUP(Sales[[#This Row],[Product ID]],Product[#All],7,0)</f>
        <v>2230</v>
      </c>
      <c r="I2166" s="165">
        <f>Sales[[#This Row],[Selling Rate]]*Sales[[#This Row],[Qty]]</f>
        <v>11150</v>
      </c>
      <c r="J2166" s="45">
        <v>0</v>
      </c>
      <c r="K2166" s="46">
        <f>Sales[[#This Row],[Gross Amount]]*Sales[[#This Row],[Disc %]]</f>
        <v>0</v>
      </c>
      <c r="L2166" s="43">
        <v>0.18</v>
      </c>
      <c r="M2166" s="46">
        <f>(Sales[[#This Row],[Gross Amount]]-Sales[[#This Row],[Disc. Amt.]])*Sales[[#This Row],[GST %]]</f>
        <v>2007</v>
      </c>
      <c r="N2166" s="161">
        <f>Sales[[#This Row],[Gross Amount]]-Sales[[#This Row],[Disc. Amt.]]+Sales[[#This Row],[GST Amount]]</f>
        <v>13157</v>
      </c>
      <c r="O2166" s="34" t="s">
        <v>3561</v>
      </c>
      <c r="P2166" s="34" t="s">
        <v>3562</v>
      </c>
      <c r="Q2166" s="165">
        <f>IF(Sales[[#This Row],[Status]]="Cancelled",0,Sales[[#This Row],[Qty]])</f>
        <v>5</v>
      </c>
      <c r="R2166" s="166">
        <f>IF(Sales[[#This Row],[Status]]="Cancelled",0,Sales[[#This Row],[Total Amount]])</f>
        <v>13157</v>
      </c>
      <c r="S2166" s="162">
        <f>SUM(Sales[Net Amount])</f>
        <v>406839287.73200053</v>
      </c>
    </row>
    <row r="2167" spans="1:19" ht="18.75" x14ac:dyDescent="0.25">
      <c r="A2167" s="156" t="s">
        <v>5789</v>
      </c>
      <c r="B2167" s="157">
        <v>45888</v>
      </c>
      <c r="C2167" s="158" t="s">
        <v>822</v>
      </c>
      <c r="D2167" s="159" t="str">
        <f>VLOOKUP(Sales[[#This Row],[Customer ID]],Customer[#All],2,0)</f>
        <v>Vikas Singh</v>
      </c>
      <c r="E2167" s="158" t="s">
        <v>437</v>
      </c>
      <c r="F2167" s="158" t="str">
        <f>VLOOKUP(Sales[[#This Row],[Product ID]],Product[#All],2,0)</f>
        <v>Boat Headset</v>
      </c>
      <c r="G2167" s="159">
        <v>5</v>
      </c>
      <c r="H2167" s="160">
        <f>VLOOKUP(Sales[[#This Row],[Product ID]],Product[#All],7,0)</f>
        <v>3260</v>
      </c>
      <c r="I2167" s="160">
        <f>Sales[[#This Row],[Selling Rate]]*Sales[[#This Row],[Qty]]</f>
        <v>16300</v>
      </c>
      <c r="J2167" s="43">
        <v>0</v>
      </c>
      <c r="K2167" s="44">
        <f>Sales[[#This Row],[Gross Amount]]*Sales[[#This Row],[Disc %]]</f>
        <v>0</v>
      </c>
      <c r="L2167" s="43">
        <v>0.18</v>
      </c>
      <c r="M2167" s="44">
        <f>(Sales[[#This Row],[Gross Amount]]-Sales[[#This Row],[Disc. Amt.]])*Sales[[#This Row],[GST %]]</f>
        <v>2934</v>
      </c>
      <c r="N2167" s="161">
        <f>Sales[[#This Row],[Gross Amount]]-Sales[[#This Row],[Disc. Amt.]]+Sales[[#This Row],[GST Amount]]</f>
        <v>19234</v>
      </c>
      <c r="O2167" s="158" t="s">
        <v>3561</v>
      </c>
      <c r="P2167" s="158" t="s">
        <v>3562</v>
      </c>
      <c r="Q2167" s="160">
        <f>IF(Sales[[#This Row],[Status]]="Cancelled",0,Sales[[#This Row],[Qty]])</f>
        <v>5</v>
      </c>
      <c r="R2167" s="161">
        <f>IF(Sales[[#This Row],[Status]]="Cancelled",0,Sales[[#This Row],[Total Amount]])</f>
        <v>19234</v>
      </c>
      <c r="S2167" s="162">
        <f>SUM(Sales[Net Amount])</f>
        <v>406839287.73200053</v>
      </c>
    </row>
    <row r="2168" spans="1:19" ht="18.75" x14ac:dyDescent="0.25">
      <c r="A2168" s="163" t="s">
        <v>5790</v>
      </c>
      <c r="B2168" s="164">
        <v>45888</v>
      </c>
      <c r="C2168" s="34" t="s">
        <v>899</v>
      </c>
      <c r="D2168" s="53" t="str">
        <f>VLOOKUP(Sales[[#This Row],[Customer ID]],Customer[#All],2,0)</f>
        <v>Sunita Verma</v>
      </c>
      <c r="E2168" s="34" t="s">
        <v>360</v>
      </c>
      <c r="F2168" s="34" t="str">
        <f>VLOOKUP(Sales[[#This Row],[Product ID]],Product[#All],2,0)</f>
        <v>Canon Printer</v>
      </c>
      <c r="G2168" s="53">
        <v>4</v>
      </c>
      <c r="H2168" s="165">
        <f>VLOOKUP(Sales[[#This Row],[Product ID]],Product[#All],7,0)</f>
        <v>29670</v>
      </c>
      <c r="I2168" s="165">
        <f>Sales[[#This Row],[Selling Rate]]*Sales[[#This Row],[Qty]]</f>
        <v>118680</v>
      </c>
      <c r="J2168" s="45">
        <v>0.12</v>
      </c>
      <c r="K2168" s="46">
        <f>Sales[[#This Row],[Gross Amount]]*Sales[[#This Row],[Disc %]]</f>
        <v>14241.6</v>
      </c>
      <c r="L2168" s="43">
        <v>0.18</v>
      </c>
      <c r="M2168" s="46">
        <f>(Sales[[#This Row],[Gross Amount]]-Sales[[#This Row],[Disc. Amt.]])*Sales[[#This Row],[GST %]]</f>
        <v>18798.911999999997</v>
      </c>
      <c r="N2168" s="161">
        <f>Sales[[#This Row],[Gross Amount]]-Sales[[#This Row],[Disc. Amt.]]+Sales[[#This Row],[GST Amount]]</f>
        <v>123237.31199999999</v>
      </c>
      <c r="O2168" s="34" t="s">
        <v>3566</v>
      </c>
      <c r="P2168" s="34" t="s">
        <v>3562</v>
      </c>
      <c r="Q2168" s="165">
        <f>IF(Sales[[#This Row],[Status]]="Cancelled",0,Sales[[#This Row],[Qty]])</f>
        <v>4</v>
      </c>
      <c r="R2168" s="166">
        <f>IF(Sales[[#This Row],[Status]]="Cancelled",0,Sales[[#This Row],[Total Amount]])</f>
        <v>123237.31199999999</v>
      </c>
      <c r="S2168" s="162">
        <f>SUM(Sales[Net Amount])</f>
        <v>406839287.73200053</v>
      </c>
    </row>
    <row r="2169" spans="1:19" ht="18.75" x14ac:dyDescent="0.25">
      <c r="A2169" s="156" t="s">
        <v>5791</v>
      </c>
      <c r="B2169" s="157">
        <v>45888</v>
      </c>
      <c r="C2169" s="158" t="s">
        <v>750</v>
      </c>
      <c r="D2169" s="159" t="str">
        <f>VLOOKUP(Sales[[#This Row],[Customer ID]],Customer[#All],2,0)</f>
        <v>Rakesh Verma</v>
      </c>
      <c r="E2169" s="158" t="s">
        <v>231</v>
      </c>
      <c r="F2169" s="158" t="str">
        <f>VLOOKUP(Sales[[#This Row],[Product ID]],Product[#All],2,0)</f>
        <v>TP-link Wi-Fi Adapter</v>
      </c>
      <c r="G2169" s="159">
        <v>8</v>
      </c>
      <c r="H2169" s="160">
        <f>VLOOKUP(Sales[[#This Row],[Product ID]],Product[#All],7,0)</f>
        <v>2200</v>
      </c>
      <c r="I2169" s="160">
        <f>Sales[[#This Row],[Selling Rate]]*Sales[[#This Row],[Qty]]</f>
        <v>17600</v>
      </c>
      <c r="J2169" s="43">
        <v>0.1</v>
      </c>
      <c r="K2169" s="44">
        <f>Sales[[#This Row],[Gross Amount]]*Sales[[#This Row],[Disc %]]</f>
        <v>1760</v>
      </c>
      <c r="L2169" s="43">
        <v>0.18</v>
      </c>
      <c r="M2169" s="44">
        <f>(Sales[[#This Row],[Gross Amount]]-Sales[[#This Row],[Disc. Amt.]])*Sales[[#This Row],[GST %]]</f>
        <v>2851.2</v>
      </c>
      <c r="N2169" s="161">
        <f>Sales[[#This Row],[Gross Amount]]-Sales[[#This Row],[Disc. Amt.]]+Sales[[#This Row],[GST Amount]]</f>
        <v>18691.2</v>
      </c>
      <c r="O2169" s="158" t="s">
        <v>3561</v>
      </c>
      <c r="P2169" s="158" t="s">
        <v>3562</v>
      </c>
      <c r="Q2169" s="160">
        <f>IF(Sales[[#This Row],[Status]]="Cancelled",0,Sales[[#This Row],[Qty]])</f>
        <v>8</v>
      </c>
      <c r="R2169" s="161">
        <f>IF(Sales[[#This Row],[Status]]="Cancelled",0,Sales[[#This Row],[Total Amount]])</f>
        <v>18691.2</v>
      </c>
      <c r="S2169" s="162">
        <f>SUM(Sales[Net Amount])</f>
        <v>406839287.73200053</v>
      </c>
    </row>
    <row r="2170" spans="1:19" ht="18.75" x14ac:dyDescent="0.25">
      <c r="A2170" s="163" t="s">
        <v>5792</v>
      </c>
      <c r="B2170" s="164">
        <v>45888</v>
      </c>
      <c r="C2170" s="34" t="s">
        <v>827</v>
      </c>
      <c r="D2170" s="53" t="str">
        <f>VLOOKUP(Sales[[#This Row],[Customer ID]],Customer[#All],2,0)</f>
        <v>Ankit Gupta</v>
      </c>
      <c r="E2170" s="34" t="s">
        <v>380</v>
      </c>
      <c r="F2170" s="34" t="str">
        <f>VLOOKUP(Sales[[#This Row],[Product ID]],Product[#All],2,0)</f>
        <v>Acer Laptop</v>
      </c>
      <c r="G2170" s="53">
        <v>5</v>
      </c>
      <c r="H2170" s="165">
        <f>VLOOKUP(Sales[[#This Row],[Product ID]],Product[#All],7,0)</f>
        <v>91320</v>
      </c>
      <c r="I2170" s="165">
        <f>Sales[[#This Row],[Selling Rate]]*Sales[[#This Row],[Qty]]</f>
        <v>456600</v>
      </c>
      <c r="J2170" s="45">
        <v>0.05</v>
      </c>
      <c r="K2170" s="46">
        <f>Sales[[#This Row],[Gross Amount]]*Sales[[#This Row],[Disc %]]</f>
        <v>22830</v>
      </c>
      <c r="L2170" s="43">
        <v>0.18</v>
      </c>
      <c r="M2170" s="46">
        <f>(Sales[[#This Row],[Gross Amount]]-Sales[[#This Row],[Disc. Amt.]])*Sales[[#This Row],[GST %]]</f>
        <v>78078.599999999991</v>
      </c>
      <c r="N2170" s="161">
        <f>Sales[[#This Row],[Gross Amount]]-Sales[[#This Row],[Disc. Amt.]]+Sales[[#This Row],[GST Amount]]</f>
        <v>511848.6</v>
      </c>
      <c r="O2170" s="34" t="s">
        <v>3566</v>
      </c>
      <c r="P2170" s="34" t="s">
        <v>3562</v>
      </c>
      <c r="Q2170" s="165">
        <f>IF(Sales[[#This Row],[Status]]="Cancelled",0,Sales[[#This Row],[Qty]])</f>
        <v>5</v>
      </c>
      <c r="R2170" s="166">
        <f>IF(Sales[[#This Row],[Status]]="Cancelled",0,Sales[[#This Row],[Total Amount]])</f>
        <v>511848.6</v>
      </c>
      <c r="S2170" s="162">
        <f>SUM(Sales[Net Amount])</f>
        <v>406839287.73200053</v>
      </c>
    </row>
    <row r="2171" spans="1:19" ht="18.75" x14ac:dyDescent="0.25">
      <c r="A2171" s="156" t="s">
        <v>5793</v>
      </c>
      <c r="B2171" s="157">
        <v>45888</v>
      </c>
      <c r="C2171" s="158" t="s">
        <v>682</v>
      </c>
      <c r="D2171" s="159" t="str">
        <f>VLOOKUP(Sales[[#This Row],[Customer ID]],Customer[#All],2,0)</f>
        <v>Rahul Sharma</v>
      </c>
      <c r="E2171" s="158" t="s">
        <v>453</v>
      </c>
      <c r="F2171" s="158" t="str">
        <f>VLOOKUP(Sales[[#This Row],[Product ID]],Product[#All],2,0)</f>
        <v>American TouristerLaptopBag</v>
      </c>
      <c r="G2171" s="159">
        <v>5</v>
      </c>
      <c r="H2171" s="160">
        <f>VLOOKUP(Sales[[#This Row],[Product ID]],Product[#All],7,0)</f>
        <v>3050</v>
      </c>
      <c r="I2171" s="160">
        <f>Sales[[#This Row],[Selling Rate]]*Sales[[#This Row],[Qty]]</f>
        <v>15250</v>
      </c>
      <c r="J2171" s="43">
        <v>0.1</v>
      </c>
      <c r="K2171" s="44">
        <f>Sales[[#This Row],[Gross Amount]]*Sales[[#This Row],[Disc %]]</f>
        <v>1525</v>
      </c>
      <c r="L2171" s="43">
        <v>0.18</v>
      </c>
      <c r="M2171" s="44">
        <f>(Sales[[#This Row],[Gross Amount]]-Sales[[#This Row],[Disc. Amt.]])*Sales[[#This Row],[GST %]]</f>
        <v>2470.5</v>
      </c>
      <c r="N2171" s="161">
        <f>Sales[[#This Row],[Gross Amount]]-Sales[[#This Row],[Disc. Amt.]]+Sales[[#This Row],[GST Amount]]</f>
        <v>16195.5</v>
      </c>
      <c r="O2171" s="158" t="s">
        <v>3566</v>
      </c>
      <c r="P2171" s="158" t="s">
        <v>3562</v>
      </c>
      <c r="Q2171" s="160">
        <f>IF(Sales[[#This Row],[Status]]="Cancelled",0,Sales[[#This Row],[Qty]])</f>
        <v>5</v>
      </c>
      <c r="R2171" s="161">
        <f>IF(Sales[[#This Row],[Status]]="Cancelled",0,Sales[[#This Row],[Total Amount]])</f>
        <v>16195.5</v>
      </c>
      <c r="S2171" s="162">
        <f>SUM(Sales[Net Amount])</f>
        <v>406839287.73200053</v>
      </c>
    </row>
    <row r="2172" spans="1:19" ht="18.75" x14ac:dyDescent="0.25">
      <c r="A2172" s="163" t="s">
        <v>5794</v>
      </c>
      <c r="B2172" s="164">
        <v>45888</v>
      </c>
      <c r="C2172" s="34" t="s">
        <v>710</v>
      </c>
      <c r="D2172" s="53" t="str">
        <f>VLOOKUP(Sales[[#This Row],[Customer ID]],Customer[#All],2,0)</f>
        <v>Sunita Patel</v>
      </c>
      <c r="E2172" s="34" t="s">
        <v>470</v>
      </c>
      <c r="F2172" s="34" t="str">
        <f>VLOOKUP(Sales[[#This Row],[Product ID]],Product[#All],2,0)</f>
        <v>HP Desktop</v>
      </c>
      <c r="G2172" s="53">
        <v>5</v>
      </c>
      <c r="H2172" s="165">
        <f>VLOOKUP(Sales[[#This Row],[Product ID]],Product[#All],7,0)</f>
        <v>40330</v>
      </c>
      <c r="I2172" s="165">
        <f>Sales[[#This Row],[Selling Rate]]*Sales[[#This Row],[Qty]]</f>
        <v>201650</v>
      </c>
      <c r="J2172" s="45">
        <v>0.05</v>
      </c>
      <c r="K2172" s="46">
        <f>Sales[[#This Row],[Gross Amount]]*Sales[[#This Row],[Disc %]]</f>
        <v>10082.5</v>
      </c>
      <c r="L2172" s="43">
        <v>0.18</v>
      </c>
      <c r="M2172" s="46">
        <f>(Sales[[#This Row],[Gross Amount]]-Sales[[#This Row],[Disc. Amt.]])*Sales[[#This Row],[GST %]]</f>
        <v>34482.15</v>
      </c>
      <c r="N2172" s="161">
        <f>Sales[[#This Row],[Gross Amount]]-Sales[[#This Row],[Disc. Amt.]]+Sales[[#This Row],[GST Amount]]</f>
        <v>226049.65</v>
      </c>
      <c r="O2172" s="34" t="s">
        <v>3561</v>
      </c>
      <c r="P2172" s="34" t="s">
        <v>3562</v>
      </c>
      <c r="Q2172" s="165">
        <f>IF(Sales[[#This Row],[Status]]="Cancelled",0,Sales[[#This Row],[Qty]])</f>
        <v>5</v>
      </c>
      <c r="R2172" s="166">
        <f>IF(Sales[[#This Row],[Status]]="Cancelled",0,Sales[[#This Row],[Total Amount]])</f>
        <v>226049.65</v>
      </c>
      <c r="S2172" s="162">
        <f>SUM(Sales[Net Amount])</f>
        <v>406839287.73200053</v>
      </c>
    </row>
    <row r="2173" spans="1:19" ht="18.75" x14ac:dyDescent="0.25">
      <c r="A2173" s="156" t="s">
        <v>5795</v>
      </c>
      <c r="B2173" s="157">
        <v>45888</v>
      </c>
      <c r="C2173" s="158" t="s">
        <v>740</v>
      </c>
      <c r="D2173" s="159" t="str">
        <f>VLOOKUP(Sales[[#This Row],[Customer ID]],Customer[#All],2,0)</f>
        <v>Vikas Gupta</v>
      </c>
      <c r="E2173" s="158" t="s">
        <v>345</v>
      </c>
      <c r="F2173" s="158" t="str">
        <f>VLOOKUP(Sales[[#This Row],[Product ID]],Product[#All],2,0)</f>
        <v>Amazon Basics Hdmi Cable</v>
      </c>
      <c r="G2173" s="159">
        <v>3</v>
      </c>
      <c r="H2173" s="160">
        <f>VLOOKUP(Sales[[#This Row],[Product ID]],Product[#All],7,0)</f>
        <v>190</v>
      </c>
      <c r="I2173" s="160">
        <f>Sales[[#This Row],[Selling Rate]]*Sales[[#This Row],[Qty]]</f>
        <v>570</v>
      </c>
      <c r="J2173" s="43">
        <v>0.1</v>
      </c>
      <c r="K2173" s="44">
        <f>Sales[[#This Row],[Gross Amount]]*Sales[[#This Row],[Disc %]]</f>
        <v>57</v>
      </c>
      <c r="L2173" s="43">
        <v>0.18</v>
      </c>
      <c r="M2173" s="44">
        <f>(Sales[[#This Row],[Gross Amount]]-Sales[[#This Row],[Disc. Amt.]])*Sales[[#This Row],[GST %]]</f>
        <v>92.34</v>
      </c>
      <c r="N2173" s="161">
        <f>Sales[[#This Row],[Gross Amount]]-Sales[[#This Row],[Disc. Amt.]]+Sales[[#This Row],[GST Amount]]</f>
        <v>605.34</v>
      </c>
      <c r="O2173" s="158" t="s">
        <v>3561</v>
      </c>
      <c r="P2173" s="158" t="s">
        <v>3562</v>
      </c>
      <c r="Q2173" s="160">
        <f>IF(Sales[[#This Row],[Status]]="Cancelled",0,Sales[[#This Row],[Qty]])</f>
        <v>3</v>
      </c>
      <c r="R2173" s="161">
        <f>IF(Sales[[#This Row],[Status]]="Cancelled",0,Sales[[#This Row],[Total Amount]])</f>
        <v>605.34</v>
      </c>
      <c r="S2173" s="162">
        <f>SUM(Sales[Net Amount])</f>
        <v>406839287.73200053</v>
      </c>
    </row>
    <row r="2174" spans="1:19" ht="18.75" x14ac:dyDescent="0.25">
      <c r="A2174" s="163" t="s">
        <v>5796</v>
      </c>
      <c r="B2174" s="164">
        <v>45888</v>
      </c>
      <c r="C2174" s="34" t="s">
        <v>931</v>
      </c>
      <c r="D2174" s="53" t="str">
        <f>VLOOKUP(Sales[[#This Row],[Customer ID]],Customer[#All],2,0)</f>
        <v>Sahil Patel</v>
      </c>
      <c r="E2174" s="34" t="s">
        <v>348</v>
      </c>
      <c r="F2174" s="34" t="str">
        <f>VLOOKUP(Sales[[#This Row],[Product ID]],Product[#All],2,0)</f>
        <v>Jbl Speaker</v>
      </c>
      <c r="G2174" s="53">
        <v>5</v>
      </c>
      <c r="H2174" s="165">
        <f>VLOOKUP(Sales[[#This Row],[Product ID]],Product[#All],7,0)</f>
        <v>6700</v>
      </c>
      <c r="I2174" s="165">
        <f>Sales[[#This Row],[Selling Rate]]*Sales[[#This Row],[Qty]]</f>
        <v>33500</v>
      </c>
      <c r="J2174" s="45">
        <v>0</v>
      </c>
      <c r="K2174" s="46">
        <f>Sales[[#This Row],[Gross Amount]]*Sales[[#This Row],[Disc %]]</f>
        <v>0</v>
      </c>
      <c r="L2174" s="43">
        <v>0.18</v>
      </c>
      <c r="M2174" s="46">
        <f>(Sales[[#This Row],[Gross Amount]]-Sales[[#This Row],[Disc. Amt.]])*Sales[[#This Row],[GST %]]</f>
        <v>6030</v>
      </c>
      <c r="N2174" s="161">
        <f>Sales[[#This Row],[Gross Amount]]-Sales[[#This Row],[Disc. Amt.]]+Sales[[#This Row],[GST Amount]]</f>
        <v>39530</v>
      </c>
      <c r="O2174" s="34" t="s">
        <v>8876</v>
      </c>
      <c r="P2174" s="34" t="s">
        <v>3562</v>
      </c>
      <c r="Q2174" s="165">
        <f>IF(Sales[[#This Row],[Status]]="Cancelled",0,Sales[[#This Row],[Qty]])</f>
        <v>5</v>
      </c>
      <c r="R2174" s="166">
        <f>IF(Sales[[#This Row],[Status]]="Cancelled",0,Sales[[#This Row],[Total Amount]])</f>
        <v>39530</v>
      </c>
      <c r="S2174" s="162">
        <f>SUM(Sales[Net Amount])</f>
        <v>406839287.73200053</v>
      </c>
    </row>
    <row r="2175" spans="1:19" ht="18.75" x14ac:dyDescent="0.25">
      <c r="A2175" s="156" t="s">
        <v>5797</v>
      </c>
      <c r="B2175" s="157">
        <v>45888</v>
      </c>
      <c r="C2175" s="158" t="s">
        <v>843</v>
      </c>
      <c r="D2175" s="159" t="str">
        <f>VLOOKUP(Sales[[#This Row],[Customer ID]],Customer[#All],2,0)</f>
        <v>Amit Verma</v>
      </c>
      <c r="E2175" s="158" t="s">
        <v>86</v>
      </c>
      <c r="F2175" s="158" t="str">
        <f>VLOOKUP(Sales[[#This Row],[Product ID]],Product[#All],2,0)</f>
        <v>Lg Monitor</v>
      </c>
      <c r="G2175" s="159">
        <v>2</v>
      </c>
      <c r="H2175" s="160">
        <f>VLOOKUP(Sales[[#This Row],[Product ID]],Product[#All],7,0)</f>
        <v>14730</v>
      </c>
      <c r="I2175" s="160">
        <f>Sales[[#This Row],[Selling Rate]]*Sales[[#This Row],[Qty]]</f>
        <v>29460</v>
      </c>
      <c r="J2175" s="43">
        <v>0.05</v>
      </c>
      <c r="K2175" s="44">
        <f>Sales[[#This Row],[Gross Amount]]*Sales[[#This Row],[Disc %]]</f>
        <v>1473</v>
      </c>
      <c r="L2175" s="43">
        <v>0.18</v>
      </c>
      <c r="M2175" s="44">
        <f>(Sales[[#This Row],[Gross Amount]]-Sales[[#This Row],[Disc. Amt.]])*Sales[[#This Row],[GST %]]</f>
        <v>5037.66</v>
      </c>
      <c r="N2175" s="161">
        <f>Sales[[#This Row],[Gross Amount]]-Sales[[#This Row],[Disc. Amt.]]+Sales[[#This Row],[GST Amount]]</f>
        <v>33024.660000000003</v>
      </c>
      <c r="O2175" s="158" t="s">
        <v>8876</v>
      </c>
      <c r="P2175" s="158" t="s">
        <v>3562</v>
      </c>
      <c r="Q2175" s="160">
        <f>IF(Sales[[#This Row],[Status]]="Cancelled",0,Sales[[#This Row],[Qty]])</f>
        <v>2</v>
      </c>
      <c r="R2175" s="161">
        <f>IF(Sales[[#This Row],[Status]]="Cancelled",0,Sales[[#This Row],[Total Amount]])</f>
        <v>33024.660000000003</v>
      </c>
      <c r="S2175" s="162">
        <f>SUM(Sales[Net Amount])</f>
        <v>406839287.73200053</v>
      </c>
    </row>
    <row r="2176" spans="1:19" ht="18.75" x14ac:dyDescent="0.25">
      <c r="A2176" s="163" t="s">
        <v>5798</v>
      </c>
      <c r="B2176" s="164">
        <v>45888</v>
      </c>
      <c r="C2176" s="34" t="s">
        <v>836</v>
      </c>
      <c r="D2176" s="53" t="str">
        <f>VLOOKUP(Sales[[#This Row],[Customer ID]],Customer[#All],2,0)</f>
        <v>Sunita Patel</v>
      </c>
      <c r="E2176" s="34" t="s">
        <v>418</v>
      </c>
      <c r="F2176" s="34" t="str">
        <f>VLOOKUP(Sales[[#This Row],[Product ID]],Product[#All],2,0)</f>
        <v>TP-link Router</v>
      </c>
      <c r="G2176" s="53">
        <v>6</v>
      </c>
      <c r="H2176" s="165">
        <f>VLOOKUP(Sales[[#This Row],[Product ID]],Product[#All],7,0)</f>
        <v>6750</v>
      </c>
      <c r="I2176" s="165">
        <f>Sales[[#This Row],[Selling Rate]]*Sales[[#This Row],[Qty]]</f>
        <v>40500</v>
      </c>
      <c r="J2176" s="45">
        <v>0.02</v>
      </c>
      <c r="K2176" s="46">
        <f>Sales[[#This Row],[Gross Amount]]*Sales[[#This Row],[Disc %]]</f>
        <v>810</v>
      </c>
      <c r="L2176" s="43">
        <v>0.18</v>
      </c>
      <c r="M2176" s="46">
        <f>(Sales[[#This Row],[Gross Amount]]-Sales[[#This Row],[Disc. Amt.]])*Sales[[#This Row],[GST %]]</f>
        <v>7144.2</v>
      </c>
      <c r="N2176" s="161">
        <f>Sales[[#This Row],[Gross Amount]]-Sales[[#This Row],[Disc. Amt.]]+Sales[[#This Row],[GST Amount]]</f>
        <v>46834.2</v>
      </c>
      <c r="O2176" s="34" t="s">
        <v>8876</v>
      </c>
      <c r="P2176" s="34" t="s">
        <v>3562</v>
      </c>
      <c r="Q2176" s="165">
        <f>IF(Sales[[#This Row],[Status]]="Cancelled",0,Sales[[#This Row],[Qty]])</f>
        <v>6</v>
      </c>
      <c r="R2176" s="166">
        <f>IF(Sales[[#This Row],[Status]]="Cancelled",0,Sales[[#This Row],[Total Amount]])</f>
        <v>46834.2</v>
      </c>
      <c r="S2176" s="162">
        <f>SUM(Sales[Net Amount])</f>
        <v>406839287.73200053</v>
      </c>
    </row>
    <row r="2177" spans="1:19" ht="18.75" x14ac:dyDescent="0.25">
      <c r="A2177" s="156" t="s">
        <v>5799</v>
      </c>
      <c r="B2177" s="157">
        <v>45888</v>
      </c>
      <c r="C2177" s="158" t="s">
        <v>886</v>
      </c>
      <c r="D2177" s="159" t="str">
        <f>VLOOKUP(Sales[[#This Row],[Customer ID]],Customer[#All],2,0)</f>
        <v>Sunita Gupta</v>
      </c>
      <c r="E2177" s="158" t="s">
        <v>294</v>
      </c>
      <c r="F2177" s="158" t="str">
        <f>VLOOKUP(Sales[[#This Row],[Product ID]],Product[#All],2,0)</f>
        <v>Samsung Monitor</v>
      </c>
      <c r="G2177" s="159">
        <v>8</v>
      </c>
      <c r="H2177" s="160">
        <f>VLOOKUP(Sales[[#This Row],[Product ID]],Product[#All],7,0)</f>
        <v>33870</v>
      </c>
      <c r="I2177" s="160">
        <f>Sales[[#This Row],[Selling Rate]]*Sales[[#This Row],[Qty]]</f>
        <v>270960</v>
      </c>
      <c r="J2177" s="43">
        <v>0.1</v>
      </c>
      <c r="K2177" s="44">
        <f>Sales[[#This Row],[Gross Amount]]*Sales[[#This Row],[Disc %]]</f>
        <v>27096</v>
      </c>
      <c r="L2177" s="43">
        <v>0.18</v>
      </c>
      <c r="M2177" s="44">
        <f>(Sales[[#This Row],[Gross Amount]]-Sales[[#This Row],[Disc. Amt.]])*Sales[[#This Row],[GST %]]</f>
        <v>43895.519999999997</v>
      </c>
      <c r="N2177" s="161">
        <f>Sales[[#This Row],[Gross Amount]]-Sales[[#This Row],[Disc. Amt.]]+Sales[[#This Row],[GST Amount]]</f>
        <v>287759.52</v>
      </c>
      <c r="O2177" s="158" t="s">
        <v>8876</v>
      </c>
      <c r="P2177" s="158" t="s">
        <v>3562</v>
      </c>
      <c r="Q2177" s="160">
        <f>IF(Sales[[#This Row],[Status]]="Cancelled",0,Sales[[#This Row],[Qty]])</f>
        <v>8</v>
      </c>
      <c r="R2177" s="161">
        <f>IF(Sales[[#This Row],[Status]]="Cancelled",0,Sales[[#This Row],[Total Amount]])</f>
        <v>287759.52</v>
      </c>
      <c r="S2177" s="162">
        <f>SUM(Sales[Net Amount])</f>
        <v>406839287.73200053</v>
      </c>
    </row>
    <row r="2178" spans="1:19" ht="18.75" x14ac:dyDescent="0.25">
      <c r="A2178" s="163" t="s">
        <v>5800</v>
      </c>
      <c r="B2178" s="164">
        <v>45888</v>
      </c>
      <c r="C2178" s="34" t="s">
        <v>709</v>
      </c>
      <c r="D2178" s="53" t="str">
        <f>VLOOKUP(Sales[[#This Row],[Customer ID]],Customer[#All],2,0)</f>
        <v>Ankit Kumar</v>
      </c>
      <c r="E2178" s="34" t="s">
        <v>23</v>
      </c>
      <c r="F2178" s="34" t="str">
        <f>VLOOKUP(Sales[[#This Row],[Product ID]],Product[#All],2,0)</f>
        <v>Kingston Ram</v>
      </c>
      <c r="G2178" s="53">
        <v>6</v>
      </c>
      <c r="H2178" s="165">
        <f>VLOOKUP(Sales[[#This Row],[Product ID]],Product[#All],7,0)</f>
        <v>6040</v>
      </c>
      <c r="I2178" s="165">
        <f>Sales[[#This Row],[Selling Rate]]*Sales[[#This Row],[Qty]]</f>
        <v>36240</v>
      </c>
      <c r="J2178" s="45">
        <v>0.05</v>
      </c>
      <c r="K2178" s="46">
        <f>Sales[[#This Row],[Gross Amount]]*Sales[[#This Row],[Disc %]]</f>
        <v>1812</v>
      </c>
      <c r="L2178" s="43">
        <v>0.18</v>
      </c>
      <c r="M2178" s="46">
        <f>(Sales[[#This Row],[Gross Amount]]-Sales[[#This Row],[Disc. Amt.]])*Sales[[#This Row],[GST %]]</f>
        <v>6197.04</v>
      </c>
      <c r="N2178" s="161">
        <f>Sales[[#This Row],[Gross Amount]]-Sales[[#This Row],[Disc. Amt.]]+Sales[[#This Row],[GST Amount]]</f>
        <v>40625.040000000001</v>
      </c>
      <c r="O2178" s="34" t="s">
        <v>3566</v>
      </c>
      <c r="P2178" s="34" t="s">
        <v>3562</v>
      </c>
      <c r="Q2178" s="165">
        <f>IF(Sales[[#This Row],[Status]]="Cancelled",0,Sales[[#This Row],[Qty]])</f>
        <v>6</v>
      </c>
      <c r="R2178" s="166">
        <f>IF(Sales[[#This Row],[Status]]="Cancelled",0,Sales[[#This Row],[Total Amount]])</f>
        <v>40625.040000000001</v>
      </c>
      <c r="S2178" s="162">
        <f>SUM(Sales[Net Amount])</f>
        <v>406839287.73200053</v>
      </c>
    </row>
    <row r="2179" spans="1:19" ht="18.75" x14ac:dyDescent="0.25">
      <c r="A2179" s="156" t="s">
        <v>5801</v>
      </c>
      <c r="B2179" s="157">
        <v>45888</v>
      </c>
      <c r="C2179" s="158" t="s">
        <v>682</v>
      </c>
      <c r="D2179" s="159" t="str">
        <f>VLOOKUP(Sales[[#This Row],[Customer ID]],Customer[#All],2,0)</f>
        <v>Rahul Sharma</v>
      </c>
      <c r="E2179" s="158" t="s">
        <v>540</v>
      </c>
      <c r="F2179" s="158" t="str">
        <f>VLOOKUP(Sales[[#This Row],[Product ID]],Product[#All],2,0)</f>
        <v>Dell Desktop</v>
      </c>
      <c r="G2179" s="159">
        <v>7</v>
      </c>
      <c r="H2179" s="160">
        <f>VLOOKUP(Sales[[#This Row],[Product ID]],Product[#All],7,0)</f>
        <v>34160</v>
      </c>
      <c r="I2179" s="160">
        <f>Sales[[#This Row],[Selling Rate]]*Sales[[#This Row],[Qty]]</f>
        <v>239120</v>
      </c>
      <c r="J2179" s="43">
        <v>0.15</v>
      </c>
      <c r="K2179" s="44">
        <f>Sales[[#This Row],[Gross Amount]]*Sales[[#This Row],[Disc %]]</f>
        <v>35868</v>
      </c>
      <c r="L2179" s="43">
        <v>0.18</v>
      </c>
      <c r="M2179" s="44">
        <f>(Sales[[#This Row],[Gross Amount]]-Sales[[#This Row],[Disc. Amt.]])*Sales[[#This Row],[GST %]]</f>
        <v>36585.360000000001</v>
      </c>
      <c r="N2179" s="161">
        <f>Sales[[#This Row],[Gross Amount]]-Sales[[#This Row],[Disc. Amt.]]+Sales[[#This Row],[GST Amount]]</f>
        <v>239837.36</v>
      </c>
      <c r="O2179" s="158" t="s">
        <v>3566</v>
      </c>
      <c r="P2179" s="158" t="s">
        <v>3562</v>
      </c>
      <c r="Q2179" s="160">
        <f>IF(Sales[[#This Row],[Status]]="Cancelled",0,Sales[[#This Row],[Qty]])</f>
        <v>7</v>
      </c>
      <c r="R2179" s="161">
        <f>IF(Sales[[#This Row],[Status]]="Cancelled",0,Sales[[#This Row],[Total Amount]])</f>
        <v>239837.36</v>
      </c>
      <c r="S2179" s="162">
        <f>SUM(Sales[Net Amount])</f>
        <v>406839287.73200053</v>
      </c>
    </row>
    <row r="2180" spans="1:19" ht="18.75" x14ac:dyDescent="0.25">
      <c r="A2180" s="163" t="s">
        <v>5802</v>
      </c>
      <c r="B2180" s="164">
        <v>45888</v>
      </c>
      <c r="C2180" s="34" t="s">
        <v>872</v>
      </c>
      <c r="D2180" s="53" t="str">
        <f>VLOOKUP(Sales[[#This Row],[Customer ID]],Customer[#All],2,0)</f>
        <v>Rahul Verma</v>
      </c>
      <c r="E2180" s="34" t="s">
        <v>528</v>
      </c>
      <c r="F2180" s="34" t="str">
        <f>VLOOKUP(Sales[[#This Row],[Product ID]],Product[#All],2,0)</f>
        <v>Kingston Ram</v>
      </c>
      <c r="G2180" s="53">
        <v>6</v>
      </c>
      <c r="H2180" s="165">
        <f>VLOOKUP(Sales[[#This Row],[Product ID]],Product[#All],7,0)</f>
        <v>4750</v>
      </c>
      <c r="I2180" s="165">
        <f>Sales[[#This Row],[Selling Rate]]*Sales[[#This Row],[Qty]]</f>
        <v>28500</v>
      </c>
      <c r="J2180" s="45">
        <v>0.1</v>
      </c>
      <c r="K2180" s="46">
        <f>Sales[[#This Row],[Gross Amount]]*Sales[[#This Row],[Disc %]]</f>
        <v>2850</v>
      </c>
      <c r="L2180" s="43">
        <v>0.18</v>
      </c>
      <c r="M2180" s="46">
        <f>(Sales[[#This Row],[Gross Amount]]-Sales[[#This Row],[Disc. Amt.]])*Sales[[#This Row],[GST %]]</f>
        <v>4617</v>
      </c>
      <c r="N2180" s="161">
        <f>Sales[[#This Row],[Gross Amount]]-Sales[[#This Row],[Disc. Amt.]]+Sales[[#This Row],[GST Amount]]</f>
        <v>30267</v>
      </c>
      <c r="O2180" s="34" t="s">
        <v>8876</v>
      </c>
      <c r="P2180" s="34" t="s">
        <v>3562</v>
      </c>
      <c r="Q2180" s="165">
        <f>IF(Sales[[#This Row],[Status]]="Cancelled",0,Sales[[#This Row],[Qty]])</f>
        <v>6</v>
      </c>
      <c r="R2180" s="166">
        <f>IF(Sales[[#This Row],[Status]]="Cancelled",0,Sales[[#This Row],[Total Amount]])</f>
        <v>30267</v>
      </c>
      <c r="S2180" s="162">
        <f>SUM(Sales[Net Amount])</f>
        <v>406839287.73200053</v>
      </c>
    </row>
    <row r="2181" spans="1:19" ht="18.75" x14ac:dyDescent="0.25">
      <c r="A2181" s="156" t="s">
        <v>5803</v>
      </c>
      <c r="B2181" s="157">
        <v>45888</v>
      </c>
      <c r="C2181" s="158" t="s">
        <v>770</v>
      </c>
      <c r="D2181" s="159" t="str">
        <f>VLOOKUP(Sales[[#This Row],[Customer ID]],Customer[#All],2,0)</f>
        <v>Sunita Sharma</v>
      </c>
      <c r="E2181" s="158" t="s">
        <v>303</v>
      </c>
      <c r="F2181" s="158" t="str">
        <f>VLOOKUP(Sales[[#This Row],[Product ID]],Product[#All],2,0)</f>
        <v>Crucial Ssd</v>
      </c>
      <c r="G2181" s="159">
        <v>6</v>
      </c>
      <c r="H2181" s="160">
        <f>VLOOKUP(Sales[[#This Row],[Product ID]],Product[#All],7,0)</f>
        <v>7740</v>
      </c>
      <c r="I2181" s="160">
        <f>Sales[[#This Row],[Selling Rate]]*Sales[[#This Row],[Qty]]</f>
        <v>46440</v>
      </c>
      <c r="J2181" s="43">
        <v>0.12</v>
      </c>
      <c r="K2181" s="44">
        <f>Sales[[#This Row],[Gross Amount]]*Sales[[#This Row],[Disc %]]</f>
        <v>5572.8</v>
      </c>
      <c r="L2181" s="43">
        <v>0.18</v>
      </c>
      <c r="M2181" s="44">
        <f>(Sales[[#This Row],[Gross Amount]]-Sales[[#This Row],[Disc. Amt.]])*Sales[[#This Row],[GST %]]</f>
        <v>7356.0959999999995</v>
      </c>
      <c r="N2181" s="161">
        <f>Sales[[#This Row],[Gross Amount]]-Sales[[#This Row],[Disc. Amt.]]+Sales[[#This Row],[GST Amount]]</f>
        <v>48223.295999999995</v>
      </c>
      <c r="O2181" s="158" t="s">
        <v>8876</v>
      </c>
      <c r="P2181" s="158" t="s">
        <v>3562</v>
      </c>
      <c r="Q2181" s="160">
        <f>IF(Sales[[#This Row],[Status]]="Cancelled",0,Sales[[#This Row],[Qty]])</f>
        <v>6</v>
      </c>
      <c r="R2181" s="161">
        <f>IF(Sales[[#This Row],[Status]]="Cancelled",0,Sales[[#This Row],[Total Amount]])</f>
        <v>48223.295999999995</v>
      </c>
      <c r="S2181" s="162">
        <f>SUM(Sales[Net Amount])</f>
        <v>406839287.73200053</v>
      </c>
    </row>
    <row r="2182" spans="1:19" ht="18.75" x14ac:dyDescent="0.25">
      <c r="A2182" s="163" t="s">
        <v>5804</v>
      </c>
      <c r="B2182" s="164">
        <v>45889</v>
      </c>
      <c r="C2182" s="34" t="s">
        <v>895</v>
      </c>
      <c r="D2182" s="53" t="str">
        <f>VLOOKUP(Sales[[#This Row],[Customer ID]],Customer[#All],2,0)</f>
        <v>Pooja Patel</v>
      </c>
      <c r="E2182" s="34" t="s">
        <v>543</v>
      </c>
      <c r="F2182" s="34" t="str">
        <f>VLOOKUP(Sales[[#This Row],[Product ID]],Product[#All],2,0)</f>
        <v>Logitech Mouse</v>
      </c>
      <c r="G2182" s="53">
        <v>7</v>
      </c>
      <c r="H2182" s="165">
        <f>VLOOKUP(Sales[[#This Row],[Product ID]],Product[#All],7,0)</f>
        <v>2430</v>
      </c>
      <c r="I2182" s="165">
        <f>Sales[[#This Row],[Selling Rate]]*Sales[[#This Row],[Qty]]</f>
        <v>17010</v>
      </c>
      <c r="J2182" s="45">
        <v>0.12</v>
      </c>
      <c r="K2182" s="46">
        <f>Sales[[#This Row],[Gross Amount]]*Sales[[#This Row],[Disc %]]</f>
        <v>2041.1999999999998</v>
      </c>
      <c r="L2182" s="43">
        <v>0.18</v>
      </c>
      <c r="M2182" s="46">
        <f>(Sales[[#This Row],[Gross Amount]]-Sales[[#This Row],[Disc. Amt.]])*Sales[[#This Row],[GST %]]</f>
        <v>2694.3839999999996</v>
      </c>
      <c r="N2182" s="161">
        <f>Sales[[#This Row],[Gross Amount]]-Sales[[#This Row],[Disc. Amt.]]+Sales[[#This Row],[GST Amount]]</f>
        <v>17663.183999999997</v>
      </c>
      <c r="O2182" s="34" t="s">
        <v>3561</v>
      </c>
      <c r="P2182" s="34" t="s">
        <v>3562</v>
      </c>
      <c r="Q2182" s="165">
        <f>IF(Sales[[#This Row],[Status]]="Cancelled",0,Sales[[#This Row],[Qty]])</f>
        <v>7</v>
      </c>
      <c r="R2182" s="166">
        <f>IF(Sales[[#This Row],[Status]]="Cancelled",0,Sales[[#This Row],[Total Amount]])</f>
        <v>17663.183999999997</v>
      </c>
      <c r="S2182" s="162">
        <f>SUM(Sales[Net Amount])</f>
        <v>406839287.73200053</v>
      </c>
    </row>
    <row r="2183" spans="1:19" ht="18.75" x14ac:dyDescent="0.25">
      <c r="A2183" s="156" t="s">
        <v>5805</v>
      </c>
      <c r="B2183" s="157">
        <v>45889</v>
      </c>
      <c r="C2183" s="158" t="s">
        <v>814</v>
      </c>
      <c r="D2183" s="159" t="str">
        <f>VLOOKUP(Sales[[#This Row],[Customer ID]],Customer[#All],2,0)</f>
        <v>Amit Kumar</v>
      </c>
      <c r="E2183" s="158" t="s">
        <v>260</v>
      </c>
      <c r="F2183" s="158" t="str">
        <f>VLOOKUP(Sales[[#This Row],[Product ID]],Product[#All],2,0)</f>
        <v>Corsair Ram</v>
      </c>
      <c r="G2183" s="159">
        <v>7</v>
      </c>
      <c r="H2183" s="160">
        <f>VLOOKUP(Sales[[#This Row],[Product ID]],Product[#All],7,0)</f>
        <v>6010</v>
      </c>
      <c r="I2183" s="160">
        <f>Sales[[#This Row],[Selling Rate]]*Sales[[#This Row],[Qty]]</f>
        <v>42070</v>
      </c>
      <c r="J2183" s="43">
        <v>0.15</v>
      </c>
      <c r="K2183" s="44">
        <f>Sales[[#This Row],[Gross Amount]]*Sales[[#This Row],[Disc %]]</f>
        <v>6310.5</v>
      </c>
      <c r="L2183" s="43">
        <v>0.18</v>
      </c>
      <c r="M2183" s="44">
        <f>(Sales[[#This Row],[Gross Amount]]-Sales[[#This Row],[Disc. Amt.]])*Sales[[#This Row],[GST %]]</f>
        <v>6436.71</v>
      </c>
      <c r="N2183" s="161">
        <f>Sales[[#This Row],[Gross Amount]]-Sales[[#This Row],[Disc. Amt.]]+Sales[[#This Row],[GST Amount]]</f>
        <v>42196.21</v>
      </c>
      <c r="O2183" s="158" t="s">
        <v>8876</v>
      </c>
      <c r="P2183" s="158" t="s">
        <v>3562</v>
      </c>
      <c r="Q2183" s="160">
        <f>IF(Sales[[#This Row],[Status]]="Cancelled",0,Sales[[#This Row],[Qty]])</f>
        <v>7</v>
      </c>
      <c r="R2183" s="161">
        <f>IF(Sales[[#This Row],[Status]]="Cancelled",0,Sales[[#This Row],[Total Amount]])</f>
        <v>42196.21</v>
      </c>
      <c r="S2183" s="162">
        <f>SUM(Sales[Net Amount])</f>
        <v>406839287.73200053</v>
      </c>
    </row>
    <row r="2184" spans="1:19" ht="18.75" x14ac:dyDescent="0.25">
      <c r="A2184" s="163" t="s">
        <v>5806</v>
      </c>
      <c r="B2184" s="164">
        <v>45889</v>
      </c>
      <c r="C2184" s="34" t="s">
        <v>788</v>
      </c>
      <c r="D2184" s="53" t="str">
        <f>VLOOKUP(Sales[[#This Row],[Customer ID]],Customer[#All],2,0)</f>
        <v>Vikas Kumar</v>
      </c>
      <c r="E2184" s="34" t="s">
        <v>361</v>
      </c>
      <c r="F2184" s="34" t="str">
        <f>VLOOKUP(Sales[[#This Row],[Product ID]],Product[#All],2,0)</f>
        <v>Epson Printer</v>
      </c>
      <c r="G2184" s="53">
        <v>8</v>
      </c>
      <c r="H2184" s="165">
        <f>VLOOKUP(Sales[[#This Row],[Product ID]],Product[#All],7,0)</f>
        <v>26570</v>
      </c>
      <c r="I2184" s="165">
        <f>Sales[[#This Row],[Selling Rate]]*Sales[[#This Row],[Qty]]</f>
        <v>212560</v>
      </c>
      <c r="J2184" s="45">
        <v>0.05</v>
      </c>
      <c r="K2184" s="46">
        <f>Sales[[#This Row],[Gross Amount]]*Sales[[#This Row],[Disc %]]</f>
        <v>10628</v>
      </c>
      <c r="L2184" s="43">
        <v>0.18</v>
      </c>
      <c r="M2184" s="46">
        <f>(Sales[[#This Row],[Gross Amount]]-Sales[[#This Row],[Disc. Amt.]])*Sales[[#This Row],[GST %]]</f>
        <v>36347.760000000002</v>
      </c>
      <c r="N2184" s="161">
        <f>Sales[[#This Row],[Gross Amount]]-Sales[[#This Row],[Disc. Amt.]]+Sales[[#This Row],[GST Amount]]</f>
        <v>238279.76</v>
      </c>
      <c r="O2184" s="34" t="s">
        <v>3561</v>
      </c>
      <c r="P2184" s="34" t="s">
        <v>3562</v>
      </c>
      <c r="Q2184" s="165">
        <f>IF(Sales[[#This Row],[Status]]="Cancelled",0,Sales[[#This Row],[Qty]])</f>
        <v>8</v>
      </c>
      <c r="R2184" s="166">
        <f>IF(Sales[[#This Row],[Status]]="Cancelled",0,Sales[[#This Row],[Total Amount]])</f>
        <v>238279.76</v>
      </c>
      <c r="S2184" s="162">
        <f>SUM(Sales[Net Amount])</f>
        <v>406839287.73200053</v>
      </c>
    </row>
    <row r="2185" spans="1:19" ht="18.75" x14ac:dyDescent="0.25">
      <c r="A2185" s="156" t="s">
        <v>5807</v>
      </c>
      <c r="B2185" s="157">
        <v>45889</v>
      </c>
      <c r="C2185" s="158" t="s">
        <v>819</v>
      </c>
      <c r="D2185" s="159" t="str">
        <f>VLOOKUP(Sales[[#This Row],[Customer ID]],Customer[#All],2,0)</f>
        <v>Neha Gupta</v>
      </c>
      <c r="E2185" s="158" t="s">
        <v>443</v>
      </c>
      <c r="F2185" s="158" t="str">
        <f>VLOOKUP(Sales[[#This Row],[Product ID]],Product[#All],2,0)</f>
        <v>HP Power Adapter</v>
      </c>
      <c r="G2185" s="159">
        <v>3</v>
      </c>
      <c r="H2185" s="160">
        <f>VLOOKUP(Sales[[#This Row],[Product ID]],Product[#All],7,0)</f>
        <v>3850</v>
      </c>
      <c r="I2185" s="160">
        <f>Sales[[#This Row],[Selling Rate]]*Sales[[#This Row],[Qty]]</f>
        <v>11550</v>
      </c>
      <c r="J2185" s="43">
        <v>0.12</v>
      </c>
      <c r="K2185" s="44">
        <f>Sales[[#This Row],[Gross Amount]]*Sales[[#This Row],[Disc %]]</f>
        <v>1386</v>
      </c>
      <c r="L2185" s="43">
        <v>0.18</v>
      </c>
      <c r="M2185" s="44">
        <f>(Sales[[#This Row],[Gross Amount]]-Sales[[#This Row],[Disc. Amt.]])*Sales[[#This Row],[GST %]]</f>
        <v>1829.52</v>
      </c>
      <c r="N2185" s="161">
        <f>Sales[[#This Row],[Gross Amount]]-Sales[[#This Row],[Disc. Amt.]]+Sales[[#This Row],[GST Amount]]</f>
        <v>11993.52</v>
      </c>
      <c r="O2185" s="158" t="s">
        <v>3561</v>
      </c>
      <c r="P2185" s="158" t="s">
        <v>3562</v>
      </c>
      <c r="Q2185" s="160">
        <f>IF(Sales[[#This Row],[Status]]="Cancelled",0,Sales[[#This Row],[Qty]])</f>
        <v>3</v>
      </c>
      <c r="R2185" s="161">
        <f>IF(Sales[[#This Row],[Status]]="Cancelled",0,Sales[[#This Row],[Total Amount]])</f>
        <v>11993.52</v>
      </c>
      <c r="S2185" s="162">
        <f>SUM(Sales[Net Amount])</f>
        <v>406839287.73200053</v>
      </c>
    </row>
    <row r="2186" spans="1:19" ht="18.75" x14ac:dyDescent="0.25">
      <c r="A2186" s="163" t="s">
        <v>5808</v>
      </c>
      <c r="B2186" s="164">
        <v>45889</v>
      </c>
      <c r="C2186" s="34" t="s">
        <v>720</v>
      </c>
      <c r="D2186" s="53" t="str">
        <f>VLOOKUP(Sales[[#This Row],[Customer ID]],Customer[#All],2,0)</f>
        <v>Rakesh Singh</v>
      </c>
      <c r="E2186" s="34" t="s">
        <v>415</v>
      </c>
      <c r="F2186" s="34" t="str">
        <f>VLOOKUP(Sales[[#This Row],[Product ID]],Product[#All],2,0)</f>
        <v>American TouristerLaptopBag</v>
      </c>
      <c r="G2186" s="53">
        <v>7</v>
      </c>
      <c r="H2186" s="165">
        <f>VLOOKUP(Sales[[#This Row],[Product ID]],Product[#All],7,0)</f>
        <v>5180</v>
      </c>
      <c r="I2186" s="165">
        <f>Sales[[#This Row],[Selling Rate]]*Sales[[#This Row],[Qty]]</f>
        <v>36260</v>
      </c>
      <c r="J2186" s="45">
        <v>0.05</v>
      </c>
      <c r="K2186" s="46">
        <f>Sales[[#This Row],[Gross Amount]]*Sales[[#This Row],[Disc %]]</f>
        <v>1813</v>
      </c>
      <c r="L2186" s="43">
        <v>0.18</v>
      </c>
      <c r="M2186" s="46">
        <f>(Sales[[#This Row],[Gross Amount]]-Sales[[#This Row],[Disc. Amt.]])*Sales[[#This Row],[GST %]]</f>
        <v>6200.46</v>
      </c>
      <c r="N2186" s="161">
        <f>Sales[[#This Row],[Gross Amount]]-Sales[[#This Row],[Disc. Amt.]]+Sales[[#This Row],[GST Amount]]</f>
        <v>40647.46</v>
      </c>
      <c r="O2186" s="34" t="s">
        <v>8876</v>
      </c>
      <c r="P2186" s="34" t="s">
        <v>3562</v>
      </c>
      <c r="Q2186" s="165">
        <f>IF(Sales[[#This Row],[Status]]="Cancelled",0,Sales[[#This Row],[Qty]])</f>
        <v>7</v>
      </c>
      <c r="R2186" s="166">
        <f>IF(Sales[[#This Row],[Status]]="Cancelled",0,Sales[[#This Row],[Total Amount]])</f>
        <v>40647.46</v>
      </c>
      <c r="S2186" s="162">
        <f>SUM(Sales[Net Amount])</f>
        <v>406839287.73200053</v>
      </c>
    </row>
    <row r="2187" spans="1:19" ht="18.75" x14ac:dyDescent="0.25">
      <c r="A2187" s="156" t="s">
        <v>5809</v>
      </c>
      <c r="B2187" s="157">
        <v>45889</v>
      </c>
      <c r="C2187" s="158" t="s">
        <v>914</v>
      </c>
      <c r="D2187" s="159" t="str">
        <f>VLOOKUP(Sales[[#This Row],[Customer ID]],Customer[#All],2,0)</f>
        <v>Rakesh Patel</v>
      </c>
      <c r="E2187" s="158" t="s">
        <v>463</v>
      </c>
      <c r="F2187" s="158" t="str">
        <f>VLOOKUP(Sales[[#This Row],[Product ID]],Product[#All],2,0)</f>
        <v>Apc UPS</v>
      </c>
      <c r="G2187" s="159">
        <v>8</v>
      </c>
      <c r="H2187" s="160">
        <f>VLOOKUP(Sales[[#This Row],[Product ID]],Product[#All],7,0)</f>
        <v>10050</v>
      </c>
      <c r="I2187" s="160">
        <f>Sales[[#This Row],[Selling Rate]]*Sales[[#This Row],[Qty]]</f>
        <v>80400</v>
      </c>
      <c r="J2187" s="43">
        <v>0.1</v>
      </c>
      <c r="K2187" s="44">
        <f>Sales[[#This Row],[Gross Amount]]*Sales[[#This Row],[Disc %]]</f>
        <v>8040</v>
      </c>
      <c r="L2187" s="43">
        <v>0.18</v>
      </c>
      <c r="M2187" s="44">
        <f>(Sales[[#This Row],[Gross Amount]]-Sales[[#This Row],[Disc. Amt.]])*Sales[[#This Row],[GST %]]</f>
        <v>13024.8</v>
      </c>
      <c r="N2187" s="161">
        <f>Sales[[#This Row],[Gross Amount]]-Sales[[#This Row],[Disc. Amt.]]+Sales[[#This Row],[GST Amount]]</f>
        <v>85384.8</v>
      </c>
      <c r="O2187" s="158" t="s">
        <v>3566</v>
      </c>
      <c r="P2187" s="158" t="s">
        <v>3562</v>
      </c>
      <c r="Q2187" s="160">
        <f>IF(Sales[[#This Row],[Status]]="Cancelled",0,Sales[[#This Row],[Qty]])</f>
        <v>8</v>
      </c>
      <c r="R2187" s="161">
        <f>IF(Sales[[#This Row],[Status]]="Cancelled",0,Sales[[#This Row],[Total Amount]])</f>
        <v>85384.8</v>
      </c>
      <c r="S2187" s="162">
        <f>SUM(Sales[Net Amount])</f>
        <v>406839287.73200053</v>
      </c>
    </row>
    <row r="2188" spans="1:19" ht="18.75" x14ac:dyDescent="0.25">
      <c r="A2188" s="163" t="s">
        <v>5810</v>
      </c>
      <c r="B2188" s="164">
        <v>45889</v>
      </c>
      <c r="C2188" s="34" t="s">
        <v>751</v>
      </c>
      <c r="D2188" s="53" t="str">
        <f>VLOOKUP(Sales[[#This Row],[Customer ID]],Customer[#All],2,0)</f>
        <v>Ankit Verma</v>
      </c>
      <c r="E2188" s="34" t="s">
        <v>212</v>
      </c>
      <c r="F2188" s="34" t="str">
        <f>VLOOKUP(Sales[[#This Row],[Product ID]],Product[#All],2,0)</f>
        <v>Jbl Headset</v>
      </c>
      <c r="G2188" s="53">
        <v>1</v>
      </c>
      <c r="H2188" s="165">
        <f>VLOOKUP(Sales[[#This Row],[Product ID]],Product[#All],7,0)</f>
        <v>1230</v>
      </c>
      <c r="I2188" s="165">
        <f>Sales[[#This Row],[Selling Rate]]*Sales[[#This Row],[Qty]]</f>
        <v>1230</v>
      </c>
      <c r="J2188" s="45">
        <v>0.05</v>
      </c>
      <c r="K2188" s="46">
        <f>Sales[[#This Row],[Gross Amount]]*Sales[[#This Row],[Disc %]]</f>
        <v>61.5</v>
      </c>
      <c r="L2188" s="43">
        <v>0.18</v>
      </c>
      <c r="M2188" s="46">
        <f>(Sales[[#This Row],[Gross Amount]]-Sales[[#This Row],[Disc. Amt.]])*Sales[[#This Row],[GST %]]</f>
        <v>210.32999999999998</v>
      </c>
      <c r="N2188" s="161">
        <f>Sales[[#This Row],[Gross Amount]]-Sales[[#This Row],[Disc. Amt.]]+Sales[[#This Row],[GST Amount]]</f>
        <v>1378.83</v>
      </c>
      <c r="O2188" s="34" t="s">
        <v>3566</v>
      </c>
      <c r="P2188" s="34" t="s">
        <v>3562</v>
      </c>
      <c r="Q2188" s="165">
        <f>IF(Sales[[#This Row],[Status]]="Cancelled",0,Sales[[#This Row],[Qty]])</f>
        <v>1</v>
      </c>
      <c r="R2188" s="166">
        <f>IF(Sales[[#This Row],[Status]]="Cancelled",0,Sales[[#This Row],[Total Amount]])</f>
        <v>1378.83</v>
      </c>
      <c r="S2188" s="162">
        <f>SUM(Sales[Net Amount])</f>
        <v>406839287.73200053</v>
      </c>
    </row>
    <row r="2189" spans="1:19" ht="18.75" x14ac:dyDescent="0.25">
      <c r="A2189" s="156" t="s">
        <v>5811</v>
      </c>
      <c r="B2189" s="157">
        <v>45889</v>
      </c>
      <c r="C2189" s="158" t="s">
        <v>825</v>
      </c>
      <c r="D2189" s="159" t="str">
        <f>VLOOKUP(Sales[[#This Row],[Customer ID]],Customer[#All],2,0)</f>
        <v>Rahul Kumar</v>
      </c>
      <c r="E2189" s="158" t="s">
        <v>167</v>
      </c>
      <c r="F2189" s="158" t="str">
        <f>VLOOKUP(Sales[[#This Row],[Product ID]],Product[#All],2,0)</f>
        <v>Logitech Keyboard</v>
      </c>
      <c r="G2189" s="159">
        <v>7</v>
      </c>
      <c r="H2189" s="160">
        <f>VLOOKUP(Sales[[#This Row],[Product ID]],Product[#All],7,0)</f>
        <v>2460</v>
      </c>
      <c r="I2189" s="160">
        <f>Sales[[#This Row],[Selling Rate]]*Sales[[#This Row],[Qty]]</f>
        <v>17220</v>
      </c>
      <c r="J2189" s="43">
        <v>0</v>
      </c>
      <c r="K2189" s="44">
        <f>Sales[[#This Row],[Gross Amount]]*Sales[[#This Row],[Disc %]]</f>
        <v>0</v>
      </c>
      <c r="L2189" s="43">
        <v>0.18</v>
      </c>
      <c r="M2189" s="44">
        <f>(Sales[[#This Row],[Gross Amount]]-Sales[[#This Row],[Disc. Amt.]])*Sales[[#This Row],[GST %]]</f>
        <v>3099.6</v>
      </c>
      <c r="N2189" s="161">
        <f>Sales[[#This Row],[Gross Amount]]-Sales[[#This Row],[Disc. Amt.]]+Sales[[#This Row],[GST Amount]]</f>
        <v>20319.599999999999</v>
      </c>
      <c r="O2189" s="158" t="s">
        <v>3561</v>
      </c>
      <c r="P2189" s="158" t="s">
        <v>3562</v>
      </c>
      <c r="Q2189" s="160">
        <f>IF(Sales[[#This Row],[Status]]="Cancelled",0,Sales[[#This Row],[Qty]])</f>
        <v>7</v>
      </c>
      <c r="R2189" s="161">
        <f>IF(Sales[[#This Row],[Status]]="Cancelled",0,Sales[[#This Row],[Total Amount]])</f>
        <v>20319.599999999999</v>
      </c>
      <c r="S2189" s="162">
        <f>SUM(Sales[Net Amount])</f>
        <v>406839287.73200053</v>
      </c>
    </row>
    <row r="2190" spans="1:19" ht="18.75" x14ac:dyDescent="0.25">
      <c r="A2190" s="163" t="s">
        <v>5812</v>
      </c>
      <c r="B2190" s="164">
        <v>45889</v>
      </c>
      <c r="C2190" s="34" t="s">
        <v>671</v>
      </c>
      <c r="D2190" s="53" t="str">
        <f>VLOOKUP(Sales[[#This Row],[Customer ID]],Customer[#All],2,0)</f>
        <v>Sahil Patel</v>
      </c>
      <c r="E2190" s="34" t="s">
        <v>85</v>
      </c>
      <c r="F2190" s="34" t="str">
        <f>VLOOKUP(Sales[[#This Row],[Product ID]],Product[#All],2,0)</f>
        <v>Apc UPS</v>
      </c>
      <c r="G2190" s="53">
        <v>6</v>
      </c>
      <c r="H2190" s="165">
        <f>VLOOKUP(Sales[[#This Row],[Product ID]],Product[#All],7,0)</f>
        <v>8770</v>
      </c>
      <c r="I2190" s="165">
        <f>Sales[[#This Row],[Selling Rate]]*Sales[[#This Row],[Qty]]</f>
        <v>52620</v>
      </c>
      <c r="J2190" s="45">
        <v>0.15</v>
      </c>
      <c r="K2190" s="46">
        <f>Sales[[#This Row],[Gross Amount]]*Sales[[#This Row],[Disc %]]</f>
        <v>7893</v>
      </c>
      <c r="L2190" s="43">
        <v>0.18</v>
      </c>
      <c r="M2190" s="46">
        <f>(Sales[[#This Row],[Gross Amount]]-Sales[[#This Row],[Disc. Amt.]])*Sales[[#This Row],[GST %]]</f>
        <v>8050.86</v>
      </c>
      <c r="N2190" s="161">
        <f>Sales[[#This Row],[Gross Amount]]-Sales[[#This Row],[Disc. Amt.]]+Sales[[#This Row],[GST Amount]]</f>
        <v>52777.86</v>
      </c>
      <c r="O2190" s="34" t="s">
        <v>3569</v>
      </c>
      <c r="P2190" s="34" t="s">
        <v>3562</v>
      </c>
      <c r="Q2190" s="165">
        <f>IF(Sales[[#This Row],[Status]]="Cancelled",0,Sales[[#This Row],[Qty]])</f>
        <v>6</v>
      </c>
      <c r="R2190" s="166">
        <f>IF(Sales[[#This Row],[Status]]="Cancelled",0,Sales[[#This Row],[Total Amount]])</f>
        <v>52777.86</v>
      </c>
      <c r="S2190" s="162">
        <f>SUM(Sales[Net Amount])</f>
        <v>406839287.73200053</v>
      </c>
    </row>
    <row r="2191" spans="1:19" ht="18.75" x14ac:dyDescent="0.25">
      <c r="A2191" s="156" t="s">
        <v>5813</v>
      </c>
      <c r="B2191" s="157">
        <v>45889</v>
      </c>
      <c r="C2191" s="158" t="s">
        <v>941</v>
      </c>
      <c r="D2191" s="159" t="str">
        <f>VLOOKUP(Sales[[#This Row],[Customer ID]],Customer[#All],2,0)</f>
        <v>Sahil Verma</v>
      </c>
      <c r="E2191" s="158" t="s">
        <v>301</v>
      </c>
      <c r="F2191" s="158" t="str">
        <f>VLOOKUP(Sales[[#This Row],[Product ID]],Product[#All],2,0)</f>
        <v>Logitech Keyboard</v>
      </c>
      <c r="G2191" s="159">
        <v>3</v>
      </c>
      <c r="H2191" s="160">
        <f>VLOOKUP(Sales[[#This Row],[Product ID]],Product[#All],7,0)</f>
        <v>1100</v>
      </c>
      <c r="I2191" s="160">
        <f>Sales[[#This Row],[Selling Rate]]*Sales[[#This Row],[Qty]]</f>
        <v>3300</v>
      </c>
      <c r="J2191" s="43">
        <v>0.05</v>
      </c>
      <c r="K2191" s="44">
        <f>Sales[[#This Row],[Gross Amount]]*Sales[[#This Row],[Disc %]]</f>
        <v>165</v>
      </c>
      <c r="L2191" s="43">
        <v>0.18</v>
      </c>
      <c r="M2191" s="44">
        <f>(Sales[[#This Row],[Gross Amount]]-Sales[[#This Row],[Disc. Amt.]])*Sales[[#This Row],[GST %]]</f>
        <v>564.29999999999995</v>
      </c>
      <c r="N2191" s="161">
        <f>Sales[[#This Row],[Gross Amount]]-Sales[[#This Row],[Disc. Amt.]]+Sales[[#This Row],[GST Amount]]</f>
        <v>3699.3</v>
      </c>
      <c r="O2191" s="158" t="s">
        <v>3561</v>
      </c>
      <c r="P2191" s="158" t="s">
        <v>3562</v>
      </c>
      <c r="Q2191" s="160">
        <f>IF(Sales[[#This Row],[Status]]="Cancelled",0,Sales[[#This Row],[Qty]])</f>
        <v>3</v>
      </c>
      <c r="R2191" s="161">
        <f>IF(Sales[[#This Row],[Status]]="Cancelled",0,Sales[[#This Row],[Total Amount]])</f>
        <v>3699.3</v>
      </c>
      <c r="S2191" s="162">
        <f>SUM(Sales[Net Amount])</f>
        <v>406839287.73200053</v>
      </c>
    </row>
    <row r="2192" spans="1:19" ht="18.75" x14ac:dyDescent="0.25">
      <c r="A2192" s="163" t="s">
        <v>5814</v>
      </c>
      <c r="B2192" s="164">
        <v>45889</v>
      </c>
      <c r="C2192" s="34" t="s">
        <v>866</v>
      </c>
      <c r="D2192" s="53" t="str">
        <f>VLOOKUP(Sales[[#This Row],[Customer ID]],Customer[#All],2,0)</f>
        <v>Priya Patel</v>
      </c>
      <c r="E2192" s="34" t="s">
        <v>478</v>
      </c>
      <c r="F2192" s="34" t="str">
        <f>VLOOKUP(Sales[[#This Row],[Product ID]],Product[#All],2,0)</f>
        <v>American TouristerLaptopBag</v>
      </c>
      <c r="G2192" s="53">
        <v>5</v>
      </c>
      <c r="H2192" s="165">
        <f>VLOOKUP(Sales[[#This Row],[Product ID]],Product[#All],7,0)</f>
        <v>6010</v>
      </c>
      <c r="I2192" s="165">
        <f>Sales[[#This Row],[Selling Rate]]*Sales[[#This Row],[Qty]]</f>
        <v>30050</v>
      </c>
      <c r="J2192" s="45">
        <v>0.05</v>
      </c>
      <c r="K2192" s="46">
        <f>Sales[[#This Row],[Gross Amount]]*Sales[[#This Row],[Disc %]]</f>
        <v>1502.5</v>
      </c>
      <c r="L2192" s="43">
        <v>0.18</v>
      </c>
      <c r="M2192" s="46">
        <f>(Sales[[#This Row],[Gross Amount]]-Sales[[#This Row],[Disc. Amt.]])*Sales[[#This Row],[GST %]]</f>
        <v>5138.55</v>
      </c>
      <c r="N2192" s="161">
        <f>Sales[[#This Row],[Gross Amount]]-Sales[[#This Row],[Disc. Amt.]]+Sales[[#This Row],[GST Amount]]</f>
        <v>33686.050000000003</v>
      </c>
      <c r="O2192" s="34" t="s">
        <v>8876</v>
      </c>
      <c r="P2192" s="34" t="s">
        <v>3562</v>
      </c>
      <c r="Q2192" s="165">
        <f>IF(Sales[[#This Row],[Status]]="Cancelled",0,Sales[[#This Row],[Qty]])</f>
        <v>5</v>
      </c>
      <c r="R2192" s="166">
        <f>IF(Sales[[#This Row],[Status]]="Cancelled",0,Sales[[#This Row],[Total Amount]])</f>
        <v>33686.050000000003</v>
      </c>
      <c r="S2192" s="162">
        <f>SUM(Sales[Net Amount])</f>
        <v>406839287.73200053</v>
      </c>
    </row>
    <row r="2193" spans="1:19" ht="18.75" x14ac:dyDescent="0.25">
      <c r="A2193" s="156" t="s">
        <v>5815</v>
      </c>
      <c r="B2193" s="157">
        <v>45889</v>
      </c>
      <c r="C2193" s="158" t="s">
        <v>945</v>
      </c>
      <c r="D2193" s="159" t="str">
        <f>VLOOKUP(Sales[[#This Row],[Customer ID]],Customer[#All],2,0)</f>
        <v>Rahul Singh</v>
      </c>
      <c r="E2193" s="158" t="s">
        <v>51</v>
      </c>
      <c r="F2193" s="158" t="str">
        <f>VLOOKUP(Sales[[#This Row],[Product ID]],Product[#All],2,0)</f>
        <v>Boat Speaker</v>
      </c>
      <c r="G2193" s="159">
        <v>1</v>
      </c>
      <c r="H2193" s="160">
        <f>VLOOKUP(Sales[[#This Row],[Product ID]],Product[#All],7,0)</f>
        <v>4730</v>
      </c>
      <c r="I2193" s="160">
        <f>Sales[[#This Row],[Selling Rate]]*Sales[[#This Row],[Qty]]</f>
        <v>4730</v>
      </c>
      <c r="J2193" s="43">
        <v>0.05</v>
      </c>
      <c r="K2193" s="44">
        <f>Sales[[#This Row],[Gross Amount]]*Sales[[#This Row],[Disc %]]</f>
        <v>236.5</v>
      </c>
      <c r="L2193" s="43">
        <v>0.18</v>
      </c>
      <c r="M2193" s="44">
        <f>(Sales[[#This Row],[Gross Amount]]-Sales[[#This Row],[Disc. Amt.]])*Sales[[#This Row],[GST %]]</f>
        <v>808.82999999999993</v>
      </c>
      <c r="N2193" s="161">
        <f>Sales[[#This Row],[Gross Amount]]-Sales[[#This Row],[Disc. Amt.]]+Sales[[#This Row],[GST Amount]]</f>
        <v>5302.33</v>
      </c>
      <c r="O2193" s="158" t="s">
        <v>3566</v>
      </c>
      <c r="P2193" s="158" t="s">
        <v>3562</v>
      </c>
      <c r="Q2193" s="160">
        <f>IF(Sales[[#This Row],[Status]]="Cancelled",0,Sales[[#This Row],[Qty]])</f>
        <v>1</v>
      </c>
      <c r="R2193" s="161">
        <f>IF(Sales[[#This Row],[Status]]="Cancelled",0,Sales[[#This Row],[Total Amount]])</f>
        <v>5302.33</v>
      </c>
      <c r="S2193" s="162">
        <f>SUM(Sales[Net Amount])</f>
        <v>406839287.73200053</v>
      </c>
    </row>
    <row r="2194" spans="1:19" ht="18.75" x14ac:dyDescent="0.25">
      <c r="A2194" s="163" t="s">
        <v>5816</v>
      </c>
      <c r="B2194" s="164">
        <v>45889</v>
      </c>
      <c r="C2194" s="34" t="s">
        <v>938</v>
      </c>
      <c r="D2194" s="53" t="str">
        <f>VLOOKUP(Sales[[#This Row],[Customer ID]],Customer[#All],2,0)</f>
        <v>Sunita Sharma</v>
      </c>
      <c r="E2194" s="34" t="s">
        <v>507</v>
      </c>
      <c r="F2194" s="34" t="str">
        <f>VLOOKUP(Sales[[#This Row],[Product ID]],Product[#All],2,0)</f>
        <v>American TouristerLaptopBag</v>
      </c>
      <c r="G2194" s="53">
        <v>1</v>
      </c>
      <c r="H2194" s="165">
        <f>VLOOKUP(Sales[[#This Row],[Product ID]],Product[#All],7,0)</f>
        <v>2030</v>
      </c>
      <c r="I2194" s="165">
        <f>Sales[[#This Row],[Selling Rate]]*Sales[[#This Row],[Qty]]</f>
        <v>2030</v>
      </c>
      <c r="J2194" s="45">
        <v>0.12</v>
      </c>
      <c r="K2194" s="46">
        <f>Sales[[#This Row],[Gross Amount]]*Sales[[#This Row],[Disc %]]</f>
        <v>243.6</v>
      </c>
      <c r="L2194" s="43">
        <v>0.18</v>
      </c>
      <c r="M2194" s="46">
        <f>(Sales[[#This Row],[Gross Amount]]-Sales[[#This Row],[Disc. Amt.]])*Sales[[#This Row],[GST %]]</f>
        <v>321.55200000000002</v>
      </c>
      <c r="N2194" s="161">
        <f>Sales[[#This Row],[Gross Amount]]-Sales[[#This Row],[Disc. Amt.]]+Sales[[#This Row],[GST Amount]]</f>
        <v>2107.9520000000002</v>
      </c>
      <c r="O2194" s="34" t="s">
        <v>3569</v>
      </c>
      <c r="P2194" s="34" t="s">
        <v>3562</v>
      </c>
      <c r="Q2194" s="165">
        <f>IF(Sales[[#This Row],[Status]]="Cancelled",0,Sales[[#This Row],[Qty]])</f>
        <v>1</v>
      </c>
      <c r="R2194" s="166">
        <f>IF(Sales[[#This Row],[Status]]="Cancelled",0,Sales[[#This Row],[Total Amount]])</f>
        <v>2107.9520000000002</v>
      </c>
      <c r="S2194" s="162">
        <f>SUM(Sales[Net Amount])</f>
        <v>406839287.73200053</v>
      </c>
    </row>
    <row r="2195" spans="1:19" ht="18.75" x14ac:dyDescent="0.25">
      <c r="A2195" s="156" t="s">
        <v>5817</v>
      </c>
      <c r="B2195" s="157">
        <v>45889</v>
      </c>
      <c r="C2195" s="158" t="s">
        <v>940</v>
      </c>
      <c r="D2195" s="159" t="str">
        <f>VLOOKUP(Sales[[#This Row],[Customer ID]],Customer[#All],2,0)</f>
        <v>Rakesh Sharma</v>
      </c>
      <c r="E2195" s="158" t="s">
        <v>324</v>
      </c>
      <c r="F2195" s="158" t="str">
        <f>VLOOKUP(Sales[[#This Row],[Product ID]],Product[#All],2,0)</f>
        <v>Sandisk Pen Drive</v>
      </c>
      <c r="G2195" s="159">
        <v>2</v>
      </c>
      <c r="H2195" s="160">
        <f>VLOOKUP(Sales[[#This Row],[Product ID]],Product[#All],7,0)</f>
        <v>4150</v>
      </c>
      <c r="I2195" s="160">
        <f>Sales[[#This Row],[Selling Rate]]*Sales[[#This Row],[Qty]]</f>
        <v>8300</v>
      </c>
      <c r="J2195" s="43">
        <v>0.1</v>
      </c>
      <c r="K2195" s="44">
        <f>Sales[[#This Row],[Gross Amount]]*Sales[[#This Row],[Disc %]]</f>
        <v>830</v>
      </c>
      <c r="L2195" s="43">
        <v>0.18</v>
      </c>
      <c r="M2195" s="44">
        <f>(Sales[[#This Row],[Gross Amount]]-Sales[[#This Row],[Disc. Amt.]])*Sales[[#This Row],[GST %]]</f>
        <v>1344.6</v>
      </c>
      <c r="N2195" s="161">
        <f>Sales[[#This Row],[Gross Amount]]-Sales[[#This Row],[Disc. Amt.]]+Sales[[#This Row],[GST Amount]]</f>
        <v>8814.6</v>
      </c>
      <c r="O2195" s="158" t="s">
        <v>3569</v>
      </c>
      <c r="P2195" s="158" t="s">
        <v>3562</v>
      </c>
      <c r="Q2195" s="160">
        <f>IF(Sales[[#This Row],[Status]]="Cancelled",0,Sales[[#This Row],[Qty]])</f>
        <v>2</v>
      </c>
      <c r="R2195" s="161">
        <f>IF(Sales[[#This Row],[Status]]="Cancelled",0,Sales[[#This Row],[Total Amount]])</f>
        <v>8814.6</v>
      </c>
      <c r="S2195" s="162">
        <f>SUM(Sales[Net Amount])</f>
        <v>406839287.73200053</v>
      </c>
    </row>
    <row r="2196" spans="1:19" ht="18.75" x14ac:dyDescent="0.25">
      <c r="A2196" s="163" t="s">
        <v>5818</v>
      </c>
      <c r="B2196" s="164">
        <v>45889</v>
      </c>
      <c r="C2196" s="34" t="s">
        <v>837</v>
      </c>
      <c r="D2196" s="53" t="str">
        <f>VLOOKUP(Sales[[#This Row],[Customer ID]],Customer[#All],2,0)</f>
        <v>Sahil Patel</v>
      </c>
      <c r="E2196" s="34" t="s">
        <v>397</v>
      </c>
      <c r="F2196" s="34" t="str">
        <f>VLOOKUP(Sales[[#This Row],[Product ID]],Product[#All],2,0)</f>
        <v>Dell Laptop</v>
      </c>
      <c r="G2196" s="53">
        <v>1</v>
      </c>
      <c r="H2196" s="165">
        <f>VLOOKUP(Sales[[#This Row],[Product ID]],Product[#All],7,0)</f>
        <v>69400</v>
      </c>
      <c r="I2196" s="165">
        <f>Sales[[#This Row],[Selling Rate]]*Sales[[#This Row],[Qty]]</f>
        <v>69400</v>
      </c>
      <c r="J2196" s="45">
        <v>0.15</v>
      </c>
      <c r="K2196" s="46">
        <f>Sales[[#This Row],[Gross Amount]]*Sales[[#This Row],[Disc %]]</f>
        <v>10410</v>
      </c>
      <c r="L2196" s="43">
        <v>0.18</v>
      </c>
      <c r="M2196" s="46">
        <f>(Sales[[#This Row],[Gross Amount]]-Sales[[#This Row],[Disc. Amt.]])*Sales[[#This Row],[GST %]]</f>
        <v>10618.199999999999</v>
      </c>
      <c r="N2196" s="161">
        <f>Sales[[#This Row],[Gross Amount]]-Sales[[#This Row],[Disc. Amt.]]+Sales[[#This Row],[GST Amount]]</f>
        <v>69608.2</v>
      </c>
      <c r="O2196" s="34" t="s">
        <v>8876</v>
      </c>
      <c r="P2196" s="34" t="s">
        <v>3562</v>
      </c>
      <c r="Q2196" s="165">
        <f>IF(Sales[[#This Row],[Status]]="Cancelled",0,Sales[[#This Row],[Qty]])</f>
        <v>1</v>
      </c>
      <c r="R2196" s="166">
        <f>IF(Sales[[#This Row],[Status]]="Cancelled",0,Sales[[#This Row],[Total Amount]])</f>
        <v>69608.2</v>
      </c>
      <c r="S2196" s="162">
        <f>SUM(Sales[Net Amount])</f>
        <v>406839287.73200053</v>
      </c>
    </row>
    <row r="2197" spans="1:19" ht="18.75" x14ac:dyDescent="0.25">
      <c r="A2197" s="156" t="s">
        <v>5819</v>
      </c>
      <c r="B2197" s="157">
        <v>45889</v>
      </c>
      <c r="C2197" s="158" t="s">
        <v>806</v>
      </c>
      <c r="D2197" s="159" t="str">
        <f>VLOOKUP(Sales[[#This Row],[Customer ID]],Customer[#All],2,0)</f>
        <v>Vikas Singh</v>
      </c>
      <c r="E2197" s="158" t="s">
        <v>217</v>
      </c>
      <c r="F2197" s="158" t="str">
        <f>VLOOKUP(Sales[[#This Row],[Product ID]],Product[#All],2,0)</f>
        <v>Logitech Webcam</v>
      </c>
      <c r="G2197" s="159">
        <v>6</v>
      </c>
      <c r="H2197" s="160">
        <f>VLOOKUP(Sales[[#This Row],[Product ID]],Product[#All],7,0)</f>
        <v>2420</v>
      </c>
      <c r="I2197" s="160">
        <f>Sales[[#This Row],[Selling Rate]]*Sales[[#This Row],[Qty]]</f>
        <v>14520</v>
      </c>
      <c r="J2197" s="43">
        <v>0.12</v>
      </c>
      <c r="K2197" s="44">
        <f>Sales[[#This Row],[Gross Amount]]*Sales[[#This Row],[Disc %]]</f>
        <v>1742.3999999999999</v>
      </c>
      <c r="L2197" s="43">
        <v>0.18</v>
      </c>
      <c r="M2197" s="44">
        <f>(Sales[[#This Row],[Gross Amount]]-Sales[[#This Row],[Disc. Amt.]])*Sales[[#This Row],[GST %]]</f>
        <v>2299.9679999999998</v>
      </c>
      <c r="N2197" s="161">
        <f>Sales[[#This Row],[Gross Amount]]-Sales[[#This Row],[Disc. Amt.]]+Sales[[#This Row],[GST Amount]]</f>
        <v>15077.567999999999</v>
      </c>
      <c r="O2197" s="158" t="s">
        <v>8876</v>
      </c>
      <c r="P2197" s="158" t="s">
        <v>3562</v>
      </c>
      <c r="Q2197" s="160">
        <f>IF(Sales[[#This Row],[Status]]="Cancelled",0,Sales[[#This Row],[Qty]])</f>
        <v>6</v>
      </c>
      <c r="R2197" s="161">
        <f>IF(Sales[[#This Row],[Status]]="Cancelled",0,Sales[[#This Row],[Total Amount]])</f>
        <v>15077.567999999999</v>
      </c>
      <c r="S2197" s="162">
        <f>SUM(Sales[Net Amount])</f>
        <v>406839287.73200053</v>
      </c>
    </row>
    <row r="2198" spans="1:19" ht="18.75" x14ac:dyDescent="0.25">
      <c r="A2198" s="163" t="s">
        <v>5820</v>
      </c>
      <c r="B2198" s="164">
        <v>45889</v>
      </c>
      <c r="C2198" s="34" t="s">
        <v>718</v>
      </c>
      <c r="D2198" s="53" t="str">
        <f>VLOOKUP(Sales[[#This Row],[Customer ID]],Customer[#All],2,0)</f>
        <v>Rakesh Patel</v>
      </c>
      <c r="E2198" s="34" t="s">
        <v>144</v>
      </c>
      <c r="F2198" s="34" t="str">
        <f>VLOOKUP(Sales[[#This Row],[Product ID]],Product[#All],2,0)</f>
        <v>Jbl Speaker</v>
      </c>
      <c r="G2198" s="53">
        <v>7</v>
      </c>
      <c r="H2198" s="165">
        <f>VLOOKUP(Sales[[#This Row],[Product ID]],Product[#All],7,0)</f>
        <v>7630</v>
      </c>
      <c r="I2198" s="165">
        <f>Sales[[#This Row],[Selling Rate]]*Sales[[#This Row],[Qty]]</f>
        <v>53410</v>
      </c>
      <c r="J2198" s="45">
        <v>0.05</v>
      </c>
      <c r="K2198" s="46">
        <f>Sales[[#This Row],[Gross Amount]]*Sales[[#This Row],[Disc %]]</f>
        <v>2670.5</v>
      </c>
      <c r="L2198" s="43">
        <v>0.18</v>
      </c>
      <c r="M2198" s="46">
        <f>(Sales[[#This Row],[Gross Amount]]-Sales[[#This Row],[Disc. Amt.]])*Sales[[#This Row],[GST %]]</f>
        <v>9133.1099999999988</v>
      </c>
      <c r="N2198" s="161">
        <f>Sales[[#This Row],[Gross Amount]]-Sales[[#This Row],[Disc. Amt.]]+Sales[[#This Row],[GST Amount]]</f>
        <v>59872.61</v>
      </c>
      <c r="O2198" s="34" t="s">
        <v>3561</v>
      </c>
      <c r="P2198" s="34" t="s">
        <v>3562</v>
      </c>
      <c r="Q2198" s="165">
        <f>IF(Sales[[#This Row],[Status]]="Cancelled",0,Sales[[#This Row],[Qty]])</f>
        <v>7</v>
      </c>
      <c r="R2198" s="166">
        <f>IF(Sales[[#This Row],[Status]]="Cancelled",0,Sales[[#This Row],[Total Amount]])</f>
        <v>59872.61</v>
      </c>
      <c r="S2198" s="162">
        <f>SUM(Sales[Net Amount])</f>
        <v>406839287.73200053</v>
      </c>
    </row>
    <row r="2199" spans="1:19" ht="18.75" x14ac:dyDescent="0.25">
      <c r="A2199" s="156" t="s">
        <v>5821</v>
      </c>
      <c r="B2199" s="157">
        <v>45889</v>
      </c>
      <c r="C2199" s="158" t="s">
        <v>842</v>
      </c>
      <c r="D2199" s="159" t="str">
        <f>VLOOKUP(Sales[[#This Row],[Customer ID]],Customer[#All],2,0)</f>
        <v>Priya Gupta</v>
      </c>
      <c r="E2199" s="158" t="s">
        <v>429</v>
      </c>
      <c r="F2199" s="158" t="str">
        <f>VLOOKUP(Sales[[#This Row],[Product ID]],Product[#All],2,0)</f>
        <v>Sandisk Pen Drive</v>
      </c>
      <c r="G2199" s="159">
        <v>7</v>
      </c>
      <c r="H2199" s="160">
        <f>VLOOKUP(Sales[[#This Row],[Product ID]],Product[#All],7,0)</f>
        <v>2290</v>
      </c>
      <c r="I2199" s="160">
        <f>Sales[[#This Row],[Selling Rate]]*Sales[[#This Row],[Qty]]</f>
        <v>16030</v>
      </c>
      <c r="J2199" s="43">
        <v>0.15</v>
      </c>
      <c r="K2199" s="44">
        <f>Sales[[#This Row],[Gross Amount]]*Sales[[#This Row],[Disc %]]</f>
        <v>2404.5</v>
      </c>
      <c r="L2199" s="43">
        <v>0.18</v>
      </c>
      <c r="M2199" s="44">
        <f>(Sales[[#This Row],[Gross Amount]]-Sales[[#This Row],[Disc. Amt.]])*Sales[[#This Row],[GST %]]</f>
        <v>2452.5899999999997</v>
      </c>
      <c r="N2199" s="161">
        <f>Sales[[#This Row],[Gross Amount]]-Sales[[#This Row],[Disc. Amt.]]+Sales[[#This Row],[GST Amount]]</f>
        <v>16078.09</v>
      </c>
      <c r="O2199" s="158" t="s">
        <v>3566</v>
      </c>
      <c r="P2199" s="158" t="s">
        <v>3562</v>
      </c>
      <c r="Q2199" s="160">
        <f>IF(Sales[[#This Row],[Status]]="Cancelled",0,Sales[[#This Row],[Qty]])</f>
        <v>7</v>
      </c>
      <c r="R2199" s="161">
        <f>IF(Sales[[#This Row],[Status]]="Cancelled",0,Sales[[#This Row],[Total Amount]])</f>
        <v>16078.09</v>
      </c>
      <c r="S2199" s="162">
        <f>SUM(Sales[Net Amount])</f>
        <v>406839287.73200053</v>
      </c>
    </row>
    <row r="2200" spans="1:19" ht="18.75" x14ac:dyDescent="0.25">
      <c r="A2200" s="163" t="s">
        <v>5822</v>
      </c>
      <c r="B2200" s="164">
        <v>45889</v>
      </c>
      <c r="C2200" s="34" t="s">
        <v>836</v>
      </c>
      <c r="D2200" s="53" t="str">
        <f>VLOOKUP(Sales[[#This Row],[Customer ID]],Customer[#All],2,0)</f>
        <v>Sunita Patel</v>
      </c>
      <c r="E2200" s="34" t="s">
        <v>171</v>
      </c>
      <c r="F2200" s="34" t="str">
        <f>VLOOKUP(Sales[[#This Row],[Product ID]],Product[#All],2,0)</f>
        <v>Boat Headset</v>
      </c>
      <c r="G2200" s="53">
        <v>2</v>
      </c>
      <c r="H2200" s="165">
        <f>VLOOKUP(Sales[[#This Row],[Product ID]],Product[#All],7,0)</f>
        <v>4010</v>
      </c>
      <c r="I2200" s="165">
        <f>Sales[[#This Row],[Selling Rate]]*Sales[[#This Row],[Qty]]</f>
        <v>8020</v>
      </c>
      <c r="J2200" s="45">
        <v>0.05</v>
      </c>
      <c r="K2200" s="46">
        <f>Sales[[#This Row],[Gross Amount]]*Sales[[#This Row],[Disc %]]</f>
        <v>401</v>
      </c>
      <c r="L2200" s="43">
        <v>0.18</v>
      </c>
      <c r="M2200" s="46">
        <f>(Sales[[#This Row],[Gross Amount]]-Sales[[#This Row],[Disc. Amt.]])*Sales[[#This Row],[GST %]]</f>
        <v>1371.4199999999998</v>
      </c>
      <c r="N2200" s="161">
        <f>Sales[[#This Row],[Gross Amount]]-Sales[[#This Row],[Disc. Amt.]]+Sales[[#This Row],[GST Amount]]</f>
        <v>8990.42</v>
      </c>
      <c r="O2200" s="34" t="s">
        <v>8876</v>
      </c>
      <c r="P2200" s="34" t="s">
        <v>3562</v>
      </c>
      <c r="Q2200" s="165">
        <f>IF(Sales[[#This Row],[Status]]="Cancelled",0,Sales[[#This Row],[Qty]])</f>
        <v>2</v>
      </c>
      <c r="R2200" s="166">
        <f>IF(Sales[[#This Row],[Status]]="Cancelled",0,Sales[[#This Row],[Total Amount]])</f>
        <v>8990.42</v>
      </c>
      <c r="S2200" s="162">
        <f>SUM(Sales[Net Amount])</f>
        <v>406839287.73200053</v>
      </c>
    </row>
    <row r="2201" spans="1:19" ht="18.75" x14ac:dyDescent="0.25">
      <c r="A2201" s="156" t="s">
        <v>5823</v>
      </c>
      <c r="B2201" s="157">
        <v>45889</v>
      </c>
      <c r="C2201" s="158" t="s">
        <v>855</v>
      </c>
      <c r="D2201" s="159" t="str">
        <f>VLOOKUP(Sales[[#This Row],[Customer ID]],Customer[#All],2,0)</f>
        <v>Sahil Singh</v>
      </c>
      <c r="E2201" s="158" t="s">
        <v>12</v>
      </c>
      <c r="F2201" s="158" t="str">
        <f>VLOOKUP(Sales[[#This Row],[Product ID]],Product[#All],2,0)</f>
        <v>Boat Headset</v>
      </c>
      <c r="G2201" s="159">
        <v>3</v>
      </c>
      <c r="H2201" s="160">
        <f>VLOOKUP(Sales[[#This Row],[Product ID]],Product[#All],7,0)</f>
        <v>1990</v>
      </c>
      <c r="I2201" s="160">
        <f>Sales[[#This Row],[Selling Rate]]*Sales[[#This Row],[Qty]]</f>
        <v>5970</v>
      </c>
      <c r="J2201" s="43">
        <v>0</v>
      </c>
      <c r="K2201" s="44">
        <f>Sales[[#This Row],[Gross Amount]]*Sales[[#This Row],[Disc %]]</f>
        <v>0</v>
      </c>
      <c r="L2201" s="43">
        <v>0.18</v>
      </c>
      <c r="M2201" s="44">
        <f>(Sales[[#This Row],[Gross Amount]]-Sales[[#This Row],[Disc. Amt.]])*Sales[[#This Row],[GST %]]</f>
        <v>1074.5999999999999</v>
      </c>
      <c r="N2201" s="161">
        <f>Sales[[#This Row],[Gross Amount]]-Sales[[#This Row],[Disc. Amt.]]+Sales[[#This Row],[GST Amount]]</f>
        <v>7044.6</v>
      </c>
      <c r="O2201" s="158" t="s">
        <v>3566</v>
      </c>
      <c r="P2201" s="158" t="s">
        <v>3562</v>
      </c>
      <c r="Q2201" s="160">
        <f>IF(Sales[[#This Row],[Status]]="Cancelled",0,Sales[[#This Row],[Qty]])</f>
        <v>3</v>
      </c>
      <c r="R2201" s="161">
        <f>IF(Sales[[#This Row],[Status]]="Cancelled",0,Sales[[#This Row],[Total Amount]])</f>
        <v>7044.6</v>
      </c>
      <c r="S2201" s="162">
        <f>SUM(Sales[Net Amount])</f>
        <v>406839287.73200053</v>
      </c>
    </row>
    <row r="2202" spans="1:19" ht="18.75" x14ac:dyDescent="0.25">
      <c r="A2202" s="163" t="s">
        <v>5824</v>
      </c>
      <c r="B2202" s="164">
        <v>45889</v>
      </c>
      <c r="C2202" s="34" t="s">
        <v>812</v>
      </c>
      <c r="D2202" s="53" t="str">
        <f>VLOOKUP(Sales[[#This Row],[Customer ID]],Customer[#All],2,0)</f>
        <v>Neha Gupta</v>
      </c>
      <c r="E2202" s="34" t="s">
        <v>353</v>
      </c>
      <c r="F2202" s="34" t="str">
        <f>VLOOKUP(Sales[[#This Row],[Product ID]],Product[#All],2,0)</f>
        <v>HP Desktop</v>
      </c>
      <c r="G2202" s="53">
        <v>3</v>
      </c>
      <c r="H2202" s="165">
        <f>VLOOKUP(Sales[[#This Row],[Product ID]],Product[#All],7,0)</f>
        <v>60910</v>
      </c>
      <c r="I2202" s="165">
        <f>Sales[[#This Row],[Selling Rate]]*Sales[[#This Row],[Qty]]</f>
        <v>182730</v>
      </c>
      <c r="J2202" s="45">
        <v>0.05</v>
      </c>
      <c r="K2202" s="46">
        <f>Sales[[#This Row],[Gross Amount]]*Sales[[#This Row],[Disc %]]</f>
        <v>9136.5</v>
      </c>
      <c r="L2202" s="43">
        <v>0.18</v>
      </c>
      <c r="M2202" s="46">
        <f>(Sales[[#This Row],[Gross Amount]]-Sales[[#This Row],[Disc. Amt.]])*Sales[[#This Row],[GST %]]</f>
        <v>31246.829999999998</v>
      </c>
      <c r="N2202" s="161">
        <f>Sales[[#This Row],[Gross Amount]]-Sales[[#This Row],[Disc. Amt.]]+Sales[[#This Row],[GST Amount]]</f>
        <v>204840.33</v>
      </c>
      <c r="O2202" s="34" t="s">
        <v>3561</v>
      </c>
      <c r="P2202" s="34" t="s">
        <v>3562</v>
      </c>
      <c r="Q2202" s="165">
        <f>IF(Sales[[#This Row],[Status]]="Cancelled",0,Sales[[#This Row],[Qty]])</f>
        <v>3</v>
      </c>
      <c r="R2202" s="166">
        <f>IF(Sales[[#This Row],[Status]]="Cancelled",0,Sales[[#This Row],[Total Amount]])</f>
        <v>204840.33</v>
      </c>
      <c r="S2202" s="162">
        <f>SUM(Sales[Net Amount])</f>
        <v>406839287.73200053</v>
      </c>
    </row>
    <row r="2203" spans="1:19" ht="18.75" x14ac:dyDescent="0.25">
      <c r="A2203" s="156" t="s">
        <v>5825</v>
      </c>
      <c r="B2203" s="157">
        <v>45889</v>
      </c>
      <c r="C2203" s="158" t="s">
        <v>651</v>
      </c>
      <c r="D2203" s="159" t="str">
        <f>VLOOKUP(Sales[[#This Row],[Customer ID]],Customer[#All],2,0)</f>
        <v>Sahil Verma</v>
      </c>
      <c r="E2203" s="158" t="s">
        <v>89</v>
      </c>
      <c r="F2203" s="158" t="str">
        <f>VLOOKUP(Sales[[#This Row],[Product ID]],Product[#All],2,0)</f>
        <v>Portronics USB Cable</v>
      </c>
      <c r="G2203" s="159">
        <v>8</v>
      </c>
      <c r="H2203" s="160">
        <f>VLOOKUP(Sales[[#This Row],[Product ID]],Product[#All],7,0)</f>
        <v>390</v>
      </c>
      <c r="I2203" s="160">
        <f>Sales[[#This Row],[Selling Rate]]*Sales[[#This Row],[Qty]]</f>
        <v>3120</v>
      </c>
      <c r="J2203" s="43">
        <v>0.15</v>
      </c>
      <c r="K2203" s="44">
        <f>Sales[[#This Row],[Gross Amount]]*Sales[[#This Row],[Disc %]]</f>
        <v>468</v>
      </c>
      <c r="L2203" s="43">
        <v>0.18</v>
      </c>
      <c r="M2203" s="44">
        <f>(Sales[[#This Row],[Gross Amount]]-Sales[[#This Row],[Disc. Amt.]])*Sales[[#This Row],[GST %]]</f>
        <v>477.35999999999996</v>
      </c>
      <c r="N2203" s="161">
        <f>Sales[[#This Row],[Gross Amount]]-Sales[[#This Row],[Disc. Amt.]]+Sales[[#This Row],[GST Amount]]</f>
        <v>3129.36</v>
      </c>
      <c r="O2203" s="158" t="s">
        <v>3569</v>
      </c>
      <c r="P2203" s="158" t="s">
        <v>3562</v>
      </c>
      <c r="Q2203" s="160">
        <f>IF(Sales[[#This Row],[Status]]="Cancelled",0,Sales[[#This Row],[Qty]])</f>
        <v>8</v>
      </c>
      <c r="R2203" s="161">
        <f>IF(Sales[[#This Row],[Status]]="Cancelled",0,Sales[[#This Row],[Total Amount]])</f>
        <v>3129.36</v>
      </c>
      <c r="S2203" s="162">
        <f>SUM(Sales[Net Amount])</f>
        <v>406839287.73200053</v>
      </c>
    </row>
    <row r="2204" spans="1:19" ht="18.75" x14ac:dyDescent="0.25">
      <c r="A2204" s="163" t="s">
        <v>5826</v>
      </c>
      <c r="B2204" s="164">
        <v>45889</v>
      </c>
      <c r="C2204" s="34" t="s">
        <v>732</v>
      </c>
      <c r="D2204" s="53" t="str">
        <f>VLOOKUP(Sales[[#This Row],[Customer ID]],Customer[#All],2,0)</f>
        <v>Sunita Gupta</v>
      </c>
      <c r="E2204" s="34" t="s">
        <v>330</v>
      </c>
      <c r="F2204" s="34" t="str">
        <f>VLOOKUP(Sales[[#This Row],[Product ID]],Product[#All],2,0)</f>
        <v>American TouristerLaptopBag</v>
      </c>
      <c r="G2204" s="53">
        <v>7</v>
      </c>
      <c r="H2204" s="165">
        <f>VLOOKUP(Sales[[#This Row],[Product ID]],Product[#All],7,0)</f>
        <v>4970</v>
      </c>
      <c r="I2204" s="165">
        <f>Sales[[#This Row],[Selling Rate]]*Sales[[#This Row],[Qty]]</f>
        <v>34790</v>
      </c>
      <c r="J2204" s="45">
        <v>0.15</v>
      </c>
      <c r="K2204" s="46">
        <f>Sales[[#This Row],[Gross Amount]]*Sales[[#This Row],[Disc %]]</f>
        <v>5218.5</v>
      </c>
      <c r="L2204" s="43">
        <v>0.18</v>
      </c>
      <c r="M2204" s="46">
        <f>(Sales[[#This Row],[Gross Amount]]-Sales[[#This Row],[Disc. Amt.]])*Sales[[#This Row],[GST %]]</f>
        <v>5322.87</v>
      </c>
      <c r="N2204" s="161">
        <f>Sales[[#This Row],[Gross Amount]]-Sales[[#This Row],[Disc. Amt.]]+Sales[[#This Row],[GST Amount]]</f>
        <v>34894.370000000003</v>
      </c>
      <c r="O2204" s="34" t="s">
        <v>3569</v>
      </c>
      <c r="P2204" s="34" t="s">
        <v>3562</v>
      </c>
      <c r="Q2204" s="165">
        <f>IF(Sales[[#This Row],[Status]]="Cancelled",0,Sales[[#This Row],[Qty]])</f>
        <v>7</v>
      </c>
      <c r="R2204" s="166">
        <f>IF(Sales[[#This Row],[Status]]="Cancelled",0,Sales[[#This Row],[Total Amount]])</f>
        <v>34894.370000000003</v>
      </c>
      <c r="S2204" s="162">
        <f>SUM(Sales[Net Amount])</f>
        <v>406839287.73200053</v>
      </c>
    </row>
    <row r="2205" spans="1:19" ht="18.75" x14ac:dyDescent="0.25">
      <c r="A2205" s="156" t="s">
        <v>5827</v>
      </c>
      <c r="B2205" s="157">
        <v>45889</v>
      </c>
      <c r="C2205" s="158" t="s">
        <v>799</v>
      </c>
      <c r="D2205" s="159" t="str">
        <f>VLOOKUP(Sales[[#This Row],[Customer ID]],Customer[#All],2,0)</f>
        <v>Rakesh Gupta</v>
      </c>
      <c r="E2205" s="158" t="s">
        <v>492</v>
      </c>
      <c r="F2205" s="158" t="str">
        <f>VLOOKUP(Sales[[#This Row],[Product ID]],Product[#All],2,0)</f>
        <v>Microtek UPS</v>
      </c>
      <c r="G2205" s="159">
        <v>8</v>
      </c>
      <c r="H2205" s="160">
        <f>VLOOKUP(Sales[[#This Row],[Product ID]],Product[#All],7,0)</f>
        <v>13470</v>
      </c>
      <c r="I2205" s="160">
        <f>Sales[[#This Row],[Selling Rate]]*Sales[[#This Row],[Qty]]</f>
        <v>107760</v>
      </c>
      <c r="J2205" s="43">
        <v>0.02</v>
      </c>
      <c r="K2205" s="44">
        <f>Sales[[#This Row],[Gross Amount]]*Sales[[#This Row],[Disc %]]</f>
        <v>2155.1999999999998</v>
      </c>
      <c r="L2205" s="43">
        <v>0.18</v>
      </c>
      <c r="M2205" s="44">
        <f>(Sales[[#This Row],[Gross Amount]]-Sales[[#This Row],[Disc. Amt.]])*Sales[[#This Row],[GST %]]</f>
        <v>19008.864000000001</v>
      </c>
      <c r="N2205" s="161">
        <f>Sales[[#This Row],[Gross Amount]]-Sales[[#This Row],[Disc. Amt.]]+Sales[[#This Row],[GST Amount]]</f>
        <v>124613.664</v>
      </c>
      <c r="O2205" s="158" t="s">
        <v>3569</v>
      </c>
      <c r="P2205" s="158" t="s">
        <v>3562</v>
      </c>
      <c r="Q2205" s="160">
        <f>IF(Sales[[#This Row],[Status]]="Cancelled",0,Sales[[#This Row],[Qty]])</f>
        <v>8</v>
      </c>
      <c r="R2205" s="161">
        <f>IF(Sales[[#This Row],[Status]]="Cancelled",0,Sales[[#This Row],[Total Amount]])</f>
        <v>124613.664</v>
      </c>
      <c r="S2205" s="162">
        <f>SUM(Sales[Net Amount])</f>
        <v>406839287.73200053</v>
      </c>
    </row>
    <row r="2206" spans="1:19" ht="18.75" x14ac:dyDescent="0.25">
      <c r="A2206" s="163" t="s">
        <v>5828</v>
      </c>
      <c r="B2206" s="164">
        <v>45890</v>
      </c>
      <c r="C2206" s="34" t="s">
        <v>687</v>
      </c>
      <c r="D2206" s="53" t="str">
        <f>VLOOKUP(Sales[[#This Row],[Customer ID]],Customer[#All],2,0)</f>
        <v>Rahul Verma</v>
      </c>
      <c r="E2206" s="34" t="s">
        <v>140</v>
      </c>
      <c r="F2206" s="34" t="str">
        <f>VLOOKUP(Sales[[#This Row],[Product ID]],Product[#All],2,0)</f>
        <v>Logitech Mouse</v>
      </c>
      <c r="G2206" s="53">
        <v>5</v>
      </c>
      <c r="H2206" s="165">
        <f>VLOOKUP(Sales[[#This Row],[Product ID]],Product[#All],7,0)</f>
        <v>2760</v>
      </c>
      <c r="I2206" s="165">
        <f>Sales[[#This Row],[Selling Rate]]*Sales[[#This Row],[Qty]]</f>
        <v>13800</v>
      </c>
      <c r="J2206" s="45">
        <v>0</v>
      </c>
      <c r="K2206" s="46">
        <f>Sales[[#This Row],[Gross Amount]]*Sales[[#This Row],[Disc %]]</f>
        <v>0</v>
      </c>
      <c r="L2206" s="43">
        <v>0.18</v>
      </c>
      <c r="M2206" s="46">
        <f>(Sales[[#This Row],[Gross Amount]]-Sales[[#This Row],[Disc. Amt.]])*Sales[[#This Row],[GST %]]</f>
        <v>2484</v>
      </c>
      <c r="N2206" s="161">
        <f>Sales[[#This Row],[Gross Amount]]-Sales[[#This Row],[Disc. Amt.]]+Sales[[#This Row],[GST Amount]]</f>
        <v>16284</v>
      </c>
      <c r="O2206" s="34" t="s">
        <v>3561</v>
      </c>
      <c r="P2206" s="34" t="s">
        <v>1040</v>
      </c>
      <c r="Q2206" s="165">
        <f>IF(Sales[[#This Row],[Status]]="Cancelled",0,Sales[[#This Row],[Qty]])</f>
        <v>0</v>
      </c>
      <c r="R2206" s="166">
        <f>IF(Sales[[#This Row],[Status]]="Cancelled",0,Sales[[#This Row],[Total Amount]])</f>
        <v>0</v>
      </c>
      <c r="S2206" s="162">
        <f>SUM(Sales[Net Amount])</f>
        <v>406839287.73200053</v>
      </c>
    </row>
    <row r="2207" spans="1:19" ht="18.75" x14ac:dyDescent="0.25">
      <c r="A2207" s="156" t="s">
        <v>5829</v>
      </c>
      <c r="B2207" s="157">
        <v>45890</v>
      </c>
      <c r="C2207" s="158" t="s">
        <v>813</v>
      </c>
      <c r="D2207" s="159" t="str">
        <f>VLOOKUP(Sales[[#This Row],[Customer ID]],Customer[#All],2,0)</f>
        <v>Neha Verma</v>
      </c>
      <c r="E2207" s="158" t="s">
        <v>181</v>
      </c>
      <c r="F2207" s="158" t="str">
        <f>VLOOKUP(Sales[[#This Row],[Product ID]],Product[#All],2,0)</f>
        <v>Logitech Webcam</v>
      </c>
      <c r="G2207" s="159">
        <v>5</v>
      </c>
      <c r="H2207" s="160">
        <f>VLOOKUP(Sales[[#This Row],[Product ID]],Product[#All],7,0)</f>
        <v>5880</v>
      </c>
      <c r="I2207" s="160">
        <f>Sales[[#This Row],[Selling Rate]]*Sales[[#This Row],[Qty]]</f>
        <v>29400</v>
      </c>
      <c r="J2207" s="43">
        <v>0.1</v>
      </c>
      <c r="K2207" s="44">
        <f>Sales[[#This Row],[Gross Amount]]*Sales[[#This Row],[Disc %]]</f>
        <v>2940</v>
      </c>
      <c r="L2207" s="43">
        <v>0.18</v>
      </c>
      <c r="M2207" s="44">
        <f>(Sales[[#This Row],[Gross Amount]]-Sales[[#This Row],[Disc. Amt.]])*Sales[[#This Row],[GST %]]</f>
        <v>4762.8</v>
      </c>
      <c r="N2207" s="161">
        <f>Sales[[#This Row],[Gross Amount]]-Sales[[#This Row],[Disc. Amt.]]+Sales[[#This Row],[GST Amount]]</f>
        <v>31222.799999999999</v>
      </c>
      <c r="O2207" s="158" t="s">
        <v>8876</v>
      </c>
      <c r="P2207" s="158" t="s">
        <v>3562</v>
      </c>
      <c r="Q2207" s="160">
        <f>IF(Sales[[#This Row],[Status]]="Cancelled",0,Sales[[#This Row],[Qty]])</f>
        <v>5</v>
      </c>
      <c r="R2207" s="161">
        <f>IF(Sales[[#This Row],[Status]]="Cancelled",0,Sales[[#This Row],[Total Amount]])</f>
        <v>31222.799999999999</v>
      </c>
      <c r="S2207" s="162">
        <f>SUM(Sales[Net Amount])</f>
        <v>406839287.73200053</v>
      </c>
    </row>
    <row r="2208" spans="1:19" ht="18.75" x14ac:dyDescent="0.25">
      <c r="A2208" s="163" t="s">
        <v>5830</v>
      </c>
      <c r="B2208" s="164">
        <v>45890</v>
      </c>
      <c r="C2208" s="34" t="s">
        <v>930</v>
      </c>
      <c r="D2208" s="53" t="str">
        <f>VLOOKUP(Sales[[#This Row],[Customer ID]],Customer[#All],2,0)</f>
        <v>Rakesh Gupta</v>
      </c>
      <c r="E2208" s="34" t="s">
        <v>469</v>
      </c>
      <c r="F2208" s="34" t="str">
        <f>VLOOKUP(Sales[[#This Row],[Product ID]],Product[#All],2,0)</f>
        <v>WD HDD</v>
      </c>
      <c r="G2208" s="53">
        <v>2</v>
      </c>
      <c r="H2208" s="165">
        <f>VLOOKUP(Sales[[#This Row],[Product ID]],Product[#All],7,0)</f>
        <v>6930</v>
      </c>
      <c r="I2208" s="165">
        <f>Sales[[#This Row],[Selling Rate]]*Sales[[#This Row],[Qty]]</f>
        <v>13860</v>
      </c>
      <c r="J2208" s="45">
        <v>0.1</v>
      </c>
      <c r="K2208" s="46">
        <f>Sales[[#This Row],[Gross Amount]]*Sales[[#This Row],[Disc %]]</f>
        <v>1386</v>
      </c>
      <c r="L2208" s="43">
        <v>0.18</v>
      </c>
      <c r="M2208" s="46">
        <f>(Sales[[#This Row],[Gross Amount]]-Sales[[#This Row],[Disc. Amt.]])*Sales[[#This Row],[GST %]]</f>
        <v>2245.3199999999997</v>
      </c>
      <c r="N2208" s="161">
        <f>Sales[[#This Row],[Gross Amount]]-Sales[[#This Row],[Disc. Amt.]]+Sales[[#This Row],[GST Amount]]</f>
        <v>14719.32</v>
      </c>
      <c r="O2208" s="34" t="s">
        <v>3561</v>
      </c>
      <c r="P2208" s="34" t="s">
        <v>3562</v>
      </c>
      <c r="Q2208" s="165">
        <f>IF(Sales[[#This Row],[Status]]="Cancelled",0,Sales[[#This Row],[Qty]])</f>
        <v>2</v>
      </c>
      <c r="R2208" s="166">
        <f>IF(Sales[[#This Row],[Status]]="Cancelled",0,Sales[[#This Row],[Total Amount]])</f>
        <v>14719.32</v>
      </c>
      <c r="S2208" s="162">
        <f>SUM(Sales[Net Amount])</f>
        <v>406839287.73200053</v>
      </c>
    </row>
    <row r="2209" spans="1:19" ht="18.75" x14ac:dyDescent="0.25">
      <c r="A2209" s="156" t="s">
        <v>5831</v>
      </c>
      <c r="B2209" s="157">
        <v>45890</v>
      </c>
      <c r="C2209" s="158" t="s">
        <v>799</v>
      </c>
      <c r="D2209" s="159" t="str">
        <f>VLOOKUP(Sales[[#This Row],[Customer ID]],Customer[#All],2,0)</f>
        <v>Rakesh Gupta</v>
      </c>
      <c r="E2209" s="158" t="s">
        <v>7</v>
      </c>
      <c r="F2209" s="158" t="str">
        <f>VLOOKUP(Sales[[#This Row],[Product ID]],Product[#All],2,0)</f>
        <v>Dell Desktop</v>
      </c>
      <c r="G2209" s="159">
        <v>6</v>
      </c>
      <c r="H2209" s="160">
        <f>VLOOKUP(Sales[[#This Row],[Product ID]],Product[#All],7,0)</f>
        <v>33010</v>
      </c>
      <c r="I2209" s="160">
        <f>Sales[[#This Row],[Selling Rate]]*Sales[[#This Row],[Qty]]</f>
        <v>198060</v>
      </c>
      <c r="J2209" s="43">
        <v>0.05</v>
      </c>
      <c r="K2209" s="44">
        <f>Sales[[#This Row],[Gross Amount]]*Sales[[#This Row],[Disc %]]</f>
        <v>9903</v>
      </c>
      <c r="L2209" s="43">
        <v>0.18</v>
      </c>
      <c r="M2209" s="44">
        <f>(Sales[[#This Row],[Gross Amount]]-Sales[[#This Row],[Disc. Amt.]])*Sales[[#This Row],[GST %]]</f>
        <v>33868.26</v>
      </c>
      <c r="N2209" s="161">
        <f>Sales[[#This Row],[Gross Amount]]-Sales[[#This Row],[Disc. Amt.]]+Sales[[#This Row],[GST Amount]]</f>
        <v>222025.26</v>
      </c>
      <c r="O2209" s="158" t="s">
        <v>8876</v>
      </c>
      <c r="P2209" s="158" t="s">
        <v>3562</v>
      </c>
      <c r="Q2209" s="160">
        <f>IF(Sales[[#This Row],[Status]]="Cancelled",0,Sales[[#This Row],[Qty]])</f>
        <v>6</v>
      </c>
      <c r="R2209" s="161">
        <f>IF(Sales[[#This Row],[Status]]="Cancelled",0,Sales[[#This Row],[Total Amount]])</f>
        <v>222025.26</v>
      </c>
      <c r="S2209" s="162">
        <f>SUM(Sales[Net Amount])</f>
        <v>406839287.73200053</v>
      </c>
    </row>
    <row r="2210" spans="1:19" ht="18.75" x14ac:dyDescent="0.25">
      <c r="A2210" s="163" t="s">
        <v>5832</v>
      </c>
      <c r="B2210" s="164">
        <v>45890</v>
      </c>
      <c r="C2210" s="34" t="s">
        <v>738</v>
      </c>
      <c r="D2210" s="53" t="str">
        <f>VLOOKUP(Sales[[#This Row],[Customer ID]],Customer[#All],2,0)</f>
        <v>Pooja Patel</v>
      </c>
      <c r="E2210" s="34" t="s">
        <v>400</v>
      </c>
      <c r="F2210" s="34" t="str">
        <f>VLOOKUP(Sales[[#This Row],[Product ID]],Product[#All],2,0)</f>
        <v>TP-link Bluetooth Adapter</v>
      </c>
      <c r="G2210" s="53">
        <v>2</v>
      </c>
      <c r="H2210" s="165">
        <f>VLOOKUP(Sales[[#This Row],[Product ID]],Product[#All],7,0)</f>
        <v>1320</v>
      </c>
      <c r="I2210" s="165">
        <f>Sales[[#This Row],[Selling Rate]]*Sales[[#This Row],[Qty]]</f>
        <v>2640</v>
      </c>
      <c r="J2210" s="45">
        <v>0.15</v>
      </c>
      <c r="K2210" s="46">
        <f>Sales[[#This Row],[Gross Amount]]*Sales[[#This Row],[Disc %]]</f>
        <v>396</v>
      </c>
      <c r="L2210" s="43">
        <v>0.18</v>
      </c>
      <c r="M2210" s="46">
        <f>(Sales[[#This Row],[Gross Amount]]-Sales[[#This Row],[Disc. Amt.]])*Sales[[#This Row],[GST %]]</f>
        <v>403.91999999999996</v>
      </c>
      <c r="N2210" s="161">
        <f>Sales[[#This Row],[Gross Amount]]-Sales[[#This Row],[Disc. Amt.]]+Sales[[#This Row],[GST Amount]]</f>
        <v>2647.92</v>
      </c>
      <c r="O2210" s="34" t="s">
        <v>3561</v>
      </c>
      <c r="P2210" s="34" t="s">
        <v>3562</v>
      </c>
      <c r="Q2210" s="165">
        <f>IF(Sales[[#This Row],[Status]]="Cancelled",0,Sales[[#This Row],[Qty]])</f>
        <v>2</v>
      </c>
      <c r="R2210" s="166">
        <f>IF(Sales[[#This Row],[Status]]="Cancelled",0,Sales[[#This Row],[Total Amount]])</f>
        <v>2647.92</v>
      </c>
      <c r="S2210" s="162">
        <f>SUM(Sales[Net Amount])</f>
        <v>406839287.73200053</v>
      </c>
    </row>
    <row r="2211" spans="1:19" ht="18.75" x14ac:dyDescent="0.25">
      <c r="A2211" s="156" t="s">
        <v>5833</v>
      </c>
      <c r="B2211" s="157">
        <v>45890</v>
      </c>
      <c r="C2211" s="158" t="s">
        <v>786</v>
      </c>
      <c r="D2211" s="159" t="str">
        <f>VLOOKUP(Sales[[#This Row],[Customer ID]],Customer[#All],2,0)</f>
        <v>Pooja Kumar</v>
      </c>
      <c r="E2211" s="158" t="s">
        <v>361</v>
      </c>
      <c r="F2211" s="158" t="str">
        <f>VLOOKUP(Sales[[#This Row],[Product ID]],Product[#All],2,0)</f>
        <v>Epson Printer</v>
      </c>
      <c r="G2211" s="159">
        <v>2</v>
      </c>
      <c r="H2211" s="160">
        <f>VLOOKUP(Sales[[#This Row],[Product ID]],Product[#All],7,0)</f>
        <v>26570</v>
      </c>
      <c r="I2211" s="160">
        <f>Sales[[#This Row],[Selling Rate]]*Sales[[#This Row],[Qty]]</f>
        <v>53140</v>
      </c>
      <c r="J2211" s="43">
        <v>0.05</v>
      </c>
      <c r="K2211" s="44">
        <f>Sales[[#This Row],[Gross Amount]]*Sales[[#This Row],[Disc %]]</f>
        <v>2657</v>
      </c>
      <c r="L2211" s="43">
        <v>0.18</v>
      </c>
      <c r="M2211" s="44">
        <f>(Sales[[#This Row],[Gross Amount]]-Sales[[#This Row],[Disc. Amt.]])*Sales[[#This Row],[GST %]]</f>
        <v>9086.94</v>
      </c>
      <c r="N2211" s="161">
        <f>Sales[[#This Row],[Gross Amount]]-Sales[[#This Row],[Disc. Amt.]]+Sales[[#This Row],[GST Amount]]</f>
        <v>59569.94</v>
      </c>
      <c r="O2211" s="158" t="s">
        <v>3566</v>
      </c>
      <c r="P2211" s="158" t="s">
        <v>3562</v>
      </c>
      <c r="Q2211" s="160">
        <f>IF(Sales[[#This Row],[Status]]="Cancelled",0,Sales[[#This Row],[Qty]])</f>
        <v>2</v>
      </c>
      <c r="R2211" s="161">
        <f>IF(Sales[[#This Row],[Status]]="Cancelled",0,Sales[[#This Row],[Total Amount]])</f>
        <v>59569.94</v>
      </c>
      <c r="S2211" s="162">
        <f>SUM(Sales[Net Amount])</f>
        <v>406839287.73200053</v>
      </c>
    </row>
    <row r="2212" spans="1:19" ht="18.75" x14ac:dyDescent="0.25">
      <c r="A2212" s="163" t="s">
        <v>5834</v>
      </c>
      <c r="B2212" s="164">
        <v>45890</v>
      </c>
      <c r="C2212" s="34" t="s">
        <v>801</v>
      </c>
      <c r="D2212" s="53" t="str">
        <f>VLOOKUP(Sales[[#This Row],[Customer ID]],Customer[#All],2,0)</f>
        <v>Sunita Verma</v>
      </c>
      <c r="E2212" s="34" t="s">
        <v>167</v>
      </c>
      <c r="F2212" s="34" t="str">
        <f>VLOOKUP(Sales[[#This Row],[Product ID]],Product[#All],2,0)</f>
        <v>Logitech Keyboard</v>
      </c>
      <c r="G2212" s="53">
        <v>7</v>
      </c>
      <c r="H2212" s="165">
        <f>VLOOKUP(Sales[[#This Row],[Product ID]],Product[#All],7,0)</f>
        <v>2460</v>
      </c>
      <c r="I2212" s="165">
        <f>Sales[[#This Row],[Selling Rate]]*Sales[[#This Row],[Qty]]</f>
        <v>17220</v>
      </c>
      <c r="J2212" s="45">
        <v>0.05</v>
      </c>
      <c r="K2212" s="46">
        <f>Sales[[#This Row],[Gross Amount]]*Sales[[#This Row],[Disc %]]</f>
        <v>861</v>
      </c>
      <c r="L2212" s="43">
        <v>0.18</v>
      </c>
      <c r="M2212" s="46">
        <f>(Sales[[#This Row],[Gross Amount]]-Sales[[#This Row],[Disc. Amt.]])*Sales[[#This Row],[GST %]]</f>
        <v>2944.62</v>
      </c>
      <c r="N2212" s="161">
        <f>Sales[[#This Row],[Gross Amount]]-Sales[[#This Row],[Disc. Amt.]]+Sales[[#This Row],[GST Amount]]</f>
        <v>19303.62</v>
      </c>
      <c r="O2212" s="34" t="s">
        <v>3566</v>
      </c>
      <c r="P2212" s="34" t="s">
        <v>3562</v>
      </c>
      <c r="Q2212" s="165">
        <f>IF(Sales[[#This Row],[Status]]="Cancelled",0,Sales[[#This Row],[Qty]])</f>
        <v>7</v>
      </c>
      <c r="R2212" s="166">
        <f>IF(Sales[[#This Row],[Status]]="Cancelled",0,Sales[[#This Row],[Total Amount]])</f>
        <v>19303.62</v>
      </c>
      <c r="S2212" s="162">
        <f>SUM(Sales[Net Amount])</f>
        <v>406839287.73200053</v>
      </c>
    </row>
    <row r="2213" spans="1:19" ht="18.75" x14ac:dyDescent="0.25">
      <c r="A2213" s="156" t="s">
        <v>5835</v>
      </c>
      <c r="B2213" s="157">
        <v>45890</v>
      </c>
      <c r="C2213" s="158" t="s">
        <v>683</v>
      </c>
      <c r="D2213" s="159" t="str">
        <f>VLOOKUP(Sales[[#This Row],[Customer ID]],Customer[#All],2,0)</f>
        <v>Rahul Kumar</v>
      </c>
      <c r="E2213" s="158" t="s">
        <v>463</v>
      </c>
      <c r="F2213" s="158" t="str">
        <f>VLOOKUP(Sales[[#This Row],[Product ID]],Product[#All],2,0)</f>
        <v>Apc UPS</v>
      </c>
      <c r="G2213" s="159">
        <v>6</v>
      </c>
      <c r="H2213" s="160">
        <f>VLOOKUP(Sales[[#This Row],[Product ID]],Product[#All],7,0)</f>
        <v>10050</v>
      </c>
      <c r="I2213" s="160">
        <f>Sales[[#This Row],[Selling Rate]]*Sales[[#This Row],[Qty]]</f>
        <v>60300</v>
      </c>
      <c r="J2213" s="43">
        <v>0.05</v>
      </c>
      <c r="K2213" s="44">
        <f>Sales[[#This Row],[Gross Amount]]*Sales[[#This Row],[Disc %]]</f>
        <v>3015</v>
      </c>
      <c r="L2213" s="43">
        <v>0.18</v>
      </c>
      <c r="M2213" s="44">
        <f>(Sales[[#This Row],[Gross Amount]]-Sales[[#This Row],[Disc. Amt.]])*Sales[[#This Row],[GST %]]</f>
        <v>10311.299999999999</v>
      </c>
      <c r="N2213" s="161">
        <f>Sales[[#This Row],[Gross Amount]]-Sales[[#This Row],[Disc. Amt.]]+Sales[[#This Row],[GST Amount]]</f>
        <v>67596.3</v>
      </c>
      <c r="O2213" s="158" t="s">
        <v>8876</v>
      </c>
      <c r="P2213" s="158" t="s">
        <v>3562</v>
      </c>
      <c r="Q2213" s="160">
        <f>IF(Sales[[#This Row],[Status]]="Cancelled",0,Sales[[#This Row],[Qty]])</f>
        <v>6</v>
      </c>
      <c r="R2213" s="161">
        <f>IF(Sales[[#This Row],[Status]]="Cancelled",0,Sales[[#This Row],[Total Amount]])</f>
        <v>67596.3</v>
      </c>
      <c r="S2213" s="162">
        <f>SUM(Sales[Net Amount])</f>
        <v>406839287.73200053</v>
      </c>
    </row>
    <row r="2214" spans="1:19" ht="18.75" x14ac:dyDescent="0.25">
      <c r="A2214" s="163" t="s">
        <v>5836</v>
      </c>
      <c r="B2214" s="164">
        <v>45890</v>
      </c>
      <c r="C2214" s="34" t="s">
        <v>926</v>
      </c>
      <c r="D2214" s="53" t="str">
        <f>VLOOKUP(Sales[[#This Row],[Customer ID]],Customer[#All],2,0)</f>
        <v>Pooja Singh</v>
      </c>
      <c r="E2214" s="34" t="s">
        <v>210</v>
      </c>
      <c r="F2214" s="34" t="str">
        <f>VLOOKUP(Sales[[#This Row],[Product ID]],Product[#All],2,0)</f>
        <v>Jbl Headset</v>
      </c>
      <c r="G2214" s="53">
        <v>2</v>
      </c>
      <c r="H2214" s="165">
        <f>VLOOKUP(Sales[[#This Row],[Product ID]],Product[#All],7,0)</f>
        <v>1130</v>
      </c>
      <c r="I2214" s="165">
        <f>Sales[[#This Row],[Selling Rate]]*Sales[[#This Row],[Qty]]</f>
        <v>2260</v>
      </c>
      <c r="J2214" s="45">
        <v>0.1</v>
      </c>
      <c r="K2214" s="46">
        <f>Sales[[#This Row],[Gross Amount]]*Sales[[#This Row],[Disc %]]</f>
        <v>226</v>
      </c>
      <c r="L2214" s="43">
        <v>0.18</v>
      </c>
      <c r="M2214" s="46">
        <f>(Sales[[#This Row],[Gross Amount]]-Sales[[#This Row],[Disc. Amt.]])*Sales[[#This Row],[GST %]]</f>
        <v>366.12</v>
      </c>
      <c r="N2214" s="161">
        <f>Sales[[#This Row],[Gross Amount]]-Sales[[#This Row],[Disc. Amt.]]+Sales[[#This Row],[GST Amount]]</f>
        <v>2400.12</v>
      </c>
      <c r="O2214" s="34" t="s">
        <v>8876</v>
      </c>
      <c r="P2214" s="34" t="s">
        <v>3562</v>
      </c>
      <c r="Q2214" s="165">
        <f>IF(Sales[[#This Row],[Status]]="Cancelled",0,Sales[[#This Row],[Qty]])</f>
        <v>2</v>
      </c>
      <c r="R2214" s="166">
        <f>IF(Sales[[#This Row],[Status]]="Cancelled",0,Sales[[#This Row],[Total Amount]])</f>
        <v>2400.12</v>
      </c>
      <c r="S2214" s="162">
        <f>SUM(Sales[Net Amount])</f>
        <v>406839287.73200053</v>
      </c>
    </row>
    <row r="2215" spans="1:19" ht="18.75" x14ac:dyDescent="0.25">
      <c r="A2215" s="156" t="s">
        <v>5837</v>
      </c>
      <c r="B2215" s="157">
        <v>45890</v>
      </c>
      <c r="C2215" s="158" t="s">
        <v>866</v>
      </c>
      <c r="D2215" s="159" t="str">
        <f>VLOOKUP(Sales[[#This Row],[Customer ID]],Customer[#All],2,0)</f>
        <v>Priya Patel</v>
      </c>
      <c r="E2215" s="158" t="s">
        <v>336</v>
      </c>
      <c r="F2215" s="158" t="str">
        <f>VLOOKUP(Sales[[#This Row],[Product ID]],Product[#All],2,0)</f>
        <v>Boat Headset</v>
      </c>
      <c r="G2215" s="159">
        <v>3</v>
      </c>
      <c r="H2215" s="160">
        <f>VLOOKUP(Sales[[#This Row],[Product ID]],Product[#All],7,0)</f>
        <v>1380</v>
      </c>
      <c r="I2215" s="160">
        <f>Sales[[#This Row],[Selling Rate]]*Sales[[#This Row],[Qty]]</f>
        <v>4140</v>
      </c>
      <c r="J2215" s="43">
        <v>0.05</v>
      </c>
      <c r="K2215" s="44">
        <f>Sales[[#This Row],[Gross Amount]]*Sales[[#This Row],[Disc %]]</f>
        <v>207</v>
      </c>
      <c r="L2215" s="43">
        <v>0.18</v>
      </c>
      <c r="M2215" s="44">
        <f>(Sales[[#This Row],[Gross Amount]]-Sales[[#This Row],[Disc. Amt.]])*Sales[[#This Row],[GST %]]</f>
        <v>707.93999999999994</v>
      </c>
      <c r="N2215" s="161">
        <f>Sales[[#This Row],[Gross Amount]]-Sales[[#This Row],[Disc. Amt.]]+Sales[[#This Row],[GST Amount]]</f>
        <v>4640.9399999999996</v>
      </c>
      <c r="O2215" s="158" t="s">
        <v>3566</v>
      </c>
      <c r="P2215" s="158" t="s">
        <v>3562</v>
      </c>
      <c r="Q2215" s="160">
        <f>IF(Sales[[#This Row],[Status]]="Cancelled",0,Sales[[#This Row],[Qty]])</f>
        <v>3</v>
      </c>
      <c r="R2215" s="161">
        <f>IF(Sales[[#This Row],[Status]]="Cancelled",0,Sales[[#This Row],[Total Amount]])</f>
        <v>4640.9399999999996</v>
      </c>
      <c r="S2215" s="162">
        <f>SUM(Sales[Net Amount])</f>
        <v>406839287.73200053</v>
      </c>
    </row>
    <row r="2216" spans="1:19" ht="18.75" x14ac:dyDescent="0.25">
      <c r="A2216" s="163" t="s">
        <v>5838</v>
      </c>
      <c r="B2216" s="164">
        <v>45890</v>
      </c>
      <c r="C2216" s="34" t="s">
        <v>814</v>
      </c>
      <c r="D2216" s="53" t="str">
        <f>VLOOKUP(Sales[[#This Row],[Customer ID]],Customer[#All],2,0)</f>
        <v>Amit Kumar</v>
      </c>
      <c r="E2216" s="34" t="s">
        <v>68</v>
      </c>
      <c r="F2216" s="34" t="str">
        <f>VLOOKUP(Sales[[#This Row],[Product ID]],Product[#All],2,0)</f>
        <v>Epson Printer</v>
      </c>
      <c r="G2216" s="53">
        <v>2</v>
      </c>
      <c r="H2216" s="165">
        <f>VLOOKUP(Sales[[#This Row],[Product ID]],Product[#All],7,0)</f>
        <v>21190</v>
      </c>
      <c r="I2216" s="165">
        <f>Sales[[#This Row],[Selling Rate]]*Sales[[#This Row],[Qty]]</f>
        <v>42380</v>
      </c>
      <c r="J2216" s="45">
        <v>0.05</v>
      </c>
      <c r="K2216" s="46">
        <f>Sales[[#This Row],[Gross Amount]]*Sales[[#This Row],[Disc %]]</f>
        <v>2119</v>
      </c>
      <c r="L2216" s="43">
        <v>0.18</v>
      </c>
      <c r="M2216" s="46">
        <f>(Sales[[#This Row],[Gross Amount]]-Sales[[#This Row],[Disc. Amt.]])*Sales[[#This Row],[GST %]]</f>
        <v>7246.98</v>
      </c>
      <c r="N2216" s="161">
        <f>Sales[[#This Row],[Gross Amount]]-Sales[[#This Row],[Disc. Amt.]]+Sales[[#This Row],[GST Amount]]</f>
        <v>47507.979999999996</v>
      </c>
      <c r="O2216" s="34" t="s">
        <v>3561</v>
      </c>
      <c r="P2216" s="34" t="s">
        <v>3562</v>
      </c>
      <c r="Q2216" s="165">
        <f>IF(Sales[[#This Row],[Status]]="Cancelled",0,Sales[[#This Row],[Qty]])</f>
        <v>2</v>
      </c>
      <c r="R2216" s="166">
        <f>IF(Sales[[#This Row],[Status]]="Cancelled",0,Sales[[#This Row],[Total Amount]])</f>
        <v>47507.979999999996</v>
      </c>
      <c r="S2216" s="162">
        <f>SUM(Sales[Net Amount])</f>
        <v>406839287.73200053</v>
      </c>
    </row>
    <row r="2217" spans="1:19" ht="18.75" x14ac:dyDescent="0.25">
      <c r="A2217" s="156" t="s">
        <v>5839</v>
      </c>
      <c r="B2217" s="157">
        <v>45890</v>
      </c>
      <c r="C2217" s="158" t="s">
        <v>707</v>
      </c>
      <c r="D2217" s="159" t="str">
        <f>VLOOKUP(Sales[[#This Row],[Customer ID]],Customer[#All],2,0)</f>
        <v>Rahul Verma</v>
      </c>
      <c r="E2217" s="158" t="s">
        <v>371</v>
      </c>
      <c r="F2217" s="158" t="str">
        <f>VLOOKUP(Sales[[#This Row],[Product ID]],Product[#All],2,0)</f>
        <v>Portronics USB Cable</v>
      </c>
      <c r="G2217" s="159">
        <v>3</v>
      </c>
      <c r="H2217" s="160">
        <f>VLOOKUP(Sales[[#This Row],[Product ID]],Product[#All],7,0)</f>
        <v>440</v>
      </c>
      <c r="I2217" s="160">
        <f>Sales[[#This Row],[Selling Rate]]*Sales[[#This Row],[Qty]]</f>
        <v>1320</v>
      </c>
      <c r="J2217" s="43">
        <v>0</v>
      </c>
      <c r="K2217" s="44">
        <f>Sales[[#This Row],[Gross Amount]]*Sales[[#This Row],[Disc %]]</f>
        <v>0</v>
      </c>
      <c r="L2217" s="43">
        <v>0.18</v>
      </c>
      <c r="M2217" s="44">
        <f>(Sales[[#This Row],[Gross Amount]]-Sales[[#This Row],[Disc. Amt.]])*Sales[[#This Row],[GST %]]</f>
        <v>237.6</v>
      </c>
      <c r="N2217" s="161">
        <f>Sales[[#This Row],[Gross Amount]]-Sales[[#This Row],[Disc. Amt.]]+Sales[[#This Row],[GST Amount]]</f>
        <v>1557.6</v>
      </c>
      <c r="O2217" s="158" t="s">
        <v>3566</v>
      </c>
      <c r="P2217" s="158" t="s">
        <v>3562</v>
      </c>
      <c r="Q2217" s="160">
        <f>IF(Sales[[#This Row],[Status]]="Cancelled",0,Sales[[#This Row],[Qty]])</f>
        <v>3</v>
      </c>
      <c r="R2217" s="161">
        <f>IF(Sales[[#This Row],[Status]]="Cancelled",0,Sales[[#This Row],[Total Amount]])</f>
        <v>1557.6</v>
      </c>
      <c r="S2217" s="162">
        <f>SUM(Sales[Net Amount])</f>
        <v>406839287.73200053</v>
      </c>
    </row>
    <row r="2218" spans="1:19" ht="18.75" x14ac:dyDescent="0.25">
      <c r="A2218" s="163" t="s">
        <v>5840</v>
      </c>
      <c r="B2218" s="164">
        <v>45890</v>
      </c>
      <c r="C2218" s="34" t="s">
        <v>776</v>
      </c>
      <c r="D2218" s="53" t="str">
        <f>VLOOKUP(Sales[[#This Row],[Customer ID]],Customer[#All],2,0)</f>
        <v>Sunita Singh</v>
      </c>
      <c r="E2218" s="34" t="s">
        <v>325</v>
      </c>
      <c r="F2218" s="34" t="str">
        <f>VLOOKUP(Sales[[#This Row],[Product ID]],Product[#All],2,0)</f>
        <v>Dell Power Adapter</v>
      </c>
      <c r="G2218" s="53">
        <v>3</v>
      </c>
      <c r="H2218" s="165">
        <f>VLOOKUP(Sales[[#This Row],[Product ID]],Product[#All],7,0)</f>
        <v>1630</v>
      </c>
      <c r="I2218" s="165">
        <f>Sales[[#This Row],[Selling Rate]]*Sales[[#This Row],[Qty]]</f>
        <v>4890</v>
      </c>
      <c r="J2218" s="45">
        <v>0.1</v>
      </c>
      <c r="K2218" s="46">
        <f>Sales[[#This Row],[Gross Amount]]*Sales[[#This Row],[Disc %]]</f>
        <v>489</v>
      </c>
      <c r="L2218" s="43">
        <v>0.18</v>
      </c>
      <c r="M2218" s="46">
        <f>(Sales[[#This Row],[Gross Amount]]-Sales[[#This Row],[Disc. Amt.]])*Sales[[#This Row],[GST %]]</f>
        <v>792.18</v>
      </c>
      <c r="N2218" s="161">
        <f>Sales[[#This Row],[Gross Amount]]-Sales[[#This Row],[Disc. Amt.]]+Sales[[#This Row],[GST Amount]]</f>
        <v>5193.18</v>
      </c>
      <c r="O2218" s="34" t="s">
        <v>3566</v>
      </c>
      <c r="P2218" s="34" t="s">
        <v>3562</v>
      </c>
      <c r="Q2218" s="165">
        <f>IF(Sales[[#This Row],[Status]]="Cancelled",0,Sales[[#This Row],[Qty]])</f>
        <v>3</v>
      </c>
      <c r="R2218" s="166">
        <f>IF(Sales[[#This Row],[Status]]="Cancelled",0,Sales[[#This Row],[Total Amount]])</f>
        <v>5193.18</v>
      </c>
      <c r="S2218" s="162">
        <f>SUM(Sales[Net Amount])</f>
        <v>406839287.73200053</v>
      </c>
    </row>
    <row r="2219" spans="1:19" ht="18.75" x14ac:dyDescent="0.25">
      <c r="A2219" s="156" t="s">
        <v>5841</v>
      </c>
      <c r="B2219" s="157">
        <v>45890</v>
      </c>
      <c r="C2219" s="158" t="s">
        <v>814</v>
      </c>
      <c r="D2219" s="159" t="str">
        <f>VLOOKUP(Sales[[#This Row],[Customer ID]],Customer[#All],2,0)</f>
        <v>Amit Kumar</v>
      </c>
      <c r="E2219" s="158" t="s">
        <v>534</v>
      </c>
      <c r="F2219" s="158" t="str">
        <f>VLOOKUP(Sales[[#This Row],[Product ID]],Product[#All],2,0)</f>
        <v>Dell Laptop</v>
      </c>
      <c r="G2219" s="159">
        <v>6</v>
      </c>
      <c r="H2219" s="160">
        <f>VLOOKUP(Sales[[#This Row],[Product ID]],Product[#All],7,0)</f>
        <v>35560</v>
      </c>
      <c r="I2219" s="160">
        <f>Sales[[#This Row],[Selling Rate]]*Sales[[#This Row],[Qty]]</f>
        <v>213360</v>
      </c>
      <c r="J2219" s="43">
        <v>0.1</v>
      </c>
      <c r="K2219" s="44">
        <f>Sales[[#This Row],[Gross Amount]]*Sales[[#This Row],[Disc %]]</f>
        <v>21336</v>
      </c>
      <c r="L2219" s="43">
        <v>0.18</v>
      </c>
      <c r="M2219" s="44">
        <f>(Sales[[#This Row],[Gross Amount]]-Sales[[#This Row],[Disc. Amt.]])*Sales[[#This Row],[GST %]]</f>
        <v>34564.32</v>
      </c>
      <c r="N2219" s="161">
        <f>Sales[[#This Row],[Gross Amount]]-Sales[[#This Row],[Disc. Amt.]]+Sales[[#This Row],[GST Amount]]</f>
        <v>226588.32</v>
      </c>
      <c r="O2219" s="158" t="s">
        <v>3569</v>
      </c>
      <c r="P2219" s="158" t="s">
        <v>3562</v>
      </c>
      <c r="Q2219" s="160">
        <f>IF(Sales[[#This Row],[Status]]="Cancelled",0,Sales[[#This Row],[Qty]])</f>
        <v>6</v>
      </c>
      <c r="R2219" s="161">
        <f>IF(Sales[[#This Row],[Status]]="Cancelled",0,Sales[[#This Row],[Total Amount]])</f>
        <v>226588.32</v>
      </c>
      <c r="S2219" s="162">
        <f>SUM(Sales[Net Amount])</f>
        <v>406839287.73200053</v>
      </c>
    </row>
    <row r="2220" spans="1:19" ht="18.75" x14ac:dyDescent="0.25">
      <c r="A2220" s="163" t="s">
        <v>5842</v>
      </c>
      <c r="B2220" s="164">
        <v>45890</v>
      </c>
      <c r="C2220" s="34" t="s">
        <v>759</v>
      </c>
      <c r="D2220" s="53" t="str">
        <f>VLOOKUP(Sales[[#This Row],[Customer ID]],Customer[#All],2,0)</f>
        <v>Ankit Sharma</v>
      </c>
      <c r="E2220" s="34" t="s">
        <v>250</v>
      </c>
      <c r="F2220" s="34" t="str">
        <f>VLOOKUP(Sales[[#This Row],[Product ID]],Product[#All],2,0)</f>
        <v>Corsair Ram</v>
      </c>
      <c r="G2220" s="53">
        <v>7</v>
      </c>
      <c r="H2220" s="165">
        <f>VLOOKUP(Sales[[#This Row],[Product ID]],Product[#All],7,0)</f>
        <v>12160</v>
      </c>
      <c r="I2220" s="165">
        <f>Sales[[#This Row],[Selling Rate]]*Sales[[#This Row],[Qty]]</f>
        <v>85120</v>
      </c>
      <c r="J2220" s="45">
        <v>0.1</v>
      </c>
      <c r="K2220" s="46">
        <f>Sales[[#This Row],[Gross Amount]]*Sales[[#This Row],[Disc %]]</f>
        <v>8512</v>
      </c>
      <c r="L2220" s="43">
        <v>0.18</v>
      </c>
      <c r="M2220" s="46">
        <f>(Sales[[#This Row],[Gross Amount]]-Sales[[#This Row],[Disc. Amt.]])*Sales[[#This Row],[GST %]]</f>
        <v>13789.439999999999</v>
      </c>
      <c r="N2220" s="161">
        <f>Sales[[#This Row],[Gross Amount]]-Sales[[#This Row],[Disc. Amt.]]+Sales[[#This Row],[GST Amount]]</f>
        <v>90397.440000000002</v>
      </c>
      <c r="O2220" s="34" t="s">
        <v>3561</v>
      </c>
      <c r="P2220" s="34" t="s">
        <v>3562</v>
      </c>
      <c r="Q2220" s="165">
        <f>IF(Sales[[#This Row],[Status]]="Cancelled",0,Sales[[#This Row],[Qty]])</f>
        <v>7</v>
      </c>
      <c r="R2220" s="166">
        <f>IF(Sales[[#This Row],[Status]]="Cancelled",0,Sales[[#This Row],[Total Amount]])</f>
        <v>90397.440000000002</v>
      </c>
      <c r="S2220" s="162">
        <f>SUM(Sales[Net Amount])</f>
        <v>406839287.73200053</v>
      </c>
    </row>
    <row r="2221" spans="1:19" ht="18.75" x14ac:dyDescent="0.25">
      <c r="A2221" s="156" t="s">
        <v>5843</v>
      </c>
      <c r="B2221" s="157">
        <v>45890</v>
      </c>
      <c r="C2221" s="158" t="s">
        <v>774</v>
      </c>
      <c r="D2221" s="159" t="str">
        <f>VLOOKUP(Sales[[#This Row],[Customer ID]],Customer[#All],2,0)</f>
        <v>Vikas Patel</v>
      </c>
      <c r="E2221" s="158" t="s">
        <v>191</v>
      </c>
      <c r="F2221" s="158" t="str">
        <f>VLOOKUP(Sales[[#This Row],[Product ID]],Product[#All],2,0)</f>
        <v>Logitech Keyboard</v>
      </c>
      <c r="G2221" s="159">
        <v>3</v>
      </c>
      <c r="H2221" s="160">
        <f>VLOOKUP(Sales[[#This Row],[Product ID]],Product[#All],7,0)</f>
        <v>2000</v>
      </c>
      <c r="I2221" s="160">
        <f>Sales[[#This Row],[Selling Rate]]*Sales[[#This Row],[Qty]]</f>
        <v>6000</v>
      </c>
      <c r="J2221" s="43">
        <v>0.05</v>
      </c>
      <c r="K2221" s="44">
        <f>Sales[[#This Row],[Gross Amount]]*Sales[[#This Row],[Disc %]]</f>
        <v>300</v>
      </c>
      <c r="L2221" s="43">
        <v>0.18</v>
      </c>
      <c r="M2221" s="44">
        <f>(Sales[[#This Row],[Gross Amount]]-Sales[[#This Row],[Disc. Amt.]])*Sales[[#This Row],[GST %]]</f>
        <v>1026</v>
      </c>
      <c r="N2221" s="161">
        <f>Sales[[#This Row],[Gross Amount]]-Sales[[#This Row],[Disc. Amt.]]+Sales[[#This Row],[GST Amount]]</f>
        <v>6726</v>
      </c>
      <c r="O2221" s="158" t="s">
        <v>3566</v>
      </c>
      <c r="P2221" s="158" t="s">
        <v>3562</v>
      </c>
      <c r="Q2221" s="160">
        <f>IF(Sales[[#This Row],[Status]]="Cancelled",0,Sales[[#This Row],[Qty]])</f>
        <v>3</v>
      </c>
      <c r="R2221" s="161">
        <f>IF(Sales[[#This Row],[Status]]="Cancelled",0,Sales[[#This Row],[Total Amount]])</f>
        <v>6726</v>
      </c>
      <c r="S2221" s="162">
        <f>SUM(Sales[Net Amount])</f>
        <v>406839287.73200053</v>
      </c>
    </row>
    <row r="2222" spans="1:19" ht="18.75" x14ac:dyDescent="0.25">
      <c r="A2222" s="163" t="s">
        <v>5844</v>
      </c>
      <c r="B2222" s="164">
        <v>45890</v>
      </c>
      <c r="C2222" s="34" t="s">
        <v>925</v>
      </c>
      <c r="D2222" s="53" t="str">
        <f>VLOOKUP(Sales[[#This Row],[Customer ID]],Customer[#All],2,0)</f>
        <v>Neha Singh</v>
      </c>
      <c r="E2222" s="34" t="s">
        <v>408</v>
      </c>
      <c r="F2222" s="34" t="str">
        <f>VLOOKUP(Sales[[#This Row],[Product ID]],Product[#All],2,0)</f>
        <v>HP Laptop</v>
      </c>
      <c r="G2222" s="53">
        <v>5</v>
      </c>
      <c r="H2222" s="165">
        <f>VLOOKUP(Sales[[#This Row],[Product ID]],Product[#All],7,0)</f>
        <v>93130</v>
      </c>
      <c r="I2222" s="165">
        <f>Sales[[#This Row],[Selling Rate]]*Sales[[#This Row],[Qty]]</f>
        <v>465650</v>
      </c>
      <c r="J2222" s="45">
        <v>0</v>
      </c>
      <c r="K2222" s="46">
        <f>Sales[[#This Row],[Gross Amount]]*Sales[[#This Row],[Disc %]]</f>
        <v>0</v>
      </c>
      <c r="L2222" s="43">
        <v>0.18</v>
      </c>
      <c r="M2222" s="46">
        <f>(Sales[[#This Row],[Gross Amount]]-Sales[[#This Row],[Disc. Amt.]])*Sales[[#This Row],[GST %]]</f>
        <v>83817</v>
      </c>
      <c r="N2222" s="161">
        <f>Sales[[#This Row],[Gross Amount]]-Sales[[#This Row],[Disc. Amt.]]+Sales[[#This Row],[GST Amount]]</f>
        <v>549467</v>
      </c>
      <c r="O2222" s="34" t="s">
        <v>3561</v>
      </c>
      <c r="P2222" s="34" t="s">
        <v>3562</v>
      </c>
      <c r="Q2222" s="165">
        <f>IF(Sales[[#This Row],[Status]]="Cancelled",0,Sales[[#This Row],[Qty]])</f>
        <v>5</v>
      </c>
      <c r="R2222" s="166">
        <f>IF(Sales[[#This Row],[Status]]="Cancelled",0,Sales[[#This Row],[Total Amount]])</f>
        <v>549467</v>
      </c>
      <c r="S2222" s="162">
        <f>SUM(Sales[Net Amount])</f>
        <v>406839287.73200053</v>
      </c>
    </row>
    <row r="2223" spans="1:19" ht="18.75" x14ac:dyDescent="0.25">
      <c r="A2223" s="156" t="s">
        <v>5845</v>
      </c>
      <c r="B2223" s="157">
        <v>45890</v>
      </c>
      <c r="C2223" s="158" t="s">
        <v>802</v>
      </c>
      <c r="D2223" s="159" t="str">
        <f>VLOOKUP(Sales[[#This Row],[Customer ID]],Customer[#All],2,0)</f>
        <v>Rakesh Patel</v>
      </c>
      <c r="E2223" s="158" t="s">
        <v>464</v>
      </c>
      <c r="F2223" s="158" t="str">
        <f>VLOOKUP(Sales[[#This Row],[Product ID]],Product[#All],2,0)</f>
        <v>Lg Monitor</v>
      </c>
      <c r="G2223" s="159">
        <v>5</v>
      </c>
      <c r="H2223" s="160">
        <f>VLOOKUP(Sales[[#This Row],[Product ID]],Product[#All],7,0)</f>
        <v>27140</v>
      </c>
      <c r="I2223" s="160">
        <f>Sales[[#This Row],[Selling Rate]]*Sales[[#This Row],[Qty]]</f>
        <v>135700</v>
      </c>
      <c r="J2223" s="43">
        <v>0</v>
      </c>
      <c r="K2223" s="44">
        <f>Sales[[#This Row],[Gross Amount]]*Sales[[#This Row],[Disc %]]</f>
        <v>0</v>
      </c>
      <c r="L2223" s="43">
        <v>0.18</v>
      </c>
      <c r="M2223" s="44">
        <f>(Sales[[#This Row],[Gross Amount]]-Sales[[#This Row],[Disc. Amt.]])*Sales[[#This Row],[GST %]]</f>
        <v>24426</v>
      </c>
      <c r="N2223" s="161">
        <f>Sales[[#This Row],[Gross Amount]]-Sales[[#This Row],[Disc. Amt.]]+Sales[[#This Row],[GST Amount]]</f>
        <v>160126</v>
      </c>
      <c r="O2223" s="158" t="s">
        <v>3561</v>
      </c>
      <c r="P2223" s="158" t="s">
        <v>3562</v>
      </c>
      <c r="Q2223" s="160">
        <f>IF(Sales[[#This Row],[Status]]="Cancelled",0,Sales[[#This Row],[Qty]])</f>
        <v>5</v>
      </c>
      <c r="R2223" s="161">
        <f>IF(Sales[[#This Row],[Status]]="Cancelled",0,Sales[[#This Row],[Total Amount]])</f>
        <v>160126</v>
      </c>
      <c r="S2223" s="162">
        <f>SUM(Sales[Net Amount])</f>
        <v>406839287.73200053</v>
      </c>
    </row>
    <row r="2224" spans="1:19" ht="18.75" x14ac:dyDescent="0.25">
      <c r="A2224" s="163" t="s">
        <v>5846</v>
      </c>
      <c r="B2224" s="164">
        <v>45890</v>
      </c>
      <c r="C2224" s="34" t="s">
        <v>884</v>
      </c>
      <c r="D2224" s="53" t="str">
        <f>VLOOKUP(Sales[[#This Row],[Customer ID]],Customer[#All],2,0)</f>
        <v>Sahil Patel</v>
      </c>
      <c r="E2224" s="34" t="s">
        <v>256</v>
      </c>
      <c r="F2224" s="34" t="str">
        <f>VLOOKUP(Sales[[#This Row],[Product ID]],Product[#All],2,0)</f>
        <v>HP Laptop</v>
      </c>
      <c r="G2224" s="53">
        <v>6</v>
      </c>
      <c r="H2224" s="165">
        <f>VLOOKUP(Sales[[#This Row],[Product ID]],Product[#All],7,0)</f>
        <v>106260</v>
      </c>
      <c r="I2224" s="165">
        <f>Sales[[#This Row],[Selling Rate]]*Sales[[#This Row],[Qty]]</f>
        <v>637560</v>
      </c>
      <c r="J2224" s="45">
        <v>0.15</v>
      </c>
      <c r="K2224" s="46">
        <f>Sales[[#This Row],[Gross Amount]]*Sales[[#This Row],[Disc %]]</f>
        <v>95634</v>
      </c>
      <c r="L2224" s="43">
        <v>0.18</v>
      </c>
      <c r="M2224" s="46">
        <f>(Sales[[#This Row],[Gross Amount]]-Sales[[#This Row],[Disc. Amt.]])*Sales[[#This Row],[GST %]]</f>
        <v>97546.68</v>
      </c>
      <c r="N2224" s="161">
        <f>Sales[[#This Row],[Gross Amount]]-Sales[[#This Row],[Disc. Amt.]]+Sales[[#This Row],[GST Amount]]</f>
        <v>639472.67999999993</v>
      </c>
      <c r="O2224" s="34" t="s">
        <v>3566</v>
      </c>
      <c r="P2224" s="34" t="s">
        <v>3562</v>
      </c>
      <c r="Q2224" s="165">
        <f>IF(Sales[[#This Row],[Status]]="Cancelled",0,Sales[[#This Row],[Qty]])</f>
        <v>6</v>
      </c>
      <c r="R2224" s="166">
        <f>IF(Sales[[#This Row],[Status]]="Cancelled",0,Sales[[#This Row],[Total Amount]])</f>
        <v>639472.67999999993</v>
      </c>
      <c r="S2224" s="162">
        <f>SUM(Sales[Net Amount])</f>
        <v>406839287.73200053</v>
      </c>
    </row>
    <row r="2225" spans="1:19" ht="18.75" x14ac:dyDescent="0.25">
      <c r="A2225" s="156" t="s">
        <v>5847</v>
      </c>
      <c r="B2225" s="157">
        <v>45891</v>
      </c>
      <c r="C2225" s="158" t="s">
        <v>746</v>
      </c>
      <c r="D2225" s="159" t="str">
        <f>VLOOKUP(Sales[[#This Row],[Customer ID]],Customer[#All],2,0)</f>
        <v>Sunita Kumar</v>
      </c>
      <c r="E2225" s="158" t="s">
        <v>489</v>
      </c>
      <c r="F2225" s="158" t="str">
        <f>VLOOKUP(Sales[[#This Row],[Product ID]],Product[#All],2,0)</f>
        <v>Microtek UPS</v>
      </c>
      <c r="G2225" s="159">
        <v>4</v>
      </c>
      <c r="H2225" s="160">
        <f>VLOOKUP(Sales[[#This Row],[Product ID]],Product[#All],7,0)</f>
        <v>8040</v>
      </c>
      <c r="I2225" s="160">
        <f>Sales[[#This Row],[Selling Rate]]*Sales[[#This Row],[Qty]]</f>
        <v>32160</v>
      </c>
      <c r="J2225" s="43">
        <v>0.05</v>
      </c>
      <c r="K2225" s="44">
        <f>Sales[[#This Row],[Gross Amount]]*Sales[[#This Row],[Disc %]]</f>
        <v>1608</v>
      </c>
      <c r="L2225" s="43">
        <v>0.18</v>
      </c>
      <c r="M2225" s="44">
        <f>(Sales[[#This Row],[Gross Amount]]-Sales[[#This Row],[Disc. Amt.]])*Sales[[#This Row],[GST %]]</f>
        <v>5499.36</v>
      </c>
      <c r="N2225" s="161">
        <f>Sales[[#This Row],[Gross Amount]]-Sales[[#This Row],[Disc. Amt.]]+Sales[[#This Row],[GST Amount]]</f>
        <v>36051.360000000001</v>
      </c>
      <c r="O2225" s="158" t="s">
        <v>3561</v>
      </c>
      <c r="P2225" s="158" t="s">
        <v>3562</v>
      </c>
      <c r="Q2225" s="160">
        <f>IF(Sales[[#This Row],[Status]]="Cancelled",0,Sales[[#This Row],[Qty]])</f>
        <v>4</v>
      </c>
      <c r="R2225" s="161">
        <f>IF(Sales[[#This Row],[Status]]="Cancelled",0,Sales[[#This Row],[Total Amount]])</f>
        <v>36051.360000000001</v>
      </c>
      <c r="S2225" s="162">
        <f>SUM(Sales[Net Amount])</f>
        <v>406839287.73200053</v>
      </c>
    </row>
    <row r="2226" spans="1:19" ht="18.75" x14ac:dyDescent="0.25">
      <c r="A2226" s="163" t="s">
        <v>5848</v>
      </c>
      <c r="B2226" s="164">
        <v>45891</v>
      </c>
      <c r="C2226" s="34" t="s">
        <v>748</v>
      </c>
      <c r="D2226" s="53" t="str">
        <f>VLOOKUP(Sales[[#This Row],[Customer ID]],Customer[#All],2,0)</f>
        <v>Priya Singh</v>
      </c>
      <c r="E2226" s="34" t="s">
        <v>443</v>
      </c>
      <c r="F2226" s="34" t="str">
        <f>VLOOKUP(Sales[[#This Row],[Product ID]],Product[#All],2,0)</f>
        <v>HP Power Adapter</v>
      </c>
      <c r="G2226" s="53">
        <v>3</v>
      </c>
      <c r="H2226" s="165">
        <f>VLOOKUP(Sales[[#This Row],[Product ID]],Product[#All],7,0)</f>
        <v>3850</v>
      </c>
      <c r="I2226" s="165">
        <f>Sales[[#This Row],[Selling Rate]]*Sales[[#This Row],[Qty]]</f>
        <v>11550</v>
      </c>
      <c r="J2226" s="45">
        <v>0.1</v>
      </c>
      <c r="K2226" s="46">
        <f>Sales[[#This Row],[Gross Amount]]*Sales[[#This Row],[Disc %]]</f>
        <v>1155</v>
      </c>
      <c r="L2226" s="43">
        <v>0.18</v>
      </c>
      <c r="M2226" s="46">
        <f>(Sales[[#This Row],[Gross Amount]]-Sales[[#This Row],[Disc. Amt.]])*Sales[[#This Row],[GST %]]</f>
        <v>1871.1</v>
      </c>
      <c r="N2226" s="161">
        <f>Sales[[#This Row],[Gross Amount]]-Sales[[#This Row],[Disc. Amt.]]+Sales[[#This Row],[GST Amount]]</f>
        <v>12266.1</v>
      </c>
      <c r="O2226" s="34" t="s">
        <v>3569</v>
      </c>
      <c r="P2226" s="34" t="s">
        <v>3562</v>
      </c>
      <c r="Q2226" s="165">
        <f>IF(Sales[[#This Row],[Status]]="Cancelled",0,Sales[[#This Row],[Qty]])</f>
        <v>3</v>
      </c>
      <c r="R2226" s="166">
        <f>IF(Sales[[#This Row],[Status]]="Cancelled",0,Sales[[#This Row],[Total Amount]])</f>
        <v>12266.1</v>
      </c>
      <c r="S2226" s="162">
        <f>SUM(Sales[Net Amount])</f>
        <v>406839287.73200053</v>
      </c>
    </row>
    <row r="2227" spans="1:19" ht="18.75" x14ac:dyDescent="0.25">
      <c r="A2227" s="156" t="s">
        <v>5849</v>
      </c>
      <c r="B2227" s="157">
        <v>45891</v>
      </c>
      <c r="C2227" s="158" t="s">
        <v>787</v>
      </c>
      <c r="D2227" s="159" t="str">
        <f>VLOOKUP(Sales[[#This Row],[Customer ID]],Customer[#All],2,0)</f>
        <v>Amit Singh</v>
      </c>
      <c r="E2227" s="158" t="s">
        <v>118</v>
      </c>
      <c r="F2227" s="158" t="str">
        <f>VLOOKUP(Sales[[#This Row],[Product ID]],Product[#All],2,0)</f>
        <v>American TouristerLaptopBag</v>
      </c>
      <c r="G2227" s="159">
        <v>5</v>
      </c>
      <c r="H2227" s="160">
        <f>VLOOKUP(Sales[[#This Row],[Product ID]],Product[#All],7,0)</f>
        <v>4160</v>
      </c>
      <c r="I2227" s="160">
        <f>Sales[[#This Row],[Selling Rate]]*Sales[[#This Row],[Qty]]</f>
        <v>20800</v>
      </c>
      <c r="J2227" s="43">
        <v>0</v>
      </c>
      <c r="K2227" s="44">
        <f>Sales[[#This Row],[Gross Amount]]*Sales[[#This Row],[Disc %]]</f>
        <v>0</v>
      </c>
      <c r="L2227" s="43">
        <v>0.18</v>
      </c>
      <c r="M2227" s="44">
        <f>(Sales[[#This Row],[Gross Amount]]-Sales[[#This Row],[Disc. Amt.]])*Sales[[#This Row],[GST %]]</f>
        <v>3744</v>
      </c>
      <c r="N2227" s="161">
        <f>Sales[[#This Row],[Gross Amount]]-Sales[[#This Row],[Disc. Amt.]]+Sales[[#This Row],[GST Amount]]</f>
        <v>24544</v>
      </c>
      <c r="O2227" s="158" t="s">
        <v>3566</v>
      </c>
      <c r="P2227" s="158" t="s">
        <v>3562</v>
      </c>
      <c r="Q2227" s="160">
        <f>IF(Sales[[#This Row],[Status]]="Cancelled",0,Sales[[#This Row],[Qty]])</f>
        <v>5</v>
      </c>
      <c r="R2227" s="161">
        <f>IF(Sales[[#This Row],[Status]]="Cancelled",0,Sales[[#This Row],[Total Amount]])</f>
        <v>24544</v>
      </c>
      <c r="S2227" s="162">
        <f>SUM(Sales[Net Amount])</f>
        <v>406839287.73200053</v>
      </c>
    </row>
    <row r="2228" spans="1:19" ht="18.75" x14ac:dyDescent="0.25">
      <c r="A2228" s="163" t="s">
        <v>5850</v>
      </c>
      <c r="B2228" s="164">
        <v>45891</v>
      </c>
      <c r="C2228" s="34" t="s">
        <v>705</v>
      </c>
      <c r="D2228" s="53" t="str">
        <f>VLOOKUP(Sales[[#This Row],[Customer ID]],Customer[#All],2,0)</f>
        <v>Priya Verma</v>
      </c>
      <c r="E2228" s="34" t="s">
        <v>65</v>
      </c>
      <c r="F2228" s="34" t="str">
        <f>VLOOKUP(Sales[[#This Row],[Product ID]],Product[#All],2,0)</f>
        <v>Dell Power Adapter</v>
      </c>
      <c r="G2228" s="53">
        <v>8</v>
      </c>
      <c r="H2228" s="165">
        <f>VLOOKUP(Sales[[#This Row],[Product ID]],Product[#All],7,0)</f>
        <v>2070</v>
      </c>
      <c r="I2228" s="165">
        <f>Sales[[#This Row],[Selling Rate]]*Sales[[#This Row],[Qty]]</f>
        <v>16560</v>
      </c>
      <c r="J2228" s="45">
        <v>0</v>
      </c>
      <c r="K2228" s="46">
        <f>Sales[[#This Row],[Gross Amount]]*Sales[[#This Row],[Disc %]]</f>
        <v>0</v>
      </c>
      <c r="L2228" s="43">
        <v>0.18</v>
      </c>
      <c r="M2228" s="46">
        <f>(Sales[[#This Row],[Gross Amount]]-Sales[[#This Row],[Disc. Amt.]])*Sales[[#This Row],[GST %]]</f>
        <v>2980.7999999999997</v>
      </c>
      <c r="N2228" s="161">
        <f>Sales[[#This Row],[Gross Amount]]-Sales[[#This Row],[Disc. Amt.]]+Sales[[#This Row],[GST Amount]]</f>
        <v>19540.8</v>
      </c>
      <c r="O2228" s="34" t="s">
        <v>3569</v>
      </c>
      <c r="P2228" s="34" t="s">
        <v>3562</v>
      </c>
      <c r="Q2228" s="165">
        <f>IF(Sales[[#This Row],[Status]]="Cancelled",0,Sales[[#This Row],[Qty]])</f>
        <v>8</v>
      </c>
      <c r="R2228" s="166">
        <f>IF(Sales[[#This Row],[Status]]="Cancelled",0,Sales[[#This Row],[Total Amount]])</f>
        <v>19540.8</v>
      </c>
      <c r="S2228" s="162">
        <f>SUM(Sales[Net Amount])</f>
        <v>406839287.73200053</v>
      </c>
    </row>
    <row r="2229" spans="1:19" ht="18.75" x14ac:dyDescent="0.25">
      <c r="A2229" s="156" t="s">
        <v>5851</v>
      </c>
      <c r="B2229" s="157">
        <v>45891</v>
      </c>
      <c r="C2229" s="158" t="s">
        <v>788</v>
      </c>
      <c r="D2229" s="159" t="str">
        <f>VLOOKUP(Sales[[#This Row],[Customer ID]],Customer[#All],2,0)</f>
        <v>Vikas Kumar</v>
      </c>
      <c r="E2229" s="158" t="s">
        <v>500</v>
      </c>
      <c r="F2229" s="158" t="str">
        <f>VLOOKUP(Sales[[#This Row],[Product ID]],Product[#All],2,0)</f>
        <v>HP Power Adapter</v>
      </c>
      <c r="G2229" s="159">
        <v>6</v>
      </c>
      <c r="H2229" s="160">
        <f>VLOOKUP(Sales[[#This Row],[Product ID]],Product[#All],7,0)</f>
        <v>3160</v>
      </c>
      <c r="I2229" s="160">
        <f>Sales[[#This Row],[Selling Rate]]*Sales[[#This Row],[Qty]]</f>
        <v>18960</v>
      </c>
      <c r="J2229" s="43">
        <v>0.05</v>
      </c>
      <c r="K2229" s="44">
        <f>Sales[[#This Row],[Gross Amount]]*Sales[[#This Row],[Disc %]]</f>
        <v>948</v>
      </c>
      <c r="L2229" s="43">
        <v>0.18</v>
      </c>
      <c r="M2229" s="44">
        <f>(Sales[[#This Row],[Gross Amount]]-Sales[[#This Row],[Disc. Amt.]])*Sales[[#This Row],[GST %]]</f>
        <v>3242.16</v>
      </c>
      <c r="N2229" s="161">
        <f>Sales[[#This Row],[Gross Amount]]-Sales[[#This Row],[Disc. Amt.]]+Sales[[#This Row],[GST Amount]]</f>
        <v>21254.16</v>
      </c>
      <c r="O2229" s="158" t="s">
        <v>3566</v>
      </c>
      <c r="P2229" s="158" t="s">
        <v>3562</v>
      </c>
      <c r="Q2229" s="160">
        <f>IF(Sales[[#This Row],[Status]]="Cancelled",0,Sales[[#This Row],[Qty]])</f>
        <v>6</v>
      </c>
      <c r="R2229" s="161">
        <f>IF(Sales[[#This Row],[Status]]="Cancelled",0,Sales[[#This Row],[Total Amount]])</f>
        <v>21254.16</v>
      </c>
      <c r="S2229" s="162">
        <f>SUM(Sales[Net Amount])</f>
        <v>406839287.73200053</v>
      </c>
    </row>
    <row r="2230" spans="1:19" ht="18.75" x14ac:dyDescent="0.25">
      <c r="A2230" s="163" t="s">
        <v>5852</v>
      </c>
      <c r="B2230" s="164">
        <v>45891</v>
      </c>
      <c r="C2230" s="34" t="s">
        <v>928</v>
      </c>
      <c r="D2230" s="53" t="str">
        <f>VLOOKUP(Sales[[#This Row],[Customer ID]],Customer[#All],2,0)</f>
        <v>Rahul Kumar</v>
      </c>
      <c r="E2230" s="34" t="s">
        <v>456</v>
      </c>
      <c r="F2230" s="34" t="str">
        <f>VLOOKUP(Sales[[#This Row],[Product ID]],Product[#All],2,0)</f>
        <v>Acer Laptop</v>
      </c>
      <c r="G2230" s="53">
        <v>5</v>
      </c>
      <c r="H2230" s="165">
        <f>VLOOKUP(Sales[[#This Row],[Product ID]],Product[#All],7,0)</f>
        <v>66790</v>
      </c>
      <c r="I2230" s="165">
        <f>Sales[[#This Row],[Selling Rate]]*Sales[[#This Row],[Qty]]</f>
        <v>333950</v>
      </c>
      <c r="J2230" s="45">
        <v>0</v>
      </c>
      <c r="K2230" s="46">
        <f>Sales[[#This Row],[Gross Amount]]*Sales[[#This Row],[Disc %]]</f>
        <v>0</v>
      </c>
      <c r="L2230" s="43">
        <v>0.18</v>
      </c>
      <c r="M2230" s="46">
        <f>(Sales[[#This Row],[Gross Amount]]-Sales[[#This Row],[Disc. Amt.]])*Sales[[#This Row],[GST %]]</f>
        <v>60111</v>
      </c>
      <c r="N2230" s="161">
        <f>Sales[[#This Row],[Gross Amount]]-Sales[[#This Row],[Disc. Amt.]]+Sales[[#This Row],[GST Amount]]</f>
        <v>394061</v>
      </c>
      <c r="O2230" s="34" t="s">
        <v>3569</v>
      </c>
      <c r="P2230" s="34" t="s">
        <v>3562</v>
      </c>
      <c r="Q2230" s="165">
        <f>IF(Sales[[#This Row],[Status]]="Cancelled",0,Sales[[#This Row],[Qty]])</f>
        <v>5</v>
      </c>
      <c r="R2230" s="166">
        <f>IF(Sales[[#This Row],[Status]]="Cancelled",0,Sales[[#This Row],[Total Amount]])</f>
        <v>394061</v>
      </c>
      <c r="S2230" s="162">
        <f>SUM(Sales[Net Amount])</f>
        <v>406839287.73200053</v>
      </c>
    </row>
    <row r="2231" spans="1:19" ht="18.75" x14ac:dyDescent="0.25">
      <c r="A2231" s="156" t="s">
        <v>5853</v>
      </c>
      <c r="B2231" s="157">
        <v>45891</v>
      </c>
      <c r="C2231" s="158" t="s">
        <v>884</v>
      </c>
      <c r="D2231" s="159" t="str">
        <f>VLOOKUP(Sales[[#This Row],[Customer ID]],Customer[#All],2,0)</f>
        <v>Sahil Patel</v>
      </c>
      <c r="E2231" s="158" t="s">
        <v>241</v>
      </c>
      <c r="F2231" s="158" t="str">
        <f>VLOOKUP(Sales[[#This Row],[Product ID]],Product[#All],2,0)</f>
        <v>Portronics USB Cable</v>
      </c>
      <c r="G2231" s="159">
        <v>5</v>
      </c>
      <c r="H2231" s="160">
        <f>VLOOKUP(Sales[[#This Row],[Product ID]],Product[#All],7,0)</f>
        <v>630</v>
      </c>
      <c r="I2231" s="160">
        <f>Sales[[#This Row],[Selling Rate]]*Sales[[#This Row],[Qty]]</f>
        <v>3150</v>
      </c>
      <c r="J2231" s="43">
        <v>0.05</v>
      </c>
      <c r="K2231" s="44">
        <f>Sales[[#This Row],[Gross Amount]]*Sales[[#This Row],[Disc %]]</f>
        <v>157.5</v>
      </c>
      <c r="L2231" s="43">
        <v>0.18</v>
      </c>
      <c r="M2231" s="44">
        <f>(Sales[[#This Row],[Gross Amount]]-Sales[[#This Row],[Disc. Amt.]])*Sales[[#This Row],[GST %]]</f>
        <v>538.65</v>
      </c>
      <c r="N2231" s="161">
        <f>Sales[[#This Row],[Gross Amount]]-Sales[[#This Row],[Disc. Amt.]]+Sales[[#This Row],[GST Amount]]</f>
        <v>3531.15</v>
      </c>
      <c r="O2231" s="158" t="s">
        <v>8876</v>
      </c>
      <c r="P2231" s="158" t="s">
        <v>3562</v>
      </c>
      <c r="Q2231" s="160">
        <f>IF(Sales[[#This Row],[Status]]="Cancelled",0,Sales[[#This Row],[Qty]])</f>
        <v>5</v>
      </c>
      <c r="R2231" s="161">
        <f>IF(Sales[[#This Row],[Status]]="Cancelled",0,Sales[[#This Row],[Total Amount]])</f>
        <v>3531.15</v>
      </c>
      <c r="S2231" s="162">
        <f>SUM(Sales[Net Amount])</f>
        <v>406839287.73200053</v>
      </c>
    </row>
    <row r="2232" spans="1:19" ht="18.75" x14ac:dyDescent="0.25">
      <c r="A2232" s="163" t="s">
        <v>5854</v>
      </c>
      <c r="B2232" s="164">
        <v>45891</v>
      </c>
      <c r="C2232" s="34" t="s">
        <v>691</v>
      </c>
      <c r="D2232" s="53" t="str">
        <f>VLOOKUP(Sales[[#This Row],[Customer ID]],Customer[#All],2,0)</f>
        <v>Pooja Patel</v>
      </c>
      <c r="E2232" s="34" t="s">
        <v>318</v>
      </c>
      <c r="F2232" s="34" t="str">
        <f>VLOOKUP(Sales[[#This Row],[Product ID]],Product[#All],2,0)</f>
        <v>HP Printer</v>
      </c>
      <c r="G2232" s="53">
        <v>5</v>
      </c>
      <c r="H2232" s="165">
        <f>VLOOKUP(Sales[[#This Row],[Product ID]],Product[#All],7,0)</f>
        <v>30590</v>
      </c>
      <c r="I2232" s="165">
        <f>Sales[[#This Row],[Selling Rate]]*Sales[[#This Row],[Qty]]</f>
        <v>152950</v>
      </c>
      <c r="J2232" s="45">
        <v>0.1</v>
      </c>
      <c r="K2232" s="46">
        <f>Sales[[#This Row],[Gross Amount]]*Sales[[#This Row],[Disc %]]</f>
        <v>15295</v>
      </c>
      <c r="L2232" s="43">
        <v>0.18</v>
      </c>
      <c r="M2232" s="46">
        <f>(Sales[[#This Row],[Gross Amount]]-Sales[[#This Row],[Disc. Amt.]])*Sales[[#This Row],[GST %]]</f>
        <v>24777.899999999998</v>
      </c>
      <c r="N2232" s="161">
        <f>Sales[[#This Row],[Gross Amount]]-Sales[[#This Row],[Disc. Amt.]]+Sales[[#This Row],[GST Amount]]</f>
        <v>162432.9</v>
      </c>
      <c r="O2232" s="34" t="s">
        <v>3566</v>
      </c>
      <c r="P2232" s="34" t="s">
        <v>3562</v>
      </c>
      <c r="Q2232" s="165">
        <f>IF(Sales[[#This Row],[Status]]="Cancelled",0,Sales[[#This Row],[Qty]])</f>
        <v>5</v>
      </c>
      <c r="R2232" s="166">
        <f>IF(Sales[[#This Row],[Status]]="Cancelled",0,Sales[[#This Row],[Total Amount]])</f>
        <v>162432.9</v>
      </c>
      <c r="S2232" s="162">
        <f>SUM(Sales[Net Amount])</f>
        <v>406839287.73200053</v>
      </c>
    </row>
    <row r="2233" spans="1:19" ht="18.75" x14ac:dyDescent="0.25">
      <c r="A2233" s="156" t="s">
        <v>5855</v>
      </c>
      <c r="B2233" s="157">
        <v>45891</v>
      </c>
      <c r="C2233" s="158" t="s">
        <v>661</v>
      </c>
      <c r="D2233" s="159" t="str">
        <f>VLOOKUP(Sales[[#This Row],[Customer ID]],Customer[#All],2,0)</f>
        <v>Pooja Gupta</v>
      </c>
      <c r="E2233" s="158" t="s">
        <v>505</v>
      </c>
      <c r="F2233" s="158" t="str">
        <f>VLOOKUP(Sales[[#This Row],[Product ID]],Product[#All],2,0)</f>
        <v>Dell Monitor</v>
      </c>
      <c r="G2233" s="159">
        <v>4</v>
      </c>
      <c r="H2233" s="160">
        <f>VLOOKUP(Sales[[#This Row],[Product ID]],Product[#All],7,0)</f>
        <v>12790</v>
      </c>
      <c r="I2233" s="160">
        <f>Sales[[#This Row],[Selling Rate]]*Sales[[#This Row],[Qty]]</f>
        <v>51160</v>
      </c>
      <c r="J2233" s="43">
        <v>0</v>
      </c>
      <c r="K2233" s="44">
        <f>Sales[[#This Row],[Gross Amount]]*Sales[[#This Row],[Disc %]]</f>
        <v>0</v>
      </c>
      <c r="L2233" s="43">
        <v>0.18</v>
      </c>
      <c r="M2233" s="44">
        <f>(Sales[[#This Row],[Gross Amount]]-Sales[[#This Row],[Disc. Amt.]])*Sales[[#This Row],[GST %]]</f>
        <v>9208.7999999999993</v>
      </c>
      <c r="N2233" s="161">
        <f>Sales[[#This Row],[Gross Amount]]-Sales[[#This Row],[Disc. Amt.]]+Sales[[#This Row],[GST Amount]]</f>
        <v>60368.800000000003</v>
      </c>
      <c r="O2233" s="158" t="s">
        <v>3561</v>
      </c>
      <c r="P2233" s="158" t="s">
        <v>3562</v>
      </c>
      <c r="Q2233" s="160">
        <f>IF(Sales[[#This Row],[Status]]="Cancelled",0,Sales[[#This Row],[Qty]])</f>
        <v>4</v>
      </c>
      <c r="R2233" s="161">
        <f>IF(Sales[[#This Row],[Status]]="Cancelled",0,Sales[[#This Row],[Total Amount]])</f>
        <v>60368.800000000003</v>
      </c>
      <c r="S2233" s="162">
        <f>SUM(Sales[Net Amount])</f>
        <v>406839287.73200053</v>
      </c>
    </row>
    <row r="2234" spans="1:19" ht="18.75" x14ac:dyDescent="0.25">
      <c r="A2234" s="163" t="s">
        <v>5856</v>
      </c>
      <c r="B2234" s="164">
        <v>45891</v>
      </c>
      <c r="C2234" s="34" t="s">
        <v>941</v>
      </c>
      <c r="D2234" s="53" t="str">
        <f>VLOOKUP(Sales[[#This Row],[Customer ID]],Customer[#All],2,0)</f>
        <v>Sahil Verma</v>
      </c>
      <c r="E2234" s="34" t="s">
        <v>323</v>
      </c>
      <c r="F2234" s="34" t="str">
        <f>VLOOKUP(Sales[[#This Row],[Product ID]],Product[#All],2,0)</f>
        <v>Dell Desktop</v>
      </c>
      <c r="G2234" s="53">
        <v>5</v>
      </c>
      <c r="H2234" s="165">
        <f>VLOOKUP(Sales[[#This Row],[Product ID]],Product[#All],7,0)</f>
        <v>45070</v>
      </c>
      <c r="I2234" s="165">
        <f>Sales[[#This Row],[Selling Rate]]*Sales[[#This Row],[Qty]]</f>
        <v>225350</v>
      </c>
      <c r="J2234" s="45">
        <v>0.05</v>
      </c>
      <c r="K2234" s="46">
        <f>Sales[[#This Row],[Gross Amount]]*Sales[[#This Row],[Disc %]]</f>
        <v>11267.5</v>
      </c>
      <c r="L2234" s="43">
        <v>0.18</v>
      </c>
      <c r="M2234" s="46">
        <f>(Sales[[#This Row],[Gross Amount]]-Sales[[#This Row],[Disc. Amt.]])*Sales[[#This Row],[GST %]]</f>
        <v>38534.85</v>
      </c>
      <c r="N2234" s="161">
        <f>Sales[[#This Row],[Gross Amount]]-Sales[[#This Row],[Disc. Amt.]]+Sales[[#This Row],[GST Amount]]</f>
        <v>252617.35</v>
      </c>
      <c r="O2234" s="34" t="s">
        <v>3566</v>
      </c>
      <c r="P2234" s="34" t="s">
        <v>3562</v>
      </c>
      <c r="Q2234" s="165">
        <f>IF(Sales[[#This Row],[Status]]="Cancelled",0,Sales[[#This Row],[Qty]])</f>
        <v>5</v>
      </c>
      <c r="R2234" s="166">
        <f>IF(Sales[[#This Row],[Status]]="Cancelled",0,Sales[[#This Row],[Total Amount]])</f>
        <v>252617.35</v>
      </c>
      <c r="S2234" s="162">
        <f>SUM(Sales[Net Amount])</f>
        <v>406839287.73200053</v>
      </c>
    </row>
    <row r="2235" spans="1:19" ht="18.75" x14ac:dyDescent="0.25">
      <c r="A2235" s="156" t="s">
        <v>5857</v>
      </c>
      <c r="B2235" s="157">
        <v>45891</v>
      </c>
      <c r="C2235" s="158" t="s">
        <v>949</v>
      </c>
      <c r="D2235" s="159" t="str">
        <f>VLOOKUP(Sales[[#This Row],[Customer ID]],Customer[#All],2,0)</f>
        <v>Amit Patel</v>
      </c>
      <c r="E2235" s="158" t="s">
        <v>537</v>
      </c>
      <c r="F2235" s="158" t="str">
        <f>VLOOKUP(Sales[[#This Row],[Product ID]],Product[#All],2,0)</f>
        <v>Dell Laptop</v>
      </c>
      <c r="G2235" s="159">
        <v>4</v>
      </c>
      <c r="H2235" s="160">
        <f>VLOOKUP(Sales[[#This Row],[Product ID]],Product[#All],7,0)</f>
        <v>90420</v>
      </c>
      <c r="I2235" s="160">
        <f>Sales[[#This Row],[Selling Rate]]*Sales[[#This Row],[Qty]]</f>
        <v>361680</v>
      </c>
      <c r="J2235" s="43">
        <v>0.05</v>
      </c>
      <c r="K2235" s="44">
        <f>Sales[[#This Row],[Gross Amount]]*Sales[[#This Row],[Disc %]]</f>
        <v>18084</v>
      </c>
      <c r="L2235" s="43">
        <v>0.18</v>
      </c>
      <c r="M2235" s="44">
        <f>(Sales[[#This Row],[Gross Amount]]-Sales[[#This Row],[Disc. Amt.]])*Sales[[#This Row],[GST %]]</f>
        <v>61847.28</v>
      </c>
      <c r="N2235" s="161">
        <f>Sales[[#This Row],[Gross Amount]]-Sales[[#This Row],[Disc. Amt.]]+Sales[[#This Row],[GST Amount]]</f>
        <v>405443.28</v>
      </c>
      <c r="O2235" s="158" t="s">
        <v>3566</v>
      </c>
      <c r="P2235" s="158" t="s">
        <v>3562</v>
      </c>
      <c r="Q2235" s="160">
        <f>IF(Sales[[#This Row],[Status]]="Cancelled",0,Sales[[#This Row],[Qty]])</f>
        <v>4</v>
      </c>
      <c r="R2235" s="161">
        <f>IF(Sales[[#This Row],[Status]]="Cancelled",0,Sales[[#This Row],[Total Amount]])</f>
        <v>405443.28</v>
      </c>
      <c r="S2235" s="162">
        <f>SUM(Sales[Net Amount])</f>
        <v>406839287.73200053</v>
      </c>
    </row>
    <row r="2236" spans="1:19" ht="18.75" x14ac:dyDescent="0.25">
      <c r="A2236" s="163" t="s">
        <v>5858</v>
      </c>
      <c r="B2236" s="164">
        <v>45891</v>
      </c>
      <c r="C2236" s="34" t="s">
        <v>822</v>
      </c>
      <c r="D2236" s="53" t="str">
        <f>VLOOKUP(Sales[[#This Row],[Customer ID]],Customer[#All],2,0)</f>
        <v>Vikas Singh</v>
      </c>
      <c r="E2236" s="34" t="s">
        <v>88</v>
      </c>
      <c r="F2236" s="34" t="str">
        <f>VLOOKUP(Sales[[#This Row],[Product ID]],Product[#All],2,0)</f>
        <v>Dell Laptop</v>
      </c>
      <c r="G2236" s="53">
        <v>2</v>
      </c>
      <c r="H2236" s="165">
        <f>VLOOKUP(Sales[[#This Row],[Product ID]],Product[#All],7,0)</f>
        <v>43690</v>
      </c>
      <c r="I2236" s="165">
        <f>Sales[[#This Row],[Selling Rate]]*Sales[[#This Row],[Qty]]</f>
        <v>87380</v>
      </c>
      <c r="J2236" s="45">
        <v>0.12</v>
      </c>
      <c r="K2236" s="46">
        <f>Sales[[#This Row],[Gross Amount]]*Sales[[#This Row],[Disc %]]</f>
        <v>10485.6</v>
      </c>
      <c r="L2236" s="43">
        <v>0.18</v>
      </c>
      <c r="M2236" s="46">
        <f>(Sales[[#This Row],[Gross Amount]]-Sales[[#This Row],[Disc. Amt.]])*Sales[[#This Row],[GST %]]</f>
        <v>13840.991999999998</v>
      </c>
      <c r="N2236" s="161">
        <f>Sales[[#This Row],[Gross Amount]]-Sales[[#This Row],[Disc. Amt.]]+Sales[[#This Row],[GST Amount]]</f>
        <v>90735.391999999993</v>
      </c>
      <c r="O2236" s="34" t="s">
        <v>3566</v>
      </c>
      <c r="P2236" s="34" t="s">
        <v>3562</v>
      </c>
      <c r="Q2236" s="165">
        <f>IF(Sales[[#This Row],[Status]]="Cancelled",0,Sales[[#This Row],[Qty]])</f>
        <v>2</v>
      </c>
      <c r="R2236" s="166">
        <f>IF(Sales[[#This Row],[Status]]="Cancelled",0,Sales[[#This Row],[Total Amount]])</f>
        <v>90735.391999999993</v>
      </c>
      <c r="S2236" s="162">
        <f>SUM(Sales[Net Amount])</f>
        <v>406839287.73200053</v>
      </c>
    </row>
    <row r="2237" spans="1:19" ht="18.75" x14ac:dyDescent="0.25">
      <c r="A2237" s="156" t="s">
        <v>5859</v>
      </c>
      <c r="B2237" s="157">
        <v>45891</v>
      </c>
      <c r="C2237" s="158" t="s">
        <v>666</v>
      </c>
      <c r="D2237" s="159" t="str">
        <f>VLOOKUP(Sales[[#This Row],[Customer ID]],Customer[#All],2,0)</f>
        <v>Sahil Gupta</v>
      </c>
      <c r="E2237" s="158" t="s">
        <v>30</v>
      </c>
      <c r="F2237" s="158" t="str">
        <f>VLOOKUP(Sales[[#This Row],[Product ID]],Product[#All],2,0)</f>
        <v>Samsung Monitor</v>
      </c>
      <c r="G2237" s="159">
        <v>8</v>
      </c>
      <c r="H2237" s="160">
        <f>VLOOKUP(Sales[[#This Row],[Product ID]],Product[#All],7,0)</f>
        <v>16740</v>
      </c>
      <c r="I2237" s="160">
        <f>Sales[[#This Row],[Selling Rate]]*Sales[[#This Row],[Qty]]</f>
        <v>133920</v>
      </c>
      <c r="J2237" s="43">
        <v>0</v>
      </c>
      <c r="K2237" s="44">
        <f>Sales[[#This Row],[Gross Amount]]*Sales[[#This Row],[Disc %]]</f>
        <v>0</v>
      </c>
      <c r="L2237" s="43">
        <v>0.18</v>
      </c>
      <c r="M2237" s="44">
        <f>(Sales[[#This Row],[Gross Amount]]-Sales[[#This Row],[Disc. Amt.]])*Sales[[#This Row],[GST %]]</f>
        <v>24105.599999999999</v>
      </c>
      <c r="N2237" s="161">
        <f>Sales[[#This Row],[Gross Amount]]-Sales[[#This Row],[Disc. Amt.]]+Sales[[#This Row],[GST Amount]]</f>
        <v>158025.60000000001</v>
      </c>
      <c r="O2237" s="158" t="s">
        <v>3561</v>
      </c>
      <c r="P2237" s="158" t="s">
        <v>3562</v>
      </c>
      <c r="Q2237" s="160">
        <f>IF(Sales[[#This Row],[Status]]="Cancelled",0,Sales[[#This Row],[Qty]])</f>
        <v>8</v>
      </c>
      <c r="R2237" s="161">
        <f>IF(Sales[[#This Row],[Status]]="Cancelled",0,Sales[[#This Row],[Total Amount]])</f>
        <v>158025.60000000001</v>
      </c>
      <c r="S2237" s="162">
        <f>SUM(Sales[Net Amount])</f>
        <v>406839287.73200053</v>
      </c>
    </row>
    <row r="2238" spans="1:19" ht="18.75" x14ac:dyDescent="0.25">
      <c r="A2238" s="163" t="s">
        <v>5860</v>
      </c>
      <c r="B2238" s="164">
        <v>45891</v>
      </c>
      <c r="C2238" s="34" t="s">
        <v>775</v>
      </c>
      <c r="D2238" s="53" t="str">
        <f>VLOOKUP(Sales[[#This Row],[Customer ID]],Customer[#All],2,0)</f>
        <v>Ankit Kumar</v>
      </c>
      <c r="E2238" s="34" t="s">
        <v>541</v>
      </c>
      <c r="F2238" s="34" t="str">
        <f>VLOOKUP(Sales[[#This Row],[Product ID]],Product[#All],2,0)</f>
        <v>Crucial Ssd</v>
      </c>
      <c r="G2238" s="53">
        <v>8</v>
      </c>
      <c r="H2238" s="165">
        <f>VLOOKUP(Sales[[#This Row],[Product ID]],Product[#All],7,0)</f>
        <v>9350</v>
      </c>
      <c r="I2238" s="165">
        <f>Sales[[#This Row],[Selling Rate]]*Sales[[#This Row],[Qty]]</f>
        <v>74800</v>
      </c>
      <c r="J2238" s="45">
        <v>0.05</v>
      </c>
      <c r="K2238" s="46">
        <f>Sales[[#This Row],[Gross Amount]]*Sales[[#This Row],[Disc %]]</f>
        <v>3740</v>
      </c>
      <c r="L2238" s="43">
        <v>0.18</v>
      </c>
      <c r="M2238" s="46">
        <f>(Sales[[#This Row],[Gross Amount]]-Sales[[#This Row],[Disc. Amt.]])*Sales[[#This Row],[GST %]]</f>
        <v>12790.8</v>
      </c>
      <c r="N2238" s="161">
        <f>Sales[[#This Row],[Gross Amount]]-Sales[[#This Row],[Disc. Amt.]]+Sales[[#This Row],[GST Amount]]</f>
        <v>83850.8</v>
      </c>
      <c r="O2238" s="34" t="s">
        <v>3569</v>
      </c>
      <c r="P2238" s="34" t="s">
        <v>3562</v>
      </c>
      <c r="Q2238" s="165">
        <f>IF(Sales[[#This Row],[Status]]="Cancelled",0,Sales[[#This Row],[Qty]])</f>
        <v>8</v>
      </c>
      <c r="R2238" s="166">
        <f>IF(Sales[[#This Row],[Status]]="Cancelled",0,Sales[[#This Row],[Total Amount]])</f>
        <v>83850.8</v>
      </c>
      <c r="S2238" s="162">
        <f>SUM(Sales[Net Amount])</f>
        <v>406839287.73200053</v>
      </c>
    </row>
    <row r="2239" spans="1:19" ht="18.75" x14ac:dyDescent="0.25">
      <c r="A2239" s="156" t="s">
        <v>5861</v>
      </c>
      <c r="B2239" s="157">
        <v>45891</v>
      </c>
      <c r="C2239" s="158" t="s">
        <v>653</v>
      </c>
      <c r="D2239" s="159" t="str">
        <f>VLOOKUP(Sales[[#This Row],[Customer ID]],Customer[#All],2,0)</f>
        <v>Pooja Patel</v>
      </c>
      <c r="E2239" s="158" t="s">
        <v>549</v>
      </c>
      <c r="F2239" s="158" t="str">
        <f>VLOOKUP(Sales[[#This Row],[Product ID]],Product[#All],2,0)</f>
        <v>Boat Headset</v>
      </c>
      <c r="G2239" s="159">
        <v>4</v>
      </c>
      <c r="H2239" s="160">
        <f>VLOOKUP(Sales[[#This Row],[Product ID]],Product[#All],7,0)</f>
        <v>3390</v>
      </c>
      <c r="I2239" s="160">
        <f>Sales[[#This Row],[Selling Rate]]*Sales[[#This Row],[Qty]]</f>
        <v>13560</v>
      </c>
      <c r="J2239" s="43">
        <v>0.1</v>
      </c>
      <c r="K2239" s="44">
        <f>Sales[[#This Row],[Gross Amount]]*Sales[[#This Row],[Disc %]]</f>
        <v>1356</v>
      </c>
      <c r="L2239" s="43">
        <v>0.18</v>
      </c>
      <c r="M2239" s="44">
        <f>(Sales[[#This Row],[Gross Amount]]-Sales[[#This Row],[Disc. Amt.]])*Sales[[#This Row],[GST %]]</f>
        <v>2196.7199999999998</v>
      </c>
      <c r="N2239" s="161">
        <f>Sales[[#This Row],[Gross Amount]]-Sales[[#This Row],[Disc. Amt.]]+Sales[[#This Row],[GST Amount]]</f>
        <v>14400.72</v>
      </c>
      <c r="O2239" s="158" t="s">
        <v>3561</v>
      </c>
      <c r="P2239" s="158" t="s">
        <v>3562</v>
      </c>
      <c r="Q2239" s="160">
        <f>IF(Sales[[#This Row],[Status]]="Cancelled",0,Sales[[#This Row],[Qty]])</f>
        <v>4</v>
      </c>
      <c r="R2239" s="161">
        <f>IF(Sales[[#This Row],[Status]]="Cancelled",0,Sales[[#This Row],[Total Amount]])</f>
        <v>14400.72</v>
      </c>
      <c r="S2239" s="162">
        <f>SUM(Sales[Net Amount])</f>
        <v>406839287.73200053</v>
      </c>
    </row>
    <row r="2240" spans="1:19" ht="18.75" x14ac:dyDescent="0.25">
      <c r="A2240" s="163" t="s">
        <v>5862</v>
      </c>
      <c r="B2240" s="164">
        <v>45891</v>
      </c>
      <c r="C2240" s="34" t="s">
        <v>823</v>
      </c>
      <c r="D2240" s="53" t="str">
        <f>VLOOKUP(Sales[[#This Row],[Customer ID]],Customer[#All],2,0)</f>
        <v>Pooja Singh</v>
      </c>
      <c r="E2240" s="34" t="s">
        <v>79</v>
      </c>
      <c r="F2240" s="34" t="str">
        <f>VLOOKUP(Sales[[#This Row],[Product ID]],Product[#All],2,0)</f>
        <v>Samsung Monitor</v>
      </c>
      <c r="G2240" s="53">
        <v>7</v>
      </c>
      <c r="H2240" s="165">
        <f>VLOOKUP(Sales[[#This Row],[Product ID]],Product[#All],7,0)</f>
        <v>32480</v>
      </c>
      <c r="I2240" s="165">
        <f>Sales[[#This Row],[Selling Rate]]*Sales[[#This Row],[Qty]]</f>
        <v>227360</v>
      </c>
      <c r="J2240" s="45">
        <v>0</v>
      </c>
      <c r="K2240" s="46">
        <f>Sales[[#This Row],[Gross Amount]]*Sales[[#This Row],[Disc %]]</f>
        <v>0</v>
      </c>
      <c r="L2240" s="43">
        <v>0.18</v>
      </c>
      <c r="M2240" s="46">
        <f>(Sales[[#This Row],[Gross Amount]]-Sales[[#This Row],[Disc. Amt.]])*Sales[[#This Row],[GST %]]</f>
        <v>40924.799999999996</v>
      </c>
      <c r="N2240" s="161">
        <f>Sales[[#This Row],[Gross Amount]]-Sales[[#This Row],[Disc. Amt.]]+Sales[[#This Row],[GST Amount]]</f>
        <v>268284.79999999999</v>
      </c>
      <c r="O2240" s="34" t="s">
        <v>3561</v>
      </c>
      <c r="P2240" s="34" t="s">
        <v>3562</v>
      </c>
      <c r="Q2240" s="165">
        <f>IF(Sales[[#This Row],[Status]]="Cancelled",0,Sales[[#This Row],[Qty]])</f>
        <v>7</v>
      </c>
      <c r="R2240" s="166">
        <f>IF(Sales[[#This Row],[Status]]="Cancelled",0,Sales[[#This Row],[Total Amount]])</f>
        <v>268284.79999999999</v>
      </c>
      <c r="S2240" s="162">
        <f>SUM(Sales[Net Amount])</f>
        <v>406839287.73200053</v>
      </c>
    </row>
    <row r="2241" spans="1:19" ht="18.75" x14ac:dyDescent="0.25">
      <c r="A2241" s="156" t="s">
        <v>5863</v>
      </c>
      <c r="B2241" s="157">
        <v>45891</v>
      </c>
      <c r="C2241" s="158" t="s">
        <v>747</v>
      </c>
      <c r="D2241" s="159" t="str">
        <f>VLOOKUP(Sales[[#This Row],[Customer ID]],Customer[#All],2,0)</f>
        <v>Sunita Gupta</v>
      </c>
      <c r="E2241" s="158" t="s">
        <v>466</v>
      </c>
      <c r="F2241" s="158" t="str">
        <f>VLOOKUP(Sales[[#This Row],[Product ID]],Product[#All],2,0)</f>
        <v>Lenovo Laptop</v>
      </c>
      <c r="G2241" s="159">
        <v>7</v>
      </c>
      <c r="H2241" s="160">
        <f>VLOOKUP(Sales[[#This Row],[Product ID]],Product[#All],7,0)</f>
        <v>87730</v>
      </c>
      <c r="I2241" s="160">
        <f>Sales[[#This Row],[Selling Rate]]*Sales[[#This Row],[Qty]]</f>
        <v>614110</v>
      </c>
      <c r="J2241" s="43">
        <v>0</v>
      </c>
      <c r="K2241" s="44">
        <f>Sales[[#This Row],[Gross Amount]]*Sales[[#This Row],[Disc %]]</f>
        <v>0</v>
      </c>
      <c r="L2241" s="43">
        <v>0.18</v>
      </c>
      <c r="M2241" s="44">
        <f>(Sales[[#This Row],[Gross Amount]]-Sales[[#This Row],[Disc. Amt.]])*Sales[[#This Row],[GST %]]</f>
        <v>110539.8</v>
      </c>
      <c r="N2241" s="161">
        <f>Sales[[#This Row],[Gross Amount]]-Sales[[#This Row],[Disc. Amt.]]+Sales[[#This Row],[GST Amount]]</f>
        <v>724649.8</v>
      </c>
      <c r="O2241" s="158" t="s">
        <v>3569</v>
      </c>
      <c r="P2241" s="158" t="s">
        <v>3562</v>
      </c>
      <c r="Q2241" s="160">
        <f>IF(Sales[[#This Row],[Status]]="Cancelled",0,Sales[[#This Row],[Qty]])</f>
        <v>7</v>
      </c>
      <c r="R2241" s="161">
        <f>IF(Sales[[#This Row],[Status]]="Cancelled",0,Sales[[#This Row],[Total Amount]])</f>
        <v>724649.8</v>
      </c>
      <c r="S2241" s="162">
        <f>SUM(Sales[Net Amount])</f>
        <v>406839287.73200053</v>
      </c>
    </row>
    <row r="2242" spans="1:19" ht="18.75" x14ac:dyDescent="0.25">
      <c r="A2242" s="163" t="s">
        <v>5864</v>
      </c>
      <c r="B2242" s="164">
        <v>45891</v>
      </c>
      <c r="C2242" s="34" t="s">
        <v>719</v>
      </c>
      <c r="D2242" s="53" t="str">
        <f>VLOOKUP(Sales[[#This Row],[Customer ID]],Customer[#All],2,0)</f>
        <v>Priya Verma</v>
      </c>
      <c r="E2242" s="34" t="s">
        <v>417</v>
      </c>
      <c r="F2242" s="34" t="str">
        <f>VLOOKUP(Sales[[#This Row],[Product ID]],Product[#All],2,0)</f>
        <v>HP Power Adapter</v>
      </c>
      <c r="G2242" s="53">
        <v>8</v>
      </c>
      <c r="H2242" s="165">
        <f>VLOOKUP(Sales[[#This Row],[Product ID]],Product[#All],7,0)</f>
        <v>4330</v>
      </c>
      <c r="I2242" s="165">
        <f>Sales[[#This Row],[Selling Rate]]*Sales[[#This Row],[Qty]]</f>
        <v>34640</v>
      </c>
      <c r="J2242" s="45">
        <v>0.12</v>
      </c>
      <c r="K2242" s="46">
        <f>Sales[[#This Row],[Gross Amount]]*Sales[[#This Row],[Disc %]]</f>
        <v>4156.8</v>
      </c>
      <c r="L2242" s="43">
        <v>0.18</v>
      </c>
      <c r="M2242" s="46">
        <f>(Sales[[#This Row],[Gross Amount]]-Sales[[#This Row],[Disc. Amt.]])*Sales[[#This Row],[GST %]]</f>
        <v>5486.9759999999997</v>
      </c>
      <c r="N2242" s="161">
        <f>Sales[[#This Row],[Gross Amount]]-Sales[[#This Row],[Disc. Amt.]]+Sales[[#This Row],[GST Amount]]</f>
        <v>35970.175999999999</v>
      </c>
      <c r="O2242" s="34" t="s">
        <v>3566</v>
      </c>
      <c r="P2242" s="34" t="s">
        <v>3562</v>
      </c>
      <c r="Q2242" s="165">
        <f>IF(Sales[[#This Row],[Status]]="Cancelled",0,Sales[[#This Row],[Qty]])</f>
        <v>8</v>
      </c>
      <c r="R2242" s="166">
        <f>IF(Sales[[#This Row],[Status]]="Cancelled",0,Sales[[#This Row],[Total Amount]])</f>
        <v>35970.175999999999</v>
      </c>
      <c r="S2242" s="162">
        <f>SUM(Sales[Net Amount])</f>
        <v>406839287.73200053</v>
      </c>
    </row>
    <row r="2243" spans="1:19" ht="18.75" x14ac:dyDescent="0.25">
      <c r="A2243" s="156" t="s">
        <v>5865</v>
      </c>
      <c r="B2243" s="157">
        <v>45891</v>
      </c>
      <c r="C2243" s="158" t="s">
        <v>926</v>
      </c>
      <c r="D2243" s="159" t="str">
        <f>VLOOKUP(Sales[[#This Row],[Customer ID]],Customer[#All],2,0)</f>
        <v>Pooja Singh</v>
      </c>
      <c r="E2243" s="158" t="s">
        <v>543</v>
      </c>
      <c r="F2243" s="158" t="str">
        <f>VLOOKUP(Sales[[#This Row],[Product ID]],Product[#All],2,0)</f>
        <v>Logitech Mouse</v>
      </c>
      <c r="G2243" s="159">
        <v>6</v>
      </c>
      <c r="H2243" s="160">
        <f>VLOOKUP(Sales[[#This Row],[Product ID]],Product[#All],7,0)</f>
        <v>2430</v>
      </c>
      <c r="I2243" s="160">
        <f>Sales[[#This Row],[Selling Rate]]*Sales[[#This Row],[Qty]]</f>
        <v>14580</v>
      </c>
      <c r="J2243" s="43">
        <v>0.15</v>
      </c>
      <c r="K2243" s="44">
        <f>Sales[[#This Row],[Gross Amount]]*Sales[[#This Row],[Disc %]]</f>
        <v>2187</v>
      </c>
      <c r="L2243" s="43">
        <v>0.18</v>
      </c>
      <c r="M2243" s="44">
        <f>(Sales[[#This Row],[Gross Amount]]-Sales[[#This Row],[Disc. Amt.]])*Sales[[#This Row],[GST %]]</f>
        <v>2230.7399999999998</v>
      </c>
      <c r="N2243" s="161">
        <f>Sales[[#This Row],[Gross Amount]]-Sales[[#This Row],[Disc. Amt.]]+Sales[[#This Row],[GST Amount]]</f>
        <v>14623.74</v>
      </c>
      <c r="O2243" s="158" t="s">
        <v>3566</v>
      </c>
      <c r="P2243" s="158" t="s">
        <v>3562</v>
      </c>
      <c r="Q2243" s="160">
        <f>IF(Sales[[#This Row],[Status]]="Cancelled",0,Sales[[#This Row],[Qty]])</f>
        <v>6</v>
      </c>
      <c r="R2243" s="161">
        <f>IF(Sales[[#This Row],[Status]]="Cancelled",0,Sales[[#This Row],[Total Amount]])</f>
        <v>14623.74</v>
      </c>
      <c r="S2243" s="162">
        <f>SUM(Sales[Net Amount])</f>
        <v>406839287.73200053</v>
      </c>
    </row>
    <row r="2244" spans="1:19" ht="18.75" x14ac:dyDescent="0.25">
      <c r="A2244" s="163" t="s">
        <v>5866</v>
      </c>
      <c r="B2244" s="164">
        <v>45891</v>
      </c>
      <c r="C2244" s="34" t="s">
        <v>832</v>
      </c>
      <c r="D2244" s="53" t="str">
        <f>VLOOKUP(Sales[[#This Row],[Customer ID]],Customer[#All],2,0)</f>
        <v>Vikas Sharma</v>
      </c>
      <c r="E2244" s="34" t="s">
        <v>391</v>
      </c>
      <c r="F2244" s="34" t="str">
        <f>VLOOKUP(Sales[[#This Row],[Product ID]],Product[#All],2,0)</f>
        <v>Seagate HDD</v>
      </c>
      <c r="G2244" s="53">
        <v>3</v>
      </c>
      <c r="H2244" s="165">
        <f>VLOOKUP(Sales[[#This Row],[Product ID]],Product[#All],7,0)</f>
        <v>10370</v>
      </c>
      <c r="I2244" s="165">
        <f>Sales[[#This Row],[Selling Rate]]*Sales[[#This Row],[Qty]]</f>
        <v>31110</v>
      </c>
      <c r="J2244" s="45">
        <v>0.05</v>
      </c>
      <c r="K2244" s="46">
        <f>Sales[[#This Row],[Gross Amount]]*Sales[[#This Row],[Disc %]]</f>
        <v>1555.5</v>
      </c>
      <c r="L2244" s="43">
        <v>0.18</v>
      </c>
      <c r="M2244" s="46">
        <f>(Sales[[#This Row],[Gross Amount]]-Sales[[#This Row],[Disc. Amt.]])*Sales[[#This Row],[GST %]]</f>
        <v>5319.8099999999995</v>
      </c>
      <c r="N2244" s="161">
        <f>Sales[[#This Row],[Gross Amount]]-Sales[[#This Row],[Disc. Amt.]]+Sales[[#This Row],[GST Amount]]</f>
        <v>34874.31</v>
      </c>
      <c r="O2244" s="34" t="s">
        <v>3569</v>
      </c>
      <c r="P2244" s="34" t="s">
        <v>3562</v>
      </c>
      <c r="Q2244" s="165">
        <f>IF(Sales[[#This Row],[Status]]="Cancelled",0,Sales[[#This Row],[Qty]])</f>
        <v>3</v>
      </c>
      <c r="R2244" s="166">
        <f>IF(Sales[[#This Row],[Status]]="Cancelled",0,Sales[[#This Row],[Total Amount]])</f>
        <v>34874.31</v>
      </c>
      <c r="S2244" s="162">
        <f>SUM(Sales[Net Amount])</f>
        <v>406839287.73200053</v>
      </c>
    </row>
    <row r="2245" spans="1:19" ht="18.75" x14ac:dyDescent="0.25">
      <c r="A2245" s="156" t="s">
        <v>5867</v>
      </c>
      <c r="B2245" s="157">
        <v>45891</v>
      </c>
      <c r="C2245" s="158" t="s">
        <v>864</v>
      </c>
      <c r="D2245" s="159" t="str">
        <f>VLOOKUP(Sales[[#This Row],[Customer ID]],Customer[#All],2,0)</f>
        <v>Sahil Sharma</v>
      </c>
      <c r="E2245" s="158" t="s">
        <v>435</v>
      </c>
      <c r="F2245" s="158" t="str">
        <f>VLOOKUP(Sales[[#This Row],[Product ID]],Product[#All],2,0)</f>
        <v>Corsair Ram</v>
      </c>
      <c r="G2245" s="159">
        <v>1</v>
      </c>
      <c r="H2245" s="160">
        <f>VLOOKUP(Sales[[#This Row],[Product ID]],Product[#All],7,0)</f>
        <v>8060</v>
      </c>
      <c r="I2245" s="160">
        <f>Sales[[#This Row],[Selling Rate]]*Sales[[#This Row],[Qty]]</f>
        <v>8060</v>
      </c>
      <c r="J2245" s="43">
        <v>0</v>
      </c>
      <c r="K2245" s="44">
        <f>Sales[[#This Row],[Gross Amount]]*Sales[[#This Row],[Disc %]]</f>
        <v>0</v>
      </c>
      <c r="L2245" s="43">
        <v>0.18</v>
      </c>
      <c r="M2245" s="44">
        <f>(Sales[[#This Row],[Gross Amount]]-Sales[[#This Row],[Disc. Amt.]])*Sales[[#This Row],[GST %]]</f>
        <v>1450.8</v>
      </c>
      <c r="N2245" s="161">
        <f>Sales[[#This Row],[Gross Amount]]-Sales[[#This Row],[Disc. Amt.]]+Sales[[#This Row],[GST Amount]]</f>
        <v>9510.7999999999993</v>
      </c>
      <c r="O2245" s="158" t="s">
        <v>8876</v>
      </c>
      <c r="P2245" s="158" t="s">
        <v>3562</v>
      </c>
      <c r="Q2245" s="160">
        <f>IF(Sales[[#This Row],[Status]]="Cancelled",0,Sales[[#This Row],[Qty]])</f>
        <v>1</v>
      </c>
      <c r="R2245" s="161">
        <f>IF(Sales[[#This Row],[Status]]="Cancelled",0,Sales[[#This Row],[Total Amount]])</f>
        <v>9510.7999999999993</v>
      </c>
      <c r="S2245" s="162">
        <f>SUM(Sales[Net Amount])</f>
        <v>406839287.73200053</v>
      </c>
    </row>
    <row r="2246" spans="1:19" ht="18.75" x14ac:dyDescent="0.25">
      <c r="A2246" s="163" t="s">
        <v>5868</v>
      </c>
      <c r="B2246" s="164">
        <v>45891</v>
      </c>
      <c r="C2246" s="34" t="s">
        <v>704</v>
      </c>
      <c r="D2246" s="53" t="str">
        <f>VLOOKUP(Sales[[#This Row],[Customer ID]],Customer[#All],2,0)</f>
        <v>Rahul Gupta</v>
      </c>
      <c r="E2246" s="34" t="s">
        <v>43</v>
      </c>
      <c r="F2246" s="34" t="str">
        <f>VLOOKUP(Sales[[#This Row],[Product ID]],Product[#All],2,0)</f>
        <v>Jbl Speaker</v>
      </c>
      <c r="G2246" s="53">
        <v>2</v>
      </c>
      <c r="H2246" s="165">
        <f>VLOOKUP(Sales[[#This Row],[Product ID]],Product[#All],7,0)</f>
        <v>11310</v>
      </c>
      <c r="I2246" s="165">
        <f>Sales[[#This Row],[Selling Rate]]*Sales[[#This Row],[Qty]]</f>
        <v>22620</v>
      </c>
      <c r="J2246" s="45">
        <v>0.02</v>
      </c>
      <c r="K2246" s="46">
        <f>Sales[[#This Row],[Gross Amount]]*Sales[[#This Row],[Disc %]]</f>
        <v>452.40000000000003</v>
      </c>
      <c r="L2246" s="43">
        <v>0.18</v>
      </c>
      <c r="M2246" s="46">
        <f>(Sales[[#This Row],[Gross Amount]]-Sales[[#This Row],[Disc. Amt.]])*Sales[[#This Row],[GST %]]</f>
        <v>3990.1679999999997</v>
      </c>
      <c r="N2246" s="161">
        <f>Sales[[#This Row],[Gross Amount]]-Sales[[#This Row],[Disc. Amt.]]+Sales[[#This Row],[GST Amount]]</f>
        <v>26157.767999999996</v>
      </c>
      <c r="O2246" s="34" t="s">
        <v>8876</v>
      </c>
      <c r="P2246" s="34" t="s">
        <v>3562</v>
      </c>
      <c r="Q2246" s="165">
        <f>IF(Sales[[#This Row],[Status]]="Cancelled",0,Sales[[#This Row],[Qty]])</f>
        <v>2</v>
      </c>
      <c r="R2246" s="166">
        <f>IF(Sales[[#This Row],[Status]]="Cancelled",0,Sales[[#This Row],[Total Amount]])</f>
        <v>26157.767999999996</v>
      </c>
      <c r="S2246" s="162">
        <f>SUM(Sales[Net Amount])</f>
        <v>406839287.73200053</v>
      </c>
    </row>
    <row r="2247" spans="1:19" ht="18.75" x14ac:dyDescent="0.25">
      <c r="A2247" s="156" t="s">
        <v>5869</v>
      </c>
      <c r="B2247" s="157">
        <v>45891</v>
      </c>
      <c r="C2247" s="158" t="s">
        <v>943</v>
      </c>
      <c r="D2247" s="159" t="str">
        <f>VLOOKUP(Sales[[#This Row],[Customer ID]],Customer[#All],2,0)</f>
        <v>Sahil Singh</v>
      </c>
      <c r="E2247" s="158" t="s">
        <v>268</v>
      </c>
      <c r="F2247" s="158" t="str">
        <f>VLOOKUP(Sales[[#This Row],[Product ID]],Product[#All],2,0)</f>
        <v>American TouristerLaptopBag</v>
      </c>
      <c r="G2247" s="159">
        <v>1</v>
      </c>
      <c r="H2247" s="160">
        <f>VLOOKUP(Sales[[#This Row],[Product ID]],Product[#All],7,0)</f>
        <v>2080</v>
      </c>
      <c r="I2247" s="160">
        <f>Sales[[#This Row],[Selling Rate]]*Sales[[#This Row],[Qty]]</f>
        <v>2080</v>
      </c>
      <c r="J2247" s="43">
        <v>0.1</v>
      </c>
      <c r="K2247" s="44">
        <f>Sales[[#This Row],[Gross Amount]]*Sales[[#This Row],[Disc %]]</f>
        <v>208</v>
      </c>
      <c r="L2247" s="43">
        <v>0.18</v>
      </c>
      <c r="M2247" s="44">
        <f>(Sales[[#This Row],[Gross Amount]]-Sales[[#This Row],[Disc. Amt.]])*Sales[[#This Row],[GST %]]</f>
        <v>336.96</v>
      </c>
      <c r="N2247" s="161">
        <f>Sales[[#This Row],[Gross Amount]]-Sales[[#This Row],[Disc. Amt.]]+Sales[[#This Row],[GST Amount]]</f>
        <v>2208.96</v>
      </c>
      <c r="O2247" s="158" t="s">
        <v>3566</v>
      </c>
      <c r="P2247" s="158" t="s">
        <v>3562</v>
      </c>
      <c r="Q2247" s="160">
        <f>IF(Sales[[#This Row],[Status]]="Cancelled",0,Sales[[#This Row],[Qty]])</f>
        <v>1</v>
      </c>
      <c r="R2247" s="161">
        <f>IF(Sales[[#This Row],[Status]]="Cancelled",0,Sales[[#This Row],[Total Amount]])</f>
        <v>2208.96</v>
      </c>
      <c r="S2247" s="162">
        <f>SUM(Sales[Net Amount])</f>
        <v>406839287.73200053</v>
      </c>
    </row>
    <row r="2248" spans="1:19" ht="18.75" x14ac:dyDescent="0.25">
      <c r="A2248" s="163" t="s">
        <v>5870</v>
      </c>
      <c r="B2248" s="164">
        <v>45891</v>
      </c>
      <c r="C2248" s="34" t="s">
        <v>851</v>
      </c>
      <c r="D2248" s="53" t="str">
        <f>VLOOKUP(Sales[[#This Row],[Customer ID]],Customer[#All],2,0)</f>
        <v>Pooja Singh</v>
      </c>
      <c r="E2248" s="34" t="s">
        <v>406</v>
      </c>
      <c r="F2248" s="34" t="str">
        <f>VLOOKUP(Sales[[#This Row],[Product ID]],Product[#All],2,0)</f>
        <v>American TouristerLaptopBag</v>
      </c>
      <c r="G2248" s="53">
        <v>2</v>
      </c>
      <c r="H2248" s="165">
        <f>VLOOKUP(Sales[[#This Row],[Product ID]],Product[#All],7,0)</f>
        <v>1710</v>
      </c>
      <c r="I2248" s="165">
        <f>Sales[[#This Row],[Selling Rate]]*Sales[[#This Row],[Qty]]</f>
        <v>3420</v>
      </c>
      <c r="J2248" s="45">
        <v>0.05</v>
      </c>
      <c r="K2248" s="46">
        <f>Sales[[#This Row],[Gross Amount]]*Sales[[#This Row],[Disc %]]</f>
        <v>171</v>
      </c>
      <c r="L2248" s="43">
        <v>0.18</v>
      </c>
      <c r="M2248" s="46">
        <f>(Sales[[#This Row],[Gross Amount]]-Sales[[#This Row],[Disc. Amt.]])*Sales[[#This Row],[GST %]]</f>
        <v>584.81999999999994</v>
      </c>
      <c r="N2248" s="161">
        <f>Sales[[#This Row],[Gross Amount]]-Sales[[#This Row],[Disc. Amt.]]+Sales[[#This Row],[GST Amount]]</f>
        <v>3833.8199999999997</v>
      </c>
      <c r="O2248" s="34" t="s">
        <v>3561</v>
      </c>
      <c r="P2248" s="34" t="s">
        <v>3562</v>
      </c>
      <c r="Q2248" s="165">
        <f>IF(Sales[[#This Row],[Status]]="Cancelled",0,Sales[[#This Row],[Qty]])</f>
        <v>2</v>
      </c>
      <c r="R2248" s="166">
        <f>IF(Sales[[#This Row],[Status]]="Cancelled",0,Sales[[#This Row],[Total Amount]])</f>
        <v>3833.8199999999997</v>
      </c>
      <c r="S2248" s="162">
        <f>SUM(Sales[Net Amount])</f>
        <v>406839287.73200053</v>
      </c>
    </row>
    <row r="2249" spans="1:19" ht="18.75" x14ac:dyDescent="0.25">
      <c r="A2249" s="156" t="s">
        <v>5871</v>
      </c>
      <c r="B2249" s="157">
        <v>45892</v>
      </c>
      <c r="C2249" s="158" t="s">
        <v>843</v>
      </c>
      <c r="D2249" s="159" t="str">
        <f>VLOOKUP(Sales[[#This Row],[Customer ID]],Customer[#All],2,0)</f>
        <v>Amit Verma</v>
      </c>
      <c r="E2249" s="158" t="s">
        <v>505</v>
      </c>
      <c r="F2249" s="158" t="str">
        <f>VLOOKUP(Sales[[#This Row],[Product ID]],Product[#All],2,0)</f>
        <v>Dell Monitor</v>
      </c>
      <c r="G2249" s="159">
        <v>2</v>
      </c>
      <c r="H2249" s="160">
        <f>VLOOKUP(Sales[[#This Row],[Product ID]],Product[#All],7,0)</f>
        <v>12790</v>
      </c>
      <c r="I2249" s="160">
        <f>Sales[[#This Row],[Selling Rate]]*Sales[[#This Row],[Qty]]</f>
        <v>25580</v>
      </c>
      <c r="J2249" s="43">
        <v>0</v>
      </c>
      <c r="K2249" s="44">
        <f>Sales[[#This Row],[Gross Amount]]*Sales[[#This Row],[Disc %]]</f>
        <v>0</v>
      </c>
      <c r="L2249" s="43">
        <v>0.18</v>
      </c>
      <c r="M2249" s="44">
        <f>(Sales[[#This Row],[Gross Amount]]-Sales[[#This Row],[Disc. Amt.]])*Sales[[#This Row],[GST %]]</f>
        <v>4604.3999999999996</v>
      </c>
      <c r="N2249" s="161">
        <f>Sales[[#This Row],[Gross Amount]]-Sales[[#This Row],[Disc. Amt.]]+Sales[[#This Row],[GST Amount]]</f>
        <v>30184.400000000001</v>
      </c>
      <c r="O2249" s="158" t="s">
        <v>3561</v>
      </c>
      <c r="P2249" s="158" t="s">
        <v>3562</v>
      </c>
      <c r="Q2249" s="160">
        <f>IF(Sales[[#This Row],[Status]]="Cancelled",0,Sales[[#This Row],[Qty]])</f>
        <v>2</v>
      </c>
      <c r="R2249" s="161">
        <f>IF(Sales[[#This Row],[Status]]="Cancelled",0,Sales[[#This Row],[Total Amount]])</f>
        <v>30184.400000000001</v>
      </c>
      <c r="S2249" s="162">
        <f>SUM(Sales[Net Amount])</f>
        <v>406839287.73200053</v>
      </c>
    </row>
    <row r="2250" spans="1:19" ht="18.75" x14ac:dyDescent="0.25">
      <c r="A2250" s="163" t="s">
        <v>5872</v>
      </c>
      <c r="B2250" s="164">
        <v>45892</v>
      </c>
      <c r="C2250" s="34" t="s">
        <v>781</v>
      </c>
      <c r="D2250" s="53" t="str">
        <f>VLOOKUP(Sales[[#This Row],[Customer ID]],Customer[#All],2,0)</f>
        <v>Vikas Sharma</v>
      </c>
      <c r="E2250" s="34" t="s">
        <v>268</v>
      </c>
      <c r="F2250" s="34" t="str">
        <f>VLOOKUP(Sales[[#This Row],[Product ID]],Product[#All],2,0)</f>
        <v>American TouristerLaptopBag</v>
      </c>
      <c r="G2250" s="53">
        <v>4</v>
      </c>
      <c r="H2250" s="165">
        <f>VLOOKUP(Sales[[#This Row],[Product ID]],Product[#All],7,0)</f>
        <v>2080</v>
      </c>
      <c r="I2250" s="165">
        <f>Sales[[#This Row],[Selling Rate]]*Sales[[#This Row],[Qty]]</f>
        <v>8320</v>
      </c>
      <c r="J2250" s="45">
        <v>0.1</v>
      </c>
      <c r="K2250" s="46">
        <f>Sales[[#This Row],[Gross Amount]]*Sales[[#This Row],[Disc %]]</f>
        <v>832</v>
      </c>
      <c r="L2250" s="43">
        <v>0.18</v>
      </c>
      <c r="M2250" s="46">
        <f>(Sales[[#This Row],[Gross Amount]]-Sales[[#This Row],[Disc. Amt.]])*Sales[[#This Row],[GST %]]</f>
        <v>1347.84</v>
      </c>
      <c r="N2250" s="161">
        <f>Sales[[#This Row],[Gross Amount]]-Sales[[#This Row],[Disc. Amt.]]+Sales[[#This Row],[GST Amount]]</f>
        <v>8835.84</v>
      </c>
      <c r="O2250" s="34" t="s">
        <v>8876</v>
      </c>
      <c r="P2250" s="34" t="s">
        <v>3562</v>
      </c>
      <c r="Q2250" s="165">
        <f>IF(Sales[[#This Row],[Status]]="Cancelled",0,Sales[[#This Row],[Qty]])</f>
        <v>4</v>
      </c>
      <c r="R2250" s="166">
        <f>IF(Sales[[#This Row],[Status]]="Cancelled",0,Sales[[#This Row],[Total Amount]])</f>
        <v>8835.84</v>
      </c>
      <c r="S2250" s="162">
        <f>SUM(Sales[Net Amount])</f>
        <v>406839287.73200053</v>
      </c>
    </row>
    <row r="2251" spans="1:19" ht="18.75" x14ac:dyDescent="0.25">
      <c r="A2251" s="156" t="s">
        <v>5873</v>
      </c>
      <c r="B2251" s="157">
        <v>45892</v>
      </c>
      <c r="C2251" s="158" t="s">
        <v>723</v>
      </c>
      <c r="D2251" s="159" t="str">
        <f>VLOOKUP(Sales[[#This Row],[Customer ID]],Customer[#All],2,0)</f>
        <v>Sahil Gupta</v>
      </c>
      <c r="E2251" s="158" t="s">
        <v>127</v>
      </c>
      <c r="F2251" s="158" t="str">
        <f>VLOOKUP(Sales[[#This Row],[Product ID]],Product[#All],2,0)</f>
        <v>Samsung Ssd</v>
      </c>
      <c r="G2251" s="159">
        <v>6</v>
      </c>
      <c r="H2251" s="160">
        <f>VLOOKUP(Sales[[#This Row],[Product ID]],Product[#All],7,0)</f>
        <v>4570</v>
      </c>
      <c r="I2251" s="160">
        <f>Sales[[#This Row],[Selling Rate]]*Sales[[#This Row],[Qty]]</f>
        <v>27420</v>
      </c>
      <c r="J2251" s="43">
        <v>0</v>
      </c>
      <c r="K2251" s="44">
        <f>Sales[[#This Row],[Gross Amount]]*Sales[[#This Row],[Disc %]]</f>
        <v>0</v>
      </c>
      <c r="L2251" s="43">
        <v>0.18</v>
      </c>
      <c r="M2251" s="44">
        <f>(Sales[[#This Row],[Gross Amount]]-Sales[[#This Row],[Disc. Amt.]])*Sales[[#This Row],[GST %]]</f>
        <v>4935.5999999999995</v>
      </c>
      <c r="N2251" s="161">
        <f>Sales[[#This Row],[Gross Amount]]-Sales[[#This Row],[Disc. Amt.]]+Sales[[#This Row],[GST Amount]]</f>
        <v>32355.599999999999</v>
      </c>
      <c r="O2251" s="158" t="s">
        <v>3566</v>
      </c>
      <c r="P2251" s="158" t="s">
        <v>3562</v>
      </c>
      <c r="Q2251" s="160">
        <f>IF(Sales[[#This Row],[Status]]="Cancelled",0,Sales[[#This Row],[Qty]])</f>
        <v>6</v>
      </c>
      <c r="R2251" s="161">
        <f>IF(Sales[[#This Row],[Status]]="Cancelled",0,Sales[[#This Row],[Total Amount]])</f>
        <v>32355.599999999999</v>
      </c>
      <c r="S2251" s="162">
        <f>SUM(Sales[Net Amount])</f>
        <v>406839287.73200053</v>
      </c>
    </row>
    <row r="2252" spans="1:19" ht="18.75" x14ac:dyDescent="0.25">
      <c r="A2252" s="163" t="s">
        <v>5874</v>
      </c>
      <c r="B2252" s="164">
        <v>45892</v>
      </c>
      <c r="C2252" s="34" t="s">
        <v>936</v>
      </c>
      <c r="D2252" s="53" t="str">
        <f>VLOOKUP(Sales[[#This Row],[Customer ID]],Customer[#All],2,0)</f>
        <v>Pooja Patel</v>
      </c>
      <c r="E2252" s="34" t="s">
        <v>510</v>
      </c>
      <c r="F2252" s="34" t="str">
        <f>VLOOKUP(Sales[[#This Row],[Product ID]],Product[#All],2,0)</f>
        <v>American TouristerLaptopBag</v>
      </c>
      <c r="G2252" s="53">
        <v>5</v>
      </c>
      <c r="H2252" s="165">
        <f>VLOOKUP(Sales[[#This Row],[Product ID]],Product[#All],7,0)</f>
        <v>5010</v>
      </c>
      <c r="I2252" s="165">
        <f>Sales[[#This Row],[Selling Rate]]*Sales[[#This Row],[Qty]]</f>
        <v>25050</v>
      </c>
      <c r="J2252" s="45">
        <v>0.02</v>
      </c>
      <c r="K2252" s="46">
        <f>Sales[[#This Row],[Gross Amount]]*Sales[[#This Row],[Disc %]]</f>
        <v>501</v>
      </c>
      <c r="L2252" s="43">
        <v>0.18</v>
      </c>
      <c r="M2252" s="46">
        <f>(Sales[[#This Row],[Gross Amount]]-Sales[[#This Row],[Disc. Amt.]])*Sales[[#This Row],[GST %]]</f>
        <v>4418.82</v>
      </c>
      <c r="N2252" s="161">
        <f>Sales[[#This Row],[Gross Amount]]-Sales[[#This Row],[Disc. Amt.]]+Sales[[#This Row],[GST Amount]]</f>
        <v>28967.82</v>
      </c>
      <c r="O2252" s="34" t="s">
        <v>8876</v>
      </c>
      <c r="P2252" s="34" t="s">
        <v>3562</v>
      </c>
      <c r="Q2252" s="165">
        <f>IF(Sales[[#This Row],[Status]]="Cancelled",0,Sales[[#This Row],[Qty]])</f>
        <v>5</v>
      </c>
      <c r="R2252" s="166">
        <f>IF(Sales[[#This Row],[Status]]="Cancelled",0,Sales[[#This Row],[Total Amount]])</f>
        <v>28967.82</v>
      </c>
      <c r="S2252" s="162">
        <f>SUM(Sales[Net Amount])</f>
        <v>406839287.73200053</v>
      </c>
    </row>
    <row r="2253" spans="1:19" ht="18.75" x14ac:dyDescent="0.25">
      <c r="A2253" s="156" t="s">
        <v>5875</v>
      </c>
      <c r="B2253" s="157">
        <v>45892</v>
      </c>
      <c r="C2253" s="158" t="s">
        <v>723</v>
      </c>
      <c r="D2253" s="159" t="str">
        <f>VLOOKUP(Sales[[#This Row],[Customer ID]],Customer[#All],2,0)</f>
        <v>Sahil Gupta</v>
      </c>
      <c r="E2253" s="158" t="s">
        <v>533</v>
      </c>
      <c r="F2253" s="158" t="str">
        <f>VLOOKUP(Sales[[#This Row],[Product ID]],Product[#All],2,0)</f>
        <v>HP Desktop</v>
      </c>
      <c r="G2253" s="159">
        <v>4</v>
      </c>
      <c r="H2253" s="160">
        <f>VLOOKUP(Sales[[#This Row],[Product ID]],Product[#All],7,0)</f>
        <v>72430</v>
      </c>
      <c r="I2253" s="160">
        <f>Sales[[#This Row],[Selling Rate]]*Sales[[#This Row],[Qty]]</f>
        <v>289720</v>
      </c>
      <c r="J2253" s="43">
        <v>0.05</v>
      </c>
      <c r="K2253" s="44">
        <f>Sales[[#This Row],[Gross Amount]]*Sales[[#This Row],[Disc %]]</f>
        <v>14486</v>
      </c>
      <c r="L2253" s="43">
        <v>0.18</v>
      </c>
      <c r="M2253" s="44">
        <f>(Sales[[#This Row],[Gross Amount]]-Sales[[#This Row],[Disc. Amt.]])*Sales[[#This Row],[GST %]]</f>
        <v>49542.119999999995</v>
      </c>
      <c r="N2253" s="161">
        <f>Sales[[#This Row],[Gross Amount]]-Sales[[#This Row],[Disc. Amt.]]+Sales[[#This Row],[GST Amount]]</f>
        <v>324776.12</v>
      </c>
      <c r="O2253" s="158" t="s">
        <v>3561</v>
      </c>
      <c r="P2253" s="158" t="s">
        <v>3562</v>
      </c>
      <c r="Q2253" s="160">
        <f>IF(Sales[[#This Row],[Status]]="Cancelled",0,Sales[[#This Row],[Qty]])</f>
        <v>4</v>
      </c>
      <c r="R2253" s="161">
        <f>IF(Sales[[#This Row],[Status]]="Cancelled",0,Sales[[#This Row],[Total Amount]])</f>
        <v>324776.12</v>
      </c>
      <c r="S2253" s="162">
        <f>SUM(Sales[Net Amount])</f>
        <v>406839287.73200053</v>
      </c>
    </row>
    <row r="2254" spans="1:19" ht="18.75" x14ac:dyDescent="0.25">
      <c r="A2254" s="163" t="s">
        <v>5876</v>
      </c>
      <c r="B2254" s="164">
        <v>45892</v>
      </c>
      <c r="C2254" s="34" t="s">
        <v>789</v>
      </c>
      <c r="D2254" s="53" t="str">
        <f>VLOOKUP(Sales[[#This Row],[Customer ID]],Customer[#All],2,0)</f>
        <v>Ankit Patel</v>
      </c>
      <c r="E2254" s="34" t="s">
        <v>466</v>
      </c>
      <c r="F2254" s="34" t="str">
        <f>VLOOKUP(Sales[[#This Row],[Product ID]],Product[#All],2,0)</f>
        <v>Lenovo Laptop</v>
      </c>
      <c r="G2254" s="53">
        <v>5</v>
      </c>
      <c r="H2254" s="165">
        <f>VLOOKUP(Sales[[#This Row],[Product ID]],Product[#All],7,0)</f>
        <v>87730</v>
      </c>
      <c r="I2254" s="165">
        <f>Sales[[#This Row],[Selling Rate]]*Sales[[#This Row],[Qty]]</f>
        <v>438650</v>
      </c>
      <c r="J2254" s="45">
        <v>0.05</v>
      </c>
      <c r="K2254" s="46">
        <f>Sales[[#This Row],[Gross Amount]]*Sales[[#This Row],[Disc %]]</f>
        <v>21932.5</v>
      </c>
      <c r="L2254" s="43">
        <v>0.18</v>
      </c>
      <c r="M2254" s="46">
        <f>(Sales[[#This Row],[Gross Amount]]-Sales[[#This Row],[Disc. Amt.]])*Sales[[#This Row],[GST %]]</f>
        <v>75009.149999999994</v>
      </c>
      <c r="N2254" s="161">
        <f>Sales[[#This Row],[Gross Amount]]-Sales[[#This Row],[Disc. Amt.]]+Sales[[#This Row],[GST Amount]]</f>
        <v>491726.65</v>
      </c>
      <c r="O2254" s="34" t="s">
        <v>3561</v>
      </c>
      <c r="P2254" s="34" t="s">
        <v>3562</v>
      </c>
      <c r="Q2254" s="165">
        <f>IF(Sales[[#This Row],[Status]]="Cancelled",0,Sales[[#This Row],[Qty]])</f>
        <v>5</v>
      </c>
      <c r="R2254" s="166">
        <f>IF(Sales[[#This Row],[Status]]="Cancelled",0,Sales[[#This Row],[Total Amount]])</f>
        <v>491726.65</v>
      </c>
      <c r="S2254" s="162">
        <f>SUM(Sales[Net Amount])</f>
        <v>406839287.73200053</v>
      </c>
    </row>
    <row r="2255" spans="1:19" ht="18.75" x14ac:dyDescent="0.25">
      <c r="A2255" s="156" t="s">
        <v>5877</v>
      </c>
      <c r="B2255" s="157">
        <v>45892</v>
      </c>
      <c r="C2255" s="158" t="s">
        <v>797</v>
      </c>
      <c r="D2255" s="159" t="str">
        <f>VLOOKUP(Sales[[#This Row],[Customer ID]],Customer[#All],2,0)</f>
        <v>Ankit Gupta</v>
      </c>
      <c r="E2255" s="158" t="s">
        <v>275</v>
      </c>
      <c r="F2255" s="158" t="str">
        <f>VLOOKUP(Sales[[#This Row],[Product ID]],Product[#All],2,0)</f>
        <v>Canon Printer</v>
      </c>
      <c r="G2255" s="159">
        <v>5</v>
      </c>
      <c r="H2255" s="160">
        <f>VLOOKUP(Sales[[#This Row],[Product ID]],Product[#All],7,0)</f>
        <v>36460</v>
      </c>
      <c r="I2255" s="160">
        <f>Sales[[#This Row],[Selling Rate]]*Sales[[#This Row],[Qty]]</f>
        <v>182300</v>
      </c>
      <c r="J2255" s="43">
        <v>0</v>
      </c>
      <c r="K2255" s="44">
        <f>Sales[[#This Row],[Gross Amount]]*Sales[[#This Row],[Disc %]]</f>
        <v>0</v>
      </c>
      <c r="L2255" s="43">
        <v>0.18</v>
      </c>
      <c r="M2255" s="44">
        <f>(Sales[[#This Row],[Gross Amount]]-Sales[[#This Row],[Disc. Amt.]])*Sales[[#This Row],[GST %]]</f>
        <v>32814</v>
      </c>
      <c r="N2255" s="161">
        <f>Sales[[#This Row],[Gross Amount]]-Sales[[#This Row],[Disc. Amt.]]+Sales[[#This Row],[GST Amount]]</f>
        <v>215114</v>
      </c>
      <c r="O2255" s="158" t="s">
        <v>3569</v>
      </c>
      <c r="P2255" s="158" t="s">
        <v>3562</v>
      </c>
      <c r="Q2255" s="160">
        <f>IF(Sales[[#This Row],[Status]]="Cancelled",0,Sales[[#This Row],[Qty]])</f>
        <v>5</v>
      </c>
      <c r="R2255" s="161">
        <f>IF(Sales[[#This Row],[Status]]="Cancelled",0,Sales[[#This Row],[Total Amount]])</f>
        <v>215114</v>
      </c>
      <c r="S2255" s="162">
        <f>SUM(Sales[Net Amount])</f>
        <v>406839287.73200053</v>
      </c>
    </row>
    <row r="2256" spans="1:19" ht="18.75" x14ac:dyDescent="0.25">
      <c r="A2256" s="163" t="s">
        <v>5878</v>
      </c>
      <c r="B2256" s="164">
        <v>45892</v>
      </c>
      <c r="C2256" s="34" t="s">
        <v>801</v>
      </c>
      <c r="D2256" s="53" t="str">
        <f>VLOOKUP(Sales[[#This Row],[Customer ID]],Customer[#All],2,0)</f>
        <v>Sunita Verma</v>
      </c>
      <c r="E2256" s="34" t="s">
        <v>136</v>
      </c>
      <c r="F2256" s="34" t="str">
        <f>VLOOKUP(Sales[[#This Row],[Product ID]],Product[#All],2,0)</f>
        <v>HP Laptop</v>
      </c>
      <c r="G2256" s="53">
        <v>8</v>
      </c>
      <c r="H2256" s="165">
        <f>VLOOKUP(Sales[[#This Row],[Product ID]],Product[#All],7,0)</f>
        <v>33050</v>
      </c>
      <c r="I2256" s="165">
        <f>Sales[[#This Row],[Selling Rate]]*Sales[[#This Row],[Qty]]</f>
        <v>264400</v>
      </c>
      <c r="J2256" s="45">
        <v>0.05</v>
      </c>
      <c r="K2256" s="46">
        <f>Sales[[#This Row],[Gross Amount]]*Sales[[#This Row],[Disc %]]</f>
        <v>13220</v>
      </c>
      <c r="L2256" s="43">
        <v>0.18</v>
      </c>
      <c r="M2256" s="46">
        <f>(Sales[[#This Row],[Gross Amount]]-Sales[[#This Row],[Disc. Amt.]])*Sales[[#This Row],[GST %]]</f>
        <v>45212.4</v>
      </c>
      <c r="N2256" s="161">
        <f>Sales[[#This Row],[Gross Amount]]-Sales[[#This Row],[Disc. Amt.]]+Sales[[#This Row],[GST Amount]]</f>
        <v>296392.40000000002</v>
      </c>
      <c r="O2256" s="34" t="s">
        <v>3561</v>
      </c>
      <c r="P2256" s="34" t="s">
        <v>1040</v>
      </c>
      <c r="Q2256" s="165">
        <f>IF(Sales[[#This Row],[Status]]="Cancelled",0,Sales[[#This Row],[Qty]])</f>
        <v>0</v>
      </c>
      <c r="R2256" s="166">
        <f>IF(Sales[[#This Row],[Status]]="Cancelled",0,Sales[[#This Row],[Total Amount]])</f>
        <v>0</v>
      </c>
      <c r="S2256" s="162">
        <f>SUM(Sales[Net Amount])</f>
        <v>406839287.73200053</v>
      </c>
    </row>
    <row r="2257" spans="1:19" ht="18.75" x14ac:dyDescent="0.25">
      <c r="A2257" s="156" t="s">
        <v>5879</v>
      </c>
      <c r="B2257" s="157">
        <v>45892</v>
      </c>
      <c r="C2257" s="158" t="s">
        <v>774</v>
      </c>
      <c r="D2257" s="159" t="str">
        <f>VLOOKUP(Sales[[#This Row],[Customer ID]],Customer[#All],2,0)</f>
        <v>Vikas Patel</v>
      </c>
      <c r="E2257" s="158" t="s">
        <v>276</v>
      </c>
      <c r="F2257" s="158" t="str">
        <f>VLOOKUP(Sales[[#This Row],[Product ID]],Product[#All],2,0)</f>
        <v>Corsair Ram</v>
      </c>
      <c r="G2257" s="159">
        <v>5</v>
      </c>
      <c r="H2257" s="160">
        <f>VLOOKUP(Sales[[#This Row],[Product ID]],Product[#All],7,0)</f>
        <v>7140</v>
      </c>
      <c r="I2257" s="160">
        <f>Sales[[#This Row],[Selling Rate]]*Sales[[#This Row],[Qty]]</f>
        <v>35700</v>
      </c>
      <c r="J2257" s="43">
        <v>0.15</v>
      </c>
      <c r="K2257" s="44">
        <f>Sales[[#This Row],[Gross Amount]]*Sales[[#This Row],[Disc %]]</f>
        <v>5355</v>
      </c>
      <c r="L2257" s="43">
        <v>0.18</v>
      </c>
      <c r="M2257" s="44">
        <f>(Sales[[#This Row],[Gross Amount]]-Sales[[#This Row],[Disc. Amt.]])*Sales[[#This Row],[GST %]]</f>
        <v>5462.0999999999995</v>
      </c>
      <c r="N2257" s="161">
        <f>Sales[[#This Row],[Gross Amount]]-Sales[[#This Row],[Disc. Amt.]]+Sales[[#This Row],[GST Amount]]</f>
        <v>35807.1</v>
      </c>
      <c r="O2257" s="158" t="s">
        <v>3566</v>
      </c>
      <c r="P2257" s="158" t="s">
        <v>3562</v>
      </c>
      <c r="Q2257" s="160">
        <f>IF(Sales[[#This Row],[Status]]="Cancelled",0,Sales[[#This Row],[Qty]])</f>
        <v>5</v>
      </c>
      <c r="R2257" s="161">
        <f>IF(Sales[[#This Row],[Status]]="Cancelled",0,Sales[[#This Row],[Total Amount]])</f>
        <v>35807.1</v>
      </c>
      <c r="S2257" s="162">
        <f>SUM(Sales[Net Amount])</f>
        <v>406839287.73200053</v>
      </c>
    </row>
    <row r="2258" spans="1:19" ht="18.75" x14ac:dyDescent="0.25">
      <c r="A2258" s="163" t="s">
        <v>5880</v>
      </c>
      <c r="B2258" s="164">
        <v>45892</v>
      </c>
      <c r="C2258" s="34" t="s">
        <v>873</v>
      </c>
      <c r="D2258" s="53" t="str">
        <f>VLOOKUP(Sales[[#This Row],[Customer ID]],Customer[#All],2,0)</f>
        <v>Sahil Verma</v>
      </c>
      <c r="E2258" s="34" t="s">
        <v>441</v>
      </c>
      <c r="F2258" s="34" t="str">
        <f>VLOOKUP(Sales[[#This Row],[Product ID]],Product[#All],2,0)</f>
        <v>Jbl Headset</v>
      </c>
      <c r="G2258" s="53">
        <v>8</v>
      </c>
      <c r="H2258" s="165">
        <f>VLOOKUP(Sales[[#This Row],[Product ID]],Product[#All],7,0)</f>
        <v>3650</v>
      </c>
      <c r="I2258" s="165">
        <f>Sales[[#This Row],[Selling Rate]]*Sales[[#This Row],[Qty]]</f>
        <v>29200</v>
      </c>
      <c r="J2258" s="45">
        <v>0</v>
      </c>
      <c r="K2258" s="46">
        <f>Sales[[#This Row],[Gross Amount]]*Sales[[#This Row],[Disc %]]</f>
        <v>0</v>
      </c>
      <c r="L2258" s="43">
        <v>0.18</v>
      </c>
      <c r="M2258" s="46">
        <f>(Sales[[#This Row],[Gross Amount]]-Sales[[#This Row],[Disc. Amt.]])*Sales[[#This Row],[GST %]]</f>
        <v>5256</v>
      </c>
      <c r="N2258" s="161">
        <f>Sales[[#This Row],[Gross Amount]]-Sales[[#This Row],[Disc. Amt.]]+Sales[[#This Row],[GST Amount]]</f>
        <v>34456</v>
      </c>
      <c r="O2258" s="34" t="s">
        <v>3569</v>
      </c>
      <c r="P2258" s="34" t="s">
        <v>3562</v>
      </c>
      <c r="Q2258" s="165">
        <f>IF(Sales[[#This Row],[Status]]="Cancelled",0,Sales[[#This Row],[Qty]])</f>
        <v>8</v>
      </c>
      <c r="R2258" s="166">
        <f>IF(Sales[[#This Row],[Status]]="Cancelled",0,Sales[[#This Row],[Total Amount]])</f>
        <v>34456</v>
      </c>
      <c r="S2258" s="162">
        <f>SUM(Sales[Net Amount])</f>
        <v>406839287.73200053</v>
      </c>
    </row>
    <row r="2259" spans="1:19" ht="18.75" x14ac:dyDescent="0.25">
      <c r="A2259" s="156" t="s">
        <v>5881</v>
      </c>
      <c r="B2259" s="157">
        <v>45892</v>
      </c>
      <c r="C2259" s="158" t="s">
        <v>932</v>
      </c>
      <c r="D2259" s="159" t="str">
        <f>VLOOKUP(Sales[[#This Row],[Customer ID]],Customer[#All],2,0)</f>
        <v>Vikas Gupta</v>
      </c>
      <c r="E2259" s="158" t="s">
        <v>277</v>
      </c>
      <c r="F2259" s="158" t="str">
        <f>VLOOKUP(Sales[[#This Row],[Product ID]],Product[#All],2,0)</f>
        <v>D-Link Router</v>
      </c>
      <c r="G2259" s="159">
        <v>6</v>
      </c>
      <c r="H2259" s="160">
        <f>VLOOKUP(Sales[[#This Row],[Product ID]],Product[#All],7,0)</f>
        <v>4630</v>
      </c>
      <c r="I2259" s="160">
        <f>Sales[[#This Row],[Selling Rate]]*Sales[[#This Row],[Qty]]</f>
        <v>27780</v>
      </c>
      <c r="J2259" s="43">
        <v>0</v>
      </c>
      <c r="K2259" s="44">
        <f>Sales[[#This Row],[Gross Amount]]*Sales[[#This Row],[Disc %]]</f>
        <v>0</v>
      </c>
      <c r="L2259" s="43">
        <v>0.18</v>
      </c>
      <c r="M2259" s="44">
        <f>(Sales[[#This Row],[Gross Amount]]-Sales[[#This Row],[Disc. Amt.]])*Sales[[#This Row],[GST %]]</f>
        <v>5000.3999999999996</v>
      </c>
      <c r="N2259" s="161">
        <f>Sales[[#This Row],[Gross Amount]]-Sales[[#This Row],[Disc. Amt.]]+Sales[[#This Row],[GST Amount]]</f>
        <v>32780.400000000001</v>
      </c>
      <c r="O2259" s="158" t="s">
        <v>3569</v>
      </c>
      <c r="P2259" s="158" t="s">
        <v>3562</v>
      </c>
      <c r="Q2259" s="160">
        <f>IF(Sales[[#This Row],[Status]]="Cancelled",0,Sales[[#This Row],[Qty]])</f>
        <v>6</v>
      </c>
      <c r="R2259" s="161">
        <f>IF(Sales[[#This Row],[Status]]="Cancelled",0,Sales[[#This Row],[Total Amount]])</f>
        <v>32780.400000000001</v>
      </c>
      <c r="S2259" s="162">
        <f>SUM(Sales[Net Amount])</f>
        <v>406839287.73200053</v>
      </c>
    </row>
    <row r="2260" spans="1:19" ht="18.75" x14ac:dyDescent="0.25">
      <c r="A2260" s="163" t="s">
        <v>5882</v>
      </c>
      <c r="B2260" s="164">
        <v>45892</v>
      </c>
      <c r="C2260" s="34" t="s">
        <v>733</v>
      </c>
      <c r="D2260" s="53" t="str">
        <f>VLOOKUP(Sales[[#This Row],[Customer ID]],Customer[#All],2,0)</f>
        <v>Vikas Kumar</v>
      </c>
      <c r="E2260" s="34" t="s">
        <v>497</v>
      </c>
      <c r="F2260" s="34" t="str">
        <f>VLOOKUP(Sales[[#This Row],[Product ID]],Product[#All],2,0)</f>
        <v>Boat Headset</v>
      </c>
      <c r="G2260" s="53">
        <v>7</v>
      </c>
      <c r="H2260" s="165">
        <f>VLOOKUP(Sales[[#This Row],[Product ID]],Product[#All],7,0)</f>
        <v>4930</v>
      </c>
      <c r="I2260" s="165">
        <f>Sales[[#This Row],[Selling Rate]]*Sales[[#This Row],[Qty]]</f>
        <v>34510</v>
      </c>
      <c r="J2260" s="45">
        <v>0.12</v>
      </c>
      <c r="K2260" s="46">
        <f>Sales[[#This Row],[Gross Amount]]*Sales[[#This Row],[Disc %]]</f>
        <v>4141.2</v>
      </c>
      <c r="L2260" s="43">
        <v>0.18</v>
      </c>
      <c r="M2260" s="46">
        <f>(Sales[[#This Row],[Gross Amount]]-Sales[[#This Row],[Disc. Amt.]])*Sales[[#This Row],[GST %]]</f>
        <v>5466.384</v>
      </c>
      <c r="N2260" s="161">
        <f>Sales[[#This Row],[Gross Amount]]-Sales[[#This Row],[Disc. Amt.]]+Sales[[#This Row],[GST Amount]]</f>
        <v>35835.184000000001</v>
      </c>
      <c r="O2260" s="34" t="s">
        <v>3569</v>
      </c>
      <c r="P2260" s="34" t="s">
        <v>3562</v>
      </c>
      <c r="Q2260" s="165">
        <f>IF(Sales[[#This Row],[Status]]="Cancelled",0,Sales[[#This Row],[Qty]])</f>
        <v>7</v>
      </c>
      <c r="R2260" s="166">
        <f>IF(Sales[[#This Row],[Status]]="Cancelled",0,Sales[[#This Row],[Total Amount]])</f>
        <v>35835.184000000001</v>
      </c>
      <c r="S2260" s="162">
        <f>SUM(Sales[Net Amount])</f>
        <v>406839287.73200053</v>
      </c>
    </row>
    <row r="2261" spans="1:19" ht="18.75" x14ac:dyDescent="0.25">
      <c r="A2261" s="156" t="s">
        <v>5883</v>
      </c>
      <c r="B2261" s="157">
        <v>45892</v>
      </c>
      <c r="C2261" s="158" t="s">
        <v>925</v>
      </c>
      <c r="D2261" s="159" t="str">
        <f>VLOOKUP(Sales[[#This Row],[Customer ID]],Customer[#All],2,0)</f>
        <v>Neha Singh</v>
      </c>
      <c r="E2261" s="158" t="s">
        <v>168</v>
      </c>
      <c r="F2261" s="158" t="str">
        <f>VLOOKUP(Sales[[#This Row],[Product ID]],Product[#All],2,0)</f>
        <v>TP-link Wi-Fi Adapter</v>
      </c>
      <c r="G2261" s="159">
        <v>3</v>
      </c>
      <c r="H2261" s="160">
        <f>VLOOKUP(Sales[[#This Row],[Product ID]],Product[#All],7,0)</f>
        <v>1460</v>
      </c>
      <c r="I2261" s="160">
        <f>Sales[[#This Row],[Selling Rate]]*Sales[[#This Row],[Qty]]</f>
        <v>4380</v>
      </c>
      <c r="J2261" s="43">
        <v>0.05</v>
      </c>
      <c r="K2261" s="44">
        <f>Sales[[#This Row],[Gross Amount]]*Sales[[#This Row],[Disc %]]</f>
        <v>219</v>
      </c>
      <c r="L2261" s="43">
        <v>0.18</v>
      </c>
      <c r="M2261" s="44">
        <f>(Sales[[#This Row],[Gross Amount]]-Sales[[#This Row],[Disc. Amt.]])*Sales[[#This Row],[GST %]]</f>
        <v>748.98</v>
      </c>
      <c r="N2261" s="161">
        <f>Sales[[#This Row],[Gross Amount]]-Sales[[#This Row],[Disc. Amt.]]+Sales[[#This Row],[GST Amount]]</f>
        <v>4909.9799999999996</v>
      </c>
      <c r="O2261" s="158" t="s">
        <v>3566</v>
      </c>
      <c r="P2261" s="158" t="s">
        <v>3562</v>
      </c>
      <c r="Q2261" s="160">
        <f>IF(Sales[[#This Row],[Status]]="Cancelled",0,Sales[[#This Row],[Qty]])</f>
        <v>3</v>
      </c>
      <c r="R2261" s="161">
        <f>IF(Sales[[#This Row],[Status]]="Cancelled",0,Sales[[#This Row],[Total Amount]])</f>
        <v>4909.9799999999996</v>
      </c>
      <c r="S2261" s="162">
        <f>SUM(Sales[Net Amount])</f>
        <v>406839287.73200053</v>
      </c>
    </row>
    <row r="2262" spans="1:19" ht="18.75" x14ac:dyDescent="0.25">
      <c r="A2262" s="163" t="s">
        <v>5884</v>
      </c>
      <c r="B2262" s="164">
        <v>45892</v>
      </c>
      <c r="C2262" s="34" t="s">
        <v>873</v>
      </c>
      <c r="D2262" s="53" t="str">
        <f>VLOOKUP(Sales[[#This Row],[Customer ID]],Customer[#All],2,0)</f>
        <v>Sahil Verma</v>
      </c>
      <c r="E2262" s="34" t="s">
        <v>499</v>
      </c>
      <c r="F2262" s="34" t="str">
        <f>VLOOKUP(Sales[[#This Row],[Product ID]],Product[#All],2,0)</f>
        <v>HP Laptop</v>
      </c>
      <c r="G2262" s="53">
        <v>4</v>
      </c>
      <c r="H2262" s="165">
        <f>VLOOKUP(Sales[[#This Row],[Product ID]],Product[#All],7,0)</f>
        <v>83390</v>
      </c>
      <c r="I2262" s="165">
        <f>Sales[[#This Row],[Selling Rate]]*Sales[[#This Row],[Qty]]</f>
        <v>333560</v>
      </c>
      <c r="J2262" s="45">
        <v>0.12</v>
      </c>
      <c r="K2262" s="46">
        <f>Sales[[#This Row],[Gross Amount]]*Sales[[#This Row],[Disc %]]</f>
        <v>40027.199999999997</v>
      </c>
      <c r="L2262" s="43">
        <v>0.18</v>
      </c>
      <c r="M2262" s="46">
        <f>(Sales[[#This Row],[Gross Amount]]-Sales[[#This Row],[Disc. Amt.]])*Sales[[#This Row],[GST %]]</f>
        <v>52835.903999999995</v>
      </c>
      <c r="N2262" s="161">
        <f>Sales[[#This Row],[Gross Amount]]-Sales[[#This Row],[Disc. Amt.]]+Sales[[#This Row],[GST Amount]]</f>
        <v>346368.70399999997</v>
      </c>
      <c r="O2262" s="34" t="s">
        <v>3569</v>
      </c>
      <c r="P2262" s="34" t="s">
        <v>3562</v>
      </c>
      <c r="Q2262" s="165">
        <f>IF(Sales[[#This Row],[Status]]="Cancelled",0,Sales[[#This Row],[Qty]])</f>
        <v>4</v>
      </c>
      <c r="R2262" s="166">
        <f>IF(Sales[[#This Row],[Status]]="Cancelled",0,Sales[[#This Row],[Total Amount]])</f>
        <v>346368.70399999997</v>
      </c>
      <c r="S2262" s="162">
        <f>SUM(Sales[Net Amount])</f>
        <v>406839287.73200053</v>
      </c>
    </row>
    <row r="2263" spans="1:19" ht="18.75" x14ac:dyDescent="0.25">
      <c r="A2263" s="156" t="s">
        <v>5885</v>
      </c>
      <c r="B2263" s="157">
        <v>45892</v>
      </c>
      <c r="C2263" s="158" t="s">
        <v>825</v>
      </c>
      <c r="D2263" s="159" t="str">
        <f>VLOOKUP(Sales[[#This Row],[Customer ID]],Customer[#All],2,0)</f>
        <v>Rahul Kumar</v>
      </c>
      <c r="E2263" s="158" t="s">
        <v>223</v>
      </c>
      <c r="F2263" s="158" t="str">
        <f>VLOOKUP(Sales[[#This Row],[Product ID]],Product[#All],2,0)</f>
        <v>Dell Monitor</v>
      </c>
      <c r="G2263" s="159">
        <v>2</v>
      </c>
      <c r="H2263" s="160">
        <f>VLOOKUP(Sales[[#This Row],[Product ID]],Product[#All],7,0)</f>
        <v>9980</v>
      </c>
      <c r="I2263" s="160">
        <f>Sales[[#This Row],[Selling Rate]]*Sales[[#This Row],[Qty]]</f>
        <v>19960</v>
      </c>
      <c r="J2263" s="43">
        <v>0.12</v>
      </c>
      <c r="K2263" s="44">
        <f>Sales[[#This Row],[Gross Amount]]*Sales[[#This Row],[Disc %]]</f>
        <v>2395.1999999999998</v>
      </c>
      <c r="L2263" s="43">
        <v>0.18</v>
      </c>
      <c r="M2263" s="44">
        <f>(Sales[[#This Row],[Gross Amount]]-Sales[[#This Row],[Disc. Amt.]])*Sales[[#This Row],[GST %]]</f>
        <v>3161.6639999999998</v>
      </c>
      <c r="N2263" s="161">
        <f>Sales[[#This Row],[Gross Amount]]-Sales[[#This Row],[Disc. Amt.]]+Sales[[#This Row],[GST Amount]]</f>
        <v>20726.464</v>
      </c>
      <c r="O2263" s="158" t="s">
        <v>8876</v>
      </c>
      <c r="P2263" s="158" t="s">
        <v>3562</v>
      </c>
      <c r="Q2263" s="160">
        <f>IF(Sales[[#This Row],[Status]]="Cancelled",0,Sales[[#This Row],[Qty]])</f>
        <v>2</v>
      </c>
      <c r="R2263" s="161">
        <f>IF(Sales[[#This Row],[Status]]="Cancelled",0,Sales[[#This Row],[Total Amount]])</f>
        <v>20726.464</v>
      </c>
      <c r="S2263" s="162">
        <f>SUM(Sales[Net Amount])</f>
        <v>406839287.73200053</v>
      </c>
    </row>
    <row r="2264" spans="1:19" ht="18.75" x14ac:dyDescent="0.25">
      <c r="A2264" s="163" t="s">
        <v>5886</v>
      </c>
      <c r="B2264" s="164">
        <v>45892</v>
      </c>
      <c r="C2264" s="34" t="s">
        <v>5887</v>
      </c>
      <c r="D2264" s="53" t="str">
        <f>VLOOKUP(Sales[[#This Row],[Customer ID]],Customer[#All],2,0)</f>
        <v>Sahil Sharma</v>
      </c>
      <c r="E2264" s="34" t="s">
        <v>489</v>
      </c>
      <c r="F2264" s="34" t="str">
        <f>VLOOKUP(Sales[[#This Row],[Product ID]],Product[#All],2,0)</f>
        <v>Microtek UPS</v>
      </c>
      <c r="G2264" s="53">
        <v>8</v>
      </c>
      <c r="H2264" s="165">
        <f>VLOOKUP(Sales[[#This Row],[Product ID]],Product[#All],7,0)</f>
        <v>8040</v>
      </c>
      <c r="I2264" s="165">
        <f>Sales[[#This Row],[Selling Rate]]*Sales[[#This Row],[Qty]]</f>
        <v>64320</v>
      </c>
      <c r="J2264" s="45">
        <v>0.05</v>
      </c>
      <c r="K2264" s="46">
        <f>Sales[[#This Row],[Gross Amount]]*Sales[[#This Row],[Disc %]]</f>
        <v>3216</v>
      </c>
      <c r="L2264" s="43">
        <v>0.18</v>
      </c>
      <c r="M2264" s="46">
        <f>(Sales[[#This Row],[Gross Amount]]-Sales[[#This Row],[Disc. Amt.]])*Sales[[#This Row],[GST %]]</f>
        <v>10998.72</v>
      </c>
      <c r="N2264" s="161">
        <f>Sales[[#This Row],[Gross Amount]]-Sales[[#This Row],[Disc. Amt.]]+Sales[[#This Row],[GST Amount]]</f>
        <v>72102.720000000001</v>
      </c>
      <c r="O2264" s="34" t="s">
        <v>8876</v>
      </c>
      <c r="P2264" s="34" t="s">
        <v>3562</v>
      </c>
      <c r="Q2264" s="165">
        <f>IF(Sales[[#This Row],[Status]]="Cancelled",0,Sales[[#This Row],[Qty]])</f>
        <v>8</v>
      </c>
      <c r="R2264" s="166">
        <f>IF(Sales[[#This Row],[Status]]="Cancelled",0,Sales[[#This Row],[Total Amount]])</f>
        <v>72102.720000000001</v>
      </c>
      <c r="S2264" s="162">
        <f>SUM(Sales[Net Amount])</f>
        <v>406839287.73200053</v>
      </c>
    </row>
    <row r="2265" spans="1:19" ht="18.75" x14ac:dyDescent="0.25">
      <c r="A2265" s="156" t="s">
        <v>5888</v>
      </c>
      <c r="B2265" s="157">
        <v>45892</v>
      </c>
      <c r="C2265" s="158" t="s">
        <v>760</v>
      </c>
      <c r="D2265" s="159" t="str">
        <f>VLOOKUP(Sales[[#This Row],[Customer ID]],Customer[#All],2,0)</f>
        <v>Pooja Singh</v>
      </c>
      <c r="E2265" s="158" t="s">
        <v>503</v>
      </c>
      <c r="F2265" s="158" t="str">
        <f>VLOOKUP(Sales[[#This Row],[Product ID]],Product[#All],2,0)</f>
        <v>Corsair Ram</v>
      </c>
      <c r="G2265" s="159">
        <v>7</v>
      </c>
      <c r="H2265" s="160">
        <f>VLOOKUP(Sales[[#This Row],[Product ID]],Product[#All],7,0)</f>
        <v>8750</v>
      </c>
      <c r="I2265" s="160">
        <f>Sales[[#This Row],[Selling Rate]]*Sales[[#This Row],[Qty]]</f>
        <v>61250</v>
      </c>
      <c r="J2265" s="43">
        <v>0</v>
      </c>
      <c r="K2265" s="44">
        <f>Sales[[#This Row],[Gross Amount]]*Sales[[#This Row],[Disc %]]</f>
        <v>0</v>
      </c>
      <c r="L2265" s="43">
        <v>0.18</v>
      </c>
      <c r="M2265" s="44">
        <f>(Sales[[#This Row],[Gross Amount]]-Sales[[#This Row],[Disc. Amt.]])*Sales[[#This Row],[GST %]]</f>
        <v>11025</v>
      </c>
      <c r="N2265" s="161">
        <f>Sales[[#This Row],[Gross Amount]]-Sales[[#This Row],[Disc. Amt.]]+Sales[[#This Row],[GST Amount]]</f>
        <v>72275</v>
      </c>
      <c r="O2265" s="158" t="s">
        <v>3569</v>
      </c>
      <c r="P2265" s="158" t="s">
        <v>3562</v>
      </c>
      <c r="Q2265" s="160">
        <f>IF(Sales[[#This Row],[Status]]="Cancelled",0,Sales[[#This Row],[Qty]])</f>
        <v>7</v>
      </c>
      <c r="R2265" s="161">
        <f>IF(Sales[[#This Row],[Status]]="Cancelled",0,Sales[[#This Row],[Total Amount]])</f>
        <v>72275</v>
      </c>
      <c r="S2265" s="162">
        <f>SUM(Sales[Net Amount])</f>
        <v>406839287.73200053</v>
      </c>
    </row>
    <row r="2266" spans="1:19" ht="18.75" x14ac:dyDescent="0.25">
      <c r="A2266" s="163" t="s">
        <v>5889</v>
      </c>
      <c r="B2266" s="164">
        <v>45892</v>
      </c>
      <c r="C2266" s="34" t="s">
        <v>8725</v>
      </c>
      <c r="D2266" s="53" t="str">
        <f>VLOOKUP(Sales[[#This Row],[Customer ID]],Customer[#All],2,0)</f>
        <v>Pooja Patel</v>
      </c>
      <c r="E2266" s="34" t="s">
        <v>181</v>
      </c>
      <c r="F2266" s="34" t="str">
        <f>VLOOKUP(Sales[[#This Row],[Product ID]],Product[#All],2,0)</f>
        <v>Logitech Webcam</v>
      </c>
      <c r="G2266" s="53">
        <v>6</v>
      </c>
      <c r="H2266" s="165">
        <f>VLOOKUP(Sales[[#This Row],[Product ID]],Product[#All],7,0)</f>
        <v>5880</v>
      </c>
      <c r="I2266" s="165">
        <f>Sales[[#This Row],[Selling Rate]]*Sales[[#This Row],[Qty]]</f>
        <v>35280</v>
      </c>
      <c r="J2266" s="45">
        <v>0.15</v>
      </c>
      <c r="K2266" s="46">
        <f>Sales[[#This Row],[Gross Amount]]*Sales[[#This Row],[Disc %]]</f>
        <v>5292</v>
      </c>
      <c r="L2266" s="43">
        <v>0.18</v>
      </c>
      <c r="M2266" s="46">
        <f>(Sales[[#This Row],[Gross Amount]]-Sales[[#This Row],[Disc. Amt.]])*Sales[[#This Row],[GST %]]</f>
        <v>5397.84</v>
      </c>
      <c r="N2266" s="161">
        <f>Sales[[#This Row],[Gross Amount]]-Sales[[#This Row],[Disc. Amt.]]+Sales[[#This Row],[GST Amount]]</f>
        <v>35385.839999999997</v>
      </c>
      <c r="O2266" s="34" t="s">
        <v>3569</v>
      </c>
      <c r="P2266" s="34" t="s">
        <v>3562</v>
      </c>
      <c r="Q2266" s="165">
        <f>IF(Sales[[#This Row],[Status]]="Cancelled",0,Sales[[#This Row],[Qty]])</f>
        <v>6</v>
      </c>
      <c r="R2266" s="166">
        <f>IF(Sales[[#This Row],[Status]]="Cancelled",0,Sales[[#This Row],[Total Amount]])</f>
        <v>35385.839999999997</v>
      </c>
      <c r="S2266" s="162">
        <f>SUM(Sales[Net Amount])</f>
        <v>406839287.73200053</v>
      </c>
    </row>
    <row r="2267" spans="1:19" ht="18.75" x14ac:dyDescent="0.25">
      <c r="A2267" s="156" t="s">
        <v>5890</v>
      </c>
      <c r="B2267" s="157">
        <v>45892</v>
      </c>
      <c r="C2267" s="158" t="s">
        <v>918</v>
      </c>
      <c r="D2267" s="159" t="str">
        <f>VLOOKUP(Sales[[#This Row],[Customer ID]],Customer[#All],2,0)</f>
        <v>Pooja Patel</v>
      </c>
      <c r="E2267" s="158" t="s">
        <v>132</v>
      </c>
      <c r="F2267" s="158" t="str">
        <f>VLOOKUP(Sales[[#This Row],[Product ID]],Product[#All],2,0)</f>
        <v>Jbl Headset</v>
      </c>
      <c r="G2267" s="159">
        <v>2</v>
      </c>
      <c r="H2267" s="160">
        <f>VLOOKUP(Sales[[#This Row],[Product ID]],Product[#All],7,0)</f>
        <v>7470</v>
      </c>
      <c r="I2267" s="160">
        <f>Sales[[#This Row],[Selling Rate]]*Sales[[#This Row],[Qty]]</f>
        <v>14940</v>
      </c>
      <c r="J2267" s="43">
        <v>0.1</v>
      </c>
      <c r="K2267" s="44">
        <f>Sales[[#This Row],[Gross Amount]]*Sales[[#This Row],[Disc %]]</f>
        <v>1494</v>
      </c>
      <c r="L2267" s="43">
        <v>0.18</v>
      </c>
      <c r="M2267" s="44">
        <f>(Sales[[#This Row],[Gross Amount]]-Sales[[#This Row],[Disc. Amt.]])*Sales[[#This Row],[GST %]]</f>
        <v>2420.2799999999997</v>
      </c>
      <c r="N2267" s="161">
        <f>Sales[[#This Row],[Gross Amount]]-Sales[[#This Row],[Disc. Amt.]]+Sales[[#This Row],[GST Amount]]</f>
        <v>15866.279999999999</v>
      </c>
      <c r="O2267" s="158" t="s">
        <v>3569</v>
      </c>
      <c r="P2267" s="158" t="s">
        <v>3562</v>
      </c>
      <c r="Q2267" s="160">
        <f>IF(Sales[[#This Row],[Status]]="Cancelled",0,Sales[[#This Row],[Qty]])</f>
        <v>2</v>
      </c>
      <c r="R2267" s="161">
        <f>IF(Sales[[#This Row],[Status]]="Cancelled",0,Sales[[#This Row],[Total Amount]])</f>
        <v>15866.279999999999</v>
      </c>
      <c r="S2267" s="162">
        <f>SUM(Sales[Net Amount])</f>
        <v>406839287.73200053</v>
      </c>
    </row>
    <row r="2268" spans="1:19" ht="18.75" x14ac:dyDescent="0.25">
      <c r="A2268" s="163" t="s">
        <v>5891</v>
      </c>
      <c r="B2268" s="164">
        <v>45893</v>
      </c>
      <c r="C2268" s="34" t="s">
        <v>933</v>
      </c>
      <c r="D2268" s="53" t="str">
        <f>VLOOKUP(Sales[[#This Row],[Customer ID]],Customer[#All],2,0)</f>
        <v>Vikas Verma</v>
      </c>
      <c r="E2268" s="34" t="s">
        <v>336</v>
      </c>
      <c r="F2268" s="34" t="str">
        <f>VLOOKUP(Sales[[#This Row],[Product ID]],Product[#All],2,0)</f>
        <v>Boat Headset</v>
      </c>
      <c r="G2268" s="53">
        <v>1</v>
      </c>
      <c r="H2268" s="165">
        <f>VLOOKUP(Sales[[#This Row],[Product ID]],Product[#All],7,0)</f>
        <v>1380</v>
      </c>
      <c r="I2268" s="165">
        <f>Sales[[#This Row],[Selling Rate]]*Sales[[#This Row],[Qty]]</f>
        <v>1380</v>
      </c>
      <c r="J2268" s="45">
        <v>0</v>
      </c>
      <c r="K2268" s="46">
        <f>Sales[[#This Row],[Gross Amount]]*Sales[[#This Row],[Disc %]]</f>
        <v>0</v>
      </c>
      <c r="L2268" s="43">
        <v>0.18</v>
      </c>
      <c r="M2268" s="46">
        <f>(Sales[[#This Row],[Gross Amount]]-Sales[[#This Row],[Disc. Amt.]])*Sales[[#This Row],[GST %]]</f>
        <v>248.39999999999998</v>
      </c>
      <c r="N2268" s="161">
        <f>Sales[[#This Row],[Gross Amount]]-Sales[[#This Row],[Disc. Amt.]]+Sales[[#This Row],[GST Amount]]</f>
        <v>1628.4</v>
      </c>
      <c r="O2268" s="34" t="s">
        <v>8876</v>
      </c>
      <c r="P2268" s="34" t="s">
        <v>3562</v>
      </c>
      <c r="Q2268" s="165">
        <f>IF(Sales[[#This Row],[Status]]="Cancelled",0,Sales[[#This Row],[Qty]])</f>
        <v>1</v>
      </c>
      <c r="R2268" s="166">
        <f>IF(Sales[[#This Row],[Status]]="Cancelled",0,Sales[[#This Row],[Total Amount]])</f>
        <v>1628.4</v>
      </c>
      <c r="S2268" s="162">
        <f>SUM(Sales[Net Amount])</f>
        <v>406839287.73200053</v>
      </c>
    </row>
    <row r="2269" spans="1:19" ht="18.75" x14ac:dyDescent="0.25">
      <c r="A2269" s="156" t="s">
        <v>5892</v>
      </c>
      <c r="B2269" s="157">
        <v>45893</v>
      </c>
      <c r="C2269" s="158" t="s">
        <v>769</v>
      </c>
      <c r="D2269" s="159" t="str">
        <f>VLOOKUP(Sales[[#This Row],[Customer ID]],Customer[#All],2,0)</f>
        <v>Sahil Kumar</v>
      </c>
      <c r="E2269" s="158" t="s">
        <v>527</v>
      </c>
      <c r="F2269" s="158" t="str">
        <f>VLOOKUP(Sales[[#This Row],[Product ID]],Product[#All],2,0)</f>
        <v>Acer Laptop</v>
      </c>
      <c r="G2269" s="159">
        <v>3</v>
      </c>
      <c r="H2269" s="160">
        <f>VLOOKUP(Sales[[#This Row],[Product ID]],Product[#All],7,0)</f>
        <v>29070</v>
      </c>
      <c r="I2269" s="160">
        <f>Sales[[#This Row],[Selling Rate]]*Sales[[#This Row],[Qty]]</f>
        <v>87210</v>
      </c>
      <c r="J2269" s="43">
        <v>0.12</v>
      </c>
      <c r="K2269" s="44">
        <f>Sales[[#This Row],[Gross Amount]]*Sales[[#This Row],[Disc %]]</f>
        <v>10465.199999999999</v>
      </c>
      <c r="L2269" s="43">
        <v>0.18</v>
      </c>
      <c r="M2269" s="44">
        <f>(Sales[[#This Row],[Gross Amount]]-Sales[[#This Row],[Disc. Amt.]])*Sales[[#This Row],[GST %]]</f>
        <v>13814.064</v>
      </c>
      <c r="N2269" s="161">
        <f>Sales[[#This Row],[Gross Amount]]-Sales[[#This Row],[Disc. Amt.]]+Sales[[#This Row],[GST Amount]]</f>
        <v>90558.864000000001</v>
      </c>
      <c r="O2269" s="158" t="s">
        <v>3566</v>
      </c>
      <c r="P2269" s="158" t="s">
        <v>3562</v>
      </c>
      <c r="Q2269" s="160">
        <f>IF(Sales[[#This Row],[Status]]="Cancelled",0,Sales[[#This Row],[Qty]])</f>
        <v>3</v>
      </c>
      <c r="R2269" s="161">
        <f>IF(Sales[[#This Row],[Status]]="Cancelled",0,Sales[[#This Row],[Total Amount]])</f>
        <v>90558.864000000001</v>
      </c>
      <c r="S2269" s="162">
        <f>SUM(Sales[Net Amount])</f>
        <v>406839287.73200053</v>
      </c>
    </row>
    <row r="2270" spans="1:19" ht="18.75" x14ac:dyDescent="0.25">
      <c r="A2270" s="163" t="s">
        <v>5893</v>
      </c>
      <c r="B2270" s="164">
        <v>45893</v>
      </c>
      <c r="C2270" s="34" t="s">
        <v>892</v>
      </c>
      <c r="D2270" s="53" t="str">
        <f>VLOOKUP(Sales[[#This Row],[Customer ID]],Customer[#All],2,0)</f>
        <v>Sahil Verma</v>
      </c>
      <c r="E2270" s="34" t="s">
        <v>460</v>
      </c>
      <c r="F2270" s="34" t="str">
        <f>VLOOKUP(Sales[[#This Row],[Product ID]],Product[#All],2,0)</f>
        <v>Logitech Keyboard</v>
      </c>
      <c r="G2270" s="53">
        <v>6</v>
      </c>
      <c r="H2270" s="165">
        <f>VLOOKUP(Sales[[#This Row],[Product ID]],Product[#All],7,0)</f>
        <v>3050</v>
      </c>
      <c r="I2270" s="165">
        <f>Sales[[#This Row],[Selling Rate]]*Sales[[#This Row],[Qty]]</f>
        <v>18300</v>
      </c>
      <c r="J2270" s="45">
        <v>0.05</v>
      </c>
      <c r="K2270" s="46">
        <f>Sales[[#This Row],[Gross Amount]]*Sales[[#This Row],[Disc %]]</f>
        <v>915</v>
      </c>
      <c r="L2270" s="43">
        <v>0.18</v>
      </c>
      <c r="M2270" s="46">
        <f>(Sales[[#This Row],[Gross Amount]]-Sales[[#This Row],[Disc. Amt.]])*Sales[[#This Row],[GST %]]</f>
        <v>3129.2999999999997</v>
      </c>
      <c r="N2270" s="161">
        <f>Sales[[#This Row],[Gross Amount]]-Sales[[#This Row],[Disc. Amt.]]+Sales[[#This Row],[GST Amount]]</f>
        <v>20514.3</v>
      </c>
      <c r="O2270" s="34" t="s">
        <v>3561</v>
      </c>
      <c r="P2270" s="34" t="s">
        <v>3562</v>
      </c>
      <c r="Q2270" s="165">
        <f>IF(Sales[[#This Row],[Status]]="Cancelled",0,Sales[[#This Row],[Qty]])</f>
        <v>6</v>
      </c>
      <c r="R2270" s="166">
        <f>IF(Sales[[#This Row],[Status]]="Cancelled",0,Sales[[#This Row],[Total Amount]])</f>
        <v>20514.3</v>
      </c>
      <c r="S2270" s="162">
        <f>SUM(Sales[Net Amount])</f>
        <v>406839287.73200053</v>
      </c>
    </row>
    <row r="2271" spans="1:19" ht="18.75" x14ac:dyDescent="0.25">
      <c r="A2271" s="156" t="s">
        <v>5894</v>
      </c>
      <c r="B2271" s="157">
        <v>45893</v>
      </c>
      <c r="C2271" s="158" t="s">
        <v>748</v>
      </c>
      <c r="D2271" s="159" t="str">
        <f>VLOOKUP(Sales[[#This Row],[Customer ID]],Customer[#All],2,0)</f>
        <v>Priya Singh</v>
      </c>
      <c r="E2271" s="158" t="s">
        <v>519</v>
      </c>
      <c r="F2271" s="158" t="str">
        <f>VLOOKUP(Sales[[#This Row],[Product ID]],Product[#All],2,0)</f>
        <v>WD HDD</v>
      </c>
      <c r="G2271" s="159">
        <v>1</v>
      </c>
      <c r="H2271" s="160">
        <f>VLOOKUP(Sales[[#This Row],[Product ID]],Product[#All],7,0)</f>
        <v>8730</v>
      </c>
      <c r="I2271" s="160">
        <f>Sales[[#This Row],[Selling Rate]]*Sales[[#This Row],[Qty]]</f>
        <v>8730</v>
      </c>
      <c r="J2271" s="43">
        <v>0.15</v>
      </c>
      <c r="K2271" s="44">
        <f>Sales[[#This Row],[Gross Amount]]*Sales[[#This Row],[Disc %]]</f>
        <v>1309.5</v>
      </c>
      <c r="L2271" s="43">
        <v>0.18</v>
      </c>
      <c r="M2271" s="44">
        <f>(Sales[[#This Row],[Gross Amount]]-Sales[[#This Row],[Disc. Amt.]])*Sales[[#This Row],[GST %]]</f>
        <v>1335.69</v>
      </c>
      <c r="N2271" s="161">
        <f>Sales[[#This Row],[Gross Amount]]-Sales[[#This Row],[Disc. Amt.]]+Sales[[#This Row],[GST Amount]]</f>
        <v>8756.19</v>
      </c>
      <c r="O2271" s="158" t="s">
        <v>3566</v>
      </c>
      <c r="P2271" s="158" t="s">
        <v>3562</v>
      </c>
      <c r="Q2271" s="160">
        <f>IF(Sales[[#This Row],[Status]]="Cancelled",0,Sales[[#This Row],[Qty]])</f>
        <v>1</v>
      </c>
      <c r="R2271" s="161">
        <f>IF(Sales[[#This Row],[Status]]="Cancelled",0,Sales[[#This Row],[Total Amount]])</f>
        <v>8756.19</v>
      </c>
      <c r="S2271" s="162">
        <f>SUM(Sales[Net Amount])</f>
        <v>406839287.73200053</v>
      </c>
    </row>
    <row r="2272" spans="1:19" ht="18.75" x14ac:dyDescent="0.25">
      <c r="A2272" s="163" t="s">
        <v>5895</v>
      </c>
      <c r="B2272" s="164">
        <v>45893</v>
      </c>
      <c r="C2272" s="34" t="s">
        <v>656</v>
      </c>
      <c r="D2272" s="53" t="str">
        <f>VLOOKUP(Sales[[#This Row],[Customer ID]],Customer[#All],2,0)</f>
        <v>Rahul Kumar</v>
      </c>
      <c r="E2272" s="34" t="s">
        <v>265</v>
      </c>
      <c r="F2272" s="34" t="str">
        <f>VLOOKUP(Sales[[#This Row],[Product ID]],Product[#All],2,0)</f>
        <v>Canon Printer</v>
      </c>
      <c r="G2272" s="53">
        <v>2</v>
      </c>
      <c r="H2272" s="165">
        <f>VLOOKUP(Sales[[#This Row],[Product ID]],Product[#All],7,0)</f>
        <v>33970</v>
      </c>
      <c r="I2272" s="165">
        <f>Sales[[#This Row],[Selling Rate]]*Sales[[#This Row],[Qty]]</f>
        <v>67940</v>
      </c>
      <c r="J2272" s="45">
        <v>0</v>
      </c>
      <c r="K2272" s="46">
        <f>Sales[[#This Row],[Gross Amount]]*Sales[[#This Row],[Disc %]]</f>
        <v>0</v>
      </c>
      <c r="L2272" s="43">
        <v>0.18</v>
      </c>
      <c r="M2272" s="46">
        <f>(Sales[[#This Row],[Gross Amount]]-Sales[[#This Row],[Disc. Amt.]])*Sales[[#This Row],[GST %]]</f>
        <v>12229.199999999999</v>
      </c>
      <c r="N2272" s="161">
        <f>Sales[[#This Row],[Gross Amount]]-Sales[[#This Row],[Disc. Amt.]]+Sales[[#This Row],[GST Amount]]</f>
        <v>80169.2</v>
      </c>
      <c r="O2272" s="34" t="s">
        <v>3561</v>
      </c>
      <c r="P2272" s="34" t="s">
        <v>3562</v>
      </c>
      <c r="Q2272" s="165">
        <f>IF(Sales[[#This Row],[Status]]="Cancelled",0,Sales[[#This Row],[Qty]])</f>
        <v>2</v>
      </c>
      <c r="R2272" s="166">
        <f>IF(Sales[[#This Row],[Status]]="Cancelled",0,Sales[[#This Row],[Total Amount]])</f>
        <v>80169.2</v>
      </c>
      <c r="S2272" s="162">
        <f>SUM(Sales[Net Amount])</f>
        <v>406839287.73200053</v>
      </c>
    </row>
    <row r="2273" spans="1:19" ht="18.75" x14ac:dyDescent="0.25">
      <c r="A2273" s="156" t="s">
        <v>5896</v>
      </c>
      <c r="B2273" s="157">
        <v>45893</v>
      </c>
      <c r="C2273" s="158" t="s">
        <v>840</v>
      </c>
      <c r="D2273" s="159" t="str">
        <f>VLOOKUP(Sales[[#This Row],[Customer ID]],Customer[#All],2,0)</f>
        <v>Rakesh Verma</v>
      </c>
      <c r="E2273" s="158" t="s">
        <v>518</v>
      </c>
      <c r="F2273" s="158" t="str">
        <f>VLOOKUP(Sales[[#This Row],[Product ID]],Product[#All],2,0)</f>
        <v>Samsung Monitor</v>
      </c>
      <c r="G2273" s="159">
        <v>8</v>
      </c>
      <c r="H2273" s="160">
        <f>VLOOKUP(Sales[[#This Row],[Product ID]],Product[#All],7,0)</f>
        <v>23660</v>
      </c>
      <c r="I2273" s="160">
        <f>Sales[[#This Row],[Selling Rate]]*Sales[[#This Row],[Qty]]</f>
        <v>189280</v>
      </c>
      <c r="J2273" s="43">
        <v>0.02</v>
      </c>
      <c r="K2273" s="44">
        <f>Sales[[#This Row],[Gross Amount]]*Sales[[#This Row],[Disc %]]</f>
        <v>3785.6</v>
      </c>
      <c r="L2273" s="43">
        <v>0.18</v>
      </c>
      <c r="M2273" s="44">
        <f>(Sales[[#This Row],[Gross Amount]]-Sales[[#This Row],[Disc. Amt.]])*Sales[[#This Row],[GST %]]</f>
        <v>33388.991999999998</v>
      </c>
      <c r="N2273" s="161">
        <f>Sales[[#This Row],[Gross Amount]]-Sales[[#This Row],[Disc. Amt.]]+Sales[[#This Row],[GST Amount]]</f>
        <v>218883.39199999999</v>
      </c>
      <c r="O2273" s="158" t="s">
        <v>3566</v>
      </c>
      <c r="P2273" s="158" t="s">
        <v>3562</v>
      </c>
      <c r="Q2273" s="160">
        <f>IF(Sales[[#This Row],[Status]]="Cancelled",0,Sales[[#This Row],[Qty]])</f>
        <v>8</v>
      </c>
      <c r="R2273" s="161">
        <f>IF(Sales[[#This Row],[Status]]="Cancelled",0,Sales[[#This Row],[Total Amount]])</f>
        <v>218883.39199999999</v>
      </c>
      <c r="S2273" s="162">
        <f>SUM(Sales[Net Amount])</f>
        <v>406839287.73200053</v>
      </c>
    </row>
    <row r="2274" spans="1:19" ht="18.75" x14ac:dyDescent="0.25">
      <c r="A2274" s="163" t="s">
        <v>5897</v>
      </c>
      <c r="B2274" s="164">
        <v>45893</v>
      </c>
      <c r="C2274" s="34" t="s">
        <v>937</v>
      </c>
      <c r="D2274" s="53" t="str">
        <f>VLOOKUP(Sales[[#This Row],[Customer ID]],Customer[#All],2,0)</f>
        <v>Rahul Singh</v>
      </c>
      <c r="E2274" s="34" t="s">
        <v>61</v>
      </c>
      <c r="F2274" s="34" t="str">
        <f>VLOOKUP(Sales[[#This Row],[Product ID]],Product[#All],2,0)</f>
        <v>Boat Headset</v>
      </c>
      <c r="G2274" s="53">
        <v>4</v>
      </c>
      <c r="H2274" s="165">
        <f>VLOOKUP(Sales[[#This Row],[Product ID]],Product[#All],7,0)</f>
        <v>3570</v>
      </c>
      <c r="I2274" s="165">
        <f>Sales[[#This Row],[Selling Rate]]*Sales[[#This Row],[Qty]]</f>
        <v>14280</v>
      </c>
      <c r="J2274" s="45">
        <v>0.1</v>
      </c>
      <c r="K2274" s="46">
        <f>Sales[[#This Row],[Gross Amount]]*Sales[[#This Row],[Disc %]]</f>
        <v>1428</v>
      </c>
      <c r="L2274" s="43">
        <v>0.18</v>
      </c>
      <c r="M2274" s="46">
        <f>(Sales[[#This Row],[Gross Amount]]-Sales[[#This Row],[Disc. Amt.]])*Sales[[#This Row],[GST %]]</f>
        <v>2313.36</v>
      </c>
      <c r="N2274" s="161">
        <f>Sales[[#This Row],[Gross Amount]]-Sales[[#This Row],[Disc. Amt.]]+Sales[[#This Row],[GST Amount]]</f>
        <v>15165.36</v>
      </c>
      <c r="O2274" s="34" t="s">
        <v>3561</v>
      </c>
      <c r="P2274" s="34" t="s">
        <v>3562</v>
      </c>
      <c r="Q2274" s="165">
        <f>IF(Sales[[#This Row],[Status]]="Cancelled",0,Sales[[#This Row],[Qty]])</f>
        <v>4</v>
      </c>
      <c r="R2274" s="166">
        <f>IF(Sales[[#This Row],[Status]]="Cancelled",0,Sales[[#This Row],[Total Amount]])</f>
        <v>15165.36</v>
      </c>
      <c r="S2274" s="162">
        <f>SUM(Sales[Net Amount])</f>
        <v>406839287.73200053</v>
      </c>
    </row>
    <row r="2275" spans="1:19" ht="18.75" x14ac:dyDescent="0.25">
      <c r="A2275" s="156" t="s">
        <v>5898</v>
      </c>
      <c r="B2275" s="157">
        <v>45893</v>
      </c>
      <c r="C2275" s="158" t="s">
        <v>722</v>
      </c>
      <c r="D2275" s="159" t="str">
        <f>VLOOKUP(Sales[[#This Row],[Customer ID]],Customer[#All],2,0)</f>
        <v>Vikas Patel</v>
      </c>
      <c r="E2275" s="158" t="s">
        <v>232</v>
      </c>
      <c r="F2275" s="158" t="str">
        <f>VLOOKUP(Sales[[#This Row],[Product ID]],Product[#All],2,0)</f>
        <v>HP Printer</v>
      </c>
      <c r="G2275" s="159">
        <v>6</v>
      </c>
      <c r="H2275" s="160">
        <f>VLOOKUP(Sales[[#This Row],[Product ID]],Product[#All],7,0)</f>
        <v>35700</v>
      </c>
      <c r="I2275" s="160">
        <f>Sales[[#This Row],[Selling Rate]]*Sales[[#This Row],[Qty]]</f>
        <v>214200</v>
      </c>
      <c r="J2275" s="43">
        <v>0.12</v>
      </c>
      <c r="K2275" s="44">
        <f>Sales[[#This Row],[Gross Amount]]*Sales[[#This Row],[Disc %]]</f>
        <v>25704</v>
      </c>
      <c r="L2275" s="43">
        <v>0.18</v>
      </c>
      <c r="M2275" s="44">
        <f>(Sales[[#This Row],[Gross Amount]]-Sales[[#This Row],[Disc. Amt.]])*Sales[[#This Row],[GST %]]</f>
        <v>33929.279999999999</v>
      </c>
      <c r="N2275" s="161">
        <f>Sales[[#This Row],[Gross Amount]]-Sales[[#This Row],[Disc. Amt.]]+Sales[[#This Row],[GST Amount]]</f>
        <v>222425.28</v>
      </c>
      <c r="O2275" s="158" t="s">
        <v>3566</v>
      </c>
      <c r="P2275" s="158" t="s">
        <v>3562</v>
      </c>
      <c r="Q2275" s="160">
        <f>IF(Sales[[#This Row],[Status]]="Cancelled",0,Sales[[#This Row],[Qty]])</f>
        <v>6</v>
      </c>
      <c r="R2275" s="161">
        <f>IF(Sales[[#This Row],[Status]]="Cancelled",0,Sales[[#This Row],[Total Amount]])</f>
        <v>222425.28</v>
      </c>
      <c r="S2275" s="162">
        <f>SUM(Sales[Net Amount])</f>
        <v>406839287.73200053</v>
      </c>
    </row>
    <row r="2276" spans="1:19" ht="18.75" x14ac:dyDescent="0.25">
      <c r="A2276" s="163" t="s">
        <v>5899</v>
      </c>
      <c r="B2276" s="164">
        <v>45893</v>
      </c>
      <c r="C2276" s="34" t="s">
        <v>824</v>
      </c>
      <c r="D2276" s="53" t="str">
        <f>VLOOKUP(Sales[[#This Row],[Customer ID]],Customer[#All],2,0)</f>
        <v>Sunita Verma</v>
      </c>
      <c r="E2276" s="34" t="s">
        <v>105</v>
      </c>
      <c r="F2276" s="34" t="str">
        <f>VLOOKUP(Sales[[#This Row],[Product ID]],Product[#All],2,0)</f>
        <v>HP Power Adapter</v>
      </c>
      <c r="G2276" s="53">
        <v>2</v>
      </c>
      <c r="H2276" s="165">
        <f>VLOOKUP(Sales[[#This Row],[Product ID]],Product[#All],7,0)</f>
        <v>3280</v>
      </c>
      <c r="I2276" s="165">
        <f>Sales[[#This Row],[Selling Rate]]*Sales[[#This Row],[Qty]]</f>
        <v>6560</v>
      </c>
      <c r="J2276" s="45">
        <v>0.15</v>
      </c>
      <c r="K2276" s="46">
        <f>Sales[[#This Row],[Gross Amount]]*Sales[[#This Row],[Disc %]]</f>
        <v>984</v>
      </c>
      <c r="L2276" s="43">
        <v>0.18</v>
      </c>
      <c r="M2276" s="46">
        <f>(Sales[[#This Row],[Gross Amount]]-Sales[[#This Row],[Disc. Amt.]])*Sales[[#This Row],[GST %]]</f>
        <v>1003.68</v>
      </c>
      <c r="N2276" s="161">
        <f>Sales[[#This Row],[Gross Amount]]-Sales[[#This Row],[Disc. Amt.]]+Sales[[#This Row],[GST Amount]]</f>
        <v>6579.68</v>
      </c>
      <c r="O2276" s="34" t="s">
        <v>3569</v>
      </c>
      <c r="P2276" s="34" t="s">
        <v>3562</v>
      </c>
      <c r="Q2276" s="165">
        <f>IF(Sales[[#This Row],[Status]]="Cancelled",0,Sales[[#This Row],[Qty]])</f>
        <v>2</v>
      </c>
      <c r="R2276" s="166">
        <f>IF(Sales[[#This Row],[Status]]="Cancelled",0,Sales[[#This Row],[Total Amount]])</f>
        <v>6579.68</v>
      </c>
      <c r="S2276" s="162">
        <f>SUM(Sales[Net Amount])</f>
        <v>406839287.73200053</v>
      </c>
    </row>
    <row r="2277" spans="1:19" ht="18.75" x14ac:dyDescent="0.25">
      <c r="A2277" s="156" t="s">
        <v>5900</v>
      </c>
      <c r="B2277" s="157">
        <v>45893</v>
      </c>
      <c r="C2277" s="158" t="s">
        <v>730</v>
      </c>
      <c r="D2277" s="159" t="str">
        <f>VLOOKUP(Sales[[#This Row],[Customer ID]],Customer[#All],2,0)</f>
        <v>Neha Verma</v>
      </c>
      <c r="E2277" s="158" t="s">
        <v>263</v>
      </c>
      <c r="F2277" s="158" t="str">
        <f>VLOOKUP(Sales[[#This Row],[Product ID]],Product[#All],2,0)</f>
        <v>Amazon Basics Hdmi Cable</v>
      </c>
      <c r="G2277" s="159">
        <v>5</v>
      </c>
      <c r="H2277" s="160">
        <f>VLOOKUP(Sales[[#This Row],[Product ID]],Product[#All],7,0)</f>
        <v>770</v>
      </c>
      <c r="I2277" s="160">
        <f>Sales[[#This Row],[Selling Rate]]*Sales[[#This Row],[Qty]]</f>
        <v>3850</v>
      </c>
      <c r="J2277" s="43">
        <v>0.15</v>
      </c>
      <c r="K2277" s="44">
        <f>Sales[[#This Row],[Gross Amount]]*Sales[[#This Row],[Disc %]]</f>
        <v>577.5</v>
      </c>
      <c r="L2277" s="43">
        <v>0.18</v>
      </c>
      <c r="M2277" s="44">
        <f>(Sales[[#This Row],[Gross Amount]]-Sales[[#This Row],[Disc. Amt.]])*Sales[[#This Row],[GST %]]</f>
        <v>589.04999999999995</v>
      </c>
      <c r="N2277" s="161">
        <f>Sales[[#This Row],[Gross Amount]]-Sales[[#This Row],[Disc. Amt.]]+Sales[[#This Row],[GST Amount]]</f>
        <v>3861.55</v>
      </c>
      <c r="O2277" s="158" t="s">
        <v>3569</v>
      </c>
      <c r="P2277" s="158" t="s">
        <v>3562</v>
      </c>
      <c r="Q2277" s="160">
        <f>IF(Sales[[#This Row],[Status]]="Cancelled",0,Sales[[#This Row],[Qty]])</f>
        <v>5</v>
      </c>
      <c r="R2277" s="161">
        <f>IF(Sales[[#This Row],[Status]]="Cancelled",0,Sales[[#This Row],[Total Amount]])</f>
        <v>3861.55</v>
      </c>
      <c r="S2277" s="162">
        <f>SUM(Sales[Net Amount])</f>
        <v>406839287.73200053</v>
      </c>
    </row>
    <row r="2278" spans="1:19" ht="18.75" x14ac:dyDescent="0.25">
      <c r="A2278" s="163" t="s">
        <v>5901</v>
      </c>
      <c r="B2278" s="164">
        <v>45893</v>
      </c>
      <c r="C2278" s="34" t="s">
        <v>830</v>
      </c>
      <c r="D2278" s="53" t="str">
        <f>VLOOKUP(Sales[[#This Row],[Customer ID]],Customer[#All],2,0)</f>
        <v>Rakesh Singh</v>
      </c>
      <c r="E2278" s="34" t="s">
        <v>139</v>
      </c>
      <c r="F2278" s="34" t="str">
        <f>VLOOKUP(Sales[[#This Row],[Product ID]],Product[#All],2,0)</f>
        <v>HP Printer</v>
      </c>
      <c r="G2278" s="53">
        <v>6</v>
      </c>
      <c r="H2278" s="165">
        <f>VLOOKUP(Sales[[#This Row],[Product ID]],Product[#All],7,0)</f>
        <v>25260</v>
      </c>
      <c r="I2278" s="165">
        <f>Sales[[#This Row],[Selling Rate]]*Sales[[#This Row],[Qty]]</f>
        <v>151560</v>
      </c>
      <c r="J2278" s="45">
        <v>0.02</v>
      </c>
      <c r="K2278" s="46">
        <f>Sales[[#This Row],[Gross Amount]]*Sales[[#This Row],[Disc %]]</f>
        <v>3031.2000000000003</v>
      </c>
      <c r="L2278" s="43">
        <v>0.18</v>
      </c>
      <c r="M2278" s="46">
        <f>(Sales[[#This Row],[Gross Amount]]-Sales[[#This Row],[Disc. Amt.]])*Sales[[#This Row],[GST %]]</f>
        <v>26735.183999999997</v>
      </c>
      <c r="N2278" s="161">
        <f>Sales[[#This Row],[Gross Amount]]-Sales[[#This Row],[Disc. Amt.]]+Sales[[#This Row],[GST Amount]]</f>
        <v>175263.984</v>
      </c>
      <c r="O2278" s="34" t="s">
        <v>8876</v>
      </c>
      <c r="P2278" s="34" t="s">
        <v>3562</v>
      </c>
      <c r="Q2278" s="165">
        <f>IF(Sales[[#This Row],[Status]]="Cancelled",0,Sales[[#This Row],[Qty]])</f>
        <v>6</v>
      </c>
      <c r="R2278" s="166">
        <f>IF(Sales[[#This Row],[Status]]="Cancelled",0,Sales[[#This Row],[Total Amount]])</f>
        <v>175263.984</v>
      </c>
      <c r="S2278" s="162">
        <f>SUM(Sales[Net Amount])</f>
        <v>406839287.73200053</v>
      </c>
    </row>
    <row r="2279" spans="1:19" ht="18.75" x14ac:dyDescent="0.25">
      <c r="A2279" s="156" t="s">
        <v>5902</v>
      </c>
      <c r="B2279" s="157">
        <v>45893</v>
      </c>
      <c r="C2279" s="158" t="s">
        <v>712</v>
      </c>
      <c r="D2279" s="159" t="str">
        <f>VLOOKUP(Sales[[#This Row],[Customer ID]],Customer[#All],2,0)</f>
        <v>Sahil Verma</v>
      </c>
      <c r="E2279" s="158" t="s">
        <v>367</v>
      </c>
      <c r="F2279" s="158" t="str">
        <f>VLOOKUP(Sales[[#This Row],[Product ID]],Product[#All],2,0)</f>
        <v>Jbl Speaker</v>
      </c>
      <c r="G2279" s="159">
        <v>6</v>
      </c>
      <c r="H2279" s="160">
        <f>VLOOKUP(Sales[[#This Row],[Product ID]],Product[#All],7,0)</f>
        <v>4880</v>
      </c>
      <c r="I2279" s="160">
        <f>Sales[[#This Row],[Selling Rate]]*Sales[[#This Row],[Qty]]</f>
        <v>29280</v>
      </c>
      <c r="J2279" s="43">
        <v>0</v>
      </c>
      <c r="K2279" s="44">
        <f>Sales[[#This Row],[Gross Amount]]*Sales[[#This Row],[Disc %]]</f>
        <v>0</v>
      </c>
      <c r="L2279" s="43">
        <v>0.18</v>
      </c>
      <c r="M2279" s="44">
        <f>(Sales[[#This Row],[Gross Amount]]-Sales[[#This Row],[Disc. Amt.]])*Sales[[#This Row],[GST %]]</f>
        <v>5270.4</v>
      </c>
      <c r="N2279" s="161">
        <f>Sales[[#This Row],[Gross Amount]]-Sales[[#This Row],[Disc. Amt.]]+Sales[[#This Row],[GST Amount]]</f>
        <v>34550.400000000001</v>
      </c>
      <c r="O2279" s="158" t="s">
        <v>3561</v>
      </c>
      <c r="P2279" s="158" t="s">
        <v>1040</v>
      </c>
      <c r="Q2279" s="160">
        <f>IF(Sales[[#This Row],[Status]]="Cancelled",0,Sales[[#This Row],[Qty]])</f>
        <v>0</v>
      </c>
      <c r="R2279" s="161">
        <f>IF(Sales[[#This Row],[Status]]="Cancelled",0,Sales[[#This Row],[Total Amount]])</f>
        <v>0</v>
      </c>
      <c r="S2279" s="162">
        <f>SUM(Sales[Net Amount])</f>
        <v>406839287.73200053</v>
      </c>
    </row>
    <row r="2280" spans="1:19" ht="18.75" x14ac:dyDescent="0.25">
      <c r="A2280" s="163" t="s">
        <v>5903</v>
      </c>
      <c r="B2280" s="164">
        <v>45893</v>
      </c>
      <c r="C2280" s="34" t="s">
        <v>719</v>
      </c>
      <c r="D2280" s="53" t="str">
        <f>VLOOKUP(Sales[[#This Row],[Customer ID]],Customer[#All],2,0)</f>
        <v>Priya Verma</v>
      </c>
      <c r="E2280" s="34" t="s">
        <v>378</v>
      </c>
      <c r="F2280" s="34" t="str">
        <f>VLOOKUP(Sales[[#This Row],[Product ID]],Product[#All],2,0)</f>
        <v>Kingston Ram</v>
      </c>
      <c r="G2280" s="53">
        <v>2</v>
      </c>
      <c r="H2280" s="165">
        <f>VLOOKUP(Sales[[#This Row],[Product ID]],Product[#All],7,0)</f>
        <v>4420</v>
      </c>
      <c r="I2280" s="165">
        <f>Sales[[#This Row],[Selling Rate]]*Sales[[#This Row],[Qty]]</f>
        <v>8840</v>
      </c>
      <c r="J2280" s="45">
        <v>0</v>
      </c>
      <c r="K2280" s="46">
        <f>Sales[[#This Row],[Gross Amount]]*Sales[[#This Row],[Disc %]]</f>
        <v>0</v>
      </c>
      <c r="L2280" s="43">
        <v>0.18</v>
      </c>
      <c r="M2280" s="46">
        <f>(Sales[[#This Row],[Gross Amount]]-Sales[[#This Row],[Disc. Amt.]])*Sales[[#This Row],[GST %]]</f>
        <v>1591.2</v>
      </c>
      <c r="N2280" s="161">
        <f>Sales[[#This Row],[Gross Amount]]-Sales[[#This Row],[Disc. Amt.]]+Sales[[#This Row],[GST Amount]]</f>
        <v>10431.200000000001</v>
      </c>
      <c r="O2280" s="34" t="s">
        <v>3569</v>
      </c>
      <c r="P2280" s="34" t="s">
        <v>3562</v>
      </c>
      <c r="Q2280" s="165">
        <f>IF(Sales[[#This Row],[Status]]="Cancelled",0,Sales[[#This Row],[Qty]])</f>
        <v>2</v>
      </c>
      <c r="R2280" s="166">
        <f>IF(Sales[[#This Row],[Status]]="Cancelled",0,Sales[[#This Row],[Total Amount]])</f>
        <v>10431.200000000001</v>
      </c>
      <c r="S2280" s="162">
        <f>SUM(Sales[Net Amount])</f>
        <v>406839287.73200053</v>
      </c>
    </row>
    <row r="2281" spans="1:19" ht="18.75" x14ac:dyDescent="0.25">
      <c r="A2281" s="156" t="s">
        <v>5904</v>
      </c>
      <c r="B2281" s="157">
        <v>45894</v>
      </c>
      <c r="C2281" s="158" t="s">
        <v>682</v>
      </c>
      <c r="D2281" s="159" t="str">
        <f>VLOOKUP(Sales[[#This Row],[Customer ID]],Customer[#All],2,0)</f>
        <v>Rahul Sharma</v>
      </c>
      <c r="E2281" s="158" t="s">
        <v>521</v>
      </c>
      <c r="F2281" s="158" t="str">
        <f>VLOOKUP(Sales[[#This Row],[Product ID]],Product[#All],2,0)</f>
        <v>Sandisk Pen Drive</v>
      </c>
      <c r="G2281" s="159">
        <v>4</v>
      </c>
      <c r="H2281" s="160">
        <f>VLOOKUP(Sales[[#This Row],[Product ID]],Product[#All],7,0)</f>
        <v>2920</v>
      </c>
      <c r="I2281" s="160">
        <f>Sales[[#This Row],[Selling Rate]]*Sales[[#This Row],[Qty]]</f>
        <v>11680</v>
      </c>
      <c r="J2281" s="43">
        <v>0.12</v>
      </c>
      <c r="K2281" s="44">
        <f>Sales[[#This Row],[Gross Amount]]*Sales[[#This Row],[Disc %]]</f>
        <v>1401.6</v>
      </c>
      <c r="L2281" s="43">
        <v>0.18</v>
      </c>
      <c r="M2281" s="44">
        <f>(Sales[[#This Row],[Gross Amount]]-Sales[[#This Row],[Disc. Amt.]])*Sales[[#This Row],[GST %]]</f>
        <v>1850.1119999999999</v>
      </c>
      <c r="N2281" s="161">
        <f>Sales[[#This Row],[Gross Amount]]-Sales[[#This Row],[Disc. Amt.]]+Sales[[#This Row],[GST Amount]]</f>
        <v>12128.511999999999</v>
      </c>
      <c r="O2281" s="158" t="s">
        <v>8876</v>
      </c>
      <c r="P2281" s="158" t="s">
        <v>3562</v>
      </c>
      <c r="Q2281" s="160">
        <f>IF(Sales[[#This Row],[Status]]="Cancelled",0,Sales[[#This Row],[Qty]])</f>
        <v>4</v>
      </c>
      <c r="R2281" s="161">
        <f>IF(Sales[[#This Row],[Status]]="Cancelled",0,Sales[[#This Row],[Total Amount]])</f>
        <v>12128.511999999999</v>
      </c>
      <c r="S2281" s="162">
        <f>SUM(Sales[Net Amount])</f>
        <v>406839287.73200053</v>
      </c>
    </row>
    <row r="2282" spans="1:19" ht="18.75" x14ac:dyDescent="0.25">
      <c r="A2282" s="163" t="s">
        <v>5905</v>
      </c>
      <c r="B2282" s="164">
        <v>45894</v>
      </c>
      <c r="C2282" s="34" t="s">
        <v>899</v>
      </c>
      <c r="D2282" s="53" t="str">
        <f>VLOOKUP(Sales[[#This Row],[Customer ID]],Customer[#All],2,0)</f>
        <v>Sunita Verma</v>
      </c>
      <c r="E2282" s="34" t="s">
        <v>168</v>
      </c>
      <c r="F2282" s="34" t="str">
        <f>VLOOKUP(Sales[[#This Row],[Product ID]],Product[#All],2,0)</f>
        <v>TP-link Wi-Fi Adapter</v>
      </c>
      <c r="G2282" s="53">
        <v>8</v>
      </c>
      <c r="H2282" s="165">
        <f>VLOOKUP(Sales[[#This Row],[Product ID]],Product[#All],7,0)</f>
        <v>1460</v>
      </c>
      <c r="I2282" s="165">
        <f>Sales[[#This Row],[Selling Rate]]*Sales[[#This Row],[Qty]]</f>
        <v>11680</v>
      </c>
      <c r="J2282" s="45">
        <v>0.05</v>
      </c>
      <c r="K2282" s="46">
        <f>Sales[[#This Row],[Gross Amount]]*Sales[[#This Row],[Disc %]]</f>
        <v>584</v>
      </c>
      <c r="L2282" s="43">
        <v>0.18</v>
      </c>
      <c r="M2282" s="46">
        <f>(Sales[[#This Row],[Gross Amount]]-Sales[[#This Row],[Disc. Amt.]])*Sales[[#This Row],[GST %]]</f>
        <v>1997.28</v>
      </c>
      <c r="N2282" s="161">
        <f>Sales[[#This Row],[Gross Amount]]-Sales[[#This Row],[Disc. Amt.]]+Sales[[#This Row],[GST Amount]]</f>
        <v>13093.28</v>
      </c>
      <c r="O2282" s="34" t="s">
        <v>3561</v>
      </c>
      <c r="P2282" s="34" t="s">
        <v>3562</v>
      </c>
      <c r="Q2282" s="165">
        <f>IF(Sales[[#This Row],[Status]]="Cancelled",0,Sales[[#This Row],[Qty]])</f>
        <v>8</v>
      </c>
      <c r="R2282" s="166">
        <f>IF(Sales[[#This Row],[Status]]="Cancelled",0,Sales[[#This Row],[Total Amount]])</f>
        <v>13093.28</v>
      </c>
      <c r="S2282" s="162">
        <f>SUM(Sales[Net Amount])</f>
        <v>406839287.73200053</v>
      </c>
    </row>
    <row r="2283" spans="1:19" ht="18.75" x14ac:dyDescent="0.25">
      <c r="A2283" s="156" t="s">
        <v>5906</v>
      </c>
      <c r="B2283" s="157">
        <v>45894</v>
      </c>
      <c r="C2283" s="158" t="s">
        <v>676</v>
      </c>
      <c r="D2283" s="159" t="str">
        <f>VLOOKUP(Sales[[#This Row],[Customer ID]],Customer[#All],2,0)</f>
        <v>Neha Singh</v>
      </c>
      <c r="E2283" s="158" t="s">
        <v>179</v>
      </c>
      <c r="F2283" s="158" t="str">
        <f>VLOOKUP(Sales[[#This Row],[Product ID]],Product[#All],2,0)</f>
        <v>TP-link Wi-Fi Adapter</v>
      </c>
      <c r="G2283" s="159">
        <v>8</v>
      </c>
      <c r="H2283" s="160">
        <f>VLOOKUP(Sales[[#This Row],[Product ID]],Product[#All],7,0)</f>
        <v>1490</v>
      </c>
      <c r="I2283" s="160">
        <f>Sales[[#This Row],[Selling Rate]]*Sales[[#This Row],[Qty]]</f>
        <v>11920</v>
      </c>
      <c r="J2283" s="43">
        <v>0.02</v>
      </c>
      <c r="K2283" s="44">
        <f>Sales[[#This Row],[Gross Amount]]*Sales[[#This Row],[Disc %]]</f>
        <v>238.4</v>
      </c>
      <c r="L2283" s="43">
        <v>0.18</v>
      </c>
      <c r="M2283" s="44">
        <f>(Sales[[#This Row],[Gross Amount]]-Sales[[#This Row],[Disc. Amt.]])*Sales[[#This Row],[GST %]]</f>
        <v>2102.6880000000001</v>
      </c>
      <c r="N2283" s="161">
        <f>Sales[[#This Row],[Gross Amount]]-Sales[[#This Row],[Disc. Amt.]]+Sales[[#This Row],[GST Amount]]</f>
        <v>13784.288</v>
      </c>
      <c r="O2283" s="158" t="s">
        <v>3561</v>
      </c>
      <c r="P2283" s="158" t="s">
        <v>3562</v>
      </c>
      <c r="Q2283" s="160">
        <f>IF(Sales[[#This Row],[Status]]="Cancelled",0,Sales[[#This Row],[Qty]])</f>
        <v>8</v>
      </c>
      <c r="R2283" s="161">
        <f>IF(Sales[[#This Row],[Status]]="Cancelled",0,Sales[[#This Row],[Total Amount]])</f>
        <v>13784.288</v>
      </c>
      <c r="S2283" s="162">
        <f>SUM(Sales[Net Amount])</f>
        <v>406839287.73200053</v>
      </c>
    </row>
    <row r="2284" spans="1:19" ht="18.75" x14ac:dyDescent="0.25">
      <c r="A2284" s="163" t="s">
        <v>5907</v>
      </c>
      <c r="B2284" s="164">
        <v>45894</v>
      </c>
      <c r="C2284" s="34" t="s">
        <v>713</v>
      </c>
      <c r="D2284" s="53" t="str">
        <f>VLOOKUP(Sales[[#This Row],[Customer ID]],Customer[#All],2,0)</f>
        <v>Amit Gupta</v>
      </c>
      <c r="E2284" s="34" t="s">
        <v>390</v>
      </c>
      <c r="F2284" s="34" t="str">
        <f>VLOOKUP(Sales[[#This Row],[Product ID]],Product[#All],2,0)</f>
        <v>TP-link Router</v>
      </c>
      <c r="G2284" s="53">
        <v>2</v>
      </c>
      <c r="H2284" s="165">
        <f>VLOOKUP(Sales[[#This Row],[Product ID]],Product[#All],7,0)</f>
        <v>4620</v>
      </c>
      <c r="I2284" s="165">
        <f>Sales[[#This Row],[Selling Rate]]*Sales[[#This Row],[Qty]]</f>
        <v>9240</v>
      </c>
      <c r="J2284" s="45">
        <v>0</v>
      </c>
      <c r="K2284" s="46">
        <f>Sales[[#This Row],[Gross Amount]]*Sales[[#This Row],[Disc %]]</f>
        <v>0</v>
      </c>
      <c r="L2284" s="43">
        <v>0.18</v>
      </c>
      <c r="M2284" s="46">
        <f>(Sales[[#This Row],[Gross Amount]]-Sales[[#This Row],[Disc. Amt.]])*Sales[[#This Row],[GST %]]</f>
        <v>1663.2</v>
      </c>
      <c r="N2284" s="161">
        <f>Sales[[#This Row],[Gross Amount]]-Sales[[#This Row],[Disc. Amt.]]+Sales[[#This Row],[GST Amount]]</f>
        <v>10903.2</v>
      </c>
      <c r="O2284" s="34" t="s">
        <v>3569</v>
      </c>
      <c r="P2284" s="34" t="s">
        <v>3562</v>
      </c>
      <c r="Q2284" s="165">
        <f>IF(Sales[[#This Row],[Status]]="Cancelled",0,Sales[[#This Row],[Qty]])</f>
        <v>2</v>
      </c>
      <c r="R2284" s="166">
        <f>IF(Sales[[#This Row],[Status]]="Cancelled",0,Sales[[#This Row],[Total Amount]])</f>
        <v>10903.2</v>
      </c>
      <c r="S2284" s="162">
        <f>SUM(Sales[Net Amount])</f>
        <v>406839287.73200053</v>
      </c>
    </row>
    <row r="2285" spans="1:19" ht="18.75" x14ac:dyDescent="0.25">
      <c r="A2285" s="156" t="s">
        <v>5908</v>
      </c>
      <c r="B2285" s="157">
        <v>45894</v>
      </c>
      <c r="C2285" s="158" t="s">
        <v>783</v>
      </c>
      <c r="D2285" s="159" t="str">
        <f>VLOOKUP(Sales[[#This Row],[Customer ID]],Customer[#All],2,0)</f>
        <v>Neha Singh</v>
      </c>
      <c r="E2285" s="158" t="s">
        <v>316</v>
      </c>
      <c r="F2285" s="158" t="str">
        <f>VLOOKUP(Sales[[#This Row],[Product ID]],Product[#All],2,0)</f>
        <v>TP-link Router</v>
      </c>
      <c r="G2285" s="159">
        <v>5</v>
      </c>
      <c r="H2285" s="160">
        <f>VLOOKUP(Sales[[#This Row],[Product ID]],Product[#All],7,0)</f>
        <v>3750</v>
      </c>
      <c r="I2285" s="160">
        <f>Sales[[#This Row],[Selling Rate]]*Sales[[#This Row],[Qty]]</f>
        <v>18750</v>
      </c>
      <c r="J2285" s="43">
        <v>0.12</v>
      </c>
      <c r="K2285" s="44">
        <f>Sales[[#This Row],[Gross Amount]]*Sales[[#This Row],[Disc %]]</f>
        <v>2250</v>
      </c>
      <c r="L2285" s="43">
        <v>0.18</v>
      </c>
      <c r="M2285" s="44">
        <f>(Sales[[#This Row],[Gross Amount]]-Sales[[#This Row],[Disc. Amt.]])*Sales[[#This Row],[GST %]]</f>
        <v>2970</v>
      </c>
      <c r="N2285" s="161">
        <f>Sales[[#This Row],[Gross Amount]]-Sales[[#This Row],[Disc. Amt.]]+Sales[[#This Row],[GST Amount]]</f>
        <v>19470</v>
      </c>
      <c r="O2285" s="158" t="s">
        <v>3561</v>
      </c>
      <c r="P2285" s="158" t="s">
        <v>3562</v>
      </c>
      <c r="Q2285" s="160">
        <f>IF(Sales[[#This Row],[Status]]="Cancelled",0,Sales[[#This Row],[Qty]])</f>
        <v>5</v>
      </c>
      <c r="R2285" s="161">
        <f>IF(Sales[[#This Row],[Status]]="Cancelled",0,Sales[[#This Row],[Total Amount]])</f>
        <v>19470</v>
      </c>
      <c r="S2285" s="162">
        <f>SUM(Sales[Net Amount])</f>
        <v>406839287.73200053</v>
      </c>
    </row>
    <row r="2286" spans="1:19" ht="18.75" x14ac:dyDescent="0.25">
      <c r="A2286" s="163" t="s">
        <v>5909</v>
      </c>
      <c r="B2286" s="164">
        <v>45894</v>
      </c>
      <c r="C2286" s="34" t="s">
        <v>725</v>
      </c>
      <c r="D2286" s="53" t="str">
        <f>VLOOKUP(Sales[[#This Row],[Customer ID]],Customer[#All],2,0)</f>
        <v>Ankit Kumar</v>
      </c>
      <c r="E2286" s="34" t="s">
        <v>435</v>
      </c>
      <c r="F2286" s="34" t="str">
        <f>VLOOKUP(Sales[[#This Row],[Product ID]],Product[#All],2,0)</f>
        <v>Corsair Ram</v>
      </c>
      <c r="G2286" s="53">
        <v>7</v>
      </c>
      <c r="H2286" s="165">
        <f>VLOOKUP(Sales[[#This Row],[Product ID]],Product[#All],7,0)</f>
        <v>8060</v>
      </c>
      <c r="I2286" s="165">
        <f>Sales[[#This Row],[Selling Rate]]*Sales[[#This Row],[Qty]]</f>
        <v>56420</v>
      </c>
      <c r="J2286" s="45">
        <v>0.05</v>
      </c>
      <c r="K2286" s="46">
        <f>Sales[[#This Row],[Gross Amount]]*Sales[[#This Row],[Disc %]]</f>
        <v>2821</v>
      </c>
      <c r="L2286" s="43">
        <v>0.18</v>
      </c>
      <c r="M2286" s="46">
        <f>(Sales[[#This Row],[Gross Amount]]-Sales[[#This Row],[Disc. Amt.]])*Sales[[#This Row],[GST %]]</f>
        <v>9647.82</v>
      </c>
      <c r="N2286" s="161">
        <f>Sales[[#This Row],[Gross Amount]]-Sales[[#This Row],[Disc. Amt.]]+Sales[[#This Row],[GST Amount]]</f>
        <v>63246.82</v>
      </c>
      <c r="O2286" s="34" t="s">
        <v>3566</v>
      </c>
      <c r="P2286" s="34" t="s">
        <v>3562</v>
      </c>
      <c r="Q2286" s="165">
        <f>IF(Sales[[#This Row],[Status]]="Cancelled",0,Sales[[#This Row],[Qty]])</f>
        <v>7</v>
      </c>
      <c r="R2286" s="166">
        <f>IF(Sales[[#This Row],[Status]]="Cancelled",0,Sales[[#This Row],[Total Amount]])</f>
        <v>63246.82</v>
      </c>
      <c r="S2286" s="162">
        <f>SUM(Sales[Net Amount])</f>
        <v>406839287.73200053</v>
      </c>
    </row>
    <row r="2287" spans="1:19" ht="18.75" x14ac:dyDescent="0.25">
      <c r="A2287" s="156" t="s">
        <v>5910</v>
      </c>
      <c r="B2287" s="157">
        <v>45894</v>
      </c>
      <c r="C2287" s="158" t="s">
        <v>777</v>
      </c>
      <c r="D2287" s="159" t="str">
        <f>VLOOKUP(Sales[[#This Row],[Customer ID]],Customer[#All],2,0)</f>
        <v>Neha Sharma</v>
      </c>
      <c r="E2287" s="158" t="s">
        <v>403</v>
      </c>
      <c r="F2287" s="158" t="str">
        <f>VLOOKUP(Sales[[#This Row],[Product ID]],Product[#All],2,0)</f>
        <v>Apc UPS</v>
      </c>
      <c r="G2287" s="159">
        <v>3</v>
      </c>
      <c r="H2287" s="160">
        <f>VLOOKUP(Sales[[#This Row],[Product ID]],Product[#All],7,0)</f>
        <v>15810</v>
      </c>
      <c r="I2287" s="160">
        <f>Sales[[#This Row],[Selling Rate]]*Sales[[#This Row],[Qty]]</f>
        <v>47430</v>
      </c>
      <c r="J2287" s="43">
        <v>0.05</v>
      </c>
      <c r="K2287" s="44">
        <f>Sales[[#This Row],[Gross Amount]]*Sales[[#This Row],[Disc %]]</f>
        <v>2371.5</v>
      </c>
      <c r="L2287" s="43">
        <v>0.18</v>
      </c>
      <c r="M2287" s="44">
        <f>(Sales[[#This Row],[Gross Amount]]-Sales[[#This Row],[Disc. Amt.]])*Sales[[#This Row],[GST %]]</f>
        <v>8110.53</v>
      </c>
      <c r="N2287" s="161">
        <f>Sales[[#This Row],[Gross Amount]]-Sales[[#This Row],[Disc. Amt.]]+Sales[[#This Row],[GST Amount]]</f>
        <v>53169.03</v>
      </c>
      <c r="O2287" s="158" t="s">
        <v>8876</v>
      </c>
      <c r="P2287" s="158" t="s">
        <v>3562</v>
      </c>
      <c r="Q2287" s="160">
        <f>IF(Sales[[#This Row],[Status]]="Cancelled",0,Sales[[#This Row],[Qty]])</f>
        <v>3</v>
      </c>
      <c r="R2287" s="161">
        <f>IF(Sales[[#This Row],[Status]]="Cancelled",0,Sales[[#This Row],[Total Amount]])</f>
        <v>53169.03</v>
      </c>
      <c r="S2287" s="162">
        <f>SUM(Sales[Net Amount])</f>
        <v>406839287.73200053</v>
      </c>
    </row>
    <row r="2288" spans="1:19" ht="18.75" x14ac:dyDescent="0.25">
      <c r="A2288" s="163" t="s">
        <v>5911</v>
      </c>
      <c r="B2288" s="164">
        <v>45894</v>
      </c>
      <c r="C2288" s="34" t="s">
        <v>921</v>
      </c>
      <c r="D2288" s="53" t="str">
        <f>VLOOKUP(Sales[[#This Row],[Customer ID]],Customer[#All],2,0)</f>
        <v>Sahil Gupta</v>
      </c>
      <c r="E2288" s="34" t="s">
        <v>400</v>
      </c>
      <c r="F2288" s="34" t="str">
        <f>VLOOKUP(Sales[[#This Row],[Product ID]],Product[#All],2,0)</f>
        <v>TP-link Bluetooth Adapter</v>
      </c>
      <c r="G2288" s="53">
        <v>3</v>
      </c>
      <c r="H2288" s="165">
        <f>VLOOKUP(Sales[[#This Row],[Product ID]],Product[#All],7,0)</f>
        <v>1320</v>
      </c>
      <c r="I2288" s="165">
        <f>Sales[[#This Row],[Selling Rate]]*Sales[[#This Row],[Qty]]</f>
        <v>3960</v>
      </c>
      <c r="J2288" s="45">
        <v>0.02</v>
      </c>
      <c r="K2288" s="46">
        <f>Sales[[#This Row],[Gross Amount]]*Sales[[#This Row],[Disc %]]</f>
        <v>79.2</v>
      </c>
      <c r="L2288" s="43">
        <v>0.18</v>
      </c>
      <c r="M2288" s="46">
        <f>(Sales[[#This Row],[Gross Amount]]-Sales[[#This Row],[Disc. Amt.]])*Sales[[#This Row],[GST %]]</f>
        <v>698.54399999999998</v>
      </c>
      <c r="N2288" s="161">
        <f>Sales[[#This Row],[Gross Amount]]-Sales[[#This Row],[Disc. Amt.]]+Sales[[#This Row],[GST Amount]]</f>
        <v>4579.3440000000001</v>
      </c>
      <c r="O2288" s="34" t="s">
        <v>3569</v>
      </c>
      <c r="P2288" s="34" t="s">
        <v>3562</v>
      </c>
      <c r="Q2288" s="165">
        <f>IF(Sales[[#This Row],[Status]]="Cancelled",0,Sales[[#This Row],[Qty]])</f>
        <v>3</v>
      </c>
      <c r="R2288" s="166">
        <f>IF(Sales[[#This Row],[Status]]="Cancelled",0,Sales[[#This Row],[Total Amount]])</f>
        <v>4579.3440000000001</v>
      </c>
      <c r="S2288" s="162">
        <f>SUM(Sales[Net Amount])</f>
        <v>406839287.73200053</v>
      </c>
    </row>
    <row r="2289" spans="1:19" ht="18.75" x14ac:dyDescent="0.25">
      <c r="A2289" s="156" t="s">
        <v>5912</v>
      </c>
      <c r="B2289" s="157">
        <v>45894</v>
      </c>
      <c r="C2289" s="158" t="s">
        <v>803</v>
      </c>
      <c r="D2289" s="159" t="str">
        <f>VLOOKUP(Sales[[#This Row],[Customer ID]],Customer[#All],2,0)</f>
        <v>Pooja Singh</v>
      </c>
      <c r="E2289" s="158" t="s">
        <v>344</v>
      </c>
      <c r="F2289" s="158" t="str">
        <f>VLOOKUP(Sales[[#This Row],[Product ID]],Product[#All],2,0)</f>
        <v>WD HDD</v>
      </c>
      <c r="G2289" s="159">
        <v>1</v>
      </c>
      <c r="H2289" s="160">
        <f>VLOOKUP(Sales[[#This Row],[Product ID]],Product[#All],7,0)</f>
        <v>11260</v>
      </c>
      <c r="I2289" s="160">
        <f>Sales[[#This Row],[Selling Rate]]*Sales[[#This Row],[Qty]]</f>
        <v>11260</v>
      </c>
      <c r="J2289" s="43">
        <v>0.1</v>
      </c>
      <c r="K2289" s="44">
        <f>Sales[[#This Row],[Gross Amount]]*Sales[[#This Row],[Disc %]]</f>
        <v>1126</v>
      </c>
      <c r="L2289" s="43">
        <v>0.18</v>
      </c>
      <c r="M2289" s="44">
        <f>(Sales[[#This Row],[Gross Amount]]-Sales[[#This Row],[Disc. Amt.]])*Sales[[#This Row],[GST %]]</f>
        <v>1824.12</v>
      </c>
      <c r="N2289" s="161">
        <f>Sales[[#This Row],[Gross Amount]]-Sales[[#This Row],[Disc. Amt.]]+Sales[[#This Row],[GST Amount]]</f>
        <v>11958.119999999999</v>
      </c>
      <c r="O2289" s="158" t="s">
        <v>3566</v>
      </c>
      <c r="P2289" s="158" t="s">
        <v>3562</v>
      </c>
      <c r="Q2289" s="160">
        <f>IF(Sales[[#This Row],[Status]]="Cancelled",0,Sales[[#This Row],[Qty]])</f>
        <v>1</v>
      </c>
      <c r="R2289" s="161">
        <f>IF(Sales[[#This Row],[Status]]="Cancelled",0,Sales[[#This Row],[Total Amount]])</f>
        <v>11958.119999999999</v>
      </c>
      <c r="S2289" s="162">
        <f>SUM(Sales[Net Amount])</f>
        <v>406839287.73200053</v>
      </c>
    </row>
    <row r="2290" spans="1:19" ht="18.75" x14ac:dyDescent="0.25">
      <c r="A2290" s="163" t="s">
        <v>5913</v>
      </c>
      <c r="B2290" s="164">
        <v>45894</v>
      </c>
      <c r="C2290" s="34" t="s">
        <v>676</v>
      </c>
      <c r="D2290" s="53" t="str">
        <f>VLOOKUP(Sales[[#This Row],[Customer ID]],Customer[#All],2,0)</f>
        <v>Neha Singh</v>
      </c>
      <c r="E2290" s="34" t="s">
        <v>268</v>
      </c>
      <c r="F2290" s="34" t="str">
        <f>VLOOKUP(Sales[[#This Row],[Product ID]],Product[#All],2,0)</f>
        <v>American TouristerLaptopBag</v>
      </c>
      <c r="G2290" s="53">
        <v>6</v>
      </c>
      <c r="H2290" s="165">
        <f>VLOOKUP(Sales[[#This Row],[Product ID]],Product[#All],7,0)</f>
        <v>2080</v>
      </c>
      <c r="I2290" s="165">
        <f>Sales[[#This Row],[Selling Rate]]*Sales[[#This Row],[Qty]]</f>
        <v>12480</v>
      </c>
      <c r="J2290" s="45">
        <v>0.05</v>
      </c>
      <c r="K2290" s="46">
        <f>Sales[[#This Row],[Gross Amount]]*Sales[[#This Row],[Disc %]]</f>
        <v>624</v>
      </c>
      <c r="L2290" s="43">
        <v>0.18</v>
      </c>
      <c r="M2290" s="46">
        <f>(Sales[[#This Row],[Gross Amount]]-Sales[[#This Row],[Disc. Amt.]])*Sales[[#This Row],[GST %]]</f>
        <v>2134.08</v>
      </c>
      <c r="N2290" s="161">
        <f>Sales[[#This Row],[Gross Amount]]-Sales[[#This Row],[Disc. Amt.]]+Sales[[#This Row],[GST Amount]]</f>
        <v>13990.08</v>
      </c>
      <c r="O2290" s="34" t="s">
        <v>8876</v>
      </c>
      <c r="P2290" s="34" t="s">
        <v>3562</v>
      </c>
      <c r="Q2290" s="165">
        <f>IF(Sales[[#This Row],[Status]]="Cancelled",0,Sales[[#This Row],[Qty]])</f>
        <v>6</v>
      </c>
      <c r="R2290" s="166">
        <f>IF(Sales[[#This Row],[Status]]="Cancelled",0,Sales[[#This Row],[Total Amount]])</f>
        <v>13990.08</v>
      </c>
      <c r="S2290" s="162">
        <f>SUM(Sales[Net Amount])</f>
        <v>406839287.73200053</v>
      </c>
    </row>
    <row r="2291" spans="1:19" ht="18.75" x14ac:dyDescent="0.25">
      <c r="A2291" s="156" t="s">
        <v>5914</v>
      </c>
      <c r="B2291" s="157">
        <v>45894</v>
      </c>
      <c r="C2291" s="158" t="s">
        <v>696</v>
      </c>
      <c r="D2291" s="159" t="str">
        <f>VLOOKUP(Sales[[#This Row],[Customer ID]],Customer[#All],2,0)</f>
        <v>Sunita Verma</v>
      </c>
      <c r="E2291" s="158" t="s">
        <v>73</v>
      </c>
      <c r="F2291" s="158" t="str">
        <f>VLOOKUP(Sales[[#This Row],[Product ID]],Product[#All],2,0)</f>
        <v>TP-link Router</v>
      </c>
      <c r="G2291" s="159">
        <v>2</v>
      </c>
      <c r="H2291" s="160">
        <f>VLOOKUP(Sales[[#This Row],[Product ID]],Product[#All],7,0)</f>
        <v>1770</v>
      </c>
      <c r="I2291" s="160">
        <f>Sales[[#This Row],[Selling Rate]]*Sales[[#This Row],[Qty]]</f>
        <v>3540</v>
      </c>
      <c r="J2291" s="43">
        <v>0.02</v>
      </c>
      <c r="K2291" s="44">
        <f>Sales[[#This Row],[Gross Amount]]*Sales[[#This Row],[Disc %]]</f>
        <v>70.8</v>
      </c>
      <c r="L2291" s="43">
        <v>0.18</v>
      </c>
      <c r="M2291" s="44">
        <f>(Sales[[#This Row],[Gross Amount]]-Sales[[#This Row],[Disc. Amt.]])*Sales[[#This Row],[GST %]]</f>
        <v>624.4559999999999</v>
      </c>
      <c r="N2291" s="161">
        <f>Sales[[#This Row],[Gross Amount]]-Sales[[#This Row],[Disc. Amt.]]+Sales[[#This Row],[GST Amount]]</f>
        <v>4093.6559999999999</v>
      </c>
      <c r="O2291" s="158" t="s">
        <v>3566</v>
      </c>
      <c r="P2291" s="158" t="s">
        <v>3562</v>
      </c>
      <c r="Q2291" s="160">
        <f>IF(Sales[[#This Row],[Status]]="Cancelled",0,Sales[[#This Row],[Qty]])</f>
        <v>2</v>
      </c>
      <c r="R2291" s="161">
        <f>IF(Sales[[#This Row],[Status]]="Cancelled",0,Sales[[#This Row],[Total Amount]])</f>
        <v>4093.6559999999999</v>
      </c>
      <c r="S2291" s="162">
        <f>SUM(Sales[Net Amount])</f>
        <v>406839287.73200053</v>
      </c>
    </row>
    <row r="2292" spans="1:19" ht="18.75" x14ac:dyDescent="0.25">
      <c r="A2292" s="163" t="s">
        <v>5915</v>
      </c>
      <c r="B2292" s="164">
        <v>45894</v>
      </c>
      <c r="C2292" s="34" t="s">
        <v>779</v>
      </c>
      <c r="D2292" s="53" t="str">
        <f>VLOOKUP(Sales[[#This Row],[Customer ID]],Customer[#All],2,0)</f>
        <v>Rakesh Verma</v>
      </c>
      <c r="E2292" s="34" t="s">
        <v>305</v>
      </c>
      <c r="F2292" s="34" t="str">
        <f>VLOOKUP(Sales[[#This Row],[Product ID]],Product[#All],2,0)</f>
        <v>HP Power Adapter</v>
      </c>
      <c r="G2292" s="53">
        <v>2</v>
      </c>
      <c r="H2292" s="165">
        <f>VLOOKUP(Sales[[#This Row],[Product ID]],Product[#All],7,0)</f>
        <v>2640</v>
      </c>
      <c r="I2292" s="165">
        <f>Sales[[#This Row],[Selling Rate]]*Sales[[#This Row],[Qty]]</f>
        <v>5280</v>
      </c>
      <c r="J2292" s="45">
        <v>0</v>
      </c>
      <c r="K2292" s="46">
        <f>Sales[[#This Row],[Gross Amount]]*Sales[[#This Row],[Disc %]]</f>
        <v>0</v>
      </c>
      <c r="L2292" s="43">
        <v>0.18</v>
      </c>
      <c r="M2292" s="46">
        <f>(Sales[[#This Row],[Gross Amount]]-Sales[[#This Row],[Disc. Amt.]])*Sales[[#This Row],[GST %]]</f>
        <v>950.4</v>
      </c>
      <c r="N2292" s="161">
        <f>Sales[[#This Row],[Gross Amount]]-Sales[[#This Row],[Disc. Amt.]]+Sales[[#This Row],[GST Amount]]</f>
        <v>6230.4</v>
      </c>
      <c r="O2292" s="34" t="s">
        <v>3569</v>
      </c>
      <c r="P2292" s="34" t="s">
        <v>3562</v>
      </c>
      <c r="Q2292" s="165">
        <f>IF(Sales[[#This Row],[Status]]="Cancelled",0,Sales[[#This Row],[Qty]])</f>
        <v>2</v>
      </c>
      <c r="R2292" s="166">
        <f>IF(Sales[[#This Row],[Status]]="Cancelled",0,Sales[[#This Row],[Total Amount]])</f>
        <v>6230.4</v>
      </c>
      <c r="S2292" s="162">
        <f>SUM(Sales[Net Amount])</f>
        <v>406839287.73200053</v>
      </c>
    </row>
    <row r="2293" spans="1:19" ht="18.75" x14ac:dyDescent="0.25">
      <c r="A2293" s="156" t="s">
        <v>5916</v>
      </c>
      <c r="B2293" s="157">
        <v>45894</v>
      </c>
      <c r="C2293" s="158" t="s">
        <v>713</v>
      </c>
      <c r="D2293" s="159" t="str">
        <f>VLOOKUP(Sales[[#This Row],[Customer ID]],Customer[#All],2,0)</f>
        <v>Amit Gupta</v>
      </c>
      <c r="E2293" s="158" t="s">
        <v>159</v>
      </c>
      <c r="F2293" s="158" t="str">
        <f>VLOOKUP(Sales[[#This Row],[Product ID]],Product[#All],2,0)</f>
        <v>HP Laptop</v>
      </c>
      <c r="G2293" s="159">
        <v>8</v>
      </c>
      <c r="H2293" s="160">
        <f>VLOOKUP(Sales[[#This Row],[Product ID]],Product[#All],7,0)</f>
        <v>90020</v>
      </c>
      <c r="I2293" s="160">
        <f>Sales[[#This Row],[Selling Rate]]*Sales[[#This Row],[Qty]]</f>
        <v>720160</v>
      </c>
      <c r="J2293" s="43">
        <v>0</v>
      </c>
      <c r="K2293" s="44">
        <f>Sales[[#This Row],[Gross Amount]]*Sales[[#This Row],[Disc %]]</f>
        <v>0</v>
      </c>
      <c r="L2293" s="43">
        <v>0.18</v>
      </c>
      <c r="M2293" s="44">
        <f>(Sales[[#This Row],[Gross Amount]]-Sales[[#This Row],[Disc. Amt.]])*Sales[[#This Row],[GST %]]</f>
        <v>129628.79999999999</v>
      </c>
      <c r="N2293" s="161">
        <f>Sales[[#This Row],[Gross Amount]]-Sales[[#This Row],[Disc. Amt.]]+Sales[[#This Row],[GST Amount]]</f>
        <v>849788.8</v>
      </c>
      <c r="O2293" s="158" t="s">
        <v>3569</v>
      </c>
      <c r="P2293" s="158" t="s">
        <v>1040</v>
      </c>
      <c r="Q2293" s="160">
        <f>IF(Sales[[#This Row],[Status]]="Cancelled",0,Sales[[#This Row],[Qty]])</f>
        <v>0</v>
      </c>
      <c r="R2293" s="161">
        <f>IF(Sales[[#This Row],[Status]]="Cancelled",0,Sales[[#This Row],[Total Amount]])</f>
        <v>0</v>
      </c>
      <c r="S2293" s="162">
        <f>SUM(Sales[Net Amount])</f>
        <v>406839287.73200053</v>
      </c>
    </row>
    <row r="2294" spans="1:19" ht="18.75" x14ac:dyDescent="0.25">
      <c r="A2294" s="163" t="s">
        <v>5917</v>
      </c>
      <c r="B2294" s="164">
        <v>45894</v>
      </c>
      <c r="C2294" s="34" t="s">
        <v>897</v>
      </c>
      <c r="D2294" s="53" t="str">
        <f>VLOOKUP(Sales[[#This Row],[Customer ID]],Customer[#All],2,0)</f>
        <v>Amit Patel</v>
      </c>
      <c r="E2294" s="34" t="s">
        <v>144</v>
      </c>
      <c r="F2294" s="34" t="str">
        <f>VLOOKUP(Sales[[#This Row],[Product ID]],Product[#All],2,0)</f>
        <v>Jbl Speaker</v>
      </c>
      <c r="G2294" s="53">
        <v>6</v>
      </c>
      <c r="H2294" s="165">
        <f>VLOOKUP(Sales[[#This Row],[Product ID]],Product[#All],7,0)</f>
        <v>7630</v>
      </c>
      <c r="I2294" s="165">
        <f>Sales[[#This Row],[Selling Rate]]*Sales[[#This Row],[Qty]]</f>
        <v>45780</v>
      </c>
      <c r="J2294" s="45">
        <v>0.12</v>
      </c>
      <c r="K2294" s="46">
        <f>Sales[[#This Row],[Gross Amount]]*Sales[[#This Row],[Disc %]]</f>
        <v>5493.5999999999995</v>
      </c>
      <c r="L2294" s="43">
        <v>0.18</v>
      </c>
      <c r="M2294" s="46">
        <f>(Sales[[#This Row],[Gross Amount]]-Sales[[#This Row],[Disc. Amt.]])*Sales[[#This Row],[GST %]]</f>
        <v>7251.5519999999997</v>
      </c>
      <c r="N2294" s="161">
        <f>Sales[[#This Row],[Gross Amount]]-Sales[[#This Row],[Disc. Amt.]]+Sales[[#This Row],[GST Amount]]</f>
        <v>47537.952000000005</v>
      </c>
      <c r="O2294" s="34" t="s">
        <v>3566</v>
      </c>
      <c r="P2294" s="34" t="s">
        <v>3562</v>
      </c>
      <c r="Q2294" s="165">
        <f>IF(Sales[[#This Row],[Status]]="Cancelled",0,Sales[[#This Row],[Qty]])</f>
        <v>6</v>
      </c>
      <c r="R2294" s="166">
        <f>IF(Sales[[#This Row],[Status]]="Cancelled",0,Sales[[#This Row],[Total Amount]])</f>
        <v>47537.952000000005</v>
      </c>
      <c r="S2294" s="162">
        <f>SUM(Sales[Net Amount])</f>
        <v>406839287.73200053</v>
      </c>
    </row>
    <row r="2295" spans="1:19" ht="18.75" x14ac:dyDescent="0.25">
      <c r="A2295" s="156" t="s">
        <v>5918</v>
      </c>
      <c r="B2295" s="157">
        <v>45894</v>
      </c>
      <c r="C2295" s="158" t="s">
        <v>722</v>
      </c>
      <c r="D2295" s="159" t="str">
        <f>VLOOKUP(Sales[[#This Row],[Customer ID]],Customer[#All],2,0)</f>
        <v>Vikas Patel</v>
      </c>
      <c r="E2295" s="158" t="s">
        <v>61</v>
      </c>
      <c r="F2295" s="158" t="str">
        <f>VLOOKUP(Sales[[#This Row],[Product ID]],Product[#All],2,0)</f>
        <v>Boat Headset</v>
      </c>
      <c r="G2295" s="159">
        <v>4</v>
      </c>
      <c r="H2295" s="160">
        <f>VLOOKUP(Sales[[#This Row],[Product ID]],Product[#All],7,0)</f>
        <v>3570</v>
      </c>
      <c r="I2295" s="160">
        <f>Sales[[#This Row],[Selling Rate]]*Sales[[#This Row],[Qty]]</f>
        <v>14280</v>
      </c>
      <c r="J2295" s="43">
        <v>0.02</v>
      </c>
      <c r="K2295" s="44">
        <f>Sales[[#This Row],[Gross Amount]]*Sales[[#This Row],[Disc %]]</f>
        <v>285.60000000000002</v>
      </c>
      <c r="L2295" s="43">
        <v>0.18</v>
      </c>
      <c r="M2295" s="44">
        <f>(Sales[[#This Row],[Gross Amount]]-Sales[[#This Row],[Disc. Amt.]])*Sales[[#This Row],[GST %]]</f>
        <v>2518.9919999999997</v>
      </c>
      <c r="N2295" s="161">
        <f>Sales[[#This Row],[Gross Amount]]-Sales[[#This Row],[Disc. Amt.]]+Sales[[#This Row],[GST Amount]]</f>
        <v>16513.392</v>
      </c>
      <c r="O2295" s="158" t="s">
        <v>3566</v>
      </c>
      <c r="P2295" s="158" t="s">
        <v>3562</v>
      </c>
      <c r="Q2295" s="160">
        <f>IF(Sales[[#This Row],[Status]]="Cancelled",0,Sales[[#This Row],[Qty]])</f>
        <v>4</v>
      </c>
      <c r="R2295" s="161">
        <f>IF(Sales[[#This Row],[Status]]="Cancelled",0,Sales[[#This Row],[Total Amount]])</f>
        <v>16513.392</v>
      </c>
      <c r="S2295" s="162">
        <f>SUM(Sales[Net Amount])</f>
        <v>406839287.73200053</v>
      </c>
    </row>
    <row r="2296" spans="1:19" ht="18.75" x14ac:dyDescent="0.25">
      <c r="A2296" s="163" t="s">
        <v>5919</v>
      </c>
      <c r="B2296" s="164">
        <v>45894</v>
      </c>
      <c r="C2296" s="34" t="s">
        <v>827</v>
      </c>
      <c r="D2296" s="53" t="str">
        <f>VLOOKUP(Sales[[#This Row],[Customer ID]],Customer[#All],2,0)</f>
        <v>Ankit Gupta</v>
      </c>
      <c r="E2296" s="34" t="s">
        <v>541</v>
      </c>
      <c r="F2296" s="34" t="str">
        <f>VLOOKUP(Sales[[#This Row],[Product ID]],Product[#All],2,0)</f>
        <v>Crucial Ssd</v>
      </c>
      <c r="G2296" s="53">
        <v>3</v>
      </c>
      <c r="H2296" s="165">
        <f>VLOOKUP(Sales[[#This Row],[Product ID]],Product[#All],7,0)</f>
        <v>9350</v>
      </c>
      <c r="I2296" s="165">
        <f>Sales[[#This Row],[Selling Rate]]*Sales[[#This Row],[Qty]]</f>
        <v>28050</v>
      </c>
      <c r="J2296" s="45">
        <v>0.05</v>
      </c>
      <c r="K2296" s="46">
        <f>Sales[[#This Row],[Gross Amount]]*Sales[[#This Row],[Disc %]]</f>
        <v>1402.5</v>
      </c>
      <c r="L2296" s="43">
        <v>0.18</v>
      </c>
      <c r="M2296" s="46">
        <f>(Sales[[#This Row],[Gross Amount]]-Sales[[#This Row],[Disc. Amt.]])*Sales[[#This Row],[GST %]]</f>
        <v>4796.55</v>
      </c>
      <c r="N2296" s="161">
        <f>Sales[[#This Row],[Gross Amount]]-Sales[[#This Row],[Disc. Amt.]]+Sales[[#This Row],[GST Amount]]</f>
        <v>31444.05</v>
      </c>
      <c r="O2296" s="34" t="s">
        <v>8876</v>
      </c>
      <c r="P2296" s="34" t="s">
        <v>3562</v>
      </c>
      <c r="Q2296" s="165">
        <f>IF(Sales[[#This Row],[Status]]="Cancelled",0,Sales[[#This Row],[Qty]])</f>
        <v>3</v>
      </c>
      <c r="R2296" s="166">
        <f>IF(Sales[[#This Row],[Status]]="Cancelled",0,Sales[[#This Row],[Total Amount]])</f>
        <v>31444.05</v>
      </c>
      <c r="S2296" s="162">
        <f>SUM(Sales[Net Amount])</f>
        <v>406839287.73200053</v>
      </c>
    </row>
    <row r="2297" spans="1:19" ht="18.75" x14ac:dyDescent="0.25">
      <c r="A2297" s="156" t="s">
        <v>5920</v>
      </c>
      <c r="B2297" s="157">
        <v>45894</v>
      </c>
      <c r="C2297" s="158" t="s">
        <v>863</v>
      </c>
      <c r="D2297" s="159" t="str">
        <f>VLOOKUP(Sales[[#This Row],[Customer ID]],Customer[#All],2,0)</f>
        <v>Sahil Sharma</v>
      </c>
      <c r="E2297" s="158" t="s">
        <v>30</v>
      </c>
      <c r="F2297" s="158" t="str">
        <f>VLOOKUP(Sales[[#This Row],[Product ID]],Product[#All],2,0)</f>
        <v>Samsung Monitor</v>
      </c>
      <c r="G2297" s="159">
        <v>8</v>
      </c>
      <c r="H2297" s="160">
        <f>VLOOKUP(Sales[[#This Row],[Product ID]],Product[#All],7,0)</f>
        <v>16740</v>
      </c>
      <c r="I2297" s="160">
        <f>Sales[[#This Row],[Selling Rate]]*Sales[[#This Row],[Qty]]</f>
        <v>133920</v>
      </c>
      <c r="J2297" s="43">
        <v>0.02</v>
      </c>
      <c r="K2297" s="44">
        <f>Sales[[#This Row],[Gross Amount]]*Sales[[#This Row],[Disc %]]</f>
        <v>2678.4</v>
      </c>
      <c r="L2297" s="43">
        <v>0.18</v>
      </c>
      <c r="M2297" s="44">
        <f>(Sales[[#This Row],[Gross Amount]]-Sales[[#This Row],[Disc. Amt.]])*Sales[[#This Row],[GST %]]</f>
        <v>23623.488000000001</v>
      </c>
      <c r="N2297" s="161">
        <f>Sales[[#This Row],[Gross Amount]]-Sales[[#This Row],[Disc. Amt.]]+Sales[[#This Row],[GST Amount]]</f>
        <v>154865.08800000002</v>
      </c>
      <c r="O2297" s="158" t="s">
        <v>8876</v>
      </c>
      <c r="P2297" s="158" t="s">
        <v>3562</v>
      </c>
      <c r="Q2297" s="160">
        <f>IF(Sales[[#This Row],[Status]]="Cancelled",0,Sales[[#This Row],[Qty]])</f>
        <v>8</v>
      </c>
      <c r="R2297" s="161">
        <f>IF(Sales[[#This Row],[Status]]="Cancelled",0,Sales[[#This Row],[Total Amount]])</f>
        <v>154865.08800000002</v>
      </c>
      <c r="S2297" s="162">
        <f>SUM(Sales[Net Amount])</f>
        <v>406839287.73200053</v>
      </c>
    </row>
    <row r="2298" spans="1:19" ht="18.75" x14ac:dyDescent="0.25">
      <c r="A2298" s="163" t="s">
        <v>5921</v>
      </c>
      <c r="B2298" s="164">
        <v>45894</v>
      </c>
      <c r="C2298" s="34" t="s">
        <v>930</v>
      </c>
      <c r="D2298" s="53" t="str">
        <f>VLOOKUP(Sales[[#This Row],[Customer ID]],Customer[#All],2,0)</f>
        <v>Rakesh Gupta</v>
      </c>
      <c r="E2298" s="34" t="s">
        <v>26</v>
      </c>
      <c r="F2298" s="34" t="str">
        <f>VLOOKUP(Sales[[#This Row],[Product ID]],Product[#All],2,0)</f>
        <v>Lg Monitor</v>
      </c>
      <c r="G2298" s="53">
        <v>3</v>
      </c>
      <c r="H2298" s="165">
        <f>VLOOKUP(Sales[[#This Row],[Product ID]],Product[#All],7,0)</f>
        <v>21600</v>
      </c>
      <c r="I2298" s="165">
        <f>Sales[[#This Row],[Selling Rate]]*Sales[[#This Row],[Qty]]</f>
        <v>64800</v>
      </c>
      <c r="J2298" s="45">
        <v>0.12</v>
      </c>
      <c r="K2298" s="46">
        <f>Sales[[#This Row],[Gross Amount]]*Sales[[#This Row],[Disc %]]</f>
        <v>7776</v>
      </c>
      <c r="L2298" s="43">
        <v>0.18</v>
      </c>
      <c r="M2298" s="46">
        <f>(Sales[[#This Row],[Gross Amount]]-Sales[[#This Row],[Disc. Amt.]])*Sales[[#This Row],[GST %]]</f>
        <v>10264.32</v>
      </c>
      <c r="N2298" s="161">
        <f>Sales[[#This Row],[Gross Amount]]-Sales[[#This Row],[Disc. Amt.]]+Sales[[#This Row],[GST Amount]]</f>
        <v>67288.320000000007</v>
      </c>
      <c r="O2298" s="34" t="s">
        <v>3569</v>
      </c>
      <c r="P2298" s="34" t="s">
        <v>3562</v>
      </c>
      <c r="Q2298" s="165">
        <f>IF(Sales[[#This Row],[Status]]="Cancelled",0,Sales[[#This Row],[Qty]])</f>
        <v>3</v>
      </c>
      <c r="R2298" s="166">
        <f>IF(Sales[[#This Row],[Status]]="Cancelled",0,Sales[[#This Row],[Total Amount]])</f>
        <v>67288.320000000007</v>
      </c>
      <c r="S2298" s="162">
        <f>SUM(Sales[Net Amount])</f>
        <v>406839287.73200053</v>
      </c>
    </row>
    <row r="2299" spans="1:19" ht="18.75" x14ac:dyDescent="0.25">
      <c r="A2299" s="156" t="s">
        <v>5922</v>
      </c>
      <c r="B2299" s="157">
        <v>45894</v>
      </c>
      <c r="C2299" s="158" t="s">
        <v>5923</v>
      </c>
      <c r="D2299" s="159" t="str">
        <f>VLOOKUP(Sales[[#This Row],[Customer ID]],Customer[#All],2,0)</f>
        <v>Neha Verma</v>
      </c>
      <c r="E2299" s="158" t="s">
        <v>304</v>
      </c>
      <c r="F2299" s="158" t="str">
        <f>VLOOKUP(Sales[[#This Row],[Product ID]],Product[#All],2,0)</f>
        <v>TP-link Router</v>
      </c>
      <c r="G2299" s="159">
        <v>6</v>
      </c>
      <c r="H2299" s="160">
        <f>VLOOKUP(Sales[[#This Row],[Product ID]],Product[#All],7,0)</f>
        <v>3320</v>
      </c>
      <c r="I2299" s="160">
        <f>Sales[[#This Row],[Selling Rate]]*Sales[[#This Row],[Qty]]</f>
        <v>19920</v>
      </c>
      <c r="J2299" s="43">
        <v>0.15</v>
      </c>
      <c r="K2299" s="44">
        <f>Sales[[#This Row],[Gross Amount]]*Sales[[#This Row],[Disc %]]</f>
        <v>2988</v>
      </c>
      <c r="L2299" s="43">
        <v>0.18</v>
      </c>
      <c r="M2299" s="44">
        <f>(Sales[[#This Row],[Gross Amount]]-Sales[[#This Row],[Disc. Amt.]])*Sales[[#This Row],[GST %]]</f>
        <v>3047.7599999999998</v>
      </c>
      <c r="N2299" s="161">
        <f>Sales[[#This Row],[Gross Amount]]-Sales[[#This Row],[Disc. Amt.]]+Sales[[#This Row],[GST Amount]]</f>
        <v>19979.759999999998</v>
      </c>
      <c r="O2299" s="158" t="s">
        <v>3561</v>
      </c>
      <c r="P2299" s="158" t="s">
        <v>3562</v>
      </c>
      <c r="Q2299" s="160">
        <f>IF(Sales[[#This Row],[Status]]="Cancelled",0,Sales[[#This Row],[Qty]])</f>
        <v>6</v>
      </c>
      <c r="R2299" s="161">
        <f>IF(Sales[[#This Row],[Status]]="Cancelled",0,Sales[[#This Row],[Total Amount]])</f>
        <v>19979.759999999998</v>
      </c>
      <c r="S2299" s="162">
        <f>SUM(Sales[Net Amount])</f>
        <v>406839287.73200053</v>
      </c>
    </row>
    <row r="2300" spans="1:19" ht="18.75" x14ac:dyDescent="0.25">
      <c r="A2300" s="163" t="s">
        <v>5924</v>
      </c>
      <c r="B2300" s="164">
        <v>45894</v>
      </c>
      <c r="C2300" s="34" t="s">
        <v>834</v>
      </c>
      <c r="D2300" s="53" t="str">
        <f>VLOOKUP(Sales[[#This Row],[Customer ID]],Customer[#All],2,0)</f>
        <v>Rahul Verma</v>
      </c>
      <c r="E2300" s="34" t="s">
        <v>280</v>
      </c>
      <c r="F2300" s="34" t="str">
        <f>VLOOKUP(Sales[[#This Row],[Product ID]],Product[#All],2,0)</f>
        <v>Epson Printer</v>
      </c>
      <c r="G2300" s="53">
        <v>4</v>
      </c>
      <c r="H2300" s="165">
        <f>VLOOKUP(Sales[[#This Row],[Product ID]],Product[#All],7,0)</f>
        <v>34550</v>
      </c>
      <c r="I2300" s="165">
        <f>Sales[[#This Row],[Selling Rate]]*Sales[[#This Row],[Qty]]</f>
        <v>138200</v>
      </c>
      <c r="J2300" s="45">
        <v>0.05</v>
      </c>
      <c r="K2300" s="46">
        <f>Sales[[#This Row],[Gross Amount]]*Sales[[#This Row],[Disc %]]</f>
        <v>6910</v>
      </c>
      <c r="L2300" s="43">
        <v>0.18</v>
      </c>
      <c r="M2300" s="46">
        <f>(Sales[[#This Row],[Gross Amount]]-Sales[[#This Row],[Disc. Amt.]])*Sales[[#This Row],[GST %]]</f>
        <v>23632.2</v>
      </c>
      <c r="N2300" s="161">
        <f>Sales[[#This Row],[Gross Amount]]-Sales[[#This Row],[Disc. Amt.]]+Sales[[#This Row],[GST Amount]]</f>
        <v>154922.20000000001</v>
      </c>
      <c r="O2300" s="34" t="s">
        <v>3569</v>
      </c>
      <c r="P2300" s="34" t="s">
        <v>3562</v>
      </c>
      <c r="Q2300" s="165">
        <f>IF(Sales[[#This Row],[Status]]="Cancelled",0,Sales[[#This Row],[Qty]])</f>
        <v>4</v>
      </c>
      <c r="R2300" s="166">
        <f>IF(Sales[[#This Row],[Status]]="Cancelled",0,Sales[[#This Row],[Total Amount]])</f>
        <v>154922.20000000001</v>
      </c>
      <c r="S2300" s="162">
        <f>SUM(Sales[Net Amount])</f>
        <v>406839287.73200053</v>
      </c>
    </row>
    <row r="2301" spans="1:19" ht="18.75" x14ac:dyDescent="0.25">
      <c r="A2301" s="156" t="s">
        <v>5925</v>
      </c>
      <c r="B2301" s="157">
        <v>45894</v>
      </c>
      <c r="C2301" s="158" t="s">
        <v>686</v>
      </c>
      <c r="D2301" s="159" t="str">
        <f>VLOOKUP(Sales[[#This Row],[Customer ID]],Customer[#All],2,0)</f>
        <v>Priya Gupta</v>
      </c>
      <c r="E2301" s="158" t="s">
        <v>131</v>
      </c>
      <c r="F2301" s="158" t="str">
        <f>VLOOKUP(Sales[[#This Row],[Product ID]],Product[#All],2,0)</f>
        <v>HP Power Adapter</v>
      </c>
      <c r="G2301" s="159">
        <v>5</v>
      </c>
      <c r="H2301" s="160">
        <f>VLOOKUP(Sales[[#This Row],[Product ID]],Product[#All],7,0)</f>
        <v>2540</v>
      </c>
      <c r="I2301" s="160">
        <f>Sales[[#This Row],[Selling Rate]]*Sales[[#This Row],[Qty]]</f>
        <v>12700</v>
      </c>
      <c r="J2301" s="43">
        <v>0</v>
      </c>
      <c r="K2301" s="44">
        <f>Sales[[#This Row],[Gross Amount]]*Sales[[#This Row],[Disc %]]</f>
        <v>0</v>
      </c>
      <c r="L2301" s="43">
        <v>0.18</v>
      </c>
      <c r="M2301" s="44">
        <f>(Sales[[#This Row],[Gross Amount]]-Sales[[#This Row],[Disc. Amt.]])*Sales[[#This Row],[GST %]]</f>
        <v>2286</v>
      </c>
      <c r="N2301" s="161">
        <f>Sales[[#This Row],[Gross Amount]]-Sales[[#This Row],[Disc. Amt.]]+Sales[[#This Row],[GST Amount]]</f>
        <v>14986</v>
      </c>
      <c r="O2301" s="158" t="s">
        <v>3561</v>
      </c>
      <c r="P2301" s="158" t="s">
        <v>3562</v>
      </c>
      <c r="Q2301" s="160">
        <f>IF(Sales[[#This Row],[Status]]="Cancelled",0,Sales[[#This Row],[Qty]])</f>
        <v>5</v>
      </c>
      <c r="R2301" s="161">
        <f>IF(Sales[[#This Row],[Status]]="Cancelled",0,Sales[[#This Row],[Total Amount]])</f>
        <v>14986</v>
      </c>
      <c r="S2301" s="162">
        <f>SUM(Sales[Net Amount])</f>
        <v>406839287.73200053</v>
      </c>
    </row>
    <row r="2302" spans="1:19" ht="18.75" x14ac:dyDescent="0.25">
      <c r="A2302" s="163" t="s">
        <v>5926</v>
      </c>
      <c r="B2302" s="164">
        <v>45894</v>
      </c>
      <c r="C2302" s="34" t="s">
        <v>838</v>
      </c>
      <c r="D2302" s="53" t="str">
        <f>VLOOKUP(Sales[[#This Row],[Customer ID]],Customer[#All],2,0)</f>
        <v>Priya Gupta</v>
      </c>
      <c r="E2302" s="34" t="s">
        <v>509</v>
      </c>
      <c r="F2302" s="34" t="str">
        <f>VLOOKUP(Sales[[#This Row],[Product ID]],Product[#All],2,0)</f>
        <v>D-Link Router</v>
      </c>
      <c r="G2302" s="53">
        <v>2</v>
      </c>
      <c r="H2302" s="165">
        <f>VLOOKUP(Sales[[#This Row],[Product ID]],Product[#All],7,0)</f>
        <v>3460</v>
      </c>
      <c r="I2302" s="165">
        <f>Sales[[#This Row],[Selling Rate]]*Sales[[#This Row],[Qty]]</f>
        <v>6920</v>
      </c>
      <c r="J2302" s="45">
        <v>0</v>
      </c>
      <c r="K2302" s="46">
        <f>Sales[[#This Row],[Gross Amount]]*Sales[[#This Row],[Disc %]]</f>
        <v>0</v>
      </c>
      <c r="L2302" s="43">
        <v>0.18</v>
      </c>
      <c r="M2302" s="46">
        <f>(Sales[[#This Row],[Gross Amount]]-Sales[[#This Row],[Disc. Amt.]])*Sales[[#This Row],[GST %]]</f>
        <v>1245.5999999999999</v>
      </c>
      <c r="N2302" s="161">
        <f>Sales[[#This Row],[Gross Amount]]-Sales[[#This Row],[Disc. Amt.]]+Sales[[#This Row],[GST Amount]]</f>
        <v>8165.6</v>
      </c>
      <c r="O2302" s="34" t="s">
        <v>3561</v>
      </c>
      <c r="P2302" s="34" t="s">
        <v>3562</v>
      </c>
      <c r="Q2302" s="165">
        <f>IF(Sales[[#This Row],[Status]]="Cancelled",0,Sales[[#This Row],[Qty]])</f>
        <v>2</v>
      </c>
      <c r="R2302" s="166">
        <f>IF(Sales[[#This Row],[Status]]="Cancelled",0,Sales[[#This Row],[Total Amount]])</f>
        <v>8165.6</v>
      </c>
      <c r="S2302" s="162">
        <f>SUM(Sales[Net Amount])</f>
        <v>406839287.73200053</v>
      </c>
    </row>
    <row r="2303" spans="1:19" ht="18.75" x14ac:dyDescent="0.25">
      <c r="A2303" s="156" t="s">
        <v>5927</v>
      </c>
      <c r="B2303" s="157">
        <v>45895</v>
      </c>
      <c r="C2303" s="158" t="s">
        <v>725</v>
      </c>
      <c r="D2303" s="159" t="str">
        <f>VLOOKUP(Sales[[#This Row],[Customer ID]],Customer[#All],2,0)</f>
        <v>Ankit Kumar</v>
      </c>
      <c r="E2303" s="158" t="s">
        <v>552</v>
      </c>
      <c r="F2303" s="158" t="str">
        <f>VLOOKUP(Sales[[#This Row],[Product ID]],Product[#All],2,0)</f>
        <v>American TouristerLaptopBag</v>
      </c>
      <c r="G2303" s="159">
        <v>7</v>
      </c>
      <c r="H2303" s="160">
        <f>VLOOKUP(Sales[[#This Row],[Product ID]],Product[#All],7,0)</f>
        <v>5080</v>
      </c>
      <c r="I2303" s="160">
        <f>Sales[[#This Row],[Selling Rate]]*Sales[[#This Row],[Qty]]</f>
        <v>35560</v>
      </c>
      <c r="J2303" s="43">
        <v>0</v>
      </c>
      <c r="K2303" s="44">
        <f>Sales[[#This Row],[Gross Amount]]*Sales[[#This Row],[Disc %]]</f>
        <v>0</v>
      </c>
      <c r="L2303" s="43">
        <v>0.18</v>
      </c>
      <c r="M2303" s="44">
        <f>(Sales[[#This Row],[Gross Amount]]-Sales[[#This Row],[Disc. Amt.]])*Sales[[#This Row],[GST %]]</f>
        <v>6400.8</v>
      </c>
      <c r="N2303" s="161">
        <f>Sales[[#This Row],[Gross Amount]]-Sales[[#This Row],[Disc. Amt.]]+Sales[[#This Row],[GST Amount]]</f>
        <v>41960.800000000003</v>
      </c>
      <c r="O2303" s="158" t="s">
        <v>3566</v>
      </c>
      <c r="P2303" s="158" t="s">
        <v>3562</v>
      </c>
      <c r="Q2303" s="160">
        <f>IF(Sales[[#This Row],[Status]]="Cancelled",0,Sales[[#This Row],[Qty]])</f>
        <v>7</v>
      </c>
      <c r="R2303" s="161">
        <f>IF(Sales[[#This Row],[Status]]="Cancelled",0,Sales[[#This Row],[Total Amount]])</f>
        <v>41960.800000000003</v>
      </c>
      <c r="S2303" s="162">
        <f>SUM(Sales[Net Amount])</f>
        <v>406839287.73200053</v>
      </c>
    </row>
    <row r="2304" spans="1:19" ht="18.75" x14ac:dyDescent="0.25">
      <c r="A2304" s="163" t="s">
        <v>5928</v>
      </c>
      <c r="B2304" s="164">
        <v>45895</v>
      </c>
      <c r="C2304" s="34" t="s">
        <v>710</v>
      </c>
      <c r="D2304" s="53" t="str">
        <f>VLOOKUP(Sales[[#This Row],[Customer ID]],Customer[#All],2,0)</f>
        <v>Sunita Patel</v>
      </c>
      <c r="E2304" s="34" t="s">
        <v>351</v>
      </c>
      <c r="F2304" s="34" t="str">
        <f>VLOOKUP(Sales[[#This Row],[Product ID]],Product[#All],2,0)</f>
        <v>Logitech Mouse</v>
      </c>
      <c r="G2304" s="53">
        <v>1</v>
      </c>
      <c r="H2304" s="165">
        <f>VLOOKUP(Sales[[#This Row],[Product ID]],Product[#All],7,0)</f>
        <v>2130</v>
      </c>
      <c r="I2304" s="165">
        <f>Sales[[#This Row],[Selling Rate]]*Sales[[#This Row],[Qty]]</f>
        <v>2130</v>
      </c>
      <c r="J2304" s="45">
        <v>0</v>
      </c>
      <c r="K2304" s="46">
        <f>Sales[[#This Row],[Gross Amount]]*Sales[[#This Row],[Disc %]]</f>
        <v>0</v>
      </c>
      <c r="L2304" s="43">
        <v>0.18</v>
      </c>
      <c r="M2304" s="46">
        <f>(Sales[[#This Row],[Gross Amount]]-Sales[[#This Row],[Disc. Amt.]])*Sales[[#This Row],[GST %]]</f>
        <v>383.4</v>
      </c>
      <c r="N2304" s="161">
        <f>Sales[[#This Row],[Gross Amount]]-Sales[[#This Row],[Disc. Amt.]]+Sales[[#This Row],[GST Amount]]</f>
        <v>2513.4</v>
      </c>
      <c r="O2304" s="34" t="s">
        <v>3561</v>
      </c>
      <c r="P2304" s="34" t="s">
        <v>3562</v>
      </c>
      <c r="Q2304" s="165">
        <f>IF(Sales[[#This Row],[Status]]="Cancelled",0,Sales[[#This Row],[Qty]])</f>
        <v>1</v>
      </c>
      <c r="R2304" s="166">
        <f>IF(Sales[[#This Row],[Status]]="Cancelled",0,Sales[[#This Row],[Total Amount]])</f>
        <v>2513.4</v>
      </c>
      <c r="S2304" s="162">
        <f>SUM(Sales[Net Amount])</f>
        <v>406839287.73200053</v>
      </c>
    </row>
    <row r="2305" spans="1:19" ht="18.75" x14ac:dyDescent="0.25">
      <c r="A2305" s="156" t="s">
        <v>5929</v>
      </c>
      <c r="B2305" s="157">
        <v>45895</v>
      </c>
      <c r="C2305" s="158" t="s">
        <v>930</v>
      </c>
      <c r="D2305" s="159" t="str">
        <f>VLOOKUP(Sales[[#This Row],[Customer ID]],Customer[#All],2,0)</f>
        <v>Rakesh Gupta</v>
      </c>
      <c r="E2305" s="158" t="s">
        <v>170</v>
      </c>
      <c r="F2305" s="158" t="str">
        <f>VLOOKUP(Sales[[#This Row],[Product ID]],Product[#All],2,0)</f>
        <v>Lenovo Laptop</v>
      </c>
      <c r="G2305" s="159">
        <v>8</v>
      </c>
      <c r="H2305" s="160">
        <f>VLOOKUP(Sales[[#This Row],[Product ID]],Product[#All],7,0)</f>
        <v>29710</v>
      </c>
      <c r="I2305" s="160">
        <f>Sales[[#This Row],[Selling Rate]]*Sales[[#This Row],[Qty]]</f>
        <v>237680</v>
      </c>
      <c r="J2305" s="43">
        <v>0.02</v>
      </c>
      <c r="K2305" s="44">
        <f>Sales[[#This Row],[Gross Amount]]*Sales[[#This Row],[Disc %]]</f>
        <v>4753.6000000000004</v>
      </c>
      <c r="L2305" s="43">
        <v>0.18</v>
      </c>
      <c r="M2305" s="44">
        <f>(Sales[[#This Row],[Gross Amount]]-Sales[[#This Row],[Disc. Amt.]])*Sales[[#This Row],[GST %]]</f>
        <v>41926.752</v>
      </c>
      <c r="N2305" s="161">
        <f>Sales[[#This Row],[Gross Amount]]-Sales[[#This Row],[Disc. Amt.]]+Sales[[#This Row],[GST Amount]]</f>
        <v>274853.152</v>
      </c>
      <c r="O2305" s="158" t="s">
        <v>3566</v>
      </c>
      <c r="P2305" s="158" t="s">
        <v>3562</v>
      </c>
      <c r="Q2305" s="160">
        <f>IF(Sales[[#This Row],[Status]]="Cancelled",0,Sales[[#This Row],[Qty]])</f>
        <v>8</v>
      </c>
      <c r="R2305" s="161">
        <f>IF(Sales[[#This Row],[Status]]="Cancelled",0,Sales[[#This Row],[Total Amount]])</f>
        <v>274853.152</v>
      </c>
      <c r="S2305" s="162">
        <f>SUM(Sales[Net Amount])</f>
        <v>406839287.73200053</v>
      </c>
    </row>
    <row r="2306" spans="1:19" ht="18.75" x14ac:dyDescent="0.25">
      <c r="A2306" s="163" t="s">
        <v>5930</v>
      </c>
      <c r="B2306" s="164">
        <v>45895</v>
      </c>
      <c r="C2306" s="34" t="s">
        <v>800</v>
      </c>
      <c r="D2306" s="53" t="str">
        <f>VLOOKUP(Sales[[#This Row],[Customer ID]],Customer[#All],2,0)</f>
        <v>Priya Gupta</v>
      </c>
      <c r="E2306" s="34" t="s">
        <v>175</v>
      </c>
      <c r="F2306" s="34" t="str">
        <f>VLOOKUP(Sales[[#This Row],[Product ID]],Product[#All],2,0)</f>
        <v>Boat Headset</v>
      </c>
      <c r="G2306" s="53">
        <v>3</v>
      </c>
      <c r="H2306" s="165">
        <f>VLOOKUP(Sales[[#This Row],[Product ID]],Product[#All],7,0)</f>
        <v>2030</v>
      </c>
      <c r="I2306" s="165">
        <f>Sales[[#This Row],[Selling Rate]]*Sales[[#This Row],[Qty]]</f>
        <v>6090</v>
      </c>
      <c r="J2306" s="45">
        <v>0</v>
      </c>
      <c r="K2306" s="46">
        <f>Sales[[#This Row],[Gross Amount]]*Sales[[#This Row],[Disc %]]</f>
        <v>0</v>
      </c>
      <c r="L2306" s="43">
        <v>0.18</v>
      </c>
      <c r="M2306" s="46">
        <f>(Sales[[#This Row],[Gross Amount]]-Sales[[#This Row],[Disc. Amt.]])*Sales[[#This Row],[GST %]]</f>
        <v>1096.2</v>
      </c>
      <c r="N2306" s="161">
        <f>Sales[[#This Row],[Gross Amount]]-Sales[[#This Row],[Disc. Amt.]]+Sales[[#This Row],[GST Amount]]</f>
        <v>7186.2</v>
      </c>
      <c r="O2306" s="34" t="s">
        <v>3569</v>
      </c>
      <c r="P2306" s="34" t="s">
        <v>3562</v>
      </c>
      <c r="Q2306" s="165">
        <f>IF(Sales[[#This Row],[Status]]="Cancelled",0,Sales[[#This Row],[Qty]])</f>
        <v>3</v>
      </c>
      <c r="R2306" s="166">
        <f>IF(Sales[[#This Row],[Status]]="Cancelled",0,Sales[[#This Row],[Total Amount]])</f>
        <v>7186.2</v>
      </c>
      <c r="S2306" s="162">
        <f>SUM(Sales[Net Amount])</f>
        <v>406839287.73200053</v>
      </c>
    </row>
    <row r="2307" spans="1:19" ht="18.75" x14ac:dyDescent="0.25">
      <c r="A2307" s="156" t="s">
        <v>5931</v>
      </c>
      <c r="B2307" s="157">
        <v>45895</v>
      </c>
      <c r="C2307" s="158" t="s">
        <v>763</v>
      </c>
      <c r="D2307" s="159" t="str">
        <f>VLOOKUP(Sales[[#This Row],[Customer ID]],Customer[#All],2,0)</f>
        <v>Pooja Verma</v>
      </c>
      <c r="E2307" s="158" t="s">
        <v>256</v>
      </c>
      <c r="F2307" s="158" t="str">
        <f>VLOOKUP(Sales[[#This Row],[Product ID]],Product[#All],2,0)</f>
        <v>HP Laptop</v>
      </c>
      <c r="G2307" s="159">
        <v>3</v>
      </c>
      <c r="H2307" s="160">
        <f>VLOOKUP(Sales[[#This Row],[Product ID]],Product[#All],7,0)</f>
        <v>106260</v>
      </c>
      <c r="I2307" s="160">
        <f>Sales[[#This Row],[Selling Rate]]*Sales[[#This Row],[Qty]]</f>
        <v>318780</v>
      </c>
      <c r="J2307" s="43">
        <v>0</v>
      </c>
      <c r="K2307" s="44">
        <f>Sales[[#This Row],[Gross Amount]]*Sales[[#This Row],[Disc %]]</f>
        <v>0</v>
      </c>
      <c r="L2307" s="43">
        <v>0.18</v>
      </c>
      <c r="M2307" s="44">
        <f>(Sales[[#This Row],[Gross Amount]]-Sales[[#This Row],[Disc. Amt.]])*Sales[[#This Row],[GST %]]</f>
        <v>57380.4</v>
      </c>
      <c r="N2307" s="161">
        <f>Sales[[#This Row],[Gross Amount]]-Sales[[#This Row],[Disc. Amt.]]+Sales[[#This Row],[GST Amount]]</f>
        <v>376160.4</v>
      </c>
      <c r="O2307" s="158" t="s">
        <v>3569</v>
      </c>
      <c r="P2307" s="158" t="s">
        <v>3562</v>
      </c>
      <c r="Q2307" s="160">
        <f>IF(Sales[[#This Row],[Status]]="Cancelled",0,Sales[[#This Row],[Qty]])</f>
        <v>3</v>
      </c>
      <c r="R2307" s="161">
        <f>IF(Sales[[#This Row],[Status]]="Cancelled",0,Sales[[#This Row],[Total Amount]])</f>
        <v>376160.4</v>
      </c>
      <c r="S2307" s="162">
        <f>SUM(Sales[Net Amount])</f>
        <v>406839287.73200053</v>
      </c>
    </row>
    <row r="2308" spans="1:19" ht="18.75" x14ac:dyDescent="0.25">
      <c r="A2308" s="163" t="s">
        <v>5932</v>
      </c>
      <c r="B2308" s="164">
        <v>45895</v>
      </c>
      <c r="C2308" s="34" t="s">
        <v>947</v>
      </c>
      <c r="D2308" s="53" t="str">
        <f>VLOOKUP(Sales[[#This Row],[Customer ID]],Customer[#All],2,0)</f>
        <v>Sunita Singh</v>
      </c>
      <c r="E2308" s="34" t="s">
        <v>379</v>
      </c>
      <c r="F2308" s="34" t="str">
        <f>VLOOKUP(Sales[[#This Row],[Product ID]],Product[#All],2,0)</f>
        <v>Acer Laptop</v>
      </c>
      <c r="G2308" s="53">
        <v>6</v>
      </c>
      <c r="H2308" s="165">
        <f>VLOOKUP(Sales[[#This Row],[Product ID]],Product[#All],7,0)</f>
        <v>74390</v>
      </c>
      <c r="I2308" s="165">
        <f>Sales[[#This Row],[Selling Rate]]*Sales[[#This Row],[Qty]]</f>
        <v>446340</v>
      </c>
      <c r="J2308" s="45">
        <v>0.1</v>
      </c>
      <c r="K2308" s="46">
        <f>Sales[[#This Row],[Gross Amount]]*Sales[[#This Row],[Disc %]]</f>
        <v>44634</v>
      </c>
      <c r="L2308" s="43">
        <v>0.18</v>
      </c>
      <c r="M2308" s="46">
        <f>(Sales[[#This Row],[Gross Amount]]-Sales[[#This Row],[Disc. Amt.]])*Sales[[#This Row],[GST %]]</f>
        <v>72307.08</v>
      </c>
      <c r="N2308" s="161">
        <f>Sales[[#This Row],[Gross Amount]]-Sales[[#This Row],[Disc. Amt.]]+Sales[[#This Row],[GST Amount]]</f>
        <v>474013.08</v>
      </c>
      <c r="O2308" s="34" t="s">
        <v>3566</v>
      </c>
      <c r="P2308" s="34" t="s">
        <v>3562</v>
      </c>
      <c r="Q2308" s="165">
        <f>IF(Sales[[#This Row],[Status]]="Cancelled",0,Sales[[#This Row],[Qty]])</f>
        <v>6</v>
      </c>
      <c r="R2308" s="166">
        <f>IF(Sales[[#This Row],[Status]]="Cancelled",0,Sales[[#This Row],[Total Amount]])</f>
        <v>474013.08</v>
      </c>
      <c r="S2308" s="162">
        <f>SUM(Sales[Net Amount])</f>
        <v>406839287.73200053</v>
      </c>
    </row>
    <row r="2309" spans="1:19" ht="18.75" x14ac:dyDescent="0.25">
      <c r="A2309" s="156" t="s">
        <v>5933</v>
      </c>
      <c r="B2309" s="157">
        <v>45895</v>
      </c>
      <c r="C2309" s="158" t="s">
        <v>665</v>
      </c>
      <c r="D2309" s="159" t="str">
        <f>VLOOKUP(Sales[[#This Row],[Customer ID]],Customer[#All],2,0)</f>
        <v>Vikas Sharma</v>
      </c>
      <c r="E2309" s="158" t="s">
        <v>420</v>
      </c>
      <c r="F2309" s="158" t="str">
        <f>VLOOKUP(Sales[[#This Row],[Product ID]],Product[#All],2,0)</f>
        <v>Logitech Keyboard</v>
      </c>
      <c r="G2309" s="159">
        <v>1</v>
      </c>
      <c r="H2309" s="160">
        <f>VLOOKUP(Sales[[#This Row],[Product ID]],Product[#All],7,0)</f>
        <v>3430</v>
      </c>
      <c r="I2309" s="160">
        <f>Sales[[#This Row],[Selling Rate]]*Sales[[#This Row],[Qty]]</f>
        <v>3430</v>
      </c>
      <c r="J2309" s="43">
        <v>0.02</v>
      </c>
      <c r="K2309" s="44">
        <f>Sales[[#This Row],[Gross Amount]]*Sales[[#This Row],[Disc %]]</f>
        <v>68.600000000000009</v>
      </c>
      <c r="L2309" s="43">
        <v>0.18</v>
      </c>
      <c r="M2309" s="44">
        <f>(Sales[[#This Row],[Gross Amount]]-Sales[[#This Row],[Disc. Amt.]])*Sales[[#This Row],[GST %]]</f>
        <v>605.05200000000002</v>
      </c>
      <c r="N2309" s="161">
        <f>Sales[[#This Row],[Gross Amount]]-Sales[[#This Row],[Disc. Amt.]]+Sales[[#This Row],[GST Amount]]</f>
        <v>3966.4520000000002</v>
      </c>
      <c r="O2309" s="158" t="s">
        <v>3561</v>
      </c>
      <c r="P2309" s="158" t="s">
        <v>3562</v>
      </c>
      <c r="Q2309" s="160">
        <f>IF(Sales[[#This Row],[Status]]="Cancelled",0,Sales[[#This Row],[Qty]])</f>
        <v>1</v>
      </c>
      <c r="R2309" s="161">
        <f>IF(Sales[[#This Row],[Status]]="Cancelled",0,Sales[[#This Row],[Total Amount]])</f>
        <v>3966.4520000000002</v>
      </c>
      <c r="S2309" s="162">
        <f>SUM(Sales[Net Amount])</f>
        <v>406839287.73200053</v>
      </c>
    </row>
    <row r="2310" spans="1:19" ht="18.75" x14ac:dyDescent="0.25">
      <c r="A2310" s="163" t="s">
        <v>5934</v>
      </c>
      <c r="B2310" s="164">
        <v>45895</v>
      </c>
      <c r="C2310" s="34" t="s">
        <v>687</v>
      </c>
      <c r="D2310" s="53" t="str">
        <f>VLOOKUP(Sales[[#This Row],[Customer ID]],Customer[#All],2,0)</f>
        <v>Rahul Verma</v>
      </c>
      <c r="E2310" s="34" t="s">
        <v>417</v>
      </c>
      <c r="F2310" s="34" t="str">
        <f>VLOOKUP(Sales[[#This Row],[Product ID]],Product[#All],2,0)</f>
        <v>HP Power Adapter</v>
      </c>
      <c r="G2310" s="53">
        <v>6</v>
      </c>
      <c r="H2310" s="165">
        <f>VLOOKUP(Sales[[#This Row],[Product ID]],Product[#All],7,0)</f>
        <v>4330</v>
      </c>
      <c r="I2310" s="165">
        <f>Sales[[#This Row],[Selling Rate]]*Sales[[#This Row],[Qty]]</f>
        <v>25980</v>
      </c>
      <c r="J2310" s="45">
        <v>0.15</v>
      </c>
      <c r="K2310" s="46">
        <f>Sales[[#This Row],[Gross Amount]]*Sales[[#This Row],[Disc %]]</f>
        <v>3897</v>
      </c>
      <c r="L2310" s="43">
        <v>0.18</v>
      </c>
      <c r="M2310" s="46">
        <f>(Sales[[#This Row],[Gross Amount]]-Sales[[#This Row],[Disc. Amt.]])*Sales[[#This Row],[GST %]]</f>
        <v>3974.94</v>
      </c>
      <c r="N2310" s="161">
        <f>Sales[[#This Row],[Gross Amount]]-Sales[[#This Row],[Disc. Amt.]]+Sales[[#This Row],[GST Amount]]</f>
        <v>26057.94</v>
      </c>
      <c r="O2310" s="34" t="s">
        <v>8876</v>
      </c>
      <c r="P2310" s="34" t="s">
        <v>3562</v>
      </c>
      <c r="Q2310" s="165">
        <f>IF(Sales[[#This Row],[Status]]="Cancelled",0,Sales[[#This Row],[Qty]])</f>
        <v>6</v>
      </c>
      <c r="R2310" s="166">
        <f>IF(Sales[[#This Row],[Status]]="Cancelled",0,Sales[[#This Row],[Total Amount]])</f>
        <v>26057.94</v>
      </c>
      <c r="S2310" s="162">
        <f>SUM(Sales[Net Amount])</f>
        <v>406839287.73200053</v>
      </c>
    </row>
    <row r="2311" spans="1:19" ht="18.75" x14ac:dyDescent="0.25">
      <c r="A2311" s="156" t="s">
        <v>5935</v>
      </c>
      <c r="B2311" s="157">
        <v>45895</v>
      </c>
      <c r="C2311" s="158" t="s">
        <v>796</v>
      </c>
      <c r="D2311" s="159" t="str">
        <f>VLOOKUP(Sales[[#This Row],[Customer ID]],Customer[#All],2,0)</f>
        <v>Rahul Verma</v>
      </c>
      <c r="E2311" s="158" t="s">
        <v>31</v>
      </c>
      <c r="F2311" s="158" t="str">
        <f>VLOOKUP(Sales[[#This Row],[Product ID]],Product[#All],2,0)</f>
        <v>Logitech Mouse</v>
      </c>
      <c r="G2311" s="159">
        <v>3</v>
      </c>
      <c r="H2311" s="160">
        <f>VLOOKUP(Sales[[#This Row],[Product ID]],Product[#All],7,0)</f>
        <v>2660</v>
      </c>
      <c r="I2311" s="160">
        <f>Sales[[#This Row],[Selling Rate]]*Sales[[#This Row],[Qty]]</f>
        <v>7980</v>
      </c>
      <c r="J2311" s="43">
        <v>0.15</v>
      </c>
      <c r="K2311" s="44">
        <f>Sales[[#This Row],[Gross Amount]]*Sales[[#This Row],[Disc %]]</f>
        <v>1197</v>
      </c>
      <c r="L2311" s="43">
        <v>0.18</v>
      </c>
      <c r="M2311" s="44">
        <f>(Sales[[#This Row],[Gross Amount]]-Sales[[#This Row],[Disc. Amt.]])*Sales[[#This Row],[GST %]]</f>
        <v>1220.94</v>
      </c>
      <c r="N2311" s="161">
        <f>Sales[[#This Row],[Gross Amount]]-Sales[[#This Row],[Disc. Amt.]]+Sales[[#This Row],[GST Amount]]</f>
        <v>8003.9400000000005</v>
      </c>
      <c r="O2311" s="158" t="s">
        <v>3566</v>
      </c>
      <c r="P2311" s="158" t="s">
        <v>3562</v>
      </c>
      <c r="Q2311" s="160">
        <f>IF(Sales[[#This Row],[Status]]="Cancelled",0,Sales[[#This Row],[Qty]])</f>
        <v>3</v>
      </c>
      <c r="R2311" s="161">
        <f>IF(Sales[[#This Row],[Status]]="Cancelled",0,Sales[[#This Row],[Total Amount]])</f>
        <v>8003.9400000000005</v>
      </c>
      <c r="S2311" s="162">
        <f>SUM(Sales[Net Amount])</f>
        <v>406839287.73200053</v>
      </c>
    </row>
    <row r="2312" spans="1:19" ht="18.75" x14ac:dyDescent="0.25">
      <c r="A2312" s="163" t="s">
        <v>5936</v>
      </c>
      <c r="B2312" s="164">
        <v>45895</v>
      </c>
      <c r="C2312" s="34" t="s">
        <v>852</v>
      </c>
      <c r="D2312" s="53" t="str">
        <f>VLOOKUP(Sales[[#This Row],[Customer ID]],Customer[#All],2,0)</f>
        <v>Neha Singh</v>
      </c>
      <c r="E2312" s="34" t="s">
        <v>208</v>
      </c>
      <c r="F2312" s="34" t="str">
        <f>VLOOKUP(Sales[[#This Row],[Product ID]],Product[#All],2,0)</f>
        <v>Dell Laptop</v>
      </c>
      <c r="G2312" s="53">
        <v>7</v>
      </c>
      <c r="H2312" s="165">
        <f>VLOOKUP(Sales[[#This Row],[Product ID]],Product[#All],7,0)</f>
        <v>67000</v>
      </c>
      <c r="I2312" s="165">
        <f>Sales[[#This Row],[Selling Rate]]*Sales[[#This Row],[Qty]]</f>
        <v>469000</v>
      </c>
      <c r="J2312" s="45">
        <v>0.05</v>
      </c>
      <c r="K2312" s="46">
        <f>Sales[[#This Row],[Gross Amount]]*Sales[[#This Row],[Disc %]]</f>
        <v>23450</v>
      </c>
      <c r="L2312" s="43">
        <v>0.18</v>
      </c>
      <c r="M2312" s="46">
        <f>(Sales[[#This Row],[Gross Amount]]-Sales[[#This Row],[Disc. Amt.]])*Sales[[#This Row],[GST %]]</f>
        <v>80199</v>
      </c>
      <c r="N2312" s="161">
        <f>Sales[[#This Row],[Gross Amount]]-Sales[[#This Row],[Disc. Amt.]]+Sales[[#This Row],[GST Amount]]</f>
        <v>525749</v>
      </c>
      <c r="O2312" s="34" t="s">
        <v>3566</v>
      </c>
      <c r="P2312" s="34" t="s">
        <v>3562</v>
      </c>
      <c r="Q2312" s="165">
        <f>IF(Sales[[#This Row],[Status]]="Cancelled",0,Sales[[#This Row],[Qty]])</f>
        <v>7</v>
      </c>
      <c r="R2312" s="166">
        <f>IF(Sales[[#This Row],[Status]]="Cancelled",0,Sales[[#This Row],[Total Amount]])</f>
        <v>525749</v>
      </c>
      <c r="S2312" s="162">
        <f>SUM(Sales[Net Amount])</f>
        <v>406839287.73200053</v>
      </c>
    </row>
    <row r="2313" spans="1:19" ht="18.75" x14ac:dyDescent="0.25">
      <c r="A2313" s="156" t="s">
        <v>5937</v>
      </c>
      <c r="B2313" s="157">
        <v>45895</v>
      </c>
      <c r="C2313" s="158" t="s">
        <v>748</v>
      </c>
      <c r="D2313" s="159" t="str">
        <f>VLOOKUP(Sales[[#This Row],[Customer ID]],Customer[#All],2,0)</f>
        <v>Priya Singh</v>
      </c>
      <c r="E2313" s="158" t="s">
        <v>443</v>
      </c>
      <c r="F2313" s="158" t="str">
        <f>VLOOKUP(Sales[[#This Row],[Product ID]],Product[#All],2,0)</f>
        <v>HP Power Adapter</v>
      </c>
      <c r="G2313" s="159">
        <v>4</v>
      </c>
      <c r="H2313" s="160">
        <f>VLOOKUP(Sales[[#This Row],[Product ID]],Product[#All],7,0)</f>
        <v>3850</v>
      </c>
      <c r="I2313" s="160">
        <f>Sales[[#This Row],[Selling Rate]]*Sales[[#This Row],[Qty]]</f>
        <v>15400</v>
      </c>
      <c r="J2313" s="43">
        <v>0.12</v>
      </c>
      <c r="K2313" s="44">
        <f>Sales[[#This Row],[Gross Amount]]*Sales[[#This Row],[Disc %]]</f>
        <v>1848</v>
      </c>
      <c r="L2313" s="43">
        <v>0.18</v>
      </c>
      <c r="M2313" s="44">
        <f>(Sales[[#This Row],[Gross Amount]]-Sales[[#This Row],[Disc. Amt.]])*Sales[[#This Row],[GST %]]</f>
        <v>2439.36</v>
      </c>
      <c r="N2313" s="161">
        <f>Sales[[#This Row],[Gross Amount]]-Sales[[#This Row],[Disc. Amt.]]+Sales[[#This Row],[GST Amount]]</f>
        <v>15991.36</v>
      </c>
      <c r="O2313" s="158" t="s">
        <v>3566</v>
      </c>
      <c r="P2313" s="158" t="s">
        <v>3562</v>
      </c>
      <c r="Q2313" s="160">
        <f>IF(Sales[[#This Row],[Status]]="Cancelled",0,Sales[[#This Row],[Qty]])</f>
        <v>4</v>
      </c>
      <c r="R2313" s="161">
        <f>IF(Sales[[#This Row],[Status]]="Cancelled",0,Sales[[#This Row],[Total Amount]])</f>
        <v>15991.36</v>
      </c>
      <c r="S2313" s="162">
        <f>SUM(Sales[Net Amount])</f>
        <v>406839287.73200053</v>
      </c>
    </row>
    <row r="2314" spans="1:19" ht="18.75" x14ac:dyDescent="0.25">
      <c r="A2314" s="163" t="s">
        <v>5938</v>
      </c>
      <c r="B2314" s="164">
        <v>45895</v>
      </c>
      <c r="C2314" s="34" t="s">
        <v>714</v>
      </c>
      <c r="D2314" s="53" t="str">
        <f>VLOOKUP(Sales[[#This Row],[Customer ID]],Customer[#All],2,0)</f>
        <v>Rakesh Kumar</v>
      </c>
      <c r="E2314" s="34" t="s">
        <v>286</v>
      </c>
      <c r="F2314" s="34" t="str">
        <f>VLOOKUP(Sales[[#This Row],[Product ID]],Product[#All],2,0)</f>
        <v>HP Laptop</v>
      </c>
      <c r="G2314" s="53">
        <v>4</v>
      </c>
      <c r="H2314" s="165">
        <f>VLOOKUP(Sales[[#This Row],[Product ID]],Product[#All],7,0)</f>
        <v>62100</v>
      </c>
      <c r="I2314" s="165">
        <f>Sales[[#This Row],[Selling Rate]]*Sales[[#This Row],[Qty]]</f>
        <v>248400</v>
      </c>
      <c r="J2314" s="45">
        <v>0.05</v>
      </c>
      <c r="K2314" s="46">
        <f>Sales[[#This Row],[Gross Amount]]*Sales[[#This Row],[Disc %]]</f>
        <v>12420</v>
      </c>
      <c r="L2314" s="43">
        <v>0.18</v>
      </c>
      <c r="M2314" s="46">
        <f>(Sales[[#This Row],[Gross Amount]]-Sales[[#This Row],[Disc. Amt.]])*Sales[[#This Row],[GST %]]</f>
        <v>42476.4</v>
      </c>
      <c r="N2314" s="161">
        <f>Sales[[#This Row],[Gross Amount]]-Sales[[#This Row],[Disc. Amt.]]+Sales[[#This Row],[GST Amount]]</f>
        <v>278456.40000000002</v>
      </c>
      <c r="O2314" s="34" t="s">
        <v>8876</v>
      </c>
      <c r="P2314" s="34" t="s">
        <v>3562</v>
      </c>
      <c r="Q2314" s="165">
        <f>IF(Sales[[#This Row],[Status]]="Cancelled",0,Sales[[#This Row],[Qty]])</f>
        <v>4</v>
      </c>
      <c r="R2314" s="166">
        <f>IF(Sales[[#This Row],[Status]]="Cancelled",0,Sales[[#This Row],[Total Amount]])</f>
        <v>278456.40000000002</v>
      </c>
      <c r="S2314" s="162">
        <f>SUM(Sales[Net Amount])</f>
        <v>406839287.73200053</v>
      </c>
    </row>
    <row r="2315" spans="1:19" ht="18.75" x14ac:dyDescent="0.25">
      <c r="A2315" s="156" t="s">
        <v>5939</v>
      </c>
      <c r="B2315" s="157">
        <v>45895</v>
      </c>
      <c r="C2315" s="158" t="s">
        <v>785</v>
      </c>
      <c r="D2315" s="159" t="str">
        <f>VLOOKUP(Sales[[#This Row],[Customer ID]],Customer[#All],2,0)</f>
        <v>Ankit Gupta</v>
      </c>
      <c r="E2315" s="158" t="s">
        <v>220</v>
      </c>
      <c r="F2315" s="158" t="str">
        <f>VLOOKUP(Sales[[#This Row],[Product ID]],Product[#All],2,0)</f>
        <v>HP Desktop</v>
      </c>
      <c r="G2315" s="159">
        <v>3</v>
      </c>
      <c r="H2315" s="160">
        <f>VLOOKUP(Sales[[#This Row],[Product ID]],Product[#All],7,0)</f>
        <v>40570</v>
      </c>
      <c r="I2315" s="160">
        <f>Sales[[#This Row],[Selling Rate]]*Sales[[#This Row],[Qty]]</f>
        <v>121710</v>
      </c>
      <c r="J2315" s="43">
        <v>0.02</v>
      </c>
      <c r="K2315" s="44">
        <f>Sales[[#This Row],[Gross Amount]]*Sales[[#This Row],[Disc %]]</f>
        <v>2434.2000000000003</v>
      </c>
      <c r="L2315" s="43">
        <v>0.18</v>
      </c>
      <c r="M2315" s="44">
        <f>(Sales[[#This Row],[Gross Amount]]-Sales[[#This Row],[Disc. Amt.]])*Sales[[#This Row],[GST %]]</f>
        <v>21469.644</v>
      </c>
      <c r="N2315" s="161">
        <f>Sales[[#This Row],[Gross Amount]]-Sales[[#This Row],[Disc. Amt.]]+Sales[[#This Row],[GST Amount]]</f>
        <v>140745.44400000002</v>
      </c>
      <c r="O2315" s="158" t="s">
        <v>3569</v>
      </c>
      <c r="P2315" s="158" t="s">
        <v>3562</v>
      </c>
      <c r="Q2315" s="160">
        <f>IF(Sales[[#This Row],[Status]]="Cancelled",0,Sales[[#This Row],[Qty]])</f>
        <v>3</v>
      </c>
      <c r="R2315" s="161">
        <f>IF(Sales[[#This Row],[Status]]="Cancelled",0,Sales[[#This Row],[Total Amount]])</f>
        <v>140745.44400000002</v>
      </c>
      <c r="S2315" s="162">
        <f>SUM(Sales[Net Amount])</f>
        <v>406839287.73200053</v>
      </c>
    </row>
    <row r="2316" spans="1:19" ht="18.75" x14ac:dyDescent="0.25">
      <c r="A2316" s="163" t="s">
        <v>5940</v>
      </c>
      <c r="B2316" s="164">
        <v>45895</v>
      </c>
      <c r="C2316" s="34" t="s">
        <v>922</v>
      </c>
      <c r="D2316" s="53" t="str">
        <f>VLOOKUP(Sales[[#This Row],[Customer ID]],Customer[#All],2,0)</f>
        <v>Pooja Patel</v>
      </c>
      <c r="E2316" s="34" t="s">
        <v>393</v>
      </c>
      <c r="F2316" s="34" t="str">
        <f>VLOOKUP(Sales[[#This Row],[Product ID]],Product[#All],2,0)</f>
        <v>American TouristerLaptopBag</v>
      </c>
      <c r="G2316" s="53">
        <v>6</v>
      </c>
      <c r="H2316" s="165">
        <f>VLOOKUP(Sales[[#This Row],[Product ID]],Product[#All],7,0)</f>
        <v>3240</v>
      </c>
      <c r="I2316" s="165">
        <f>Sales[[#This Row],[Selling Rate]]*Sales[[#This Row],[Qty]]</f>
        <v>19440</v>
      </c>
      <c r="J2316" s="45">
        <v>0</v>
      </c>
      <c r="K2316" s="46">
        <f>Sales[[#This Row],[Gross Amount]]*Sales[[#This Row],[Disc %]]</f>
        <v>0</v>
      </c>
      <c r="L2316" s="43">
        <v>0.18</v>
      </c>
      <c r="M2316" s="46">
        <f>(Sales[[#This Row],[Gross Amount]]-Sales[[#This Row],[Disc. Amt.]])*Sales[[#This Row],[GST %]]</f>
        <v>3499.2</v>
      </c>
      <c r="N2316" s="161">
        <f>Sales[[#This Row],[Gross Amount]]-Sales[[#This Row],[Disc. Amt.]]+Sales[[#This Row],[GST Amount]]</f>
        <v>22939.200000000001</v>
      </c>
      <c r="O2316" s="34" t="s">
        <v>3569</v>
      </c>
      <c r="P2316" s="34" t="s">
        <v>3562</v>
      </c>
      <c r="Q2316" s="165">
        <f>IF(Sales[[#This Row],[Status]]="Cancelled",0,Sales[[#This Row],[Qty]])</f>
        <v>6</v>
      </c>
      <c r="R2316" s="166">
        <f>IF(Sales[[#This Row],[Status]]="Cancelled",0,Sales[[#This Row],[Total Amount]])</f>
        <v>22939.200000000001</v>
      </c>
      <c r="S2316" s="162">
        <f>SUM(Sales[Net Amount])</f>
        <v>406839287.73200053</v>
      </c>
    </row>
    <row r="2317" spans="1:19" ht="18.75" x14ac:dyDescent="0.25">
      <c r="A2317" s="156" t="s">
        <v>5941</v>
      </c>
      <c r="B2317" s="157">
        <v>45895</v>
      </c>
      <c r="C2317" s="158" t="s">
        <v>855</v>
      </c>
      <c r="D2317" s="159" t="str">
        <f>VLOOKUP(Sales[[#This Row],[Customer ID]],Customer[#All],2,0)</f>
        <v>Sahil Singh</v>
      </c>
      <c r="E2317" s="158" t="s">
        <v>346</v>
      </c>
      <c r="F2317" s="158" t="str">
        <f>VLOOKUP(Sales[[#This Row],[Product ID]],Product[#All],2,0)</f>
        <v>HP Laptop</v>
      </c>
      <c r="G2317" s="159">
        <v>7</v>
      </c>
      <c r="H2317" s="160">
        <f>VLOOKUP(Sales[[#This Row],[Product ID]],Product[#All],7,0)</f>
        <v>88550</v>
      </c>
      <c r="I2317" s="160">
        <f>Sales[[#This Row],[Selling Rate]]*Sales[[#This Row],[Qty]]</f>
        <v>619850</v>
      </c>
      <c r="J2317" s="43">
        <v>0</v>
      </c>
      <c r="K2317" s="44">
        <f>Sales[[#This Row],[Gross Amount]]*Sales[[#This Row],[Disc %]]</f>
        <v>0</v>
      </c>
      <c r="L2317" s="43">
        <v>0.18</v>
      </c>
      <c r="M2317" s="44">
        <f>(Sales[[#This Row],[Gross Amount]]-Sales[[#This Row],[Disc. Amt.]])*Sales[[#This Row],[GST %]]</f>
        <v>111573</v>
      </c>
      <c r="N2317" s="161">
        <f>Sales[[#This Row],[Gross Amount]]-Sales[[#This Row],[Disc. Amt.]]+Sales[[#This Row],[GST Amount]]</f>
        <v>731423</v>
      </c>
      <c r="O2317" s="158" t="s">
        <v>3561</v>
      </c>
      <c r="P2317" s="158" t="s">
        <v>3562</v>
      </c>
      <c r="Q2317" s="160">
        <f>IF(Sales[[#This Row],[Status]]="Cancelled",0,Sales[[#This Row],[Qty]])</f>
        <v>7</v>
      </c>
      <c r="R2317" s="161">
        <f>IF(Sales[[#This Row],[Status]]="Cancelled",0,Sales[[#This Row],[Total Amount]])</f>
        <v>731423</v>
      </c>
      <c r="S2317" s="162">
        <f>SUM(Sales[Net Amount])</f>
        <v>406839287.73200053</v>
      </c>
    </row>
    <row r="2318" spans="1:19" ht="18.75" x14ac:dyDescent="0.25">
      <c r="A2318" s="163" t="s">
        <v>5942</v>
      </c>
      <c r="B2318" s="164">
        <v>45895</v>
      </c>
      <c r="C2318" s="34" t="s">
        <v>681</v>
      </c>
      <c r="D2318" s="53" t="str">
        <f>VLOOKUP(Sales[[#This Row],[Customer ID]],Customer[#All],2,0)</f>
        <v>Amit Kumar</v>
      </c>
      <c r="E2318" s="34" t="s">
        <v>529</v>
      </c>
      <c r="F2318" s="34" t="str">
        <f>VLOOKUP(Sales[[#This Row],[Product ID]],Product[#All],2,0)</f>
        <v>Logitech Webcam</v>
      </c>
      <c r="G2318" s="53">
        <v>4</v>
      </c>
      <c r="H2318" s="165">
        <f>VLOOKUP(Sales[[#This Row],[Product ID]],Product[#All],7,0)</f>
        <v>3390</v>
      </c>
      <c r="I2318" s="165">
        <f>Sales[[#This Row],[Selling Rate]]*Sales[[#This Row],[Qty]]</f>
        <v>13560</v>
      </c>
      <c r="J2318" s="45">
        <v>0</v>
      </c>
      <c r="K2318" s="46">
        <f>Sales[[#This Row],[Gross Amount]]*Sales[[#This Row],[Disc %]]</f>
        <v>0</v>
      </c>
      <c r="L2318" s="43">
        <v>0.18</v>
      </c>
      <c r="M2318" s="46">
        <f>(Sales[[#This Row],[Gross Amount]]-Sales[[#This Row],[Disc. Amt.]])*Sales[[#This Row],[GST %]]</f>
        <v>2440.7999999999997</v>
      </c>
      <c r="N2318" s="161">
        <f>Sales[[#This Row],[Gross Amount]]-Sales[[#This Row],[Disc. Amt.]]+Sales[[#This Row],[GST Amount]]</f>
        <v>16000.8</v>
      </c>
      <c r="O2318" s="34" t="s">
        <v>3561</v>
      </c>
      <c r="P2318" s="34" t="s">
        <v>3562</v>
      </c>
      <c r="Q2318" s="165">
        <f>IF(Sales[[#This Row],[Status]]="Cancelled",0,Sales[[#This Row],[Qty]])</f>
        <v>4</v>
      </c>
      <c r="R2318" s="166">
        <f>IF(Sales[[#This Row],[Status]]="Cancelled",0,Sales[[#This Row],[Total Amount]])</f>
        <v>16000.8</v>
      </c>
      <c r="S2318" s="162">
        <f>SUM(Sales[Net Amount])</f>
        <v>406839287.73200053</v>
      </c>
    </row>
    <row r="2319" spans="1:19" ht="18.75" x14ac:dyDescent="0.25">
      <c r="A2319" s="156" t="s">
        <v>5943</v>
      </c>
      <c r="B2319" s="157">
        <v>45896</v>
      </c>
      <c r="C2319" s="158" t="s">
        <v>850</v>
      </c>
      <c r="D2319" s="159" t="str">
        <f>VLOOKUP(Sales[[#This Row],[Customer ID]],Customer[#All],2,0)</f>
        <v>Sahil Patel</v>
      </c>
      <c r="E2319" s="158" t="s">
        <v>247</v>
      </c>
      <c r="F2319" s="158" t="str">
        <f>VLOOKUP(Sales[[#This Row],[Product ID]],Product[#All],2,0)</f>
        <v>Acer Laptop</v>
      </c>
      <c r="G2319" s="159">
        <v>5</v>
      </c>
      <c r="H2319" s="160">
        <f>VLOOKUP(Sales[[#This Row],[Product ID]],Product[#All],7,0)</f>
        <v>68460</v>
      </c>
      <c r="I2319" s="160">
        <f>Sales[[#This Row],[Selling Rate]]*Sales[[#This Row],[Qty]]</f>
        <v>342300</v>
      </c>
      <c r="J2319" s="43">
        <v>0</v>
      </c>
      <c r="K2319" s="44">
        <f>Sales[[#This Row],[Gross Amount]]*Sales[[#This Row],[Disc %]]</f>
        <v>0</v>
      </c>
      <c r="L2319" s="43">
        <v>0.18</v>
      </c>
      <c r="M2319" s="44">
        <f>(Sales[[#This Row],[Gross Amount]]-Sales[[#This Row],[Disc. Amt.]])*Sales[[#This Row],[GST %]]</f>
        <v>61614</v>
      </c>
      <c r="N2319" s="161">
        <f>Sales[[#This Row],[Gross Amount]]-Sales[[#This Row],[Disc. Amt.]]+Sales[[#This Row],[GST Amount]]</f>
        <v>403914</v>
      </c>
      <c r="O2319" s="158" t="s">
        <v>3561</v>
      </c>
      <c r="P2319" s="158" t="s">
        <v>3562</v>
      </c>
      <c r="Q2319" s="160">
        <f>IF(Sales[[#This Row],[Status]]="Cancelled",0,Sales[[#This Row],[Qty]])</f>
        <v>5</v>
      </c>
      <c r="R2319" s="161">
        <f>IF(Sales[[#This Row],[Status]]="Cancelled",0,Sales[[#This Row],[Total Amount]])</f>
        <v>403914</v>
      </c>
      <c r="S2319" s="162">
        <f>SUM(Sales[Net Amount])</f>
        <v>406839287.73200053</v>
      </c>
    </row>
    <row r="2320" spans="1:19" ht="18.75" x14ac:dyDescent="0.25">
      <c r="A2320" s="163" t="s">
        <v>5944</v>
      </c>
      <c r="B2320" s="164">
        <v>45896</v>
      </c>
      <c r="C2320" s="34" t="s">
        <v>701</v>
      </c>
      <c r="D2320" s="53" t="str">
        <f>VLOOKUP(Sales[[#This Row],[Customer ID]],Customer[#All],2,0)</f>
        <v>Ankit Kumar</v>
      </c>
      <c r="E2320" s="34" t="s">
        <v>195</v>
      </c>
      <c r="F2320" s="34" t="str">
        <f>VLOOKUP(Sales[[#This Row],[Product ID]],Product[#All],2,0)</f>
        <v>Acer Laptop</v>
      </c>
      <c r="G2320" s="53">
        <v>7</v>
      </c>
      <c r="H2320" s="165">
        <f>VLOOKUP(Sales[[#This Row],[Product ID]],Product[#All],7,0)</f>
        <v>46790</v>
      </c>
      <c r="I2320" s="165">
        <f>Sales[[#This Row],[Selling Rate]]*Sales[[#This Row],[Qty]]</f>
        <v>327530</v>
      </c>
      <c r="J2320" s="45">
        <v>0.05</v>
      </c>
      <c r="K2320" s="46">
        <f>Sales[[#This Row],[Gross Amount]]*Sales[[#This Row],[Disc %]]</f>
        <v>16376.5</v>
      </c>
      <c r="L2320" s="43">
        <v>0.18</v>
      </c>
      <c r="M2320" s="46">
        <f>(Sales[[#This Row],[Gross Amount]]-Sales[[#This Row],[Disc. Amt.]])*Sales[[#This Row],[GST %]]</f>
        <v>56007.63</v>
      </c>
      <c r="N2320" s="161">
        <f>Sales[[#This Row],[Gross Amount]]-Sales[[#This Row],[Disc. Amt.]]+Sales[[#This Row],[GST Amount]]</f>
        <v>367161.13</v>
      </c>
      <c r="O2320" s="34" t="s">
        <v>3566</v>
      </c>
      <c r="P2320" s="34" t="s">
        <v>3562</v>
      </c>
      <c r="Q2320" s="165">
        <f>IF(Sales[[#This Row],[Status]]="Cancelled",0,Sales[[#This Row],[Qty]])</f>
        <v>7</v>
      </c>
      <c r="R2320" s="166">
        <f>IF(Sales[[#This Row],[Status]]="Cancelled",0,Sales[[#This Row],[Total Amount]])</f>
        <v>367161.13</v>
      </c>
      <c r="S2320" s="162">
        <f>SUM(Sales[Net Amount])</f>
        <v>406839287.73200053</v>
      </c>
    </row>
    <row r="2321" spans="1:19" ht="18.75" x14ac:dyDescent="0.25">
      <c r="A2321" s="156" t="s">
        <v>5945</v>
      </c>
      <c r="B2321" s="157">
        <v>45896</v>
      </c>
      <c r="C2321" s="158" t="s">
        <v>765</v>
      </c>
      <c r="D2321" s="159" t="str">
        <f>VLOOKUP(Sales[[#This Row],[Customer ID]],Customer[#All],2,0)</f>
        <v>Neha Gupta</v>
      </c>
      <c r="E2321" s="158" t="s">
        <v>354</v>
      </c>
      <c r="F2321" s="158" t="str">
        <f>VLOOKUP(Sales[[#This Row],[Product ID]],Product[#All],2,0)</f>
        <v>Dell Monitor</v>
      </c>
      <c r="G2321" s="159">
        <v>2</v>
      </c>
      <c r="H2321" s="160">
        <f>VLOOKUP(Sales[[#This Row],[Product ID]],Product[#All],7,0)</f>
        <v>12450</v>
      </c>
      <c r="I2321" s="160">
        <f>Sales[[#This Row],[Selling Rate]]*Sales[[#This Row],[Qty]]</f>
        <v>24900</v>
      </c>
      <c r="J2321" s="43">
        <v>0.05</v>
      </c>
      <c r="K2321" s="44">
        <f>Sales[[#This Row],[Gross Amount]]*Sales[[#This Row],[Disc %]]</f>
        <v>1245</v>
      </c>
      <c r="L2321" s="43">
        <v>0.18</v>
      </c>
      <c r="M2321" s="44">
        <f>(Sales[[#This Row],[Gross Amount]]-Sales[[#This Row],[Disc. Amt.]])*Sales[[#This Row],[GST %]]</f>
        <v>4257.8999999999996</v>
      </c>
      <c r="N2321" s="161">
        <f>Sales[[#This Row],[Gross Amount]]-Sales[[#This Row],[Disc. Amt.]]+Sales[[#This Row],[GST Amount]]</f>
        <v>27912.9</v>
      </c>
      <c r="O2321" s="158" t="s">
        <v>3569</v>
      </c>
      <c r="P2321" s="158" t="s">
        <v>3562</v>
      </c>
      <c r="Q2321" s="160">
        <f>IF(Sales[[#This Row],[Status]]="Cancelled",0,Sales[[#This Row],[Qty]])</f>
        <v>2</v>
      </c>
      <c r="R2321" s="161">
        <f>IF(Sales[[#This Row],[Status]]="Cancelled",0,Sales[[#This Row],[Total Amount]])</f>
        <v>27912.9</v>
      </c>
      <c r="S2321" s="162">
        <f>SUM(Sales[Net Amount])</f>
        <v>406839287.73200053</v>
      </c>
    </row>
    <row r="2322" spans="1:19" ht="18.75" x14ac:dyDescent="0.25">
      <c r="A2322" s="163" t="s">
        <v>5946</v>
      </c>
      <c r="B2322" s="164">
        <v>45896</v>
      </c>
      <c r="C2322" s="34" t="s">
        <v>860</v>
      </c>
      <c r="D2322" s="53" t="str">
        <f>VLOOKUP(Sales[[#This Row],[Customer ID]],Customer[#All],2,0)</f>
        <v>Rakesh Verma</v>
      </c>
      <c r="E2322" s="34" t="s">
        <v>213</v>
      </c>
      <c r="F2322" s="34" t="str">
        <f>VLOOKUP(Sales[[#This Row],[Product ID]],Product[#All],2,0)</f>
        <v>Dell Power Adapter</v>
      </c>
      <c r="G2322" s="53">
        <v>5</v>
      </c>
      <c r="H2322" s="165">
        <f>VLOOKUP(Sales[[#This Row],[Product ID]],Product[#All],7,0)</f>
        <v>3740</v>
      </c>
      <c r="I2322" s="165">
        <f>Sales[[#This Row],[Selling Rate]]*Sales[[#This Row],[Qty]]</f>
        <v>18700</v>
      </c>
      <c r="J2322" s="45">
        <v>0</v>
      </c>
      <c r="K2322" s="46">
        <f>Sales[[#This Row],[Gross Amount]]*Sales[[#This Row],[Disc %]]</f>
        <v>0</v>
      </c>
      <c r="L2322" s="43">
        <v>0.18</v>
      </c>
      <c r="M2322" s="46">
        <f>(Sales[[#This Row],[Gross Amount]]-Sales[[#This Row],[Disc. Amt.]])*Sales[[#This Row],[GST %]]</f>
        <v>3366</v>
      </c>
      <c r="N2322" s="161">
        <f>Sales[[#This Row],[Gross Amount]]-Sales[[#This Row],[Disc. Amt.]]+Sales[[#This Row],[GST Amount]]</f>
        <v>22066</v>
      </c>
      <c r="O2322" s="34" t="s">
        <v>3561</v>
      </c>
      <c r="P2322" s="34" t="s">
        <v>3562</v>
      </c>
      <c r="Q2322" s="165">
        <f>IF(Sales[[#This Row],[Status]]="Cancelled",0,Sales[[#This Row],[Qty]])</f>
        <v>5</v>
      </c>
      <c r="R2322" s="166">
        <f>IF(Sales[[#This Row],[Status]]="Cancelled",0,Sales[[#This Row],[Total Amount]])</f>
        <v>22066</v>
      </c>
      <c r="S2322" s="162">
        <f>SUM(Sales[Net Amount])</f>
        <v>406839287.73200053</v>
      </c>
    </row>
    <row r="2323" spans="1:19" ht="18.75" x14ac:dyDescent="0.25">
      <c r="A2323" s="156" t="s">
        <v>5947</v>
      </c>
      <c r="B2323" s="157">
        <v>45896</v>
      </c>
      <c r="C2323" s="158" t="s">
        <v>856</v>
      </c>
      <c r="D2323" s="159" t="str">
        <f>VLOOKUP(Sales[[#This Row],[Customer ID]],Customer[#All],2,0)</f>
        <v>Sunita Verma</v>
      </c>
      <c r="E2323" s="158" t="s">
        <v>446</v>
      </c>
      <c r="F2323" s="158" t="str">
        <f>VLOOKUP(Sales[[#This Row],[Product ID]],Product[#All],2,0)</f>
        <v>HP Desktop</v>
      </c>
      <c r="G2323" s="159">
        <v>5</v>
      </c>
      <c r="H2323" s="160">
        <f>VLOOKUP(Sales[[#This Row],[Product ID]],Product[#All],7,0)</f>
        <v>48280</v>
      </c>
      <c r="I2323" s="160">
        <f>Sales[[#This Row],[Selling Rate]]*Sales[[#This Row],[Qty]]</f>
        <v>241400</v>
      </c>
      <c r="J2323" s="43">
        <v>0</v>
      </c>
      <c r="K2323" s="44">
        <f>Sales[[#This Row],[Gross Amount]]*Sales[[#This Row],[Disc %]]</f>
        <v>0</v>
      </c>
      <c r="L2323" s="43">
        <v>0.18</v>
      </c>
      <c r="M2323" s="44">
        <f>(Sales[[#This Row],[Gross Amount]]-Sales[[#This Row],[Disc. Amt.]])*Sales[[#This Row],[GST %]]</f>
        <v>43452</v>
      </c>
      <c r="N2323" s="161">
        <f>Sales[[#This Row],[Gross Amount]]-Sales[[#This Row],[Disc. Amt.]]+Sales[[#This Row],[GST Amount]]</f>
        <v>284852</v>
      </c>
      <c r="O2323" s="158" t="s">
        <v>3566</v>
      </c>
      <c r="P2323" s="158" t="s">
        <v>3562</v>
      </c>
      <c r="Q2323" s="160">
        <f>IF(Sales[[#This Row],[Status]]="Cancelled",0,Sales[[#This Row],[Qty]])</f>
        <v>5</v>
      </c>
      <c r="R2323" s="161">
        <f>IF(Sales[[#This Row],[Status]]="Cancelled",0,Sales[[#This Row],[Total Amount]])</f>
        <v>284852</v>
      </c>
      <c r="S2323" s="162">
        <f>SUM(Sales[Net Amount])</f>
        <v>406839287.73200053</v>
      </c>
    </row>
    <row r="2324" spans="1:19" ht="18.75" x14ac:dyDescent="0.25">
      <c r="A2324" s="163" t="s">
        <v>5948</v>
      </c>
      <c r="B2324" s="164">
        <v>45896</v>
      </c>
      <c r="C2324" s="34" t="s">
        <v>5498</v>
      </c>
      <c r="D2324" s="53" t="str">
        <f>VLOOKUP(Sales[[#This Row],[Customer ID]],Customer[#All],2,0)</f>
        <v>Rakesh Sharma</v>
      </c>
      <c r="E2324" s="34" t="s">
        <v>91</v>
      </c>
      <c r="F2324" s="34" t="str">
        <f>VLOOKUP(Sales[[#This Row],[Product ID]],Product[#All],2,0)</f>
        <v>Logitech Keyboard</v>
      </c>
      <c r="G2324" s="53">
        <v>2</v>
      </c>
      <c r="H2324" s="165">
        <f>VLOOKUP(Sales[[#This Row],[Product ID]],Product[#All],7,0)</f>
        <v>3950</v>
      </c>
      <c r="I2324" s="165">
        <f>Sales[[#This Row],[Selling Rate]]*Sales[[#This Row],[Qty]]</f>
        <v>7900</v>
      </c>
      <c r="J2324" s="45">
        <v>0.05</v>
      </c>
      <c r="K2324" s="46">
        <f>Sales[[#This Row],[Gross Amount]]*Sales[[#This Row],[Disc %]]</f>
        <v>395</v>
      </c>
      <c r="L2324" s="43">
        <v>0.18</v>
      </c>
      <c r="M2324" s="46">
        <f>(Sales[[#This Row],[Gross Amount]]-Sales[[#This Row],[Disc. Amt.]])*Sales[[#This Row],[GST %]]</f>
        <v>1350.8999999999999</v>
      </c>
      <c r="N2324" s="161">
        <f>Sales[[#This Row],[Gross Amount]]-Sales[[#This Row],[Disc. Amt.]]+Sales[[#This Row],[GST Amount]]</f>
        <v>8855.9</v>
      </c>
      <c r="O2324" s="34" t="s">
        <v>8876</v>
      </c>
      <c r="P2324" s="34" t="s">
        <v>3562</v>
      </c>
      <c r="Q2324" s="165">
        <f>IF(Sales[[#This Row],[Status]]="Cancelled",0,Sales[[#This Row],[Qty]])</f>
        <v>2</v>
      </c>
      <c r="R2324" s="166">
        <f>IF(Sales[[#This Row],[Status]]="Cancelled",0,Sales[[#This Row],[Total Amount]])</f>
        <v>8855.9</v>
      </c>
      <c r="S2324" s="162">
        <f>SUM(Sales[Net Amount])</f>
        <v>406839287.73200053</v>
      </c>
    </row>
    <row r="2325" spans="1:19" ht="18.75" x14ac:dyDescent="0.25">
      <c r="A2325" s="156" t="s">
        <v>5949</v>
      </c>
      <c r="B2325" s="157">
        <v>45896</v>
      </c>
      <c r="C2325" s="158" t="s">
        <v>836</v>
      </c>
      <c r="D2325" s="159" t="str">
        <f>VLOOKUP(Sales[[#This Row],[Customer ID]],Customer[#All],2,0)</f>
        <v>Sunita Patel</v>
      </c>
      <c r="E2325" s="158" t="s">
        <v>46</v>
      </c>
      <c r="F2325" s="158" t="str">
        <f>VLOOKUP(Sales[[#This Row],[Product ID]],Product[#All],2,0)</f>
        <v>HP Printer</v>
      </c>
      <c r="G2325" s="159">
        <v>1</v>
      </c>
      <c r="H2325" s="160">
        <f>VLOOKUP(Sales[[#This Row],[Product ID]],Product[#All],7,0)</f>
        <v>35170</v>
      </c>
      <c r="I2325" s="160">
        <f>Sales[[#This Row],[Selling Rate]]*Sales[[#This Row],[Qty]]</f>
        <v>35170</v>
      </c>
      <c r="J2325" s="43">
        <v>0.12</v>
      </c>
      <c r="K2325" s="44">
        <f>Sales[[#This Row],[Gross Amount]]*Sales[[#This Row],[Disc %]]</f>
        <v>4220.3999999999996</v>
      </c>
      <c r="L2325" s="43">
        <v>0.18</v>
      </c>
      <c r="M2325" s="44">
        <f>(Sales[[#This Row],[Gross Amount]]-Sales[[#This Row],[Disc. Amt.]])*Sales[[#This Row],[GST %]]</f>
        <v>5570.9279999999999</v>
      </c>
      <c r="N2325" s="161">
        <f>Sales[[#This Row],[Gross Amount]]-Sales[[#This Row],[Disc. Amt.]]+Sales[[#This Row],[GST Amount]]</f>
        <v>36520.527999999998</v>
      </c>
      <c r="O2325" s="158" t="s">
        <v>3569</v>
      </c>
      <c r="P2325" s="158" t="s">
        <v>3562</v>
      </c>
      <c r="Q2325" s="160">
        <f>IF(Sales[[#This Row],[Status]]="Cancelled",0,Sales[[#This Row],[Qty]])</f>
        <v>1</v>
      </c>
      <c r="R2325" s="161">
        <f>IF(Sales[[#This Row],[Status]]="Cancelled",0,Sales[[#This Row],[Total Amount]])</f>
        <v>36520.527999999998</v>
      </c>
      <c r="S2325" s="162">
        <f>SUM(Sales[Net Amount])</f>
        <v>406839287.73200053</v>
      </c>
    </row>
    <row r="2326" spans="1:19" ht="18.75" x14ac:dyDescent="0.25">
      <c r="A2326" s="163" t="s">
        <v>5950</v>
      </c>
      <c r="B2326" s="164">
        <v>45896</v>
      </c>
      <c r="C2326" s="34" t="s">
        <v>701</v>
      </c>
      <c r="D2326" s="53" t="str">
        <f>VLOOKUP(Sales[[#This Row],[Customer ID]],Customer[#All],2,0)</f>
        <v>Ankit Kumar</v>
      </c>
      <c r="E2326" s="34" t="s">
        <v>370</v>
      </c>
      <c r="F2326" s="34" t="str">
        <f>VLOOKUP(Sales[[#This Row],[Product ID]],Product[#All],2,0)</f>
        <v>Samsung Monitor</v>
      </c>
      <c r="G2326" s="53">
        <v>1</v>
      </c>
      <c r="H2326" s="165">
        <f>VLOOKUP(Sales[[#This Row],[Product ID]],Product[#All],7,0)</f>
        <v>24770</v>
      </c>
      <c r="I2326" s="165">
        <f>Sales[[#This Row],[Selling Rate]]*Sales[[#This Row],[Qty]]</f>
        <v>24770</v>
      </c>
      <c r="J2326" s="45">
        <v>0.15</v>
      </c>
      <c r="K2326" s="46">
        <f>Sales[[#This Row],[Gross Amount]]*Sales[[#This Row],[Disc %]]</f>
        <v>3715.5</v>
      </c>
      <c r="L2326" s="43">
        <v>0.18</v>
      </c>
      <c r="M2326" s="46">
        <f>(Sales[[#This Row],[Gross Amount]]-Sales[[#This Row],[Disc. Amt.]])*Sales[[#This Row],[GST %]]</f>
        <v>3789.81</v>
      </c>
      <c r="N2326" s="161">
        <f>Sales[[#This Row],[Gross Amount]]-Sales[[#This Row],[Disc. Amt.]]+Sales[[#This Row],[GST Amount]]</f>
        <v>24844.31</v>
      </c>
      <c r="O2326" s="34" t="s">
        <v>3561</v>
      </c>
      <c r="P2326" s="34" t="s">
        <v>3562</v>
      </c>
      <c r="Q2326" s="165">
        <f>IF(Sales[[#This Row],[Status]]="Cancelled",0,Sales[[#This Row],[Qty]])</f>
        <v>1</v>
      </c>
      <c r="R2326" s="166">
        <f>IF(Sales[[#This Row],[Status]]="Cancelled",0,Sales[[#This Row],[Total Amount]])</f>
        <v>24844.31</v>
      </c>
      <c r="S2326" s="162">
        <f>SUM(Sales[Net Amount])</f>
        <v>406839287.73200053</v>
      </c>
    </row>
    <row r="2327" spans="1:19" ht="18.75" x14ac:dyDescent="0.25">
      <c r="A2327" s="156" t="s">
        <v>5951</v>
      </c>
      <c r="B2327" s="157">
        <v>45896</v>
      </c>
      <c r="C2327" s="158" t="s">
        <v>838</v>
      </c>
      <c r="D2327" s="159" t="str">
        <f>VLOOKUP(Sales[[#This Row],[Customer ID]],Customer[#All],2,0)</f>
        <v>Priya Gupta</v>
      </c>
      <c r="E2327" s="158" t="s">
        <v>446</v>
      </c>
      <c r="F2327" s="158" t="str">
        <f>VLOOKUP(Sales[[#This Row],[Product ID]],Product[#All],2,0)</f>
        <v>HP Desktop</v>
      </c>
      <c r="G2327" s="159">
        <v>8</v>
      </c>
      <c r="H2327" s="160">
        <f>VLOOKUP(Sales[[#This Row],[Product ID]],Product[#All],7,0)</f>
        <v>48280</v>
      </c>
      <c r="I2327" s="160">
        <f>Sales[[#This Row],[Selling Rate]]*Sales[[#This Row],[Qty]]</f>
        <v>386240</v>
      </c>
      <c r="J2327" s="43">
        <v>0.05</v>
      </c>
      <c r="K2327" s="44">
        <f>Sales[[#This Row],[Gross Amount]]*Sales[[#This Row],[Disc %]]</f>
        <v>19312</v>
      </c>
      <c r="L2327" s="43">
        <v>0.18</v>
      </c>
      <c r="M2327" s="44">
        <f>(Sales[[#This Row],[Gross Amount]]-Sales[[#This Row],[Disc. Amt.]])*Sales[[#This Row],[GST %]]</f>
        <v>66047.039999999994</v>
      </c>
      <c r="N2327" s="161">
        <f>Sales[[#This Row],[Gross Amount]]-Sales[[#This Row],[Disc. Amt.]]+Sales[[#This Row],[GST Amount]]</f>
        <v>432975.04</v>
      </c>
      <c r="O2327" s="158" t="s">
        <v>3566</v>
      </c>
      <c r="P2327" s="158" t="s">
        <v>3562</v>
      </c>
      <c r="Q2327" s="160">
        <f>IF(Sales[[#This Row],[Status]]="Cancelled",0,Sales[[#This Row],[Qty]])</f>
        <v>8</v>
      </c>
      <c r="R2327" s="161">
        <f>IF(Sales[[#This Row],[Status]]="Cancelled",0,Sales[[#This Row],[Total Amount]])</f>
        <v>432975.04</v>
      </c>
      <c r="S2327" s="162">
        <f>SUM(Sales[Net Amount])</f>
        <v>406839287.73200053</v>
      </c>
    </row>
    <row r="2328" spans="1:19" ht="18.75" x14ac:dyDescent="0.25">
      <c r="A2328" s="163" t="s">
        <v>5952</v>
      </c>
      <c r="B2328" s="164">
        <v>45896</v>
      </c>
      <c r="C2328" s="34" t="s">
        <v>814</v>
      </c>
      <c r="D2328" s="53" t="str">
        <f>VLOOKUP(Sales[[#This Row],[Customer ID]],Customer[#All],2,0)</f>
        <v>Amit Kumar</v>
      </c>
      <c r="E2328" s="34" t="s">
        <v>127</v>
      </c>
      <c r="F2328" s="34" t="str">
        <f>VLOOKUP(Sales[[#This Row],[Product ID]],Product[#All],2,0)</f>
        <v>Samsung Ssd</v>
      </c>
      <c r="G2328" s="53">
        <v>7</v>
      </c>
      <c r="H2328" s="165">
        <f>VLOOKUP(Sales[[#This Row],[Product ID]],Product[#All],7,0)</f>
        <v>4570</v>
      </c>
      <c r="I2328" s="165">
        <f>Sales[[#This Row],[Selling Rate]]*Sales[[#This Row],[Qty]]</f>
        <v>31990</v>
      </c>
      <c r="J2328" s="45">
        <v>0.05</v>
      </c>
      <c r="K2328" s="46">
        <f>Sales[[#This Row],[Gross Amount]]*Sales[[#This Row],[Disc %]]</f>
        <v>1599.5</v>
      </c>
      <c r="L2328" s="43">
        <v>0.18</v>
      </c>
      <c r="M2328" s="46">
        <f>(Sales[[#This Row],[Gross Amount]]-Sales[[#This Row],[Disc. Amt.]])*Sales[[#This Row],[GST %]]</f>
        <v>5470.29</v>
      </c>
      <c r="N2328" s="161">
        <f>Sales[[#This Row],[Gross Amount]]-Sales[[#This Row],[Disc. Amt.]]+Sales[[#This Row],[GST Amount]]</f>
        <v>35860.79</v>
      </c>
      <c r="O2328" s="34" t="s">
        <v>3569</v>
      </c>
      <c r="P2328" s="34" t="s">
        <v>3562</v>
      </c>
      <c r="Q2328" s="165">
        <f>IF(Sales[[#This Row],[Status]]="Cancelled",0,Sales[[#This Row],[Qty]])</f>
        <v>7</v>
      </c>
      <c r="R2328" s="166">
        <f>IF(Sales[[#This Row],[Status]]="Cancelled",0,Sales[[#This Row],[Total Amount]])</f>
        <v>35860.79</v>
      </c>
      <c r="S2328" s="162">
        <f>SUM(Sales[Net Amount])</f>
        <v>406839287.73200053</v>
      </c>
    </row>
    <row r="2329" spans="1:19" ht="18.75" x14ac:dyDescent="0.25">
      <c r="A2329" s="156" t="s">
        <v>5953</v>
      </c>
      <c r="B2329" s="157">
        <v>45896</v>
      </c>
      <c r="C2329" s="158" t="s">
        <v>745</v>
      </c>
      <c r="D2329" s="159" t="str">
        <f>VLOOKUP(Sales[[#This Row],[Customer ID]],Customer[#All],2,0)</f>
        <v>Priya Kumar</v>
      </c>
      <c r="E2329" s="158" t="s">
        <v>153</v>
      </c>
      <c r="F2329" s="158" t="str">
        <f>VLOOKUP(Sales[[#This Row],[Product ID]],Product[#All],2,0)</f>
        <v>HP Mouse</v>
      </c>
      <c r="G2329" s="159">
        <v>5</v>
      </c>
      <c r="H2329" s="160">
        <f>VLOOKUP(Sales[[#This Row],[Product ID]],Product[#All],7,0)</f>
        <v>1070</v>
      </c>
      <c r="I2329" s="160">
        <f>Sales[[#This Row],[Selling Rate]]*Sales[[#This Row],[Qty]]</f>
        <v>5350</v>
      </c>
      <c r="J2329" s="43">
        <v>0.12</v>
      </c>
      <c r="K2329" s="44">
        <f>Sales[[#This Row],[Gross Amount]]*Sales[[#This Row],[Disc %]]</f>
        <v>642</v>
      </c>
      <c r="L2329" s="43">
        <v>0.18</v>
      </c>
      <c r="M2329" s="44">
        <f>(Sales[[#This Row],[Gross Amount]]-Sales[[#This Row],[Disc. Amt.]])*Sales[[#This Row],[GST %]]</f>
        <v>847.43999999999994</v>
      </c>
      <c r="N2329" s="161">
        <f>Sales[[#This Row],[Gross Amount]]-Sales[[#This Row],[Disc. Amt.]]+Sales[[#This Row],[GST Amount]]</f>
        <v>5555.44</v>
      </c>
      <c r="O2329" s="158" t="s">
        <v>8876</v>
      </c>
      <c r="P2329" s="158" t="s">
        <v>3562</v>
      </c>
      <c r="Q2329" s="160">
        <f>IF(Sales[[#This Row],[Status]]="Cancelled",0,Sales[[#This Row],[Qty]])</f>
        <v>5</v>
      </c>
      <c r="R2329" s="161">
        <f>IF(Sales[[#This Row],[Status]]="Cancelled",0,Sales[[#This Row],[Total Amount]])</f>
        <v>5555.44</v>
      </c>
      <c r="S2329" s="162">
        <f>SUM(Sales[Net Amount])</f>
        <v>406839287.73200053</v>
      </c>
    </row>
    <row r="2330" spans="1:19" ht="18.75" x14ac:dyDescent="0.25">
      <c r="A2330" s="163" t="s">
        <v>5954</v>
      </c>
      <c r="B2330" s="164">
        <v>45896</v>
      </c>
      <c r="C2330" s="34" t="s">
        <v>848</v>
      </c>
      <c r="D2330" s="53" t="str">
        <f>VLOOKUP(Sales[[#This Row],[Customer ID]],Customer[#All],2,0)</f>
        <v>Rakesh Patel</v>
      </c>
      <c r="E2330" s="34" t="s">
        <v>402</v>
      </c>
      <c r="F2330" s="34" t="str">
        <f>VLOOKUP(Sales[[#This Row],[Product ID]],Product[#All],2,0)</f>
        <v>Logitech Keyboard</v>
      </c>
      <c r="G2330" s="53">
        <v>5</v>
      </c>
      <c r="H2330" s="165">
        <f>VLOOKUP(Sales[[#This Row],[Product ID]],Product[#All],7,0)</f>
        <v>3500</v>
      </c>
      <c r="I2330" s="165">
        <f>Sales[[#This Row],[Selling Rate]]*Sales[[#This Row],[Qty]]</f>
        <v>17500</v>
      </c>
      <c r="J2330" s="45">
        <v>0.12</v>
      </c>
      <c r="K2330" s="46">
        <f>Sales[[#This Row],[Gross Amount]]*Sales[[#This Row],[Disc %]]</f>
        <v>2100</v>
      </c>
      <c r="L2330" s="43">
        <v>0.18</v>
      </c>
      <c r="M2330" s="46">
        <f>(Sales[[#This Row],[Gross Amount]]-Sales[[#This Row],[Disc. Amt.]])*Sales[[#This Row],[GST %]]</f>
        <v>2772</v>
      </c>
      <c r="N2330" s="161">
        <f>Sales[[#This Row],[Gross Amount]]-Sales[[#This Row],[Disc. Amt.]]+Sales[[#This Row],[GST Amount]]</f>
        <v>18172</v>
      </c>
      <c r="O2330" s="34" t="s">
        <v>3561</v>
      </c>
      <c r="P2330" s="34" t="s">
        <v>3562</v>
      </c>
      <c r="Q2330" s="165">
        <f>IF(Sales[[#This Row],[Status]]="Cancelled",0,Sales[[#This Row],[Qty]])</f>
        <v>5</v>
      </c>
      <c r="R2330" s="166">
        <f>IF(Sales[[#This Row],[Status]]="Cancelled",0,Sales[[#This Row],[Total Amount]])</f>
        <v>18172</v>
      </c>
      <c r="S2330" s="162">
        <f>SUM(Sales[Net Amount])</f>
        <v>406839287.73200053</v>
      </c>
    </row>
    <row r="2331" spans="1:19" ht="18.75" x14ac:dyDescent="0.25">
      <c r="A2331" s="156" t="s">
        <v>5955</v>
      </c>
      <c r="B2331" s="157">
        <v>45896</v>
      </c>
      <c r="C2331" s="158" t="s">
        <v>787</v>
      </c>
      <c r="D2331" s="159" t="str">
        <f>VLOOKUP(Sales[[#This Row],[Customer ID]],Customer[#All],2,0)</f>
        <v>Amit Singh</v>
      </c>
      <c r="E2331" s="158" t="s">
        <v>464</v>
      </c>
      <c r="F2331" s="158" t="str">
        <f>VLOOKUP(Sales[[#This Row],[Product ID]],Product[#All],2,0)</f>
        <v>Lg Monitor</v>
      </c>
      <c r="G2331" s="159">
        <v>1</v>
      </c>
      <c r="H2331" s="160">
        <f>VLOOKUP(Sales[[#This Row],[Product ID]],Product[#All],7,0)</f>
        <v>27140</v>
      </c>
      <c r="I2331" s="160">
        <f>Sales[[#This Row],[Selling Rate]]*Sales[[#This Row],[Qty]]</f>
        <v>27140</v>
      </c>
      <c r="J2331" s="43">
        <v>0.05</v>
      </c>
      <c r="K2331" s="44">
        <f>Sales[[#This Row],[Gross Amount]]*Sales[[#This Row],[Disc %]]</f>
        <v>1357</v>
      </c>
      <c r="L2331" s="43">
        <v>0.18</v>
      </c>
      <c r="M2331" s="44">
        <f>(Sales[[#This Row],[Gross Amount]]-Sales[[#This Row],[Disc. Amt.]])*Sales[[#This Row],[GST %]]</f>
        <v>4640.9399999999996</v>
      </c>
      <c r="N2331" s="161">
        <f>Sales[[#This Row],[Gross Amount]]-Sales[[#This Row],[Disc. Amt.]]+Sales[[#This Row],[GST Amount]]</f>
        <v>30423.94</v>
      </c>
      <c r="O2331" s="158" t="s">
        <v>8876</v>
      </c>
      <c r="P2331" s="158" t="s">
        <v>3562</v>
      </c>
      <c r="Q2331" s="160">
        <f>IF(Sales[[#This Row],[Status]]="Cancelled",0,Sales[[#This Row],[Qty]])</f>
        <v>1</v>
      </c>
      <c r="R2331" s="161">
        <f>IF(Sales[[#This Row],[Status]]="Cancelled",0,Sales[[#This Row],[Total Amount]])</f>
        <v>30423.94</v>
      </c>
      <c r="S2331" s="162">
        <f>SUM(Sales[Net Amount])</f>
        <v>406839287.73200053</v>
      </c>
    </row>
    <row r="2332" spans="1:19" ht="18.75" x14ac:dyDescent="0.25">
      <c r="A2332" s="163" t="s">
        <v>5956</v>
      </c>
      <c r="B2332" s="164">
        <v>45896</v>
      </c>
      <c r="C2332" s="34" t="s">
        <v>690</v>
      </c>
      <c r="D2332" s="53" t="str">
        <f>VLOOKUP(Sales[[#This Row],[Customer ID]],Customer[#All],2,0)</f>
        <v>Priya Patel</v>
      </c>
      <c r="E2332" s="34" t="s">
        <v>251</v>
      </c>
      <c r="F2332" s="34" t="str">
        <f>VLOOKUP(Sales[[#This Row],[Product ID]],Product[#All],2,0)</f>
        <v>Corsair Ram</v>
      </c>
      <c r="G2332" s="53">
        <v>5</v>
      </c>
      <c r="H2332" s="165">
        <f>VLOOKUP(Sales[[#This Row],[Product ID]],Product[#All],7,0)</f>
        <v>2890</v>
      </c>
      <c r="I2332" s="165">
        <f>Sales[[#This Row],[Selling Rate]]*Sales[[#This Row],[Qty]]</f>
        <v>14450</v>
      </c>
      <c r="J2332" s="45">
        <v>0.1</v>
      </c>
      <c r="K2332" s="46">
        <f>Sales[[#This Row],[Gross Amount]]*Sales[[#This Row],[Disc %]]</f>
        <v>1445</v>
      </c>
      <c r="L2332" s="43">
        <v>0.18</v>
      </c>
      <c r="M2332" s="46">
        <f>(Sales[[#This Row],[Gross Amount]]-Sales[[#This Row],[Disc. Amt.]])*Sales[[#This Row],[GST %]]</f>
        <v>2340.9</v>
      </c>
      <c r="N2332" s="161">
        <f>Sales[[#This Row],[Gross Amount]]-Sales[[#This Row],[Disc. Amt.]]+Sales[[#This Row],[GST Amount]]</f>
        <v>15345.9</v>
      </c>
      <c r="O2332" s="34" t="s">
        <v>3561</v>
      </c>
      <c r="P2332" s="34" t="s">
        <v>3562</v>
      </c>
      <c r="Q2332" s="165">
        <f>IF(Sales[[#This Row],[Status]]="Cancelled",0,Sales[[#This Row],[Qty]])</f>
        <v>5</v>
      </c>
      <c r="R2332" s="166">
        <f>IF(Sales[[#This Row],[Status]]="Cancelled",0,Sales[[#This Row],[Total Amount]])</f>
        <v>15345.9</v>
      </c>
      <c r="S2332" s="162">
        <f>SUM(Sales[Net Amount])</f>
        <v>406839287.73200053</v>
      </c>
    </row>
    <row r="2333" spans="1:19" ht="18.75" x14ac:dyDescent="0.25">
      <c r="A2333" s="156" t="s">
        <v>5957</v>
      </c>
      <c r="B2333" s="157">
        <v>45896</v>
      </c>
      <c r="C2333" s="158" t="s">
        <v>931</v>
      </c>
      <c r="D2333" s="159" t="str">
        <f>VLOOKUP(Sales[[#This Row],[Customer ID]],Customer[#All],2,0)</f>
        <v>Sahil Patel</v>
      </c>
      <c r="E2333" s="158" t="s">
        <v>485</v>
      </c>
      <c r="F2333" s="158" t="str">
        <f>VLOOKUP(Sales[[#This Row],[Product ID]],Product[#All],2,0)</f>
        <v>Lenovo Laptop</v>
      </c>
      <c r="G2333" s="159">
        <v>7</v>
      </c>
      <c r="H2333" s="160">
        <f>VLOOKUP(Sales[[#This Row],[Product ID]],Product[#All],7,0)</f>
        <v>55360</v>
      </c>
      <c r="I2333" s="160">
        <f>Sales[[#This Row],[Selling Rate]]*Sales[[#This Row],[Qty]]</f>
        <v>387520</v>
      </c>
      <c r="J2333" s="43">
        <v>0.05</v>
      </c>
      <c r="K2333" s="44">
        <f>Sales[[#This Row],[Gross Amount]]*Sales[[#This Row],[Disc %]]</f>
        <v>19376</v>
      </c>
      <c r="L2333" s="43">
        <v>0.18</v>
      </c>
      <c r="M2333" s="44">
        <f>(Sales[[#This Row],[Gross Amount]]-Sales[[#This Row],[Disc. Amt.]])*Sales[[#This Row],[GST %]]</f>
        <v>66265.919999999998</v>
      </c>
      <c r="N2333" s="161">
        <f>Sales[[#This Row],[Gross Amount]]-Sales[[#This Row],[Disc. Amt.]]+Sales[[#This Row],[GST Amount]]</f>
        <v>434409.92</v>
      </c>
      <c r="O2333" s="158" t="s">
        <v>3569</v>
      </c>
      <c r="P2333" s="158" t="s">
        <v>3562</v>
      </c>
      <c r="Q2333" s="160">
        <f>IF(Sales[[#This Row],[Status]]="Cancelled",0,Sales[[#This Row],[Qty]])</f>
        <v>7</v>
      </c>
      <c r="R2333" s="161">
        <f>IF(Sales[[#This Row],[Status]]="Cancelled",0,Sales[[#This Row],[Total Amount]])</f>
        <v>434409.92</v>
      </c>
      <c r="S2333" s="162">
        <f>SUM(Sales[Net Amount])</f>
        <v>406839287.73200053</v>
      </c>
    </row>
    <row r="2334" spans="1:19" ht="18.75" x14ac:dyDescent="0.25">
      <c r="A2334" s="163" t="s">
        <v>5958</v>
      </c>
      <c r="B2334" s="164">
        <v>45896</v>
      </c>
      <c r="C2334" s="34" t="s">
        <v>898</v>
      </c>
      <c r="D2334" s="53" t="str">
        <f>VLOOKUP(Sales[[#This Row],[Customer ID]],Customer[#All],2,0)</f>
        <v>Rahul Singh</v>
      </c>
      <c r="E2334" s="34" t="s">
        <v>197</v>
      </c>
      <c r="F2334" s="34" t="str">
        <f>VLOOKUP(Sales[[#This Row],[Product ID]],Product[#All],2,0)</f>
        <v>Crucial Ssd</v>
      </c>
      <c r="G2334" s="53">
        <v>1</v>
      </c>
      <c r="H2334" s="165">
        <f>VLOOKUP(Sales[[#This Row],[Product ID]],Product[#All],7,0)</f>
        <v>16400</v>
      </c>
      <c r="I2334" s="165">
        <f>Sales[[#This Row],[Selling Rate]]*Sales[[#This Row],[Qty]]</f>
        <v>16400</v>
      </c>
      <c r="J2334" s="45">
        <v>0</v>
      </c>
      <c r="K2334" s="46">
        <f>Sales[[#This Row],[Gross Amount]]*Sales[[#This Row],[Disc %]]</f>
        <v>0</v>
      </c>
      <c r="L2334" s="43">
        <v>0.18</v>
      </c>
      <c r="M2334" s="46">
        <f>(Sales[[#This Row],[Gross Amount]]-Sales[[#This Row],[Disc. Amt.]])*Sales[[#This Row],[GST %]]</f>
        <v>2952</v>
      </c>
      <c r="N2334" s="161">
        <f>Sales[[#This Row],[Gross Amount]]-Sales[[#This Row],[Disc. Amt.]]+Sales[[#This Row],[GST Amount]]</f>
        <v>19352</v>
      </c>
      <c r="O2334" s="34" t="s">
        <v>8876</v>
      </c>
      <c r="P2334" s="34" t="s">
        <v>3562</v>
      </c>
      <c r="Q2334" s="165">
        <f>IF(Sales[[#This Row],[Status]]="Cancelled",0,Sales[[#This Row],[Qty]])</f>
        <v>1</v>
      </c>
      <c r="R2334" s="166">
        <f>IF(Sales[[#This Row],[Status]]="Cancelled",0,Sales[[#This Row],[Total Amount]])</f>
        <v>19352</v>
      </c>
      <c r="S2334" s="162">
        <f>SUM(Sales[Net Amount])</f>
        <v>406839287.73200053</v>
      </c>
    </row>
    <row r="2335" spans="1:19" ht="18.75" x14ac:dyDescent="0.25">
      <c r="A2335" s="156" t="s">
        <v>5959</v>
      </c>
      <c r="B2335" s="157">
        <v>45896</v>
      </c>
      <c r="C2335" s="158" t="s">
        <v>709</v>
      </c>
      <c r="D2335" s="159" t="str">
        <f>VLOOKUP(Sales[[#This Row],[Customer ID]],Customer[#All],2,0)</f>
        <v>Ankit Kumar</v>
      </c>
      <c r="E2335" s="158" t="s">
        <v>126</v>
      </c>
      <c r="F2335" s="158" t="str">
        <f>VLOOKUP(Sales[[#This Row],[Product ID]],Product[#All],2,0)</f>
        <v>Epson Printer</v>
      </c>
      <c r="G2335" s="159">
        <v>6</v>
      </c>
      <c r="H2335" s="160">
        <f>VLOOKUP(Sales[[#This Row],[Product ID]],Product[#All],7,0)</f>
        <v>23980</v>
      </c>
      <c r="I2335" s="160">
        <f>Sales[[#This Row],[Selling Rate]]*Sales[[#This Row],[Qty]]</f>
        <v>143880</v>
      </c>
      <c r="J2335" s="43">
        <v>0.1</v>
      </c>
      <c r="K2335" s="44">
        <f>Sales[[#This Row],[Gross Amount]]*Sales[[#This Row],[Disc %]]</f>
        <v>14388</v>
      </c>
      <c r="L2335" s="43">
        <v>0.18</v>
      </c>
      <c r="M2335" s="44">
        <f>(Sales[[#This Row],[Gross Amount]]-Sales[[#This Row],[Disc. Amt.]])*Sales[[#This Row],[GST %]]</f>
        <v>23308.559999999998</v>
      </c>
      <c r="N2335" s="161">
        <f>Sales[[#This Row],[Gross Amount]]-Sales[[#This Row],[Disc. Amt.]]+Sales[[#This Row],[GST Amount]]</f>
        <v>152800.56</v>
      </c>
      <c r="O2335" s="158" t="s">
        <v>3569</v>
      </c>
      <c r="P2335" s="158" t="s">
        <v>3562</v>
      </c>
      <c r="Q2335" s="160">
        <f>IF(Sales[[#This Row],[Status]]="Cancelled",0,Sales[[#This Row],[Qty]])</f>
        <v>6</v>
      </c>
      <c r="R2335" s="161">
        <f>IF(Sales[[#This Row],[Status]]="Cancelled",0,Sales[[#This Row],[Total Amount]])</f>
        <v>152800.56</v>
      </c>
      <c r="S2335" s="162">
        <f>SUM(Sales[Net Amount])</f>
        <v>406839287.73200053</v>
      </c>
    </row>
    <row r="2336" spans="1:19" ht="18.75" x14ac:dyDescent="0.25">
      <c r="A2336" s="163" t="s">
        <v>5960</v>
      </c>
      <c r="B2336" s="164">
        <v>45896</v>
      </c>
      <c r="C2336" s="34" t="s">
        <v>878</v>
      </c>
      <c r="D2336" s="53" t="str">
        <f>VLOOKUP(Sales[[#This Row],[Customer ID]],Customer[#All],2,0)</f>
        <v>Rahul Singh</v>
      </c>
      <c r="E2336" s="34" t="s">
        <v>480</v>
      </c>
      <c r="F2336" s="34" t="str">
        <f>VLOOKUP(Sales[[#This Row],[Product ID]],Product[#All],2,0)</f>
        <v>TP-link Bluetooth Adapter</v>
      </c>
      <c r="G2336" s="53">
        <v>6</v>
      </c>
      <c r="H2336" s="165">
        <f>VLOOKUP(Sales[[#This Row],[Product ID]],Product[#All],7,0)</f>
        <v>1670</v>
      </c>
      <c r="I2336" s="165">
        <f>Sales[[#This Row],[Selling Rate]]*Sales[[#This Row],[Qty]]</f>
        <v>10020</v>
      </c>
      <c r="J2336" s="45">
        <v>0</v>
      </c>
      <c r="K2336" s="46">
        <f>Sales[[#This Row],[Gross Amount]]*Sales[[#This Row],[Disc %]]</f>
        <v>0</v>
      </c>
      <c r="L2336" s="43">
        <v>0.18</v>
      </c>
      <c r="M2336" s="46">
        <f>(Sales[[#This Row],[Gross Amount]]-Sales[[#This Row],[Disc. Amt.]])*Sales[[#This Row],[GST %]]</f>
        <v>1803.6</v>
      </c>
      <c r="N2336" s="161">
        <f>Sales[[#This Row],[Gross Amount]]-Sales[[#This Row],[Disc. Amt.]]+Sales[[#This Row],[GST Amount]]</f>
        <v>11823.6</v>
      </c>
      <c r="O2336" s="34" t="s">
        <v>3561</v>
      </c>
      <c r="P2336" s="34" t="s">
        <v>3562</v>
      </c>
      <c r="Q2336" s="165">
        <f>IF(Sales[[#This Row],[Status]]="Cancelled",0,Sales[[#This Row],[Qty]])</f>
        <v>6</v>
      </c>
      <c r="R2336" s="166">
        <f>IF(Sales[[#This Row],[Status]]="Cancelled",0,Sales[[#This Row],[Total Amount]])</f>
        <v>11823.6</v>
      </c>
      <c r="S2336" s="162">
        <f>SUM(Sales[Net Amount])</f>
        <v>406839287.73200053</v>
      </c>
    </row>
    <row r="2337" spans="1:19" ht="18.75" x14ac:dyDescent="0.25">
      <c r="A2337" s="156" t="s">
        <v>5961</v>
      </c>
      <c r="B2337" s="157">
        <v>45896</v>
      </c>
      <c r="C2337" s="158" t="s">
        <v>5322</v>
      </c>
      <c r="D2337" s="159" t="str">
        <f>VLOOKUP(Sales[[#This Row],[Customer ID]],Customer[#All],2,0)</f>
        <v>Rakesh Verma</v>
      </c>
      <c r="E2337" s="158" t="s">
        <v>88</v>
      </c>
      <c r="F2337" s="158" t="str">
        <f>VLOOKUP(Sales[[#This Row],[Product ID]],Product[#All],2,0)</f>
        <v>Dell Laptop</v>
      </c>
      <c r="G2337" s="159">
        <v>8</v>
      </c>
      <c r="H2337" s="160">
        <f>VLOOKUP(Sales[[#This Row],[Product ID]],Product[#All],7,0)</f>
        <v>43690</v>
      </c>
      <c r="I2337" s="160">
        <f>Sales[[#This Row],[Selling Rate]]*Sales[[#This Row],[Qty]]</f>
        <v>349520</v>
      </c>
      <c r="J2337" s="43">
        <v>0.15</v>
      </c>
      <c r="K2337" s="44">
        <f>Sales[[#This Row],[Gross Amount]]*Sales[[#This Row],[Disc %]]</f>
        <v>52428</v>
      </c>
      <c r="L2337" s="43">
        <v>0.18</v>
      </c>
      <c r="M2337" s="44">
        <f>(Sales[[#This Row],[Gross Amount]]-Sales[[#This Row],[Disc. Amt.]])*Sales[[#This Row],[GST %]]</f>
        <v>53476.56</v>
      </c>
      <c r="N2337" s="161">
        <f>Sales[[#This Row],[Gross Amount]]-Sales[[#This Row],[Disc. Amt.]]+Sales[[#This Row],[GST Amount]]</f>
        <v>350568.56</v>
      </c>
      <c r="O2337" s="158" t="s">
        <v>3566</v>
      </c>
      <c r="P2337" s="158" t="s">
        <v>3562</v>
      </c>
      <c r="Q2337" s="160">
        <f>IF(Sales[[#This Row],[Status]]="Cancelled",0,Sales[[#This Row],[Qty]])</f>
        <v>8</v>
      </c>
      <c r="R2337" s="161">
        <f>IF(Sales[[#This Row],[Status]]="Cancelled",0,Sales[[#This Row],[Total Amount]])</f>
        <v>350568.56</v>
      </c>
      <c r="S2337" s="162">
        <f>SUM(Sales[Net Amount])</f>
        <v>406839287.73200053</v>
      </c>
    </row>
    <row r="2338" spans="1:19" ht="18.75" x14ac:dyDescent="0.25">
      <c r="A2338" s="163" t="s">
        <v>5962</v>
      </c>
      <c r="B2338" s="164">
        <v>45896</v>
      </c>
      <c r="C2338" s="34" t="s">
        <v>826</v>
      </c>
      <c r="D2338" s="53" t="str">
        <f>VLOOKUP(Sales[[#This Row],[Customer ID]],Customer[#All],2,0)</f>
        <v>Sahil Sharma</v>
      </c>
      <c r="E2338" s="34" t="s">
        <v>43</v>
      </c>
      <c r="F2338" s="34" t="str">
        <f>VLOOKUP(Sales[[#This Row],[Product ID]],Product[#All],2,0)</f>
        <v>Jbl Speaker</v>
      </c>
      <c r="G2338" s="53">
        <v>3</v>
      </c>
      <c r="H2338" s="165">
        <f>VLOOKUP(Sales[[#This Row],[Product ID]],Product[#All],7,0)</f>
        <v>11310</v>
      </c>
      <c r="I2338" s="165">
        <f>Sales[[#This Row],[Selling Rate]]*Sales[[#This Row],[Qty]]</f>
        <v>33930</v>
      </c>
      <c r="J2338" s="45">
        <v>0.02</v>
      </c>
      <c r="K2338" s="46">
        <f>Sales[[#This Row],[Gross Amount]]*Sales[[#This Row],[Disc %]]</f>
        <v>678.6</v>
      </c>
      <c r="L2338" s="43">
        <v>0.18</v>
      </c>
      <c r="M2338" s="46">
        <f>(Sales[[#This Row],[Gross Amount]]-Sales[[#This Row],[Disc. Amt.]])*Sales[[#This Row],[GST %]]</f>
        <v>5985.2520000000004</v>
      </c>
      <c r="N2338" s="161">
        <f>Sales[[#This Row],[Gross Amount]]-Sales[[#This Row],[Disc. Amt.]]+Sales[[#This Row],[GST Amount]]</f>
        <v>39236.652000000002</v>
      </c>
      <c r="O2338" s="34" t="s">
        <v>3569</v>
      </c>
      <c r="P2338" s="34" t="s">
        <v>3562</v>
      </c>
      <c r="Q2338" s="165">
        <f>IF(Sales[[#This Row],[Status]]="Cancelled",0,Sales[[#This Row],[Qty]])</f>
        <v>3</v>
      </c>
      <c r="R2338" s="166">
        <f>IF(Sales[[#This Row],[Status]]="Cancelled",0,Sales[[#This Row],[Total Amount]])</f>
        <v>39236.652000000002</v>
      </c>
      <c r="S2338" s="162">
        <f>SUM(Sales[Net Amount])</f>
        <v>406839287.73200053</v>
      </c>
    </row>
    <row r="2339" spans="1:19" ht="18.75" x14ac:dyDescent="0.25">
      <c r="A2339" s="156" t="s">
        <v>5963</v>
      </c>
      <c r="B2339" s="157">
        <v>45896</v>
      </c>
      <c r="C2339" s="158" t="s">
        <v>729</v>
      </c>
      <c r="D2339" s="159" t="str">
        <f>VLOOKUP(Sales[[#This Row],[Customer ID]],Customer[#All],2,0)</f>
        <v>Ankit Kumar</v>
      </c>
      <c r="E2339" s="158" t="s">
        <v>306</v>
      </c>
      <c r="F2339" s="158" t="str">
        <f>VLOOKUP(Sales[[#This Row],[Product ID]],Product[#All],2,0)</f>
        <v>Portronics USB Cable</v>
      </c>
      <c r="G2339" s="159">
        <v>6</v>
      </c>
      <c r="H2339" s="160">
        <f>VLOOKUP(Sales[[#This Row],[Product ID]],Product[#All],7,0)</f>
        <v>200</v>
      </c>
      <c r="I2339" s="160">
        <f>Sales[[#This Row],[Selling Rate]]*Sales[[#This Row],[Qty]]</f>
        <v>1200</v>
      </c>
      <c r="J2339" s="43">
        <v>0</v>
      </c>
      <c r="K2339" s="44">
        <f>Sales[[#This Row],[Gross Amount]]*Sales[[#This Row],[Disc %]]</f>
        <v>0</v>
      </c>
      <c r="L2339" s="43">
        <v>0.18</v>
      </c>
      <c r="M2339" s="44">
        <f>(Sales[[#This Row],[Gross Amount]]-Sales[[#This Row],[Disc. Amt.]])*Sales[[#This Row],[GST %]]</f>
        <v>216</v>
      </c>
      <c r="N2339" s="161">
        <f>Sales[[#This Row],[Gross Amount]]-Sales[[#This Row],[Disc. Amt.]]+Sales[[#This Row],[GST Amount]]</f>
        <v>1416</v>
      </c>
      <c r="O2339" s="158" t="s">
        <v>3566</v>
      </c>
      <c r="P2339" s="158" t="s">
        <v>3562</v>
      </c>
      <c r="Q2339" s="160">
        <f>IF(Sales[[#This Row],[Status]]="Cancelled",0,Sales[[#This Row],[Qty]])</f>
        <v>6</v>
      </c>
      <c r="R2339" s="161">
        <f>IF(Sales[[#This Row],[Status]]="Cancelled",0,Sales[[#This Row],[Total Amount]])</f>
        <v>1416</v>
      </c>
      <c r="S2339" s="162">
        <f>SUM(Sales[Net Amount])</f>
        <v>406839287.73200053</v>
      </c>
    </row>
    <row r="2340" spans="1:19" ht="18.75" x14ac:dyDescent="0.25">
      <c r="A2340" s="163" t="s">
        <v>5964</v>
      </c>
      <c r="B2340" s="164">
        <v>45896</v>
      </c>
      <c r="C2340" s="34" t="s">
        <v>682</v>
      </c>
      <c r="D2340" s="53" t="str">
        <f>VLOOKUP(Sales[[#This Row],[Customer ID]],Customer[#All],2,0)</f>
        <v>Rahul Sharma</v>
      </c>
      <c r="E2340" s="34" t="s">
        <v>312</v>
      </c>
      <c r="F2340" s="34" t="str">
        <f>VLOOKUP(Sales[[#This Row],[Product ID]],Product[#All],2,0)</f>
        <v>Dell Desktop</v>
      </c>
      <c r="G2340" s="53">
        <v>3</v>
      </c>
      <c r="H2340" s="165">
        <f>VLOOKUP(Sales[[#This Row],[Product ID]],Product[#All],7,0)</f>
        <v>59050</v>
      </c>
      <c r="I2340" s="165">
        <f>Sales[[#This Row],[Selling Rate]]*Sales[[#This Row],[Qty]]</f>
        <v>177150</v>
      </c>
      <c r="J2340" s="45">
        <v>0</v>
      </c>
      <c r="K2340" s="46">
        <f>Sales[[#This Row],[Gross Amount]]*Sales[[#This Row],[Disc %]]</f>
        <v>0</v>
      </c>
      <c r="L2340" s="43">
        <v>0.18</v>
      </c>
      <c r="M2340" s="46">
        <f>(Sales[[#This Row],[Gross Amount]]-Sales[[#This Row],[Disc. Amt.]])*Sales[[#This Row],[GST %]]</f>
        <v>31887</v>
      </c>
      <c r="N2340" s="161">
        <f>Sales[[#This Row],[Gross Amount]]-Sales[[#This Row],[Disc. Amt.]]+Sales[[#This Row],[GST Amount]]</f>
        <v>209037</v>
      </c>
      <c r="O2340" s="34" t="s">
        <v>3561</v>
      </c>
      <c r="P2340" s="34" t="s">
        <v>3562</v>
      </c>
      <c r="Q2340" s="165">
        <f>IF(Sales[[#This Row],[Status]]="Cancelled",0,Sales[[#This Row],[Qty]])</f>
        <v>3</v>
      </c>
      <c r="R2340" s="166">
        <f>IF(Sales[[#This Row],[Status]]="Cancelled",0,Sales[[#This Row],[Total Amount]])</f>
        <v>209037</v>
      </c>
      <c r="S2340" s="162">
        <f>SUM(Sales[Net Amount])</f>
        <v>406839287.73200053</v>
      </c>
    </row>
    <row r="2341" spans="1:19" ht="18.75" x14ac:dyDescent="0.25">
      <c r="A2341" s="156" t="s">
        <v>5965</v>
      </c>
      <c r="B2341" s="157">
        <v>45896</v>
      </c>
      <c r="C2341" s="158" t="s">
        <v>698</v>
      </c>
      <c r="D2341" s="159" t="str">
        <f>VLOOKUP(Sales[[#This Row],[Customer ID]],Customer[#All],2,0)</f>
        <v>Neha Sharma</v>
      </c>
      <c r="E2341" s="158" t="s">
        <v>200</v>
      </c>
      <c r="F2341" s="158" t="str">
        <f>VLOOKUP(Sales[[#This Row],[Product ID]],Product[#All],2,0)</f>
        <v>Logitech Webcam</v>
      </c>
      <c r="G2341" s="159">
        <v>3</v>
      </c>
      <c r="H2341" s="160">
        <f>VLOOKUP(Sales[[#This Row],[Product ID]],Product[#All],7,0)</f>
        <v>5040</v>
      </c>
      <c r="I2341" s="160">
        <f>Sales[[#This Row],[Selling Rate]]*Sales[[#This Row],[Qty]]</f>
        <v>15120</v>
      </c>
      <c r="J2341" s="43">
        <v>0.05</v>
      </c>
      <c r="K2341" s="44">
        <f>Sales[[#This Row],[Gross Amount]]*Sales[[#This Row],[Disc %]]</f>
        <v>756</v>
      </c>
      <c r="L2341" s="43">
        <v>0.18</v>
      </c>
      <c r="M2341" s="44">
        <f>(Sales[[#This Row],[Gross Amount]]-Sales[[#This Row],[Disc. Amt.]])*Sales[[#This Row],[GST %]]</f>
        <v>2585.52</v>
      </c>
      <c r="N2341" s="161">
        <f>Sales[[#This Row],[Gross Amount]]-Sales[[#This Row],[Disc. Amt.]]+Sales[[#This Row],[GST Amount]]</f>
        <v>16949.52</v>
      </c>
      <c r="O2341" s="158" t="s">
        <v>8876</v>
      </c>
      <c r="P2341" s="158" t="s">
        <v>3562</v>
      </c>
      <c r="Q2341" s="160">
        <f>IF(Sales[[#This Row],[Status]]="Cancelled",0,Sales[[#This Row],[Qty]])</f>
        <v>3</v>
      </c>
      <c r="R2341" s="161">
        <f>IF(Sales[[#This Row],[Status]]="Cancelled",0,Sales[[#This Row],[Total Amount]])</f>
        <v>16949.52</v>
      </c>
      <c r="S2341" s="162">
        <f>SUM(Sales[Net Amount])</f>
        <v>406839287.73200053</v>
      </c>
    </row>
    <row r="2342" spans="1:19" ht="18.75" x14ac:dyDescent="0.25">
      <c r="A2342" s="163" t="s">
        <v>5966</v>
      </c>
      <c r="B2342" s="164">
        <v>45896</v>
      </c>
      <c r="C2342" s="34" t="s">
        <v>695</v>
      </c>
      <c r="D2342" s="53" t="str">
        <f>VLOOKUP(Sales[[#This Row],[Customer ID]],Customer[#All],2,0)</f>
        <v>Rahul Kumar</v>
      </c>
      <c r="E2342" s="34" t="s">
        <v>436</v>
      </c>
      <c r="F2342" s="34" t="str">
        <f>VLOOKUP(Sales[[#This Row],[Product ID]],Product[#All],2,0)</f>
        <v>Amazon Basics Hdmi Cable</v>
      </c>
      <c r="G2342" s="53">
        <v>3</v>
      </c>
      <c r="H2342" s="165">
        <f>VLOOKUP(Sales[[#This Row],[Product ID]],Product[#All],7,0)</f>
        <v>860</v>
      </c>
      <c r="I2342" s="165">
        <f>Sales[[#This Row],[Selling Rate]]*Sales[[#This Row],[Qty]]</f>
        <v>2580</v>
      </c>
      <c r="J2342" s="45">
        <v>0</v>
      </c>
      <c r="K2342" s="46">
        <f>Sales[[#This Row],[Gross Amount]]*Sales[[#This Row],[Disc %]]</f>
        <v>0</v>
      </c>
      <c r="L2342" s="43">
        <v>0.18</v>
      </c>
      <c r="M2342" s="46">
        <f>(Sales[[#This Row],[Gross Amount]]-Sales[[#This Row],[Disc. Amt.]])*Sales[[#This Row],[GST %]]</f>
        <v>464.4</v>
      </c>
      <c r="N2342" s="161">
        <f>Sales[[#This Row],[Gross Amount]]-Sales[[#This Row],[Disc. Amt.]]+Sales[[#This Row],[GST Amount]]</f>
        <v>3044.4</v>
      </c>
      <c r="O2342" s="34" t="s">
        <v>3566</v>
      </c>
      <c r="P2342" s="34" t="s">
        <v>1040</v>
      </c>
      <c r="Q2342" s="165">
        <f>IF(Sales[[#This Row],[Status]]="Cancelled",0,Sales[[#This Row],[Qty]])</f>
        <v>0</v>
      </c>
      <c r="R2342" s="166">
        <f>IF(Sales[[#This Row],[Status]]="Cancelled",0,Sales[[#This Row],[Total Amount]])</f>
        <v>0</v>
      </c>
      <c r="S2342" s="162">
        <f>SUM(Sales[Net Amount])</f>
        <v>406839287.73200053</v>
      </c>
    </row>
    <row r="2343" spans="1:19" ht="18.75" x14ac:dyDescent="0.25">
      <c r="A2343" s="156" t="s">
        <v>5967</v>
      </c>
      <c r="B2343" s="157">
        <v>45897</v>
      </c>
      <c r="C2343" s="158" t="s">
        <v>844</v>
      </c>
      <c r="D2343" s="159" t="str">
        <f>VLOOKUP(Sales[[#This Row],[Customer ID]],Customer[#All],2,0)</f>
        <v>Rahul Sharma</v>
      </c>
      <c r="E2343" s="158" t="s">
        <v>481</v>
      </c>
      <c r="F2343" s="158" t="str">
        <f>VLOOKUP(Sales[[#This Row],[Product ID]],Product[#All],2,0)</f>
        <v>Dell Laptop</v>
      </c>
      <c r="G2343" s="159">
        <v>2</v>
      </c>
      <c r="H2343" s="160">
        <f>VLOOKUP(Sales[[#This Row],[Product ID]],Product[#All],7,0)</f>
        <v>36050</v>
      </c>
      <c r="I2343" s="160">
        <f>Sales[[#This Row],[Selling Rate]]*Sales[[#This Row],[Qty]]</f>
        <v>72100</v>
      </c>
      <c r="J2343" s="43">
        <v>0.12</v>
      </c>
      <c r="K2343" s="44">
        <f>Sales[[#This Row],[Gross Amount]]*Sales[[#This Row],[Disc %]]</f>
        <v>8652</v>
      </c>
      <c r="L2343" s="43">
        <v>0.18</v>
      </c>
      <c r="M2343" s="44">
        <f>(Sales[[#This Row],[Gross Amount]]-Sales[[#This Row],[Disc. Amt.]])*Sales[[#This Row],[GST %]]</f>
        <v>11420.64</v>
      </c>
      <c r="N2343" s="161">
        <f>Sales[[#This Row],[Gross Amount]]-Sales[[#This Row],[Disc. Amt.]]+Sales[[#This Row],[GST Amount]]</f>
        <v>74868.639999999999</v>
      </c>
      <c r="O2343" s="158" t="s">
        <v>3561</v>
      </c>
      <c r="P2343" s="158" t="s">
        <v>3562</v>
      </c>
      <c r="Q2343" s="160">
        <f>IF(Sales[[#This Row],[Status]]="Cancelled",0,Sales[[#This Row],[Qty]])</f>
        <v>2</v>
      </c>
      <c r="R2343" s="161">
        <f>IF(Sales[[#This Row],[Status]]="Cancelled",0,Sales[[#This Row],[Total Amount]])</f>
        <v>74868.639999999999</v>
      </c>
      <c r="S2343" s="162">
        <f>SUM(Sales[Net Amount])</f>
        <v>406839287.73200053</v>
      </c>
    </row>
    <row r="2344" spans="1:19" ht="18.75" x14ac:dyDescent="0.25">
      <c r="A2344" s="163" t="s">
        <v>5968</v>
      </c>
      <c r="B2344" s="164">
        <v>45897</v>
      </c>
      <c r="C2344" s="34" t="s">
        <v>690</v>
      </c>
      <c r="D2344" s="53" t="str">
        <f>VLOOKUP(Sales[[#This Row],[Customer ID]],Customer[#All],2,0)</f>
        <v>Priya Patel</v>
      </c>
      <c r="E2344" s="34" t="s">
        <v>15</v>
      </c>
      <c r="F2344" s="34" t="str">
        <f>VLOOKUP(Sales[[#This Row],[Product ID]],Product[#All],2,0)</f>
        <v>Sandisk Pen Drive</v>
      </c>
      <c r="G2344" s="53">
        <v>4</v>
      </c>
      <c r="H2344" s="165">
        <f>VLOOKUP(Sales[[#This Row],[Product ID]],Product[#All],7,0)</f>
        <v>4530</v>
      </c>
      <c r="I2344" s="165">
        <f>Sales[[#This Row],[Selling Rate]]*Sales[[#This Row],[Qty]]</f>
        <v>18120</v>
      </c>
      <c r="J2344" s="45">
        <v>0.15</v>
      </c>
      <c r="K2344" s="46">
        <f>Sales[[#This Row],[Gross Amount]]*Sales[[#This Row],[Disc %]]</f>
        <v>2718</v>
      </c>
      <c r="L2344" s="43">
        <v>0.18</v>
      </c>
      <c r="M2344" s="46">
        <f>(Sales[[#This Row],[Gross Amount]]-Sales[[#This Row],[Disc. Amt.]])*Sales[[#This Row],[GST %]]</f>
        <v>2772.3599999999997</v>
      </c>
      <c r="N2344" s="161">
        <f>Sales[[#This Row],[Gross Amount]]-Sales[[#This Row],[Disc. Amt.]]+Sales[[#This Row],[GST Amount]]</f>
        <v>18174.36</v>
      </c>
      <c r="O2344" s="34" t="s">
        <v>3566</v>
      </c>
      <c r="P2344" s="34" t="s">
        <v>3562</v>
      </c>
      <c r="Q2344" s="165">
        <f>IF(Sales[[#This Row],[Status]]="Cancelled",0,Sales[[#This Row],[Qty]])</f>
        <v>4</v>
      </c>
      <c r="R2344" s="166">
        <f>IF(Sales[[#This Row],[Status]]="Cancelled",0,Sales[[#This Row],[Total Amount]])</f>
        <v>18174.36</v>
      </c>
      <c r="S2344" s="162">
        <f>SUM(Sales[Net Amount])</f>
        <v>406839287.73200053</v>
      </c>
    </row>
    <row r="2345" spans="1:19" ht="18.75" x14ac:dyDescent="0.25">
      <c r="A2345" s="156" t="s">
        <v>5969</v>
      </c>
      <c r="B2345" s="157">
        <v>45897</v>
      </c>
      <c r="C2345" s="158" t="s">
        <v>915</v>
      </c>
      <c r="D2345" s="159" t="str">
        <f>VLOOKUP(Sales[[#This Row],[Customer ID]],Customer[#All],2,0)</f>
        <v>Sunita Kumar</v>
      </c>
      <c r="E2345" s="158" t="s">
        <v>263</v>
      </c>
      <c r="F2345" s="158" t="str">
        <f>VLOOKUP(Sales[[#This Row],[Product ID]],Product[#All],2,0)</f>
        <v>Amazon Basics Hdmi Cable</v>
      </c>
      <c r="G2345" s="159">
        <v>1</v>
      </c>
      <c r="H2345" s="160">
        <f>VLOOKUP(Sales[[#This Row],[Product ID]],Product[#All],7,0)</f>
        <v>770</v>
      </c>
      <c r="I2345" s="160">
        <f>Sales[[#This Row],[Selling Rate]]*Sales[[#This Row],[Qty]]</f>
        <v>770</v>
      </c>
      <c r="J2345" s="43">
        <v>0.12</v>
      </c>
      <c r="K2345" s="44">
        <f>Sales[[#This Row],[Gross Amount]]*Sales[[#This Row],[Disc %]]</f>
        <v>92.399999999999991</v>
      </c>
      <c r="L2345" s="43">
        <v>0.18</v>
      </c>
      <c r="M2345" s="44">
        <f>(Sales[[#This Row],[Gross Amount]]-Sales[[#This Row],[Disc. Amt.]])*Sales[[#This Row],[GST %]]</f>
        <v>121.968</v>
      </c>
      <c r="N2345" s="161">
        <f>Sales[[#This Row],[Gross Amount]]-Sales[[#This Row],[Disc. Amt.]]+Sales[[#This Row],[GST Amount]]</f>
        <v>799.56799999999998</v>
      </c>
      <c r="O2345" s="158" t="s">
        <v>3566</v>
      </c>
      <c r="P2345" s="158" t="s">
        <v>3562</v>
      </c>
      <c r="Q2345" s="160">
        <f>IF(Sales[[#This Row],[Status]]="Cancelled",0,Sales[[#This Row],[Qty]])</f>
        <v>1</v>
      </c>
      <c r="R2345" s="161">
        <f>IF(Sales[[#This Row],[Status]]="Cancelled",0,Sales[[#This Row],[Total Amount]])</f>
        <v>799.56799999999998</v>
      </c>
      <c r="S2345" s="162">
        <f>SUM(Sales[Net Amount])</f>
        <v>406839287.73200053</v>
      </c>
    </row>
    <row r="2346" spans="1:19" ht="18.75" x14ac:dyDescent="0.25">
      <c r="A2346" s="163" t="s">
        <v>5970</v>
      </c>
      <c r="B2346" s="164">
        <v>45897</v>
      </c>
      <c r="C2346" s="34" t="s">
        <v>735</v>
      </c>
      <c r="D2346" s="53" t="str">
        <f>VLOOKUP(Sales[[#This Row],[Customer ID]],Customer[#All],2,0)</f>
        <v>Amit Singh</v>
      </c>
      <c r="E2346" s="34" t="s">
        <v>518</v>
      </c>
      <c r="F2346" s="34" t="str">
        <f>VLOOKUP(Sales[[#This Row],[Product ID]],Product[#All],2,0)</f>
        <v>Samsung Monitor</v>
      </c>
      <c r="G2346" s="53">
        <v>1</v>
      </c>
      <c r="H2346" s="165">
        <f>VLOOKUP(Sales[[#This Row],[Product ID]],Product[#All],7,0)</f>
        <v>23660</v>
      </c>
      <c r="I2346" s="165">
        <f>Sales[[#This Row],[Selling Rate]]*Sales[[#This Row],[Qty]]</f>
        <v>23660</v>
      </c>
      <c r="J2346" s="45">
        <v>0.1</v>
      </c>
      <c r="K2346" s="46">
        <f>Sales[[#This Row],[Gross Amount]]*Sales[[#This Row],[Disc %]]</f>
        <v>2366</v>
      </c>
      <c r="L2346" s="43">
        <v>0.18</v>
      </c>
      <c r="M2346" s="46">
        <f>(Sales[[#This Row],[Gross Amount]]-Sales[[#This Row],[Disc. Amt.]])*Sales[[#This Row],[GST %]]</f>
        <v>3832.92</v>
      </c>
      <c r="N2346" s="161">
        <f>Sales[[#This Row],[Gross Amount]]-Sales[[#This Row],[Disc. Amt.]]+Sales[[#This Row],[GST Amount]]</f>
        <v>25126.92</v>
      </c>
      <c r="O2346" s="34" t="s">
        <v>3569</v>
      </c>
      <c r="P2346" s="34" t="s">
        <v>3562</v>
      </c>
      <c r="Q2346" s="165">
        <f>IF(Sales[[#This Row],[Status]]="Cancelled",0,Sales[[#This Row],[Qty]])</f>
        <v>1</v>
      </c>
      <c r="R2346" s="166">
        <f>IF(Sales[[#This Row],[Status]]="Cancelled",0,Sales[[#This Row],[Total Amount]])</f>
        <v>25126.92</v>
      </c>
      <c r="S2346" s="162">
        <f>SUM(Sales[Net Amount])</f>
        <v>406839287.73200053</v>
      </c>
    </row>
    <row r="2347" spans="1:19" ht="18.75" x14ac:dyDescent="0.25">
      <c r="A2347" s="156" t="s">
        <v>5971</v>
      </c>
      <c r="B2347" s="157">
        <v>45897</v>
      </c>
      <c r="C2347" s="158" t="s">
        <v>696</v>
      </c>
      <c r="D2347" s="159" t="str">
        <f>VLOOKUP(Sales[[#This Row],[Customer ID]],Customer[#All],2,0)</f>
        <v>Sunita Verma</v>
      </c>
      <c r="E2347" s="158" t="s">
        <v>494</v>
      </c>
      <c r="F2347" s="158" t="str">
        <f>VLOOKUP(Sales[[#This Row],[Product ID]],Product[#All],2,0)</f>
        <v>Logitech Mouse</v>
      </c>
      <c r="G2347" s="159">
        <v>8</v>
      </c>
      <c r="H2347" s="160">
        <f>VLOOKUP(Sales[[#This Row],[Product ID]],Product[#All],7,0)</f>
        <v>660</v>
      </c>
      <c r="I2347" s="160">
        <f>Sales[[#This Row],[Selling Rate]]*Sales[[#This Row],[Qty]]</f>
        <v>5280</v>
      </c>
      <c r="J2347" s="43">
        <v>0.15</v>
      </c>
      <c r="K2347" s="44">
        <f>Sales[[#This Row],[Gross Amount]]*Sales[[#This Row],[Disc %]]</f>
        <v>792</v>
      </c>
      <c r="L2347" s="43">
        <v>0.18</v>
      </c>
      <c r="M2347" s="44">
        <f>(Sales[[#This Row],[Gross Amount]]-Sales[[#This Row],[Disc. Amt.]])*Sales[[#This Row],[GST %]]</f>
        <v>807.83999999999992</v>
      </c>
      <c r="N2347" s="161">
        <f>Sales[[#This Row],[Gross Amount]]-Sales[[#This Row],[Disc. Amt.]]+Sales[[#This Row],[GST Amount]]</f>
        <v>5295.84</v>
      </c>
      <c r="O2347" s="158" t="s">
        <v>3561</v>
      </c>
      <c r="P2347" s="158" t="s">
        <v>3562</v>
      </c>
      <c r="Q2347" s="160">
        <f>IF(Sales[[#This Row],[Status]]="Cancelled",0,Sales[[#This Row],[Qty]])</f>
        <v>8</v>
      </c>
      <c r="R2347" s="161">
        <f>IF(Sales[[#This Row],[Status]]="Cancelled",0,Sales[[#This Row],[Total Amount]])</f>
        <v>5295.84</v>
      </c>
      <c r="S2347" s="162">
        <f>SUM(Sales[Net Amount])</f>
        <v>406839287.73200053</v>
      </c>
    </row>
    <row r="2348" spans="1:19" ht="18.75" x14ac:dyDescent="0.25">
      <c r="A2348" s="163" t="s">
        <v>5972</v>
      </c>
      <c r="B2348" s="164">
        <v>45897</v>
      </c>
      <c r="C2348" s="34" t="s">
        <v>684</v>
      </c>
      <c r="D2348" s="53" t="str">
        <f>VLOOKUP(Sales[[#This Row],[Customer ID]],Customer[#All],2,0)</f>
        <v>Rahul Sharma</v>
      </c>
      <c r="E2348" s="34" t="s">
        <v>520</v>
      </c>
      <c r="F2348" s="34" t="str">
        <f>VLOOKUP(Sales[[#This Row],[Product ID]],Product[#All],2,0)</f>
        <v>HP Desktop</v>
      </c>
      <c r="G2348" s="53">
        <v>8</v>
      </c>
      <c r="H2348" s="165">
        <f>VLOOKUP(Sales[[#This Row],[Product ID]],Product[#All],7,0)</f>
        <v>40200</v>
      </c>
      <c r="I2348" s="165">
        <f>Sales[[#This Row],[Selling Rate]]*Sales[[#This Row],[Qty]]</f>
        <v>321600</v>
      </c>
      <c r="J2348" s="45">
        <v>0</v>
      </c>
      <c r="K2348" s="46">
        <f>Sales[[#This Row],[Gross Amount]]*Sales[[#This Row],[Disc %]]</f>
        <v>0</v>
      </c>
      <c r="L2348" s="43">
        <v>0.18</v>
      </c>
      <c r="M2348" s="46">
        <f>(Sales[[#This Row],[Gross Amount]]-Sales[[#This Row],[Disc. Amt.]])*Sales[[#This Row],[GST %]]</f>
        <v>57888</v>
      </c>
      <c r="N2348" s="161">
        <f>Sales[[#This Row],[Gross Amount]]-Sales[[#This Row],[Disc. Amt.]]+Sales[[#This Row],[GST Amount]]</f>
        <v>379488</v>
      </c>
      <c r="O2348" s="34" t="s">
        <v>3566</v>
      </c>
      <c r="P2348" s="34" t="s">
        <v>3562</v>
      </c>
      <c r="Q2348" s="165">
        <f>IF(Sales[[#This Row],[Status]]="Cancelled",0,Sales[[#This Row],[Qty]])</f>
        <v>8</v>
      </c>
      <c r="R2348" s="166">
        <f>IF(Sales[[#This Row],[Status]]="Cancelled",0,Sales[[#This Row],[Total Amount]])</f>
        <v>379488</v>
      </c>
      <c r="S2348" s="162">
        <f>SUM(Sales[Net Amount])</f>
        <v>406839287.73200053</v>
      </c>
    </row>
    <row r="2349" spans="1:19" ht="18.75" x14ac:dyDescent="0.25">
      <c r="A2349" s="156" t="s">
        <v>5973</v>
      </c>
      <c r="B2349" s="157">
        <v>45897</v>
      </c>
      <c r="C2349" s="158" t="s">
        <v>871</v>
      </c>
      <c r="D2349" s="159" t="str">
        <f>VLOOKUP(Sales[[#This Row],[Customer ID]],Customer[#All],2,0)</f>
        <v>Rakesh Kumar</v>
      </c>
      <c r="E2349" s="158" t="s">
        <v>246</v>
      </c>
      <c r="F2349" s="158" t="str">
        <f>VLOOKUP(Sales[[#This Row],[Product ID]],Product[#All],2,0)</f>
        <v>PortronicsLaptopStand</v>
      </c>
      <c r="G2349" s="159">
        <v>7</v>
      </c>
      <c r="H2349" s="160">
        <f>VLOOKUP(Sales[[#This Row],[Product ID]],Product[#All],7,0)</f>
        <v>1600</v>
      </c>
      <c r="I2349" s="160">
        <f>Sales[[#This Row],[Selling Rate]]*Sales[[#This Row],[Qty]]</f>
        <v>11200</v>
      </c>
      <c r="J2349" s="43">
        <v>0.12</v>
      </c>
      <c r="K2349" s="44">
        <f>Sales[[#This Row],[Gross Amount]]*Sales[[#This Row],[Disc %]]</f>
        <v>1344</v>
      </c>
      <c r="L2349" s="43">
        <v>0.18</v>
      </c>
      <c r="M2349" s="44">
        <f>(Sales[[#This Row],[Gross Amount]]-Sales[[#This Row],[Disc. Amt.]])*Sales[[#This Row],[GST %]]</f>
        <v>1774.08</v>
      </c>
      <c r="N2349" s="161">
        <f>Sales[[#This Row],[Gross Amount]]-Sales[[#This Row],[Disc. Amt.]]+Sales[[#This Row],[GST Amount]]</f>
        <v>11630.08</v>
      </c>
      <c r="O2349" s="158" t="s">
        <v>3566</v>
      </c>
      <c r="P2349" s="158" t="s">
        <v>3562</v>
      </c>
      <c r="Q2349" s="160">
        <f>IF(Sales[[#This Row],[Status]]="Cancelled",0,Sales[[#This Row],[Qty]])</f>
        <v>7</v>
      </c>
      <c r="R2349" s="161">
        <f>IF(Sales[[#This Row],[Status]]="Cancelled",0,Sales[[#This Row],[Total Amount]])</f>
        <v>11630.08</v>
      </c>
      <c r="S2349" s="162">
        <f>SUM(Sales[Net Amount])</f>
        <v>406839287.73200053</v>
      </c>
    </row>
    <row r="2350" spans="1:19" ht="18.75" x14ac:dyDescent="0.25">
      <c r="A2350" s="163" t="s">
        <v>5974</v>
      </c>
      <c r="B2350" s="164">
        <v>45897</v>
      </c>
      <c r="C2350" s="34" t="s">
        <v>729</v>
      </c>
      <c r="D2350" s="53" t="str">
        <f>VLOOKUP(Sales[[#This Row],[Customer ID]],Customer[#All],2,0)</f>
        <v>Ankit Kumar</v>
      </c>
      <c r="E2350" s="34" t="s">
        <v>438</v>
      </c>
      <c r="F2350" s="34" t="str">
        <f>VLOOKUP(Sales[[#This Row],[Product ID]],Product[#All],2,0)</f>
        <v>Jbl Headset</v>
      </c>
      <c r="G2350" s="53">
        <v>1</v>
      </c>
      <c r="H2350" s="165">
        <f>VLOOKUP(Sales[[#This Row],[Product ID]],Product[#All],7,0)</f>
        <v>1670</v>
      </c>
      <c r="I2350" s="165">
        <f>Sales[[#This Row],[Selling Rate]]*Sales[[#This Row],[Qty]]</f>
        <v>1670</v>
      </c>
      <c r="J2350" s="45">
        <v>0.12</v>
      </c>
      <c r="K2350" s="46">
        <f>Sales[[#This Row],[Gross Amount]]*Sales[[#This Row],[Disc %]]</f>
        <v>200.4</v>
      </c>
      <c r="L2350" s="43">
        <v>0.18</v>
      </c>
      <c r="M2350" s="46">
        <f>(Sales[[#This Row],[Gross Amount]]-Sales[[#This Row],[Disc. Amt.]])*Sales[[#This Row],[GST %]]</f>
        <v>264.52799999999996</v>
      </c>
      <c r="N2350" s="161">
        <f>Sales[[#This Row],[Gross Amount]]-Sales[[#This Row],[Disc. Amt.]]+Sales[[#This Row],[GST Amount]]</f>
        <v>1734.1279999999999</v>
      </c>
      <c r="O2350" s="34" t="s">
        <v>3569</v>
      </c>
      <c r="P2350" s="34" t="s">
        <v>3562</v>
      </c>
      <c r="Q2350" s="165">
        <f>IF(Sales[[#This Row],[Status]]="Cancelled",0,Sales[[#This Row],[Qty]])</f>
        <v>1</v>
      </c>
      <c r="R2350" s="166">
        <f>IF(Sales[[#This Row],[Status]]="Cancelled",0,Sales[[#This Row],[Total Amount]])</f>
        <v>1734.1279999999999</v>
      </c>
      <c r="S2350" s="162">
        <f>SUM(Sales[Net Amount])</f>
        <v>406839287.73200053</v>
      </c>
    </row>
    <row r="2351" spans="1:19" ht="18.75" x14ac:dyDescent="0.25">
      <c r="A2351" s="156" t="s">
        <v>5975</v>
      </c>
      <c r="B2351" s="157">
        <v>45897</v>
      </c>
      <c r="C2351" s="158" t="s">
        <v>5976</v>
      </c>
      <c r="D2351" s="159" t="str">
        <f>VLOOKUP(Sales[[#This Row],[Customer ID]],Customer[#All],2,0)</f>
        <v>Rakesh Verma</v>
      </c>
      <c r="E2351" s="158" t="s">
        <v>523</v>
      </c>
      <c r="F2351" s="158" t="str">
        <f>VLOOKUP(Sales[[#This Row],[Product ID]],Product[#All],2,0)</f>
        <v>Logitech Mouse</v>
      </c>
      <c r="G2351" s="159">
        <v>2</v>
      </c>
      <c r="H2351" s="160">
        <f>VLOOKUP(Sales[[#This Row],[Product ID]],Product[#All],7,0)</f>
        <v>1300</v>
      </c>
      <c r="I2351" s="160">
        <f>Sales[[#This Row],[Selling Rate]]*Sales[[#This Row],[Qty]]</f>
        <v>2600</v>
      </c>
      <c r="J2351" s="43">
        <v>0.02</v>
      </c>
      <c r="K2351" s="44">
        <f>Sales[[#This Row],[Gross Amount]]*Sales[[#This Row],[Disc %]]</f>
        <v>52</v>
      </c>
      <c r="L2351" s="43">
        <v>0.18</v>
      </c>
      <c r="M2351" s="44">
        <f>(Sales[[#This Row],[Gross Amount]]-Sales[[#This Row],[Disc. Amt.]])*Sales[[#This Row],[GST %]]</f>
        <v>458.64</v>
      </c>
      <c r="N2351" s="161">
        <f>Sales[[#This Row],[Gross Amount]]-Sales[[#This Row],[Disc. Amt.]]+Sales[[#This Row],[GST Amount]]</f>
        <v>3006.64</v>
      </c>
      <c r="O2351" s="158" t="s">
        <v>3569</v>
      </c>
      <c r="P2351" s="158" t="s">
        <v>3562</v>
      </c>
      <c r="Q2351" s="160">
        <f>IF(Sales[[#This Row],[Status]]="Cancelled",0,Sales[[#This Row],[Qty]])</f>
        <v>2</v>
      </c>
      <c r="R2351" s="161">
        <f>IF(Sales[[#This Row],[Status]]="Cancelled",0,Sales[[#This Row],[Total Amount]])</f>
        <v>3006.64</v>
      </c>
      <c r="S2351" s="162">
        <f>SUM(Sales[Net Amount])</f>
        <v>406839287.73200053</v>
      </c>
    </row>
    <row r="2352" spans="1:19" ht="18.75" x14ac:dyDescent="0.25">
      <c r="A2352" s="163" t="s">
        <v>5977</v>
      </c>
      <c r="B2352" s="164">
        <v>45897</v>
      </c>
      <c r="C2352" s="34" t="s">
        <v>778</v>
      </c>
      <c r="D2352" s="53" t="str">
        <f>VLOOKUP(Sales[[#This Row],[Customer ID]],Customer[#All],2,0)</f>
        <v>Ankit Gupta</v>
      </c>
      <c r="E2352" s="34" t="s">
        <v>451</v>
      </c>
      <c r="F2352" s="34" t="str">
        <f>VLOOKUP(Sales[[#This Row],[Product ID]],Product[#All],2,0)</f>
        <v>HP Printer</v>
      </c>
      <c r="G2352" s="53">
        <v>2</v>
      </c>
      <c r="H2352" s="165">
        <f>VLOOKUP(Sales[[#This Row],[Product ID]],Product[#All],7,0)</f>
        <v>36160</v>
      </c>
      <c r="I2352" s="165">
        <f>Sales[[#This Row],[Selling Rate]]*Sales[[#This Row],[Qty]]</f>
        <v>72320</v>
      </c>
      <c r="J2352" s="45">
        <v>0.02</v>
      </c>
      <c r="K2352" s="46">
        <f>Sales[[#This Row],[Gross Amount]]*Sales[[#This Row],[Disc %]]</f>
        <v>1446.4</v>
      </c>
      <c r="L2352" s="43">
        <v>0.18</v>
      </c>
      <c r="M2352" s="46">
        <f>(Sales[[#This Row],[Gross Amount]]-Sales[[#This Row],[Disc. Amt.]])*Sales[[#This Row],[GST %]]</f>
        <v>12757.248000000001</v>
      </c>
      <c r="N2352" s="161">
        <f>Sales[[#This Row],[Gross Amount]]-Sales[[#This Row],[Disc. Amt.]]+Sales[[#This Row],[GST Amount]]</f>
        <v>83630.848000000013</v>
      </c>
      <c r="O2352" s="34" t="s">
        <v>3569</v>
      </c>
      <c r="P2352" s="34" t="s">
        <v>3562</v>
      </c>
      <c r="Q2352" s="165">
        <f>IF(Sales[[#This Row],[Status]]="Cancelled",0,Sales[[#This Row],[Qty]])</f>
        <v>2</v>
      </c>
      <c r="R2352" s="166">
        <f>IF(Sales[[#This Row],[Status]]="Cancelled",0,Sales[[#This Row],[Total Amount]])</f>
        <v>83630.848000000013</v>
      </c>
      <c r="S2352" s="162">
        <f>SUM(Sales[Net Amount])</f>
        <v>406839287.73200053</v>
      </c>
    </row>
    <row r="2353" spans="1:19" ht="18.75" x14ac:dyDescent="0.25">
      <c r="A2353" s="156" t="s">
        <v>5978</v>
      </c>
      <c r="B2353" s="157">
        <v>45897</v>
      </c>
      <c r="C2353" s="158" t="s">
        <v>826</v>
      </c>
      <c r="D2353" s="159" t="str">
        <f>VLOOKUP(Sales[[#This Row],[Customer ID]],Customer[#All],2,0)</f>
        <v>Sahil Sharma</v>
      </c>
      <c r="E2353" s="158" t="s">
        <v>228</v>
      </c>
      <c r="F2353" s="158" t="str">
        <f>VLOOKUP(Sales[[#This Row],[Product ID]],Product[#All],2,0)</f>
        <v>Samsung Monitor</v>
      </c>
      <c r="G2353" s="159">
        <v>7</v>
      </c>
      <c r="H2353" s="160">
        <f>VLOOKUP(Sales[[#This Row],[Product ID]],Product[#All],7,0)</f>
        <v>29600</v>
      </c>
      <c r="I2353" s="160">
        <f>Sales[[#This Row],[Selling Rate]]*Sales[[#This Row],[Qty]]</f>
        <v>207200</v>
      </c>
      <c r="J2353" s="43">
        <v>0</v>
      </c>
      <c r="K2353" s="44">
        <f>Sales[[#This Row],[Gross Amount]]*Sales[[#This Row],[Disc %]]</f>
        <v>0</v>
      </c>
      <c r="L2353" s="43">
        <v>0.18</v>
      </c>
      <c r="M2353" s="44">
        <f>(Sales[[#This Row],[Gross Amount]]-Sales[[#This Row],[Disc. Amt.]])*Sales[[#This Row],[GST %]]</f>
        <v>37296</v>
      </c>
      <c r="N2353" s="161">
        <f>Sales[[#This Row],[Gross Amount]]-Sales[[#This Row],[Disc. Amt.]]+Sales[[#This Row],[GST Amount]]</f>
        <v>244496</v>
      </c>
      <c r="O2353" s="158" t="s">
        <v>3561</v>
      </c>
      <c r="P2353" s="158" t="s">
        <v>1040</v>
      </c>
      <c r="Q2353" s="160">
        <f>IF(Sales[[#This Row],[Status]]="Cancelled",0,Sales[[#This Row],[Qty]])</f>
        <v>0</v>
      </c>
      <c r="R2353" s="161">
        <f>IF(Sales[[#This Row],[Status]]="Cancelled",0,Sales[[#This Row],[Total Amount]])</f>
        <v>0</v>
      </c>
      <c r="S2353" s="162">
        <f>SUM(Sales[Net Amount])</f>
        <v>406839287.73200053</v>
      </c>
    </row>
    <row r="2354" spans="1:19" ht="18.75" x14ac:dyDescent="0.25">
      <c r="A2354" s="163" t="s">
        <v>5979</v>
      </c>
      <c r="B2354" s="164">
        <v>45897</v>
      </c>
      <c r="C2354" s="34" t="s">
        <v>869</v>
      </c>
      <c r="D2354" s="53" t="str">
        <f>VLOOKUP(Sales[[#This Row],[Customer ID]],Customer[#All],2,0)</f>
        <v>Rakesh Patel</v>
      </c>
      <c r="E2354" s="34" t="s">
        <v>64</v>
      </c>
      <c r="F2354" s="34" t="str">
        <f>VLOOKUP(Sales[[#This Row],[Product ID]],Product[#All],2,0)</f>
        <v>Jbl Headset</v>
      </c>
      <c r="G2354" s="53">
        <v>1</v>
      </c>
      <c r="H2354" s="165">
        <f>VLOOKUP(Sales[[#This Row],[Product ID]],Product[#All],7,0)</f>
        <v>930</v>
      </c>
      <c r="I2354" s="165">
        <f>Sales[[#This Row],[Selling Rate]]*Sales[[#This Row],[Qty]]</f>
        <v>930</v>
      </c>
      <c r="J2354" s="45">
        <v>0.1</v>
      </c>
      <c r="K2354" s="46">
        <f>Sales[[#This Row],[Gross Amount]]*Sales[[#This Row],[Disc %]]</f>
        <v>93</v>
      </c>
      <c r="L2354" s="43">
        <v>0.18</v>
      </c>
      <c r="M2354" s="46">
        <f>(Sales[[#This Row],[Gross Amount]]-Sales[[#This Row],[Disc. Amt.]])*Sales[[#This Row],[GST %]]</f>
        <v>150.66</v>
      </c>
      <c r="N2354" s="161">
        <f>Sales[[#This Row],[Gross Amount]]-Sales[[#This Row],[Disc. Amt.]]+Sales[[#This Row],[GST Amount]]</f>
        <v>987.66</v>
      </c>
      <c r="O2354" s="34" t="s">
        <v>3569</v>
      </c>
      <c r="P2354" s="34" t="s">
        <v>3562</v>
      </c>
      <c r="Q2354" s="165">
        <f>IF(Sales[[#This Row],[Status]]="Cancelled",0,Sales[[#This Row],[Qty]])</f>
        <v>1</v>
      </c>
      <c r="R2354" s="166">
        <f>IF(Sales[[#This Row],[Status]]="Cancelled",0,Sales[[#This Row],[Total Amount]])</f>
        <v>987.66</v>
      </c>
      <c r="S2354" s="162">
        <f>SUM(Sales[Net Amount])</f>
        <v>406839287.73200053</v>
      </c>
    </row>
    <row r="2355" spans="1:19" ht="18.75" x14ac:dyDescent="0.25">
      <c r="A2355" s="156" t="s">
        <v>5980</v>
      </c>
      <c r="B2355" s="157">
        <v>45897</v>
      </c>
      <c r="C2355" s="158" t="s">
        <v>865</v>
      </c>
      <c r="D2355" s="159" t="str">
        <f>VLOOKUP(Sales[[#This Row],[Customer ID]],Customer[#All],2,0)</f>
        <v>Sunita Gupta</v>
      </c>
      <c r="E2355" s="158" t="s">
        <v>410</v>
      </c>
      <c r="F2355" s="158" t="str">
        <f>VLOOKUP(Sales[[#This Row],[Product ID]],Product[#All],2,0)</f>
        <v>Microtek UPS</v>
      </c>
      <c r="G2355" s="159">
        <v>5</v>
      </c>
      <c r="H2355" s="160">
        <f>VLOOKUP(Sales[[#This Row],[Product ID]],Product[#All],7,0)</f>
        <v>12250</v>
      </c>
      <c r="I2355" s="160">
        <f>Sales[[#This Row],[Selling Rate]]*Sales[[#This Row],[Qty]]</f>
        <v>61250</v>
      </c>
      <c r="J2355" s="43">
        <v>0.05</v>
      </c>
      <c r="K2355" s="44">
        <f>Sales[[#This Row],[Gross Amount]]*Sales[[#This Row],[Disc %]]</f>
        <v>3062.5</v>
      </c>
      <c r="L2355" s="43">
        <v>0.18</v>
      </c>
      <c r="M2355" s="44">
        <f>(Sales[[#This Row],[Gross Amount]]-Sales[[#This Row],[Disc. Amt.]])*Sales[[#This Row],[GST %]]</f>
        <v>10473.75</v>
      </c>
      <c r="N2355" s="161">
        <f>Sales[[#This Row],[Gross Amount]]-Sales[[#This Row],[Disc. Amt.]]+Sales[[#This Row],[GST Amount]]</f>
        <v>68661.25</v>
      </c>
      <c r="O2355" s="158" t="s">
        <v>8876</v>
      </c>
      <c r="P2355" s="158" t="s">
        <v>3562</v>
      </c>
      <c r="Q2355" s="160">
        <f>IF(Sales[[#This Row],[Status]]="Cancelled",0,Sales[[#This Row],[Qty]])</f>
        <v>5</v>
      </c>
      <c r="R2355" s="161">
        <f>IF(Sales[[#This Row],[Status]]="Cancelled",0,Sales[[#This Row],[Total Amount]])</f>
        <v>68661.25</v>
      </c>
      <c r="S2355" s="162">
        <f>SUM(Sales[Net Amount])</f>
        <v>406839287.73200053</v>
      </c>
    </row>
    <row r="2356" spans="1:19" ht="18.75" x14ac:dyDescent="0.25">
      <c r="A2356" s="163" t="s">
        <v>5981</v>
      </c>
      <c r="B2356" s="164">
        <v>45897</v>
      </c>
      <c r="C2356" s="34" t="s">
        <v>754</v>
      </c>
      <c r="D2356" s="53" t="str">
        <f>VLOOKUP(Sales[[#This Row],[Customer ID]],Customer[#All],2,0)</f>
        <v>Rakesh Gupta</v>
      </c>
      <c r="E2356" s="34" t="s">
        <v>88</v>
      </c>
      <c r="F2356" s="34" t="str">
        <f>VLOOKUP(Sales[[#This Row],[Product ID]],Product[#All],2,0)</f>
        <v>Dell Laptop</v>
      </c>
      <c r="G2356" s="53">
        <v>8</v>
      </c>
      <c r="H2356" s="165">
        <f>VLOOKUP(Sales[[#This Row],[Product ID]],Product[#All],7,0)</f>
        <v>43690</v>
      </c>
      <c r="I2356" s="165">
        <f>Sales[[#This Row],[Selling Rate]]*Sales[[#This Row],[Qty]]</f>
        <v>349520</v>
      </c>
      <c r="J2356" s="45">
        <v>0.15</v>
      </c>
      <c r="K2356" s="46">
        <f>Sales[[#This Row],[Gross Amount]]*Sales[[#This Row],[Disc %]]</f>
        <v>52428</v>
      </c>
      <c r="L2356" s="43">
        <v>0.18</v>
      </c>
      <c r="M2356" s="46">
        <f>(Sales[[#This Row],[Gross Amount]]-Sales[[#This Row],[Disc. Amt.]])*Sales[[#This Row],[GST %]]</f>
        <v>53476.56</v>
      </c>
      <c r="N2356" s="161">
        <f>Sales[[#This Row],[Gross Amount]]-Sales[[#This Row],[Disc. Amt.]]+Sales[[#This Row],[GST Amount]]</f>
        <v>350568.56</v>
      </c>
      <c r="O2356" s="34" t="s">
        <v>3566</v>
      </c>
      <c r="P2356" s="34" t="s">
        <v>3562</v>
      </c>
      <c r="Q2356" s="165">
        <f>IF(Sales[[#This Row],[Status]]="Cancelled",0,Sales[[#This Row],[Qty]])</f>
        <v>8</v>
      </c>
      <c r="R2356" s="166">
        <f>IF(Sales[[#This Row],[Status]]="Cancelled",0,Sales[[#This Row],[Total Amount]])</f>
        <v>350568.56</v>
      </c>
      <c r="S2356" s="162">
        <f>SUM(Sales[Net Amount])</f>
        <v>406839287.73200053</v>
      </c>
    </row>
    <row r="2357" spans="1:19" ht="18.75" x14ac:dyDescent="0.25">
      <c r="A2357" s="156" t="s">
        <v>5982</v>
      </c>
      <c r="B2357" s="157">
        <v>45897</v>
      </c>
      <c r="C2357" s="158" t="s">
        <v>688</v>
      </c>
      <c r="D2357" s="159" t="str">
        <f>VLOOKUP(Sales[[#This Row],[Customer ID]],Customer[#All],2,0)</f>
        <v>Rahul Verma</v>
      </c>
      <c r="E2357" s="158" t="s">
        <v>217</v>
      </c>
      <c r="F2357" s="158" t="str">
        <f>VLOOKUP(Sales[[#This Row],[Product ID]],Product[#All],2,0)</f>
        <v>Logitech Webcam</v>
      </c>
      <c r="G2357" s="159">
        <v>1</v>
      </c>
      <c r="H2357" s="160">
        <f>VLOOKUP(Sales[[#This Row],[Product ID]],Product[#All],7,0)</f>
        <v>2420</v>
      </c>
      <c r="I2357" s="160">
        <f>Sales[[#This Row],[Selling Rate]]*Sales[[#This Row],[Qty]]</f>
        <v>2420</v>
      </c>
      <c r="J2357" s="43">
        <v>0</v>
      </c>
      <c r="K2357" s="44">
        <f>Sales[[#This Row],[Gross Amount]]*Sales[[#This Row],[Disc %]]</f>
        <v>0</v>
      </c>
      <c r="L2357" s="43">
        <v>0.18</v>
      </c>
      <c r="M2357" s="44">
        <f>(Sales[[#This Row],[Gross Amount]]-Sales[[#This Row],[Disc. Amt.]])*Sales[[#This Row],[GST %]]</f>
        <v>435.59999999999997</v>
      </c>
      <c r="N2357" s="161">
        <f>Sales[[#This Row],[Gross Amount]]-Sales[[#This Row],[Disc. Amt.]]+Sales[[#This Row],[GST Amount]]</f>
        <v>2855.6</v>
      </c>
      <c r="O2357" s="158" t="s">
        <v>3566</v>
      </c>
      <c r="P2357" s="158" t="s">
        <v>3562</v>
      </c>
      <c r="Q2357" s="160">
        <f>IF(Sales[[#This Row],[Status]]="Cancelled",0,Sales[[#This Row],[Qty]])</f>
        <v>1</v>
      </c>
      <c r="R2357" s="161">
        <f>IF(Sales[[#This Row],[Status]]="Cancelled",0,Sales[[#This Row],[Total Amount]])</f>
        <v>2855.6</v>
      </c>
      <c r="S2357" s="162">
        <f>SUM(Sales[Net Amount])</f>
        <v>406839287.73200053</v>
      </c>
    </row>
    <row r="2358" spans="1:19" ht="18.75" x14ac:dyDescent="0.25">
      <c r="A2358" s="163" t="s">
        <v>5983</v>
      </c>
      <c r="B2358" s="164">
        <v>45897</v>
      </c>
      <c r="C2358" s="34" t="s">
        <v>691</v>
      </c>
      <c r="D2358" s="53" t="str">
        <f>VLOOKUP(Sales[[#This Row],[Customer ID]],Customer[#All],2,0)</f>
        <v>Pooja Patel</v>
      </c>
      <c r="E2358" s="34" t="s">
        <v>462</v>
      </c>
      <c r="F2358" s="34" t="str">
        <f>VLOOKUP(Sales[[#This Row],[Product ID]],Product[#All],2,0)</f>
        <v>Dell Keyboard</v>
      </c>
      <c r="G2358" s="53">
        <v>7</v>
      </c>
      <c r="H2358" s="165">
        <f>VLOOKUP(Sales[[#This Row],[Product ID]],Product[#All],7,0)</f>
        <v>2730</v>
      </c>
      <c r="I2358" s="165">
        <f>Sales[[#This Row],[Selling Rate]]*Sales[[#This Row],[Qty]]</f>
        <v>19110</v>
      </c>
      <c r="J2358" s="45">
        <v>0.12</v>
      </c>
      <c r="K2358" s="46">
        <f>Sales[[#This Row],[Gross Amount]]*Sales[[#This Row],[Disc %]]</f>
        <v>2293.1999999999998</v>
      </c>
      <c r="L2358" s="43">
        <v>0.18</v>
      </c>
      <c r="M2358" s="46">
        <f>(Sales[[#This Row],[Gross Amount]]-Sales[[#This Row],[Disc. Amt.]])*Sales[[#This Row],[GST %]]</f>
        <v>3027.0239999999999</v>
      </c>
      <c r="N2358" s="161">
        <f>Sales[[#This Row],[Gross Amount]]-Sales[[#This Row],[Disc. Amt.]]+Sales[[#This Row],[GST Amount]]</f>
        <v>19843.824000000001</v>
      </c>
      <c r="O2358" s="34" t="s">
        <v>3569</v>
      </c>
      <c r="P2358" s="34" t="s">
        <v>3562</v>
      </c>
      <c r="Q2358" s="165">
        <f>IF(Sales[[#This Row],[Status]]="Cancelled",0,Sales[[#This Row],[Qty]])</f>
        <v>7</v>
      </c>
      <c r="R2358" s="166">
        <f>IF(Sales[[#This Row],[Status]]="Cancelled",0,Sales[[#This Row],[Total Amount]])</f>
        <v>19843.824000000001</v>
      </c>
      <c r="S2358" s="162">
        <f>SUM(Sales[Net Amount])</f>
        <v>406839287.73200053</v>
      </c>
    </row>
    <row r="2359" spans="1:19" ht="18.75" x14ac:dyDescent="0.25">
      <c r="A2359" s="156" t="s">
        <v>5984</v>
      </c>
      <c r="B2359" s="157">
        <v>45897</v>
      </c>
      <c r="C2359" s="158" t="s">
        <v>888</v>
      </c>
      <c r="D2359" s="159" t="str">
        <f>VLOOKUP(Sales[[#This Row],[Customer ID]],Customer[#All],2,0)</f>
        <v>Rahul Patel</v>
      </c>
      <c r="E2359" s="158" t="s">
        <v>324</v>
      </c>
      <c r="F2359" s="158" t="str">
        <f>VLOOKUP(Sales[[#This Row],[Product ID]],Product[#All],2,0)</f>
        <v>Sandisk Pen Drive</v>
      </c>
      <c r="G2359" s="159">
        <v>2</v>
      </c>
      <c r="H2359" s="160">
        <f>VLOOKUP(Sales[[#This Row],[Product ID]],Product[#All],7,0)</f>
        <v>4150</v>
      </c>
      <c r="I2359" s="160">
        <f>Sales[[#This Row],[Selling Rate]]*Sales[[#This Row],[Qty]]</f>
        <v>8300</v>
      </c>
      <c r="J2359" s="43">
        <v>0.02</v>
      </c>
      <c r="K2359" s="44">
        <f>Sales[[#This Row],[Gross Amount]]*Sales[[#This Row],[Disc %]]</f>
        <v>166</v>
      </c>
      <c r="L2359" s="43">
        <v>0.18</v>
      </c>
      <c r="M2359" s="44">
        <f>(Sales[[#This Row],[Gross Amount]]-Sales[[#This Row],[Disc. Amt.]])*Sales[[#This Row],[GST %]]</f>
        <v>1464.12</v>
      </c>
      <c r="N2359" s="161">
        <f>Sales[[#This Row],[Gross Amount]]-Sales[[#This Row],[Disc. Amt.]]+Sales[[#This Row],[GST Amount]]</f>
        <v>9598.119999999999</v>
      </c>
      <c r="O2359" s="158" t="s">
        <v>3561</v>
      </c>
      <c r="P2359" s="158" t="s">
        <v>3562</v>
      </c>
      <c r="Q2359" s="160">
        <f>IF(Sales[[#This Row],[Status]]="Cancelled",0,Sales[[#This Row],[Qty]])</f>
        <v>2</v>
      </c>
      <c r="R2359" s="161">
        <f>IF(Sales[[#This Row],[Status]]="Cancelled",0,Sales[[#This Row],[Total Amount]])</f>
        <v>9598.119999999999</v>
      </c>
      <c r="S2359" s="162">
        <f>SUM(Sales[Net Amount])</f>
        <v>406839287.73200053</v>
      </c>
    </row>
    <row r="2360" spans="1:19" ht="18.75" x14ac:dyDescent="0.25">
      <c r="A2360" s="163" t="s">
        <v>5985</v>
      </c>
      <c r="B2360" s="164">
        <v>45897</v>
      </c>
      <c r="C2360" s="34" t="s">
        <v>866</v>
      </c>
      <c r="D2360" s="53" t="str">
        <f>VLOOKUP(Sales[[#This Row],[Customer ID]],Customer[#All],2,0)</f>
        <v>Priya Patel</v>
      </c>
      <c r="E2360" s="34" t="s">
        <v>353</v>
      </c>
      <c r="F2360" s="34" t="str">
        <f>VLOOKUP(Sales[[#This Row],[Product ID]],Product[#All],2,0)</f>
        <v>HP Desktop</v>
      </c>
      <c r="G2360" s="53">
        <v>2</v>
      </c>
      <c r="H2360" s="165">
        <f>VLOOKUP(Sales[[#This Row],[Product ID]],Product[#All],7,0)</f>
        <v>60910</v>
      </c>
      <c r="I2360" s="165">
        <f>Sales[[#This Row],[Selling Rate]]*Sales[[#This Row],[Qty]]</f>
        <v>121820</v>
      </c>
      <c r="J2360" s="45">
        <v>0</v>
      </c>
      <c r="K2360" s="46">
        <f>Sales[[#This Row],[Gross Amount]]*Sales[[#This Row],[Disc %]]</f>
        <v>0</v>
      </c>
      <c r="L2360" s="43">
        <v>0.18</v>
      </c>
      <c r="M2360" s="46">
        <f>(Sales[[#This Row],[Gross Amount]]-Sales[[#This Row],[Disc. Amt.]])*Sales[[#This Row],[GST %]]</f>
        <v>21927.599999999999</v>
      </c>
      <c r="N2360" s="161">
        <f>Sales[[#This Row],[Gross Amount]]-Sales[[#This Row],[Disc. Amt.]]+Sales[[#This Row],[GST Amount]]</f>
        <v>143747.6</v>
      </c>
      <c r="O2360" s="34" t="s">
        <v>3569</v>
      </c>
      <c r="P2360" s="34" t="s">
        <v>3562</v>
      </c>
      <c r="Q2360" s="165">
        <f>IF(Sales[[#This Row],[Status]]="Cancelled",0,Sales[[#This Row],[Qty]])</f>
        <v>2</v>
      </c>
      <c r="R2360" s="166">
        <f>IF(Sales[[#This Row],[Status]]="Cancelled",0,Sales[[#This Row],[Total Amount]])</f>
        <v>143747.6</v>
      </c>
      <c r="S2360" s="162">
        <f>SUM(Sales[Net Amount])</f>
        <v>406839287.73200053</v>
      </c>
    </row>
    <row r="2361" spans="1:19" ht="18.75" x14ac:dyDescent="0.25">
      <c r="A2361" s="156" t="s">
        <v>5986</v>
      </c>
      <c r="B2361" s="157">
        <v>45897</v>
      </c>
      <c r="C2361" s="158" t="s">
        <v>801</v>
      </c>
      <c r="D2361" s="159" t="str">
        <f>VLOOKUP(Sales[[#This Row],[Customer ID]],Customer[#All],2,0)</f>
        <v>Sunita Verma</v>
      </c>
      <c r="E2361" s="158" t="s">
        <v>176</v>
      </c>
      <c r="F2361" s="158" t="str">
        <f>VLOOKUP(Sales[[#This Row],[Product ID]],Product[#All],2,0)</f>
        <v>Dell Monitor</v>
      </c>
      <c r="G2361" s="159">
        <v>1</v>
      </c>
      <c r="H2361" s="160">
        <f>VLOOKUP(Sales[[#This Row],[Product ID]],Product[#All],7,0)</f>
        <v>18900</v>
      </c>
      <c r="I2361" s="160">
        <f>Sales[[#This Row],[Selling Rate]]*Sales[[#This Row],[Qty]]</f>
        <v>18900</v>
      </c>
      <c r="J2361" s="43">
        <v>0</v>
      </c>
      <c r="K2361" s="44">
        <f>Sales[[#This Row],[Gross Amount]]*Sales[[#This Row],[Disc %]]</f>
        <v>0</v>
      </c>
      <c r="L2361" s="43">
        <v>0.18</v>
      </c>
      <c r="M2361" s="44">
        <f>(Sales[[#This Row],[Gross Amount]]-Sales[[#This Row],[Disc. Amt.]])*Sales[[#This Row],[GST %]]</f>
        <v>3402</v>
      </c>
      <c r="N2361" s="161">
        <f>Sales[[#This Row],[Gross Amount]]-Sales[[#This Row],[Disc. Amt.]]+Sales[[#This Row],[GST Amount]]</f>
        <v>22302</v>
      </c>
      <c r="O2361" s="158" t="s">
        <v>3569</v>
      </c>
      <c r="P2361" s="158" t="s">
        <v>3562</v>
      </c>
      <c r="Q2361" s="160">
        <f>IF(Sales[[#This Row],[Status]]="Cancelled",0,Sales[[#This Row],[Qty]])</f>
        <v>1</v>
      </c>
      <c r="R2361" s="161">
        <f>IF(Sales[[#This Row],[Status]]="Cancelled",0,Sales[[#This Row],[Total Amount]])</f>
        <v>22302</v>
      </c>
      <c r="S2361" s="162">
        <f>SUM(Sales[Net Amount])</f>
        <v>406839287.73200053</v>
      </c>
    </row>
    <row r="2362" spans="1:19" ht="18.75" x14ac:dyDescent="0.25">
      <c r="A2362" s="163" t="s">
        <v>5987</v>
      </c>
      <c r="B2362" s="164">
        <v>45897</v>
      </c>
      <c r="C2362" s="34" t="s">
        <v>804</v>
      </c>
      <c r="D2362" s="53" t="str">
        <f>VLOOKUP(Sales[[#This Row],[Customer ID]],Customer[#All],2,0)</f>
        <v>Amit Gupta</v>
      </c>
      <c r="E2362" s="34" t="s">
        <v>128</v>
      </c>
      <c r="F2362" s="34" t="str">
        <f>VLOOKUP(Sales[[#This Row],[Product ID]],Product[#All],2,0)</f>
        <v>American TouristerLaptopBag</v>
      </c>
      <c r="G2362" s="53">
        <v>4</v>
      </c>
      <c r="H2362" s="165">
        <f>VLOOKUP(Sales[[#This Row],[Product ID]],Product[#All],7,0)</f>
        <v>2990</v>
      </c>
      <c r="I2362" s="165">
        <f>Sales[[#This Row],[Selling Rate]]*Sales[[#This Row],[Qty]]</f>
        <v>11960</v>
      </c>
      <c r="J2362" s="45">
        <v>0.1</v>
      </c>
      <c r="K2362" s="46">
        <f>Sales[[#This Row],[Gross Amount]]*Sales[[#This Row],[Disc %]]</f>
        <v>1196</v>
      </c>
      <c r="L2362" s="43">
        <v>0.18</v>
      </c>
      <c r="M2362" s="46">
        <f>(Sales[[#This Row],[Gross Amount]]-Sales[[#This Row],[Disc. Amt.]])*Sales[[#This Row],[GST %]]</f>
        <v>1937.52</v>
      </c>
      <c r="N2362" s="161">
        <f>Sales[[#This Row],[Gross Amount]]-Sales[[#This Row],[Disc. Amt.]]+Sales[[#This Row],[GST Amount]]</f>
        <v>12701.52</v>
      </c>
      <c r="O2362" s="34" t="s">
        <v>3566</v>
      </c>
      <c r="P2362" s="34" t="s">
        <v>3562</v>
      </c>
      <c r="Q2362" s="165">
        <f>IF(Sales[[#This Row],[Status]]="Cancelled",0,Sales[[#This Row],[Qty]])</f>
        <v>4</v>
      </c>
      <c r="R2362" s="166">
        <f>IF(Sales[[#This Row],[Status]]="Cancelled",0,Sales[[#This Row],[Total Amount]])</f>
        <v>12701.52</v>
      </c>
      <c r="S2362" s="162">
        <f>SUM(Sales[Net Amount])</f>
        <v>406839287.73200053</v>
      </c>
    </row>
    <row r="2363" spans="1:19" ht="18.75" x14ac:dyDescent="0.25">
      <c r="A2363" s="156" t="s">
        <v>5988</v>
      </c>
      <c r="B2363" s="157">
        <v>45897</v>
      </c>
      <c r="C2363" s="158" t="s">
        <v>5989</v>
      </c>
      <c r="D2363" s="159" t="str">
        <f>VLOOKUP(Sales[[#This Row],[Customer ID]],Customer[#All],2,0)</f>
        <v>Pooja Singh</v>
      </c>
      <c r="E2363" s="158" t="s">
        <v>4</v>
      </c>
      <c r="F2363" s="158" t="str">
        <f>VLOOKUP(Sales[[#This Row],[Product ID]],Product[#All],2,0)</f>
        <v>Epson Printer</v>
      </c>
      <c r="G2363" s="159">
        <v>4</v>
      </c>
      <c r="H2363" s="160">
        <f>VLOOKUP(Sales[[#This Row],[Product ID]],Product[#All],7,0)</f>
        <v>45990</v>
      </c>
      <c r="I2363" s="160">
        <f>Sales[[#This Row],[Selling Rate]]*Sales[[#This Row],[Qty]]</f>
        <v>183960</v>
      </c>
      <c r="J2363" s="43">
        <v>0.05</v>
      </c>
      <c r="K2363" s="44">
        <f>Sales[[#This Row],[Gross Amount]]*Sales[[#This Row],[Disc %]]</f>
        <v>9198</v>
      </c>
      <c r="L2363" s="43">
        <v>0.18</v>
      </c>
      <c r="M2363" s="44">
        <f>(Sales[[#This Row],[Gross Amount]]-Sales[[#This Row],[Disc. Amt.]])*Sales[[#This Row],[GST %]]</f>
        <v>31457.16</v>
      </c>
      <c r="N2363" s="161">
        <f>Sales[[#This Row],[Gross Amount]]-Sales[[#This Row],[Disc. Amt.]]+Sales[[#This Row],[GST Amount]]</f>
        <v>206219.16</v>
      </c>
      <c r="O2363" s="158" t="s">
        <v>8876</v>
      </c>
      <c r="P2363" s="158" t="s">
        <v>3562</v>
      </c>
      <c r="Q2363" s="160">
        <f>IF(Sales[[#This Row],[Status]]="Cancelled",0,Sales[[#This Row],[Qty]])</f>
        <v>4</v>
      </c>
      <c r="R2363" s="161">
        <f>IF(Sales[[#This Row],[Status]]="Cancelled",0,Sales[[#This Row],[Total Amount]])</f>
        <v>206219.16</v>
      </c>
      <c r="S2363" s="162">
        <f>SUM(Sales[Net Amount])</f>
        <v>406839287.73200053</v>
      </c>
    </row>
    <row r="2364" spans="1:19" ht="18.75" x14ac:dyDescent="0.25">
      <c r="A2364" s="163" t="s">
        <v>5990</v>
      </c>
      <c r="B2364" s="164">
        <v>45897</v>
      </c>
      <c r="C2364" s="34" t="s">
        <v>718</v>
      </c>
      <c r="D2364" s="53" t="str">
        <f>VLOOKUP(Sales[[#This Row],[Customer ID]],Customer[#All],2,0)</f>
        <v>Rakesh Patel</v>
      </c>
      <c r="E2364" s="34" t="s">
        <v>379</v>
      </c>
      <c r="F2364" s="34" t="str">
        <f>VLOOKUP(Sales[[#This Row],[Product ID]],Product[#All],2,0)</f>
        <v>Acer Laptop</v>
      </c>
      <c r="G2364" s="53">
        <v>4</v>
      </c>
      <c r="H2364" s="165">
        <f>VLOOKUP(Sales[[#This Row],[Product ID]],Product[#All],7,0)</f>
        <v>74390</v>
      </c>
      <c r="I2364" s="165">
        <f>Sales[[#This Row],[Selling Rate]]*Sales[[#This Row],[Qty]]</f>
        <v>297560</v>
      </c>
      <c r="J2364" s="45">
        <v>0.05</v>
      </c>
      <c r="K2364" s="46">
        <f>Sales[[#This Row],[Gross Amount]]*Sales[[#This Row],[Disc %]]</f>
        <v>14878</v>
      </c>
      <c r="L2364" s="43">
        <v>0.18</v>
      </c>
      <c r="M2364" s="46">
        <f>(Sales[[#This Row],[Gross Amount]]-Sales[[#This Row],[Disc. Amt.]])*Sales[[#This Row],[GST %]]</f>
        <v>50882.759999999995</v>
      </c>
      <c r="N2364" s="161">
        <f>Sales[[#This Row],[Gross Amount]]-Sales[[#This Row],[Disc. Amt.]]+Sales[[#This Row],[GST Amount]]</f>
        <v>333564.76</v>
      </c>
      <c r="O2364" s="34" t="s">
        <v>3569</v>
      </c>
      <c r="P2364" s="34" t="s">
        <v>3562</v>
      </c>
      <c r="Q2364" s="165">
        <f>IF(Sales[[#This Row],[Status]]="Cancelled",0,Sales[[#This Row],[Qty]])</f>
        <v>4</v>
      </c>
      <c r="R2364" s="166">
        <f>IF(Sales[[#This Row],[Status]]="Cancelled",0,Sales[[#This Row],[Total Amount]])</f>
        <v>333564.76</v>
      </c>
      <c r="S2364" s="162">
        <f>SUM(Sales[Net Amount])</f>
        <v>406839287.73200053</v>
      </c>
    </row>
    <row r="2365" spans="1:19" ht="18.75" x14ac:dyDescent="0.25">
      <c r="A2365" s="156" t="s">
        <v>5991</v>
      </c>
      <c r="B2365" s="157">
        <v>45897</v>
      </c>
      <c r="C2365" s="158" t="s">
        <v>810</v>
      </c>
      <c r="D2365" s="159" t="str">
        <f>VLOOKUP(Sales[[#This Row],[Customer ID]],Customer[#All],2,0)</f>
        <v>Rahul Gupta</v>
      </c>
      <c r="E2365" s="158" t="s">
        <v>238</v>
      </c>
      <c r="F2365" s="158" t="str">
        <f>VLOOKUP(Sales[[#This Row],[Product ID]],Product[#All],2,0)</f>
        <v>Samsung Monitor</v>
      </c>
      <c r="G2365" s="159">
        <v>5</v>
      </c>
      <c r="H2365" s="160">
        <f>VLOOKUP(Sales[[#This Row],[Product ID]],Product[#All],7,0)</f>
        <v>8180</v>
      </c>
      <c r="I2365" s="160">
        <f>Sales[[#This Row],[Selling Rate]]*Sales[[#This Row],[Qty]]</f>
        <v>40900</v>
      </c>
      <c r="J2365" s="43">
        <v>0</v>
      </c>
      <c r="K2365" s="44">
        <f>Sales[[#This Row],[Gross Amount]]*Sales[[#This Row],[Disc %]]</f>
        <v>0</v>
      </c>
      <c r="L2365" s="43">
        <v>0.18</v>
      </c>
      <c r="M2365" s="44">
        <f>(Sales[[#This Row],[Gross Amount]]-Sales[[#This Row],[Disc. Amt.]])*Sales[[#This Row],[GST %]]</f>
        <v>7362</v>
      </c>
      <c r="N2365" s="161">
        <f>Sales[[#This Row],[Gross Amount]]-Sales[[#This Row],[Disc. Amt.]]+Sales[[#This Row],[GST Amount]]</f>
        <v>48262</v>
      </c>
      <c r="O2365" s="158" t="s">
        <v>3566</v>
      </c>
      <c r="P2365" s="158" t="s">
        <v>3562</v>
      </c>
      <c r="Q2365" s="160">
        <f>IF(Sales[[#This Row],[Status]]="Cancelled",0,Sales[[#This Row],[Qty]])</f>
        <v>5</v>
      </c>
      <c r="R2365" s="161">
        <f>IF(Sales[[#This Row],[Status]]="Cancelled",0,Sales[[#This Row],[Total Amount]])</f>
        <v>48262</v>
      </c>
      <c r="S2365" s="162">
        <f>SUM(Sales[Net Amount])</f>
        <v>406839287.73200053</v>
      </c>
    </row>
    <row r="2366" spans="1:19" ht="18.75" x14ac:dyDescent="0.25">
      <c r="A2366" s="163" t="s">
        <v>5992</v>
      </c>
      <c r="B2366" s="164">
        <v>45897</v>
      </c>
      <c r="C2366" s="34" t="s">
        <v>891</v>
      </c>
      <c r="D2366" s="53" t="str">
        <f>VLOOKUP(Sales[[#This Row],[Customer ID]],Customer[#All],2,0)</f>
        <v>Pooja Verma</v>
      </c>
      <c r="E2366" s="34" t="s">
        <v>460</v>
      </c>
      <c r="F2366" s="34" t="str">
        <f>VLOOKUP(Sales[[#This Row],[Product ID]],Product[#All],2,0)</f>
        <v>Logitech Keyboard</v>
      </c>
      <c r="G2366" s="53">
        <v>1</v>
      </c>
      <c r="H2366" s="165">
        <f>VLOOKUP(Sales[[#This Row],[Product ID]],Product[#All],7,0)</f>
        <v>3050</v>
      </c>
      <c r="I2366" s="165">
        <f>Sales[[#This Row],[Selling Rate]]*Sales[[#This Row],[Qty]]</f>
        <v>3050</v>
      </c>
      <c r="J2366" s="45">
        <v>0.15</v>
      </c>
      <c r="K2366" s="46">
        <f>Sales[[#This Row],[Gross Amount]]*Sales[[#This Row],[Disc %]]</f>
        <v>457.5</v>
      </c>
      <c r="L2366" s="43">
        <v>0.18</v>
      </c>
      <c r="M2366" s="46">
        <f>(Sales[[#This Row],[Gross Amount]]-Sales[[#This Row],[Disc. Amt.]])*Sales[[#This Row],[GST %]]</f>
        <v>466.65</v>
      </c>
      <c r="N2366" s="161">
        <f>Sales[[#This Row],[Gross Amount]]-Sales[[#This Row],[Disc. Amt.]]+Sales[[#This Row],[GST Amount]]</f>
        <v>3059.15</v>
      </c>
      <c r="O2366" s="34" t="s">
        <v>3569</v>
      </c>
      <c r="P2366" s="34" t="s">
        <v>1040</v>
      </c>
      <c r="Q2366" s="165">
        <f>IF(Sales[[#This Row],[Status]]="Cancelled",0,Sales[[#This Row],[Qty]])</f>
        <v>0</v>
      </c>
      <c r="R2366" s="166">
        <f>IF(Sales[[#This Row],[Status]]="Cancelled",0,Sales[[#This Row],[Total Amount]])</f>
        <v>0</v>
      </c>
      <c r="S2366" s="162">
        <f>SUM(Sales[Net Amount])</f>
        <v>406839287.73200053</v>
      </c>
    </row>
    <row r="2367" spans="1:19" ht="18.75" x14ac:dyDescent="0.25">
      <c r="A2367" s="156" t="s">
        <v>5993</v>
      </c>
      <c r="B2367" s="157">
        <v>45897</v>
      </c>
      <c r="C2367" s="158" t="s">
        <v>946</v>
      </c>
      <c r="D2367" s="159" t="str">
        <f>VLOOKUP(Sales[[#This Row],[Customer ID]],Customer[#All],2,0)</f>
        <v>Priya Patel</v>
      </c>
      <c r="E2367" s="158" t="s">
        <v>247</v>
      </c>
      <c r="F2367" s="158" t="str">
        <f>VLOOKUP(Sales[[#This Row],[Product ID]],Product[#All],2,0)</f>
        <v>Acer Laptop</v>
      </c>
      <c r="G2367" s="159">
        <v>8</v>
      </c>
      <c r="H2367" s="160">
        <f>VLOOKUP(Sales[[#This Row],[Product ID]],Product[#All],7,0)</f>
        <v>68460</v>
      </c>
      <c r="I2367" s="160">
        <f>Sales[[#This Row],[Selling Rate]]*Sales[[#This Row],[Qty]]</f>
        <v>547680</v>
      </c>
      <c r="J2367" s="43">
        <v>0</v>
      </c>
      <c r="K2367" s="44">
        <f>Sales[[#This Row],[Gross Amount]]*Sales[[#This Row],[Disc %]]</f>
        <v>0</v>
      </c>
      <c r="L2367" s="43">
        <v>0.18</v>
      </c>
      <c r="M2367" s="44">
        <f>(Sales[[#This Row],[Gross Amount]]-Sales[[#This Row],[Disc. Amt.]])*Sales[[#This Row],[GST %]]</f>
        <v>98582.399999999994</v>
      </c>
      <c r="N2367" s="161">
        <f>Sales[[#This Row],[Gross Amount]]-Sales[[#This Row],[Disc. Amt.]]+Sales[[#This Row],[GST Amount]]</f>
        <v>646262.4</v>
      </c>
      <c r="O2367" s="158" t="s">
        <v>3566</v>
      </c>
      <c r="P2367" s="158" t="s">
        <v>3562</v>
      </c>
      <c r="Q2367" s="160">
        <f>IF(Sales[[#This Row],[Status]]="Cancelled",0,Sales[[#This Row],[Qty]])</f>
        <v>8</v>
      </c>
      <c r="R2367" s="161">
        <f>IF(Sales[[#This Row],[Status]]="Cancelled",0,Sales[[#This Row],[Total Amount]])</f>
        <v>646262.4</v>
      </c>
      <c r="S2367" s="162">
        <f>SUM(Sales[Net Amount])</f>
        <v>406839287.73200053</v>
      </c>
    </row>
    <row r="2368" spans="1:19" ht="18.75" x14ac:dyDescent="0.25">
      <c r="A2368" s="163" t="s">
        <v>5994</v>
      </c>
      <c r="B2368" s="164">
        <v>45897</v>
      </c>
      <c r="C2368" s="34" t="s">
        <v>689</v>
      </c>
      <c r="D2368" s="53" t="str">
        <f>VLOOKUP(Sales[[#This Row],[Customer ID]],Customer[#All],2,0)</f>
        <v>Sahil Kumar</v>
      </c>
      <c r="E2368" s="34" t="s">
        <v>435</v>
      </c>
      <c r="F2368" s="34" t="str">
        <f>VLOOKUP(Sales[[#This Row],[Product ID]],Product[#All],2,0)</f>
        <v>Corsair Ram</v>
      </c>
      <c r="G2368" s="53">
        <v>2</v>
      </c>
      <c r="H2368" s="165">
        <f>VLOOKUP(Sales[[#This Row],[Product ID]],Product[#All],7,0)</f>
        <v>8060</v>
      </c>
      <c r="I2368" s="165">
        <f>Sales[[#This Row],[Selling Rate]]*Sales[[#This Row],[Qty]]</f>
        <v>16120</v>
      </c>
      <c r="J2368" s="45">
        <v>0.05</v>
      </c>
      <c r="K2368" s="46">
        <f>Sales[[#This Row],[Gross Amount]]*Sales[[#This Row],[Disc %]]</f>
        <v>806</v>
      </c>
      <c r="L2368" s="43">
        <v>0.18</v>
      </c>
      <c r="M2368" s="46">
        <f>(Sales[[#This Row],[Gross Amount]]-Sales[[#This Row],[Disc. Amt.]])*Sales[[#This Row],[GST %]]</f>
        <v>2756.52</v>
      </c>
      <c r="N2368" s="161">
        <f>Sales[[#This Row],[Gross Amount]]-Sales[[#This Row],[Disc. Amt.]]+Sales[[#This Row],[GST Amount]]</f>
        <v>18070.52</v>
      </c>
      <c r="O2368" s="34" t="s">
        <v>8876</v>
      </c>
      <c r="P2368" s="34" t="s">
        <v>3562</v>
      </c>
      <c r="Q2368" s="165">
        <f>IF(Sales[[#This Row],[Status]]="Cancelled",0,Sales[[#This Row],[Qty]])</f>
        <v>2</v>
      </c>
      <c r="R2368" s="166">
        <f>IF(Sales[[#This Row],[Status]]="Cancelled",0,Sales[[#This Row],[Total Amount]])</f>
        <v>18070.52</v>
      </c>
      <c r="S2368" s="162">
        <f>SUM(Sales[Net Amount])</f>
        <v>406839287.73200053</v>
      </c>
    </row>
    <row r="2369" spans="1:19" ht="18.75" x14ac:dyDescent="0.25">
      <c r="A2369" s="156" t="s">
        <v>5995</v>
      </c>
      <c r="B2369" s="157">
        <v>45897</v>
      </c>
      <c r="C2369" s="158" t="s">
        <v>723</v>
      </c>
      <c r="D2369" s="159" t="str">
        <f>VLOOKUP(Sales[[#This Row],[Customer ID]],Customer[#All],2,0)</f>
        <v>Sahil Gupta</v>
      </c>
      <c r="E2369" s="158" t="s">
        <v>229</v>
      </c>
      <c r="F2369" s="158" t="str">
        <f>VLOOKUP(Sales[[#This Row],[Product ID]],Product[#All],2,0)</f>
        <v>Jbl Headset</v>
      </c>
      <c r="G2369" s="159">
        <v>4</v>
      </c>
      <c r="H2369" s="160">
        <f>VLOOKUP(Sales[[#This Row],[Product ID]],Product[#All],7,0)</f>
        <v>3170</v>
      </c>
      <c r="I2369" s="160">
        <f>Sales[[#This Row],[Selling Rate]]*Sales[[#This Row],[Qty]]</f>
        <v>12680</v>
      </c>
      <c r="J2369" s="43">
        <v>0.05</v>
      </c>
      <c r="K2369" s="44">
        <f>Sales[[#This Row],[Gross Amount]]*Sales[[#This Row],[Disc %]]</f>
        <v>634</v>
      </c>
      <c r="L2369" s="43">
        <v>0.18</v>
      </c>
      <c r="M2369" s="44">
        <f>(Sales[[#This Row],[Gross Amount]]-Sales[[#This Row],[Disc. Amt.]])*Sales[[#This Row],[GST %]]</f>
        <v>2168.2799999999997</v>
      </c>
      <c r="N2369" s="161">
        <f>Sales[[#This Row],[Gross Amount]]-Sales[[#This Row],[Disc. Amt.]]+Sales[[#This Row],[GST Amount]]</f>
        <v>14214.279999999999</v>
      </c>
      <c r="O2369" s="158" t="s">
        <v>3566</v>
      </c>
      <c r="P2369" s="158" t="s">
        <v>3562</v>
      </c>
      <c r="Q2369" s="160">
        <f>IF(Sales[[#This Row],[Status]]="Cancelled",0,Sales[[#This Row],[Qty]])</f>
        <v>4</v>
      </c>
      <c r="R2369" s="161">
        <f>IF(Sales[[#This Row],[Status]]="Cancelled",0,Sales[[#This Row],[Total Amount]])</f>
        <v>14214.279999999999</v>
      </c>
      <c r="S2369" s="162">
        <f>SUM(Sales[Net Amount])</f>
        <v>406839287.73200053</v>
      </c>
    </row>
    <row r="2370" spans="1:19" ht="18.75" x14ac:dyDescent="0.25">
      <c r="A2370" s="163" t="s">
        <v>5996</v>
      </c>
      <c r="B2370" s="164">
        <v>45898</v>
      </c>
      <c r="C2370" s="34" t="s">
        <v>797</v>
      </c>
      <c r="D2370" s="53" t="str">
        <f>VLOOKUP(Sales[[#This Row],[Customer ID]],Customer[#All],2,0)</f>
        <v>Ankit Gupta</v>
      </c>
      <c r="E2370" s="34" t="s">
        <v>118</v>
      </c>
      <c r="F2370" s="34" t="str">
        <f>VLOOKUP(Sales[[#This Row],[Product ID]],Product[#All],2,0)</f>
        <v>American TouristerLaptopBag</v>
      </c>
      <c r="G2370" s="53">
        <v>8</v>
      </c>
      <c r="H2370" s="165">
        <f>VLOOKUP(Sales[[#This Row],[Product ID]],Product[#All],7,0)</f>
        <v>4160</v>
      </c>
      <c r="I2370" s="165">
        <f>Sales[[#This Row],[Selling Rate]]*Sales[[#This Row],[Qty]]</f>
        <v>33280</v>
      </c>
      <c r="J2370" s="45">
        <v>0.05</v>
      </c>
      <c r="K2370" s="46">
        <f>Sales[[#This Row],[Gross Amount]]*Sales[[#This Row],[Disc %]]</f>
        <v>1664</v>
      </c>
      <c r="L2370" s="43">
        <v>0.18</v>
      </c>
      <c r="M2370" s="46">
        <f>(Sales[[#This Row],[Gross Amount]]-Sales[[#This Row],[Disc. Amt.]])*Sales[[#This Row],[GST %]]</f>
        <v>5690.88</v>
      </c>
      <c r="N2370" s="161">
        <f>Sales[[#This Row],[Gross Amount]]-Sales[[#This Row],[Disc. Amt.]]+Sales[[#This Row],[GST Amount]]</f>
        <v>37306.879999999997</v>
      </c>
      <c r="O2370" s="34" t="s">
        <v>8876</v>
      </c>
      <c r="P2370" s="34" t="s">
        <v>3562</v>
      </c>
      <c r="Q2370" s="165">
        <f>IF(Sales[[#This Row],[Status]]="Cancelled",0,Sales[[#This Row],[Qty]])</f>
        <v>8</v>
      </c>
      <c r="R2370" s="166">
        <f>IF(Sales[[#This Row],[Status]]="Cancelled",0,Sales[[#This Row],[Total Amount]])</f>
        <v>37306.879999999997</v>
      </c>
      <c r="S2370" s="162">
        <f>SUM(Sales[Net Amount])</f>
        <v>406839287.73200053</v>
      </c>
    </row>
    <row r="2371" spans="1:19" ht="18.75" x14ac:dyDescent="0.25">
      <c r="A2371" s="156" t="s">
        <v>5997</v>
      </c>
      <c r="B2371" s="157">
        <v>45898</v>
      </c>
      <c r="C2371" s="158" t="s">
        <v>681</v>
      </c>
      <c r="D2371" s="159" t="str">
        <f>VLOOKUP(Sales[[#This Row],[Customer ID]],Customer[#All],2,0)</f>
        <v>Amit Kumar</v>
      </c>
      <c r="E2371" s="158" t="s">
        <v>299</v>
      </c>
      <c r="F2371" s="158" t="str">
        <f>VLOOKUP(Sales[[#This Row],[Product ID]],Product[#All],2,0)</f>
        <v>HP Printer</v>
      </c>
      <c r="G2371" s="159">
        <v>6</v>
      </c>
      <c r="H2371" s="160">
        <f>VLOOKUP(Sales[[#This Row],[Product ID]],Product[#All],7,0)</f>
        <v>15800</v>
      </c>
      <c r="I2371" s="160">
        <f>Sales[[#This Row],[Selling Rate]]*Sales[[#This Row],[Qty]]</f>
        <v>94800</v>
      </c>
      <c r="J2371" s="43">
        <v>0.05</v>
      </c>
      <c r="K2371" s="44">
        <f>Sales[[#This Row],[Gross Amount]]*Sales[[#This Row],[Disc %]]</f>
        <v>4740</v>
      </c>
      <c r="L2371" s="43">
        <v>0.18</v>
      </c>
      <c r="M2371" s="44">
        <f>(Sales[[#This Row],[Gross Amount]]-Sales[[#This Row],[Disc. Amt.]])*Sales[[#This Row],[GST %]]</f>
        <v>16210.8</v>
      </c>
      <c r="N2371" s="161">
        <f>Sales[[#This Row],[Gross Amount]]-Sales[[#This Row],[Disc. Amt.]]+Sales[[#This Row],[GST Amount]]</f>
        <v>106270.8</v>
      </c>
      <c r="O2371" s="158" t="s">
        <v>8876</v>
      </c>
      <c r="P2371" s="158" t="s">
        <v>3562</v>
      </c>
      <c r="Q2371" s="160">
        <f>IF(Sales[[#This Row],[Status]]="Cancelled",0,Sales[[#This Row],[Qty]])</f>
        <v>6</v>
      </c>
      <c r="R2371" s="161">
        <f>IF(Sales[[#This Row],[Status]]="Cancelled",0,Sales[[#This Row],[Total Amount]])</f>
        <v>106270.8</v>
      </c>
      <c r="S2371" s="162">
        <f>SUM(Sales[Net Amount])</f>
        <v>406839287.73200053</v>
      </c>
    </row>
    <row r="2372" spans="1:19" ht="18.75" x14ac:dyDescent="0.25">
      <c r="A2372" s="163" t="s">
        <v>5998</v>
      </c>
      <c r="B2372" s="164">
        <v>45898</v>
      </c>
      <c r="C2372" s="34" t="s">
        <v>873</v>
      </c>
      <c r="D2372" s="53" t="str">
        <f>VLOOKUP(Sales[[#This Row],[Customer ID]],Customer[#All],2,0)</f>
        <v>Sahil Verma</v>
      </c>
      <c r="E2372" s="34" t="s">
        <v>454</v>
      </c>
      <c r="F2372" s="34" t="str">
        <f>VLOOKUP(Sales[[#This Row],[Product ID]],Product[#All],2,0)</f>
        <v>Dell Monitor</v>
      </c>
      <c r="G2372" s="53">
        <v>8</v>
      </c>
      <c r="H2372" s="165">
        <f>VLOOKUP(Sales[[#This Row],[Product ID]],Product[#All],7,0)</f>
        <v>16760</v>
      </c>
      <c r="I2372" s="165">
        <f>Sales[[#This Row],[Selling Rate]]*Sales[[#This Row],[Qty]]</f>
        <v>134080</v>
      </c>
      <c r="J2372" s="45">
        <v>0.05</v>
      </c>
      <c r="K2372" s="46">
        <f>Sales[[#This Row],[Gross Amount]]*Sales[[#This Row],[Disc %]]</f>
        <v>6704</v>
      </c>
      <c r="L2372" s="43">
        <v>0.18</v>
      </c>
      <c r="M2372" s="46">
        <f>(Sales[[#This Row],[Gross Amount]]-Sales[[#This Row],[Disc. Amt.]])*Sales[[#This Row],[GST %]]</f>
        <v>22927.68</v>
      </c>
      <c r="N2372" s="161">
        <f>Sales[[#This Row],[Gross Amount]]-Sales[[#This Row],[Disc. Amt.]]+Sales[[#This Row],[GST Amount]]</f>
        <v>150303.67999999999</v>
      </c>
      <c r="O2372" s="34" t="s">
        <v>3566</v>
      </c>
      <c r="P2372" s="34" t="s">
        <v>3562</v>
      </c>
      <c r="Q2372" s="165">
        <f>IF(Sales[[#This Row],[Status]]="Cancelled",0,Sales[[#This Row],[Qty]])</f>
        <v>8</v>
      </c>
      <c r="R2372" s="166">
        <f>IF(Sales[[#This Row],[Status]]="Cancelled",0,Sales[[#This Row],[Total Amount]])</f>
        <v>150303.67999999999</v>
      </c>
      <c r="S2372" s="162">
        <f>SUM(Sales[Net Amount])</f>
        <v>406839287.73200053</v>
      </c>
    </row>
    <row r="2373" spans="1:19" ht="18.75" x14ac:dyDescent="0.25">
      <c r="A2373" s="156" t="s">
        <v>5999</v>
      </c>
      <c r="B2373" s="157">
        <v>45898</v>
      </c>
      <c r="C2373" s="158" t="s">
        <v>845</v>
      </c>
      <c r="D2373" s="159" t="str">
        <f>VLOOKUP(Sales[[#This Row],[Customer ID]],Customer[#All],2,0)</f>
        <v>Rahul Patel</v>
      </c>
      <c r="E2373" s="158" t="s">
        <v>394</v>
      </c>
      <c r="F2373" s="158" t="str">
        <f>VLOOKUP(Sales[[#This Row],[Product ID]],Product[#All],2,0)</f>
        <v>Boat Speaker</v>
      </c>
      <c r="G2373" s="159">
        <v>3</v>
      </c>
      <c r="H2373" s="160">
        <f>VLOOKUP(Sales[[#This Row],[Product ID]],Product[#All],7,0)</f>
        <v>1720</v>
      </c>
      <c r="I2373" s="160">
        <f>Sales[[#This Row],[Selling Rate]]*Sales[[#This Row],[Qty]]</f>
        <v>5160</v>
      </c>
      <c r="J2373" s="43">
        <v>0.05</v>
      </c>
      <c r="K2373" s="44">
        <f>Sales[[#This Row],[Gross Amount]]*Sales[[#This Row],[Disc %]]</f>
        <v>258</v>
      </c>
      <c r="L2373" s="43">
        <v>0.18</v>
      </c>
      <c r="M2373" s="44">
        <f>(Sales[[#This Row],[Gross Amount]]-Sales[[#This Row],[Disc. Amt.]])*Sales[[#This Row],[GST %]]</f>
        <v>882.36</v>
      </c>
      <c r="N2373" s="161">
        <f>Sales[[#This Row],[Gross Amount]]-Sales[[#This Row],[Disc. Amt.]]+Sales[[#This Row],[GST Amount]]</f>
        <v>5784.36</v>
      </c>
      <c r="O2373" s="158" t="s">
        <v>8876</v>
      </c>
      <c r="P2373" s="158" t="s">
        <v>3562</v>
      </c>
      <c r="Q2373" s="160">
        <f>IF(Sales[[#This Row],[Status]]="Cancelled",0,Sales[[#This Row],[Qty]])</f>
        <v>3</v>
      </c>
      <c r="R2373" s="161">
        <f>IF(Sales[[#This Row],[Status]]="Cancelled",0,Sales[[#This Row],[Total Amount]])</f>
        <v>5784.36</v>
      </c>
      <c r="S2373" s="162">
        <f>SUM(Sales[Net Amount])</f>
        <v>406839287.73200053</v>
      </c>
    </row>
    <row r="2374" spans="1:19" ht="18.75" x14ac:dyDescent="0.25">
      <c r="A2374" s="163" t="s">
        <v>6000</v>
      </c>
      <c r="B2374" s="164">
        <v>45898</v>
      </c>
      <c r="C2374" s="34" t="s">
        <v>800</v>
      </c>
      <c r="D2374" s="53" t="str">
        <f>VLOOKUP(Sales[[#This Row],[Customer ID]],Customer[#All],2,0)</f>
        <v>Priya Gupta</v>
      </c>
      <c r="E2374" s="34" t="s">
        <v>420</v>
      </c>
      <c r="F2374" s="34" t="str">
        <f>VLOOKUP(Sales[[#This Row],[Product ID]],Product[#All],2,0)</f>
        <v>Logitech Keyboard</v>
      </c>
      <c r="G2374" s="53">
        <v>1</v>
      </c>
      <c r="H2374" s="165">
        <f>VLOOKUP(Sales[[#This Row],[Product ID]],Product[#All],7,0)</f>
        <v>3430</v>
      </c>
      <c r="I2374" s="165">
        <f>Sales[[#This Row],[Selling Rate]]*Sales[[#This Row],[Qty]]</f>
        <v>3430</v>
      </c>
      <c r="J2374" s="45">
        <v>0.1</v>
      </c>
      <c r="K2374" s="46">
        <f>Sales[[#This Row],[Gross Amount]]*Sales[[#This Row],[Disc %]]</f>
        <v>343</v>
      </c>
      <c r="L2374" s="43">
        <v>0.18</v>
      </c>
      <c r="M2374" s="46">
        <f>(Sales[[#This Row],[Gross Amount]]-Sales[[#This Row],[Disc. Amt.]])*Sales[[#This Row],[GST %]]</f>
        <v>555.66</v>
      </c>
      <c r="N2374" s="161">
        <f>Sales[[#This Row],[Gross Amount]]-Sales[[#This Row],[Disc. Amt.]]+Sales[[#This Row],[GST Amount]]</f>
        <v>3642.66</v>
      </c>
      <c r="O2374" s="34" t="s">
        <v>3566</v>
      </c>
      <c r="P2374" s="34" t="s">
        <v>3562</v>
      </c>
      <c r="Q2374" s="165">
        <f>IF(Sales[[#This Row],[Status]]="Cancelled",0,Sales[[#This Row],[Qty]])</f>
        <v>1</v>
      </c>
      <c r="R2374" s="166">
        <f>IF(Sales[[#This Row],[Status]]="Cancelled",0,Sales[[#This Row],[Total Amount]])</f>
        <v>3642.66</v>
      </c>
      <c r="S2374" s="162">
        <f>SUM(Sales[Net Amount])</f>
        <v>406839287.73200053</v>
      </c>
    </row>
    <row r="2375" spans="1:19" ht="18.75" x14ac:dyDescent="0.25">
      <c r="A2375" s="156" t="s">
        <v>6001</v>
      </c>
      <c r="B2375" s="157">
        <v>45898</v>
      </c>
      <c r="C2375" s="158" t="s">
        <v>936</v>
      </c>
      <c r="D2375" s="159" t="str">
        <f>VLOOKUP(Sales[[#This Row],[Customer ID]],Customer[#All],2,0)</f>
        <v>Pooja Patel</v>
      </c>
      <c r="E2375" s="158" t="s">
        <v>531</v>
      </c>
      <c r="F2375" s="158" t="str">
        <f>VLOOKUP(Sales[[#This Row],[Product ID]],Product[#All],2,0)</f>
        <v>TP-link Router</v>
      </c>
      <c r="G2375" s="159">
        <v>8</v>
      </c>
      <c r="H2375" s="160">
        <f>VLOOKUP(Sales[[#This Row],[Product ID]],Product[#All],7,0)</f>
        <v>6730</v>
      </c>
      <c r="I2375" s="160">
        <f>Sales[[#This Row],[Selling Rate]]*Sales[[#This Row],[Qty]]</f>
        <v>53840</v>
      </c>
      <c r="J2375" s="43">
        <v>0</v>
      </c>
      <c r="K2375" s="44">
        <f>Sales[[#This Row],[Gross Amount]]*Sales[[#This Row],[Disc %]]</f>
        <v>0</v>
      </c>
      <c r="L2375" s="43">
        <v>0.18</v>
      </c>
      <c r="M2375" s="44">
        <f>(Sales[[#This Row],[Gross Amount]]-Sales[[#This Row],[Disc. Amt.]])*Sales[[#This Row],[GST %]]</f>
        <v>9691.1999999999989</v>
      </c>
      <c r="N2375" s="161">
        <f>Sales[[#This Row],[Gross Amount]]-Sales[[#This Row],[Disc. Amt.]]+Sales[[#This Row],[GST Amount]]</f>
        <v>63531.199999999997</v>
      </c>
      <c r="O2375" s="158" t="s">
        <v>3561</v>
      </c>
      <c r="P2375" s="158" t="s">
        <v>3562</v>
      </c>
      <c r="Q2375" s="160">
        <f>IF(Sales[[#This Row],[Status]]="Cancelled",0,Sales[[#This Row],[Qty]])</f>
        <v>8</v>
      </c>
      <c r="R2375" s="161">
        <f>IF(Sales[[#This Row],[Status]]="Cancelled",0,Sales[[#This Row],[Total Amount]])</f>
        <v>63531.199999999997</v>
      </c>
      <c r="S2375" s="162">
        <f>SUM(Sales[Net Amount])</f>
        <v>406839287.73200053</v>
      </c>
    </row>
    <row r="2376" spans="1:19" ht="18.75" x14ac:dyDescent="0.25">
      <c r="A2376" s="163" t="s">
        <v>6002</v>
      </c>
      <c r="B2376" s="164">
        <v>45898</v>
      </c>
      <c r="C2376" s="34" t="s">
        <v>867</v>
      </c>
      <c r="D2376" s="53" t="str">
        <f>VLOOKUP(Sales[[#This Row],[Customer ID]],Customer[#All],2,0)</f>
        <v>Priya Gupta</v>
      </c>
      <c r="E2376" s="34" t="s">
        <v>529</v>
      </c>
      <c r="F2376" s="34" t="str">
        <f>VLOOKUP(Sales[[#This Row],[Product ID]],Product[#All],2,0)</f>
        <v>Logitech Webcam</v>
      </c>
      <c r="G2376" s="53">
        <v>3</v>
      </c>
      <c r="H2376" s="165">
        <f>VLOOKUP(Sales[[#This Row],[Product ID]],Product[#All],7,0)</f>
        <v>3390</v>
      </c>
      <c r="I2376" s="165">
        <f>Sales[[#This Row],[Selling Rate]]*Sales[[#This Row],[Qty]]</f>
        <v>10170</v>
      </c>
      <c r="J2376" s="45">
        <v>0.05</v>
      </c>
      <c r="K2376" s="46">
        <f>Sales[[#This Row],[Gross Amount]]*Sales[[#This Row],[Disc %]]</f>
        <v>508.5</v>
      </c>
      <c r="L2376" s="43">
        <v>0.18</v>
      </c>
      <c r="M2376" s="46">
        <f>(Sales[[#This Row],[Gross Amount]]-Sales[[#This Row],[Disc. Amt.]])*Sales[[#This Row],[GST %]]</f>
        <v>1739.07</v>
      </c>
      <c r="N2376" s="161">
        <f>Sales[[#This Row],[Gross Amount]]-Sales[[#This Row],[Disc. Amt.]]+Sales[[#This Row],[GST Amount]]</f>
        <v>11400.57</v>
      </c>
      <c r="O2376" s="34" t="s">
        <v>8876</v>
      </c>
      <c r="P2376" s="34" t="s">
        <v>3562</v>
      </c>
      <c r="Q2376" s="165">
        <f>IF(Sales[[#This Row],[Status]]="Cancelled",0,Sales[[#This Row],[Qty]])</f>
        <v>3</v>
      </c>
      <c r="R2376" s="166">
        <f>IF(Sales[[#This Row],[Status]]="Cancelled",0,Sales[[#This Row],[Total Amount]])</f>
        <v>11400.57</v>
      </c>
      <c r="S2376" s="162">
        <f>SUM(Sales[Net Amount])</f>
        <v>406839287.73200053</v>
      </c>
    </row>
    <row r="2377" spans="1:19" ht="18.75" x14ac:dyDescent="0.25">
      <c r="A2377" s="156" t="s">
        <v>6003</v>
      </c>
      <c r="B2377" s="157">
        <v>45898</v>
      </c>
      <c r="C2377" s="158" t="s">
        <v>709</v>
      </c>
      <c r="D2377" s="159" t="str">
        <f>VLOOKUP(Sales[[#This Row],[Customer ID]],Customer[#All],2,0)</f>
        <v>Ankit Kumar</v>
      </c>
      <c r="E2377" s="158" t="s">
        <v>337</v>
      </c>
      <c r="F2377" s="158" t="str">
        <f>VLOOKUP(Sales[[#This Row],[Product ID]],Product[#All],2,0)</f>
        <v>Corsair Ram</v>
      </c>
      <c r="G2377" s="159">
        <v>5</v>
      </c>
      <c r="H2377" s="160">
        <f>VLOOKUP(Sales[[#This Row],[Product ID]],Product[#All],7,0)</f>
        <v>10500</v>
      </c>
      <c r="I2377" s="160">
        <f>Sales[[#This Row],[Selling Rate]]*Sales[[#This Row],[Qty]]</f>
        <v>52500</v>
      </c>
      <c r="J2377" s="43">
        <v>0.1</v>
      </c>
      <c r="K2377" s="44">
        <f>Sales[[#This Row],[Gross Amount]]*Sales[[#This Row],[Disc %]]</f>
        <v>5250</v>
      </c>
      <c r="L2377" s="43">
        <v>0.18</v>
      </c>
      <c r="M2377" s="44">
        <f>(Sales[[#This Row],[Gross Amount]]-Sales[[#This Row],[Disc. Amt.]])*Sales[[#This Row],[GST %]]</f>
        <v>8505</v>
      </c>
      <c r="N2377" s="161">
        <f>Sales[[#This Row],[Gross Amount]]-Sales[[#This Row],[Disc. Amt.]]+Sales[[#This Row],[GST Amount]]</f>
        <v>55755</v>
      </c>
      <c r="O2377" s="158" t="s">
        <v>3561</v>
      </c>
      <c r="P2377" s="158" t="s">
        <v>3562</v>
      </c>
      <c r="Q2377" s="160">
        <f>IF(Sales[[#This Row],[Status]]="Cancelled",0,Sales[[#This Row],[Qty]])</f>
        <v>5</v>
      </c>
      <c r="R2377" s="161">
        <f>IF(Sales[[#This Row],[Status]]="Cancelled",0,Sales[[#This Row],[Total Amount]])</f>
        <v>55755</v>
      </c>
      <c r="S2377" s="162">
        <f>SUM(Sales[Net Amount])</f>
        <v>406839287.73200053</v>
      </c>
    </row>
    <row r="2378" spans="1:19" ht="18.75" x14ac:dyDescent="0.25">
      <c r="A2378" s="163" t="s">
        <v>6004</v>
      </c>
      <c r="B2378" s="164">
        <v>45898</v>
      </c>
      <c r="C2378" s="34" t="s">
        <v>819</v>
      </c>
      <c r="D2378" s="53" t="str">
        <f>VLOOKUP(Sales[[#This Row],[Customer ID]],Customer[#All],2,0)</f>
        <v>Neha Gupta</v>
      </c>
      <c r="E2378" s="34" t="s">
        <v>273</v>
      </c>
      <c r="F2378" s="34" t="str">
        <f>VLOOKUP(Sales[[#This Row],[Product ID]],Product[#All],2,0)</f>
        <v>Boat Headset</v>
      </c>
      <c r="G2378" s="53">
        <v>2</v>
      </c>
      <c r="H2378" s="165">
        <f>VLOOKUP(Sales[[#This Row],[Product ID]],Product[#All],7,0)</f>
        <v>4970</v>
      </c>
      <c r="I2378" s="165">
        <f>Sales[[#This Row],[Selling Rate]]*Sales[[#This Row],[Qty]]</f>
        <v>9940</v>
      </c>
      <c r="J2378" s="45">
        <v>0.12</v>
      </c>
      <c r="K2378" s="46">
        <f>Sales[[#This Row],[Gross Amount]]*Sales[[#This Row],[Disc %]]</f>
        <v>1192.8</v>
      </c>
      <c r="L2378" s="43">
        <v>0.18</v>
      </c>
      <c r="M2378" s="46">
        <f>(Sales[[#This Row],[Gross Amount]]-Sales[[#This Row],[Disc. Amt.]])*Sales[[#This Row],[GST %]]</f>
        <v>1574.4960000000001</v>
      </c>
      <c r="N2378" s="161">
        <f>Sales[[#This Row],[Gross Amount]]-Sales[[#This Row],[Disc. Amt.]]+Sales[[#This Row],[GST Amount]]</f>
        <v>10321.696</v>
      </c>
      <c r="O2378" s="34" t="s">
        <v>3569</v>
      </c>
      <c r="P2378" s="34" t="s">
        <v>3562</v>
      </c>
      <c r="Q2378" s="165">
        <f>IF(Sales[[#This Row],[Status]]="Cancelled",0,Sales[[#This Row],[Qty]])</f>
        <v>2</v>
      </c>
      <c r="R2378" s="166">
        <f>IF(Sales[[#This Row],[Status]]="Cancelled",0,Sales[[#This Row],[Total Amount]])</f>
        <v>10321.696</v>
      </c>
      <c r="S2378" s="162">
        <f>SUM(Sales[Net Amount])</f>
        <v>406839287.73200053</v>
      </c>
    </row>
    <row r="2379" spans="1:19" ht="18.75" x14ac:dyDescent="0.25">
      <c r="A2379" s="156" t="s">
        <v>6005</v>
      </c>
      <c r="B2379" s="157">
        <v>45898</v>
      </c>
      <c r="C2379" s="158" t="s">
        <v>778</v>
      </c>
      <c r="D2379" s="159" t="str">
        <f>VLOOKUP(Sales[[#This Row],[Customer ID]],Customer[#All],2,0)</f>
        <v>Ankit Gupta</v>
      </c>
      <c r="E2379" s="158" t="s">
        <v>454</v>
      </c>
      <c r="F2379" s="158" t="str">
        <f>VLOOKUP(Sales[[#This Row],[Product ID]],Product[#All],2,0)</f>
        <v>Dell Monitor</v>
      </c>
      <c r="G2379" s="159">
        <v>7</v>
      </c>
      <c r="H2379" s="160">
        <f>VLOOKUP(Sales[[#This Row],[Product ID]],Product[#All],7,0)</f>
        <v>16760</v>
      </c>
      <c r="I2379" s="160">
        <f>Sales[[#This Row],[Selling Rate]]*Sales[[#This Row],[Qty]]</f>
        <v>117320</v>
      </c>
      <c r="J2379" s="43">
        <v>0</v>
      </c>
      <c r="K2379" s="44">
        <f>Sales[[#This Row],[Gross Amount]]*Sales[[#This Row],[Disc %]]</f>
        <v>0</v>
      </c>
      <c r="L2379" s="43">
        <v>0.18</v>
      </c>
      <c r="M2379" s="44">
        <f>(Sales[[#This Row],[Gross Amount]]-Sales[[#This Row],[Disc. Amt.]])*Sales[[#This Row],[GST %]]</f>
        <v>21117.599999999999</v>
      </c>
      <c r="N2379" s="161">
        <f>Sales[[#This Row],[Gross Amount]]-Sales[[#This Row],[Disc. Amt.]]+Sales[[#This Row],[GST Amount]]</f>
        <v>138437.6</v>
      </c>
      <c r="O2379" s="158" t="s">
        <v>3561</v>
      </c>
      <c r="P2379" s="158" t="s">
        <v>3562</v>
      </c>
      <c r="Q2379" s="160">
        <f>IF(Sales[[#This Row],[Status]]="Cancelled",0,Sales[[#This Row],[Qty]])</f>
        <v>7</v>
      </c>
      <c r="R2379" s="161">
        <f>IF(Sales[[#This Row],[Status]]="Cancelled",0,Sales[[#This Row],[Total Amount]])</f>
        <v>138437.6</v>
      </c>
      <c r="S2379" s="162">
        <f>SUM(Sales[Net Amount])</f>
        <v>406839287.73200053</v>
      </c>
    </row>
    <row r="2380" spans="1:19" ht="18.75" x14ac:dyDescent="0.25">
      <c r="A2380" s="163" t="s">
        <v>6006</v>
      </c>
      <c r="B2380" s="164">
        <v>45898</v>
      </c>
      <c r="C2380" s="34" t="s">
        <v>786</v>
      </c>
      <c r="D2380" s="53" t="str">
        <f>VLOOKUP(Sales[[#This Row],[Customer ID]],Customer[#All],2,0)</f>
        <v>Pooja Kumar</v>
      </c>
      <c r="E2380" s="34" t="s">
        <v>437</v>
      </c>
      <c r="F2380" s="34" t="str">
        <f>VLOOKUP(Sales[[#This Row],[Product ID]],Product[#All],2,0)</f>
        <v>Boat Headset</v>
      </c>
      <c r="G2380" s="53">
        <v>1</v>
      </c>
      <c r="H2380" s="165">
        <f>VLOOKUP(Sales[[#This Row],[Product ID]],Product[#All],7,0)</f>
        <v>3260</v>
      </c>
      <c r="I2380" s="165">
        <f>Sales[[#This Row],[Selling Rate]]*Sales[[#This Row],[Qty]]</f>
        <v>3260</v>
      </c>
      <c r="J2380" s="45">
        <v>0.12</v>
      </c>
      <c r="K2380" s="46">
        <f>Sales[[#This Row],[Gross Amount]]*Sales[[#This Row],[Disc %]]</f>
        <v>391.2</v>
      </c>
      <c r="L2380" s="43">
        <v>0.18</v>
      </c>
      <c r="M2380" s="46">
        <f>(Sales[[#This Row],[Gross Amount]]-Sales[[#This Row],[Disc. Amt.]])*Sales[[#This Row],[GST %]]</f>
        <v>516.38400000000001</v>
      </c>
      <c r="N2380" s="161">
        <f>Sales[[#This Row],[Gross Amount]]-Sales[[#This Row],[Disc. Amt.]]+Sales[[#This Row],[GST Amount]]</f>
        <v>3385.1840000000002</v>
      </c>
      <c r="O2380" s="34" t="s">
        <v>3561</v>
      </c>
      <c r="P2380" s="34" t="s">
        <v>3562</v>
      </c>
      <c r="Q2380" s="165">
        <f>IF(Sales[[#This Row],[Status]]="Cancelled",0,Sales[[#This Row],[Qty]])</f>
        <v>1</v>
      </c>
      <c r="R2380" s="166">
        <f>IF(Sales[[#This Row],[Status]]="Cancelled",0,Sales[[#This Row],[Total Amount]])</f>
        <v>3385.1840000000002</v>
      </c>
      <c r="S2380" s="162">
        <f>SUM(Sales[Net Amount])</f>
        <v>406839287.73200053</v>
      </c>
    </row>
    <row r="2381" spans="1:19" ht="18.75" x14ac:dyDescent="0.25">
      <c r="A2381" s="156" t="s">
        <v>6007</v>
      </c>
      <c r="B2381" s="157">
        <v>45898</v>
      </c>
      <c r="C2381" s="158" t="s">
        <v>803</v>
      </c>
      <c r="D2381" s="159" t="str">
        <f>VLOOKUP(Sales[[#This Row],[Customer ID]],Customer[#All],2,0)</f>
        <v>Pooja Singh</v>
      </c>
      <c r="E2381" s="158" t="s">
        <v>372</v>
      </c>
      <c r="F2381" s="158" t="str">
        <f>VLOOKUP(Sales[[#This Row],[Product ID]],Product[#All],2,0)</f>
        <v>Sandisk Pen Drive</v>
      </c>
      <c r="G2381" s="159">
        <v>7</v>
      </c>
      <c r="H2381" s="160">
        <f>VLOOKUP(Sales[[#This Row],[Product ID]],Product[#All],7,0)</f>
        <v>580</v>
      </c>
      <c r="I2381" s="160">
        <f>Sales[[#This Row],[Selling Rate]]*Sales[[#This Row],[Qty]]</f>
        <v>4060</v>
      </c>
      <c r="J2381" s="43">
        <v>0.12</v>
      </c>
      <c r="K2381" s="44">
        <f>Sales[[#This Row],[Gross Amount]]*Sales[[#This Row],[Disc %]]</f>
        <v>487.2</v>
      </c>
      <c r="L2381" s="43">
        <v>0.18</v>
      </c>
      <c r="M2381" s="44">
        <f>(Sales[[#This Row],[Gross Amount]]-Sales[[#This Row],[Disc. Amt.]])*Sales[[#This Row],[GST %]]</f>
        <v>643.10400000000004</v>
      </c>
      <c r="N2381" s="161">
        <f>Sales[[#This Row],[Gross Amount]]-Sales[[#This Row],[Disc. Amt.]]+Sales[[#This Row],[GST Amount]]</f>
        <v>4215.9040000000005</v>
      </c>
      <c r="O2381" s="158" t="s">
        <v>8876</v>
      </c>
      <c r="P2381" s="158" t="s">
        <v>3562</v>
      </c>
      <c r="Q2381" s="160">
        <f>IF(Sales[[#This Row],[Status]]="Cancelled",0,Sales[[#This Row],[Qty]])</f>
        <v>7</v>
      </c>
      <c r="R2381" s="161">
        <f>IF(Sales[[#This Row],[Status]]="Cancelled",0,Sales[[#This Row],[Total Amount]])</f>
        <v>4215.9040000000005</v>
      </c>
      <c r="S2381" s="162">
        <f>SUM(Sales[Net Amount])</f>
        <v>406839287.73200053</v>
      </c>
    </row>
    <row r="2382" spans="1:19" ht="18.75" x14ac:dyDescent="0.25">
      <c r="A2382" s="163" t="s">
        <v>6008</v>
      </c>
      <c r="B2382" s="164">
        <v>45898</v>
      </c>
      <c r="C2382" s="34" t="s">
        <v>690</v>
      </c>
      <c r="D2382" s="53" t="str">
        <f>VLOOKUP(Sales[[#This Row],[Customer ID]],Customer[#All],2,0)</f>
        <v>Priya Patel</v>
      </c>
      <c r="E2382" s="34" t="s">
        <v>464</v>
      </c>
      <c r="F2382" s="34" t="str">
        <f>VLOOKUP(Sales[[#This Row],[Product ID]],Product[#All],2,0)</f>
        <v>Lg Monitor</v>
      </c>
      <c r="G2382" s="53">
        <v>1</v>
      </c>
      <c r="H2382" s="165">
        <f>VLOOKUP(Sales[[#This Row],[Product ID]],Product[#All],7,0)</f>
        <v>27140</v>
      </c>
      <c r="I2382" s="165">
        <f>Sales[[#This Row],[Selling Rate]]*Sales[[#This Row],[Qty]]</f>
        <v>27140</v>
      </c>
      <c r="J2382" s="45">
        <v>0</v>
      </c>
      <c r="K2382" s="46">
        <f>Sales[[#This Row],[Gross Amount]]*Sales[[#This Row],[Disc %]]</f>
        <v>0</v>
      </c>
      <c r="L2382" s="43">
        <v>0.18</v>
      </c>
      <c r="M2382" s="46">
        <f>(Sales[[#This Row],[Gross Amount]]-Sales[[#This Row],[Disc. Amt.]])*Sales[[#This Row],[GST %]]</f>
        <v>4885.2</v>
      </c>
      <c r="N2382" s="161">
        <f>Sales[[#This Row],[Gross Amount]]-Sales[[#This Row],[Disc. Amt.]]+Sales[[#This Row],[GST Amount]]</f>
        <v>32025.200000000001</v>
      </c>
      <c r="O2382" s="34" t="s">
        <v>8876</v>
      </c>
      <c r="P2382" s="34" t="s">
        <v>3562</v>
      </c>
      <c r="Q2382" s="165">
        <f>IF(Sales[[#This Row],[Status]]="Cancelled",0,Sales[[#This Row],[Qty]])</f>
        <v>1</v>
      </c>
      <c r="R2382" s="166">
        <f>IF(Sales[[#This Row],[Status]]="Cancelled",0,Sales[[#This Row],[Total Amount]])</f>
        <v>32025.200000000001</v>
      </c>
      <c r="S2382" s="162">
        <f>SUM(Sales[Net Amount])</f>
        <v>406839287.73200053</v>
      </c>
    </row>
    <row r="2383" spans="1:19" ht="18.75" x14ac:dyDescent="0.25">
      <c r="A2383" s="156" t="s">
        <v>6009</v>
      </c>
      <c r="B2383" s="157">
        <v>45898</v>
      </c>
      <c r="C2383" s="158" t="s">
        <v>746</v>
      </c>
      <c r="D2383" s="159" t="str">
        <f>VLOOKUP(Sales[[#This Row],[Customer ID]],Customer[#All],2,0)</f>
        <v>Sunita Kumar</v>
      </c>
      <c r="E2383" s="158" t="s">
        <v>510</v>
      </c>
      <c r="F2383" s="158" t="str">
        <f>VLOOKUP(Sales[[#This Row],[Product ID]],Product[#All],2,0)</f>
        <v>American TouristerLaptopBag</v>
      </c>
      <c r="G2383" s="159">
        <v>3</v>
      </c>
      <c r="H2383" s="160">
        <f>VLOOKUP(Sales[[#This Row],[Product ID]],Product[#All],7,0)</f>
        <v>5010</v>
      </c>
      <c r="I2383" s="160">
        <f>Sales[[#This Row],[Selling Rate]]*Sales[[#This Row],[Qty]]</f>
        <v>15030</v>
      </c>
      <c r="J2383" s="43">
        <v>0.05</v>
      </c>
      <c r="K2383" s="44">
        <f>Sales[[#This Row],[Gross Amount]]*Sales[[#This Row],[Disc %]]</f>
        <v>751.5</v>
      </c>
      <c r="L2383" s="43">
        <v>0.18</v>
      </c>
      <c r="M2383" s="44">
        <f>(Sales[[#This Row],[Gross Amount]]-Sales[[#This Row],[Disc. Amt.]])*Sales[[#This Row],[GST %]]</f>
        <v>2570.13</v>
      </c>
      <c r="N2383" s="161">
        <f>Sales[[#This Row],[Gross Amount]]-Sales[[#This Row],[Disc. Amt.]]+Sales[[#This Row],[GST Amount]]</f>
        <v>16848.63</v>
      </c>
      <c r="O2383" s="158" t="s">
        <v>3566</v>
      </c>
      <c r="P2383" s="158" t="s">
        <v>3562</v>
      </c>
      <c r="Q2383" s="160">
        <f>IF(Sales[[#This Row],[Status]]="Cancelled",0,Sales[[#This Row],[Qty]])</f>
        <v>3</v>
      </c>
      <c r="R2383" s="161">
        <f>IF(Sales[[#This Row],[Status]]="Cancelled",0,Sales[[#This Row],[Total Amount]])</f>
        <v>16848.63</v>
      </c>
      <c r="S2383" s="162">
        <f>SUM(Sales[Net Amount])</f>
        <v>406839287.73200053</v>
      </c>
    </row>
    <row r="2384" spans="1:19" ht="18.75" x14ac:dyDescent="0.25">
      <c r="A2384" s="163" t="s">
        <v>6010</v>
      </c>
      <c r="B2384" s="164">
        <v>45898</v>
      </c>
      <c r="C2384" s="34" t="s">
        <v>769</v>
      </c>
      <c r="D2384" s="53" t="str">
        <f>VLOOKUP(Sales[[#This Row],[Customer ID]],Customer[#All],2,0)</f>
        <v>Sahil Kumar</v>
      </c>
      <c r="E2384" s="34" t="s">
        <v>52</v>
      </c>
      <c r="F2384" s="34" t="str">
        <f>VLOOKUP(Sales[[#This Row],[Product ID]],Product[#All],2,0)</f>
        <v>HP Power Adapter</v>
      </c>
      <c r="G2384" s="53">
        <v>8</v>
      </c>
      <c r="H2384" s="165">
        <f>VLOOKUP(Sales[[#This Row],[Product ID]],Product[#All],7,0)</f>
        <v>4510</v>
      </c>
      <c r="I2384" s="165">
        <f>Sales[[#This Row],[Selling Rate]]*Sales[[#This Row],[Qty]]</f>
        <v>36080</v>
      </c>
      <c r="J2384" s="45">
        <v>0.1</v>
      </c>
      <c r="K2384" s="46">
        <f>Sales[[#This Row],[Gross Amount]]*Sales[[#This Row],[Disc %]]</f>
        <v>3608</v>
      </c>
      <c r="L2384" s="43">
        <v>0.18</v>
      </c>
      <c r="M2384" s="46">
        <f>(Sales[[#This Row],[Gross Amount]]-Sales[[#This Row],[Disc. Amt.]])*Sales[[#This Row],[GST %]]</f>
        <v>5844.96</v>
      </c>
      <c r="N2384" s="161">
        <f>Sales[[#This Row],[Gross Amount]]-Sales[[#This Row],[Disc. Amt.]]+Sales[[#This Row],[GST Amount]]</f>
        <v>38316.959999999999</v>
      </c>
      <c r="O2384" s="34" t="s">
        <v>3561</v>
      </c>
      <c r="P2384" s="34" t="s">
        <v>3562</v>
      </c>
      <c r="Q2384" s="165">
        <f>IF(Sales[[#This Row],[Status]]="Cancelled",0,Sales[[#This Row],[Qty]])</f>
        <v>8</v>
      </c>
      <c r="R2384" s="166">
        <f>IF(Sales[[#This Row],[Status]]="Cancelled",0,Sales[[#This Row],[Total Amount]])</f>
        <v>38316.959999999999</v>
      </c>
      <c r="S2384" s="162">
        <f>SUM(Sales[Net Amount])</f>
        <v>406839287.73200053</v>
      </c>
    </row>
    <row r="2385" spans="1:19" ht="18.75" x14ac:dyDescent="0.25">
      <c r="A2385" s="156" t="s">
        <v>6011</v>
      </c>
      <c r="B2385" s="157">
        <v>45898</v>
      </c>
      <c r="C2385" s="158" t="s">
        <v>892</v>
      </c>
      <c r="D2385" s="159" t="str">
        <f>VLOOKUP(Sales[[#This Row],[Customer ID]],Customer[#All],2,0)</f>
        <v>Sahil Verma</v>
      </c>
      <c r="E2385" s="158" t="s">
        <v>98</v>
      </c>
      <c r="F2385" s="158" t="str">
        <f>VLOOKUP(Sales[[#This Row],[Product ID]],Product[#All],2,0)</f>
        <v>TP-link Bluetooth Adapter</v>
      </c>
      <c r="G2385" s="159">
        <v>5</v>
      </c>
      <c r="H2385" s="160">
        <f>VLOOKUP(Sales[[#This Row],[Product ID]],Product[#All],7,0)</f>
        <v>1420</v>
      </c>
      <c r="I2385" s="160">
        <f>Sales[[#This Row],[Selling Rate]]*Sales[[#This Row],[Qty]]</f>
        <v>7100</v>
      </c>
      <c r="J2385" s="43">
        <v>0.1</v>
      </c>
      <c r="K2385" s="44">
        <f>Sales[[#This Row],[Gross Amount]]*Sales[[#This Row],[Disc %]]</f>
        <v>710</v>
      </c>
      <c r="L2385" s="43">
        <v>0.18</v>
      </c>
      <c r="M2385" s="44">
        <f>(Sales[[#This Row],[Gross Amount]]-Sales[[#This Row],[Disc. Amt.]])*Sales[[#This Row],[GST %]]</f>
        <v>1150.2</v>
      </c>
      <c r="N2385" s="161">
        <f>Sales[[#This Row],[Gross Amount]]-Sales[[#This Row],[Disc. Amt.]]+Sales[[#This Row],[GST Amount]]</f>
        <v>7540.2</v>
      </c>
      <c r="O2385" s="158" t="s">
        <v>3569</v>
      </c>
      <c r="P2385" s="158" t="s">
        <v>3562</v>
      </c>
      <c r="Q2385" s="160">
        <f>IF(Sales[[#This Row],[Status]]="Cancelled",0,Sales[[#This Row],[Qty]])</f>
        <v>5</v>
      </c>
      <c r="R2385" s="161">
        <f>IF(Sales[[#This Row],[Status]]="Cancelled",0,Sales[[#This Row],[Total Amount]])</f>
        <v>7540.2</v>
      </c>
      <c r="S2385" s="162">
        <f>SUM(Sales[Net Amount])</f>
        <v>406839287.73200053</v>
      </c>
    </row>
    <row r="2386" spans="1:19" ht="18.75" x14ac:dyDescent="0.25">
      <c r="A2386" s="163" t="s">
        <v>6012</v>
      </c>
      <c r="B2386" s="164">
        <v>45898</v>
      </c>
      <c r="C2386" s="34" t="s">
        <v>764</v>
      </c>
      <c r="D2386" s="53" t="str">
        <f>VLOOKUP(Sales[[#This Row],[Customer ID]],Customer[#All],2,0)</f>
        <v>Priya Gupta</v>
      </c>
      <c r="E2386" s="34" t="s">
        <v>479</v>
      </c>
      <c r="F2386" s="34" t="str">
        <f>VLOOKUP(Sales[[#This Row],[Product ID]],Product[#All],2,0)</f>
        <v>TP-link Router</v>
      </c>
      <c r="G2386" s="53">
        <v>5</v>
      </c>
      <c r="H2386" s="165">
        <f>VLOOKUP(Sales[[#This Row],[Product ID]],Product[#All],7,0)</f>
        <v>5740</v>
      </c>
      <c r="I2386" s="165">
        <f>Sales[[#This Row],[Selling Rate]]*Sales[[#This Row],[Qty]]</f>
        <v>28700</v>
      </c>
      <c r="J2386" s="45">
        <v>0.05</v>
      </c>
      <c r="K2386" s="46">
        <f>Sales[[#This Row],[Gross Amount]]*Sales[[#This Row],[Disc %]]</f>
        <v>1435</v>
      </c>
      <c r="L2386" s="43">
        <v>0.18</v>
      </c>
      <c r="M2386" s="46">
        <f>(Sales[[#This Row],[Gross Amount]]-Sales[[#This Row],[Disc. Amt.]])*Sales[[#This Row],[GST %]]</f>
        <v>4907.7</v>
      </c>
      <c r="N2386" s="161">
        <f>Sales[[#This Row],[Gross Amount]]-Sales[[#This Row],[Disc. Amt.]]+Sales[[#This Row],[GST Amount]]</f>
        <v>32172.7</v>
      </c>
      <c r="O2386" s="34" t="s">
        <v>3566</v>
      </c>
      <c r="P2386" s="34" t="s">
        <v>3562</v>
      </c>
      <c r="Q2386" s="165">
        <f>IF(Sales[[#This Row],[Status]]="Cancelled",0,Sales[[#This Row],[Qty]])</f>
        <v>5</v>
      </c>
      <c r="R2386" s="166">
        <f>IF(Sales[[#This Row],[Status]]="Cancelled",0,Sales[[#This Row],[Total Amount]])</f>
        <v>32172.7</v>
      </c>
      <c r="S2386" s="162">
        <f>SUM(Sales[Net Amount])</f>
        <v>406839287.73200053</v>
      </c>
    </row>
    <row r="2387" spans="1:19" ht="18.75" x14ac:dyDescent="0.25">
      <c r="A2387" s="156" t="s">
        <v>6013</v>
      </c>
      <c r="B2387" s="157">
        <v>45898</v>
      </c>
      <c r="C2387" s="158" t="s">
        <v>765</v>
      </c>
      <c r="D2387" s="159" t="str">
        <f>VLOOKUP(Sales[[#This Row],[Customer ID]],Customer[#All],2,0)</f>
        <v>Neha Gupta</v>
      </c>
      <c r="E2387" s="158" t="s">
        <v>85</v>
      </c>
      <c r="F2387" s="158" t="str">
        <f>VLOOKUP(Sales[[#This Row],[Product ID]],Product[#All],2,0)</f>
        <v>Apc UPS</v>
      </c>
      <c r="G2387" s="159">
        <v>3</v>
      </c>
      <c r="H2387" s="160">
        <f>VLOOKUP(Sales[[#This Row],[Product ID]],Product[#All],7,0)</f>
        <v>8770</v>
      </c>
      <c r="I2387" s="160">
        <f>Sales[[#This Row],[Selling Rate]]*Sales[[#This Row],[Qty]]</f>
        <v>26310</v>
      </c>
      <c r="J2387" s="43">
        <v>0.05</v>
      </c>
      <c r="K2387" s="44">
        <f>Sales[[#This Row],[Gross Amount]]*Sales[[#This Row],[Disc %]]</f>
        <v>1315.5</v>
      </c>
      <c r="L2387" s="43">
        <v>0.18</v>
      </c>
      <c r="M2387" s="44">
        <f>(Sales[[#This Row],[Gross Amount]]-Sales[[#This Row],[Disc. Amt.]])*Sales[[#This Row],[GST %]]</f>
        <v>4499.01</v>
      </c>
      <c r="N2387" s="161">
        <f>Sales[[#This Row],[Gross Amount]]-Sales[[#This Row],[Disc. Amt.]]+Sales[[#This Row],[GST Amount]]</f>
        <v>29493.510000000002</v>
      </c>
      <c r="O2387" s="158" t="s">
        <v>8876</v>
      </c>
      <c r="P2387" s="158" t="s">
        <v>3562</v>
      </c>
      <c r="Q2387" s="160">
        <f>IF(Sales[[#This Row],[Status]]="Cancelled",0,Sales[[#This Row],[Qty]])</f>
        <v>3</v>
      </c>
      <c r="R2387" s="161">
        <f>IF(Sales[[#This Row],[Status]]="Cancelled",0,Sales[[#This Row],[Total Amount]])</f>
        <v>29493.510000000002</v>
      </c>
      <c r="S2387" s="162">
        <f>SUM(Sales[Net Amount])</f>
        <v>406839287.73200053</v>
      </c>
    </row>
    <row r="2388" spans="1:19" ht="18.75" x14ac:dyDescent="0.25">
      <c r="A2388" s="163" t="s">
        <v>6014</v>
      </c>
      <c r="B2388" s="164">
        <v>45898</v>
      </c>
      <c r="C2388" s="34" t="s">
        <v>722</v>
      </c>
      <c r="D2388" s="53" t="str">
        <f>VLOOKUP(Sales[[#This Row],[Customer ID]],Customer[#All],2,0)</f>
        <v>Vikas Patel</v>
      </c>
      <c r="E2388" s="34" t="s">
        <v>43</v>
      </c>
      <c r="F2388" s="34" t="str">
        <f>VLOOKUP(Sales[[#This Row],[Product ID]],Product[#All],2,0)</f>
        <v>Jbl Speaker</v>
      </c>
      <c r="G2388" s="53">
        <v>4</v>
      </c>
      <c r="H2388" s="165">
        <f>VLOOKUP(Sales[[#This Row],[Product ID]],Product[#All],7,0)</f>
        <v>11310</v>
      </c>
      <c r="I2388" s="165">
        <f>Sales[[#This Row],[Selling Rate]]*Sales[[#This Row],[Qty]]</f>
        <v>45240</v>
      </c>
      <c r="J2388" s="45">
        <v>0.05</v>
      </c>
      <c r="K2388" s="46">
        <f>Sales[[#This Row],[Gross Amount]]*Sales[[#This Row],[Disc %]]</f>
        <v>2262</v>
      </c>
      <c r="L2388" s="43">
        <v>0.18</v>
      </c>
      <c r="M2388" s="46">
        <f>(Sales[[#This Row],[Gross Amount]]-Sales[[#This Row],[Disc. Amt.]])*Sales[[#This Row],[GST %]]</f>
        <v>7736.04</v>
      </c>
      <c r="N2388" s="161">
        <f>Sales[[#This Row],[Gross Amount]]-Sales[[#This Row],[Disc. Amt.]]+Sales[[#This Row],[GST Amount]]</f>
        <v>50714.04</v>
      </c>
      <c r="O2388" s="34" t="s">
        <v>3566</v>
      </c>
      <c r="P2388" s="34" t="s">
        <v>3562</v>
      </c>
      <c r="Q2388" s="165">
        <f>IF(Sales[[#This Row],[Status]]="Cancelled",0,Sales[[#This Row],[Qty]])</f>
        <v>4</v>
      </c>
      <c r="R2388" s="166">
        <f>IF(Sales[[#This Row],[Status]]="Cancelled",0,Sales[[#This Row],[Total Amount]])</f>
        <v>50714.04</v>
      </c>
      <c r="S2388" s="162">
        <f>SUM(Sales[Net Amount])</f>
        <v>406839287.73200053</v>
      </c>
    </row>
    <row r="2389" spans="1:19" ht="18.75" x14ac:dyDescent="0.25">
      <c r="A2389" s="156" t="s">
        <v>6015</v>
      </c>
      <c r="B2389" s="157">
        <v>45898</v>
      </c>
      <c r="C2389" s="158" t="s">
        <v>675</v>
      </c>
      <c r="D2389" s="159" t="str">
        <f>VLOOKUP(Sales[[#This Row],[Customer ID]],Customer[#All],2,0)</f>
        <v>Rahul Gupta</v>
      </c>
      <c r="E2389" s="158" t="s">
        <v>169</v>
      </c>
      <c r="F2389" s="158" t="str">
        <f>VLOOKUP(Sales[[#This Row],[Product ID]],Product[#All],2,0)</f>
        <v>Dell Monitor</v>
      </c>
      <c r="G2389" s="159">
        <v>5</v>
      </c>
      <c r="H2389" s="160">
        <f>VLOOKUP(Sales[[#This Row],[Product ID]],Product[#All],7,0)</f>
        <v>22680</v>
      </c>
      <c r="I2389" s="160">
        <f>Sales[[#This Row],[Selling Rate]]*Sales[[#This Row],[Qty]]</f>
        <v>113400</v>
      </c>
      <c r="J2389" s="43">
        <v>0.1</v>
      </c>
      <c r="K2389" s="44">
        <f>Sales[[#This Row],[Gross Amount]]*Sales[[#This Row],[Disc %]]</f>
        <v>11340</v>
      </c>
      <c r="L2389" s="43">
        <v>0.18</v>
      </c>
      <c r="M2389" s="44">
        <f>(Sales[[#This Row],[Gross Amount]]-Sales[[#This Row],[Disc. Amt.]])*Sales[[#This Row],[GST %]]</f>
        <v>18370.8</v>
      </c>
      <c r="N2389" s="161">
        <f>Sales[[#This Row],[Gross Amount]]-Sales[[#This Row],[Disc. Amt.]]+Sales[[#This Row],[GST Amount]]</f>
        <v>120430.8</v>
      </c>
      <c r="O2389" s="158" t="s">
        <v>8876</v>
      </c>
      <c r="P2389" s="158" t="s">
        <v>3562</v>
      </c>
      <c r="Q2389" s="160">
        <f>IF(Sales[[#This Row],[Status]]="Cancelled",0,Sales[[#This Row],[Qty]])</f>
        <v>5</v>
      </c>
      <c r="R2389" s="161">
        <f>IF(Sales[[#This Row],[Status]]="Cancelled",0,Sales[[#This Row],[Total Amount]])</f>
        <v>120430.8</v>
      </c>
      <c r="S2389" s="162">
        <f>SUM(Sales[Net Amount])</f>
        <v>406839287.73200053</v>
      </c>
    </row>
    <row r="2390" spans="1:19" ht="18.75" x14ac:dyDescent="0.25">
      <c r="A2390" s="163" t="s">
        <v>6016</v>
      </c>
      <c r="B2390" s="164">
        <v>45898</v>
      </c>
      <c r="C2390" s="34" t="s">
        <v>872</v>
      </c>
      <c r="D2390" s="53" t="str">
        <f>VLOOKUP(Sales[[#This Row],[Customer ID]],Customer[#All],2,0)</f>
        <v>Rahul Verma</v>
      </c>
      <c r="E2390" s="34" t="s">
        <v>448</v>
      </c>
      <c r="F2390" s="34" t="str">
        <f>VLOOKUP(Sales[[#This Row],[Product ID]],Product[#All],2,0)</f>
        <v>Crucial Ssd</v>
      </c>
      <c r="G2390" s="53">
        <v>3</v>
      </c>
      <c r="H2390" s="165">
        <f>VLOOKUP(Sales[[#This Row],[Product ID]],Product[#All],7,0)</f>
        <v>7930</v>
      </c>
      <c r="I2390" s="165">
        <f>Sales[[#This Row],[Selling Rate]]*Sales[[#This Row],[Qty]]</f>
        <v>23790</v>
      </c>
      <c r="J2390" s="45">
        <v>0.05</v>
      </c>
      <c r="K2390" s="46">
        <f>Sales[[#This Row],[Gross Amount]]*Sales[[#This Row],[Disc %]]</f>
        <v>1189.5</v>
      </c>
      <c r="L2390" s="43">
        <v>0.18</v>
      </c>
      <c r="M2390" s="46">
        <f>(Sales[[#This Row],[Gross Amount]]-Sales[[#This Row],[Disc. Amt.]])*Sales[[#This Row],[GST %]]</f>
        <v>4068.0899999999997</v>
      </c>
      <c r="N2390" s="161">
        <f>Sales[[#This Row],[Gross Amount]]-Sales[[#This Row],[Disc. Amt.]]+Sales[[#This Row],[GST Amount]]</f>
        <v>26668.59</v>
      </c>
      <c r="O2390" s="34" t="s">
        <v>3569</v>
      </c>
      <c r="P2390" s="34" t="s">
        <v>1040</v>
      </c>
      <c r="Q2390" s="165">
        <f>IF(Sales[[#This Row],[Status]]="Cancelled",0,Sales[[#This Row],[Qty]])</f>
        <v>0</v>
      </c>
      <c r="R2390" s="166">
        <f>IF(Sales[[#This Row],[Status]]="Cancelled",0,Sales[[#This Row],[Total Amount]])</f>
        <v>0</v>
      </c>
      <c r="S2390" s="162">
        <f>SUM(Sales[Net Amount])</f>
        <v>406839287.73200053</v>
      </c>
    </row>
    <row r="2391" spans="1:19" ht="18.75" x14ac:dyDescent="0.25">
      <c r="A2391" s="156" t="s">
        <v>6017</v>
      </c>
      <c r="B2391" s="157">
        <v>45899</v>
      </c>
      <c r="C2391" s="158" t="s">
        <v>916</v>
      </c>
      <c r="D2391" s="159" t="str">
        <f>VLOOKUP(Sales[[#This Row],[Customer ID]],Customer[#All],2,0)</f>
        <v>Ankit Singh</v>
      </c>
      <c r="E2391" s="158" t="s">
        <v>471</v>
      </c>
      <c r="F2391" s="158" t="str">
        <f>VLOOKUP(Sales[[#This Row],[Product ID]],Product[#All],2,0)</f>
        <v>Samsung Monitor</v>
      </c>
      <c r="G2391" s="159">
        <v>1</v>
      </c>
      <c r="H2391" s="160">
        <f>VLOOKUP(Sales[[#This Row],[Product ID]],Product[#All],7,0)</f>
        <v>10840</v>
      </c>
      <c r="I2391" s="160">
        <f>Sales[[#This Row],[Selling Rate]]*Sales[[#This Row],[Qty]]</f>
        <v>10840</v>
      </c>
      <c r="J2391" s="43">
        <v>0.15</v>
      </c>
      <c r="K2391" s="44">
        <f>Sales[[#This Row],[Gross Amount]]*Sales[[#This Row],[Disc %]]</f>
        <v>1626</v>
      </c>
      <c r="L2391" s="43">
        <v>0.18</v>
      </c>
      <c r="M2391" s="44">
        <f>(Sales[[#This Row],[Gross Amount]]-Sales[[#This Row],[Disc. Amt.]])*Sales[[#This Row],[GST %]]</f>
        <v>1658.52</v>
      </c>
      <c r="N2391" s="161">
        <f>Sales[[#This Row],[Gross Amount]]-Sales[[#This Row],[Disc. Amt.]]+Sales[[#This Row],[GST Amount]]</f>
        <v>10872.52</v>
      </c>
      <c r="O2391" s="158" t="s">
        <v>3566</v>
      </c>
      <c r="P2391" s="158" t="s">
        <v>3562</v>
      </c>
      <c r="Q2391" s="160">
        <f>IF(Sales[[#This Row],[Status]]="Cancelled",0,Sales[[#This Row],[Qty]])</f>
        <v>1</v>
      </c>
      <c r="R2391" s="161">
        <f>IF(Sales[[#This Row],[Status]]="Cancelled",0,Sales[[#This Row],[Total Amount]])</f>
        <v>10872.52</v>
      </c>
      <c r="S2391" s="162">
        <f>SUM(Sales[Net Amount])</f>
        <v>406839287.73200053</v>
      </c>
    </row>
    <row r="2392" spans="1:19" ht="18.75" x14ac:dyDescent="0.25">
      <c r="A2392" s="163" t="s">
        <v>6018</v>
      </c>
      <c r="B2392" s="164">
        <v>45899</v>
      </c>
      <c r="C2392" s="34" t="s">
        <v>810</v>
      </c>
      <c r="D2392" s="53" t="str">
        <f>VLOOKUP(Sales[[#This Row],[Customer ID]],Customer[#All],2,0)</f>
        <v>Rahul Gupta</v>
      </c>
      <c r="E2392" s="34" t="s">
        <v>504</v>
      </c>
      <c r="F2392" s="34" t="str">
        <f>VLOOKUP(Sales[[#This Row],[Product ID]],Product[#All],2,0)</f>
        <v>Logitech Keyboard</v>
      </c>
      <c r="G2392" s="53">
        <v>3</v>
      </c>
      <c r="H2392" s="165">
        <f>VLOOKUP(Sales[[#This Row],[Product ID]],Product[#All],7,0)</f>
        <v>3930</v>
      </c>
      <c r="I2392" s="165">
        <f>Sales[[#This Row],[Selling Rate]]*Sales[[#This Row],[Qty]]</f>
        <v>11790</v>
      </c>
      <c r="J2392" s="45">
        <v>0.12</v>
      </c>
      <c r="K2392" s="46">
        <f>Sales[[#This Row],[Gross Amount]]*Sales[[#This Row],[Disc %]]</f>
        <v>1414.8</v>
      </c>
      <c r="L2392" s="43">
        <v>0.18</v>
      </c>
      <c r="M2392" s="46">
        <f>(Sales[[#This Row],[Gross Amount]]-Sales[[#This Row],[Disc. Amt.]])*Sales[[#This Row],[GST %]]</f>
        <v>1867.5360000000001</v>
      </c>
      <c r="N2392" s="161">
        <f>Sales[[#This Row],[Gross Amount]]-Sales[[#This Row],[Disc. Amt.]]+Sales[[#This Row],[GST Amount]]</f>
        <v>12242.736000000001</v>
      </c>
      <c r="O2392" s="34" t="s">
        <v>3561</v>
      </c>
      <c r="P2392" s="34" t="s">
        <v>3562</v>
      </c>
      <c r="Q2392" s="165">
        <f>IF(Sales[[#This Row],[Status]]="Cancelled",0,Sales[[#This Row],[Qty]])</f>
        <v>3</v>
      </c>
      <c r="R2392" s="166">
        <f>IF(Sales[[#This Row],[Status]]="Cancelled",0,Sales[[#This Row],[Total Amount]])</f>
        <v>12242.736000000001</v>
      </c>
      <c r="S2392" s="162">
        <f>SUM(Sales[Net Amount])</f>
        <v>406839287.73200053</v>
      </c>
    </row>
    <row r="2393" spans="1:19" ht="18.75" x14ac:dyDescent="0.25">
      <c r="A2393" s="156" t="s">
        <v>6019</v>
      </c>
      <c r="B2393" s="157">
        <v>45899</v>
      </c>
      <c r="C2393" s="158" t="s">
        <v>919</v>
      </c>
      <c r="D2393" s="159" t="str">
        <f>VLOOKUP(Sales[[#This Row],[Customer ID]],Customer[#All],2,0)</f>
        <v>Pooja Patel</v>
      </c>
      <c r="E2393" s="158" t="s">
        <v>415</v>
      </c>
      <c r="F2393" s="158" t="str">
        <f>VLOOKUP(Sales[[#This Row],[Product ID]],Product[#All],2,0)</f>
        <v>American TouristerLaptopBag</v>
      </c>
      <c r="G2393" s="159">
        <v>2</v>
      </c>
      <c r="H2393" s="160">
        <f>VLOOKUP(Sales[[#This Row],[Product ID]],Product[#All],7,0)</f>
        <v>5180</v>
      </c>
      <c r="I2393" s="160">
        <f>Sales[[#This Row],[Selling Rate]]*Sales[[#This Row],[Qty]]</f>
        <v>10360</v>
      </c>
      <c r="J2393" s="43">
        <v>0</v>
      </c>
      <c r="K2393" s="44">
        <f>Sales[[#This Row],[Gross Amount]]*Sales[[#This Row],[Disc %]]</f>
        <v>0</v>
      </c>
      <c r="L2393" s="43">
        <v>0.18</v>
      </c>
      <c r="M2393" s="44">
        <f>(Sales[[#This Row],[Gross Amount]]-Sales[[#This Row],[Disc. Amt.]])*Sales[[#This Row],[GST %]]</f>
        <v>1864.8</v>
      </c>
      <c r="N2393" s="161">
        <f>Sales[[#This Row],[Gross Amount]]-Sales[[#This Row],[Disc. Amt.]]+Sales[[#This Row],[GST Amount]]</f>
        <v>12224.8</v>
      </c>
      <c r="O2393" s="158" t="s">
        <v>3569</v>
      </c>
      <c r="P2393" s="158" t="s">
        <v>3562</v>
      </c>
      <c r="Q2393" s="160">
        <f>IF(Sales[[#This Row],[Status]]="Cancelled",0,Sales[[#This Row],[Qty]])</f>
        <v>2</v>
      </c>
      <c r="R2393" s="161">
        <f>IF(Sales[[#This Row],[Status]]="Cancelled",0,Sales[[#This Row],[Total Amount]])</f>
        <v>12224.8</v>
      </c>
      <c r="S2393" s="162">
        <f>SUM(Sales[Net Amount])</f>
        <v>406839287.73200053</v>
      </c>
    </row>
    <row r="2394" spans="1:19" ht="18.75" x14ac:dyDescent="0.25">
      <c r="A2394" s="163" t="s">
        <v>6020</v>
      </c>
      <c r="B2394" s="164">
        <v>45899</v>
      </c>
      <c r="C2394" s="34" t="s">
        <v>891</v>
      </c>
      <c r="D2394" s="53" t="str">
        <f>VLOOKUP(Sales[[#This Row],[Customer ID]],Customer[#All],2,0)</f>
        <v>Pooja Verma</v>
      </c>
      <c r="E2394" s="34" t="s">
        <v>300</v>
      </c>
      <c r="F2394" s="34" t="str">
        <f>VLOOKUP(Sales[[#This Row],[Product ID]],Product[#All],2,0)</f>
        <v>Crucial Ssd</v>
      </c>
      <c r="G2394" s="53">
        <v>3</v>
      </c>
      <c r="H2394" s="165">
        <f>VLOOKUP(Sales[[#This Row],[Product ID]],Product[#All],7,0)</f>
        <v>9950</v>
      </c>
      <c r="I2394" s="165">
        <f>Sales[[#This Row],[Selling Rate]]*Sales[[#This Row],[Qty]]</f>
        <v>29850</v>
      </c>
      <c r="J2394" s="45">
        <v>0.05</v>
      </c>
      <c r="K2394" s="46">
        <f>Sales[[#This Row],[Gross Amount]]*Sales[[#This Row],[Disc %]]</f>
        <v>1492.5</v>
      </c>
      <c r="L2394" s="43">
        <v>0.18</v>
      </c>
      <c r="M2394" s="46">
        <f>(Sales[[#This Row],[Gross Amount]]-Sales[[#This Row],[Disc. Amt.]])*Sales[[#This Row],[GST %]]</f>
        <v>5104.3499999999995</v>
      </c>
      <c r="N2394" s="161">
        <f>Sales[[#This Row],[Gross Amount]]-Sales[[#This Row],[Disc. Amt.]]+Sales[[#This Row],[GST Amount]]</f>
        <v>33461.85</v>
      </c>
      <c r="O2394" s="34" t="s">
        <v>8876</v>
      </c>
      <c r="P2394" s="34" t="s">
        <v>3562</v>
      </c>
      <c r="Q2394" s="165">
        <f>IF(Sales[[#This Row],[Status]]="Cancelled",0,Sales[[#This Row],[Qty]])</f>
        <v>3</v>
      </c>
      <c r="R2394" s="166">
        <f>IF(Sales[[#This Row],[Status]]="Cancelled",0,Sales[[#This Row],[Total Amount]])</f>
        <v>33461.85</v>
      </c>
      <c r="S2394" s="162">
        <f>SUM(Sales[Net Amount])</f>
        <v>406839287.73200053</v>
      </c>
    </row>
    <row r="2395" spans="1:19" ht="18.75" x14ac:dyDescent="0.25">
      <c r="A2395" s="156" t="s">
        <v>6021</v>
      </c>
      <c r="B2395" s="157">
        <v>45899</v>
      </c>
      <c r="C2395" s="158" t="s">
        <v>812</v>
      </c>
      <c r="D2395" s="159" t="str">
        <f>VLOOKUP(Sales[[#This Row],[Customer ID]],Customer[#All],2,0)</f>
        <v>Neha Gupta</v>
      </c>
      <c r="E2395" s="158" t="s">
        <v>449</v>
      </c>
      <c r="F2395" s="158" t="str">
        <f>VLOOKUP(Sales[[#This Row],[Product ID]],Product[#All],2,0)</f>
        <v>Dell Monitor</v>
      </c>
      <c r="G2395" s="159">
        <v>5</v>
      </c>
      <c r="H2395" s="160">
        <f>VLOOKUP(Sales[[#This Row],[Product ID]],Product[#All],7,0)</f>
        <v>19520</v>
      </c>
      <c r="I2395" s="160">
        <f>Sales[[#This Row],[Selling Rate]]*Sales[[#This Row],[Qty]]</f>
        <v>97600</v>
      </c>
      <c r="J2395" s="43">
        <v>0</v>
      </c>
      <c r="K2395" s="44">
        <f>Sales[[#This Row],[Gross Amount]]*Sales[[#This Row],[Disc %]]</f>
        <v>0</v>
      </c>
      <c r="L2395" s="43">
        <v>0.18</v>
      </c>
      <c r="M2395" s="44">
        <f>(Sales[[#This Row],[Gross Amount]]-Sales[[#This Row],[Disc. Amt.]])*Sales[[#This Row],[GST %]]</f>
        <v>17568</v>
      </c>
      <c r="N2395" s="161">
        <f>Sales[[#This Row],[Gross Amount]]-Sales[[#This Row],[Disc. Amt.]]+Sales[[#This Row],[GST Amount]]</f>
        <v>115168</v>
      </c>
      <c r="O2395" s="158" t="s">
        <v>3566</v>
      </c>
      <c r="P2395" s="158" t="s">
        <v>1040</v>
      </c>
      <c r="Q2395" s="160">
        <f>IF(Sales[[#This Row],[Status]]="Cancelled",0,Sales[[#This Row],[Qty]])</f>
        <v>0</v>
      </c>
      <c r="R2395" s="161">
        <f>IF(Sales[[#This Row],[Status]]="Cancelled",0,Sales[[#This Row],[Total Amount]])</f>
        <v>0</v>
      </c>
      <c r="S2395" s="162">
        <f>SUM(Sales[Net Amount])</f>
        <v>406839287.73200053</v>
      </c>
    </row>
    <row r="2396" spans="1:19" ht="18.75" x14ac:dyDescent="0.25">
      <c r="A2396" s="163" t="s">
        <v>6022</v>
      </c>
      <c r="B2396" s="164">
        <v>45899</v>
      </c>
      <c r="C2396" s="34" t="s">
        <v>688</v>
      </c>
      <c r="D2396" s="53" t="str">
        <f>VLOOKUP(Sales[[#This Row],[Customer ID]],Customer[#All],2,0)</f>
        <v>Rahul Verma</v>
      </c>
      <c r="E2396" s="34" t="s">
        <v>46</v>
      </c>
      <c r="F2396" s="34" t="str">
        <f>VLOOKUP(Sales[[#This Row],[Product ID]],Product[#All],2,0)</f>
        <v>HP Printer</v>
      </c>
      <c r="G2396" s="53">
        <v>4</v>
      </c>
      <c r="H2396" s="165">
        <f>VLOOKUP(Sales[[#This Row],[Product ID]],Product[#All],7,0)</f>
        <v>35170</v>
      </c>
      <c r="I2396" s="165">
        <f>Sales[[#This Row],[Selling Rate]]*Sales[[#This Row],[Qty]]</f>
        <v>140680</v>
      </c>
      <c r="J2396" s="45">
        <v>0.15</v>
      </c>
      <c r="K2396" s="46">
        <f>Sales[[#This Row],[Gross Amount]]*Sales[[#This Row],[Disc %]]</f>
        <v>21102</v>
      </c>
      <c r="L2396" s="43">
        <v>0.18</v>
      </c>
      <c r="M2396" s="46">
        <f>(Sales[[#This Row],[Gross Amount]]-Sales[[#This Row],[Disc. Amt.]])*Sales[[#This Row],[GST %]]</f>
        <v>21524.04</v>
      </c>
      <c r="N2396" s="161">
        <f>Sales[[#This Row],[Gross Amount]]-Sales[[#This Row],[Disc. Amt.]]+Sales[[#This Row],[GST Amount]]</f>
        <v>141102.04</v>
      </c>
      <c r="O2396" s="34" t="s">
        <v>3566</v>
      </c>
      <c r="P2396" s="34" t="s">
        <v>3562</v>
      </c>
      <c r="Q2396" s="165">
        <f>IF(Sales[[#This Row],[Status]]="Cancelled",0,Sales[[#This Row],[Qty]])</f>
        <v>4</v>
      </c>
      <c r="R2396" s="166">
        <f>IF(Sales[[#This Row],[Status]]="Cancelled",0,Sales[[#This Row],[Total Amount]])</f>
        <v>141102.04</v>
      </c>
      <c r="S2396" s="162">
        <f>SUM(Sales[Net Amount])</f>
        <v>406839287.73200053</v>
      </c>
    </row>
    <row r="2397" spans="1:19" ht="18.75" x14ac:dyDescent="0.25">
      <c r="A2397" s="156" t="s">
        <v>6023</v>
      </c>
      <c r="B2397" s="157">
        <v>45899</v>
      </c>
      <c r="C2397" s="158" t="s">
        <v>845</v>
      </c>
      <c r="D2397" s="159" t="str">
        <f>VLOOKUP(Sales[[#This Row],[Customer ID]],Customer[#All],2,0)</f>
        <v>Rahul Patel</v>
      </c>
      <c r="E2397" s="158" t="s">
        <v>331</v>
      </c>
      <c r="F2397" s="158" t="str">
        <f>VLOOKUP(Sales[[#This Row],[Product ID]],Product[#All],2,0)</f>
        <v>Dell Keyboard</v>
      </c>
      <c r="G2397" s="159">
        <v>6</v>
      </c>
      <c r="H2397" s="160">
        <f>VLOOKUP(Sales[[#This Row],[Product ID]],Product[#All],7,0)</f>
        <v>2070</v>
      </c>
      <c r="I2397" s="160">
        <f>Sales[[#This Row],[Selling Rate]]*Sales[[#This Row],[Qty]]</f>
        <v>12420</v>
      </c>
      <c r="J2397" s="43">
        <v>0.05</v>
      </c>
      <c r="K2397" s="44">
        <f>Sales[[#This Row],[Gross Amount]]*Sales[[#This Row],[Disc %]]</f>
        <v>621</v>
      </c>
      <c r="L2397" s="43">
        <v>0.18</v>
      </c>
      <c r="M2397" s="44">
        <f>(Sales[[#This Row],[Gross Amount]]-Sales[[#This Row],[Disc. Amt.]])*Sales[[#This Row],[GST %]]</f>
        <v>2123.8199999999997</v>
      </c>
      <c r="N2397" s="161">
        <f>Sales[[#This Row],[Gross Amount]]-Sales[[#This Row],[Disc. Amt.]]+Sales[[#This Row],[GST Amount]]</f>
        <v>13922.82</v>
      </c>
      <c r="O2397" s="158" t="s">
        <v>3566</v>
      </c>
      <c r="P2397" s="158" t="s">
        <v>3562</v>
      </c>
      <c r="Q2397" s="160">
        <f>IF(Sales[[#This Row],[Status]]="Cancelled",0,Sales[[#This Row],[Qty]])</f>
        <v>6</v>
      </c>
      <c r="R2397" s="161">
        <f>IF(Sales[[#This Row],[Status]]="Cancelled",0,Sales[[#This Row],[Total Amount]])</f>
        <v>13922.82</v>
      </c>
      <c r="S2397" s="162">
        <f>SUM(Sales[Net Amount])</f>
        <v>406839287.73200053</v>
      </c>
    </row>
    <row r="2398" spans="1:19" ht="18.75" x14ac:dyDescent="0.25">
      <c r="A2398" s="163" t="s">
        <v>6024</v>
      </c>
      <c r="B2398" s="164">
        <v>45899</v>
      </c>
      <c r="C2398" s="34" t="s">
        <v>837</v>
      </c>
      <c r="D2398" s="53" t="str">
        <f>VLOOKUP(Sales[[#This Row],[Customer ID]],Customer[#All],2,0)</f>
        <v>Sahil Patel</v>
      </c>
      <c r="E2398" s="34" t="s">
        <v>226</v>
      </c>
      <c r="F2398" s="34" t="str">
        <f>VLOOKUP(Sales[[#This Row],[Product ID]],Product[#All],2,0)</f>
        <v>Jbl Speaker</v>
      </c>
      <c r="G2398" s="53">
        <v>2</v>
      </c>
      <c r="H2398" s="165">
        <f>VLOOKUP(Sales[[#This Row],[Product ID]],Product[#All],7,0)</f>
        <v>5020</v>
      </c>
      <c r="I2398" s="165">
        <f>Sales[[#This Row],[Selling Rate]]*Sales[[#This Row],[Qty]]</f>
        <v>10040</v>
      </c>
      <c r="J2398" s="45">
        <v>0</v>
      </c>
      <c r="K2398" s="46">
        <f>Sales[[#This Row],[Gross Amount]]*Sales[[#This Row],[Disc %]]</f>
        <v>0</v>
      </c>
      <c r="L2398" s="43">
        <v>0.18</v>
      </c>
      <c r="M2398" s="46">
        <f>(Sales[[#This Row],[Gross Amount]]-Sales[[#This Row],[Disc. Amt.]])*Sales[[#This Row],[GST %]]</f>
        <v>1807.2</v>
      </c>
      <c r="N2398" s="161">
        <f>Sales[[#This Row],[Gross Amount]]-Sales[[#This Row],[Disc. Amt.]]+Sales[[#This Row],[GST Amount]]</f>
        <v>11847.2</v>
      </c>
      <c r="O2398" s="34" t="s">
        <v>3569</v>
      </c>
      <c r="P2398" s="34" t="s">
        <v>3562</v>
      </c>
      <c r="Q2398" s="165">
        <f>IF(Sales[[#This Row],[Status]]="Cancelled",0,Sales[[#This Row],[Qty]])</f>
        <v>2</v>
      </c>
      <c r="R2398" s="166">
        <f>IF(Sales[[#This Row],[Status]]="Cancelled",0,Sales[[#This Row],[Total Amount]])</f>
        <v>11847.2</v>
      </c>
      <c r="S2398" s="162">
        <f>SUM(Sales[Net Amount])</f>
        <v>406839287.73200053</v>
      </c>
    </row>
    <row r="2399" spans="1:19" ht="18.75" x14ac:dyDescent="0.25">
      <c r="A2399" s="156" t="s">
        <v>6025</v>
      </c>
      <c r="B2399" s="157">
        <v>45899</v>
      </c>
      <c r="C2399" s="158" t="s">
        <v>782</v>
      </c>
      <c r="D2399" s="159" t="str">
        <f>VLOOKUP(Sales[[#This Row],[Customer ID]],Customer[#All],2,0)</f>
        <v>Vikas Singh</v>
      </c>
      <c r="E2399" s="158" t="s">
        <v>399</v>
      </c>
      <c r="F2399" s="158" t="str">
        <f>VLOOKUP(Sales[[#This Row],[Product ID]],Product[#All],2,0)</f>
        <v>Dell Desktop</v>
      </c>
      <c r="G2399" s="159">
        <v>6</v>
      </c>
      <c r="H2399" s="160">
        <f>VLOOKUP(Sales[[#This Row],[Product ID]],Product[#All],7,0)</f>
        <v>43510</v>
      </c>
      <c r="I2399" s="160">
        <f>Sales[[#This Row],[Selling Rate]]*Sales[[#This Row],[Qty]]</f>
        <v>261060</v>
      </c>
      <c r="J2399" s="43">
        <v>0</v>
      </c>
      <c r="K2399" s="44">
        <f>Sales[[#This Row],[Gross Amount]]*Sales[[#This Row],[Disc %]]</f>
        <v>0</v>
      </c>
      <c r="L2399" s="43">
        <v>0.18</v>
      </c>
      <c r="M2399" s="44">
        <f>(Sales[[#This Row],[Gross Amount]]-Sales[[#This Row],[Disc. Amt.]])*Sales[[#This Row],[GST %]]</f>
        <v>46990.799999999996</v>
      </c>
      <c r="N2399" s="161">
        <f>Sales[[#This Row],[Gross Amount]]-Sales[[#This Row],[Disc. Amt.]]+Sales[[#This Row],[GST Amount]]</f>
        <v>308050.8</v>
      </c>
      <c r="O2399" s="158" t="s">
        <v>3561</v>
      </c>
      <c r="P2399" s="158" t="s">
        <v>3562</v>
      </c>
      <c r="Q2399" s="160">
        <f>IF(Sales[[#This Row],[Status]]="Cancelled",0,Sales[[#This Row],[Qty]])</f>
        <v>6</v>
      </c>
      <c r="R2399" s="161">
        <f>IF(Sales[[#This Row],[Status]]="Cancelled",0,Sales[[#This Row],[Total Amount]])</f>
        <v>308050.8</v>
      </c>
      <c r="S2399" s="162">
        <f>SUM(Sales[Net Amount])</f>
        <v>406839287.73200053</v>
      </c>
    </row>
    <row r="2400" spans="1:19" ht="18.75" x14ac:dyDescent="0.25">
      <c r="A2400" s="163" t="s">
        <v>6026</v>
      </c>
      <c r="B2400" s="164">
        <v>45899</v>
      </c>
      <c r="C2400" s="34" t="s">
        <v>899</v>
      </c>
      <c r="D2400" s="53" t="str">
        <f>VLOOKUP(Sales[[#This Row],[Customer ID]],Customer[#All],2,0)</f>
        <v>Sunita Verma</v>
      </c>
      <c r="E2400" s="34" t="s">
        <v>366</v>
      </c>
      <c r="F2400" s="34" t="str">
        <f>VLOOKUP(Sales[[#This Row],[Product ID]],Product[#All],2,0)</f>
        <v>Samsung Ssd</v>
      </c>
      <c r="G2400" s="53">
        <v>8</v>
      </c>
      <c r="H2400" s="165">
        <f>VLOOKUP(Sales[[#This Row],[Product ID]],Product[#All],7,0)</f>
        <v>5140</v>
      </c>
      <c r="I2400" s="165">
        <f>Sales[[#This Row],[Selling Rate]]*Sales[[#This Row],[Qty]]</f>
        <v>41120</v>
      </c>
      <c r="J2400" s="45">
        <v>0</v>
      </c>
      <c r="K2400" s="46">
        <f>Sales[[#This Row],[Gross Amount]]*Sales[[#This Row],[Disc %]]</f>
        <v>0</v>
      </c>
      <c r="L2400" s="43">
        <v>0.18</v>
      </c>
      <c r="M2400" s="46">
        <f>(Sales[[#This Row],[Gross Amount]]-Sales[[#This Row],[Disc. Amt.]])*Sales[[#This Row],[GST %]]</f>
        <v>7401.5999999999995</v>
      </c>
      <c r="N2400" s="161">
        <f>Sales[[#This Row],[Gross Amount]]-Sales[[#This Row],[Disc. Amt.]]+Sales[[#This Row],[GST Amount]]</f>
        <v>48521.599999999999</v>
      </c>
      <c r="O2400" s="34" t="s">
        <v>3566</v>
      </c>
      <c r="P2400" s="34" t="s">
        <v>3562</v>
      </c>
      <c r="Q2400" s="165">
        <f>IF(Sales[[#This Row],[Status]]="Cancelled",0,Sales[[#This Row],[Qty]])</f>
        <v>8</v>
      </c>
      <c r="R2400" s="166">
        <f>IF(Sales[[#This Row],[Status]]="Cancelled",0,Sales[[#This Row],[Total Amount]])</f>
        <v>48521.599999999999</v>
      </c>
      <c r="S2400" s="162">
        <f>SUM(Sales[Net Amount])</f>
        <v>406839287.73200053</v>
      </c>
    </row>
    <row r="2401" spans="1:19" ht="18.75" x14ac:dyDescent="0.25">
      <c r="A2401" s="156" t="s">
        <v>6027</v>
      </c>
      <c r="B2401" s="157">
        <v>45899</v>
      </c>
      <c r="C2401" s="158" t="s">
        <v>715</v>
      </c>
      <c r="D2401" s="159" t="str">
        <f>VLOOKUP(Sales[[#This Row],[Customer ID]],Customer[#All],2,0)</f>
        <v>Sunita Patel</v>
      </c>
      <c r="E2401" s="158" t="s">
        <v>186</v>
      </c>
      <c r="F2401" s="158" t="str">
        <f>VLOOKUP(Sales[[#This Row],[Product ID]],Product[#All],2,0)</f>
        <v>Corsair Ram</v>
      </c>
      <c r="G2401" s="159">
        <v>4</v>
      </c>
      <c r="H2401" s="160">
        <f>VLOOKUP(Sales[[#This Row],[Product ID]],Product[#All],7,0)</f>
        <v>11620</v>
      </c>
      <c r="I2401" s="160">
        <f>Sales[[#This Row],[Selling Rate]]*Sales[[#This Row],[Qty]]</f>
        <v>46480</v>
      </c>
      <c r="J2401" s="43">
        <v>0</v>
      </c>
      <c r="K2401" s="44">
        <f>Sales[[#This Row],[Gross Amount]]*Sales[[#This Row],[Disc %]]</f>
        <v>0</v>
      </c>
      <c r="L2401" s="43">
        <v>0.18</v>
      </c>
      <c r="M2401" s="44">
        <f>(Sales[[#This Row],[Gross Amount]]-Sales[[#This Row],[Disc. Amt.]])*Sales[[#This Row],[GST %]]</f>
        <v>8366.4</v>
      </c>
      <c r="N2401" s="161">
        <f>Sales[[#This Row],[Gross Amount]]-Sales[[#This Row],[Disc. Amt.]]+Sales[[#This Row],[GST Amount]]</f>
        <v>54846.400000000001</v>
      </c>
      <c r="O2401" s="158" t="s">
        <v>3561</v>
      </c>
      <c r="P2401" s="158" t="s">
        <v>3562</v>
      </c>
      <c r="Q2401" s="160">
        <f>IF(Sales[[#This Row],[Status]]="Cancelled",0,Sales[[#This Row],[Qty]])</f>
        <v>4</v>
      </c>
      <c r="R2401" s="161">
        <f>IF(Sales[[#This Row],[Status]]="Cancelled",0,Sales[[#This Row],[Total Amount]])</f>
        <v>54846.400000000001</v>
      </c>
      <c r="S2401" s="162">
        <f>SUM(Sales[Net Amount])</f>
        <v>406839287.73200053</v>
      </c>
    </row>
    <row r="2402" spans="1:19" ht="18.75" x14ac:dyDescent="0.25">
      <c r="A2402" s="163" t="s">
        <v>6028</v>
      </c>
      <c r="B2402" s="164">
        <v>45899</v>
      </c>
      <c r="C2402" s="34" t="s">
        <v>8726</v>
      </c>
      <c r="D2402" s="53" t="str">
        <f>VLOOKUP(Sales[[#This Row],[Customer ID]],Customer[#All],2,0)</f>
        <v>Sahil Sharma</v>
      </c>
      <c r="E2402" s="34" t="s">
        <v>426</v>
      </c>
      <c r="F2402" s="34" t="str">
        <f>VLOOKUP(Sales[[#This Row],[Product ID]],Product[#All],2,0)</f>
        <v>Jbl Speaker</v>
      </c>
      <c r="G2402" s="53">
        <v>7</v>
      </c>
      <c r="H2402" s="165">
        <f>VLOOKUP(Sales[[#This Row],[Product ID]],Product[#All],7,0)</f>
        <v>5260</v>
      </c>
      <c r="I2402" s="165">
        <f>Sales[[#This Row],[Selling Rate]]*Sales[[#This Row],[Qty]]</f>
        <v>36820</v>
      </c>
      <c r="J2402" s="45">
        <v>0.05</v>
      </c>
      <c r="K2402" s="46">
        <f>Sales[[#This Row],[Gross Amount]]*Sales[[#This Row],[Disc %]]</f>
        <v>1841</v>
      </c>
      <c r="L2402" s="43">
        <v>0.18</v>
      </c>
      <c r="M2402" s="46">
        <f>(Sales[[#This Row],[Gross Amount]]-Sales[[#This Row],[Disc. Amt.]])*Sales[[#This Row],[GST %]]</f>
        <v>6296.2199999999993</v>
      </c>
      <c r="N2402" s="161">
        <f>Sales[[#This Row],[Gross Amount]]-Sales[[#This Row],[Disc. Amt.]]+Sales[[#This Row],[GST Amount]]</f>
        <v>41275.22</v>
      </c>
      <c r="O2402" s="34" t="s">
        <v>3569</v>
      </c>
      <c r="P2402" s="34" t="s">
        <v>3562</v>
      </c>
      <c r="Q2402" s="165">
        <f>IF(Sales[[#This Row],[Status]]="Cancelled",0,Sales[[#This Row],[Qty]])</f>
        <v>7</v>
      </c>
      <c r="R2402" s="166">
        <f>IF(Sales[[#This Row],[Status]]="Cancelled",0,Sales[[#This Row],[Total Amount]])</f>
        <v>41275.22</v>
      </c>
      <c r="S2402" s="162">
        <f>SUM(Sales[Net Amount])</f>
        <v>406839287.73200053</v>
      </c>
    </row>
    <row r="2403" spans="1:19" ht="18.75" x14ac:dyDescent="0.25">
      <c r="A2403" s="156" t="s">
        <v>6029</v>
      </c>
      <c r="B2403" s="157">
        <v>45899</v>
      </c>
      <c r="C2403" s="158" t="s">
        <v>719</v>
      </c>
      <c r="D2403" s="159" t="str">
        <f>VLOOKUP(Sales[[#This Row],[Customer ID]],Customer[#All],2,0)</f>
        <v>Priya Verma</v>
      </c>
      <c r="E2403" s="158" t="s">
        <v>449</v>
      </c>
      <c r="F2403" s="158" t="str">
        <f>VLOOKUP(Sales[[#This Row],[Product ID]],Product[#All],2,0)</f>
        <v>Dell Monitor</v>
      </c>
      <c r="G2403" s="159">
        <v>4</v>
      </c>
      <c r="H2403" s="160">
        <f>VLOOKUP(Sales[[#This Row],[Product ID]],Product[#All],7,0)</f>
        <v>19520</v>
      </c>
      <c r="I2403" s="160">
        <f>Sales[[#This Row],[Selling Rate]]*Sales[[#This Row],[Qty]]</f>
        <v>78080</v>
      </c>
      <c r="J2403" s="43">
        <v>0.05</v>
      </c>
      <c r="K2403" s="44">
        <f>Sales[[#This Row],[Gross Amount]]*Sales[[#This Row],[Disc %]]</f>
        <v>3904</v>
      </c>
      <c r="L2403" s="43">
        <v>0.18</v>
      </c>
      <c r="M2403" s="44">
        <f>(Sales[[#This Row],[Gross Amount]]-Sales[[#This Row],[Disc. Amt.]])*Sales[[#This Row],[GST %]]</f>
        <v>13351.68</v>
      </c>
      <c r="N2403" s="161">
        <f>Sales[[#This Row],[Gross Amount]]-Sales[[#This Row],[Disc. Amt.]]+Sales[[#This Row],[GST Amount]]</f>
        <v>87527.679999999993</v>
      </c>
      <c r="O2403" s="158" t="s">
        <v>8876</v>
      </c>
      <c r="P2403" s="158" t="s">
        <v>3562</v>
      </c>
      <c r="Q2403" s="160">
        <f>IF(Sales[[#This Row],[Status]]="Cancelled",0,Sales[[#This Row],[Qty]])</f>
        <v>4</v>
      </c>
      <c r="R2403" s="161">
        <f>IF(Sales[[#This Row],[Status]]="Cancelled",0,Sales[[#This Row],[Total Amount]])</f>
        <v>87527.679999999993</v>
      </c>
      <c r="S2403" s="162">
        <f>SUM(Sales[Net Amount])</f>
        <v>406839287.73200053</v>
      </c>
    </row>
    <row r="2404" spans="1:19" ht="18.75" x14ac:dyDescent="0.25">
      <c r="A2404" s="163" t="s">
        <v>6030</v>
      </c>
      <c r="B2404" s="164">
        <v>45899</v>
      </c>
      <c r="C2404" s="34" t="s">
        <v>650</v>
      </c>
      <c r="D2404" s="53" t="str">
        <f>VLOOKUP(Sales[[#This Row],[Customer ID]],Customer[#All],2,0)</f>
        <v xml:space="preserve">Pooja Patel </v>
      </c>
      <c r="E2404" s="34" t="s">
        <v>366</v>
      </c>
      <c r="F2404" s="34" t="str">
        <f>VLOOKUP(Sales[[#This Row],[Product ID]],Product[#All],2,0)</f>
        <v>Samsung Ssd</v>
      </c>
      <c r="G2404" s="53">
        <v>4</v>
      </c>
      <c r="H2404" s="165">
        <f>VLOOKUP(Sales[[#This Row],[Product ID]],Product[#All],7,0)</f>
        <v>5140</v>
      </c>
      <c r="I2404" s="165">
        <f>Sales[[#This Row],[Selling Rate]]*Sales[[#This Row],[Qty]]</f>
        <v>20560</v>
      </c>
      <c r="J2404" s="45">
        <v>0</v>
      </c>
      <c r="K2404" s="46">
        <f>Sales[[#This Row],[Gross Amount]]*Sales[[#This Row],[Disc %]]</f>
        <v>0</v>
      </c>
      <c r="L2404" s="43">
        <v>0.18</v>
      </c>
      <c r="M2404" s="46">
        <f>(Sales[[#This Row],[Gross Amount]]-Sales[[#This Row],[Disc. Amt.]])*Sales[[#This Row],[GST %]]</f>
        <v>3700.7999999999997</v>
      </c>
      <c r="N2404" s="161">
        <f>Sales[[#This Row],[Gross Amount]]-Sales[[#This Row],[Disc. Amt.]]+Sales[[#This Row],[GST Amount]]</f>
        <v>24260.799999999999</v>
      </c>
      <c r="O2404" s="34" t="s">
        <v>3561</v>
      </c>
      <c r="P2404" s="34" t="s">
        <v>3562</v>
      </c>
      <c r="Q2404" s="165">
        <f>IF(Sales[[#This Row],[Status]]="Cancelled",0,Sales[[#This Row],[Qty]])</f>
        <v>4</v>
      </c>
      <c r="R2404" s="166">
        <f>IF(Sales[[#This Row],[Status]]="Cancelled",0,Sales[[#This Row],[Total Amount]])</f>
        <v>24260.799999999999</v>
      </c>
      <c r="S2404" s="162">
        <f>SUM(Sales[Net Amount])</f>
        <v>406839287.73200053</v>
      </c>
    </row>
    <row r="2405" spans="1:19" ht="18.75" x14ac:dyDescent="0.25">
      <c r="A2405" s="156" t="s">
        <v>6031</v>
      </c>
      <c r="B2405" s="157">
        <v>45899</v>
      </c>
      <c r="C2405" s="158" t="s">
        <v>909</v>
      </c>
      <c r="D2405" s="159" t="str">
        <f>VLOOKUP(Sales[[#This Row],[Customer ID]],Customer[#All],2,0)</f>
        <v>Priya Sharma</v>
      </c>
      <c r="E2405" s="158" t="s">
        <v>256</v>
      </c>
      <c r="F2405" s="158" t="str">
        <f>VLOOKUP(Sales[[#This Row],[Product ID]],Product[#All],2,0)</f>
        <v>HP Laptop</v>
      </c>
      <c r="G2405" s="159">
        <v>2</v>
      </c>
      <c r="H2405" s="160">
        <f>VLOOKUP(Sales[[#This Row],[Product ID]],Product[#All],7,0)</f>
        <v>106260</v>
      </c>
      <c r="I2405" s="160">
        <f>Sales[[#This Row],[Selling Rate]]*Sales[[#This Row],[Qty]]</f>
        <v>212520</v>
      </c>
      <c r="J2405" s="43">
        <v>0.12</v>
      </c>
      <c r="K2405" s="44">
        <f>Sales[[#This Row],[Gross Amount]]*Sales[[#This Row],[Disc %]]</f>
        <v>25502.399999999998</v>
      </c>
      <c r="L2405" s="43">
        <v>0.18</v>
      </c>
      <c r="M2405" s="44">
        <f>(Sales[[#This Row],[Gross Amount]]-Sales[[#This Row],[Disc. Amt.]])*Sales[[#This Row],[GST %]]</f>
        <v>33663.167999999998</v>
      </c>
      <c r="N2405" s="161">
        <f>Sales[[#This Row],[Gross Amount]]-Sales[[#This Row],[Disc. Amt.]]+Sales[[#This Row],[GST Amount]]</f>
        <v>220680.76800000001</v>
      </c>
      <c r="O2405" s="158" t="s">
        <v>3569</v>
      </c>
      <c r="P2405" s="158" t="s">
        <v>3562</v>
      </c>
      <c r="Q2405" s="160">
        <f>IF(Sales[[#This Row],[Status]]="Cancelled",0,Sales[[#This Row],[Qty]])</f>
        <v>2</v>
      </c>
      <c r="R2405" s="161">
        <f>IF(Sales[[#This Row],[Status]]="Cancelled",0,Sales[[#This Row],[Total Amount]])</f>
        <v>220680.76800000001</v>
      </c>
      <c r="S2405" s="162">
        <f>SUM(Sales[Net Amount])</f>
        <v>406839287.73200053</v>
      </c>
    </row>
    <row r="2406" spans="1:19" ht="18.75" x14ac:dyDescent="0.25">
      <c r="A2406" s="163" t="s">
        <v>6032</v>
      </c>
      <c r="B2406" s="164">
        <v>45899</v>
      </c>
      <c r="C2406" s="34" t="s">
        <v>778</v>
      </c>
      <c r="D2406" s="53" t="str">
        <f>VLOOKUP(Sales[[#This Row],[Customer ID]],Customer[#All],2,0)</f>
        <v>Ankit Gupta</v>
      </c>
      <c r="E2406" s="34" t="s">
        <v>201</v>
      </c>
      <c r="F2406" s="34" t="str">
        <f>VLOOKUP(Sales[[#This Row],[Product ID]],Product[#All],2,0)</f>
        <v>Jbl Headset</v>
      </c>
      <c r="G2406" s="53">
        <v>7</v>
      </c>
      <c r="H2406" s="165">
        <f>VLOOKUP(Sales[[#This Row],[Product ID]],Product[#All],7,0)</f>
        <v>2580</v>
      </c>
      <c r="I2406" s="165">
        <f>Sales[[#This Row],[Selling Rate]]*Sales[[#This Row],[Qty]]</f>
        <v>18060</v>
      </c>
      <c r="J2406" s="45">
        <v>0.12</v>
      </c>
      <c r="K2406" s="46">
        <f>Sales[[#This Row],[Gross Amount]]*Sales[[#This Row],[Disc %]]</f>
        <v>2167.1999999999998</v>
      </c>
      <c r="L2406" s="43">
        <v>0.18</v>
      </c>
      <c r="M2406" s="46">
        <f>(Sales[[#This Row],[Gross Amount]]-Sales[[#This Row],[Disc. Amt.]])*Sales[[#This Row],[GST %]]</f>
        <v>2860.7039999999997</v>
      </c>
      <c r="N2406" s="161">
        <f>Sales[[#This Row],[Gross Amount]]-Sales[[#This Row],[Disc. Amt.]]+Sales[[#This Row],[GST Amount]]</f>
        <v>18753.504000000001</v>
      </c>
      <c r="O2406" s="34" t="s">
        <v>3569</v>
      </c>
      <c r="P2406" s="34" t="s">
        <v>3562</v>
      </c>
      <c r="Q2406" s="165">
        <f>IF(Sales[[#This Row],[Status]]="Cancelled",0,Sales[[#This Row],[Qty]])</f>
        <v>7</v>
      </c>
      <c r="R2406" s="166">
        <f>IF(Sales[[#This Row],[Status]]="Cancelled",0,Sales[[#This Row],[Total Amount]])</f>
        <v>18753.504000000001</v>
      </c>
      <c r="S2406" s="162">
        <f>SUM(Sales[Net Amount])</f>
        <v>406839287.73200053</v>
      </c>
    </row>
    <row r="2407" spans="1:19" ht="18.75" x14ac:dyDescent="0.25">
      <c r="A2407" s="156" t="s">
        <v>6033</v>
      </c>
      <c r="B2407" s="157">
        <v>45899</v>
      </c>
      <c r="C2407" s="158" t="s">
        <v>847</v>
      </c>
      <c r="D2407" s="159" t="str">
        <f>VLOOKUP(Sales[[#This Row],[Customer ID]],Customer[#All],2,0)</f>
        <v>Ankit Gupta</v>
      </c>
      <c r="E2407" s="158" t="s">
        <v>62</v>
      </c>
      <c r="F2407" s="158" t="str">
        <f>VLOOKUP(Sales[[#This Row],[Product ID]],Product[#All],2,0)</f>
        <v>Apc UPS</v>
      </c>
      <c r="G2407" s="159">
        <v>6</v>
      </c>
      <c r="H2407" s="160">
        <f>VLOOKUP(Sales[[#This Row],[Product ID]],Product[#All],7,0)</f>
        <v>7270</v>
      </c>
      <c r="I2407" s="160">
        <f>Sales[[#This Row],[Selling Rate]]*Sales[[#This Row],[Qty]]</f>
        <v>43620</v>
      </c>
      <c r="J2407" s="43">
        <v>0.02</v>
      </c>
      <c r="K2407" s="44">
        <f>Sales[[#This Row],[Gross Amount]]*Sales[[#This Row],[Disc %]]</f>
        <v>872.4</v>
      </c>
      <c r="L2407" s="43">
        <v>0.18</v>
      </c>
      <c r="M2407" s="44">
        <f>(Sales[[#This Row],[Gross Amount]]-Sales[[#This Row],[Disc. Amt.]])*Sales[[#This Row],[GST %]]</f>
        <v>7694.5679999999993</v>
      </c>
      <c r="N2407" s="161">
        <f>Sales[[#This Row],[Gross Amount]]-Sales[[#This Row],[Disc. Amt.]]+Sales[[#This Row],[GST Amount]]</f>
        <v>50442.167999999998</v>
      </c>
      <c r="O2407" s="158" t="s">
        <v>8876</v>
      </c>
      <c r="P2407" s="158" t="s">
        <v>3562</v>
      </c>
      <c r="Q2407" s="160">
        <f>IF(Sales[[#This Row],[Status]]="Cancelled",0,Sales[[#This Row],[Qty]])</f>
        <v>6</v>
      </c>
      <c r="R2407" s="161">
        <f>IF(Sales[[#This Row],[Status]]="Cancelled",0,Sales[[#This Row],[Total Amount]])</f>
        <v>50442.167999999998</v>
      </c>
      <c r="S2407" s="162">
        <f>SUM(Sales[Net Amount])</f>
        <v>406839287.73200053</v>
      </c>
    </row>
    <row r="2408" spans="1:19" ht="18.75" x14ac:dyDescent="0.25">
      <c r="A2408" s="163" t="s">
        <v>6034</v>
      </c>
      <c r="B2408" s="164">
        <v>45899</v>
      </c>
      <c r="C2408" s="34" t="s">
        <v>703</v>
      </c>
      <c r="D2408" s="53" t="str">
        <f>VLOOKUP(Sales[[#This Row],[Customer ID]],Customer[#All],2,0)</f>
        <v>Rahul Singh</v>
      </c>
      <c r="E2408" s="34" t="s">
        <v>73</v>
      </c>
      <c r="F2408" s="34" t="str">
        <f>VLOOKUP(Sales[[#This Row],[Product ID]],Product[#All],2,0)</f>
        <v>TP-link Router</v>
      </c>
      <c r="G2408" s="53">
        <v>6</v>
      </c>
      <c r="H2408" s="165">
        <f>VLOOKUP(Sales[[#This Row],[Product ID]],Product[#All],7,0)</f>
        <v>1770</v>
      </c>
      <c r="I2408" s="165">
        <f>Sales[[#This Row],[Selling Rate]]*Sales[[#This Row],[Qty]]</f>
        <v>10620</v>
      </c>
      <c r="J2408" s="45">
        <v>0.1</v>
      </c>
      <c r="K2408" s="46">
        <f>Sales[[#This Row],[Gross Amount]]*Sales[[#This Row],[Disc %]]</f>
        <v>1062</v>
      </c>
      <c r="L2408" s="43">
        <v>0.18</v>
      </c>
      <c r="M2408" s="46">
        <f>(Sales[[#This Row],[Gross Amount]]-Sales[[#This Row],[Disc. Amt.]])*Sales[[#This Row],[GST %]]</f>
        <v>1720.4399999999998</v>
      </c>
      <c r="N2408" s="161">
        <f>Sales[[#This Row],[Gross Amount]]-Sales[[#This Row],[Disc. Amt.]]+Sales[[#This Row],[GST Amount]]</f>
        <v>11278.44</v>
      </c>
      <c r="O2408" s="34" t="s">
        <v>3569</v>
      </c>
      <c r="P2408" s="34" t="s">
        <v>3562</v>
      </c>
      <c r="Q2408" s="165">
        <f>IF(Sales[[#This Row],[Status]]="Cancelled",0,Sales[[#This Row],[Qty]])</f>
        <v>6</v>
      </c>
      <c r="R2408" s="166">
        <f>IF(Sales[[#This Row],[Status]]="Cancelled",0,Sales[[#This Row],[Total Amount]])</f>
        <v>11278.44</v>
      </c>
      <c r="S2408" s="162">
        <f>SUM(Sales[Net Amount])</f>
        <v>406839287.73200053</v>
      </c>
    </row>
    <row r="2409" spans="1:19" ht="18.75" x14ac:dyDescent="0.25">
      <c r="A2409" s="156" t="s">
        <v>6035</v>
      </c>
      <c r="B2409" s="157">
        <v>45899</v>
      </c>
      <c r="C2409" s="158" t="s">
        <v>813</v>
      </c>
      <c r="D2409" s="159" t="str">
        <f>VLOOKUP(Sales[[#This Row],[Customer ID]],Customer[#All],2,0)</f>
        <v>Neha Verma</v>
      </c>
      <c r="E2409" s="158" t="s">
        <v>436</v>
      </c>
      <c r="F2409" s="158" t="str">
        <f>VLOOKUP(Sales[[#This Row],[Product ID]],Product[#All],2,0)</f>
        <v>Amazon Basics Hdmi Cable</v>
      </c>
      <c r="G2409" s="159">
        <v>2</v>
      </c>
      <c r="H2409" s="160">
        <f>VLOOKUP(Sales[[#This Row],[Product ID]],Product[#All],7,0)</f>
        <v>860</v>
      </c>
      <c r="I2409" s="160">
        <f>Sales[[#This Row],[Selling Rate]]*Sales[[#This Row],[Qty]]</f>
        <v>1720</v>
      </c>
      <c r="J2409" s="43">
        <v>0.15</v>
      </c>
      <c r="K2409" s="44">
        <f>Sales[[#This Row],[Gross Amount]]*Sales[[#This Row],[Disc %]]</f>
        <v>258</v>
      </c>
      <c r="L2409" s="43">
        <v>0.18</v>
      </c>
      <c r="M2409" s="44">
        <f>(Sales[[#This Row],[Gross Amount]]-Sales[[#This Row],[Disc. Amt.]])*Sales[[#This Row],[GST %]]</f>
        <v>263.15999999999997</v>
      </c>
      <c r="N2409" s="161">
        <f>Sales[[#This Row],[Gross Amount]]-Sales[[#This Row],[Disc. Amt.]]+Sales[[#This Row],[GST Amount]]</f>
        <v>1725.1599999999999</v>
      </c>
      <c r="O2409" s="158" t="s">
        <v>3569</v>
      </c>
      <c r="P2409" s="158" t="s">
        <v>3562</v>
      </c>
      <c r="Q2409" s="160">
        <f>IF(Sales[[#This Row],[Status]]="Cancelled",0,Sales[[#This Row],[Qty]])</f>
        <v>2</v>
      </c>
      <c r="R2409" s="161">
        <f>IF(Sales[[#This Row],[Status]]="Cancelled",0,Sales[[#This Row],[Total Amount]])</f>
        <v>1725.1599999999999</v>
      </c>
      <c r="S2409" s="162">
        <f>SUM(Sales[Net Amount])</f>
        <v>406839287.73200053</v>
      </c>
    </row>
    <row r="2410" spans="1:19" ht="18.75" x14ac:dyDescent="0.25">
      <c r="A2410" s="163" t="s">
        <v>6036</v>
      </c>
      <c r="B2410" s="164">
        <v>45899</v>
      </c>
      <c r="C2410" s="34" t="s">
        <v>6037</v>
      </c>
      <c r="D2410" s="53" t="str">
        <f>VLOOKUP(Sales[[#This Row],[Customer ID]],Customer[#All],2,0)</f>
        <v>Sahil Gupta</v>
      </c>
      <c r="E2410" s="34" t="s">
        <v>193</v>
      </c>
      <c r="F2410" s="34" t="str">
        <f>VLOOKUP(Sales[[#This Row],[Product ID]],Product[#All],2,0)</f>
        <v>Apc UPS</v>
      </c>
      <c r="G2410" s="53">
        <v>4</v>
      </c>
      <c r="H2410" s="165">
        <f>VLOOKUP(Sales[[#This Row],[Product ID]],Product[#All],7,0)</f>
        <v>18760</v>
      </c>
      <c r="I2410" s="165">
        <f>Sales[[#This Row],[Selling Rate]]*Sales[[#This Row],[Qty]]</f>
        <v>75040</v>
      </c>
      <c r="J2410" s="45">
        <v>0.05</v>
      </c>
      <c r="K2410" s="46">
        <f>Sales[[#This Row],[Gross Amount]]*Sales[[#This Row],[Disc %]]</f>
        <v>3752</v>
      </c>
      <c r="L2410" s="43">
        <v>0.18</v>
      </c>
      <c r="M2410" s="46">
        <f>(Sales[[#This Row],[Gross Amount]]-Sales[[#This Row],[Disc. Amt.]])*Sales[[#This Row],[GST %]]</f>
        <v>12831.84</v>
      </c>
      <c r="N2410" s="161">
        <f>Sales[[#This Row],[Gross Amount]]-Sales[[#This Row],[Disc. Amt.]]+Sales[[#This Row],[GST Amount]]</f>
        <v>84119.84</v>
      </c>
      <c r="O2410" s="34" t="s">
        <v>3561</v>
      </c>
      <c r="P2410" s="34" t="s">
        <v>3562</v>
      </c>
      <c r="Q2410" s="165">
        <f>IF(Sales[[#This Row],[Status]]="Cancelled",0,Sales[[#This Row],[Qty]])</f>
        <v>4</v>
      </c>
      <c r="R2410" s="166">
        <f>IF(Sales[[#This Row],[Status]]="Cancelled",0,Sales[[#This Row],[Total Amount]])</f>
        <v>84119.84</v>
      </c>
      <c r="S2410" s="162">
        <f>SUM(Sales[Net Amount])</f>
        <v>406839287.73200053</v>
      </c>
    </row>
    <row r="2411" spans="1:19" ht="18.75" x14ac:dyDescent="0.25">
      <c r="A2411" s="156" t="s">
        <v>6038</v>
      </c>
      <c r="B2411" s="157">
        <v>45899</v>
      </c>
      <c r="C2411" s="158" t="s">
        <v>668</v>
      </c>
      <c r="D2411" s="159" t="str">
        <f>VLOOKUP(Sales[[#This Row],[Customer ID]],Customer[#All],2,0)</f>
        <v>Rahul Patel</v>
      </c>
      <c r="E2411" s="158" t="s">
        <v>220</v>
      </c>
      <c r="F2411" s="158" t="str">
        <f>VLOOKUP(Sales[[#This Row],[Product ID]],Product[#All],2,0)</f>
        <v>HP Desktop</v>
      </c>
      <c r="G2411" s="159">
        <v>6</v>
      </c>
      <c r="H2411" s="160">
        <f>VLOOKUP(Sales[[#This Row],[Product ID]],Product[#All],7,0)</f>
        <v>40570</v>
      </c>
      <c r="I2411" s="160">
        <f>Sales[[#This Row],[Selling Rate]]*Sales[[#This Row],[Qty]]</f>
        <v>243420</v>
      </c>
      <c r="J2411" s="43">
        <v>0</v>
      </c>
      <c r="K2411" s="44">
        <f>Sales[[#This Row],[Gross Amount]]*Sales[[#This Row],[Disc %]]</f>
        <v>0</v>
      </c>
      <c r="L2411" s="43">
        <v>0.18</v>
      </c>
      <c r="M2411" s="44">
        <f>(Sales[[#This Row],[Gross Amount]]-Sales[[#This Row],[Disc. Amt.]])*Sales[[#This Row],[GST %]]</f>
        <v>43815.6</v>
      </c>
      <c r="N2411" s="161">
        <f>Sales[[#This Row],[Gross Amount]]-Sales[[#This Row],[Disc. Amt.]]+Sales[[#This Row],[GST Amount]]</f>
        <v>287235.59999999998</v>
      </c>
      <c r="O2411" s="158" t="s">
        <v>8876</v>
      </c>
      <c r="P2411" s="158" t="s">
        <v>3562</v>
      </c>
      <c r="Q2411" s="160">
        <f>IF(Sales[[#This Row],[Status]]="Cancelled",0,Sales[[#This Row],[Qty]])</f>
        <v>6</v>
      </c>
      <c r="R2411" s="161">
        <f>IF(Sales[[#This Row],[Status]]="Cancelled",0,Sales[[#This Row],[Total Amount]])</f>
        <v>287235.59999999998</v>
      </c>
      <c r="S2411" s="162">
        <f>SUM(Sales[Net Amount])</f>
        <v>406839287.73200053</v>
      </c>
    </row>
    <row r="2412" spans="1:19" ht="18.75" x14ac:dyDescent="0.25">
      <c r="A2412" s="163" t="s">
        <v>6039</v>
      </c>
      <c r="B2412" s="164">
        <v>45900</v>
      </c>
      <c r="C2412" s="34" t="s">
        <v>650</v>
      </c>
      <c r="D2412" s="53" t="str">
        <f>VLOOKUP(Sales[[#This Row],[Customer ID]],Customer[#All],2,0)</f>
        <v xml:space="preserve">Pooja Patel </v>
      </c>
      <c r="E2412" s="34" t="s">
        <v>248</v>
      </c>
      <c r="F2412" s="34" t="str">
        <f>VLOOKUP(Sales[[#This Row],[Product ID]],Product[#All],2,0)</f>
        <v>Amazon Basics Hdmi Cable</v>
      </c>
      <c r="G2412" s="53">
        <v>6</v>
      </c>
      <c r="H2412" s="165">
        <f>VLOOKUP(Sales[[#This Row],[Product ID]],Product[#All],7,0)</f>
        <v>980</v>
      </c>
      <c r="I2412" s="165">
        <f>Sales[[#This Row],[Selling Rate]]*Sales[[#This Row],[Qty]]</f>
        <v>5880</v>
      </c>
      <c r="J2412" s="45">
        <v>0.05</v>
      </c>
      <c r="K2412" s="46">
        <f>Sales[[#This Row],[Gross Amount]]*Sales[[#This Row],[Disc %]]</f>
        <v>294</v>
      </c>
      <c r="L2412" s="43">
        <v>0.18</v>
      </c>
      <c r="M2412" s="46">
        <f>(Sales[[#This Row],[Gross Amount]]-Sales[[#This Row],[Disc. Amt.]])*Sales[[#This Row],[GST %]]</f>
        <v>1005.48</v>
      </c>
      <c r="N2412" s="161">
        <f>Sales[[#This Row],[Gross Amount]]-Sales[[#This Row],[Disc. Amt.]]+Sales[[#This Row],[GST Amount]]</f>
        <v>6591.48</v>
      </c>
      <c r="O2412" s="34" t="s">
        <v>3566</v>
      </c>
      <c r="P2412" s="34" t="s">
        <v>3562</v>
      </c>
      <c r="Q2412" s="165">
        <f>IF(Sales[[#This Row],[Status]]="Cancelled",0,Sales[[#This Row],[Qty]])</f>
        <v>6</v>
      </c>
      <c r="R2412" s="166">
        <f>IF(Sales[[#This Row],[Status]]="Cancelled",0,Sales[[#This Row],[Total Amount]])</f>
        <v>6591.48</v>
      </c>
      <c r="S2412" s="162">
        <f>SUM(Sales[Net Amount])</f>
        <v>406839287.73200053</v>
      </c>
    </row>
    <row r="2413" spans="1:19" ht="18.75" x14ac:dyDescent="0.25">
      <c r="A2413" s="156" t="s">
        <v>6040</v>
      </c>
      <c r="B2413" s="157">
        <v>45900</v>
      </c>
      <c r="C2413" s="158" t="s">
        <v>721</v>
      </c>
      <c r="D2413" s="159" t="str">
        <f>VLOOKUP(Sales[[#This Row],[Customer ID]],Customer[#All],2,0)</f>
        <v>Sahil Sharma</v>
      </c>
      <c r="E2413" s="158" t="s">
        <v>401</v>
      </c>
      <c r="F2413" s="158" t="str">
        <f>VLOOKUP(Sales[[#This Row],[Product ID]],Product[#All],2,0)</f>
        <v>Amazon Basics Hdmi Cable</v>
      </c>
      <c r="G2413" s="159">
        <v>5</v>
      </c>
      <c r="H2413" s="160">
        <f>VLOOKUP(Sales[[#This Row],[Product ID]],Product[#All],7,0)</f>
        <v>670</v>
      </c>
      <c r="I2413" s="160">
        <f>Sales[[#This Row],[Selling Rate]]*Sales[[#This Row],[Qty]]</f>
        <v>3350</v>
      </c>
      <c r="J2413" s="43">
        <v>0.02</v>
      </c>
      <c r="K2413" s="44">
        <f>Sales[[#This Row],[Gross Amount]]*Sales[[#This Row],[Disc %]]</f>
        <v>67</v>
      </c>
      <c r="L2413" s="43">
        <v>0.18</v>
      </c>
      <c r="M2413" s="44">
        <f>(Sales[[#This Row],[Gross Amount]]-Sales[[#This Row],[Disc. Amt.]])*Sales[[#This Row],[GST %]]</f>
        <v>590.93999999999994</v>
      </c>
      <c r="N2413" s="161">
        <f>Sales[[#This Row],[Gross Amount]]-Sales[[#This Row],[Disc. Amt.]]+Sales[[#This Row],[GST Amount]]</f>
        <v>3873.94</v>
      </c>
      <c r="O2413" s="158" t="s">
        <v>3569</v>
      </c>
      <c r="P2413" s="158" t="s">
        <v>3562</v>
      </c>
      <c r="Q2413" s="160">
        <f>IF(Sales[[#This Row],[Status]]="Cancelled",0,Sales[[#This Row],[Qty]])</f>
        <v>5</v>
      </c>
      <c r="R2413" s="161">
        <f>IF(Sales[[#This Row],[Status]]="Cancelled",0,Sales[[#This Row],[Total Amount]])</f>
        <v>3873.94</v>
      </c>
      <c r="S2413" s="162">
        <f>SUM(Sales[Net Amount])</f>
        <v>406839287.73200053</v>
      </c>
    </row>
    <row r="2414" spans="1:19" ht="18.75" x14ac:dyDescent="0.25">
      <c r="A2414" s="163" t="s">
        <v>6041</v>
      </c>
      <c r="B2414" s="164">
        <v>45900</v>
      </c>
      <c r="C2414" s="34" t="s">
        <v>809</v>
      </c>
      <c r="D2414" s="53" t="str">
        <f>VLOOKUP(Sales[[#This Row],[Customer ID]],Customer[#All],2,0)</f>
        <v>Priya Patel</v>
      </c>
      <c r="E2414" s="34" t="s">
        <v>488</v>
      </c>
      <c r="F2414" s="34" t="str">
        <f>VLOOKUP(Sales[[#This Row],[Product ID]],Product[#All],2,0)</f>
        <v>Samsung Monitor</v>
      </c>
      <c r="G2414" s="53">
        <v>8</v>
      </c>
      <c r="H2414" s="165">
        <f>VLOOKUP(Sales[[#This Row],[Product ID]],Product[#All],7,0)</f>
        <v>32720</v>
      </c>
      <c r="I2414" s="165">
        <f>Sales[[#This Row],[Selling Rate]]*Sales[[#This Row],[Qty]]</f>
        <v>261760</v>
      </c>
      <c r="J2414" s="45">
        <v>0.12</v>
      </c>
      <c r="K2414" s="46">
        <f>Sales[[#This Row],[Gross Amount]]*Sales[[#This Row],[Disc %]]</f>
        <v>31411.199999999997</v>
      </c>
      <c r="L2414" s="43">
        <v>0.18</v>
      </c>
      <c r="M2414" s="46">
        <f>(Sales[[#This Row],[Gross Amount]]-Sales[[#This Row],[Disc. Amt.]])*Sales[[#This Row],[GST %]]</f>
        <v>41462.784</v>
      </c>
      <c r="N2414" s="161">
        <f>Sales[[#This Row],[Gross Amount]]-Sales[[#This Row],[Disc. Amt.]]+Sales[[#This Row],[GST Amount]]</f>
        <v>271811.58399999997</v>
      </c>
      <c r="O2414" s="34" t="s">
        <v>8876</v>
      </c>
      <c r="P2414" s="34" t="s">
        <v>3562</v>
      </c>
      <c r="Q2414" s="165">
        <f>IF(Sales[[#This Row],[Status]]="Cancelled",0,Sales[[#This Row],[Qty]])</f>
        <v>8</v>
      </c>
      <c r="R2414" s="166">
        <f>IF(Sales[[#This Row],[Status]]="Cancelled",0,Sales[[#This Row],[Total Amount]])</f>
        <v>271811.58399999997</v>
      </c>
      <c r="S2414" s="162">
        <f>SUM(Sales[Net Amount])</f>
        <v>406839287.73200053</v>
      </c>
    </row>
    <row r="2415" spans="1:19" ht="18.75" x14ac:dyDescent="0.25">
      <c r="A2415" s="156" t="s">
        <v>6042</v>
      </c>
      <c r="B2415" s="157">
        <v>45900</v>
      </c>
      <c r="C2415" s="158" t="s">
        <v>838</v>
      </c>
      <c r="D2415" s="159" t="str">
        <f>VLOOKUP(Sales[[#This Row],[Customer ID]],Customer[#All],2,0)</f>
        <v>Priya Gupta</v>
      </c>
      <c r="E2415" s="158" t="s">
        <v>267</v>
      </c>
      <c r="F2415" s="158" t="str">
        <f>VLOOKUP(Sales[[#This Row],[Product ID]],Product[#All],2,0)</f>
        <v>Boat Speaker</v>
      </c>
      <c r="G2415" s="159">
        <v>6</v>
      </c>
      <c r="H2415" s="160">
        <f>VLOOKUP(Sales[[#This Row],[Product ID]],Product[#All],7,0)</f>
        <v>2230</v>
      </c>
      <c r="I2415" s="160">
        <f>Sales[[#This Row],[Selling Rate]]*Sales[[#This Row],[Qty]]</f>
        <v>13380</v>
      </c>
      <c r="J2415" s="43">
        <v>0.05</v>
      </c>
      <c r="K2415" s="44">
        <f>Sales[[#This Row],[Gross Amount]]*Sales[[#This Row],[Disc %]]</f>
        <v>669</v>
      </c>
      <c r="L2415" s="43">
        <v>0.18</v>
      </c>
      <c r="M2415" s="44">
        <f>(Sales[[#This Row],[Gross Amount]]-Sales[[#This Row],[Disc. Amt.]])*Sales[[#This Row],[GST %]]</f>
        <v>2287.98</v>
      </c>
      <c r="N2415" s="161">
        <f>Sales[[#This Row],[Gross Amount]]-Sales[[#This Row],[Disc. Amt.]]+Sales[[#This Row],[GST Amount]]</f>
        <v>14998.98</v>
      </c>
      <c r="O2415" s="158" t="s">
        <v>8876</v>
      </c>
      <c r="P2415" s="158" t="s">
        <v>3562</v>
      </c>
      <c r="Q2415" s="160">
        <f>IF(Sales[[#This Row],[Status]]="Cancelled",0,Sales[[#This Row],[Qty]])</f>
        <v>6</v>
      </c>
      <c r="R2415" s="161">
        <f>IF(Sales[[#This Row],[Status]]="Cancelled",0,Sales[[#This Row],[Total Amount]])</f>
        <v>14998.98</v>
      </c>
      <c r="S2415" s="162">
        <f>SUM(Sales[Net Amount])</f>
        <v>406839287.73200053</v>
      </c>
    </row>
    <row r="2416" spans="1:19" ht="18.75" x14ac:dyDescent="0.25">
      <c r="A2416" s="163" t="s">
        <v>6043</v>
      </c>
      <c r="B2416" s="164">
        <v>45900</v>
      </c>
      <c r="C2416" s="34" t="s">
        <v>650</v>
      </c>
      <c r="D2416" s="53" t="str">
        <f>VLOOKUP(Sales[[#This Row],[Customer ID]],Customer[#All],2,0)</f>
        <v xml:space="preserve">Pooja Patel </v>
      </c>
      <c r="E2416" s="34" t="s">
        <v>453</v>
      </c>
      <c r="F2416" s="34" t="str">
        <f>VLOOKUP(Sales[[#This Row],[Product ID]],Product[#All],2,0)</f>
        <v>American TouristerLaptopBag</v>
      </c>
      <c r="G2416" s="53">
        <v>2</v>
      </c>
      <c r="H2416" s="165">
        <f>VLOOKUP(Sales[[#This Row],[Product ID]],Product[#All],7,0)</f>
        <v>3050</v>
      </c>
      <c r="I2416" s="165">
        <f>Sales[[#This Row],[Selling Rate]]*Sales[[#This Row],[Qty]]</f>
        <v>6100</v>
      </c>
      <c r="J2416" s="45">
        <v>0</v>
      </c>
      <c r="K2416" s="46">
        <f>Sales[[#This Row],[Gross Amount]]*Sales[[#This Row],[Disc %]]</f>
        <v>0</v>
      </c>
      <c r="L2416" s="43">
        <v>0.18</v>
      </c>
      <c r="M2416" s="46">
        <f>(Sales[[#This Row],[Gross Amount]]-Sales[[#This Row],[Disc. Amt.]])*Sales[[#This Row],[GST %]]</f>
        <v>1098</v>
      </c>
      <c r="N2416" s="161">
        <f>Sales[[#This Row],[Gross Amount]]-Sales[[#This Row],[Disc. Amt.]]+Sales[[#This Row],[GST Amount]]</f>
        <v>7198</v>
      </c>
      <c r="O2416" s="34" t="s">
        <v>8876</v>
      </c>
      <c r="P2416" s="34" t="s">
        <v>3562</v>
      </c>
      <c r="Q2416" s="165">
        <f>IF(Sales[[#This Row],[Status]]="Cancelled",0,Sales[[#This Row],[Qty]])</f>
        <v>2</v>
      </c>
      <c r="R2416" s="166">
        <f>IF(Sales[[#This Row],[Status]]="Cancelled",0,Sales[[#This Row],[Total Amount]])</f>
        <v>7198</v>
      </c>
      <c r="S2416" s="162">
        <f>SUM(Sales[Net Amount])</f>
        <v>406839287.73200053</v>
      </c>
    </row>
    <row r="2417" spans="1:19" ht="18.75" x14ac:dyDescent="0.25">
      <c r="A2417" s="156" t="s">
        <v>6044</v>
      </c>
      <c r="B2417" s="157">
        <v>45900</v>
      </c>
      <c r="C2417" s="158" t="s">
        <v>876</v>
      </c>
      <c r="D2417" s="159" t="str">
        <f>VLOOKUP(Sales[[#This Row],[Customer ID]],Customer[#All],2,0)</f>
        <v>Sahil Verma</v>
      </c>
      <c r="E2417" s="158" t="s">
        <v>84</v>
      </c>
      <c r="F2417" s="158" t="str">
        <f>VLOOKUP(Sales[[#This Row],[Product ID]],Product[#All],2,0)</f>
        <v>HP Mouse</v>
      </c>
      <c r="G2417" s="159">
        <v>4</v>
      </c>
      <c r="H2417" s="160">
        <f>VLOOKUP(Sales[[#This Row],[Product ID]],Product[#All],7,0)</f>
        <v>1240</v>
      </c>
      <c r="I2417" s="160">
        <f>Sales[[#This Row],[Selling Rate]]*Sales[[#This Row],[Qty]]</f>
        <v>4960</v>
      </c>
      <c r="J2417" s="43">
        <v>0.02</v>
      </c>
      <c r="K2417" s="44">
        <f>Sales[[#This Row],[Gross Amount]]*Sales[[#This Row],[Disc %]]</f>
        <v>99.2</v>
      </c>
      <c r="L2417" s="43">
        <v>0.18</v>
      </c>
      <c r="M2417" s="44">
        <f>(Sales[[#This Row],[Gross Amount]]-Sales[[#This Row],[Disc. Amt.]])*Sales[[#This Row],[GST %]]</f>
        <v>874.94399999999996</v>
      </c>
      <c r="N2417" s="161">
        <f>Sales[[#This Row],[Gross Amount]]-Sales[[#This Row],[Disc. Amt.]]+Sales[[#This Row],[GST Amount]]</f>
        <v>5735.7440000000006</v>
      </c>
      <c r="O2417" s="158" t="s">
        <v>3569</v>
      </c>
      <c r="P2417" s="158" t="s">
        <v>3562</v>
      </c>
      <c r="Q2417" s="160">
        <f>IF(Sales[[#This Row],[Status]]="Cancelled",0,Sales[[#This Row],[Qty]])</f>
        <v>4</v>
      </c>
      <c r="R2417" s="161">
        <f>IF(Sales[[#This Row],[Status]]="Cancelled",0,Sales[[#This Row],[Total Amount]])</f>
        <v>5735.7440000000006</v>
      </c>
      <c r="S2417" s="162">
        <f>SUM(Sales[Net Amount])</f>
        <v>406839287.73200053</v>
      </c>
    </row>
    <row r="2418" spans="1:19" ht="18.75" x14ac:dyDescent="0.25">
      <c r="A2418" s="163" t="s">
        <v>6045</v>
      </c>
      <c r="B2418" s="164">
        <v>45900</v>
      </c>
      <c r="C2418" s="34" t="s">
        <v>750</v>
      </c>
      <c r="D2418" s="53" t="str">
        <f>VLOOKUP(Sales[[#This Row],[Customer ID]],Customer[#All],2,0)</f>
        <v>Rakesh Verma</v>
      </c>
      <c r="E2418" s="34" t="s">
        <v>136</v>
      </c>
      <c r="F2418" s="34" t="str">
        <f>VLOOKUP(Sales[[#This Row],[Product ID]],Product[#All],2,0)</f>
        <v>HP Laptop</v>
      </c>
      <c r="G2418" s="53">
        <v>3</v>
      </c>
      <c r="H2418" s="165">
        <f>VLOOKUP(Sales[[#This Row],[Product ID]],Product[#All],7,0)</f>
        <v>33050</v>
      </c>
      <c r="I2418" s="165">
        <f>Sales[[#This Row],[Selling Rate]]*Sales[[#This Row],[Qty]]</f>
        <v>99150</v>
      </c>
      <c r="J2418" s="45">
        <v>0</v>
      </c>
      <c r="K2418" s="46">
        <f>Sales[[#This Row],[Gross Amount]]*Sales[[#This Row],[Disc %]]</f>
        <v>0</v>
      </c>
      <c r="L2418" s="43">
        <v>0.18</v>
      </c>
      <c r="M2418" s="46">
        <f>(Sales[[#This Row],[Gross Amount]]-Sales[[#This Row],[Disc. Amt.]])*Sales[[#This Row],[GST %]]</f>
        <v>17847</v>
      </c>
      <c r="N2418" s="161">
        <f>Sales[[#This Row],[Gross Amount]]-Sales[[#This Row],[Disc. Amt.]]+Sales[[#This Row],[GST Amount]]</f>
        <v>116997</v>
      </c>
      <c r="O2418" s="34" t="s">
        <v>8876</v>
      </c>
      <c r="P2418" s="34" t="s">
        <v>3562</v>
      </c>
      <c r="Q2418" s="165">
        <f>IF(Sales[[#This Row],[Status]]="Cancelled",0,Sales[[#This Row],[Qty]])</f>
        <v>3</v>
      </c>
      <c r="R2418" s="166">
        <f>IF(Sales[[#This Row],[Status]]="Cancelled",0,Sales[[#This Row],[Total Amount]])</f>
        <v>116997</v>
      </c>
      <c r="S2418" s="162">
        <f>SUM(Sales[Net Amount])</f>
        <v>406839287.73200053</v>
      </c>
    </row>
    <row r="2419" spans="1:19" ht="18.75" x14ac:dyDescent="0.25">
      <c r="A2419" s="156" t="s">
        <v>6046</v>
      </c>
      <c r="B2419" s="157">
        <v>45900</v>
      </c>
      <c r="C2419" s="158" t="s">
        <v>878</v>
      </c>
      <c r="D2419" s="159" t="str">
        <f>VLOOKUP(Sales[[#This Row],[Customer ID]],Customer[#All],2,0)</f>
        <v>Rahul Singh</v>
      </c>
      <c r="E2419" s="158" t="s">
        <v>357</v>
      </c>
      <c r="F2419" s="158" t="str">
        <f>VLOOKUP(Sales[[#This Row],[Product ID]],Product[#All],2,0)</f>
        <v>Samsung Ssd</v>
      </c>
      <c r="G2419" s="159">
        <v>5</v>
      </c>
      <c r="H2419" s="160">
        <f>VLOOKUP(Sales[[#This Row],[Product ID]],Product[#All],7,0)</f>
        <v>9070</v>
      </c>
      <c r="I2419" s="160">
        <f>Sales[[#This Row],[Selling Rate]]*Sales[[#This Row],[Qty]]</f>
        <v>45350</v>
      </c>
      <c r="J2419" s="43">
        <v>0.02</v>
      </c>
      <c r="K2419" s="44">
        <f>Sales[[#This Row],[Gross Amount]]*Sales[[#This Row],[Disc %]]</f>
        <v>907</v>
      </c>
      <c r="L2419" s="43">
        <v>0.18</v>
      </c>
      <c r="M2419" s="44">
        <f>(Sales[[#This Row],[Gross Amount]]-Sales[[#This Row],[Disc. Amt.]])*Sales[[#This Row],[GST %]]</f>
        <v>7999.74</v>
      </c>
      <c r="N2419" s="161">
        <f>Sales[[#This Row],[Gross Amount]]-Sales[[#This Row],[Disc. Amt.]]+Sales[[#This Row],[GST Amount]]</f>
        <v>52442.74</v>
      </c>
      <c r="O2419" s="158" t="s">
        <v>8876</v>
      </c>
      <c r="P2419" s="158" t="s">
        <v>3562</v>
      </c>
      <c r="Q2419" s="160">
        <f>IF(Sales[[#This Row],[Status]]="Cancelled",0,Sales[[#This Row],[Qty]])</f>
        <v>5</v>
      </c>
      <c r="R2419" s="161">
        <f>IF(Sales[[#This Row],[Status]]="Cancelled",0,Sales[[#This Row],[Total Amount]])</f>
        <v>52442.74</v>
      </c>
      <c r="S2419" s="162">
        <f>SUM(Sales[Net Amount])</f>
        <v>406839287.73200053</v>
      </c>
    </row>
    <row r="2420" spans="1:19" ht="18.75" x14ac:dyDescent="0.25">
      <c r="A2420" s="163" t="s">
        <v>6047</v>
      </c>
      <c r="B2420" s="164">
        <v>45900</v>
      </c>
      <c r="C2420" s="34" t="s">
        <v>934</v>
      </c>
      <c r="D2420" s="53" t="str">
        <f>VLOOKUP(Sales[[#This Row],[Customer ID]],Customer[#All],2,0)</f>
        <v>Pooja Singh</v>
      </c>
      <c r="E2420" s="34" t="s">
        <v>510</v>
      </c>
      <c r="F2420" s="34" t="str">
        <f>VLOOKUP(Sales[[#This Row],[Product ID]],Product[#All],2,0)</f>
        <v>American TouristerLaptopBag</v>
      </c>
      <c r="G2420" s="53">
        <v>7</v>
      </c>
      <c r="H2420" s="165">
        <f>VLOOKUP(Sales[[#This Row],[Product ID]],Product[#All],7,0)</f>
        <v>5010</v>
      </c>
      <c r="I2420" s="165">
        <f>Sales[[#This Row],[Selling Rate]]*Sales[[#This Row],[Qty]]</f>
        <v>35070</v>
      </c>
      <c r="J2420" s="45">
        <v>0</v>
      </c>
      <c r="K2420" s="46">
        <f>Sales[[#This Row],[Gross Amount]]*Sales[[#This Row],[Disc %]]</f>
        <v>0</v>
      </c>
      <c r="L2420" s="43">
        <v>0.18</v>
      </c>
      <c r="M2420" s="46">
        <f>(Sales[[#This Row],[Gross Amount]]-Sales[[#This Row],[Disc. Amt.]])*Sales[[#This Row],[GST %]]</f>
        <v>6312.5999999999995</v>
      </c>
      <c r="N2420" s="161">
        <f>Sales[[#This Row],[Gross Amount]]-Sales[[#This Row],[Disc. Amt.]]+Sales[[#This Row],[GST Amount]]</f>
        <v>41382.6</v>
      </c>
      <c r="O2420" s="34" t="s">
        <v>8876</v>
      </c>
      <c r="P2420" s="34" t="s">
        <v>3562</v>
      </c>
      <c r="Q2420" s="165">
        <f>IF(Sales[[#This Row],[Status]]="Cancelled",0,Sales[[#This Row],[Qty]])</f>
        <v>7</v>
      </c>
      <c r="R2420" s="166">
        <f>IF(Sales[[#This Row],[Status]]="Cancelled",0,Sales[[#This Row],[Total Amount]])</f>
        <v>41382.6</v>
      </c>
      <c r="S2420" s="162">
        <f>SUM(Sales[Net Amount])</f>
        <v>406839287.73200053</v>
      </c>
    </row>
    <row r="2421" spans="1:19" ht="18.75" x14ac:dyDescent="0.25">
      <c r="A2421" s="156" t="s">
        <v>6048</v>
      </c>
      <c r="B2421" s="157">
        <v>45900</v>
      </c>
      <c r="C2421" s="158" t="s">
        <v>4655</v>
      </c>
      <c r="D2421" s="159" t="str">
        <f>VLOOKUP(Sales[[#This Row],[Customer ID]],Customer[#All],2,0)</f>
        <v>Sunita Sharma</v>
      </c>
      <c r="E2421" s="158" t="s">
        <v>422</v>
      </c>
      <c r="F2421" s="158" t="str">
        <f>VLOOKUP(Sales[[#This Row],[Product ID]],Product[#All],2,0)</f>
        <v>Microtek UPS</v>
      </c>
      <c r="G2421" s="159">
        <v>1</v>
      </c>
      <c r="H2421" s="160">
        <f>VLOOKUP(Sales[[#This Row],[Product ID]],Product[#All],7,0)</f>
        <v>6450</v>
      </c>
      <c r="I2421" s="160">
        <f>Sales[[#This Row],[Selling Rate]]*Sales[[#This Row],[Qty]]</f>
        <v>6450</v>
      </c>
      <c r="J2421" s="43">
        <v>0.05</v>
      </c>
      <c r="K2421" s="44">
        <f>Sales[[#This Row],[Gross Amount]]*Sales[[#This Row],[Disc %]]</f>
        <v>322.5</v>
      </c>
      <c r="L2421" s="43">
        <v>0.18</v>
      </c>
      <c r="M2421" s="44">
        <f>(Sales[[#This Row],[Gross Amount]]-Sales[[#This Row],[Disc. Amt.]])*Sales[[#This Row],[GST %]]</f>
        <v>1102.95</v>
      </c>
      <c r="N2421" s="161">
        <f>Sales[[#This Row],[Gross Amount]]-Sales[[#This Row],[Disc. Amt.]]+Sales[[#This Row],[GST Amount]]</f>
        <v>7230.45</v>
      </c>
      <c r="O2421" s="158" t="s">
        <v>3569</v>
      </c>
      <c r="P2421" s="158" t="s">
        <v>3562</v>
      </c>
      <c r="Q2421" s="160">
        <f>IF(Sales[[#This Row],[Status]]="Cancelled",0,Sales[[#This Row],[Qty]])</f>
        <v>1</v>
      </c>
      <c r="R2421" s="161">
        <f>IF(Sales[[#This Row],[Status]]="Cancelled",0,Sales[[#This Row],[Total Amount]])</f>
        <v>7230.45</v>
      </c>
      <c r="S2421" s="162">
        <f>SUM(Sales[Net Amount])</f>
        <v>406839287.73200053</v>
      </c>
    </row>
    <row r="2422" spans="1:19" ht="18.75" x14ac:dyDescent="0.25">
      <c r="A2422" s="163" t="s">
        <v>6049</v>
      </c>
      <c r="B2422" s="164">
        <v>45900</v>
      </c>
      <c r="C2422" s="34" t="s">
        <v>926</v>
      </c>
      <c r="D2422" s="53" t="str">
        <f>VLOOKUP(Sales[[#This Row],[Customer ID]],Customer[#All],2,0)</f>
        <v>Pooja Singh</v>
      </c>
      <c r="E2422" s="34" t="s">
        <v>413</v>
      </c>
      <c r="F2422" s="34" t="str">
        <f>VLOOKUP(Sales[[#This Row],[Product ID]],Product[#All],2,0)</f>
        <v>Crucial Ssd</v>
      </c>
      <c r="G2422" s="53">
        <v>3</v>
      </c>
      <c r="H2422" s="165">
        <f>VLOOKUP(Sales[[#This Row],[Product ID]],Product[#All],7,0)</f>
        <v>10780</v>
      </c>
      <c r="I2422" s="165">
        <f>Sales[[#This Row],[Selling Rate]]*Sales[[#This Row],[Qty]]</f>
        <v>32340</v>
      </c>
      <c r="J2422" s="45">
        <v>0.05</v>
      </c>
      <c r="K2422" s="46">
        <f>Sales[[#This Row],[Gross Amount]]*Sales[[#This Row],[Disc %]]</f>
        <v>1617</v>
      </c>
      <c r="L2422" s="43">
        <v>0.18</v>
      </c>
      <c r="M2422" s="46">
        <f>(Sales[[#This Row],[Gross Amount]]-Sales[[#This Row],[Disc. Amt.]])*Sales[[#This Row],[GST %]]</f>
        <v>5530.1399999999994</v>
      </c>
      <c r="N2422" s="161">
        <f>Sales[[#This Row],[Gross Amount]]-Sales[[#This Row],[Disc. Amt.]]+Sales[[#This Row],[GST Amount]]</f>
        <v>36253.14</v>
      </c>
      <c r="O2422" s="34" t="s">
        <v>3566</v>
      </c>
      <c r="P2422" s="34" t="s">
        <v>3562</v>
      </c>
      <c r="Q2422" s="165">
        <f>IF(Sales[[#This Row],[Status]]="Cancelled",0,Sales[[#This Row],[Qty]])</f>
        <v>3</v>
      </c>
      <c r="R2422" s="166">
        <f>IF(Sales[[#This Row],[Status]]="Cancelled",0,Sales[[#This Row],[Total Amount]])</f>
        <v>36253.14</v>
      </c>
      <c r="S2422" s="162">
        <f>SUM(Sales[Net Amount])</f>
        <v>406839287.73200053</v>
      </c>
    </row>
    <row r="2423" spans="1:19" ht="18.75" x14ac:dyDescent="0.25">
      <c r="A2423" s="156" t="s">
        <v>6050</v>
      </c>
      <c r="B2423" s="157">
        <v>45900</v>
      </c>
      <c r="C2423" s="158" t="s">
        <v>860</v>
      </c>
      <c r="D2423" s="159" t="str">
        <f>VLOOKUP(Sales[[#This Row],[Customer ID]],Customer[#All],2,0)</f>
        <v>Rakesh Verma</v>
      </c>
      <c r="E2423" s="158" t="s">
        <v>215</v>
      </c>
      <c r="F2423" s="158" t="str">
        <f>VLOOKUP(Sales[[#This Row],[Product ID]],Product[#All],2,0)</f>
        <v>Apc UPS</v>
      </c>
      <c r="G2423" s="159">
        <v>8</v>
      </c>
      <c r="H2423" s="160">
        <f>VLOOKUP(Sales[[#This Row],[Product ID]],Product[#All],7,0)</f>
        <v>10210</v>
      </c>
      <c r="I2423" s="160">
        <f>Sales[[#This Row],[Selling Rate]]*Sales[[#This Row],[Qty]]</f>
        <v>81680</v>
      </c>
      <c r="J2423" s="43">
        <v>0.1</v>
      </c>
      <c r="K2423" s="44">
        <f>Sales[[#This Row],[Gross Amount]]*Sales[[#This Row],[Disc %]]</f>
        <v>8168</v>
      </c>
      <c r="L2423" s="43">
        <v>0.18</v>
      </c>
      <c r="M2423" s="44">
        <f>(Sales[[#This Row],[Gross Amount]]-Sales[[#This Row],[Disc. Amt.]])*Sales[[#This Row],[GST %]]</f>
        <v>13232.16</v>
      </c>
      <c r="N2423" s="161">
        <f>Sales[[#This Row],[Gross Amount]]-Sales[[#This Row],[Disc. Amt.]]+Sales[[#This Row],[GST Amount]]</f>
        <v>86744.16</v>
      </c>
      <c r="O2423" s="158" t="s">
        <v>3566</v>
      </c>
      <c r="P2423" s="158" t="s">
        <v>3562</v>
      </c>
      <c r="Q2423" s="160">
        <f>IF(Sales[[#This Row],[Status]]="Cancelled",0,Sales[[#This Row],[Qty]])</f>
        <v>8</v>
      </c>
      <c r="R2423" s="161">
        <f>IF(Sales[[#This Row],[Status]]="Cancelled",0,Sales[[#This Row],[Total Amount]])</f>
        <v>86744.16</v>
      </c>
      <c r="S2423" s="162">
        <f>SUM(Sales[Net Amount])</f>
        <v>406839287.73200053</v>
      </c>
    </row>
    <row r="2424" spans="1:19" ht="18.75" x14ac:dyDescent="0.25">
      <c r="A2424" s="163" t="s">
        <v>6051</v>
      </c>
      <c r="B2424" s="164">
        <v>45900</v>
      </c>
      <c r="C2424" s="34" t="s">
        <v>726</v>
      </c>
      <c r="D2424" s="53" t="str">
        <f>VLOOKUP(Sales[[#This Row],[Customer ID]],Customer[#All],2,0)</f>
        <v>Priya Singh</v>
      </c>
      <c r="E2424" s="34" t="s">
        <v>423</v>
      </c>
      <c r="F2424" s="34" t="str">
        <f>VLOOKUP(Sales[[#This Row],[Product ID]],Product[#All],2,0)</f>
        <v>HP Laptop</v>
      </c>
      <c r="G2424" s="53">
        <v>2</v>
      </c>
      <c r="H2424" s="165">
        <f>VLOOKUP(Sales[[#This Row],[Product ID]],Product[#All],7,0)</f>
        <v>40880</v>
      </c>
      <c r="I2424" s="165">
        <f>Sales[[#This Row],[Selling Rate]]*Sales[[#This Row],[Qty]]</f>
        <v>81760</v>
      </c>
      <c r="J2424" s="45">
        <v>0.05</v>
      </c>
      <c r="K2424" s="46">
        <f>Sales[[#This Row],[Gross Amount]]*Sales[[#This Row],[Disc %]]</f>
        <v>4088</v>
      </c>
      <c r="L2424" s="43">
        <v>0.18</v>
      </c>
      <c r="M2424" s="46">
        <f>(Sales[[#This Row],[Gross Amount]]-Sales[[#This Row],[Disc. Amt.]])*Sales[[#This Row],[GST %]]</f>
        <v>13980.96</v>
      </c>
      <c r="N2424" s="161">
        <f>Sales[[#This Row],[Gross Amount]]-Sales[[#This Row],[Disc. Amt.]]+Sales[[#This Row],[GST Amount]]</f>
        <v>91652.959999999992</v>
      </c>
      <c r="O2424" s="34" t="s">
        <v>3561</v>
      </c>
      <c r="P2424" s="34" t="s">
        <v>3562</v>
      </c>
      <c r="Q2424" s="165">
        <f>IF(Sales[[#This Row],[Status]]="Cancelled",0,Sales[[#This Row],[Qty]])</f>
        <v>2</v>
      </c>
      <c r="R2424" s="166">
        <f>IF(Sales[[#This Row],[Status]]="Cancelled",0,Sales[[#This Row],[Total Amount]])</f>
        <v>91652.959999999992</v>
      </c>
      <c r="S2424" s="162">
        <f>SUM(Sales[Net Amount])</f>
        <v>406839287.73200053</v>
      </c>
    </row>
    <row r="2425" spans="1:19" ht="18.75" x14ac:dyDescent="0.25">
      <c r="A2425" s="156" t="s">
        <v>6052</v>
      </c>
      <c r="B2425" s="157">
        <v>45900</v>
      </c>
      <c r="C2425" s="158" t="s">
        <v>837</v>
      </c>
      <c r="D2425" s="159" t="str">
        <f>VLOOKUP(Sales[[#This Row],[Customer ID]],Customer[#All],2,0)</f>
        <v>Sahil Patel</v>
      </c>
      <c r="E2425" s="158" t="s">
        <v>516</v>
      </c>
      <c r="F2425" s="158" t="str">
        <f>VLOOKUP(Sales[[#This Row],[Product ID]],Product[#All],2,0)</f>
        <v>Boat Headset</v>
      </c>
      <c r="G2425" s="159">
        <v>6</v>
      </c>
      <c r="H2425" s="160">
        <f>VLOOKUP(Sales[[#This Row],[Product ID]],Product[#All],7,0)</f>
        <v>2690</v>
      </c>
      <c r="I2425" s="160">
        <f>Sales[[#This Row],[Selling Rate]]*Sales[[#This Row],[Qty]]</f>
        <v>16140</v>
      </c>
      <c r="J2425" s="43">
        <v>0.12</v>
      </c>
      <c r="K2425" s="44">
        <f>Sales[[#This Row],[Gross Amount]]*Sales[[#This Row],[Disc %]]</f>
        <v>1936.8</v>
      </c>
      <c r="L2425" s="43">
        <v>0.18</v>
      </c>
      <c r="M2425" s="44">
        <f>(Sales[[#This Row],[Gross Amount]]-Sales[[#This Row],[Disc. Amt.]])*Sales[[#This Row],[GST %]]</f>
        <v>2556.576</v>
      </c>
      <c r="N2425" s="161">
        <f>Sales[[#This Row],[Gross Amount]]-Sales[[#This Row],[Disc. Amt.]]+Sales[[#This Row],[GST Amount]]</f>
        <v>16759.776000000002</v>
      </c>
      <c r="O2425" s="158" t="s">
        <v>3561</v>
      </c>
      <c r="P2425" s="158" t="s">
        <v>3562</v>
      </c>
      <c r="Q2425" s="160">
        <f>IF(Sales[[#This Row],[Status]]="Cancelled",0,Sales[[#This Row],[Qty]])</f>
        <v>6</v>
      </c>
      <c r="R2425" s="161">
        <f>IF(Sales[[#This Row],[Status]]="Cancelled",0,Sales[[#This Row],[Total Amount]])</f>
        <v>16759.776000000002</v>
      </c>
      <c r="S2425" s="162">
        <f>SUM(Sales[Net Amount])</f>
        <v>406839287.73200053</v>
      </c>
    </row>
    <row r="2426" spans="1:19" ht="18.75" x14ac:dyDescent="0.25">
      <c r="A2426" s="163" t="s">
        <v>6053</v>
      </c>
      <c r="B2426" s="164">
        <v>45900</v>
      </c>
      <c r="C2426" s="34" t="s">
        <v>727</v>
      </c>
      <c r="D2426" s="53" t="str">
        <f>VLOOKUP(Sales[[#This Row],[Customer ID]],Customer[#All],2,0)</f>
        <v>Sahil Sharma</v>
      </c>
      <c r="E2426" s="34" t="s">
        <v>152</v>
      </c>
      <c r="F2426" s="34" t="str">
        <f>VLOOKUP(Sales[[#This Row],[Product ID]],Product[#All],2,0)</f>
        <v>Acer Laptop</v>
      </c>
      <c r="G2426" s="53">
        <v>5</v>
      </c>
      <c r="H2426" s="165">
        <f>VLOOKUP(Sales[[#This Row],[Product ID]],Product[#All],7,0)</f>
        <v>33410</v>
      </c>
      <c r="I2426" s="165">
        <f>Sales[[#This Row],[Selling Rate]]*Sales[[#This Row],[Qty]]</f>
        <v>167050</v>
      </c>
      <c r="J2426" s="45">
        <v>0.15</v>
      </c>
      <c r="K2426" s="46">
        <f>Sales[[#This Row],[Gross Amount]]*Sales[[#This Row],[Disc %]]</f>
        <v>25057.5</v>
      </c>
      <c r="L2426" s="43">
        <v>0.18</v>
      </c>
      <c r="M2426" s="46">
        <f>(Sales[[#This Row],[Gross Amount]]-Sales[[#This Row],[Disc. Amt.]])*Sales[[#This Row],[GST %]]</f>
        <v>25558.649999999998</v>
      </c>
      <c r="N2426" s="161">
        <f>Sales[[#This Row],[Gross Amount]]-Sales[[#This Row],[Disc. Amt.]]+Sales[[#This Row],[GST Amount]]</f>
        <v>167551.15</v>
      </c>
      <c r="O2426" s="34" t="s">
        <v>3561</v>
      </c>
      <c r="P2426" s="34" t="s">
        <v>3562</v>
      </c>
      <c r="Q2426" s="165">
        <f>IF(Sales[[#This Row],[Status]]="Cancelled",0,Sales[[#This Row],[Qty]])</f>
        <v>5</v>
      </c>
      <c r="R2426" s="166">
        <f>IF(Sales[[#This Row],[Status]]="Cancelled",0,Sales[[#This Row],[Total Amount]])</f>
        <v>167551.15</v>
      </c>
      <c r="S2426" s="162">
        <f>SUM(Sales[Net Amount])</f>
        <v>406839287.73200053</v>
      </c>
    </row>
    <row r="2427" spans="1:19" ht="18.75" x14ac:dyDescent="0.25">
      <c r="A2427" s="156" t="s">
        <v>6054</v>
      </c>
      <c r="B2427" s="157">
        <v>45900</v>
      </c>
      <c r="C2427" s="158" t="s">
        <v>886</v>
      </c>
      <c r="D2427" s="159" t="str">
        <f>VLOOKUP(Sales[[#This Row],[Customer ID]],Customer[#All],2,0)</f>
        <v>Sunita Gupta</v>
      </c>
      <c r="E2427" s="158" t="s">
        <v>202</v>
      </c>
      <c r="F2427" s="158" t="str">
        <f>VLOOKUP(Sales[[#This Row],[Product ID]],Product[#All],2,0)</f>
        <v>TP-link Wi-Fi Adapter</v>
      </c>
      <c r="G2427" s="159">
        <v>2</v>
      </c>
      <c r="H2427" s="160">
        <f>VLOOKUP(Sales[[#This Row],[Product ID]],Product[#All],7,0)</f>
        <v>1330</v>
      </c>
      <c r="I2427" s="160">
        <f>Sales[[#This Row],[Selling Rate]]*Sales[[#This Row],[Qty]]</f>
        <v>2660</v>
      </c>
      <c r="J2427" s="43">
        <v>0.15</v>
      </c>
      <c r="K2427" s="44">
        <f>Sales[[#This Row],[Gross Amount]]*Sales[[#This Row],[Disc %]]</f>
        <v>399</v>
      </c>
      <c r="L2427" s="43">
        <v>0.18</v>
      </c>
      <c r="M2427" s="44">
        <f>(Sales[[#This Row],[Gross Amount]]-Sales[[#This Row],[Disc. Amt.]])*Sales[[#This Row],[GST %]]</f>
        <v>406.97999999999996</v>
      </c>
      <c r="N2427" s="161">
        <f>Sales[[#This Row],[Gross Amount]]-Sales[[#This Row],[Disc. Amt.]]+Sales[[#This Row],[GST Amount]]</f>
        <v>2667.98</v>
      </c>
      <c r="O2427" s="158" t="s">
        <v>3569</v>
      </c>
      <c r="P2427" s="158" t="s">
        <v>3562</v>
      </c>
      <c r="Q2427" s="160">
        <f>IF(Sales[[#This Row],[Status]]="Cancelled",0,Sales[[#This Row],[Qty]])</f>
        <v>2</v>
      </c>
      <c r="R2427" s="161">
        <f>IF(Sales[[#This Row],[Status]]="Cancelled",0,Sales[[#This Row],[Total Amount]])</f>
        <v>2667.98</v>
      </c>
      <c r="S2427" s="162">
        <f>SUM(Sales[Net Amount])</f>
        <v>406839287.73200053</v>
      </c>
    </row>
    <row r="2428" spans="1:19" ht="18.75" x14ac:dyDescent="0.25">
      <c r="A2428" s="163" t="s">
        <v>6055</v>
      </c>
      <c r="B2428" s="164">
        <v>45900</v>
      </c>
      <c r="C2428" s="34" t="s">
        <v>920</v>
      </c>
      <c r="D2428" s="53" t="str">
        <f>VLOOKUP(Sales[[#This Row],[Customer ID]],Customer[#All],2,0)</f>
        <v>Rakesh Sharma</v>
      </c>
      <c r="E2428" s="34" t="s">
        <v>358</v>
      </c>
      <c r="F2428" s="34" t="str">
        <f>VLOOKUP(Sales[[#This Row],[Product ID]],Product[#All],2,0)</f>
        <v>TP-link Router</v>
      </c>
      <c r="G2428" s="53">
        <v>1</v>
      </c>
      <c r="H2428" s="165">
        <f>VLOOKUP(Sales[[#This Row],[Product ID]],Product[#All],7,0)</f>
        <v>3970</v>
      </c>
      <c r="I2428" s="165">
        <f>Sales[[#This Row],[Selling Rate]]*Sales[[#This Row],[Qty]]</f>
        <v>3970</v>
      </c>
      <c r="J2428" s="45">
        <v>0</v>
      </c>
      <c r="K2428" s="46">
        <f>Sales[[#This Row],[Gross Amount]]*Sales[[#This Row],[Disc %]]</f>
        <v>0</v>
      </c>
      <c r="L2428" s="43">
        <v>0.18</v>
      </c>
      <c r="M2428" s="46">
        <f>(Sales[[#This Row],[Gross Amount]]-Sales[[#This Row],[Disc. Amt.]])*Sales[[#This Row],[GST %]]</f>
        <v>714.6</v>
      </c>
      <c r="N2428" s="161">
        <f>Sales[[#This Row],[Gross Amount]]-Sales[[#This Row],[Disc. Amt.]]+Sales[[#This Row],[GST Amount]]</f>
        <v>4684.6000000000004</v>
      </c>
      <c r="O2428" s="34" t="s">
        <v>3569</v>
      </c>
      <c r="P2428" s="34" t="s">
        <v>3562</v>
      </c>
      <c r="Q2428" s="165">
        <f>IF(Sales[[#This Row],[Status]]="Cancelled",0,Sales[[#This Row],[Qty]])</f>
        <v>1</v>
      </c>
      <c r="R2428" s="166">
        <f>IF(Sales[[#This Row],[Status]]="Cancelled",0,Sales[[#This Row],[Total Amount]])</f>
        <v>4684.6000000000004</v>
      </c>
      <c r="S2428" s="162">
        <f>SUM(Sales[Net Amount])</f>
        <v>406839287.73200053</v>
      </c>
    </row>
    <row r="2429" spans="1:19" ht="18.75" x14ac:dyDescent="0.25">
      <c r="A2429" s="156" t="s">
        <v>6056</v>
      </c>
      <c r="B2429" s="157">
        <v>45900</v>
      </c>
      <c r="C2429" s="158" t="s">
        <v>807</v>
      </c>
      <c r="D2429" s="159" t="str">
        <f>VLOOKUP(Sales[[#This Row],[Customer ID]],Customer[#All],2,0)</f>
        <v>Rakesh Patel</v>
      </c>
      <c r="E2429" s="158" t="s">
        <v>394</v>
      </c>
      <c r="F2429" s="158" t="str">
        <f>VLOOKUP(Sales[[#This Row],[Product ID]],Product[#All],2,0)</f>
        <v>Boat Speaker</v>
      </c>
      <c r="G2429" s="159">
        <v>5</v>
      </c>
      <c r="H2429" s="160">
        <f>VLOOKUP(Sales[[#This Row],[Product ID]],Product[#All],7,0)</f>
        <v>1720</v>
      </c>
      <c r="I2429" s="160">
        <f>Sales[[#This Row],[Selling Rate]]*Sales[[#This Row],[Qty]]</f>
        <v>8600</v>
      </c>
      <c r="J2429" s="43">
        <v>0.02</v>
      </c>
      <c r="K2429" s="44">
        <f>Sales[[#This Row],[Gross Amount]]*Sales[[#This Row],[Disc %]]</f>
        <v>172</v>
      </c>
      <c r="L2429" s="43">
        <v>0.18</v>
      </c>
      <c r="M2429" s="44">
        <f>(Sales[[#This Row],[Gross Amount]]-Sales[[#This Row],[Disc. Amt.]])*Sales[[#This Row],[GST %]]</f>
        <v>1517.04</v>
      </c>
      <c r="N2429" s="161">
        <f>Sales[[#This Row],[Gross Amount]]-Sales[[#This Row],[Disc. Amt.]]+Sales[[#This Row],[GST Amount]]</f>
        <v>9945.0400000000009</v>
      </c>
      <c r="O2429" s="158" t="s">
        <v>8876</v>
      </c>
      <c r="P2429" s="158" t="s">
        <v>3562</v>
      </c>
      <c r="Q2429" s="160">
        <f>IF(Sales[[#This Row],[Status]]="Cancelled",0,Sales[[#This Row],[Qty]])</f>
        <v>5</v>
      </c>
      <c r="R2429" s="161">
        <f>IF(Sales[[#This Row],[Status]]="Cancelled",0,Sales[[#This Row],[Total Amount]])</f>
        <v>9945.0400000000009</v>
      </c>
      <c r="S2429" s="162">
        <f>SUM(Sales[Net Amount])</f>
        <v>406839287.73200053</v>
      </c>
    </row>
    <row r="2430" spans="1:19" ht="18.75" x14ac:dyDescent="0.25">
      <c r="A2430" s="163" t="s">
        <v>6057</v>
      </c>
      <c r="B2430" s="164">
        <v>45900</v>
      </c>
      <c r="C2430" s="34" t="s">
        <v>872</v>
      </c>
      <c r="D2430" s="53" t="str">
        <f>VLOOKUP(Sales[[#This Row],[Customer ID]],Customer[#All],2,0)</f>
        <v>Rahul Verma</v>
      </c>
      <c r="E2430" s="34" t="s">
        <v>159</v>
      </c>
      <c r="F2430" s="34" t="str">
        <f>VLOOKUP(Sales[[#This Row],[Product ID]],Product[#All],2,0)</f>
        <v>HP Laptop</v>
      </c>
      <c r="G2430" s="53">
        <v>7</v>
      </c>
      <c r="H2430" s="165">
        <f>VLOOKUP(Sales[[#This Row],[Product ID]],Product[#All],7,0)</f>
        <v>90020</v>
      </c>
      <c r="I2430" s="165">
        <f>Sales[[#This Row],[Selling Rate]]*Sales[[#This Row],[Qty]]</f>
        <v>630140</v>
      </c>
      <c r="J2430" s="45">
        <v>0.05</v>
      </c>
      <c r="K2430" s="46">
        <f>Sales[[#This Row],[Gross Amount]]*Sales[[#This Row],[Disc %]]</f>
        <v>31507</v>
      </c>
      <c r="L2430" s="43">
        <v>0.18</v>
      </c>
      <c r="M2430" s="46">
        <f>(Sales[[#This Row],[Gross Amount]]-Sales[[#This Row],[Disc. Amt.]])*Sales[[#This Row],[GST %]]</f>
        <v>107753.94</v>
      </c>
      <c r="N2430" s="161">
        <f>Sales[[#This Row],[Gross Amount]]-Sales[[#This Row],[Disc. Amt.]]+Sales[[#This Row],[GST Amount]]</f>
        <v>706386.94</v>
      </c>
      <c r="O2430" s="34" t="s">
        <v>8876</v>
      </c>
      <c r="P2430" s="34" t="s">
        <v>3562</v>
      </c>
      <c r="Q2430" s="165">
        <f>IF(Sales[[#This Row],[Status]]="Cancelled",0,Sales[[#This Row],[Qty]])</f>
        <v>7</v>
      </c>
      <c r="R2430" s="166">
        <f>IF(Sales[[#This Row],[Status]]="Cancelled",0,Sales[[#This Row],[Total Amount]])</f>
        <v>706386.94</v>
      </c>
      <c r="S2430" s="162">
        <f>SUM(Sales[Net Amount])</f>
        <v>406839287.73200053</v>
      </c>
    </row>
    <row r="2431" spans="1:19" ht="18.75" x14ac:dyDescent="0.25">
      <c r="A2431" s="156" t="s">
        <v>6058</v>
      </c>
      <c r="B2431" s="157">
        <v>45901</v>
      </c>
      <c r="C2431" s="158" t="s">
        <v>859</v>
      </c>
      <c r="D2431" s="159" t="str">
        <f>VLOOKUP(Sales[[#This Row],[Customer ID]],Customer[#All],2,0)</f>
        <v>Rakesh Kumar</v>
      </c>
      <c r="E2431" s="158" t="s">
        <v>242</v>
      </c>
      <c r="F2431" s="158" t="str">
        <f>VLOOKUP(Sales[[#This Row],[Product ID]],Product[#All],2,0)</f>
        <v>HP Printer</v>
      </c>
      <c r="G2431" s="159">
        <v>7</v>
      </c>
      <c r="H2431" s="160">
        <f>VLOOKUP(Sales[[#This Row],[Product ID]],Product[#All],7,0)</f>
        <v>20380</v>
      </c>
      <c r="I2431" s="160">
        <f>Sales[[#This Row],[Selling Rate]]*Sales[[#This Row],[Qty]]</f>
        <v>142660</v>
      </c>
      <c r="J2431" s="43">
        <v>0.15</v>
      </c>
      <c r="K2431" s="44">
        <f>Sales[[#This Row],[Gross Amount]]*Sales[[#This Row],[Disc %]]</f>
        <v>21399</v>
      </c>
      <c r="L2431" s="43">
        <v>0.18</v>
      </c>
      <c r="M2431" s="44">
        <f>(Sales[[#This Row],[Gross Amount]]-Sales[[#This Row],[Disc. Amt.]])*Sales[[#This Row],[GST %]]</f>
        <v>21826.98</v>
      </c>
      <c r="N2431" s="161">
        <f>Sales[[#This Row],[Gross Amount]]-Sales[[#This Row],[Disc. Amt.]]+Sales[[#This Row],[GST Amount]]</f>
        <v>143087.98000000001</v>
      </c>
      <c r="O2431" s="158" t="s">
        <v>3566</v>
      </c>
      <c r="P2431" s="158" t="s">
        <v>3562</v>
      </c>
      <c r="Q2431" s="160">
        <f>IF(Sales[[#This Row],[Status]]="Cancelled",0,Sales[[#This Row],[Qty]])</f>
        <v>7</v>
      </c>
      <c r="R2431" s="161">
        <f>IF(Sales[[#This Row],[Status]]="Cancelled",0,Sales[[#This Row],[Total Amount]])</f>
        <v>143087.98000000001</v>
      </c>
      <c r="S2431" s="162">
        <f>SUM(Sales[Net Amount])</f>
        <v>406839287.73200053</v>
      </c>
    </row>
    <row r="2432" spans="1:19" ht="18.75" x14ac:dyDescent="0.25">
      <c r="A2432" s="163" t="s">
        <v>6059</v>
      </c>
      <c r="B2432" s="164">
        <v>45901</v>
      </c>
      <c r="C2432" s="34" t="s">
        <v>748</v>
      </c>
      <c r="D2432" s="53" t="str">
        <f>VLOOKUP(Sales[[#This Row],[Customer ID]],Customer[#All],2,0)</f>
        <v>Priya Singh</v>
      </c>
      <c r="E2432" s="34" t="s">
        <v>428</v>
      </c>
      <c r="F2432" s="34" t="str">
        <f>VLOOKUP(Sales[[#This Row],[Product ID]],Product[#All],2,0)</f>
        <v>Microtek UPS</v>
      </c>
      <c r="G2432" s="53">
        <v>4</v>
      </c>
      <c r="H2432" s="165">
        <f>VLOOKUP(Sales[[#This Row],[Product ID]],Product[#All],7,0)</f>
        <v>8450</v>
      </c>
      <c r="I2432" s="165">
        <f>Sales[[#This Row],[Selling Rate]]*Sales[[#This Row],[Qty]]</f>
        <v>33800</v>
      </c>
      <c r="J2432" s="45">
        <v>0.02</v>
      </c>
      <c r="K2432" s="46">
        <f>Sales[[#This Row],[Gross Amount]]*Sales[[#This Row],[Disc %]]</f>
        <v>676</v>
      </c>
      <c r="L2432" s="43">
        <v>0.18</v>
      </c>
      <c r="M2432" s="46">
        <f>(Sales[[#This Row],[Gross Amount]]-Sales[[#This Row],[Disc. Amt.]])*Sales[[#This Row],[GST %]]</f>
        <v>5962.32</v>
      </c>
      <c r="N2432" s="161">
        <f>Sales[[#This Row],[Gross Amount]]-Sales[[#This Row],[Disc. Amt.]]+Sales[[#This Row],[GST Amount]]</f>
        <v>39086.32</v>
      </c>
      <c r="O2432" s="34" t="s">
        <v>3566</v>
      </c>
      <c r="P2432" s="34" t="s">
        <v>3562</v>
      </c>
      <c r="Q2432" s="165">
        <f>IF(Sales[[#This Row],[Status]]="Cancelled",0,Sales[[#This Row],[Qty]])</f>
        <v>4</v>
      </c>
      <c r="R2432" s="166">
        <f>IF(Sales[[#This Row],[Status]]="Cancelled",0,Sales[[#This Row],[Total Amount]])</f>
        <v>39086.32</v>
      </c>
      <c r="S2432" s="162">
        <f>SUM(Sales[Net Amount])</f>
        <v>406839287.73200053</v>
      </c>
    </row>
    <row r="2433" spans="1:19" ht="18.75" x14ac:dyDescent="0.25">
      <c r="A2433" s="156" t="s">
        <v>6060</v>
      </c>
      <c r="B2433" s="157">
        <v>45901</v>
      </c>
      <c r="C2433" s="158" t="s">
        <v>897</v>
      </c>
      <c r="D2433" s="159" t="str">
        <f>VLOOKUP(Sales[[#This Row],[Customer ID]],Customer[#All],2,0)</f>
        <v>Amit Patel</v>
      </c>
      <c r="E2433" s="158" t="s">
        <v>325</v>
      </c>
      <c r="F2433" s="158" t="str">
        <f>VLOOKUP(Sales[[#This Row],[Product ID]],Product[#All],2,0)</f>
        <v>Dell Power Adapter</v>
      </c>
      <c r="G2433" s="159">
        <v>4</v>
      </c>
      <c r="H2433" s="160">
        <f>VLOOKUP(Sales[[#This Row],[Product ID]],Product[#All],7,0)</f>
        <v>1630</v>
      </c>
      <c r="I2433" s="160">
        <f>Sales[[#This Row],[Selling Rate]]*Sales[[#This Row],[Qty]]</f>
        <v>6520</v>
      </c>
      <c r="J2433" s="43">
        <v>0.05</v>
      </c>
      <c r="K2433" s="44">
        <f>Sales[[#This Row],[Gross Amount]]*Sales[[#This Row],[Disc %]]</f>
        <v>326</v>
      </c>
      <c r="L2433" s="43">
        <v>0.18</v>
      </c>
      <c r="M2433" s="44">
        <f>(Sales[[#This Row],[Gross Amount]]-Sales[[#This Row],[Disc. Amt.]])*Sales[[#This Row],[GST %]]</f>
        <v>1114.9199999999998</v>
      </c>
      <c r="N2433" s="161">
        <f>Sales[[#This Row],[Gross Amount]]-Sales[[#This Row],[Disc. Amt.]]+Sales[[#This Row],[GST Amount]]</f>
        <v>7308.92</v>
      </c>
      <c r="O2433" s="158" t="s">
        <v>3566</v>
      </c>
      <c r="P2433" s="158" t="s">
        <v>3562</v>
      </c>
      <c r="Q2433" s="160">
        <f>IF(Sales[[#This Row],[Status]]="Cancelled",0,Sales[[#This Row],[Qty]])</f>
        <v>4</v>
      </c>
      <c r="R2433" s="161">
        <f>IF(Sales[[#This Row],[Status]]="Cancelled",0,Sales[[#This Row],[Total Amount]])</f>
        <v>7308.92</v>
      </c>
      <c r="S2433" s="162">
        <f>SUM(Sales[Net Amount])</f>
        <v>406839287.73200053</v>
      </c>
    </row>
    <row r="2434" spans="1:19" ht="18.75" x14ac:dyDescent="0.25">
      <c r="A2434" s="163" t="s">
        <v>6061</v>
      </c>
      <c r="B2434" s="164">
        <v>45901</v>
      </c>
      <c r="C2434" s="34" t="s">
        <v>694</v>
      </c>
      <c r="D2434" s="53" t="str">
        <f>VLOOKUP(Sales[[#This Row],[Customer ID]],Customer[#All],2,0)</f>
        <v>Amit Sharma</v>
      </c>
      <c r="E2434" s="34" t="s">
        <v>253</v>
      </c>
      <c r="F2434" s="34" t="str">
        <f>VLOOKUP(Sales[[#This Row],[Product ID]],Product[#All],2,0)</f>
        <v>Acer Laptop</v>
      </c>
      <c r="G2434" s="53">
        <v>3</v>
      </c>
      <c r="H2434" s="165">
        <f>VLOOKUP(Sales[[#This Row],[Product ID]],Product[#All],7,0)</f>
        <v>40550</v>
      </c>
      <c r="I2434" s="165">
        <f>Sales[[#This Row],[Selling Rate]]*Sales[[#This Row],[Qty]]</f>
        <v>121650</v>
      </c>
      <c r="J2434" s="45">
        <v>0.02</v>
      </c>
      <c r="K2434" s="46">
        <f>Sales[[#This Row],[Gross Amount]]*Sales[[#This Row],[Disc %]]</f>
        <v>2433</v>
      </c>
      <c r="L2434" s="43">
        <v>0.18</v>
      </c>
      <c r="M2434" s="46">
        <f>(Sales[[#This Row],[Gross Amount]]-Sales[[#This Row],[Disc. Amt.]])*Sales[[#This Row],[GST %]]</f>
        <v>21459.059999999998</v>
      </c>
      <c r="N2434" s="161">
        <f>Sales[[#This Row],[Gross Amount]]-Sales[[#This Row],[Disc. Amt.]]+Sales[[#This Row],[GST Amount]]</f>
        <v>140676.06</v>
      </c>
      <c r="O2434" s="34" t="s">
        <v>8876</v>
      </c>
      <c r="P2434" s="34" t="s">
        <v>3562</v>
      </c>
      <c r="Q2434" s="165">
        <f>IF(Sales[[#This Row],[Status]]="Cancelled",0,Sales[[#This Row],[Qty]])</f>
        <v>3</v>
      </c>
      <c r="R2434" s="166">
        <f>IF(Sales[[#This Row],[Status]]="Cancelled",0,Sales[[#This Row],[Total Amount]])</f>
        <v>140676.06</v>
      </c>
      <c r="S2434" s="162">
        <f>SUM(Sales[Net Amount])</f>
        <v>406839287.73200053</v>
      </c>
    </row>
    <row r="2435" spans="1:19" ht="18.75" x14ac:dyDescent="0.25">
      <c r="A2435" s="156" t="s">
        <v>6062</v>
      </c>
      <c r="B2435" s="157">
        <v>45901</v>
      </c>
      <c r="C2435" s="158" t="s">
        <v>914</v>
      </c>
      <c r="D2435" s="159" t="str">
        <f>VLOOKUP(Sales[[#This Row],[Customer ID]],Customer[#All],2,0)</f>
        <v>Rakesh Patel</v>
      </c>
      <c r="E2435" s="158" t="s">
        <v>429</v>
      </c>
      <c r="F2435" s="158" t="str">
        <f>VLOOKUP(Sales[[#This Row],[Product ID]],Product[#All],2,0)</f>
        <v>Sandisk Pen Drive</v>
      </c>
      <c r="G2435" s="159">
        <v>7</v>
      </c>
      <c r="H2435" s="160">
        <f>VLOOKUP(Sales[[#This Row],[Product ID]],Product[#All],7,0)</f>
        <v>2290</v>
      </c>
      <c r="I2435" s="160">
        <f>Sales[[#This Row],[Selling Rate]]*Sales[[#This Row],[Qty]]</f>
        <v>16030</v>
      </c>
      <c r="J2435" s="43">
        <v>0.12</v>
      </c>
      <c r="K2435" s="44">
        <f>Sales[[#This Row],[Gross Amount]]*Sales[[#This Row],[Disc %]]</f>
        <v>1923.6</v>
      </c>
      <c r="L2435" s="43">
        <v>0.18</v>
      </c>
      <c r="M2435" s="44">
        <f>(Sales[[#This Row],[Gross Amount]]-Sales[[#This Row],[Disc. Amt.]])*Sales[[#This Row],[GST %]]</f>
        <v>2539.152</v>
      </c>
      <c r="N2435" s="161">
        <f>Sales[[#This Row],[Gross Amount]]-Sales[[#This Row],[Disc. Amt.]]+Sales[[#This Row],[GST Amount]]</f>
        <v>16645.552</v>
      </c>
      <c r="O2435" s="158" t="s">
        <v>3561</v>
      </c>
      <c r="P2435" s="158" t="s">
        <v>3562</v>
      </c>
      <c r="Q2435" s="160">
        <f>IF(Sales[[#This Row],[Status]]="Cancelled",0,Sales[[#This Row],[Qty]])</f>
        <v>7</v>
      </c>
      <c r="R2435" s="161">
        <f>IF(Sales[[#This Row],[Status]]="Cancelled",0,Sales[[#This Row],[Total Amount]])</f>
        <v>16645.552</v>
      </c>
      <c r="S2435" s="162">
        <f>SUM(Sales[Net Amount])</f>
        <v>406839287.73200053</v>
      </c>
    </row>
    <row r="2436" spans="1:19" ht="18.75" x14ac:dyDescent="0.25">
      <c r="A2436" s="163" t="s">
        <v>6063</v>
      </c>
      <c r="B2436" s="164">
        <v>45901</v>
      </c>
      <c r="C2436" s="34" t="s">
        <v>652</v>
      </c>
      <c r="D2436" s="53" t="str">
        <f>VLOOKUP(Sales[[#This Row],[Customer ID]],Customer[#All],2,0)</f>
        <v>Sahil Kumar</v>
      </c>
      <c r="E2436" s="34" t="s">
        <v>102</v>
      </c>
      <c r="F2436" s="34" t="str">
        <f>VLOOKUP(Sales[[#This Row],[Product ID]],Product[#All],2,0)</f>
        <v>Canon Printer</v>
      </c>
      <c r="G2436" s="53">
        <v>8</v>
      </c>
      <c r="H2436" s="165">
        <f>VLOOKUP(Sales[[#This Row],[Product ID]],Product[#All],7,0)</f>
        <v>13010</v>
      </c>
      <c r="I2436" s="165">
        <f>Sales[[#This Row],[Selling Rate]]*Sales[[#This Row],[Qty]]</f>
        <v>104080</v>
      </c>
      <c r="J2436" s="45">
        <v>0.05</v>
      </c>
      <c r="K2436" s="46">
        <f>Sales[[#This Row],[Gross Amount]]*Sales[[#This Row],[Disc %]]</f>
        <v>5204</v>
      </c>
      <c r="L2436" s="43">
        <v>0.18</v>
      </c>
      <c r="M2436" s="46">
        <f>(Sales[[#This Row],[Gross Amount]]-Sales[[#This Row],[Disc. Amt.]])*Sales[[#This Row],[GST %]]</f>
        <v>17797.68</v>
      </c>
      <c r="N2436" s="161">
        <f>Sales[[#This Row],[Gross Amount]]-Sales[[#This Row],[Disc. Amt.]]+Sales[[#This Row],[GST Amount]]</f>
        <v>116673.68</v>
      </c>
      <c r="O2436" s="34" t="s">
        <v>3566</v>
      </c>
      <c r="P2436" s="34" t="s">
        <v>3562</v>
      </c>
      <c r="Q2436" s="165">
        <f>IF(Sales[[#This Row],[Status]]="Cancelled",0,Sales[[#This Row],[Qty]])</f>
        <v>8</v>
      </c>
      <c r="R2436" s="166">
        <f>IF(Sales[[#This Row],[Status]]="Cancelled",0,Sales[[#This Row],[Total Amount]])</f>
        <v>116673.68</v>
      </c>
      <c r="S2436" s="162">
        <f>SUM(Sales[Net Amount])</f>
        <v>406839287.73200053</v>
      </c>
    </row>
    <row r="2437" spans="1:19" ht="18.75" x14ac:dyDescent="0.25">
      <c r="A2437" s="156" t="s">
        <v>6064</v>
      </c>
      <c r="B2437" s="157">
        <v>45901</v>
      </c>
      <c r="C2437" s="158" t="s">
        <v>702</v>
      </c>
      <c r="D2437" s="159" t="str">
        <f>VLOOKUP(Sales[[#This Row],[Customer ID]],Customer[#All],2,0)</f>
        <v>Amit Patel</v>
      </c>
      <c r="E2437" s="158" t="s">
        <v>494</v>
      </c>
      <c r="F2437" s="158" t="str">
        <f>VLOOKUP(Sales[[#This Row],[Product ID]],Product[#All],2,0)</f>
        <v>Logitech Mouse</v>
      </c>
      <c r="G2437" s="159">
        <v>4</v>
      </c>
      <c r="H2437" s="160">
        <f>VLOOKUP(Sales[[#This Row],[Product ID]],Product[#All],7,0)</f>
        <v>660</v>
      </c>
      <c r="I2437" s="160">
        <f>Sales[[#This Row],[Selling Rate]]*Sales[[#This Row],[Qty]]</f>
        <v>2640</v>
      </c>
      <c r="J2437" s="43">
        <v>0.15</v>
      </c>
      <c r="K2437" s="44">
        <f>Sales[[#This Row],[Gross Amount]]*Sales[[#This Row],[Disc %]]</f>
        <v>396</v>
      </c>
      <c r="L2437" s="43">
        <v>0.18</v>
      </c>
      <c r="M2437" s="44">
        <f>(Sales[[#This Row],[Gross Amount]]-Sales[[#This Row],[Disc. Amt.]])*Sales[[#This Row],[GST %]]</f>
        <v>403.91999999999996</v>
      </c>
      <c r="N2437" s="161">
        <f>Sales[[#This Row],[Gross Amount]]-Sales[[#This Row],[Disc. Amt.]]+Sales[[#This Row],[GST Amount]]</f>
        <v>2647.92</v>
      </c>
      <c r="O2437" s="158" t="s">
        <v>8876</v>
      </c>
      <c r="P2437" s="158" t="s">
        <v>3562</v>
      </c>
      <c r="Q2437" s="160">
        <f>IF(Sales[[#This Row],[Status]]="Cancelled",0,Sales[[#This Row],[Qty]])</f>
        <v>4</v>
      </c>
      <c r="R2437" s="161">
        <f>IF(Sales[[#This Row],[Status]]="Cancelled",0,Sales[[#This Row],[Total Amount]])</f>
        <v>2647.92</v>
      </c>
      <c r="S2437" s="162">
        <f>SUM(Sales[Net Amount])</f>
        <v>406839287.73200053</v>
      </c>
    </row>
    <row r="2438" spans="1:19" ht="18.75" x14ac:dyDescent="0.25">
      <c r="A2438" s="163" t="s">
        <v>6065</v>
      </c>
      <c r="B2438" s="164">
        <v>45901</v>
      </c>
      <c r="C2438" s="34" t="s">
        <v>735</v>
      </c>
      <c r="D2438" s="53" t="str">
        <f>VLOOKUP(Sales[[#This Row],[Customer ID]],Customer[#All],2,0)</f>
        <v>Amit Singh</v>
      </c>
      <c r="E2438" s="34" t="s">
        <v>23</v>
      </c>
      <c r="F2438" s="34" t="str">
        <f>VLOOKUP(Sales[[#This Row],[Product ID]],Product[#All],2,0)</f>
        <v>Kingston Ram</v>
      </c>
      <c r="G2438" s="53">
        <v>5</v>
      </c>
      <c r="H2438" s="165">
        <f>VLOOKUP(Sales[[#This Row],[Product ID]],Product[#All],7,0)</f>
        <v>6040</v>
      </c>
      <c r="I2438" s="165">
        <f>Sales[[#This Row],[Selling Rate]]*Sales[[#This Row],[Qty]]</f>
        <v>30200</v>
      </c>
      <c r="J2438" s="45">
        <v>0.12</v>
      </c>
      <c r="K2438" s="46">
        <f>Sales[[#This Row],[Gross Amount]]*Sales[[#This Row],[Disc %]]</f>
        <v>3624</v>
      </c>
      <c r="L2438" s="43">
        <v>0.18</v>
      </c>
      <c r="M2438" s="46">
        <f>(Sales[[#This Row],[Gross Amount]]-Sales[[#This Row],[Disc. Amt.]])*Sales[[#This Row],[GST %]]</f>
        <v>4783.6799999999994</v>
      </c>
      <c r="N2438" s="161">
        <f>Sales[[#This Row],[Gross Amount]]-Sales[[#This Row],[Disc. Amt.]]+Sales[[#This Row],[GST Amount]]</f>
        <v>31359.68</v>
      </c>
      <c r="O2438" s="34" t="s">
        <v>3569</v>
      </c>
      <c r="P2438" s="34" t="s">
        <v>1040</v>
      </c>
      <c r="Q2438" s="165">
        <f>IF(Sales[[#This Row],[Status]]="Cancelled",0,Sales[[#This Row],[Qty]])</f>
        <v>0</v>
      </c>
      <c r="R2438" s="166">
        <f>IF(Sales[[#This Row],[Status]]="Cancelled",0,Sales[[#This Row],[Total Amount]])</f>
        <v>0</v>
      </c>
      <c r="S2438" s="162">
        <f>SUM(Sales[Net Amount])</f>
        <v>406839287.73200053</v>
      </c>
    </row>
    <row r="2439" spans="1:19" ht="18.75" x14ac:dyDescent="0.25">
      <c r="A2439" s="156" t="s">
        <v>6066</v>
      </c>
      <c r="B2439" s="157">
        <v>45901</v>
      </c>
      <c r="C2439" s="158" t="s">
        <v>753</v>
      </c>
      <c r="D2439" s="159" t="str">
        <f>VLOOKUP(Sales[[#This Row],[Customer ID]],Customer[#All],2,0)</f>
        <v>Sunita Gupta</v>
      </c>
      <c r="E2439" s="158" t="s">
        <v>7</v>
      </c>
      <c r="F2439" s="158" t="str">
        <f>VLOOKUP(Sales[[#This Row],[Product ID]],Product[#All],2,0)</f>
        <v>Dell Desktop</v>
      </c>
      <c r="G2439" s="159">
        <v>4</v>
      </c>
      <c r="H2439" s="160">
        <f>VLOOKUP(Sales[[#This Row],[Product ID]],Product[#All],7,0)</f>
        <v>33010</v>
      </c>
      <c r="I2439" s="160">
        <f>Sales[[#This Row],[Selling Rate]]*Sales[[#This Row],[Qty]]</f>
        <v>132040</v>
      </c>
      <c r="J2439" s="43">
        <v>0.12</v>
      </c>
      <c r="K2439" s="44">
        <f>Sales[[#This Row],[Gross Amount]]*Sales[[#This Row],[Disc %]]</f>
        <v>15844.8</v>
      </c>
      <c r="L2439" s="43">
        <v>0.18</v>
      </c>
      <c r="M2439" s="44">
        <f>(Sales[[#This Row],[Gross Amount]]-Sales[[#This Row],[Disc. Amt.]])*Sales[[#This Row],[GST %]]</f>
        <v>20915.135999999999</v>
      </c>
      <c r="N2439" s="161">
        <f>Sales[[#This Row],[Gross Amount]]-Sales[[#This Row],[Disc. Amt.]]+Sales[[#This Row],[GST Amount]]</f>
        <v>137110.33600000001</v>
      </c>
      <c r="O2439" s="158" t="s">
        <v>3566</v>
      </c>
      <c r="P2439" s="158" t="s">
        <v>3562</v>
      </c>
      <c r="Q2439" s="160">
        <f>IF(Sales[[#This Row],[Status]]="Cancelled",0,Sales[[#This Row],[Qty]])</f>
        <v>4</v>
      </c>
      <c r="R2439" s="161">
        <f>IF(Sales[[#This Row],[Status]]="Cancelled",0,Sales[[#This Row],[Total Amount]])</f>
        <v>137110.33600000001</v>
      </c>
      <c r="S2439" s="162">
        <f>SUM(Sales[Net Amount])</f>
        <v>406839287.73200053</v>
      </c>
    </row>
    <row r="2440" spans="1:19" ht="18.75" x14ac:dyDescent="0.25">
      <c r="A2440" s="163" t="s">
        <v>6067</v>
      </c>
      <c r="B2440" s="164">
        <v>45901</v>
      </c>
      <c r="C2440" s="34" t="s">
        <v>716</v>
      </c>
      <c r="D2440" s="53" t="str">
        <f>VLOOKUP(Sales[[#This Row],[Customer ID]],Customer[#All],2,0)</f>
        <v>Ankit Kumar</v>
      </c>
      <c r="E2440" s="34" t="s">
        <v>33</v>
      </c>
      <c r="F2440" s="34" t="str">
        <f>VLOOKUP(Sales[[#This Row],[Product ID]],Product[#All],2,0)</f>
        <v>Samsung Monitor</v>
      </c>
      <c r="G2440" s="53">
        <v>4</v>
      </c>
      <c r="H2440" s="165">
        <f>VLOOKUP(Sales[[#This Row],[Product ID]],Product[#All],7,0)</f>
        <v>9840</v>
      </c>
      <c r="I2440" s="165">
        <f>Sales[[#This Row],[Selling Rate]]*Sales[[#This Row],[Qty]]</f>
        <v>39360</v>
      </c>
      <c r="J2440" s="45">
        <v>0</v>
      </c>
      <c r="K2440" s="46">
        <f>Sales[[#This Row],[Gross Amount]]*Sales[[#This Row],[Disc %]]</f>
        <v>0</v>
      </c>
      <c r="L2440" s="43">
        <v>0.18</v>
      </c>
      <c r="M2440" s="46">
        <f>(Sales[[#This Row],[Gross Amount]]-Sales[[#This Row],[Disc. Amt.]])*Sales[[#This Row],[GST %]]</f>
        <v>7084.8</v>
      </c>
      <c r="N2440" s="161">
        <f>Sales[[#This Row],[Gross Amount]]-Sales[[#This Row],[Disc. Amt.]]+Sales[[#This Row],[GST Amount]]</f>
        <v>46444.800000000003</v>
      </c>
      <c r="O2440" s="34" t="s">
        <v>3561</v>
      </c>
      <c r="P2440" s="34" t="s">
        <v>3562</v>
      </c>
      <c r="Q2440" s="165">
        <f>IF(Sales[[#This Row],[Status]]="Cancelled",0,Sales[[#This Row],[Qty]])</f>
        <v>4</v>
      </c>
      <c r="R2440" s="166">
        <f>IF(Sales[[#This Row],[Status]]="Cancelled",0,Sales[[#This Row],[Total Amount]])</f>
        <v>46444.800000000003</v>
      </c>
      <c r="S2440" s="162">
        <f>SUM(Sales[Net Amount])</f>
        <v>406839287.73200053</v>
      </c>
    </row>
    <row r="2441" spans="1:19" ht="18.75" x14ac:dyDescent="0.25">
      <c r="A2441" s="156" t="s">
        <v>6068</v>
      </c>
      <c r="B2441" s="157">
        <v>45901</v>
      </c>
      <c r="C2441" s="158" t="s">
        <v>906</v>
      </c>
      <c r="D2441" s="159" t="str">
        <f>VLOOKUP(Sales[[#This Row],[Customer ID]],Customer[#All],2,0)</f>
        <v>Ankit Sharma</v>
      </c>
      <c r="E2441" s="158" t="s">
        <v>308</v>
      </c>
      <c r="F2441" s="158" t="str">
        <f>VLOOKUP(Sales[[#This Row],[Product ID]],Product[#All],2,0)</f>
        <v>Kingston Ram</v>
      </c>
      <c r="G2441" s="159">
        <v>1</v>
      </c>
      <c r="H2441" s="160">
        <f>VLOOKUP(Sales[[#This Row],[Product ID]],Product[#All],7,0)</f>
        <v>3980</v>
      </c>
      <c r="I2441" s="160">
        <f>Sales[[#This Row],[Selling Rate]]*Sales[[#This Row],[Qty]]</f>
        <v>3980</v>
      </c>
      <c r="J2441" s="43">
        <v>0.1</v>
      </c>
      <c r="K2441" s="44">
        <f>Sales[[#This Row],[Gross Amount]]*Sales[[#This Row],[Disc %]]</f>
        <v>398</v>
      </c>
      <c r="L2441" s="43">
        <v>0.18</v>
      </c>
      <c r="M2441" s="44">
        <f>(Sales[[#This Row],[Gross Amount]]-Sales[[#This Row],[Disc. Amt.]])*Sales[[#This Row],[GST %]]</f>
        <v>644.76</v>
      </c>
      <c r="N2441" s="161">
        <f>Sales[[#This Row],[Gross Amount]]-Sales[[#This Row],[Disc. Amt.]]+Sales[[#This Row],[GST Amount]]</f>
        <v>4226.76</v>
      </c>
      <c r="O2441" s="158" t="s">
        <v>3569</v>
      </c>
      <c r="P2441" s="158" t="s">
        <v>3562</v>
      </c>
      <c r="Q2441" s="160">
        <f>IF(Sales[[#This Row],[Status]]="Cancelled",0,Sales[[#This Row],[Qty]])</f>
        <v>1</v>
      </c>
      <c r="R2441" s="161">
        <f>IF(Sales[[#This Row],[Status]]="Cancelled",0,Sales[[#This Row],[Total Amount]])</f>
        <v>4226.76</v>
      </c>
      <c r="S2441" s="162">
        <f>SUM(Sales[Net Amount])</f>
        <v>406839287.73200053</v>
      </c>
    </row>
    <row r="2442" spans="1:19" ht="18.75" x14ac:dyDescent="0.25">
      <c r="A2442" s="163" t="s">
        <v>6069</v>
      </c>
      <c r="B2442" s="164">
        <v>45901</v>
      </c>
      <c r="C2442" s="34" t="s">
        <v>892</v>
      </c>
      <c r="D2442" s="53" t="str">
        <f>VLOOKUP(Sales[[#This Row],[Customer ID]],Customer[#All],2,0)</f>
        <v>Sahil Verma</v>
      </c>
      <c r="E2442" s="34" t="s">
        <v>85</v>
      </c>
      <c r="F2442" s="34" t="str">
        <f>VLOOKUP(Sales[[#This Row],[Product ID]],Product[#All],2,0)</f>
        <v>Apc UPS</v>
      </c>
      <c r="G2442" s="53">
        <v>5</v>
      </c>
      <c r="H2442" s="165">
        <f>VLOOKUP(Sales[[#This Row],[Product ID]],Product[#All],7,0)</f>
        <v>8770</v>
      </c>
      <c r="I2442" s="165">
        <f>Sales[[#This Row],[Selling Rate]]*Sales[[#This Row],[Qty]]</f>
        <v>43850</v>
      </c>
      <c r="J2442" s="45">
        <v>0.1</v>
      </c>
      <c r="K2442" s="46">
        <f>Sales[[#This Row],[Gross Amount]]*Sales[[#This Row],[Disc %]]</f>
        <v>4385</v>
      </c>
      <c r="L2442" s="43">
        <v>0.18</v>
      </c>
      <c r="M2442" s="46">
        <f>(Sales[[#This Row],[Gross Amount]]-Sales[[#This Row],[Disc. Amt.]])*Sales[[#This Row],[GST %]]</f>
        <v>7103.7</v>
      </c>
      <c r="N2442" s="161">
        <f>Sales[[#This Row],[Gross Amount]]-Sales[[#This Row],[Disc. Amt.]]+Sales[[#This Row],[GST Amount]]</f>
        <v>46568.7</v>
      </c>
      <c r="O2442" s="34" t="s">
        <v>8876</v>
      </c>
      <c r="P2442" s="34" t="s">
        <v>3562</v>
      </c>
      <c r="Q2442" s="165">
        <f>IF(Sales[[#This Row],[Status]]="Cancelled",0,Sales[[#This Row],[Qty]])</f>
        <v>5</v>
      </c>
      <c r="R2442" s="166">
        <f>IF(Sales[[#This Row],[Status]]="Cancelled",0,Sales[[#This Row],[Total Amount]])</f>
        <v>46568.7</v>
      </c>
      <c r="S2442" s="162">
        <f>SUM(Sales[Net Amount])</f>
        <v>406839287.73200053</v>
      </c>
    </row>
    <row r="2443" spans="1:19" ht="18.75" x14ac:dyDescent="0.25">
      <c r="A2443" s="156" t="s">
        <v>6070</v>
      </c>
      <c r="B2443" s="157">
        <v>45901</v>
      </c>
      <c r="C2443" s="158" t="s">
        <v>822</v>
      </c>
      <c r="D2443" s="159" t="str">
        <f>VLOOKUP(Sales[[#This Row],[Customer ID]],Customer[#All],2,0)</f>
        <v>Vikas Singh</v>
      </c>
      <c r="E2443" s="158" t="s">
        <v>124</v>
      </c>
      <c r="F2443" s="158" t="str">
        <f>VLOOKUP(Sales[[#This Row],[Product ID]],Product[#All],2,0)</f>
        <v>Crucial Ssd</v>
      </c>
      <c r="G2443" s="159">
        <v>1</v>
      </c>
      <c r="H2443" s="160">
        <f>VLOOKUP(Sales[[#This Row],[Product ID]],Product[#All],7,0)</f>
        <v>14820</v>
      </c>
      <c r="I2443" s="160">
        <f>Sales[[#This Row],[Selling Rate]]*Sales[[#This Row],[Qty]]</f>
        <v>14820</v>
      </c>
      <c r="J2443" s="43">
        <v>0</v>
      </c>
      <c r="K2443" s="44">
        <f>Sales[[#This Row],[Gross Amount]]*Sales[[#This Row],[Disc %]]</f>
        <v>0</v>
      </c>
      <c r="L2443" s="43">
        <v>0.18</v>
      </c>
      <c r="M2443" s="44">
        <f>(Sales[[#This Row],[Gross Amount]]-Sales[[#This Row],[Disc. Amt.]])*Sales[[#This Row],[GST %]]</f>
        <v>2667.6</v>
      </c>
      <c r="N2443" s="161">
        <f>Sales[[#This Row],[Gross Amount]]-Sales[[#This Row],[Disc. Amt.]]+Sales[[#This Row],[GST Amount]]</f>
        <v>17487.599999999999</v>
      </c>
      <c r="O2443" s="158" t="s">
        <v>3566</v>
      </c>
      <c r="P2443" s="158" t="s">
        <v>3562</v>
      </c>
      <c r="Q2443" s="160">
        <f>IF(Sales[[#This Row],[Status]]="Cancelled",0,Sales[[#This Row],[Qty]])</f>
        <v>1</v>
      </c>
      <c r="R2443" s="161">
        <f>IF(Sales[[#This Row],[Status]]="Cancelled",0,Sales[[#This Row],[Total Amount]])</f>
        <v>17487.599999999999</v>
      </c>
      <c r="S2443" s="162">
        <f>SUM(Sales[Net Amount])</f>
        <v>406839287.73200053</v>
      </c>
    </row>
    <row r="2444" spans="1:19" ht="18.75" x14ac:dyDescent="0.25">
      <c r="A2444" s="163" t="s">
        <v>6071</v>
      </c>
      <c r="B2444" s="164">
        <v>45901</v>
      </c>
      <c r="C2444" s="34" t="s">
        <v>825</v>
      </c>
      <c r="D2444" s="53" t="str">
        <f>VLOOKUP(Sales[[#This Row],[Customer ID]],Customer[#All],2,0)</f>
        <v>Rahul Kumar</v>
      </c>
      <c r="E2444" s="34" t="s">
        <v>368</v>
      </c>
      <c r="F2444" s="34" t="str">
        <f>VLOOKUP(Sales[[#This Row],[Product ID]],Product[#All],2,0)</f>
        <v>Sandisk Pen Drive</v>
      </c>
      <c r="G2444" s="53">
        <v>5</v>
      </c>
      <c r="H2444" s="165">
        <f>VLOOKUP(Sales[[#This Row],[Product ID]],Product[#All],7,0)</f>
        <v>1270</v>
      </c>
      <c r="I2444" s="165">
        <f>Sales[[#This Row],[Selling Rate]]*Sales[[#This Row],[Qty]]</f>
        <v>6350</v>
      </c>
      <c r="J2444" s="45">
        <v>0.1</v>
      </c>
      <c r="K2444" s="46">
        <f>Sales[[#This Row],[Gross Amount]]*Sales[[#This Row],[Disc %]]</f>
        <v>635</v>
      </c>
      <c r="L2444" s="43">
        <v>0.18</v>
      </c>
      <c r="M2444" s="46">
        <f>(Sales[[#This Row],[Gross Amount]]-Sales[[#This Row],[Disc. Amt.]])*Sales[[#This Row],[GST %]]</f>
        <v>1028.7</v>
      </c>
      <c r="N2444" s="161">
        <f>Sales[[#This Row],[Gross Amount]]-Sales[[#This Row],[Disc. Amt.]]+Sales[[#This Row],[GST Amount]]</f>
        <v>6743.7</v>
      </c>
      <c r="O2444" s="34" t="s">
        <v>8876</v>
      </c>
      <c r="P2444" s="34" t="s">
        <v>3562</v>
      </c>
      <c r="Q2444" s="165">
        <f>IF(Sales[[#This Row],[Status]]="Cancelled",0,Sales[[#This Row],[Qty]])</f>
        <v>5</v>
      </c>
      <c r="R2444" s="166">
        <f>IF(Sales[[#This Row],[Status]]="Cancelled",0,Sales[[#This Row],[Total Amount]])</f>
        <v>6743.7</v>
      </c>
      <c r="S2444" s="162">
        <f>SUM(Sales[Net Amount])</f>
        <v>406839287.73200053</v>
      </c>
    </row>
    <row r="2445" spans="1:19" ht="18.75" x14ac:dyDescent="0.25">
      <c r="A2445" s="156" t="s">
        <v>6072</v>
      </c>
      <c r="B2445" s="157">
        <v>45901</v>
      </c>
      <c r="C2445" s="158" t="s">
        <v>689</v>
      </c>
      <c r="D2445" s="159" t="str">
        <f>VLOOKUP(Sales[[#This Row],[Customer ID]],Customer[#All],2,0)</f>
        <v>Sahil Kumar</v>
      </c>
      <c r="E2445" s="158" t="s">
        <v>422</v>
      </c>
      <c r="F2445" s="158" t="str">
        <f>VLOOKUP(Sales[[#This Row],[Product ID]],Product[#All],2,0)</f>
        <v>Microtek UPS</v>
      </c>
      <c r="G2445" s="159">
        <v>4</v>
      </c>
      <c r="H2445" s="160">
        <f>VLOOKUP(Sales[[#This Row],[Product ID]],Product[#All],7,0)</f>
        <v>6450</v>
      </c>
      <c r="I2445" s="160">
        <f>Sales[[#This Row],[Selling Rate]]*Sales[[#This Row],[Qty]]</f>
        <v>25800</v>
      </c>
      <c r="J2445" s="43">
        <v>0.15</v>
      </c>
      <c r="K2445" s="44">
        <f>Sales[[#This Row],[Gross Amount]]*Sales[[#This Row],[Disc %]]</f>
        <v>3870</v>
      </c>
      <c r="L2445" s="43">
        <v>0.18</v>
      </c>
      <c r="M2445" s="44">
        <f>(Sales[[#This Row],[Gross Amount]]-Sales[[#This Row],[Disc. Amt.]])*Sales[[#This Row],[GST %]]</f>
        <v>3947.3999999999996</v>
      </c>
      <c r="N2445" s="161">
        <f>Sales[[#This Row],[Gross Amount]]-Sales[[#This Row],[Disc. Amt.]]+Sales[[#This Row],[GST Amount]]</f>
        <v>25877.4</v>
      </c>
      <c r="O2445" s="158" t="s">
        <v>3561</v>
      </c>
      <c r="P2445" s="158" t="s">
        <v>3562</v>
      </c>
      <c r="Q2445" s="160">
        <f>IF(Sales[[#This Row],[Status]]="Cancelled",0,Sales[[#This Row],[Qty]])</f>
        <v>4</v>
      </c>
      <c r="R2445" s="161">
        <f>IF(Sales[[#This Row],[Status]]="Cancelled",0,Sales[[#This Row],[Total Amount]])</f>
        <v>25877.4</v>
      </c>
      <c r="S2445" s="162">
        <f>SUM(Sales[Net Amount])</f>
        <v>406839287.73200053</v>
      </c>
    </row>
    <row r="2446" spans="1:19" ht="18.75" x14ac:dyDescent="0.25">
      <c r="A2446" s="163" t="s">
        <v>6073</v>
      </c>
      <c r="B2446" s="164">
        <v>45901</v>
      </c>
      <c r="C2446" s="34" t="s">
        <v>897</v>
      </c>
      <c r="D2446" s="53" t="str">
        <f>VLOOKUP(Sales[[#This Row],[Customer ID]],Customer[#All],2,0)</f>
        <v>Amit Patel</v>
      </c>
      <c r="E2446" s="34" t="s">
        <v>277</v>
      </c>
      <c r="F2446" s="34" t="str">
        <f>VLOOKUP(Sales[[#This Row],[Product ID]],Product[#All],2,0)</f>
        <v>D-Link Router</v>
      </c>
      <c r="G2446" s="53">
        <v>8</v>
      </c>
      <c r="H2446" s="165">
        <f>VLOOKUP(Sales[[#This Row],[Product ID]],Product[#All],7,0)</f>
        <v>4630</v>
      </c>
      <c r="I2446" s="165">
        <f>Sales[[#This Row],[Selling Rate]]*Sales[[#This Row],[Qty]]</f>
        <v>37040</v>
      </c>
      <c r="J2446" s="45">
        <v>0.05</v>
      </c>
      <c r="K2446" s="46">
        <f>Sales[[#This Row],[Gross Amount]]*Sales[[#This Row],[Disc %]]</f>
        <v>1852</v>
      </c>
      <c r="L2446" s="43">
        <v>0.18</v>
      </c>
      <c r="M2446" s="46">
        <f>(Sales[[#This Row],[Gross Amount]]-Sales[[#This Row],[Disc. Amt.]])*Sales[[#This Row],[GST %]]</f>
        <v>6333.84</v>
      </c>
      <c r="N2446" s="161">
        <f>Sales[[#This Row],[Gross Amount]]-Sales[[#This Row],[Disc. Amt.]]+Sales[[#This Row],[GST Amount]]</f>
        <v>41521.839999999997</v>
      </c>
      <c r="O2446" s="34" t="s">
        <v>3566</v>
      </c>
      <c r="P2446" s="34" t="s">
        <v>3562</v>
      </c>
      <c r="Q2446" s="165">
        <f>IF(Sales[[#This Row],[Status]]="Cancelled",0,Sales[[#This Row],[Qty]])</f>
        <v>8</v>
      </c>
      <c r="R2446" s="166">
        <f>IF(Sales[[#This Row],[Status]]="Cancelled",0,Sales[[#This Row],[Total Amount]])</f>
        <v>41521.839999999997</v>
      </c>
      <c r="S2446" s="162">
        <f>SUM(Sales[Net Amount])</f>
        <v>406839287.73200053</v>
      </c>
    </row>
    <row r="2447" spans="1:19" ht="18.75" x14ac:dyDescent="0.25">
      <c r="A2447" s="156" t="s">
        <v>6074</v>
      </c>
      <c r="B2447" s="157">
        <v>45901</v>
      </c>
      <c r="C2447" s="158" t="s">
        <v>827</v>
      </c>
      <c r="D2447" s="159" t="str">
        <f>VLOOKUP(Sales[[#This Row],[Customer ID]],Customer[#All],2,0)</f>
        <v>Ankit Gupta</v>
      </c>
      <c r="E2447" s="158" t="s">
        <v>7</v>
      </c>
      <c r="F2447" s="158" t="str">
        <f>VLOOKUP(Sales[[#This Row],[Product ID]],Product[#All],2,0)</f>
        <v>Dell Desktop</v>
      </c>
      <c r="G2447" s="159">
        <v>3</v>
      </c>
      <c r="H2447" s="160">
        <f>VLOOKUP(Sales[[#This Row],[Product ID]],Product[#All],7,0)</f>
        <v>33010</v>
      </c>
      <c r="I2447" s="160">
        <f>Sales[[#This Row],[Selling Rate]]*Sales[[#This Row],[Qty]]</f>
        <v>99030</v>
      </c>
      <c r="J2447" s="43">
        <v>0.05</v>
      </c>
      <c r="K2447" s="44">
        <f>Sales[[#This Row],[Gross Amount]]*Sales[[#This Row],[Disc %]]</f>
        <v>4951.5</v>
      </c>
      <c r="L2447" s="43">
        <v>0.18</v>
      </c>
      <c r="M2447" s="44">
        <f>(Sales[[#This Row],[Gross Amount]]-Sales[[#This Row],[Disc. Amt.]])*Sales[[#This Row],[GST %]]</f>
        <v>16934.13</v>
      </c>
      <c r="N2447" s="161">
        <f>Sales[[#This Row],[Gross Amount]]-Sales[[#This Row],[Disc. Amt.]]+Sales[[#This Row],[GST Amount]]</f>
        <v>111012.63</v>
      </c>
      <c r="O2447" s="158" t="s">
        <v>3569</v>
      </c>
      <c r="P2447" s="158" t="s">
        <v>3562</v>
      </c>
      <c r="Q2447" s="160">
        <f>IF(Sales[[#This Row],[Status]]="Cancelled",0,Sales[[#This Row],[Qty]])</f>
        <v>3</v>
      </c>
      <c r="R2447" s="161">
        <f>IF(Sales[[#This Row],[Status]]="Cancelled",0,Sales[[#This Row],[Total Amount]])</f>
        <v>111012.63</v>
      </c>
      <c r="S2447" s="162">
        <f>SUM(Sales[Net Amount])</f>
        <v>406839287.73200053</v>
      </c>
    </row>
    <row r="2448" spans="1:19" ht="18.75" x14ac:dyDescent="0.25">
      <c r="A2448" s="163" t="s">
        <v>6075</v>
      </c>
      <c r="B2448" s="164">
        <v>45901</v>
      </c>
      <c r="C2448" s="34" t="s">
        <v>773</v>
      </c>
      <c r="D2448" s="53" t="str">
        <f>VLOOKUP(Sales[[#This Row],[Customer ID]],Customer[#All],2,0)</f>
        <v>Rahul Kumar</v>
      </c>
      <c r="E2448" s="34" t="s">
        <v>455</v>
      </c>
      <c r="F2448" s="34" t="str">
        <f>VLOOKUP(Sales[[#This Row],[Product ID]],Product[#All],2,0)</f>
        <v>WD HDD</v>
      </c>
      <c r="G2448" s="53">
        <v>7</v>
      </c>
      <c r="H2448" s="165">
        <f>VLOOKUP(Sales[[#This Row],[Product ID]],Product[#All],7,0)</f>
        <v>13980</v>
      </c>
      <c r="I2448" s="165">
        <f>Sales[[#This Row],[Selling Rate]]*Sales[[#This Row],[Qty]]</f>
        <v>97860</v>
      </c>
      <c r="J2448" s="45">
        <v>0.02</v>
      </c>
      <c r="K2448" s="46">
        <f>Sales[[#This Row],[Gross Amount]]*Sales[[#This Row],[Disc %]]</f>
        <v>1957.2</v>
      </c>
      <c r="L2448" s="43">
        <v>0.18</v>
      </c>
      <c r="M2448" s="46">
        <f>(Sales[[#This Row],[Gross Amount]]-Sales[[#This Row],[Disc. Amt.]])*Sales[[#This Row],[GST %]]</f>
        <v>17262.504000000001</v>
      </c>
      <c r="N2448" s="161">
        <f>Sales[[#This Row],[Gross Amount]]-Sales[[#This Row],[Disc. Amt.]]+Sales[[#This Row],[GST Amount]]</f>
        <v>113165.304</v>
      </c>
      <c r="O2448" s="34" t="s">
        <v>3561</v>
      </c>
      <c r="P2448" s="34" t="s">
        <v>3562</v>
      </c>
      <c r="Q2448" s="165">
        <f>IF(Sales[[#This Row],[Status]]="Cancelled",0,Sales[[#This Row],[Qty]])</f>
        <v>7</v>
      </c>
      <c r="R2448" s="166">
        <f>IF(Sales[[#This Row],[Status]]="Cancelled",0,Sales[[#This Row],[Total Amount]])</f>
        <v>113165.304</v>
      </c>
      <c r="S2448" s="162">
        <f>SUM(Sales[Net Amount])</f>
        <v>406839287.73200053</v>
      </c>
    </row>
    <row r="2449" spans="1:19" ht="18.75" x14ac:dyDescent="0.25">
      <c r="A2449" s="156" t="s">
        <v>6076</v>
      </c>
      <c r="B2449" s="157">
        <v>45901</v>
      </c>
      <c r="C2449" s="158" t="s">
        <v>926</v>
      </c>
      <c r="D2449" s="159" t="str">
        <f>VLOOKUP(Sales[[#This Row],[Customer ID]],Customer[#All],2,0)</f>
        <v>Pooja Singh</v>
      </c>
      <c r="E2449" s="158" t="s">
        <v>532</v>
      </c>
      <c r="F2449" s="158" t="str">
        <f>VLOOKUP(Sales[[#This Row],[Product ID]],Product[#All],2,0)</f>
        <v>Dell Laptop</v>
      </c>
      <c r="G2449" s="159">
        <v>5</v>
      </c>
      <c r="H2449" s="160">
        <f>VLOOKUP(Sales[[#This Row],[Product ID]],Product[#All],7,0)</f>
        <v>47550</v>
      </c>
      <c r="I2449" s="160">
        <f>Sales[[#This Row],[Selling Rate]]*Sales[[#This Row],[Qty]]</f>
        <v>237750</v>
      </c>
      <c r="J2449" s="43">
        <v>0.05</v>
      </c>
      <c r="K2449" s="44">
        <f>Sales[[#This Row],[Gross Amount]]*Sales[[#This Row],[Disc %]]</f>
        <v>11887.5</v>
      </c>
      <c r="L2449" s="43">
        <v>0.18</v>
      </c>
      <c r="M2449" s="44">
        <f>(Sales[[#This Row],[Gross Amount]]-Sales[[#This Row],[Disc. Amt.]])*Sales[[#This Row],[GST %]]</f>
        <v>40655.25</v>
      </c>
      <c r="N2449" s="161">
        <f>Sales[[#This Row],[Gross Amount]]-Sales[[#This Row],[Disc. Amt.]]+Sales[[#This Row],[GST Amount]]</f>
        <v>266517.75</v>
      </c>
      <c r="O2449" s="158" t="s">
        <v>3569</v>
      </c>
      <c r="P2449" s="158" t="s">
        <v>3562</v>
      </c>
      <c r="Q2449" s="160">
        <f>IF(Sales[[#This Row],[Status]]="Cancelled",0,Sales[[#This Row],[Qty]])</f>
        <v>5</v>
      </c>
      <c r="R2449" s="161">
        <f>IF(Sales[[#This Row],[Status]]="Cancelled",0,Sales[[#This Row],[Total Amount]])</f>
        <v>266517.75</v>
      </c>
      <c r="S2449" s="162">
        <f>SUM(Sales[Net Amount])</f>
        <v>406839287.73200053</v>
      </c>
    </row>
    <row r="2450" spans="1:19" ht="18.75" x14ac:dyDescent="0.25">
      <c r="A2450" s="163" t="s">
        <v>6077</v>
      </c>
      <c r="B2450" s="164">
        <v>45901</v>
      </c>
      <c r="C2450" s="34" t="s">
        <v>866</v>
      </c>
      <c r="D2450" s="53" t="str">
        <f>VLOOKUP(Sales[[#This Row],[Customer ID]],Customer[#All],2,0)</f>
        <v>Priya Patel</v>
      </c>
      <c r="E2450" s="34" t="s">
        <v>385</v>
      </c>
      <c r="F2450" s="34" t="str">
        <f>VLOOKUP(Sales[[#This Row],[Product ID]],Product[#All],2,0)</f>
        <v>Boat Headset</v>
      </c>
      <c r="G2450" s="53">
        <v>6</v>
      </c>
      <c r="H2450" s="165">
        <f>VLOOKUP(Sales[[#This Row],[Product ID]],Product[#All],7,0)</f>
        <v>1280</v>
      </c>
      <c r="I2450" s="165">
        <f>Sales[[#This Row],[Selling Rate]]*Sales[[#This Row],[Qty]]</f>
        <v>7680</v>
      </c>
      <c r="J2450" s="45">
        <v>0</v>
      </c>
      <c r="K2450" s="46">
        <f>Sales[[#This Row],[Gross Amount]]*Sales[[#This Row],[Disc %]]</f>
        <v>0</v>
      </c>
      <c r="L2450" s="43">
        <v>0.18</v>
      </c>
      <c r="M2450" s="46">
        <f>(Sales[[#This Row],[Gross Amount]]-Sales[[#This Row],[Disc. Amt.]])*Sales[[#This Row],[GST %]]</f>
        <v>1382.3999999999999</v>
      </c>
      <c r="N2450" s="161">
        <f>Sales[[#This Row],[Gross Amount]]-Sales[[#This Row],[Disc. Amt.]]+Sales[[#This Row],[GST Amount]]</f>
        <v>9062.4</v>
      </c>
      <c r="O2450" s="34" t="s">
        <v>3561</v>
      </c>
      <c r="P2450" s="34" t="s">
        <v>3562</v>
      </c>
      <c r="Q2450" s="165">
        <f>IF(Sales[[#This Row],[Status]]="Cancelled",0,Sales[[#This Row],[Qty]])</f>
        <v>6</v>
      </c>
      <c r="R2450" s="166">
        <f>IF(Sales[[#This Row],[Status]]="Cancelled",0,Sales[[#This Row],[Total Amount]])</f>
        <v>9062.4</v>
      </c>
      <c r="S2450" s="162">
        <f>SUM(Sales[Net Amount])</f>
        <v>406839287.73200053</v>
      </c>
    </row>
    <row r="2451" spans="1:19" ht="18.75" x14ac:dyDescent="0.25">
      <c r="A2451" s="156" t="s">
        <v>6078</v>
      </c>
      <c r="B2451" s="157">
        <v>45901</v>
      </c>
      <c r="C2451" s="158" t="s">
        <v>791</v>
      </c>
      <c r="D2451" s="159" t="str">
        <f>VLOOKUP(Sales[[#This Row],[Customer ID]],Customer[#All],2,0)</f>
        <v>Rakesh Sharma</v>
      </c>
      <c r="E2451" s="158" t="s">
        <v>400</v>
      </c>
      <c r="F2451" s="158" t="str">
        <f>VLOOKUP(Sales[[#This Row],[Product ID]],Product[#All],2,0)</f>
        <v>TP-link Bluetooth Adapter</v>
      </c>
      <c r="G2451" s="159">
        <v>5</v>
      </c>
      <c r="H2451" s="160">
        <f>VLOOKUP(Sales[[#This Row],[Product ID]],Product[#All],7,0)</f>
        <v>1320</v>
      </c>
      <c r="I2451" s="160">
        <f>Sales[[#This Row],[Selling Rate]]*Sales[[#This Row],[Qty]]</f>
        <v>6600</v>
      </c>
      <c r="J2451" s="43">
        <v>0.15</v>
      </c>
      <c r="K2451" s="44">
        <f>Sales[[#This Row],[Gross Amount]]*Sales[[#This Row],[Disc %]]</f>
        <v>990</v>
      </c>
      <c r="L2451" s="43">
        <v>0.18</v>
      </c>
      <c r="M2451" s="44">
        <f>(Sales[[#This Row],[Gross Amount]]-Sales[[#This Row],[Disc. Amt.]])*Sales[[#This Row],[GST %]]</f>
        <v>1009.8</v>
      </c>
      <c r="N2451" s="161">
        <f>Sales[[#This Row],[Gross Amount]]-Sales[[#This Row],[Disc. Amt.]]+Sales[[#This Row],[GST Amount]]</f>
        <v>6619.8</v>
      </c>
      <c r="O2451" s="158" t="s">
        <v>3566</v>
      </c>
      <c r="P2451" s="158" t="s">
        <v>3562</v>
      </c>
      <c r="Q2451" s="160">
        <f>IF(Sales[[#This Row],[Status]]="Cancelled",0,Sales[[#This Row],[Qty]])</f>
        <v>5</v>
      </c>
      <c r="R2451" s="161">
        <f>IF(Sales[[#This Row],[Status]]="Cancelled",0,Sales[[#This Row],[Total Amount]])</f>
        <v>6619.8</v>
      </c>
      <c r="S2451" s="162">
        <f>SUM(Sales[Net Amount])</f>
        <v>406839287.73200053</v>
      </c>
    </row>
    <row r="2452" spans="1:19" ht="18.75" x14ac:dyDescent="0.25">
      <c r="A2452" s="163" t="s">
        <v>6079</v>
      </c>
      <c r="B2452" s="164">
        <v>45901</v>
      </c>
      <c r="C2452" s="34" t="s">
        <v>6080</v>
      </c>
      <c r="D2452" s="53" t="str">
        <f>VLOOKUP(Sales[[#This Row],[Customer ID]],Customer[#All],2,0)</f>
        <v>Ankit Kumar</v>
      </c>
      <c r="E2452" s="34" t="s">
        <v>481</v>
      </c>
      <c r="F2452" s="34" t="str">
        <f>VLOOKUP(Sales[[#This Row],[Product ID]],Product[#All],2,0)</f>
        <v>Dell Laptop</v>
      </c>
      <c r="G2452" s="53">
        <v>2</v>
      </c>
      <c r="H2452" s="165">
        <f>VLOOKUP(Sales[[#This Row],[Product ID]],Product[#All],7,0)</f>
        <v>36050</v>
      </c>
      <c r="I2452" s="165">
        <f>Sales[[#This Row],[Selling Rate]]*Sales[[#This Row],[Qty]]</f>
        <v>72100</v>
      </c>
      <c r="J2452" s="45">
        <v>0.12</v>
      </c>
      <c r="K2452" s="46">
        <f>Sales[[#This Row],[Gross Amount]]*Sales[[#This Row],[Disc %]]</f>
        <v>8652</v>
      </c>
      <c r="L2452" s="43">
        <v>0.18</v>
      </c>
      <c r="M2452" s="46">
        <f>(Sales[[#This Row],[Gross Amount]]-Sales[[#This Row],[Disc. Amt.]])*Sales[[#This Row],[GST %]]</f>
        <v>11420.64</v>
      </c>
      <c r="N2452" s="161">
        <f>Sales[[#This Row],[Gross Amount]]-Sales[[#This Row],[Disc. Amt.]]+Sales[[#This Row],[GST Amount]]</f>
        <v>74868.639999999999</v>
      </c>
      <c r="O2452" s="34" t="s">
        <v>3566</v>
      </c>
      <c r="P2452" s="34" t="s">
        <v>3562</v>
      </c>
      <c r="Q2452" s="165">
        <f>IF(Sales[[#This Row],[Status]]="Cancelled",0,Sales[[#This Row],[Qty]])</f>
        <v>2</v>
      </c>
      <c r="R2452" s="166">
        <f>IF(Sales[[#This Row],[Status]]="Cancelled",0,Sales[[#This Row],[Total Amount]])</f>
        <v>74868.639999999999</v>
      </c>
      <c r="S2452" s="162">
        <f>SUM(Sales[Net Amount])</f>
        <v>406839287.73200053</v>
      </c>
    </row>
    <row r="2453" spans="1:19" ht="18.75" x14ac:dyDescent="0.25">
      <c r="A2453" s="156" t="s">
        <v>6081</v>
      </c>
      <c r="B2453" s="157">
        <v>45901</v>
      </c>
      <c r="C2453" s="158" t="s">
        <v>666</v>
      </c>
      <c r="D2453" s="159" t="str">
        <f>VLOOKUP(Sales[[#This Row],[Customer ID]],Customer[#All],2,0)</f>
        <v>Sahil Gupta</v>
      </c>
      <c r="E2453" s="158" t="s">
        <v>308</v>
      </c>
      <c r="F2453" s="158" t="str">
        <f>VLOOKUP(Sales[[#This Row],[Product ID]],Product[#All],2,0)</f>
        <v>Kingston Ram</v>
      </c>
      <c r="G2453" s="159">
        <v>5</v>
      </c>
      <c r="H2453" s="160">
        <f>VLOOKUP(Sales[[#This Row],[Product ID]],Product[#All],7,0)</f>
        <v>3980</v>
      </c>
      <c r="I2453" s="160">
        <f>Sales[[#This Row],[Selling Rate]]*Sales[[#This Row],[Qty]]</f>
        <v>19900</v>
      </c>
      <c r="J2453" s="43">
        <v>0.1</v>
      </c>
      <c r="K2453" s="44">
        <f>Sales[[#This Row],[Gross Amount]]*Sales[[#This Row],[Disc %]]</f>
        <v>1990</v>
      </c>
      <c r="L2453" s="43">
        <v>0.18</v>
      </c>
      <c r="M2453" s="44">
        <f>(Sales[[#This Row],[Gross Amount]]-Sales[[#This Row],[Disc. Amt.]])*Sales[[#This Row],[GST %]]</f>
        <v>3223.7999999999997</v>
      </c>
      <c r="N2453" s="161">
        <f>Sales[[#This Row],[Gross Amount]]-Sales[[#This Row],[Disc. Amt.]]+Sales[[#This Row],[GST Amount]]</f>
        <v>21133.8</v>
      </c>
      <c r="O2453" s="158" t="s">
        <v>3569</v>
      </c>
      <c r="P2453" s="158" t="s">
        <v>3562</v>
      </c>
      <c r="Q2453" s="160">
        <f>IF(Sales[[#This Row],[Status]]="Cancelled",0,Sales[[#This Row],[Qty]])</f>
        <v>5</v>
      </c>
      <c r="R2453" s="161">
        <f>IF(Sales[[#This Row],[Status]]="Cancelled",0,Sales[[#This Row],[Total Amount]])</f>
        <v>21133.8</v>
      </c>
      <c r="S2453" s="162">
        <f>SUM(Sales[Net Amount])</f>
        <v>406839287.73200053</v>
      </c>
    </row>
    <row r="2454" spans="1:19" ht="18.75" x14ac:dyDescent="0.25">
      <c r="A2454" s="163" t="s">
        <v>6082</v>
      </c>
      <c r="B2454" s="164">
        <v>45902</v>
      </c>
      <c r="C2454" s="34" t="s">
        <v>938</v>
      </c>
      <c r="D2454" s="53" t="str">
        <f>VLOOKUP(Sales[[#This Row],[Customer ID]],Customer[#All],2,0)</f>
        <v>Sunita Sharma</v>
      </c>
      <c r="E2454" s="34" t="s">
        <v>426</v>
      </c>
      <c r="F2454" s="34" t="str">
        <f>VLOOKUP(Sales[[#This Row],[Product ID]],Product[#All],2,0)</f>
        <v>Jbl Speaker</v>
      </c>
      <c r="G2454" s="53">
        <v>3</v>
      </c>
      <c r="H2454" s="165">
        <f>VLOOKUP(Sales[[#This Row],[Product ID]],Product[#All],7,0)</f>
        <v>5260</v>
      </c>
      <c r="I2454" s="165">
        <f>Sales[[#This Row],[Selling Rate]]*Sales[[#This Row],[Qty]]</f>
        <v>15780</v>
      </c>
      <c r="J2454" s="45">
        <v>0.15</v>
      </c>
      <c r="K2454" s="46">
        <f>Sales[[#This Row],[Gross Amount]]*Sales[[#This Row],[Disc %]]</f>
        <v>2367</v>
      </c>
      <c r="L2454" s="43">
        <v>0.18</v>
      </c>
      <c r="M2454" s="46">
        <f>(Sales[[#This Row],[Gross Amount]]-Sales[[#This Row],[Disc. Amt.]])*Sales[[#This Row],[GST %]]</f>
        <v>2414.3399999999997</v>
      </c>
      <c r="N2454" s="161">
        <f>Sales[[#This Row],[Gross Amount]]-Sales[[#This Row],[Disc. Amt.]]+Sales[[#This Row],[GST Amount]]</f>
        <v>15827.34</v>
      </c>
      <c r="O2454" s="34" t="s">
        <v>3569</v>
      </c>
      <c r="P2454" s="34" t="s">
        <v>3562</v>
      </c>
      <c r="Q2454" s="165">
        <f>IF(Sales[[#This Row],[Status]]="Cancelled",0,Sales[[#This Row],[Qty]])</f>
        <v>3</v>
      </c>
      <c r="R2454" s="166">
        <f>IF(Sales[[#This Row],[Status]]="Cancelled",0,Sales[[#This Row],[Total Amount]])</f>
        <v>15827.34</v>
      </c>
      <c r="S2454" s="162">
        <f>SUM(Sales[Net Amount])</f>
        <v>406839287.73200053</v>
      </c>
    </row>
    <row r="2455" spans="1:19" ht="18.75" x14ac:dyDescent="0.25">
      <c r="A2455" s="156" t="s">
        <v>6083</v>
      </c>
      <c r="B2455" s="157">
        <v>45902</v>
      </c>
      <c r="C2455" s="158" t="s">
        <v>866</v>
      </c>
      <c r="D2455" s="159" t="str">
        <f>VLOOKUP(Sales[[#This Row],[Customer ID]],Customer[#All],2,0)</f>
        <v>Priya Patel</v>
      </c>
      <c r="E2455" s="158" t="s">
        <v>492</v>
      </c>
      <c r="F2455" s="158" t="str">
        <f>VLOOKUP(Sales[[#This Row],[Product ID]],Product[#All],2,0)</f>
        <v>Microtek UPS</v>
      </c>
      <c r="G2455" s="159">
        <v>2</v>
      </c>
      <c r="H2455" s="160">
        <f>VLOOKUP(Sales[[#This Row],[Product ID]],Product[#All],7,0)</f>
        <v>13470</v>
      </c>
      <c r="I2455" s="160">
        <f>Sales[[#This Row],[Selling Rate]]*Sales[[#This Row],[Qty]]</f>
        <v>26940</v>
      </c>
      <c r="J2455" s="43">
        <v>0</v>
      </c>
      <c r="K2455" s="44">
        <f>Sales[[#This Row],[Gross Amount]]*Sales[[#This Row],[Disc %]]</f>
        <v>0</v>
      </c>
      <c r="L2455" s="43">
        <v>0.18</v>
      </c>
      <c r="M2455" s="44">
        <f>(Sales[[#This Row],[Gross Amount]]-Sales[[#This Row],[Disc. Amt.]])*Sales[[#This Row],[GST %]]</f>
        <v>4849.2</v>
      </c>
      <c r="N2455" s="161">
        <f>Sales[[#This Row],[Gross Amount]]-Sales[[#This Row],[Disc. Amt.]]+Sales[[#This Row],[GST Amount]]</f>
        <v>31789.200000000001</v>
      </c>
      <c r="O2455" s="158" t="s">
        <v>3569</v>
      </c>
      <c r="P2455" s="158" t="s">
        <v>3562</v>
      </c>
      <c r="Q2455" s="160">
        <f>IF(Sales[[#This Row],[Status]]="Cancelled",0,Sales[[#This Row],[Qty]])</f>
        <v>2</v>
      </c>
      <c r="R2455" s="161">
        <f>IF(Sales[[#This Row],[Status]]="Cancelled",0,Sales[[#This Row],[Total Amount]])</f>
        <v>31789.200000000001</v>
      </c>
      <c r="S2455" s="162">
        <f>SUM(Sales[Net Amount])</f>
        <v>406839287.73200053</v>
      </c>
    </row>
    <row r="2456" spans="1:19" ht="18.75" x14ac:dyDescent="0.25">
      <c r="A2456" s="163" t="s">
        <v>6084</v>
      </c>
      <c r="B2456" s="164">
        <v>45902</v>
      </c>
      <c r="C2456" s="34" t="s">
        <v>872</v>
      </c>
      <c r="D2456" s="53" t="str">
        <f>VLOOKUP(Sales[[#This Row],[Customer ID]],Customer[#All],2,0)</f>
        <v>Rahul Verma</v>
      </c>
      <c r="E2456" s="34" t="s">
        <v>117</v>
      </c>
      <c r="F2456" s="34" t="str">
        <f>VLOOKUP(Sales[[#This Row],[Product ID]],Product[#All],2,0)</f>
        <v>Logitech Mouse</v>
      </c>
      <c r="G2456" s="53">
        <v>7</v>
      </c>
      <c r="H2456" s="165">
        <f>VLOOKUP(Sales[[#This Row],[Product ID]],Product[#All],7,0)</f>
        <v>2960</v>
      </c>
      <c r="I2456" s="165">
        <f>Sales[[#This Row],[Selling Rate]]*Sales[[#This Row],[Qty]]</f>
        <v>20720</v>
      </c>
      <c r="J2456" s="45">
        <v>0</v>
      </c>
      <c r="K2456" s="46">
        <f>Sales[[#This Row],[Gross Amount]]*Sales[[#This Row],[Disc %]]</f>
        <v>0</v>
      </c>
      <c r="L2456" s="43">
        <v>0.18</v>
      </c>
      <c r="M2456" s="46">
        <f>(Sales[[#This Row],[Gross Amount]]-Sales[[#This Row],[Disc. Amt.]])*Sales[[#This Row],[GST %]]</f>
        <v>3729.6</v>
      </c>
      <c r="N2456" s="161">
        <f>Sales[[#This Row],[Gross Amount]]-Sales[[#This Row],[Disc. Amt.]]+Sales[[#This Row],[GST Amount]]</f>
        <v>24449.599999999999</v>
      </c>
      <c r="O2456" s="34" t="s">
        <v>3566</v>
      </c>
      <c r="P2456" s="34" t="s">
        <v>3562</v>
      </c>
      <c r="Q2456" s="165">
        <f>IF(Sales[[#This Row],[Status]]="Cancelled",0,Sales[[#This Row],[Qty]])</f>
        <v>7</v>
      </c>
      <c r="R2456" s="166">
        <f>IF(Sales[[#This Row],[Status]]="Cancelled",0,Sales[[#This Row],[Total Amount]])</f>
        <v>24449.599999999999</v>
      </c>
      <c r="S2456" s="162">
        <f>SUM(Sales[Net Amount])</f>
        <v>406839287.73200053</v>
      </c>
    </row>
    <row r="2457" spans="1:19" ht="18.75" x14ac:dyDescent="0.25">
      <c r="A2457" s="156" t="s">
        <v>6085</v>
      </c>
      <c r="B2457" s="157">
        <v>45902</v>
      </c>
      <c r="C2457" s="158" t="s">
        <v>719</v>
      </c>
      <c r="D2457" s="159" t="str">
        <f>VLOOKUP(Sales[[#This Row],[Customer ID]],Customer[#All],2,0)</f>
        <v>Priya Verma</v>
      </c>
      <c r="E2457" s="158" t="s">
        <v>257</v>
      </c>
      <c r="F2457" s="158" t="str">
        <f>VLOOKUP(Sales[[#This Row],[Product ID]],Product[#All],2,0)</f>
        <v>Epson Printer</v>
      </c>
      <c r="G2457" s="159">
        <v>8</v>
      </c>
      <c r="H2457" s="160">
        <f>VLOOKUP(Sales[[#This Row],[Product ID]],Product[#All],7,0)</f>
        <v>15720</v>
      </c>
      <c r="I2457" s="160">
        <f>Sales[[#This Row],[Selling Rate]]*Sales[[#This Row],[Qty]]</f>
        <v>125760</v>
      </c>
      <c r="J2457" s="43">
        <v>0.05</v>
      </c>
      <c r="K2457" s="44">
        <f>Sales[[#This Row],[Gross Amount]]*Sales[[#This Row],[Disc %]]</f>
        <v>6288</v>
      </c>
      <c r="L2457" s="43">
        <v>0.18</v>
      </c>
      <c r="M2457" s="44">
        <f>(Sales[[#This Row],[Gross Amount]]-Sales[[#This Row],[Disc. Amt.]])*Sales[[#This Row],[GST %]]</f>
        <v>21504.959999999999</v>
      </c>
      <c r="N2457" s="161">
        <f>Sales[[#This Row],[Gross Amount]]-Sales[[#This Row],[Disc. Amt.]]+Sales[[#This Row],[GST Amount]]</f>
        <v>140976.95999999999</v>
      </c>
      <c r="O2457" s="158" t="s">
        <v>3561</v>
      </c>
      <c r="P2457" s="158" t="s">
        <v>3562</v>
      </c>
      <c r="Q2457" s="160">
        <f>IF(Sales[[#This Row],[Status]]="Cancelled",0,Sales[[#This Row],[Qty]])</f>
        <v>8</v>
      </c>
      <c r="R2457" s="161">
        <f>IF(Sales[[#This Row],[Status]]="Cancelled",0,Sales[[#This Row],[Total Amount]])</f>
        <v>140976.95999999999</v>
      </c>
      <c r="S2457" s="162">
        <f>SUM(Sales[Net Amount])</f>
        <v>406839287.73200053</v>
      </c>
    </row>
    <row r="2458" spans="1:19" ht="18.75" x14ac:dyDescent="0.25">
      <c r="A2458" s="163" t="s">
        <v>6086</v>
      </c>
      <c r="B2458" s="164">
        <v>45902</v>
      </c>
      <c r="C2458" s="34" t="s">
        <v>660</v>
      </c>
      <c r="D2458" s="53" t="str">
        <f>VLOOKUP(Sales[[#This Row],[Customer ID]],Customer[#All],2,0)</f>
        <v>Priya Sharma</v>
      </c>
      <c r="E2458" s="34" t="s">
        <v>289</v>
      </c>
      <c r="F2458" s="34" t="str">
        <f>VLOOKUP(Sales[[#This Row],[Product ID]],Product[#All],2,0)</f>
        <v>HP Mouse</v>
      </c>
      <c r="G2458" s="53">
        <v>5</v>
      </c>
      <c r="H2458" s="165">
        <f>VLOOKUP(Sales[[#This Row],[Product ID]],Product[#All],7,0)</f>
        <v>1200</v>
      </c>
      <c r="I2458" s="165">
        <f>Sales[[#This Row],[Selling Rate]]*Sales[[#This Row],[Qty]]</f>
        <v>6000</v>
      </c>
      <c r="J2458" s="45">
        <v>0.05</v>
      </c>
      <c r="K2458" s="46">
        <f>Sales[[#This Row],[Gross Amount]]*Sales[[#This Row],[Disc %]]</f>
        <v>300</v>
      </c>
      <c r="L2458" s="43">
        <v>0.18</v>
      </c>
      <c r="M2458" s="46">
        <f>(Sales[[#This Row],[Gross Amount]]-Sales[[#This Row],[Disc. Amt.]])*Sales[[#This Row],[GST %]]</f>
        <v>1026</v>
      </c>
      <c r="N2458" s="161">
        <f>Sales[[#This Row],[Gross Amount]]-Sales[[#This Row],[Disc. Amt.]]+Sales[[#This Row],[GST Amount]]</f>
        <v>6726</v>
      </c>
      <c r="O2458" s="34" t="s">
        <v>3566</v>
      </c>
      <c r="P2458" s="34" t="s">
        <v>3562</v>
      </c>
      <c r="Q2458" s="165">
        <f>IF(Sales[[#This Row],[Status]]="Cancelled",0,Sales[[#This Row],[Qty]])</f>
        <v>5</v>
      </c>
      <c r="R2458" s="166">
        <f>IF(Sales[[#This Row],[Status]]="Cancelled",0,Sales[[#This Row],[Total Amount]])</f>
        <v>6726</v>
      </c>
      <c r="S2458" s="162">
        <f>SUM(Sales[Net Amount])</f>
        <v>406839287.73200053</v>
      </c>
    </row>
    <row r="2459" spans="1:19" ht="18.75" x14ac:dyDescent="0.25">
      <c r="A2459" s="156" t="s">
        <v>6087</v>
      </c>
      <c r="B2459" s="157">
        <v>45902</v>
      </c>
      <c r="C2459" s="158" t="s">
        <v>927</v>
      </c>
      <c r="D2459" s="159" t="str">
        <f>VLOOKUP(Sales[[#This Row],[Customer ID]],Customer[#All],2,0)</f>
        <v>Sunita Patel</v>
      </c>
      <c r="E2459" s="158" t="s">
        <v>112</v>
      </c>
      <c r="F2459" s="158" t="str">
        <f>VLOOKUP(Sales[[#This Row],[Product ID]],Product[#All],2,0)</f>
        <v>Logitech Keyboard</v>
      </c>
      <c r="G2459" s="159">
        <v>5</v>
      </c>
      <c r="H2459" s="160">
        <f>VLOOKUP(Sales[[#This Row],[Product ID]],Product[#All],7,0)</f>
        <v>3300</v>
      </c>
      <c r="I2459" s="160">
        <f>Sales[[#This Row],[Selling Rate]]*Sales[[#This Row],[Qty]]</f>
        <v>16500</v>
      </c>
      <c r="J2459" s="43">
        <v>0</v>
      </c>
      <c r="K2459" s="44">
        <f>Sales[[#This Row],[Gross Amount]]*Sales[[#This Row],[Disc %]]</f>
        <v>0</v>
      </c>
      <c r="L2459" s="43">
        <v>0.18</v>
      </c>
      <c r="M2459" s="44">
        <f>(Sales[[#This Row],[Gross Amount]]-Sales[[#This Row],[Disc. Amt.]])*Sales[[#This Row],[GST %]]</f>
        <v>2970</v>
      </c>
      <c r="N2459" s="161">
        <f>Sales[[#This Row],[Gross Amount]]-Sales[[#This Row],[Disc. Amt.]]+Sales[[#This Row],[GST Amount]]</f>
        <v>19470</v>
      </c>
      <c r="O2459" s="158" t="s">
        <v>3561</v>
      </c>
      <c r="P2459" s="158" t="s">
        <v>3562</v>
      </c>
      <c r="Q2459" s="160">
        <f>IF(Sales[[#This Row],[Status]]="Cancelled",0,Sales[[#This Row],[Qty]])</f>
        <v>5</v>
      </c>
      <c r="R2459" s="161">
        <f>IF(Sales[[#This Row],[Status]]="Cancelled",0,Sales[[#This Row],[Total Amount]])</f>
        <v>19470</v>
      </c>
      <c r="S2459" s="162">
        <f>SUM(Sales[Net Amount])</f>
        <v>406839287.73200053</v>
      </c>
    </row>
    <row r="2460" spans="1:19" ht="18.75" x14ac:dyDescent="0.25">
      <c r="A2460" s="163" t="s">
        <v>6088</v>
      </c>
      <c r="B2460" s="164">
        <v>45902</v>
      </c>
      <c r="C2460" s="34" t="s">
        <v>949</v>
      </c>
      <c r="D2460" s="53" t="str">
        <f>VLOOKUP(Sales[[#This Row],[Customer ID]],Customer[#All],2,0)</f>
        <v>Amit Patel</v>
      </c>
      <c r="E2460" s="34" t="s">
        <v>379</v>
      </c>
      <c r="F2460" s="34" t="str">
        <f>VLOOKUP(Sales[[#This Row],[Product ID]],Product[#All],2,0)</f>
        <v>Acer Laptop</v>
      </c>
      <c r="G2460" s="53">
        <v>1</v>
      </c>
      <c r="H2460" s="165">
        <f>VLOOKUP(Sales[[#This Row],[Product ID]],Product[#All],7,0)</f>
        <v>74390</v>
      </c>
      <c r="I2460" s="165">
        <f>Sales[[#This Row],[Selling Rate]]*Sales[[#This Row],[Qty]]</f>
        <v>74390</v>
      </c>
      <c r="J2460" s="45">
        <v>0.15</v>
      </c>
      <c r="K2460" s="46">
        <f>Sales[[#This Row],[Gross Amount]]*Sales[[#This Row],[Disc %]]</f>
        <v>11158.5</v>
      </c>
      <c r="L2460" s="43">
        <v>0.18</v>
      </c>
      <c r="M2460" s="46">
        <f>(Sales[[#This Row],[Gross Amount]]-Sales[[#This Row],[Disc. Amt.]])*Sales[[#This Row],[GST %]]</f>
        <v>11381.67</v>
      </c>
      <c r="N2460" s="161">
        <f>Sales[[#This Row],[Gross Amount]]-Sales[[#This Row],[Disc. Amt.]]+Sales[[#This Row],[GST Amount]]</f>
        <v>74613.17</v>
      </c>
      <c r="O2460" s="34" t="s">
        <v>3566</v>
      </c>
      <c r="P2460" s="34" t="s">
        <v>3562</v>
      </c>
      <c r="Q2460" s="165">
        <f>IF(Sales[[#This Row],[Status]]="Cancelled",0,Sales[[#This Row],[Qty]])</f>
        <v>1</v>
      </c>
      <c r="R2460" s="166">
        <f>IF(Sales[[#This Row],[Status]]="Cancelled",0,Sales[[#This Row],[Total Amount]])</f>
        <v>74613.17</v>
      </c>
      <c r="S2460" s="162">
        <f>SUM(Sales[Net Amount])</f>
        <v>406839287.73200053</v>
      </c>
    </row>
    <row r="2461" spans="1:19" ht="18.75" x14ac:dyDescent="0.25">
      <c r="A2461" s="156" t="s">
        <v>6089</v>
      </c>
      <c r="B2461" s="157">
        <v>45902</v>
      </c>
      <c r="C2461" s="158" t="s">
        <v>803</v>
      </c>
      <c r="D2461" s="159" t="str">
        <f>VLOOKUP(Sales[[#This Row],[Customer ID]],Customer[#All],2,0)</f>
        <v>Pooja Singh</v>
      </c>
      <c r="E2461" s="158" t="s">
        <v>364</v>
      </c>
      <c r="F2461" s="158" t="str">
        <f>VLOOKUP(Sales[[#This Row],[Product ID]],Product[#All],2,0)</f>
        <v>Canon Printer</v>
      </c>
      <c r="G2461" s="159">
        <v>8</v>
      </c>
      <c r="H2461" s="160">
        <f>VLOOKUP(Sales[[#This Row],[Product ID]],Product[#All],7,0)</f>
        <v>41460</v>
      </c>
      <c r="I2461" s="160">
        <f>Sales[[#This Row],[Selling Rate]]*Sales[[#This Row],[Qty]]</f>
        <v>331680</v>
      </c>
      <c r="J2461" s="43">
        <v>0.1</v>
      </c>
      <c r="K2461" s="44">
        <f>Sales[[#This Row],[Gross Amount]]*Sales[[#This Row],[Disc %]]</f>
        <v>33168</v>
      </c>
      <c r="L2461" s="43">
        <v>0.18</v>
      </c>
      <c r="M2461" s="44">
        <f>(Sales[[#This Row],[Gross Amount]]-Sales[[#This Row],[Disc. Amt.]])*Sales[[#This Row],[GST %]]</f>
        <v>53732.159999999996</v>
      </c>
      <c r="N2461" s="161">
        <f>Sales[[#This Row],[Gross Amount]]-Sales[[#This Row],[Disc. Amt.]]+Sales[[#This Row],[GST Amount]]</f>
        <v>352244.16</v>
      </c>
      <c r="O2461" s="158" t="s">
        <v>3566</v>
      </c>
      <c r="P2461" s="158" t="s">
        <v>3562</v>
      </c>
      <c r="Q2461" s="160">
        <f>IF(Sales[[#This Row],[Status]]="Cancelled",0,Sales[[#This Row],[Qty]])</f>
        <v>8</v>
      </c>
      <c r="R2461" s="161">
        <f>IF(Sales[[#This Row],[Status]]="Cancelled",0,Sales[[#This Row],[Total Amount]])</f>
        <v>352244.16</v>
      </c>
      <c r="S2461" s="162">
        <f>SUM(Sales[Net Amount])</f>
        <v>406839287.73200053</v>
      </c>
    </row>
    <row r="2462" spans="1:19" ht="18.75" x14ac:dyDescent="0.25">
      <c r="A2462" s="163" t="s">
        <v>6090</v>
      </c>
      <c r="B2462" s="164">
        <v>45902</v>
      </c>
      <c r="C2462" s="34" t="s">
        <v>908</v>
      </c>
      <c r="D2462" s="53" t="str">
        <f>VLOOKUP(Sales[[#This Row],[Customer ID]],Customer[#All],2,0)</f>
        <v>Rahul Singh</v>
      </c>
      <c r="E2462" s="34" t="s">
        <v>187</v>
      </c>
      <c r="F2462" s="34" t="str">
        <f>VLOOKUP(Sales[[#This Row],[Product ID]],Product[#All],2,0)</f>
        <v>American TouristerLaptopBag</v>
      </c>
      <c r="G2462" s="53">
        <v>1</v>
      </c>
      <c r="H2462" s="165">
        <f>VLOOKUP(Sales[[#This Row],[Product ID]],Product[#All],7,0)</f>
        <v>840</v>
      </c>
      <c r="I2462" s="165">
        <f>Sales[[#This Row],[Selling Rate]]*Sales[[#This Row],[Qty]]</f>
        <v>840</v>
      </c>
      <c r="J2462" s="45">
        <v>0.12</v>
      </c>
      <c r="K2462" s="46">
        <f>Sales[[#This Row],[Gross Amount]]*Sales[[#This Row],[Disc %]]</f>
        <v>100.8</v>
      </c>
      <c r="L2462" s="43">
        <v>0.18</v>
      </c>
      <c r="M2462" s="46">
        <f>(Sales[[#This Row],[Gross Amount]]-Sales[[#This Row],[Disc. Amt.]])*Sales[[#This Row],[GST %]]</f>
        <v>133.05600000000001</v>
      </c>
      <c r="N2462" s="161">
        <f>Sales[[#This Row],[Gross Amount]]-Sales[[#This Row],[Disc. Amt.]]+Sales[[#This Row],[GST Amount]]</f>
        <v>872.25600000000009</v>
      </c>
      <c r="O2462" s="34" t="s">
        <v>3566</v>
      </c>
      <c r="P2462" s="34" t="s">
        <v>3562</v>
      </c>
      <c r="Q2462" s="165">
        <f>IF(Sales[[#This Row],[Status]]="Cancelled",0,Sales[[#This Row],[Qty]])</f>
        <v>1</v>
      </c>
      <c r="R2462" s="166">
        <f>IF(Sales[[#This Row],[Status]]="Cancelled",0,Sales[[#This Row],[Total Amount]])</f>
        <v>872.25600000000009</v>
      </c>
      <c r="S2462" s="162">
        <f>SUM(Sales[Net Amount])</f>
        <v>406839287.73200053</v>
      </c>
    </row>
    <row r="2463" spans="1:19" ht="18.75" x14ac:dyDescent="0.25">
      <c r="A2463" s="156" t="s">
        <v>6091</v>
      </c>
      <c r="B2463" s="157">
        <v>45902</v>
      </c>
      <c r="C2463" s="158" t="s">
        <v>846</v>
      </c>
      <c r="D2463" s="159" t="str">
        <f>VLOOKUP(Sales[[#This Row],[Customer ID]],Customer[#All],2,0)</f>
        <v>Ankit Patel</v>
      </c>
      <c r="E2463" s="158" t="s">
        <v>512</v>
      </c>
      <c r="F2463" s="158" t="str">
        <f>VLOOKUP(Sales[[#This Row],[Product ID]],Product[#All],2,0)</f>
        <v>Logitech Webcam</v>
      </c>
      <c r="G2463" s="159">
        <v>6</v>
      </c>
      <c r="H2463" s="160">
        <f>VLOOKUP(Sales[[#This Row],[Product ID]],Product[#All],7,0)</f>
        <v>5800</v>
      </c>
      <c r="I2463" s="160">
        <f>Sales[[#This Row],[Selling Rate]]*Sales[[#This Row],[Qty]]</f>
        <v>34800</v>
      </c>
      <c r="J2463" s="43">
        <v>0</v>
      </c>
      <c r="K2463" s="44">
        <f>Sales[[#This Row],[Gross Amount]]*Sales[[#This Row],[Disc %]]</f>
        <v>0</v>
      </c>
      <c r="L2463" s="43">
        <v>0.18</v>
      </c>
      <c r="M2463" s="44">
        <f>(Sales[[#This Row],[Gross Amount]]-Sales[[#This Row],[Disc. Amt.]])*Sales[[#This Row],[GST %]]</f>
        <v>6264</v>
      </c>
      <c r="N2463" s="161">
        <f>Sales[[#This Row],[Gross Amount]]-Sales[[#This Row],[Disc. Amt.]]+Sales[[#This Row],[GST Amount]]</f>
        <v>41064</v>
      </c>
      <c r="O2463" s="158" t="s">
        <v>3561</v>
      </c>
      <c r="P2463" s="158" t="s">
        <v>3562</v>
      </c>
      <c r="Q2463" s="160">
        <f>IF(Sales[[#This Row],[Status]]="Cancelled",0,Sales[[#This Row],[Qty]])</f>
        <v>6</v>
      </c>
      <c r="R2463" s="161">
        <f>IF(Sales[[#This Row],[Status]]="Cancelled",0,Sales[[#This Row],[Total Amount]])</f>
        <v>41064</v>
      </c>
      <c r="S2463" s="162">
        <f>SUM(Sales[Net Amount])</f>
        <v>406839287.73200053</v>
      </c>
    </row>
    <row r="2464" spans="1:19" ht="18.75" x14ac:dyDescent="0.25">
      <c r="A2464" s="163" t="s">
        <v>6092</v>
      </c>
      <c r="B2464" s="164">
        <v>45902</v>
      </c>
      <c r="C2464" s="34" t="s">
        <v>746</v>
      </c>
      <c r="D2464" s="53" t="str">
        <f>VLOOKUP(Sales[[#This Row],[Customer ID]],Customer[#All],2,0)</f>
        <v>Sunita Kumar</v>
      </c>
      <c r="E2464" s="34" t="s">
        <v>167</v>
      </c>
      <c r="F2464" s="34" t="str">
        <f>VLOOKUP(Sales[[#This Row],[Product ID]],Product[#All],2,0)</f>
        <v>Logitech Keyboard</v>
      </c>
      <c r="G2464" s="53">
        <v>2</v>
      </c>
      <c r="H2464" s="165">
        <f>VLOOKUP(Sales[[#This Row],[Product ID]],Product[#All],7,0)</f>
        <v>2460</v>
      </c>
      <c r="I2464" s="165">
        <f>Sales[[#This Row],[Selling Rate]]*Sales[[#This Row],[Qty]]</f>
        <v>4920</v>
      </c>
      <c r="J2464" s="45">
        <v>0.12</v>
      </c>
      <c r="K2464" s="46">
        <f>Sales[[#This Row],[Gross Amount]]*Sales[[#This Row],[Disc %]]</f>
        <v>590.4</v>
      </c>
      <c r="L2464" s="43">
        <v>0.18</v>
      </c>
      <c r="M2464" s="46">
        <f>(Sales[[#This Row],[Gross Amount]]-Sales[[#This Row],[Disc. Amt.]])*Sales[[#This Row],[GST %]]</f>
        <v>779.32800000000009</v>
      </c>
      <c r="N2464" s="161">
        <f>Sales[[#This Row],[Gross Amount]]-Sales[[#This Row],[Disc. Amt.]]+Sales[[#This Row],[GST Amount]]</f>
        <v>5108.9280000000008</v>
      </c>
      <c r="O2464" s="34" t="s">
        <v>3569</v>
      </c>
      <c r="P2464" s="34" t="s">
        <v>3562</v>
      </c>
      <c r="Q2464" s="165">
        <f>IF(Sales[[#This Row],[Status]]="Cancelled",0,Sales[[#This Row],[Qty]])</f>
        <v>2</v>
      </c>
      <c r="R2464" s="166">
        <f>IF(Sales[[#This Row],[Status]]="Cancelled",0,Sales[[#This Row],[Total Amount]])</f>
        <v>5108.9280000000008</v>
      </c>
      <c r="S2464" s="162">
        <f>SUM(Sales[Net Amount])</f>
        <v>406839287.73200053</v>
      </c>
    </row>
    <row r="2465" spans="1:19" ht="18.75" x14ac:dyDescent="0.25">
      <c r="A2465" s="156" t="s">
        <v>6093</v>
      </c>
      <c r="B2465" s="157">
        <v>45902</v>
      </c>
      <c r="C2465" s="158" t="s">
        <v>842</v>
      </c>
      <c r="D2465" s="159" t="str">
        <f>VLOOKUP(Sales[[#This Row],[Customer ID]],Customer[#All],2,0)</f>
        <v>Priya Gupta</v>
      </c>
      <c r="E2465" s="158" t="s">
        <v>190</v>
      </c>
      <c r="F2465" s="158" t="str">
        <f>VLOOKUP(Sales[[#This Row],[Product ID]],Product[#All],2,0)</f>
        <v>Samsung Monitor</v>
      </c>
      <c r="G2465" s="159">
        <v>8</v>
      </c>
      <c r="H2465" s="160">
        <f>VLOOKUP(Sales[[#This Row],[Product ID]],Product[#All],7,0)</f>
        <v>18190</v>
      </c>
      <c r="I2465" s="160">
        <f>Sales[[#This Row],[Selling Rate]]*Sales[[#This Row],[Qty]]</f>
        <v>145520</v>
      </c>
      <c r="J2465" s="43">
        <v>0</v>
      </c>
      <c r="K2465" s="44">
        <f>Sales[[#This Row],[Gross Amount]]*Sales[[#This Row],[Disc %]]</f>
        <v>0</v>
      </c>
      <c r="L2465" s="43">
        <v>0.18</v>
      </c>
      <c r="M2465" s="44">
        <f>(Sales[[#This Row],[Gross Amount]]-Sales[[#This Row],[Disc. Amt.]])*Sales[[#This Row],[GST %]]</f>
        <v>26193.599999999999</v>
      </c>
      <c r="N2465" s="161">
        <f>Sales[[#This Row],[Gross Amount]]-Sales[[#This Row],[Disc. Amt.]]+Sales[[#This Row],[GST Amount]]</f>
        <v>171713.6</v>
      </c>
      <c r="O2465" s="158" t="s">
        <v>3569</v>
      </c>
      <c r="P2465" s="158" t="s">
        <v>3562</v>
      </c>
      <c r="Q2465" s="160">
        <f>IF(Sales[[#This Row],[Status]]="Cancelled",0,Sales[[#This Row],[Qty]])</f>
        <v>8</v>
      </c>
      <c r="R2465" s="161">
        <f>IF(Sales[[#This Row],[Status]]="Cancelled",0,Sales[[#This Row],[Total Amount]])</f>
        <v>171713.6</v>
      </c>
      <c r="S2465" s="162">
        <f>SUM(Sales[Net Amount])</f>
        <v>406839287.73200053</v>
      </c>
    </row>
    <row r="2466" spans="1:19" ht="18.75" x14ac:dyDescent="0.25">
      <c r="A2466" s="163" t="s">
        <v>6094</v>
      </c>
      <c r="B2466" s="164">
        <v>45902</v>
      </c>
      <c r="C2466" s="34" t="s">
        <v>861</v>
      </c>
      <c r="D2466" s="53" t="str">
        <f>VLOOKUP(Sales[[#This Row],[Customer ID]],Customer[#All],2,0)</f>
        <v>Rakesh Patel</v>
      </c>
      <c r="E2466" s="34" t="s">
        <v>53</v>
      </c>
      <c r="F2466" s="34" t="str">
        <f>VLOOKUP(Sales[[#This Row],[Product ID]],Product[#All],2,0)</f>
        <v>Microtek UPS</v>
      </c>
      <c r="G2466" s="53">
        <v>2</v>
      </c>
      <c r="H2466" s="165">
        <f>VLOOKUP(Sales[[#This Row],[Product ID]],Product[#All],7,0)</f>
        <v>13040</v>
      </c>
      <c r="I2466" s="165">
        <f>Sales[[#This Row],[Selling Rate]]*Sales[[#This Row],[Qty]]</f>
        <v>26080</v>
      </c>
      <c r="J2466" s="45">
        <v>0.02</v>
      </c>
      <c r="K2466" s="46">
        <f>Sales[[#This Row],[Gross Amount]]*Sales[[#This Row],[Disc %]]</f>
        <v>521.6</v>
      </c>
      <c r="L2466" s="43">
        <v>0.18</v>
      </c>
      <c r="M2466" s="46">
        <f>(Sales[[#This Row],[Gross Amount]]-Sales[[#This Row],[Disc. Amt.]])*Sales[[#This Row],[GST %]]</f>
        <v>4600.5119999999997</v>
      </c>
      <c r="N2466" s="161">
        <f>Sales[[#This Row],[Gross Amount]]-Sales[[#This Row],[Disc. Amt.]]+Sales[[#This Row],[GST Amount]]</f>
        <v>30158.912</v>
      </c>
      <c r="O2466" s="34" t="s">
        <v>3566</v>
      </c>
      <c r="P2466" s="34" t="s">
        <v>3562</v>
      </c>
      <c r="Q2466" s="165">
        <f>IF(Sales[[#This Row],[Status]]="Cancelled",0,Sales[[#This Row],[Qty]])</f>
        <v>2</v>
      </c>
      <c r="R2466" s="166">
        <f>IF(Sales[[#This Row],[Status]]="Cancelled",0,Sales[[#This Row],[Total Amount]])</f>
        <v>30158.912</v>
      </c>
      <c r="S2466" s="162">
        <f>SUM(Sales[Net Amount])</f>
        <v>406839287.73200053</v>
      </c>
    </row>
    <row r="2467" spans="1:19" ht="18.75" x14ac:dyDescent="0.25">
      <c r="A2467" s="156" t="s">
        <v>6095</v>
      </c>
      <c r="B2467" s="157">
        <v>45902</v>
      </c>
      <c r="C2467" s="158" t="s">
        <v>713</v>
      </c>
      <c r="D2467" s="159" t="str">
        <f>VLOOKUP(Sales[[#This Row],[Customer ID]],Customer[#All],2,0)</f>
        <v>Amit Gupta</v>
      </c>
      <c r="E2467" s="158" t="s">
        <v>231</v>
      </c>
      <c r="F2467" s="158" t="str">
        <f>VLOOKUP(Sales[[#This Row],[Product ID]],Product[#All],2,0)</f>
        <v>TP-link Wi-Fi Adapter</v>
      </c>
      <c r="G2467" s="159">
        <v>5</v>
      </c>
      <c r="H2467" s="160">
        <f>VLOOKUP(Sales[[#This Row],[Product ID]],Product[#All],7,0)</f>
        <v>2200</v>
      </c>
      <c r="I2467" s="160">
        <f>Sales[[#This Row],[Selling Rate]]*Sales[[#This Row],[Qty]]</f>
        <v>11000</v>
      </c>
      <c r="J2467" s="43">
        <v>0.12</v>
      </c>
      <c r="K2467" s="44">
        <f>Sales[[#This Row],[Gross Amount]]*Sales[[#This Row],[Disc %]]</f>
        <v>1320</v>
      </c>
      <c r="L2467" s="43">
        <v>0.18</v>
      </c>
      <c r="M2467" s="44">
        <f>(Sales[[#This Row],[Gross Amount]]-Sales[[#This Row],[Disc. Amt.]])*Sales[[#This Row],[GST %]]</f>
        <v>1742.3999999999999</v>
      </c>
      <c r="N2467" s="161">
        <f>Sales[[#This Row],[Gross Amount]]-Sales[[#This Row],[Disc. Amt.]]+Sales[[#This Row],[GST Amount]]</f>
        <v>11422.4</v>
      </c>
      <c r="O2467" s="158" t="s">
        <v>3569</v>
      </c>
      <c r="P2467" s="158" t="s">
        <v>3562</v>
      </c>
      <c r="Q2467" s="160">
        <f>IF(Sales[[#This Row],[Status]]="Cancelled",0,Sales[[#This Row],[Qty]])</f>
        <v>5</v>
      </c>
      <c r="R2467" s="161">
        <f>IF(Sales[[#This Row],[Status]]="Cancelled",0,Sales[[#This Row],[Total Amount]])</f>
        <v>11422.4</v>
      </c>
      <c r="S2467" s="162">
        <f>SUM(Sales[Net Amount])</f>
        <v>406839287.73200053</v>
      </c>
    </row>
    <row r="2468" spans="1:19" ht="18.75" x14ac:dyDescent="0.25">
      <c r="A2468" s="163" t="s">
        <v>6096</v>
      </c>
      <c r="B2468" s="164">
        <v>45902</v>
      </c>
      <c r="C2468" s="34" t="s">
        <v>864</v>
      </c>
      <c r="D2468" s="53" t="str">
        <f>VLOOKUP(Sales[[#This Row],[Customer ID]],Customer[#All],2,0)</f>
        <v>Sahil Sharma</v>
      </c>
      <c r="E2468" s="34" t="s">
        <v>382</v>
      </c>
      <c r="F2468" s="34" t="str">
        <f>VLOOKUP(Sales[[#This Row],[Product ID]],Product[#All],2,0)</f>
        <v>Canon Printer</v>
      </c>
      <c r="G2468" s="53">
        <v>3</v>
      </c>
      <c r="H2468" s="165">
        <f>VLOOKUP(Sales[[#This Row],[Product ID]],Product[#All],7,0)</f>
        <v>32930</v>
      </c>
      <c r="I2468" s="165">
        <f>Sales[[#This Row],[Selling Rate]]*Sales[[#This Row],[Qty]]</f>
        <v>98790</v>
      </c>
      <c r="J2468" s="45">
        <v>0.15</v>
      </c>
      <c r="K2468" s="46">
        <f>Sales[[#This Row],[Gross Amount]]*Sales[[#This Row],[Disc %]]</f>
        <v>14818.5</v>
      </c>
      <c r="L2468" s="43">
        <v>0.18</v>
      </c>
      <c r="M2468" s="46">
        <f>(Sales[[#This Row],[Gross Amount]]-Sales[[#This Row],[Disc. Amt.]])*Sales[[#This Row],[GST %]]</f>
        <v>15114.869999999999</v>
      </c>
      <c r="N2468" s="161">
        <f>Sales[[#This Row],[Gross Amount]]-Sales[[#This Row],[Disc. Amt.]]+Sales[[#This Row],[GST Amount]]</f>
        <v>99086.37</v>
      </c>
      <c r="O2468" s="34" t="s">
        <v>3566</v>
      </c>
      <c r="P2468" s="34" t="s">
        <v>3562</v>
      </c>
      <c r="Q2468" s="165">
        <f>IF(Sales[[#This Row],[Status]]="Cancelled",0,Sales[[#This Row],[Qty]])</f>
        <v>3</v>
      </c>
      <c r="R2468" s="166">
        <f>IF(Sales[[#This Row],[Status]]="Cancelled",0,Sales[[#This Row],[Total Amount]])</f>
        <v>99086.37</v>
      </c>
      <c r="S2468" s="162">
        <f>SUM(Sales[Net Amount])</f>
        <v>406839287.73200053</v>
      </c>
    </row>
    <row r="2469" spans="1:19" ht="18.75" x14ac:dyDescent="0.25">
      <c r="A2469" s="156" t="s">
        <v>6097</v>
      </c>
      <c r="B2469" s="157">
        <v>45902</v>
      </c>
      <c r="C2469" s="158" t="s">
        <v>829</v>
      </c>
      <c r="D2469" s="159" t="str">
        <f>VLOOKUP(Sales[[#This Row],[Customer ID]],Customer[#All],2,0)</f>
        <v>Pooja Patel</v>
      </c>
      <c r="E2469" s="158" t="s">
        <v>87</v>
      </c>
      <c r="F2469" s="158" t="str">
        <f>VLOOKUP(Sales[[#This Row],[Product ID]],Product[#All],2,0)</f>
        <v>Boat Headset</v>
      </c>
      <c r="G2469" s="159">
        <v>6</v>
      </c>
      <c r="H2469" s="160">
        <f>VLOOKUP(Sales[[#This Row],[Product ID]],Product[#All],7,0)</f>
        <v>1040</v>
      </c>
      <c r="I2469" s="160">
        <f>Sales[[#This Row],[Selling Rate]]*Sales[[#This Row],[Qty]]</f>
        <v>6240</v>
      </c>
      <c r="J2469" s="43">
        <v>0.1</v>
      </c>
      <c r="K2469" s="44">
        <f>Sales[[#This Row],[Gross Amount]]*Sales[[#This Row],[Disc %]]</f>
        <v>624</v>
      </c>
      <c r="L2469" s="43">
        <v>0.18</v>
      </c>
      <c r="M2469" s="44">
        <f>(Sales[[#This Row],[Gross Amount]]-Sales[[#This Row],[Disc. Amt.]])*Sales[[#This Row],[GST %]]</f>
        <v>1010.88</v>
      </c>
      <c r="N2469" s="161">
        <f>Sales[[#This Row],[Gross Amount]]-Sales[[#This Row],[Disc. Amt.]]+Sales[[#This Row],[GST Amount]]</f>
        <v>6626.88</v>
      </c>
      <c r="O2469" s="158" t="s">
        <v>3561</v>
      </c>
      <c r="P2469" s="158" t="s">
        <v>3562</v>
      </c>
      <c r="Q2469" s="160">
        <f>IF(Sales[[#This Row],[Status]]="Cancelled",0,Sales[[#This Row],[Qty]])</f>
        <v>6</v>
      </c>
      <c r="R2469" s="161">
        <f>IF(Sales[[#This Row],[Status]]="Cancelled",0,Sales[[#This Row],[Total Amount]])</f>
        <v>6626.88</v>
      </c>
      <c r="S2469" s="162">
        <f>SUM(Sales[Net Amount])</f>
        <v>406839287.73200053</v>
      </c>
    </row>
    <row r="2470" spans="1:19" ht="18.75" x14ac:dyDescent="0.25">
      <c r="A2470" s="163" t="s">
        <v>6098</v>
      </c>
      <c r="B2470" s="164">
        <v>45902</v>
      </c>
      <c r="C2470" s="34" t="s">
        <v>829</v>
      </c>
      <c r="D2470" s="53" t="str">
        <f>VLOOKUP(Sales[[#This Row],[Customer ID]],Customer[#All],2,0)</f>
        <v>Pooja Patel</v>
      </c>
      <c r="E2470" s="34" t="s">
        <v>372</v>
      </c>
      <c r="F2470" s="34" t="str">
        <f>VLOOKUP(Sales[[#This Row],[Product ID]],Product[#All],2,0)</f>
        <v>Sandisk Pen Drive</v>
      </c>
      <c r="G2470" s="53">
        <v>2</v>
      </c>
      <c r="H2470" s="165">
        <f>VLOOKUP(Sales[[#This Row],[Product ID]],Product[#All],7,0)</f>
        <v>580</v>
      </c>
      <c r="I2470" s="165">
        <f>Sales[[#This Row],[Selling Rate]]*Sales[[#This Row],[Qty]]</f>
        <v>1160</v>
      </c>
      <c r="J2470" s="45">
        <v>0.1</v>
      </c>
      <c r="K2470" s="46">
        <f>Sales[[#This Row],[Gross Amount]]*Sales[[#This Row],[Disc %]]</f>
        <v>116</v>
      </c>
      <c r="L2470" s="43">
        <v>0.18</v>
      </c>
      <c r="M2470" s="46">
        <f>(Sales[[#This Row],[Gross Amount]]-Sales[[#This Row],[Disc. Amt.]])*Sales[[#This Row],[GST %]]</f>
        <v>187.92</v>
      </c>
      <c r="N2470" s="161">
        <f>Sales[[#This Row],[Gross Amount]]-Sales[[#This Row],[Disc. Amt.]]+Sales[[#This Row],[GST Amount]]</f>
        <v>1231.92</v>
      </c>
      <c r="O2470" s="34" t="s">
        <v>3566</v>
      </c>
      <c r="P2470" s="34" t="s">
        <v>3562</v>
      </c>
      <c r="Q2470" s="165">
        <f>IF(Sales[[#This Row],[Status]]="Cancelled",0,Sales[[#This Row],[Qty]])</f>
        <v>2</v>
      </c>
      <c r="R2470" s="166">
        <f>IF(Sales[[#This Row],[Status]]="Cancelled",0,Sales[[#This Row],[Total Amount]])</f>
        <v>1231.92</v>
      </c>
      <c r="S2470" s="162">
        <f>SUM(Sales[Net Amount])</f>
        <v>406839287.73200053</v>
      </c>
    </row>
    <row r="2471" spans="1:19" ht="18.75" x14ac:dyDescent="0.25">
      <c r="A2471" s="156" t="s">
        <v>6099</v>
      </c>
      <c r="B2471" s="157">
        <v>45902</v>
      </c>
      <c r="C2471" s="158" t="s">
        <v>778</v>
      </c>
      <c r="D2471" s="159" t="str">
        <f>VLOOKUP(Sales[[#This Row],[Customer ID]],Customer[#All],2,0)</f>
        <v>Ankit Gupta</v>
      </c>
      <c r="E2471" s="158" t="s">
        <v>251</v>
      </c>
      <c r="F2471" s="158" t="str">
        <f>VLOOKUP(Sales[[#This Row],[Product ID]],Product[#All],2,0)</f>
        <v>Corsair Ram</v>
      </c>
      <c r="G2471" s="159">
        <v>6</v>
      </c>
      <c r="H2471" s="160">
        <f>VLOOKUP(Sales[[#This Row],[Product ID]],Product[#All],7,0)</f>
        <v>2890</v>
      </c>
      <c r="I2471" s="160">
        <f>Sales[[#This Row],[Selling Rate]]*Sales[[#This Row],[Qty]]</f>
        <v>17340</v>
      </c>
      <c r="J2471" s="43">
        <v>0.05</v>
      </c>
      <c r="K2471" s="44">
        <f>Sales[[#This Row],[Gross Amount]]*Sales[[#This Row],[Disc %]]</f>
        <v>867</v>
      </c>
      <c r="L2471" s="43">
        <v>0.18</v>
      </c>
      <c r="M2471" s="44">
        <f>(Sales[[#This Row],[Gross Amount]]-Sales[[#This Row],[Disc. Amt.]])*Sales[[#This Row],[GST %]]</f>
        <v>2965.14</v>
      </c>
      <c r="N2471" s="161">
        <f>Sales[[#This Row],[Gross Amount]]-Sales[[#This Row],[Disc. Amt.]]+Sales[[#This Row],[GST Amount]]</f>
        <v>19438.14</v>
      </c>
      <c r="O2471" s="158" t="s">
        <v>3566</v>
      </c>
      <c r="P2471" s="158" t="s">
        <v>3562</v>
      </c>
      <c r="Q2471" s="160">
        <f>IF(Sales[[#This Row],[Status]]="Cancelled",0,Sales[[#This Row],[Qty]])</f>
        <v>6</v>
      </c>
      <c r="R2471" s="161">
        <f>IF(Sales[[#This Row],[Status]]="Cancelled",0,Sales[[#This Row],[Total Amount]])</f>
        <v>19438.14</v>
      </c>
      <c r="S2471" s="162">
        <f>SUM(Sales[Net Amount])</f>
        <v>406839287.73200053</v>
      </c>
    </row>
    <row r="2472" spans="1:19" ht="18.75" x14ac:dyDescent="0.25">
      <c r="A2472" s="163" t="s">
        <v>6100</v>
      </c>
      <c r="B2472" s="164">
        <v>45902</v>
      </c>
      <c r="C2472" s="34" t="s">
        <v>877</v>
      </c>
      <c r="D2472" s="53" t="str">
        <f>VLOOKUP(Sales[[#This Row],[Customer ID]],Customer[#All],2,0)</f>
        <v>Sahil Patel</v>
      </c>
      <c r="E2472" s="34" t="s">
        <v>131</v>
      </c>
      <c r="F2472" s="34" t="str">
        <f>VLOOKUP(Sales[[#This Row],[Product ID]],Product[#All],2,0)</f>
        <v>HP Power Adapter</v>
      </c>
      <c r="G2472" s="53">
        <v>3</v>
      </c>
      <c r="H2472" s="165">
        <f>VLOOKUP(Sales[[#This Row],[Product ID]],Product[#All],7,0)</f>
        <v>2540</v>
      </c>
      <c r="I2472" s="165">
        <f>Sales[[#This Row],[Selling Rate]]*Sales[[#This Row],[Qty]]</f>
        <v>7620</v>
      </c>
      <c r="J2472" s="45">
        <v>0.12</v>
      </c>
      <c r="K2472" s="46">
        <f>Sales[[#This Row],[Gross Amount]]*Sales[[#This Row],[Disc %]]</f>
        <v>914.4</v>
      </c>
      <c r="L2472" s="43">
        <v>0.18</v>
      </c>
      <c r="M2472" s="46">
        <f>(Sales[[#This Row],[Gross Amount]]-Sales[[#This Row],[Disc. Amt.]])*Sales[[#This Row],[GST %]]</f>
        <v>1207.008</v>
      </c>
      <c r="N2472" s="161">
        <f>Sales[[#This Row],[Gross Amount]]-Sales[[#This Row],[Disc. Amt.]]+Sales[[#This Row],[GST Amount]]</f>
        <v>7912.6080000000002</v>
      </c>
      <c r="O2472" s="34" t="s">
        <v>8876</v>
      </c>
      <c r="P2472" s="34" t="s">
        <v>3562</v>
      </c>
      <c r="Q2472" s="165">
        <f>IF(Sales[[#This Row],[Status]]="Cancelled",0,Sales[[#This Row],[Qty]])</f>
        <v>3</v>
      </c>
      <c r="R2472" s="166">
        <f>IF(Sales[[#This Row],[Status]]="Cancelled",0,Sales[[#This Row],[Total Amount]])</f>
        <v>7912.6080000000002</v>
      </c>
      <c r="S2472" s="162">
        <f>SUM(Sales[Net Amount])</f>
        <v>406839287.73200053</v>
      </c>
    </row>
    <row r="2473" spans="1:19" ht="18.75" x14ac:dyDescent="0.25">
      <c r="A2473" s="156" t="s">
        <v>6101</v>
      </c>
      <c r="B2473" s="157">
        <v>45902</v>
      </c>
      <c r="C2473" s="158" t="s">
        <v>926</v>
      </c>
      <c r="D2473" s="159" t="str">
        <f>VLOOKUP(Sales[[#This Row],[Customer ID]],Customer[#All],2,0)</f>
        <v>Pooja Singh</v>
      </c>
      <c r="E2473" s="158" t="s">
        <v>99</v>
      </c>
      <c r="F2473" s="158" t="str">
        <f>VLOOKUP(Sales[[#This Row],[Product ID]],Product[#All],2,0)</f>
        <v>Dell Laptop</v>
      </c>
      <c r="G2473" s="159">
        <v>8</v>
      </c>
      <c r="H2473" s="160">
        <f>VLOOKUP(Sales[[#This Row],[Product ID]],Product[#All],7,0)</f>
        <v>34870</v>
      </c>
      <c r="I2473" s="160">
        <f>Sales[[#This Row],[Selling Rate]]*Sales[[#This Row],[Qty]]</f>
        <v>278960</v>
      </c>
      <c r="J2473" s="43">
        <v>0.15</v>
      </c>
      <c r="K2473" s="44">
        <f>Sales[[#This Row],[Gross Amount]]*Sales[[#This Row],[Disc %]]</f>
        <v>41844</v>
      </c>
      <c r="L2473" s="43">
        <v>0.18</v>
      </c>
      <c r="M2473" s="44">
        <f>(Sales[[#This Row],[Gross Amount]]-Sales[[#This Row],[Disc. Amt.]])*Sales[[#This Row],[GST %]]</f>
        <v>42680.88</v>
      </c>
      <c r="N2473" s="161">
        <f>Sales[[#This Row],[Gross Amount]]-Sales[[#This Row],[Disc. Amt.]]+Sales[[#This Row],[GST Amount]]</f>
        <v>279796.88</v>
      </c>
      <c r="O2473" s="158" t="s">
        <v>3561</v>
      </c>
      <c r="P2473" s="158" t="s">
        <v>3562</v>
      </c>
      <c r="Q2473" s="160">
        <f>IF(Sales[[#This Row],[Status]]="Cancelled",0,Sales[[#This Row],[Qty]])</f>
        <v>8</v>
      </c>
      <c r="R2473" s="161">
        <f>IF(Sales[[#This Row],[Status]]="Cancelled",0,Sales[[#This Row],[Total Amount]])</f>
        <v>279796.88</v>
      </c>
      <c r="S2473" s="162">
        <f>SUM(Sales[Net Amount])</f>
        <v>406839287.73200053</v>
      </c>
    </row>
    <row r="2474" spans="1:19" ht="18.75" x14ac:dyDescent="0.25">
      <c r="A2474" s="163" t="s">
        <v>6102</v>
      </c>
      <c r="B2474" s="164">
        <v>45902</v>
      </c>
      <c r="C2474" s="34" t="s">
        <v>705</v>
      </c>
      <c r="D2474" s="53" t="str">
        <f>VLOOKUP(Sales[[#This Row],[Customer ID]],Customer[#All],2,0)</f>
        <v>Priya Verma</v>
      </c>
      <c r="E2474" s="34" t="s">
        <v>49</v>
      </c>
      <c r="F2474" s="34" t="str">
        <f>VLOOKUP(Sales[[#This Row],[Product ID]],Product[#All],2,0)</f>
        <v>Boat Headset</v>
      </c>
      <c r="G2474" s="53">
        <v>7</v>
      </c>
      <c r="H2474" s="165">
        <f>VLOOKUP(Sales[[#This Row],[Product ID]],Product[#All],7,0)</f>
        <v>970</v>
      </c>
      <c r="I2474" s="165">
        <f>Sales[[#This Row],[Selling Rate]]*Sales[[#This Row],[Qty]]</f>
        <v>6790</v>
      </c>
      <c r="J2474" s="45">
        <v>0</v>
      </c>
      <c r="K2474" s="46">
        <f>Sales[[#This Row],[Gross Amount]]*Sales[[#This Row],[Disc %]]</f>
        <v>0</v>
      </c>
      <c r="L2474" s="43">
        <v>0.18</v>
      </c>
      <c r="M2474" s="46">
        <f>(Sales[[#This Row],[Gross Amount]]-Sales[[#This Row],[Disc. Amt.]])*Sales[[#This Row],[GST %]]</f>
        <v>1222.2</v>
      </c>
      <c r="N2474" s="161">
        <f>Sales[[#This Row],[Gross Amount]]-Sales[[#This Row],[Disc. Amt.]]+Sales[[#This Row],[GST Amount]]</f>
        <v>8012.2</v>
      </c>
      <c r="O2474" s="34" t="s">
        <v>3561</v>
      </c>
      <c r="P2474" s="34" t="s">
        <v>3562</v>
      </c>
      <c r="Q2474" s="165">
        <f>IF(Sales[[#This Row],[Status]]="Cancelled",0,Sales[[#This Row],[Qty]])</f>
        <v>7</v>
      </c>
      <c r="R2474" s="166">
        <f>IF(Sales[[#This Row],[Status]]="Cancelled",0,Sales[[#This Row],[Total Amount]])</f>
        <v>8012.2</v>
      </c>
      <c r="S2474" s="162">
        <f>SUM(Sales[Net Amount])</f>
        <v>406839287.73200053</v>
      </c>
    </row>
    <row r="2475" spans="1:19" ht="18.75" x14ac:dyDescent="0.25">
      <c r="A2475" s="156" t="s">
        <v>6103</v>
      </c>
      <c r="B2475" s="157">
        <v>45902</v>
      </c>
      <c r="C2475" s="158" t="s">
        <v>750</v>
      </c>
      <c r="D2475" s="159" t="str">
        <f>VLOOKUP(Sales[[#This Row],[Customer ID]],Customer[#All],2,0)</f>
        <v>Rakesh Verma</v>
      </c>
      <c r="E2475" s="158" t="s">
        <v>490</v>
      </c>
      <c r="F2475" s="158" t="str">
        <f>VLOOKUP(Sales[[#This Row],[Product ID]],Product[#All],2,0)</f>
        <v>Acer Laptop</v>
      </c>
      <c r="G2475" s="159">
        <v>7</v>
      </c>
      <c r="H2475" s="160">
        <f>VLOOKUP(Sales[[#This Row],[Product ID]],Product[#All],7,0)</f>
        <v>38490</v>
      </c>
      <c r="I2475" s="160">
        <f>Sales[[#This Row],[Selling Rate]]*Sales[[#This Row],[Qty]]</f>
        <v>269430</v>
      </c>
      <c r="J2475" s="43">
        <v>0</v>
      </c>
      <c r="K2475" s="44">
        <f>Sales[[#This Row],[Gross Amount]]*Sales[[#This Row],[Disc %]]</f>
        <v>0</v>
      </c>
      <c r="L2475" s="43">
        <v>0.18</v>
      </c>
      <c r="M2475" s="44">
        <f>(Sales[[#This Row],[Gross Amount]]-Sales[[#This Row],[Disc. Amt.]])*Sales[[#This Row],[GST %]]</f>
        <v>48497.4</v>
      </c>
      <c r="N2475" s="161">
        <f>Sales[[#This Row],[Gross Amount]]-Sales[[#This Row],[Disc. Amt.]]+Sales[[#This Row],[GST Amount]]</f>
        <v>317927.40000000002</v>
      </c>
      <c r="O2475" s="158" t="s">
        <v>3569</v>
      </c>
      <c r="P2475" s="158" t="s">
        <v>3562</v>
      </c>
      <c r="Q2475" s="160">
        <f>IF(Sales[[#This Row],[Status]]="Cancelled",0,Sales[[#This Row],[Qty]])</f>
        <v>7</v>
      </c>
      <c r="R2475" s="161">
        <f>IF(Sales[[#This Row],[Status]]="Cancelled",0,Sales[[#This Row],[Total Amount]])</f>
        <v>317927.40000000002</v>
      </c>
      <c r="S2475" s="162">
        <f>SUM(Sales[Net Amount])</f>
        <v>406839287.73200053</v>
      </c>
    </row>
    <row r="2476" spans="1:19" ht="18.75" x14ac:dyDescent="0.25">
      <c r="A2476" s="163" t="s">
        <v>6104</v>
      </c>
      <c r="B2476" s="164">
        <v>45902</v>
      </c>
      <c r="C2476" s="34" t="s">
        <v>804</v>
      </c>
      <c r="D2476" s="53" t="str">
        <f>VLOOKUP(Sales[[#This Row],[Customer ID]],Customer[#All],2,0)</f>
        <v>Amit Gupta</v>
      </c>
      <c r="E2476" s="34" t="s">
        <v>447</v>
      </c>
      <c r="F2476" s="34" t="str">
        <f>VLOOKUP(Sales[[#This Row],[Product ID]],Product[#All],2,0)</f>
        <v>PortronicsLaptopStand</v>
      </c>
      <c r="G2476" s="53">
        <v>5</v>
      </c>
      <c r="H2476" s="165">
        <f>VLOOKUP(Sales[[#This Row],[Product ID]],Product[#All],7,0)</f>
        <v>2830</v>
      </c>
      <c r="I2476" s="165">
        <f>Sales[[#This Row],[Selling Rate]]*Sales[[#This Row],[Qty]]</f>
        <v>14150</v>
      </c>
      <c r="J2476" s="45">
        <v>0.12</v>
      </c>
      <c r="K2476" s="46">
        <f>Sales[[#This Row],[Gross Amount]]*Sales[[#This Row],[Disc %]]</f>
        <v>1698</v>
      </c>
      <c r="L2476" s="43">
        <v>0.18</v>
      </c>
      <c r="M2476" s="46">
        <f>(Sales[[#This Row],[Gross Amount]]-Sales[[#This Row],[Disc. Amt.]])*Sales[[#This Row],[GST %]]</f>
        <v>2241.36</v>
      </c>
      <c r="N2476" s="161">
        <f>Sales[[#This Row],[Gross Amount]]-Sales[[#This Row],[Disc. Amt.]]+Sales[[#This Row],[GST Amount]]</f>
        <v>14693.36</v>
      </c>
      <c r="O2476" s="34" t="s">
        <v>3561</v>
      </c>
      <c r="P2476" s="34" t="s">
        <v>3562</v>
      </c>
      <c r="Q2476" s="165">
        <f>IF(Sales[[#This Row],[Status]]="Cancelled",0,Sales[[#This Row],[Qty]])</f>
        <v>5</v>
      </c>
      <c r="R2476" s="166">
        <f>IF(Sales[[#This Row],[Status]]="Cancelled",0,Sales[[#This Row],[Total Amount]])</f>
        <v>14693.36</v>
      </c>
      <c r="S2476" s="162">
        <f>SUM(Sales[Net Amount])</f>
        <v>406839287.73200053</v>
      </c>
    </row>
    <row r="2477" spans="1:19" ht="18.75" x14ac:dyDescent="0.25">
      <c r="A2477" s="156" t="s">
        <v>6105</v>
      </c>
      <c r="B2477" s="157">
        <v>45903</v>
      </c>
      <c r="C2477" s="158" t="s">
        <v>667</v>
      </c>
      <c r="D2477" s="159" t="str">
        <f>VLOOKUP(Sales[[#This Row],[Customer ID]],Customer[#All],2,0)</f>
        <v>Neha Gupta</v>
      </c>
      <c r="E2477" s="158" t="s">
        <v>361</v>
      </c>
      <c r="F2477" s="158" t="str">
        <f>VLOOKUP(Sales[[#This Row],[Product ID]],Product[#All],2,0)</f>
        <v>Epson Printer</v>
      </c>
      <c r="G2477" s="159">
        <v>8</v>
      </c>
      <c r="H2477" s="160">
        <f>VLOOKUP(Sales[[#This Row],[Product ID]],Product[#All],7,0)</f>
        <v>26570</v>
      </c>
      <c r="I2477" s="160">
        <f>Sales[[#This Row],[Selling Rate]]*Sales[[#This Row],[Qty]]</f>
        <v>212560</v>
      </c>
      <c r="J2477" s="43">
        <v>0.05</v>
      </c>
      <c r="K2477" s="44">
        <f>Sales[[#This Row],[Gross Amount]]*Sales[[#This Row],[Disc %]]</f>
        <v>10628</v>
      </c>
      <c r="L2477" s="43">
        <v>0.18</v>
      </c>
      <c r="M2477" s="44">
        <f>(Sales[[#This Row],[Gross Amount]]-Sales[[#This Row],[Disc. Amt.]])*Sales[[#This Row],[GST %]]</f>
        <v>36347.760000000002</v>
      </c>
      <c r="N2477" s="161">
        <f>Sales[[#This Row],[Gross Amount]]-Sales[[#This Row],[Disc. Amt.]]+Sales[[#This Row],[GST Amount]]</f>
        <v>238279.76</v>
      </c>
      <c r="O2477" s="158" t="s">
        <v>3561</v>
      </c>
      <c r="P2477" s="158" t="s">
        <v>3562</v>
      </c>
      <c r="Q2477" s="160">
        <f>IF(Sales[[#This Row],[Status]]="Cancelled",0,Sales[[#This Row],[Qty]])</f>
        <v>8</v>
      </c>
      <c r="R2477" s="161">
        <f>IF(Sales[[#This Row],[Status]]="Cancelled",0,Sales[[#This Row],[Total Amount]])</f>
        <v>238279.76</v>
      </c>
      <c r="S2477" s="162">
        <f>SUM(Sales[Net Amount])</f>
        <v>406839287.73200053</v>
      </c>
    </row>
    <row r="2478" spans="1:19" ht="18.75" x14ac:dyDescent="0.25">
      <c r="A2478" s="163" t="s">
        <v>6106</v>
      </c>
      <c r="B2478" s="164">
        <v>45903</v>
      </c>
      <c r="C2478" s="34" t="s">
        <v>840</v>
      </c>
      <c r="D2478" s="53" t="str">
        <f>VLOOKUP(Sales[[#This Row],[Customer ID]],Customer[#All],2,0)</f>
        <v>Rakesh Verma</v>
      </c>
      <c r="E2478" s="34" t="s">
        <v>197</v>
      </c>
      <c r="F2478" s="34" t="str">
        <f>VLOOKUP(Sales[[#This Row],[Product ID]],Product[#All],2,0)</f>
        <v>Crucial Ssd</v>
      </c>
      <c r="G2478" s="53">
        <v>3</v>
      </c>
      <c r="H2478" s="165">
        <f>VLOOKUP(Sales[[#This Row],[Product ID]],Product[#All],7,0)</f>
        <v>16400</v>
      </c>
      <c r="I2478" s="165">
        <f>Sales[[#This Row],[Selling Rate]]*Sales[[#This Row],[Qty]]</f>
        <v>49200</v>
      </c>
      <c r="J2478" s="45">
        <v>0.05</v>
      </c>
      <c r="K2478" s="46">
        <f>Sales[[#This Row],[Gross Amount]]*Sales[[#This Row],[Disc %]]</f>
        <v>2460</v>
      </c>
      <c r="L2478" s="43">
        <v>0.18</v>
      </c>
      <c r="M2478" s="46">
        <f>(Sales[[#This Row],[Gross Amount]]-Sales[[#This Row],[Disc. Amt.]])*Sales[[#This Row],[GST %]]</f>
        <v>8413.1999999999989</v>
      </c>
      <c r="N2478" s="161">
        <f>Sales[[#This Row],[Gross Amount]]-Sales[[#This Row],[Disc. Amt.]]+Sales[[#This Row],[GST Amount]]</f>
        <v>55153.2</v>
      </c>
      <c r="O2478" s="34" t="s">
        <v>3569</v>
      </c>
      <c r="P2478" s="34" t="s">
        <v>3562</v>
      </c>
      <c r="Q2478" s="165">
        <f>IF(Sales[[#This Row],[Status]]="Cancelled",0,Sales[[#This Row],[Qty]])</f>
        <v>3</v>
      </c>
      <c r="R2478" s="166">
        <f>IF(Sales[[#This Row],[Status]]="Cancelled",0,Sales[[#This Row],[Total Amount]])</f>
        <v>55153.2</v>
      </c>
      <c r="S2478" s="162">
        <f>SUM(Sales[Net Amount])</f>
        <v>406839287.73200053</v>
      </c>
    </row>
    <row r="2479" spans="1:19" ht="18.75" x14ac:dyDescent="0.25">
      <c r="A2479" s="156" t="s">
        <v>6107</v>
      </c>
      <c r="B2479" s="157">
        <v>45903</v>
      </c>
      <c r="C2479" s="158" t="s">
        <v>5262</v>
      </c>
      <c r="D2479" s="159" t="str">
        <f>VLOOKUP(Sales[[#This Row],[Customer ID]],Customer[#All],2,0)</f>
        <v>Amit Singh</v>
      </c>
      <c r="E2479" s="158" t="s">
        <v>351</v>
      </c>
      <c r="F2479" s="158" t="str">
        <f>VLOOKUP(Sales[[#This Row],[Product ID]],Product[#All],2,0)</f>
        <v>Logitech Mouse</v>
      </c>
      <c r="G2479" s="159">
        <v>3</v>
      </c>
      <c r="H2479" s="160">
        <f>VLOOKUP(Sales[[#This Row],[Product ID]],Product[#All],7,0)</f>
        <v>2130</v>
      </c>
      <c r="I2479" s="160">
        <f>Sales[[#This Row],[Selling Rate]]*Sales[[#This Row],[Qty]]</f>
        <v>6390</v>
      </c>
      <c r="J2479" s="43">
        <v>0.12</v>
      </c>
      <c r="K2479" s="44">
        <f>Sales[[#This Row],[Gross Amount]]*Sales[[#This Row],[Disc %]]</f>
        <v>766.8</v>
      </c>
      <c r="L2479" s="43">
        <v>0.18</v>
      </c>
      <c r="M2479" s="44">
        <f>(Sales[[#This Row],[Gross Amount]]-Sales[[#This Row],[Disc. Amt.]])*Sales[[#This Row],[GST %]]</f>
        <v>1012.1759999999999</v>
      </c>
      <c r="N2479" s="161">
        <f>Sales[[#This Row],[Gross Amount]]-Sales[[#This Row],[Disc. Amt.]]+Sales[[#This Row],[GST Amount]]</f>
        <v>6635.3760000000002</v>
      </c>
      <c r="O2479" s="158" t="s">
        <v>8876</v>
      </c>
      <c r="P2479" s="158" t="s">
        <v>3562</v>
      </c>
      <c r="Q2479" s="160">
        <f>IF(Sales[[#This Row],[Status]]="Cancelled",0,Sales[[#This Row],[Qty]])</f>
        <v>3</v>
      </c>
      <c r="R2479" s="161">
        <f>IF(Sales[[#This Row],[Status]]="Cancelled",0,Sales[[#This Row],[Total Amount]])</f>
        <v>6635.3760000000002</v>
      </c>
      <c r="S2479" s="162">
        <f>SUM(Sales[Net Amount])</f>
        <v>406839287.73200053</v>
      </c>
    </row>
    <row r="2480" spans="1:19" ht="18.75" x14ac:dyDescent="0.25">
      <c r="A2480" s="163" t="s">
        <v>6108</v>
      </c>
      <c r="B2480" s="164">
        <v>45903</v>
      </c>
      <c r="C2480" s="34" t="s">
        <v>892</v>
      </c>
      <c r="D2480" s="53" t="str">
        <f>VLOOKUP(Sales[[#This Row],[Customer ID]],Customer[#All],2,0)</f>
        <v>Sahil Verma</v>
      </c>
      <c r="E2480" s="34" t="s">
        <v>67</v>
      </c>
      <c r="F2480" s="34" t="str">
        <f>VLOOKUP(Sales[[#This Row],[Product ID]],Product[#All],2,0)</f>
        <v>TP-link Wi-Fi Adapter</v>
      </c>
      <c r="G2480" s="53">
        <v>5</v>
      </c>
      <c r="H2480" s="165">
        <f>VLOOKUP(Sales[[#This Row],[Product ID]],Product[#All],7,0)</f>
        <v>2990</v>
      </c>
      <c r="I2480" s="165">
        <f>Sales[[#This Row],[Selling Rate]]*Sales[[#This Row],[Qty]]</f>
        <v>14950</v>
      </c>
      <c r="J2480" s="45">
        <v>0.05</v>
      </c>
      <c r="K2480" s="46">
        <f>Sales[[#This Row],[Gross Amount]]*Sales[[#This Row],[Disc %]]</f>
        <v>747.5</v>
      </c>
      <c r="L2480" s="43">
        <v>0.18</v>
      </c>
      <c r="M2480" s="46">
        <f>(Sales[[#This Row],[Gross Amount]]-Sales[[#This Row],[Disc. Amt.]])*Sales[[#This Row],[GST %]]</f>
        <v>2556.4499999999998</v>
      </c>
      <c r="N2480" s="161">
        <f>Sales[[#This Row],[Gross Amount]]-Sales[[#This Row],[Disc. Amt.]]+Sales[[#This Row],[GST Amount]]</f>
        <v>16758.95</v>
      </c>
      <c r="O2480" s="34" t="s">
        <v>3569</v>
      </c>
      <c r="P2480" s="34" t="s">
        <v>3562</v>
      </c>
      <c r="Q2480" s="165">
        <f>IF(Sales[[#This Row],[Status]]="Cancelled",0,Sales[[#This Row],[Qty]])</f>
        <v>5</v>
      </c>
      <c r="R2480" s="166">
        <f>IF(Sales[[#This Row],[Status]]="Cancelled",0,Sales[[#This Row],[Total Amount]])</f>
        <v>16758.95</v>
      </c>
      <c r="S2480" s="162">
        <f>SUM(Sales[Net Amount])</f>
        <v>406839287.73200053</v>
      </c>
    </row>
    <row r="2481" spans="1:19" ht="18.75" x14ac:dyDescent="0.25">
      <c r="A2481" s="156" t="s">
        <v>6109</v>
      </c>
      <c r="B2481" s="157">
        <v>45903</v>
      </c>
      <c r="C2481" s="158" t="s">
        <v>672</v>
      </c>
      <c r="D2481" s="159" t="str">
        <f>VLOOKUP(Sales[[#This Row],[Customer ID]],Customer[#All],2,0)</f>
        <v>Rahul Patel</v>
      </c>
      <c r="E2481" s="158" t="s">
        <v>529</v>
      </c>
      <c r="F2481" s="158" t="str">
        <f>VLOOKUP(Sales[[#This Row],[Product ID]],Product[#All],2,0)</f>
        <v>Logitech Webcam</v>
      </c>
      <c r="G2481" s="159">
        <v>6</v>
      </c>
      <c r="H2481" s="160">
        <f>VLOOKUP(Sales[[#This Row],[Product ID]],Product[#All],7,0)</f>
        <v>3390</v>
      </c>
      <c r="I2481" s="160">
        <f>Sales[[#This Row],[Selling Rate]]*Sales[[#This Row],[Qty]]</f>
        <v>20340</v>
      </c>
      <c r="J2481" s="43">
        <v>0.05</v>
      </c>
      <c r="K2481" s="44">
        <f>Sales[[#This Row],[Gross Amount]]*Sales[[#This Row],[Disc %]]</f>
        <v>1017</v>
      </c>
      <c r="L2481" s="43">
        <v>0.18</v>
      </c>
      <c r="M2481" s="44">
        <f>(Sales[[#This Row],[Gross Amount]]-Sales[[#This Row],[Disc. Amt.]])*Sales[[#This Row],[GST %]]</f>
        <v>3478.14</v>
      </c>
      <c r="N2481" s="161">
        <f>Sales[[#This Row],[Gross Amount]]-Sales[[#This Row],[Disc. Amt.]]+Sales[[#This Row],[GST Amount]]</f>
        <v>22801.14</v>
      </c>
      <c r="O2481" s="158" t="s">
        <v>3566</v>
      </c>
      <c r="P2481" s="158" t="s">
        <v>3562</v>
      </c>
      <c r="Q2481" s="160">
        <f>IF(Sales[[#This Row],[Status]]="Cancelled",0,Sales[[#This Row],[Qty]])</f>
        <v>6</v>
      </c>
      <c r="R2481" s="161">
        <f>IF(Sales[[#This Row],[Status]]="Cancelled",0,Sales[[#This Row],[Total Amount]])</f>
        <v>22801.14</v>
      </c>
      <c r="S2481" s="162">
        <f>SUM(Sales[Net Amount])</f>
        <v>406839287.73200053</v>
      </c>
    </row>
    <row r="2482" spans="1:19" ht="18.75" x14ac:dyDescent="0.25">
      <c r="A2482" s="163" t="s">
        <v>6110</v>
      </c>
      <c r="B2482" s="164">
        <v>45903</v>
      </c>
      <c r="C2482" s="34" t="s">
        <v>799</v>
      </c>
      <c r="D2482" s="53" t="str">
        <f>VLOOKUP(Sales[[#This Row],[Customer ID]],Customer[#All],2,0)</f>
        <v>Rakesh Gupta</v>
      </c>
      <c r="E2482" s="34" t="s">
        <v>155</v>
      </c>
      <c r="F2482" s="34" t="str">
        <f>VLOOKUP(Sales[[#This Row],[Product ID]],Product[#All],2,0)</f>
        <v>Sandisk Pen Drive</v>
      </c>
      <c r="G2482" s="53">
        <v>2</v>
      </c>
      <c r="H2482" s="165">
        <f>VLOOKUP(Sales[[#This Row],[Product ID]],Product[#All],7,0)</f>
        <v>3650</v>
      </c>
      <c r="I2482" s="165">
        <f>Sales[[#This Row],[Selling Rate]]*Sales[[#This Row],[Qty]]</f>
        <v>7300</v>
      </c>
      <c r="J2482" s="45">
        <v>0.02</v>
      </c>
      <c r="K2482" s="46">
        <f>Sales[[#This Row],[Gross Amount]]*Sales[[#This Row],[Disc %]]</f>
        <v>146</v>
      </c>
      <c r="L2482" s="43">
        <v>0.18</v>
      </c>
      <c r="M2482" s="46">
        <f>(Sales[[#This Row],[Gross Amount]]-Sales[[#This Row],[Disc. Amt.]])*Sales[[#This Row],[GST %]]</f>
        <v>1287.72</v>
      </c>
      <c r="N2482" s="161">
        <f>Sales[[#This Row],[Gross Amount]]-Sales[[#This Row],[Disc. Amt.]]+Sales[[#This Row],[GST Amount]]</f>
        <v>8441.7199999999993</v>
      </c>
      <c r="O2482" s="34" t="s">
        <v>3569</v>
      </c>
      <c r="P2482" s="34" t="s">
        <v>3562</v>
      </c>
      <c r="Q2482" s="165">
        <f>IF(Sales[[#This Row],[Status]]="Cancelled",0,Sales[[#This Row],[Qty]])</f>
        <v>2</v>
      </c>
      <c r="R2482" s="166">
        <f>IF(Sales[[#This Row],[Status]]="Cancelled",0,Sales[[#This Row],[Total Amount]])</f>
        <v>8441.7199999999993</v>
      </c>
      <c r="S2482" s="162">
        <f>SUM(Sales[Net Amount])</f>
        <v>406839287.73200053</v>
      </c>
    </row>
    <row r="2483" spans="1:19" ht="18.75" x14ac:dyDescent="0.25">
      <c r="A2483" s="156" t="s">
        <v>6111</v>
      </c>
      <c r="B2483" s="157">
        <v>45903</v>
      </c>
      <c r="C2483" s="158" t="s">
        <v>926</v>
      </c>
      <c r="D2483" s="159" t="str">
        <f>VLOOKUP(Sales[[#This Row],[Customer ID]],Customer[#All],2,0)</f>
        <v>Pooja Singh</v>
      </c>
      <c r="E2483" s="158" t="s">
        <v>413</v>
      </c>
      <c r="F2483" s="158" t="str">
        <f>VLOOKUP(Sales[[#This Row],[Product ID]],Product[#All],2,0)</f>
        <v>Crucial Ssd</v>
      </c>
      <c r="G2483" s="159">
        <v>1</v>
      </c>
      <c r="H2483" s="160">
        <f>VLOOKUP(Sales[[#This Row],[Product ID]],Product[#All],7,0)</f>
        <v>10780</v>
      </c>
      <c r="I2483" s="160">
        <f>Sales[[#This Row],[Selling Rate]]*Sales[[#This Row],[Qty]]</f>
        <v>10780</v>
      </c>
      <c r="J2483" s="43">
        <v>0</v>
      </c>
      <c r="K2483" s="44">
        <f>Sales[[#This Row],[Gross Amount]]*Sales[[#This Row],[Disc %]]</f>
        <v>0</v>
      </c>
      <c r="L2483" s="43">
        <v>0.18</v>
      </c>
      <c r="M2483" s="44">
        <f>(Sales[[#This Row],[Gross Amount]]-Sales[[#This Row],[Disc. Amt.]])*Sales[[#This Row],[GST %]]</f>
        <v>1940.3999999999999</v>
      </c>
      <c r="N2483" s="161">
        <f>Sales[[#This Row],[Gross Amount]]-Sales[[#This Row],[Disc. Amt.]]+Sales[[#This Row],[GST Amount]]</f>
        <v>12720.4</v>
      </c>
      <c r="O2483" s="158" t="s">
        <v>3561</v>
      </c>
      <c r="P2483" s="158" t="s">
        <v>3562</v>
      </c>
      <c r="Q2483" s="160">
        <f>IF(Sales[[#This Row],[Status]]="Cancelled",0,Sales[[#This Row],[Qty]])</f>
        <v>1</v>
      </c>
      <c r="R2483" s="161">
        <f>IF(Sales[[#This Row],[Status]]="Cancelled",0,Sales[[#This Row],[Total Amount]])</f>
        <v>12720.4</v>
      </c>
      <c r="S2483" s="162">
        <f>SUM(Sales[Net Amount])</f>
        <v>406839287.73200053</v>
      </c>
    </row>
    <row r="2484" spans="1:19" ht="18.75" x14ac:dyDescent="0.25">
      <c r="A2484" s="163" t="s">
        <v>6112</v>
      </c>
      <c r="B2484" s="164">
        <v>45903</v>
      </c>
      <c r="C2484" s="34" t="s">
        <v>746</v>
      </c>
      <c r="D2484" s="53" t="str">
        <f>VLOOKUP(Sales[[#This Row],[Customer ID]],Customer[#All],2,0)</f>
        <v>Sunita Kumar</v>
      </c>
      <c r="E2484" s="34" t="s">
        <v>4</v>
      </c>
      <c r="F2484" s="34" t="str">
        <f>VLOOKUP(Sales[[#This Row],[Product ID]],Product[#All],2,0)</f>
        <v>Epson Printer</v>
      </c>
      <c r="G2484" s="53">
        <v>4</v>
      </c>
      <c r="H2484" s="165">
        <f>VLOOKUP(Sales[[#This Row],[Product ID]],Product[#All],7,0)</f>
        <v>45990</v>
      </c>
      <c r="I2484" s="165">
        <f>Sales[[#This Row],[Selling Rate]]*Sales[[#This Row],[Qty]]</f>
        <v>183960</v>
      </c>
      <c r="J2484" s="45">
        <v>0</v>
      </c>
      <c r="K2484" s="46">
        <f>Sales[[#This Row],[Gross Amount]]*Sales[[#This Row],[Disc %]]</f>
        <v>0</v>
      </c>
      <c r="L2484" s="43">
        <v>0.18</v>
      </c>
      <c r="M2484" s="46">
        <f>(Sales[[#This Row],[Gross Amount]]-Sales[[#This Row],[Disc. Amt.]])*Sales[[#This Row],[GST %]]</f>
        <v>33112.799999999996</v>
      </c>
      <c r="N2484" s="161">
        <f>Sales[[#This Row],[Gross Amount]]-Sales[[#This Row],[Disc. Amt.]]+Sales[[#This Row],[GST Amount]]</f>
        <v>217072.8</v>
      </c>
      <c r="O2484" s="34" t="s">
        <v>3569</v>
      </c>
      <c r="P2484" s="34" t="s">
        <v>3562</v>
      </c>
      <c r="Q2484" s="165">
        <f>IF(Sales[[#This Row],[Status]]="Cancelled",0,Sales[[#This Row],[Qty]])</f>
        <v>4</v>
      </c>
      <c r="R2484" s="166">
        <f>IF(Sales[[#This Row],[Status]]="Cancelled",0,Sales[[#This Row],[Total Amount]])</f>
        <v>217072.8</v>
      </c>
      <c r="S2484" s="162">
        <f>SUM(Sales[Net Amount])</f>
        <v>406839287.73200053</v>
      </c>
    </row>
    <row r="2485" spans="1:19" ht="18.75" x14ac:dyDescent="0.25">
      <c r="A2485" s="156" t="s">
        <v>6113</v>
      </c>
      <c r="B2485" s="157">
        <v>45903</v>
      </c>
      <c r="C2485" s="158" t="s">
        <v>673</v>
      </c>
      <c r="D2485" s="159" t="str">
        <f>VLOOKUP(Sales[[#This Row],[Customer ID]],Customer[#All],2,0)</f>
        <v>Sunita Gupta</v>
      </c>
      <c r="E2485" s="158" t="s">
        <v>432</v>
      </c>
      <c r="F2485" s="158" t="str">
        <f>VLOOKUP(Sales[[#This Row],[Product ID]],Product[#All],2,0)</f>
        <v>Boat Speaker</v>
      </c>
      <c r="G2485" s="159">
        <v>7</v>
      </c>
      <c r="H2485" s="160">
        <f>VLOOKUP(Sales[[#This Row],[Product ID]],Product[#All],7,0)</f>
        <v>750</v>
      </c>
      <c r="I2485" s="160">
        <f>Sales[[#This Row],[Selling Rate]]*Sales[[#This Row],[Qty]]</f>
        <v>5250</v>
      </c>
      <c r="J2485" s="43">
        <v>0.1</v>
      </c>
      <c r="K2485" s="44">
        <f>Sales[[#This Row],[Gross Amount]]*Sales[[#This Row],[Disc %]]</f>
        <v>525</v>
      </c>
      <c r="L2485" s="43">
        <v>0.18</v>
      </c>
      <c r="M2485" s="44">
        <f>(Sales[[#This Row],[Gross Amount]]-Sales[[#This Row],[Disc. Amt.]])*Sales[[#This Row],[GST %]]</f>
        <v>850.5</v>
      </c>
      <c r="N2485" s="161">
        <f>Sales[[#This Row],[Gross Amount]]-Sales[[#This Row],[Disc. Amt.]]+Sales[[#This Row],[GST Amount]]</f>
        <v>5575.5</v>
      </c>
      <c r="O2485" s="158" t="s">
        <v>3566</v>
      </c>
      <c r="P2485" s="158" t="s">
        <v>3562</v>
      </c>
      <c r="Q2485" s="160">
        <f>IF(Sales[[#This Row],[Status]]="Cancelled",0,Sales[[#This Row],[Qty]])</f>
        <v>7</v>
      </c>
      <c r="R2485" s="161">
        <f>IF(Sales[[#This Row],[Status]]="Cancelled",0,Sales[[#This Row],[Total Amount]])</f>
        <v>5575.5</v>
      </c>
      <c r="S2485" s="162">
        <f>SUM(Sales[Net Amount])</f>
        <v>406839287.73200053</v>
      </c>
    </row>
    <row r="2486" spans="1:19" ht="18.75" x14ac:dyDescent="0.25">
      <c r="A2486" s="163" t="s">
        <v>6114</v>
      </c>
      <c r="B2486" s="164">
        <v>45903</v>
      </c>
      <c r="C2486" s="34" t="s">
        <v>831</v>
      </c>
      <c r="D2486" s="53" t="str">
        <f>VLOOKUP(Sales[[#This Row],[Customer ID]],Customer[#All],2,0)</f>
        <v>Vikas Gupta</v>
      </c>
      <c r="E2486" s="34" t="s">
        <v>320</v>
      </c>
      <c r="F2486" s="34" t="str">
        <f>VLOOKUP(Sales[[#This Row],[Product ID]],Product[#All],2,0)</f>
        <v>Seagate HDD</v>
      </c>
      <c r="G2486" s="53">
        <v>7</v>
      </c>
      <c r="H2486" s="165">
        <f>VLOOKUP(Sales[[#This Row],[Product ID]],Product[#All],7,0)</f>
        <v>12040</v>
      </c>
      <c r="I2486" s="165">
        <f>Sales[[#This Row],[Selling Rate]]*Sales[[#This Row],[Qty]]</f>
        <v>84280</v>
      </c>
      <c r="J2486" s="45">
        <v>0</v>
      </c>
      <c r="K2486" s="46">
        <f>Sales[[#This Row],[Gross Amount]]*Sales[[#This Row],[Disc %]]</f>
        <v>0</v>
      </c>
      <c r="L2486" s="43">
        <v>0.18</v>
      </c>
      <c r="M2486" s="46">
        <f>(Sales[[#This Row],[Gross Amount]]-Sales[[#This Row],[Disc. Amt.]])*Sales[[#This Row],[GST %]]</f>
        <v>15170.4</v>
      </c>
      <c r="N2486" s="161">
        <f>Sales[[#This Row],[Gross Amount]]-Sales[[#This Row],[Disc. Amt.]]+Sales[[#This Row],[GST Amount]]</f>
        <v>99450.4</v>
      </c>
      <c r="O2486" s="34" t="s">
        <v>3566</v>
      </c>
      <c r="P2486" s="34" t="s">
        <v>3562</v>
      </c>
      <c r="Q2486" s="165">
        <f>IF(Sales[[#This Row],[Status]]="Cancelled",0,Sales[[#This Row],[Qty]])</f>
        <v>7</v>
      </c>
      <c r="R2486" s="166">
        <f>IF(Sales[[#This Row],[Status]]="Cancelled",0,Sales[[#This Row],[Total Amount]])</f>
        <v>99450.4</v>
      </c>
      <c r="S2486" s="162">
        <f>SUM(Sales[Net Amount])</f>
        <v>406839287.73200053</v>
      </c>
    </row>
    <row r="2487" spans="1:19" ht="18.75" x14ac:dyDescent="0.25">
      <c r="A2487" s="156" t="s">
        <v>6115</v>
      </c>
      <c r="B2487" s="157">
        <v>45903</v>
      </c>
      <c r="C2487" s="158" t="s">
        <v>799</v>
      </c>
      <c r="D2487" s="159" t="str">
        <f>VLOOKUP(Sales[[#This Row],[Customer ID]],Customer[#All],2,0)</f>
        <v>Rakesh Gupta</v>
      </c>
      <c r="E2487" s="158" t="s">
        <v>349</v>
      </c>
      <c r="F2487" s="158" t="str">
        <f>VLOOKUP(Sales[[#This Row],[Product ID]],Product[#All],2,0)</f>
        <v>Samsung Monitor</v>
      </c>
      <c r="G2487" s="159">
        <v>1</v>
      </c>
      <c r="H2487" s="160">
        <f>VLOOKUP(Sales[[#This Row],[Product ID]],Product[#All],7,0)</f>
        <v>11070</v>
      </c>
      <c r="I2487" s="160">
        <f>Sales[[#This Row],[Selling Rate]]*Sales[[#This Row],[Qty]]</f>
        <v>11070</v>
      </c>
      <c r="J2487" s="43">
        <v>0</v>
      </c>
      <c r="K2487" s="44">
        <f>Sales[[#This Row],[Gross Amount]]*Sales[[#This Row],[Disc %]]</f>
        <v>0</v>
      </c>
      <c r="L2487" s="43">
        <v>0.18</v>
      </c>
      <c r="M2487" s="44">
        <f>(Sales[[#This Row],[Gross Amount]]-Sales[[#This Row],[Disc. Amt.]])*Sales[[#This Row],[GST %]]</f>
        <v>1992.6</v>
      </c>
      <c r="N2487" s="161">
        <f>Sales[[#This Row],[Gross Amount]]-Sales[[#This Row],[Disc. Amt.]]+Sales[[#This Row],[GST Amount]]</f>
        <v>13062.6</v>
      </c>
      <c r="O2487" s="158" t="s">
        <v>3569</v>
      </c>
      <c r="P2487" s="158" t="s">
        <v>3562</v>
      </c>
      <c r="Q2487" s="160">
        <f>IF(Sales[[#This Row],[Status]]="Cancelled",0,Sales[[#This Row],[Qty]])</f>
        <v>1</v>
      </c>
      <c r="R2487" s="161">
        <f>IF(Sales[[#This Row],[Status]]="Cancelled",0,Sales[[#This Row],[Total Amount]])</f>
        <v>13062.6</v>
      </c>
      <c r="S2487" s="162">
        <f>SUM(Sales[Net Amount])</f>
        <v>406839287.73200053</v>
      </c>
    </row>
    <row r="2488" spans="1:19" ht="18.75" x14ac:dyDescent="0.25">
      <c r="A2488" s="163" t="s">
        <v>6116</v>
      </c>
      <c r="B2488" s="164">
        <v>45903</v>
      </c>
      <c r="C2488" s="34" t="s">
        <v>764</v>
      </c>
      <c r="D2488" s="53" t="str">
        <f>VLOOKUP(Sales[[#This Row],[Customer ID]],Customer[#All],2,0)</f>
        <v>Priya Gupta</v>
      </c>
      <c r="E2488" s="34" t="s">
        <v>438</v>
      </c>
      <c r="F2488" s="34" t="str">
        <f>VLOOKUP(Sales[[#This Row],[Product ID]],Product[#All],2,0)</f>
        <v>Jbl Headset</v>
      </c>
      <c r="G2488" s="53">
        <v>6</v>
      </c>
      <c r="H2488" s="165">
        <f>VLOOKUP(Sales[[#This Row],[Product ID]],Product[#All],7,0)</f>
        <v>1670</v>
      </c>
      <c r="I2488" s="165">
        <f>Sales[[#This Row],[Selling Rate]]*Sales[[#This Row],[Qty]]</f>
        <v>10020</v>
      </c>
      <c r="J2488" s="45">
        <v>0.05</v>
      </c>
      <c r="K2488" s="46">
        <f>Sales[[#This Row],[Gross Amount]]*Sales[[#This Row],[Disc %]]</f>
        <v>501</v>
      </c>
      <c r="L2488" s="43">
        <v>0.18</v>
      </c>
      <c r="M2488" s="46">
        <f>(Sales[[#This Row],[Gross Amount]]-Sales[[#This Row],[Disc. Amt.]])*Sales[[#This Row],[GST %]]</f>
        <v>1713.4199999999998</v>
      </c>
      <c r="N2488" s="161">
        <f>Sales[[#This Row],[Gross Amount]]-Sales[[#This Row],[Disc. Amt.]]+Sales[[#This Row],[GST Amount]]</f>
        <v>11232.42</v>
      </c>
      <c r="O2488" s="34" t="s">
        <v>3561</v>
      </c>
      <c r="P2488" s="34" t="s">
        <v>3562</v>
      </c>
      <c r="Q2488" s="165">
        <f>IF(Sales[[#This Row],[Status]]="Cancelled",0,Sales[[#This Row],[Qty]])</f>
        <v>6</v>
      </c>
      <c r="R2488" s="166">
        <f>IF(Sales[[#This Row],[Status]]="Cancelled",0,Sales[[#This Row],[Total Amount]])</f>
        <v>11232.42</v>
      </c>
      <c r="S2488" s="162">
        <f>SUM(Sales[Net Amount])</f>
        <v>406839287.73200053</v>
      </c>
    </row>
    <row r="2489" spans="1:19" ht="18.75" x14ac:dyDescent="0.25">
      <c r="A2489" s="156" t="s">
        <v>6117</v>
      </c>
      <c r="B2489" s="157">
        <v>45903</v>
      </c>
      <c r="C2489" s="158" t="s">
        <v>879</v>
      </c>
      <c r="D2489" s="159" t="str">
        <f>VLOOKUP(Sales[[#This Row],[Customer ID]],Customer[#All],2,0)</f>
        <v>Ankit Patel</v>
      </c>
      <c r="E2489" s="158" t="s">
        <v>544</v>
      </c>
      <c r="F2489" s="158" t="str">
        <f>VLOOKUP(Sales[[#This Row],[Product ID]],Product[#All],2,0)</f>
        <v>HP Printer</v>
      </c>
      <c r="G2489" s="159">
        <v>7</v>
      </c>
      <c r="H2489" s="160">
        <f>VLOOKUP(Sales[[#This Row],[Product ID]],Product[#All],7,0)</f>
        <v>18010</v>
      </c>
      <c r="I2489" s="160">
        <f>Sales[[#This Row],[Selling Rate]]*Sales[[#This Row],[Qty]]</f>
        <v>126070</v>
      </c>
      <c r="J2489" s="43">
        <v>0.05</v>
      </c>
      <c r="K2489" s="44">
        <f>Sales[[#This Row],[Gross Amount]]*Sales[[#This Row],[Disc %]]</f>
        <v>6303.5</v>
      </c>
      <c r="L2489" s="43">
        <v>0.18</v>
      </c>
      <c r="M2489" s="44">
        <f>(Sales[[#This Row],[Gross Amount]]-Sales[[#This Row],[Disc. Amt.]])*Sales[[#This Row],[GST %]]</f>
        <v>21557.969999999998</v>
      </c>
      <c r="N2489" s="161">
        <f>Sales[[#This Row],[Gross Amount]]-Sales[[#This Row],[Disc. Amt.]]+Sales[[#This Row],[GST Amount]]</f>
        <v>141324.47</v>
      </c>
      <c r="O2489" s="158" t="s">
        <v>3561</v>
      </c>
      <c r="P2489" s="158" t="s">
        <v>3562</v>
      </c>
      <c r="Q2489" s="160">
        <f>IF(Sales[[#This Row],[Status]]="Cancelled",0,Sales[[#This Row],[Qty]])</f>
        <v>7</v>
      </c>
      <c r="R2489" s="161">
        <f>IF(Sales[[#This Row],[Status]]="Cancelled",0,Sales[[#This Row],[Total Amount]])</f>
        <v>141324.47</v>
      </c>
      <c r="S2489" s="162">
        <f>SUM(Sales[Net Amount])</f>
        <v>406839287.73200053</v>
      </c>
    </row>
    <row r="2490" spans="1:19" ht="18.75" x14ac:dyDescent="0.25">
      <c r="A2490" s="163" t="s">
        <v>6118</v>
      </c>
      <c r="B2490" s="164">
        <v>45903</v>
      </c>
      <c r="C2490" s="34" t="s">
        <v>898</v>
      </c>
      <c r="D2490" s="53" t="str">
        <f>VLOOKUP(Sales[[#This Row],[Customer ID]],Customer[#All],2,0)</f>
        <v>Rahul Singh</v>
      </c>
      <c r="E2490" s="34" t="s">
        <v>253</v>
      </c>
      <c r="F2490" s="34" t="str">
        <f>VLOOKUP(Sales[[#This Row],[Product ID]],Product[#All],2,0)</f>
        <v>Acer Laptop</v>
      </c>
      <c r="G2490" s="53">
        <v>7</v>
      </c>
      <c r="H2490" s="165">
        <f>VLOOKUP(Sales[[#This Row],[Product ID]],Product[#All],7,0)</f>
        <v>40550</v>
      </c>
      <c r="I2490" s="165">
        <f>Sales[[#This Row],[Selling Rate]]*Sales[[#This Row],[Qty]]</f>
        <v>283850</v>
      </c>
      <c r="J2490" s="45">
        <v>0.05</v>
      </c>
      <c r="K2490" s="46">
        <f>Sales[[#This Row],[Gross Amount]]*Sales[[#This Row],[Disc %]]</f>
        <v>14192.5</v>
      </c>
      <c r="L2490" s="43">
        <v>0.18</v>
      </c>
      <c r="M2490" s="46">
        <f>(Sales[[#This Row],[Gross Amount]]-Sales[[#This Row],[Disc. Amt.]])*Sales[[#This Row],[GST %]]</f>
        <v>48538.35</v>
      </c>
      <c r="N2490" s="161">
        <f>Sales[[#This Row],[Gross Amount]]-Sales[[#This Row],[Disc. Amt.]]+Sales[[#This Row],[GST Amount]]</f>
        <v>318195.84999999998</v>
      </c>
      <c r="O2490" s="34" t="s">
        <v>3569</v>
      </c>
      <c r="P2490" s="34" t="s">
        <v>3562</v>
      </c>
      <c r="Q2490" s="165">
        <f>IF(Sales[[#This Row],[Status]]="Cancelled",0,Sales[[#This Row],[Qty]])</f>
        <v>7</v>
      </c>
      <c r="R2490" s="166">
        <f>IF(Sales[[#This Row],[Status]]="Cancelled",0,Sales[[#This Row],[Total Amount]])</f>
        <v>318195.84999999998</v>
      </c>
      <c r="S2490" s="162">
        <f>SUM(Sales[Net Amount])</f>
        <v>406839287.73200053</v>
      </c>
    </row>
    <row r="2491" spans="1:19" ht="18.75" x14ac:dyDescent="0.25">
      <c r="A2491" s="156" t="s">
        <v>6119</v>
      </c>
      <c r="B2491" s="157">
        <v>45903</v>
      </c>
      <c r="C2491" s="158" t="s">
        <v>742</v>
      </c>
      <c r="D2491" s="159" t="str">
        <f>VLOOKUP(Sales[[#This Row],[Customer ID]],Customer[#All],2,0)</f>
        <v>Rahul Patel</v>
      </c>
      <c r="E2491" s="158" t="s">
        <v>221</v>
      </c>
      <c r="F2491" s="158" t="str">
        <f>VLOOKUP(Sales[[#This Row],[Product ID]],Product[#All],2,0)</f>
        <v>TP-link Wi-Fi Adapter</v>
      </c>
      <c r="G2491" s="159">
        <v>6</v>
      </c>
      <c r="H2491" s="160">
        <f>VLOOKUP(Sales[[#This Row],[Product ID]],Product[#All],7,0)</f>
        <v>2920</v>
      </c>
      <c r="I2491" s="160">
        <f>Sales[[#This Row],[Selling Rate]]*Sales[[#This Row],[Qty]]</f>
        <v>17520</v>
      </c>
      <c r="J2491" s="43">
        <v>0.02</v>
      </c>
      <c r="K2491" s="44">
        <f>Sales[[#This Row],[Gross Amount]]*Sales[[#This Row],[Disc %]]</f>
        <v>350.40000000000003</v>
      </c>
      <c r="L2491" s="43">
        <v>0.18</v>
      </c>
      <c r="M2491" s="44">
        <f>(Sales[[#This Row],[Gross Amount]]-Sales[[#This Row],[Disc. Amt.]])*Sales[[#This Row],[GST %]]</f>
        <v>3090.5279999999998</v>
      </c>
      <c r="N2491" s="161">
        <f>Sales[[#This Row],[Gross Amount]]-Sales[[#This Row],[Disc. Amt.]]+Sales[[#This Row],[GST Amount]]</f>
        <v>20260.127999999997</v>
      </c>
      <c r="O2491" s="158" t="s">
        <v>8876</v>
      </c>
      <c r="P2491" s="158" t="s">
        <v>3562</v>
      </c>
      <c r="Q2491" s="160">
        <f>IF(Sales[[#This Row],[Status]]="Cancelled",0,Sales[[#This Row],[Qty]])</f>
        <v>6</v>
      </c>
      <c r="R2491" s="161">
        <f>IF(Sales[[#This Row],[Status]]="Cancelled",0,Sales[[#This Row],[Total Amount]])</f>
        <v>20260.127999999997</v>
      </c>
      <c r="S2491" s="162">
        <f>SUM(Sales[Net Amount])</f>
        <v>406839287.73200053</v>
      </c>
    </row>
    <row r="2492" spans="1:19" ht="18.75" x14ac:dyDescent="0.25">
      <c r="A2492" s="163" t="s">
        <v>6120</v>
      </c>
      <c r="B2492" s="164">
        <v>45903</v>
      </c>
      <c r="C2492" s="34" t="s">
        <v>881</v>
      </c>
      <c r="D2492" s="53" t="str">
        <f>VLOOKUP(Sales[[#This Row],[Customer ID]],Customer[#All],2,0)</f>
        <v>Vikas Verma</v>
      </c>
      <c r="E2492" s="34" t="s">
        <v>274</v>
      </c>
      <c r="F2492" s="34" t="str">
        <f>VLOOKUP(Sales[[#This Row],[Product ID]],Product[#All],2,0)</f>
        <v>Dell Desktop</v>
      </c>
      <c r="G2492" s="53">
        <v>5</v>
      </c>
      <c r="H2492" s="165">
        <f>VLOOKUP(Sales[[#This Row],[Product ID]],Product[#All],7,0)</f>
        <v>54540</v>
      </c>
      <c r="I2492" s="165">
        <f>Sales[[#This Row],[Selling Rate]]*Sales[[#This Row],[Qty]]</f>
        <v>272700</v>
      </c>
      <c r="J2492" s="45">
        <v>0.1</v>
      </c>
      <c r="K2492" s="46">
        <f>Sales[[#This Row],[Gross Amount]]*Sales[[#This Row],[Disc %]]</f>
        <v>27270</v>
      </c>
      <c r="L2492" s="43">
        <v>0.18</v>
      </c>
      <c r="M2492" s="46">
        <f>(Sales[[#This Row],[Gross Amount]]-Sales[[#This Row],[Disc. Amt.]])*Sales[[#This Row],[GST %]]</f>
        <v>44177.4</v>
      </c>
      <c r="N2492" s="161">
        <f>Sales[[#This Row],[Gross Amount]]-Sales[[#This Row],[Disc. Amt.]]+Sales[[#This Row],[GST Amount]]</f>
        <v>289607.40000000002</v>
      </c>
      <c r="O2492" s="34" t="s">
        <v>3561</v>
      </c>
      <c r="P2492" s="34" t="s">
        <v>3562</v>
      </c>
      <c r="Q2492" s="165">
        <f>IF(Sales[[#This Row],[Status]]="Cancelled",0,Sales[[#This Row],[Qty]])</f>
        <v>5</v>
      </c>
      <c r="R2492" s="166">
        <f>IF(Sales[[#This Row],[Status]]="Cancelled",0,Sales[[#This Row],[Total Amount]])</f>
        <v>289607.40000000002</v>
      </c>
      <c r="S2492" s="162">
        <f>SUM(Sales[Net Amount])</f>
        <v>406839287.73200053</v>
      </c>
    </row>
    <row r="2493" spans="1:19" ht="18.75" x14ac:dyDescent="0.25">
      <c r="A2493" s="156" t="s">
        <v>6121</v>
      </c>
      <c r="B2493" s="157">
        <v>45903</v>
      </c>
      <c r="C2493" s="158" t="s">
        <v>693</v>
      </c>
      <c r="D2493" s="159" t="str">
        <f>VLOOKUP(Sales[[#This Row],[Customer ID]],Customer[#All],2,0)</f>
        <v>Rahul Gupta</v>
      </c>
      <c r="E2493" s="158" t="s">
        <v>321</v>
      </c>
      <c r="F2493" s="158" t="str">
        <f>VLOOKUP(Sales[[#This Row],[Product ID]],Product[#All],2,0)</f>
        <v>WD HDD</v>
      </c>
      <c r="G2493" s="159">
        <v>3</v>
      </c>
      <c r="H2493" s="160">
        <f>VLOOKUP(Sales[[#This Row],[Product ID]],Product[#All],7,0)</f>
        <v>6810</v>
      </c>
      <c r="I2493" s="160">
        <f>Sales[[#This Row],[Selling Rate]]*Sales[[#This Row],[Qty]]</f>
        <v>20430</v>
      </c>
      <c r="J2493" s="43">
        <v>0</v>
      </c>
      <c r="K2493" s="44">
        <f>Sales[[#This Row],[Gross Amount]]*Sales[[#This Row],[Disc %]]</f>
        <v>0</v>
      </c>
      <c r="L2493" s="43">
        <v>0.18</v>
      </c>
      <c r="M2493" s="44">
        <f>(Sales[[#This Row],[Gross Amount]]-Sales[[#This Row],[Disc. Amt.]])*Sales[[#This Row],[GST %]]</f>
        <v>3677.4</v>
      </c>
      <c r="N2493" s="161">
        <f>Sales[[#This Row],[Gross Amount]]-Sales[[#This Row],[Disc. Amt.]]+Sales[[#This Row],[GST Amount]]</f>
        <v>24107.4</v>
      </c>
      <c r="O2493" s="158" t="s">
        <v>3569</v>
      </c>
      <c r="P2493" s="158" t="s">
        <v>3562</v>
      </c>
      <c r="Q2493" s="160">
        <f>IF(Sales[[#This Row],[Status]]="Cancelled",0,Sales[[#This Row],[Qty]])</f>
        <v>3</v>
      </c>
      <c r="R2493" s="161">
        <f>IF(Sales[[#This Row],[Status]]="Cancelled",0,Sales[[#This Row],[Total Amount]])</f>
        <v>24107.4</v>
      </c>
      <c r="S2493" s="162">
        <f>SUM(Sales[Net Amount])</f>
        <v>406839287.73200053</v>
      </c>
    </row>
    <row r="2494" spans="1:19" ht="18.75" x14ac:dyDescent="0.25">
      <c r="A2494" s="163" t="s">
        <v>6122</v>
      </c>
      <c r="B2494" s="164">
        <v>45903</v>
      </c>
      <c r="C2494" s="34" t="s">
        <v>903</v>
      </c>
      <c r="D2494" s="53" t="str">
        <f>VLOOKUP(Sales[[#This Row],[Customer ID]],Customer[#All],2,0)</f>
        <v>Sahil Singh</v>
      </c>
      <c r="E2494" s="34" t="s">
        <v>408</v>
      </c>
      <c r="F2494" s="34" t="str">
        <f>VLOOKUP(Sales[[#This Row],[Product ID]],Product[#All],2,0)</f>
        <v>HP Laptop</v>
      </c>
      <c r="G2494" s="53">
        <v>7</v>
      </c>
      <c r="H2494" s="165">
        <f>VLOOKUP(Sales[[#This Row],[Product ID]],Product[#All],7,0)</f>
        <v>93130</v>
      </c>
      <c r="I2494" s="165">
        <f>Sales[[#This Row],[Selling Rate]]*Sales[[#This Row],[Qty]]</f>
        <v>651910</v>
      </c>
      <c r="J2494" s="45">
        <v>0.05</v>
      </c>
      <c r="K2494" s="46">
        <f>Sales[[#This Row],[Gross Amount]]*Sales[[#This Row],[Disc %]]</f>
        <v>32595.5</v>
      </c>
      <c r="L2494" s="43">
        <v>0.18</v>
      </c>
      <c r="M2494" s="46">
        <f>(Sales[[#This Row],[Gross Amount]]-Sales[[#This Row],[Disc. Amt.]])*Sales[[#This Row],[GST %]]</f>
        <v>111476.61</v>
      </c>
      <c r="N2494" s="161">
        <f>Sales[[#This Row],[Gross Amount]]-Sales[[#This Row],[Disc. Amt.]]+Sales[[#This Row],[GST Amount]]</f>
        <v>730791.11</v>
      </c>
      <c r="O2494" s="34" t="s">
        <v>3569</v>
      </c>
      <c r="P2494" s="34" t="s">
        <v>3562</v>
      </c>
      <c r="Q2494" s="165">
        <f>IF(Sales[[#This Row],[Status]]="Cancelled",0,Sales[[#This Row],[Qty]])</f>
        <v>7</v>
      </c>
      <c r="R2494" s="166">
        <f>IF(Sales[[#This Row],[Status]]="Cancelled",0,Sales[[#This Row],[Total Amount]])</f>
        <v>730791.11</v>
      </c>
      <c r="S2494" s="162">
        <f>SUM(Sales[Net Amount])</f>
        <v>406839287.73200053</v>
      </c>
    </row>
    <row r="2495" spans="1:19" ht="18.75" x14ac:dyDescent="0.25">
      <c r="A2495" s="156" t="s">
        <v>6123</v>
      </c>
      <c r="B2495" s="157">
        <v>45903</v>
      </c>
      <c r="C2495" s="158" t="s">
        <v>725</v>
      </c>
      <c r="D2495" s="159" t="str">
        <f>VLOOKUP(Sales[[#This Row],[Customer ID]],Customer[#All],2,0)</f>
        <v>Ankit Kumar</v>
      </c>
      <c r="E2495" s="158" t="s">
        <v>118</v>
      </c>
      <c r="F2495" s="158" t="str">
        <f>VLOOKUP(Sales[[#This Row],[Product ID]],Product[#All],2,0)</f>
        <v>American TouristerLaptopBag</v>
      </c>
      <c r="G2495" s="159">
        <v>6</v>
      </c>
      <c r="H2495" s="160">
        <f>VLOOKUP(Sales[[#This Row],[Product ID]],Product[#All],7,0)</f>
        <v>4160</v>
      </c>
      <c r="I2495" s="160">
        <f>Sales[[#This Row],[Selling Rate]]*Sales[[#This Row],[Qty]]</f>
        <v>24960</v>
      </c>
      <c r="J2495" s="43">
        <v>0.12</v>
      </c>
      <c r="K2495" s="44">
        <f>Sales[[#This Row],[Gross Amount]]*Sales[[#This Row],[Disc %]]</f>
        <v>2995.2</v>
      </c>
      <c r="L2495" s="43">
        <v>0.18</v>
      </c>
      <c r="M2495" s="44">
        <f>(Sales[[#This Row],[Gross Amount]]-Sales[[#This Row],[Disc. Amt.]])*Sales[[#This Row],[GST %]]</f>
        <v>3953.6639999999998</v>
      </c>
      <c r="N2495" s="161">
        <f>Sales[[#This Row],[Gross Amount]]-Sales[[#This Row],[Disc. Amt.]]+Sales[[#This Row],[GST Amount]]</f>
        <v>25918.464</v>
      </c>
      <c r="O2495" s="158" t="s">
        <v>8876</v>
      </c>
      <c r="P2495" s="158" t="s">
        <v>3562</v>
      </c>
      <c r="Q2495" s="160">
        <f>IF(Sales[[#This Row],[Status]]="Cancelled",0,Sales[[#This Row],[Qty]])</f>
        <v>6</v>
      </c>
      <c r="R2495" s="161">
        <f>IF(Sales[[#This Row],[Status]]="Cancelled",0,Sales[[#This Row],[Total Amount]])</f>
        <v>25918.464</v>
      </c>
      <c r="S2495" s="162">
        <f>SUM(Sales[Net Amount])</f>
        <v>406839287.73200053</v>
      </c>
    </row>
    <row r="2496" spans="1:19" ht="18.75" x14ac:dyDescent="0.25">
      <c r="A2496" s="163" t="s">
        <v>6124</v>
      </c>
      <c r="B2496" s="164">
        <v>45904</v>
      </c>
      <c r="C2496" s="34" t="s">
        <v>820</v>
      </c>
      <c r="D2496" s="53" t="str">
        <f>VLOOKUP(Sales[[#This Row],[Customer ID]],Customer[#All],2,0)</f>
        <v>Sahil Gupta</v>
      </c>
      <c r="E2496" s="34" t="s">
        <v>522</v>
      </c>
      <c r="F2496" s="34" t="str">
        <f>VLOOKUP(Sales[[#This Row],[Product ID]],Product[#All],2,0)</f>
        <v>Dell Keyboard</v>
      </c>
      <c r="G2496" s="53">
        <v>7</v>
      </c>
      <c r="H2496" s="165">
        <f>VLOOKUP(Sales[[#This Row],[Product ID]],Product[#All],7,0)</f>
        <v>3020</v>
      </c>
      <c r="I2496" s="165">
        <f>Sales[[#This Row],[Selling Rate]]*Sales[[#This Row],[Qty]]</f>
        <v>21140</v>
      </c>
      <c r="J2496" s="45">
        <v>0.1</v>
      </c>
      <c r="K2496" s="46">
        <f>Sales[[#This Row],[Gross Amount]]*Sales[[#This Row],[Disc %]]</f>
        <v>2114</v>
      </c>
      <c r="L2496" s="43">
        <v>0.18</v>
      </c>
      <c r="M2496" s="46">
        <f>(Sales[[#This Row],[Gross Amount]]-Sales[[#This Row],[Disc. Amt.]])*Sales[[#This Row],[GST %]]</f>
        <v>3424.68</v>
      </c>
      <c r="N2496" s="161">
        <f>Sales[[#This Row],[Gross Amount]]-Sales[[#This Row],[Disc. Amt.]]+Sales[[#This Row],[GST Amount]]</f>
        <v>22450.68</v>
      </c>
      <c r="O2496" s="34" t="s">
        <v>3561</v>
      </c>
      <c r="P2496" s="34" t="s">
        <v>3562</v>
      </c>
      <c r="Q2496" s="165">
        <f>IF(Sales[[#This Row],[Status]]="Cancelled",0,Sales[[#This Row],[Qty]])</f>
        <v>7</v>
      </c>
      <c r="R2496" s="166">
        <f>IF(Sales[[#This Row],[Status]]="Cancelled",0,Sales[[#This Row],[Total Amount]])</f>
        <v>22450.68</v>
      </c>
      <c r="S2496" s="162">
        <f>SUM(Sales[Net Amount])</f>
        <v>406839287.73200053</v>
      </c>
    </row>
    <row r="2497" spans="1:19" ht="18.75" x14ac:dyDescent="0.25">
      <c r="A2497" s="156" t="s">
        <v>6125</v>
      </c>
      <c r="B2497" s="157">
        <v>45904</v>
      </c>
      <c r="C2497" s="158" t="s">
        <v>719</v>
      </c>
      <c r="D2497" s="159" t="str">
        <f>VLOOKUP(Sales[[#This Row],[Customer ID]],Customer[#All],2,0)</f>
        <v>Priya Verma</v>
      </c>
      <c r="E2497" s="158" t="s">
        <v>205</v>
      </c>
      <c r="F2497" s="158" t="str">
        <f>VLOOKUP(Sales[[#This Row],[Product ID]],Product[#All],2,0)</f>
        <v>HP Power Adapter</v>
      </c>
      <c r="G2497" s="159">
        <v>2</v>
      </c>
      <c r="H2497" s="160">
        <f>VLOOKUP(Sales[[#This Row],[Product ID]],Product[#All],7,0)</f>
        <v>4820</v>
      </c>
      <c r="I2497" s="160">
        <f>Sales[[#This Row],[Selling Rate]]*Sales[[#This Row],[Qty]]</f>
        <v>9640</v>
      </c>
      <c r="J2497" s="43">
        <v>0.02</v>
      </c>
      <c r="K2497" s="44">
        <f>Sales[[#This Row],[Gross Amount]]*Sales[[#This Row],[Disc %]]</f>
        <v>192.8</v>
      </c>
      <c r="L2497" s="43">
        <v>0.18</v>
      </c>
      <c r="M2497" s="44">
        <f>(Sales[[#This Row],[Gross Amount]]-Sales[[#This Row],[Disc. Amt.]])*Sales[[#This Row],[GST %]]</f>
        <v>1700.4960000000001</v>
      </c>
      <c r="N2497" s="161">
        <f>Sales[[#This Row],[Gross Amount]]-Sales[[#This Row],[Disc. Amt.]]+Sales[[#This Row],[GST Amount]]</f>
        <v>11147.696</v>
      </c>
      <c r="O2497" s="158" t="s">
        <v>3561</v>
      </c>
      <c r="P2497" s="158" t="s">
        <v>3562</v>
      </c>
      <c r="Q2497" s="160">
        <f>IF(Sales[[#This Row],[Status]]="Cancelled",0,Sales[[#This Row],[Qty]])</f>
        <v>2</v>
      </c>
      <c r="R2497" s="161">
        <f>IF(Sales[[#This Row],[Status]]="Cancelled",0,Sales[[#This Row],[Total Amount]])</f>
        <v>11147.696</v>
      </c>
      <c r="S2497" s="162">
        <f>SUM(Sales[Net Amount])</f>
        <v>406839287.73200053</v>
      </c>
    </row>
    <row r="2498" spans="1:19" ht="18.75" x14ac:dyDescent="0.25">
      <c r="A2498" s="163" t="s">
        <v>6126</v>
      </c>
      <c r="B2498" s="164">
        <v>45904</v>
      </c>
      <c r="C2498" s="34" t="s">
        <v>682</v>
      </c>
      <c r="D2498" s="53" t="str">
        <f>VLOOKUP(Sales[[#This Row],[Customer ID]],Customer[#All],2,0)</f>
        <v>Rahul Sharma</v>
      </c>
      <c r="E2498" s="34" t="s">
        <v>284</v>
      </c>
      <c r="F2498" s="34" t="str">
        <f>VLOOKUP(Sales[[#This Row],[Product ID]],Product[#All],2,0)</f>
        <v>TP-link Bluetooth Adapter</v>
      </c>
      <c r="G2498" s="53">
        <v>4</v>
      </c>
      <c r="H2498" s="165">
        <f>VLOOKUP(Sales[[#This Row],[Product ID]],Product[#All],7,0)</f>
        <v>1750</v>
      </c>
      <c r="I2498" s="165">
        <f>Sales[[#This Row],[Selling Rate]]*Sales[[#This Row],[Qty]]</f>
        <v>7000</v>
      </c>
      <c r="J2498" s="45">
        <v>0.02</v>
      </c>
      <c r="K2498" s="46">
        <f>Sales[[#This Row],[Gross Amount]]*Sales[[#This Row],[Disc %]]</f>
        <v>140</v>
      </c>
      <c r="L2498" s="43">
        <v>0.18</v>
      </c>
      <c r="M2498" s="46">
        <f>(Sales[[#This Row],[Gross Amount]]-Sales[[#This Row],[Disc. Amt.]])*Sales[[#This Row],[GST %]]</f>
        <v>1234.8</v>
      </c>
      <c r="N2498" s="161">
        <f>Sales[[#This Row],[Gross Amount]]-Sales[[#This Row],[Disc. Amt.]]+Sales[[#This Row],[GST Amount]]</f>
        <v>8094.8</v>
      </c>
      <c r="O2498" s="34" t="s">
        <v>8876</v>
      </c>
      <c r="P2498" s="34" t="s">
        <v>3562</v>
      </c>
      <c r="Q2498" s="165">
        <f>IF(Sales[[#This Row],[Status]]="Cancelled",0,Sales[[#This Row],[Qty]])</f>
        <v>4</v>
      </c>
      <c r="R2498" s="166">
        <f>IF(Sales[[#This Row],[Status]]="Cancelled",0,Sales[[#This Row],[Total Amount]])</f>
        <v>8094.8</v>
      </c>
      <c r="S2498" s="162">
        <f>SUM(Sales[Net Amount])</f>
        <v>406839287.73200053</v>
      </c>
    </row>
    <row r="2499" spans="1:19" ht="18.75" x14ac:dyDescent="0.25">
      <c r="A2499" s="156" t="s">
        <v>6127</v>
      </c>
      <c r="B2499" s="157">
        <v>45904</v>
      </c>
      <c r="C2499" s="158" t="s">
        <v>924</v>
      </c>
      <c r="D2499" s="159" t="str">
        <f>VLOOKUP(Sales[[#This Row],[Customer ID]],Customer[#All],2,0)</f>
        <v>Rakesh Gupta</v>
      </c>
      <c r="E2499" s="158" t="s">
        <v>168</v>
      </c>
      <c r="F2499" s="158" t="str">
        <f>VLOOKUP(Sales[[#This Row],[Product ID]],Product[#All],2,0)</f>
        <v>TP-link Wi-Fi Adapter</v>
      </c>
      <c r="G2499" s="159">
        <v>6</v>
      </c>
      <c r="H2499" s="160">
        <f>VLOOKUP(Sales[[#This Row],[Product ID]],Product[#All],7,0)</f>
        <v>1460</v>
      </c>
      <c r="I2499" s="160">
        <f>Sales[[#This Row],[Selling Rate]]*Sales[[#This Row],[Qty]]</f>
        <v>8760</v>
      </c>
      <c r="J2499" s="43">
        <v>0.05</v>
      </c>
      <c r="K2499" s="44">
        <f>Sales[[#This Row],[Gross Amount]]*Sales[[#This Row],[Disc %]]</f>
        <v>438</v>
      </c>
      <c r="L2499" s="43">
        <v>0.18</v>
      </c>
      <c r="M2499" s="44">
        <f>(Sales[[#This Row],[Gross Amount]]-Sales[[#This Row],[Disc. Amt.]])*Sales[[#This Row],[GST %]]</f>
        <v>1497.96</v>
      </c>
      <c r="N2499" s="161">
        <f>Sales[[#This Row],[Gross Amount]]-Sales[[#This Row],[Disc. Amt.]]+Sales[[#This Row],[GST Amount]]</f>
        <v>9819.9599999999991</v>
      </c>
      <c r="O2499" s="158" t="s">
        <v>3561</v>
      </c>
      <c r="P2499" s="158" t="s">
        <v>3562</v>
      </c>
      <c r="Q2499" s="160">
        <f>IF(Sales[[#This Row],[Status]]="Cancelled",0,Sales[[#This Row],[Qty]])</f>
        <v>6</v>
      </c>
      <c r="R2499" s="161">
        <f>IF(Sales[[#This Row],[Status]]="Cancelled",0,Sales[[#This Row],[Total Amount]])</f>
        <v>9819.9599999999991</v>
      </c>
      <c r="S2499" s="162">
        <f>SUM(Sales[Net Amount])</f>
        <v>406839287.73200053</v>
      </c>
    </row>
    <row r="2500" spans="1:19" ht="18.75" x14ac:dyDescent="0.25">
      <c r="A2500" s="163" t="s">
        <v>6128</v>
      </c>
      <c r="B2500" s="164">
        <v>45904</v>
      </c>
      <c r="C2500" s="34" t="s">
        <v>677</v>
      </c>
      <c r="D2500" s="53" t="str">
        <f>VLOOKUP(Sales[[#This Row],[Customer ID]],Customer[#All],2,0)</f>
        <v>Sahil Verma</v>
      </c>
      <c r="E2500" s="34" t="s">
        <v>104</v>
      </c>
      <c r="F2500" s="34" t="str">
        <f>VLOOKUP(Sales[[#This Row],[Product ID]],Product[#All],2,0)</f>
        <v>Canon Printer</v>
      </c>
      <c r="G2500" s="53">
        <v>4</v>
      </c>
      <c r="H2500" s="165">
        <f>VLOOKUP(Sales[[#This Row],[Product ID]],Product[#All],7,0)</f>
        <v>49170</v>
      </c>
      <c r="I2500" s="165">
        <f>Sales[[#This Row],[Selling Rate]]*Sales[[#This Row],[Qty]]</f>
        <v>196680</v>
      </c>
      <c r="J2500" s="45">
        <v>0.05</v>
      </c>
      <c r="K2500" s="46">
        <f>Sales[[#This Row],[Gross Amount]]*Sales[[#This Row],[Disc %]]</f>
        <v>9834</v>
      </c>
      <c r="L2500" s="43">
        <v>0.18</v>
      </c>
      <c r="M2500" s="46">
        <f>(Sales[[#This Row],[Gross Amount]]-Sales[[#This Row],[Disc. Amt.]])*Sales[[#This Row],[GST %]]</f>
        <v>33632.28</v>
      </c>
      <c r="N2500" s="161">
        <f>Sales[[#This Row],[Gross Amount]]-Sales[[#This Row],[Disc. Amt.]]+Sales[[#This Row],[GST Amount]]</f>
        <v>220478.28</v>
      </c>
      <c r="O2500" s="34" t="s">
        <v>3566</v>
      </c>
      <c r="P2500" s="34" t="s">
        <v>3562</v>
      </c>
      <c r="Q2500" s="165">
        <f>IF(Sales[[#This Row],[Status]]="Cancelled",0,Sales[[#This Row],[Qty]])</f>
        <v>4</v>
      </c>
      <c r="R2500" s="166">
        <f>IF(Sales[[#This Row],[Status]]="Cancelled",0,Sales[[#This Row],[Total Amount]])</f>
        <v>220478.28</v>
      </c>
      <c r="S2500" s="162">
        <f>SUM(Sales[Net Amount])</f>
        <v>406839287.73200053</v>
      </c>
    </row>
    <row r="2501" spans="1:19" ht="18.75" x14ac:dyDescent="0.25">
      <c r="A2501" s="156" t="s">
        <v>6129</v>
      </c>
      <c r="B2501" s="157">
        <v>45904</v>
      </c>
      <c r="C2501" s="158" t="s">
        <v>737</v>
      </c>
      <c r="D2501" s="159" t="str">
        <f>VLOOKUP(Sales[[#This Row],[Customer ID]],Customer[#All],2,0)</f>
        <v>Pooja Verma</v>
      </c>
      <c r="E2501" s="158" t="s">
        <v>102</v>
      </c>
      <c r="F2501" s="158" t="str">
        <f>VLOOKUP(Sales[[#This Row],[Product ID]],Product[#All],2,0)</f>
        <v>Canon Printer</v>
      </c>
      <c r="G2501" s="159">
        <v>4</v>
      </c>
      <c r="H2501" s="160">
        <f>VLOOKUP(Sales[[#This Row],[Product ID]],Product[#All],7,0)</f>
        <v>13010</v>
      </c>
      <c r="I2501" s="160">
        <f>Sales[[#This Row],[Selling Rate]]*Sales[[#This Row],[Qty]]</f>
        <v>52040</v>
      </c>
      <c r="J2501" s="43">
        <v>0.1</v>
      </c>
      <c r="K2501" s="44">
        <f>Sales[[#This Row],[Gross Amount]]*Sales[[#This Row],[Disc %]]</f>
        <v>5204</v>
      </c>
      <c r="L2501" s="43">
        <v>0.18</v>
      </c>
      <c r="M2501" s="44">
        <f>(Sales[[#This Row],[Gross Amount]]-Sales[[#This Row],[Disc. Amt.]])*Sales[[#This Row],[GST %]]</f>
        <v>8430.48</v>
      </c>
      <c r="N2501" s="161">
        <f>Sales[[#This Row],[Gross Amount]]-Sales[[#This Row],[Disc. Amt.]]+Sales[[#This Row],[GST Amount]]</f>
        <v>55266.479999999996</v>
      </c>
      <c r="O2501" s="158" t="s">
        <v>3566</v>
      </c>
      <c r="P2501" s="158" t="s">
        <v>3562</v>
      </c>
      <c r="Q2501" s="160">
        <f>IF(Sales[[#This Row],[Status]]="Cancelled",0,Sales[[#This Row],[Qty]])</f>
        <v>4</v>
      </c>
      <c r="R2501" s="161">
        <f>IF(Sales[[#This Row],[Status]]="Cancelled",0,Sales[[#This Row],[Total Amount]])</f>
        <v>55266.479999999996</v>
      </c>
      <c r="S2501" s="162">
        <f>SUM(Sales[Net Amount])</f>
        <v>406839287.73200053</v>
      </c>
    </row>
    <row r="2502" spans="1:19" ht="18.75" x14ac:dyDescent="0.25">
      <c r="A2502" s="163" t="s">
        <v>6130</v>
      </c>
      <c r="B2502" s="164">
        <v>45904</v>
      </c>
      <c r="C2502" s="34" t="s">
        <v>747</v>
      </c>
      <c r="D2502" s="53" t="str">
        <f>VLOOKUP(Sales[[#This Row],[Customer ID]],Customer[#All],2,0)</f>
        <v>Sunita Gupta</v>
      </c>
      <c r="E2502" s="34" t="s">
        <v>242</v>
      </c>
      <c r="F2502" s="34" t="str">
        <f>VLOOKUP(Sales[[#This Row],[Product ID]],Product[#All],2,0)</f>
        <v>HP Printer</v>
      </c>
      <c r="G2502" s="53">
        <v>1</v>
      </c>
      <c r="H2502" s="165">
        <f>VLOOKUP(Sales[[#This Row],[Product ID]],Product[#All],7,0)</f>
        <v>20380</v>
      </c>
      <c r="I2502" s="165">
        <f>Sales[[#This Row],[Selling Rate]]*Sales[[#This Row],[Qty]]</f>
        <v>20380</v>
      </c>
      <c r="J2502" s="45">
        <v>0.02</v>
      </c>
      <c r="K2502" s="46">
        <f>Sales[[#This Row],[Gross Amount]]*Sales[[#This Row],[Disc %]]</f>
        <v>407.6</v>
      </c>
      <c r="L2502" s="43">
        <v>0.18</v>
      </c>
      <c r="M2502" s="46">
        <f>(Sales[[#This Row],[Gross Amount]]-Sales[[#This Row],[Disc. Amt.]])*Sales[[#This Row],[GST %]]</f>
        <v>3595.0320000000002</v>
      </c>
      <c r="N2502" s="161">
        <f>Sales[[#This Row],[Gross Amount]]-Sales[[#This Row],[Disc. Amt.]]+Sales[[#This Row],[GST Amount]]</f>
        <v>23567.432000000001</v>
      </c>
      <c r="O2502" s="34" t="s">
        <v>3566</v>
      </c>
      <c r="P2502" s="34" t="s">
        <v>3562</v>
      </c>
      <c r="Q2502" s="165">
        <f>IF(Sales[[#This Row],[Status]]="Cancelled",0,Sales[[#This Row],[Qty]])</f>
        <v>1</v>
      </c>
      <c r="R2502" s="166">
        <f>IF(Sales[[#This Row],[Status]]="Cancelled",0,Sales[[#This Row],[Total Amount]])</f>
        <v>23567.432000000001</v>
      </c>
      <c r="S2502" s="162">
        <f>SUM(Sales[Net Amount])</f>
        <v>406839287.73200053</v>
      </c>
    </row>
    <row r="2503" spans="1:19" ht="18.75" x14ac:dyDescent="0.25">
      <c r="A2503" s="156" t="s">
        <v>6131</v>
      </c>
      <c r="B2503" s="157">
        <v>45904</v>
      </c>
      <c r="C2503" s="158" t="s">
        <v>862</v>
      </c>
      <c r="D2503" s="159" t="str">
        <f>VLOOKUP(Sales[[#This Row],[Customer ID]],Customer[#All],2,0)</f>
        <v>Rakesh Sharma</v>
      </c>
      <c r="E2503" s="158" t="s">
        <v>162</v>
      </c>
      <c r="F2503" s="158" t="str">
        <f>VLOOKUP(Sales[[#This Row],[Product ID]],Product[#All],2,0)</f>
        <v>Amazon Basics Hdmi Cable</v>
      </c>
      <c r="G2503" s="159">
        <v>1</v>
      </c>
      <c r="H2503" s="160">
        <f>VLOOKUP(Sales[[#This Row],[Product ID]],Product[#All],7,0)</f>
        <v>820</v>
      </c>
      <c r="I2503" s="160">
        <f>Sales[[#This Row],[Selling Rate]]*Sales[[#This Row],[Qty]]</f>
        <v>820</v>
      </c>
      <c r="J2503" s="43">
        <v>0.02</v>
      </c>
      <c r="K2503" s="44">
        <f>Sales[[#This Row],[Gross Amount]]*Sales[[#This Row],[Disc %]]</f>
        <v>16.399999999999999</v>
      </c>
      <c r="L2503" s="43">
        <v>0.18</v>
      </c>
      <c r="M2503" s="44">
        <f>(Sales[[#This Row],[Gross Amount]]-Sales[[#This Row],[Disc. Amt.]])*Sales[[#This Row],[GST %]]</f>
        <v>144.648</v>
      </c>
      <c r="N2503" s="161">
        <f>Sales[[#This Row],[Gross Amount]]-Sales[[#This Row],[Disc. Amt.]]+Sales[[#This Row],[GST Amount]]</f>
        <v>948.24800000000005</v>
      </c>
      <c r="O2503" s="158" t="s">
        <v>3561</v>
      </c>
      <c r="P2503" s="158" t="s">
        <v>3562</v>
      </c>
      <c r="Q2503" s="160">
        <f>IF(Sales[[#This Row],[Status]]="Cancelled",0,Sales[[#This Row],[Qty]])</f>
        <v>1</v>
      </c>
      <c r="R2503" s="161">
        <f>IF(Sales[[#This Row],[Status]]="Cancelled",0,Sales[[#This Row],[Total Amount]])</f>
        <v>948.24800000000005</v>
      </c>
      <c r="S2503" s="162">
        <f>SUM(Sales[Net Amount])</f>
        <v>406839287.73200053</v>
      </c>
    </row>
    <row r="2504" spans="1:19" ht="18.75" x14ac:dyDescent="0.25">
      <c r="A2504" s="163" t="s">
        <v>6132</v>
      </c>
      <c r="B2504" s="164">
        <v>45904</v>
      </c>
      <c r="C2504" s="34" t="s">
        <v>685</v>
      </c>
      <c r="D2504" s="53" t="str">
        <f>VLOOKUP(Sales[[#This Row],[Customer ID]],Customer[#All],2,0)</f>
        <v>Pooja Kumar</v>
      </c>
      <c r="E2504" s="34" t="s">
        <v>61</v>
      </c>
      <c r="F2504" s="34" t="str">
        <f>VLOOKUP(Sales[[#This Row],[Product ID]],Product[#All],2,0)</f>
        <v>Boat Headset</v>
      </c>
      <c r="G2504" s="53">
        <v>1</v>
      </c>
      <c r="H2504" s="165">
        <f>VLOOKUP(Sales[[#This Row],[Product ID]],Product[#All],7,0)</f>
        <v>3570</v>
      </c>
      <c r="I2504" s="165">
        <f>Sales[[#This Row],[Selling Rate]]*Sales[[#This Row],[Qty]]</f>
        <v>3570</v>
      </c>
      <c r="J2504" s="45">
        <v>0.15</v>
      </c>
      <c r="K2504" s="46">
        <f>Sales[[#This Row],[Gross Amount]]*Sales[[#This Row],[Disc %]]</f>
        <v>535.5</v>
      </c>
      <c r="L2504" s="43">
        <v>0.18</v>
      </c>
      <c r="M2504" s="46">
        <f>(Sales[[#This Row],[Gross Amount]]-Sales[[#This Row],[Disc. Amt.]])*Sales[[#This Row],[GST %]]</f>
        <v>546.21</v>
      </c>
      <c r="N2504" s="161">
        <f>Sales[[#This Row],[Gross Amount]]-Sales[[#This Row],[Disc. Amt.]]+Sales[[#This Row],[GST Amount]]</f>
        <v>3580.71</v>
      </c>
      <c r="O2504" s="34" t="s">
        <v>3569</v>
      </c>
      <c r="P2504" s="34" t="s">
        <v>3562</v>
      </c>
      <c r="Q2504" s="165">
        <f>IF(Sales[[#This Row],[Status]]="Cancelled",0,Sales[[#This Row],[Qty]])</f>
        <v>1</v>
      </c>
      <c r="R2504" s="166">
        <f>IF(Sales[[#This Row],[Status]]="Cancelled",0,Sales[[#This Row],[Total Amount]])</f>
        <v>3580.71</v>
      </c>
      <c r="S2504" s="162">
        <f>SUM(Sales[Net Amount])</f>
        <v>406839287.73200053</v>
      </c>
    </row>
    <row r="2505" spans="1:19" ht="18.75" x14ac:dyDescent="0.25">
      <c r="A2505" s="156" t="s">
        <v>6133</v>
      </c>
      <c r="B2505" s="157">
        <v>45904</v>
      </c>
      <c r="C2505" s="158" t="s">
        <v>3925</v>
      </c>
      <c r="D2505" s="159" t="str">
        <f>VLOOKUP(Sales[[#This Row],[Customer ID]],Customer[#All],2,0)</f>
        <v>Vikas Patel</v>
      </c>
      <c r="E2505" s="158" t="s">
        <v>342</v>
      </c>
      <c r="F2505" s="158" t="str">
        <f>VLOOKUP(Sales[[#This Row],[Product ID]],Product[#All],2,0)</f>
        <v>HP Laptop</v>
      </c>
      <c r="G2505" s="159">
        <v>8</v>
      </c>
      <c r="H2505" s="160">
        <f>VLOOKUP(Sales[[#This Row],[Product ID]],Product[#All],7,0)</f>
        <v>66290</v>
      </c>
      <c r="I2505" s="160">
        <f>Sales[[#This Row],[Selling Rate]]*Sales[[#This Row],[Qty]]</f>
        <v>530320</v>
      </c>
      <c r="J2505" s="43">
        <v>0.1</v>
      </c>
      <c r="K2505" s="44">
        <f>Sales[[#This Row],[Gross Amount]]*Sales[[#This Row],[Disc %]]</f>
        <v>53032</v>
      </c>
      <c r="L2505" s="43">
        <v>0.18</v>
      </c>
      <c r="M2505" s="44">
        <f>(Sales[[#This Row],[Gross Amount]]-Sales[[#This Row],[Disc. Amt.]])*Sales[[#This Row],[GST %]]</f>
        <v>85911.84</v>
      </c>
      <c r="N2505" s="161">
        <f>Sales[[#This Row],[Gross Amount]]-Sales[[#This Row],[Disc. Amt.]]+Sales[[#This Row],[GST Amount]]</f>
        <v>563199.84</v>
      </c>
      <c r="O2505" s="158" t="s">
        <v>3569</v>
      </c>
      <c r="P2505" s="158" t="s">
        <v>3562</v>
      </c>
      <c r="Q2505" s="160">
        <f>IF(Sales[[#This Row],[Status]]="Cancelled",0,Sales[[#This Row],[Qty]])</f>
        <v>8</v>
      </c>
      <c r="R2505" s="161">
        <f>IF(Sales[[#This Row],[Status]]="Cancelled",0,Sales[[#This Row],[Total Amount]])</f>
        <v>563199.84</v>
      </c>
      <c r="S2505" s="162">
        <f>SUM(Sales[Net Amount])</f>
        <v>406839287.73200053</v>
      </c>
    </row>
    <row r="2506" spans="1:19" ht="18.75" x14ac:dyDescent="0.25">
      <c r="A2506" s="163" t="s">
        <v>6134</v>
      </c>
      <c r="B2506" s="164">
        <v>45904</v>
      </c>
      <c r="C2506" s="34" t="s">
        <v>677</v>
      </c>
      <c r="D2506" s="53" t="str">
        <f>VLOOKUP(Sales[[#This Row],[Customer ID]],Customer[#All],2,0)</f>
        <v>Sahil Verma</v>
      </c>
      <c r="E2506" s="34" t="s">
        <v>536</v>
      </c>
      <c r="F2506" s="34" t="str">
        <f>VLOOKUP(Sales[[#This Row],[Product ID]],Product[#All],2,0)</f>
        <v>Logitech Keyboard</v>
      </c>
      <c r="G2506" s="53">
        <v>6</v>
      </c>
      <c r="H2506" s="165">
        <f>VLOOKUP(Sales[[#This Row],[Product ID]],Product[#All],7,0)</f>
        <v>1160</v>
      </c>
      <c r="I2506" s="165">
        <f>Sales[[#This Row],[Selling Rate]]*Sales[[#This Row],[Qty]]</f>
        <v>6960</v>
      </c>
      <c r="J2506" s="45">
        <v>0.02</v>
      </c>
      <c r="K2506" s="46">
        <f>Sales[[#This Row],[Gross Amount]]*Sales[[#This Row],[Disc %]]</f>
        <v>139.20000000000002</v>
      </c>
      <c r="L2506" s="43">
        <v>0.18</v>
      </c>
      <c r="M2506" s="46">
        <f>(Sales[[#This Row],[Gross Amount]]-Sales[[#This Row],[Disc. Amt.]])*Sales[[#This Row],[GST %]]</f>
        <v>1227.7439999999999</v>
      </c>
      <c r="N2506" s="161">
        <f>Sales[[#This Row],[Gross Amount]]-Sales[[#This Row],[Disc. Amt.]]+Sales[[#This Row],[GST Amount]]</f>
        <v>8048.5439999999999</v>
      </c>
      <c r="O2506" s="34" t="s">
        <v>3566</v>
      </c>
      <c r="P2506" s="34" t="s">
        <v>3562</v>
      </c>
      <c r="Q2506" s="165">
        <f>IF(Sales[[#This Row],[Status]]="Cancelled",0,Sales[[#This Row],[Qty]])</f>
        <v>6</v>
      </c>
      <c r="R2506" s="166">
        <f>IF(Sales[[#This Row],[Status]]="Cancelled",0,Sales[[#This Row],[Total Amount]])</f>
        <v>8048.5439999999999</v>
      </c>
      <c r="S2506" s="162">
        <f>SUM(Sales[Net Amount])</f>
        <v>406839287.73200053</v>
      </c>
    </row>
    <row r="2507" spans="1:19" ht="18.75" x14ac:dyDescent="0.25">
      <c r="A2507" s="156" t="s">
        <v>6135</v>
      </c>
      <c r="B2507" s="157">
        <v>45904</v>
      </c>
      <c r="C2507" s="158" t="s">
        <v>665</v>
      </c>
      <c r="D2507" s="159" t="str">
        <f>VLOOKUP(Sales[[#This Row],[Customer ID]],Customer[#All],2,0)</f>
        <v>Vikas Sharma</v>
      </c>
      <c r="E2507" s="158" t="s">
        <v>182</v>
      </c>
      <c r="F2507" s="158" t="str">
        <f>VLOOKUP(Sales[[#This Row],[Product ID]],Product[#All],2,0)</f>
        <v>Kingston Ram</v>
      </c>
      <c r="G2507" s="159">
        <v>2</v>
      </c>
      <c r="H2507" s="160">
        <f>VLOOKUP(Sales[[#This Row],[Product ID]],Product[#All],7,0)</f>
        <v>10690</v>
      </c>
      <c r="I2507" s="160">
        <f>Sales[[#This Row],[Selling Rate]]*Sales[[#This Row],[Qty]]</f>
        <v>21380</v>
      </c>
      <c r="J2507" s="43">
        <v>0.05</v>
      </c>
      <c r="K2507" s="44">
        <f>Sales[[#This Row],[Gross Amount]]*Sales[[#This Row],[Disc %]]</f>
        <v>1069</v>
      </c>
      <c r="L2507" s="43">
        <v>0.18</v>
      </c>
      <c r="M2507" s="44">
        <f>(Sales[[#This Row],[Gross Amount]]-Sales[[#This Row],[Disc. Amt.]])*Sales[[#This Row],[GST %]]</f>
        <v>3655.98</v>
      </c>
      <c r="N2507" s="161">
        <f>Sales[[#This Row],[Gross Amount]]-Sales[[#This Row],[Disc. Amt.]]+Sales[[#This Row],[GST Amount]]</f>
        <v>23966.98</v>
      </c>
      <c r="O2507" s="158" t="s">
        <v>8876</v>
      </c>
      <c r="P2507" s="158" t="s">
        <v>3562</v>
      </c>
      <c r="Q2507" s="160">
        <f>IF(Sales[[#This Row],[Status]]="Cancelled",0,Sales[[#This Row],[Qty]])</f>
        <v>2</v>
      </c>
      <c r="R2507" s="161">
        <f>IF(Sales[[#This Row],[Status]]="Cancelled",0,Sales[[#This Row],[Total Amount]])</f>
        <v>23966.98</v>
      </c>
      <c r="S2507" s="162">
        <f>SUM(Sales[Net Amount])</f>
        <v>406839287.73200053</v>
      </c>
    </row>
    <row r="2508" spans="1:19" ht="18.75" x14ac:dyDescent="0.25">
      <c r="A2508" s="163" t="s">
        <v>6136</v>
      </c>
      <c r="B2508" s="164">
        <v>45904</v>
      </c>
      <c r="C2508" s="34" t="s">
        <v>734</v>
      </c>
      <c r="D2508" s="53" t="str">
        <f>VLOOKUP(Sales[[#This Row],[Customer ID]],Customer[#All],2,0)</f>
        <v>Ankit Sharma</v>
      </c>
      <c r="E2508" s="34" t="s">
        <v>28</v>
      </c>
      <c r="F2508" s="34" t="str">
        <f>VLOOKUP(Sales[[#This Row],[Product ID]],Product[#All],2,0)</f>
        <v>Lenovo Laptop</v>
      </c>
      <c r="G2508" s="53">
        <v>3</v>
      </c>
      <c r="H2508" s="165">
        <f>VLOOKUP(Sales[[#This Row],[Product ID]],Product[#All],7,0)</f>
        <v>86330</v>
      </c>
      <c r="I2508" s="165">
        <f>Sales[[#This Row],[Selling Rate]]*Sales[[#This Row],[Qty]]</f>
        <v>258990</v>
      </c>
      <c r="J2508" s="45">
        <v>0.12</v>
      </c>
      <c r="K2508" s="46">
        <f>Sales[[#This Row],[Gross Amount]]*Sales[[#This Row],[Disc %]]</f>
        <v>31078.799999999999</v>
      </c>
      <c r="L2508" s="43">
        <v>0.18</v>
      </c>
      <c r="M2508" s="46">
        <f>(Sales[[#This Row],[Gross Amount]]-Sales[[#This Row],[Disc. Amt.]])*Sales[[#This Row],[GST %]]</f>
        <v>41024.016000000003</v>
      </c>
      <c r="N2508" s="161">
        <f>Sales[[#This Row],[Gross Amount]]-Sales[[#This Row],[Disc. Amt.]]+Sales[[#This Row],[GST Amount]]</f>
        <v>268935.21600000001</v>
      </c>
      <c r="O2508" s="34" t="s">
        <v>8876</v>
      </c>
      <c r="P2508" s="34" t="s">
        <v>1040</v>
      </c>
      <c r="Q2508" s="165">
        <f>IF(Sales[[#This Row],[Status]]="Cancelled",0,Sales[[#This Row],[Qty]])</f>
        <v>0</v>
      </c>
      <c r="R2508" s="166">
        <f>IF(Sales[[#This Row],[Status]]="Cancelled",0,Sales[[#This Row],[Total Amount]])</f>
        <v>0</v>
      </c>
      <c r="S2508" s="162">
        <f>SUM(Sales[Net Amount])</f>
        <v>406839287.73200053</v>
      </c>
    </row>
    <row r="2509" spans="1:19" ht="18.75" x14ac:dyDescent="0.25">
      <c r="A2509" s="156" t="s">
        <v>6137</v>
      </c>
      <c r="B2509" s="157">
        <v>45904</v>
      </c>
      <c r="C2509" s="158" t="s">
        <v>691</v>
      </c>
      <c r="D2509" s="159" t="str">
        <f>VLOOKUP(Sales[[#This Row],[Customer ID]],Customer[#All],2,0)</f>
        <v>Pooja Patel</v>
      </c>
      <c r="E2509" s="158" t="s">
        <v>452</v>
      </c>
      <c r="F2509" s="158" t="str">
        <f>VLOOKUP(Sales[[#This Row],[Product ID]],Product[#All],2,0)</f>
        <v>Amazon Basics Hdmi Cable</v>
      </c>
      <c r="G2509" s="159">
        <v>5</v>
      </c>
      <c r="H2509" s="160">
        <f>VLOOKUP(Sales[[#This Row],[Product ID]],Product[#All],7,0)</f>
        <v>920</v>
      </c>
      <c r="I2509" s="160">
        <f>Sales[[#This Row],[Selling Rate]]*Sales[[#This Row],[Qty]]</f>
        <v>4600</v>
      </c>
      <c r="J2509" s="43">
        <v>0.15</v>
      </c>
      <c r="K2509" s="44">
        <f>Sales[[#This Row],[Gross Amount]]*Sales[[#This Row],[Disc %]]</f>
        <v>690</v>
      </c>
      <c r="L2509" s="43">
        <v>0.18</v>
      </c>
      <c r="M2509" s="44">
        <f>(Sales[[#This Row],[Gross Amount]]-Sales[[#This Row],[Disc. Amt.]])*Sales[[#This Row],[GST %]]</f>
        <v>703.8</v>
      </c>
      <c r="N2509" s="161">
        <f>Sales[[#This Row],[Gross Amount]]-Sales[[#This Row],[Disc. Amt.]]+Sales[[#This Row],[GST Amount]]</f>
        <v>4613.8</v>
      </c>
      <c r="O2509" s="158" t="s">
        <v>8876</v>
      </c>
      <c r="P2509" s="158" t="s">
        <v>3562</v>
      </c>
      <c r="Q2509" s="160">
        <f>IF(Sales[[#This Row],[Status]]="Cancelled",0,Sales[[#This Row],[Qty]])</f>
        <v>5</v>
      </c>
      <c r="R2509" s="161">
        <f>IF(Sales[[#This Row],[Status]]="Cancelled",0,Sales[[#This Row],[Total Amount]])</f>
        <v>4613.8</v>
      </c>
      <c r="S2509" s="162">
        <f>SUM(Sales[Net Amount])</f>
        <v>406839287.73200053</v>
      </c>
    </row>
    <row r="2510" spans="1:19" ht="18.75" x14ac:dyDescent="0.25">
      <c r="A2510" s="163" t="s">
        <v>6138</v>
      </c>
      <c r="B2510" s="164">
        <v>45904</v>
      </c>
      <c r="C2510" s="34" t="s">
        <v>691</v>
      </c>
      <c r="D2510" s="53" t="str">
        <f>VLOOKUP(Sales[[#This Row],[Customer ID]],Customer[#All],2,0)</f>
        <v>Pooja Patel</v>
      </c>
      <c r="E2510" s="34" t="s">
        <v>505</v>
      </c>
      <c r="F2510" s="34" t="str">
        <f>VLOOKUP(Sales[[#This Row],[Product ID]],Product[#All],2,0)</f>
        <v>Dell Monitor</v>
      </c>
      <c r="G2510" s="53">
        <v>6</v>
      </c>
      <c r="H2510" s="165">
        <f>VLOOKUP(Sales[[#This Row],[Product ID]],Product[#All],7,0)</f>
        <v>12790</v>
      </c>
      <c r="I2510" s="165">
        <f>Sales[[#This Row],[Selling Rate]]*Sales[[#This Row],[Qty]]</f>
        <v>76740</v>
      </c>
      <c r="J2510" s="45">
        <v>0.05</v>
      </c>
      <c r="K2510" s="46">
        <f>Sales[[#This Row],[Gross Amount]]*Sales[[#This Row],[Disc %]]</f>
        <v>3837</v>
      </c>
      <c r="L2510" s="43">
        <v>0.18</v>
      </c>
      <c r="M2510" s="46">
        <f>(Sales[[#This Row],[Gross Amount]]-Sales[[#This Row],[Disc. Amt.]])*Sales[[#This Row],[GST %]]</f>
        <v>13122.539999999999</v>
      </c>
      <c r="N2510" s="161">
        <f>Sales[[#This Row],[Gross Amount]]-Sales[[#This Row],[Disc. Amt.]]+Sales[[#This Row],[GST Amount]]</f>
        <v>86025.54</v>
      </c>
      <c r="O2510" s="34" t="s">
        <v>8876</v>
      </c>
      <c r="P2510" s="34" t="s">
        <v>3562</v>
      </c>
      <c r="Q2510" s="165">
        <f>IF(Sales[[#This Row],[Status]]="Cancelled",0,Sales[[#This Row],[Qty]])</f>
        <v>6</v>
      </c>
      <c r="R2510" s="166">
        <f>IF(Sales[[#This Row],[Status]]="Cancelled",0,Sales[[#This Row],[Total Amount]])</f>
        <v>86025.54</v>
      </c>
      <c r="S2510" s="162">
        <f>SUM(Sales[Net Amount])</f>
        <v>406839287.73200053</v>
      </c>
    </row>
    <row r="2511" spans="1:19" ht="18.75" x14ac:dyDescent="0.25">
      <c r="A2511" s="156" t="s">
        <v>6139</v>
      </c>
      <c r="B2511" s="157">
        <v>45904</v>
      </c>
      <c r="C2511" s="158" t="s">
        <v>729</v>
      </c>
      <c r="D2511" s="159" t="str">
        <f>VLOOKUP(Sales[[#This Row],[Customer ID]],Customer[#All],2,0)</f>
        <v>Ankit Kumar</v>
      </c>
      <c r="E2511" s="158" t="s">
        <v>105</v>
      </c>
      <c r="F2511" s="158" t="str">
        <f>VLOOKUP(Sales[[#This Row],[Product ID]],Product[#All],2,0)</f>
        <v>HP Power Adapter</v>
      </c>
      <c r="G2511" s="159">
        <v>3</v>
      </c>
      <c r="H2511" s="160">
        <f>VLOOKUP(Sales[[#This Row],[Product ID]],Product[#All],7,0)</f>
        <v>3280</v>
      </c>
      <c r="I2511" s="160">
        <f>Sales[[#This Row],[Selling Rate]]*Sales[[#This Row],[Qty]]</f>
        <v>9840</v>
      </c>
      <c r="J2511" s="43">
        <v>0</v>
      </c>
      <c r="K2511" s="44">
        <f>Sales[[#This Row],[Gross Amount]]*Sales[[#This Row],[Disc %]]</f>
        <v>0</v>
      </c>
      <c r="L2511" s="43">
        <v>0.18</v>
      </c>
      <c r="M2511" s="44">
        <f>(Sales[[#This Row],[Gross Amount]]-Sales[[#This Row],[Disc. Amt.]])*Sales[[#This Row],[GST %]]</f>
        <v>1771.2</v>
      </c>
      <c r="N2511" s="161">
        <f>Sales[[#This Row],[Gross Amount]]-Sales[[#This Row],[Disc. Amt.]]+Sales[[#This Row],[GST Amount]]</f>
        <v>11611.2</v>
      </c>
      <c r="O2511" s="158" t="s">
        <v>8876</v>
      </c>
      <c r="P2511" s="158" t="s">
        <v>3562</v>
      </c>
      <c r="Q2511" s="160">
        <f>IF(Sales[[#This Row],[Status]]="Cancelled",0,Sales[[#This Row],[Qty]])</f>
        <v>3</v>
      </c>
      <c r="R2511" s="161">
        <f>IF(Sales[[#This Row],[Status]]="Cancelled",0,Sales[[#This Row],[Total Amount]])</f>
        <v>11611.2</v>
      </c>
      <c r="S2511" s="162">
        <f>SUM(Sales[Net Amount])</f>
        <v>406839287.73200053</v>
      </c>
    </row>
    <row r="2512" spans="1:19" ht="18.75" x14ac:dyDescent="0.25">
      <c r="A2512" s="163" t="s">
        <v>6140</v>
      </c>
      <c r="B2512" s="164">
        <v>45904</v>
      </c>
      <c r="C2512" s="34" t="s">
        <v>6141</v>
      </c>
      <c r="D2512" s="53" t="str">
        <f>VLOOKUP(Sales[[#This Row],[Customer ID]],Customer[#All],2,0)</f>
        <v>Pooja Sharma</v>
      </c>
      <c r="E2512" s="34" t="s">
        <v>225</v>
      </c>
      <c r="F2512" s="34" t="str">
        <f>VLOOKUP(Sales[[#This Row],[Product ID]],Product[#All],2,0)</f>
        <v>Sandisk Pen Drive</v>
      </c>
      <c r="G2512" s="53">
        <v>3</v>
      </c>
      <c r="H2512" s="165">
        <f>VLOOKUP(Sales[[#This Row],[Product ID]],Product[#All],7,0)</f>
        <v>3430</v>
      </c>
      <c r="I2512" s="165">
        <f>Sales[[#This Row],[Selling Rate]]*Sales[[#This Row],[Qty]]</f>
        <v>10290</v>
      </c>
      <c r="J2512" s="45">
        <v>0.15</v>
      </c>
      <c r="K2512" s="46">
        <f>Sales[[#This Row],[Gross Amount]]*Sales[[#This Row],[Disc %]]</f>
        <v>1543.5</v>
      </c>
      <c r="L2512" s="43">
        <v>0.18</v>
      </c>
      <c r="M2512" s="46">
        <f>(Sales[[#This Row],[Gross Amount]]-Sales[[#This Row],[Disc. Amt.]])*Sales[[#This Row],[GST %]]</f>
        <v>1574.37</v>
      </c>
      <c r="N2512" s="161">
        <f>Sales[[#This Row],[Gross Amount]]-Sales[[#This Row],[Disc. Amt.]]+Sales[[#This Row],[GST Amount]]</f>
        <v>10320.869999999999</v>
      </c>
      <c r="O2512" s="34" t="s">
        <v>3561</v>
      </c>
      <c r="P2512" s="34" t="s">
        <v>3562</v>
      </c>
      <c r="Q2512" s="165">
        <f>IF(Sales[[#This Row],[Status]]="Cancelled",0,Sales[[#This Row],[Qty]])</f>
        <v>3</v>
      </c>
      <c r="R2512" s="166">
        <f>IF(Sales[[#This Row],[Status]]="Cancelled",0,Sales[[#This Row],[Total Amount]])</f>
        <v>10320.869999999999</v>
      </c>
      <c r="S2512" s="162">
        <f>SUM(Sales[Net Amount])</f>
        <v>406839287.73200053</v>
      </c>
    </row>
    <row r="2513" spans="1:19" ht="18.75" x14ac:dyDescent="0.25">
      <c r="A2513" s="156" t="s">
        <v>6142</v>
      </c>
      <c r="B2513" s="157">
        <v>45905</v>
      </c>
      <c r="C2513" s="158" t="s">
        <v>735</v>
      </c>
      <c r="D2513" s="159" t="str">
        <f>VLOOKUP(Sales[[#This Row],[Customer ID]],Customer[#All],2,0)</f>
        <v>Amit Singh</v>
      </c>
      <c r="E2513" s="158" t="s">
        <v>333</v>
      </c>
      <c r="F2513" s="158" t="str">
        <f>VLOOKUP(Sales[[#This Row],[Product ID]],Product[#All],2,0)</f>
        <v>Logitech Keyboard</v>
      </c>
      <c r="G2513" s="159">
        <v>4</v>
      </c>
      <c r="H2513" s="160">
        <f>VLOOKUP(Sales[[#This Row],[Product ID]],Product[#All],7,0)</f>
        <v>3350</v>
      </c>
      <c r="I2513" s="160">
        <f>Sales[[#This Row],[Selling Rate]]*Sales[[#This Row],[Qty]]</f>
        <v>13400</v>
      </c>
      <c r="J2513" s="43">
        <v>0.05</v>
      </c>
      <c r="K2513" s="44">
        <f>Sales[[#This Row],[Gross Amount]]*Sales[[#This Row],[Disc %]]</f>
        <v>670</v>
      </c>
      <c r="L2513" s="43">
        <v>0.18</v>
      </c>
      <c r="M2513" s="44">
        <f>(Sales[[#This Row],[Gross Amount]]-Sales[[#This Row],[Disc. Amt.]])*Sales[[#This Row],[GST %]]</f>
        <v>2291.4</v>
      </c>
      <c r="N2513" s="161">
        <f>Sales[[#This Row],[Gross Amount]]-Sales[[#This Row],[Disc. Amt.]]+Sales[[#This Row],[GST Amount]]</f>
        <v>15021.4</v>
      </c>
      <c r="O2513" s="158" t="s">
        <v>3566</v>
      </c>
      <c r="P2513" s="158" t="s">
        <v>1040</v>
      </c>
      <c r="Q2513" s="160">
        <f>IF(Sales[[#This Row],[Status]]="Cancelled",0,Sales[[#This Row],[Qty]])</f>
        <v>0</v>
      </c>
      <c r="R2513" s="161">
        <f>IF(Sales[[#This Row],[Status]]="Cancelled",0,Sales[[#This Row],[Total Amount]])</f>
        <v>0</v>
      </c>
      <c r="S2513" s="162">
        <f>SUM(Sales[Net Amount])</f>
        <v>406839287.73200053</v>
      </c>
    </row>
    <row r="2514" spans="1:19" ht="18.75" x14ac:dyDescent="0.25">
      <c r="A2514" s="163" t="s">
        <v>6143</v>
      </c>
      <c r="B2514" s="164">
        <v>45905</v>
      </c>
      <c r="C2514" s="34" t="s">
        <v>803</v>
      </c>
      <c r="D2514" s="53" t="str">
        <f>VLOOKUP(Sales[[#This Row],[Customer ID]],Customer[#All],2,0)</f>
        <v>Pooja Singh</v>
      </c>
      <c r="E2514" s="34" t="s">
        <v>458</v>
      </c>
      <c r="F2514" s="34" t="str">
        <f>VLOOKUP(Sales[[#This Row],[Product ID]],Product[#All],2,0)</f>
        <v>Dell Monitor</v>
      </c>
      <c r="G2514" s="53">
        <v>8</v>
      </c>
      <c r="H2514" s="165">
        <f>VLOOKUP(Sales[[#This Row],[Product ID]],Product[#All],7,0)</f>
        <v>6380</v>
      </c>
      <c r="I2514" s="165">
        <f>Sales[[#This Row],[Selling Rate]]*Sales[[#This Row],[Qty]]</f>
        <v>51040</v>
      </c>
      <c r="J2514" s="45">
        <v>0</v>
      </c>
      <c r="K2514" s="46">
        <f>Sales[[#This Row],[Gross Amount]]*Sales[[#This Row],[Disc %]]</f>
        <v>0</v>
      </c>
      <c r="L2514" s="43">
        <v>0.18</v>
      </c>
      <c r="M2514" s="46">
        <f>(Sales[[#This Row],[Gross Amount]]-Sales[[#This Row],[Disc. Amt.]])*Sales[[#This Row],[GST %]]</f>
        <v>9187.1999999999989</v>
      </c>
      <c r="N2514" s="161">
        <f>Sales[[#This Row],[Gross Amount]]-Sales[[#This Row],[Disc. Amt.]]+Sales[[#This Row],[GST Amount]]</f>
        <v>60227.199999999997</v>
      </c>
      <c r="O2514" s="34" t="s">
        <v>3569</v>
      </c>
      <c r="P2514" s="34" t="s">
        <v>3562</v>
      </c>
      <c r="Q2514" s="165">
        <f>IF(Sales[[#This Row],[Status]]="Cancelled",0,Sales[[#This Row],[Qty]])</f>
        <v>8</v>
      </c>
      <c r="R2514" s="166">
        <f>IF(Sales[[#This Row],[Status]]="Cancelled",0,Sales[[#This Row],[Total Amount]])</f>
        <v>60227.199999999997</v>
      </c>
      <c r="S2514" s="162">
        <f>SUM(Sales[Net Amount])</f>
        <v>406839287.73200053</v>
      </c>
    </row>
    <row r="2515" spans="1:19" ht="18.75" x14ac:dyDescent="0.25">
      <c r="A2515" s="156" t="s">
        <v>6144</v>
      </c>
      <c r="B2515" s="157">
        <v>45905</v>
      </c>
      <c r="C2515" s="158" t="s">
        <v>798</v>
      </c>
      <c r="D2515" s="159" t="str">
        <f>VLOOKUP(Sales[[#This Row],[Customer ID]],Customer[#All],2,0)</f>
        <v>Amit Singh</v>
      </c>
      <c r="E2515" s="158" t="s">
        <v>191</v>
      </c>
      <c r="F2515" s="158" t="str">
        <f>VLOOKUP(Sales[[#This Row],[Product ID]],Product[#All],2,0)</f>
        <v>Logitech Keyboard</v>
      </c>
      <c r="G2515" s="159">
        <v>8</v>
      </c>
      <c r="H2515" s="160">
        <f>VLOOKUP(Sales[[#This Row],[Product ID]],Product[#All],7,0)</f>
        <v>2000</v>
      </c>
      <c r="I2515" s="160">
        <f>Sales[[#This Row],[Selling Rate]]*Sales[[#This Row],[Qty]]</f>
        <v>16000</v>
      </c>
      <c r="J2515" s="43">
        <v>0.02</v>
      </c>
      <c r="K2515" s="44">
        <f>Sales[[#This Row],[Gross Amount]]*Sales[[#This Row],[Disc %]]</f>
        <v>320</v>
      </c>
      <c r="L2515" s="43">
        <v>0.18</v>
      </c>
      <c r="M2515" s="44">
        <f>(Sales[[#This Row],[Gross Amount]]-Sales[[#This Row],[Disc. Amt.]])*Sales[[#This Row],[GST %]]</f>
        <v>2822.4</v>
      </c>
      <c r="N2515" s="161">
        <f>Sales[[#This Row],[Gross Amount]]-Sales[[#This Row],[Disc. Amt.]]+Sales[[#This Row],[GST Amount]]</f>
        <v>18502.400000000001</v>
      </c>
      <c r="O2515" s="158" t="s">
        <v>3566</v>
      </c>
      <c r="P2515" s="158" t="s">
        <v>3562</v>
      </c>
      <c r="Q2515" s="160">
        <f>IF(Sales[[#This Row],[Status]]="Cancelled",0,Sales[[#This Row],[Qty]])</f>
        <v>8</v>
      </c>
      <c r="R2515" s="161">
        <f>IF(Sales[[#This Row],[Status]]="Cancelled",0,Sales[[#This Row],[Total Amount]])</f>
        <v>18502.400000000001</v>
      </c>
      <c r="S2515" s="162">
        <f>SUM(Sales[Net Amount])</f>
        <v>406839287.73200053</v>
      </c>
    </row>
    <row r="2516" spans="1:19" ht="18.75" x14ac:dyDescent="0.25">
      <c r="A2516" s="163" t="s">
        <v>6145</v>
      </c>
      <c r="B2516" s="164">
        <v>45905</v>
      </c>
      <c r="C2516" s="34" t="s">
        <v>676</v>
      </c>
      <c r="D2516" s="53" t="str">
        <f>VLOOKUP(Sales[[#This Row],[Customer ID]],Customer[#All],2,0)</f>
        <v>Neha Singh</v>
      </c>
      <c r="E2516" s="34" t="s">
        <v>368</v>
      </c>
      <c r="F2516" s="34" t="str">
        <f>VLOOKUP(Sales[[#This Row],[Product ID]],Product[#All],2,0)</f>
        <v>Sandisk Pen Drive</v>
      </c>
      <c r="G2516" s="53">
        <v>7</v>
      </c>
      <c r="H2516" s="165">
        <f>VLOOKUP(Sales[[#This Row],[Product ID]],Product[#All],7,0)</f>
        <v>1270</v>
      </c>
      <c r="I2516" s="165">
        <f>Sales[[#This Row],[Selling Rate]]*Sales[[#This Row],[Qty]]</f>
        <v>8890</v>
      </c>
      <c r="J2516" s="45">
        <v>0</v>
      </c>
      <c r="K2516" s="46">
        <f>Sales[[#This Row],[Gross Amount]]*Sales[[#This Row],[Disc %]]</f>
        <v>0</v>
      </c>
      <c r="L2516" s="43">
        <v>0.18</v>
      </c>
      <c r="M2516" s="46">
        <f>(Sales[[#This Row],[Gross Amount]]-Sales[[#This Row],[Disc. Amt.]])*Sales[[#This Row],[GST %]]</f>
        <v>1600.2</v>
      </c>
      <c r="N2516" s="161">
        <f>Sales[[#This Row],[Gross Amount]]-Sales[[#This Row],[Disc. Amt.]]+Sales[[#This Row],[GST Amount]]</f>
        <v>10490.2</v>
      </c>
      <c r="O2516" s="34" t="s">
        <v>3566</v>
      </c>
      <c r="P2516" s="34" t="s">
        <v>3562</v>
      </c>
      <c r="Q2516" s="165">
        <f>IF(Sales[[#This Row],[Status]]="Cancelled",0,Sales[[#This Row],[Qty]])</f>
        <v>7</v>
      </c>
      <c r="R2516" s="166">
        <f>IF(Sales[[#This Row],[Status]]="Cancelled",0,Sales[[#This Row],[Total Amount]])</f>
        <v>10490.2</v>
      </c>
      <c r="S2516" s="162">
        <f>SUM(Sales[Net Amount])</f>
        <v>406839287.73200053</v>
      </c>
    </row>
    <row r="2517" spans="1:19" ht="18.75" x14ac:dyDescent="0.25">
      <c r="A2517" s="156" t="s">
        <v>6146</v>
      </c>
      <c r="B2517" s="157">
        <v>45905</v>
      </c>
      <c r="C2517" s="158" t="s">
        <v>713</v>
      </c>
      <c r="D2517" s="159" t="str">
        <f>VLOOKUP(Sales[[#This Row],[Customer ID]],Customer[#All],2,0)</f>
        <v>Amit Gupta</v>
      </c>
      <c r="E2517" s="158" t="s">
        <v>4</v>
      </c>
      <c r="F2517" s="158" t="str">
        <f>VLOOKUP(Sales[[#This Row],[Product ID]],Product[#All],2,0)</f>
        <v>Epson Printer</v>
      </c>
      <c r="G2517" s="159">
        <v>7</v>
      </c>
      <c r="H2517" s="160">
        <f>VLOOKUP(Sales[[#This Row],[Product ID]],Product[#All],7,0)</f>
        <v>45990</v>
      </c>
      <c r="I2517" s="160">
        <f>Sales[[#This Row],[Selling Rate]]*Sales[[#This Row],[Qty]]</f>
        <v>321930</v>
      </c>
      <c r="J2517" s="43">
        <v>0</v>
      </c>
      <c r="K2517" s="44">
        <f>Sales[[#This Row],[Gross Amount]]*Sales[[#This Row],[Disc %]]</f>
        <v>0</v>
      </c>
      <c r="L2517" s="43">
        <v>0.18</v>
      </c>
      <c r="M2517" s="44">
        <f>(Sales[[#This Row],[Gross Amount]]-Sales[[#This Row],[Disc. Amt.]])*Sales[[#This Row],[GST %]]</f>
        <v>57947.4</v>
      </c>
      <c r="N2517" s="161">
        <f>Sales[[#This Row],[Gross Amount]]-Sales[[#This Row],[Disc. Amt.]]+Sales[[#This Row],[GST Amount]]</f>
        <v>379877.4</v>
      </c>
      <c r="O2517" s="158" t="s">
        <v>3566</v>
      </c>
      <c r="P2517" s="158" t="s">
        <v>3562</v>
      </c>
      <c r="Q2517" s="160">
        <f>IF(Sales[[#This Row],[Status]]="Cancelled",0,Sales[[#This Row],[Qty]])</f>
        <v>7</v>
      </c>
      <c r="R2517" s="161">
        <f>IF(Sales[[#This Row],[Status]]="Cancelled",0,Sales[[#This Row],[Total Amount]])</f>
        <v>379877.4</v>
      </c>
      <c r="S2517" s="162">
        <f>SUM(Sales[Net Amount])</f>
        <v>406839287.73200053</v>
      </c>
    </row>
    <row r="2518" spans="1:19" ht="18.75" x14ac:dyDescent="0.25">
      <c r="A2518" s="163" t="s">
        <v>6147</v>
      </c>
      <c r="B2518" s="164">
        <v>45905</v>
      </c>
      <c r="C2518" s="34" t="s">
        <v>824</v>
      </c>
      <c r="D2518" s="53" t="str">
        <f>VLOOKUP(Sales[[#This Row],[Customer ID]],Customer[#All],2,0)</f>
        <v>Sunita Verma</v>
      </c>
      <c r="E2518" s="34" t="s">
        <v>295</v>
      </c>
      <c r="F2518" s="34" t="str">
        <f>VLOOKUP(Sales[[#This Row],[Product ID]],Product[#All],2,0)</f>
        <v>Samsung Monitor</v>
      </c>
      <c r="G2518" s="53">
        <v>6</v>
      </c>
      <c r="H2518" s="165">
        <f>VLOOKUP(Sales[[#This Row],[Product ID]],Product[#All],7,0)</f>
        <v>7630</v>
      </c>
      <c r="I2518" s="165">
        <f>Sales[[#This Row],[Selling Rate]]*Sales[[#This Row],[Qty]]</f>
        <v>45780</v>
      </c>
      <c r="J2518" s="45">
        <v>0.12</v>
      </c>
      <c r="K2518" s="46">
        <f>Sales[[#This Row],[Gross Amount]]*Sales[[#This Row],[Disc %]]</f>
        <v>5493.5999999999995</v>
      </c>
      <c r="L2518" s="43">
        <v>0.18</v>
      </c>
      <c r="M2518" s="46">
        <f>(Sales[[#This Row],[Gross Amount]]-Sales[[#This Row],[Disc. Amt.]])*Sales[[#This Row],[GST %]]</f>
        <v>7251.5519999999997</v>
      </c>
      <c r="N2518" s="161">
        <f>Sales[[#This Row],[Gross Amount]]-Sales[[#This Row],[Disc. Amt.]]+Sales[[#This Row],[GST Amount]]</f>
        <v>47537.952000000005</v>
      </c>
      <c r="O2518" s="34" t="s">
        <v>3561</v>
      </c>
      <c r="P2518" s="34" t="s">
        <v>3562</v>
      </c>
      <c r="Q2518" s="165">
        <f>IF(Sales[[#This Row],[Status]]="Cancelled",0,Sales[[#This Row],[Qty]])</f>
        <v>6</v>
      </c>
      <c r="R2518" s="166">
        <f>IF(Sales[[#This Row],[Status]]="Cancelled",0,Sales[[#This Row],[Total Amount]])</f>
        <v>47537.952000000005</v>
      </c>
      <c r="S2518" s="162">
        <f>SUM(Sales[Net Amount])</f>
        <v>406839287.73200053</v>
      </c>
    </row>
    <row r="2519" spans="1:19" ht="18.75" x14ac:dyDescent="0.25">
      <c r="A2519" s="156" t="s">
        <v>6148</v>
      </c>
      <c r="B2519" s="157">
        <v>45905</v>
      </c>
      <c r="C2519" s="158" t="s">
        <v>792</v>
      </c>
      <c r="D2519" s="159" t="str">
        <f>VLOOKUP(Sales[[#This Row],[Customer ID]],Customer[#All],2,0)</f>
        <v>Pooja Sharma</v>
      </c>
      <c r="E2519" s="158" t="s">
        <v>330</v>
      </c>
      <c r="F2519" s="158" t="str">
        <f>VLOOKUP(Sales[[#This Row],[Product ID]],Product[#All],2,0)</f>
        <v>American TouristerLaptopBag</v>
      </c>
      <c r="G2519" s="159">
        <v>3</v>
      </c>
      <c r="H2519" s="160">
        <f>VLOOKUP(Sales[[#This Row],[Product ID]],Product[#All],7,0)</f>
        <v>4970</v>
      </c>
      <c r="I2519" s="160">
        <f>Sales[[#This Row],[Selling Rate]]*Sales[[#This Row],[Qty]]</f>
        <v>14910</v>
      </c>
      <c r="J2519" s="43">
        <v>0.05</v>
      </c>
      <c r="K2519" s="44">
        <f>Sales[[#This Row],[Gross Amount]]*Sales[[#This Row],[Disc %]]</f>
        <v>745.5</v>
      </c>
      <c r="L2519" s="43">
        <v>0.18</v>
      </c>
      <c r="M2519" s="44">
        <f>(Sales[[#This Row],[Gross Amount]]-Sales[[#This Row],[Disc. Amt.]])*Sales[[#This Row],[GST %]]</f>
        <v>2549.61</v>
      </c>
      <c r="N2519" s="161">
        <f>Sales[[#This Row],[Gross Amount]]-Sales[[#This Row],[Disc. Amt.]]+Sales[[#This Row],[GST Amount]]</f>
        <v>16714.11</v>
      </c>
      <c r="O2519" s="158" t="s">
        <v>8876</v>
      </c>
      <c r="P2519" s="158" t="s">
        <v>3562</v>
      </c>
      <c r="Q2519" s="160">
        <f>IF(Sales[[#This Row],[Status]]="Cancelled",0,Sales[[#This Row],[Qty]])</f>
        <v>3</v>
      </c>
      <c r="R2519" s="161">
        <f>IF(Sales[[#This Row],[Status]]="Cancelled",0,Sales[[#This Row],[Total Amount]])</f>
        <v>16714.11</v>
      </c>
      <c r="S2519" s="162">
        <f>SUM(Sales[Net Amount])</f>
        <v>406839287.73200053</v>
      </c>
    </row>
    <row r="2520" spans="1:19" ht="18.75" x14ac:dyDescent="0.25">
      <c r="A2520" s="163" t="s">
        <v>6149</v>
      </c>
      <c r="B2520" s="164">
        <v>45905</v>
      </c>
      <c r="C2520" s="34" t="s">
        <v>657</v>
      </c>
      <c r="D2520" s="53" t="str">
        <f>VLOOKUP(Sales[[#This Row],[Customer ID]],Customer[#All],2,0)</f>
        <v>Rahul Verma</v>
      </c>
      <c r="E2520" s="34" t="s">
        <v>290</v>
      </c>
      <c r="F2520" s="34" t="str">
        <f>VLOOKUP(Sales[[#This Row],[Product ID]],Product[#All],2,0)</f>
        <v>Crucial Ssd</v>
      </c>
      <c r="G2520" s="53">
        <v>1</v>
      </c>
      <c r="H2520" s="165">
        <f>VLOOKUP(Sales[[#This Row],[Product ID]],Product[#All],7,0)</f>
        <v>7650</v>
      </c>
      <c r="I2520" s="165">
        <f>Sales[[#This Row],[Selling Rate]]*Sales[[#This Row],[Qty]]</f>
        <v>7650</v>
      </c>
      <c r="J2520" s="45">
        <v>0.1</v>
      </c>
      <c r="K2520" s="46">
        <f>Sales[[#This Row],[Gross Amount]]*Sales[[#This Row],[Disc %]]</f>
        <v>765</v>
      </c>
      <c r="L2520" s="43">
        <v>0.18</v>
      </c>
      <c r="M2520" s="46">
        <f>(Sales[[#This Row],[Gross Amount]]-Sales[[#This Row],[Disc. Amt.]])*Sales[[#This Row],[GST %]]</f>
        <v>1239.3</v>
      </c>
      <c r="N2520" s="161">
        <f>Sales[[#This Row],[Gross Amount]]-Sales[[#This Row],[Disc. Amt.]]+Sales[[#This Row],[GST Amount]]</f>
        <v>8124.3</v>
      </c>
      <c r="O2520" s="34" t="s">
        <v>8876</v>
      </c>
      <c r="P2520" s="34" t="s">
        <v>3562</v>
      </c>
      <c r="Q2520" s="165">
        <f>IF(Sales[[#This Row],[Status]]="Cancelled",0,Sales[[#This Row],[Qty]])</f>
        <v>1</v>
      </c>
      <c r="R2520" s="166">
        <f>IF(Sales[[#This Row],[Status]]="Cancelled",0,Sales[[#This Row],[Total Amount]])</f>
        <v>8124.3</v>
      </c>
      <c r="S2520" s="162">
        <f>SUM(Sales[Net Amount])</f>
        <v>406839287.73200053</v>
      </c>
    </row>
    <row r="2521" spans="1:19" ht="18.75" x14ac:dyDescent="0.25">
      <c r="A2521" s="156" t="s">
        <v>6150</v>
      </c>
      <c r="B2521" s="157">
        <v>45905</v>
      </c>
      <c r="C2521" s="158" t="s">
        <v>749</v>
      </c>
      <c r="D2521" s="159" t="str">
        <f>VLOOKUP(Sales[[#This Row],[Customer ID]],Customer[#All],2,0)</f>
        <v>Sahil Patel</v>
      </c>
      <c r="E2521" s="158" t="s">
        <v>87</v>
      </c>
      <c r="F2521" s="158" t="str">
        <f>VLOOKUP(Sales[[#This Row],[Product ID]],Product[#All],2,0)</f>
        <v>Boat Headset</v>
      </c>
      <c r="G2521" s="159">
        <v>5</v>
      </c>
      <c r="H2521" s="160">
        <f>VLOOKUP(Sales[[#This Row],[Product ID]],Product[#All],7,0)</f>
        <v>1040</v>
      </c>
      <c r="I2521" s="160">
        <f>Sales[[#This Row],[Selling Rate]]*Sales[[#This Row],[Qty]]</f>
        <v>5200</v>
      </c>
      <c r="J2521" s="43">
        <v>0.05</v>
      </c>
      <c r="K2521" s="44">
        <f>Sales[[#This Row],[Gross Amount]]*Sales[[#This Row],[Disc %]]</f>
        <v>260</v>
      </c>
      <c r="L2521" s="43">
        <v>0.18</v>
      </c>
      <c r="M2521" s="44">
        <f>(Sales[[#This Row],[Gross Amount]]-Sales[[#This Row],[Disc. Amt.]])*Sales[[#This Row],[GST %]]</f>
        <v>889.19999999999993</v>
      </c>
      <c r="N2521" s="161">
        <f>Sales[[#This Row],[Gross Amount]]-Sales[[#This Row],[Disc. Amt.]]+Sales[[#This Row],[GST Amount]]</f>
        <v>5829.2</v>
      </c>
      <c r="O2521" s="158" t="s">
        <v>3569</v>
      </c>
      <c r="P2521" s="158" t="s">
        <v>3562</v>
      </c>
      <c r="Q2521" s="160">
        <f>IF(Sales[[#This Row],[Status]]="Cancelled",0,Sales[[#This Row],[Qty]])</f>
        <v>5</v>
      </c>
      <c r="R2521" s="161">
        <f>IF(Sales[[#This Row],[Status]]="Cancelled",0,Sales[[#This Row],[Total Amount]])</f>
        <v>5829.2</v>
      </c>
      <c r="S2521" s="162">
        <f>SUM(Sales[Net Amount])</f>
        <v>406839287.73200053</v>
      </c>
    </row>
    <row r="2522" spans="1:19" ht="18.75" x14ac:dyDescent="0.25">
      <c r="A2522" s="163" t="s">
        <v>6151</v>
      </c>
      <c r="B2522" s="164">
        <v>45905</v>
      </c>
      <c r="C2522" s="34" t="s">
        <v>691</v>
      </c>
      <c r="D2522" s="53" t="str">
        <f>VLOOKUP(Sales[[#This Row],[Customer ID]],Customer[#All],2,0)</f>
        <v>Pooja Patel</v>
      </c>
      <c r="E2522" s="34" t="s">
        <v>219</v>
      </c>
      <c r="F2522" s="34" t="str">
        <f>VLOOKUP(Sales[[#This Row],[Product ID]],Product[#All],2,0)</f>
        <v>Samsung Monitor</v>
      </c>
      <c r="G2522" s="53">
        <v>8</v>
      </c>
      <c r="H2522" s="165">
        <f>VLOOKUP(Sales[[#This Row],[Product ID]],Product[#All],7,0)</f>
        <v>22630</v>
      </c>
      <c r="I2522" s="165">
        <f>Sales[[#This Row],[Selling Rate]]*Sales[[#This Row],[Qty]]</f>
        <v>181040</v>
      </c>
      <c r="J2522" s="45">
        <v>0.1</v>
      </c>
      <c r="K2522" s="46">
        <f>Sales[[#This Row],[Gross Amount]]*Sales[[#This Row],[Disc %]]</f>
        <v>18104</v>
      </c>
      <c r="L2522" s="43">
        <v>0.18</v>
      </c>
      <c r="M2522" s="46">
        <f>(Sales[[#This Row],[Gross Amount]]-Sales[[#This Row],[Disc. Amt.]])*Sales[[#This Row],[GST %]]</f>
        <v>29328.48</v>
      </c>
      <c r="N2522" s="161">
        <f>Sales[[#This Row],[Gross Amount]]-Sales[[#This Row],[Disc. Amt.]]+Sales[[#This Row],[GST Amount]]</f>
        <v>192264.48</v>
      </c>
      <c r="O2522" s="34" t="s">
        <v>3566</v>
      </c>
      <c r="P2522" s="34" t="s">
        <v>3562</v>
      </c>
      <c r="Q2522" s="165">
        <f>IF(Sales[[#This Row],[Status]]="Cancelled",0,Sales[[#This Row],[Qty]])</f>
        <v>8</v>
      </c>
      <c r="R2522" s="166">
        <f>IF(Sales[[#This Row],[Status]]="Cancelled",0,Sales[[#This Row],[Total Amount]])</f>
        <v>192264.48</v>
      </c>
      <c r="S2522" s="162">
        <f>SUM(Sales[Net Amount])</f>
        <v>406839287.73200053</v>
      </c>
    </row>
    <row r="2523" spans="1:19" ht="18.75" x14ac:dyDescent="0.25">
      <c r="A2523" s="156" t="s">
        <v>6152</v>
      </c>
      <c r="B2523" s="157">
        <v>45905</v>
      </c>
      <c r="C2523" s="158" t="s">
        <v>785</v>
      </c>
      <c r="D2523" s="159" t="str">
        <f>VLOOKUP(Sales[[#This Row],[Customer ID]],Customer[#All],2,0)</f>
        <v>Ankit Gupta</v>
      </c>
      <c r="E2523" s="158" t="s">
        <v>165</v>
      </c>
      <c r="F2523" s="158" t="str">
        <f>VLOOKUP(Sales[[#This Row],[Product ID]],Product[#All],2,0)</f>
        <v>Kingston Ram</v>
      </c>
      <c r="G2523" s="159">
        <v>1</v>
      </c>
      <c r="H2523" s="160">
        <f>VLOOKUP(Sales[[#This Row],[Product ID]],Product[#All],7,0)</f>
        <v>8020</v>
      </c>
      <c r="I2523" s="160">
        <f>Sales[[#This Row],[Selling Rate]]*Sales[[#This Row],[Qty]]</f>
        <v>8020</v>
      </c>
      <c r="J2523" s="43">
        <v>0.12</v>
      </c>
      <c r="K2523" s="44">
        <f>Sales[[#This Row],[Gross Amount]]*Sales[[#This Row],[Disc %]]</f>
        <v>962.4</v>
      </c>
      <c r="L2523" s="43">
        <v>0.18</v>
      </c>
      <c r="M2523" s="44">
        <f>(Sales[[#This Row],[Gross Amount]]-Sales[[#This Row],[Disc. Amt.]])*Sales[[#This Row],[GST %]]</f>
        <v>1270.3679999999999</v>
      </c>
      <c r="N2523" s="161">
        <f>Sales[[#This Row],[Gross Amount]]-Sales[[#This Row],[Disc. Amt.]]+Sales[[#This Row],[GST Amount]]</f>
        <v>8327.9680000000008</v>
      </c>
      <c r="O2523" s="158" t="s">
        <v>3566</v>
      </c>
      <c r="P2523" s="158" t="s">
        <v>3562</v>
      </c>
      <c r="Q2523" s="160">
        <f>IF(Sales[[#This Row],[Status]]="Cancelled",0,Sales[[#This Row],[Qty]])</f>
        <v>1</v>
      </c>
      <c r="R2523" s="161">
        <f>IF(Sales[[#This Row],[Status]]="Cancelled",0,Sales[[#This Row],[Total Amount]])</f>
        <v>8327.9680000000008</v>
      </c>
      <c r="S2523" s="162">
        <f>SUM(Sales[Net Amount])</f>
        <v>406839287.73200053</v>
      </c>
    </row>
    <row r="2524" spans="1:19" ht="18.75" x14ac:dyDescent="0.25">
      <c r="A2524" s="163" t="s">
        <v>6153</v>
      </c>
      <c r="B2524" s="164">
        <v>45905</v>
      </c>
      <c r="C2524" s="34" t="s">
        <v>869</v>
      </c>
      <c r="D2524" s="53" t="str">
        <f>VLOOKUP(Sales[[#This Row],[Customer ID]],Customer[#All],2,0)</f>
        <v>Rakesh Patel</v>
      </c>
      <c r="E2524" s="34" t="s">
        <v>307</v>
      </c>
      <c r="F2524" s="34" t="str">
        <f>VLOOKUP(Sales[[#This Row],[Product ID]],Product[#All],2,0)</f>
        <v>Dell Laptop</v>
      </c>
      <c r="G2524" s="53">
        <v>8</v>
      </c>
      <c r="H2524" s="165">
        <f>VLOOKUP(Sales[[#This Row],[Product ID]],Product[#All],7,0)</f>
        <v>45060</v>
      </c>
      <c r="I2524" s="165">
        <f>Sales[[#This Row],[Selling Rate]]*Sales[[#This Row],[Qty]]</f>
        <v>360480</v>
      </c>
      <c r="J2524" s="45">
        <v>0</v>
      </c>
      <c r="K2524" s="46">
        <f>Sales[[#This Row],[Gross Amount]]*Sales[[#This Row],[Disc %]]</f>
        <v>0</v>
      </c>
      <c r="L2524" s="43">
        <v>0.18</v>
      </c>
      <c r="M2524" s="46">
        <f>(Sales[[#This Row],[Gross Amount]]-Sales[[#This Row],[Disc. Amt.]])*Sales[[#This Row],[GST %]]</f>
        <v>64886.399999999994</v>
      </c>
      <c r="N2524" s="161">
        <f>Sales[[#This Row],[Gross Amount]]-Sales[[#This Row],[Disc. Amt.]]+Sales[[#This Row],[GST Amount]]</f>
        <v>425366.4</v>
      </c>
      <c r="O2524" s="34" t="s">
        <v>3566</v>
      </c>
      <c r="P2524" s="34" t="s">
        <v>3562</v>
      </c>
      <c r="Q2524" s="165">
        <f>IF(Sales[[#This Row],[Status]]="Cancelled",0,Sales[[#This Row],[Qty]])</f>
        <v>8</v>
      </c>
      <c r="R2524" s="166">
        <f>IF(Sales[[#This Row],[Status]]="Cancelled",0,Sales[[#This Row],[Total Amount]])</f>
        <v>425366.4</v>
      </c>
      <c r="S2524" s="162">
        <f>SUM(Sales[Net Amount])</f>
        <v>406839287.73200053</v>
      </c>
    </row>
    <row r="2525" spans="1:19" ht="18.75" x14ac:dyDescent="0.25">
      <c r="A2525" s="156" t="s">
        <v>6154</v>
      </c>
      <c r="B2525" s="157">
        <v>45905</v>
      </c>
      <c r="C2525" s="158" t="s">
        <v>943</v>
      </c>
      <c r="D2525" s="159" t="str">
        <f>VLOOKUP(Sales[[#This Row],[Customer ID]],Customer[#All],2,0)</f>
        <v>Sahil Singh</v>
      </c>
      <c r="E2525" s="158" t="s">
        <v>170</v>
      </c>
      <c r="F2525" s="158" t="str">
        <f>VLOOKUP(Sales[[#This Row],[Product ID]],Product[#All],2,0)</f>
        <v>Lenovo Laptop</v>
      </c>
      <c r="G2525" s="159">
        <v>8</v>
      </c>
      <c r="H2525" s="160">
        <f>VLOOKUP(Sales[[#This Row],[Product ID]],Product[#All],7,0)</f>
        <v>29710</v>
      </c>
      <c r="I2525" s="160">
        <f>Sales[[#This Row],[Selling Rate]]*Sales[[#This Row],[Qty]]</f>
        <v>237680</v>
      </c>
      <c r="J2525" s="43">
        <v>0.05</v>
      </c>
      <c r="K2525" s="44">
        <f>Sales[[#This Row],[Gross Amount]]*Sales[[#This Row],[Disc %]]</f>
        <v>11884</v>
      </c>
      <c r="L2525" s="43">
        <v>0.18</v>
      </c>
      <c r="M2525" s="44">
        <f>(Sales[[#This Row],[Gross Amount]]-Sales[[#This Row],[Disc. Amt.]])*Sales[[#This Row],[GST %]]</f>
        <v>40643.279999999999</v>
      </c>
      <c r="N2525" s="161">
        <f>Sales[[#This Row],[Gross Amount]]-Sales[[#This Row],[Disc. Amt.]]+Sales[[#This Row],[GST Amount]]</f>
        <v>266439.28000000003</v>
      </c>
      <c r="O2525" s="158" t="s">
        <v>3566</v>
      </c>
      <c r="P2525" s="158" t="s">
        <v>3562</v>
      </c>
      <c r="Q2525" s="160">
        <f>IF(Sales[[#This Row],[Status]]="Cancelled",0,Sales[[#This Row],[Qty]])</f>
        <v>8</v>
      </c>
      <c r="R2525" s="161">
        <f>IF(Sales[[#This Row],[Status]]="Cancelled",0,Sales[[#This Row],[Total Amount]])</f>
        <v>266439.28000000003</v>
      </c>
      <c r="S2525" s="162">
        <f>SUM(Sales[Net Amount])</f>
        <v>406839287.73200053</v>
      </c>
    </row>
    <row r="2526" spans="1:19" ht="18.75" x14ac:dyDescent="0.25">
      <c r="A2526" s="163" t="s">
        <v>6155</v>
      </c>
      <c r="B2526" s="164">
        <v>45905</v>
      </c>
      <c r="C2526" s="34" t="s">
        <v>750</v>
      </c>
      <c r="D2526" s="53" t="str">
        <f>VLOOKUP(Sales[[#This Row],[Customer ID]],Customer[#All],2,0)</f>
        <v>Rakesh Verma</v>
      </c>
      <c r="E2526" s="34" t="s">
        <v>372</v>
      </c>
      <c r="F2526" s="34" t="str">
        <f>VLOOKUP(Sales[[#This Row],[Product ID]],Product[#All],2,0)</f>
        <v>Sandisk Pen Drive</v>
      </c>
      <c r="G2526" s="53">
        <v>3</v>
      </c>
      <c r="H2526" s="165">
        <f>VLOOKUP(Sales[[#This Row],[Product ID]],Product[#All],7,0)</f>
        <v>580</v>
      </c>
      <c r="I2526" s="165">
        <f>Sales[[#This Row],[Selling Rate]]*Sales[[#This Row],[Qty]]</f>
        <v>1740</v>
      </c>
      <c r="J2526" s="45">
        <v>0.02</v>
      </c>
      <c r="K2526" s="46">
        <f>Sales[[#This Row],[Gross Amount]]*Sales[[#This Row],[Disc %]]</f>
        <v>34.800000000000004</v>
      </c>
      <c r="L2526" s="43">
        <v>0.18</v>
      </c>
      <c r="M2526" s="46">
        <f>(Sales[[#This Row],[Gross Amount]]-Sales[[#This Row],[Disc. Amt.]])*Sales[[#This Row],[GST %]]</f>
        <v>306.93599999999998</v>
      </c>
      <c r="N2526" s="161">
        <f>Sales[[#This Row],[Gross Amount]]-Sales[[#This Row],[Disc. Amt.]]+Sales[[#This Row],[GST Amount]]</f>
        <v>2012.136</v>
      </c>
      <c r="O2526" s="34" t="s">
        <v>3566</v>
      </c>
      <c r="P2526" s="34" t="s">
        <v>3562</v>
      </c>
      <c r="Q2526" s="165">
        <f>IF(Sales[[#This Row],[Status]]="Cancelled",0,Sales[[#This Row],[Qty]])</f>
        <v>3</v>
      </c>
      <c r="R2526" s="166">
        <f>IF(Sales[[#This Row],[Status]]="Cancelled",0,Sales[[#This Row],[Total Amount]])</f>
        <v>2012.136</v>
      </c>
      <c r="S2526" s="162">
        <f>SUM(Sales[Net Amount])</f>
        <v>406839287.73200053</v>
      </c>
    </row>
    <row r="2527" spans="1:19" ht="18.75" x14ac:dyDescent="0.25">
      <c r="A2527" s="156" t="s">
        <v>6156</v>
      </c>
      <c r="B2527" s="157">
        <v>45905</v>
      </c>
      <c r="C2527" s="158" t="s">
        <v>811</v>
      </c>
      <c r="D2527" s="159" t="str">
        <f>VLOOKUP(Sales[[#This Row],[Customer ID]],Customer[#All],2,0)</f>
        <v>Rahul Sharma</v>
      </c>
      <c r="E2527" s="158" t="s">
        <v>396</v>
      </c>
      <c r="F2527" s="158" t="str">
        <f>VLOOKUP(Sales[[#This Row],[Product ID]],Product[#All],2,0)</f>
        <v>HP Laptop</v>
      </c>
      <c r="G2527" s="159">
        <v>3</v>
      </c>
      <c r="H2527" s="160">
        <f>VLOOKUP(Sales[[#This Row],[Product ID]],Product[#All],7,0)</f>
        <v>77100</v>
      </c>
      <c r="I2527" s="160">
        <f>Sales[[#This Row],[Selling Rate]]*Sales[[#This Row],[Qty]]</f>
        <v>231300</v>
      </c>
      <c r="J2527" s="43">
        <v>0.02</v>
      </c>
      <c r="K2527" s="44">
        <f>Sales[[#This Row],[Gross Amount]]*Sales[[#This Row],[Disc %]]</f>
        <v>4626</v>
      </c>
      <c r="L2527" s="43">
        <v>0.18</v>
      </c>
      <c r="M2527" s="44">
        <f>(Sales[[#This Row],[Gross Amount]]-Sales[[#This Row],[Disc. Amt.]])*Sales[[#This Row],[GST %]]</f>
        <v>40801.32</v>
      </c>
      <c r="N2527" s="161">
        <f>Sales[[#This Row],[Gross Amount]]-Sales[[#This Row],[Disc. Amt.]]+Sales[[#This Row],[GST Amount]]</f>
        <v>267475.32</v>
      </c>
      <c r="O2527" s="158" t="s">
        <v>3561</v>
      </c>
      <c r="P2527" s="158" t="s">
        <v>3562</v>
      </c>
      <c r="Q2527" s="160">
        <f>IF(Sales[[#This Row],[Status]]="Cancelled",0,Sales[[#This Row],[Qty]])</f>
        <v>3</v>
      </c>
      <c r="R2527" s="161">
        <f>IF(Sales[[#This Row],[Status]]="Cancelled",0,Sales[[#This Row],[Total Amount]])</f>
        <v>267475.32</v>
      </c>
      <c r="S2527" s="162">
        <f>SUM(Sales[Net Amount])</f>
        <v>406839287.73200053</v>
      </c>
    </row>
    <row r="2528" spans="1:19" ht="18.75" x14ac:dyDescent="0.25">
      <c r="A2528" s="163" t="s">
        <v>6157</v>
      </c>
      <c r="B2528" s="164">
        <v>45905</v>
      </c>
      <c r="C2528" s="34" t="s">
        <v>789</v>
      </c>
      <c r="D2528" s="53" t="str">
        <f>VLOOKUP(Sales[[#This Row],[Customer ID]],Customer[#All],2,0)</f>
        <v>Ankit Patel</v>
      </c>
      <c r="E2528" s="34" t="s">
        <v>464</v>
      </c>
      <c r="F2528" s="34" t="str">
        <f>VLOOKUP(Sales[[#This Row],[Product ID]],Product[#All],2,0)</f>
        <v>Lg Monitor</v>
      </c>
      <c r="G2528" s="53">
        <v>7</v>
      </c>
      <c r="H2528" s="165">
        <f>VLOOKUP(Sales[[#This Row],[Product ID]],Product[#All],7,0)</f>
        <v>27140</v>
      </c>
      <c r="I2528" s="165">
        <f>Sales[[#This Row],[Selling Rate]]*Sales[[#This Row],[Qty]]</f>
        <v>189980</v>
      </c>
      <c r="J2528" s="45">
        <v>0</v>
      </c>
      <c r="K2528" s="46">
        <f>Sales[[#This Row],[Gross Amount]]*Sales[[#This Row],[Disc %]]</f>
        <v>0</v>
      </c>
      <c r="L2528" s="43">
        <v>0.18</v>
      </c>
      <c r="M2528" s="46">
        <f>(Sales[[#This Row],[Gross Amount]]-Sales[[#This Row],[Disc. Amt.]])*Sales[[#This Row],[GST %]]</f>
        <v>34196.400000000001</v>
      </c>
      <c r="N2528" s="161">
        <f>Sales[[#This Row],[Gross Amount]]-Sales[[#This Row],[Disc. Amt.]]+Sales[[#This Row],[GST Amount]]</f>
        <v>224176.4</v>
      </c>
      <c r="O2528" s="34" t="s">
        <v>3561</v>
      </c>
      <c r="P2528" s="34" t="s">
        <v>3562</v>
      </c>
      <c r="Q2528" s="165">
        <f>IF(Sales[[#This Row],[Status]]="Cancelled",0,Sales[[#This Row],[Qty]])</f>
        <v>7</v>
      </c>
      <c r="R2528" s="166">
        <f>IF(Sales[[#This Row],[Status]]="Cancelled",0,Sales[[#This Row],[Total Amount]])</f>
        <v>224176.4</v>
      </c>
      <c r="S2528" s="162">
        <f>SUM(Sales[Net Amount])</f>
        <v>406839287.73200053</v>
      </c>
    </row>
    <row r="2529" spans="1:19" ht="18.75" x14ac:dyDescent="0.25">
      <c r="A2529" s="156" t="s">
        <v>6158</v>
      </c>
      <c r="B2529" s="157">
        <v>45905</v>
      </c>
      <c r="C2529" s="158" t="s">
        <v>681</v>
      </c>
      <c r="D2529" s="159" t="str">
        <f>VLOOKUP(Sales[[#This Row],[Customer ID]],Customer[#All],2,0)</f>
        <v>Amit Kumar</v>
      </c>
      <c r="E2529" s="158" t="s">
        <v>104</v>
      </c>
      <c r="F2529" s="158" t="str">
        <f>VLOOKUP(Sales[[#This Row],[Product ID]],Product[#All],2,0)</f>
        <v>Canon Printer</v>
      </c>
      <c r="G2529" s="159">
        <v>6</v>
      </c>
      <c r="H2529" s="160">
        <f>VLOOKUP(Sales[[#This Row],[Product ID]],Product[#All],7,0)</f>
        <v>49170</v>
      </c>
      <c r="I2529" s="160">
        <f>Sales[[#This Row],[Selling Rate]]*Sales[[#This Row],[Qty]]</f>
        <v>295020</v>
      </c>
      <c r="J2529" s="43">
        <v>0</v>
      </c>
      <c r="K2529" s="44">
        <f>Sales[[#This Row],[Gross Amount]]*Sales[[#This Row],[Disc %]]</f>
        <v>0</v>
      </c>
      <c r="L2529" s="43">
        <v>0.18</v>
      </c>
      <c r="M2529" s="44">
        <f>(Sales[[#This Row],[Gross Amount]]-Sales[[#This Row],[Disc. Amt.]])*Sales[[#This Row],[GST %]]</f>
        <v>53103.6</v>
      </c>
      <c r="N2529" s="161">
        <f>Sales[[#This Row],[Gross Amount]]-Sales[[#This Row],[Disc. Amt.]]+Sales[[#This Row],[GST Amount]]</f>
        <v>348123.6</v>
      </c>
      <c r="O2529" s="158" t="s">
        <v>3561</v>
      </c>
      <c r="P2529" s="158" t="s">
        <v>3562</v>
      </c>
      <c r="Q2529" s="160">
        <f>IF(Sales[[#This Row],[Status]]="Cancelled",0,Sales[[#This Row],[Qty]])</f>
        <v>6</v>
      </c>
      <c r="R2529" s="161">
        <f>IF(Sales[[#This Row],[Status]]="Cancelled",0,Sales[[#This Row],[Total Amount]])</f>
        <v>348123.6</v>
      </c>
      <c r="S2529" s="162">
        <f>SUM(Sales[Net Amount])</f>
        <v>406839287.73200053</v>
      </c>
    </row>
    <row r="2530" spans="1:19" ht="18.75" x14ac:dyDescent="0.25">
      <c r="A2530" s="163" t="s">
        <v>6159</v>
      </c>
      <c r="B2530" s="164">
        <v>45905</v>
      </c>
      <c r="C2530" s="34" t="s">
        <v>737</v>
      </c>
      <c r="D2530" s="53" t="str">
        <f>VLOOKUP(Sales[[#This Row],[Customer ID]],Customer[#All],2,0)</f>
        <v>Pooja Verma</v>
      </c>
      <c r="E2530" s="34" t="s">
        <v>253</v>
      </c>
      <c r="F2530" s="34" t="str">
        <f>VLOOKUP(Sales[[#This Row],[Product ID]],Product[#All],2,0)</f>
        <v>Acer Laptop</v>
      </c>
      <c r="G2530" s="53">
        <v>6</v>
      </c>
      <c r="H2530" s="165">
        <f>VLOOKUP(Sales[[#This Row],[Product ID]],Product[#All],7,0)</f>
        <v>40550</v>
      </c>
      <c r="I2530" s="165">
        <f>Sales[[#This Row],[Selling Rate]]*Sales[[#This Row],[Qty]]</f>
        <v>243300</v>
      </c>
      <c r="J2530" s="45">
        <v>0.15</v>
      </c>
      <c r="K2530" s="46">
        <f>Sales[[#This Row],[Gross Amount]]*Sales[[#This Row],[Disc %]]</f>
        <v>36495</v>
      </c>
      <c r="L2530" s="43">
        <v>0.18</v>
      </c>
      <c r="M2530" s="46">
        <f>(Sales[[#This Row],[Gross Amount]]-Sales[[#This Row],[Disc. Amt.]])*Sales[[#This Row],[GST %]]</f>
        <v>37224.9</v>
      </c>
      <c r="N2530" s="161">
        <f>Sales[[#This Row],[Gross Amount]]-Sales[[#This Row],[Disc. Amt.]]+Sales[[#This Row],[GST Amount]]</f>
        <v>244029.9</v>
      </c>
      <c r="O2530" s="34" t="s">
        <v>3561</v>
      </c>
      <c r="P2530" s="34" t="s">
        <v>3562</v>
      </c>
      <c r="Q2530" s="165">
        <f>IF(Sales[[#This Row],[Status]]="Cancelled",0,Sales[[#This Row],[Qty]])</f>
        <v>6</v>
      </c>
      <c r="R2530" s="166">
        <f>IF(Sales[[#This Row],[Status]]="Cancelled",0,Sales[[#This Row],[Total Amount]])</f>
        <v>244029.9</v>
      </c>
      <c r="S2530" s="162">
        <f>SUM(Sales[Net Amount])</f>
        <v>406839287.73200053</v>
      </c>
    </row>
    <row r="2531" spans="1:19" ht="18.75" x14ac:dyDescent="0.25">
      <c r="A2531" s="156" t="s">
        <v>6160</v>
      </c>
      <c r="B2531" s="157">
        <v>45905</v>
      </c>
      <c r="C2531" s="158" t="s">
        <v>894</v>
      </c>
      <c r="D2531" s="159" t="str">
        <f>VLOOKUP(Sales[[#This Row],[Customer ID]],Customer[#All],2,0)</f>
        <v>Sunita Patel</v>
      </c>
      <c r="E2531" s="158" t="s">
        <v>31</v>
      </c>
      <c r="F2531" s="158" t="str">
        <f>VLOOKUP(Sales[[#This Row],[Product ID]],Product[#All],2,0)</f>
        <v>Logitech Mouse</v>
      </c>
      <c r="G2531" s="159">
        <v>8</v>
      </c>
      <c r="H2531" s="160">
        <f>VLOOKUP(Sales[[#This Row],[Product ID]],Product[#All],7,0)</f>
        <v>2660</v>
      </c>
      <c r="I2531" s="160">
        <f>Sales[[#This Row],[Selling Rate]]*Sales[[#This Row],[Qty]]</f>
        <v>21280</v>
      </c>
      <c r="J2531" s="43">
        <v>0</v>
      </c>
      <c r="K2531" s="44">
        <f>Sales[[#This Row],[Gross Amount]]*Sales[[#This Row],[Disc %]]</f>
        <v>0</v>
      </c>
      <c r="L2531" s="43">
        <v>0.18</v>
      </c>
      <c r="M2531" s="44">
        <f>(Sales[[#This Row],[Gross Amount]]-Sales[[#This Row],[Disc. Amt.]])*Sales[[#This Row],[GST %]]</f>
        <v>3830.3999999999996</v>
      </c>
      <c r="N2531" s="161">
        <f>Sales[[#This Row],[Gross Amount]]-Sales[[#This Row],[Disc. Amt.]]+Sales[[#This Row],[GST Amount]]</f>
        <v>25110.400000000001</v>
      </c>
      <c r="O2531" s="158" t="s">
        <v>8876</v>
      </c>
      <c r="P2531" s="158" t="s">
        <v>3562</v>
      </c>
      <c r="Q2531" s="160">
        <f>IF(Sales[[#This Row],[Status]]="Cancelled",0,Sales[[#This Row],[Qty]])</f>
        <v>8</v>
      </c>
      <c r="R2531" s="161">
        <f>IF(Sales[[#This Row],[Status]]="Cancelled",0,Sales[[#This Row],[Total Amount]])</f>
        <v>25110.400000000001</v>
      </c>
      <c r="S2531" s="162">
        <f>SUM(Sales[Net Amount])</f>
        <v>406839287.73200053</v>
      </c>
    </row>
    <row r="2532" spans="1:19" ht="18.75" x14ac:dyDescent="0.25">
      <c r="A2532" s="163" t="s">
        <v>6161</v>
      </c>
      <c r="B2532" s="164">
        <v>45905</v>
      </c>
      <c r="C2532" s="34" t="s">
        <v>811</v>
      </c>
      <c r="D2532" s="53" t="str">
        <f>VLOOKUP(Sales[[#This Row],[Customer ID]],Customer[#All],2,0)</f>
        <v>Rahul Sharma</v>
      </c>
      <c r="E2532" s="34" t="s">
        <v>437</v>
      </c>
      <c r="F2532" s="34" t="str">
        <f>VLOOKUP(Sales[[#This Row],[Product ID]],Product[#All],2,0)</f>
        <v>Boat Headset</v>
      </c>
      <c r="G2532" s="53">
        <v>8</v>
      </c>
      <c r="H2532" s="165">
        <f>VLOOKUP(Sales[[#This Row],[Product ID]],Product[#All],7,0)</f>
        <v>3260</v>
      </c>
      <c r="I2532" s="165">
        <f>Sales[[#This Row],[Selling Rate]]*Sales[[#This Row],[Qty]]</f>
        <v>26080</v>
      </c>
      <c r="J2532" s="45">
        <v>0.1</v>
      </c>
      <c r="K2532" s="46">
        <f>Sales[[#This Row],[Gross Amount]]*Sales[[#This Row],[Disc %]]</f>
        <v>2608</v>
      </c>
      <c r="L2532" s="43">
        <v>0.18</v>
      </c>
      <c r="M2532" s="46">
        <f>(Sales[[#This Row],[Gross Amount]]-Sales[[#This Row],[Disc. Amt.]])*Sales[[#This Row],[GST %]]</f>
        <v>4224.96</v>
      </c>
      <c r="N2532" s="161">
        <f>Sales[[#This Row],[Gross Amount]]-Sales[[#This Row],[Disc. Amt.]]+Sales[[#This Row],[GST Amount]]</f>
        <v>27696.959999999999</v>
      </c>
      <c r="O2532" s="34" t="s">
        <v>3569</v>
      </c>
      <c r="P2532" s="34" t="s">
        <v>3562</v>
      </c>
      <c r="Q2532" s="165">
        <f>IF(Sales[[#This Row],[Status]]="Cancelled",0,Sales[[#This Row],[Qty]])</f>
        <v>8</v>
      </c>
      <c r="R2532" s="166">
        <f>IF(Sales[[#This Row],[Status]]="Cancelled",0,Sales[[#This Row],[Total Amount]])</f>
        <v>27696.959999999999</v>
      </c>
      <c r="S2532" s="162">
        <f>SUM(Sales[Net Amount])</f>
        <v>406839287.73200053</v>
      </c>
    </row>
    <row r="2533" spans="1:19" ht="18.75" x14ac:dyDescent="0.25">
      <c r="A2533" s="156" t="s">
        <v>6162</v>
      </c>
      <c r="B2533" s="157">
        <v>45905</v>
      </c>
      <c r="C2533" s="158" t="s">
        <v>874</v>
      </c>
      <c r="D2533" s="159" t="str">
        <f>VLOOKUP(Sales[[#This Row],[Customer ID]],Customer[#All],2,0)</f>
        <v>Vikas Sharma</v>
      </c>
      <c r="E2533" s="158" t="s">
        <v>367</v>
      </c>
      <c r="F2533" s="158" t="str">
        <f>VLOOKUP(Sales[[#This Row],[Product ID]],Product[#All],2,0)</f>
        <v>Jbl Speaker</v>
      </c>
      <c r="G2533" s="159">
        <v>7</v>
      </c>
      <c r="H2533" s="160">
        <f>VLOOKUP(Sales[[#This Row],[Product ID]],Product[#All],7,0)</f>
        <v>4880</v>
      </c>
      <c r="I2533" s="160">
        <f>Sales[[#This Row],[Selling Rate]]*Sales[[#This Row],[Qty]]</f>
        <v>34160</v>
      </c>
      <c r="J2533" s="43">
        <v>0.02</v>
      </c>
      <c r="K2533" s="44">
        <f>Sales[[#This Row],[Gross Amount]]*Sales[[#This Row],[Disc %]]</f>
        <v>683.2</v>
      </c>
      <c r="L2533" s="43">
        <v>0.18</v>
      </c>
      <c r="M2533" s="44">
        <f>(Sales[[#This Row],[Gross Amount]]-Sales[[#This Row],[Disc. Amt.]])*Sales[[#This Row],[GST %]]</f>
        <v>6025.8240000000005</v>
      </c>
      <c r="N2533" s="161">
        <f>Sales[[#This Row],[Gross Amount]]-Sales[[#This Row],[Disc. Amt.]]+Sales[[#This Row],[GST Amount]]</f>
        <v>39502.624000000003</v>
      </c>
      <c r="O2533" s="158" t="s">
        <v>3566</v>
      </c>
      <c r="P2533" s="158" t="s">
        <v>3562</v>
      </c>
      <c r="Q2533" s="160">
        <f>IF(Sales[[#This Row],[Status]]="Cancelled",0,Sales[[#This Row],[Qty]])</f>
        <v>7</v>
      </c>
      <c r="R2533" s="161">
        <f>IF(Sales[[#This Row],[Status]]="Cancelled",0,Sales[[#This Row],[Total Amount]])</f>
        <v>39502.624000000003</v>
      </c>
      <c r="S2533" s="162">
        <f>SUM(Sales[Net Amount])</f>
        <v>406839287.73200053</v>
      </c>
    </row>
    <row r="2534" spans="1:19" ht="18.75" x14ac:dyDescent="0.25">
      <c r="A2534" s="163" t="s">
        <v>6163</v>
      </c>
      <c r="B2534" s="164">
        <v>45905</v>
      </c>
      <c r="C2534" s="34" t="s">
        <v>817</v>
      </c>
      <c r="D2534" s="53" t="str">
        <f>VLOOKUP(Sales[[#This Row],[Customer ID]],Customer[#All],2,0)</f>
        <v>Ankit Patel</v>
      </c>
      <c r="E2534" s="34" t="s">
        <v>120</v>
      </c>
      <c r="F2534" s="34" t="str">
        <f>VLOOKUP(Sales[[#This Row],[Product ID]],Product[#All],2,0)</f>
        <v>Boat Speaker</v>
      </c>
      <c r="G2534" s="53">
        <v>3</v>
      </c>
      <c r="H2534" s="165">
        <f>VLOOKUP(Sales[[#This Row],[Product ID]],Product[#All],7,0)</f>
        <v>6610</v>
      </c>
      <c r="I2534" s="165">
        <f>Sales[[#This Row],[Selling Rate]]*Sales[[#This Row],[Qty]]</f>
        <v>19830</v>
      </c>
      <c r="J2534" s="45">
        <v>0.05</v>
      </c>
      <c r="K2534" s="46">
        <f>Sales[[#This Row],[Gross Amount]]*Sales[[#This Row],[Disc %]]</f>
        <v>991.5</v>
      </c>
      <c r="L2534" s="43">
        <v>0.18</v>
      </c>
      <c r="M2534" s="46">
        <f>(Sales[[#This Row],[Gross Amount]]-Sales[[#This Row],[Disc. Amt.]])*Sales[[#This Row],[GST %]]</f>
        <v>3390.93</v>
      </c>
      <c r="N2534" s="161">
        <f>Sales[[#This Row],[Gross Amount]]-Sales[[#This Row],[Disc. Amt.]]+Sales[[#This Row],[GST Amount]]</f>
        <v>22229.43</v>
      </c>
      <c r="O2534" s="34" t="s">
        <v>3569</v>
      </c>
      <c r="P2534" s="34" t="s">
        <v>3562</v>
      </c>
      <c r="Q2534" s="165">
        <f>IF(Sales[[#This Row],[Status]]="Cancelled",0,Sales[[#This Row],[Qty]])</f>
        <v>3</v>
      </c>
      <c r="R2534" s="166">
        <f>IF(Sales[[#This Row],[Status]]="Cancelled",0,Sales[[#This Row],[Total Amount]])</f>
        <v>22229.43</v>
      </c>
      <c r="S2534" s="162">
        <f>SUM(Sales[Net Amount])</f>
        <v>406839287.73200053</v>
      </c>
    </row>
    <row r="2535" spans="1:19" ht="18.75" x14ac:dyDescent="0.25">
      <c r="A2535" s="156" t="s">
        <v>6164</v>
      </c>
      <c r="B2535" s="157">
        <v>45906</v>
      </c>
      <c r="C2535" s="158" t="s">
        <v>920</v>
      </c>
      <c r="D2535" s="159" t="str">
        <f>VLOOKUP(Sales[[#This Row],[Customer ID]],Customer[#All],2,0)</f>
        <v>Rakesh Sharma</v>
      </c>
      <c r="E2535" s="158" t="s">
        <v>148</v>
      </c>
      <c r="F2535" s="158" t="str">
        <f>VLOOKUP(Sales[[#This Row],[Product ID]],Product[#All],2,0)</f>
        <v>Dell Monitor</v>
      </c>
      <c r="G2535" s="159">
        <v>6</v>
      </c>
      <c r="H2535" s="160">
        <f>VLOOKUP(Sales[[#This Row],[Product ID]],Product[#All],7,0)</f>
        <v>20170</v>
      </c>
      <c r="I2535" s="160">
        <f>Sales[[#This Row],[Selling Rate]]*Sales[[#This Row],[Qty]]</f>
        <v>121020</v>
      </c>
      <c r="J2535" s="43">
        <v>0.12</v>
      </c>
      <c r="K2535" s="44">
        <f>Sales[[#This Row],[Gross Amount]]*Sales[[#This Row],[Disc %]]</f>
        <v>14522.4</v>
      </c>
      <c r="L2535" s="43">
        <v>0.18</v>
      </c>
      <c r="M2535" s="44">
        <f>(Sales[[#This Row],[Gross Amount]]-Sales[[#This Row],[Disc. Amt.]])*Sales[[#This Row],[GST %]]</f>
        <v>19169.567999999999</v>
      </c>
      <c r="N2535" s="161">
        <f>Sales[[#This Row],[Gross Amount]]-Sales[[#This Row],[Disc. Amt.]]+Sales[[#This Row],[GST Amount]]</f>
        <v>125667.16800000001</v>
      </c>
      <c r="O2535" s="158" t="s">
        <v>3561</v>
      </c>
      <c r="P2535" s="158" t="s">
        <v>3562</v>
      </c>
      <c r="Q2535" s="160">
        <f>IF(Sales[[#This Row],[Status]]="Cancelled",0,Sales[[#This Row],[Qty]])</f>
        <v>6</v>
      </c>
      <c r="R2535" s="161">
        <f>IF(Sales[[#This Row],[Status]]="Cancelled",0,Sales[[#This Row],[Total Amount]])</f>
        <v>125667.16800000001</v>
      </c>
      <c r="S2535" s="162">
        <f>SUM(Sales[Net Amount])</f>
        <v>406839287.73200053</v>
      </c>
    </row>
    <row r="2536" spans="1:19" ht="18.75" x14ac:dyDescent="0.25">
      <c r="A2536" s="163" t="s">
        <v>6165</v>
      </c>
      <c r="B2536" s="164">
        <v>45906</v>
      </c>
      <c r="C2536" s="34" t="s">
        <v>4215</v>
      </c>
      <c r="D2536" s="53" t="str">
        <f>VLOOKUP(Sales[[#This Row],[Customer ID]],Customer[#All],2,0)</f>
        <v>Sahil Verma</v>
      </c>
      <c r="E2536" s="34" t="s">
        <v>445</v>
      </c>
      <c r="F2536" s="34" t="str">
        <f>VLOOKUP(Sales[[#This Row],[Product ID]],Product[#All],2,0)</f>
        <v>Lenovo Laptop</v>
      </c>
      <c r="G2536" s="53">
        <v>4</v>
      </c>
      <c r="H2536" s="165">
        <f>VLOOKUP(Sales[[#This Row],[Product ID]],Product[#All],7,0)</f>
        <v>37710</v>
      </c>
      <c r="I2536" s="165">
        <f>Sales[[#This Row],[Selling Rate]]*Sales[[#This Row],[Qty]]</f>
        <v>150840</v>
      </c>
      <c r="J2536" s="45">
        <v>0.02</v>
      </c>
      <c r="K2536" s="46">
        <f>Sales[[#This Row],[Gross Amount]]*Sales[[#This Row],[Disc %]]</f>
        <v>3016.8</v>
      </c>
      <c r="L2536" s="43">
        <v>0.18</v>
      </c>
      <c r="M2536" s="46">
        <f>(Sales[[#This Row],[Gross Amount]]-Sales[[#This Row],[Disc. Amt.]])*Sales[[#This Row],[GST %]]</f>
        <v>26608.175999999999</v>
      </c>
      <c r="N2536" s="161">
        <f>Sales[[#This Row],[Gross Amount]]-Sales[[#This Row],[Disc. Amt.]]+Sales[[#This Row],[GST Amount]]</f>
        <v>174431.37600000002</v>
      </c>
      <c r="O2536" s="34" t="s">
        <v>8876</v>
      </c>
      <c r="P2536" s="34" t="s">
        <v>3562</v>
      </c>
      <c r="Q2536" s="165">
        <f>IF(Sales[[#This Row],[Status]]="Cancelled",0,Sales[[#This Row],[Qty]])</f>
        <v>4</v>
      </c>
      <c r="R2536" s="166">
        <f>IF(Sales[[#This Row],[Status]]="Cancelled",0,Sales[[#This Row],[Total Amount]])</f>
        <v>174431.37600000002</v>
      </c>
      <c r="S2536" s="162">
        <f>SUM(Sales[Net Amount])</f>
        <v>406839287.73200053</v>
      </c>
    </row>
    <row r="2537" spans="1:19" ht="18.75" x14ac:dyDescent="0.25">
      <c r="A2537" s="156" t="s">
        <v>6166</v>
      </c>
      <c r="B2537" s="157">
        <v>45906</v>
      </c>
      <c r="C2537" s="158" t="s">
        <v>882</v>
      </c>
      <c r="D2537" s="159" t="str">
        <f>VLOOKUP(Sales[[#This Row],[Customer ID]],Customer[#All],2,0)</f>
        <v>Rahul Sharma</v>
      </c>
      <c r="E2537" s="158" t="s">
        <v>187</v>
      </c>
      <c r="F2537" s="158" t="str">
        <f>VLOOKUP(Sales[[#This Row],[Product ID]],Product[#All],2,0)</f>
        <v>American TouristerLaptopBag</v>
      </c>
      <c r="G2537" s="159">
        <v>3</v>
      </c>
      <c r="H2537" s="160">
        <f>VLOOKUP(Sales[[#This Row],[Product ID]],Product[#All],7,0)</f>
        <v>840</v>
      </c>
      <c r="I2537" s="160">
        <f>Sales[[#This Row],[Selling Rate]]*Sales[[#This Row],[Qty]]</f>
        <v>2520</v>
      </c>
      <c r="J2537" s="43">
        <v>0.02</v>
      </c>
      <c r="K2537" s="44">
        <f>Sales[[#This Row],[Gross Amount]]*Sales[[#This Row],[Disc %]]</f>
        <v>50.4</v>
      </c>
      <c r="L2537" s="43">
        <v>0.18</v>
      </c>
      <c r="M2537" s="44">
        <f>(Sales[[#This Row],[Gross Amount]]-Sales[[#This Row],[Disc. Amt.]])*Sales[[#This Row],[GST %]]</f>
        <v>444.52799999999996</v>
      </c>
      <c r="N2537" s="161">
        <f>Sales[[#This Row],[Gross Amount]]-Sales[[#This Row],[Disc. Amt.]]+Sales[[#This Row],[GST Amount]]</f>
        <v>2914.1279999999997</v>
      </c>
      <c r="O2537" s="158" t="s">
        <v>3566</v>
      </c>
      <c r="P2537" s="158" t="s">
        <v>3562</v>
      </c>
      <c r="Q2537" s="160">
        <f>IF(Sales[[#This Row],[Status]]="Cancelled",0,Sales[[#This Row],[Qty]])</f>
        <v>3</v>
      </c>
      <c r="R2537" s="161">
        <f>IF(Sales[[#This Row],[Status]]="Cancelled",0,Sales[[#This Row],[Total Amount]])</f>
        <v>2914.1279999999997</v>
      </c>
      <c r="S2537" s="162">
        <f>SUM(Sales[Net Amount])</f>
        <v>406839287.73200053</v>
      </c>
    </row>
    <row r="2538" spans="1:19" ht="18.75" x14ac:dyDescent="0.25">
      <c r="A2538" s="163" t="s">
        <v>6167</v>
      </c>
      <c r="B2538" s="164">
        <v>45906</v>
      </c>
      <c r="C2538" s="34" t="s">
        <v>804</v>
      </c>
      <c r="D2538" s="53" t="str">
        <f>VLOOKUP(Sales[[#This Row],[Customer ID]],Customer[#All],2,0)</f>
        <v>Amit Gupta</v>
      </c>
      <c r="E2538" s="34" t="s">
        <v>20</v>
      </c>
      <c r="F2538" s="34" t="str">
        <f>VLOOKUP(Sales[[#This Row],[Product ID]],Product[#All],2,0)</f>
        <v>Logitech Keyboard</v>
      </c>
      <c r="G2538" s="53">
        <v>1</v>
      </c>
      <c r="H2538" s="165">
        <f>VLOOKUP(Sales[[#This Row],[Product ID]],Product[#All],7,0)</f>
        <v>3290</v>
      </c>
      <c r="I2538" s="165">
        <f>Sales[[#This Row],[Selling Rate]]*Sales[[#This Row],[Qty]]</f>
        <v>3290</v>
      </c>
      <c r="J2538" s="45">
        <v>0.12</v>
      </c>
      <c r="K2538" s="46">
        <f>Sales[[#This Row],[Gross Amount]]*Sales[[#This Row],[Disc %]]</f>
        <v>394.8</v>
      </c>
      <c r="L2538" s="43">
        <v>0.18</v>
      </c>
      <c r="M2538" s="46">
        <f>(Sales[[#This Row],[Gross Amount]]-Sales[[#This Row],[Disc. Amt.]])*Sales[[#This Row],[GST %]]</f>
        <v>521.13599999999997</v>
      </c>
      <c r="N2538" s="161">
        <f>Sales[[#This Row],[Gross Amount]]-Sales[[#This Row],[Disc. Amt.]]+Sales[[#This Row],[GST Amount]]</f>
        <v>3416.3359999999998</v>
      </c>
      <c r="O2538" s="34" t="s">
        <v>3561</v>
      </c>
      <c r="P2538" s="34" t="s">
        <v>3562</v>
      </c>
      <c r="Q2538" s="165">
        <f>IF(Sales[[#This Row],[Status]]="Cancelled",0,Sales[[#This Row],[Qty]])</f>
        <v>1</v>
      </c>
      <c r="R2538" s="166">
        <f>IF(Sales[[#This Row],[Status]]="Cancelled",0,Sales[[#This Row],[Total Amount]])</f>
        <v>3416.3359999999998</v>
      </c>
      <c r="S2538" s="162">
        <f>SUM(Sales[Net Amount])</f>
        <v>406839287.73200053</v>
      </c>
    </row>
    <row r="2539" spans="1:19" ht="18.75" x14ac:dyDescent="0.25">
      <c r="A2539" s="156" t="s">
        <v>6168</v>
      </c>
      <c r="B2539" s="157">
        <v>45906</v>
      </c>
      <c r="C2539" s="158" t="s">
        <v>689</v>
      </c>
      <c r="D2539" s="159" t="str">
        <f>VLOOKUP(Sales[[#This Row],[Customer ID]],Customer[#All],2,0)</f>
        <v>Sahil Kumar</v>
      </c>
      <c r="E2539" s="158" t="s">
        <v>436</v>
      </c>
      <c r="F2539" s="158" t="str">
        <f>VLOOKUP(Sales[[#This Row],[Product ID]],Product[#All],2,0)</f>
        <v>Amazon Basics Hdmi Cable</v>
      </c>
      <c r="G2539" s="159">
        <v>6</v>
      </c>
      <c r="H2539" s="160">
        <f>VLOOKUP(Sales[[#This Row],[Product ID]],Product[#All],7,0)</f>
        <v>860</v>
      </c>
      <c r="I2539" s="160">
        <f>Sales[[#This Row],[Selling Rate]]*Sales[[#This Row],[Qty]]</f>
        <v>5160</v>
      </c>
      <c r="J2539" s="43">
        <v>0.02</v>
      </c>
      <c r="K2539" s="44">
        <f>Sales[[#This Row],[Gross Amount]]*Sales[[#This Row],[Disc %]]</f>
        <v>103.2</v>
      </c>
      <c r="L2539" s="43">
        <v>0.18</v>
      </c>
      <c r="M2539" s="44">
        <f>(Sales[[#This Row],[Gross Amount]]-Sales[[#This Row],[Disc. Amt.]])*Sales[[#This Row],[GST %]]</f>
        <v>910.22400000000005</v>
      </c>
      <c r="N2539" s="161">
        <f>Sales[[#This Row],[Gross Amount]]-Sales[[#This Row],[Disc. Amt.]]+Sales[[#This Row],[GST Amount]]</f>
        <v>5967.0240000000003</v>
      </c>
      <c r="O2539" s="158" t="s">
        <v>3569</v>
      </c>
      <c r="P2539" s="158" t="s">
        <v>3562</v>
      </c>
      <c r="Q2539" s="160">
        <f>IF(Sales[[#This Row],[Status]]="Cancelled",0,Sales[[#This Row],[Qty]])</f>
        <v>6</v>
      </c>
      <c r="R2539" s="161">
        <f>IF(Sales[[#This Row],[Status]]="Cancelled",0,Sales[[#This Row],[Total Amount]])</f>
        <v>5967.0240000000003</v>
      </c>
      <c r="S2539" s="162">
        <f>SUM(Sales[Net Amount])</f>
        <v>406839287.73200053</v>
      </c>
    </row>
    <row r="2540" spans="1:19" ht="18.75" x14ac:dyDescent="0.25">
      <c r="A2540" s="163" t="s">
        <v>6169</v>
      </c>
      <c r="B2540" s="164">
        <v>45906</v>
      </c>
      <c r="C2540" s="34" t="s">
        <v>894</v>
      </c>
      <c r="D2540" s="53" t="str">
        <f>VLOOKUP(Sales[[#This Row],[Customer ID]],Customer[#All],2,0)</f>
        <v>Sunita Patel</v>
      </c>
      <c r="E2540" s="34" t="s">
        <v>294</v>
      </c>
      <c r="F2540" s="34" t="str">
        <f>VLOOKUP(Sales[[#This Row],[Product ID]],Product[#All],2,0)</f>
        <v>Samsung Monitor</v>
      </c>
      <c r="G2540" s="53">
        <v>2</v>
      </c>
      <c r="H2540" s="165">
        <f>VLOOKUP(Sales[[#This Row],[Product ID]],Product[#All],7,0)</f>
        <v>33870</v>
      </c>
      <c r="I2540" s="165">
        <f>Sales[[#This Row],[Selling Rate]]*Sales[[#This Row],[Qty]]</f>
        <v>67740</v>
      </c>
      <c r="J2540" s="45">
        <v>0.05</v>
      </c>
      <c r="K2540" s="46">
        <f>Sales[[#This Row],[Gross Amount]]*Sales[[#This Row],[Disc %]]</f>
        <v>3387</v>
      </c>
      <c r="L2540" s="43">
        <v>0.18</v>
      </c>
      <c r="M2540" s="46">
        <f>(Sales[[#This Row],[Gross Amount]]-Sales[[#This Row],[Disc. Amt.]])*Sales[[#This Row],[GST %]]</f>
        <v>11583.539999999999</v>
      </c>
      <c r="N2540" s="161">
        <f>Sales[[#This Row],[Gross Amount]]-Sales[[#This Row],[Disc. Amt.]]+Sales[[#This Row],[GST Amount]]</f>
        <v>75936.539999999994</v>
      </c>
      <c r="O2540" s="34" t="s">
        <v>3569</v>
      </c>
      <c r="P2540" s="34" t="s">
        <v>3562</v>
      </c>
      <c r="Q2540" s="165">
        <f>IF(Sales[[#This Row],[Status]]="Cancelled",0,Sales[[#This Row],[Qty]])</f>
        <v>2</v>
      </c>
      <c r="R2540" s="166">
        <f>IF(Sales[[#This Row],[Status]]="Cancelled",0,Sales[[#This Row],[Total Amount]])</f>
        <v>75936.539999999994</v>
      </c>
      <c r="S2540" s="162">
        <f>SUM(Sales[Net Amount])</f>
        <v>406839287.73200053</v>
      </c>
    </row>
    <row r="2541" spans="1:19" ht="18.75" x14ac:dyDescent="0.25">
      <c r="A2541" s="156" t="s">
        <v>6170</v>
      </c>
      <c r="B2541" s="157">
        <v>45906</v>
      </c>
      <c r="C2541" s="158" t="s">
        <v>798</v>
      </c>
      <c r="D2541" s="159" t="str">
        <f>VLOOKUP(Sales[[#This Row],[Customer ID]],Customer[#All],2,0)</f>
        <v>Amit Singh</v>
      </c>
      <c r="E2541" s="158" t="s">
        <v>243</v>
      </c>
      <c r="F2541" s="158" t="str">
        <f>VLOOKUP(Sales[[#This Row],[Product ID]],Product[#All],2,0)</f>
        <v>TP-link Router</v>
      </c>
      <c r="G2541" s="159">
        <v>4</v>
      </c>
      <c r="H2541" s="160">
        <f>VLOOKUP(Sales[[#This Row],[Product ID]],Product[#All],7,0)</f>
        <v>3230</v>
      </c>
      <c r="I2541" s="160">
        <f>Sales[[#This Row],[Selling Rate]]*Sales[[#This Row],[Qty]]</f>
        <v>12920</v>
      </c>
      <c r="J2541" s="43">
        <v>0.12</v>
      </c>
      <c r="K2541" s="44">
        <f>Sales[[#This Row],[Gross Amount]]*Sales[[#This Row],[Disc %]]</f>
        <v>1550.3999999999999</v>
      </c>
      <c r="L2541" s="43">
        <v>0.18</v>
      </c>
      <c r="M2541" s="44">
        <f>(Sales[[#This Row],[Gross Amount]]-Sales[[#This Row],[Disc. Amt.]])*Sales[[#This Row],[GST %]]</f>
        <v>2046.528</v>
      </c>
      <c r="N2541" s="161">
        <f>Sales[[#This Row],[Gross Amount]]-Sales[[#This Row],[Disc. Amt.]]+Sales[[#This Row],[GST Amount]]</f>
        <v>13416.128000000001</v>
      </c>
      <c r="O2541" s="158" t="s">
        <v>3569</v>
      </c>
      <c r="P2541" s="158" t="s">
        <v>3562</v>
      </c>
      <c r="Q2541" s="160">
        <f>IF(Sales[[#This Row],[Status]]="Cancelled",0,Sales[[#This Row],[Qty]])</f>
        <v>4</v>
      </c>
      <c r="R2541" s="161">
        <f>IF(Sales[[#This Row],[Status]]="Cancelled",0,Sales[[#This Row],[Total Amount]])</f>
        <v>13416.128000000001</v>
      </c>
      <c r="S2541" s="162">
        <f>SUM(Sales[Net Amount])</f>
        <v>406839287.73200053</v>
      </c>
    </row>
    <row r="2542" spans="1:19" ht="18.75" x14ac:dyDescent="0.25">
      <c r="A2542" s="163" t="s">
        <v>6171</v>
      </c>
      <c r="B2542" s="164">
        <v>45906</v>
      </c>
      <c r="C2542" s="34" t="s">
        <v>696</v>
      </c>
      <c r="D2542" s="53" t="str">
        <f>VLOOKUP(Sales[[#This Row],[Customer ID]],Customer[#All],2,0)</f>
        <v>Sunita Verma</v>
      </c>
      <c r="E2542" s="34" t="s">
        <v>317</v>
      </c>
      <c r="F2542" s="34" t="str">
        <f>VLOOKUP(Sales[[#This Row],[Product ID]],Product[#All],2,0)</f>
        <v>Amazon Basics Hdmi Cable</v>
      </c>
      <c r="G2542" s="53">
        <v>3</v>
      </c>
      <c r="H2542" s="165">
        <f>VLOOKUP(Sales[[#This Row],[Product ID]],Product[#All],7,0)</f>
        <v>1010</v>
      </c>
      <c r="I2542" s="165">
        <f>Sales[[#This Row],[Selling Rate]]*Sales[[#This Row],[Qty]]</f>
        <v>3030</v>
      </c>
      <c r="J2542" s="45">
        <v>0.15</v>
      </c>
      <c r="K2542" s="46">
        <f>Sales[[#This Row],[Gross Amount]]*Sales[[#This Row],[Disc %]]</f>
        <v>454.5</v>
      </c>
      <c r="L2542" s="43">
        <v>0.18</v>
      </c>
      <c r="M2542" s="46">
        <f>(Sales[[#This Row],[Gross Amount]]-Sales[[#This Row],[Disc. Amt.]])*Sales[[#This Row],[GST %]]</f>
        <v>463.59</v>
      </c>
      <c r="N2542" s="161">
        <f>Sales[[#This Row],[Gross Amount]]-Sales[[#This Row],[Disc. Amt.]]+Sales[[#This Row],[GST Amount]]</f>
        <v>3039.09</v>
      </c>
      <c r="O2542" s="34" t="s">
        <v>3566</v>
      </c>
      <c r="P2542" s="34" t="s">
        <v>1040</v>
      </c>
      <c r="Q2542" s="165">
        <f>IF(Sales[[#This Row],[Status]]="Cancelled",0,Sales[[#This Row],[Qty]])</f>
        <v>0</v>
      </c>
      <c r="R2542" s="166">
        <f>IF(Sales[[#This Row],[Status]]="Cancelled",0,Sales[[#This Row],[Total Amount]])</f>
        <v>0</v>
      </c>
      <c r="S2542" s="162">
        <f>SUM(Sales[Net Amount])</f>
        <v>406839287.73200053</v>
      </c>
    </row>
    <row r="2543" spans="1:19" ht="18.75" x14ac:dyDescent="0.25">
      <c r="A2543" s="156" t="s">
        <v>6172</v>
      </c>
      <c r="B2543" s="157">
        <v>45906</v>
      </c>
      <c r="C2543" s="158" t="s">
        <v>729</v>
      </c>
      <c r="D2543" s="159" t="str">
        <f>VLOOKUP(Sales[[#This Row],[Customer ID]],Customer[#All],2,0)</f>
        <v>Ankit Kumar</v>
      </c>
      <c r="E2543" s="158" t="s">
        <v>43</v>
      </c>
      <c r="F2543" s="158" t="str">
        <f>VLOOKUP(Sales[[#This Row],[Product ID]],Product[#All],2,0)</f>
        <v>Jbl Speaker</v>
      </c>
      <c r="G2543" s="159">
        <v>2</v>
      </c>
      <c r="H2543" s="160">
        <f>VLOOKUP(Sales[[#This Row],[Product ID]],Product[#All],7,0)</f>
        <v>11310</v>
      </c>
      <c r="I2543" s="160">
        <f>Sales[[#This Row],[Selling Rate]]*Sales[[#This Row],[Qty]]</f>
        <v>22620</v>
      </c>
      <c r="J2543" s="43">
        <v>0.02</v>
      </c>
      <c r="K2543" s="44">
        <f>Sales[[#This Row],[Gross Amount]]*Sales[[#This Row],[Disc %]]</f>
        <v>452.40000000000003</v>
      </c>
      <c r="L2543" s="43">
        <v>0.18</v>
      </c>
      <c r="M2543" s="44">
        <f>(Sales[[#This Row],[Gross Amount]]-Sales[[#This Row],[Disc. Amt.]])*Sales[[#This Row],[GST %]]</f>
        <v>3990.1679999999997</v>
      </c>
      <c r="N2543" s="161">
        <f>Sales[[#This Row],[Gross Amount]]-Sales[[#This Row],[Disc. Amt.]]+Sales[[#This Row],[GST Amount]]</f>
        <v>26157.767999999996</v>
      </c>
      <c r="O2543" s="158" t="s">
        <v>3561</v>
      </c>
      <c r="P2543" s="158" t="s">
        <v>3562</v>
      </c>
      <c r="Q2543" s="160">
        <f>IF(Sales[[#This Row],[Status]]="Cancelled",0,Sales[[#This Row],[Qty]])</f>
        <v>2</v>
      </c>
      <c r="R2543" s="161">
        <f>IF(Sales[[#This Row],[Status]]="Cancelled",0,Sales[[#This Row],[Total Amount]])</f>
        <v>26157.767999999996</v>
      </c>
      <c r="S2543" s="162">
        <f>SUM(Sales[Net Amount])</f>
        <v>406839287.73200053</v>
      </c>
    </row>
    <row r="2544" spans="1:19" ht="18.75" x14ac:dyDescent="0.25">
      <c r="A2544" s="163" t="s">
        <v>6173</v>
      </c>
      <c r="B2544" s="164">
        <v>45906</v>
      </c>
      <c r="C2544" s="34" t="s">
        <v>717</v>
      </c>
      <c r="D2544" s="53" t="str">
        <f>VLOOKUP(Sales[[#This Row],[Customer ID]],Customer[#All],2,0)</f>
        <v>Sunita Singh</v>
      </c>
      <c r="E2544" s="34" t="s">
        <v>312</v>
      </c>
      <c r="F2544" s="34" t="str">
        <f>VLOOKUP(Sales[[#This Row],[Product ID]],Product[#All],2,0)</f>
        <v>Dell Desktop</v>
      </c>
      <c r="G2544" s="53">
        <v>3</v>
      </c>
      <c r="H2544" s="165">
        <f>VLOOKUP(Sales[[#This Row],[Product ID]],Product[#All],7,0)</f>
        <v>59050</v>
      </c>
      <c r="I2544" s="165">
        <f>Sales[[#This Row],[Selling Rate]]*Sales[[#This Row],[Qty]]</f>
        <v>177150</v>
      </c>
      <c r="J2544" s="45">
        <v>0</v>
      </c>
      <c r="K2544" s="46">
        <f>Sales[[#This Row],[Gross Amount]]*Sales[[#This Row],[Disc %]]</f>
        <v>0</v>
      </c>
      <c r="L2544" s="43">
        <v>0.18</v>
      </c>
      <c r="M2544" s="46">
        <f>(Sales[[#This Row],[Gross Amount]]-Sales[[#This Row],[Disc. Amt.]])*Sales[[#This Row],[GST %]]</f>
        <v>31887</v>
      </c>
      <c r="N2544" s="161">
        <f>Sales[[#This Row],[Gross Amount]]-Sales[[#This Row],[Disc. Amt.]]+Sales[[#This Row],[GST Amount]]</f>
        <v>209037</v>
      </c>
      <c r="O2544" s="34" t="s">
        <v>8876</v>
      </c>
      <c r="P2544" s="34" t="s">
        <v>3562</v>
      </c>
      <c r="Q2544" s="165">
        <f>IF(Sales[[#This Row],[Status]]="Cancelled",0,Sales[[#This Row],[Qty]])</f>
        <v>3</v>
      </c>
      <c r="R2544" s="166">
        <f>IF(Sales[[#This Row],[Status]]="Cancelled",0,Sales[[#This Row],[Total Amount]])</f>
        <v>209037</v>
      </c>
      <c r="S2544" s="162">
        <f>SUM(Sales[Net Amount])</f>
        <v>406839287.73200053</v>
      </c>
    </row>
    <row r="2545" spans="1:19" ht="18.75" x14ac:dyDescent="0.25">
      <c r="A2545" s="156" t="s">
        <v>6174</v>
      </c>
      <c r="B2545" s="157">
        <v>45906</v>
      </c>
      <c r="C2545" s="158" t="s">
        <v>3615</v>
      </c>
      <c r="D2545" s="159" t="str">
        <f>VLOOKUP(Sales[[#This Row],[Customer ID]],Customer[#All],2,0)</f>
        <v>Sahil Patel</v>
      </c>
      <c r="E2545" s="158" t="s">
        <v>319</v>
      </c>
      <c r="F2545" s="158" t="str">
        <f>VLOOKUP(Sales[[#This Row],[Product ID]],Product[#All],2,0)</f>
        <v>Seagate HDD</v>
      </c>
      <c r="G2545" s="159">
        <v>5</v>
      </c>
      <c r="H2545" s="160">
        <f>VLOOKUP(Sales[[#This Row],[Product ID]],Product[#All],7,0)</f>
        <v>10650</v>
      </c>
      <c r="I2545" s="160">
        <f>Sales[[#This Row],[Selling Rate]]*Sales[[#This Row],[Qty]]</f>
        <v>53250</v>
      </c>
      <c r="J2545" s="43">
        <v>0</v>
      </c>
      <c r="K2545" s="44">
        <f>Sales[[#This Row],[Gross Amount]]*Sales[[#This Row],[Disc %]]</f>
        <v>0</v>
      </c>
      <c r="L2545" s="43">
        <v>0.18</v>
      </c>
      <c r="M2545" s="44">
        <f>(Sales[[#This Row],[Gross Amount]]-Sales[[#This Row],[Disc. Amt.]])*Sales[[#This Row],[GST %]]</f>
        <v>9585</v>
      </c>
      <c r="N2545" s="161">
        <f>Sales[[#This Row],[Gross Amount]]-Sales[[#This Row],[Disc. Amt.]]+Sales[[#This Row],[GST Amount]]</f>
        <v>62835</v>
      </c>
      <c r="O2545" s="158" t="s">
        <v>3566</v>
      </c>
      <c r="P2545" s="158" t="s">
        <v>3562</v>
      </c>
      <c r="Q2545" s="160">
        <f>IF(Sales[[#This Row],[Status]]="Cancelled",0,Sales[[#This Row],[Qty]])</f>
        <v>5</v>
      </c>
      <c r="R2545" s="161">
        <f>IF(Sales[[#This Row],[Status]]="Cancelled",0,Sales[[#This Row],[Total Amount]])</f>
        <v>62835</v>
      </c>
      <c r="S2545" s="162">
        <f>SUM(Sales[Net Amount])</f>
        <v>406839287.73200053</v>
      </c>
    </row>
    <row r="2546" spans="1:19" ht="18.75" x14ac:dyDescent="0.25">
      <c r="A2546" s="163" t="s">
        <v>6175</v>
      </c>
      <c r="B2546" s="164">
        <v>45906</v>
      </c>
      <c r="C2546" s="34" t="s">
        <v>684</v>
      </c>
      <c r="D2546" s="53" t="str">
        <f>VLOOKUP(Sales[[#This Row],[Customer ID]],Customer[#All],2,0)</f>
        <v>Rahul Sharma</v>
      </c>
      <c r="E2546" s="34" t="s">
        <v>454</v>
      </c>
      <c r="F2546" s="34" t="str">
        <f>VLOOKUP(Sales[[#This Row],[Product ID]],Product[#All],2,0)</f>
        <v>Dell Monitor</v>
      </c>
      <c r="G2546" s="53">
        <v>2</v>
      </c>
      <c r="H2546" s="165">
        <f>VLOOKUP(Sales[[#This Row],[Product ID]],Product[#All],7,0)</f>
        <v>16760</v>
      </c>
      <c r="I2546" s="165">
        <f>Sales[[#This Row],[Selling Rate]]*Sales[[#This Row],[Qty]]</f>
        <v>33520</v>
      </c>
      <c r="J2546" s="45">
        <v>0</v>
      </c>
      <c r="K2546" s="46">
        <f>Sales[[#This Row],[Gross Amount]]*Sales[[#This Row],[Disc %]]</f>
        <v>0</v>
      </c>
      <c r="L2546" s="43">
        <v>0.18</v>
      </c>
      <c r="M2546" s="46">
        <f>(Sales[[#This Row],[Gross Amount]]-Sales[[#This Row],[Disc. Amt.]])*Sales[[#This Row],[GST %]]</f>
        <v>6033.5999999999995</v>
      </c>
      <c r="N2546" s="161">
        <f>Sales[[#This Row],[Gross Amount]]-Sales[[#This Row],[Disc. Amt.]]+Sales[[#This Row],[GST Amount]]</f>
        <v>39553.599999999999</v>
      </c>
      <c r="O2546" s="34" t="s">
        <v>8876</v>
      </c>
      <c r="P2546" s="34" t="s">
        <v>3562</v>
      </c>
      <c r="Q2546" s="165">
        <f>IF(Sales[[#This Row],[Status]]="Cancelled",0,Sales[[#This Row],[Qty]])</f>
        <v>2</v>
      </c>
      <c r="R2546" s="166">
        <f>IF(Sales[[#This Row],[Status]]="Cancelled",0,Sales[[#This Row],[Total Amount]])</f>
        <v>39553.599999999999</v>
      </c>
      <c r="S2546" s="162">
        <f>SUM(Sales[Net Amount])</f>
        <v>406839287.73200053</v>
      </c>
    </row>
    <row r="2547" spans="1:19" ht="18.75" x14ac:dyDescent="0.25">
      <c r="A2547" s="156" t="s">
        <v>6176</v>
      </c>
      <c r="B2547" s="157">
        <v>45906</v>
      </c>
      <c r="C2547" s="158" t="s">
        <v>789</v>
      </c>
      <c r="D2547" s="159" t="str">
        <f>VLOOKUP(Sales[[#This Row],[Customer ID]],Customer[#All],2,0)</f>
        <v>Ankit Patel</v>
      </c>
      <c r="E2547" s="158" t="s">
        <v>465</v>
      </c>
      <c r="F2547" s="158" t="str">
        <f>VLOOKUP(Sales[[#This Row],[Product ID]],Product[#All],2,0)</f>
        <v>Logitech Keyboard</v>
      </c>
      <c r="G2547" s="159">
        <v>8</v>
      </c>
      <c r="H2547" s="160">
        <f>VLOOKUP(Sales[[#This Row],[Product ID]],Product[#All],7,0)</f>
        <v>2230</v>
      </c>
      <c r="I2547" s="160">
        <f>Sales[[#This Row],[Selling Rate]]*Sales[[#This Row],[Qty]]</f>
        <v>17840</v>
      </c>
      <c r="J2547" s="43">
        <v>0.05</v>
      </c>
      <c r="K2547" s="44">
        <f>Sales[[#This Row],[Gross Amount]]*Sales[[#This Row],[Disc %]]</f>
        <v>892</v>
      </c>
      <c r="L2547" s="43">
        <v>0.18</v>
      </c>
      <c r="M2547" s="44">
        <f>(Sales[[#This Row],[Gross Amount]]-Sales[[#This Row],[Disc. Amt.]])*Sales[[#This Row],[GST %]]</f>
        <v>3050.64</v>
      </c>
      <c r="N2547" s="161">
        <f>Sales[[#This Row],[Gross Amount]]-Sales[[#This Row],[Disc. Amt.]]+Sales[[#This Row],[GST Amount]]</f>
        <v>19998.64</v>
      </c>
      <c r="O2547" s="158" t="s">
        <v>3566</v>
      </c>
      <c r="P2547" s="158" t="s">
        <v>3562</v>
      </c>
      <c r="Q2547" s="160">
        <f>IF(Sales[[#This Row],[Status]]="Cancelled",0,Sales[[#This Row],[Qty]])</f>
        <v>8</v>
      </c>
      <c r="R2547" s="161">
        <f>IF(Sales[[#This Row],[Status]]="Cancelled",0,Sales[[#This Row],[Total Amount]])</f>
        <v>19998.64</v>
      </c>
      <c r="S2547" s="162">
        <f>SUM(Sales[Net Amount])</f>
        <v>406839287.73200053</v>
      </c>
    </row>
    <row r="2548" spans="1:19" ht="18.75" x14ac:dyDescent="0.25">
      <c r="A2548" s="163" t="s">
        <v>6177</v>
      </c>
      <c r="B2548" s="164">
        <v>45906</v>
      </c>
      <c r="C2548" s="34" t="s">
        <v>772</v>
      </c>
      <c r="D2548" s="53" t="str">
        <f>VLOOKUP(Sales[[#This Row],[Customer ID]],Customer[#All],2,0)</f>
        <v>Rahul Patel</v>
      </c>
      <c r="E2548" s="34" t="s">
        <v>430</v>
      </c>
      <c r="F2548" s="34" t="str">
        <f>VLOOKUP(Sales[[#This Row],[Product ID]],Product[#All],2,0)</f>
        <v>Jbl Speaker</v>
      </c>
      <c r="G2548" s="53">
        <v>8</v>
      </c>
      <c r="H2548" s="165">
        <f>VLOOKUP(Sales[[#This Row],[Product ID]],Product[#All],7,0)</f>
        <v>6890</v>
      </c>
      <c r="I2548" s="165">
        <f>Sales[[#This Row],[Selling Rate]]*Sales[[#This Row],[Qty]]</f>
        <v>55120</v>
      </c>
      <c r="J2548" s="45">
        <v>0.15</v>
      </c>
      <c r="K2548" s="46">
        <f>Sales[[#This Row],[Gross Amount]]*Sales[[#This Row],[Disc %]]</f>
        <v>8268</v>
      </c>
      <c r="L2548" s="43">
        <v>0.18</v>
      </c>
      <c r="M2548" s="46">
        <f>(Sales[[#This Row],[Gross Amount]]-Sales[[#This Row],[Disc. Amt.]])*Sales[[#This Row],[GST %]]</f>
        <v>8433.36</v>
      </c>
      <c r="N2548" s="161">
        <f>Sales[[#This Row],[Gross Amount]]-Sales[[#This Row],[Disc. Amt.]]+Sales[[#This Row],[GST Amount]]</f>
        <v>55285.36</v>
      </c>
      <c r="O2548" s="34" t="s">
        <v>3566</v>
      </c>
      <c r="P2548" s="34" t="s">
        <v>3562</v>
      </c>
      <c r="Q2548" s="165">
        <f>IF(Sales[[#This Row],[Status]]="Cancelled",0,Sales[[#This Row],[Qty]])</f>
        <v>8</v>
      </c>
      <c r="R2548" s="166">
        <f>IF(Sales[[#This Row],[Status]]="Cancelled",0,Sales[[#This Row],[Total Amount]])</f>
        <v>55285.36</v>
      </c>
      <c r="S2548" s="162">
        <f>SUM(Sales[Net Amount])</f>
        <v>406839287.73200053</v>
      </c>
    </row>
    <row r="2549" spans="1:19" ht="18.75" x14ac:dyDescent="0.25">
      <c r="A2549" s="156" t="s">
        <v>6178</v>
      </c>
      <c r="B2549" s="157">
        <v>45906</v>
      </c>
      <c r="C2549" s="158" t="s">
        <v>802</v>
      </c>
      <c r="D2549" s="159" t="str">
        <f>VLOOKUP(Sales[[#This Row],[Customer ID]],Customer[#All],2,0)</f>
        <v>Rakesh Patel</v>
      </c>
      <c r="E2549" s="158" t="s">
        <v>545</v>
      </c>
      <c r="F2549" s="158" t="str">
        <f>VLOOKUP(Sales[[#This Row],[Product ID]],Product[#All],2,0)</f>
        <v>WD HDD</v>
      </c>
      <c r="G2549" s="159">
        <v>2</v>
      </c>
      <c r="H2549" s="160">
        <f>VLOOKUP(Sales[[#This Row],[Product ID]],Product[#All],7,0)</f>
        <v>6720</v>
      </c>
      <c r="I2549" s="160">
        <f>Sales[[#This Row],[Selling Rate]]*Sales[[#This Row],[Qty]]</f>
        <v>13440</v>
      </c>
      <c r="J2549" s="43">
        <v>0.02</v>
      </c>
      <c r="K2549" s="44">
        <f>Sales[[#This Row],[Gross Amount]]*Sales[[#This Row],[Disc %]]</f>
        <v>268.8</v>
      </c>
      <c r="L2549" s="43">
        <v>0.18</v>
      </c>
      <c r="M2549" s="44">
        <f>(Sales[[#This Row],[Gross Amount]]-Sales[[#This Row],[Disc. Amt.]])*Sales[[#This Row],[GST %]]</f>
        <v>2370.8160000000003</v>
      </c>
      <c r="N2549" s="161">
        <f>Sales[[#This Row],[Gross Amount]]-Sales[[#This Row],[Disc. Amt.]]+Sales[[#This Row],[GST Amount]]</f>
        <v>15542.016000000001</v>
      </c>
      <c r="O2549" s="158" t="s">
        <v>8876</v>
      </c>
      <c r="P2549" s="158" t="s">
        <v>3562</v>
      </c>
      <c r="Q2549" s="160">
        <f>IF(Sales[[#This Row],[Status]]="Cancelled",0,Sales[[#This Row],[Qty]])</f>
        <v>2</v>
      </c>
      <c r="R2549" s="161">
        <f>IF(Sales[[#This Row],[Status]]="Cancelled",0,Sales[[#This Row],[Total Amount]])</f>
        <v>15542.016000000001</v>
      </c>
      <c r="S2549" s="162">
        <f>SUM(Sales[Net Amount])</f>
        <v>406839287.73200053</v>
      </c>
    </row>
    <row r="2550" spans="1:19" ht="18.75" x14ac:dyDescent="0.25">
      <c r="A2550" s="163" t="s">
        <v>6179</v>
      </c>
      <c r="B2550" s="164">
        <v>45906</v>
      </c>
      <c r="C2550" s="34" t="s">
        <v>804</v>
      </c>
      <c r="D2550" s="53" t="str">
        <f>VLOOKUP(Sales[[#This Row],[Customer ID]],Customer[#All],2,0)</f>
        <v>Amit Gupta</v>
      </c>
      <c r="E2550" s="34" t="s">
        <v>464</v>
      </c>
      <c r="F2550" s="34" t="str">
        <f>VLOOKUP(Sales[[#This Row],[Product ID]],Product[#All],2,0)</f>
        <v>Lg Monitor</v>
      </c>
      <c r="G2550" s="53">
        <v>2</v>
      </c>
      <c r="H2550" s="165">
        <f>VLOOKUP(Sales[[#This Row],[Product ID]],Product[#All],7,0)</f>
        <v>27140</v>
      </c>
      <c r="I2550" s="165">
        <f>Sales[[#This Row],[Selling Rate]]*Sales[[#This Row],[Qty]]</f>
        <v>54280</v>
      </c>
      <c r="J2550" s="45">
        <v>0.1</v>
      </c>
      <c r="K2550" s="46">
        <f>Sales[[#This Row],[Gross Amount]]*Sales[[#This Row],[Disc %]]</f>
        <v>5428</v>
      </c>
      <c r="L2550" s="43">
        <v>0.18</v>
      </c>
      <c r="M2550" s="46">
        <f>(Sales[[#This Row],[Gross Amount]]-Sales[[#This Row],[Disc. Amt.]])*Sales[[#This Row],[GST %]]</f>
        <v>8793.36</v>
      </c>
      <c r="N2550" s="161">
        <f>Sales[[#This Row],[Gross Amount]]-Sales[[#This Row],[Disc. Amt.]]+Sales[[#This Row],[GST Amount]]</f>
        <v>57645.36</v>
      </c>
      <c r="O2550" s="34" t="s">
        <v>8876</v>
      </c>
      <c r="P2550" s="34" t="s">
        <v>3562</v>
      </c>
      <c r="Q2550" s="165">
        <f>IF(Sales[[#This Row],[Status]]="Cancelled",0,Sales[[#This Row],[Qty]])</f>
        <v>2</v>
      </c>
      <c r="R2550" s="166">
        <f>IF(Sales[[#This Row],[Status]]="Cancelled",0,Sales[[#This Row],[Total Amount]])</f>
        <v>57645.36</v>
      </c>
      <c r="S2550" s="162">
        <f>SUM(Sales[Net Amount])</f>
        <v>406839287.73200053</v>
      </c>
    </row>
    <row r="2551" spans="1:19" ht="18.75" x14ac:dyDescent="0.25">
      <c r="A2551" s="156" t="s">
        <v>6180</v>
      </c>
      <c r="B2551" s="157">
        <v>45906</v>
      </c>
      <c r="C2551" s="158" t="s">
        <v>857</v>
      </c>
      <c r="D2551" s="159" t="str">
        <f>VLOOKUP(Sales[[#This Row],[Customer ID]],Customer[#All],2,0)</f>
        <v>Pooja Singh</v>
      </c>
      <c r="E2551" s="158" t="s">
        <v>390</v>
      </c>
      <c r="F2551" s="158" t="str">
        <f>VLOOKUP(Sales[[#This Row],[Product ID]],Product[#All],2,0)</f>
        <v>TP-link Router</v>
      </c>
      <c r="G2551" s="159">
        <v>3</v>
      </c>
      <c r="H2551" s="160">
        <f>VLOOKUP(Sales[[#This Row],[Product ID]],Product[#All],7,0)</f>
        <v>4620</v>
      </c>
      <c r="I2551" s="160">
        <f>Sales[[#This Row],[Selling Rate]]*Sales[[#This Row],[Qty]]</f>
        <v>13860</v>
      </c>
      <c r="J2551" s="43">
        <v>0.05</v>
      </c>
      <c r="K2551" s="44">
        <f>Sales[[#This Row],[Gross Amount]]*Sales[[#This Row],[Disc %]]</f>
        <v>693</v>
      </c>
      <c r="L2551" s="43">
        <v>0.18</v>
      </c>
      <c r="M2551" s="44">
        <f>(Sales[[#This Row],[Gross Amount]]-Sales[[#This Row],[Disc. Amt.]])*Sales[[#This Row],[GST %]]</f>
        <v>2370.06</v>
      </c>
      <c r="N2551" s="161">
        <f>Sales[[#This Row],[Gross Amount]]-Sales[[#This Row],[Disc. Amt.]]+Sales[[#This Row],[GST Amount]]</f>
        <v>15537.06</v>
      </c>
      <c r="O2551" s="158" t="s">
        <v>3566</v>
      </c>
      <c r="P2551" s="158" t="s">
        <v>3562</v>
      </c>
      <c r="Q2551" s="160">
        <f>IF(Sales[[#This Row],[Status]]="Cancelled",0,Sales[[#This Row],[Qty]])</f>
        <v>3</v>
      </c>
      <c r="R2551" s="161">
        <f>IF(Sales[[#This Row],[Status]]="Cancelled",0,Sales[[#This Row],[Total Amount]])</f>
        <v>15537.06</v>
      </c>
      <c r="S2551" s="162">
        <f>SUM(Sales[Net Amount])</f>
        <v>406839287.73200053</v>
      </c>
    </row>
    <row r="2552" spans="1:19" ht="18.75" x14ac:dyDescent="0.25">
      <c r="A2552" s="163" t="s">
        <v>6181</v>
      </c>
      <c r="B2552" s="164">
        <v>45906</v>
      </c>
      <c r="C2552" s="34" t="s">
        <v>734</v>
      </c>
      <c r="D2552" s="53" t="str">
        <f>VLOOKUP(Sales[[#This Row],[Customer ID]],Customer[#All],2,0)</f>
        <v>Ankit Sharma</v>
      </c>
      <c r="E2552" s="34" t="s">
        <v>367</v>
      </c>
      <c r="F2552" s="34" t="str">
        <f>VLOOKUP(Sales[[#This Row],[Product ID]],Product[#All],2,0)</f>
        <v>Jbl Speaker</v>
      </c>
      <c r="G2552" s="53">
        <v>6</v>
      </c>
      <c r="H2552" s="165">
        <f>VLOOKUP(Sales[[#This Row],[Product ID]],Product[#All],7,0)</f>
        <v>4880</v>
      </c>
      <c r="I2552" s="165">
        <f>Sales[[#This Row],[Selling Rate]]*Sales[[#This Row],[Qty]]</f>
        <v>29280</v>
      </c>
      <c r="J2552" s="45">
        <v>0.05</v>
      </c>
      <c r="K2552" s="46">
        <f>Sales[[#This Row],[Gross Amount]]*Sales[[#This Row],[Disc %]]</f>
        <v>1464</v>
      </c>
      <c r="L2552" s="43">
        <v>0.18</v>
      </c>
      <c r="M2552" s="46">
        <f>(Sales[[#This Row],[Gross Amount]]-Sales[[#This Row],[Disc. Amt.]])*Sales[[#This Row],[GST %]]</f>
        <v>5006.88</v>
      </c>
      <c r="N2552" s="161">
        <f>Sales[[#This Row],[Gross Amount]]-Sales[[#This Row],[Disc. Amt.]]+Sales[[#This Row],[GST Amount]]</f>
        <v>32822.879999999997</v>
      </c>
      <c r="O2552" s="34" t="s">
        <v>8876</v>
      </c>
      <c r="P2552" s="34" t="s">
        <v>3562</v>
      </c>
      <c r="Q2552" s="165">
        <f>IF(Sales[[#This Row],[Status]]="Cancelled",0,Sales[[#This Row],[Qty]])</f>
        <v>6</v>
      </c>
      <c r="R2552" s="166">
        <f>IF(Sales[[#This Row],[Status]]="Cancelled",0,Sales[[#This Row],[Total Amount]])</f>
        <v>32822.879999999997</v>
      </c>
      <c r="S2552" s="162">
        <f>SUM(Sales[Net Amount])</f>
        <v>406839287.73200053</v>
      </c>
    </row>
    <row r="2553" spans="1:19" ht="18.75" x14ac:dyDescent="0.25">
      <c r="A2553" s="156" t="s">
        <v>6182</v>
      </c>
      <c r="B2553" s="157">
        <v>45906</v>
      </c>
      <c r="C2553" s="158" t="s">
        <v>857</v>
      </c>
      <c r="D2553" s="159" t="str">
        <f>VLOOKUP(Sales[[#This Row],[Customer ID]],Customer[#All],2,0)</f>
        <v>Pooja Singh</v>
      </c>
      <c r="E2553" s="158" t="s">
        <v>20</v>
      </c>
      <c r="F2553" s="158" t="str">
        <f>VLOOKUP(Sales[[#This Row],[Product ID]],Product[#All],2,0)</f>
        <v>Logitech Keyboard</v>
      </c>
      <c r="G2553" s="159">
        <v>5</v>
      </c>
      <c r="H2553" s="160">
        <f>VLOOKUP(Sales[[#This Row],[Product ID]],Product[#All],7,0)</f>
        <v>3290</v>
      </c>
      <c r="I2553" s="160">
        <f>Sales[[#This Row],[Selling Rate]]*Sales[[#This Row],[Qty]]</f>
        <v>16450</v>
      </c>
      <c r="J2553" s="43">
        <v>0.1</v>
      </c>
      <c r="K2553" s="44">
        <f>Sales[[#This Row],[Gross Amount]]*Sales[[#This Row],[Disc %]]</f>
        <v>1645</v>
      </c>
      <c r="L2553" s="43">
        <v>0.18</v>
      </c>
      <c r="M2553" s="44">
        <f>(Sales[[#This Row],[Gross Amount]]-Sales[[#This Row],[Disc. Amt.]])*Sales[[#This Row],[GST %]]</f>
        <v>2664.9</v>
      </c>
      <c r="N2553" s="161">
        <f>Sales[[#This Row],[Gross Amount]]-Sales[[#This Row],[Disc. Amt.]]+Sales[[#This Row],[GST Amount]]</f>
        <v>17469.900000000001</v>
      </c>
      <c r="O2553" s="158" t="s">
        <v>3561</v>
      </c>
      <c r="P2553" s="158" t="s">
        <v>3562</v>
      </c>
      <c r="Q2553" s="160">
        <f>IF(Sales[[#This Row],[Status]]="Cancelled",0,Sales[[#This Row],[Qty]])</f>
        <v>5</v>
      </c>
      <c r="R2553" s="161">
        <f>IF(Sales[[#This Row],[Status]]="Cancelled",0,Sales[[#This Row],[Total Amount]])</f>
        <v>17469.900000000001</v>
      </c>
      <c r="S2553" s="162">
        <f>SUM(Sales[Net Amount])</f>
        <v>406839287.73200053</v>
      </c>
    </row>
    <row r="2554" spans="1:19" ht="18.75" x14ac:dyDescent="0.25">
      <c r="A2554" s="163" t="s">
        <v>6183</v>
      </c>
      <c r="B2554" s="164">
        <v>45906</v>
      </c>
      <c r="C2554" s="34" t="s">
        <v>754</v>
      </c>
      <c r="D2554" s="53" t="str">
        <f>VLOOKUP(Sales[[#This Row],[Customer ID]],Customer[#All],2,0)</f>
        <v>Rakesh Gupta</v>
      </c>
      <c r="E2554" s="34" t="s">
        <v>539</v>
      </c>
      <c r="F2554" s="34" t="str">
        <f>VLOOKUP(Sales[[#This Row],[Product ID]],Product[#All],2,0)</f>
        <v>Canon Printer</v>
      </c>
      <c r="G2554" s="53">
        <v>8</v>
      </c>
      <c r="H2554" s="165">
        <f>VLOOKUP(Sales[[#This Row],[Product ID]],Product[#All],7,0)</f>
        <v>25640</v>
      </c>
      <c r="I2554" s="165">
        <f>Sales[[#This Row],[Selling Rate]]*Sales[[#This Row],[Qty]]</f>
        <v>205120</v>
      </c>
      <c r="J2554" s="45">
        <v>0.02</v>
      </c>
      <c r="K2554" s="46">
        <f>Sales[[#This Row],[Gross Amount]]*Sales[[#This Row],[Disc %]]</f>
        <v>4102.3999999999996</v>
      </c>
      <c r="L2554" s="43">
        <v>0.18</v>
      </c>
      <c r="M2554" s="46">
        <f>(Sales[[#This Row],[Gross Amount]]-Sales[[#This Row],[Disc. Amt.]])*Sales[[#This Row],[GST %]]</f>
        <v>36183.167999999998</v>
      </c>
      <c r="N2554" s="161">
        <f>Sales[[#This Row],[Gross Amount]]-Sales[[#This Row],[Disc. Amt.]]+Sales[[#This Row],[GST Amount]]</f>
        <v>237200.76800000001</v>
      </c>
      <c r="O2554" s="34" t="s">
        <v>8876</v>
      </c>
      <c r="P2554" s="34" t="s">
        <v>3562</v>
      </c>
      <c r="Q2554" s="165">
        <f>IF(Sales[[#This Row],[Status]]="Cancelled",0,Sales[[#This Row],[Qty]])</f>
        <v>8</v>
      </c>
      <c r="R2554" s="166">
        <f>IF(Sales[[#This Row],[Status]]="Cancelled",0,Sales[[#This Row],[Total Amount]])</f>
        <v>237200.76800000001</v>
      </c>
      <c r="S2554" s="162">
        <f>SUM(Sales[Net Amount])</f>
        <v>406839287.73200053</v>
      </c>
    </row>
    <row r="2555" spans="1:19" ht="18.75" x14ac:dyDescent="0.25">
      <c r="A2555" s="156" t="s">
        <v>6184</v>
      </c>
      <c r="B2555" s="157">
        <v>45906</v>
      </c>
      <c r="C2555" s="158" t="s">
        <v>950</v>
      </c>
      <c r="D2555" s="159" t="str">
        <f>VLOOKUP(Sales[[#This Row],[Customer ID]],Customer[#All],2,0)</f>
        <v>Sunita Sharma</v>
      </c>
      <c r="E2555" s="158" t="s">
        <v>493</v>
      </c>
      <c r="F2555" s="158" t="str">
        <f>VLOOKUP(Sales[[#This Row],[Product ID]],Product[#All],2,0)</f>
        <v>Logitech Keyboard</v>
      </c>
      <c r="G2555" s="159">
        <v>2</v>
      </c>
      <c r="H2555" s="160">
        <f>VLOOKUP(Sales[[#This Row],[Product ID]],Product[#All],7,0)</f>
        <v>3040</v>
      </c>
      <c r="I2555" s="160">
        <f>Sales[[#This Row],[Selling Rate]]*Sales[[#This Row],[Qty]]</f>
        <v>6080</v>
      </c>
      <c r="J2555" s="43">
        <v>0</v>
      </c>
      <c r="K2555" s="44">
        <f>Sales[[#This Row],[Gross Amount]]*Sales[[#This Row],[Disc %]]</f>
        <v>0</v>
      </c>
      <c r="L2555" s="43">
        <v>0.18</v>
      </c>
      <c r="M2555" s="44">
        <f>(Sales[[#This Row],[Gross Amount]]-Sales[[#This Row],[Disc. Amt.]])*Sales[[#This Row],[GST %]]</f>
        <v>1094.3999999999999</v>
      </c>
      <c r="N2555" s="161">
        <f>Sales[[#This Row],[Gross Amount]]-Sales[[#This Row],[Disc. Amt.]]+Sales[[#This Row],[GST Amount]]</f>
        <v>7174.4</v>
      </c>
      <c r="O2555" s="158" t="s">
        <v>3569</v>
      </c>
      <c r="P2555" s="158" t="s">
        <v>3562</v>
      </c>
      <c r="Q2555" s="160">
        <f>IF(Sales[[#This Row],[Status]]="Cancelled",0,Sales[[#This Row],[Qty]])</f>
        <v>2</v>
      </c>
      <c r="R2555" s="161">
        <f>IF(Sales[[#This Row],[Status]]="Cancelled",0,Sales[[#This Row],[Total Amount]])</f>
        <v>7174.4</v>
      </c>
      <c r="S2555" s="162">
        <f>SUM(Sales[Net Amount])</f>
        <v>406839287.73200053</v>
      </c>
    </row>
    <row r="2556" spans="1:19" ht="18.75" x14ac:dyDescent="0.25">
      <c r="A2556" s="163" t="s">
        <v>6185</v>
      </c>
      <c r="B2556" s="164">
        <v>45907</v>
      </c>
      <c r="C2556" s="34" t="s">
        <v>925</v>
      </c>
      <c r="D2556" s="53" t="str">
        <f>VLOOKUP(Sales[[#This Row],[Customer ID]],Customer[#All],2,0)</f>
        <v>Neha Singh</v>
      </c>
      <c r="E2556" s="34" t="s">
        <v>468</v>
      </c>
      <c r="F2556" s="34" t="str">
        <f>VLOOKUP(Sales[[#This Row],[Product ID]],Product[#All],2,0)</f>
        <v>Dell Laptop</v>
      </c>
      <c r="G2556" s="53">
        <v>2</v>
      </c>
      <c r="H2556" s="165">
        <f>VLOOKUP(Sales[[#This Row],[Product ID]],Product[#All],7,0)</f>
        <v>93200</v>
      </c>
      <c r="I2556" s="165">
        <f>Sales[[#This Row],[Selling Rate]]*Sales[[#This Row],[Qty]]</f>
        <v>186400</v>
      </c>
      <c r="J2556" s="45">
        <v>0.12</v>
      </c>
      <c r="K2556" s="46">
        <f>Sales[[#This Row],[Gross Amount]]*Sales[[#This Row],[Disc %]]</f>
        <v>22368</v>
      </c>
      <c r="L2556" s="43">
        <v>0.18</v>
      </c>
      <c r="M2556" s="46">
        <f>(Sales[[#This Row],[Gross Amount]]-Sales[[#This Row],[Disc. Amt.]])*Sales[[#This Row],[GST %]]</f>
        <v>29525.759999999998</v>
      </c>
      <c r="N2556" s="161">
        <f>Sales[[#This Row],[Gross Amount]]-Sales[[#This Row],[Disc. Amt.]]+Sales[[#This Row],[GST Amount]]</f>
        <v>193557.76000000001</v>
      </c>
      <c r="O2556" s="34" t="s">
        <v>8876</v>
      </c>
      <c r="P2556" s="34" t="s">
        <v>3562</v>
      </c>
      <c r="Q2556" s="165">
        <f>IF(Sales[[#This Row],[Status]]="Cancelled",0,Sales[[#This Row],[Qty]])</f>
        <v>2</v>
      </c>
      <c r="R2556" s="166">
        <f>IF(Sales[[#This Row],[Status]]="Cancelled",0,Sales[[#This Row],[Total Amount]])</f>
        <v>193557.76000000001</v>
      </c>
      <c r="S2556" s="162">
        <f>SUM(Sales[Net Amount])</f>
        <v>406839287.73200053</v>
      </c>
    </row>
    <row r="2557" spans="1:19" ht="18.75" x14ac:dyDescent="0.25">
      <c r="A2557" s="156" t="s">
        <v>6186</v>
      </c>
      <c r="B2557" s="157">
        <v>45907</v>
      </c>
      <c r="C2557" s="158" t="s">
        <v>727</v>
      </c>
      <c r="D2557" s="159" t="str">
        <f>VLOOKUP(Sales[[#This Row],[Customer ID]],Customer[#All],2,0)</f>
        <v>Sahil Sharma</v>
      </c>
      <c r="E2557" s="158" t="s">
        <v>173</v>
      </c>
      <c r="F2557" s="158" t="str">
        <f>VLOOKUP(Sales[[#This Row],[Product ID]],Product[#All],2,0)</f>
        <v>HP Desktop</v>
      </c>
      <c r="G2557" s="159">
        <v>4</v>
      </c>
      <c r="H2557" s="160">
        <f>VLOOKUP(Sales[[#This Row],[Product ID]],Product[#All],7,0)</f>
        <v>69180</v>
      </c>
      <c r="I2557" s="160">
        <f>Sales[[#This Row],[Selling Rate]]*Sales[[#This Row],[Qty]]</f>
        <v>276720</v>
      </c>
      <c r="J2557" s="43">
        <v>0.15</v>
      </c>
      <c r="K2557" s="44">
        <f>Sales[[#This Row],[Gross Amount]]*Sales[[#This Row],[Disc %]]</f>
        <v>41508</v>
      </c>
      <c r="L2557" s="43">
        <v>0.18</v>
      </c>
      <c r="M2557" s="44">
        <f>(Sales[[#This Row],[Gross Amount]]-Sales[[#This Row],[Disc. Amt.]])*Sales[[#This Row],[GST %]]</f>
        <v>42338.159999999996</v>
      </c>
      <c r="N2557" s="161">
        <f>Sales[[#This Row],[Gross Amount]]-Sales[[#This Row],[Disc. Amt.]]+Sales[[#This Row],[GST Amount]]</f>
        <v>277550.15999999997</v>
      </c>
      <c r="O2557" s="158" t="s">
        <v>3566</v>
      </c>
      <c r="P2557" s="158" t="s">
        <v>3562</v>
      </c>
      <c r="Q2557" s="160">
        <f>IF(Sales[[#This Row],[Status]]="Cancelled",0,Sales[[#This Row],[Qty]])</f>
        <v>4</v>
      </c>
      <c r="R2557" s="161">
        <f>IF(Sales[[#This Row],[Status]]="Cancelled",0,Sales[[#This Row],[Total Amount]])</f>
        <v>277550.15999999997</v>
      </c>
      <c r="S2557" s="162">
        <f>SUM(Sales[Net Amount])</f>
        <v>406839287.73200053</v>
      </c>
    </row>
    <row r="2558" spans="1:19" ht="18.75" x14ac:dyDescent="0.25">
      <c r="A2558" s="163" t="s">
        <v>6187</v>
      </c>
      <c r="B2558" s="164">
        <v>45907</v>
      </c>
      <c r="C2558" s="34" t="s">
        <v>754</v>
      </c>
      <c r="D2558" s="53" t="str">
        <f>VLOOKUP(Sales[[#This Row],[Customer ID]],Customer[#All],2,0)</f>
        <v>Rakesh Gupta</v>
      </c>
      <c r="E2558" s="34" t="s">
        <v>323</v>
      </c>
      <c r="F2558" s="34" t="str">
        <f>VLOOKUP(Sales[[#This Row],[Product ID]],Product[#All],2,0)</f>
        <v>Dell Desktop</v>
      </c>
      <c r="G2558" s="53">
        <v>3</v>
      </c>
      <c r="H2558" s="165">
        <f>VLOOKUP(Sales[[#This Row],[Product ID]],Product[#All],7,0)</f>
        <v>45070</v>
      </c>
      <c r="I2558" s="165">
        <f>Sales[[#This Row],[Selling Rate]]*Sales[[#This Row],[Qty]]</f>
        <v>135210</v>
      </c>
      <c r="J2558" s="45">
        <v>0.1</v>
      </c>
      <c r="K2558" s="46">
        <f>Sales[[#This Row],[Gross Amount]]*Sales[[#This Row],[Disc %]]</f>
        <v>13521</v>
      </c>
      <c r="L2558" s="43">
        <v>0.18</v>
      </c>
      <c r="M2558" s="46">
        <f>(Sales[[#This Row],[Gross Amount]]-Sales[[#This Row],[Disc. Amt.]])*Sales[[#This Row],[GST %]]</f>
        <v>21904.02</v>
      </c>
      <c r="N2558" s="161">
        <f>Sales[[#This Row],[Gross Amount]]-Sales[[#This Row],[Disc. Amt.]]+Sales[[#This Row],[GST Amount]]</f>
        <v>143593.01999999999</v>
      </c>
      <c r="O2558" s="34" t="s">
        <v>8876</v>
      </c>
      <c r="P2558" s="34" t="s">
        <v>3562</v>
      </c>
      <c r="Q2558" s="165">
        <f>IF(Sales[[#This Row],[Status]]="Cancelled",0,Sales[[#This Row],[Qty]])</f>
        <v>3</v>
      </c>
      <c r="R2558" s="166">
        <f>IF(Sales[[#This Row],[Status]]="Cancelled",0,Sales[[#This Row],[Total Amount]])</f>
        <v>143593.01999999999</v>
      </c>
      <c r="S2558" s="162">
        <f>SUM(Sales[Net Amount])</f>
        <v>406839287.73200053</v>
      </c>
    </row>
    <row r="2559" spans="1:19" ht="18.75" x14ac:dyDescent="0.25">
      <c r="A2559" s="156" t="s">
        <v>6188</v>
      </c>
      <c r="B2559" s="157">
        <v>45907</v>
      </c>
      <c r="C2559" s="158" t="s">
        <v>918</v>
      </c>
      <c r="D2559" s="159" t="str">
        <f>VLOOKUP(Sales[[#This Row],[Customer ID]],Customer[#All],2,0)</f>
        <v>Pooja Patel</v>
      </c>
      <c r="E2559" s="158" t="s">
        <v>116</v>
      </c>
      <c r="F2559" s="158" t="str">
        <f>VLOOKUP(Sales[[#This Row],[Product ID]],Product[#All],2,0)</f>
        <v>Epson Printer</v>
      </c>
      <c r="G2559" s="159">
        <v>3</v>
      </c>
      <c r="H2559" s="160">
        <f>VLOOKUP(Sales[[#This Row],[Product ID]],Product[#All],7,0)</f>
        <v>38550</v>
      </c>
      <c r="I2559" s="160">
        <f>Sales[[#This Row],[Selling Rate]]*Sales[[#This Row],[Qty]]</f>
        <v>115650</v>
      </c>
      <c r="J2559" s="43">
        <v>0</v>
      </c>
      <c r="K2559" s="44">
        <f>Sales[[#This Row],[Gross Amount]]*Sales[[#This Row],[Disc %]]</f>
        <v>0</v>
      </c>
      <c r="L2559" s="43">
        <v>0.18</v>
      </c>
      <c r="M2559" s="44">
        <f>(Sales[[#This Row],[Gross Amount]]-Sales[[#This Row],[Disc. Amt.]])*Sales[[#This Row],[GST %]]</f>
        <v>20817</v>
      </c>
      <c r="N2559" s="161">
        <f>Sales[[#This Row],[Gross Amount]]-Sales[[#This Row],[Disc. Amt.]]+Sales[[#This Row],[GST Amount]]</f>
        <v>136467</v>
      </c>
      <c r="O2559" s="158" t="s">
        <v>8876</v>
      </c>
      <c r="P2559" s="158" t="s">
        <v>3562</v>
      </c>
      <c r="Q2559" s="160">
        <f>IF(Sales[[#This Row],[Status]]="Cancelled",0,Sales[[#This Row],[Qty]])</f>
        <v>3</v>
      </c>
      <c r="R2559" s="161">
        <f>IF(Sales[[#This Row],[Status]]="Cancelled",0,Sales[[#This Row],[Total Amount]])</f>
        <v>136467</v>
      </c>
      <c r="S2559" s="162">
        <f>SUM(Sales[Net Amount])</f>
        <v>406839287.73200053</v>
      </c>
    </row>
    <row r="2560" spans="1:19" ht="18.75" x14ac:dyDescent="0.25">
      <c r="A2560" s="163" t="s">
        <v>6189</v>
      </c>
      <c r="B2560" s="164">
        <v>45907</v>
      </c>
      <c r="C2560" s="34" t="s">
        <v>689</v>
      </c>
      <c r="D2560" s="53" t="str">
        <f>VLOOKUP(Sales[[#This Row],[Customer ID]],Customer[#All],2,0)</f>
        <v>Sahil Kumar</v>
      </c>
      <c r="E2560" s="34" t="s">
        <v>324</v>
      </c>
      <c r="F2560" s="34" t="str">
        <f>VLOOKUP(Sales[[#This Row],[Product ID]],Product[#All],2,0)</f>
        <v>Sandisk Pen Drive</v>
      </c>
      <c r="G2560" s="53">
        <v>3</v>
      </c>
      <c r="H2560" s="165">
        <f>VLOOKUP(Sales[[#This Row],[Product ID]],Product[#All],7,0)</f>
        <v>4150</v>
      </c>
      <c r="I2560" s="165">
        <f>Sales[[#This Row],[Selling Rate]]*Sales[[#This Row],[Qty]]</f>
        <v>12450</v>
      </c>
      <c r="J2560" s="45">
        <v>0.15</v>
      </c>
      <c r="K2560" s="46">
        <f>Sales[[#This Row],[Gross Amount]]*Sales[[#This Row],[Disc %]]</f>
        <v>1867.5</v>
      </c>
      <c r="L2560" s="43">
        <v>0.18</v>
      </c>
      <c r="M2560" s="46">
        <f>(Sales[[#This Row],[Gross Amount]]-Sales[[#This Row],[Disc. Amt.]])*Sales[[#This Row],[GST %]]</f>
        <v>1904.85</v>
      </c>
      <c r="N2560" s="161">
        <f>Sales[[#This Row],[Gross Amount]]-Sales[[#This Row],[Disc. Amt.]]+Sales[[#This Row],[GST Amount]]</f>
        <v>12487.35</v>
      </c>
      <c r="O2560" s="34" t="s">
        <v>3561</v>
      </c>
      <c r="P2560" s="34" t="s">
        <v>3562</v>
      </c>
      <c r="Q2560" s="165">
        <f>IF(Sales[[#This Row],[Status]]="Cancelled",0,Sales[[#This Row],[Qty]])</f>
        <v>3</v>
      </c>
      <c r="R2560" s="166">
        <f>IF(Sales[[#This Row],[Status]]="Cancelled",0,Sales[[#This Row],[Total Amount]])</f>
        <v>12487.35</v>
      </c>
      <c r="S2560" s="162">
        <f>SUM(Sales[Net Amount])</f>
        <v>406839287.73200053</v>
      </c>
    </row>
    <row r="2561" spans="1:19" ht="18.75" x14ac:dyDescent="0.25">
      <c r="A2561" s="156" t="s">
        <v>6190</v>
      </c>
      <c r="B2561" s="157">
        <v>45907</v>
      </c>
      <c r="C2561" s="158" t="s">
        <v>6191</v>
      </c>
      <c r="D2561" s="159" t="str">
        <f>VLOOKUP(Sales[[#This Row],[Customer ID]],Customer[#All],2,0)</f>
        <v>Amit Gupta</v>
      </c>
      <c r="E2561" s="158" t="s">
        <v>166</v>
      </c>
      <c r="F2561" s="158" t="str">
        <f>VLOOKUP(Sales[[#This Row],[Product ID]],Product[#All],2,0)</f>
        <v>Canon Printer</v>
      </c>
      <c r="G2561" s="159">
        <v>8</v>
      </c>
      <c r="H2561" s="160">
        <f>VLOOKUP(Sales[[#This Row],[Product ID]],Product[#All],7,0)</f>
        <v>36680</v>
      </c>
      <c r="I2561" s="160">
        <f>Sales[[#This Row],[Selling Rate]]*Sales[[#This Row],[Qty]]</f>
        <v>293440</v>
      </c>
      <c r="J2561" s="43">
        <v>0</v>
      </c>
      <c r="K2561" s="44">
        <f>Sales[[#This Row],[Gross Amount]]*Sales[[#This Row],[Disc %]]</f>
        <v>0</v>
      </c>
      <c r="L2561" s="43">
        <v>0.18</v>
      </c>
      <c r="M2561" s="44">
        <f>(Sales[[#This Row],[Gross Amount]]-Sales[[#This Row],[Disc. Amt.]])*Sales[[#This Row],[GST %]]</f>
        <v>52819.199999999997</v>
      </c>
      <c r="N2561" s="161">
        <f>Sales[[#This Row],[Gross Amount]]-Sales[[#This Row],[Disc. Amt.]]+Sales[[#This Row],[GST Amount]]</f>
        <v>346259.20000000001</v>
      </c>
      <c r="O2561" s="158" t="s">
        <v>3561</v>
      </c>
      <c r="P2561" s="158" t="s">
        <v>3562</v>
      </c>
      <c r="Q2561" s="160">
        <f>IF(Sales[[#This Row],[Status]]="Cancelled",0,Sales[[#This Row],[Qty]])</f>
        <v>8</v>
      </c>
      <c r="R2561" s="161">
        <f>IF(Sales[[#This Row],[Status]]="Cancelled",0,Sales[[#This Row],[Total Amount]])</f>
        <v>346259.20000000001</v>
      </c>
      <c r="S2561" s="162">
        <f>SUM(Sales[Net Amount])</f>
        <v>406839287.73200053</v>
      </c>
    </row>
    <row r="2562" spans="1:19" ht="18.75" x14ac:dyDescent="0.25">
      <c r="A2562" s="163" t="s">
        <v>6192</v>
      </c>
      <c r="B2562" s="164">
        <v>45907</v>
      </c>
      <c r="C2562" s="34" t="s">
        <v>718</v>
      </c>
      <c r="D2562" s="53" t="str">
        <f>VLOOKUP(Sales[[#This Row],[Customer ID]],Customer[#All],2,0)</f>
        <v>Rakesh Patel</v>
      </c>
      <c r="E2562" s="34" t="s">
        <v>430</v>
      </c>
      <c r="F2562" s="34" t="str">
        <f>VLOOKUP(Sales[[#This Row],[Product ID]],Product[#All],2,0)</f>
        <v>Jbl Speaker</v>
      </c>
      <c r="G2562" s="53">
        <v>7</v>
      </c>
      <c r="H2562" s="165">
        <f>VLOOKUP(Sales[[#This Row],[Product ID]],Product[#All],7,0)</f>
        <v>6890</v>
      </c>
      <c r="I2562" s="165">
        <f>Sales[[#This Row],[Selling Rate]]*Sales[[#This Row],[Qty]]</f>
        <v>48230</v>
      </c>
      <c r="J2562" s="45">
        <v>0.02</v>
      </c>
      <c r="K2562" s="46">
        <f>Sales[[#This Row],[Gross Amount]]*Sales[[#This Row],[Disc %]]</f>
        <v>964.6</v>
      </c>
      <c r="L2562" s="43">
        <v>0.18</v>
      </c>
      <c r="M2562" s="46">
        <f>(Sales[[#This Row],[Gross Amount]]-Sales[[#This Row],[Disc. Amt.]])*Sales[[#This Row],[GST %]]</f>
        <v>8507.7720000000008</v>
      </c>
      <c r="N2562" s="161">
        <f>Sales[[#This Row],[Gross Amount]]-Sales[[#This Row],[Disc. Amt.]]+Sales[[#This Row],[GST Amount]]</f>
        <v>55773.172000000006</v>
      </c>
      <c r="O2562" s="34" t="s">
        <v>3569</v>
      </c>
      <c r="P2562" s="34" t="s">
        <v>3562</v>
      </c>
      <c r="Q2562" s="165">
        <f>IF(Sales[[#This Row],[Status]]="Cancelled",0,Sales[[#This Row],[Qty]])</f>
        <v>7</v>
      </c>
      <c r="R2562" s="166">
        <f>IF(Sales[[#This Row],[Status]]="Cancelled",0,Sales[[#This Row],[Total Amount]])</f>
        <v>55773.172000000006</v>
      </c>
      <c r="S2562" s="162">
        <f>SUM(Sales[Net Amount])</f>
        <v>406839287.73200053</v>
      </c>
    </row>
    <row r="2563" spans="1:19" ht="18.75" x14ac:dyDescent="0.25">
      <c r="A2563" s="156" t="s">
        <v>6193</v>
      </c>
      <c r="B2563" s="157">
        <v>45907</v>
      </c>
      <c r="C2563" s="158" t="s">
        <v>837</v>
      </c>
      <c r="D2563" s="159" t="str">
        <f>VLOOKUP(Sales[[#This Row],[Customer ID]],Customer[#All],2,0)</f>
        <v>Sahil Patel</v>
      </c>
      <c r="E2563" s="158" t="s">
        <v>533</v>
      </c>
      <c r="F2563" s="158" t="str">
        <f>VLOOKUP(Sales[[#This Row],[Product ID]],Product[#All],2,0)</f>
        <v>HP Desktop</v>
      </c>
      <c r="G2563" s="159">
        <v>2</v>
      </c>
      <c r="H2563" s="160">
        <f>VLOOKUP(Sales[[#This Row],[Product ID]],Product[#All],7,0)</f>
        <v>72430</v>
      </c>
      <c r="I2563" s="160">
        <f>Sales[[#This Row],[Selling Rate]]*Sales[[#This Row],[Qty]]</f>
        <v>144860</v>
      </c>
      <c r="J2563" s="43">
        <v>0.05</v>
      </c>
      <c r="K2563" s="44">
        <f>Sales[[#This Row],[Gross Amount]]*Sales[[#This Row],[Disc %]]</f>
        <v>7243</v>
      </c>
      <c r="L2563" s="43">
        <v>0.18</v>
      </c>
      <c r="M2563" s="44">
        <f>(Sales[[#This Row],[Gross Amount]]-Sales[[#This Row],[Disc. Amt.]])*Sales[[#This Row],[GST %]]</f>
        <v>24771.059999999998</v>
      </c>
      <c r="N2563" s="161">
        <f>Sales[[#This Row],[Gross Amount]]-Sales[[#This Row],[Disc. Amt.]]+Sales[[#This Row],[GST Amount]]</f>
        <v>162388.06</v>
      </c>
      <c r="O2563" s="158" t="s">
        <v>3569</v>
      </c>
      <c r="P2563" s="158" t="s">
        <v>3562</v>
      </c>
      <c r="Q2563" s="160">
        <f>IF(Sales[[#This Row],[Status]]="Cancelled",0,Sales[[#This Row],[Qty]])</f>
        <v>2</v>
      </c>
      <c r="R2563" s="161">
        <f>IF(Sales[[#This Row],[Status]]="Cancelled",0,Sales[[#This Row],[Total Amount]])</f>
        <v>162388.06</v>
      </c>
      <c r="S2563" s="162">
        <f>SUM(Sales[Net Amount])</f>
        <v>406839287.73200053</v>
      </c>
    </row>
    <row r="2564" spans="1:19" ht="18.75" x14ac:dyDescent="0.25">
      <c r="A2564" s="163" t="s">
        <v>6194</v>
      </c>
      <c r="B2564" s="164">
        <v>45907</v>
      </c>
      <c r="C2564" s="34" t="s">
        <v>776</v>
      </c>
      <c r="D2564" s="53" t="str">
        <f>VLOOKUP(Sales[[#This Row],[Customer ID]],Customer[#All],2,0)</f>
        <v>Sunita Singh</v>
      </c>
      <c r="E2564" s="34" t="s">
        <v>299</v>
      </c>
      <c r="F2564" s="34" t="str">
        <f>VLOOKUP(Sales[[#This Row],[Product ID]],Product[#All],2,0)</f>
        <v>HP Printer</v>
      </c>
      <c r="G2564" s="53">
        <v>2</v>
      </c>
      <c r="H2564" s="165">
        <f>VLOOKUP(Sales[[#This Row],[Product ID]],Product[#All],7,0)</f>
        <v>15800</v>
      </c>
      <c r="I2564" s="165">
        <f>Sales[[#This Row],[Selling Rate]]*Sales[[#This Row],[Qty]]</f>
        <v>31600</v>
      </c>
      <c r="J2564" s="45">
        <v>0.05</v>
      </c>
      <c r="K2564" s="46">
        <f>Sales[[#This Row],[Gross Amount]]*Sales[[#This Row],[Disc %]]</f>
        <v>1580</v>
      </c>
      <c r="L2564" s="43">
        <v>0.18</v>
      </c>
      <c r="M2564" s="46">
        <f>(Sales[[#This Row],[Gross Amount]]-Sales[[#This Row],[Disc. Amt.]])*Sales[[#This Row],[GST %]]</f>
        <v>5403.5999999999995</v>
      </c>
      <c r="N2564" s="161">
        <f>Sales[[#This Row],[Gross Amount]]-Sales[[#This Row],[Disc. Amt.]]+Sales[[#This Row],[GST Amount]]</f>
        <v>35423.599999999999</v>
      </c>
      <c r="O2564" s="34" t="s">
        <v>8876</v>
      </c>
      <c r="P2564" s="34" t="s">
        <v>3562</v>
      </c>
      <c r="Q2564" s="165">
        <f>IF(Sales[[#This Row],[Status]]="Cancelled",0,Sales[[#This Row],[Qty]])</f>
        <v>2</v>
      </c>
      <c r="R2564" s="166">
        <f>IF(Sales[[#This Row],[Status]]="Cancelled",0,Sales[[#This Row],[Total Amount]])</f>
        <v>35423.599999999999</v>
      </c>
      <c r="S2564" s="162">
        <f>SUM(Sales[Net Amount])</f>
        <v>406839287.73200053</v>
      </c>
    </row>
    <row r="2565" spans="1:19" ht="18.75" x14ac:dyDescent="0.25">
      <c r="A2565" s="156" t="s">
        <v>6195</v>
      </c>
      <c r="B2565" s="157">
        <v>45907</v>
      </c>
      <c r="C2565" s="158" t="s">
        <v>757</v>
      </c>
      <c r="D2565" s="159" t="str">
        <f>VLOOKUP(Sales[[#This Row],[Customer ID]],Customer[#All],2,0)</f>
        <v>Amit Singh</v>
      </c>
      <c r="E2565" s="158" t="s">
        <v>123</v>
      </c>
      <c r="F2565" s="158" t="str">
        <f>VLOOKUP(Sales[[#This Row],[Product ID]],Product[#All],2,0)</f>
        <v>HP Mouse</v>
      </c>
      <c r="G2565" s="159">
        <v>4</v>
      </c>
      <c r="H2565" s="160">
        <f>VLOOKUP(Sales[[#This Row],[Product ID]],Product[#All],7,0)</f>
        <v>2480</v>
      </c>
      <c r="I2565" s="160">
        <f>Sales[[#This Row],[Selling Rate]]*Sales[[#This Row],[Qty]]</f>
        <v>9920</v>
      </c>
      <c r="J2565" s="43">
        <v>0</v>
      </c>
      <c r="K2565" s="44">
        <f>Sales[[#This Row],[Gross Amount]]*Sales[[#This Row],[Disc %]]</f>
        <v>0</v>
      </c>
      <c r="L2565" s="43">
        <v>0.18</v>
      </c>
      <c r="M2565" s="44">
        <f>(Sales[[#This Row],[Gross Amount]]-Sales[[#This Row],[Disc. Amt.]])*Sales[[#This Row],[GST %]]</f>
        <v>1785.6</v>
      </c>
      <c r="N2565" s="161">
        <f>Sales[[#This Row],[Gross Amount]]-Sales[[#This Row],[Disc. Amt.]]+Sales[[#This Row],[GST Amount]]</f>
        <v>11705.6</v>
      </c>
      <c r="O2565" s="158" t="s">
        <v>3566</v>
      </c>
      <c r="P2565" s="158" t="s">
        <v>3562</v>
      </c>
      <c r="Q2565" s="160">
        <f>IF(Sales[[#This Row],[Status]]="Cancelled",0,Sales[[#This Row],[Qty]])</f>
        <v>4</v>
      </c>
      <c r="R2565" s="161">
        <f>IF(Sales[[#This Row],[Status]]="Cancelled",0,Sales[[#This Row],[Total Amount]])</f>
        <v>11705.6</v>
      </c>
      <c r="S2565" s="162">
        <f>SUM(Sales[Net Amount])</f>
        <v>406839287.73200053</v>
      </c>
    </row>
    <row r="2566" spans="1:19" ht="18.75" x14ac:dyDescent="0.25">
      <c r="A2566" s="163" t="s">
        <v>6196</v>
      </c>
      <c r="B2566" s="164">
        <v>45907</v>
      </c>
      <c r="C2566" s="34" t="s">
        <v>919</v>
      </c>
      <c r="D2566" s="53" t="str">
        <f>VLOOKUP(Sales[[#This Row],[Customer ID]],Customer[#All],2,0)</f>
        <v>Pooja Patel</v>
      </c>
      <c r="E2566" s="34" t="s">
        <v>509</v>
      </c>
      <c r="F2566" s="34" t="str">
        <f>VLOOKUP(Sales[[#This Row],[Product ID]],Product[#All],2,0)</f>
        <v>D-Link Router</v>
      </c>
      <c r="G2566" s="53">
        <v>5</v>
      </c>
      <c r="H2566" s="165">
        <f>VLOOKUP(Sales[[#This Row],[Product ID]],Product[#All],7,0)</f>
        <v>3460</v>
      </c>
      <c r="I2566" s="165">
        <f>Sales[[#This Row],[Selling Rate]]*Sales[[#This Row],[Qty]]</f>
        <v>17300</v>
      </c>
      <c r="J2566" s="45">
        <v>0.12</v>
      </c>
      <c r="K2566" s="46">
        <f>Sales[[#This Row],[Gross Amount]]*Sales[[#This Row],[Disc %]]</f>
        <v>2076</v>
      </c>
      <c r="L2566" s="43">
        <v>0.18</v>
      </c>
      <c r="M2566" s="46">
        <f>(Sales[[#This Row],[Gross Amount]]-Sales[[#This Row],[Disc. Amt.]])*Sales[[#This Row],[GST %]]</f>
        <v>2740.3199999999997</v>
      </c>
      <c r="N2566" s="161">
        <f>Sales[[#This Row],[Gross Amount]]-Sales[[#This Row],[Disc. Amt.]]+Sales[[#This Row],[GST Amount]]</f>
        <v>17964.32</v>
      </c>
      <c r="O2566" s="34" t="s">
        <v>3561</v>
      </c>
      <c r="P2566" s="34" t="s">
        <v>3562</v>
      </c>
      <c r="Q2566" s="165">
        <f>IF(Sales[[#This Row],[Status]]="Cancelled",0,Sales[[#This Row],[Qty]])</f>
        <v>5</v>
      </c>
      <c r="R2566" s="166">
        <f>IF(Sales[[#This Row],[Status]]="Cancelled",0,Sales[[#This Row],[Total Amount]])</f>
        <v>17964.32</v>
      </c>
      <c r="S2566" s="162">
        <f>SUM(Sales[Net Amount])</f>
        <v>406839287.73200053</v>
      </c>
    </row>
    <row r="2567" spans="1:19" ht="18.75" x14ac:dyDescent="0.25">
      <c r="A2567" s="156" t="s">
        <v>6197</v>
      </c>
      <c r="B2567" s="157">
        <v>45907</v>
      </c>
      <c r="C2567" s="158" t="s">
        <v>909</v>
      </c>
      <c r="D2567" s="159" t="str">
        <f>VLOOKUP(Sales[[#This Row],[Customer ID]],Customer[#All],2,0)</f>
        <v>Priya Sharma</v>
      </c>
      <c r="E2567" s="158" t="s">
        <v>127</v>
      </c>
      <c r="F2567" s="158" t="str">
        <f>VLOOKUP(Sales[[#This Row],[Product ID]],Product[#All],2,0)</f>
        <v>Samsung Ssd</v>
      </c>
      <c r="G2567" s="159">
        <v>1</v>
      </c>
      <c r="H2567" s="160">
        <f>VLOOKUP(Sales[[#This Row],[Product ID]],Product[#All],7,0)</f>
        <v>4570</v>
      </c>
      <c r="I2567" s="160">
        <f>Sales[[#This Row],[Selling Rate]]*Sales[[#This Row],[Qty]]</f>
        <v>4570</v>
      </c>
      <c r="J2567" s="43">
        <v>0.15</v>
      </c>
      <c r="K2567" s="44">
        <f>Sales[[#This Row],[Gross Amount]]*Sales[[#This Row],[Disc %]]</f>
        <v>685.5</v>
      </c>
      <c r="L2567" s="43">
        <v>0.18</v>
      </c>
      <c r="M2567" s="44">
        <f>(Sales[[#This Row],[Gross Amount]]-Sales[[#This Row],[Disc. Amt.]])*Sales[[#This Row],[GST %]]</f>
        <v>699.20999999999992</v>
      </c>
      <c r="N2567" s="161">
        <f>Sales[[#This Row],[Gross Amount]]-Sales[[#This Row],[Disc. Amt.]]+Sales[[#This Row],[GST Amount]]</f>
        <v>4583.71</v>
      </c>
      <c r="O2567" s="158" t="s">
        <v>3569</v>
      </c>
      <c r="P2567" s="158" t="s">
        <v>3562</v>
      </c>
      <c r="Q2567" s="160">
        <f>IF(Sales[[#This Row],[Status]]="Cancelled",0,Sales[[#This Row],[Qty]])</f>
        <v>1</v>
      </c>
      <c r="R2567" s="161">
        <f>IF(Sales[[#This Row],[Status]]="Cancelled",0,Sales[[#This Row],[Total Amount]])</f>
        <v>4583.71</v>
      </c>
      <c r="S2567" s="162">
        <f>SUM(Sales[Net Amount])</f>
        <v>406839287.73200053</v>
      </c>
    </row>
    <row r="2568" spans="1:19" ht="18.75" x14ac:dyDescent="0.25">
      <c r="A2568" s="163" t="s">
        <v>6198</v>
      </c>
      <c r="B2568" s="164">
        <v>45907</v>
      </c>
      <c r="C2568" s="34" t="s">
        <v>671</v>
      </c>
      <c r="D2568" s="53" t="str">
        <f>VLOOKUP(Sales[[#This Row],[Customer ID]],Customer[#All],2,0)</f>
        <v>Sahil Patel</v>
      </c>
      <c r="E2568" s="34" t="s">
        <v>469</v>
      </c>
      <c r="F2568" s="34" t="str">
        <f>VLOOKUP(Sales[[#This Row],[Product ID]],Product[#All],2,0)</f>
        <v>WD HDD</v>
      </c>
      <c r="G2568" s="53">
        <v>7</v>
      </c>
      <c r="H2568" s="165">
        <f>VLOOKUP(Sales[[#This Row],[Product ID]],Product[#All],7,0)</f>
        <v>6930</v>
      </c>
      <c r="I2568" s="165">
        <f>Sales[[#This Row],[Selling Rate]]*Sales[[#This Row],[Qty]]</f>
        <v>48510</v>
      </c>
      <c r="J2568" s="45">
        <v>0.05</v>
      </c>
      <c r="K2568" s="46">
        <f>Sales[[#This Row],[Gross Amount]]*Sales[[#This Row],[Disc %]]</f>
        <v>2425.5</v>
      </c>
      <c r="L2568" s="43">
        <v>0.18</v>
      </c>
      <c r="M2568" s="46">
        <f>(Sales[[#This Row],[Gross Amount]]-Sales[[#This Row],[Disc. Amt.]])*Sales[[#This Row],[GST %]]</f>
        <v>8295.2099999999991</v>
      </c>
      <c r="N2568" s="161">
        <f>Sales[[#This Row],[Gross Amount]]-Sales[[#This Row],[Disc. Amt.]]+Sales[[#This Row],[GST Amount]]</f>
        <v>54379.71</v>
      </c>
      <c r="O2568" s="34" t="s">
        <v>3561</v>
      </c>
      <c r="P2568" s="34" t="s">
        <v>3562</v>
      </c>
      <c r="Q2568" s="165">
        <f>IF(Sales[[#This Row],[Status]]="Cancelled",0,Sales[[#This Row],[Qty]])</f>
        <v>7</v>
      </c>
      <c r="R2568" s="166">
        <f>IF(Sales[[#This Row],[Status]]="Cancelled",0,Sales[[#This Row],[Total Amount]])</f>
        <v>54379.71</v>
      </c>
      <c r="S2568" s="162">
        <f>SUM(Sales[Net Amount])</f>
        <v>406839287.73200053</v>
      </c>
    </row>
    <row r="2569" spans="1:19" ht="18.75" x14ac:dyDescent="0.25">
      <c r="A2569" s="156" t="s">
        <v>6199</v>
      </c>
      <c r="B2569" s="157">
        <v>45907</v>
      </c>
      <c r="C2569" s="158" t="s">
        <v>814</v>
      </c>
      <c r="D2569" s="159" t="str">
        <f>VLOOKUP(Sales[[#This Row],[Customer ID]],Customer[#All],2,0)</f>
        <v>Amit Kumar</v>
      </c>
      <c r="E2569" s="158" t="s">
        <v>89</v>
      </c>
      <c r="F2569" s="158" t="str">
        <f>VLOOKUP(Sales[[#This Row],[Product ID]],Product[#All],2,0)</f>
        <v>Portronics USB Cable</v>
      </c>
      <c r="G2569" s="159">
        <v>1</v>
      </c>
      <c r="H2569" s="160">
        <f>VLOOKUP(Sales[[#This Row],[Product ID]],Product[#All],7,0)</f>
        <v>390</v>
      </c>
      <c r="I2569" s="160">
        <f>Sales[[#This Row],[Selling Rate]]*Sales[[#This Row],[Qty]]</f>
        <v>390</v>
      </c>
      <c r="J2569" s="43">
        <v>0.12</v>
      </c>
      <c r="K2569" s="44">
        <f>Sales[[#This Row],[Gross Amount]]*Sales[[#This Row],[Disc %]]</f>
        <v>46.8</v>
      </c>
      <c r="L2569" s="43">
        <v>0.18</v>
      </c>
      <c r="M2569" s="44">
        <f>(Sales[[#This Row],[Gross Amount]]-Sales[[#This Row],[Disc. Amt.]])*Sales[[#This Row],[GST %]]</f>
        <v>61.775999999999996</v>
      </c>
      <c r="N2569" s="161">
        <f>Sales[[#This Row],[Gross Amount]]-Sales[[#This Row],[Disc. Amt.]]+Sales[[#This Row],[GST Amount]]</f>
        <v>404.976</v>
      </c>
      <c r="O2569" s="158" t="s">
        <v>3569</v>
      </c>
      <c r="P2569" s="158" t="s">
        <v>3562</v>
      </c>
      <c r="Q2569" s="160">
        <f>IF(Sales[[#This Row],[Status]]="Cancelled",0,Sales[[#This Row],[Qty]])</f>
        <v>1</v>
      </c>
      <c r="R2569" s="161">
        <f>IF(Sales[[#This Row],[Status]]="Cancelled",0,Sales[[#This Row],[Total Amount]])</f>
        <v>404.976</v>
      </c>
      <c r="S2569" s="162">
        <f>SUM(Sales[Net Amount])</f>
        <v>406839287.73200053</v>
      </c>
    </row>
    <row r="2570" spans="1:19" ht="18.75" x14ac:dyDescent="0.25">
      <c r="A2570" s="163" t="s">
        <v>6200</v>
      </c>
      <c r="B2570" s="164">
        <v>45907</v>
      </c>
      <c r="C2570" s="34" t="s">
        <v>718</v>
      </c>
      <c r="D2570" s="53" t="str">
        <f>VLOOKUP(Sales[[#This Row],[Customer ID]],Customer[#All],2,0)</f>
        <v>Rakesh Patel</v>
      </c>
      <c r="E2570" s="34" t="s">
        <v>391</v>
      </c>
      <c r="F2570" s="34" t="str">
        <f>VLOOKUP(Sales[[#This Row],[Product ID]],Product[#All],2,0)</f>
        <v>Seagate HDD</v>
      </c>
      <c r="G2570" s="53">
        <v>1</v>
      </c>
      <c r="H2570" s="165">
        <f>VLOOKUP(Sales[[#This Row],[Product ID]],Product[#All],7,0)</f>
        <v>10370</v>
      </c>
      <c r="I2570" s="165">
        <f>Sales[[#This Row],[Selling Rate]]*Sales[[#This Row],[Qty]]</f>
        <v>10370</v>
      </c>
      <c r="J2570" s="45">
        <v>0</v>
      </c>
      <c r="K2570" s="46">
        <f>Sales[[#This Row],[Gross Amount]]*Sales[[#This Row],[Disc %]]</f>
        <v>0</v>
      </c>
      <c r="L2570" s="43">
        <v>0.18</v>
      </c>
      <c r="M2570" s="46">
        <f>(Sales[[#This Row],[Gross Amount]]-Sales[[#This Row],[Disc. Amt.]])*Sales[[#This Row],[GST %]]</f>
        <v>1866.6</v>
      </c>
      <c r="N2570" s="161">
        <f>Sales[[#This Row],[Gross Amount]]-Sales[[#This Row],[Disc. Amt.]]+Sales[[#This Row],[GST Amount]]</f>
        <v>12236.6</v>
      </c>
      <c r="O2570" s="34" t="s">
        <v>8876</v>
      </c>
      <c r="P2570" s="34" t="s">
        <v>3562</v>
      </c>
      <c r="Q2570" s="165">
        <f>IF(Sales[[#This Row],[Status]]="Cancelled",0,Sales[[#This Row],[Qty]])</f>
        <v>1</v>
      </c>
      <c r="R2570" s="166">
        <f>IF(Sales[[#This Row],[Status]]="Cancelled",0,Sales[[#This Row],[Total Amount]])</f>
        <v>12236.6</v>
      </c>
      <c r="S2570" s="162">
        <f>SUM(Sales[Net Amount])</f>
        <v>406839287.73200053</v>
      </c>
    </row>
    <row r="2571" spans="1:19" ht="18.75" x14ac:dyDescent="0.25">
      <c r="A2571" s="156" t="s">
        <v>6201</v>
      </c>
      <c r="B2571" s="157">
        <v>45907</v>
      </c>
      <c r="C2571" s="158" t="s">
        <v>6202</v>
      </c>
      <c r="D2571" s="159" t="str">
        <f>VLOOKUP(Sales[[#This Row],[Customer ID]],Customer[#All],2,0)</f>
        <v>Rahul Kumar</v>
      </c>
      <c r="E2571" s="158" t="s">
        <v>481</v>
      </c>
      <c r="F2571" s="158" t="str">
        <f>VLOOKUP(Sales[[#This Row],[Product ID]],Product[#All],2,0)</f>
        <v>Dell Laptop</v>
      </c>
      <c r="G2571" s="159">
        <v>2</v>
      </c>
      <c r="H2571" s="160">
        <f>VLOOKUP(Sales[[#This Row],[Product ID]],Product[#All],7,0)</f>
        <v>36050</v>
      </c>
      <c r="I2571" s="160">
        <f>Sales[[#This Row],[Selling Rate]]*Sales[[#This Row],[Qty]]</f>
        <v>72100</v>
      </c>
      <c r="J2571" s="43">
        <v>0.02</v>
      </c>
      <c r="K2571" s="44">
        <f>Sales[[#This Row],[Gross Amount]]*Sales[[#This Row],[Disc %]]</f>
        <v>1442</v>
      </c>
      <c r="L2571" s="43">
        <v>0.18</v>
      </c>
      <c r="M2571" s="44">
        <f>(Sales[[#This Row],[Gross Amount]]-Sales[[#This Row],[Disc. Amt.]])*Sales[[#This Row],[GST %]]</f>
        <v>12718.439999999999</v>
      </c>
      <c r="N2571" s="161">
        <f>Sales[[#This Row],[Gross Amount]]-Sales[[#This Row],[Disc. Amt.]]+Sales[[#This Row],[GST Amount]]</f>
        <v>83376.44</v>
      </c>
      <c r="O2571" s="158" t="s">
        <v>3569</v>
      </c>
      <c r="P2571" s="158" t="s">
        <v>3562</v>
      </c>
      <c r="Q2571" s="160">
        <f>IF(Sales[[#This Row],[Status]]="Cancelled",0,Sales[[#This Row],[Qty]])</f>
        <v>2</v>
      </c>
      <c r="R2571" s="161">
        <f>IF(Sales[[#This Row],[Status]]="Cancelled",0,Sales[[#This Row],[Total Amount]])</f>
        <v>83376.44</v>
      </c>
      <c r="S2571" s="162">
        <f>SUM(Sales[Net Amount])</f>
        <v>406839287.73200053</v>
      </c>
    </row>
    <row r="2572" spans="1:19" ht="18.75" x14ac:dyDescent="0.25">
      <c r="A2572" s="163" t="s">
        <v>6203</v>
      </c>
      <c r="B2572" s="164">
        <v>45907</v>
      </c>
      <c r="C2572" s="34" t="s">
        <v>923</v>
      </c>
      <c r="D2572" s="53" t="str">
        <f>VLOOKUP(Sales[[#This Row],[Customer ID]],Customer[#All],2,0)</f>
        <v>Rahul Gupta</v>
      </c>
      <c r="E2572" s="34" t="s">
        <v>251</v>
      </c>
      <c r="F2572" s="34" t="str">
        <f>VLOOKUP(Sales[[#This Row],[Product ID]],Product[#All],2,0)</f>
        <v>Corsair Ram</v>
      </c>
      <c r="G2572" s="53">
        <v>1</v>
      </c>
      <c r="H2572" s="165">
        <f>VLOOKUP(Sales[[#This Row],[Product ID]],Product[#All],7,0)</f>
        <v>2890</v>
      </c>
      <c r="I2572" s="165">
        <f>Sales[[#This Row],[Selling Rate]]*Sales[[#This Row],[Qty]]</f>
        <v>2890</v>
      </c>
      <c r="J2572" s="45">
        <v>0.15</v>
      </c>
      <c r="K2572" s="46">
        <f>Sales[[#This Row],[Gross Amount]]*Sales[[#This Row],[Disc %]]</f>
        <v>433.5</v>
      </c>
      <c r="L2572" s="43">
        <v>0.18</v>
      </c>
      <c r="M2572" s="46">
        <f>(Sales[[#This Row],[Gross Amount]]-Sales[[#This Row],[Disc. Amt.]])*Sales[[#This Row],[GST %]]</f>
        <v>442.16999999999996</v>
      </c>
      <c r="N2572" s="161">
        <f>Sales[[#This Row],[Gross Amount]]-Sales[[#This Row],[Disc. Amt.]]+Sales[[#This Row],[GST Amount]]</f>
        <v>2898.67</v>
      </c>
      <c r="O2572" s="34" t="s">
        <v>3569</v>
      </c>
      <c r="P2572" s="34" t="s">
        <v>3562</v>
      </c>
      <c r="Q2572" s="165">
        <f>IF(Sales[[#This Row],[Status]]="Cancelled",0,Sales[[#This Row],[Qty]])</f>
        <v>1</v>
      </c>
      <c r="R2572" s="166">
        <f>IF(Sales[[#This Row],[Status]]="Cancelled",0,Sales[[#This Row],[Total Amount]])</f>
        <v>2898.67</v>
      </c>
      <c r="S2572" s="162">
        <f>SUM(Sales[Net Amount])</f>
        <v>406839287.73200053</v>
      </c>
    </row>
    <row r="2573" spans="1:19" ht="18.75" x14ac:dyDescent="0.25">
      <c r="A2573" s="156" t="s">
        <v>6204</v>
      </c>
      <c r="B2573" s="157">
        <v>45907</v>
      </c>
      <c r="C2573" s="158" t="s">
        <v>931</v>
      </c>
      <c r="D2573" s="159" t="str">
        <f>VLOOKUP(Sales[[#This Row],[Customer ID]],Customer[#All],2,0)</f>
        <v>Sahil Patel</v>
      </c>
      <c r="E2573" s="158" t="s">
        <v>477</v>
      </c>
      <c r="F2573" s="158" t="str">
        <f>VLOOKUP(Sales[[#This Row],[Product ID]],Product[#All],2,0)</f>
        <v>Epson Printer</v>
      </c>
      <c r="G2573" s="159">
        <v>7</v>
      </c>
      <c r="H2573" s="160">
        <f>VLOOKUP(Sales[[#This Row],[Product ID]],Product[#All],7,0)</f>
        <v>17550</v>
      </c>
      <c r="I2573" s="160">
        <f>Sales[[#This Row],[Selling Rate]]*Sales[[#This Row],[Qty]]</f>
        <v>122850</v>
      </c>
      <c r="J2573" s="43">
        <v>0.1</v>
      </c>
      <c r="K2573" s="44">
        <f>Sales[[#This Row],[Gross Amount]]*Sales[[#This Row],[Disc %]]</f>
        <v>12285</v>
      </c>
      <c r="L2573" s="43">
        <v>0.18</v>
      </c>
      <c r="M2573" s="44">
        <f>(Sales[[#This Row],[Gross Amount]]-Sales[[#This Row],[Disc. Amt.]])*Sales[[#This Row],[GST %]]</f>
        <v>19901.7</v>
      </c>
      <c r="N2573" s="161">
        <f>Sales[[#This Row],[Gross Amount]]-Sales[[#This Row],[Disc. Amt.]]+Sales[[#This Row],[GST Amount]]</f>
        <v>130466.7</v>
      </c>
      <c r="O2573" s="158" t="s">
        <v>3566</v>
      </c>
      <c r="P2573" s="158" t="s">
        <v>3562</v>
      </c>
      <c r="Q2573" s="160">
        <f>IF(Sales[[#This Row],[Status]]="Cancelled",0,Sales[[#This Row],[Qty]])</f>
        <v>7</v>
      </c>
      <c r="R2573" s="161">
        <f>IF(Sales[[#This Row],[Status]]="Cancelled",0,Sales[[#This Row],[Total Amount]])</f>
        <v>130466.7</v>
      </c>
      <c r="S2573" s="162">
        <f>SUM(Sales[Net Amount])</f>
        <v>406839287.73200053</v>
      </c>
    </row>
    <row r="2574" spans="1:19" ht="18.75" x14ac:dyDescent="0.25">
      <c r="A2574" s="163" t="s">
        <v>6205</v>
      </c>
      <c r="B2574" s="164">
        <v>45907</v>
      </c>
      <c r="C2574" s="34" t="s">
        <v>792</v>
      </c>
      <c r="D2574" s="53" t="str">
        <f>VLOOKUP(Sales[[#This Row],[Customer ID]],Customer[#All],2,0)</f>
        <v>Pooja Sharma</v>
      </c>
      <c r="E2574" s="34" t="s">
        <v>299</v>
      </c>
      <c r="F2574" s="34" t="str">
        <f>VLOOKUP(Sales[[#This Row],[Product ID]],Product[#All],2,0)</f>
        <v>HP Printer</v>
      </c>
      <c r="G2574" s="53">
        <v>1</v>
      </c>
      <c r="H2574" s="165">
        <f>VLOOKUP(Sales[[#This Row],[Product ID]],Product[#All],7,0)</f>
        <v>15800</v>
      </c>
      <c r="I2574" s="165">
        <f>Sales[[#This Row],[Selling Rate]]*Sales[[#This Row],[Qty]]</f>
        <v>15800</v>
      </c>
      <c r="J2574" s="45">
        <v>0</v>
      </c>
      <c r="K2574" s="46">
        <f>Sales[[#This Row],[Gross Amount]]*Sales[[#This Row],[Disc %]]</f>
        <v>0</v>
      </c>
      <c r="L2574" s="43">
        <v>0.18</v>
      </c>
      <c r="M2574" s="46">
        <f>(Sales[[#This Row],[Gross Amount]]-Sales[[#This Row],[Disc. Amt.]])*Sales[[#This Row],[GST %]]</f>
        <v>2844</v>
      </c>
      <c r="N2574" s="161">
        <f>Sales[[#This Row],[Gross Amount]]-Sales[[#This Row],[Disc. Amt.]]+Sales[[#This Row],[GST Amount]]</f>
        <v>18644</v>
      </c>
      <c r="O2574" s="34" t="s">
        <v>8876</v>
      </c>
      <c r="P2574" s="34" t="s">
        <v>3562</v>
      </c>
      <c r="Q2574" s="165">
        <f>IF(Sales[[#This Row],[Status]]="Cancelled",0,Sales[[#This Row],[Qty]])</f>
        <v>1</v>
      </c>
      <c r="R2574" s="166">
        <f>IF(Sales[[#This Row],[Status]]="Cancelled",0,Sales[[#This Row],[Total Amount]])</f>
        <v>18644</v>
      </c>
      <c r="S2574" s="162">
        <f>SUM(Sales[Net Amount])</f>
        <v>406839287.73200053</v>
      </c>
    </row>
    <row r="2575" spans="1:19" ht="18.75" x14ac:dyDescent="0.25">
      <c r="A2575" s="156" t="s">
        <v>6206</v>
      </c>
      <c r="B2575" s="157">
        <v>45907</v>
      </c>
      <c r="C2575" s="158" t="s">
        <v>798</v>
      </c>
      <c r="D2575" s="159" t="str">
        <f>VLOOKUP(Sales[[#This Row],[Customer ID]],Customer[#All],2,0)</f>
        <v>Amit Singh</v>
      </c>
      <c r="E2575" s="158" t="s">
        <v>117</v>
      </c>
      <c r="F2575" s="158" t="str">
        <f>VLOOKUP(Sales[[#This Row],[Product ID]],Product[#All],2,0)</f>
        <v>Logitech Mouse</v>
      </c>
      <c r="G2575" s="159">
        <v>7</v>
      </c>
      <c r="H2575" s="160">
        <f>VLOOKUP(Sales[[#This Row],[Product ID]],Product[#All],7,0)</f>
        <v>2960</v>
      </c>
      <c r="I2575" s="160">
        <f>Sales[[#This Row],[Selling Rate]]*Sales[[#This Row],[Qty]]</f>
        <v>20720</v>
      </c>
      <c r="J2575" s="43">
        <v>0.1</v>
      </c>
      <c r="K2575" s="44">
        <f>Sales[[#This Row],[Gross Amount]]*Sales[[#This Row],[Disc %]]</f>
        <v>2072</v>
      </c>
      <c r="L2575" s="43">
        <v>0.18</v>
      </c>
      <c r="M2575" s="44">
        <f>(Sales[[#This Row],[Gross Amount]]-Sales[[#This Row],[Disc. Amt.]])*Sales[[#This Row],[GST %]]</f>
        <v>3356.64</v>
      </c>
      <c r="N2575" s="161">
        <f>Sales[[#This Row],[Gross Amount]]-Sales[[#This Row],[Disc. Amt.]]+Sales[[#This Row],[GST Amount]]</f>
        <v>22004.639999999999</v>
      </c>
      <c r="O2575" s="158" t="s">
        <v>3566</v>
      </c>
      <c r="P2575" s="158" t="s">
        <v>3562</v>
      </c>
      <c r="Q2575" s="160">
        <f>IF(Sales[[#This Row],[Status]]="Cancelled",0,Sales[[#This Row],[Qty]])</f>
        <v>7</v>
      </c>
      <c r="R2575" s="161">
        <f>IF(Sales[[#This Row],[Status]]="Cancelled",0,Sales[[#This Row],[Total Amount]])</f>
        <v>22004.639999999999</v>
      </c>
      <c r="S2575" s="162">
        <f>SUM(Sales[Net Amount])</f>
        <v>406839287.73200053</v>
      </c>
    </row>
    <row r="2576" spans="1:19" ht="18.75" x14ac:dyDescent="0.25">
      <c r="A2576" s="163" t="s">
        <v>6207</v>
      </c>
      <c r="B2576" s="164">
        <v>45907</v>
      </c>
      <c r="C2576" s="34" t="s">
        <v>727</v>
      </c>
      <c r="D2576" s="53" t="str">
        <f>VLOOKUP(Sales[[#This Row],[Customer ID]],Customer[#All],2,0)</f>
        <v>Sahil Sharma</v>
      </c>
      <c r="E2576" s="34" t="s">
        <v>410</v>
      </c>
      <c r="F2576" s="34" t="str">
        <f>VLOOKUP(Sales[[#This Row],[Product ID]],Product[#All],2,0)</f>
        <v>Microtek UPS</v>
      </c>
      <c r="G2576" s="53">
        <v>1</v>
      </c>
      <c r="H2576" s="165">
        <f>VLOOKUP(Sales[[#This Row],[Product ID]],Product[#All],7,0)</f>
        <v>12250</v>
      </c>
      <c r="I2576" s="165">
        <f>Sales[[#This Row],[Selling Rate]]*Sales[[#This Row],[Qty]]</f>
        <v>12250</v>
      </c>
      <c r="J2576" s="45">
        <v>0.1</v>
      </c>
      <c r="K2576" s="46">
        <f>Sales[[#This Row],[Gross Amount]]*Sales[[#This Row],[Disc %]]</f>
        <v>1225</v>
      </c>
      <c r="L2576" s="43">
        <v>0.18</v>
      </c>
      <c r="M2576" s="46">
        <f>(Sales[[#This Row],[Gross Amount]]-Sales[[#This Row],[Disc. Amt.]])*Sales[[#This Row],[GST %]]</f>
        <v>1984.5</v>
      </c>
      <c r="N2576" s="161">
        <f>Sales[[#This Row],[Gross Amount]]-Sales[[#This Row],[Disc. Amt.]]+Sales[[#This Row],[GST Amount]]</f>
        <v>13009.5</v>
      </c>
      <c r="O2576" s="34" t="s">
        <v>3566</v>
      </c>
      <c r="P2576" s="34" t="s">
        <v>3562</v>
      </c>
      <c r="Q2576" s="165">
        <f>IF(Sales[[#This Row],[Status]]="Cancelled",0,Sales[[#This Row],[Qty]])</f>
        <v>1</v>
      </c>
      <c r="R2576" s="166">
        <f>IF(Sales[[#This Row],[Status]]="Cancelled",0,Sales[[#This Row],[Total Amount]])</f>
        <v>13009.5</v>
      </c>
      <c r="S2576" s="162">
        <f>SUM(Sales[Net Amount])</f>
        <v>406839287.73200053</v>
      </c>
    </row>
    <row r="2577" spans="1:19" ht="18.75" x14ac:dyDescent="0.25">
      <c r="A2577" s="156" t="s">
        <v>6208</v>
      </c>
      <c r="B2577" s="157">
        <v>45908</v>
      </c>
      <c r="C2577" s="158" t="s">
        <v>736</v>
      </c>
      <c r="D2577" s="159" t="str">
        <f>VLOOKUP(Sales[[#This Row],[Customer ID]],Customer[#All],2,0)</f>
        <v>Ankit Verma</v>
      </c>
      <c r="E2577" s="158" t="s">
        <v>167</v>
      </c>
      <c r="F2577" s="158" t="str">
        <f>VLOOKUP(Sales[[#This Row],[Product ID]],Product[#All],2,0)</f>
        <v>Logitech Keyboard</v>
      </c>
      <c r="G2577" s="159">
        <v>5</v>
      </c>
      <c r="H2577" s="160">
        <f>VLOOKUP(Sales[[#This Row],[Product ID]],Product[#All],7,0)</f>
        <v>2460</v>
      </c>
      <c r="I2577" s="160">
        <f>Sales[[#This Row],[Selling Rate]]*Sales[[#This Row],[Qty]]</f>
        <v>12300</v>
      </c>
      <c r="J2577" s="43">
        <v>0.12</v>
      </c>
      <c r="K2577" s="44">
        <f>Sales[[#This Row],[Gross Amount]]*Sales[[#This Row],[Disc %]]</f>
        <v>1476</v>
      </c>
      <c r="L2577" s="43">
        <v>0.18</v>
      </c>
      <c r="M2577" s="44">
        <f>(Sales[[#This Row],[Gross Amount]]-Sales[[#This Row],[Disc. Amt.]])*Sales[[#This Row],[GST %]]</f>
        <v>1948.32</v>
      </c>
      <c r="N2577" s="161">
        <f>Sales[[#This Row],[Gross Amount]]-Sales[[#This Row],[Disc. Amt.]]+Sales[[#This Row],[GST Amount]]</f>
        <v>12772.32</v>
      </c>
      <c r="O2577" s="158" t="s">
        <v>8876</v>
      </c>
      <c r="P2577" s="158" t="s">
        <v>3562</v>
      </c>
      <c r="Q2577" s="160">
        <f>IF(Sales[[#This Row],[Status]]="Cancelled",0,Sales[[#This Row],[Qty]])</f>
        <v>5</v>
      </c>
      <c r="R2577" s="161">
        <f>IF(Sales[[#This Row],[Status]]="Cancelled",0,Sales[[#This Row],[Total Amount]])</f>
        <v>12772.32</v>
      </c>
      <c r="S2577" s="162">
        <f>SUM(Sales[Net Amount])</f>
        <v>406839287.73200053</v>
      </c>
    </row>
    <row r="2578" spans="1:19" ht="18.75" x14ac:dyDescent="0.25">
      <c r="A2578" s="163" t="s">
        <v>6209</v>
      </c>
      <c r="B2578" s="164">
        <v>45908</v>
      </c>
      <c r="C2578" s="34" t="s">
        <v>917</v>
      </c>
      <c r="D2578" s="53" t="str">
        <f>VLOOKUP(Sales[[#This Row],[Customer ID]],Customer[#All],2,0)</f>
        <v>Sahil Gupta</v>
      </c>
      <c r="E2578" s="34" t="s">
        <v>128</v>
      </c>
      <c r="F2578" s="34" t="str">
        <f>VLOOKUP(Sales[[#This Row],[Product ID]],Product[#All],2,0)</f>
        <v>American TouristerLaptopBag</v>
      </c>
      <c r="G2578" s="53">
        <v>8</v>
      </c>
      <c r="H2578" s="165">
        <f>VLOOKUP(Sales[[#This Row],[Product ID]],Product[#All],7,0)</f>
        <v>2990</v>
      </c>
      <c r="I2578" s="165">
        <f>Sales[[#This Row],[Selling Rate]]*Sales[[#This Row],[Qty]]</f>
        <v>23920</v>
      </c>
      <c r="J2578" s="45">
        <v>0.02</v>
      </c>
      <c r="K2578" s="46">
        <f>Sales[[#This Row],[Gross Amount]]*Sales[[#This Row],[Disc %]]</f>
        <v>478.40000000000003</v>
      </c>
      <c r="L2578" s="43">
        <v>0.18</v>
      </c>
      <c r="M2578" s="46">
        <f>(Sales[[#This Row],[Gross Amount]]-Sales[[#This Row],[Disc. Amt.]])*Sales[[#This Row],[GST %]]</f>
        <v>4219.4879999999994</v>
      </c>
      <c r="N2578" s="161">
        <f>Sales[[#This Row],[Gross Amount]]-Sales[[#This Row],[Disc. Amt.]]+Sales[[#This Row],[GST Amount]]</f>
        <v>27661.087999999996</v>
      </c>
      <c r="O2578" s="34" t="s">
        <v>3561</v>
      </c>
      <c r="P2578" s="34" t="s">
        <v>3562</v>
      </c>
      <c r="Q2578" s="165">
        <f>IF(Sales[[#This Row],[Status]]="Cancelled",0,Sales[[#This Row],[Qty]])</f>
        <v>8</v>
      </c>
      <c r="R2578" s="166">
        <f>IF(Sales[[#This Row],[Status]]="Cancelled",0,Sales[[#This Row],[Total Amount]])</f>
        <v>27661.087999999996</v>
      </c>
      <c r="S2578" s="162">
        <f>SUM(Sales[Net Amount])</f>
        <v>406839287.73200053</v>
      </c>
    </row>
    <row r="2579" spans="1:19" ht="18.75" x14ac:dyDescent="0.25">
      <c r="A2579" s="156" t="s">
        <v>6210</v>
      </c>
      <c r="B2579" s="157">
        <v>45908</v>
      </c>
      <c r="C2579" s="158" t="s">
        <v>903</v>
      </c>
      <c r="D2579" s="159" t="str">
        <f>VLOOKUP(Sales[[#This Row],[Customer ID]],Customer[#All],2,0)</f>
        <v>Sahil Singh</v>
      </c>
      <c r="E2579" s="158" t="s">
        <v>47</v>
      </c>
      <c r="F2579" s="158" t="str">
        <f>VLOOKUP(Sales[[#This Row],[Product ID]],Product[#All],2,0)</f>
        <v>Logitech Keyboard</v>
      </c>
      <c r="G2579" s="159">
        <v>7</v>
      </c>
      <c r="H2579" s="160">
        <f>VLOOKUP(Sales[[#This Row],[Product ID]],Product[#All],7,0)</f>
        <v>930</v>
      </c>
      <c r="I2579" s="160">
        <f>Sales[[#This Row],[Selling Rate]]*Sales[[#This Row],[Qty]]</f>
        <v>6510</v>
      </c>
      <c r="J2579" s="43">
        <v>0.1</v>
      </c>
      <c r="K2579" s="44">
        <f>Sales[[#This Row],[Gross Amount]]*Sales[[#This Row],[Disc %]]</f>
        <v>651</v>
      </c>
      <c r="L2579" s="43">
        <v>0.18</v>
      </c>
      <c r="M2579" s="44">
        <f>(Sales[[#This Row],[Gross Amount]]-Sales[[#This Row],[Disc. Amt.]])*Sales[[#This Row],[GST %]]</f>
        <v>1054.6199999999999</v>
      </c>
      <c r="N2579" s="161">
        <f>Sales[[#This Row],[Gross Amount]]-Sales[[#This Row],[Disc. Amt.]]+Sales[[#This Row],[GST Amount]]</f>
        <v>6913.62</v>
      </c>
      <c r="O2579" s="158" t="s">
        <v>3569</v>
      </c>
      <c r="P2579" s="158" t="s">
        <v>3562</v>
      </c>
      <c r="Q2579" s="160">
        <f>IF(Sales[[#This Row],[Status]]="Cancelled",0,Sales[[#This Row],[Qty]])</f>
        <v>7</v>
      </c>
      <c r="R2579" s="161">
        <f>IF(Sales[[#This Row],[Status]]="Cancelled",0,Sales[[#This Row],[Total Amount]])</f>
        <v>6913.62</v>
      </c>
      <c r="S2579" s="162">
        <f>SUM(Sales[Net Amount])</f>
        <v>406839287.73200053</v>
      </c>
    </row>
    <row r="2580" spans="1:19" ht="18.75" x14ac:dyDescent="0.25">
      <c r="A2580" s="163" t="s">
        <v>6211</v>
      </c>
      <c r="B2580" s="164">
        <v>45908</v>
      </c>
      <c r="C2580" s="34" t="s">
        <v>655</v>
      </c>
      <c r="D2580" s="53" t="str">
        <f>VLOOKUP(Sales[[#This Row],[Customer ID]],Customer[#All],2,0)</f>
        <v>Pooja Singh</v>
      </c>
      <c r="E2580" s="34" t="s">
        <v>242</v>
      </c>
      <c r="F2580" s="34" t="str">
        <f>VLOOKUP(Sales[[#This Row],[Product ID]],Product[#All],2,0)</f>
        <v>HP Printer</v>
      </c>
      <c r="G2580" s="53">
        <v>4</v>
      </c>
      <c r="H2580" s="165">
        <f>VLOOKUP(Sales[[#This Row],[Product ID]],Product[#All],7,0)</f>
        <v>20380</v>
      </c>
      <c r="I2580" s="165">
        <f>Sales[[#This Row],[Selling Rate]]*Sales[[#This Row],[Qty]]</f>
        <v>81520</v>
      </c>
      <c r="J2580" s="45">
        <v>0.15</v>
      </c>
      <c r="K2580" s="46">
        <f>Sales[[#This Row],[Gross Amount]]*Sales[[#This Row],[Disc %]]</f>
        <v>12228</v>
      </c>
      <c r="L2580" s="43">
        <v>0.18</v>
      </c>
      <c r="M2580" s="46">
        <f>(Sales[[#This Row],[Gross Amount]]-Sales[[#This Row],[Disc. Amt.]])*Sales[[#This Row],[GST %]]</f>
        <v>12472.56</v>
      </c>
      <c r="N2580" s="161">
        <f>Sales[[#This Row],[Gross Amount]]-Sales[[#This Row],[Disc. Amt.]]+Sales[[#This Row],[GST Amount]]</f>
        <v>81764.56</v>
      </c>
      <c r="O2580" s="34" t="s">
        <v>8876</v>
      </c>
      <c r="P2580" s="34" t="s">
        <v>3562</v>
      </c>
      <c r="Q2580" s="165">
        <f>IF(Sales[[#This Row],[Status]]="Cancelled",0,Sales[[#This Row],[Qty]])</f>
        <v>4</v>
      </c>
      <c r="R2580" s="166">
        <f>IF(Sales[[#This Row],[Status]]="Cancelled",0,Sales[[#This Row],[Total Amount]])</f>
        <v>81764.56</v>
      </c>
      <c r="S2580" s="162">
        <f>SUM(Sales[Net Amount])</f>
        <v>406839287.73200053</v>
      </c>
    </row>
    <row r="2581" spans="1:19" ht="18.75" x14ac:dyDescent="0.25">
      <c r="A2581" s="156" t="s">
        <v>6212</v>
      </c>
      <c r="B2581" s="157">
        <v>45908</v>
      </c>
      <c r="C2581" s="158" t="s">
        <v>797</v>
      </c>
      <c r="D2581" s="159" t="str">
        <f>VLOOKUP(Sales[[#This Row],[Customer ID]],Customer[#All],2,0)</f>
        <v>Ankit Gupta</v>
      </c>
      <c r="E2581" s="158" t="s">
        <v>291</v>
      </c>
      <c r="F2581" s="158" t="str">
        <f>VLOOKUP(Sales[[#This Row],[Product ID]],Product[#All],2,0)</f>
        <v>Jbl Speaker</v>
      </c>
      <c r="G2581" s="159">
        <v>3</v>
      </c>
      <c r="H2581" s="160">
        <f>VLOOKUP(Sales[[#This Row],[Product ID]],Product[#All],7,0)</f>
        <v>12040</v>
      </c>
      <c r="I2581" s="160">
        <f>Sales[[#This Row],[Selling Rate]]*Sales[[#This Row],[Qty]]</f>
        <v>36120</v>
      </c>
      <c r="J2581" s="43">
        <v>0.02</v>
      </c>
      <c r="K2581" s="44">
        <f>Sales[[#This Row],[Gross Amount]]*Sales[[#This Row],[Disc %]]</f>
        <v>722.4</v>
      </c>
      <c r="L2581" s="43">
        <v>0.18</v>
      </c>
      <c r="M2581" s="44">
        <f>(Sales[[#This Row],[Gross Amount]]-Sales[[#This Row],[Disc. Amt.]])*Sales[[#This Row],[GST %]]</f>
        <v>6371.5679999999993</v>
      </c>
      <c r="N2581" s="161">
        <f>Sales[[#This Row],[Gross Amount]]-Sales[[#This Row],[Disc. Amt.]]+Sales[[#This Row],[GST Amount]]</f>
        <v>41769.167999999998</v>
      </c>
      <c r="O2581" s="158" t="s">
        <v>3569</v>
      </c>
      <c r="P2581" s="158" t="s">
        <v>3562</v>
      </c>
      <c r="Q2581" s="160">
        <f>IF(Sales[[#This Row],[Status]]="Cancelled",0,Sales[[#This Row],[Qty]])</f>
        <v>3</v>
      </c>
      <c r="R2581" s="161">
        <f>IF(Sales[[#This Row],[Status]]="Cancelled",0,Sales[[#This Row],[Total Amount]])</f>
        <v>41769.167999999998</v>
      </c>
      <c r="S2581" s="162">
        <f>SUM(Sales[Net Amount])</f>
        <v>406839287.73200053</v>
      </c>
    </row>
    <row r="2582" spans="1:19" ht="18.75" x14ac:dyDescent="0.25">
      <c r="A2582" s="163" t="s">
        <v>6213</v>
      </c>
      <c r="B2582" s="164">
        <v>45908</v>
      </c>
      <c r="C2582" s="34" t="s">
        <v>683</v>
      </c>
      <c r="D2582" s="53" t="str">
        <f>VLOOKUP(Sales[[#This Row],[Customer ID]],Customer[#All],2,0)</f>
        <v>Rahul Kumar</v>
      </c>
      <c r="E2582" s="34" t="s">
        <v>322</v>
      </c>
      <c r="F2582" s="34" t="str">
        <f>VLOOKUP(Sales[[#This Row],[Product ID]],Product[#All],2,0)</f>
        <v>Jbl Speaker</v>
      </c>
      <c r="G2582" s="53">
        <v>2</v>
      </c>
      <c r="H2582" s="165">
        <f>VLOOKUP(Sales[[#This Row],[Product ID]],Product[#All],7,0)</f>
        <v>10370</v>
      </c>
      <c r="I2582" s="165">
        <f>Sales[[#This Row],[Selling Rate]]*Sales[[#This Row],[Qty]]</f>
        <v>20740</v>
      </c>
      <c r="J2582" s="45">
        <v>0.02</v>
      </c>
      <c r="K2582" s="46">
        <f>Sales[[#This Row],[Gross Amount]]*Sales[[#This Row],[Disc %]]</f>
        <v>414.8</v>
      </c>
      <c r="L2582" s="43">
        <v>0.18</v>
      </c>
      <c r="M2582" s="46">
        <f>(Sales[[#This Row],[Gross Amount]]-Sales[[#This Row],[Disc. Amt.]])*Sales[[#This Row],[GST %]]</f>
        <v>3658.5360000000001</v>
      </c>
      <c r="N2582" s="161">
        <f>Sales[[#This Row],[Gross Amount]]-Sales[[#This Row],[Disc. Amt.]]+Sales[[#This Row],[GST Amount]]</f>
        <v>23983.736000000001</v>
      </c>
      <c r="O2582" s="34" t="s">
        <v>3569</v>
      </c>
      <c r="P2582" s="34" t="s">
        <v>3562</v>
      </c>
      <c r="Q2582" s="165">
        <f>IF(Sales[[#This Row],[Status]]="Cancelled",0,Sales[[#This Row],[Qty]])</f>
        <v>2</v>
      </c>
      <c r="R2582" s="166">
        <f>IF(Sales[[#This Row],[Status]]="Cancelled",0,Sales[[#This Row],[Total Amount]])</f>
        <v>23983.736000000001</v>
      </c>
      <c r="S2582" s="162">
        <f>SUM(Sales[Net Amount])</f>
        <v>406839287.73200053</v>
      </c>
    </row>
    <row r="2583" spans="1:19" ht="18.75" x14ac:dyDescent="0.25">
      <c r="A2583" s="156" t="s">
        <v>6214</v>
      </c>
      <c r="B2583" s="157">
        <v>45908</v>
      </c>
      <c r="C2583" s="158" t="s">
        <v>765</v>
      </c>
      <c r="D2583" s="159" t="str">
        <f>VLOOKUP(Sales[[#This Row],[Customer ID]],Customer[#All],2,0)</f>
        <v>Neha Gupta</v>
      </c>
      <c r="E2583" s="158" t="s">
        <v>281</v>
      </c>
      <c r="F2583" s="158" t="str">
        <f>VLOOKUP(Sales[[#This Row],[Product ID]],Product[#All],2,0)</f>
        <v>Canon Printer</v>
      </c>
      <c r="G2583" s="159">
        <v>8</v>
      </c>
      <c r="H2583" s="160">
        <f>VLOOKUP(Sales[[#This Row],[Product ID]],Product[#All],7,0)</f>
        <v>11560</v>
      </c>
      <c r="I2583" s="160">
        <f>Sales[[#This Row],[Selling Rate]]*Sales[[#This Row],[Qty]]</f>
        <v>92480</v>
      </c>
      <c r="J2583" s="43">
        <v>0</v>
      </c>
      <c r="K2583" s="44">
        <f>Sales[[#This Row],[Gross Amount]]*Sales[[#This Row],[Disc %]]</f>
        <v>0</v>
      </c>
      <c r="L2583" s="43">
        <v>0.18</v>
      </c>
      <c r="M2583" s="44">
        <f>(Sales[[#This Row],[Gross Amount]]-Sales[[#This Row],[Disc. Amt.]])*Sales[[#This Row],[GST %]]</f>
        <v>16646.399999999998</v>
      </c>
      <c r="N2583" s="161">
        <f>Sales[[#This Row],[Gross Amount]]-Sales[[#This Row],[Disc. Amt.]]+Sales[[#This Row],[GST Amount]]</f>
        <v>109126.39999999999</v>
      </c>
      <c r="O2583" s="158" t="s">
        <v>8876</v>
      </c>
      <c r="P2583" s="158" t="s">
        <v>3562</v>
      </c>
      <c r="Q2583" s="160">
        <f>IF(Sales[[#This Row],[Status]]="Cancelled",0,Sales[[#This Row],[Qty]])</f>
        <v>8</v>
      </c>
      <c r="R2583" s="161">
        <f>IF(Sales[[#This Row],[Status]]="Cancelled",0,Sales[[#This Row],[Total Amount]])</f>
        <v>109126.39999999999</v>
      </c>
      <c r="S2583" s="162">
        <f>SUM(Sales[Net Amount])</f>
        <v>406839287.73200053</v>
      </c>
    </row>
    <row r="2584" spans="1:19" ht="18.75" x14ac:dyDescent="0.25">
      <c r="A2584" s="163" t="s">
        <v>6215</v>
      </c>
      <c r="B2584" s="164">
        <v>45908</v>
      </c>
      <c r="C2584" s="34" t="s">
        <v>825</v>
      </c>
      <c r="D2584" s="53" t="str">
        <f>VLOOKUP(Sales[[#This Row],[Customer ID]],Customer[#All],2,0)</f>
        <v>Rahul Kumar</v>
      </c>
      <c r="E2584" s="34" t="s">
        <v>197</v>
      </c>
      <c r="F2584" s="34" t="str">
        <f>VLOOKUP(Sales[[#This Row],[Product ID]],Product[#All],2,0)</f>
        <v>Crucial Ssd</v>
      </c>
      <c r="G2584" s="53">
        <v>2</v>
      </c>
      <c r="H2584" s="165">
        <f>VLOOKUP(Sales[[#This Row],[Product ID]],Product[#All],7,0)</f>
        <v>16400</v>
      </c>
      <c r="I2584" s="165">
        <f>Sales[[#This Row],[Selling Rate]]*Sales[[#This Row],[Qty]]</f>
        <v>32800</v>
      </c>
      <c r="J2584" s="45">
        <v>0.15</v>
      </c>
      <c r="K2584" s="46">
        <f>Sales[[#This Row],[Gross Amount]]*Sales[[#This Row],[Disc %]]</f>
        <v>4920</v>
      </c>
      <c r="L2584" s="43">
        <v>0.18</v>
      </c>
      <c r="M2584" s="46">
        <f>(Sales[[#This Row],[Gross Amount]]-Sales[[#This Row],[Disc. Amt.]])*Sales[[#This Row],[GST %]]</f>
        <v>5018.3999999999996</v>
      </c>
      <c r="N2584" s="161">
        <f>Sales[[#This Row],[Gross Amount]]-Sales[[#This Row],[Disc. Amt.]]+Sales[[#This Row],[GST Amount]]</f>
        <v>32898.400000000001</v>
      </c>
      <c r="O2584" s="34" t="s">
        <v>3566</v>
      </c>
      <c r="P2584" s="34" t="s">
        <v>3562</v>
      </c>
      <c r="Q2584" s="165">
        <f>IF(Sales[[#This Row],[Status]]="Cancelled",0,Sales[[#This Row],[Qty]])</f>
        <v>2</v>
      </c>
      <c r="R2584" s="166">
        <f>IF(Sales[[#This Row],[Status]]="Cancelled",0,Sales[[#This Row],[Total Amount]])</f>
        <v>32898.400000000001</v>
      </c>
      <c r="S2584" s="162">
        <f>SUM(Sales[Net Amount])</f>
        <v>406839287.73200053</v>
      </c>
    </row>
    <row r="2585" spans="1:19" ht="18.75" x14ac:dyDescent="0.25">
      <c r="A2585" s="156" t="s">
        <v>6216</v>
      </c>
      <c r="B2585" s="157">
        <v>45908</v>
      </c>
      <c r="C2585" s="158" t="s">
        <v>651</v>
      </c>
      <c r="D2585" s="159" t="str">
        <f>VLOOKUP(Sales[[#This Row],[Customer ID]],Customer[#All],2,0)</f>
        <v>Sahil Verma</v>
      </c>
      <c r="E2585" s="158" t="s">
        <v>241</v>
      </c>
      <c r="F2585" s="158" t="str">
        <f>VLOOKUP(Sales[[#This Row],[Product ID]],Product[#All],2,0)</f>
        <v>Portronics USB Cable</v>
      </c>
      <c r="G2585" s="159">
        <v>1</v>
      </c>
      <c r="H2585" s="160">
        <f>VLOOKUP(Sales[[#This Row],[Product ID]],Product[#All],7,0)</f>
        <v>630</v>
      </c>
      <c r="I2585" s="160">
        <f>Sales[[#This Row],[Selling Rate]]*Sales[[#This Row],[Qty]]</f>
        <v>630</v>
      </c>
      <c r="J2585" s="43">
        <v>0.15</v>
      </c>
      <c r="K2585" s="44">
        <f>Sales[[#This Row],[Gross Amount]]*Sales[[#This Row],[Disc %]]</f>
        <v>94.5</v>
      </c>
      <c r="L2585" s="43">
        <v>0.18</v>
      </c>
      <c r="M2585" s="44">
        <f>(Sales[[#This Row],[Gross Amount]]-Sales[[#This Row],[Disc. Amt.]])*Sales[[#This Row],[GST %]]</f>
        <v>96.39</v>
      </c>
      <c r="N2585" s="161">
        <f>Sales[[#This Row],[Gross Amount]]-Sales[[#This Row],[Disc. Amt.]]+Sales[[#This Row],[GST Amount]]</f>
        <v>631.89</v>
      </c>
      <c r="O2585" s="158" t="s">
        <v>3569</v>
      </c>
      <c r="P2585" s="158" t="s">
        <v>1040</v>
      </c>
      <c r="Q2585" s="160">
        <f>IF(Sales[[#This Row],[Status]]="Cancelled",0,Sales[[#This Row],[Qty]])</f>
        <v>0</v>
      </c>
      <c r="R2585" s="161">
        <f>IF(Sales[[#This Row],[Status]]="Cancelled",0,Sales[[#This Row],[Total Amount]])</f>
        <v>0</v>
      </c>
      <c r="S2585" s="162">
        <f>SUM(Sales[Net Amount])</f>
        <v>406839287.73200053</v>
      </c>
    </row>
    <row r="2586" spans="1:19" ht="18.75" x14ac:dyDescent="0.25">
      <c r="A2586" s="163" t="s">
        <v>6217</v>
      </c>
      <c r="B2586" s="164">
        <v>45908</v>
      </c>
      <c r="C2586" s="34" t="s">
        <v>667</v>
      </c>
      <c r="D2586" s="53" t="str">
        <f>VLOOKUP(Sales[[#This Row],[Customer ID]],Customer[#All],2,0)</f>
        <v>Neha Gupta</v>
      </c>
      <c r="E2586" s="34" t="s">
        <v>85</v>
      </c>
      <c r="F2586" s="34" t="str">
        <f>VLOOKUP(Sales[[#This Row],[Product ID]],Product[#All],2,0)</f>
        <v>Apc UPS</v>
      </c>
      <c r="G2586" s="53">
        <v>2</v>
      </c>
      <c r="H2586" s="165">
        <f>VLOOKUP(Sales[[#This Row],[Product ID]],Product[#All],7,0)</f>
        <v>8770</v>
      </c>
      <c r="I2586" s="165">
        <f>Sales[[#This Row],[Selling Rate]]*Sales[[#This Row],[Qty]]</f>
        <v>17540</v>
      </c>
      <c r="J2586" s="45">
        <v>0</v>
      </c>
      <c r="K2586" s="46">
        <f>Sales[[#This Row],[Gross Amount]]*Sales[[#This Row],[Disc %]]</f>
        <v>0</v>
      </c>
      <c r="L2586" s="43">
        <v>0.18</v>
      </c>
      <c r="M2586" s="46">
        <f>(Sales[[#This Row],[Gross Amount]]-Sales[[#This Row],[Disc. Amt.]])*Sales[[#This Row],[GST %]]</f>
        <v>3157.2</v>
      </c>
      <c r="N2586" s="161">
        <f>Sales[[#This Row],[Gross Amount]]-Sales[[#This Row],[Disc. Amt.]]+Sales[[#This Row],[GST Amount]]</f>
        <v>20697.2</v>
      </c>
      <c r="O2586" s="34" t="s">
        <v>3569</v>
      </c>
      <c r="P2586" s="34" t="s">
        <v>3562</v>
      </c>
      <c r="Q2586" s="165">
        <f>IF(Sales[[#This Row],[Status]]="Cancelled",0,Sales[[#This Row],[Qty]])</f>
        <v>2</v>
      </c>
      <c r="R2586" s="166">
        <f>IF(Sales[[#This Row],[Status]]="Cancelled",0,Sales[[#This Row],[Total Amount]])</f>
        <v>20697.2</v>
      </c>
      <c r="S2586" s="162">
        <f>SUM(Sales[Net Amount])</f>
        <v>406839287.73200053</v>
      </c>
    </row>
    <row r="2587" spans="1:19" ht="18.75" x14ac:dyDescent="0.25">
      <c r="A2587" s="156" t="s">
        <v>6218</v>
      </c>
      <c r="B2587" s="157">
        <v>45908</v>
      </c>
      <c r="C2587" s="158" t="s">
        <v>705</v>
      </c>
      <c r="D2587" s="159" t="str">
        <f>VLOOKUP(Sales[[#This Row],[Customer ID]],Customer[#All],2,0)</f>
        <v>Priya Verma</v>
      </c>
      <c r="E2587" s="158" t="s">
        <v>173</v>
      </c>
      <c r="F2587" s="158" t="str">
        <f>VLOOKUP(Sales[[#This Row],[Product ID]],Product[#All],2,0)</f>
        <v>HP Desktop</v>
      </c>
      <c r="G2587" s="159">
        <v>6</v>
      </c>
      <c r="H2587" s="160">
        <f>VLOOKUP(Sales[[#This Row],[Product ID]],Product[#All],7,0)</f>
        <v>69180</v>
      </c>
      <c r="I2587" s="160">
        <f>Sales[[#This Row],[Selling Rate]]*Sales[[#This Row],[Qty]]</f>
        <v>415080</v>
      </c>
      <c r="J2587" s="43">
        <v>0.02</v>
      </c>
      <c r="K2587" s="44">
        <f>Sales[[#This Row],[Gross Amount]]*Sales[[#This Row],[Disc %]]</f>
        <v>8301.6</v>
      </c>
      <c r="L2587" s="43">
        <v>0.18</v>
      </c>
      <c r="M2587" s="44">
        <f>(Sales[[#This Row],[Gross Amount]]-Sales[[#This Row],[Disc. Amt.]])*Sales[[#This Row],[GST %]]</f>
        <v>73220.112000000008</v>
      </c>
      <c r="N2587" s="161">
        <f>Sales[[#This Row],[Gross Amount]]-Sales[[#This Row],[Disc. Amt.]]+Sales[[#This Row],[GST Amount]]</f>
        <v>479998.51200000005</v>
      </c>
      <c r="O2587" s="158" t="s">
        <v>3561</v>
      </c>
      <c r="P2587" s="158" t="s">
        <v>3562</v>
      </c>
      <c r="Q2587" s="160">
        <f>IF(Sales[[#This Row],[Status]]="Cancelled",0,Sales[[#This Row],[Qty]])</f>
        <v>6</v>
      </c>
      <c r="R2587" s="161">
        <f>IF(Sales[[#This Row],[Status]]="Cancelled",0,Sales[[#This Row],[Total Amount]])</f>
        <v>479998.51200000005</v>
      </c>
      <c r="S2587" s="162">
        <f>SUM(Sales[Net Amount])</f>
        <v>406839287.73200053</v>
      </c>
    </row>
    <row r="2588" spans="1:19" ht="18.75" x14ac:dyDescent="0.25">
      <c r="A2588" s="163" t="s">
        <v>6219</v>
      </c>
      <c r="B2588" s="164">
        <v>45908</v>
      </c>
      <c r="C2588" s="34" t="s">
        <v>832</v>
      </c>
      <c r="D2588" s="53" t="str">
        <f>VLOOKUP(Sales[[#This Row],[Customer ID]],Customer[#All],2,0)</f>
        <v>Vikas Sharma</v>
      </c>
      <c r="E2588" s="34" t="s">
        <v>436</v>
      </c>
      <c r="F2588" s="34" t="str">
        <f>VLOOKUP(Sales[[#This Row],[Product ID]],Product[#All],2,0)</f>
        <v>Amazon Basics Hdmi Cable</v>
      </c>
      <c r="G2588" s="53">
        <v>1</v>
      </c>
      <c r="H2588" s="165">
        <f>VLOOKUP(Sales[[#This Row],[Product ID]],Product[#All],7,0)</f>
        <v>860</v>
      </c>
      <c r="I2588" s="165">
        <f>Sales[[#This Row],[Selling Rate]]*Sales[[#This Row],[Qty]]</f>
        <v>860</v>
      </c>
      <c r="J2588" s="45">
        <v>0</v>
      </c>
      <c r="K2588" s="46">
        <f>Sales[[#This Row],[Gross Amount]]*Sales[[#This Row],[Disc %]]</f>
        <v>0</v>
      </c>
      <c r="L2588" s="43">
        <v>0.18</v>
      </c>
      <c r="M2588" s="46">
        <f>(Sales[[#This Row],[Gross Amount]]-Sales[[#This Row],[Disc. Amt.]])*Sales[[#This Row],[GST %]]</f>
        <v>154.79999999999998</v>
      </c>
      <c r="N2588" s="161">
        <f>Sales[[#This Row],[Gross Amount]]-Sales[[#This Row],[Disc. Amt.]]+Sales[[#This Row],[GST Amount]]</f>
        <v>1014.8</v>
      </c>
      <c r="O2588" s="34" t="s">
        <v>3566</v>
      </c>
      <c r="P2588" s="34" t="s">
        <v>3562</v>
      </c>
      <c r="Q2588" s="165">
        <f>IF(Sales[[#This Row],[Status]]="Cancelled",0,Sales[[#This Row],[Qty]])</f>
        <v>1</v>
      </c>
      <c r="R2588" s="166">
        <f>IF(Sales[[#This Row],[Status]]="Cancelled",0,Sales[[#This Row],[Total Amount]])</f>
        <v>1014.8</v>
      </c>
      <c r="S2588" s="162">
        <f>SUM(Sales[Net Amount])</f>
        <v>406839287.73200053</v>
      </c>
    </row>
    <row r="2589" spans="1:19" ht="18.75" x14ac:dyDescent="0.25">
      <c r="A2589" s="156" t="s">
        <v>6220</v>
      </c>
      <c r="B2589" s="157">
        <v>45908</v>
      </c>
      <c r="C2589" s="158" t="s">
        <v>752</v>
      </c>
      <c r="D2589" s="159" t="str">
        <f>VLOOKUP(Sales[[#This Row],[Customer ID]],Customer[#All],2,0)</f>
        <v>Pooja Patel</v>
      </c>
      <c r="E2589" s="158" t="s">
        <v>316</v>
      </c>
      <c r="F2589" s="158" t="str">
        <f>VLOOKUP(Sales[[#This Row],[Product ID]],Product[#All],2,0)</f>
        <v>TP-link Router</v>
      </c>
      <c r="G2589" s="159">
        <v>7</v>
      </c>
      <c r="H2589" s="160">
        <f>VLOOKUP(Sales[[#This Row],[Product ID]],Product[#All],7,0)</f>
        <v>3750</v>
      </c>
      <c r="I2589" s="160">
        <f>Sales[[#This Row],[Selling Rate]]*Sales[[#This Row],[Qty]]</f>
        <v>26250</v>
      </c>
      <c r="J2589" s="43">
        <v>0.05</v>
      </c>
      <c r="K2589" s="44">
        <f>Sales[[#This Row],[Gross Amount]]*Sales[[#This Row],[Disc %]]</f>
        <v>1312.5</v>
      </c>
      <c r="L2589" s="43">
        <v>0.18</v>
      </c>
      <c r="M2589" s="44">
        <f>(Sales[[#This Row],[Gross Amount]]-Sales[[#This Row],[Disc. Amt.]])*Sales[[#This Row],[GST %]]</f>
        <v>4488.75</v>
      </c>
      <c r="N2589" s="161">
        <f>Sales[[#This Row],[Gross Amount]]-Sales[[#This Row],[Disc. Amt.]]+Sales[[#This Row],[GST Amount]]</f>
        <v>29426.25</v>
      </c>
      <c r="O2589" s="158" t="s">
        <v>3569</v>
      </c>
      <c r="P2589" s="158" t="s">
        <v>3562</v>
      </c>
      <c r="Q2589" s="160">
        <f>IF(Sales[[#This Row],[Status]]="Cancelled",0,Sales[[#This Row],[Qty]])</f>
        <v>7</v>
      </c>
      <c r="R2589" s="161">
        <f>IF(Sales[[#This Row],[Status]]="Cancelled",0,Sales[[#This Row],[Total Amount]])</f>
        <v>29426.25</v>
      </c>
      <c r="S2589" s="162">
        <f>SUM(Sales[Net Amount])</f>
        <v>406839287.73200053</v>
      </c>
    </row>
    <row r="2590" spans="1:19" ht="18.75" x14ac:dyDescent="0.25">
      <c r="A2590" s="163" t="s">
        <v>6221</v>
      </c>
      <c r="B2590" s="164">
        <v>45908</v>
      </c>
      <c r="C2590" s="34" t="s">
        <v>803</v>
      </c>
      <c r="D2590" s="53" t="str">
        <f>VLOOKUP(Sales[[#This Row],[Customer ID]],Customer[#All],2,0)</f>
        <v>Pooja Singh</v>
      </c>
      <c r="E2590" s="34" t="s">
        <v>194</v>
      </c>
      <c r="F2590" s="34" t="str">
        <f>VLOOKUP(Sales[[#This Row],[Product ID]],Product[#All],2,0)</f>
        <v>Crucial Ssd</v>
      </c>
      <c r="G2590" s="53">
        <v>8</v>
      </c>
      <c r="H2590" s="165">
        <f>VLOOKUP(Sales[[#This Row],[Product ID]],Product[#All],7,0)</f>
        <v>6290</v>
      </c>
      <c r="I2590" s="165">
        <f>Sales[[#This Row],[Selling Rate]]*Sales[[#This Row],[Qty]]</f>
        <v>50320</v>
      </c>
      <c r="J2590" s="45">
        <v>0.02</v>
      </c>
      <c r="K2590" s="46">
        <f>Sales[[#This Row],[Gross Amount]]*Sales[[#This Row],[Disc %]]</f>
        <v>1006.4</v>
      </c>
      <c r="L2590" s="43">
        <v>0.18</v>
      </c>
      <c r="M2590" s="46">
        <f>(Sales[[#This Row],[Gross Amount]]-Sales[[#This Row],[Disc. Amt.]])*Sales[[#This Row],[GST %]]</f>
        <v>8876.4479999999985</v>
      </c>
      <c r="N2590" s="161">
        <f>Sales[[#This Row],[Gross Amount]]-Sales[[#This Row],[Disc. Amt.]]+Sales[[#This Row],[GST Amount]]</f>
        <v>58190.047999999995</v>
      </c>
      <c r="O2590" s="34" t="s">
        <v>3566</v>
      </c>
      <c r="P2590" s="34" t="s">
        <v>3562</v>
      </c>
      <c r="Q2590" s="165">
        <f>IF(Sales[[#This Row],[Status]]="Cancelled",0,Sales[[#This Row],[Qty]])</f>
        <v>8</v>
      </c>
      <c r="R2590" s="166">
        <f>IF(Sales[[#This Row],[Status]]="Cancelled",0,Sales[[#This Row],[Total Amount]])</f>
        <v>58190.047999999995</v>
      </c>
      <c r="S2590" s="162">
        <f>SUM(Sales[Net Amount])</f>
        <v>406839287.73200053</v>
      </c>
    </row>
    <row r="2591" spans="1:19" ht="18.75" x14ac:dyDescent="0.25">
      <c r="A2591" s="156" t="s">
        <v>6222</v>
      </c>
      <c r="B2591" s="157">
        <v>45908</v>
      </c>
      <c r="C2591" s="158" t="s">
        <v>781</v>
      </c>
      <c r="D2591" s="159" t="str">
        <f>VLOOKUP(Sales[[#This Row],[Customer ID]],Customer[#All],2,0)</f>
        <v>Vikas Sharma</v>
      </c>
      <c r="E2591" s="158" t="s">
        <v>255</v>
      </c>
      <c r="F2591" s="158" t="str">
        <f>VLOOKUP(Sales[[#This Row],[Product ID]],Product[#All],2,0)</f>
        <v>Acer Laptop</v>
      </c>
      <c r="G2591" s="159">
        <v>5</v>
      </c>
      <c r="H2591" s="160">
        <f>VLOOKUP(Sales[[#This Row],[Product ID]],Product[#All],7,0)</f>
        <v>62430</v>
      </c>
      <c r="I2591" s="160">
        <f>Sales[[#This Row],[Selling Rate]]*Sales[[#This Row],[Qty]]</f>
        <v>312150</v>
      </c>
      <c r="J2591" s="43">
        <v>0.15</v>
      </c>
      <c r="K2591" s="44">
        <f>Sales[[#This Row],[Gross Amount]]*Sales[[#This Row],[Disc %]]</f>
        <v>46822.5</v>
      </c>
      <c r="L2591" s="43">
        <v>0.18</v>
      </c>
      <c r="M2591" s="44">
        <f>(Sales[[#This Row],[Gross Amount]]-Sales[[#This Row],[Disc. Amt.]])*Sales[[#This Row],[GST %]]</f>
        <v>47758.95</v>
      </c>
      <c r="N2591" s="161">
        <f>Sales[[#This Row],[Gross Amount]]-Sales[[#This Row],[Disc. Amt.]]+Sales[[#This Row],[GST Amount]]</f>
        <v>313086.45</v>
      </c>
      <c r="O2591" s="158" t="s">
        <v>8876</v>
      </c>
      <c r="P2591" s="158" t="s">
        <v>3562</v>
      </c>
      <c r="Q2591" s="160">
        <f>IF(Sales[[#This Row],[Status]]="Cancelled",0,Sales[[#This Row],[Qty]])</f>
        <v>5</v>
      </c>
      <c r="R2591" s="161">
        <f>IF(Sales[[#This Row],[Status]]="Cancelled",0,Sales[[#This Row],[Total Amount]])</f>
        <v>313086.45</v>
      </c>
      <c r="S2591" s="162">
        <f>SUM(Sales[Net Amount])</f>
        <v>406839287.73200053</v>
      </c>
    </row>
    <row r="2592" spans="1:19" ht="18.75" x14ac:dyDescent="0.25">
      <c r="A2592" s="163" t="s">
        <v>6223</v>
      </c>
      <c r="B2592" s="164">
        <v>45908</v>
      </c>
      <c r="C2592" s="34" t="s">
        <v>694</v>
      </c>
      <c r="D2592" s="53" t="str">
        <f>VLOOKUP(Sales[[#This Row],[Customer ID]],Customer[#All],2,0)</f>
        <v>Amit Sharma</v>
      </c>
      <c r="E2592" s="34" t="s">
        <v>393</v>
      </c>
      <c r="F2592" s="34" t="str">
        <f>VLOOKUP(Sales[[#This Row],[Product ID]],Product[#All],2,0)</f>
        <v>American TouristerLaptopBag</v>
      </c>
      <c r="G2592" s="53">
        <v>4</v>
      </c>
      <c r="H2592" s="165">
        <f>VLOOKUP(Sales[[#This Row],[Product ID]],Product[#All],7,0)</f>
        <v>3240</v>
      </c>
      <c r="I2592" s="165">
        <f>Sales[[#This Row],[Selling Rate]]*Sales[[#This Row],[Qty]]</f>
        <v>12960</v>
      </c>
      <c r="J2592" s="45">
        <v>0.15</v>
      </c>
      <c r="K2592" s="46">
        <f>Sales[[#This Row],[Gross Amount]]*Sales[[#This Row],[Disc %]]</f>
        <v>1944</v>
      </c>
      <c r="L2592" s="43">
        <v>0.18</v>
      </c>
      <c r="M2592" s="46">
        <f>(Sales[[#This Row],[Gross Amount]]-Sales[[#This Row],[Disc. Amt.]])*Sales[[#This Row],[GST %]]</f>
        <v>1982.8799999999999</v>
      </c>
      <c r="N2592" s="161">
        <f>Sales[[#This Row],[Gross Amount]]-Sales[[#This Row],[Disc. Amt.]]+Sales[[#This Row],[GST Amount]]</f>
        <v>12998.88</v>
      </c>
      <c r="O2592" s="34" t="s">
        <v>3561</v>
      </c>
      <c r="P2592" s="34" t="s">
        <v>3562</v>
      </c>
      <c r="Q2592" s="165">
        <f>IF(Sales[[#This Row],[Status]]="Cancelled",0,Sales[[#This Row],[Qty]])</f>
        <v>4</v>
      </c>
      <c r="R2592" s="166">
        <f>IF(Sales[[#This Row],[Status]]="Cancelled",0,Sales[[#This Row],[Total Amount]])</f>
        <v>12998.88</v>
      </c>
      <c r="S2592" s="162">
        <f>SUM(Sales[Net Amount])</f>
        <v>406839287.73200053</v>
      </c>
    </row>
    <row r="2593" spans="1:19" ht="18.75" x14ac:dyDescent="0.25">
      <c r="A2593" s="156" t="s">
        <v>6224</v>
      </c>
      <c r="B2593" s="157">
        <v>45908</v>
      </c>
      <c r="C2593" s="158" t="s">
        <v>936</v>
      </c>
      <c r="D2593" s="159" t="str">
        <f>VLOOKUP(Sales[[#This Row],[Customer ID]],Customer[#All],2,0)</f>
        <v>Pooja Patel</v>
      </c>
      <c r="E2593" s="158" t="s">
        <v>36</v>
      </c>
      <c r="F2593" s="158" t="str">
        <f>VLOOKUP(Sales[[#This Row],[Product ID]],Product[#All],2,0)</f>
        <v>TP-link Wi-Fi Adapter</v>
      </c>
      <c r="G2593" s="159">
        <v>7</v>
      </c>
      <c r="H2593" s="160">
        <f>VLOOKUP(Sales[[#This Row],[Product ID]],Product[#All],7,0)</f>
        <v>2790</v>
      </c>
      <c r="I2593" s="160">
        <f>Sales[[#This Row],[Selling Rate]]*Sales[[#This Row],[Qty]]</f>
        <v>19530</v>
      </c>
      <c r="J2593" s="43">
        <v>0.15</v>
      </c>
      <c r="K2593" s="44">
        <f>Sales[[#This Row],[Gross Amount]]*Sales[[#This Row],[Disc %]]</f>
        <v>2929.5</v>
      </c>
      <c r="L2593" s="43">
        <v>0.18</v>
      </c>
      <c r="M2593" s="44">
        <f>(Sales[[#This Row],[Gross Amount]]-Sales[[#This Row],[Disc. Amt.]])*Sales[[#This Row],[GST %]]</f>
        <v>2988.0899999999997</v>
      </c>
      <c r="N2593" s="161">
        <f>Sales[[#This Row],[Gross Amount]]-Sales[[#This Row],[Disc. Amt.]]+Sales[[#This Row],[GST Amount]]</f>
        <v>19588.59</v>
      </c>
      <c r="O2593" s="158" t="s">
        <v>3561</v>
      </c>
      <c r="P2593" s="158" t="s">
        <v>3562</v>
      </c>
      <c r="Q2593" s="160">
        <f>IF(Sales[[#This Row],[Status]]="Cancelled",0,Sales[[#This Row],[Qty]])</f>
        <v>7</v>
      </c>
      <c r="R2593" s="161">
        <f>IF(Sales[[#This Row],[Status]]="Cancelled",0,Sales[[#This Row],[Total Amount]])</f>
        <v>19588.59</v>
      </c>
      <c r="S2593" s="162">
        <f>SUM(Sales[Net Amount])</f>
        <v>406839287.73200053</v>
      </c>
    </row>
    <row r="2594" spans="1:19" ht="18.75" x14ac:dyDescent="0.25">
      <c r="A2594" s="163" t="s">
        <v>6225</v>
      </c>
      <c r="B2594" s="164">
        <v>45908</v>
      </c>
      <c r="C2594" s="34" t="s">
        <v>785</v>
      </c>
      <c r="D2594" s="53" t="str">
        <f>VLOOKUP(Sales[[#This Row],[Customer ID]],Customer[#All],2,0)</f>
        <v>Ankit Gupta</v>
      </c>
      <c r="E2594" s="34" t="s">
        <v>451</v>
      </c>
      <c r="F2594" s="34" t="str">
        <f>VLOOKUP(Sales[[#This Row],[Product ID]],Product[#All],2,0)</f>
        <v>HP Printer</v>
      </c>
      <c r="G2594" s="53">
        <v>4</v>
      </c>
      <c r="H2594" s="165">
        <f>VLOOKUP(Sales[[#This Row],[Product ID]],Product[#All],7,0)</f>
        <v>36160</v>
      </c>
      <c r="I2594" s="165">
        <f>Sales[[#This Row],[Selling Rate]]*Sales[[#This Row],[Qty]]</f>
        <v>144640</v>
      </c>
      <c r="J2594" s="45">
        <v>0.15</v>
      </c>
      <c r="K2594" s="46">
        <f>Sales[[#This Row],[Gross Amount]]*Sales[[#This Row],[Disc %]]</f>
        <v>21696</v>
      </c>
      <c r="L2594" s="43">
        <v>0.18</v>
      </c>
      <c r="M2594" s="46">
        <f>(Sales[[#This Row],[Gross Amount]]-Sales[[#This Row],[Disc. Amt.]])*Sales[[#This Row],[GST %]]</f>
        <v>22129.919999999998</v>
      </c>
      <c r="N2594" s="161">
        <f>Sales[[#This Row],[Gross Amount]]-Sales[[#This Row],[Disc. Amt.]]+Sales[[#This Row],[GST Amount]]</f>
        <v>145073.91999999998</v>
      </c>
      <c r="O2594" s="34" t="s">
        <v>3569</v>
      </c>
      <c r="P2594" s="34" t="s">
        <v>3562</v>
      </c>
      <c r="Q2594" s="165">
        <f>IF(Sales[[#This Row],[Status]]="Cancelled",0,Sales[[#This Row],[Qty]])</f>
        <v>4</v>
      </c>
      <c r="R2594" s="166">
        <f>IF(Sales[[#This Row],[Status]]="Cancelled",0,Sales[[#This Row],[Total Amount]])</f>
        <v>145073.91999999998</v>
      </c>
      <c r="S2594" s="162">
        <f>SUM(Sales[Net Amount])</f>
        <v>406839287.73200053</v>
      </c>
    </row>
    <row r="2595" spans="1:19" ht="18.75" x14ac:dyDescent="0.25">
      <c r="A2595" s="156" t="s">
        <v>6226</v>
      </c>
      <c r="B2595" s="157">
        <v>45908</v>
      </c>
      <c r="C2595" s="158" t="s">
        <v>790</v>
      </c>
      <c r="D2595" s="159" t="str">
        <f>VLOOKUP(Sales[[#This Row],[Customer ID]],Customer[#All],2,0)</f>
        <v>Pooja Gupta</v>
      </c>
      <c r="E2595" s="158" t="s">
        <v>318</v>
      </c>
      <c r="F2595" s="158" t="str">
        <f>VLOOKUP(Sales[[#This Row],[Product ID]],Product[#All],2,0)</f>
        <v>HP Printer</v>
      </c>
      <c r="G2595" s="159">
        <v>2</v>
      </c>
      <c r="H2595" s="160">
        <f>VLOOKUP(Sales[[#This Row],[Product ID]],Product[#All],7,0)</f>
        <v>30590</v>
      </c>
      <c r="I2595" s="160">
        <f>Sales[[#This Row],[Selling Rate]]*Sales[[#This Row],[Qty]]</f>
        <v>61180</v>
      </c>
      <c r="J2595" s="43">
        <v>0.02</v>
      </c>
      <c r="K2595" s="44">
        <f>Sales[[#This Row],[Gross Amount]]*Sales[[#This Row],[Disc %]]</f>
        <v>1223.6000000000001</v>
      </c>
      <c r="L2595" s="43">
        <v>0.18</v>
      </c>
      <c r="M2595" s="44">
        <f>(Sales[[#This Row],[Gross Amount]]-Sales[[#This Row],[Disc. Amt.]])*Sales[[#This Row],[GST %]]</f>
        <v>10792.152</v>
      </c>
      <c r="N2595" s="161">
        <f>Sales[[#This Row],[Gross Amount]]-Sales[[#This Row],[Disc. Amt.]]+Sales[[#This Row],[GST Amount]]</f>
        <v>70748.551999999996</v>
      </c>
      <c r="O2595" s="158" t="s">
        <v>3561</v>
      </c>
      <c r="P2595" s="158" t="s">
        <v>3562</v>
      </c>
      <c r="Q2595" s="160">
        <f>IF(Sales[[#This Row],[Status]]="Cancelled",0,Sales[[#This Row],[Qty]])</f>
        <v>2</v>
      </c>
      <c r="R2595" s="161">
        <f>IF(Sales[[#This Row],[Status]]="Cancelled",0,Sales[[#This Row],[Total Amount]])</f>
        <v>70748.551999999996</v>
      </c>
      <c r="S2595" s="162">
        <f>SUM(Sales[Net Amount])</f>
        <v>406839287.73200053</v>
      </c>
    </row>
    <row r="2596" spans="1:19" ht="18.75" x14ac:dyDescent="0.25">
      <c r="A2596" s="163" t="s">
        <v>6227</v>
      </c>
      <c r="B2596" s="164">
        <v>45909</v>
      </c>
      <c r="C2596" s="34" t="s">
        <v>6228</v>
      </c>
      <c r="D2596" s="53" t="str">
        <f>VLOOKUP(Sales[[#This Row],[Customer ID]],Customer[#All],2,0)</f>
        <v>Rakesh Gupta</v>
      </c>
      <c r="E2596" s="34" t="s">
        <v>550</v>
      </c>
      <c r="F2596" s="34" t="str">
        <f>VLOOKUP(Sales[[#This Row],[Product ID]],Product[#All],2,0)</f>
        <v>TP-link Wi-Fi Adapter</v>
      </c>
      <c r="G2596" s="53">
        <v>6</v>
      </c>
      <c r="H2596" s="165">
        <f>VLOOKUP(Sales[[#This Row],[Product ID]],Product[#All],7,0)</f>
        <v>1300</v>
      </c>
      <c r="I2596" s="165">
        <f>Sales[[#This Row],[Selling Rate]]*Sales[[#This Row],[Qty]]</f>
        <v>7800</v>
      </c>
      <c r="J2596" s="45">
        <v>0.05</v>
      </c>
      <c r="K2596" s="46">
        <f>Sales[[#This Row],[Gross Amount]]*Sales[[#This Row],[Disc %]]</f>
        <v>390</v>
      </c>
      <c r="L2596" s="43">
        <v>0.18</v>
      </c>
      <c r="M2596" s="46">
        <f>(Sales[[#This Row],[Gross Amount]]-Sales[[#This Row],[Disc. Amt.]])*Sales[[#This Row],[GST %]]</f>
        <v>1333.8</v>
      </c>
      <c r="N2596" s="161">
        <f>Sales[[#This Row],[Gross Amount]]-Sales[[#This Row],[Disc. Amt.]]+Sales[[#This Row],[GST Amount]]</f>
        <v>8743.7999999999993</v>
      </c>
      <c r="O2596" s="34" t="s">
        <v>8876</v>
      </c>
      <c r="P2596" s="34" t="s">
        <v>3562</v>
      </c>
      <c r="Q2596" s="165">
        <f>IF(Sales[[#This Row],[Status]]="Cancelled",0,Sales[[#This Row],[Qty]])</f>
        <v>6</v>
      </c>
      <c r="R2596" s="166">
        <f>IF(Sales[[#This Row],[Status]]="Cancelled",0,Sales[[#This Row],[Total Amount]])</f>
        <v>8743.7999999999993</v>
      </c>
      <c r="S2596" s="162">
        <f>SUM(Sales[Net Amount])</f>
        <v>406839287.73200053</v>
      </c>
    </row>
    <row r="2597" spans="1:19" ht="18.75" x14ac:dyDescent="0.25">
      <c r="A2597" s="156" t="s">
        <v>6229</v>
      </c>
      <c r="B2597" s="157">
        <v>45909</v>
      </c>
      <c r="C2597" s="158" t="s">
        <v>914</v>
      </c>
      <c r="D2597" s="159" t="str">
        <f>VLOOKUP(Sales[[#This Row],[Customer ID]],Customer[#All],2,0)</f>
        <v>Rakesh Patel</v>
      </c>
      <c r="E2597" s="158" t="s">
        <v>331</v>
      </c>
      <c r="F2597" s="158" t="str">
        <f>VLOOKUP(Sales[[#This Row],[Product ID]],Product[#All],2,0)</f>
        <v>Dell Keyboard</v>
      </c>
      <c r="G2597" s="159">
        <v>3</v>
      </c>
      <c r="H2597" s="160">
        <f>VLOOKUP(Sales[[#This Row],[Product ID]],Product[#All],7,0)</f>
        <v>2070</v>
      </c>
      <c r="I2597" s="160">
        <f>Sales[[#This Row],[Selling Rate]]*Sales[[#This Row],[Qty]]</f>
        <v>6210</v>
      </c>
      <c r="J2597" s="43">
        <v>0.05</v>
      </c>
      <c r="K2597" s="44">
        <f>Sales[[#This Row],[Gross Amount]]*Sales[[#This Row],[Disc %]]</f>
        <v>310.5</v>
      </c>
      <c r="L2597" s="43">
        <v>0.18</v>
      </c>
      <c r="M2597" s="44">
        <f>(Sales[[#This Row],[Gross Amount]]-Sales[[#This Row],[Disc. Amt.]])*Sales[[#This Row],[GST %]]</f>
        <v>1061.9099999999999</v>
      </c>
      <c r="N2597" s="161">
        <f>Sales[[#This Row],[Gross Amount]]-Sales[[#This Row],[Disc. Amt.]]+Sales[[#This Row],[GST Amount]]</f>
        <v>6961.41</v>
      </c>
      <c r="O2597" s="158" t="s">
        <v>3566</v>
      </c>
      <c r="P2597" s="158" t="s">
        <v>3562</v>
      </c>
      <c r="Q2597" s="160">
        <f>IF(Sales[[#This Row],[Status]]="Cancelled",0,Sales[[#This Row],[Qty]])</f>
        <v>3</v>
      </c>
      <c r="R2597" s="161">
        <f>IF(Sales[[#This Row],[Status]]="Cancelled",0,Sales[[#This Row],[Total Amount]])</f>
        <v>6961.41</v>
      </c>
      <c r="S2597" s="162">
        <f>SUM(Sales[Net Amount])</f>
        <v>406839287.73200053</v>
      </c>
    </row>
    <row r="2598" spans="1:19" ht="18.75" x14ac:dyDescent="0.25">
      <c r="A2598" s="163" t="s">
        <v>6230</v>
      </c>
      <c r="B2598" s="164">
        <v>45909</v>
      </c>
      <c r="C2598" s="34" t="s">
        <v>844</v>
      </c>
      <c r="D2598" s="53" t="str">
        <f>VLOOKUP(Sales[[#This Row],[Customer ID]],Customer[#All],2,0)</f>
        <v>Rahul Sharma</v>
      </c>
      <c r="E2598" s="34" t="s">
        <v>315</v>
      </c>
      <c r="F2598" s="34" t="str">
        <f>VLOOKUP(Sales[[#This Row],[Product ID]],Product[#All],2,0)</f>
        <v>Jbl Headset</v>
      </c>
      <c r="G2598" s="53">
        <v>2</v>
      </c>
      <c r="H2598" s="165">
        <f>VLOOKUP(Sales[[#This Row],[Product ID]],Product[#All],7,0)</f>
        <v>2630</v>
      </c>
      <c r="I2598" s="165">
        <f>Sales[[#This Row],[Selling Rate]]*Sales[[#This Row],[Qty]]</f>
        <v>5260</v>
      </c>
      <c r="J2598" s="45">
        <v>0</v>
      </c>
      <c r="K2598" s="46">
        <f>Sales[[#This Row],[Gross Amount]]*Sales[[#This Row],[Disc %]]</f>
        <v>0</v>
      </c>
      <c r="L2598" s="43">
        <v>0.18</v>
      </c>
      <c r="M2598" s="46">
        <f>(Sales[[#This Row],[Gross Amount]]-Sales[[#This Row],[Disc. Amt.]])*Sales[[#This Row],[GST %]]</f>
        <v>946.8</v>
      </c>
      <c r="N2598" s="161">
        <f>Sales[[#This Row],[Gross Amount]]-Sales[[#This Row],[Disc. Amt.]]+Sales[[#This Row],[GST Amount]]</f>
        <v>6206.8</v>
      </c>
      <c r="O2598" s="34" t="s">
        <v>8876</v>
      </c>
      <c r="P2598" s="34" t="s">
        <v>3562</v>
      </c>
      <c r="Q2598" s="165">
        <f>IF(Sales[[#This Row],[Status]]="Cancelled",0,Sales[[#This Row],[Qty]])</f>
        <v>2</v>
      </c>
      <c r="R2598" s="166">
        <f>IF(Sales[[#This Row],[Status]]="Cancelled",0,Sales[[#This Row],[Total Amount]])</f>
        <v>6206.8</v>
      </c>
      <c r="S2598" s="162">
        <f>SUM(Sales[Net Amount])</f>
        <v>406839287.73200053</v>
      </c>
    </row>
    <row r="2599" spans="1:19" ht="18.75" x14ac:dyDescent="0.25">
      <c r="A2599" s="156" t="s">
        <v>6231</v>
      </c>
      <c r="B2599" s="157">
        <v>45909</v>
      </c>
      <c r="C2599" s="158" t="s">
        <v>8727</v>
      </c>
      <c r="D2599" s="159" t="str">
        <f>VLOOKUP(Sales[[#This Row],[Customer ID]],Customer[#All],2,0)</f>
        <v>Ankit Gupta</v>
      </c>
      <c r="E2599" s="158" t="s">
        <v>384</v>
      </c>
      <c r="F2599" s="158" t="str">
        <f>VLOOKUP(Sales[[#This Row],[Product ID]],Product[#All],2,0)</f>
        <v>Samsung Ssd</v>
      </c>
      <c r="G2599" s="159">
        <v>5</v>
      </c>
      <c r="H2599" s="160">
        <f>VLOOKUP(Sales[[#This Row],[Product ID]],Product[#All],7,0)</f>
        <v>14770</v>
      </c>
      <c r="I2599" s="160">
        <f>Sales[[#This Row],[Selling Rate]]*Sales[[#This Row],[Qty]]</f>
        <v>73850</v>
      </c>
      <c r="J2599" s="43">
        <v>0.05</v>
      </c>
      <c r="K2599" s="44">
        <f>Sales[[#This Row],[Gross Amount]]*Sales[[#This Row],[Disc %]]</f>
        <v>3692.5</v>
      </c>
      <c r="L2599" s="43">
        <v>0.18</v>
      </c>
      <c r="M2599" s="44">
        <f>(Sales[[#This Row],[Gross Amount]]-Sales[[#This Row],[Disc. Amt.]])*Sales[[#This Row],[GST %]]</f>
        <v>12628.35</v>
      </c>
      <c r="N2599" s="161">
        <f>Sales[[#This Row],[Gross Amount]]-Sales[[#This Row],[Disc. Amt.]]+Sales[[#This Row],[GST Amount]]</f>
        <v>82785.850000000006</v>
      </c>
      <c r="O2599" s="158" t="s">
        <v>3561</v>
      </c>
      <c r="P2599" s="158" t="s">
        <v>3562</v>
      </c>
      <c r="Q2599" s="160">
        <f>IF(Sales[[#This Row],[Status]]="Cancelled",0,Sales[[#This Row],[Qty]])</f>
        <v>5</v>
      </c>
      <c r="R2599" s="161">
        <f>IF(Sales[[#This Row],[Status]]="Cancelled",0,Sales[[#This Row],[Total Amount]])</f>
        <v>82785.850000000006</v>
      </c>
      <c r="S2599" s="162">
        <f>SUM(Sales[Net Amount])</f>
        <v>406839287.73200053</v>
      </c>
    </row>
    <row r="2600" spans="1:19" ht="18.75" x14ac:dyDescent="0.25">
      <c r="A2600" s="163" t="s">
        <v>6232</v>
      </c>
      <c r="B2600" s="164">
        <v>45909</v>
      </c>
      <c r="C2600" s="34" t="s">
        <v>816</v>
      </c>
      <c r="D2600" s="53" t="str">
        <f>VLOOKUP(Sales[[#This Row],[Customer ID]],Customer[#All],2,0)</f>
        <v>Amit Patel</v>
      </c>
      <c r="E2600" s="34" t="s">
        <v>385</v>
      </c>
      <c r="F2600" s="34" t="str">
        <f>VLOOKUP(Sales[[#This Row],[Product ID]],Product[#All],2,0)</f>
        <v>Boat Headset</v>
      </c>
      <c r="G2600" s="53">
        <v>3</v>
      </c>
      <c r="H2600" s="165">
        <f>VLOOKUP(Sales[[#This Row],[Product ID]],Product[#All],7,0)</f>
        <v>1280</v>
      </c>
      <c r="I2600" s="165">
        <f>Sales[[#This Row],[Selling Rate]]*Sales[[#This Row],[Qty]]</f>
        <v>3840</v>
      </c>
      <c r="J2600" s="45">
        <v>0.05</v>
      </c>
      <c r="K2600" s="46">
        <f>Sales[[#This Row],[Gross Amount]]*Sales[[#This Row],[Disc %]]</f>
        <v>192</v>
      </c>
      <c r="L2600" s="43">
        <v>0.18</v>
      </c>
      <c r="M2600" s="46">
        <f>(Sales[[#This Row],[Gross Amount]]-Sales[[#This Row],[Disc. Amt.]])*Sales[[#This Row],[GST %]]</f>
        <v>656.64</v>
      </c>
      <c r="N2600" s="161">
        <f>Sales[[#This Row],[Gross Amount]]-Sales[[#This Row],[Disc. Amt.]]+Sales[[#This Row],[GST Amount]]</f>
        <v>4304.6400000000003</v>
      </c>
      <c r="O2600" s="34" t="s">
        <v>3561</v>
      </c>
      <c r="P2600" s="34" t="s">
        <v>3562</v>
      </c>
      <c r="Q2600" s="165">
        <f>IF(Sales[[#This Row],[Status]]="Cancelled",0,Sales[[#This Row],[Qty]])</f>
        <v>3</v>
      </c>
      <c r="R2600" s="166">
        <f>IF(Sales[[#This Row],[Status]]="Cancelled",0,Sales[[#This Row],[Total Amount]])</f>
        <v>4304.6400000000003</v>
      </c>
      <c r="S2600" s="162">
        <f>SUM(Sales[Net Amount])</f>
        <v>406839287.73200053</v>
      </c>
    </row>
    <row r="2601" spans="1:19" ht="18.75" x14ac:dyDescent="0.25">
      <c r="A2601" s="156" t="s">
        <v>6233</v>
      </c>
      <c r="B2601" s="157">
        <v>45909</v>
      </c>
      <c r="C2601" s="158" t="s">
        <v>696</v>
      </c>
      <c r="D2601" s="159" t="str">
        <f>VLOOKUP(Sales[[#This Row],[Customer ID]],Customer[#All],2,0)</f>
        <v>Sunita Verma</v>
      </c>
      <c r="E2601" s="158" t="s">
        <v>134</v>
      </c>
      <c r="F2601" s="158" t="str">
        <f>VLOOKUP(Sales[[#This Row],[Product ID]],Product[#All],2,0)</f>
        <v>Logitech Keyboard</v>
      </c>
      <c r="G2601" s="159">
        <v>8</v>
      </c>
      <c r="H2601" s="160">
        <f>VLOOKUP(Sales[[#This Row],[Product ID]],Product[#All],7,0)</f>
        <v>4130</v>
      </c>
      <c r="I2601" s="160">
        <f>Sales[[#This Row],[Selling Rate]]*Sales[[#This Row],[Qty]]</f>
        <v>33040</v>
      </c>
      <c r="J2601" s="43">
        <v>0.05</v>
      </c>
      <c r="K2601" s="44">
        <f>Sales[[#This Row],[Gross Amount]]*Sales[[#This Row],[Disc %]]</f>
        <v>1652</v>
      </c>
      <c r="L2601" s="43">
        <v>0.18</v>
      </c>
      <c r="M2601" s="44">
        <f>(Sales[[#This Row],[Gross Amount]]-Sales[[#This Row],[Disc. Amt.]])*Sales[[#This Row],[GST %]]</f>
        <v>5649.84</v>
      </c>
      <c r="N2601" s="161">
        <f>Sales[[#This Row],[Gross Amount]]-Sales[[#This Row],[Disc. Amt.]]+Sales[[#This Row],[GST Amount]]</f>
        <v>37037.839999999997</v>
      </c>
      <c r="O2601" s="158" t="s">
        <v>3566</v>
      </c>
      <c r="P2601" s="158" t="s">
        <v>3562</v>
      </c>
      <c r="Q2601" s="160">
        <f>IF(Sales[[#This Row],[Status]]="Cancelled",0,Sales[[#This Row],[Qty]])</f>
        <v>8</v>
      </c>
      <c r="R2601" s="161">
        <f>IF(Sales[[#This Row],[Status]]="Cancelled",0,Sales[[#This Row],[Total Amount]])</f>
        <v>37037.839999999997</v>
      </c>
      <c r="S2601" s="162">
        <f>SUM(Sales[Net Amount])</f>
        <v>406839287.73200053</v>
      </c>
    </row>
    <row r="2602" spans="1:19" ht="18.75" x14ac:dyDescent="0.25">
      <c r="A2602" s="163" t="s">
        <v>6234</v>
      </c>
      <c r="B2602" s="164">
        <v>45909</v>
      </c>
      <c r="C2602" s="34" t="s">
        <v>905</v>
      </c>
      <c r="D2602" s="53" t="str">
        <f>VLOOKUP(Sales[[#This Row],[Customer ID]],Customer[#All],2,0)</f>
        <v>Rakesh Gupta</v>
      </c>
      <c r="E2602" s="34" t="s">
        <v>281</v>
      </c>
      <c r="F2602" s="34" t="str">
        <f>VLOOKUP(Sales[[#This Row],[Product ID]],Product[#All],2,0)</f>
        <v>Canon Printer</v>
      </c>
      <c r="G2602" s="53">
        <v>1</v>
      </c>
      <c r="H2602" s="165">
        <f>VLOOKUP(Sales[[#This Row],[Product ID]],Product[#All],7,0)</f>
        <v>11560</v>
      </c>
      <c r="I2602" s="165">
        <f>Sales[[#This Row],[Selling Rate]]*Sales[[#This Row],[Qty]]</f>
        <v>11560</v>
      </c>
      <c r="J2602" s="45">
        <v>0.02</v>
      </c>
      <c r="K2602" s="46">
        <f>Sales[[#This Row],[Gross Amount]]*Sales[[#This Row],[Disc %]]</f>
        <v>231.20000000000002</v>
      </c>
      <c r="L2602" s="43">
        <v>0.18</v>
      </c>
      <c r="M2602" s="46">
        <f>(Sales[[#This Row],[Gross Amount]]-Sales[[#This Row],[Disc. Amt.]])*Sales[[#This Row],[GST %]]</f>
        <v>2039.1839999999997</v>
      </c>
      <c r="N2602" s="161">
        <f>Sales[[#This Row],[Gross Amount]]-Sales[[#This Row],[Disc. Amt.]]+Sales[[#This Row],[GST Amount]]</f>
        <v>13367.983999999999</v>
      </c>
      <c r="O2602" s="34" t="s">
        <v>3569</v>
      </c>
      <c r="P2602" s="34" t="s">
        <v>3562</v>
      </c>
      <c r="Q2602" s="165">
        <f>IF(Sales[[#This Row],[Status]]="Cancelled",0,Sales[[#This Row],[Qty]])</f>
        <v>1</v>
      </c>
      <c r="R2602" s="166">
        <f>IF(Sales[[#This Row],[Status]]="Cancelled",0,Sales[[#This Row],[Total Amount]])</f>
        <v>13367.983999999999</v>
      </c>
      <c r="S2602" s="162">
        <f>SUM(Sales[Net Amount])</f>
        <v>406839287.73200053</v>
      </c>
    </row>
    <row r="2603" spans="1:19" ht="18.75" x14ac:dyDescent="0.25">
      <c r="A2603" s="156" t="s">
        <v>6235</v>
      </c>
      <c r="B2603" s="157">
        <v>45909</v>
      </c>
      <c r="C2603" s="158" t="s">
        <v>867</v>
      </c>
      <c r="D2603" s="159" t="str">
        <f>VLOOKUP(Sales[[#This Row],[Customer ID]],Customer[#All],2,0)</f>
        <v>Priya Gupta</v>
      </c>
      <c r="E2603" s="158" t="s">
        <v>519</v>
      </c>
      <c r="F2603" s="158" t="str">
        <f>VLOOKUP(Sales[[#This Row],[Product ID]],Product[#All],2,0)</f>
        <v>WD HDD</v>
      </c>
      <c r="G2603" s="159">
        <v>3</v>
      </c>
      <c r="H2603" s="160">
        <f>VLOOKUP(Sales[[#This Row],[Product ID]],Product[#All],7,0)</f>
        <v>8730</v>
      </c>
      <c r="I2603" s="160">
        <f>Sales[[#This Row],[Selling Rate]]*Sales[[#This Row],[Qty]]</f>
        <v>26190</v>
      </c>
      <c r="J2603" s="43">
        <v>0.02</v>
      </c>
      <c r="K2603" s="44">
        <f>Sales[[#This Row],[Gross Amount]]*Sales[[#This Row],[Disc %]]</f>
        <v>523.79999999999995</v>
      </c>
      <c r="L2603" s="43">
        <v>0.18</v>
      </c>
      <c r="M2603" s="44">
        <f>(Sales[[#This Row],[Gross Amount]]-Sales[[#This Row],[Disc. Amt.]])*Sales[[#This Row],[GST %]]</f>
        <v>4619.9160000000002</v>
      </c>
      <c r="N2603" s="161">
        <f>Sales[[#This Row],[Gross Amount]]-Sales[[#This Row],[Disc. Amt.]]+Sales[[#This Row],[GST Amount]]</f>
        <v>30286.116000000002</v>
      </c>
      <c r="O2603" s="158" t="s">
        <v>3569</v>
      </c>
      <c r="P2603" s="158" t="s">
        <v>3562</v>
      </c>
      <c r="Q2603" s="160">
        <f>IF(Sales[[#This Row],[Status]]="Cancelled",0,Sales[[#This Row],[Qty]])</f>
        <v>3</v>
      </c>
      <c r="R2603" s="161">
        <f>IF(Sales[[#This Row],[Status]]="Cancelled",0,Sales[[#This Row],[Total Amount]])</f>
        <v>30286.116000000002</v>
      </c>
      <c r="S2603" s="162">
        <f>SUM(Sales[Net Amount])</f>
        <v>406839287.73200053</v>
      </c>
    </row>
    <row r="2604" spans="1:19" ht="18.75" x14ac:dyDescent="0.25">
      <c r="A2604" s="163" t="s">
        <v>6236</v>
      </c>
      <c r="B2604" s="164">
        <v>45909</v>
      </c>
      <c r="C2604" s="34" t="s">
        <v>854</v>
      </c>
      <c r="D2604" s="53" t="str">
        <f>VLOOKUP(Sales[[#This Row],[Customer ID]],Customer[#All],2,0)</f>
        <v>Neha Sharma</v>
      </c>
      <c r="E2604" s="34" t="s">
        <v>56</v>
      </c>
      <c r="F2604" s="34" t="str">
        <f>VLOOKUP(Sales[[#This Row],[Product ID]],Product[#All],2,0)</f>
        <v>Boat Headset</v>
      </c>
      <c r="G2604" s="53">
        <v>6</v>
      </c>
      <c r="H2604" s="165">
        <f>VLOOKUP(Sales[[#This Row],[Product ID]],Product[#All],7,0)</f>
        <v>4140</v>
      </c>
      <c r="I2604" s="165">
        <f>Sales[[#This Row],[Selling Rate]]*Sales[[#This Row],[Qty]]</f>
        <v>24840</v>
      </c>
      <c r="J2604" s="45">
        <v>0.05</v>
      </c>
      <c r="K2604" s="46">
        <f>Sales[[#This Row],[Gross Amount]]*Sales[[#This Row],[Disc %]]</f>
        <v>1242</v>
      </c>
      <c r="L2604" s="43">
        <v>0.18</v>
      </c>
      <c r="M2604" s="46">
        <f>(Sales[[#This Row],[Gross Amount]]-Sales[[#This Row],[Disc. Amt.]])*Sales[[#This Row],[GST %]]</f>
        <v>4247.6399999999994</v>
      </c>
      <c r="N2604" s="161">
        <f>Sales[[#This Row],[Gross Amount]]-Sales[[#This Row],[Disc. Amt.]]+Sales[[#This Row],[GST Amount]]</f>
        <v>27845.64</v>
      </c>
      <c r="O2604" s="34" t="s">
        <v>3569</v>
      </c>
      <c r="P2604" s="34" t="s">
        <v>1040</v>
      </c>
      <c r="Q2604" s="165">
        <f>IF(Sales[[#This Row],[Status]]="Cancelled",0,Sales[[#This Row],[Qty]])</f>
        <v>0</v>
      </c>
      <c r="R2604" s="166">
        <f>IF(Sales[[#This Row],[Status]]="Cancelled",0,Sales[[#This Row],[Total Amount]])</f>
        <v>0</v>
      </c>
      <c r="S2604" s="162">
        <f>SUM(Sales[Net Amount])</f>
        <v>406839287.73200053</v>
      </c>
    </row>
    <row r="2605" spans="1:19" ht="18.75" x14ac:dyDescent="0.25">
      <c r="A2605" s="156" t="s">
        <v>6237</v>
      </c>
      <c r="B2605" s="157">
        <v>45909</v>
      </c>
      <c r="C2605" s="158" t="s">
        <v>762</v>
      </c>
      <c r="D2605" s="159" t="str">
        <f>VLOOKUP(Sales[[#This Row],[Customer ID]],Customer[#All],2,0)</f>
        <v>Amit Patel</v>
      </c>
      <c r="E2605" s="158" t="s">
        <v>433</v>
      </c>
      <c r="F2605" s="158" t="str">
        <f>VLOOKUP(Sales[[#This Row],[Product ID]],Product[#All],2,0)</f>
        <v>Seagate HDD</v>
      </c>
      <c r="G2605" s="159">
        <v>6</v>
      </c>
      <c r="H2605" s="160">
        <f>VLOOKUP(Sales[[#This Row],[Product ID]],Product[#All],7,0)</f>
        <v>13910</v>
      </c>
      <c r="I2605" s="160">
        <f>Sales[[#This Row],[Selling Rate]]*Sales[[#This Row],[Qty]]</f>
        <v>83460</v>
      </c>
      <c r="J2605" s="43">
        <v>0.1</v>
      </c>
      <c r="K2605" s="44">
        <f>Sales[[#This Row],[Gross Amount]]*Sales[[#This Row],[Disc %]]</f>
        <v>8346</v>
      </c>
      <c r="L2605" s="43">
        <v>0.18</v>
      </c>
      <c r="M2605" s="44">
        <f>(Sales[[#This Row],[Gross Amount]]-Sales[[#This Row],[Disc. Amt.]])*Sales[[#This Row],[GST %]]</f>
        <v>13520.519999999999</v>
      </c>
      <c r="N2605" s="161">
        <f>Sales[[#This Row],[Gross Amount]]-Sales[[#This Row],[Disc. Amt.]]+Sales[[#This Row],[GST Amount]]</f>
        <v>88634.52</v>
      </c>
      <c r="O2605" s="158" t="s">
        <v>3561</v>
      </c>
      <c r="P2605" s="158" t="s">
        <v>3562</v>
      </c>
      <c r="Q2605" s="160">
        <f>IF(Sales[[#This Row],[Status]]="Cancelled",0,Sales[[#This Row],[Qty]])</f>
        <v>6</v>
      </c>
      <c r="R2605" s="161">
        <f>IF(Sales[[#This Row],[Status]]="Cancelled",0,Sales[[#This Row],[Total Amount]])</f>
        <v>88634.52</v>
      </c>
      <c r="S2605" s="162">
        <f>SUM(Sales[Net Amount])</f>
        <v>406839287.73200053</v>
      </c>
    </row>
    <row r="2606" spans="1:19" ht="18.75" x14ac:dyDescent="0.25">
      <c r="A2606" s="163" t="s">
        <v>6238</v>
      </c>
      <c r="B2606" s="164">
        <v>45909</v>
      </c>
      <c r="C2606" s="34" t="s">
        <v>926</v>
      </c>
      <c r="D2606" s="53" t="str">
        <f>VLOOKUP(Sales[[#This Row],[Customer ID]],Customer[#All],2,0)</f>
        <v>Pooja Singh</v>
      </c>
      <c r="E2606" s="34" t="s">
        <v>286</v>
      </c>
      <c r="F2606" s="34" t="str">
        <f>VLOOKUP(Sales[[#This Row],[Product ID]],Product[#All],2,0)</f>
        <v>HP Laptop</v>
      </c>
      <c r="G2606" s="53">
        <v>1</v>
      </c>
      <c r="H2606" s="165">
        <f>VLOOKUP(Sales[[#This Row],[Product ID]],Product[#All],7,0)</f>
        <v>62100</v>
      </c>
      <c r="I2606" s="165">
        <f>Sales[[#This Row],[Selling Rate]]*Sales[[#This Row],[Qty]]</f>
        <v>62100</v>
      </c>
      <c r="J2606" s="45">
        <v>0.05</v>
      </c>
      <c r="K2606" s="46">
        <f>Sales[[#This Row],[Gross Amount]]*Sales[[#This Row],[Disc %]]</f>
        <v>3105</v>
      </c>
      <c r="L2606" s="43">
        <v>0.18</v>
      </c>
      <c r="M2606" s="46">
        <f>(Sales[[#This Row],[Gross Amount]]-Sales[[#This Row],[Disc. Amt.]])*Sales[[#This Row],[GST %]]</f>
        <v>10619.1</v>
      </c>
      <c r="N2606" s="161">
        <f>Sales[[#This Row],[Gross Amount]]-Sales[[#This Row],[Disc. Amt.]]+Sales[[#This Row],[GST Amount]]</f>
        <v>69614.100000000006</v>
      </c>
      <c r="O2606" s="34" t="s">
        <v>8876</v>
      </c>
      <c r="P2606" s="34" t="s">
        <v>3562</v>
      </c>
      <c r="Q2606" s="165">
        <f>IF(Sales[[#This Row],[Status]]="Cancelled",0,Sales[[#This Row],[Qty]])</f>
        <v>1</v>
      </c>
      <c r="R2606" s="166">
        <f>IF(Sales[[#This Row],[Status]]="Cancelled",0,Sales[[#This Row],[Total Amount]])</f>
        <v>69614.100000000006</v>
      </c>
      <c r="S2606" s="162">
        <f>SUM(Sales[Net Amount])</f>
        <v>406839287.73200053</v>
      </c>
    </row>
    <row r="2607" spans="1:19" ht="18.75" x14ac:dyDescent="0.25">
      <c r="A2607" s="156" t="s">
        <v>6239</v>
      </c>
      <c r="B2607" s="157">
        <v>45909</v>
      </c>
      <c r="C2607" s="158" t="s">
        <v>681</v>
      </c>
      <c r="D2607" s="159" t="str">
        <f>VLOOKUP(Sales[[#This Row],[Customer ID]],Customer[#All],2,0)</f>
        <v>Amit Kumar</v>
      </c>
      <c r="E2607" s="158" t="s">
        <v>303</v>
      </c>
      <c r="F2607" s="158" t="str">
        <f>VLOOKUP(Sales[[#This Row],[Product ID]],Product[#All],2,0)</f>
        <v>Crucial Ssd</v>
      </c>
      <c r="G2607" s="159">
        <v>2</v>
      </c>
      <c r="H2607" s="160">
        <f>VLOOKUP(Sales[[#This Row],[Product ID]],Product[#All],7,0)</f>
        <v>7740</v>
      </c>
      <c r="I2607" s="160">
        <f>Sales[[#This Row],[Selling Rate]]*Sales[[#This Row],[Qty]]</f>
        <v>15480</v>
      </c>
      <c r="J2607" s="43">
        <v>0.02</v>
      </c>
      <c r="K2607" s="44">
        <f>Sales[[#This Row],[Gross Amount]]*Sales[[#This Row],[Disc %]]</f>
        <v>309.60000000000002</v>
      </c>
      <c r="L2607" s="43">
        <v>0.18</v>
      </c>
      <c r="M2607" s="44">
        <f>(Sales[[#This Row],[Gross Amount]]-Sales[[#This Row],[Disc. Amt.]])*Sales[[#This Row],[GST %]]</f>
        <v>2730.672</v>
      </c>
      <c r="N2607" s="161">
        <f>Sales[[#This Row],[Gross Amount]]-Sales[[#This Row],[Disc. Amt.]]+Sales[[#This Row],[GST Amount]]</f>
        <v>17901.072</v>
      </c>
      <c r="O2607" s="158" t="s">
        <v>3569</v>
      </c>
      <c r="P2607" s="158" t="s">
        <v>3562</v>
      </c>
      <c r="Q2607" s="160">
        <f>IF(Sales[[#This Row],[Status]]="Cancelled",0,Sales[[#This Row],[Qty]])</f>
        <v>2</v>
      </c>
      <c r="R2607" s="161">
        <f>IF(Sales[[#This Row],[Status]]="Cancelled",0,Sales[[#This Row],[Total Amount]])</f>
        <v>17901.072</v>
      </c>
      <c r="S2607" s="162">
        <f>SUM(Sales[Net Amount])</f>
        <v>406839287.73200053</v>
      </c>
    </row>
    <row r="2608" spans="1:19" ht="18.75" x14ac:dyDescent="0.25">
      <c r="A2608" s="163" t="s">
        <v>6240</v>
      </c>
      <c r="B2608" s="164">
        <v>45909</v>
      </c>
      <c r="C2608" s="34" t="s">
        <v>806</v>
      </c>
      <c r="D2608" s="53" t="str">
        <f>VLOOKUP(Sales[[#This Row],[Customer ID]],Customer[#All],2,0)</f>
        <v>Vikas Singh</v>
      </c>
      <c r="E2608" s="34" t="s">
        <v>453</v>
      </c>
      <c r="F2608" s="34" t="str">
        <f>VLOOKUP(Sales[[#This Row],[Product ID]],Product[#All],2,0)</f>
        <v>American TouristerLaptopBag</v>
      </c>
      <c r="G2608" s="53">
        <v>8</v>
      </c>
      <c r="H2608" s="165">
        <f>VLOOKUP(Sales[[#This Row],[Product ID]],Product[#All],7,0)</f>
        <v>3050</v>
      </c>
      <c r="I2608" s="165">
        <f>Sales[[#This Row],[Selling Rate]]*Sales[[#This Row],[Qty]]</f>
        <v>24400</v>
      </c>
      <c r="J2608" s="45">
        <v>0.1</v>
      </c>
      <c r="K2608" s="46">
        <f>Sales[[#This Row],[Gross Amount]]*Sales[[#This Row],[Disc %]]</f>
        <v>2440</v>
      </c>
      <c r="L2608" s="43">
        <v>0.18</v>
      </c>
      <c r="M2608" s="46">
        <f>(Sales[[#This Row],[Gross Amount]]-Sales[[#This Row],[Disc. Amt.]])*Sales[[#This Row],[GST %]]</f>
        <v>3952.7999999999997</v>
      </c>
      <c r="N2608" s="161">
        <f>Sales[[#This Row],[Gross Amount]]-Sales[[#This Row],[Disc. Amt.]]+Sales[[#This Row],[GST Amount]]</f>
        <v>25912.799999999999</v>
      </c>
      <c r="O2608" s="34" t="s">
        <v>3569</v>
      </c>
      <c r="P2608" s="34" t="s">
        <v>3562</v>
      </c>
      <c r="Q2608" s="165">
        <f>IF(Sales[[#This Row],[Status]]="Cancelled",0,Sales[[#This Row],[Qty]])</f>
        <v>8</v>
      </c>
      <c r="R2608" s="166">
        <f>IF(Sales[[#This Row],[Status]]="Cancelled",0,Sales[[#This Row],[Total Amount]])</f>
        <v>25912.799999999999</v>
      </c>
      <c r="S2608" s="162">
        <f>SUM(Sales[Net Amount])</f>
        <v>406839287.73200053</v>
      </c>
    </row>
    <row r="2609" spans="1:19" ht="18.75" x14ac:dyDescent="0.25">
      <c r="A2609" s="156" t="s">
        <v>6241</v>
      </c>
      <c r="B2609" s="157">
        <v>45909</v>
      </c>
      <c r="C2609" s="158" t="s">
        <v>867</v>
      </c>
      <c r="D2609" s="159" t="str">
        <f>VLOOKUP(Sales[[#This Row],[Customer ID]],Customer[#All],2,0)</f>
        <v>Priya Gupta</v>
      </c>
      <c r="E2609" s="158" t="s">
        <v>291</v>
      </c>
      <c r="F2609" s="158" t="str">
        <f>VLOOKUP(Sales[[#This Row],[Product ID]],Product[#All],2,0)</f>
        <v>Jbl Speaker</v>
      </c>
      <c r="G2609" s="159">
        <v>2</v>
      </c>
      <c r="H2609" s="160">
        <f>VLOOKUP(Sales[[#This Row],[Product ID]],Product[#All],7,0)</f>
        <v>12040</v>
      </c>
      <c r="I2609" s="160">
        <f>Sales[[#This Row],[Selling Rate]]*Sales[[#This Row],[Qty]]</f>
        <v>24080</v>
      </c>
      <c r="J2609" s="43">
        <v>0.12</v>
      </c>
      <c r="K2609" s="44">
        <f>Sales[[#This Row],[Gross Amount]]*Sales[[#This Row],[Disc %]]</f>
        <v>2889.6</v>
      </c>
      <c r="L2609" s="43">
        <v>0.18</v>
      </c>
      <c r="M2609" s="44">
        <f>(Sales[[#This Row],[Gross Amount]]-Sales[[#This Row],[Disc. Amt.]])*Sales[[#This Row],[GST %]]</f>
        <v>3814.2719999999999</v>
      </c>
      <c r="N2609" s="161">
        <f>Sales[[#This Row],[Gross Amount]]-Sales[[#This Row],[Disc. Amt.]]+Sales[[#This Row],[GST Amount]]</f>
        <v>25004.672000000002</v>
      </c>
      <c r="O2609" s="158" t="s">
        <v>8876</v>
      </c>
      <c r="P2609" s="158" t="s">
        <v>3562</v>
      </c>
      <c r="Q2609" s="160">
        <f>IF(Sales[[#This Row],[Status]]="Cancelled",0,Sales[[#This Row],[Qty]])</f>
        <v>2</v>
      </c>
      <c r="R2609" s="161">
        <f>IF(Sales[[#This Row],[Status]]="Cancelled",0,Sales[[#This Row],[Total Amount]])</f>
        <v>25004.672000000002</v>
      </c>
      <c r="S2609" s="162">
        <f>SUM(Sales[Net Amount])</f>
        <v>406839287.73200053</v>
      </c>
    </row>
    <row r="2610" spans="1:19" ht="18.75" x14ac:dyDescent="0.25">
      <c r="A2610" s="163" t="s">
        <v>6242</v>
      </c>
      <c r="B2610" s="164">
        <v>45909</v>
      </c>
      <c r="C2610" s="34" t="s">
        <v>938</v>
      </c>
      <c r="D2610" s="53" t="str">
        <f>VLOOKUP(Sales[[#This Row],[Customer ID]],Customer[#All],2,0)</f>
        <v>Sunita Sharma</v>
      </c>
      <c r="E2610" s="34" t="s">
        <v>263</v>
      </c>
      <c r="F2610" s="34" t="str">
        <f>VLOOKUP(Sales[[#This Row],[Product ID]],Product[#All],2,0)</f>
        <v>Amazon Basics Hdmi Cable</v>
      </c>
      <c r="G2610" s="53">
        <v>3</v>
      </c>
      <c r="H2610" s="165">
        <f>VLOOKUP(Sales[[#This Row],[Product ID]],Product[#All],7,0)</f>
        <v>770</v>
      </c>
      <c r="I2610" s="165">
        <f>Sales[[#This Row],[Selling Rate]]*Sales[[#This Row],[Qty]]</f>
        <v>2310</v>
      </c>
      <c r="J2610" s="45">
        <v>0.05</v>
      </c>
      <c r="K2610" s="46">
        <f>Sales[[#This Row],[Gross Amount]]*Sales[[#This Row],[Disc %]]</f>
        <v>115.5</v>
      </c>
      <c r="L2610" s="43">
        <v>0.18</v>
      </c>
      <c r="M2610" s="46">
        <f>(Sales[[#This Row],[Gross Amount]]-Sales[[#This Row],[Disc. Amt.]])*Sales[[#This Row],[GST %]]</f>
        <v>395.01</v>
      </c>
      <c r="N2610" s="161">
        <f>Sales[[#This Row],[Gross Amount]]-Sales[[#This Row],[Disc. Amt.]]+Sales[[#This Row],[GST Amount]]</f>
        <v>2589.5100000000002</v>
      </c>
      <c r="O2610" s="34" t="s">
        <v>8876</v>
      </c>
      <c r="P2610" s="34" t="s">
        <v>3562</v>
      </c>
      <c r="Q2610" s="165">
        <f>IF(Sales[[#This Row],[Status]]="Cancelled",0,Sales[[#This Row],[Qty]])</f>
        <v>3</v>
      </c>
      <c r="R2610" s="166">
        <f>IF(Sales[[#This Row],[Status]]="Cancelled",0,Sales[[#This Row],[Total Amount]])</f>
        <v>2589.5100000000002</v>
      </c>
      <c r="S2610" s="162">
        <f>SUM(Sales[Net Amount])</f>
        <v>406839287.73200053</v>
      </c>
    </row>
    <row r="2611" spans="1:19" ht="18.75" x14ac:dyDescent="0.25">
      <c r="A2611" s="156" t="s">
        <v>6243</v>
      </c>
      <c r="B2611" s="157">
        <v>45909</v>
      </c>
      <c r="C2611" s="158" t="s">
        <v>730</v>
      </c>
      <c r="D2611" s="159" t="str">
        <f>VLOOKUP(Sales[[#This Row],[Customer ID]],Customer[#All],2,0)</f>
        <v>Neha Verma</v>
      </c>
      <c r="E2611" s="158" t="s">
        <v>246</v>
      </c>
      <c r="F2611" s="158" t="str">
        <f>VLOOKUP(Sales[[#This Row],[Product ID]],Product[#All],2,0)</f>
        <v>PortronicsLaptopStand</v>
      </c>
      <c r="G2611" s="159">
        <v>3</v>
      </c>
      <c r="H2611" s="160">
        <f>VLOOKUP(Sales[[#This Row],[Product ID]],Product[#All],7,0)</f>
        <v>1600</v>
      </c>
      <c r="I2611" s="160">
        <f>Sales[[#This Row],[Selling Rate]]*Sales[[#This Row],[Qty]]</f>
        <v>4800</v>
      </c>
      <c r="J2611" s="43">
        <v>0.05</v>
      </c>
      <c r="K2611" s="44">
        <f>Sales[[#This Row],[Gross Amount]]*Sales[[#This Row],[Disc %]]</f>
        <v>240</v>
      </c>
      <c r="L2611" s="43">
        <v>0.18</v>
      </c>
      <c r="M2611" s="44">
        <f>(Sales[[#This Row],[Gross Amount]]-Sales[[#This Row],[Disc. Amt.]])*Sales[[#This Row],[GST %]]</f>
        <v>820.8</v>
      </c>
      <c r="N2611" s="161">
        <f>Sales[[#This Row],[Gross Amount]]-Sales[[#This Row],[Disc. Amt.]]+Sales[[#This Row],[GST Amount]]</f>
        <v>5380.8</v>
      </c>
      <c r="O2611" s="158" t="s">
        <v>8876</v>
      </c>
      <c r="P2611" s="158" t="s">
        <v>3562</v>
      </c>
      <c r="Q2611" s="160">
        <f>IF(Sales[[#This Row],[Status]]="Cancelled",0,Sales[[#This Row],[Qty]])</f>
        <v>3</v>
      </c>
      <c r="R2611" s="161">
        <f>IF(Sales[[#This Row],[Status]]="Cancelled",0,Sales[[#This Row],[Total Amount]])</f>
        <v>5380.8</v>
      </c>
      <c r="S2611" s="162">
        <f>SUM(Sales[Net Amount])</f>
        <v>406839287.73200053</v>
      </c>
    </row>
    <row r="2612" spans="1:19" ht="18.75" x14ac:dyDescent="0.25">
      <c r="A2612" s="163" t="s">
        <v>6244</v>
      </c>
      <c r="B2612" s="164">
        <v>45909</v>
      </c>
      <c r="C2612" s="34" t="s">
        <v>750</v>
      </c>
      <c r="D2612" s="53" t="str">
        <f>VLOOKUP(Sales[[#This Row],[Customer ID]],Customer[#All],2,0)</f>
        <v>Rakesh Verma</v>
      </c>
      <c r="E2612" s="34" t="s">
        <v>460</v>
      </c>
      <c r="F2612" s="34" t="str">
        <f>VLOOKUP(Sales[[#This Row],[Product ID]],Product[#All],2,0)</f>
        <v>Logitech Keyboard</v>
      </c>
      <c r="G2612" s="53">
        <v>1</v>
      </c>
      <c r="H2612" s="165">
        <f>VLOOKUP(Sales[[#This Row],[Product ID]],Product[#All],7,0)</f>
        <v>3050</v>
      </c>
      <c r="I2612" s="165">
        <f>Sales[[#This Row],[Selling Rate]]*Sales[[#This Row],[Qty]]</f>
        <v>3050</v>
      </c>
      <c r="J2612" s="45">
        <v>0</v>
      </c>
      <c r="K2612" s="46">
        <f>Sales[[#This Row],[Gross Amount]]*Sales[[#This Row],[Disc %]]</f>
        <v>0</v>
      </c>
      <c r="L2612" s="43">
        <v>0.18</v>
      </c>
      <c r="M2612" s="46">
        <f>(Sales[[#This Row],[Gross Amount]]-Sales[[#This Row],[Disc. Amt.]])*Sales[[#This Row],[GST %]]</f>
        <v>549</v>
      </c>
      <c r="N2612" s="161">
        <f>Sales[[#This Row],[Gross Amount]]-Sales[[#This Row],[Disc. Amt.]]+Sales[[#This Row],[GST Amount]]</f>
        <v>3599</v>
      </c>
      <c r="O2612" s="34" t="s">
        <v>3569</v>
      </c>
      <c r="P2612" s="34" t="s">
        <v>3562</v>
      </c>
      <c r="Q2612" s="165">
        <f>IF(Sales[[#This Row],[Status]]="Cancelled",0,Sales[[#This Row],[Qty]])</f>
        <v>1</v>
      </c>
      <c r="R2612" s="166">
        <f>IF(Sales[[#This Row],[Status]]="Cancelled",0,Sales[[#This Row],[Total Amount]])</f>
        <v>3599</v>
      </c>
      <c r="S2612" s="162">
        <f>SUM(Sales[Net Amount])</f>
        <v>406839287.73200053</v>
      </c>
    </row>
    <row r="2613" spans="1:19" ht="18.75" x14ac:dyDescent="0.25">
      <c r="A2613" s="156" t="s">
        <v>6245</v>
      </c>
      <c r="B2613" s="157">
        <v>45910</v>
      </c>
      <c r="C2613" s="158" t="s">
        <v>729</v>
      </c>
      <c r="D2613" s="159" t="str">
        <f>VLOOKUP(Sales[[#This Row],[Customer ID]],Customer[#All],2,0)</f>
        <v>Ankit Kumar</v>
      </c>
      <c r="E2613" s="158" t="s">
        <v>154</v>
      </c>
      <c r="F2613" s="158" t="str">
        <f>VLOOKUP(Sales[[#This Row],[Product ID]],Product[#All],2,0)</f>
        <v>Epson Printer</v>
      </c>
      <c r="G2613" s="159">
        <v>3</v>
      </c>
      <c r="H2613" s="160">
        <f>VLOOKUP(Sales[[#This Row],[Product ID]],Product[#All],7,0)</f>
        <v>46220</v>
      </c>
      <c r="I2613" s="160">
        <f>Sales[[#This Row],[Selling Rate]]*Sales[[#This Row],[Qty]]</f>
        <v>138660</v>
      </c>
      <c r="J2613" s="43">
        <v>0</v>
      </c>
      <c r="K2613" s="44">
        <f>Sales[[#This Row],[Gross Amount]]*Sales[[#This Row],[Disc %]]</f>
        <v>0</v>
      </c>
      <c r="L2613" s="43">
        <v>0.18</v>
      </c>
      <c r="M2613" s="44">
        <f>(Sales[[#This Row],[Gross Amount]]-Sales[[#This Row],[Disc. Amt.]])*Sales[[#This Row],[GST %]]</f>
        <v>24958.799999999999</v>
      </c>
      <c r="N2613" s="161">
        <f>Sales[[#This Row],[Gross Amount]]-Sales[[#This Row],[Disc. Amt.]]+Sales[[#This Row],[GST Amount]]</f>
        <v>163618.79999999999</v>
      </c>
      <c r="O2613" s="158" t="s">
        <v>3561</v>
      </c>
      <c r="P2613" s="158" t="s">
        <v>3562</v>
      </c>
      <c r="Q2613" s="160">
        <f>IF(Sales[[#This Row],[Status]]="Cancelled",0,Sales[[#This Row],[Qty]])</f>
        <v>3</v>
      </c>
      <c r="R2613" s="161">
        <f>IF(Sales[[#This Row],[Status]]="Cancelled",0,Sales[[#This Row],[Total Amount]])</f>
        <v>163618.79999999999</v>
      </c>
      <c r="S2613" s="162">
        <f>SUM(Sales[Net Amount])</f>
        <v>406839287.73200053</v>
      </c>
    </row>
    <row r="2614" spans="1:19" ht="18.75" x14ac:dyDescent="0.25">
      <c r="A2614" s="163" t="s">
        <v>6246</v>
      </c>
      <c r="B2614" s="164">
        <v>45910</v>
      </c>
      <c r="C2614" s="34" t="s">
        <v>669</v>
      </c>
      <c r="D2614" s="53" t="str">
        <f>VLOOKUP(Sales[[#This Row],[Customer ID]],Customer[#All],2,0)</f>
        <v>Sahil Kumar</v>
      </c>
      <c r="E2614" s="34" t="s">
        <v>497</v>
      </c>
      <c r="F2614" s="34" t="str">
        <f>VLOOKUP(Sales[[#This Row],[Product ID]],Product[#All],2,0)</f>
        <v>Boat Headset</v>
      </c>
      <c r="G2614" s="53">
        <v>6</v>
      </c>
      <c r="H2614" s="165">
        <f>VLOOKUP(Sales[[#This Row],[Product ID]],Product[#All],7,0)</f>
        <v>4930</v>
      </c>
      <c r="I2614" s="165">
        <f>Sales[[#This Row],[Selling Rate]]*Sales[[#This Row],[Qty]]</f>
        <v>29580</v>
      </c>
      <c r="J2614" s="45">
        <v>0.15</v>
      </c>
      <c r="K2614" s="46">
        <f>Sales[[#This Row],[Gross Amount]]*Sales[[#This Row],[Disc %]]</f>
        <v>4437</v>
      </c>
      <c r="L2614" s="43">
        <v>0.18</v>
      </c>
      <c r="M2614" s="46">
        <f>(Sales[[#This Row],[Gross Amount]]-Sales[[#This Row],[Disc. Amt.]])*Sales[[#This Row],[GST %]]</f>
        <v>4525.74</v>
      </c>
      <c r="N2614" s="161">
        <f>Sales[[#This Row],[Gross Amount]]-Sales[[#This Row],[Disc. Amt.]]+Sales[[#This Row],[GST Amount]]</f>
        <v>29668.739999999998</v>
      </c>
      <c r="O2614" s="34" t="s">
        <v>3569</v>
      </c>
      <c r="P2614" s="34" t="s">
        <v>3562</v>
      </c>
      <c r="Q2614" s="165">
        <f>IF(Sales[[#This Row],[Status]]="Cancelled",0,Sales[[#This Row],[Qty]])</f>
        <v>6</v>
      </c>
      <c r="R2614" s="166">
        <f>IF(Sales[[#This Row],[Status]]="Cancelled",0,Sales[[#This Row],[Total Amount]])</f>
        <v>29668.739999999998</v>
      </c>
      <c r="S2614" s="162">
        <f>SUM(Sales[Net Amount])</f>
        <v>406839287.73200053</v>
      </c>
    </row>
    <row r="2615" spans="1:19" ht="18.75" x14ac:dyDescent="0.25">
      <c r="A2615" s="156" t="s">
        <v>6247</v>
      </c>
      <c r="B2615" s="157">
        <v>45910</v>
      </c>
      <c r="C2615" s="158" t="s">
        <v>752</v>
      </c>
      <c r="D2615" s="159" t="str">
        <f>VLOOKUP(Sales[[#This Row],[Customer ID]],Customer[#All],2,0)</f>
        <v>Pooja Patel</v>
      </c>
      <c r="E2615" s="158" t="s">
        <v>283</v>
      </c>
      <c r="F2615" s="158" t="str">
        <f>VLOOKUP(Sales[[#This Row],[Product ID]],Product[#All],2,0)</f>
        <v>Lenovo Laptop</v>
      </c>
      <c r="G2615" s="159">
        <v>6</v>
      </c>
      <c r="H2615" s="160">
        <f>VLOOKUP(Sales[[#This Row],[Product ID]],Product[#All],7,0)</f>
        <v>36480</v>
      </c>
      <c r="I2615" s="160">
        <f>Sales[[#This Row],[Selling Rate]]*Sales[[#This Row],[Qty]]</f>
        <v>218880</v>
      </c>
      <c r="J2615" s="43">
        <v>0.02</v>
      </c>
      <c r="K2615" s="44">
        <f>Sales[[#This Row],[Gross Amount]]*Sales[[#This Row],[Disc %]]</f>
        <v>4377.6000000000004</v>
      </c>
      <c r="L2615" s="43">
        <v>0.18</v>
      </c>
      <c r="M2615" s="44">
        <f>(Sales[[#This Row],[Gross Amount]]-Sales[[#This Row],[Disc. Amt.]])*Sales[[#This Row],[GST %]]</f>
        <v>38610.432000000001</v>
      </c>
      <c r="N2615" s="161">
        <f>Sales[[#This Row],[Gross Amount]]-Sales[[#This Row],[Disc. Amt.]]+Sales[[#This Row],[GST Amount]]</f>
        <v>253112.83199999999</v>
      </c>
      <c r="O2615" s="158" t="s">
        <v>3569</v>
      </c>
      <c r="P2615" s="158" t="s">
        <v>3562</v>
      </c>
      <c r="Q2615" s="160">
        <f>IF(Sales[[#This Row],[Status]]="Cancelled",0,Sales[[#This Row],[Qty]])</f>
        <v>6</v>
      </c>
      <c r="R2615" s="161">
        <f>IF(Sales[[#This Row],[Status]]="Cancelled",0,Sales[[#This Row],[Total Amount]])</f>
        <v>253112.83199999999</v>
      </c>
      <c r="S2615" s="162">
        <f>SUM(Sales[Net Amount])</f>
        <v>406839287.73200053</v>
      </c>
    </row>
    <row r="2616" spans="1:19" ht="18.75" x14ac:dyDescent="0.25">
      <c r="A2616" s="163" t="s">
        <v>6248</v>
      </c>
      <c r="B2616" s="164">
        <v>45910</v>
      </c>
      <c r="C2616" s="34" t="s">
        <v>721</v>
      </c>
      <c r="D2616" s="53" t="str">
        <f>VLOOKUP(Sales[[#This Row],[Customer ID]],Customer[#All],2,0)</f>
        <v>Sahil Sharma</v>
      </c>
      <c r="E2616" s="34" t="s">
        <v>348</v>
      </c>
      <c r="F2616" s="34" t="str">
        <f>VLOOKUP(Sales[[#This Row],[Product ID]],Product[#All],2,0)</f>
        <v>Jbl Speaker</v>
      </c>
      <c r="G2616" s="53">
        <v>3</v>
      </c>
      <c r="H2616" s="165">
        <f>VLOOKUP(Sales[[#This Row],[Product ID]],Product[#All],7,0)</f>
        <v>6700</v>
      </c>
      <c r="I2616" s="165">
        <f>Sales[[#This Row],[Selling Rate]]*Sales[[#This Row],[Qty]]</f>
        <v>20100</v>
      </c>
      <c r="J2616" s="45">
        <v>0</v>
      </c>
      <c r="K2616" s="46">
        <f>Sales[[#This Row],[Gross Amount]]*Sales[[#This Row],[Disc %]]</f>
        <v>0</v>
      </c>
      <c r="L2616" s="43">
        <v>0.18</v>
      </c>
      <c r="M2616" s="46">
        <f>(Sales[[#This Row],[Gross Amount]]-Sales[[#This Row],[Disc. Amt.]])*Sales[[#This Row],[GST %]]</f>
        <v>3618</v>
      </c>
      <c r="N2616" s="161">
        <f>Sales[[#This Row],[Gross Amount]]-Sales[[#This Row],[Disc. Amt.]]+Sales[[#This Row],[GST Amount]]</f>
        <v>23718</v>
      </c>
      <c r="O2616" s="34" t="s">
        <v>8876</v>
      </c>
      <c r="P2616" s="34" t="s">
        <v>3562</v>
      </c>
      <c r="Q2616" s="165">
        <f>IF(Sales[[#This Row],[Status]]="Cancelled",0,Sales[[#This Row],[Qty]])</f>
        <v>3</v>
      </c>
      <c r="R2616" s="166">
        <f>IF(Sales[[#This Row],[Status]]="Cancelled",0,Sales[[#This Row],[Total Amount]])</f>
        <v>23718</v>
      </c>
      <c r="S2616" s="162">
        <f>SUM(Sales[Net Amount])</f>
        <v>406839287.73200053</v>
      </c>
    </row>
    <row r="2617" spans="1:19" ht="18.75" x14ac:dyDescent="0.25">
      <c r="A2617" s="156" t="s">
        <v>6249</v>
      </c>
      <c r="B2617" s="157">
        <v>45910</v>
      </c>
      <c r="C2617" s="158" t="s">
        <v>820</v>
      </c>
      <c r="D2617" s="159" t="str">
        <f>VLOOKUP(Sales[[#This Row],[Customer ID]],Customer[#All],2,0)</f>
        <v>Sahil Gupta</v>
      </c>
      <c r="E2617" s="158" t="s">
        <v>20</v>
      </c>
      <c r="F2617" s="158" t="str">
        <f>VLOOKUP(Sales[[#This Row],[Product ID]],Product[#All],2,0)</f>
        <v>Logitech Keyboard</v>
      </c>
      <c r="G2617" s="159">
        <v>1</v>
      </c>
      <c r="H2617" s="160">
        <f>VLOOKUP(Sales[[#This Row],[Product ID]],Product[#All],7,0)</f>
        <v>3290</v>
      </c>
      <c r="I2617" s="160">
        <f>Sales[[#This Row],[Selling Rate]]*Sales[[#This Row],[Qty]]</f>
        <v>3290</v>
      </c>
      <c r="J2617" s="43">
        <v>0</v>
      </c>
      <c r="K2617" s="44">
        <f>Sales[[#This Row],[Gross Amount]]*Sales[[#This Row],[Disc %]]</f>
        <v>0</v>
      </c>
      <c r="L2617" s="43">
        <v>0.18</v>
      </c>
      <c r="M2617" s="44">
        <f>(Sales[[#This Row],[Gross Amount]]-Sales[[#This Row],[Disc. Amt.]])*Sales[[#This Row],[GST %]]</f>
        <v>592.19999999999993</v>
      </c>
      <c r="N2617" s="161">
        <f>Sales[[#This Row],[Gross Amount]]-Sales[[#This Row],[Disc. Amt.]]+Sales[[#This Row],[GST Amount]]</f>
        <v>3882.2</v>
      </c>
      <c r="O2617" s="158" t="s">
        <v>3569</v>
      </c>
      <c r="P2617" s="158" t="s">
        <v>3562</v>
      </c>
      <c r="Q2617" s="160">
        <f>IF(Sales[[#This Row],[Status]]="Cancelled",0,Sales[[#This Row],[Qty]])</f>
        <v>1</v>
      </c>
      <c r="R2617" s="161">
        <f>IF(Sales[[#This Row],[Status]]="Cancelled",0,Sales[[#This Row],[Total Amount]])</f>
        <v>3882.2</v>
      </c>
      <c r="S2617" s="162">
        <f>SUM(Sales[Net Amount])</f>
        <v>406839287.73200053</v>
      </c>
    </row>
    <row r="2618" spans="1:19" ht="18.75" x14ac:dyDescent="0.25">
      <c r="A2618" s="163" t="s">
        <v>6250</v>
      </c>
      <c r="B2618" s="164">
        <v>45910</v>
      </c>
      <c r="C2618" s="34" t="s">
        <v>825</v>
      </c>
      <c r="D2618" s="53" t="str">
        <f>VLOOKUP(Sales[[#This Row],[Customer ID]],Customer[#All],2,0)</f>
        <v>Rahul Kumar</v>
      </c>
      <c r="E2618" s="34" t="s">
        <v>378</v>
      </c>
      <c r="F2618" s="34" t="str">
        <f>VLOOKUP(Sales[[#This Row],[Product ID]],Product[#All],2,0)</f>
        <v>Kingston Ram</v>
      </c>
      <c r="G2618" s="53">
        <v>3</v>
      </c>
      <c r="H2618" s="165">
        <f>VLOOKUP(Sales[[#This Row],[Product ID]],Product[#All],7,0)</f>
        <v>4420</v>
      </c>
      <c r="I2618" s="165">
        <f>Sales[[#This Row],[Selling Rate]]*Sales[[#This Row],[Qty]]</f>
        <v>13260</v>
      </c>
      <c r="J2618" s="45">
        <v>0.1</v>
      </c>
      <c r="K2618" s="46">
        <f>Sales[[#This Row],[Gross Amount]]*Sales[[#This Row],[Disc %]]</f>
        <v>1326</v>
      </c>
      <c r="L2618" s="43">
        <v>0.18</v>
      </c>
      <c r="M2618" s="46">
        <f>(Sales[[#This Row],[Gross Amount]]-Sales[[#This Row],[Disc. Amt.]])*Sales[[#This Row],[GST %]]</f>
        <v>2148.12</v>
      </c>
      <c r="N2618" s="161">
        <f>Sales[[#This Row],[Gross Amount]]-Sales[[#This Row],[Disc. Amt.]]+Sales[[#This Row],[GST Amount]]</f>
        <v>14082.119999999999</v>
      </c>
      <c r="O2618" s="34" t="s">
        <v>3561</v>
      </c>
      <c r="P2618" s="34" t="s">
        <v>1040</v>
      </c>
      <c r="Q2618" s="165">
        <f>IF(Sales[[#This Row],[Status]]="Cancelled",0,Sales[[#This Row],[Qty]])</f>
        <v>0</v>
      </c>
      <c r="R2618" s="166">
        <f>IF(Sales[[#This Row],[Status]]="Cancelled",0,Sales[[#This Row],[Total Amount]])</f>
        <v>0</v>
      </c>
      <c r="S2618" s="162">
        <f>SUM(Sales[Net Amount])</f>
        <v>406839287.73200053</v>
      </c>
    </row>
    <row r="2619" spans="1:19" ht="18.75" x14ac:dyDescent="0.25">
      <c r="A2619" s="156" t="s">
        <v>6251</v>
      </c>
      <c r="B2619" s="157">
        <v>45910</v>
      </c>
      <c r="C2619" s="158" t="s">
        <v>872</v>
      </c>
      <c r="D2619" s="159" t="str">
        <f>VLOOKUP(Sales[[#This Row],[Customer ID]],Customer[#All],2,0)</f>
        <v>Rahul Verma</v>
      </c>
      <c r="E2619" s="158" t="s">
        <v>500</v>
      </c>
      <c r="F2619" s="158" t="str">
        <f>VLOOKUP(Sales[[#This Row],[Product ID]],Product[#All],2,0)</f>
        <v>HP Power Adapter</v>
      </c>
      <c r="G2619" s="159">
        <v>6</v>
      </c>
      <c r="H2619" s="160">
        <f>VLOOKUP(Sales[[#This Row],[Product ID]],Product[#All],7,0)</f>
        <v>3160</v>
      </c>
      <c r="I2619" s="160">
        <f>Sales[[#This Row],[Selling Rate]]*Sales[[#This Row],[Qty]]</f>
        <v>18960</v>
      </c>
      <c r="J2619" s="43">
        <v>0</v>
      </c>
      <c r="K2619" s="44">
        <f>Sales[[#This Row],[Gross Amount]]*Sales[[#This Row],[Disc %]]</f>
        <v>0</v>
      </c>
      <c r="L2619" s="43">
        <v>0.18</v>
      </c>
      <c r="M2619" s="44">
        <f>(Sales[[#This Row],[Gross Amount]]-Sales[[#This Row],[Disc. Amt.]])*Sales[[#This Row],[GST %]]</f>
        <v>3412.7999999999997</v>
      </c>
      <c r="N2619" s="161">
        <f>Sales[[#This Row],[Gross Amount]]-Sales[[#This Row],[Disc. Amt.]]+Sales[[#This Row],[GST Amount]]</f>
        <v>22372.799999999999</v>
      </c>
      <c r="O2619" s="158" t="s">
        <v>3569</v>
      </c>
      <c r="P2619" s="158" t="s">
        <v>3562</v>
      </c>
      <c r="Q2619" s="160">
        <f>IF(Sales[[#This Row],[Status]]="Cancelled",0,Sales[[#This Row],[Qty]])</f>
        <v>6</v>
      </c>
      <c r="R2619" s="161">
        <f>IF(Sales[[#This Row],[Status]]="Cancelled",0,Sales[[#This Row],[Total Amount]])</f>
        <v>22372.799999999999</v>
      </c>
      <c r="S2619" s="162">
        <f>SUM(Sales[Net Amount])</f>
        <v>406839287.73200053</v>
      </c>
    </row>
    <row r="2620" spans="1:19" ht="18.75" x14ac:dyDescent="0.25">
      <c r="A2620" s="163" t="s">
        <v>6252</v>
      </c>
      <c r="B2620" s="164">
        <v>45910</v>
      </c>
      <c r="C2620" s="34" t="s">
        <v>854</v>
      </c>
      <c r="D2620" s="53" t="str">
        <f>VLOOKUP(Sales[[#This Row],[Customer ID]],Customer[#All],2,0)</f>
        <v>Neha Sharma</v>
      </c>
      <c r="E2620" s="34" t="s">
        <v>122</v>
      </c>
      <c r="F2620" s="34" t="str">
        <f>VLOOKUP(Sales[[#This Row],[Product ID]],Product[#All],2,0)</f>
        <v>HP Mouse</v>
      </c>
      <c r="G2620" s="53">
        <v>3</v>
      </c>
      <c r="H2620" s="165">
        <f>VLOOKUP(Sales[[#This Row],[Product ID]],Product[#All],7,0)</f>
        <v>1980</v>
      </c>
      <c r="I2620" s="165">
        <f>Sales[[#This Row],[Selling Rate]]*Sales[[#This Row],[Qty]]</f>
        <v>5940</v>
      </c>
      <c r="J2620" s="45">
        <v>0</v>
      </c>
      <c r="K2620" s="46">
        <f>Sales[[#This Row],[Gross Amount]]*Sales[[#This Row],[Disc %]]</f>
        <v>0</v>
      </c>
      <c r="L2620" s="43">
        <v>0.18</v>
      </c>
      <c r="M2620" s="46">
        <f>(Sales[[#This Row],[Gross Amount]]-Sales[[#This Row],[Disc. Amt.]])*Sales[[#This Row],[GST %]]</f>
        <v>1069.2</v>
      </c>
      <c r="N2620" s="161">
        <f>Sales[[#This Row],[Gross Amount]]-Sales[[#This Row],[Disc. Amt.]]+Sales[[#This Row],[GST Amount]]</f>
        <v>7009.2</v>
      </c>
      <c r="O2620" s="34" t="s">
        <v>3566</v>
      </c>
      <c r="P2620" s="34" t="s">
        <v>3562</v>
      </c>
      <c r="Q2620" s="165">
        <f>IF(Sales[[#This Row],[Status]]="Cancelled",0,Sales[[#This Row],[Qty]])</f>
        <v>3</v>
      </c>
      <c r="R2620" s="166">
        <f>IF(Sales[[#This Row],[Status]]="Cancelled",0,Sales[[#This Row],[Total Amount]])</f>
        <v>7009.2</v>
      </c>
      <c r="S2620" s="162">
        <f>SUM(Sales[Net Amount])</f>
        <v>406839287.73200053</v>
      </c>
    </row>
    <row r="2621" spans="1:19" ht="18.75" x14ac:dyDescent="0.25">
      <c r="A2621" s="156" t="s">
        <v>6253</v>
      </c>
      <c r="B2621" s="157">
        <v>45910</v>
      </c>
      <c r="C2621" s="158" t="s">
        <v>951</v>
      </c>
      <c r="D2621" s="159" t="str">
        <f>VLOOKUP(Sales[[#This Row],[Customer ID]],Customer[#All],2,0)</f>
        <v>Rahul Singh</v>
      </c>
      <c r="E2621" s="158" t="s">
        <v>550</v>
      </c>
      <c r="F2621" s="158" t="str">
        <f>VLOOKUP(Sales[[#This Row],[Product ID]],Product[#All],2,0)</f>
        <v>TP-link Wi-Fi Adapter</v>
      </c>
      <c r="G2621" s="159">
        <v>4</v>
      </c>
      <c r="H2621" s="160">
        <f>VLOOKUP(Sales[[#This Row],[Product ID]],Product[#All],7,0)</f>
        <v>1300</v>
      </c>
      <c r="I2621" s="160">
        <f>Sales[[#This Row],[Selling Rate]]*Sales[[#This Row],[Qty]]</f>
        <v>5200</v>
      </c>
      <c r="J2621" s="43">
        <v>0</v>
      </c>
      <c r="K2621" s="44">
        <f>Sales[[#This Row],[Gross Amount]]*Sales[[#This Row],[Disc %]]</f>
        <v>0</v>
      </c>
      <c r="L2621" s="43">
        <v>0.18</v>
      </c>
      <c r="M2621" s="44">
        <f>(Sales[[#This Row],[Gross Amount]]-Sales[[#This Row],[Disc. Amt.]])*Sales[[#This Row],[GST %]]</f>
        <v>936</v>
      </c>
      <c r="N2621" s="161">
        <f>Sales[[#This Row],[Gross Amount]]-Sales[[#This Row],[Disc. Amt.]]+Sales[[#This Row],[GST Amount]]</f>
        <v>6136</v>
      </c>
      <c r="O2621" s="158" t="s">
        <v>3569</v>
      </c>
      <c r="P2621" s="158" t="s">
        <v>1040</v>
      </c>
      <c r="Q2621" s="160">
        <f>IF(Sales[[#This Row],[Status]]="Cancelled",0,Sales[[#This Row],[Qty]])</f>
        <v>0</v>
      </c>
      <c r="R2621" s="161">
        <f>IF(Sales[[#This Row],[Status]]="Cancelled",0,Sales[[#This Row],[Total Amount]])</f>
        <v>0</v>
      </c>
      <c r="S2621" s="162">
        <f>SUM(Sales[Net Amount])</f>
        <v>406839287.73200053</v>
      </c>
    </row>
    <row r="2622" spans="1:19" ht="18.75" x14ac:dyDescent="0.25">
      <c r="A2622" s="163" t="s">
        <v>6254</v>
      </c>
      <c r="B2622" s="164">
        <v>45910</v>
      </c>
      <c r="C2622" s="34" t="s">
        <v>856</v>
      </c>
      <c r="D2622" s="53" t="str">
        <f>VLOOKUP(Sales[[#This Row],[Customer ID]],Customer[#All],2,0)</f>
        <v>Sunita Verma</v>
      </c>
      <c r="E2622" s="34" t="s">
        <v>457</v>
      </c>
      <c r="F2622" s="34" t="str">
        <f>VLOOKUP(Sales[[#This Row],[Product ID]],Product[#All],2,0)</f>
        <v>Dell Monitor</v>
      </c>
      <c r="G2622" s="53">
        <v>6</v>
      </c>
      <c r="H2622" s="165">
        <f>VLOOKUP(Sales[[#This Row],[Product ID]],Product[#All],7,0)</f>
        <v>25230</v>
      </c>
      <c r="I2622" s="165">
        <f>Sales[[#This Row],[Selling Rate]]*Sales[[#This Row],[Qty]]</f>
        <v>151380</v>
      </c>
      <c r="J2622" s="45">
        <v>0.02</v>
      </c>
      <c r="K2622" s="46">
        <f>Sales[[#This Row],[Gross Amount]]*Sales[[#This Row],[Disc %]]</f>
        <v>3027.6</v>
      </c>
      <c r="L2622" s="43">
        <v>0.18</v>
      </c>
      <c r="M2622" s="46">
        <f>(Sales[[#This Row],[Gross Amount]]-Sales[[#This Row],[Disc. Amt.]])*Sales[[#This Row],[GST %]]</f>
        <v>26703.431999999997</v>
      </c>
      <c r="N2622" s="161">
        <f>Sales[[#This Row],[Gross Amount]]-Sales[[#This Row],[Disc. Amt.]]+Sales[[#This Row],[GST Amount]]</f>
        <v>175055.83199999999</v>
      </c>
      <c r="O2622" s="34" t="s">
        <v>3569</v>
      </c>
      <c r="P2622" s="34" t="s">
        <v>3562</v>
      </c>
      <c r="Q2622" s="165">
        <f>IF(Sales[[#This Row],[Status]]="Cancelled",0,Sales[[#This Row],[Qty]])</f>
        <v>6</v>
      </c>
      <c r="R2622" s="166">
        <f>IF(Sales[[#This Row],[Status]]="Cancelled",0,Sales[[#This Row],[Total Amount]])</f>
        <v>175055.83199999999</v>
      </c>
      <c r="S2622" s="162">
        <f>SUM(Sales[Net Amount])</f>
        <v>406839287.73200053</v>
      </c>
    </row>
    <row r="2623" spans="1:19" ht="18.75" x14ac:dyDescent="0.25">
      <c r="A2623" s="156" t="s">
        <v>6255</v>
      </c>
      <c r="B2623" s="157">
        <v>45910</v>
      </c>
      <c r="C2623" s="158" t="s">
        <v>854</v>
      </c>
      <c r="D2623" s="159" t="str">
        <f>VLOOKUP(Sales[[#This Row],[Customer ID]],Customer[#All],2,0)</f>
        <v>Neha Sharma</v>
      </c>
      <c r="E2623" s="158" t="s">
        <v>353</v>
      </c>
      <c r="F2623" s="158" t="str">
        <f>VLOOKUP(Sales[[#This Row],[Product ID]],Product[#All],2,0)</f>
        <v>HP Desktop</v>
      </c>
      <c r="G2623" s="159">
        <v>5</v>
      </c>
      <c r="H2623" s="160">
        <f>VLOOKUP(Sales[[#This Row],[Product ID]],Product[#All],7,0)</f>
        <v>60910</v>
      </c>
      <c r="I2623" s="160">
        <f>Sales[[#This Row],[Selling Rate]]*Sales[[#This Row],[Qty]]</f>
        <v>304550</v>
      </c>
      <c r="J2623" s="43">
        <v>0</v>
      </c>
      <c r="K2623" s="44">
        <f>Sales[[#This Row],[Gross Amount]]*Sales[[#This Row],[Disc %]]</f>
        <v>0</v>
      </c>
      <c r="L2623" s="43">
        <v>0.18</v>
      </c>
      <c r="M2623" s="44">
        <f>(Sales[[#This Row],[Gross Amount]]-Sales[[#This Row],[Disc. Amt.]])*Sales[[#This Row],[GST %]]</f>
        <v>54819</v>
      </c>
      <c r="N2623" s="161">
        <f>Sales[[#This Row],[Gross Amount]]-Sales[[#This Row],[Disc. Amt.]]+Sales[[#This Row],[GST Amount]]</f>
        <v>359369</v>
      </c>
      <c r="O2623" s="158" t="s">
        <v>3566</v>
      </c>
      <c r="P2623" s="158" t="s">
        <v>3562</v>
      </c>
      <c r="Q2623" s="160">
        <f>IF(Sales[[#This Row],[Status]]="Cancelled",0,Sales[[#This Row],[Qty]])</f>
        <v>5</v>
      </c>
      <c r="R2623" s="161">
        <f>IF(Sales[[#This Row],[Status]]="Cancelled",0,Sales[[#This Row],[Total Amount]])</f>
        <v>359369</v>
      </c>
      <c r="S2623" s="162">
        <f>SUM(Sales[Net Amount])</f>
        <v>406839287.73200053</v>
      </c>
    </row>
    <row r="2624" spans="1:19" ht="18.75" x14ac:dyDescent="0.25">
      <c r="A2624" s="163" t="s">
        <v>6256</v>
      </c>
      <c r="B2624" s="164">
        <v>45910</v>
      </c>
      <c r="C2624" s="34" t="s">
        <v>760</v>
      </c>
      <c r="D2624" s="53" t="str">
        <f>VLOOKUP(Sales[[#This Row],[Customer ID]],Customer[#All],2,0)</f>
        <v>Pooja Singh</v>
      </c>
      <c r="E2624" s="34" t="s">
        <v>314</v>
      </c>
      <c r="F2624" s="34" t="str">
        <f>VLOOKUP(Sales[[#This Row],[Product ID]],Product[#All],2,0)</f>
        <v>Dell Desktop</v>
      </c>
      <c r="G2624" s="53">
        <v>2</v>
      </c>
      <c r="H2624" s="165">
        <f>VLOOKUP(Sales[[#This Row],[Product ID]],Product[#All],7,0)</f>
        <v>59580</v>
      </c>
      <c r="I2624" s="165">
        <f>Sales[[#This Row],[Selling Rate]]*Sales[[#This Row],[Qty]]</f>
        <v>119160</v>
      </c>
      <c r="J2624" s="45">
        <v>0.02</v>
      </c>
      <c r="K2624" s="46">
        <f>Sales[[#This Row],[Gross Amount]]*Sales[[#This Row],[Disc %]]</f>
        <v>2383.2000000000003</v>
      </c>
      <c r="L2624" s="43">
        <v>0.18</v>
      </c>
      <c r="M2624" s="46">
        <f>(Sales[[#This Row],[Gross Amount]]-Sales[[#This Row],[Disc. Amt.]])*Sales[[#This Row],[GST %]]</f>
        <v>21019.824000000001</v>
      </c>
      <c r="N2624" s="161">
        <f>Sales[[#This Row],[Gross Amount]]-Sales[[#This Row],[Disc. Amt.]]+Sales[[#This Row],[GST Amount]]</f>
        <v>137796.62400000001</v>
      </c>
      <c r="O2624" s="34" t="s">
        <v>3569</v>
      </c>
      <c r="P2624" s="34" t="s">
        <v>3562</v>
      </c>
      <c r="Q2624" s="165">
        <f>IF(Sales[[#This Row],[Status]]="Cancelled",0,Sales[[#This Row],[Qty]])</f>
        <v>2</v>
      </c>
      <c r="R2624" s="166">
        <f>IF(Sales[[#This Row],[Status]]="Cancelled",0,Sales[[#This Row],[Total Amount]])</f>
        <v>137796.62400000001</v>
      </c>
      <c r="S2624" s="162">
        <f>SUM(Sales[Net Amount])</f>
        <v>406839287.73200053</v>
      </c>
    </row>
    <row r="2625" spans="1:19" ht="18.75" x14ac:dyDescent="0.25">
      <c r="A2625" s="156" t="s">
        <v>6257</v>
      </c>
      <c r="B2625" s="157">
        <v>45910</v>
      </c>
      <c r="C2625" s="158" t="s">
        <v>791</v>
      </c>
      <c r="D2625" s="159" t="str">
        <f>VLOOKUP(Sales[[#This Row],[Customer ID]],Customer[#All],2,0)</f>
        <v>Rakesh Sharma</v>
      </c>
      <c r="E2625" s="158" t="s">
        <v>445</v>
      </c>
      <c r="F2625" s="158" t="str">
        <f>VLOOKUP(Sales[[#This Row],[Product ID]],Product[#All],2,0)</f>
        <v>Lenovo Laptop</v>
      </c>
      <c r="G2625" s="159">
        <v>8</v>
      </c>
      <c r="H2625" s="160">
        <f>VLOOKUP(Sales[[#This Row],[Product ID]],Product[#All],7,0)</f>
        <v>37710</v>
      </c>
      <c r="I2625" s="160">
        <f>Sales[[#This Row],[Selling Rate]]*Sales[[#This Row],[Qty]]</f>
        <v>301680</v>
      </c>
      <c r="J2625" s="43">
        <v>0.1</v>
      </c>
      <c r="K2625" s="44">
        <f>Sales[[#This Row],[Gross Amount]]*Sales[[#This Row],[Disc %]]</f>
        <v>30168</v>
      </c>
      <c r="L2625" s="43">
        <v>0.18</v>
      </c>
      <c r="M2625" s="44">
        <f>(Sales[[#This Row],[Gross Amount]]-Sales[[#This Row],[Disc. Amt.]])*Sales[[#This Row],[GST %]]</f>
        <v>48872.159999999996</v>
      </c>
      <c r="N2625" s="161">
        <f>Sales[[#This Row],[Gross Amount]]-Sales[[#This Row],[Disc. Amt.]]+Sales[[#This Row],[GST Amount]]</f>
        <v>320384.15999999997</v>
      </c>
      <c r="O2625" s="158" t="s">
        <v>3569</v>
      </c>
      <c r="P2625" s="158" t="s">
        <v>3562</v>
      </c>
      <c r="Q2625" s="160">
        <f>IF(Sales[[#This Row],[Status]]="Cancelled",0,Sales[[#This Row],[Qty]])</f>
        <v>8</v>
      </c>
      <c r="R2625" s="161">
        <f>IF(Sales[[#This Row],[Status]]="Cancelled",0,Sales[[#This Row],[Total Amount]])</f>
        <v>320384.15999999997</v>
      </c>
      <c r="S2625" s="162">
        <f>SUM(Sales[Net Amount])</f>
        <v>406839287.73200053</v>
      </c>
    </row>
    <row r="2626" spans="1:19" ht="18.75" x14ac:dyDescent="0.25">
      <c r="A2626" s="163" t="s">
        <v>6258</v>
      </c>
      <c r="B2626" s="164">
        <v>45910</v>
      </c>
      <c r="C2626" s="34" t="s">
        <v>683</v>
      </c>
      <c r="D2626" s="53" t="str">
        <f>VLOOKUP(Sales[[#This Row],[Customer ID]],Customer[#All],2,0)</f>
        <v>Rahul Kumar</v>
      </c>
      <c r="E2626" s="34" t="s">
        <v>292</v>
      </c>
      <c r="F2626" s="34" t="str">
        <f>VLOOKUP(Sales[[#This Row],[Product ID]],Product[#All],2,0)</f>
        <v>Microtek UPS</v>
      </c>
      <c r="G2626" s="53">
        <v>1</v>
      </c>
      <c r="H2626" s="165">
        <f>VLOOKUP(Sales[[#This Row],[Product ID]],Product[#All],7,0)</f>
        <v>6260</v>
      </c>
      <c r="I2626" s="165">
        <f>Sales[[#This Row],[Selling Rate]]*Sales[[#This Row],[Qty]]</f>
        <v>6260</v>
      </c>
      <c r="J2626" s="45">
        <v>0.1</v>
      </c>
      <c r="K2626" s="46">
        <f>Sales[[#This Row],[Gross Amount]]*Sales[[#This Row],[Disc %]]</f>
        <v>626</v>
      </c>
      <c r="L2626" s="43">
        <v>0.18</v>
      </c>
      <c r="M2626" s="46">
        <f>(Sales[[#This Row],[Gross Amount]]-Sales[[#This Row],[Disc. Amt.]])*Sales[[#This Row],[GST %]]</f>
        <v>1014.12</v>
      </c>
      <c r="N2626" s="161">
        <f>Sales[[#This Row],[Gross Amount]]-Sales[[#This Row],[Disc. Amt.]]+Sales[[#This Row],[GST Amount]]</f>
        <v>6648.12</v>
      </c>
      <c r="O2626" s="34" t="s">
        <v>3569</v>
      </c>
      <c r="P2626" s="34" t="s">
        <v>3562</v>
      </c>
      <c r="Q2626" s="165">
        <f>IF(Sales[[#This Row],[Status]]="Cancelled",0,Sales[[#This Row],[Qty]])</f>
        <v>1</v>
      </c>
      <c r="R2626" s="166">
        <f>IF(Sales[[#This Row],[Status]]="Cancelled",0,Sales[[#This Row],[Total Amount]])</f>
        <v>6648.12</v>
      </c>
      <c r="S2626" s="162">
        <f>SUM(Sales[Net Amount])</f>
        <v>406839287.73200053</v>
      </c>
    </row>
    <row r="2627" spans="1:19" ht="18.75" x14ac:dyDescent="0.25">
      <c r="A2627" s="156" t="s">
        <v>6259</v>
      </c>
      <c r="B2627" s="157">
        <v>45910</v>
      </c>
      <c r="C2627" s="158" t="s">
        <v>839</v>
      </c>
      <c r="D2627" s="159" t="str">
        <f>VLOOKUP(Sales[[#This Row],[Customer ID]],Customer[#All],2,0)</f>
        <v>Amit Patel</v>
      </c>
      <c r="E2627" s="158" t="s">
        <v>269</v>
      </c>
      <c r="F2627" s="158" t="str">
        <f>VLOOKUP(Sales[[#This Row],[Product ID]],Product[#All],2,0)</f>
        <v>Dell Monitor</v>
      </c>
      <c r="G2627" s="159">
        <v>6</v>
      </c>
      <c r="H2627" s="160">
        <f>VLOOKUP(Sales[[#This Row],[Product ID]],Product[#All],7,0)</f>
        <v>11390</v>
      </c>
      <c r="I2627" s="160">
        <f>Sales[[#This Row],[Selling Rate]]*Sales[[#This Row],[Qty]]</f>
        <v>68340</v>
      </c>
      <c r="J2627" s="43">
        <v>0.05</v>
      </c>
      <c r="K2627" s="44">
        <f>Sales[[#This Row],[Gross Amount]]*Sales[[#This Row],[Disc %]]</f>
        <v>3417</v>
      </c>
      <c r="L2627" s="43">
        <v>0.18</v>
      </c>
      <c r="M2627" s="44">
        <f>(Sales[[#This Row],[Gross Amount]]-Sales[[#This Row],[Disc. Amt.]])*Sales[[#This Row],[GST %]]</f>
        <v>11686.14</v>
      </c>
      <c r="N2627" s="161">
        <f>Sales[[#This Row],[Gross Amount]]-Sales[[#This Row],[Disc. Amt.]]+Sales[[#This Row],[GST Amount]]</f>
        <v>76609.14</v>
      </c>
      <c r="O2627" s="158" t="s">
        <v>3561</v>
      </c>
      <c r="P2627" s="158" t="s">
        <v>3562</v>
      </c>
      <c r="Q2627" s="160">
        <f>IF(Sales[[#This Row],[Status]]="Cancelled",0,Sales[[#This Row],[Qty]])</f>
        <v>6</v>
      </c>
      <c r="R2627" s="161">
        <f>IF(Sales[[#This Row],[Status]]="Cancelled",0,Sales[[#This Row],[Total Amount]])</f>
        <v>76609.14</v>
      </c>
      <c r="S2627" s="162">
        <f>SUM(Sales[Net Amount])</f>
        <v>406839287.73200053</v>
      </c>
    </row>
    <row r="2628" spans="1:19" ht="18.75" x14ac:dyDescent="0.25">
      <c r="A2628" s="163" t="s">
        <v>6260</v>
      </c>
      <c r="B2628" s="164">
        <v>45910</v>
      </c>
      <c r="C2628" s="34" t="s">
        <v>919</v>
      </c>
      <c r="D2628" s="53" t="str">
        <f>VLOOKUP(Sales[[#This Row],[Customer ID]],Customer[#All],2,0)</f>
        <v>Pooja Patel</v>
      </c>
      <c r="E2628" s="34" t="s">
        <v>367</v>
      </c>
      <c r="F2628" s="34" t="str">
        <f>VLOOKUP(Sales[[#This Row],[Product ID]],Product[#All],2,0)</f>
        <v>Jbl Speaker</v>
      </c>
      <c r="G2628" s="53">
        <v>8</v>
      </c>
      <c r="H2628" s="165">
        <f>VLOOKUP(Sales[[#This Row],[Product ID]],Product[#All],7,0)</f>
        <v>4880</v>
      </c>
      <c r="I2628" s="165">
        <f>Sales[[#This Row],[Selling Rate]]*Sales[[#This Row],[Qty]]</f>
        <v>39040</v>
      </c>
      <c r="J2628" s="45">
        <v>0.02</v>
      </c>
      <c r="K2628" s="46">
        <f>Sales[[#This Row],[Gross Amount]]*Sales[[#This Row],[Disc %]]</f>
        <v>780.80000000000007</v>
      </c>
      <c r="L2628" s="43">
        <v>0.18</v>
      </c>
      <c r="M2628" s="46">
        <f>(Sales[[#This Row],[Gross Amount]]-Sales[[#This Row],[Disc. Amt.]])*Sales[[#This Row],[GST %]]</f>
        <v>6886.655999999999</v>
      </c>
      <c r="N2628" s="161">
        <f>Sales[[#This Row],[Gross Amount]]-Sales[[#This Row],[Disc. Amt.]]+Sales[[#This Row],[GST Amount]]</f>
        <v>45145.856</v>
      </c>
      <c r="O2628" s="34" t="s">
        <v>3561</v>
      </c>
      <c r="P2628" s="34" t="s">
        <v>3562</v>
      </c>
      <c r="Q2628" s="165">
        <f>IF(Sales[[#This Row],[Status]]="Cancelled",0,Sales[[#This Row],[Qty]])</f>
        <v>8</v>
      </c>
      <c r="R2628" s="166">
        <f>IF(Sales[[#This Row],[Status]]="Cancelled",0,Sales[[#This Row],[Total Amount]])</f>
        <v>45145.856</v>
      </c>
      <c r="S2628" s="162">
        <f>SUM(Sales[Net Amount])</f>
        <v>406839287.73200053</v>
      </c>
    </row>
    <row r="2629" spans="1:19" ht="18.75" x14ac:dyDescent="0.25">
      <c r="A2629" s="156" t="s">
        <v>6261</v>
      </c>
      <c r="B2629" s="157">
        <v>45910</v>
      </c>
      <c r="C2629" s="158" t="s">
        <v>824</v>
      </c>
      <c r="D2629" s="159" t="str">
        <f>VLOOKUP(Sales[[#This Row],[Customer ID]],Customer[#All],2,0)</f>
        <v>Sunita Verma</v>
      </c>
      <c r="E2629" s="158" t="s">
        <v>361</v>
      </c>
      <c r="F2629" s="158" t="str">
        <f>VLOOKUP(Sales[[#This Row],[Product ID]],Product[#All],2,0)</f>
        <v>Epson Printer</v>
      </c>
      <c r="G2629" s="159">
        <v>2</v>
      </c>
      <c r="H2629" s="160">
        <f>VLOOKUP(Sales[[#This Row],[Product ID]],Product[#All],7,0)</f>
        <v>26570</v>
      </c>
      <c r="I2629" s="160">
        <f>Sales[[#This Row],[Selling Rate]]*Sales[[#This Row],[Qty]]</f>
        <v>53140</v>
      </c>
      <c r="J2629" s="43">
        <v>0.05</v>
      </c>
      <c r="K2629" s="44">
        <f>Sales[[#This Row],[Gross Amount]]*Sales[[#This Row],[Disc %]]</f>
        <v>2657</v>
      </c>
      <c r="L2629" s="43">
        <v>0.18</v>
      </c>
      <c r="M2629" s="44">
        <f>(Sales[[#This Row],[Gross Amount]]-Sales[[#This Row],[Disc. Amt.]])*Sales[[#This Row],[GST %]]</f>
        <v>9086.94</v>
      </c>
      <c r="N2629" s="161">
        <f>Sales[[#This Row],[Gross Amount]]-Sales[[#This Row],[Disc. Amt.]]+Sales[[#This Row],[GST Amount]]</f>
        <v>59569.94</v>
      </c>
      <c r="O2629" s="158" t="s">
        <v>3569</v>
      </c>
      <c r="P2629" s="158" t="s">
        <v>1040</v>
      </c>
      <c r="Q2629" s="160">
        <f>IF(Sales[[#This Row],[Status]]="Cancelled",0,Sales[[#This Row],[Qty]])</f>
        <v>0</v>
      </c>
      <c r="R2629" s="161">
        <f>IF(Sales[[#This Row],[Status]]="Cancelled",0,Sales[[#This Row],[Total Amount]])</f>
        <v>0</v>
      </c>
      <c r="S2629" s="162">
        <f>SUM(Sales[Net Amount])</f>
        <v>406839287.73200053</v>
      </c>
    </row>
    <row r="2630" spans="1:19" ht="18.75" x14ac:dyDescent="0.25">
      <c r="A2630" s="163" t="s">
        <v>6262</v>
      </c>
      <c r="B2630" s="164">
        <v>45910</v>
      </c>
      <c r="C2630" s="34" t="s">
        <v>875</v>
      </c>
      <c r="D2630" s="53" t="str">
        <f>VLOOKUP(Sales[[#This Row],[Customer ID]],Customer[#All],2,0)</f>
        <v>Rahul Verma</v>
      </c>
      <c r="E2630" s="34" t="s">
        <v>527</v>
      </c>
      <c r="F2630" s="34" t="str">
        <f>VLOOKUP(Sales[[#This Row],[Product ID]],Product[#All],2,0)</f>
        <v>Acer Laptop</v>
      </c>
      <c r="G2630" s="53">
        <v>2</v>
      </c>
      <c r="H2630" s="165">
        <f>VLOOKUP(Sales[[#This Row],[Product ID]],Product[#All],7,0)</f>
        <v>29070</v>
      </c>
      <c r="I2630" s="165">
        <f>Sales[[#This Row],[Selling Rate]]*Sales[[#This Row],[Qty]]</f>
        <v>58140</v>
      </c>
      <c r="J2630" s="45">
        <v>0</v>
      </c>
      <c r="K2630" s="46">
        <f>Sales[[#This Row],[Gross Amount]]*Sales[[#This Row],[Disc %]]</f>
        <v>0</v>
      </c>
      <c r="L2630" s="43">
        <v>0.18</v>
      </c>
      <c r="M2630" s="46">
        <f>(Sales[[#This Row],[Gross Amount]]-Sales[[#This Row],[Disc. Amt.]])*Sales[[#This Row],[GST %]]</f>
        <v>10465.199999999999</v>
      </c>
      <c r="N2630" s="161">
        <f>Sales[[#This Row],[Gross Amount]]-Sales[[#This Row],[Disc. Amt.]]+Sales[[#This Row],[GST Amount]]</f>
        <v>68605.2</v>
      </c>
      <c r="O2630" s="34" t="s">
        <v>8876</v>
      </c>
      <c r="P2630" s="34" t="s">
        <v>3562</v>
      </c>
      <c r="Q2630" s="165">
        <f>IF(Sales[[#This Row],[Status]]="Cancelled",0,Sales[[#This Row],[Qty]])</f>
        <v>2</v>
      </c>
      <c r="R2630" s="166">
        <f>IF(Sales[[#This Row],[Status]]="Cancelled",0,Sales[[#This Row],[Total Amount]])</f>
        <v>68605.2</v>
      </c>
      <c r="S2630" s="162">
        <f>SUM(Sales[Net Amount])</f>
        <v>406839287.73200053</v>
      </c>
    </row>
    <row r="2631" spans="1:19" ht="18.75" x14ac:dyDescent="0.25">
      <c r="A2631" s="156" t="s">
        <v>6263</v>
      </c>
      <c r="B2631" s="157">
        <v>45910</v>
      </c>
      <c r="C2631" s="158" t="s">
        <v>744</v>
      </c>
      <c r="D2631" s="159" t="str">
        <f>VLOOKUP(Sales[[#This Row],[Customer ID]],Customer[#All],2,0)</f>
        <v>Rakesh Patel</v>
      </c>
      <c r="E2631" s="158" t="s">
        <v>487</v>
      </c>
      <c r="F2631" s="158" t="str">
        <f>VLOOKUP(Sales[[#This Row],[Product ID]],Product[#All],2,0)</f>
        <v>TP-link Bluetooth Adapter</v>
      </c>
      <c r="G2631" s="159">
        <v>5</v>
      </c>
      <c r="H2631" s="160">
        <f>VLOOKUP(Sales[[#This Row],[Product ID]],Product[#All],7,0)</f>
        <v>660</v>
      </c>
      <c r="I2631" s="160">
        <f>Sales[[#This Row],[Selling Rate]]*Sales[[#This Row],[Qty]]</f>
        <v>3300</v>
      </c>
      <c r="J2631" s="43">
        <v>0.15</v>
      </c>
      <c r="K2631" s="44">
        <f>Sales[[#This Row],[Gross Amount]]*Sales[[#This Row],[Disc %]]</f>
        <v>495</v>
      </c>
      <c r="L2631" s="43">
        <v>0.18</v>
      </c>
      <c r="M2631" s="44">
        <f>(Sales[[#This Row],[Gross Amount]]-Sales[[#This Row],[Disc. Amt.]])*Sales[[#This Row],[GST %]]</f>
        <v>504.9</v>
      </c>
      <c r="N2631" s="161">
        <f>Sales[[#This Row],[Gross Amount]]-Sales[[#This Row],[Disc. Amt.]]+Sales[[#This Row],[GST Amount]]</f>
        <v>3309.9</v>
      </c>
      <c r="O2631" s="158" t="s">
        <v>3561</v>
      </c>
      <c r="P2631" s="158" t="s">
        <v>3562</v>
      </c>
      <c r="Q2631" s="160">
        <f>IF(Sales[[#This Row],[Status]]="Cancelled",0,Sales[[#This Row],[Qty]])</f>
        <v>5</v>
      </c>
      <c r="R2631" s="161">
        <f>IF(Sales[[#This Row],[Status]]="Cancelled",0,Sales[[#This Row],[Total Amount]])</f>
        <v>3309.9</v>
      </c>
      <c r="S2631" s="162">
        <f>SUM(Sales[Net Amount])</f>
        <v>406839287.73200053</v>
      </c>
    </row>
    <row r="2632" spans="1:19" ht="18.75" x14ac:dyDescent="0.25">
      <c r="A2632" s="163" t="s">
        <v>6264</v>
      </c>
      <c r="B2632" s="164">
        <v>45910</v>
      </c>
      <c r="C2632" s="34" t="s">
        <v>689</v>
      </c>
      <c r="D2632" s="53" t="str">
        <f>VLOOKUP(Sales[[#This Row],[Customer ID]],Customer[#All],2,0)</f>
        <v>Sahil Kumar</v>
      </c>
      <c r="E2632" s="34" t="s">
        <v>306</v>
      </c>
      <c r="F2632" s="34" t="str">
        <f>VLOOKUP(Sales[[#This Row],[Product ID]],Product[#All],2,0)</f>
        <v>Portronics USB Cable</v>
      </c>
      <c r="G2632" s="53">
        <v>2</v>
      </c>
      <c r="H2632" s="165">
        <f>VLOOKUP(Sales[[#This Row],[Product ID]],Product[#All],7,0)</f>
        <v>200</v>
      </c>
      <c r="I2632" s="165">
        <f>Sales[[#This Row],[Selling Rate]]*Sales[[#This Row],[Qty]]</f>
        <v>400</v>
      </c>
      <c r="J2632" s="45">
        <v>0.12</v>
      </c>
      <c r="K2632" s="46">
        <f>Sales[[#This Row],[Gross Amount]]*Sales[[#This Row],[Disc %]]</f>
        <v>48</v>
      </c>
      <c r="L2632" s="43">
        <v>0.18</v>
      </c>
      <c r="M2632" s="46">
        <f>(Sales[[#This Row],[Gross Amount]]-Sales[[#This Row],[Disc. Amt.]])*Sales[[#This Row],[GST %]]</f>
        <v>63.36</v>
      </c>
      <c r="N2632" s="161">
        <f>Sales[[#This Row],[Gross Amount]]-Sales[[#This Row],[Disc. Amt.]]+Sales[[#This Row],[GST Amount]]</f>
        <v>415.36</v>
      </c>
      <c r="O2632" s="34" t="s">
        <v>3561</v>
      </c>
      <c r="P2632" s="34" t="s">
        <v>3562</v>
      </c>
      <c r="Q2632" s="165">
        <f>IF(Sales[[#This Row],[Status]]="Cancelled",0,Sales[[#This Row],[Qty]])</f>
        <v>2</v>
      </c>
      <c r="R2632" s="166">
        <f>IF(Sales[[#This Row],[Status]]="Cancelled",0,Sales[[#This Row],[Total Amount]])</f>
        <v>415.36</v>
      </c>
      <c r="S2632" s="162">
        <f>SUM(Sales[Net Amount])</f>
        <v>406839287.73200053</v>
      </c>
    </row>
    <row r="2633" spans="1:19" ht="18.75" x14ac:dyDescent="0.25">
      <c r="A2633" s="156" t="s">
        <v>6265</v>
      </c>
      <c r="B2633" s="157">
        <v>45911</v>
      </c>
      <c r="C2633" s="158" t="s">
        <v>791</v>
      </c>
      <c r="D2633" s="159" t="str">
        <f>VLOOKUP(Sales[[#This Row],[Customer ID]],Customer[#All],2,0)</f>
        <v>Rakesh Sharma</v>
      </c>
      <c r="E2633" s="158" t="s">
        <v>349</v>
      </c>
      <c r="F2633" s="158" t="str">
        <f>VLOOKUP(Sales[[#This Row],[Product ID]],Product[#All],2,0)</f>
        <v>Samsung Monitor</v>
      </c>
      <c r="G2633" s="159">
        <v>7</v>
      </c>
      <c r="H2633" s="160">
        <f>VLOOKUP(Sales[[#This Row],[Product ID]],Product[#All],7,0)</f>
        <v>11070</v>
      </c>
      <c r="I2633" s="160">
        <f>Sales[[#This Row],[Selling Rate]]*Sales[[#This Row],[Qty]]</f>
        <v>77490</v>
      </c>
      <c r="J2633" s="43">
        <v>0.1</v>
      </c>
      <c r="K2633" s="44">
        <f>Sales[[#This Row],[Gross Amount]]*Sales[[#This Row],[Disc %]]</f>
        <v>7749</v>
      </c>
      <c r="L2633" s="43">
        <v>0.18</v>
      </c>
      <c r="M2633" s="44">
        <f>(Sales[[#This Row],[Gross Amount]]-Sales[[#This Row],[Disc. Amt.]])*Sales[[#This Row],[GST %]]</f>
        <v>12553.38</v>
      </c>
      <c r="N2633" s="161">
        <f>Sales[[#This Row],[Gross Amount]]-Sales[[#This Row],[Disc. Amt.]]+Sales[[#This Row],[GST Amount]]</f>
        <v>82294.38</v>
      </c>
      <c r="O2633" s="158" t="s">
        <v>3566</v>
      </c>
      <c r="P2633" s="158" t="s">
        <v>3562</v>
      </c>
      <c r="Q2633" s="160">
        <f>IF(Sales[[#This Row],[Status]]="Cancelled",0,Sales[[#This Row],[Qty]])</f>
        <v>7</v>
      </c>
      <c r="R2633" s="161">
        <f>IF(Sales[[#This Row],[Status]]="Cancelled",0,Sales[[#This Row],[Total Amount]])</f>
        <v>82294.38</v>
      </c>
      <c r="S2633" s="162">
        <f>SUM(Sales[Net Amount])</f>
        <v>406839287.73200053</v>
      </c>
    </row>
    <row r="2634" spans="1:19" ht="18.75" x14ac:dyDescent="0.25">
      <c r="A2634" s="163" t="s">
        <v>6266</v>
      </c>
      <c r="B2634" s="164">
        <v>45911</v>
      </c>
      <c r="C2634" s="34" t="s">
        <v>936</v>
      </c>
      <c r="D2634" s="53" t="str">
        <f>VLOOKUP(Sales[[#This Row],[Customer ID]],Customer[#All],2,0)</f>
        <v>Pooja Patel</v>
      </c>
      <c r="E2634" s="34" t="s">
        <v>131</v>
      </c>
      <c r="F2634" s="34" t="str">
        <f>VLOOKUP(Sales[[#This Row],[Product ID]],Product[#All],2,0)</f>
        <v>HP Power Adapter</v>
      </c>
      <c r="G2634" s="53">
        <v>4</v>
      </c>
      <c r="H2634" s="165">
        <f>VLOOKUP(Sales[[#This Row],[Product ID]],Product[#All],7,0)</f>
        <v>2540</v>
      </c>
      <c r="I2634" s="165">
        <f>Sales[[#This Row],[Selling Rate]]*Sales[[#This Row],[Qty]]</f>
        <v>10160</v>
      </c>
      <c r="J2634" s="45">
        <v>0</v>
      </c>
      <c r="K2634" s="46">
        <f>Sales[[#This Row],[Gross Amount]]*Sales[[#This Row],[Disc %]]</f>
        <v>0</v>
      </c>
      <c r="L2634" s="43">
        <v>0.18</v>
      </c>
      <c r="M2634" s="46">
        <f>(Sales[[#This Row],[Gross Amount]]-Sales[[#This Row],[Disc. Amt.]])*Sales[[#This Row],[GST %]]</f>
        <v>1828.8</v>
      </c>
      <c r="N2634" s="161">
        <f>Sales[[#This Row],[Gross Amount]]-Sales[[#This Row],[Disc. Amt.]]+Sales[[#This Row],[GST Amount]]</f>
        <v>11988.8</v>
      </c>
      <c r="O2634" s="34" t="s">
        <v>8876</v>
      </c>
      <c r="P2634" s="34" t="s">
        <v>3562</v>
      </c>
      <c r="Q2634" s="165">
        <f>IF(Sales[[#This Row],[Status]]="Cancelled",0,Sales[[#This Row],[Qty]])</f>
        <v>4</v>
      </c>
      <c r="R2634" s="166">
        <f>IF(Sales[[#This Row],[Status]]="Cancelled",0,Sales[[#This Row],[Total Amount]])</f>
        <v>11988.8</v>
      </c>
      <c r="S2634" s="162">
        <f>SUM(Sales[Net Amount])</f>
        <v>406839287.73200053</v>
      </c>
    </row>
    <row r="2635" spans="1:19" ht="18.75" x14ac:dyDescent="0.25">
      <c r="A2635" s="156" t="s">
        <v>6267</v>
      </c>
      <c r="B2635" s="157">
        <v>45911</v>
      </c>
      <c r="C2635" s="158" t="s">
        <v>675</v>
      </c>
      <c r="D2635" s="159" t="str">
        <f>VLOOKUP(Sales[[#This Row],[Customer ID]],Customer[#All],2,0)</f>
        <v>Rahul Gupta</v>
      </c>
      <c r="E2635" s="158" t="s">
        <v>72</v>
      </c>
      <c r="F2635" s="158" t="str">
        <f>VLOOKUP(Sales[[#This Row],[Product ID]],Product[#All],2,0)</f>
        <v>Dell Keyboard</v>
      </c>
      <c r="G2635" s="159">
        <v>3</v>
      </c>
      <c r="H2635" s="160">
        <f>VLOOKUP(Sales[[#This Row],[Product ID]],Product[#All],7,0)</f>
        <v>1250</v>
      </c>
      <c r="I2635" s="160">
        <f>Sales[[#This Row],[Selling Rate]]*Sales[[#This Row],[Qty]]</f>
        <v>3750</v>
      </c>
      <c r="J2635" s="43">
        <v>0.12</v>
      </c>
      <c r="K2635" s="44">
        <f>Sales[[#This Row],[Gross Amount]]*Sales[[#This Row],[Disc %]]</f>
        <v>450</v>
      </c>
      <c r="L2635" s="43">
        <v>0.18</v>
      </c>
      <c r="M2635" s="44">
        <f>(Sales[[#This Row],[Gross Amount]]-Sales[[#This Row],[Disc. Amt.]])*Sales[[#This Row],[GST %]]</f>
        <v>594</v>
      </c>
      <c r="N2635" s="161">
        <f>Sales[[#This Row],[Gross Amount]]-Sales[[#This Row],[Disc. Amt.]]+Sales[[#This Row],[GST Amount]]</f>
        <v>3894</v>
      </c>
      <c r="O2635" s="158" t="s">
        <v>3566</v>
      </c>
      <c r="P2635" s="158" t="s">
        <v>3562</v>
      </c>
      <c r="Q2635" s="160">
        <f>IF(Sales[[#This Row],[Status]]="Cancelled",0,Sales[[#This Row],[Qty]])</f>
        <v>3</v>
      </c>
      <c r="R2635" s="161">
        <f>IF(Sales[[#This Row],[Status]]="Cancelled",0,Sales[[#This Row],[Total Amount]])</f>
        <v>3894</v>
      </c>
      <c r="S2635" s="162">
        <f>SUM(Sales[Net Amount])</f>
        <v>406839287.73200053</v>
      </c>
    </row>
    <row r="2636" spans="1:19" ht="18.75" x14ac:dyDescent="0.25">
      <c r="A2636" s="163" t="s">
        <v>6268</v>
      </c>
      <c r="B2636" s="164">
        <v>45911</v>
      </c>
      <c r="C2636" s="34" t="s">
        <v>807</v>
      </c>
      <c r="D2636" s="53" t="str">
        <f>VLOOKUP(Sales[[#This Row],[Customer ID]],Customer[#All],2,0)</f>
        <v>Rakesh Patel</v>
      </c>
      <c r="E2636" s="34" t="s">
        <v>192</v>
      </c>
      <c r="F2636" s="34" t="str">
        <f>VLOOKUP(Sales[[#This Row],[Product ID]],Product[#All],2,0)</f>
        <v>HP Laptop</v>
      </c>
      <c r="G2636" s="53">
        <v>4</v>
      </c>
      <c r="H2636" s="165">
        <f>VLOOKUP(Sales[[#This Row],[Product ID]],Product[#All],7,0)</f>
        <v>59870</v>
      </c>
      <c r="I2636" s="165">
        <f>Sales[[#This Row],[Selling Rate]]*Sales[[#This Row],[Qty]]</f>
        <v>239480</v>
      </c>
      <c r="J2636" s="45">
        <v>0.02</v>
      </c>
      <c r="K2636" s="46">
        <f>Sales[[#This Row],[Gross Amount]]*Sales[[#This Row],[Disc %]]</f>
        <v>4789.6000000000004</v>
      </c>
      <c r="L2636" s="43">
        <v>0.18</v>
      </c>
      <c r="M2636" s="46">
        <f>(Sales[[#This Row],[Gross Amount]]-Sales[[#This Row],[Disc. Amt.]])*Sales[[#This Row],[GST %]]</f>
        <v>42244.271999999997</v>
      </c>
      <c r="N2636" s="161">
        <f>Sales[[#This Row],[Gross Amount]]-Sales[[#This Row],[Disc. Amt.]]+Sales[[#This Row],[GST Amount]]</f>
        <v>276934.67200000002</v>
      </c>
      <c r="O2636" s="34" t="s">
        <v>3561</v>
      </c>
      <c r="P2636" s="34" t="s">
        <v>3562</v>
      </c>
      <c r="Q2636" s="165">
        <f>IF(Sales[[#This Row],[Status]]="Cancelled",0,Sales[[#This Row],[Qty]])</f>
        <v>4</v>
      </c>
      <c r="R2636" s="166">
        <f>IF(Sales[[#This Row],[Status]]="Cancelled",0,Sales[[#This Row],[Total Amount]])</f>
        <v>276934.67200000002</v>
      </c>
      <c r="S2636" s="162">
        <f>SUM(Sales[Net Amount])</f>
        <v>406839287.73200053</v>
      </c>
    </row>
    <row r="2637" spans="1:19" ht="18.75" x14ac:dyDescent="0.25">
      <c r="A2637" s="156" t="s">
        <v>6269</v>
      </c>
      <c r="B2637" s="157">
        <v>45911</v>
      </c>
      <c r="C2637" s="158" t="s">
        <v>885</v>
      </c>
      <c r="D2637" s="159" t="str">
        <f>VLOOKUP(Sales[[#This Row],[Customer ID]],Customer[#All],2,0)</f>
        <v>Pooja Verma</v>
      </c>
      <c r="E2637" s="158" t="s">
        <v>378</v>
      </c>
      <c r="F2637" s="158" t="str">
        <f>VLOOKUP(Sales[[#This Row],[Product ID]],Product[#All],2,0)</f>
        <v>Kingston Ram</v>
      </c>
      <c r="G2637" s="159">
        <v>7</v>
      </c>
      <c r="H2637" s="160">
        <f>VLOOKUP(Sales[[#This Row],[Product ID]],Product[#All],7,0)</f>
        <v>4420</v>
      </c>
      <c r="I2637" s="160">
        <f>Sales[[#This Row],[Selling Rate]]*Sales[[#This Row],[Qty]]</f>
        <v>30940</v>
      </c>
      <c r="J2637" s="43">
        <v>0</v>
      </c>
      <c r="K2637" s="44">
        <f>Sales[[#This Row],[Gross Amount]]*Sales[[#This Row],[Disc %]]</f>
        <v>0</v>
      </c>
      <c r="L2637" s="43">
        <v>0.18</v>
      </c>
      <c r="M2637" s="44">
        <f>(Sales[[#This Row],[Gross Amount]]-Sales[[#This Row],[Disc. Amt.]])*Sales[[#This Row],[GST %]]</f>
        <v>5569.2</v>
      </c>
      <c r="N2637" s="161">
        <f>Sales[[#This Row],[Gross Amount]]-Sales[[#This Row],[Disc. Amt.]]+Sales[[#This Row],[GST Amount]]</f>
        <v>36509.199999999997</v>
      </c>
      <c r="O2637" s="158" t="s">
        <v>3566</v>
      </c>
      <c r="P2637" s="158" t="s">
        <v>3562</v>
      </c>
      <c r="Q2637" s="160">
        <f>IF(Sales[[#This Row],[Status]]="Cancelled",0,Sales[[#This Row],[Qty]])</f>
        <v>7</v>
      </c>
      <c r="R2637" s="161">
        <f>IF(Sales[[#This Row],[Status]]="Cancelled",0,Sales[[#This Row],[Total Amount]])</f>
        <v>36509.199999999997</v>
      </c>
      <c r="S2637" s="162">
        <f>SUM(Sales[Net Amount])</f>
        <v>406839287.73200053</v>
      </c>
    </row>
    <row r="2638" spans="1:19" ht="18.75" x14ac:dyDescent="0.25">
      <c r="A2638" s="163" t="s">
        <v>6270</v>
      </c>
      <c r="B2638" s="164">
        <v>45911</v>
      </c>
      <c r="C2638" s="34" t="s">
        <v>782</v>
      </c>
      <c r="D2638" s="53" t="str">
        <f>VLOOKUP(Sales[[#This Row],[Customer ID]],Customer[#All],2,0)</f>
        <v>Vikas Singh</v>
      </c>
      <c r="E2638" s="34" t="s">
        <v>401</v>
      </c>
      <c r="F2638" s="34" t="str">
        <f>VLOOKUP(Sales[[#This Row],[Product ID]],Product[#All],2,0)</f>
        <v>Amazon Basics Hdmi Cable</v>
      </c>
      <c r="G2638" s="53">
        <v>7</v>
      </c>
      <c r="H2638" s="165">
        <f>VLOOKUP(Sales[[#This Row],[Product ID]],Product[#All],7,0)</f>
        <v>670</v>
      </c>
      <c r="I2638" s="165">
        <f>Sales[[#This Row],[Selling Rate]]*Sales[[#This Row],[Qty]]</f>
        <v>4690</v>
      </c>
      <c r="J2638" s="45">
        <v>0.1</v>
      </c>
      <c r="K2638" s="46">
        <f>Sales[[#This Row],[Gross Amount]]*Sales[[#This Row],[Disc %]]</f>
        <v>469</v>
      </c>
      <c r="L2638" s="43">
        <v>0.18</v>
      </c>
      <c r="M2638" s="46">
        <f>(Sales[[#This Row],[Gross Amount]]-Sales[[#This Row],[Disc. Amt.]])*Sales[[#This Row],[GST %]]</f>
        <v>759.78</v>
      </c>
      <c r="N2638" s="161">
        <f>Sales[[#This Row],[Gross Amount]]-Sales[[#This Row],[Disc. Amt.]]+Sales[[#This Row],[GST Amount]]</f>
        <v>4980.78</v>
      </c>
      <c r="O2638" s="34" t="s">
        <v>8876</v>
      </c>
      <c r="P2638" s="34" t="s">
        <v>3562</v>
      </c>
      <c r="Q2638" s="165">
        <f>IF(Sales[[#This Row],[Status]]="Cancelled",0,Sales[[#This Row],[Qty]])</f>
        <v>7</v>
      </c>
      <c r="R2638" s="166">
        <f>IF(Sales[[#This Row],[Status]]="Cancelled",0,Sales[[#This Row],[Total Amount]])</f>
        <v>4980.78</v>
      </c>
      <c r="S2638" s="162">
        <f>SUM(Sales[Net Amount])</f>
        <v>406839287.73200053</v>
      </c>
    </row>
    <row r="2639" spans="1:19" ht="18.75" x14ac:dyDescent="0.25">
      <c r="A2639" s="156" t="s">
        <v>6271</v>
      </c>
      <c r="B2639" s="157">
        <v>45911</v>
      </c>
      <c r="C2639" s="158" t="s">
        <v>826</v>
      </c>
      <c r="D2639" s="159" t="str">
        <f>VLOOKUP(Sales[[#This Row],[Customer ID]],Customer[#All],2,0)</f>
        <v>Sahil Sharma</v>
      </c>
      <c r="E2639" s="158" t="s">
        <v>151</v>
      </c>
      <c r="F2639" s="158" t="str">
        <f>VLOOKUP(Sales[[#This Row],[Product ID]],Product[#All],2,0)</f>
        <v>Jbl Speaker</v>
      </c>
      <c r="G2639" s="159">
        <v>8</v>
      </c>
      <c r="H2639" s="160">
        <f>VLOOKUP(Sales[[#This Row],[Product ID]],Product[#All],7,0)</f>
        <v>7010</v>
      </c>
      <c r="I2639" s="160">
        <f>Sales[[#This Row],[Selling Rate]]*Sales[[#This Row],[Qty]]</f>
        <v>56080</v>
      </c>
      <c r="J2639" s="43">
        <v>0</v>
      </c>
      <c r="K2639" s="44">
        <f>Sales[[#This Row],[Gross Amount]]*Sales[[#This Row],[Disc %]]</f>
        <v>0</v>
      </c>
      <c r="L2639" s="43">
        <v>0.18</v>
      </c>
      <c r="M2639" s="44">
        <f>(Sales[[#This Row],[Gross Amount]]-Sales[[#This Row],[Disc. Amt.]])*Sales[[#This Row],[GST %]]</f>
        <v>10094.4</v>
      </c>
      <c r="N2639" s="161">
        <f>Sales[[#This Row],[Gross Amount]]-Sales[[#This Row],[Disc. Amt.]]+Sales[[#This Row],[GST Amount]]</f>
        <v>66174.399999999994</v>
      </c>
      <c r="O2639" s="158" t="s">
        <v>3566</v>
      </c>
      <c r="P2639" s="158" t="s">
        <v>3562</v>
      </c>
      <c r="Q2639" s="160">
        <f>IF(Sales[[#This Row],[Status]]="Cancelled",0,Sales[[#This Row],[Qty]])</f>
        <v>8</v>
      </c>
      <c r="R2639" s="161">
        <f>IF(Sales[[#This Row],[Status]]="Cancelled",0,Sales[[#This Row],[Total Amount]])</f>
        <v>66174.399999999994</v>
      </c>
      <c r="S2639" s="162">
        <f>SUM(Sales[Net Amount])</f>
        <v>406839287.73200053</v>
      </c>
    </row>
    <row r="2640" spans="1:19" ht="18.75" x14ac:dyDescent="0.25">
      <c r="A2640" s="163" t="s">
        <v>6272</v>
      </c>
      <c r="B2640" s="164">
        <v>45911</v>
      </c>
      <c r="C2640" s="34" t="s">
        <v>908</v>
      </c>
      <c r="D2640" s="53" t="str">
        <f>VLOOKUP(Sales[[#This Row],[Customer ID]],Customer[#All],2,0)</f>
        <v>Rahul Singh</v>
      </c>
      <c r="E2640" s="34" t="s">
        <v>10</v>
      </c>
      <c r="F2640" s="34" t="str">
        <f>VLOOKUP(Sales[[#This Row],[Product ID]],Product[#All],2,0)</f>
        <v>Dell Monitor</v>
      </c>
      <c r="G2640" s="53">
        <v>4</v>
      </c>
      <c r="H2640" s="165">
        <f>VLOOKUP(Sales[[#This Row],[Product ID]],Product[#All],7,0)</f>
        <v>17230</v>
      </c>
      <c r="I2640" s="165">
        <f>Sales[[#This Row],[Selling Rate]]*Sales[[#This Row],[Qty]]</f>
        <v>68920</v>
      </c>
      <c r="J2640" s="45">
        <v>0.05</v>
      </c>
      <c r="K2640" s="46">
        <f>Sales[[#This Row],[Gross Amount]]*Sales[[#This Row],[Disc %]]</f>
        <v>3446</v>
      </c>
      <c r="L2640" s="43">
        <v>0.18</v>
      </c>
      <c r="M2640" s="46">
        <f>(Sales[[#This Row],[Gross Amount]]-Sales[[#This Row],[Disc. Amt.]])*Sales[[#This Row],[GST %]]</f>
        <v>11785.32</v>
      </c>
      <c r="N2640" s="161">
        <f>Sales[[#This Row],[Gross Amount]]-Sales[[#This Row],[Disc. Amt.]]+Sales[[#This Row],[GST Amount]]</f>
        <v>77259.320000000007</v>
      </c>
      <c r="O2640" s="34" t="s">
        <v>8876</v>
      </c>
      <c r="P2640" s="34" t="s">
        <v>3562</v>
      </c>
      <c r="Q2640" s="165">
        <f>IF(Sales[[#This Row],[Status]]="Cancelled",0,Sales[[#This Row],[Qty]])</f>
        <v>4</v>
      </c>
      <c r="R2640" s="166">
        <f>IF(Sales[[#This Row],[Status]]="Cancelled",0,Sales[[#This Row],[Total Amount]])</f>
        <v>77259.320000000007</v>
      </c>
      <c r="S2640" s="162">
        <f>SUM(Sales[Net Amount])</f>
        <v>406839287.73200053</v>
      </c>
    </row>
    <row r="2641" spans="1:19" ht="18.75" x14ac:dyDescent="0.25">
      <c r="A2641" s="156" t="s">
        <v>6273</v>
      </c>
      <c r="B2641" s="157">
        <v>45911</v>
      </c>
      <c r="C2641" s="158" t="s">
        <v>755</v>
      </c>
      <c r="D2641" s="159" t="str">
        <f>VLOOKUP(Sales[[#This Row],[Customer ID]],Customer[#All],2,0)</f>
        <v>Sunita Gupta</v>
      </c>
      <c r="E2641" s="158" t="s">
        <v>330</v>
      </c>
      <c r="F2641" s="158" t="str">
        <f>VLOOKUP(Sales[[#This Row],[Product ID]],Product[#All],2,0)</f>
        <v>American TouristerLaptopBag</v>
      </c>
      <c r="G2641" s="159">
        <v>7</v>
      </c>
      <c r="H2641" s="160">
        <f>VLOOKUP(Sales[[#This Row],[Product ID]],Product[#All],7,0)</f>
        <v>4970</v>
      </c>
      <c r="I2641" s="160">
        <f>Sales[[#This Row],[Selling Rate]]*Sales[[#This Row],[Qty]]</f>
        <v>34790</v>
      </c>
      <c r="J2641" s="43">
        <v>0.05</v>
      </c>
      <c r="K2641" s="44">
        <f>Sales[[#This Row],[Gross Amount]]*Sales[[#This Row],[Disc %]]</f>
        <v>1739.5</v>
      </c>
      <c r="L2641" s="43">
        <v>0.18</v>
      </c>
      <c r="M2641" s="44">
        <f>(Sales[[#This Row],[Gross Amount]]-Sales[[#This Row],[Disc. Amt.]])*Sales[[#This Row],[GST %]]</f>
        <v>5949.09</v>
      </c>
      <c r="N2641" s="161">
        <f>Sales[[#This Row],[Gross Amount]]-Sales[[#This Row],[Disc. Amt.]]+Sales[[#This Row],[GST Amount]]</f>
        <v>38999.589999999997</v>
      </c>
      <c r="O2641" s="158" t="s">
        <v>8876</v>
      </c>
      <c r="P2641" s="158" t="s">
        <v>3562</v>
      </c>
      <c r="Q2641" s="160">
        <f>IF(Sales[[#This Row],[Status]]="Cancelled",0,Sales[[#This Row],[Qty]])</f>
        <v>7</v>
      </c>
      <c r="R2641" s="161">
        <f>IF(Sales[[#This Row],[Status]]="Cancelled",0,Sales[[#This Row],[Total Amount]])</f>
        <v>38999.589999999997</v>
      </c>
      <c r="S2641" s="162">
        <f>SUM(Sales[Net Amount])</f>
        <v>406839287.73200053</v>
      </c>
    </row>
    <row r="2642" spans="1:19" ht="18.75" x14ac:dyDescent="0.25">
      <c r="A2642" s="163" t="s">
        <v>6274</v>
      </c>
      <c r="B2642" s="164">
        <v>45911</v>
      </c>
      <c r="C2642" s="34" t="s">
        <v>914</v>
      </c>
      <c r="D2642" s="53" t="str">
        <f>VLOOKUP(Sales[[#This Row],[Customer ID]],Customer[#All],2,0)</f>
        <v>Rakesh Patel</v>
      </c>
      <c r="E2642" s="34" t="s">
        <v>364</v>
      </c>
      <c r="F2642" s="34" t="str">
        <f>VLOOKUP(Sales[[#This Row],[Product ID]],Product[#All],2,0)</f>
        <v>Canon Printer</v>
      </c>
      <c r="G2642" s="53">
        <v>4</v>
      </c>
      <c r="H2642" s="165">
        <f>VLOOKUP(Sales[[#This Row],[Product ID]],Product[#All],7,0)</f>
        <v>41460</v>
      </c>
      <c r="I2642" s="165">
        <f>Sales[[#This Row],[Selling Rate]]*Sales[[#This Row],[Qty]]</f>
        <v>165840</v>
      </c>
      <c r="J2642" s="45">
        <v>0.12</v>
      </c>
      <c r="K2642" s="46">
        <f>Sales[[#This Row],[Gross Amount]]*Sales[[#This Row],[Disc %]]</f>
        <v>19900.8</v>
      </c>
      <c r="L2642" s="43">
        <v>0.18</v>
      </c>
      <c r="M2642" s="46">
        <f>(Sales[[#This Row],[Gross Amount]]-Sales[[#This Row],[Disc. Amt.]])*Sales[[#This Row],[GST %]]</f>
        <v>26269.056</v>
      </c>
      <c r="N2642" s="161">
        <f>Sales[[#This Row],[Gross Amount]]-Sales[[#This Row],[Disc. Amt.]]+Sales[[#This Row],[GST Amount]]</f>
        <v>172208.25600000002</v>
      </c>
      <c r="O2642" s="34" t="s">
        <v>3569</v>
      </c>
      <c r="P2642" s="34" t="s">
        <v>3562</v>
      </c>
      <c r="Q2642" s="165">
        <f>IF(Sales[[#This Row],[Status]]="Cancelled",0,Sales[[#This Row],[Qty]])</f>
        <v>4</v>
      </c>
      <c r="R2642" s="166">
        <f>IF(Sales[[#This Row],[Status]]="Cancelled",0,Sales[[#This Row],[Total Amount]])</f>
        <v>172208.25600000002</v>
      </c>
      <c r="S2642" s="162">
        <f>SUM(Sales[Net Amount])</f>
        <v>406839287.73200053</v>
      </c>
    </row>
    <row r="2643" spans="1:19" ht="18.75" x14ac:dyDescent="0.25">
      <c r="A2643" s="156" t="s">
        <v>6275</v>
      </c>
      <c r="B2643" s="157">
        <v>45911</v>
      </c>
      <c r="C2643" s="158" t="s">
        <v>915</v>
      </c>
      <c r="D2643" s="159" t="str">
        <f>VLOOKUP(Sales[[#This Row],[Customer ID]],Customer[#All],2,0)</f>
        <v>Sunita Kumar</v>
      </c>
      <c r="E2643" s="158" t="s">
        <v>481</v>
      </c>
      <c r="F2643" s="158" t="str">
        <f>VLOOKUP(Sales[[#This Row],[Product ID]],Product[#All],2,0)</f>
        <v>Dell Laptop</v>
      </c>
      <c r="G2643" s="159">
        <v>8</v>
      </c>
      <c r="H2643" s="160">
        <f>VLOOKUP(Sales[[#This Row],[Product ID]],Product[#All],7,0)</f>
        <v>36050</v>
      </c>
      <c r="I2643" s="160">
        <f>Sales[[#This Row],[Selling Rate]]*Sales[[#This Row],[Qty]]</f>
        <v>288400</v>
      </c>
      <c r="J2643" s="43">
        <v>0.1</v>
      </c>
      <c r="K2643" s="44">
        <f>Sales[[#This Row],[Gross Amount]]*Sales[[#This Row],[Disc %]]</f>
        <v>28840</v>
      </c>
      <c r="L2643" s="43">
        <v>0.18</v>
      </c>
      <c r="M2643" s="44">
        <f>(Sales[[#This Row],[Gross Amount]]-Sales[[#This Row],[Disc. Amt.]])*Sales[[#This Row],[GST %]]</f>
        <v>46720.799999999996</v>
      </c>
      <c r="N2643" s="161">
        <f>Sales[[#This Row],[Gross Amount]]-Sales[[#This Row],[Disc. Amt.]]+Sales[[#This Row],[GST Amount]]</f>
        <v>306280.8</v>
      </c>
      <c r="O2643" s="158" t="s">
        <v>3566</v>
      </c>
      <c r="P2643" s="158" t="s">
        <v>3562</v>
      </c>
      <c r="Q2643" s="160">
        <f>IF(Sales[[#This Row],[Status]]="Cancelled",0,Sales[[#This Row],[Qty]])</f>
        <v>8</v>
      </c>
      <c r="R2643" s="161">
        <f>IF(Sales[[#This Row],[Status]]="Cancelled",0,Sales[[#This Row],[Total Amount]])</f>
        <v>306280.8</v>
      </c>
      <c r="S2643" s="162">
        <f>SUM(Sales[Net Amount])</f>
        <v>406839287.73200053</v>
      </c>
    </row>
    <row r="2644" spans="1:19" ht="18.75" x14ac:dyDescent="0.25">
      <c r="A2644" s="163" t="s">
        <v>6276</v>
      </c>
      <c r="B2644" s="164">
        <v>45911</v>
      </c>
      <c r="C2644" s="34" t="s">
        <v>925</v>
      </c>
      <c r="D2644" s="53" t="str">
        <f>VLOOKUP(Sales[[#This Row],[Customer ID]],Customer[#All],2,0)</f>
        <v>Neha Singh</v>
      </c>
      <c r="E2644" s="34" t="s">
        <v>350</v>
      </c>
      <c r="F2644" s="34" t="str">
        <f>VLOOKUP(Sales[[#This Row],[Product ID]],Product[#All],2,0)</f>
        <v>Apc UPS</v>
      </c>
      <c r="G2644" s="53">
        <v>7</v>
      </c>
      <c r="H2644" s="165">
        <f>VLOOKUP(Sales[[#This Row],[Product ID]],Product[#All],7,0)</f>
        <v>18110</v>
      </c>
      <c r="I2644" s="165">
        <f>Sales[[#This Row],[Selling Rate]]*Sales[[#This Row],[Qty]]</f>
        <v>126770</v>
      </c>
      <c r="J2644" s="45">
        <v>0.1</v>
      </c>
      <c r="K2644" s="46">
        <f>Sales[[#This Row],[Gross Amount]]*Sales[[#This Row],[Disc %]]</f>
        <v>12677</v>
      </c>
      <c r="L2644" s="43">
        <v>0.18</v>
      </c>
      <c r="M2644" s="46">
        <f>(Sales[[#This Row],[Gross Amount]]-Sales[[#This Row],[Disc. Amt.]])*Sales[[#This Row],[GST %]]</f>
        <v>20536.739999999998</v>
      </c>
      <c r="N2644" s="161">
        <f>Sales[[#This Row],[Gross Amount]]-Sales[[#This Row],[Disc. Amt.]]+Sales[[#This Row],[GST Amount]]</f>
        <v>134629.74</v>
      </c>
      <c r="O2644" s="34" t="s">
        <v>3561</v>
      </c>
      <c r="P2644" s="34" t="s">
        <v>3562</v>
      </c>
      <c r="Q2644" s="165">
        <f>IF(Sales[[#This Row],[Status]]="Cancelled",0,Sales[[#This Row],[Qty]])</f>
        <v>7</v>
      </c>
      <c r="R2644" s="166">
        <f>IF(Sales[[#This Row],[Status]]="Cancelled",0,Sales[[#This Row],[Total Amount]])</f>
        <v>134629.74</v>
      </c>
      <c r="S2644" s="162">
        <f>SUM(Sales[Net Amount])</f>
        <v>406839287.73200053</v>
      </c>
    </row>
    <row r="2645" spans="1:19" ht="18.75" x14ac:dyDescent="0.25">
      <c r="A2645" s="156" t="s">
        <v>6277</v>
      </c>
      <c r="B2645" s="157">
        <v>45911</v>
      </c>
      <c r="C2645" s="158" t="s">
        <v>707</v>
      </c>
      <c r="D2645" s="159" t="str">
        <f>VLOOKUP(Sales[[#This Row],[Customer ID]],Customer[#All],2,0)</f>
        <v>Rahul Verma</v>
      </c>
      <c r="E2645" s="158" t="s">
        <v>46</v>
      </c>
      <c r="F2645" s="158" t="str">
        <f>VLOOKUP(Sales[[#This Row],[Product ID]],Product[#All],2,0)</f>
        <v>HP Printer</v>
      </c>
      <c r="G2645" s="159">
        <v>5</v>
      </c>
      <c r="H2645" s="160">
        <f>VLOOKUP(Sales[[#This Row],[Product ID]],Product[#All],7,0)</f>
        <v>35170</v>
      </c>
      <c r="I2645" s="160">
        <f>Sales[[#This Row],[Selling Rate]]*Sales[[#This Row],[Qty]]</f>
        <v>175850</v>
      </c>
      <c r="J2645" s="43">
        <v>0.15</v>
      </c>
      <c r="K2645" s="44">
        <f>Sales[[#This Row],[Gross Amount]]*Sales[[#This Row],[Disc %]]</f>
        <v>26377.5</v>
      </c>
      <c r="L2645" s="43">
        <v>0.18</v>
      </c>
      <c r="M2645" s="44">
        <f>(Sales[[#This Row],[Gross Amount]]-Sales[[#This Row],[Disc. Amt.]])*Sales[[#This Row],[GST %]]</f>
        <v>26905.05</v>
      </c>
      <c r="N2645" s="161">
        <f>Sales[[#This Row],[Gross Amount]]-Sales[[#This Row],[Disc. Amt.]]+Sales[[#This Row],[GST Amount]]</f>
        <v>176377.55</v>
      </c>
      <c r="O2645" s="158" t="s">
        <v>3566</v>
      </c>
      <c r="P2645" s="158" t="s">
        <v>3562</v>
      </c>
      <c r="Q2645" s="160">
        <f>IF(Sales[[#This Row],[Status]]="Cancelled",0,Sales[[#This Row],[Qty]])</f>
        <v>5</v>
      </c>
      <c r="R2645" s="161">
        <f>IF(Sales[[#This Row],[Status]]="Cancelled",0,Sales[[#This Row],[Total Amount]])</f>
        <v>176377.55</v>
      </c>
      <c r="S2645" s="162">
        <f>SUM(Sales[Net Amount])</f>
        <v>406839287.73200053</v>
      </c>
    </row>
    <row r="2646" spans="1:19" ht="18.75" x14ac:dyDescent="0.25">
      <c r="A2646" s="163" t="s">
        <v>6278</v>
      </c>
      <c r="B2646" s="164">
        <v>45911</v>
      </c>
      <c r="C2646" s="34" t="s">
        <v>875</v>
      </c>
      <c r="D2646" s="53" t="str">
        <f>VLOOKUP(Sales[[#This Row],[Customer ID]],Customer[#All],2,0)</f>
        <v>Rahul Verma</v>
      </c>
      <c r="E2646" s="34" t="s">
        <v>280</v>
      </c>
      <c r="F2646" s="34" t="str">
        <f>VLOOKUP(Sales[[#This Row],[Product ID]],Product[#All],2,0)</f>
        <v>Epson Printer</v>
      </c>
      <c r="G2646" s="53">
        <v>4</v>
      </c>
      <c r="H2646" s="165">
        <f>VLOOKUP(Sales[[#This Row],[Product ID]],Product[#All],7,0)</f>
        <v>34550</v>
      </c>
      <c r="I2646" s="165">
        <f>Sales[[#This Row],[Selling Rate]]*Sales[[#This Row],[Qty]]</f>
        <v>138200</v>
      </c>
      <c r="J2646" s="45">
        <v>0</v>
      </c>
      <c r="K2646" s="46">
        <f>Sales[[#This Row],[Gross Amount]]*Sales[[#This Row],[Disc %]]</f>
        <v>0</v>
      </c>
      <c r="L2646" s="43">
        <v>0.18</v>
      </c>
      <c r="M2646" s="46">
        <f>(Sales[[#This Row],[Gross Amount]]-Sales[[#This Row],[Disc. Amt.]])*Sales[[#This Row],[GST %]]</f>
        <v>24876</v>
      </c>
      <c r="N2646" s="161">
        <f>Sales[[#This Row],[Gross Amount]]-Sales[[#This Row],[Disc. Amt.]]+Sales[[#This Row],[GST Amount]]</f>
        <v>163076</v>
      </c>
      <c r="O2646" s="34" t="s">
        <v>3569</v>
      </c>
      <c r="P2646" s="34" t="s">
        <v>3562</v>
      </c>
      <c r="Q2646" s="165">
        <f>IF(Sales[[#This Row],[Status]]="Cancelled",0,Sales[[#This Row],[Qty]])</f>
        <v>4</v>
      </c>
      <c r="R2646" s="166">
        <f>IF(Sales[[#This Row],[Status]]="Cancelled",0,Sales[[#This Row],[Total Amount]])</f>
        <v>163076</v>
      </c>
      <c r="S2646" s="162">
        <f>SUM(Sales[Net Amount])</f>
        <v>406839287.73200053</v>
      </c>
    </row>
    <row r="2647" spans="1:19" ht="18.75" x14ac:dyDescent="0.25">
      <c r="A2647" s="156" t="s">
        <v>6279</v>
      </c>
      <c r="B2647" s="157">
        <v>45912</v>
      </c>
      <c r="C2647" s="158" t="s">
        <v>843</v>
      </c>
      <c r="D2647" s="159" t="str">
        <f>VLOOKUP(Sales[[#This Row],[Customer ID]],Customer[#All],2,0)</f>
        <v>Amit Verma</v>
      </c>
      <c r="E2647" s="158" t="s">
        <v>334</v>
      </c>
      <c r="F2647" s="158" t="str">
        <f>VLOOKUP(Sales[[#This Row],[Product ID]],Product[#All],2,0)</f>
        <v>Jbl Headset</v>
      </c>
      <c r="G2647" s="159">
        <v>4</v>
      </c>
      <c r="H2647" s="160">
        <f>VLOOKUP(Sales[[#This Row],[Product ID]],Product[#All],7,0)</f>
        <v>3150</v>
      </c>
      <c r="I2647" s="160">
        <f>Sales[[#This Row],[Selling Rate]]*Sales[[#This Row],[Qty]]</f>
        <v>12600</v>
      </c>
      <c r="J2647" s="43">
        <v>0.05</v>
      </c>
      <c r="K2647" s="44">
        <f>Sales[[#This Row],[Gross Amount]]*Sales[[#This Row],[Disc %]]</f>
        <v>630</v>
      </c>
      <c r="L2647" s="43">
        <v>0.18</v>
      </c>
      <c r="M2647" s="44">
        <f>(Sales[[#This Row],[Gross Amount]]-Sales[[#This Row],[Disc. Amt.]])*Sales[[#This Row],[GST %]]</f>
        <v>2154.6</v>
      </c>
      <c r="N2647" s="161">
        <f>Sales[[#This Row],[Gross Amount]]-Sales[[#This Row],[Disc. Amt.]]+Sales[[#This Row],[GST Amount]]</f>
        <v>14124.6</v>
      </c>
      <c r="O2647" s="158" t="s">
        <v>3566</v>
      </c>
      <c r="P2647" s="158" t="s">
        <v>3562</v>
      </c>
      <c r="Q2647" s="160">
        <f>IF(Sales[[#This Row],[Status]]="Cancelled",0,Sales[[#This Row],[Qty]])</f>
        <v>4</v>
      </c>
      <c r="R2647" s="161">
        <f>IF(Sales[[#This Row],[Status]]="Cancelled",0,Sales[[#This Row],[Total Amount]])</f>
        <v>14124.6</v>
      </c>
      <c r="S2647" s="162">
        <f>SUM(Sales[Net Amount])</f>
        <v>406839287.73200053</v>
      </c>
    </row>
    <row r="2648" spans="1:19" ht="18.75" x14ac:dyDescent="0.25">
      <c r="A2648" s="163" t="s">
        <v>6280</v>
      </c>
      <c r="B2648" s="164">
        <v>45912</v>
      </c>
      <c r="C2648" s="34" t="s">
        <v>665</v>
      </c>
      <c r="D2648" s="53" t="str">
        <f>VLOOKUP(Sales[[#This Row],[Customer ID]],Customer[#All],2,0)</f>
        <v>Vikas Sharma</v>
      </c>
      <c r="E2648" s="34" t="s">
        <v>440</v>
      </c>
      <c r="F2648" s="34" t="str">
        <f>VLOOKUP(Sales[[#This Row],[Product ID]],Product[#All],2,0)</f>
        <v>Dell Monitor</v>
      </c>
      <c r="G2648" s="53">
        <v>1</v>
      </c>
      <c r="H2648" s="165">
        <f>VLOOKUP(Sales[[#This Row],[Product ID]],Product[#All],7,0)</f>
        <v>22810</v>
      </c>
      <c r="I2648" s="165">
        <f>Sales[[#This Row],[Selling Rate]]*Sales[[#This Row],[Qty]]</f>
        <v>22810</v>
      </c>
      <c r="J2648" s="45">
        <v>0</v>
      </c>
      <c r="K2648" s="46">
        <f>Sales[[#This Row],[Gross Amount]]*Sales[[#This Row],[Disc %]]</f>
        <v>0</v>
      </c>
      <c r="L2648" s="43">
        <v>0.18</v>
      </c>
      <c r="M2648" s="46">
        <f>(Sales[[#This Row],[Gross Amount]]-Sales[[#This Row],[Disc. Amt.]])*Sales[[#This Row],[GST %]]</f>
        <v>4105.8</v>
      </c>
      <c r="N2648" s="161">
        <f>Sales[[#This Row],[Gross Amount]]-Sales[[#This Row],[Disc. Amt.]]+Sales[[#This Row],[GST Amount]]</f>
        <v>26915.8</v>
      </c>
      <c r="O2648" s="34" t="s">
        <v>8876</v>
      </c>
      <c r="P2648" s="34" t="s">
        <v>3562</v>
      </c>
      <c r="Q2648" s="165">
        <f>IF(Sales[[#This Row],[Status]]="Cancelled",0,Sales[[#This Row],[Qty]])</f>
        <v>1</v>
      </c>
      <c r="R2648" s="166">
        <f>IF(Sales[[#This Row],[Status]]="Cancelled",0,Sales[[#This Row],[Total Amount]])</f>
        <v>26915.8</v>
      </c>
      <c r="S2648" s="162">
        <f>SUM(Sales[Net Amount])</f>
        <v>406839287.73200053</v>
      </c>
    </row>
    <row r="2649" spans="1:19" ht="18.75" x14ac:dyDescent="0.25">
      <c r="A2649" s="156" t="s">
        <v>6281</v>
      </c>
      <c r="B2649" s="157">
        <v>45912</v>
      </c>
      <c r="C2649" s="158" t="s">
        <v>712</v>
      </c>
      <c r="D2649" s="159" t="str">
        <f>VLOOKUP(Sales[[#This Row],[Customer ID]],Customer[#All],2,0)</f>
        <v>Sahil Verma</v>
      </c>
      <c r="E2649" s="158" t="s">
        <v>414</v>
      </c>
      <c r="F2649" s="158" t="str">
        <f>VLOOKUP(Sales[[#This Row],[Product ID]],Product[#All],2,0)</f>
        <v>Logitech Keyboard</v>
      </c>
      <c r="G2649" s="159">
        <v>6</v>
      </c>
      <c r="H2649" s="160">
        <f>VLOOKUP(Sales[[#This Row],[Product ID]],Product[#All],7,0)</f>
        <v>2030</v>
      </c>
      <c r="I2649" s="160">
        <f>Sales[[#This Row],[Selling Rate]]*Sales[[#This Row],[Qty]]</f>
        <v>12180</v>
      </c>
      <c r="J2649" s="43">
        <v>0</v>
      </c>
      <c r="K2649" s="44">
        <f>Sales[[#This Row],[Gross Amount]]*Sales[[#This Row],[Disc %]]</f>
        <v>0</v>
      </c>
      <c r="L2649" s="43">
        <v>0.18</v>
      </c>
      <c r="M2649" s="44">
        <f>(Sales[[#This Row],[Gross Amount]]-Sales[[#This Row],[Disc. Amt.]])*Sales[[#This Row],[GST %]]</f>
        <v>2192.4</v>
      </c>
      <c r="N2649" s="161">
        <f>Sales[[#This Row],[Gross Amount]]-Sales[[#This Row],[Disc. Amt.]]+Sales[[#This Row],[GST Amount]]</f>
        <v>14372.4</v>
      </c>
      <c r="O2649" s="158" t="s">
        <v>3561</v>
      </c>
      <c r="P2649" s="158" t="s">
        <v>3562</v>
      </c>
      <c r="Q2649" s="160">
        <f>IF(Sales[[#This Row],[Status]]="Cancelled",0,Sales[[#This Row],[Qty]])</f>
        <v>6</v>
      </c>
      <c r="R2649" s="161">
        <f>IF(Sales[[#This Row],[Status]]="Cancelled",0,Sales[[#This Row],[Total Amount]])</f>
        <v>14372.4</v>
      </c>
      <c r="S2649" s="162">
        <f>SUM(Sales[Net Amount])</f>
        <v>406839287.73200053</v>
      </c>
    </row>
    <row r="2650" spans="1:19" ht="18.75" x14ac:dyDescent="0.25">
      <c r="A2650" s="163" t="s">
        <v>6282</v>
      </c>
      <c r="B2650" s="164">
        <v>45912</v>
      </c>
      <c r="C2650" s="34" t="s">
        <v>918</v>
      </c>
      <c r="D2650" s="53" t="str">
        <f>VLOOKUP(Sales[[#This Row],[Customer ID]],Customer[#All],2,0)</f>
        <v>Pooja Patel</v>
      </c>
      <c r="E2650" s="34" t="s">
        <v>50</v>
      </c>
      <c r="F2650" s="34" t="str">
        <f>VLOOKUP(Sales[[#This Row],[Product ID]],Product[#All],2,0)</f>
        <v>Lg Monitor</v>
      </c>
      <c r="G2650" s="53">
        <v>8</v>
      </c>
      <c r="H2650" s="165">
        <f>VLOOKUP(Sales[[#This Row],[Product ID]],Product[#All],7,0)</f>
        <v>35670</v>
      </c>
      <c r="I2650" s="165">
        <f>Sales[[#This Row],[Selling Rate]]*Sales[[#This Row],[Qty]]</f>
        <v>285360</v>
      </c>
      <c r="J2650" s="45">
        <v>0.02</v>
      </c>
      <c r="K2650" s="46">
        <f>Sales[[#This Row],[Gross Amount]]*Sales[[#This Row],[Disc %]]</f>
        <v>5707.2</v>
      </c>
      <c r="L2650" s="43">
        <v>0.18</v>
      </c>
      <c r="M2650" s="46">
        <f>(Sales[[#This Row],[Gross Amount]]-Sales[[#This Row],[Disc. Amt.]])*Sales[[#This Row],[GST %]]</f>
        <v>50337.503999999994</v>
      </c>
      <c r="N2650" s="161">
        <f>Sales[[#This Row],[Gross Amount]]-Sales[[#This Row],[Disc. Amt.]]+Sales[[#This Row],[GST Amount]]</f>
        <v>329990.304</v>
      </c>
      <c r="O2650" s="34" t="s">
        <v>3566</v>
      </c>
      <c r="P2650" s="34" t="s">
        <v>3562</v>
      </c>
      <c r="Q2650" s="165">
        <f>IF(Sales[[#This Row],[Status]]="Cancelled",0,Sales[[#This Row],[Qty]])</f>
        <v>8</v>
      </c>
      <c r="R2650" s="166">
        <f>IF(Sales[[#This Row],[Status]]="Cancelled",0,Sales[[#This Row],[Total Amount]])</f>
        <v>329990.304</v>
      </c>
      <c r="S2650" s="162">
        <f>SUM(Sales[Net Amount])</f>
        <v>406839287.73200053</v>
      </c>
    </row>
    <row r="2651" spans="1:19" ht="18.75" x14ac:dyDescent="0.25">
      <c r="A2651" s="156" t="s">
        <v>6283</v>
      </c>
      <c r="B2651" s="157">
        <v>45912</v>
      </c>
      <c r="C2651" s="158" t="s">
        <v>925</v>
      </c>
      <c r="D2651" s="159" t="str">
        <f>VLOOKUP(Sales[[#This Row],[Customer ID]],Customer[#All],2,0)</f>
        <v>Neha Singh</v>
      </c>
      <c r="E2651" s="158" t="s">
        <v>552</v>
      </c>
      <c r="F2651" s="158" t="str">
        <f>VLOOKUP(Sales[[#This Row],[Product ID]],Product[#All],2,0)</f>
        <v>American TouristerLaptopBag</v>
      </c>
      <c r="G2651" s="159">
        <v>7</v>
      </c>
      <c r="H2651" s="160">
        <f>VLOOKUP(Sales[[#This Row],[Product ID]],Product[#All],7,0)</f>
        <v>5080</v>
      </c>
      <c r="I2651" s="160">
        <f>Sales[[#This Row],[Selling Rate]]*Sales[[#This Row],[Qty]]</f>
        <v>35560</v>
      </c>
      <c r="J2651" s="43">
        <v>0.12</v>
      </c>
      <c r="K2651" s="44">
        <f>Sales[[#This Row],[Gross Amount]]*Sales[[#This Row],[Disc %]]</f>
        <v>4267.2</v>
      </c>
      <c r="L2651" s="43">
        <v>0.18</v>
      </c>
      <c r="M2651" s="44">
        <f>(Sales[[#This Row],[Gross Amount]]-Sales[[#This Row],[Disc. Amt.]])*Sales[[#This Row],[GST %]]</f>
        <v>5632.7039999999997</v>
      </c>
      <c r="N2651" s="161">
        <f>Sales[[#This Row],[Gross Amount]]-Sales[[#This Row],[Disc. Amt.]]+Sales[[#This Row],[GST Amount]]</f>
        <v>36925.504000000001</v>
      </c>
      <c r="O2651" s="158" t="s">
        <v>3561</v>
      </c>
      <c r="P2651" s="158" t="s">
        <v>3562</v>
      </c>
      <c r="Q2651" s="160">
        <f>IF(Sales[[#This Row],[Status]]="Cancelled",0,Sales[[#This Row],[Qty]])</f>
        <v>7</v>
      </c>
      <c r="R2651" s="161">
        <f>IF(Sales[[#This Row],[Status]]="Cancelled",0,Sales[[#This Row],[Total Amount]])</f>
        <v>36925.504000000001</v>
      </c>
      <c r="S2651" s="162">
        <f>SUM(Sales[Net Amount])</f>
        <v>406839287.73200053</v>
      </c>
    </row>
    <row r="2652" spans="1:19" ht="18.75" x14ac:dyDescent="0.25">
      <c r="A2652" s="163" t="s">
        <v>6284</v>
      </c>
      <c r="B2652" s="164">
        <v>45912</v>
      </c>
      <c r="C2652" s="34" t="s">
        <v>852</v>
      </c>
      <c r="D2652" s="53" t="str">
        <f>VLOOKUP(Sales[[#This Row],[Customer ID]],Customer[#All],2,0)</f>
        <v>Neha Singh</v>
      </c>
      <c r="E2652" s="34" t="s">
        <v>510</v>
      </c>
      <c r="F2652" s="34" t="str">
        <f>VLOOKUP(Sales[[#This Row],[Product ID]],Product[#All],2,0)</f>
        <v>American TouristerLaptopBag</v>
      </c>
      <c r="G2652" s="53">
        <v>4</v>
      </c>
      <c r="H2652" s="165">
        <f>VLOOKUP(Sales[[#This Row],[Product ID]],Product[#All],7,0)</f>
        <v>5010</v>
      </c>
      <c r="I2652" s="165">
        <f>Sales[[#This Row],[Selling Rate]]*Sales[[#This Row],[Qty]]</f>
        <v>20040</v>
      </c>
      <c r="J2652" s="45">
        <v>0.1</v>
      </c>
      <c r="K2652" s="46">
        <f>Sales[[#This Row],[Gross Amount]]*Sales[[#This Row],[Disc %]]</f>
        <v>2004</v>
      </c>
      <c r="L2652" s="43">
        <v>0.18</v>
      </c>
      <c r="M2652" s="46">
        <f>(Sales[[#This Row],[Gross Amount]]-Sales[[#This Row],[Disc. Amt.]])*Sales[[#This Row],[GST %]]</f>
        <v>3246.48</v>
      </c>
      <c r="N2652" s="161">
        <f>Sales[[#This Row],[Gross Amount]]-Sales[[#This Row],[Disc. Amt.]]+Sales[[#This Row],[GST Amount]]</f>
        <v>21282.48</v>
      </c>
      <c r="O2652" s="34" t="s">
        <v>3566</v>
      </c>
      <c r="P2652" s="34" t="s">
        <v>3562</v>
      </c>
      <c r="Q2652" s="165">
        <f>IF(Sales[[#This Row],[Status]]="Cancelled",0,Sales[[#This Row],[Qty]])</f>
        <v>4</v>
      </c>
      <c r="R2652" s="166">
        <f>IF(Sales[[#This Row],[Status]]="Cancelled",0,Sales[[#This Row],[Total Amount]])</f>
        <v>21282.48</v>
      </c>
      <c r="S2652" s="162">
        <f>SUM(Sales[Net Amount])</f>
        <v>406839287.73200053</v>
      </c>
    </row>
    <row r="2653" spans="1:19" ht="18.75" x14ac:dyDescent="0.25">
      <c r="A2653" s="156" t="s">
        <v>6285</v>
      </c>
      <c r="B2653" s="157">
        <v>45912</v>
      </c>
      <c r="C2653" s="158" t="s">
        <v>896</v>
      </c>
      <c r="D2653" s="159" t="str">
        <f>VLOOKUP(Sales[[#This Row],[Customer ID]],Customer[#All],2,0)</f>
        <v>Amit Gupta</v>
      </c>
      <c r="E2653" s="158" t="s">
        <v>395</v>
      </c>
      <c r="F2653" s="158" t="str">
        <f>VLOOKUP(Sales[[#This Row],[Product ID]],Product[#All],2,0)</f>
        <v>American TouristerLaptopBag</v>
      </c>
      <c r="G2653" s="159">
        <v>4</v>
      </c>
      <c r="H2653" s="160">
        <f>VLOOKUP(Sales[[#This Row],[Product ID]],Product[#All],7,0)</f>
        <v>5010</v>
      </c>
      <c r="I2653" s="160">
        <f>Sales[[#This Row],[Selling Rate]]*Sales[[#This Row],[Qty]]</f>
        <v>20040</v>
      </c>
      <c r="J2653" s="43">
        <v>0.05</v>
      </c>
      <c r="K2653" s="44">
        <f>Sales[[#This Row],[Gross Amount]]*Sales[[#This Row],[Disc %]]</f>
        <v>1002</v>
      </c>
      <c r="L2653" s="43">
        <v>0.18</v>
      </c>
      <c r="M2653" s="44">
        <f>(Sales[[#This Row],[Gross Amount]]-Sales[[#This Row],[Disc. Amt.]])*Sales[[#This Row],[GST %]]</f>
        <v>3426.8399999999997</v>
      </c>
      <c r="N2653" s="161">
        <f>Sales[[#This Row],[Gross Amount]]-Sales[[#This Row],[Disc. Amt.]]+Sales[[#This Row],[GST Amount]]</f>
        <v>22464.84</v>
      </c>
      <c r="O2653" s="158" t="s">
        <v>3561</v>
      </c>
      <c r="P2653" s="158" t="s">
        <v>3562</v>
      </c>
      <c r="Q2653" s="160">
        <f>IF(Sales[[#This Row],[Status]]="Cancelled",0,Sales[[#This Row],[Qty]])</f>
        <v>4</v>
      </c>
      <c r="R2653" s="161">
        <f>IF(Sales[[#This Row],[Status]]="Cancelled",0,Sales[[#This Row],[Total Amount]])</f>
        <v>22464.84</v>
      </c>
      <c r="S2653" s="162">
        <f>SUM(Sales[Net Amount])</f>
        <v>406839287.73200053</v>
      </c>
    </row>
    <row r="2654" spans="1:19" ht="18.75" x14ac:dyDescent="0.25">
      <c r="A2654" s="163" t="s">
        <v>6286</v>
      </c>
      <c r="B2654" s="164">
        <v>45912</v>
      </c>
      <c r="C2654" s="34" t="s">
        <v>946</v>
      </c>
      <c r="D2654" s="53" t="str">
        <f>VLOOKUP(Sales[[#This Row],[Customer ID]],Customer[#All],2,0)</f>
        <v>Priya Patel</v>
      </c>
      <c r="E2654" s="34" t="s">
        <v>241</v>
      </c>
      <c r="F2654" s="34" t="str">
        <f>VLOOKUP(Sales[[#This Row],[Product ID]],Product[#All],2,0)</f>
        <v>Portronics USB Cable</v>
      </c>
      <c r="G2654" s="53">
        <v>7</v>
      </c>
      <c r="H2654" s="165">
        <f>VLOOKUP(Sales[[#This Row],[Product ID]],Product[#All],7,0)</f>
        <v>630</v>
      </c>
      <c r="I2654" s="165">
        <f>Sales[[#This Row],[Selling Rate]]*Sales[[#This Row],[Qty]]</f>
        <v>4410</v>
      </c>
      <c r="J2654" s="45">
        <v>0.05</v>
      </c>
      <c r="K2654" s="46">
        <f>Sales[[#This Row],[Gross Amount]]*Sales[[#This Row],[Disc %]]</f>
        <v>220.5</v>
      </c>
      <c r="L2654" s="43">
        <v>0.18</v>
      </c>
      <c r="M2654" s="46">
        <f>(Sales[[#This Row],[Gross Amount]]-Sales[[#This Row],[Disc. Amt.]])*Sales[[#This Row],[GST %]]</f>
        <v>754.11</v>
      </c>
      <c r="N2654" s="161">
        <f>Sales[[#This Row],[Gross Amount]]-Sales[[#This Row],[Disc. Amt.]]+Sales[[#This Row],[GST Amount]]</f>
        <v>4943.6099999999997</v>
      </c>
      <c r="O2654" s="34" t="s">
        <v>8876</v>
      </c>
      <c r="P2654" s="34" t="s">
        <v>3562</v>
      </c>
      <c r="Q2654" s="165">
        <f>IF(Sales[[#This Row],[Status]]="Cancelled",0,Sales[[#This Row],[Qty]])</f>
        <v>7</v>
      </c>
      <c r="R2654" s="166">
        <f>IF(Sales[[#This Row],[Status]]="Cancelled",0,Sales[[#This Row],[Total Amount]])</f>
        <v>4943.6099999999997</v>
      </c>
      <c r="S2654" s="162">
        <f>SUM(Sales[Net Amount])</f>
        <v>406839287.73200053</v>
      </c>
    </row>
    <row r="2655" spans="1:19" ht="18.75" x14ac:dyDescent="0.25">
      <c r="A2655" s="156" t="s">
        <v>6287</v>
      </c>
      <c r="B2655" s="157">
        <v>45912</v>
      </c>
      <c r="C2655" s="158" t="s">
        <v>783</v>
      </c>
      <c r="D2655" s="159" t="str">
        <f>VLOOKUP(Sales[[#This Row],[Customer ID]],Customer[#All],2,0)</f>
        <v>Neha Singh</v>
      </c>
      <c r="E2655" s="158" t="s">
        <v>207</v>
      </c>
      <c r="F2655" s="158" t="str">
        <f>VLOOKUP(Sales[[#This Row],[Product ID]],Product[#All],2,0)</f>
        <v>Jbl Headset</v>
      </c>
      <c r="G2655" s="159">
        <v>7</v>
      </c>
      <c r="H2655" s="160">
        <f>VLOOKUP(Sales[[#This Row],[Product ID]],Product[#All],7,0)</f>
        <v>1400</v>
      </c>
      <c r="I2655" s="160">
        <f>Sales[[#This Row],[Selling Rate]]*Sales[[#This Row],[Qty]]</f>
        <v>9800</v>
      </c>
      <c r="J2655" s="43">
        <v>0.05</v>
      </c>
      <c r="K2655" s="44">
        <f>Sales[[#This Row],[Gross Amount]]*Sales[[#This Row],[Disc %]]</f>
        <v>490</v>
      </c>
      <c r="L2655" s="43">
        <v>0.18</v>
      </c>
      <c r="M2655" s="44">
        <f>(Sales[[#This Row],[Gross Amount]]-Sales[[#This Row],[Disc. Amt.]])*Sales[[#This Row],[GST %]]</f>
        <v>1675.8</v>
      </c>
      <c r="N2655" s="161">
        <f>Sales[[#This Row],[Gross Amount]]-Sales[[#This Row],[Disc. Amt.]]+Sales[[#This Row],[GST Amount]]</f>
        <v>10985.8</v>
      </c>
      <c r="O2655" s="158" t="s">
        <v>3561</v>
      </c>
      <c r="P2655" s="158" t="s">
        <v>3562</v>
      </c>
      <c r="Q2655" s="160">
        <f>IF(Sales[[#This Row],[Status]]="Cancelled",0,Sales[[#This Row],[Qty]])</f>
        <v>7</v>
      </c>
      <c r="R2655" s="161">
        <f>IF(Sales[[#This Row],[Status]]="Cancelled",0,Sales[[#This Row],[Total Amount]])</f>
        <v>10985.8</v>
      </c>
      <c r="S2655" s="162">
        <f>SUM(Sales[Net Amount])</f>
        <v>406839287.73200053</v>
      </c>
    </row>
    <row r="2656" spans="1:19" ht="18.75" x14ac:dyDescent="0.25">
      <c r="A2656" s="163" t="s">
        <v>6288</v>
      </c>
      <c r="B2656" s="164">
        <v>45912</v>
      </c>
      <c r="C2656" s="34" t="s">
        <v>832</v>
      </c>
      <c r="D2656" s="53" t="str">
        <f>VLOOKUP(Sales[[#This Row],[Customer ID]],Customer[#All],2,0)</f>
        <v>Vikas Sharma</v>
      </c>
      <c r="E2656" s="34" t="s">
        <v>210</v>
      </c>
      <c r="F2656" s="34" t="str">
        <f>VLOOKUP(Sales[[#This Row],[Product ID]],Product[#All],2,0)</f>
        <v>Jbl Headset</v>
      </c>
      <c r="G2656" s="53">
        <v>6</v>
      </c>
      <c r="H2656" s="165">
        <f>VLOOKUP(Sales[[#This Row],[Product ID]],Product[#All],7,0)</f>
        <v>1130</v>
      </c>
      <c r="I2656" s="165">
        <f>Sales[[#This Row],[Selling Rate]]*Sales[[#This Row],[Qty]]</f>
        <v>6780</v>
      </c>
      <c r="J2656" s="45">
        <v>0.12</v>
      </c>
      <c r="K2656" s="46">
        <f>Sales[[#This Row],[Gross Amount]]*Sales[[#This Row],[Disc %]]</f>
        <v>813.6</v>
      </c>
      <c r="L2656" s="43">
        <v>0.18</v>
      </c>
      <c r="M2656" s="46">
        <f>(Sales[[#This Row],[Gross Amount]]-Sales[[#This Row],[Disc. Amt.]])*Sales[[#This Row],[GST %]]</f>
        <v>1073.952</v>
      </c>
      <c r="N2656" s="161">
        <f>Sales[[#This Row],[Gross Amount]]-Sales[[#This Row],[Disc. Amt.]]+Sales[[#This Row],[GST Amount]]</f>
        <v>7040.3519999999999</v>
      </c>
      <c r="O2656" s="34" t="s">
        <v>3566</v>
      </c>
      <c r="P2656" s="34" t="s">
        <v>1040</v>
      </c>
      <c r="Q2656" s="165">
        <f>IF(Sales[[#This Row],[Status]]="Cancelled",0,Sales[[#This Row],[Qty]])</f>
        <v>0</v>
      </c>
      <c r="R2656" s="166">
        <f>IF(Sales[[#This Row],[Status]]="Cancelled",0,Sales[[#This Row],[Total Amount]])</f>
        <v>0</v>
      </c>
      <c r="S2656" s="162">
        <f>SUM(Sales[Net Amount])</f>
        <v>406839287.73200053</v>
      </c>
    </row>
    <row r="2657" spans="1:19" ht="18.75" x14ac:dyDescent="0.25">
      <c r="A2657" s="156" t="s">
        <v>6289</v>
      </c>
      <c r="B2657" s="157">
        <v>45912</v>
      </c>
      <c r="C2657" s="158" t="s">
        <v>918</v>
      </c>
      <c r="D2657" s="159" t="str">
        <f>VLOOKUP(Sales[[#This Row],[Customer ID]],Customer[#All],2,0)</f>
        <v>Pooja Patel</v>
      </c>
      <c r="E2657" s="158" t="s">
        <v>251</v>
      </c>
      <c r="F2657" s="158" t="str">
        <f>VLOOKUP(Sales[[#This Row],[Product ID]],Product[#All],2,0)</f>
        <v>Corsair Ram</v>
      </c>
      <c r="G2657" s="159">
        <v>8</v>
      </c>
      <c r="H2657" s="160">
        <f>VLOOKUP(Sales[[#This Row],[Product ID]],Product[#All],7,0)</f>
        <v>2890</v>
      </c>
      <c r="I2657" s="160">
        <f>Sales[[#This Row],[Selling Rate]]*Sales[[#This Row],[Qty]]</f>
        <v>23120</v>
      </c>
      <c r="J2657" s="43">
        <v>0.1</v>
      </c>
      <c r="K2657" s="44">
        <f>Sales[[#This Row],[Gross Amount]]*Sales[[#This Row],[Disc %]]</f>
        <v>2312</v>
      </c>
      <c r="L2657" s="43">
        <v>0.18</v>
      </c>
      <c r="M2657" s="44">
        <f>(Sales[[#This Row],[Gross Amount]]-Sales[[#This Row],[Disc. Amt.]])*Sales[[#This Row],[GST %]]</f>
        <v>3745.44</v>
      </c>
      <c r="N2657" s="161">
        <f>Sales[[#This Row],[Gross Amount]]-Sales[[#This Row],[Disc. Amt.]]+Sales[[#This Row],[GST Amount]]</f>
        <v>24553.439999999999</v>
      </c>
      <c r="O2657" s="158" t="s">
        <v>8876</v>
      </c>
      <c r="P2657" s="158" t="s">
        <v>3562</v>
      </c>
      <c r="Q2657" s="160">
        <f>IF(Sales[[#This Row],[Status]]="Cancelled",0,Sales[[#This Row],[Qty]])</f>
        <v>8</v>
      </c>
      <c r="R2657" s="161">
        <f>IF(Sales[[#This Row],[Status]]="Cancelled",0,Sales[[#This Row],[Total Amount]])</f>
        <v>24553.439999999999</v>
      </c>
      <c r="S2657" s="162">
        <f>SUM(Sales[Net Amount])</f>
        <v>406839287.73200053</v>
      </c>
    </row>
    <row r="2658" spans="1:19" ht="18.75" x14ac:dyDescent="0.25">
      <c r="A2658" s="163" t="s">
        <v>6290</v>
      </c>
      <c r="B2658" s="164">
        <v>45912</v>
      </c>
      <c r="C2658" s="34" t="s">
        <v>650</v>
      </c>
      <c r="D2658" s="53" t="str">
        <f>VLOOKUP(Sales[[#This Row],[Customer ID]],Customer[#All],2,0)</f>
        <v xml:space="preserve">Pooja Patel </v>
      </c>
      <c r="E2658" s="34" t="s">
        <v>466</v>
      </c>
      <c r="F2658" s="34" t="str">
        <f>VLOOKUP(Sales[[#This Row],[Product ID]],Product[#All],2,0)</f>
        <v>Lenovo Laptop</v>
      </c>
      <c r="G2658" s="53">
        <v>3</v>
      </c>
      <c r="H2658" s="165">
        <f>VLOOKUP(Sales[[#This Row],[Product ID]],Product[#All],7,0)</f>
        <v>87730</v>
      </c>
      <c r="I2658" s="165">
        <f>Sales[[#This Row],[Selling Rate]]*Sales[[#This Row],[Qty]]</f>
        <v>263190</v>
      </c>
      <c r="J2658" s="45">
        <v>0.15</v>
      </c>
      <c r="K2658" s="46">
        <f>Sales[[#This Row],[Gross Amount]]*Sales[[#This Row],[Disc %]]</f>
        <v>39478.5</v>
      </c>
      <c r="L2658" s="43">
        <v>0.18</v>
      </c>
      <c r="M2658" s="46">
        <f>(Sales[[#This Row],[Gross Amount]]-Sales[[#This Row],[Disc. Amt.]])*Sales[[#This Row],[GST %]]</f>
        <v>40268.07</v>
      </c>
      <c r="N2658" s="161">
        <f>Sales[[#This Row],[Gross Amount]]-Sales[[#This Row],[Disc. Amt.]]+Sales[[#This Row],[GST Amount]]</f>
        <v>263979.57</v>
      </c>
      <c r="O2658" s="34" t="s">
        <v>3569</v>
      </c>
      <c r="P2658" s="34" t="s">
        <v>3562</v>
      </c>
      <c r="Q2658" s="165">
        <f>IF(Sales[[#This Row],[Status]]="Cancelled",0,Sales[[#This Row],[Qty]])</f>
        <v>3</v>
      </c>
      <c r="R2658" s="166">
        <f>IF(Sales[[#This Row],[Status]]="Cancelled",0,Sales[[#This Row],[Total Amount]])</f>
        <v>263979.57</v>
      </c>
      <c r="S2658" s="162">
        <f>SUM(Sales[Net Amount])</f>
        <v>406839287.73200053</v>
      </c>
    </row>
    <row r="2659" spans="1:19" ht="18.75" x14ac:dyDescent="0.25">
      <c r="A2659" s="156" t="s">
        <v>6291</v>
      </c>
      <c r="B2659" s="157">
        <v>45912</v>
      </c>
      <c r="C2659" s="158" t="s">
        <v>786</v>
      </c>
      <c r="D2659" s="159" t="str">
        <f>VLOOKUP(Sales[[#This Row],[Customer ID]],Customer[#All],2,0)</f>
        <v>Pooja Kumar</v>
      </c>
      <c r="E2659" s="158" t="s">
        <v>271</v>
      </c>
      <c r="F2659" s="158" t="str">
        <f>VLOOKUP(Sales[[#This Row],[Product ID]],Product[#All],2,0)</f>
        <v>TP-link Bluetooth Adapter</v>
      </c>
      <c r="G2659" s="159">
        <v>4</v>
      </c>
      <c r="H2659" s="160">
        <f>VLOOKUP(Sales[[#This Row],[Product ID]],Product[#All],7,0)</f>
        <v>410</v>
      </c>
      <c r="I2659" s="160">
        <f>Sales[[#This Row],[Selling Rate]]*Sales[[#This Row],[Qty]]</f>
        <v>1640</v>
      </c>
      <c r="J2659" s="43">
        <v>0.15</v>
      </c>
      <c r="K2659" s="44">
        <f>Sales[[#This Row],[Gross Amount]]*Sales[[#This Row],[Disc %]]</f>
        <v>246</v>
      </c>
      <c r="L2659" s="43">
        <v>0.18</v>
      </c>
      <c r="M2659" s="44">
        <f>(Sales[[#This Row],[Gross Amount]]-Sales[[#This Row],[Disc. Amt.]])*Sales[[#This Row],[GST %]]</f>
        <v>250.92</v>
      </c>
      <c r="N2659" s="161">
        <f>Sales[[#This Row],[Gross Amount]]-Sales[[#This Row],[Disc. Amt.]]+Sales[[#This Row],[GST Amount]]</f>
        <v>1644.92</v>
      </c>
      <c r="O2659" s="158" t="s">
        <v>3566</v>
      </c>
      <c r="P2659" s="158" t="s">
        <v>3562</v>
      </c>
      <c r="Q2659" s="160">
        <f>IF(Sales[[#This Row],[Status]]="Cancelled",0,Sales[[#This Row],[Qty]])</f>
        <v>4</v>
      </c>
      <c r="R2659" s="161">
        <f>IF(Sales[[#This Row],[Status]]="Cancelled",0,Sales[[#This Row],[Total Amount]])</f>
        <v>1644.92</v>
      </c>
      <c r="S2659" s="162">
        <f>SUM(Sales[Net Amount])</f>
        <v>406839287.73200053</v>
      </c>
    </row>
    <row r="2660" spans="1:19" ht="18.75" x14ac:dyDescent="0.25">
      <c r="A2660" s="163" t="s">
        <v>6292</v>
      </c>
      <c r="B2660" s="164">
        <v>45912</v>
      </c>
      <c r="C2660" s="34" t="s">
        <v>887</v>
      </c>
      <c r="D2660" s="53" t="str">
        <f>VLOOKUP(Sales[[#This Row],[Customer ID]],Customer[#All],2,0)</f>
        <v>Sahil Verma</v>
      </c>
      <c r="E2660" s="34" t="s">
        <v>43</v>
      </c>
      <c r="F2660" s="34" t="str">
        <f>VLOOKUP(Sales[[#This Row],[Product ID]],Product[#All],2,0)</f>
        <v>Jbl Speaker</v>
      </c>
      <c r="G2660" s="53">
        <v>5</v>
      </c>
      <c r="H2660" s="165">
        <f>VLOOKUP(Sales[[#This Row],[Product ID]],Product[#All],7,0)</f>
        <v>11310</v>
      </c>
      <c r="I2660" s="165">
        <f>Sales[[#This Row],[Selling Rate]]*Sales[[#This Row],[Qty]]</f>
        <v>56550</v>
      </c>
      <c r="J2660" s="45">
        <v>0.05</v>
      </c>
      <c r="K2660" s="46">
        <f>Sales[[#This Row],[Gross Amount]]*Sales[[#This Row],[Disc %]]</f>
        <v>2827.5</v>
      </c>
      <c r="L2660" s="43">
        <v>0.18</v>
      </c>
      <c r="M2660" s="46">
        <f>(Sales[[#This Row],[Gross Amount]]-Sales[[#This Row],[Disc. Amt.]])*Sales[[#This Row],[GST %]]</f>
        <v>9670.0499999999993</v>
      </c>
      <c r="N2660" s="161">
        <f>Sales[[#This Row],[Gross Amount]]-Sales[[#This Row],[Disc. Amt.]]+Sales[[#This Row],[GST Amount]]</f>
        <v>63392.55</v>
      </c>
      <c r="O2660" s="34" t="s">
        <v>8876</v>
      </c>
      <c r="P2660" s="34" t="s">
        <v>3562</v>
      </c>
      <c r="Q2660" s="165">
        <f>IF(Sales[[#This Row],[Status]]="Cancelled",0,Sales[[#This Row],[Qty]])</f>
        <v>5</v>
      </c>
      <c r="R2660" s="166">
        <f>IF(Sales[[#This Row],[Status]]="Cancelled",0,Sales[[#This Row],[Total Amount]])</f>
        <v>63392.55</v>
      </c>
      <c r="S2660" s="162">
        <f>SUM(Sales[Net Amount])</f>
        <v>406839287.73200053</v>
      </c>
    </row>
    <row r="2661" spans="1:19" ht="18.75" x14ac:dyDescent="0.25">
      <c r="A2661" s="156" t="s">
        <v>6293</v>
      </c>
      <c r="B2661" s="157">
        <v>45913</v>
      </c>
      <c r="C2661" s="158" t="s">
        <v>668</v>
      </c>
      <c r="D2661" s="159" t="str">
        <f>VLOOKUP(Sales[[#This Row],[Customer ID]],Customer[#All],2,0)</f>
        <v>Rahul Patel</v>
      </c>
      <c r="E2661" s="158" t="s">
        <v>184</v>
      </c>
      <c r="F2661" s="158" t="str">
        <f>VLOOKUP(Sales[[#This Row],[Product ID]],Product[#All],2,0)</f>
        <v>Seagate HDD</v>
      </c>
      <c r="G2661" s="159">
        <v>4</v>
      </c>
      <c r="H2661" s="160">
        <f>VLOOKUP(Sales[[#This Row],[Product ID]],Product[#All],7,0)</f>
        <v>11550</v>
      </c>
      <c r="I2661" s="160">
        <f>Sales[[#This Row],[Selling Rate]]*Sales[[#This Row],[Qty]]</f>
        <v>46200</v>
      </c>
      <c r="J2661" s="43">
        <v>0.1</v>
      </c>
      <c r="K2661" s="44">
        <f>Sales[[#This Row],[Gross Amount]]*Sales[[#This Row],[Disc %]]</f>
        <v>4620</v>
      </c>
      <c r="L2661" s="43">
        <v>0.18</v>
      </c>
      <c r="M2661" s="44">
        <f>(Sales[[#This Row],[Gross Amount]]-Sales[[#This Row],[Disc. Amt.]])*Sales[[#This Row],[GST %]]</f>
        <v>7484.4</v>
      </c>
      <c r="N2661" s="161">
        <f>Sales[[#This Row],[Gross Amount]]-Sales[[#This Row],[Disc. Amt.]]+Sales[[#This Row],[GST Amount]]</f>
        <v>49064.4</v>
      </c>
      <c r="O2661" s="158" t="s">
        <v>3566</v>
      </c>
      <c r="P2661" s="158" t="s">
        <v>3562</v>
      </c>
      <c r="Q2661" s="160">
        <f>IF(Sales[[#This Row],[Status]]="Cancelled",0,Sales[[#This Row],[Qty]])</f>
        <v>4</v>
      </c>
      <c r="R2661" s="161">
        <f>IF(Sales[[#This Row],[Status]]="Cancelled",0,Sales[[#This Row],[Total Amount]])</f>
        <v>49064.4</v>
      </c>
      <c r="S2661" s="162">
        <f>SUM(Sales[Net Amount])</f>
        <v>406839287.73200053</v>
      </c>
    </row>
    <row r="2662" spans="1:19" ht="18.75" x14ac:dyDescent="0.25">
      <c r="A2662" s="163" t="s">
        <v>6294</v>
      </c>
      <c r="B2662" s="164">
        <v>45913</v>
      </c>
      <c r="C2662" s="34" t="s">
        <v>939</v>
      </c>
      <c r="D2662" s="53" t="str">
        <f>VLOOKUP(Sales[[#This Row],[Customer ID]],Customer[#All],2,0)</f>
        <v>Sunita Sharma</v>
      </c>
      <c r="E2662" s="34" t="s">
        <v>494</v>
      </c>
      <c r="F2662" s="34" t="str">
        <f>VLOOKUP(Sales[[#This Row],[Product ID]],Product[#All],2,0)</f>
        <v>Logitech Mouse</v>
      </c>
      <c r="G2662" s="53">
        <v>4</v>
      </c>
      <c r="H2662" s="165">
        <f>VLOOKUP(Sales[[#This Row],[Product ID]],Product[#All],7,0)</f>
        <v>660</v>
      </c>
      <c r="I2662" s="165">
        <f>Sales[[#This Row],[Selling Rate]]*Sales[[#This Row],[Qty]]</f>
        <v>2640</v>
      </c>
      <c r="J2662" s="45">
        <v>0.1</v>
      </c>
      <c r="K2662" s="46">
        <f>Sales[[#This Row],[Gross Amount]]*Sales[[#This Row],[Disc %]]</f>
        <v>264</v>
      </c>
      <c r="L2662" s="43">
        <v>0.18</v>
      </c>
      <c r="M2662" s="46">
        <f>(Sales[[#This Row],[Gross Amount]]-Sales[[#This Row],[Disc. Amt.]])*Sales[[#This Row],[GST %]]</f>
        <v>427.68</v>
      </c>
      <c r="N2662" s="161">
        <f>Sales[[#This Row],[Gross Amount]]-Sales[[#This Row],[Disc. Amt.]]+Sales[[#This Row],[GST Amount]]</f>
        <v>2803.68</v>
      </c>
      <c r="O2662" s="34" t="s">
        <v>3569</v>
      </c>
      <c r="P2662" s="34" t="s">
        <v>3562</v>
      </c>
      <c r="Q2662" s="165">
        <f>IF(Sales[[#This Row],[Status]]="Cancelled",0,Sales[[#This Row],[Qty]])</f>
        <v>4</v>
      </c>
      <c r="R2662" s="166">
        <f>IF(Sales[[#This Row],[Status]]="Cancelled",0,Sales[[#This Row],[Total Amount]])</f>
        <v>2803.68</v>
      </c>
      <c r="S2662" s="162">
        <f>SUM(Sales[Net Amount])</f>
        <v>406839287.73200053</v>
      </c>
    </row>
    <row r="2663" spans="1:19" ht="18.75" x14ac:dyDescent="0.25">
      <c r="A2663" s="156" t="s">
        <v>6295</v>
      </c>
      <c r="B2663" s="157">
        <v>45913</v>
      </c>
      <c r="C2663" s="158" t="s">
        <v>836</v>
      </c>
      <c r="D2663" s="159" t="str">
        <f>VLOOKUP(Sales[[#This Row],[Customer ID]],Customer[#All],2,0)</f>
        <v>Sunita Patel</v>
      </c>
      <c r="E2663" s="158" t="s">
        <v>219</v>
      </c>
      <c r="F2663" s="158" t="str">
        <f>VLOOKUP(Sales[[#This Row],[Product ID]],Product[#All],2,0)</f>
        <v>Samsung Monitor</v>
      </c>
      <c r="G2663" s="159">
        <v>1</v>
      </c>
      <c r="H2663" s="160">
        <f>VLOOKUP(Sales[[#This Row],[Product ID]],Product[#All],7,0)</f>
        <v>22630</v>
      </c>
      <c r="I2663" s="160">
        <f>Sales[[#This Row],[Selling Rate]]*Sales[[#This Row],[Qty]]</f>
        <v>22630</v>
      </c>
      <c r="J2663" s="43">
        <v>0.12</v>
      </c>
      <c r="K2663" s="44">
        <f>Sales[[#This Row],[Gross Amount]]*Sales[[#This Row],[Disc %]]</f>
        <v>2715.6</v>
      </c>
      <c r="L2663" s="43">
        <v>0.18</v>
      </c>
      <c r="M2663" s="44">
        <f>(Sales[[#This Row],[Gross Amount]]-Sales[[#This Row],[Disc. Amt.]])*Sales[[#This Row],[GST %]]</f>
        <v>3584.5920000000001</v>
      </c>
      <c r="N2663" s="161">
        <f>Sales[[#This Row],[Gross Amount]]-Sales[[#This Row],[Disc. Amt.]]+Sales[[#This Row],[GST Amount]]</f>
        <v>23498.992000000002</v>
      </c>
      <c r="O2663" s="158" t="s">
        <v>8876</v>
      </c>
      <c r="P2663" s="158" t="s">
        <v>3562</v>
      </c>
      <c r="Q2663" s="160">
        <f>IF(Sales[[#This Row],[Status]]="Cancelled",0,Sales[[#This Row],[Qty]])</f>
        <v>1</v>
      </c>
      <c r="R2663" s="161">
        <f>IF(Sales[[#This Row],[Status]]="Cancelled",0,Sales[[#This Row],[Total Amount]])</f>
        <v>23498.992000000002</v>
      </c>
      <c r="S2663" s="162">
        <f>SUM(Sales[Net Amount])</f>
        <v>406839287.73200053</v>
      </c>
    </row>
    <row r="2664" spans="1:19" ht="18.75" x14ac:dyDescent="0.25">
      <c r="A2664" s="163" t="s">
        <v>6296</v>
      </c>
      <c r="B2664" s="164">
        <v>45913</v>
      </c>
      <c r="C2664" s="34" t="s">
        <v>820</v>
      </c>
      <c r="D2664" s="53" t="str">
        <f>VLOOKUP(Sales[[#This Row],[Customer ID]],Customer[#All],2,0)</f>
        <v>Sahil Gupta</v>
      </c>
      <c r="E2664" s="34" t="s">
        <v>551</v>
      </c>
      <c r="F2664" s="34" t="str">
        <f>VLOOKUP(Sales[[#This Row],[Product ID]],Product[#All],2,0)</f>
        <v>Epson Printer</v>
      </c>
      <c r="G2664" s="53">
        <v>8</v>
      </c>
      <c r="H2664" s="165">
        <f>VLOOKUP(Sales[[#This Row],[Product ID]],Product[#All],7,0)</f>
        <v>38370</v>
      </c>
      <c r="I2664" s="165">
        <f>Sales[[#This Row],[Selling Rate]]*Sales[[#This Row],[Qty]]</f>
        <v>306960</v>
      </c>
      <c r="J2664" s="45">
        <v>0</v>
      </c>
      <c r="K2664" s="46">
        <f>Sales[[#This Row],[Gross Amount]]*Sales[[#This Row],[Disc %]]</f>
        <v>0</v>
      </c>
      <c r="L2664" s="43">
        <v>0.18</v>
      </c>
      <c r="M2664" s="46">
        <f>(Sales[[#This Row],[Gross Amount]]-Sales[[#This Row],[Disc. Amt.]])*Sales[[#This Row],[GST %]]</f>
        <v>55252.799999999996</v>
      </c>
      <c r="N2664" s="161">
        <f>Sales[[#This Row],[Gross Amount]]-Sales[[#This Row],[Disc. Amt.]]+Sales[[#This Row],[GST Amount]]</f>
        <v>362212.8</v>
      </c>
      <c r="O2664" s="34" t="s">
        <v>3561</v>
      </c>
      <c r="P2664" s="34" t="s">
        <v>3562</v>
      </c>
      <c r="Q2664" s="165">
        <f>IF(Sales[[#This Row],[Status]]="Cancelled",0,Sales[[#This Row],[Qty]])</f>
        <v>8</v>
      </c>
      <c r="R2664" s="166">
        <f>IF(Sales[[#This Row],[Status]]="Cancelled",0,Sales[[#This Row],[Total Amount]])</f>
        <v>362212.8</v>
      </c>
      <c r="S2664" s="162">
        <f>SUM(Sales[Net Amount])</f>
        <v>406839287.73200053</v>
      </c>
    </row>
    <row r="2665" spans="1:19" ht="18.75" x14ac:dyDescent="0.25">
      <c r="A2665" s="156" t="s">
        <v>6297</v>
      </c>
      <c r="B2665" s="157">
        <v>45913</v>
      </c>
      <c r="C2665" s="158" t="s">
        <v>814</v>
      </c>
      <c r="D2665" s="159" t="str">
        <f>VLOOKUP(Sales[[#This Row],[Customer ID]],Customer[#All],2,0)</f>
        <v>Amit Kumar</v>
      </c>
      <c r="E2665" s="158" t="s">
        <v>535</v>
      </c>
      <c r="F2665" s="158" t="str">
        <f>VLOOKUP(Sales[[#This Row],[Product ID]],Product[#All],2,0)</f>
        <v>Logitech Keyboard</v>
      </c>
      <c r="G2665" s="159">
        <v>2</v>
      </c>
      <c r="H2665" s="160">
        <f>VLOOKUP(Sales[[#This Row],[Product ID]],Product[#All],7,0)</f>
        <v>810</v>
      </c>
      <c r="I2665" s="160">
        <f>Sales[[#This Row],[Selling Rate]]*Sales[[#This Row],[Qty]]</f>
        <v>1620</v>
      </c>
      <c r="J2665" s="43">
        <v>0.05</v>
      </c>
      <c r="K2665" s="44">
        <f>Sales[[#This Row],[Gross Amount]]*Sales[[#This Row],[Disc %]]</f>
        <v>81</v>
      </c>
      <c r="L2665" s="43">
        <v>0.18</v>
      </c>
      <c r="M2665" s="44">
        <f>(Sales[[#This Row],[Gross Amount]]-Sales[[#This Row],[Disc. Amt.]])*Sales[[#This Row],[GST %]]</f>
        <v>277.02</v>
      </c>
      <c r="N2665" s="161">
        <f>Sales[[#This Row],[Gross Amount]]-Sales[[#This Row],[Disc. Amt.]]+Sales[[#This Row],[GST Amount]]</f>
        <v>1816.02</v>
      </c>
      <c r="O2665" s="158" t="s">
        <v>3566</v>
      </c>
      <c r="P2665" s="158" t="s">
        <v>3562</v>
      </c>
      <c r="Q2665" s="160">
        <f>IF(Sales[[#This Row],[Status]]="Cancelled",0,Sales[[#This Row],[Qty]])</f>
        <v>2</v>
      </c>
      <c r="R2665" s="161">
        <f>IF(Sales[[#This Row],[Status]]="Cancelled",0,Sales[[#This Row],[Total Amount]])</f>
        <v>1816.02</v>
      </c>
      <c r="S2665" s="162">
        <f>SUM(Sales[Net Amount])</f>
        <v>406839287.73200053</v>
      </c>
    </row>
    <row r="2666" spans="1:19" ht="18.75" x14ac:dyDescent="0.25">
      <c r="A2666" s="163" t="s">
        <v>6298</v>
      </c>
      <c r="B2666" s="164">
        <v>45913</v>
      </c>
      <c r="C2666" s="34" t="s">
        <v>664</v>
      </c>
      <c r="D2666" s="53" t="str">
        <f>VLOOKUP(Sales[[#This Row],[Customer ID]],Customer[#All],2,0)</f>
        <v>Sahil Singh</v>
      </c>
      <c r="E2666" s="34" t="s">
        <v>459</v>
      </c>
      <c r="F2666" s="34" t="str">
        <f>VLOOKUP(Sales[[#This Row],[Product ID]],Product[#All],2,0)</f>
        <v>Logitech Mouse</v>
      </c>
      <c r="G2666" s="53">
        <v>3</v>
      </c>
      <c r="H2666" s="165">
        <f>VLOOKUP(Sales[[#This Row],[Product ID]],Product[#All],7,0)</f>
        <v>1680</v>
      </c>
      <c r="I2666" s="165">
        <f>Sales[[#This Row],[Selling Rate]]*Sales[[#This Row],[Qty]]</f>
        <v>5040</v>
      </c>
      <c r="J2666" s="45">
        <v>0</v>
      </c>
      <c r="K2666" s="46">
        <f>Sales[[#This Row],[Gross Amount]]*Sales[[#This Row],[Disc %]]</f>
        <v>0</v>
      </c>
      <c r="L2666" s="43">
        <v>0.18</v>
      </c>
      <c r="M2666" s="46">
        <f>(Sales[[#This Row],[Gross Amount]]-Sales[[#This Row],[Disc. Amt.]])*Sales[[#This Row],[GST %]]</f>
        <v>907.19999999999993</v>
      </c>
      <c r="N2666" s="161">
        <f>Sales[[#This Row],[Gross Amount]]-Sales[[#This Row],[Disc. Amt.]]+Sales[[#This Row],[GST Amount]]</f>
        <v>5947.2</v>
      </c>
      <c r="O2666" s="34" t="s">
        <v>8876</v>
      </c>
      <c r="P2666" s="34" t="s">
        <v>3562</v>
      </c>
      <c r="Q2666" s="165">
        <f>IF(Sales[[#This Row],[Status]]="Cancelled",0,Sales[[#This Row],[Qty]])</f>
        <v>3</v>
      </c>
      <c r="R2666" s="166">
        <f>IF(Sales[[#This Row],[Status]]="Cancelled",0,Sales[[#This Row],[Total Amount]])</f>
        <v>5947.2</v>
      </c>
      <c r="S2666" s="162">
        <f>SUM(Sales[Net Amount])</f>
        <v>406839287.73200053</v>
      </c>
    </row>
    <row r="2667" spans="1:19" ht="18.75" x14ac:dyDescent="0.25">
      <c r="A2667" s="156" t="s">
        <v>6299</v>
      </c>
      <c r="B2667" s="157">
        <v>45913</v>
      </c>
      <c r="C2667" s="158" t="s">
        <v>697</v>
      </c>
      <c r="D2667" s="159" t="str">
        <f>VLOOKUP(Sales[[#This Row],[Customer ID]],Customer[#All],2,0)</f>
        <v>Priya Kumar</v>
      </c>
      <c r="E2667" s="158" t="s">
        <v>323</v>
      </c>
      <c r="F2667" s="158" t="str">
        <f>VLOOKUP(Sales[[#This Row],[Product ID]],Product[#All],2,0)</f>
        <v>Dell Desktop</v>
      </c>
      <c r="G2667" s="159">
        <v>6</v>
      </c>
      <c r="H2667" s="160">
        <f>VLOOKUP(Sales[[#This Row],[Product ID]],Product[#All],7,0)</f>
        <v>45070</v>
      </c>
      <c r="I2667" s="160">
        <f>Sales[[#This Row],[Selling Rate]]*Sales[[#This Row],[Qty]]</f>
        <v>270420</v>
      </c>
      <c r="J2667" s="43">
        <v>0.02</v>
      </c>
      <c r="K2667" s="44">
        <f>Sales[[#This Row],[Gross Amount]]*Sales[[#This Row],[Disc %]]</f>
        <v>5408.4000000000005</v>
      </c>
      <c r="L2667" s="43">
        <v>0.18</v>
      </c>
      <c r="M2667" s="44">
        <f>(Sales[[#This Row],[Gross Amount]]-Sales[[#This Row],[Disc. Amt.]])*Sales[[#This Row],[GST %]]</f>
        <v>47702.087999999996</v>
      </c>
      <c r="N2667" s="161">
        <f>Sales[[#This Row],[Gross Amount]]-Sales[[#This Row],[Disc. Amt.]]+Sales[[#This Row],[GST Amount]]</f>
        <v>312713.68799999997</v>
      </c>
      <c r="O2667" s="158" t="s">
        <v>3566</v>
      </c>
      <c r="P2667" s="158" t="s">
        <v>3562</v>
      </c>
      <c r="Q2667" s="160">
        <f>IF(Sales[[#This Row],[Status]]="Cancelled",0,Sales[[#This Row],[Qty]])</f>
        <v>6</v>
      </c>
      <c r="R2667" s="161">
        <f>IF(Sales[[#This Row],[Status]]="Cancelled",0,Sales[[#This Row],[Total Amount]])</f>
        <v>312713.68799999997</v>
      </c>
      <c r="S2667" s="162">
        <f>SUM(Sales[Net Amount])</f>
        <v>406839287.73200053</v>
      </c>
    </row>
    <row r="2668" spans="1:19" ht="18.75" x14ac:dyDescent="0.25">
      <c r="A2668" s="163" t="s">
        <v>6300</v>
      </c>
      <c r="B2668" s="164">
        <v>45913</v>
      </c>
      <c r="C2668" s="34" t="s">
        <v>850</v>
      </c>
      <c r="D2668" s="53" t="str">
        <f>VLOOKUP(Sales[[#This Row],[Customer ID]],Customer[#All],2,0)</f>
        <v>Sahil Patel</v>
      </c>
      <c r="E2668" s="34" t="s">
        <v>517</v>
      </c>
      <c r="F2668" s="34" t="str">
        <f>VLOOKUP(Sales[[#This Row],[Product ID]],Product[#All],2,0)</f>
        <v>Dell Laptop</v>
      </c>
      <c r="G2668" s="53">
        <v>3</v>
      </c>
      <c r="H2668" s="165">
        <f>VLOOKUP(Sales[[#This Row],[Product ID]],Product[#All],7,0)</f>
        <v>81860</v>
      </c>
      <c r="I2668" s="165">
        <f>Sales[[#This Row],[Selling Rate]]*Sales[[#This Row],[Qty]]</f>
        <v>245580</v>
      </c>
      <c r="J2668" s="45">
        <v>0.1</v>
      </c>
      <c r="K2668" s="46">
        <f>Sales[[#This Row],[Gross Amount]]*Sales[[#This Row],[Disc %]]</f>
        <v>24558</v>
      </c>
      <c r="L2668" s="43">
        <v>0.18</v>
      </c>
      <c r="M2668" s="46">
        <f>(Sales[[#This Row],[Gross Amount]]-Sales[[#This Row],[Disc. Amt.]])*Sales[[#This Row],[GST %]]</f>
        <v>39783.96</v>
      </c>
      <c r="N2668" s="161">
        <f>Sales[[#This Row],[Gross Amount]]-Sales[[#This Row],[Disc. Amt.]]+Sales[[#This Row],[GST Amount]]</f>
        <v>260805.96</v>
      </c>
      <c r="O2668" s="34" t="s">
        <v>3566</v>
      </c>
      <c r="P2668" s="34" t="s">
        <v>3562</v>
      </c>
      <c r="Q2668" s="165">
        <f>IF(Sales[[#This Row],[Status]]="Cancelled",0,Sales[[#This Row],[Qty]])</f>
        <v>3</v>
      </c>
      <c r="R2668" s="166">
        <f>IF(Sales[[#This Row],[Status]]="Cancelled",0,Sales[[#This Row],[Total Amount]])</f>
        <v>260805.96</v>
      </c>
      <c r="S2668" s="162">
        <f>SUM(Sales[Net Amount])</f>
        <v>406839287.73200053</v>
      </c>
    </row>
    <row r="2669" spans="1:19" ht="18.75" x14ac:dyDescent="0.25">
      <c r="A2669" s="156" t="s">
        <v>6301</v>
      </c>
      <c r="B2669" s="157">
        <v>45913</v>
      </c>
      <c r="C2669" s="158" t="s">
        <v>6080</v>
      </c>
      <c r="D2669" s="159" t="str">
        <f>VLOOKUP(Sales[[#This Row],[Customer ID]],Customer[#All],2,0)</f>
        <v>Ankit Kumar</v>
      </c>
      <c r="E2669" s="158" t="s">
        <v>160</v>
      </c>
      <c r="F2669" s="158" t="str">
        <f>VLOOKUP(Sales[[#This Row],[Product ID]],Product[#All],2,0)</f>
        <v>Dell Power Adapter</v>
      </c>
      <c r="G2669" s="159">
        <v>4</v>
      </c>
      <c r="H2669" s="160">
        <f>VLOOKUP(Sales[[#This Row],[Product ID]],Product[#All],7,0)</f>
        <v>4330</v>
      </c>
      <c r="I2669" s="160">
        <f>Sales[[#This Row],[Selling Rate]]*Sales[[#This Row],[Qty]]</f>
        <v>17320</v>
      </c>
      <c r="J2669" s="43">
        <v>0.12</v>
      </c>
      <c r="K2669" s="44">
        <f>Sales[[#This Row],[Gross Amount]]*Sales[[#This Row],[Disc %]]</f>
        <v>2078.4</v>
      </c>
      <c r="L2669" s="43">
        <v>0.18</v>
      </c>
      <c r="M2669" s="44">
        <f>(Sales[[#This Row],[Gross Amount]]-Sales[[#This Row],[Disc. Amt.]])*Sales[[#This Row],[GST %]]</f>
        <v>2743.4879999999998</v>
      </c>
      <c r="N2669" s="161">
        <f>Sales[[#This Row],[Gross Amount]]-Sales[[#This Row],[Disc. Amt.]]+Sales[[#This Row],[GST Amount]]</f>
        <v>17985.088</v>
      </c>
      <c r="O2669" s="158" t="s">
        <v>8876</v>
      </c>
      <c r="P2669" s="158" t="s">
        <v>3562</v>
      </c>
      <c r="Q2669" s="160">
        <f>IF(Sales[[#This Row],[Status]]="Cancelled",0,Sales[[#This Row],[Qty]])</f>
        <v>4</v>
      </c>
      <c r="R2669" s="161">
        <f>IF(Sales[[#This Row],[Status]]="Cancelled",0,Sales[[#This Row],[Total Amount]])</f>
        <v>17985.088</v>
      </c>
      <c r="S2669" s="162">
        <f>SUM(Sales[Net Amount])</f>
        <v>406839287.73200053</v>
      </c>
    </row>
    <row r="2670" spans="1:19" ht="18.75" x14ac:dyDescent="0.25">
      <c r="A2670" s="163" t="s">
        <v>6302</v>
      </c>
      <c r="B2670" s="164">
        <v>45913</v>
      </c>
      <c r="C2670" s="34" t="s">
        <v>850</v>
      </c>
      <c r="D2670" s="53" t="str">
        <f>VLOOKUP(Sales[[#This Row],[Customer ID]],Customer[#All],2,0)</f>
        <v>Sahil Patel</v>
      </c>
      <c r="E2670" s="34" t="s">
        <v>532</v>
      </c>
      <c r="F2670" s="34" t="str">
        <f>VLOOKUP(Sales[[#This Row],[Product ID]],Product[#All],2,0)</f>
        <v>Dell Laptop</v>
      </c>
      <c r="G2670" s="53">
        <v>1</v>
      </c>
      <c r="H2670" s="165">
        <f>VLOOKUP(Sales[[#This Row],[Product ID]],Product[#All],7,0)</f>
        <v>47550</v>
      </c>
      <c r="I2670" s="165">
        <f>Sales[[#This Row],[Selling Rate]]*Sales[[#This Row],[Qty]]</f>
        <v>47550</v>
      </c>
      <c r="J2670" s="45">
        <v>0.15</v>
      </c>
      <c r="K2670" s="46">
        <f>Sales[[#This Row],[Gross Amount]]*Sales[[#This Row],[Disc %]]</f>
        <v>7132.5</v>
      </c>
      <c r="L2670" s="43">
        <v>0.18</v>
      </c>
      <c r="M2670" s="46">
        <f>(Sales[[#This Row],[Gross Amount]]-Sales[[#This Row],[Disc. Amt.]])*Sales[[#This Row],[GST %]]</f>
        <v>7275.15</v>
      </c>
      <c r="N2670" s="161">
        <f>Sales[[#This Row],[Gross Amount]]-Sales[[#This Row],[Disc. Amt.]]+Sales[[#This Row],[GST Amount]]</f>
        <v>47692.65</v>
      </c>
      <c r="O2670" s="34" t="s">
        <v>3569</v>
      </c>
      <c r="P2670" s="34" t="s">
        <v>3562</v>
      </c>
      <c r="Q2670" s="165">
        <f>IF(Sales[[#This Row],[Status]]="Cancelled",0,Sales[[#This Row],[Qty]])</f>
        <v>1</v>
      </c>
      <c r="R2670" s="166">
        <f>IF(Sales[[#This Row],[Status]]="Cancelled",0,Sales[[#This Row],[Total Amount]])</f>
        <v>47692.65</v>
      </c>
      <c r="S2670" s="162">
        <f>SUM(Sales[Net Amount])</f>
        <v>406839287.73200053</v>
      </c>
    </row>
    <row r="2671" spans="1:19" ht="18.75" x14ac:dyDescent="0.25">
      <c r="A2671" s="156" t="s">
        <v>6303</v>
      </c>
      <c r="B2671" s="157">
        <v>45913</v>
      </c>
      <c r="C2671" s="158" t="s">
        <v>659</v>
      </c>
      <c r="D2671" s="159" t="str">
        <f>VLOOKUP(Sales[[#This Row],[Customer ID]],Customer[#All],2,0)</f>
        <v>Rakesh Sharma</v>
      </c>
      <c r="E2671" s="158" t="s">
        <v>420</v>
      </c>
      <c r="F2671" s="158" t="str">
        <f>VLOOKUP(Sales[[#This Row],[Product ID]],Product[#All],2,0)</f>
        <v>Logitech Keyboard</v>
      </c>
      <c r="G2671" s="159">
        <v>5</v>
      </c>
      <c r="H2671" s="160">
        <f>VLOOKUP(Sales[[#This Row],[Product ID]],Product[#All],7,0)</f>
        <v>3430</v>
      </c>
      <c r="I2671" s="160">
        <f>Sales[[#This Row],[Selling Rate]]*Sales[[#This Row],[Qty]]</f>
        <v>17150</v>
      </c>
      <c r="J2671" s="43">
        <v>0.05</v>
      </c>
      <c r="K2671" s="44">
        <f>Sales[[#This Row],[Gross Amount]]*Sales[[#This Row],[Disc %]]</f>
        <v>857.5</v>
      </c>
      <c r="L2671" s="43">
        <v>0.18</v>
      </c>
      <c r="M2671" s="44">
        <f>(Sales[[#This Row],[Gross Amount]]-Sales[[#This Row],[Disc. Amt.]])*Sales[[#This Row],[GST %]]</f>
        <v>2932.65</v>
      </c>
      <c r="N2671" s="161">
        <f>Sales[[#This Row],[Gross Amount]]-Sales[[#This Row],[Disc. Amt.]]+Sales[[#This Row],[GST Amount]]</f>
        <v>19225.150000000001</v>
      </c>
      <c r="O2671" s="158" t="s">
        <v>8876</v>
      </c>
      <c r="P2671" s="158" t="s">
        <v>3562</v>
      </c>
      <c r="Q2671" s="160">
        <f>IF(Sales[[#This Row],[Status]]="Cancelled",0,Sales[[#This Row],[Qty]])</f>
        <v>5</v>
      </c>
      <c r="R2671" s="161">
        <f>IF(Sales[[#This Row],[Status]]="Cancelled",0,Sales[[#This Row],[Total Amount]])</f>
        <v>19225.150000000001</v>
      </c>
      <c r="S2671" s="162">
        <f>SUM(Sales[Net Amount])</f>
        <v>406839287.73200053</v>
      </c>
    </row>
    <row r="2672" spans="1:19" ht="18.75" x14ac:dyDescent="0.25">
      <c r="A2672" s="163" t="s">
        <v>6304</v>
      </c>
      <c r="B2672" s="164">
        <v>45913</v>
      </c>
      <c r="C2672" s="34" t="s">
        <v>679</v>
      </c>
      <c r="D2672" s="53" t="str">
        <f>VLOOKUP(Sales[[#This Row],[Customer ID]],Customer[#All],2,0)</f>
        <v>Rahul Singh</v>
      </c>
      <c r="E2672" s="34" t="s">
        <v>371</v>
      </c>
      <c r="F2672" s="34" t="str">
        <f>VLOOKUP(Sales[[#This Row],[Product ID]],Product[#All],2,0)</f>
        <v>Portronics USB Cable</v>
      </c>
      <c r="G2672" s="53">
        <v>1</v>
      </c>
      <c r="H2672" s="165">
        <f>VLOOKUP(Sales[[#This Row],[Product ID]],Product[#All],7,0)</f>
        <v>440</v>
      </c>
      <c r="I2672" s="165">
        <f>Sales[[#This Row],[Selling Rate]]*Sales[[#This Row],[Qty]]</f>
        <v>440</v>
      </c>
      <c r="J2672" s="45">
        <v>0.05</v>
      </c>
      <c r="K2672" s="46">
        <f>Sales[[#This Row],[Gross Amount]]*Sales[[#This Row],[Disc %]]</f>
        <v>22</v>
      </c>
      <c r="L2672" s="43">
        <v>0.18</v>
      </c>
      <c r="M2672" s="46">
        <f>(Sales[[#This Row],[Gross Amount]]-Sales[[#This Row],[Disc. Amt.]])*Sales[[#This Row],[GST %]]</f>
        <v>75.239999999999995</v>
      </c>
      <c r="N2672" s="161">
        <f>Sales[[#This Row],[Gross Amount]]-Sales[[#This Row],[Disc. Amt.]]+Sales[[#This Row],[GST Amount]]</f>
        <v>493.24</v>
      </c>
      <c r="O2672" s="34" t="s">
        <v>3569</v>
      </c>
      <c r="P2672" s="34" t="s">
        <v>3562</v>
      </c>
      <c r="Q2672" s="165">
        <f>IF(Sales[[#This Row],[Status]]="Cancelled",0,Sales[[#This Row],[Qty]])</f>
        <v>1</v>
      </c>
      <c r="R2672" s="166">
        <f>IF(Sales[[#This Row],[Status]]="Cancelled",0,Sales[[#This Row],[Total Amount]])</f>
        <v>493.24</v>
      </c>
      <c r="S2672" s="162">
        <f>SUM(Sales[Net Amount])</f>
        <v>406839287.73200053</v>
      </c>
    </row>
    <row r="2673" spans="1:19" ht="18.75" x14ac:dyDescent="0.25">
      <c r="A2673" s="156" t="s">
        <v>6305</v>
      </c>
      <c r="B2673" s="157">
        <v>45913</v>
      </c>
      <c r="C2673" s="158" t="s">
        <v>656</v>
      </c>
      <c r="D2673" s="159" t="str">
        <f>VLOOKUP(Sales[[#This Row],[Customer ID]],Customer[#All],2,0)</f>
        <v>Rahul Kumar</v>
      </c>
      <c r="E2673" s="158" t="s">
        <v>431</v>
      </c>
      <c r="F2673" s="158" t="str">
        <f>VLOOKUP(Sales[[#This Row],[Product ID]],Product[#All],2,0)</f>
        <v>Canon Printer</v>
      </c>
      <c r="G2673" s="159">
        <v>6</v>
      </c>
      <c r="H2673" s="160">
        <f>VLOOKUP(Sales[[#This Row],[Product ID]],Product[#All],7,0)</f>
        <v>17260</v>
      </c>
      <c r="I2673" s="160">
        <f>Sales[[#This Row],[Selling Rate]]*Sales[[#This Row],[Qty]]</f>
        <v>103560</v>
      </c>
      <c r="J2673" s="43">
        <v>0.1</v>
      </c>
      <c r="K2673" s="44">
        <f>Sales[[#This Row],[Gross Amount]]*Sales[[#This Row],[Disc %]]</f>
        <v>10356</v>
      </c>
      <c r="L2673" s="43">
        <v>0.18</v>
      </c>
      <c r="M2673" s="44">
        <f>(Sales[[#This Row],[Gross Amount]]-Sales[[#This Row],[Disc. Amt.]])*Sales[[#This Row],[GST %]]</f>
        <v>16776.72</v>
      </c>
      <c r="N2673" s="161">
        <f>Sales[[#This Row],[Gross Amount]]-Sales[[#This Row],[Disc. Amt.]]+Sales[[#This Row],[GST Amount]]</f>
        <v>109980.72</v>
      </c>
      <c r="O2673" s="158" t="s">
        <v>3566</v>
      </c>
      <c r="P2673" s="158" t="s">
        <v>3562</v>
      </c>
      <c r="Q2673" s="160">
        <f>IF(Sales[[#This Row],[Status]]="Cancelled",0,Sales[[#This Row],[Qty]])</f>
        <v>6</v>
      </c>
      <c r="R2673" s="161">
        <f>IF(Sales[[#This Row],[Status]]="Cancelled",0,Sales[[#This Row],[Total Amount]])</f>
        <v>109980.72</v>
      </c>
      <c r="S2673" s="162">
        <f>SUM(Sales[Net Amount])</f>
        <v>406839287.73200053</v>
      </c>
    </row>
    <row r="2674" spans="1:19" ht="18.75" x14ac:dyDescent="0.25">
      <c r="A2674" s="163" t="s">
        <v>6306</v>
      </c>
      <c r="B2674" s="164">
        <v>45913</v>
      </c>
      <c r="C2674" s="34" t="s">
        <v>918</v>
      </c>
      <c r="D2674" s="53" t="str">
        <f>VLOOKUP(Sales[[#This Row],[Customer ID]],Customer[#All],2,0)</f>
        <v>Pooja Patel</v>
      </c>
      <c r="E2674" s="34" t="s">
        <v>425</v>
      </c>
      <c r="F2674" s="34" t="str">
        <f>VLOOKUP(Sales[[#This Row],[Product ID]],Product[#All],2,0)</f>
        <v>WD HDD</v>
      </c>
      <c r="G2674" s="53">
        <v>5</v>
      </c>
      <c r="H2674" s="165">
        <f>VLOOKUP(Sales[[#This Row],[Product ID]],Product[#All],7,0)</f>
        <v>7660</v>
      </c>
      <c r="I2674" s="165">
        <f>Sales[[#This Row],[Selling Rate]]*Sales[[#This Row],[Qty]]</f>
        <v>38300</v>
      </c>
      <c r="J2674" s="45">
        <v>0.1</v>
      </c>
      <c r="K2674" s="46">
        <f>Sales[[#This Row],[Gross Amount]]*Sales[[#This Row],[Disc %]]</f>
        <v>3830</v>
      </c>
      <c r="L2674" s="43">
        <v>0.18</v>
      </c>
      <c r="M2674" s="46">
        <f>(Sales[[#This Row],[Gross Amount]]-Sales[[#This Row],[Disc. Amt.]])*Sales[[#This Row],[GST %]]</f>
        <v>6204.5999999999995</v>
      </c>
      <c r="N2674" s="161">
        <f>Sales[[#This Row],[Gross Amount]]-Sales[[#This Row],[Disc. Amt.]]+Sales[[#This Row],[GST Amount]]</f>
        <v>40674.6</v>
      </c>
      <c r="O2674" s="34" t="s">
        <v>3561</v>
      </c>
      <c r="P2674" s="34" t="s">
        <v>3562</v>
      </c>
      <c r="Q2674" s="165">
        <f>IF(Sales[[#This Row],[Status]]="Cancelled",0,Sales[[#This Row],[Qty]])</f>
        <v>5</v>
      </c>
      <c r="R2674" s="166">
        <f>IF(Sales[[#This Row],[Status]]="Cancelled",0,Sales[[#This Row],[Total Amount]])</f>
        <v>40674.6</v>
      </c>
      <c r="S2674" s="162">
        <f>SUM(Sales[Net Amount])</f>
        <v>406839287.73200053</v>
      </c>
    </row>
    <row r="2675" spans="1:19" ht="18.75" x14ac:dyDescent="0.25">
      <c r="A2675" s="156" t="s">
        <v>6307</v>
      </c>
      <c r="B2675" s="157">
        <v>45913</v>
      </c>
      <c r="C2675" s="158" t="s">
        <v>755</v>
      </c>
      <c r="D2675" s="159" t="str">
        <f>VLOOKUP(Sales[[#This Row],[Customer ID]],Customer[#All],2,0)</f>
        <v>Sunita Gupta</v>
      </c>
      <c r="E2675" s="158" t="s">
        <v>89</v>
      </c>
      <c r="F2675" s="158" t="str">
        <f>VLOOKUP(Sales[[#This Row],[Product ID]],Product[#All],2,0)</f>
        <v>Portronics USB Cable</v>
      </c>
      <c r="G2675" s="159">
        <v>6</v>
      </c>
      <c r="H2675" s="160">
        <f>VLOOKUP(Sales[[#This Row],[Product ID]],Product[#All],7,0)</f>
        <v>390</v>
      </c>
      <c r="I2675" s="160">
        <f>Sales[[#This Row],[Selling Rate]]*Sales[[#This Row],[Qty]]</f>
        <v>2340</v>
      </c>
      <c r="J2675" s="43">
        <v>0</v>
      </c>
      <c r="K2675" s="44">
        <f>Sales[[#This Row],[Gross Amount]]*Sales[[#This Row],[Disc %]]</f>
        <v>0</v>
      </c>
      <c r="L2675" s="43">
        <v>0.18</v>
      </c>
      <c r="M2675" s="44">
        <f>(Sales[[#This Row],[Gross Amount]]-Sales[[#This Row],[Disc. Amt.]])*Sales[[#This Row],[GST %]]</f>
        <v>421.2</v>
      </c>
      <c r="N2675" s="161">
        <f>Sales[[#This Row],[Gross Amount]]-Sales[[#This Row],[Disc. Amt.]]+Sales[[#This Row],[GST Amount]]</f>
        <v>2761.2</v>
      </c>
      <c r="O2675" s="158" t="s">
        <v>3566</v>
      </c>
      <c r="P2675" s="158" t="s">
        <v>3562</v>
      </c>
      <c r="Q2675" s="160">
        <f>IF(Sales[[#This Row],[Status]]="Cancelled",0,Sales[[#This Row],[Qty]])</f>
        <v>6</v>
      </c>
      <c r="R2675" s="161">
        <f>IF(Sales[[#This Row],[Status]]="Cancelled",0,Sales[[#This Row],[Total Amount]])</f>
        <v>2761.2</v>
      </c>
      <c r="S2675" s="162">
        <f>SUM(Sales[Net Amount])</f>
        <v>406839287.73200053</v>
      </c>
    </row>
    <row r="2676" spans="1:19" ht="18.75" x14ac:dyDescent="0.25">
      <c r="A2676" s="163" t="s">
        <v>6308</v>
      </c>
      <c r="B2676" s="164">
        <v>45913</v>
      </c>
      <c r="C2676" s="34" t="s">
        <v>813</v>
      </c>
      <c r="D2676" s="53" t="str">
        <f>VLOOKUP(Sales[[#This Row],[Customer ID]],Customer[#All],2,0)</f>
        <v>Neha Verma</v>
      </c>
      <c r="E2676" s="34" t="s">
        <v>215</v>
      </c>
      <c r="F2676" s="34" t="str">
        <f>VLOOKUP(Sales[[#This Row],[Product ID]],Product[#All],2,0)</f>
        <v>Apc UPS</v>
      </c>
      <c r="G2676" s="53">
        <v>1</v>
      </c>
      <c r="H2676" s="165">
        <f>VLOOKUP(Sales[[#This Row],[Product ID]],Product[#All],7,0)</f>
        <v>10210</v>
      </c>
      <c r="I2676" s="165">
        <f>Sales[[#This Row],[Selling Rate]]*Sales[[#This Row],[Qty]]</f>
        <v>10210</v>
      </c>
      <c r="J2676" s="45">
        <v>0.12</v>
      </c>
      <c r="K2676" s="46">
        <f>Sales[[#This Row],[Gross Amount]]*Sales[[#This Row],[Disc %]]</f>
        <v>1225.2</v>
      </c>
      <c r="L2676" s="43">
        <v>0.18</v>
      </c>
      <c r="M2676" s="46">
        <f>(Sales[[#This Row],[Gross Amount]]-Sales[[#This Row],[Disc. Amt.]])*Sales[[#This Row],[GST %]]</f>
        <v>1617.2639999999999</v>
      </c>
      <c r="N2676" s="161">
        <f>Sales[[#This Row],[Gross Amount]]-Sales[[#This Row],[Disc. Amt.]]+Sales[[#This Row],[GST Amount]]</f>
        <v>10602.063999999998</v>
      </c>
      <c r="O2676" s="34" t="s">
        <v>3561</v>
      </c>
      <c r="P2676" s="34" t="s">
        <v>3562</v>
      </c>
      <c r="Q2676" s="165">
        <f>IF(Sales[[#This Row],[Status]]="Cancelled",0,Sales[[#This Row],[Qty]])</f>
        <v>1</v>
      </c>
      <c r="R2676" s="166">
        <f>IF(Sales[[#This Row],[Status]]="Cancelled",0,Sales[[#This Row],[Total Amount]])</f>
        <v>10602.063999999998</v>
      </c>
      <c r="S2676" s="162">
        <f>SUM(Sales[Net Amount])</f>
        <v>406839287.73200053</v>
      </c>
    </row>
    <row r="2677" spans="1:19" ht="18.75" x14ac:dyDescent="0.25">
      <c r="A2677" s="156" t="s">
        <v>6309</v>
      </c>
      <c r="B2677" s="157">
        <v>45913</v>
      </c>
      <c r="C2677" s="158" t="s">
        <v>879</v>
      </c>
      <c r="D2677" s="159" t="str">
        <f>VLOOKUP(Sales[[#This Row],[Customer ID]],Customer[#All],2,0)</f>
        <v>Ankit Patel</v>
      </c>
      <c r="E2677" s="158" t="s">
        <v>432</v>
      </c>
      <c r="F2677" s="158" t="str">
        <f>VLOOKUP(Sales[[#This Row],[Product ID]],Product[#All],2,0)</f>
        <v>Boat Speaker</v>
      </c>
      <c r="G2677" s="159">
        <v>7</v>
      </c>
      <c r="H2677" s="160">
        <f>VLOOKUP(Sales[[#This Row],[Product ID]],Product[#All],7,0)</f>
        <v>750</v>
      </c>
      <c r="I2677" s="160">
        <f>Sales[[#This Row],[Selling Rate]]*Sales[[#This Row],[Qty]]</f>
        <v>5250</v>
      </c>
      <c r="J2677" s="43">
        <v>0.12</v>
      </c>
      <c r="K2677" s="44">
        <f>Sales[[#This Row],[Gross Amount]]*Sales[[#This Row],[Disc %]]</f>
        <v>630</v>
      </c>
      <c r="L2677" s="43">
        <v>0.18</v>
      </c>
      <c r="M2677" s="44">
        <f>(Sales[[#This Row],[Gross Amount]]-Sales[[#This Row],[Disc. Amt.]])*Sales[[#This Row],[GST %]]</f>
        <v>831.6</v>
      </c>
      <c r="N2677" s="161">
        <f>Sales[[#This Row],[Gross Amount]]-Sales[[#This Row],[Disc. Amt.]]+Sales[[#This Row],[GST Amount]]</f>
        <v>5451.6</v>
      </c>
      <c r="O2677" s="158" t="s">
        <v>3569</v>
      </c>
      <c r="P2677" s="158" t="s">
        <v>3562</v>
      </c>
      <c r="Q2677" s="160">
        <f>IF(Sales[[#This Row],[Status]]="Cancelled",0,Sales[[#This Row],[Qty]])</f>
        <v>7</v>
      </c>
      <c r="R2677" s="161">
        <f>IF(Sales[[#This Row],[Status]]="Cancelled",0,Sales[[#This Row],[Total Amount]])</f>
        <v>5451.6</v>
      </c>
      <c r="S2677" s="162">
        <f>SUM(Sales[Net Amount])</f>
        <v>406839287.73200053</v>
      </c>
    </row>
    <row r="2678" spans="1:19" ht="18.75" x14ac:dyDescent="0.25">
      <c r="A2678" s="163" t="s">
        <v>6310</v>
      </c>
      <c r="B2678" s="164">
        <v>45913</v>
      </c>
      <c r="C2678" s="34" t="s">
        <v>663</v>
      </c>
      <c r="D2678" s="53" t="str">
        <f>VLOOKUP(Sales[[#This Row],[Customer ID]],Customer[#All],2,0)</f>
        <v>Amit Sharma</v>
      </c>
      <c r="E2678" s="34" t="s">
        <v>139</v>
      </c>
      <c r="F2678" s="34" t="str">
        <f>VLOOKUP(Sales[[#This Row],[Product ID]],Product[#All],2,0)</f>
        <v>HP Printer</v>
      </c>
      <c r="G2678" s="53">
        <v>1</v>
      </c>
      <c r="H2678" s="165">
        <f>VLOOKUP(Sales[[#This Row],[Product ID]],Product[#All],7,0)</f>
        <v>25260</v>
      </c>
      <c r="I2678" s="165">
        <f>Sales[[#This Row],[Selling Rate]]*Sales[[#This Row],[Qty]]</f>
        <v>25260</v>
      </c>
      <c r="J2678" s="45">
        <v>0.05</v>
      </c>
      <c r="K2678" s="46">
        <f>Sales[[#This Row],[Gross Amount]]*Sales[[#This Row],[Disc %]]</f>
        <v>1263</v>
      </c>
      <c r="L2678" s="43">
        <v>0.18</v>
      </c>
      <c r="M2678" s="46">
        <f>(Sales[[#This Row],[Gross Amount]]-Sales[[#This Row],[Disc. Amt.]])*Sales[[#This Row],[GST %]]</f>
        <v>4319.46</v>
      </c>
      <c r="N2678" s="161">
        <f>Sales[[#This Row],[Gross Amount]]-Sales[[#This Row],[Disc. Amt.]]+Sales[[#This Row],[GST Amount]]</f>
        <v>28316.46</v>
      </c>
      <c r="O2678" s="34" t="s">
        <v>3566</v>
      </c>
      <c r="P2678" s="34" t="s">
        <v>3562</v>
      </c>
      <c r="Q2678" s="165">
        <f>IF(Sales[[#This Row],[Status]]="Cancelled",0,Sales[[#This Row],[Qty]])</f>
        <v>1</v>
      </c>
      <c r="R2678" s="166">
        <f>IF(Sales[[#This Row],[Status]]="Cancelled",0,Sales[[#This Row],[Total Amount]])</f>
        <v>28316.46</v>
      </c>
      <c r="S2678" s="162">
        <f>SUM(Sales[Net Amount])</f>
        <v>406839287.73200053</v>
      </c>
    </row>
    <row r="2679" spans="1:19" ht="18.75" x14ac:dyDescent="0.25">
      <c r="A2679" s="156" t="s">
        <v>6311</v>
      </c>
      <c r="B2679" s="157">
        <v>45914</v>
      </c>
      <c r="C2679" s="158" t="s">
        <v>682</v>
      </c>
      <c r="D2679" s="159" t="str">
        <f>VLOOKUP(Sales[[#This Row],[Customer ID]],Customer[#All],2,0)</f>
        <v>Rahul Sharma</v>
      </c>
      <c r="E2679" s="158" t="s">
        <v>440</v>
      </c>
      <c r="F2679" s="158" t="str">
        <f>VLOOKUP(Sales[[#This Row],[Product ID]],Product[#All],2,0)</f>
        <v>Dell Monitor</v>
      </c>
      <c r="G2679" s="159">
        <v>5</v>
      </c>
      <c r="H2679" s="160">
        <f>VLOOKUP(Sales[[#This Row],[Product ID]],Product[#All],7,0)</f>
        <v>22810</v>
      </c>
      <c r="I2679" s="160">
        <f>Sales[[#This Row],[Selling Rate]]*Sales[[#This Row],[Qty]]</f>
        <v>114050</v>
      </c>
      <c r="J2679" s="43">
        <v>0.02</v>
      </c>
      <c r="K2679" s="44">
        <f>Sales[[#This Row],[Gross Amount]]*Sales[[#This Row],[Disc %]]</f>
        <v>2281</v>
      </c>
      <c r="L2679" s="43">
        <v>0.18</v>
      </c>
      <c r="M2679" s="44">
        <f>(Sales[[#This Row],[Gross Amount]]-Sales[[#This Row],[Disc. Amt.]])*Sales[[#This Row],[GST %]]</f>
        <v>20118.419999999998</v>
      </c>
      <c r="N2679" s="161">
        <f>Sales[[#This Row],[Gross Amount]]-Sales[[#This Row],[Disc. Amt.]]+Sales[[#This Row],[GST Amount]]</f>
        <v>131887.41999999998</v>
      </c>
      <c r="O2679" s="158" t="s">
        <v>3566</v>
      </c>
      <c r="P2679" s="158" t="s">
        <v>3562</v>
      </c>
      <c r="Q2679" s="160">
        <f>IF(Sales[[#This Row],[Status]]="Cancelled",0,Sales[[#This Row],[Qty]])</f>
        <v>5</v>
      </c>
      <c r="R2679" s="161">
        <f>IF(Sales[[#This Row],[Status]]="Cancelled",0,Sales[[#This Row],[Total Amount]])</f>
        <v>131887.41999999998</v>
      </c>
      <c r="S2679" s="162">
        <f>SUM(Sales[Net Amount])</f>
        <v>406839287.73200053</v>
      </c>
    </row>
    <row r="2680" spans="1:19" ht="18.75" x14ac:dyDescent="0.25">
      <c r="A2680" s="163" t="s">
        <v>6312</v>
      </c>
      <c r="B2680" s="164">
        <v>45914</v>
      </c>
      <c r="C2680" s="34" t="s">
        <v>815</v>
      </c>
      <c r="D2680" s="53" t="str">
        <f>VLOOKUP(Sales[[#This Row],[Customer ID]],Customer[#All],2,0)</f>
        <v>Priya Gupta</v>
      </c>
      <c r="E2680" s="34" t="s">
        <v>244</v>
      </c>
      <c r="F2680" s="34" t="str">
        <f>VLOOKUP(Sales[[#This Row],[Product ID]],Product[#All],2,0)</f>
        <v>TP-link Router</v>
      </c>
      <c r="G2680" s="53">
        <v>1</v>
      </c>
      <c r="H2680" s="165">
        <f>VLOOKUP(Sales[[#This Row],[Product ID]],Product[#All],7,0)</f>
        <v>4220</v>
      </c>
      <c r="I2680" s="165">
        <f>Sales[[#This Row],[Selling Rate]]*Sales[[#This Row],[Qty]]</f>
        <v>4220</v>
      </c>
      <c r="J2680" s="45">
        <v>0.15</v>
      </c>
      <c r="K2680" s="46">
        <f>Sales[[#This Row],[Gross Amount]]*Sales[[#This Row],[Disc %]]</f>
        <v>633</v>
      </c>
      <c r="L2680" s="43">
        <v>0.18</v>
      </c>
      <c r="M2680" s="46">
        <f>(Sales[[#This Row],[Gross Amount]]-Sales[[#This Row],[Disc. Amt.]])*Sales[[#This Row],[GST %]]</f>
        <v>645.66</v>
      </c>
      <c r="N2680" s="161">
        <f>Sales[[#This Row],[Gross Amount]]-Sales[[#This Row],[Disc. Amt.]]+Sales[[#This Row],[GST Amount]]</f>
        <v>4232.66</v>
      </c>
      <c r="O2680" s="34" t="s">
        <v>3566</v>
      </c>
      <c r="P2680" s="34" t="s">
        <v>3562</v>
      </c>
      <c r="Q2680" s="165">
        <f>IF(Sales[[#This Row],[Status]]="Cancelled",0,Sales[[#This Row],[Qty]])</f>
        <v>1</v>
      </c>
      <c r="R2680" s="166">
        <f>IF(Sales[[#This Row],[Status]]="Cancelled",0,Sales[[#This Row],[Total Amount]])</f>
        <v>4232.66</v>
      </c>
      <c r="S2680" s="162">
        <f>SUM(Sales[Net Amount])</f>
        <v>406839287.73200053</v>
      </c>
    </row>
    <row r="2681" spans="1:19" ht="18.75" x14ac:dyDescent="0.25">
      <c r="A2681" s="156" t="s">
        <v>6313</v>
      </c>
      <c r="B2681" s="157">
        <v>45914</v>
      </c>
      <c r="C2681" s="158" t="s">
        <v>882</v>
      </c>
      <c r="D2681" s="159" t="str">
        <f>VLOOKUP(Sales[[#This Row],[Customer ID]],Customer[#All],2,0)</f>
        <v>Rahul Sharma</v>
      </c>
      <c r="E2681" s="158" t="s">
        <v>176</v>
      </c>
      <c r="F2681" s="158" t="str">
        <f>VLOOKUP(Sales[[#This Row],[Product ID]],Product[#All],2,0)</f>
        <v>Dell Monitor</v>
      </c>
      <c r="G2681" s="159">
        <v>4</v>
      </c>
      <c r="H2681" s="160">
        <f>VLOOKUP(Sales[[#This Row],[Product ID]],Product[#All],7,0)</f>
        <v>18900</v>
      </c>
      <c r="I2681" s="160">
        <f>Sales[[#This Row],[Selling Rate]]*Sales[[#This Row],[Qty]]</f>
        <v>75600</v>
      </c>
      <c r="J2681" s="43">
        <v>0</v>
      </c>
      <c r="K2681" s="44">
        <f>Sales[[#This Row],[Gross Amount]]*Sales[[#This Row],[Disc %]]</f>
        <v>0</v>
      </c>
      <c r="L2681" s="43">
        <v>0.18</v>
      </c>
      <c r="M2681" s="44">
        <f>(Sales[[#This Row],[Gross Amount]]-Sales[[#This Row],[Disc. Amt.]])*Sales[[#This Row],[GST %]]</f>
        <v>13608</v>
      </c>
      <c r="N2681" s="161">
        <f>Sales[[#This Row],[Gross Amount]]-Sales[[#This Row],[Disc. Amt.]]+Sales[[#This Row],[GST Amount]]</f>
        <v>89208</v>
      </c>
      <c r="O2681" s="158" t="s">
        <v>3561</v>
      </c>
      <c r="P2681" s="158" t="s">
        <v>3562</v>
      </c>
      <c r="Q2681" s="160">
        <f>IF(Sales[[#This Row],[Status]]="Cancelled",0,Sales[[#This Row],[Qty]])</f>
        <v>4</v>
      </c>
      <c r="R2681" s="161">
        <f>IF(Sales[[#This Row],[Status]]="Cancelled",0,Sales[[#This Row],[Total Amount]])</f>
        <v>89208</v>
      </c>
      <c r="S2681" s="162">
        <f>SUM(Sales[Net Amount])</f>
        <v>406839287.73200053</v>
      </c>
    </row>
    <row r="2682" spans="1:19" ht="18.75" x14ac:dyDescent="0.25">
      <c r="A2682" s="163" t="s">
        <v>6314</v>
      </c>
      <c r="B2682" s="164">
        <v>45914</v>
      </c>
      <c r="C2682" s="34" t="s">
        <v>950</v>
      </c>
      <c r="D2682" s="53" t="str">
        <f>VLOOKUP(Sales[[#This Row],[Customer ID]],Customer[#All],2,0)</f>
        <v>Sunita Sharma</v>
      </c>
      <c r="E2682" s="34" t="s">
        <v>363</v>
      </c>
      <c r="F2682" s="34" t="str">
        <f>VLOOKUP(Sales[[#This Row],[Product ID]],Product[#All],2,0)</f>
        <v>Dell Desktop</v>
      </c>
      <c r="G2682" s="53">
        <v>4</v>
      </c>
      <c r="H2682" s="165">
        <f>VLOOKUP(Sales[[#This Row],[Product ID]],Product[#All],7,0)</f>
        <v>37430</v>
      </c>
      <c r="I2682" s="165">
        <f>Sales[[#This Row],[Selling Rate]]*Sales[[#This Row],[Qty]]</f>
        <v>149720</v>
      </c>
      <c r="J2682" s="45">
        <v>0</v>
      </c>
      <c r="K2682" s="46">
        <f>Sales[[#This Row],[Gross Amount]]*Sales[[#This Row],[Disc %]]</f>
        <v>0</v>
      </c>
      <c r="L2682" s="43">
        <v>0.18</v>
      </c>
      <c r="M2682" s="46">
        <f>(Sales[[#This Row],[Gross Amount]]-Sales[[#This Row],[Disc. Amt.]])*Sales[[#This Row],[GST %]]</f>
        <v>26949.599999999999</v>
      </c>
      <c r="N2682" s="161">
        <f>Sales[[#This Row],[Gross Amount]]-Sales[[#This Row],[Disc. Amt.]]+Sales[[#This Row],[GST Amount]]</f>
        <v>176669.6</v>
      </c>
      <c r="O2682" s="34" t="s">
        <v>8876</v>
      </c>
      <c r="P2682" s="34" t="s">
        <v>3562</v>
      </c>
      <c r="Q2682" s="165">
        <f>IF(Sales[[#This Row],[Status]]="Cancelled",0,Sales[[#This Row],[Qty]])</f>
        <v>4</v>
      </c>
      <c r="R2682" s="166">
        <f>IF(Sales[[#This Row],[Status]]="Cancelled",0,Sales[[#This Row],[Total Amount]])</f>
        <v>176669.6</v>
      </c>
      <c r="S2682" s="162">
        <f>SUM(Sales[Net Amount])</f>
        <v>406839287.73200053</v>
      </c>
    </row>
    <row r="2683" spans="1:19" ht="18.75" x14ac:dyDescent="0.25">
      <c r="A2683" s="156" t="s">
        <v>6315</v>
      </c>
      <c r="B2683" s="157">
        <v>45914</v>
      </c>
      <c r="C2683" s="158" t="s">
        <v>657</v>
      </c>
      <c r="D2683" s="159" t="str">
        <f>VLOOKUP(Sales[[#This Row],[Customer ID]],Customer[#All],2,0)</f>
        <v>Rahul Verma</v>
      </c>
      <c r="E2683" s="158" t="s">
        <v>471</v>
      </c>
      <c r="F2683" s="158" t="str">
        <f>VLOOKUP(Sales[[#This Row],[Product ID]],Product[#All],2,0)</f>
        <v>Samsung Monitor</v>
      </c>
      <c r="G2683" s="159">
        <v>2</v>
      </c>
      <c r="H2683" s="160">
        <f>VLOOKUP(Sales[[#This Row],[Product ID]],Product[#All],7,0)</f>
        <v>10840</v>
      </c>
      <c r="I2683" s="160">
        <f>Sales[[#This Row],[Selling Rate]]*Sales[[#This Row],[Qty]]</f>
        <v>21680</v>
      </c>
      <c r="J2683" s="43">
        <v>0.02</v>
      </c>
      <c r="K2683" s="44">
        <f>Sales[[#This Row],[Gross Amount]]*Sales[[#This Row],[Disc %]]</f>
        <v>433.6</v>
      </c>
      <c r="L2683" s="43">
        <v>0.18</v>
      </c>
      <c r="M2683" s="44">
        <f>(Sales[[#This Row],[Gross Amount]]-Sales[[#This Row],[Disc. Amt.]])*Sales[[#This Row],[GST %]]</f>
        <v>3824.3520000000003</v>
      </c>
      <c r="N2683" s="161">
        <f>Sales[[#This Row],[Gross Amount]]-Sales[[#This Row],[Disc. Amt.]]+Sales[[#This Row],[GST Amount]]</f>
        <v>25070.752</v>
      </c>
      <c r="O2683" s="158" t="s">
        <v>3561</v>
      </c>
      <c r="P2683" s="158" t="s">
        <v>3562</v>
      </c>
      <c r="Q2683" s="160">
        <f>IF(Sales[[#This Row],[Status]]="Cancelled",0,Sales[[#This Row],[Qty]])</f>
        <v>2</v>
      </c>
      <c r="R2683" s="161">
        <f>IF(Sales[[#This Row],[Status]]="Cancelled",0,Sales[[#This Row],[Total Amount]])</f>
        <v>25070.752</v>
      </c>
      <c r="S2683" s="162">
        <f>SUM(Sales[Net Amount])</f>
        <v>406839287.73200053</v>
      </c>
    </row>
    <row r="2684" spans="1:19" ht="18.75" x14ac:dyDescent="0.25">
      <c r="A2684" s="163" t="s">
        <v>6316</v>
      </c>
      <c r="B2684" s="164">
        <v>45914</v>
      </c>
      <c r="C2684" s="34" t="s">
        <v>709</v>
      </c>
      <c r="D2684" s="53" t="str">
        <f>VLOOKUP(Sales[[#This Row],[Customer ID]],Customer[#All],2,0)</f>
        <v>Ankit Kumar</v>
      </c>
      <c r="E2684" s="34" t="s">
        <v>141</v>
      </c>
      <c r="F2684" s="34" t="str">
        <f>VLOOKUP(Sales[[#This Row],[Product ID]],Product[#All],2,0)</f>
        <v>WD HDD</v>
      </c>
      <c r="G2684" s="53">
        <v>5</v>
      </c>
      <c r="H2684" s="165">
        <f>VLOOKUP(Sales[[#This Row],[Product ID]],Product[#All],7,0)</f>
        <v>15230</v>
      </c>
      <c r="I2684" s="165">
        <f>Sales[[#This Row],[Selling Rate]]*Sales[[#This Row],[Qty]]</f>
        <v>76150</v>
      </c>
      <c r="J2684" s="45">
        <v>0.05</v>
      </c>
      <c r="K2684" s="46">
        <f>Sales[[#This Row],[Gross Amount]]*Sales[[#This Row],[Disc %]]</f>
        <v>3807.5</v>
      </c>
      <c r="L2684" s="43">
        <v>0.18</v>
      </c>
      <c r="M2684" s="46">
        <f>(Sales[[#This Row],[Gross Amount]]-Sales[[#This Row],[Disc. Amt.]])*Sales[[#This Row],[GST %]]</f>
        <v>13021.65</v>
      </c>
      <c r="N2684" s="161">
        <f>Sales[[#This Row],[Gross Amount]]-Sales[[#This Row],[Disc. Amt.]]+Sales[[#This Row],[GST Amount]]</f>
        <v>85364.15</v>
      </c>
      <c r="O2684" s="34" t="s">
        <v>3561</v>
      </c>
      <c r="P2684" s="34" t="s">
        <v>3562</v>
      </c>
      <c r="Q2684" s="165">
        <f>IF(Sales[[#This Row],[Status]]="Cancelled",0,Sales[[#This Row],[Qty]])</f>
        <v>5</v>
      </c>
      <c r="R2684" s="166">
        <f>IF(Sales[[#This Row],[Status]]="Cancelled",0,Sales[[#This Row],[Total Amount]])</f>
        <v>85364.15</v>
      </c>
      <c r="S2684" s="162">
        <f>SUM(Sales[Net Amount])</f>
        <v>406839287.73200053</v>
      </c>
    </row>
    <row r="2685" spans="1:19" ht="18.75" x14ac:dyDescent="0.25">
      <c r="A2685" s="156" t="s">
        <v>6317</v>
      </c>
      <c r="B2685" s="157">
        <v>45914</v>
      </c>
      <c r="C2685" s="158" t="s">
        <v>796</v>
      </c>
      <c r="D2685" s="159" t="str">
        <f>VLOOKUP(Sales[[#This Row],[Customer ID]],Customer[#All],2,0)</f>
        <v>Rahul Verma</v>
      </c>
      <c r="E2685" s="158" t="s">
        <v>492</v>
      </c>
      <c r="F2685" s="158" t="str">
        <f>VLOOKUP(Sales[[#This Row],[Product ID]],Product[#All],2,0)</f>
        <v>Microtek UPS</v>
      </c>
      <c r="G2685" s="159">
        <v>1</v>
      </c>
      <c r="H2685" s="160">
        <f>VLOOKUP(Sales[[#This Row],[Product ID]],Product[#All],7,0)</f>
        <v>13470</v>
      </c>
      <c r="I2685" s="160">
        <f>Sales[[#This Row],[Selling Rate]]*Sales[[#This Row],[Qty]]</f>
        <v>13470</v>
      </c>
      <c r="J2685" s="43">
        <v>0</v>
      </c>
      <c r="K2685" s="44">
        <f>Sales[[#This Row],[Gross Amount]]*Sales[[#This Row],[Disc %]]</f>
        <v>0</v>
      </c>
      <c r="L2685" s="43">
        <v>0.18</v>
      </c>
      <c r="M2685" s="44">
        <f>(Sales[[#This Row],[Gross Amount]]-Sales[[#This Row],[Disc. Amt.]])*Sales[[#This Row],[GST %]]</f>
        <v>2424.6</v>
      </c>
      <c r="N2685" s="161">
        <f>Sales[[#This Row],[Gross Amount]]-Sales[[#This Row],[Disc. Amt.]]+Sales[[#This Row],[GST Amount]]</f>
        <v>15894.6</v>
      </c>
      <c r="O2685" s="158" t="s">
        <v>3561</v>
      </c>
      <c r="P2685" s="158" t="s">
        <v>3562</v>
      </c>
      <c r="Q2685" s="160">
        <f>IF(Sales[[#This Row],[Status]]="Cancelled",0,Sales[[#This Row],[Qty]])</f>
        <v>1</v>
      </c>
      <c r="R2685" s="161">
        <f>IF(Sales[[#This Row],[Status]]="Cancelled",0,Sales[[#This Row],[Total Amount]])</f>
        <v>15894.6</v>
      </c>
      <c r="S2685" s="162">
        <f>SUM(Sales[Net Amount])</f>
        <v>406839287.73200053</v>
      </c>
    </row>
    <row r="2686" spans="1:19" ht="18.75" x14ac:dyDescent="0.25">
      <c r="A2686" s="163" t="s">
        <v>6318</v>
      </c>
      <c r="B2686" s="164">
        <v>45914</v>
      </c>
      <c r="C2686" s="34" t="s">
        <v>655</v>
      </c>
      <c r="D2686" s="53" t="str">
        <f>VLOOKUP(Sales[[#This Row],[Customer ID]],Customer[#All],2,0)</f>
        <v>Pooja Singh</v>
      </c>
      <c r="E2686" s="34" t="s">
        <v>149</v>
      </c>
      <c r="F2686" s="34" t="str">
        <f>VLOOKUP(Sales[[#This Row],[Product ID]],Product[#All],2,0)</f>
        <v>Jbl Headset</v>
      </c>
      <c r="G2686" s="53">
        <v>6</v>
      </c>
      <c r="H2686" s="165">
        <f>VLOOKUP(Sales[[#This Row],[Product ID]],Product[#All],7,0)</f>
        <v>6520</v>
      </c>
      <c r="I2686" s="165">
        <f>Sales[[#This Row],[Selling Rate]]*Sales[[#This Row],[Qty]]</f>
        <v>39120</v>
      </c>
      <c r="J2686" s="45">
        <v>0.12</v>
      </c>
      <c r="K2686" s="46">
        <f>Sales[[#This Row],[Gross Amount]]*Sales[[#This Row],[Disc %]]</f>
        <v>4694.3999999999996</v>
      </c>
      <c r="L2686" s="43">
        <v>0.18</v>
      </c>
      <c r="M2686" s="46">
        <f>(Sales[[#This Row],[Gross Amount]]-Sales[[#This Row],[Disc. Amt.]])*Sales[[#This Row],[GST %]]</f>
        <v>6196.6079999999993</v>
      </c>
      <c r="N2686" s="161">
        <f>Sales[[#This Row],[Gross Amount]]-Sales[[#This Row],[Disc. Amt.]]+Sales[[#This Row],[GST Amount]]</f>
        <v>40622.207999999999</v>
      </c>
      <c r="O2686" s="34" t="s">
        <v>3561</v>
      </c>
      <c r="P2686" s="34" t="s">
        <v>3562</v>
      </c>
      <c r="Q2686" s="165">
        <f>IF(Sales[[#This Row],[Status]]="Cancelled",0,Sales[[#This Row],[Qty]])</f>
        <v>6</v>
      </c>
      <c r="R2686" s="166">
        <f>IF(Sales[[#This Row],[Status]]="Cancelled",0,Sales[[#This Row],[Total Amount]])</f>
        <v>40622.207999999999</v>
      </c>
      <c r="S2686" s="162">
        <f>SUM(Sales[Net Amount])</f>
        <v>406839287.73200053</v>
      </c>
    </row>
    <row r="2687" spans="1:19" ht="18.75" x14ac:dyDescent="0.25">
      <c r="A2687" s="156" t="s">
        <v>6319</v>
      </c>
      <c r="B2687" s="157">
        <v>45914</v>
      </c>
      <c r="C2687" s="158" t="s">
        <v>686</v>
      </c>
      <c r="D2687" s="159" t="str">
        <f>VLOOKUP(Sales[[#This Row],[Customer ID]],Customer[#All],2,0)</f>
        <v>Priya Gupta</v>
      </c>
      <c r="E2687" s="158" t="s">
        <v>38</v>
      </c>
      <c r="F2687" s="158" t="str">
        <f>VLOOKUP(Sales[[#This Row],[Product ID]],Product[#All],2,0)</f>
        <v>Lenovo Laptop</v>
      </c>
      <c r="G2687" s="159">
        <v>3</v>
      </c>
      <c r="H2687" s="160">
        <f>VLOOKUP(Sales[[#This Row],[Product ID]],Product[#All],7,0)</f>
        <v>77490</v>
      </c>
      <c r="I2687" s="160">
        <f>Sales[[#This Row],[Selling Rate]]*Sales[[#This Row],[Qty]]</f>
        <v>232470</v>
      </c>
      <c r="J2687" s="43">
        <v>0.05</v>
      </c>
      <c r="K2687" s="44">
        <f>Sales[[#This Row],[Gross Amount]]*Sales[[#This Row],[Disc %]]</f>
        <v>11623.5</v>
      </c>
      <c r="L2687" s="43">
        <v>0.18</v>
      </c>
      <c r="M2687" s="44">
        <f>(Sales[[#This Row],[Gross Amount]]-Sales[[#This Row],[Disc. Amt.]])*Sales[[#This Row],[GST %]]</f>
        <v>39752.369999999995</v>
      </c>
      <c r="N2687" s="161">
        <f>Sales[[#This Row],[Gross Amount]]-Sales[[#This Row],[Disc. Amt.]]+Sales[[#This Row],[GST Amount]]</f>
        <v>260598.87</v>
      </c>
      <c r="O2687" s="158" t="s">
        <v>3566</v>
      </c>
      <c r="P2687" s="158" t="s">
        <v>3562</v>
      </c>
      <c r="Q2687" s="160">
        <f>IF(Sales[[#This Row],[Status]]="Cancelled",0,Sales[[#This Row],[Qty]])</f>
        <v>3</v>
      </c>
      <c r="R2687" s="161">
        <f>IF(Sales[[#This Row],[Status]]="Cancelled",0,Sales[[#This Row],[Total Amount]])</f>
        <v>260598.87</v>
      </c>
      <c r="S2687" s="162">
        <f>SUM(Sales[Net Amount])</f>
        <v>406839287.73200053</v>
      </c>
    </row>
    <row r="2688" spans="1:19" ht="18.75" x14ac:dyDescent="0.25">
      <c r="A2688" s="163" t="s">
        <v>6320</v>
      </c>
      <c r="B2688" s="164">
        <v>45914</v>
      </c>
      <c r="C2688" s="34" t="s">
        <v>6037</v>
      </c>
      <c r="D2688" s="53" t="str">
        <f>VLOOKUP(Sales[[#This Row],[Customer ID]],Customer[#All],2,0)</f>
        <v>Sahil Gupta</v>
      </c>
      <c r="E2688" s="34" t="s">
        <v>531</v>
      </c>
      <c r="F2688" s="34" t="str">
        <f>VLOOKUP(Sales[[#This Row],[Product ID]],Product[#All],2,0)</f>
        <v>TP-link Router</v>
      </c>
      <c r="G2688" s="53">
        <v>4</v>
      </c>
      <c r="H2688" s="165">
        <f>VLOOKUP(Sales[[#This Row],[Product ID]],Product[#All],7,0)</f>
        <v>6730</v>
      </c>
      <c r="I2688" s="165">
        <f>Sales[[#This Row],[Selling Rate]]*Sales[[#This Row],[Qty]]</f>
        <v>26920</v>
      </c>
      <c r="J2688" s="45">
        <v>0</v>
      </c>
      <c r="K2688" s="46">
        <f>Sales[[#This Row],[Gross Amount]]*Sales[[#This Row],[Disc %]]</f>
        <v>0</v>
      </c>
      <c r="L2688" s="43">
        <v>0.18</v>
      </c>
      <c r="M2688" s="46">
        <f>(Sales[[#This Row],[Gross Amount]]-Sales[[#This Row],[Disc. Amt.]])*Sales[[#This Row],[GST %]]</f>
        <v>4845.5999999999995</v>
      </c>
      <c r="N2688" s="161">
        <f>Sales[[#This Row],[Gross Amount]]-Sales[[#This Row],[Disc. Amt.]]+Sales[[#This Row],[GST Amount]]</f>
        <v>31765.599999999999</v>
      </c>
      <c r="O2688" s="34" t="s">
        <v>3569</v>
      </c>
      <c r="P2688" s="34" t="s">
        <v>1040</v>
      </c>
      <c r="Q2688" s="165">
        <f>IF(Sales[[#This Row],[Status]]="Cancelled",0,Sales[[#This Row],[Qty]])</f>
        <v>0</v>
      </c>
      <c r="R2688" s="166">
        <f>IF(Sales[[#This Row],[Status]]="Cancelled",0,Sales[[#This Row],[Total Amount]])</f>
        <v>0</v>
      </c>
      <c r="S2688" s="162">
        <f>SUM(Sales[Net Amount])</f>
        <v>406839287.73200053</v>
      </c>
    </row>
    <row r="2689" spans="1:19" ht="18.75" x14ac:dyDescent="0.25">
      <c r="A2689" s="156" t="s">
        <v>6321</v>
      </c>
      <c r="B2689" s="157">
        <v>45914</v>
      </c>
      <c r="C2689" s="158" t="s">
        <v>863</v>
      </c>
      <c r="D2689" s="159" t="str">
        <f>VLOOKUP(Sales[[#This Row],[Customer ID]],Customer[#All],2,0)</f>
        <v>Sahil Sharma</v>
      </c>
      <c r="E2689" s="158" t="s">
        <v>284</v>
      </c>
      <c r="F2689" s="158" t="str">
        <f>VLOOKUP(Sales[[#This Row],[Product ID]],Product[#All],2,0)</f>
        <v>TP-link Bluetooth Adapter</v>
      </c>
      <c r="G2689" s="159">
        <v>6</v>
      </c>
      <c r="H2689" s="160">
        <f>VLOOKUP(Sales[[#This Row],[Product ID]],Product[#All],7,0)</f>
        <v>1750</v>
      </c>
      <c r="I2689" s="160">
        <f>Sales[[#This Row],[Selling Rate]]*Sales[[#This Row],[Qty]]</f>
        <v>10500</v>
      </c>
      <c r="J2689" s="43">
        <v>0</v>
      </c>
      <c r="K2689" s="44">
        <f>Sales[[#This Row],[Gross Amount]]*Sales[[#This Row],[Disc %]]</f>
        <v>0</v>
      </c>
      <c r="L2689" s="43">
        <v>0.18</v>
      </c>
      <c r="M2689" s="44">
        <f>(Sales[[#This Row],[Gross Amount]]-Sales[[#This Row],[Disc. Amt.]])*Sales[[#This Row],[GST %]]</f>
        <v>1890</v>
      </c>
      <c r="N2689" s="161">
        <f>Sales[[#This Row],[Gross Amount]]-Sales[[#This Row],[Disc. Amt.]]+Sales[[#This Row],[GST Amount]]</f>
        <v>12390</v>
      </c>
      <c r="O2689" s="158" t="s">
        <v>3561</v>
      </c>
      <c r="P2689" s="158" t="s">
        <v>3562</v>
      </c>
      <c r="Q2689" s="160">
        <f>IF(Sales[[#This Row],[Status]]="Cancelled",0,Sales[[#This Row],[Qty]])</f>
        <v>6</v>
      </c>
      <c r="R2689" s="161">
        <f>IF(Sales[[#This Row],[Status]]="Cancelled",0,Sales[[#This Row],[Total Amount]])</f>
        <v>12390</v>
      </c>
      <c r="S2689" s="162">
        <f>SUM(Sales[Net Amount])</f>
        <v>406839287.73200053</v>
      </c>
    </row>
    <row r="2690" spans="1:19" ht="18.75" x14ac:dyDescent="0.25">
      <c r="A2690" s="163" t="s">
        <v>6322</v>
      </c>
      <c r="B2690" s="164">
        <v>45914</v>
      </c>
      <c r="C2690" s="34" t="s">
        <v>701</v>
      </c>
      <c r="D2690" s="53" t="str">
        <f>VLOOKUP(Sales[[#This Row],[Customer ID]],Customer[#All],2,0)</f>
        <v>Ankit Kumar</v>
      </c>
      <c r="E2690" s="34" t="s">
        <v>40</v>
      </c>
      <c r="F2690" s="34" t="str">
        <f>VLOOKUP(Sales[[#This Row],[Product ID]],Product[#All],2,0)</f>
        <v>Boat Headset</v>
      </c>
      <c r="G2690" s="53">
        <v>3</v>
      </c>
      <c r="H2690" s="165">
        <f>VLOOKUP(Sales[[#This Row],[Product ID]],Product[#All],7,0)</f>
        <v>3470</v>
      </c>
      <c r="I2690" s="165">
        <f>Sales[[#This Row],[Selling Rate]]*Sales[[#This Row],[Qty]]</f>
        <v>10410</v>
      </c>
      <c r="J2690" s="45">
        <v>0</v>
      </c>
      <c r="K2690" s="46">
        <f>Sales[[#This Row],[Gross Amount]]*Sales[[#This Row],[Disc %]]</f>
        <v>0</v>
      </c>
      <c r="L2690" s="43">
        <v>0.18</v>
      </c>
      <c r="M2690" s="46">
        <f>(Sales[[#This Row],[Gross Amount]]-Sales[[#This Row],[Disc. Amt.]])*Sales[[#This Row],[GST %]]</f>
        <v>1873.8</v>
      </c>
      <c r="N2690" s="161">
        <f>Sales[[#This Row],[Gross Amount]]-Sales[[#This Row],[Disc. Amt.]]+Sales[[#This Row],[GST Amount]]</f>
        <v>12283.8</v>
      </c>
      <c r="O2690" s="34" t="s">
        <v>8876</v>
      </c>
      <c r="P2690" s="34" t="s">
        <v>3562</v>
      </c>
      <c r="Q2690" s="165">
        <f>IF(Sales[[#This Row],[Status]]="Cancelled",0,Sales[[#This Row],[Qty]])</f>
        <v>3</v>
      </c>
      <c r="R2690" s="166">
        <f>IF(Sales[[#This Row],[Status]]="Cancelled",0,Sales[[#This Row],[Total Amount]])</f>
        <v>12283.8</v>
      </c>
      <c r="S2690" s="162">
        <f>SUM(Sales[Net Amount])</f>
        <v>406839287.73200053</v>
      </c>
    </row>
    <row r="2691" spans="1:19" ht="18.75" x14ac:dyDescent="0.25">
      <c r="A2691" s="156" t="s">
        <v>6323</v>
      </c>
      <c r="B2691" s="157">
        <v>45914</v>
      </c>
      <c r="C2691" s="158" t="s">
        <v>695</v>
      </c>
      <c r="D2691" s="159" t="str">
        <f>VLOOKUP(Sales[[#This Row],[Customer ID]],Customer[#All],2,0)</f>
        <v>Rahul Kumar</v>
      </c>
      <c r="E2691" s="158" t="s">
        <v>399</v>
      </c>
      <c r="F2691" s="158" t="str">
        <f>VLOOKUP(Sales[[#This Row],[Product ID]],Product[#All],2,0)</f>
        <v>Dell Desktop</v>
      </c>
      <c r="G2691" s="159">
        <v>8</v>
      </c>
      <c r="H2691" s="160">
        <f>VLOOKUP(Sales[[#This Row],[Product ID]],Product[#All],7,0)</f>
        <v>43510</v>
      </c>
      <c r="I2691" s="160">
        <f>Sales[[#This Row],[Selling Rate]]*Sales[[#This Row],[Qty]]</f>
        <v>348080</v>
      </c>
      <c r="J2691" s="43">
        <v>0.05</v>
      </c>
      <c r="K2691" s="44">
        <f>Sales[[#This Row],[Gross Amount]]*Sales[[#This Row],[Disc %]]</f>
        <v>17404</v>
      </c>
      <c r="L2691" s="43">
        <v>0.18</v>
      </c>
      <c r="M2691" s="44">
        <f>(Sales[[#This Row],[Gross Amount]]-Sales[[#This Row],[Disc. Amt.]])*Sales[[#This Row],[GST %]]</f>
        <v>59521.68</v>
      </c>
      <c r="N2691" s="161">
        <f>Sales[[#This Row],[Gross Amount]]-Sales[[#This Row],[Disc. Amt.]]+Sales[[#This Row],[GST Amount]]</f>
        <v>390197.68</v>
      </c>
      <c r="O2691" s="158" t="s">
        <v>3566</v>
      </c>
      <c r="P2691" s="158" t="s">
        <v>3562</v>
      </c>
      <c r="Q2691" s="160">
        <f>IF(Sales[[#This Row],[Status]]="Cancelled",0,Sales[[#This Row],[Qty]])</f>
        <v>8</v>
      </c>
      <c r="R2691" s="161">
        <f>IF(Sales[[#This Row],[Status]]="Cancelled",0,Sales[[#This Row],[Total Amount]])</f>
        <v>390197.68</v>
      </c>
      <c r="S2691" s="162">
        <f>SUM(Sales[Net Amount])</f>
        <v>406839287.73200053</v>
      </c>
    </row>
    <row r="2692" spans="1:19" ht="18.75" x14ac:dyDescent="0.25">
      <c r="A2692" s="163" t="s">
        <v>6324</v>
      </c>
      <c r="B2692" s="164">
        <v>45914</v>
      </c>
      <c r="C2692" s="34" t="s">
        <v>672</v>
      </c>
      <c r="D2692" s="53" t="str">
        <f>VLOOKUP(Sales[[#This Row],[Customer ID]],Customer[#All],2,0)</f>
        <v>Rahul Patel</v>
      </c>
      <c r="E2692" s="34" t="s">
        <v>88</v>
      </c>
      <c r="F2692" s="34" t="str">
        <f>VLOOKUP(Sales[[#This Row],[Product ID]],Product[#All],2,0)</f>
        <v>Dell Laptop</v>
      </c>
      <c r="G2692" s="53">
        <v>3</v>
      </c>
      <c r="H2692" s="165">
        <f>VLOOKUP(Sales[[#This Row],[Product ID]],Product[#All],7,0)</f>
        <v>43690</v>
      </c>
      <c r="I2692" s="165">
        <f>Sales[[#This Row],[Selling Rate]]*Sales[[#This Row],[Qty]]</f>
        <v>131070</v>
      </c>
      <c r="J2692" s="45">
        <v>0</v>
      </c>
      <c r="K2692" s="46">
        <f>Sales[[#This Row],[Gross Amount]]*Sales[[#This Row],[Disc %]]</f>
        <v>0</v>
      </c>
      <c r="L2692" s="43">
        <v>0.18</v>
      </c>
      <c r="M2692" s="46">
        <f>(Sales[[#This Row],[Gross Amount]]-Sales[[#This Row],[Disc. Amt.]])*Sales[[#This Row],[GST %]]</f>
        <v>23592.6</v>
      </c>
      <c r="N2692" s="161">
        <f>Sales[[#This Row],[Gross Amount]]-Sales[[#This Row],[Disc. Amt.]]+Sales[[#This Row],[GST Amount]]</f>
        <v>154662.6</v>
      </c>
      <c r="O2692" s="34" t="s">
        <v>3569</v>
      </c>
      <c r="P2692" s="34" t="s">
        <v>3562</v>
      </c>
      <c r="Q2692" s="165">
        <f>IF(Sales[[#This Row],[Status]]="Cancelled",0,Sales[[#This Row],[Qty]])</f>
        <v>3</v>
      </c>
      <c r="R2692" s="166">
        <f>IF(Sales[[#This Row],[Status]]="Cancelled",0,Sales[[#This Row],[Total Amount]])</f>
        <v>154662.6</v>
      </c>
      <c r="S2692" s="162">
        <f>SUM(Sales[Net Amount])</f>
        <v>406839287.73200053</v>
      </c>
    </row>
    <row r="2693" spans="1:19" ht="18.75" x14ac:dyDescent="0.25">
      <c r="A2693" s="156" t="s">
        <v>6325</v>
      </c>
      <c r="B2693" s="157">
        <v>45914</v>
      </c>
      <c r="C2693" s="158" t="s">
        <v>891</v>
      </c>
      <c r="D2693" s="159" t="str">
        <f>VLOOKUP(Sales[[#This Row],[Customer ID]],Customer[#All],2,0)</f>
        <v>Pooja Verma</v>
      </c>
      <c r="E2693" s="158" t="s">
        <v>93</v>
      </c>
      <c r="F2693" s="158" t="str">
        <f>VLOOKUP(Sales[[#This Row],[Product ID]],Product[#All],2,0)</f>
        <v>PortronicsLaptopStand</v>
      </c>
      <c r="G2693" s="159">
        <v>1</v>
      </c>
      <c r="H2693" s="160">
        <f>VLOOKUP(Sales[[#This Row],[Product ID]],Product[#All],7,0)</f>
        <v>1650</v>
      </c>
      <c r="I2693" s="160">
        <f>Sales[[#This Row],[Selling Rate]]*Sales[[#This Row],[Qty]]</f>
        <v>1650</v>
      </c>
      <c r="J2693" s="43">
        <v>0.02</v>
      </c>
      <c r="K2693" s="44">
        <f>Sales[[#This Row],[Gross Amount]]*Sales[[#This Row],[Disc %]]</f>
        <v>33</v>
      </c>
      <c r="L2693" s="43">
        <v>0.18</v>
      </c>
      <c r="M2693" s="44">
        <f>(Sales[[#This Row],[Gross Amount]]-Sales[[#This Row],[Disc. Amt.]])*Sales[[#This Row],[GST %]]</f>
        <v>291.06</v>
      </c>
      <c r="N2693" s="161">
        <f>Sales[[#This Row],[Gross Amount]]-Sales[[#This Row],[Disc. Amt.]]+Sales[[#This Row],[GST Amount]]</f>
        <v>1908.06</v>
      </c>
      <c r="O2693" s="158" t="s">
        <v>3569</v>
      </c>
      <c r="P2693" s="158" t="s">
        <v>3562</v>
      </c>
      <c r="Q2693" s="160">
        <f>IF(Sales[[#This Row],[Status]]="Cancelled",0,Sales[[#This Row],[Qty]])</f>
        <v>1</v>
      </c>
      <c r="R2693" s="161">
        <f>IF(Sales[[#This Row],[Status]]="Cancelled",0,Sales[[#This Row],[Total Amount]])</f>
        <v>1908.06</v>
      </c>
      <c r="S2693" s="162">
        <f>SUM(Sales[Net Amount])</f>
        <v>406839287.73200053</v>
      </c>
    </row>
    <row r="2694" spans="1:19" ht="18.75" x14ac:dyDescent="0.25">
      <c r="A2694" s="163" t="s">
        <v>6326</v>
      </c>
      <c r="B2694" s="164">
        <v>45914</v>
      </c>
      <c r="C2694" s="34" t="s">
        <v>651</v>
      </c>
      <c r="D2694" s="53" t="str">
        <f>VLOOKUP(Sales[[#This Row],[Customer ID]],Customer[#All],2,0)</f>
        <v>Sahil Verma</v>
      </c>
      <c r="E2694" s="34" t="s">
        <v>47</v>
      </c>
      <c r="F2694" s="34" t="str">
        <f>VLOOKUP(Sales[[#This Row],[Product ID]],Product[#All],2,0)</f>
        <v>Logitech Keyboard</v>
      </c>
      <c r="G2694" s="53">
        <v>1</v>
      </c>
      <c r="H2694" s="165">
        <f>VLOOKUP(Sales[[#This Row],[Product ID]],Product[#All],7,0)</f>
        <v>930</v>
      </c>
      <c r="I2694" s="165">
        <f>Sales[[#This Row],[Selling Rate]]*Sales[[#This Row],[Qty]]</f>
        <v>930</v>
      </c>
      <c r="J2694" s="45">
        <v>0.12</v>
      </c>
      <c r="K2694" s="46">
        <f>Sales[[#This Row],[Gross Amount]]*Sales[[#This Row],[Disc %]]</f>
        <v>111.6</v>
      </c>
      <c r="L2694" s="43">
        <v>0.18</v>
      </c>
      <c r="M2694" s="46">
        <f>(Sales[[#This Row],[Gross Amount]]-Sales[[#This Row],[Disc. Amt.]])*Sales[[#This Row],[GST %]]</f>
        <v>147.31199999999998</v>
      </c>
      <c r="N2694" s="161">
        <f>Sales[[#This Row],[Gross Amount]]-Sales[[#This Row],[Disc. Amt.]]+Sales[[#This Row],[GST Amount]]</f>
        <v>965.71199999999999</v>
      </c>
      <c r="O2694" s="34" t="s">
        <v>3569</v>
      </c>
      <c r="P2694" s="34" t="s">
        <v>3562</v>
      </c>
      <c r="Q2694" s="165">
        <f>IF(Sales[[#This Row],[Status]]="Cancelled",0,Sales[[#This Row],[Qty]])</f>
        <v>1</v>
      </c>
      <c r="R2694" s="166">
        <f>IF(Sales[[#This Row],[Status]]="Cancelled",0,Sales[[#This Row],[Total Amount]])</f>
        <v>965.71199999999999</v>
      </c>
      <c r="S2694" s="162">
        <f>SUM(Sales[Net Amount])</f>
        <v>406839287.73200053</v>
      </c>
    </row>
    <row r="2695" spans="1:19" ht="18.75" x14ac:dyDescent="0.25">
      <c r="A2695" s="156" t="s">
        <v>6327</v>
      </c>
      <c r="B2695" s="157">
        <v>45914</v>
      </c>
      <c r="C2695" s="158" t="s">
        <v>839</v>
      </c>
      <c r="D2695" s="159" t="str">
        <f>VLOOKUP(Sales[[#This Row],[Customer ID]],Customer[#All],2,0)</f>
        <v>Amit Patel</v>
      </c>
      <c r="E2695" s="158" t="s">
        <v>355</v>
      </c>
      <c r="F2695" s="158" t="str">
        <f>VLOOKUP(Sales[[#This Row],[Product ID]],Product[#All],2,0)</f>
        <v>HP Power Adapter</v>
      </c>
      <c r="G2695" s="159">
        <v>2</v>
      </c>
      <c r="H2695" s="160">
        <f>VLOOKUP(Sales[[#This Row],[Product ID]],Product[#All],7,0)</f>
        <v>3940</v>
      </c>
      <c r="I2695" s="160">
        <f>Sales[[#This Row],[Selling Rate]]*Sales[[#This Row],[Qty]]</f>
        <v>7880</v>
      </c>
      <c r="J2695" s="43">
        <v>0.05</v>
      </c>
      <c r="K2695" s="44">
        <f>Sales[[#This Row],[Gross Amount]]*Sales[[#This Row],[Disc %]]</f>
        <v>394</v>
      </c>
      <c r="L2695" s="43">
        <v>0.18</v>
      </c>
      <c r="M2695" s="44">
        <f>(Sales[[#This Row],[Gross Amount]]-Sales[[#This Row],[Disc. Amt.]])*Sales[[#This Row],[GST %]]</f>
        <v>1347.48</v>
      </c>
      <c r="N2695" s="161">
        <f>Sales[[#This Row],[Gross Amount]]-Sales[[#This Row],[Disc. Amt.]]+Sales[[#This Row],[GST Amount]]</f>
        <v>8833.48</v>
      </c>
      <c r="O2695" s="158" t="s">
        <v>3566</v>
      </c>
      <c r="P2695" s="158" t="s">
        <v>3562</v>
      </c>
      <c r="Q2695" s="160">
        <f>IF(Sales[[#This Row],[Status]]="Cancelled",0,Sales[[#This Row],[Qty]])</f>
        <v>2</v>
      </c>
      <c r="R2695" s="161">
        <f>IF(Sales[[#This Row],[Status]]="Cancelled",0,Sales[[#This Row],[Total Amount]])</f>
        <v>8833.48</v>
      </c>
      <c r="S2695" s="162">
        <f>SUM(Sales[Net Amount])</f>
        <v>406839287.73200053</v>
      </c>
    </row>
    <row r="2696" spans="1:19" ht="18.75" x14ac:dyDescent="0.25">
      <c r="A2696" s="163" t="s">
        <v>6328</v>
      </c>
      <c r="B2696" s="164">
        <v>45914</v>
      </c>
      <c r="C2696" s="34" t="s">
        <v>923</v>
      </c>
      <c r="D2696" s="53" t="str">
        <f>VLOOKUP(Sales[[#This Row],[Customer ID]],Customer[#All],2,0)</f>
        <v>Rahul Gupta</v>
      </c>
      <c r="E2696" s="34" t="s">
        <v>62</v>
      </c>
      <c r="F2696" s="34" t="str">
        <f>VLOOKUP(Sales[[#This Row],[Product ID]],Product[#All],2,0)</f>
        <v>Apc UPS</v>
      </c>
      <c r="G2696" s="53">
        <v>5</v>
      </c>
      <c r="H2696" s="165">
        <f>VLOOKUP(Sales[[#This Row],[Product ID]],Product[#All],7,0)</f>
        <v>7270</v>
      </c>
      <c r="I2696" s="165">
        <f>Sales[[#This Row],[Selling Rate]]*Sales[[#This Row],[Qty]]</f>
        <v>36350</v>
      </c>
      <c r="J2696" s="45">
        <v>0.12</v>
      </c>
      <c r="K2696" s="46">
        <f>Sales[[#This Row],[Gross Amount]]*Sales[[#This Row],[Disc %]]</f>
        <v>4362</v>
      </c>
      <c r="L2696" s="43">
        <v>0.18</v>
      </c>
      <c r="M2696" s="46">
        <f>(Sales[[#This Row],[Gross Amount]]-Sales[[#This Row],[Disc. Amt.]])*Sales[[#This Row],[GST %]]</f>
        <v>5757.84</v>
      </c>
      <c r="N2696" s="161">
        <f>Sales[[#This Row],[Gross Amount]]-Sales[[#This Row],[Disc. Amt.]]+Sales[[#This Row],[GST Amount]]</f>
        <v>37745.839999999997</v>
      </c>
      <c r="O2696" s="34" t="s">
        <v>8876</v>
      </c>
      <c r="P2696" s="34" t="s">
        <v>3562</v>
      </c>
      <c r="Q2696" s="165">
        <f>IF(Sales[[#This Row],[Status]]="Cancelled",0,Sales[[#This Row],[Qty]])</f>
        <v>5</v>
      </c>
      <c r="R2696" s="166">
        <f>IF(Sales[[#This Row],[Status]]="Cancelled",0,Sales[[#This Row],[Total Amount]])</f>
        <v>37745.839999999997</v>
      </c>
      <c r="S2696" s="162">
        <f>SUM(Sales[Net Amount])</f>
        <v>406839287.73200053</v>
      </c>
    </row>
    <row r="2697" spans="1:19" ht="18.75" x14ac:dyDescent="0.25">
      <c r="A2697" s="156" t="s">
        <v>6329</v>
      </c>
      <c r="B2697" s="157">
        <v>45914</v>
      </c>
      <c r="C2697" s="158" t="s">
        <v>794</v>
      </c>
      <c r="D2697" s="159" t="str">
        <f>VLOOKUP(Sales[[#This Row],[Customer ID]],Customer[#All],2,0)</f>
        <v>Sunita Sharma</v>
      </c>
      <c r="E2697" s="158" t="s">
        <v>367</v>
      </c>
      <c r="F2697" s="158" t="str">
        <f>VLOOKUP(Sales[[#This Row],[Product ID]],Product[#All],2,0)</f>
        <v>Jbl Speaker</v>
      </c>
      <c r="G2697" s="159">
        <v>4</v>
      </c>
      <c r="H2697" s="160">
        <f>VLOOKUP(Sales[[#This Row],[Product ID]],Product[#All],7,0)</f>
        <v>4880</v>
      </c>
      <c r="I2697" s="160">
        <f>Sales[[#This Row],[Selling Rate]]*Sales[[#This Row],[Qty]]</f>
        <v>19520</v>
      </c>
      <c r="J2697" s="43">
        <v>0</v>
      </c>
      <c r="K2697" s="44">
        <f>Sales[[#This Row],[Gross Amount]]*Sales[[#This Row],[Disc %]]</f>
        <v>0</v>
      </c>
      <c r="L2697" s="43">
        <v>0.18</v>
      </c>
      <c r="M2697" s="44">
        <f>(Sales[[#This Row],[Gross Amount]]-Sales[[#This Row],[Disc. Amt.]])*Sales[[#This Row],[GST %]]</f>
        <v>3513.6</v>
      </c>
      <c r="N2697" s="161">
        <f>Sales[[#This Row],[Gross Amount]]-Sales[[#This Row],[Disc. Amt.]]+Sales[[#This Row],[GST Amount]]</f>
        <v>23033.599999999999</v>
      </c>
      <c r="O2697" s="158" t="s">
        <v>3569</v>
      </c>
      <c r="P2697" s="158" t="s">
        <v>3562</v>
      </c>
      <c r="Q2697" s="160">
        <f>IF(Sales[[#This Row],[Status]]="Cancelled",0,Sales[[#This Row],[Qty]])</f>
        <v>4</v>
      </c>
      <c r="R2697" s="161">
        <f>IF(Sales[[#This Row],[Status]]="Cancelled",0,Sales[[#This Row],[Total Amount]])</f>
        <v>23033.599999999999</v>
      </c>
      <c r="S2697" s="162">
        <f>SUM(Sales[Net Amount])</f>
        <v>406839287.73200053</v>
      </c>
    </row>
    <row r="2698" spans="1:19" ht="18.75" x14ac:dyDescent="0.25">
      <c r="A2698" s="163" t="s">
        <v>6330</v>
      </c>
      <c r="B2698" s="164">
        <v>45914</v>
      </c>
      <c r="C2698" s="34" t="s">
        <v>671</v>
      </c>
      <c r="D2698" s="53" t="str">
        <f>VLOOKUP(Sales[[#This Row],[Customer ID]],Customer[#All],2,0)</f>
        <v>Sahil Patel</v>
      </c>
      <c r="E2698" s="34" t="s">
        <v>446</v>
      </c>
      <c r="F2698" s="34" t="str">
        <f>VLOOKUP(Sales[[#This Row],[Product ID]],Product[#All],2,0)</f>
        <v>HP Desktop</v>
      </c>
      <c r="G2698" s="53">
        <v>1</v>
      </c>
      <c r="H2698" s="165">
        <f>VLOOKUP(Sales[[#This Row],[Product ID]],Product[#All],7,0)</f>
        <v>48280</v>
      </c>
      <c r="I2698" s="165">
        <f>Sales[[#This Row],[Selling Rate]]*Sales[[#This Row],[Qty]]</f>
        <v>48280</v>
      </c>
      <c r="J2698" s="45">
        <v>0.15</v>
      </c>
      <c r="K2698" s="46">
        <f>Sales[[#This Row],[Gross Amount]]*Sales[[#This Row],[Disc %]]</f>
        <v>7242</v>
      </c>
      <c r="L2698" s="43">
        <v>0.18</v>
      </c>
      <c r="M2698" s="46">
        <f>(Sales[[#This Row],[Gross Amount]]-Sales[[#This Row],[Disc. Amt.]])*Sales[[#This Row],[GST %]]</f>
        <v>7386.84</v>
      </c>
      <c r="N2698" s="161">
        <f>Sales[[#This Row],[Gross Amount]]-Sales[[#This Row],[Disc. Amt.]]+Sales[[#This Row],[GST Amount]]</f>
        <v>48424.84</v>
      </c>
      <c r="O2698" s="34" t="s">
        <v>3561</v>
      </c>
      <c r="P2698" s="34" t="s">
        <v>3562</v>
      </c>
      <c r="Q2698" s="165">
        <f>IF(Sales[[#This Row],[Status]]="Cancelled",0,Sales[[#This Row],[Qty]])</f>
        <v>1</v>
      </c>
      <c r="R2698" s="166">
        <f>IF(Sales[[#This Row],[Status]]="Cancelled",0,Sales[[#This Row],[Total Amount]])</f>
        <v>48424.84</v>
      </c>
      <c r="S2698" s="162">
        <f>SUM(Sales[Net Amount])</f>
        <v>406839287.73200053</v>
      </c>
    </row>
    <row r="2699" spans="1:19" ht="18.75" x14ac:dyDescent="0.25">
      <c r="A2699" s="156" t="s">
        <v>6331</v>
      </c>
      <c r="B2699" s="157">
        <v>45914</v>
      </c>
      <c r="C2699" s="158" t="s">
        <v>934</v>
      </c>
      <c r="D2699" s="159" t="str">
        <f>VLOOKUP(Sales[[#This Row],[Customer ID]],Customer[#All],2,0)</f>
        <v>Pooja Singh</v>
      </c>
      <c r="E2699" s="158" t="s">
        <v>423</v>
      </c>
      <c r="F2699" s="158" t="str">
        <f>VLOOKUP(Sales[[#This Row],[Product ID]],Product[#All],2,0)</f>
        <v>HP Laptop</v>
      </c>
      <c r="G2699" s="159">
        <v>5</v>
      </c>
      <c r="H2699" s="160">
        <f>VLOOKUP(Sales[[#This Row],[Product ID]],Product[#All],7,0)</f>
        <v>40880</v>
      </c>
      <c r="I2699" s="160">
        <f>Sales[[#This Row],[Selling Rate]]*Sales[[#This Row],[Qty]]</f>
        <v>204400</v>
      </c>
      <c r="J2699" s="43">
        <v>0.05</v>
      </c>
      <c r="K2699" s="44">
        <f>Sales[[#This Row],[Gross Amount]]*Sales[[#This Row],[Disc %]]</f>
        <v>10220</v>
      </c>
      <c r="L2699" s="43">
        <v>0.18</v>
      </c>
      <c r="M2699" s="44">
        <f>(Sales[[#This Row],[Gross Amount]]-Sales[[#This Row],[Disc. Amt.]])*Sales[[#This Row],[GST %]]</f>
        <v>34952.400000000001</v>
      </c>
      <c r="N2699" s="161">
        <f>Sales[[#This Row],[Gross Amount]]-Sales[[#This Row],[Disc. Amt.]]+Sales[[#This Row],[GST Amount]]</f>
        <v>229132.4</v>
      </c>
      <c r="O2699" s="158" t="s">
        <v>3566</v>
      </c>
      <c r="P2699" s="158" t="s">
        <v>3562</v>
      </c>
      <c r="Q2699" s="160">
        <f>IF(Sales[[#This Row],[Status]]="Cancelled",0,Sales[[#This Row],[Qty]])</f>
        <v>5</v>
      </c>
      <c r="R2699" s="161">
        <f>IF(Sales[[#This Row],[Status]]="Cancelled",0,Sales[[#This Row],[Total Amount]])</f>
        <v>229132.4</v>
      </c>
      <c r="S2699" s="162">
        <f>SUM(Sales[Net Amount])</f>
        <v>406839287.73200053</v>
      </c>
    </row>
    <row r="2700" spans="1:19" ht="18.75" x14ac:dyDescent="0.25">
      <c r="A2700" s="163" t="s">
        <v>6332</v>
      </c>
      <c r="B2700" s="164">
        <v>45914</v>
      </c>
      <c r="C2700" s="34" t="s">
        <v>744</v>
      </c>
      <c r="D2700" s="53" t="str">
        <f>VLOOKUP(Sales[[#This Row],[Customer ID]],Customer[#All],2,0)</f>
        <v>Rakesh Patel</v>
      </c>
      <c r="E2700" s="34" t="s">
        <v>383</v>
      </c>
      <c r="F2700" s="34" t="str">
        <f>VLOOKUP(Sales[[#This Row],[Product ID]],Product[#All],2,0)</f>
        <v>Logitech Mouse</v>
      </c>
      <c r="G2700" s="53">
        <v>1</v>
      </c>
      <c r="H2700" s="165">
        <f>VLOOKUP(Sales[[#This Row],[Product ID]],Product[#All],7,0)</f>
        <v>3080</v>
      </c>
      <c r="I2700" s="165">
        <f>Sales[[#This Row],[Selling Rate]]*Sales[[#This Row],[Qty]]</f>
        <v>3080</v>
      </c>
      <c r="J2700" s="45">
        <v>0.05</v>
      </c>
      <c r="K2700" s="46">
        <f>Sales[[#This Row],[Gross Amount]]*Sales[[#This Row],[Disc %]]</f>
        <v>154</v>
      </c>
      <c r="L2700" s="43">
        <v>0.18</v>
      </c>
      <c r="M2700" s="46">
        <f>(Sales[[#This Row],[Gross Amount]]-Sales[[#This Row],[Disc. Amt.]])*Sales[[#This Row],[GST %]]</f>
        <v>526.67999999999995</v>
      </c>
      <c r="N2700" s="161">
        <f>Sales[[#This Row],[Gross Amount]]-Sales[[#This Row],[Disc. Amt.]]+Sales[[#This Row],[GST Amount]]</f>
        <v>3452.68</v>
      </c>
      <c r="O2700" s="34" t="s">
        <v>3569</v>
      </c>
      <c r="P2700" s="34" t="s">
        <v>3562</v>
      </c>
      <c r="Q2700" s="165">
        <f>IF(Sales[[#This Row],[Status]]="Cancelled",0,Sales[[#This Row],[Qty]])</f>
        <v>1</v>
      </c>
      <c r="R2700" s="166">
        <f>IF(Sales[[#This Row],[Status]]="Cancelled",0,Sales[[#This Row],[Total Amount]])</f>
        <v>3452.68</v>
      </c>
      <c r="S2700" s="162">
        <f>SUM(Sales[Net Amount])</f>
        <v>406839287.73200053</v>
      </c>
    </row>
    <row r="2701" spans="1:19" ht="18.75" x14ac:dyDescent="0.25">
      <c r="A2701" s="156" t="s">
        <v>6333</v>
      </c>
      <c r="B2701" s="157">
        <v>45914</v>
      </c>
      <c r="C2701" s="158" t="s">
        <v>724</v>
      </c>
      <c r="D2701" s="159" t="str">
        <f>VLOOKUP(Sales[[#This Row],[Customer ID]],Customer[#All],2,0)</f>
        <v>Sunita Sharma</v>
      </c>
      <c r="E2701" s="158" t="s">
        <v>212</v>
      </c>
      <c r="F2701" s="158" t="str">
        <f>VLOOKUP(Sales[[#This Row],[Product ID]],Product[#All],2,0)</f>
        <v>Jbl Headset</v>
      </c>
      <c r="G2701" s="159">
        <v>1</v>
      </c>
      <c r="H2701" s="160">
        <f>VLOOKUP(Sales[[#This Row],[Product ID]],Product[#All],7,0)</f>
        <v>1230</v>
      </c>
      <c r="I2701" s="160">
        <f>Sales[[#This Row],[Selling Rate]]*Sales[[#This Row],[Qty]]</f>
        <v>1230</v>
      </c>
      <c r="J2701" s="43">
        <v>0.02</v>
      </c>
      <c r="K2701" s="44">
        <f>Sales[[#This Row],[Gross Amount]]*Sales[[#This Row],[Disc %]]</f>
        <v>24.6</v>
      </c>
      <c r="L2701" s="43">
        <v>0.18</v>
      </c>
      <c r="M2701" s="44">
        <f>(Sales[[#This Row],[Gross Amount]]-Sales[[#This Row],[Disc. Amt.]])*Sales[[#This Row],[GST %]]</f>
        <v>216.97200000000001</v>
      </c>
      <c r="N2701" s="161">
        <f>Sales[[#This Row],[Gross Amount]]-Sales[[#This Row],[Disc. Amt.]]+Sales[[#This Row],[GST Amount]]</f>
        <v>1422.3720000000001</v>
      </c>
      <c r="O2701" s="158" t="s">
        <v>3566</v>
      </c>
      <c r="P2701" s="158" t="s">
        <v>3562</v>
      </c>
      <c r="Q2701" s="160">
        <f>IF(Sales[[#This Row],[Status]]="Cancelled",0,Sales[[#This Row],[Qty]])</f>
        <v>1</v>
      </c>
      <c r="R2701" s="161">
        <f>IF(Sales[[#This Row],[Status]]="Cancelled",0,Sales[[#This Row],[Total Amount]])</f>
        <v>1422.3720000000001</v>
      </c>
      <c r="S2701" s="162">
        <f>SUM(Sales[Net Amount])</f>
        <v>406839287.73200053</v>
      </c>
    </row>
    <row r="2702" spans="1:19" ht="18.75" x14ac:dyDescent="0.25">
      <c r="A2702" s="163" t="s">
        <v>6334</v>
      </c>
      <c r="B2702" s="164">
        <v>45914</v>
      </c>
      <c r="C2702" s="34" t="s">
        <v>818</v>
      </c>
      <c r="D2702" s="53" t="str">
        <f>VLOOKUP(Sales[[#This Row],[Customer ID]],Customer[#All],2,0)</f>
        <v>Rahul Sharma</v>
      </c>
      <c r="E2702" s="34" t="s">
        <v>396</v>
      </c>
      <c r="F2702" s="34" t="str">
        <f>VLOOKUP(Sales[[#This Row],[Product ID]],Product[#All],2,0)</f>
        <v>HP Laptop</v>
      </c>
      <c r="G2702" s="53">
        <v>2</v>
      </c>
      <c r="H2702" s="165">
        <f>VLOOKUP(Sales[[#This Row],[Product ID]],Product[#All],7,0)</f>
        <v>77100</v>
      </c>
      <c r="I2702" s="165">
        <f>Sales[[#This Row],[Selling Rate]]*Sales[[#This Row],[Qty]]</f>
        <v>154200</v>
      </c>
      <c r="J2702" s="45">
        <v>0.1</v>
      </c>
      <c r="K2702" s="46">
        <f>Sales[[#This Row],[Gross Amount]]*Sales[[#This Row],[Disc %]]</f>
        <v>15420</v>
      </c>
      <c r="L2702" s="43">
        <v>0.18</v>
      </c>
      <c r="M2702" s="46">
        <f>(Sales[[#This Row],[Gross Amount]]-Sales[[#This Row],[Disc. Amt.]])*Sales[[#This Row],[GST %]]</f>
        <v>24980.399999999998</v>
      </c>
      <c r="N2702" s="161">
        <f>Sales[[#This Row],[Gross Amount]]-Sales[[#This Row],[Disc. Amt.]]+Sales[[#This Row],[GST Amount]]</f>
        <v>163760.4</v>
      </c>
      <c r="O2702" s="34" t="s">
        <v>3561</v>
      </c>
      <c r="P2702" s="34" t="s">
        <v>3562</v>
      </c>
      <c r="Q2702" s="165">
        <f>IF(Sales[[#This Row],[Status]]="Cancelled",0,Sales[[#This Row],[Qty]])</f>
        <v>2</v>
      </c>
      <c r="R2702" s="166">
        <f>IF(Sales[[#This Row],[Status]]="Cancelled",0,Sales[[#This Row],[Total Amount]])</f>
        <v>163760.4</v>
      </c>
      <c r="S2702" s="162">
        <f>SUM(Sales[Net Amount])</f>
        <v>406839287.73200053</v>
      </c>
    </row>
    <row r="2703" spans="1:19" ht="18.75" x14ac:dyDescent="0.25">
      <c r="A2703" s="156" t="s">
        <v>6335</v>
      </c>
      <c r="B2703" s="157">
        <v>45914</v>
      </c>
      <c r="C2703" s="158" t="s">
        <v>929</v>
      </c>
      <c r="D2703" s="159" t="str">
        <f>VLOOKUP(Sales[[#This Row],[Customer ID]],Customer[#All],2,0)</f>
        <v>Sunita Gupta</v>
      </c>
      <c r="E2703" s="158" t="s">
        <v>128</v>
      </c>
      <c r="F2703" s="158" t="str">
        <f>VLOOKUP(Sales[[#This Row],[Product ID]],Product[#All],2,0)</f>
        <v>American TouristerLaptopBag</v>
      </c>
      <c r="G2703" s="159">
        <v>2</v>
      </c>
      <c r="H2703" s="160">
        <f>VLOOKUP(Sales[[#This Row],[Product ID]],Product[#All],7,0)</f>
        <v>2990</v>
      </c>
      <c r="I2703" s="160">
        <f>Sales[[#This Row],[Selling Rate]]*Sales[[#This Row],[Qty]]</f>
        <v>5980</v>
      </c>
      <c r="J2703" s="43">
        <v>0.05</v>
      </c>
      <c r="K2703" s="44">
        <f>Sales[[#This Row],[Gross Amount]]*Sales[[#This Row],[Disc %]]</f>
        <v>299</v>
      </c>
      <c r="L2703" s="43">
        <v>0.18</v>
      </c>
      <c r="M2703" s="44">
        <f>(Sales[[#This Row],[Gross Amount]]-Sales[[#This Row],[Disc. Amt.]])*Sales[[#This Row],[GST %]]</f>
        <v>1022.5799999999999</v>
      </c>
      <c r="N2703" s="161">
        <f>Sales[[#This Row],[Gross Amount]]-Sales[[#This Row],[Disc. Amt.]]+Sales[[#This Row],[GST Amount]]</f>
        <v>6703.58</v>
      </c>
      <c r="O2703" s="158" t="s">
        <v>3569</v>
      </c>
      <c r="P2703" s="158" t="s">
        <v>3562</v>
      </c>
      <c r="Q2703" s="160">
        <f>IF(Sales[[#This Row],[Status]]="Cancelled",0,Sales[[#This Row],[Qty]])</f>
        <v>2</v>
      </c>
      <c r="R2703" s="161">
        <f>IF(Sales[[#This Row],[Status]]="Cancelled",0,Sales[[#This Row],[Total Amount]])</f>
        <v>6703.58</v>
      </c>
      <c r="S2703" s="162">
        <f>SUM(Sales[Net Amount])</f>
        <v>406839287.73200053</v>
      </c>
    </row>
    <row r="2704" spans="1:19" ht="18.75" x14ac:dyDescent="0.25">
      <c r="A2704" s="163" t="s">
        <v>6336</v>
      </c>
      <c r="B2704" s="164">
        <v>45914</v>
      </c>
      <c r="C2704" s="34" t="s">
        <v>865</v>
      </c>
      <c r="D2704" s="53" t="str">
        <f>VLOOKUP(Sales[[#This Row],[Customer ID]],Customer[#All],2,0)</f>
        <v>Sunita Gupta</v>
      </c>
      <c r="E2704" s="34" t="s">
        <v>4</v>
      </c>
      <c r="F2704" s="34" t="str">
        <f>VLOOKUP(Sales[[#This Row],[Product ID]],Product[#All],2,0)</f>
        <v>Epson Printer</v>
      </c>
      <c r="G2704" s="53">
        <v>2</v>
      </c>
      <c r="H2704" s="165">
        <f>VLOOKUP(Sales[[#This Row],[Product ID]],Product[#All],7,0)</f>
        <v>45990</v>
      </c>
      <c r="I2704" s="165">
        <f>Sales[[#This Row],[Selling Rate]]*Sales[[#This Row],[Qty]]</f>
        <v>91980</v>
      </c>
      <c r="J2704" s="45">
        <v>0.15</v>
      </c>
      <c r="K2704" s="46">
        <f>Sales[[#This Row],[Gross Amount]]*Sales[[#This Row],[Disc %]]</f>
        <v>13797</v>
      </c>
      <c r="L2704" s="43">
        <v>0.18</v>
      </c>
      <c r="M2704" s="46">
        <f>(Sales[[#This Row],[Gross Amount]]-Sales[[#This Row],[Disc. Amt.]])*Sales[[#This Row],[GST %]]</f>
        <v>14072.939999999999</v>
      </c>
      <c r="N2704" s="161">
        <f>Sales[[#This Row],[Gross Amount]]-Sales[[#This Row],[Disc. Amt.]]+Sales[[#This Row],[GST Amount]]</f>
        <v>92255.94</v>
      </c>
      <c r="O2704" s="34" t="s">
        <v>3561</v>
      </c>
      <c r="P2704" s="34" t="s">
        <v>3562</v>
      </c>
      <c r="Q2704" s="165">
        <f>IF(Sales[[#This Row],[Status]]="Cancelled",0,Sales[[#This Row],[Qty]])</f>
        <v>2</v>
      </c>
      <c r="R2704" s="166">
        <f>IF(Sales[[#This Row],[Status]]="Cancelled",0,Sales[[#This Row],[Total Amount]])</f>
        <v>92255.94</v>
      </c>
      <c r="S2704" s="162">
        <f>SUM(Sales[Net Amount])</f>
        <v>406839287.73200053</v>
      </c>
    </row>
    <row r="2705" spans="1:19" ht="18.75" x14ac:dyDescent="0.25">
      <c r="A2705" s="156" t="s">
        <v>6337</v>
      </c>
      <c r="B2705" s="157">
        <v>45914</v>
      </c>
      <c r="C2705" s="158" t="s">
        <v>811</v>
      </c>
      <c r="D2705" s="159" t="str">
        <f>VLOOKUP(Sales[[#This Row],[Customer ID]],Customer[#All],2,0)</f>
        <v>Rahul Sharma</v>
      </c>
      <c r="E2705" s="158" t="s">
        <v>242</v>
      </c>
      <c r="F2705" s="158" t="str">
        <f>VLOOKUP(Sales[[#This Row],[Product ID]],Product[#All],2,0)</f>
        <v>HP Printer</v>
      </c>
      <c r="G2705" s="159">
        <v>5</v>
      </c>
      <c r="H2705" s="160">
        <f>VLOOKUP(Sales[[#This Row],[Product ID]],Product[#All],7,0)</f>
        <v>20380</v>
      </c>
      <c r="I2705" s="160">
        <f>Sales[[#This Row],[Selling Rate]]*Sales[[#This Row],[Qty]]</f>
        <v>101900</v>
      </c>
      <c r="J2705" s="43">
        <v>0.15</v>
      </c>
      <c r="K2705" s="44">
        <f>Sales[[#This Row],[Gross Amount]]*Sales[[#This Row],[Disc %]]</f>
        <v>15285</v>
      </c>
      <c r="L2705" s="43">
        <v>0.18</v>
      </c>
      <c r="M2705" s="44">
        <f>(Sales[[#This Row],[Gross Amount]]-Sales[[#This Row],[Disc. Amt.]])*Sales[[#This Row],[GST %]]</f>
        <v>15590.699999999999</v>
      </c>
      <c r="N2705" s="161">
        <f>Sales[[#This Row],[Gross Amount]]-Sales[[#This Row],[Disc. Amt.]]+Sales[[#This Row],[GST Amount]]</f>
        <v>102205.7</v>
      </c>
      <c r="O2705" s="158" t="s">
        <v>3561</v>
      </c>
      <c r="P2705" s="158" t="s">
        <v>3562</v>
      </c>
      <c r="Q2705" s="160">
        <f>IF(Sales[[#This Row],[Status]]="Cancelled",0,Sales[[#This Row],[Qty]])</f>
        <v>5</v>
      </c>
      <c r="R2705" s="161">
        <f>IF(Sales[[#This Row],[Status]]="Cancelled",0,Sales[[#This Row],[Total Amount]])</f>
        <v>102205.7</v>
      </c>
      <c r="S2705" s="162">
        <f>SUM(Sales[Net Amount])</f>
        <v>406839287.73200053</v>
      </c>
    </row>
    <row r="2706" spans="1:19" ht="18.75" x14ac:dyDescent="0.25">
      <c r="A2706" s="163" t="s">
        <v>6338</v>
      </c>
      <c r="B2706" s="164">
        <v>45914</v>
      </c>
      <c r="C2706" s="34" t="s">
        <v>651</v>
      </c>
      <c r="D2706" s="53" t="str">
        <f>VLOOKUP(Sales[[#This Row],[Customer ID]],Customer[#All],2,0)</f>
        <v>Sahil Verma</v>
      </c>
      <c r="E2706" s="34" t="s">
        <v>473</v>
      </c>
      <c r="F2706" s="34" t="str">
        <f>VLOOKUP(Sales[[#This Row],[Product ID]],Product[#All],2,0)</f>
        <v>Boat Headset</v>
      </c>
      <c r="G2706" s="53">
        <v>8</v>
      </c>
      <c r="H2706" s="165">
        <f>VLOOKUP(Sales[[#This Row],[Product ID]],Product[#All],7,0)</f>
        <v>2840</v>
      </c>
      <c r="I2706" s="165">
        <f>Sales[[#This Row],[Selling Rate]]*Sales[[#This Row],[Qty]]</f>
        <v>22720</v>
      </c>
      <c r="J2706" s="45">
        <v>0.1</v>
      </c>
      <c r="K2706" s="46">
        <f>Sales[[#This Row],[Gross Amount]]*Sales[[#This Row],[Disc %]]</f>
        <v>2272</v>
      </c>
      <c r="L2706" s="43">
        <v>0.18</v>
      </c>
      <c r="M2706" s="46">
        <f>(Sales[[#This Row],[Gross Amount]]-Sales[[#This Row],[Disc. Amt.]])*Sales[[#This Row],[GST %]]</f>
        <v>3680.64</v>
      </c>
      <c r="N2706" s="161">
        <f>Sales[[#This Row],[Gross Amount]]-Sales[[#This Row],[Disc. Amt.]]+Sales[[#This Row],[GST Amount]]</f>
        <v>24128.639999999999</v>
      </c>
      <c r="O2706" s="34" t="s">
        <v>3566</v>
      </c>
      <c r="P2706" s="34" t="s">
        <v>3562</v>
      </c>
      <c r="Q2706" s="165">
        <f>IF(Sales[[#This Row],[Status]]="Cancelled",0,Sales[[#This Row],[Qty]])</f>
        <v>8</v>
      </c>
      <c r="R2706" s="166">
        <f>IF(Sales[[#This Row],[Status]]="Cancelled",0,Sales[[#This Row],[Total Amount]])</f>
        <v>24128.639999999999</v>
      </c>
      <c r="S2706" s="162">
        <f>SUM(Sales[Net Amount])</f>
        <v>406839287.73200053</v>
      </c>
    </row>
    <row r="2707" spans="1:19" ht="18.75" x14ac:dyDescent="0.25">
      <c r="A2707" s="156" t="s">
        <v>6339</v>
      </c>
      <c r="B2707" s="157">
        <v>45914</v>
      </c>
      <c r="C2707" s="158" t="s">
        <v>935</v>
      </c>
      <c r="D2707" s="159" t="str">
        <f>VLOOKUP(Sales[[#This Row],[Customer ID]],Customer[#All],2,0)</f>
        <v>Ankit Kumar</v>
      </c>
      <c r="E2707" s="158" t="s">
        <v>141</v>
      </c>
      <c r="F2707" s="158" t="str">
        <f>VLOOKUP(Sales[[#This Row],[Product ID]],Product[#All],2,0)</f>
        <v>WD HDD</v>
      </c>
      <c r="G2707" s="159">
        <v>6</v>
      </c>
      <c r="H2707" s="160">
        <f>VLOOKUP(Sales[[#This Row],[Product ID]],Product[#All],7,0)</f>
        <v>15230</v>
      </c>
      <c r="I2707" s="160">
        <f>Sales[[#This Row],[Selling Rate]]*Sales[[#This Row],[Qty]]</f>
        <v>91380</v>
      </c>
      <c r="J2707" s="43">
        <v>0</v>
      </c>
      <c r="K2707" s="44">
        <f>Sales[[#This Row],[Gross Amount]]*Sales[[#This Row],[Disc %]]</f>
        <v>0</v>
      </c>
      <c r="L2707" s="43">
        <v>0.18</v>
      </c>
      <c r="M2707" s="44">
        <f>(Sales[[#This Row],[Gross Amount]]-Sales[[#This Row],[Disc. Amt.]])*Sales[[#This Row],[GST %]]</f>
        <v>16448.399999999998</v>
      </c>
      <c r="N2707" s="161">
        <f>Sales[[#This Row],[Gross Amount]]-Sales[[#This Row],[Disc. Amt.]]+Sales[[#This Row],[GST Amount]]</f>
        <v>107828.4</v>
      </c>
      <c r="O2707" s="158" t="s">
        <v>3561</v>
      </c>
      <c r="P2707" s="158" t="s">
        <v>3562</v>
      </c>
      <c r="Q2707" s="160">
        <f>IF(Sales[[#This Row],[Status]]="Cancelled",0,Sales[[#This Row],[Qty]])</f>
        <v>6</v>
      </c>
      <c r="R2707" s="161">
        <f>IF(Sales[[#This Row],[Status]]="Cancelled",0,Sales[[#This Row],[Total Amount]])</f>
        <v>107828.4</v>
      </c>
      <c r="S2707" s="162">
        <f>SUM(Sales[Net Amount])</f>
        <v>406839287.73200053</v>
      </c>
    </row>
    <row r="2708" spans="1:19" ht="18.75" x14ac:dyDescent="0.25">
      <c r="A2708" s="163" t="s">
        <v>6340</v>
      </c>
      <c r="B2708" s="164">
        <v>45914</v>
      </c>
      <c r="C2708" s="34" t="s">
        <v>775</v>
      </c>
      <c r="D2708" s="53" t="str">
        <f>VLOOKUP(Sales[[#This Row],[Customer ID]],Customer[#All],2,0)</f>
        <v>Ankit Kumar</v>
      </c>
      <c r="E2708" s="34" t="s">
        <v>387</v>
      </c>
      <c r="F2708" s="34" t="str">
        <f>VLOOKUP(Sales[[#This Row],[Product ID]],Product[#All],2,0)</f>
        <v>HP Printer</v>
      </c>
      <c r="G2708" s="53">
        <v>5</v>
      </c>
      <c r="H2708" s="165">
        <f>VLOOKUP(Sales[[#This Row],[Product ID]],Product[#All],7,0)</f>
        <v>14390</v>
      </c>
      <c r="I2708" s="165">
        <f>Sales[[#This Row],[Selling Rate]]*Sales[[#This Row],[Qty]]</f>
        <v>71950</v>
      </c>
      <c r="J2708" s="45">
        <v>0</v>
      </c>
      <c r="K2708" s="46">
        <f>Sales[[#This Row],[Gross Amount]]*Sales[[#This Row],[Disc %]]</f>
        <v>0</v>
      </c>
      <c r="L2708" s="43">
        <v>0.18</v>
      </c>
      <c r="M2708" s="46">
        <f>(Sales[[#This Row],[Gross Amount]]-Sales[[#This Row],[Disc. Amt.]])*Sales[[#This Row],[GST %]]</f>
        <v>12951</v>
      </c>
      <c r="N2708" s="161">
        <f>Sales[[#This Row],[Gross Amount]]-Sales[[#This Row],[Disc. Amt.]]+Sales[[#This Row],[GST Amount]]</f>
        <v>84901</v>
      </c>
      <c r="O2708" s="34" t="s">
        <v>3561</v>
      </c>
      <c r="P2708" s="34" t="s">
        <v>3562</v>
      </c>
      <c r="Q2708" s="165">
        <f>IF(Sales[[#This Row],[Status]]="Cancelled",0,Sales[[#This Row],[Qty]])</f>
        <v>5</v>
      </c>
      <c r="R2708" s="166">
        <f>IF(Sales[[#This Row],[Status]]="Cancelled",0,Sales[[#This Row],[Total Amount]])</f>
        <v>84901</v>
      </c>
      <c r="S2708" s="162">
        <f>SUM(Sales[Net Amount])</f>
        <v>406839287.73200053</v>
      </c>
    </row>
    <row r="2709" spans="1:19" ht="18.75" x14ac:dyDescent="0.25">
      <c r="A2709" s="156" t="s">
        <v>6341</v>
      </c>
      <c r="B2709" s="157">
        <v>45914</v>
      </c>
      <c r="C2709" s="158" t="s">
        <v>802</v>
      </c>
      <c r="D2709" s="159" t="str">
        <f>VLOOKUP(Sales[[#This Row],[Customer ID]],Customer[#All],2,0)</f>
        <v>Rakesh Patel</v>
      </c>
      <c r="E2709" s="158" t="s">
        <v>276</v>
      </c>
      <c r="F2709" s="158" t="str">
        <f>VLOOKUP(Sales[[#This Row],[Product ID]],Product[#All],2,0)</f>
        <v>Corsair Ram</v>
      </c>
      <c r="G2709" s="159">
        <v>1</v>
      </c>
      <c r="H2709" s="160">
        <f>VLOOKUP(Sales[[#This Row],[Product ID]],Product[#All],7,0)</f>
        <v>7140</v>
      </c>
      <c r="I2709" s="160">
        <f>Sales[[#This Row],[Selling Rate]]*Sales[[#This Row],[Qty]]</f>
        <v>7140</v>
      </c>
      <c r="J2709" s="43">
        <v>0</v>
      </c>
      <c r="K2709" s="44">
        <f>Sales[[#This Row],[Gross Amount]]*Sales[[#This Row],[Disc %]]</f>
        <v>0</v>
      </c>
      <c r="L2709" s="43">
        <v>0.18</v>
      </c>
      <c r="M2709" s="44">
        <f>(Sales[[#This Row],[Gross Amount]]-Sales[[#This Row],[Disc. Amt.]])*Sales[[#This Row],[GST %]]</f>
        <v>1285.2</v>
      </c>
      <c r="N2709" s="161">
        <f>Sales[[#This Row],[Gross Amount]]-Sales[[#This Row],[Disc. Amt.]]+Sales[[#This Row],[GST Amount]]</f>
        <v>8425.2000000000007</v>
      </c>
      <c r="O2709" s="158" t="s">
        <v>3561</v>
      </c>
      <c r="P2709" s="158" t="s">
        <v>3562</v>
      </c>
      <c r="Q2709" s="160">
        <f>IF(Sales[[#This Row],[Status]]="Cancelled",0,Sales[[#This Row],[Qty]])</f>
        <v>1</v>
      </c>
      <c r="R2709" s="161">
        <f>IF(Sales[[#This Row],[Status]]="Cancelled",0,Sales[[#This Row],[Total Amount]])</f>
        <v>8425.2000000000007</v>
      </c>
      <c r="S2709" s="162">
        <f>SUM(Sales[Net Amount])</f>
        <v>406839287.73200053</v>
      </c>
    </row>
    <row r="2710" spans="1:19" ht="18.75" x14ac:dyDescent="0.25">
      <c r="A2710" s="163" t="s">
        <v>6342</v>
      </c>
      <c r="B2710" s="164">
        <v>45914</v>
      </c>
      <c r="C2710" s="34" t="s">
        <v>871</v>
      </c>
      <c r="D2710" s="53" t="str">
        <f>VLOOKUP(Sales[[#This Row],[Customer ID]],Customer[#All],2,0)</f>
        <v>Rakesh Kumar</v>
      </c>
      <c r="E2710" s="34" t="s">
        <v>165</v>
      </c>
      <c r="F2710" s="34" t="str">
        <f>VLOOKUP(Sales[[#This Row],[Product ID]],Product[#All],2,0)</f>
        <v>Kingston Ram</v>
      </c>
      <c r="G2710" s="53">
        <v>5</v>
      </c>
      <c r="H2710" s="165">
        <f>VLOOKUP(Sales[[#This Row],[Product ID]],Product[#All],7,0)</f>
        <v>8020</v>
      </c>
      <c r="I2710" s="165">
        <f>Sales[[#This Row],[Selling Rate]]*Sales[[#This Row],[Qty]]</f>
        <v>40100</v>
      </c>
      <c r="J2710" s="45">
        <v>0.05</v>
      </c>
      <c r="K2710" s="46">
        <f>Sales[[#This Row],[Gross Amount]]*Sales[[#This Row],[Disc %]]</f>
        <v>2005</v>
      </c>
      <c r="L2710" s="43">
        <v>0.18</v>
      </c>
      <c r="M2710" s="46">
        <f>(Sales[[#This Row],[Gross Amount]]-Sales[[#This Row],[Disc. Amt.]])*Sales[[#This Row],[GST %]]</f>
        <v>6857.0999999999995</v>
      </c>
      <c r="N2710" s="161">
        <f>Sales[[#This Row],[Gross Amount]]-Sales[[#This Row],[Disc. Amt.]]+Sales[[#This Row],[GST Amount]]</f>
        <v>44952.1</v>
      </c>
      <c r="O2710" s="34" t="s">
        <v>3561</v>
      </c>
      <c r="P2710" s="34" t="s">
        <v>3562</v>
      </c>
      <c r="Q2710" s="165">
        <f>IF(Sales[[#This Row],[Status]]="Cancelled",0,Sales[[#This Row],[Qty]])</f>
        <v>5</v>
      </c>
      <c r="R2710" s="166">
        <f>IF(Sales[[#This Row],[Status]]="Cancelled",0,Sales[[#This Row],[Total Amount]])</f>
        <v>44952.1</v>
      </c>
      <c r="S2710" s="162">
        <f>SUM(Sales[Net Amount])</f>
        <v>406839287.73200053</v>
      </c>
    </row>
    <row r="2711" spans="1:19" ht="18.75" x14ac:dyDescent="0.25">
      <c r="A2711" s="156" t="s">
        <v>6343</v>
      </c>
      <c r="B2711" s="157">
        <v>45915</v>
      </c>
      <c r="C2711" s="158" t="s">
        <v>697</v>
      </c>
      <c r="D2711" s="159" t="str">
        <f>VLOOKUP(Sales[[#This Row],[Customer ID]],Customer[#All],2,0)</f>
        <v>Priya Kumar</v>
      </c>
      <c r="E2711" s="158" t="s">
        <v>423</v>
      </c>
      <c r="F2711" s="158" t="str">
        <f>VLOOKUP(Sales[[#This Row],[Product ID]],Product[#All],2,0)</f>
        <v>HP Laptop</v>
      </c>
      <c r="G2711" s="159">
        <v>4</v>
      </c>
      <c r="H2711" s="160">
        <f>VLOOKUP(Sales[[#This Row],[Product ID]],Product[#All],7,0)</f>
        <v>40880</v>
      </c>
      <c r="I2711" s="160">
        <f>Sales[[#This Row],[Selling Rate]]*Sales[[#This Row],[Qty]]</f>
        <v>163520</v>
      </c>
      <c r="J2711" s="43">
        <v>0.02</v>
      </c>
      <c r="K2711" s="44">
        <f>Sales[[#This Row],[Gross Amount]]*Sales[[#This Row],[Disc %]]</f>
        <v>3270.4</v>
      </c>
      <c r="L2711" s="43">
        <v>0.18</v>
      </c>
      <c r="M2711" s="44">
        <f>(Sales[[#This Row],[Gross Amount]]-Sales[[#This Row],[Disc. Amt.]])*Sales[[#This Row],[GST %]]</f>
        <v>28844.928</v>
      </c>
      <c r="N2711" s="161">
        <f>Sales[[#This Row],[Gross Amount]]-Sales[[#This Row],[Disc. Amt.]]+Sales[[#This Row],[GST Amount]]</f>
        <v>189094.52799999999</v>
      </c>
      <c r="O2711" s="158" t="s">
        <v>3569</v>
      </c>
      <c r="P2711" s="158" t="s">
        <v>3562</v>
      </c>
      <c r="Q2711" s="160">
        <f>IF(Sales[[#This Row],[Status]]="Cancelled",0,Sales[[#This Row],[Qty]])</f>
        <v>4</v>
      </c>
      <c r="R2711" s="161">
        <f>IF(Sales[[#This Row],[Status]]="Cancelled",0,Sales[[#This Row],[Total Amount]])</f>
        <v>189094.52799999999</v>
      </c>
      <c r="S2711" s="162">
        <f>SUM(Sales[Net Amount])</f>
        <v>406839287.73200053</v>
      </c>
    </row>
    <row r="2712" spans="1:19" ht="18.75" x14ac:dyDescent="0.25">
      <c r="A2712" s="163" t="s">
        <v>6344</v>
      </c>
      <c r="B2712" s="164">
        <v>45915</v>
      </c>
      <c r="C2712" s="34" t="s">
        <v>6345</v>
      </c>
      <c r="D2712" s="53" t="str">
        <f>VLOOKUP(Sales[[#This Row],[Customer ID]],Customer[#All],2,0)</f>
        <v>Pooja Patel</v>
      </c>
      <c r="E2712" s="34" t="s">
        <v>544</v>
      </c>
      <c r="F2712" s="34" t="str">
        <f>VLOOKUP(Sales[[#This Row],[Product ID]],Product[#All],2,0)</f>
        <v>HP Printer</v>
      </c>
      <c r="G2712" s="53">
        <v>7</v>
      </c>
      <c r="H2712" s="165">
        <f>VLOOKUP(Sales[[#This Row],[Product ID]],Product[#All],7,0)</f>
        <v>18010</v>
      </c>
      <c r="I2712" s="165">
        <f>Sales[[#This Row],[Selling Rate]]*Sales[[#This Row],[Qty]]</f>
        <v>126070</v>
      </c>
      <c r="J2712" s="45">
        <v>0.02</v>
      </c>
      <c r="K2712" s="46">
        <f>Sales[[#This Row],[Gross Amount]]*Sales[[#This Row],[Disc %]]</f>
        <v>2521.4</v>
      </c>
      <c r="L2712" s="43">
        <v>0.18</v>
      </c>
      <c r="M2712" s="46">
        <f>(Sales[[#This Row],[Gross Amount]]-Sales[[#This Row],[Disc. Amt.]])*Sales[[#This Row],[GST %]]</f>
        <v>22238.748</v>
      </c>
      <c r="N2712" s="161">
        <f>Sales[[#This Row],[Gross Amount]]-Sales[[#This Row],[Disc. Amt.]]+Sales[[#This Row],[GST Amount]]</f>
        <v>145787.348</v>
      </c>
      <c r="O2712" s="34" t="s">
        <v>8876</v>
      </c>
      <c r="P2712" s="34" t="s">
        <v>3562</v>
      </c>
      <c r="Q2712" s="165">
        <f>IF(Sales[[#This Row],[Status]]="Cancelled",0,Sales[[#This Row],[Qty]])</f>
        <v>7</v>
      </c>
      <c r="R2712" s="166">
        <f>IF(Sales[[#This Row],[Status]]="Cancelled",0,Sales[[#This Row],[Total Amount]])</f>
        <v>145787.348</v>
      </c>
      <c r="S2712" s="162">
        <f>SUM(Sales[Net Amount])</f>
        <v>406839287.73200053</v>
      </c>
    </row>
    <row r="2713" spans="1:19" ht="18.75" x14ac:dyDescent="0.25">
      <c r="A2713" s="156" t="s">
        <v>6346</v>
      </c>
      <c r="B2713" s="157">
        <v>45915</v>
      </c>
      <c r="C2713" s="158" t="s">
        <v>802</v>
      </c>
      <c r="D2713" s="159" t="str">
        <f>VLOOKUP(Sales[[#This Row],[Customer ID]],Customer[#All],2,0)</f>
        <v>Rakesh Patel</v>
      </c>
      <c r="E2713" s="158" t="s">
        <v>133</v>
      </c>
      <c r="F2713" s="158" t="str">
        <f>VLOOKUP(Sales[[#This Row],[Product ID]],Product[#All],2,0)</f>
        <v>HP Laptop</v>
      </c>
      <c r="G2713" s="159">
        <v>6</v>
      </c>
      <c r="H2713" s="160">
        <f>VLOOKUP(Sales[[#This Row],[Product ID]],Product[#All],7,0)</f>
        <v>44790</v>
      </c>
      <c r="I2713" s="160">
        <f>Sales[[#This Row],[Selling Rate]]*Sales[[#This Row],[Qty]]</f>
        <v>268740</v>
      </c>
      <c r="J2713" s="43">
        <v>0.05</v>
      </c>
      <c r="K2713" s="44">
        <f>Sales[[#This Row],[Gross Amount]]*Sales[[#This Row],[Disc %]]</f>
        <v>13437</v>
      </c>
      <c r="L2713" s="43">
        <v>0.18</v>
      </c>
      <c r="M2713" s="44">
        <f>(Sales[[#This Row],[Gross Amount]]-Sales[[#This Row],[Disc. Amt.]])*Sales[[#This Row],[GST %]]</f>
        <v>45954.54</v>
      </c>
      <c r="N2713" s="161">
        <f>Sales[[#This Row],[Gross Amount]]-Sales[[#This Row],[Disc. Amt.]]+Sales[[#This Row],[GST Amount]]</f>
        <v>301257.53999999998</v>
      </c>
      <c r="O2713" s="158" t="s">
        <v>8876</v>
      </c>
      <c r="P2713" s="158" t="s">
        <v>3562</v>
      </c>
      <c r="Q2713" s="160">
        <f>IF(Sales[[#This Row],[Status]]="Cancelled",0,Sales[[#This Row],[Qty]])</f>
        <v>6</v>
      </c>
      <c r="R2713" s="161">
        <f>IF(Sales[[#This Row],[Status]]="Cancelled",0,Sales[[#This Row],[Total Amount]])</f>
        <v>301257.53999999998</v>
      </c>
      <c r="S2713" s="162">
        <f>SUM(Sales[Net Amount])</f>
        <v>406839287.73200053</v>
      </c>
    </row>
    <row r="2714" spans="1:19" ht="18.75" x14ac:dyDescent="0.25">
      <c r="A2714" s="163" t="s">
        <v>6347</v>
      </c>
      <c r="B2714" s="164">
        <v>45915</v>
      </c>
      <c r="C2714" s="34" t="s">
        <v>731</v>
      </c>
      <c r="D2714" s="53" t="str">
        <f>VLOOKUP(Sales[[#This Row],[Customer ID]],Customer[#All],2,0)</f>
        <v>Neha Singh</v>
      </c>
      <c r="E2714" s="34" t="s">
        <v>240</v>
      </c>
      <c r="F2714" s="34" t="str">
        <f>VLOOKUP(Sales[[#This Row],[Product ID]],Product[#All],2,0)</f>
        <v>Crucial Ssd</v>
      </c>
      <c r="G2714" s="53">
        <v>7</v>
      </c>
      <c r="H2714" s="165">
        <f>VLOOKUP(Sales[[#This Row],[Product ID]],Product[#All],7,0)</f>
        <v>3310</v>
      </c>
      <c r="I2714" s="165">
        <f>Sales[[#This Row],[Selling Rate]]*Sales[[#This Row],[Qty]]</f>
        <v>23170</v>
      </c>
      <c r="J2714" s="45">
        <v>0.05</v>
      </c>
      <c r="K2714" s="46">
        <f>Sales[[#This Row],[Gross Amount]]*Sales[[#This Row],[Disc %]]</f>
        <v>1158.5</v>
      </c>
      <c r="L2714" s="43">
        <v>0.18</v>
      </c>
      <c r="M2714" s="46">
        <f>(Sales[[#This Row],[Gross Amount]]-Sales[[#This Row],[Disc. Amt.]])*Sales[[#This Row],[GST %]]</f>
        <v>3962.0699999999997</v>
      </c>
      <c r="N2714" s="161">
        <f>Sales[[#This Row],[Gross Amount]]-Sales[[#This Row],[Disc. Amt.]]+Sales[[#This Row],[GST Amount]]</f>
        <v>25973.57</v>
      </c>
      <c r="O2714" s="34" t="s">
        <v>8876</v>
      </c>
      <c r="P2714" s="34" t="s">
        <v>3562</v>
      </c>
      <c r="Q2714" s="165">
        <f>IF(Sales[[#This Row],[Status]]="Cancelled",0,Sales[[#This Row],[Qty]])</f>
        <v>7</v>
      </c>
      <c r="R2714" s="166">
        <f>IF(Sales[[#This Row],[Status]]="Cancelled",0,Sales[[#This Row],[Total Amount]])</f>
        <v>25973.57</v>
      </c>
      <c r="S2714" s="162">
        <f>SUM(Sales[Net Amount])</f>
        <v>406839287.73200053</v>
      </c>
    </row>
    <row r="2715" spans="1:19" ht="18.75" x14ac:dyDescent="0.25">
      <c r="A2715" s="156" t="s">
        <v>6348</v>
      </c>
      <c r="B2715" s="157">
        <v>45915</v>
      </c>
      <c r="C2715" s="158" t="s">
        <v>768</v>
      </c>
      <c r="D2715" s="159" t="str">
        <f>VLOOKUP(Sales[[#This Row],[Customer ID]],Customer[#All],2,0)</f>
        <v>Priya Kumar</v>
      </c>
      <c r="E2715" s="158" t="s">
        <v>529</v>
      </c>
      <c r="F2715" s="158" t="str">
        <f>VLOOKUP(Sales[[#This Row],[Product ID]],Product[#All],2,0)</f>
        <v>Logitech Webcam</v>
      </c>
      <c r="G2715" s="159">
        <v>4</v>
      </c>
      <c r="H2715" s="160">
        <f>VLOOKUP(Sales[[#This Row],[Product ID]],Product[#All],7,0)</f>
        <v>3390</v>
      </c>
      <c r="I2715" s="160">
        <f>Sales[[#This Row],[Selling Rate]]*Sales[[#This Row],[Qty]]</f>
        <v>13560</v>
      </c>
      <c r="J2715" s="43">
        <v>0.1</v>
      </c>
      <c r="K2715" s="44">
        <f>Sales[[#This Row],[Gross Amount]]*Sales[[#This Row],[Disc %]]</f>
        <v>1356</v>
      </c>
      <c r="L2715" s="43">
        <v>0.18</v>
      </c>
      <c r="M2715" s="44">
        <f>(Sales[[#This Row],[Gross Amount]]-Sales[[#This Row],[Disc. Amt.]])*Sales[[#This Row],[GST %]]</f>
        <v>2196.7199999999998</v>
      </c>
      <c r="N2715" s="161">
        <f>Sales[[#This Row],[Gross Amount]]-Sales[[#This Row],[Disc. Amt.]]+Sales[[#This Row],[GST Amount]]</f>
        <v>14400.72</v>
      </c>
      <c r="O2715" s="158" t="s">
        <v>3561</v>
      </c>
      <c r="P2715" s="158" t="s">
        <v>3562</v>
      </c>
      <c r="Q2715" s="160">
        <f>IF(Sales[[#This Row],[Status]]="Cancelled",0,Sales[[#This Row],[Qty]])</f>
        <v>4</v>
      </c>
      <c r="R2715" s="161">
        <f>IF(Sales[[#This Row],[Status]]="Cancelled",0,Sales[[#This Row],[Total Amount]])</f>
        <v>14400.72</v>
      </c>
      <c r="S2715" s="162">
        <f>SUM(Sales[Net Amount])</f>
        <v>406839287.73200053</v>
      </c>
    </row>
    <row r="2716" spans="1:19" ht="18.75" x14ac:dyDescent="0.25">
      <c r="A2716" s="163" t="s">
        <v>6349</v>
      </c>
      <c r="B2716" s="164">
        <v>45915</v>
      </c>
      <c r="C2716" s="34" t="s">
        <v>654</v>
      </c>
      <c r="D2716" s="53" t="str">
        <f>VLOOKUP(Sales[[#This Row],[Customer ID]],Customer[#All],2,0)</f>
        <v>Sunita Verma</v>
      </c>
      <c r="E2716" s="34" t="s">
        <v>528</v>
      </c>
      <c r="F2716" s="34" t="str">
        <f>VLOOKUP(Sales[[#This Row],[Product ID]],Product[#All],2,0)</f>
        <v>Kingston Ram</v>
      </c>
      <c r="G2716" s="53">
        <v>7</v>
      </c>
      <c r="H2716" s="165">
        <f>VLOOKUP(Sales[[#This Row],[Product ID]],Product[#All],7,0)</f>
        <v>4750</v>
      </c>
      <c r="I2716" s="165">
        <f>Sales[[#This Row],[Selling Rate]]*Sales[[#This Row],[Qty]]</f>
        <v>33250</v>
      </c>
      <c r="J2716" s="45">
        <v>0</v>
      </c>
      <c r="K2716" s="46">
        <f>Sales[[#This Row],[Gross Amount]]*Sales[[#This Row],[Disc %]]</f>
        <v>0</v>
      </c>
      <c r="L2716" s="43">
        <v>0.18</v>
      </c>
      <c r="M2716" s="46">
        <f>(Sales[[#This Row],[Gross Amount]]-Sales[[#This Row],[Disc. Amt.]])*Sales[[#This Row],[GST %]]</f>
        <v>5985</v>
      </c>
      <c r="N2716" s="161">
        <f>Sales[[#This Row],[Gross Amount]]-Sales[[#This Row],[Disc. Amt.]]+Sales[[#This Row],[GST Amount]]</f>
        <v>39235</v>
      </c>
      <c r="O2716" s="34" t="s">
        <v>3569</v>
      </c>
      <c r="P2716" s="34" t="s">
        <v>3562</v>
      </c>
      <c r="Q2716" s="165">
        <f>IF(Sales[[#This Row],[Status]]="Cancelled",0,Sales[[#This Row],[Qty]])</f>
        <v>7</v>
      </c>
      <c r="R2716" s="166">
        <f>IF(Sales[[#This Row],[Status]]="Cancelled",0,Sales[[#This Row],[Total Amount]])</f>
        <v>39235</v>
      </c>
      <c r="S2716" s="162">
        <f>SUM(Sales[Net Amount])</f>
        <v>406839287.73200053</v>
      </c>
    </row>
    <row r="2717" spans="1:19" ht="18.75" x14ac:dyDescent="0.25">
      <c r="A2717" s="156" t="s">
        <v>6350</v>
      </c>
      <c r="B2717" s="157">
        <v>45915</v>
      </c>
      <c r="C2717" s="158" t="s">
        <v>784</v>
      </c>
      <c r="D2717" s="159" t="str">
        <f>VLOOKUP(Sales[[#This Row],[Customer ID]],Customer[#All],2,0)</f>
        <v>Amit Kumar</v>
      </c>
      <c r="E2717" s="158" t="s">
        <v>480</v>
      </c>
      <c r="F2717" s="158" t="str">
        <f>VLOOKUP(Sales[[#This Row],[Product ID]],Product[#All],2,0)</f>
        <v>TP-link Bluetooth Adapter</v>
      </c>
      <c r="G2717" s="159">
        <v>2</v>
      </c>
      <c r="H2717" s="160">
        <f>VLOOKUP(Sales[[#This Row],[Product ID]],Product[#All],7,0)</f>
        <v>1670</v>
      </c>
      <c r="I2717" s="160">
        <f>Sales[[#This Row],[Selling Rate]]*Sales[[#This Row],[Qty]]</f>
        <v>3340</v>
      </c>
      <c r="J2717" s="43">
        <v>0.02</v>
      </c>
      <c r="K2717" s="44">
        <f>Sales[[#This Row],[Gross Amount]]*Sales[[#This Row],[Disc %]]</f>
        <v>66.8</v>
      </c>
      <c r="L2717" s="43">
        <v>0.18</v>
      </c>
      <c r="M2717" s="44">
        <f>(Sales[[#This Row],[Gross Amount]]-Sales[[#This Row],[Disc. Amt.]])*Sales[[#This Row],[GST %]]</f>
        <v>589.17599999999993</v>
      </c>
      <c r="N2717" s="161">
        <f>Sales[[#This Row],[Gross Amount]]-Sales[[#This Row],[Disc. Amt.]]+Sales[[#This Row],[GST Amount]]</f>
        <v>3862.3759999999997</v>
      </c>
      <c r="O2717" s="158" t="s">
        <v>3569</v>
      </c>
      <c r="P2717" s="158" t="s">
        <v>3562</v>
      </c>
      <c r="Q2717" s="160">
        <f>IF(Sales[[#This Row],[Status]]="Cancelled",0,Sales[[#This Row],[Qty]])</f>
        <v>2</v>
      </c>
      <c r="R2717" s="161">
        <f>IF(Sales[[#This Row],[Status]]="Cancelled",0,Sales[[#This Row],[Total Amount]])</f>
        <v>3862.3759999999997</v>
      </c>
      <c r="S2717" s="162">
        <f>SUM(Sales[Net Amount])</f>
        <v>406839287.73200053</v>
      </c>
    </row>
    <row r="2718" spans="1:19" ht="18.75" x14ac:dyDescent="0.25">
      <c r="A2718" s="163" t="s">
        <v>6351</v>
      </c>
      <c r="B2718" s="164">
        <v>45915</v>
      </c>
      <c r="C2718" s="34" t="s">
        <v>936</v>
      </c>
      <c r="D2718" s="53" t="str">
        <f>VLOOKUP(Sales[[#This Row],[Customer ID]],Customer[#All],2,0)</f>
        <v>Pooja Patel</v>
      </c>
      <c r="E2718" s="34" t="s">
        <v>164</v>
      </c>
      <c r="F2718" s="34" t="str">
        <f>VLOOKUP(Sales[[#This Row],[Product ID]],Product[#All],2,0)</f>
        <v>Jbl Headset</v>
      </c>
      <c r="G2718" s="53">
        <v>6</v>
      </c>
      <c r="H2718" s="165">
        <f>VLOOKUP(Sales[[#This Row],[Product ID]],Product[#All],7,0)</f>
        <v>3360</v>
      </c>
      <c r="I2718" s="165">
        <f>Sales[[#This Row],[Selling Rate]]*Sales[[#This Row],[Qty]]</f>
        <v>20160</v>
      </c>
      <c r="J2718" s="45">
        <v>0.02</v>
      </c>
      <c r="K2718" s="46">
        <f>Sales[[#This Row],[Gross Amount]]*Sales[[#This Row],[Disc %]]</f>
        <v>403.2</v>
      </c>
      <c r="L2718" s="43">
        <v>0.18</v>
      </c>
      <c r="M2718" s="46">
        <f>(Sales[[#This Row],[Gross Amount]]-Sales[[#This Row],[Disc. Amt.]])*Sales[[#This Row],[GST %]]</f>
        <v>3556.2239999999997</v>
      </c>
      <c r="N2718" s="161">
        <f>Sales[[#This Row],[Gross Amount]]-Sales[[#This Row],[Disc. Amt.]]+Sales[[#This Row],[GST Amount]]</f>
        <v>23313.023999999998</v>
      </c>
      <c r="O2718" s="34" t="s">
        <v>3566</v>
      </c>
      <c r="P2718" s="34" t="s">
        <v>3562</v>
      </c>
      <c r="Q2718" s="165">
        <f>IF(Sales[[#This Row],[Status]]="Cancelled",0,Sales[[#This Row],[Qty]])</f>
        <v>6</v>
      </c>
      <c r="R2718" s="166">
        <f>IF(Sales[[#This Row],[Status]]="Cancelled",0,Sales[[#This Row],[Total Amount]])</f>
        <v>23313.023999999998</v>
      </c>
      <c r="S2718" s="162">
        <f>SUM(Sales[Net Amount])</f>
        <v>406839287.73200053</v>
      </c>
    </row>
    <row r="2719" spans="1:19" ht="18.75" x14ac:dyDescent="0.25">
      <c r="A2719" s="156" t="s">
        <v>6352</v>
      </c>
      <c r="B2719" s="157">
        <v>45915</v>
      </c>
      <c r="C2719" s="158" t="s">
        <v>891</v>
      </c>
      <c r="D2719" s="159" t="str">
        <f>VLOOKUP(Sales[[#This Row],[Customer ID]],Customer[#All],2,0)</f>
        <v>Pooja Verma</v>
      </c>
      <c r="E2719" s="158" t="s">
        <v>105</v>
      </c>
      <c r="F2719" s="158" t="str">
        <f>VLOOKUP(Sales[[#This Row],[Product ID]],Product[#All],2,0)</f>
        <v>HP Power Adapter</v>
      </c>
      <c r="G2719" s="159">
        <v>5</v>
      </c>
      <c r="H2719" s="160">
        <f>VLOOKUP(Sales[[#This Row],[Product ID]],Product[#All],7,0)</f>
        <v>3280</v>
      </c>
      <c r="I2719" s="160">
        <f>Sales[[#This Row],[Selling Rate]]*Sales[[#This Row],[Qty]]</f>
        <v>16400</v>
      </c>
      <c r="J2719" s="43">
        <v>0.05</v>
      </c>
      <c r="K2719" s="44">
        <f>Sales[[#This Row],[Gross Amount]]*Sales[[#This Row],[Disc %]]</f>
        <v>820</v>
      </c>
      <c r="L2719" s="43">
        <v>0.18</v>
      </c>
      <c r="M2719" s="44">
        <f>(Sales[[#This Row],[Gross Amount]]-Sales[[#This Row],[Disc. Amt.]])*Sales[[#This Row],[GST %]]</f>
        <v>2804.4</v>
      </c>
      <c r="N2719" s="161">
        <f>Sales[[#This Row],[Gross Amount]]-Sales[[#This Row],[Disc. Amt.]]+Sales[[#This Row],[GST Amount]]</f>
        <v>18384.400000000001</v>
      </c>
      <c r="O2719" s="158" t="s">
        <v>3569</v>
      </c>
      <c r="P2719" s="158" t="s">
        <v>3562</v>
      </c>
      <c r="Q2719" s="160">
        <f>IF(Sales[[#This Row],[Status]]="Cancelled",0,Sales[[#This Row],[Qty]])</f>
        <v>5</v>
      </c>
      <c r="R2719" s="161">
        <f>IF(Sales[[#This Row],[Status]]="Cancelled",0,Sales[[#This Row],[Total Amount]])</f>
        <v>18384.400000000001</v>
      </c>
      <c r="S2719" s="162">
        <f>SUM(Sales[Net Amount])</f>
        <v>406839287.73200053</v>
      </c>
    </row>
    <row r="2720" spans="1:19" ht="18.75" x14ac:dyDescent="0.25">
      <c r="A2720" s="163" t="s">
        <v>6353</v>
      </c>
      <c r="B2720" s="164">
        <v>45915</v>
      </c>
      <c r="C2720" s="34" t="s">
        <v>700</v>
      </c>
      <c r="D2720" s="53" t="str">
        <f>VLOOKUP(Sales[[#This Row],[Customer ID]],Customer[#All],2,0)</f>
        <v>Ankit Gupta</v>
      </c>
      <c r="E2720" s="34" t="s">
        <v>253</v>
      </c>
      <c r="F2720" s="34" t="str">
        <f>VLOOKUP(Sales[[#This Row],[Product ID]],Product[#All],2,0)</f>
        <v>Acer Laptop</v>
      </c>
      <c r="G2720" s="53">
        <v>8</v>
      </c>
      <c r="H2720" s="165">
        <f>VLOOKUP(Sales[[#This Row],[Product ID]],Product[#All],7,0)</f>
        <v>40550</v>
      </c>
      <c r="I2720" s="165">
        <f>Sales[[#This Row],[Selling Rate]]*Sales[[#This Row],[Qty]]</f>
        <v>324400</v>
      </c>
      <c r="J2720" s="45">
        <v>0.02</v>
      </c>
      <c r="K2720" s="46">
        <f>Sales[[#This Row],[Gross Amount]]*Sales[[#This Row],[Disc %]]</f>
        <v>6488</v>
      </c>
      <c r="L2720" s="43">
        <v>0.18</v>
      </c>
      <c r="M2720" s="46">
        <f>(Sales[[#This Row],[Gross Amount]]-Sales[[#This Row],[Disc. Amt.]])*Sales[[#This Row],[GST %]]</f>
        <v>57224.159999999996</v>
      </c>
      <c r="N2720" s="161">
        <f>Sales[[#This Row],[Gross Amount]]-Sales[[#This Row],[Disc. Amt.]]+Sales[[#This Row],[GST Amount]]</f>
        <v>375136.16</v>
      </c>
      <c r="O2720" s="34" t="s">
        <v>8876</v>
      </c>
      <c r="P2720" s="34" t="s">
        <v>3562</v>
      </c>
      <c r="Q2720" s="165">
        <f>IF(Sales[[#This Row],[Status]]="Cancelled",0,Sales[[#This Row],[Qty]])</f>
        <v>8</v>
      </c>
      <c r="R2720" s="166">
        <f>IF(Sales[[#This Row],[Status]]="Cancelled",0,Sales[[#This Row],[Total Amount]])</f>
        <v>375136.16</v>
      </c>
      <c r="S2720" s="162">
        <f>SUM(Sales[Net Amount])</f>
        <v>406839287.73200053</v>
      </c>
    </row>
    <row r="2721" spans="1:19" ht="18.75" x14ac:dyDescent="0.25">
      <c r="A2721" s="156" t="s">
        <v>6354</v>
      </c>
      <c r="B2721" s="157">
        <v>45915</v>
      </c>
      <c r="C2721" s="158" t="s">
        <v>660</v>
      </c>
      <c r="D2721" s="159" t="str">
        <f>VLOOKUP(Sales[[#This Row],[Customer ID]],Customer[#All],2,0)</f>
        <v>Priya Sharma</v>
      </c>
      <c r="E2721" s="158" t="s">
        <v>445</v>
      </c>
      <c r="F2721" s="158" t="str">
        <f>VLOOKUP(Sales[[#This Row],[Product ID]],Product[#All],2,0)</f>
        <v>Lenovo Laptop</v>
      </c>
      <c r="G2721" s="159">
        <v>2</v>
      </c>
      <c r="H2721" s="160">
        <f>VLOOKUP(Sales[[#This Row],[Product ID]],Product[#All],7,0)</f>
        <v>37710</v>
      </c>
      <c r="I2721" s="160">
        <f>Sales[[#This Row],[Selling Rate]]*Sales[[#This Row],[Qty]]</f>
        <v>75420</v>
      </c>
      <c r="J2721" s="43">
        <v>0.02</v>
      </c>
      <c r="K2721" s="44">
        <f>Sales[[#This Row],[Gross Amount]]*Sales[[#This Row],[Disc %]]</f>
        <v>1508.4</v>
      </c>
      <c r="L2721" s="43">
        <v>0.18</v>
      </c>
      <c r="M2721" s="44">
        <f>(Sales[[#This Row],[Gross Amount]]-Sales[[#This Row],[Disc. Amt.]])*Sales[[#This Row],[GST %]]</f>
        <v>13304.088</v>
      </c>
      <c r="N2721" s="161">
        <f>Sales[[#This Row],[Gross Amount]]-Sales[[#This Row],[Disc. Amt.]]+Sales[[#This Row],[GST Amount]]</f>
        <v>87215.688000000009</v>
      </c>
      <c r="O2721" s="158" t="s">
        <v>3569</v>
      </c>
      <c r="P2721" s="158" t="s">
        <v>3562</v>
      </c>
      <c r="Q2721" s="160">
        <f>IF(Sales[[#This Row],[Status]]="Cancelled",0,Sales[[#This Row],[Qty]])</f>
        <v>2</v>
      </c>
      <c r="R2721" s="161">
        <f>IF(Sales[[#This Row],[Status]]="Cancelled",0,Sales[[#This Row],[Total Amount]])</f>
        <v>87215.688000000009</v>
      </c>
      <c r="S2721" s="162">
        <f>SUM(Sales[Net Amount])</f>
        <v>406839287.73200053</v>
      </c>
    </row>
    <row r="2722" spans="1:19" ht="18.75" x14ac:dyDescent="0.25">
      <c r="A2722" s="163" t="s">
        <v>6355</v>
      </c>
      <c r="B2722" s="164">
        <v>45915</v>
      </c>
      <c r="C2722" s="34" t="s">
        <v>937</v>
      </c>
      <c r="D2722" s="53" t="str">
        <f>VLOOKUP(Sales[[#This Row],[Customer ID]],Customer[#All],2,0)</f>
        <v>Rahul Singh</v>
      </c>
      <c r="E2722" s="34" t="s">
        <v>203</v>
      </c>
      <c r="F2722" s="34" t="str">
        <f>VLOOKUP(Sales[[#This Row],[Product ID]],Product[#All],2,0)</f>
        <v>Logitech Mouse</v>
      </c>
      <c r="G2722" s="53">
        <v>4</v>
      </c>
      <c r="H2722" s="165">
        <f>VLOOKUP(Sales[[#This Row],[Product ID]],Product[#All],7,0)</f>
        <v>2110</v>
      </c>
      <c r="I2722" s="165">
        <f>Sales[[#This Row],[Selling Rate]]*Sales[[#This Row],[Qty]]</f>
        <v>8440</v>
      </c>
      <c r="J2722" s="45">
        <v>0.05</v>
      </c>
      <c r="K2722" s="46">
        <f>Sales[[#This Row],[Gross Amount]]*Sales[[#This Row],[Disc %]]</f>
        <v>422</v>
      </c>
      <c r="L2722" s="43">
        <v>0.18</v>
      </c>
      <c r="M2722" s="46">
        <f>(Sales[[#This Row],[Gross Amount]]-Sales[[#This Row],[Disc. Amt.]])*Sales[[#This Row],[GST %]]</f>
        <v>1443.24</v>
      </c>
      <c r="N2722" s="161">
        <f>Sales[[#This Row],[Gross Amount]]-Sales[[#This Row],[Disc. Amt.]]+Sales[[#This Row],[GST Amount]]</f>
        <v>9461.24</v>
      </c>
      <c r="O2722" s="34" t="s">
        <v>8876</v>
      </c>
      <c r="P2722" s="34" t="s">
        <v>3562</v>
      </c>
      <c r="Q2722" s="165">
        <f>IF(Sales[[#This Row],[Status]]="Cancelled",0,Sales[[#This Row],[Qty]])</f>
        <v>4</v>
      </c>
      <c r="R2722" s="166">
        <f>IF(Sales[[#This Row],[Status]]="Cancelled",0,Sales[[#This Row],[Total Amount]])</f>
        <v>9461.24</v>
      </c>
      <c r="S2722" s="162">
        <f>SUM(Sales[Net Amount])</f>
        <v>406839287.73200053</v>
      </c>
    </row>
    <row r="2723" spans="1:19" ht="18.75" x14ac:dyDescent="0.25">
      <c r="A2723" s="156" t="s">
        <v>6356</v>
      </c>
      <c r="B2723" s="157">
        <v>45915</v>
      </c>
      <c r="C2723" s="158" t="s">
        <v>683</v>
      </c>
      <c r="D2723" s="159" t="str">
        <f>VLOOKUP(Sales[[#This Row],[Customer ID]],Customer[#All],2,0)</f>
        <v>Rahul Kumar</v>
      </c>
      <c r="E2723" s="158" t="s">
        <v>410</v>
      </c>
      <c r="F2723" s="158" t="str">
        <f>VLOOKUP(Sales[[#This Row],[Product ID]],Product[#All],2,0)</f>
        <v>Microtek UPS</v>
      </c>
      <c r="G2723" s="159">
        <v>3</v>
      </c>
      <c r="H2723" s="160">
        <f>VLOOKUP(Sales[[#This Row],[Product ID]],Product[#All],7,0)</f>
        <v>12250</v>
      </c>
      <c r="I2723" s="160">
        <f>Sales[[#This Row],[Selling Rate]]*Sales[[#This Row],[Qty]]</f>
        <v>36750</v>
      </c>
      <c r="J2723" s="43">
        <v>0.05</v>
      </c>
      <c r="K2723" s="44">
        <f>Sales[[#This Row],[Gross Amount]]*Sales[[#This Row],[Disc %]]</f>
        <v>1837.5</v>
      </c>
      <c r="L2723" s="43">
        <v>0.18</v>
      </c>
      <c r="M2723" s="44">
        <f>(Sales[[#This Row],[Gross Amount]]-Sales[[#This Row],[Disc. Amt.]])*Sales[[#This Row],[GST %]]</f>
        <v>6284.25</v>
      </c>
      <c r="N2723" s="161">
        <f>Sales[[#This Row],[Gross Amount]]-Sales[[#This Row],[Disc. Amt.]]+Sales[[#This Row],[GST Amount]]</f>
        <v>41196.75</v>
      </c>
      <c r="O2723" s="158" t="s">
        <v>3566</v>
      </c>
      <c r="P2723" s="158" t="s">
        <v>3562</v>
      </c>
      <c r="Q2723" s="160">
        <f>IF(Sales[[#This Row],[Status]]="Cancelled",0,Sales[[#This Row],[Qty]])</f>
        <v>3</v>
      </c>
      <c r="R2723" s="161">
        <f>IF(Sales[[#This Row],[Status]]="Cancelled",0,Sales[[#This Row],[Total Amount]])</f>
        <v>41196.75</v>
      </c>
      <c r="S2723" s="162">
        <f>SUM(Sales[Net Amount])</f>
        <v>406839287.73200053</v>
      </c>
    </row>
    <row r="2724" spans="1:19" ht="18.75" x14ac:dyDescent="0.25">
      <c r="A2724" s="163" t="s">
        <v>6357</v>
      </c>
      <c r="B2724" s="164">
        <v>45915</v>
      </c>
      <c r="C2724" s="34" t="s">
        <v>844</v>
      </c>
      <c r="D2724" s="53" t="str">
        <f>VLOOKUP(Sales[[#This Row],[Customer ID]],Customer[#All],2,0)</f>
        <v>Rahul Sharma</v>
      </c>
      <c r="E2724" s="34" t="s">
        <v>486</v>
      </c>
      <c r="F2724" s="34" t="str">
        <f>VLOOKUP(Sales[[#This Row],[Product ID]],Product[#All],2,0)</f>
        <v>Logitech Mouse</v>
      </c>
      <c r="G2724" s="53">
        <v>3</v>
      </c>
      <c r="H2724" s="165">
        <f>VLOOKUP(Sales[[#This Row],[Product ID]],Product[#All],7,0)</f>
        <v>1650</v>
      </c>
      <c r="I2724" s="165">
        <f>Sales[[#This Row],[Selling Rate]]*Sales[[#This Row],[Qty]]</f>
        <v>4950</v>
      </c>
      <c r="J2724" s="45">
        <v>0.12</v>
      </c>
      <c r="K2724" s="46">
        <f>Sales[[#This Row],[Gross Amount]]*Sales[[#This Row],[Disc %]]</f>
        <v>594</v>
      </c>
      <c r="L2724" s="43">
        <v>0.18</v>
      </c>
      <c r="M2724" s="46">
        <f>(Sales[[#This Row],[Gross Amount]]-Sales[[#This Row],[Disc. Amt.]])*Sales[[#This Row],[GST %]]</f>
        <v>784.07999999999993</v>
      </c>
      <c r="N2724" s="161">
        <f>Sales[[#This Row],[Gross Amount]]-Sales[[#This Row],[Disc. Amt.]]+Sales[[#This Row],[GST Amount]]</f>
        <v>5140.08</v>
      </c>
      <c r="O2724" s="34" t="s">
        <v>3566</v>
      </c>
      <c r="P2724" s="34" t="s">
        <v>3562</v>
      </c>
      <c r="Q2724" s="165">
        <f>IF(Sales[[#This Row],[Status]]="Cancelled",0,Sales[[#This Row],[Qty]])</f>
        <v>3</v>
      </c>
      <c r="R2724" s="166">
        <f>IF(Sales[[#This Row],[Status]]="Cancelled",0,Sales[[#This Row],[Total Amount]])</f>
        <v>5140.08</v>
      </c>
      <c r="S2724" s="162">
        <f>SUM(Sales[Net Amount])</f>
        <v>406839287.73200053</v>
      </c>
    </row>
    <row r="2725" spans="1:19" ht="18.75" x14ac:dyDescent="0.25">
      <c r="A2725" s="156" t="s">
        <v>6358</v>
      </c>
      <c r="B2725" s="157">
        <v>45915</v>
      </c>
      <c r="C2725" s="158" t="s">
        <v>6359</v>
      </c>
      <c r="D2725" s="159" t="str">
        <f>VLOOKUP(Sales[[#This Row],[Customer ID]],Customer[#All],2,0)</f>
        <v>Pooja Singh</v>
      </c>
      <c r="E2725" s="158" t="s">
        <v>205</v>
      </c>
      <c r="F2725" s="158" t="str">
        <f>VLOOKUP(Sales[[#This Row],[Product ID]],Product[#All],2,0)</f>
        <v>HP Power Adapter</v>
      </c>
      <c r="G2725" s="159">
        <v>5</v>
      </c>
      <c r="H2725" s="160">
        <f>VLOOKUP(Sales[[#This Row],[Product ID]],Product[#All],7,0)</f>
        <v>4820</v>
      </c>
      <c r="I2725" s="160">
        <f>Sales[[#This Row],[Selling Rate]]*Sales[[#This Row],[Qty]]</f>
        <v>24100</v>
      </c>
      <c r="J2725" s="43">
        <v>0</v>
      </c>
      <c r="K2725" s="44">
        <f>Sales[[#This Row],[Gross Amount]]*Sales[[#This Row],[Disc %]]</f>
        <v>0</v>
      </c>
      <c r="L2725" s="43">
        <v>0.18</v>
      </c>
      <c r="M2725" s="44">
        <f>(Sales[[#This Row],[Gross Amount]]-Sales[[#This Row],[Disc. Amt.]])*Sales[[#This Row],[GST %]]</f>
        <v>4338</v>
      </c>
      <c r="N2725" s="161">
        <f>Sales[[#This Row],[Gross Amount]]-Sales[[#This Row],[Disc. Amt.]]+Sales[[#This Row],[GST Amount]]</f>
        <v>28438</v>
      </c>
      <c r="O2725" s="158" t="s">
        <v>3561</v>
      </c>
      <c r="P2725" s="158" t="s">
        <v>3562</v>
      </c>
      <c r="Q2725" s="160">
        <f>IF(Sales[[#This Row],[Status]]="Cancelled",0,Sales[[#This Row],[Qty]])</f>
        <v>5</v>
      </c>
      <c r="R2725" s="161">
        <f>IF(Sales[[#This Row],[Status]]="Cancelled",0,Sales[[#This Row],[Total Amount]])</f>
        <v>28438</v>
      </c>
      <c r="S2725" s="162">
        <f>SUM(Sales[Net Amount])</f>
        <v>406839287.73200053</v>
      </c>
    </row>
    <row r="2726" spans="1:19" ht="18.75" x14ac:dyDescent="0.25">
      <c r="A2726" s="163" t="s">
        <v>6360</v>
      </c>
      <c r="B2726" s="164">
        <v>45915</v>
      </c>
      <c r="C2726" s="34" t="s">
        <v>877</v>
      </c>
      <c r="D2726" s="53" t="str">
        <f>VLOOKUP(Sales[[#This Row],[Customer ID]],Customer[#All],2,0)</f>
        <v>Sahil Patel</v>
      </c>
      <c r="E2726" s="34" t="s">
        <v>346</v>
      </c>
      <c r="F2726" s="34" t="str">
        <f>VLOOKUP(Sales[[#This Row],[Product ID]],Product[#All],2,0)</f>
        <v>HP Laptop</v>
      </c>
      <c r="G2726" s="53">
        <v>5</v>
      </c>
      <c r="H2726" s="165">
        <f>VLOOKUP(Sales[[#This Row],[Product ID]],Product[#All],7,0)</f>
        <v>88550</v>
      </c>
      <c r="I2726" s="165">
        <f>Sales[[#This Row],[Selling Rate]]*Sales[[#This Row],[Qty]]</f>
        <v>442750</v>
      </c>
      <c r="J2726" s="45">
        <v>0</v>
      </c>
      <c r="K2726" s="46">
        <f>Sales[[#This Row],[Gross Amount]]*Sales[[#This Row],[Disc %]]</f>
        <v>0</v>
      </c>
      <c r="L2726" s="43">
        <v>0.18</v>
      </c>
      <c r="M2726" s="46">
        <f>(Sales[[#This Row],[Gross Amount]]-Sales[[#This Row],[Disc. Amt.]])*Sales[[#This Row],[GST %]]</f>
        <v>79695</v>
      </c>
      <c r="N2726" s="161">
        <f>Sales[[#This Row],[Gross Amount]]-Sales[[#This Row],[Disc. Amt.]]+Sales[[#This Row],[GST Amount]]</f>
        <v>522445</v>
      </c>
      <c r="O2726" s="34" t="s">
        <v>3566</v>
      </c>
      <c r="P2726" s="34" t="s">
        <v>3562</v>
      </c>
      <c r="Q2726" s="165">
        <f>IF(Sales[[#This Row],[Status]]="Cancelled",0,Sales[[#This Row],[Qty]])</f>
        <v>5</v>
      </c>
      <c r="R2726" s="166">
        <f>IF(Sales[[#This Row],[Status]]="Cancelled",0,Sales[[#This Row],[Total Amount]])</f>
        <v>522445</v>
      </c>
      <c r="S2726" s="162">
        <f>SUM(Sales[Net Amount])</f>
        <v>406839287.73200053</v>
      </c>
    </row>
    <row r="2727" spans="1:19" ht="18.75" x14ac:dyDescent="0.25">
      <c r="A2727" s="156" t="s">
        <v>6361</v>
      </c>
      <c r="B2727" s="157">
        <v>45915</v>
      </c>
      <c r="C2727" s="158" t="s">
        <v>6362</v>
      </c>
      <c r="D2727" s="159" t="str">
        <f>VLOOKUP(Sales[[#This Row],[Customer ID]],Customer[#All],2,0)</f>
        <v>Vikas Verma</v>
      </c>
      <c r="E2727" s="158" t="s">
        <v>134</v>
      </c>
      <c r="F2727" s="158" t="str">
        <f>VLOOKUP(Sales[[#This Row],[Product ID]],Product[#All],2,0)</f>
        <v>Logitech Keyboard</v>
      </c>
      <c r="G2727" s="159">
        <v>6</v>
      </c>
      <c r="H2727" s="160">
        <f>VLOOKUP(Sales[[#This Row],[Product ID]],Product[#All],7,0)</f>
        <v>4130</v>
      </c>
      <c r="I2727" s="160">
        <f>Sales[[#This Row],[Selling Rate]]*Sales[[#This Row],[Qty]]</f>
        <v>24780</v>
      </c>
      <c r="J2727" s="43">
        <v>0.15</v>
      </c>
      <c r="K2727" s="44">
        <f>Sales[[#This Row],[Gross Amount]]*Sales[[#This Row],[Disc %]]</f>
        <v>3717</v>
      </c>
      <c r="L2727" s="43">
        <v>0.18</v>
      </c>
      <c r="M2727" s="44">
        <f>(Sales[[#This Row],[Gross Amount]]-Sales[[#This Row],[Disc. Amt.]])*Sales[[#This Row],[GST %]]</f>
        <v>3791.3399999999997</v>
      </c>
      <c r="N2727" s="161">
        <f>Sales[[#This Row],[Gross Amount]]-Sales[[#This Row],[Disc. Amt.]]+Sales[[#This Row],[GST Amount]]</f>
        <v>24854.34</v>
      </c>
      <c r="O2727" s="158" t="s">
        <v>3566</v>
      </c>
      <c r="P2727" s="158" t="s">
        <v>3562</v>
      </c>
      <c r="Q2727" s="160">
        <f>IF(Sales[[#This Row],[Status]]="Cancelled",0,Sales[[#This Row],[Qty]])</f>
        <v>6</v>
      </c>
      <c r="R2727" s="161">
        <f>IF(Sales[[#This Row],[Status]]="Cancelled",0,Sales[[#This Row],[Total Amount]])</f>
        <v>24854.34</v>
      </c>
      <c r="S2727" s="162">
        <f>SUM(Sales[Net Amount])</f>
        <v>406839287.73200053</v>
      </c>
    </row>
    <row r="2728" spans="1:19" ht="18.75" x14ac:dyDescent="0.25">
      <c r="A2728" s="163" t="s">
        <v>6363</v>
      </c>
      <c r="B2728" s="164">
        <v>45915</v>
      </c>
      <c r="C2728" s="34" t="s">
        <v>747</v>
      </c>
      <c r="D2728" s="53" t="str">
        <f>VLOOKUP(Sales[[#This Row],[Customer ID]],Customer[#All],2,0)</f>
        <v>Sunita Gupta</v>
      </c>
      <c r="E2728" s="34" t="s">
        <v>276</v>
      </c>
      <c r="F2728" s="34" t="str">
        <f>VLOOKUP(Sales[[#This Row],[Product ID]],Product[#All],2,0)</f>
        <v>Corsair Ram</v>
      </c>
      <c r="G2728" s="53">
        <v>8</v>
      </c>
      <c r="H2728" s="165">
        <f>VLOOKUP(Sales[[#This Row],[Product ID]],Product[#All],7,0)</f>
        <v>7140</v>
      </c>
      <c r="I2728" s="165">
        <f>Sales[[#This Row],[Selling Rate]]*Sales[[#This Row],[Qty]]</f>
        <v>57120</v>
      </c>
      <c r="J2728" s="45">
        <v>0.05</v>
      </c>
      <c r="K2728" s="46">
        <f>Sales[[#This Row],[Gross Amount]]*Sales[[#This Row],[Disc %]]</f>
        <v>2856</v>
      </c>
      <c r="L2728" s="43">
        <v>0.18</v>
      </c>
      <c r="M2728" s="46">
        <f>(Sales[[#This Row],[Gross Amount]]-Sales[[#This Row],[Disc. Amt.]])*Sales[[#This Row],[GST %]]</f>
        <v>9767.52</v>
      </c>
      <c r="N2728" s="161">
        <f>Sales[[#This Row],[Gross Amount]]-Sales[[#This Row],[Disc. Amt.]]+Sales[[#This Row],[GST Amount]]</f>
        <v>64031.520000000004</v>
      </c>
      <c r="O2728" s="34" t="s">
        <v>3566</v>
      </c>
      <c r="P2728" s="34" t="s">
        <v>3562</v>
      </c>
      <c r="Q2728" s="165">
        <f>IF(Sales[[#This Row],[Status]]="Cancelled",0,Sales[[#This Row],[Qty]])</f>
        <v>8</v>
      </c>
      <c r="R2728" s="166">
        <f>IF(Sales[[#This Row],[Status]]="Cancelled",0,Sales[[#This Row],[Total Amount]])</f>
        <v>64031.520000000004</v>
      </c>
      <c r="S2728" s="162">
        <f>SUM(Sales[Net Amount])</f>
        <v>406839287.73200053</v>
      </c>
    </row>
    <row r="2729" spans="1:19" ht="18.75" x14ac:dyDescent="0.25">
      <c r="A2729" s="156" t="s">
        <v>6364</v>
      </c>
      <c r="B2729" s="157">
        <v>45915</v>
      </c>
      <c r="C2729" s="158" t="s">
        <v>6365</v>
      </c>
      <c r="D2729" s="159" t="str">
        <f>VLOOKUP(Sales[[#This Row],[Customer ID]],Customer[#All],2,0)</f>
        <v>Sunita Gupta</v>
      </c>
      <c r="E2729" s="158" t="s">
        <v>205</v>
      </c>
      <c r="F2729" s="158" t="str">
        <f>VLOOKUP(Sales[[#This Row],[Product ID]],Product[#All],2,0)</f>
        <v>HP Power Adapter</v>
      </c>
      <c r="G2729" s="159">
        <v>3</v>
      </c>
      <c r="H2729" s="160">
        <f>VLOOKUP(Sales[[#This Row],[Product ID]],Product[#All],7,0)</f>
        <v>4820</v>
      </c>
      <c r="I2729" s="160">
        <f>Sales[[#This Row],[Selling Rate]]*Sales[[#This Row],[Qty]]</f>
        <v>14460</v>
      </c>
      <c r="J2729" s="43">
        <v>0</v>
      </c>
      <c r="K2729" s="44">
        <f>Sales[[#This Row],[Gross Amount]]*Sales[[#This Row],[Disc %]]</f>
        <v>0</v>
      </c>
      <c r="L2729" s="43">
        <v>0.18</v>
      </c>
      <c r="M2729" s="44">
        <f>(Sales[[#This Row],[Gross Amount]]-Sales[[#This Row],[Disc. Amt.]])*Sales[[#This Row],[GST %]]</f>
        <v>2602.7999999999997</v>
      </c>
      <c r="N2729" s="161">
        <f>Sales[[#This Row],[Gross Amount]]-Sales[[#This Row],[Disc. Amt.]]+Sales[[#This Row],[GST Amount]]</f>
        <v>17062.8</v>
      </c>
      <c r="O2729" s="158" t="s">
        <v>3566</v>
      </c>
      <c r="P2729" s="158" t="s">
        <v>3562</v>
      </c>
      <c r="Q2729" s="160">
        <f>IF(Sales[[#This Row],[Status]]="Cancelled",0,Sales[[#This Row],[Qty]])</f>
        <v>3</v>
      </c>
      <c r="R2729" s="161">
        <f>IF(Sales[[#This Row],[Status]]="Cancelled",0,Sales[[#This Row],[Total Amount]])</f>
        <v>17062.8</v>
      </c>
      <c r="S2729" s="162">
        <f>SUM(Sales[Net Amount])</f>
        <v>406839287.73200053</v>
      </c>
    </row>
    <row r="2730" spans="1:19" ht="18.75" x14ac:dyDescent="0.25">
      <c r="A2730" s="163" t="s">
        <v>6366</v>
      </c>
      <c r="B2730" s="164">
        <v>45915</v>
      </c>
      <c r="C2730" s="34" t="s">
        <v>912</v>
      </c>
      <c r="D2730" s="53" t="str">
        <f>VLOOKUP(Sales[[#This Row],[Customer ID]],Customer[#All],2,0)</f>
        <v>Sunita Verma</v>
      </c>
      <c r="E2730" s="34" t="s">
        <v>233</v>
      </c>
      <c r="F2730" s="34" t="str">
        <f>VLOOKUP(Sales[[#This Row],[Product ID]],Product[#All],2,0)</f>
        <v>HP Mouse</v>
      </c>
      <c r="G2730" s="53">
        <v>2</v>
      </c>
      <c r="H2730" s="165">
        <f>VLOOKUP(Sales[[#This Row],[Product ID]],Product[#All],7,0)</f>
        <v>860</v>
      </c>
      <c r="I2730" s="165">
        <f>Sales[[#This Row],[Selling Rate]]*Sales[[#This Row],[Qty]]</f>
        <v>1720</v>
      </c>
      <c r="J2730" s="45">
        <v>0.1</v>
      </c>
      <c r="K2730" s="46">
        <f>Sales[[#This Row],[Gross Amount]]*Sales[[#This Row],[Disc %]]</f>
        <v>172</v>
      </c>
      <c r="L2730" s="43">
        <v>0.18</v>
      </c>
      <c r="M2730" s="46">
        <f>(Sales[[#This Row],[Gross Amount]]-Sales[[#This Row],[Disc. Amt.]])*Sales[[#This Row],[GST %]]</f>
        <v>278.64</v>
      </c>
      <c r="N2730" s="161">
        <f>Sales[[#This Row],[Gross Amount]]-Sales[[#This Row],[Disc. Amt.]]+Sales[[#This Row],[GST Amount]]</f>
        <v>1826.6399999999999</v>
      </c>
      <c r="O2730" s="34" t="s">
        <v>3566</v>
      </c>
      <c r="P2730" s="34" t="s">
        <v>3562</v>
      </c>
      <c r="Q2730" s="165">
        <f>IF(Sales[[#This Row],[Status]]="Cancelled",0,Sales[[#This Row],[Qty]])</f>
        <v>2</v>
      </c>
      <c r="R2730" s="166">
        <f>IF(Sales[[#This Row],[Status]]="Cancelled",0,Sales[[#This Row],[Total Amount]])</f>
        <v>1826.6399999999999</v>
      </c>
      <c r="S2730" s="162">
        <f>SUM(Sales[Net Amount])</f>
        <v>406839287.73200053</v>
      </c>
    </row>
    <row r="2731" spans="1:19" ht="18.75" x14ac:dyDescent="0.25">
      <c r="A2731" s="156" t="s">
        <v>6367</v>
      </c>
      <c r="B2731" s="157">
        <v>45915</v>
      </c>
      <c r="C2731" s="158" t="s">
        <v>806</v>
      </c>
      <c r="D2731" s="159" t="str">
        <f>VLOOKUP(Sales[[#This Row],[Customer ID]],Customer[#All],2,0)</f>
        <v>Vikas Singh</v>
      </c>
      <c r="E2731" s="158" t="s">
        <v>379</v>
      </c>
      <c r="F2731" s="158" t="str">
        <f>VLOOKUP(Sales[[#This Row],[Product ID]],Product[#All],2,0)</f>
        <v>Acer Laptop</v>
      </c>
      <c r="G2731" s="159">
        <v>2</v>
      </c>
      <c r="H2731" s="160">
        <f>VLOOKUP(Sales[[#This Row],[Product ID]],Product[#All],7,0)</f>
        <v>74390</v>
      </c>
      <c r="I2731" s="160">
        <f>Sales[[#This Row],[Selling Rate]]*Sales[[#This Row],[Qty]]</f>
        <v>148780</v>
      </c>
      <c r="J2731" s="43">
        <v>0.02</v>
      </c>
      <c r="K2731" s="44">
        <f>Sales[[#This Row],[Gross Amount]]*Sales[[#This Row],[Disc %]]</f>
        <v>2975.6</v>
      </c>
      <c r="L2731" s="43">
        <v>0.18</v>
      </c>
      <c r="M2731" s="44">
        <f>(Sales[[#This Row],[Gross Amount]]-Sales[[#This Row],[Disc. Amt.]])*Sales[[#This Row],[GST %]]</f>
        <v>26244.791999999998</v>
      </c>
      <c r="N2731" s="161">
        <f>Sales[[#This Row],[Gross Amount]]-Sales[[#This Row],[Disc. Amt.]]+Sales[[#This Row],[GST Amount]]</f>
        <v>172049.19199999998</v>
      </c>
      <c r="O2731" s="158" t="s">
        <v>3566</v>
      </c>
      <c r="P2731" s="158" t="s">
        <v>3562</v>
      </c>
      <c r="Q2731" s="160">
        <f>IF(Sales[[#This Row],[Status]]="Cancelled",0,Sales[[#This Row],[Qty]])</f>
        <v>2</v>
      </c>
      <c r="R2731" s="161">
        <f>IF(Sales[[#This Row],[Status]]="Cancelled",0,Sales[[#This Row],[Total Amount]])</f>
        <v>172049.19199999998</v>
      </c>
      <c r="S2731" s="162">
        <f>SUM(Sales[Net Amount])</f>
        <v>406839287.73200053</v>
      </c>
    </row>
    <row r="2732" spans="1:19" ht="18.75" x14ac:dyDescent="0.25">
      <c r="A2732" s="163" t="s">
        <v>6368</v>
      </c>
      <c r="B2732" s="164">
        <v>45915</v>
      </c>
      <c r="C2732" s="34" t="s">
        <v>6369</v>
      </c>
      <c r="D2732" s="53" t="str">
        <f>VLOOKUP(Sales[[#This Row],[Customer ID]],Customer[#All],2,0)</f>
        <v>Amit Patel</v>
      </c>
      <c r="E2732" s="34" t="s">
        <v>390</v>
      </c>
      <c r="F2732" s="34" t="str">
        <f>VLOOKUP(Sales[[#This Row],[Product ID]],Product[#All],2,0)</f>
        <v>TP-link Router</v>
      </c>
      <c r="G2732" s="53">
        <v>7</v>
      </c>
      <c r="H2732" s="165">
        <f>VLOOKUP(Sales[[#This Row],[Product ID]],Product[#All],7,0)</f>
        <v>4620</v>
      </c>
      <c r="I2732" s="165">
        <f>Sales[[#This Row],[Selling Rate]]*Sales[[#This Row],[Qty]]</f>
        <v>32340</v>
      </c>
      <c r="J2732" s="45">
        <v>0.02</v>
      </c>
      <c r="K2732" s="46">
        <f>Sales[[#This Row],[Gross Amount]]*Sales[[#This Row],[Disc %]]</f>
        <v>646.80000000000007</v>
      </c>
      <c r="L2732" s="43">
        <v>0.18</v>
      </c>
      <c r="M2732" s="46">
        <f>(Sales[[#This Row],[Gross Amount]]-Sales[[#This Row],[Disc. Amt.]])*Sales[[#This Row],[GST %]]</f>
        <v>5704.7759999999998</v>
      </c>
      <c r="N2732" s="161">
        <f>Sales[[#This Row],[Gross Amount]]-Sales[[#This Row],[Disc. Amt.]]+Sales[[#This Row],[GST Amount]]</f>
        <v>37397.976000000002</v>
      </c>
      <c r="O2732" s="34" t="s">
        <v>3569</v>
      </c>
      <c r="P2732" s="34" t="s">
        <v>3562</v>
      </c>
      <c r="Q2732" s="165">
        <f>IF(Sales[[#This Row],[Status]]="Cancelled",0,Sales[[#This Row],[Qty]])</f>
        <v>7</v>
      </c>
      <c r="R2732" s="166">
        <f>IF(Sales[[#This Row],[Status]]="Cancelled",0,Sales[[#This Row],[Total Amount]])</f>
        <v>37397.976000000002</v>
      </c>
      <c r="S2732" s="162">
        <f>SUM(Sales[Net Amount])</f>
        <v>406839287.73200053</v>
      </c>
    </row>
    <row r="2733" spans="1:19" ht="18.75" x14ac:dyDescent="0.25">
      <c r="A2733" s="156" t="s">
        <v>6370</v>
      </c>
      <c r="B2733" s="157">
        <v>45915</v>
      </c>
      <c r="C2733" s="158" t="s">
        <v>930</v>
      </c>
      <c r="D2733" s="159" t="str">
        <f>VLOOKUP(Sales[[#This Row],[Customer ID]],Customer[#All],2,0)</f>
        <v>Rakesh Gupta</v>
      </c>
      <c r="E2733" s="158" t="s">
        <v>256</v>
      </c>
      <c r="F2733" s="158" t="str">
        <f>VLOOKUP(Sales[[#This Row],[Product ID]],Product[#All],2,0)</f>
        <v>HP Laptop</v>
      </c>
      <c r="G2733" s="159">
        <v>7</v>
      </c>
      <c r="H2733" s="160">
        <f>VLOOKUP(Sales[[#This Row],[Product ID]],Product[#All],7,0)</f>
        <v>106260</v>
      </c>
      <c r="I2733" s="160">
        <f>Sales[[#This Row],[Selling Rate]]*Sales[[#This Row],[Qty]]</f>
        <v>743820</v>
      </c>
      <c r="J2733" s="43">
        <v>0.12</v>
      </c>
      <c r="K2733" s="44">
        <f>Sales[[#This Row],[Gross Amount]]*Sales[[#This Row],[Disc %]]</f>
        <v>89258.4</v>
      </c>
      <c r="L2733" s="43">
        <v>0.18</v>
      </c>
      <c r="M2733" s="44">
        <f>(Sales[[#This Row],[Gross Amount]]-Sales[[#This Row],[Disc. Amt.]])*Sales[[#This Row],[GST %]]</f>
        <v>117821.08799999999</v>
      </c>
      <c r="N2733" s="161">
        <f>Sales[[#This Row],[Gross Amount]]-Sales[[#This Row],[Disc. Amt.]]+Sales[[#This Row],[GST Amount]]</f>
        <v>772382.68799999997</v>
      </c>
      <c r="O2733" s="158" t="s">
        <v>3561</v>
      </c>
      <c r="P2733" s="158" t="s">
        <v>3562</v>
      </c>
      <c r="Q2733" s="160">
        <f>IF(Sales[[#This Row],[Status]]="Cancelled",0,Sales[[#This Row],[Qty]])</f>
        <v>7</v>
      </c>
      <c r="R2733" s="161">
        <f>IF(Sales[[#This Row],[Status]]="Cancelled",0,Sales[[#This Row],[Total Amount]])</f>
        <v>772382.68799999997</v>
      </c>
      <c r="S2733" s="162">
        <f>SUM(Sales[Net Amount])</f>
        <v>406839287.73200053</v>
      </c>
    </row>
    <row r="2734" spans="1:19" ht="18.75" x14ac:dyDescent="0.25">
      <c r="A2734" s="163" t="s">
        <v>6371</v>
      </c>
      <c r="B2734" s="164">
        <v>45916</v>
      </c>
      <c r="C2734" s="34" t="s">
        <v>853</v>
      </c>
      <c r="D2734" s="53" t="str">
        <f>VLOOKUP(Sales[[#This Row],[Customer ID]],Customer[#All],2,0)</f>
        <v>Amit Singh</v>
      </c>
      <c r="E2734" s="34" t="s">
        <v>77</v>
      </c>
      <c r="F2734" s="34" t="str">
        <f>VLOOKUP(Sales[[#This Row],[Product ID]],Product[#All],2,0)</f>
        <v>HP Power Adapter</v>
      </c>
      <c r="G2734" s="53">
        <v>7</v>
      </c>
      <c r="H2734" s="165">
        <f>VLOOKUP(Sales[[#This Row],[Product ID]],Product[#All],7,0)</f>
        <v>2770</v>
      </c>
      <c r="I2734" s="165">
        <f>Sales[[#This Row],[Selling Rate]]*Sales[[#This Row],[Qty]]</f>
        <v>19390</v>
      </c>
      <c r="J2734" s="45">
        <v>0</v>
      </c>
      <c r="K2734" s="46">
        <f>Sales[[#This Row],[Gross Amount]]*Sales[[#This Row],[Disc %]]</f>
        <v>0</v>
      </c>
      <c r="L2734" s="43">
        <v>0.18</v>
      </c>
      <c r="M2734" s="46">
        <f>(Sales[[#This Row],[Gross Amount]]-Sales[[#This Row],[Disc. Amt.]])*Sales[[#This Row],[GST %]]</f>
        <v>3490.2</v>
      </c>
      <c r="N2734" s="161">
        <f>Sales[[#This Row],[Gross Amount]]-Sales[[#This Row],[Disc. Amt.]]+Sales[[#This Row],[GST Amount]]</f>
        <v>22880.2</v>
      </c>
      <c r="O2734" s="34" t="s">
        <v>3566</v>
      </c>
      <c r="P2734" s="34" t="s">
        <v>3562</v>
      </c>
      <c r="Q2734" s="165">
        <f>IF(Sales[[#This Row],[Status]]="Cancelled",0,Sales[[#This Row],[Qty]])</f>
        <v>7</v>
      </c>
      <c r="R2734" s="166">
        <f>IF(Sales[[#This Row],[Status]]="Cancelled",0,Sales[[#This Row],[Total Amount]])</f>
        <v>22880.2</v>
      </c>
      <c r="S2734" s="162">
        <f>SUM(Sales[Net Amount])</f>
        <v>406839287.73200053</v>
      </c>
    </row>
    <row r="2735" spans="1:19" ht="18.75" x14ac:dyDescent="0.25">
      <c r="A2735" s="156" t="s">
        <v>6372</v>
      </c>
      <c r="B2735" s="157">
        <v>45916</v>
      </c>
      <c r="C2735" s="158" t="s">
        <v>718</v>
      </c>
      <c r="D2735" s="159" t="str">
        <f>VLOOKUP(Sales[[#This Row],[Customer ID]],Customer[#All],2,0)</f>
        <v>Rakesh Patel</v>
      </c>
      <c r="E2735" s="158" t="s">
        <v>336</v>
      </c>
      <c r="F2735" s="158" t="str">
        <f>VLOOKUP(Sales[[#This Row],[Product ID]],Product[#All],2,0)</f>
        <v>Boat Headset</v>
      </c>
      <c r="G2735" s="159">
        <v>4</v>
      </c>
      <c r="H2735" s="160">
        <f>VLOOKUP(Sales[[#This Row],[Product ID]],Product[#All],7,0)</f>
        <v>1380</v>
      </c>
      <c r="I2735" s="160">
        <f>Sales[[#This Row],[Selling Rate]]*Sales[[#This Row],[Qty]]</f>
        <v>5520</v>
      </c>
      <c r="J2735" s="43">
        <v>0.02</v>
      </c>
      <c r="K2735" s="44">
        <f>Sales[[#This Row],[Gross Amount]]*Sales[[#This Row],[Disc %]]</f>
        <v>110.4</v>
      </c>
      <c r="L2735" s="43">
        <v>0.18</v>
      </c>
      <c r="M2735" s="44">
        <f>(Sales[[#This Row],[Gross Amount]]-Sales[[#This Row],[Disc. Amt.]])*Sales[[#This Row],[GST %]]</f>
        <v>973.72800000000007</v>
      </c>
      <c r="N2735" s="161">
        <f>Sales[[#This Row],[Gross Amount]]-Sales[[#This Row],[Disc. Amt.]]+Sales[[#This Row],[GST Amount]]</f>
        <v>6383.3280000000004</v>
      </c>
      <c r="O2735" s="158" t="s">
        <v>8876</v>
      </c>
      <c r="P2735" s="158" t="s">
        <v>1040</v>
      </c>
      <c r="Q2735" s="160">
        <f>IF(Sales[[#This Row],[Status]]="Cancelled",0,Sales[[#This Row],[Qty]])</f>
        <v>0</v>
      </c>
      <c r="R2735" s="161">
        <f>IF(Sales[[#This Row],[Status]]="Cancelled",0,Sales[[#This Row],[Total Amount]])</f>
        <v>0</v>
      </c>
      <c r="S2735" s="162">
        <f>SUM(Sales[Net Amount])</f>
        <v>406839287.73200053</v>
      </c>
    </row>
    <row r="2736" spans="1:19" ht="18.75" x14ac:dyDescent="0.25">
      <c r="A2736" s="163" t="s">
        <v>6373</v>
      </c>
      <c r="B2736" s="164">
        <v>45916</v>
      </c>
      <c r="C2736" s="34" t="s">
        <v>719</v>
      </c>
      <c r="D2736" s="53" t="str">
        <f>VLOOKUP(Sales[[#This Row],[Customer ID]],Customer[#All],2,0)</f>
        <v>Priya Verma</v>
      </c>
      <c r="E2736" s="34" t="s">
        <v>124</v>
      </c>
      <c r="F2736" s="34" t="str">
        <f>VLOOKUP(Sales[[#This Row],[Product ID]],Product[#All],2,0)</f>
        <v>Crucial Ssd</v>
      </c>
      <c r="G2736" s="53">
        <v>6</v>
      </c>
      <c r="H2736" s="165">
        <f>VLOOKUP(Sales[[#This Row],[Product ID]],Product[#All],7,0)</f>
        <v>14820</v>
      </c>
      <c r="I2736" s="165">
        <f>Sales[[#This Row],[Selling Rate]]*Sales[[#This Row],[Qty]]</f>
        <v>88920</v>
      </c>
      <c r="J2736" s="45">
        <v>0.05</v>
      </c>
      <c r="K2736" s="46">
        <f>Sales[[#This Row],[Gross Amount]]*Sales[[#This Row],[Disc %]]</f>
        <v>4446</v>
      </c>
      <c r="L2736" s="43">
        <v>0.18</v>
      </c>
      <c r="M2736" s="46">
        <f>(Sales[[#This Row],[Gross Amount]]-Sales[[#This Row],[Disc. Amt.]])*Sales[[#This Row],[GST %]]</f>
        <v>15205.32</v>
      </c>
      <c r="N2736" s="161">
        <f>Sales[[#This Row],[Gross Amount]]-Sales[[#This Row],[Disc. Amt.]]+Sales[[#This Row],[GST Amount]]</f>
        <v>99679.32</v>
      </c>
      <c r="O2736" s="34" t="s">
        <v>3566</v>
      </c>
      <c r="P2736" s="34" t="s">
        <v>3562</v>
      </c>
      <c r="Q2736" s="165">
        <f>IF(Sales[[#This Row],[Status]]="Cancelled",0,Sales[[#This Row],[Qty]])</f>
        <v>6</v>
      </c>
      <c r="R2736" s="166">
        <f>IF(Sales[[#This Row],[Status]]="Cancelled",0,Sales[[#This Row],[Total Amount]])</f>
        <v>99679.32</v>
      </c>
      <c r="S2736" s="162">
        <f>SUM(Sales[Net Amount])</f>
        <v>406839287.73200053</v>
      </c>
    </row>
    <row r="2737" spans="1:19" ht="18.75" x14ac:dyDescent="0.25">
      <c r="A2737" s="156" t="s">
        <v>6374</v>
      </c>
      <c r="B2737" s="157">
        <v>45916</v>
      </c>
      <c r="C2737" s="158" t="s">
        <v>902</v>
      </c>
      <c r="D2737" s="159" t="str">
        <f>VLOOKUP(Sales[[#This Row],[Customer ID]],Customer[#All],2,0)</f>
        <v>Sunita Singh</v>
      </c>
      <c r="E2737" s="158" t="s">
        <v>263</v>
      </c>
      <c r="F2737" s="158" t="str">
        <f>VLOOKUP(Sales[[#This Row],[Product ID]],Product[#All],2,0)</f>
        <v>Amazon Basics Hdmi Cable</v>
      </c>
      <c r="G2737" s="159">
        <v>2</v>
      </c>
      <c r="H2737" s="160">
        <f>VLOOKUP(Sales[[#This Row],[Product ID]],Product[#All],7,0)</f>
        <v>770</v>
      </c>
      <c r="I2737" s="160">
        <f>Sales[[#This Row],[Selling Rate]]*Sales[[#This Row],[Qty]]</f>
        <v>1540</v>
      </c>
      <c r="J2737" s="43">
        <v>0.12</v>
      </c>
      <c r="K2737" s="44">
        <f>Sales[[#This Row],[Gross Amount]]*Sales[[#This Row],[Disc %]]</f>
        <v>184.79999999999998</v>
      </c>
      <c r="L2737" s="43">
        <v>0.18</v>
      </c>
      <c r="M2737" s="44">
        <f>(Sales[[#This Row],[Gross Amount]]-Sales[[#This Row],[Disc. Amt.]])*Sales[[#This Row],[GST %]]</f>
        <v>243.93600000000001</v>
      </c>
      <c r="N2737" s="161">
        <f>Sales[[#This Row],[Gross Amount]]-Sales[[#This Row],[Disc. Amt.]]+Sales[[#This Row],[GST Amount]]</f>
        <v>1599.136</v>
      </c>
      <c r="O2737" s="158" t="s">
        <v>3569</v>
      </c>
      <c r="P2737" s="158" t="s">
        <v>3562</v>
      </c>
      <c r="Q2737" s="160">
        <f>IF(Sales[[#This Row],[Status]]="Cancelled",0,Sales[[#This Row],[Qty]])</f>
        <v>2</v>
      </c>
      <c r="R2737" s="161">
        <f>IF(Sales[[#This Row],[Status]]="Cancelled",0,Sales[[#This Row],[Total Amount]])</f>
        <v>1599.136</v>
      </c>
      <c r="S2737" s="162">
        <f>SUM(Sales[Net Amount])</f>
        <v>406839287.73200053</v>
      </c>
    </row>
    <row r="2738" spans="1:19" ht="18.75" x14ac:dyDescent="0.25">
      <c r="A2738" s="163" t="s">
        <v>6375</v>
      </c>
      <c r="B2738" s="164">
        <v>45916</v>
      </c>
      <c r="C2738" s="34" t="s">
        <v>683</v>
      </c>
      <c r="D2738" s="53" t="str">
        <f>VLOOKUP(Sales[[#This Row],[Customer ID]],Customer[#All],2,0)</f>
        <v>Rahul Kumar</v>
      </c>
      <c r="E2738" s="34" t="s">
        <v>104</v>
      </c>
      <c r="F2738" s="34" t="str">
        <f>VLOOKUP(Sales[[#This Row],[Product ID]],Product[#All],2,0)</f>
        <v>Canon Printer</v>
      </c>
      <c r="G2738" s="53">
        <v>2</v>
      </c>
      <c r="H2738" s="165">
        <f>VLOOKUP(Sales[[#This Row],[Product ID]],Product[#All],7,0)</f>
        <v>49170</v>
      </c>
      <c r="I2738" s="165">
        <f>Sales[[#This Row],[Selling Rate]]*Sales[[#This Row],[Qty]]</f>
        <v>98340</v>
      </c>
      <c r="J2738" s="45">
        <v>0.1</v>
      </c>
      <c r="K2738" s="46">
        <f>Sales[[#This Row],[Gross Amount]]*Sales[[#This Row],[Disc %]]</f>
        <v>9834</v>
      </c>
      <c r="L2738" s="43">
        <v>0.18</v>
      </c>
      <c r="M2738" s="46">
        <f>(Sales[[#This Row],[Gross Amount]]-Sales[[#This Row],[Disc. Amt.]])*Sales[[#This Row],[GST %]]</f>
        <v>15931.08</v>
      </c>
      <c r="N2738" s="161">
        <f>Sales[[#This Row],[Gross Amount]]-Sales[[#This Row],[Disc. Amt.]]+Sales[[#This Row],[GST Amount]]</f>
        <v>104437.08</v>
      </c>
      <c r="O2738" s="34" t="s">
        <v>3561</v>
      </c>
      <c r="P2738" s="34" t="s">
        <v>3562</v>
      </c>
      <c r="Q2738" s="165">
        <f>IF(Sales[[#This Row],[Status]]="Cancelled",0,Sales[[#This Row],[Qty]])</f>
        <v>2</v>
      </c>
      <c r="R2738" s="166">
        <f>IF(Sales[[#This Row],[Status]]="Cancelled",0,Sales[[#This Row],[Total Amount]])</f>
        <v>104437.08</v>
      </c>
      <c r="S2738" s="162">
        <f>SUM(Sales[Net Amount])</f>
        <v>406839287.73200053</v>
      </c>
    </row>
    <row r="2739" spans="1:19" ht="18.75" x14ac:dyDescent="0.25">
      <c r="A2739" s="156" t="s">
        <v>6376</v>
      </c>
      <c r="B2739" s="157">
        <v>45916</v>
      </c>
      <c r="C2739" s="158" t="s">
        <v>911</v>
      </c>
      <c r="D2739" s="159" t="str">
        <f>VLOOKUP(Sales[[#This Row],[Customer ID]],Customer[#All],2,0)</f>
        <v>Amit Kumar</v>
      </c>
      <c r="E2739" s="158" t="s">
        <v>445</v>
      </c>
      <c r="F2739" s="158" t="str">
        <f>VLOOKUP(Sales[[#This Row],[Product ID]],Product[#All],2,0)</f>
        <v>Lenovo Laptop</v>
      </c>
      <c r="G2739" s="159">
        <v>7</v>
      </c>
      <c r="H2739" s="160">
        <f>VLOOKUP(Sales[[#This Row],[Product ID]],Product[#All],7,0)</f>
        <v>37710</v>
      </c>
      <c r="I2739" s="160">
        <f>Sales[[#This Row],[Selling Rate]]*Sales[[#This Row],[Qty]]</f>
        <v>263970</v>
      </c>
      <c r="J2739" s="43">
        <v>0.05</v>
      </c>
      <c r="K2739" s="44">
        <f>Sales[[#This Row],[Gross Amount]]*Sales[[#This Row],[Disc %]]</f>
        <v>13198.5</v>
      </c>
      <c r="L2739" s="43">
        <v>0.18</v>
      </c>
      <c r="M2739" s="44">
        <f>(Sales[[#This Row],[Gross Amount]]-Sales[[#This Row],[Disc. Amt.]])*Sales[[#This Row],[GST %]]</f>
        <v>45138.869999999995</v>
      </c>
      <c r="N2739" s="161">
        <f>Sales[[#This Row],[Gross Amount]]-Sales[[#This Row],[Disc. Amt.]]+Sales[[#This Row],[GST Amount]]</f>
        <v>295910.37</v>
      </c>
      <c r="O2739" s="158" t="s">
        <v>3561</v>
      </c>
      <c r="P2739" s="158" t="s">
        <v>3562</v>
      </c>
      <c r="Q2739" s="160">
        <f>IF(Sales[[#This Row],[Status]]="Cancelled",0,Sales[[#This Row],[Qty]])</f>
        <v>7</v>
      </c>
      <c r="R2739" s="161">
        <f>IF(Sales[[#This Row],[Status]]="Cancelled",0,Sales[[#This Row],[Total Amount]])</f>
        <v>295910.37</v>
      </c>
      <c r="S2739" s="162">
        <f>SUM(Sales[Net Amount])</f>
        <v>406839287.73200053</v>
      </c>
    </row>
    <row r="2740" spans="1:19" ht="18.75" x14ac:dyDescent="0.25">
      <c r="A2740" s="163" t="s">
        <v>6377</v>
      </c>
      <c r="B2740" s="164">
        <v>45916</v>
      </c>
      <c r="C2740" s="34" t="s">
        <v>823</v>
      </c>
      <c r="D2740" s="53" t="str">
        <f>VLOOKUP(Sales[[#This Row],[Customer ID]],Customer[#All],2,0)</f>
        <v>Pooja Singh</v>
      </c>
      <c r="E2740" s="34" t="s">
        <v>160</v>
      </c>
      <c r="F2740" s="34" t="str">
        <f>VLOOKUP(Sales[[#This Row],[Product ID]],Product[#All],2,0)</f>
        <v>Dell Power Adapter</v>
      </c>
      <c r="G2740" s="53">
        <v>8</v>
      </c>
      <c r="H2740" s="165">
        <f>VLOOKUP(Sales[[#This Row],[Product ID]],Product[#All],7,0)</f>
        <v>4330</v>
      </c>
      <c r="I2740" s="165">
        <f>Sales[[#This Row],[Selling Rate]]*Sales[[#This Row],[Qty]]</f>
        <v>34640</v>
      </c>
      <c r="J2740" s="45">
        <v>0</v>
      </c>
      <c r="K2740" s="46">
        <f>Sales[[#This Row],[Gross Amount]]*Sales[[#This Row],[Disc %]]</f>
        <v>0</v>
      </c>
      <c r="L2740" s="43">
        <v>0.18</v>
      </c>
      <c r="M2740" s="46">
        <f>(Sales[[#This Row],[Gross Amount]]-Sales[[#This Row],[Disc. Amt.]])*Sales[[#This Row],[GST %]]</f>
        <v>6235.2</v>
      </c>
      <c r="N2740" s="161">
        <f>Sales[[#This Row],[Gross Amount]]-Sales[[#This Row],[Disc. Amt.]]+Sales[[#This Row],[GST Amount]]</f>
        <v>40875.199999999997</v>
      </c>
      <c r="O2740" s="34" t="s">
        <v>3566</v>
      </c>
      <c r="P2740" s="34" t="s">
        <v>3562</v>
      </c>
      <c r="Q2740" s="165">
        <f>IF(Sales[[#This Row],[Status]]="Cancelled",0,Sales[[#This Row],[Qty]])</f>
        <v>8</v>
      </c>
      <c r="R2740" s="166">
        <f>IF(Sales[[#This Row],[Status]]="Cancelled",0,Sales[[#This Row],[Total Amount]])</f>
        <v>40875.199999999997</v>
      </c>
      <c r="S2740" s="162">
        <f>SUM(Sales[Net Amount])</f>
        <v>406839287.73200053</v>
      </c>
    </row>
    <row r="2741" spans="1:19" ht="18.75" x14ac:dyDescent="0.25">
      <c r="A2741" s="156" t="s">
        <v>6378</v>
      </c>
      <c r="B2741" s="157">
        <v>45916</v>
      </c>
      <c r="C2741" s="158" t="s">
        <v>801</v>
      </c>
      <c r="D2741" s="159" t="str">
        <f>VLOOKUP(Sales[[#This Row],[Customer ID]],Customer[#All],2,0)</f>
        <v>Sunita Verma</v>
      </c>
      <c r="E2741" s="158" t="s">
        <v>20</v>
      </c>
      <c r="F2741" s="158" t="str">
        <f>VLOOKUP(Sales[[#This Row],[Product ID]],Product[#All],2,0)</f>
        <v>Logitech Keyboard</v>
      </c>
      <c r="G2741" s="159">
        <v>7</v>
      </c>
      <c r="H2741" s="160">
        <f>VLOOKUP(Sales[[#This Row],[Product ID]],Product[#All],7,0)</f>
        <v>3290</v>
      </c>
      <c r="I2741" s="160">
        <f>Sales[[#This Row],[Selling Rate]]*Sales[[#This Row],[Qty]]</f>
        <v>23030</v>
      </c>
      <c r="J2741" s="43">
        <v>0.1</v>
      </c>
      <c r="K2741" s="44">
        <f>Sales[[#This Row],[Gross Amount]]*Sales[[#This Row],[Disc %]]</f>
        <v>2303</v>
      </c>
      <c r="L2741" s="43">
        <v>0.18</v>
      </c>
      <c r="M2741" s="44">
        <f>(Sales[[#This Row],[Gross Amount]]-Sales[[#This Row],[Disc. Amt.]])*Sales[[#This Row],[GST %]]</f>
        <v>3730.8599999999997</v>
      </c>
      <c r="N2741" s="161">
        <f>Sales[[#This Row],[Gross Amount]]-Sales[[#This Row],[Disc. Amt.]]+Sales[[#This Row],[GST Amount]]</f>
        <v>24457.86</v>
      </c>
      <c r="O2741" s="158" t="s">
        <v>3561</v>
      </c>
      <c r="P2741" s="158" t="s">
        <v>3562</v>
      </c>
      <c r="Q2741" s="160">
        <f>IF(Sales[[#This Row],[Status]]="Cancelled",0,Sales[[#This Row],[Qty]])</f>
        <v>7</v>
      </c>
      <c r="R2741" s="161">
        <f>IF(Sales[[#This Row],[Status]]="Cancelled",0,Sales[[#This Row],[Total Amount]])</f>
        <v>24457.86</v>
      </c>
      <c r="S2741" s="162">
        <f>SUM(Sales[Net Amount])</f>
        <v>406839287.73200053</v>
      </c>
    </row>
    <row r="2742" spans="1:19" ht="18.75" x14ac:dyDescent="0.25">
      <c r="A2742" s="163" t="s">
        <v>6379</v>
      </c>
      <c r="B2742" s="164">
        <v>45916</v>
      </c>
      <c r="C2742" s="34" t="s">
        <v>951</v>
      </c>
      <c r="D2742" s="53" t="str">
        <f>VLOOKUP(Sales[[#This Row],[Customer ID]],Customer[#All],2,0)</f>
        <v>Rahul Singh</v>
      </c>
      <c r="E2742" s="34" t="s">
        <v>302</v>
      </c>
      <c r="F2742" s="34" t="str">
        <f>VLOOKUP(Sales[[#This Row],[Product ID]],Product[#All],2,0)</f>
        <v>Sandisk Pen Drive</v>
      </c>
      <c r="G2742" s="53">
        <v>6</v>
      </c>
      <c r="H2742" s="165">
        <f>VLOOKUP(Sales[[#This Row],[Product ID]],Product[#All],7,0)</f>
        <v>2500</v>
      </c>
      <c r="I2742" s="165">
        <f>Sales[[#This Row],[Selling Rate]]*Sales[[#This Row],[Qty]]</f>
        <v>15000</v>
      </c>
      <c r="J2742" s="45">
        <v>0.05</v>
      </c>
      <c r="K2742" s="46">
        <f>Sales[[#This Row],[Gross Amount]]*Sales[[#This Row],[Disc %]]</f>
        <v>750</v>
      </c>
      <c r="L2742" s="43">
        <v>0.18</v>
      </c>
      <c r="M2742" s="46">
        <f>(Sales[[#This Row],[Gross Amount]]-Sales[[#This Row],[Disc. Amt.]])*Sales[[#This Row],[GST %]]</f>
        <v>2565</v>
      </c>
      <c r="N2742" s="161">
        <f>Sales[[#This Row],[Gross Amount]]-Sales[[#This Row],[Disc. Amt.]]+Sales[[#This Row],[GST Amount]]</f>
        <v>16815</v>
      </c>
      <c r="O2742" s="34" t="s">
        <v>8876</v>
      </c>
      <c r="P2742" s="34" t="s">
        <v>3562</v>
      </c>
      <c r="Q2742" s="165">
        <f>IF(Sales[[#This Row],[Status]]="Cancelled",0,Sales[[#This Row],[Qty]])</f>
        <v>6</v>
      </c>
      <c r="R2742" s="166">
        <f>IF(Sales[[#This Row],[Status]]="Cancelled",0,Sales[[#This Row],[Total Amount]])</f>
        <v>16815</v>
      </c>
      <c r="S2742" s="162">
        <f>SUM(Sales[Net Amount])</f>
        <v>406839287.73200053</v>
      </c>
    </row>
    <row r="2743" spans="1:19" ht="18.75" x14ac:dyDescent="0.25">
      <c r="A2743" s="156" t="s">
        <v>6380</v>
      </c>
      <c r="B2743" s="157">
        <v>45916</v>
      </c>
      <c r="C2743" s="158" t="s">
        <v>909</v>
      </c>
      <c r="D2743" s="159" t="str">
        <f>VLOOKUP(Sales[[#This Row],[Customer ID]],Customer[#All],2,0)</f>
        <v>Priya Sharma</v>
      </c>
      <c r="E2743" s="158" t="s">
        <v>161</v>
      </c>
      <c r="F2743" s="158" t="str">
        <f>VLOOKUP(Sales[[#This Row],[Product ID]],Product[#All],2,0)</f>
        <v>TP-link Router</v>
      </c>
      <c r="G2743" s="159">
        <v>2</v>
      </c>
      <c r="H2743" s="160">
        <f>VLOOKUP(Sales[[#This Row],[Product ID]],Product[#All],7,0)</f>
        <v>1330</v>
      </c>
      <c r="I2743" s="160">
        <f>Sales[[#This Row],[Selling Rate]]*Sales[[#This Row],[Qty]]</f>
        <v>2660</v>
      </c>
      <c r="J2743" s="43">
        <v>0.12</v>
      </c>
      <c r="K2743" s="44">
        <f>Sales[[#This Row],[Gross Amount]]*Sales[[#This Row],[Disc %]]</f>
        <v>319.2</v>
      </c>
      <c r="L2743" s="43">
        <v>0.18</v>
      </c>
      <c r="M2743" s="44">
        <f>(Sales[[#This Row],[Gross Amount]]-Sales[[#This Row],[Disc. Amt.]])*Sales[[#This Row],[GST %]]</f>
        <v>421.34399999999999</v>
      </c>
      <c r="N2743" s="161">
        <f>Sales[[#This Row],[Gross Amount]]-Sales[[#This Row],[Disc. Amt.]]+Sales[[#This Row],[GST Amount]]</f>
        <v>2762.1440000000002</v>
      </c>
      <c r="O2743" s="158" t="s">
        <v>3561</v>
      </c>
      <c r="P2743" s="158" t="s">
        <v>3562</v>
      </c>
      <c r="Q2743" s="160">
        <f>IF(Sales[[#This Row],[Status]]="Cancelled",0,Sales[[#This Row],[Qty]])</f>
        <v>2</v>
      </c>
      <c r="R2743" s="161">
        <f>IF(Sales[[#This Row],[Status]]="Cancelled",0,Sales[[#This Row],[Total Amount]])</f>
        <v>2762.1440000000002</v>
      </c>
      <c r="S2743" s="162">
        <f>SUM(Sales[Net Amount])</f>
        <v>406839287.73200053</v>
      </c>
    </row>
    <row r="2744" spans="1:19" ht="18.75" x14ac:dyDescent="0.25">
      <c r="A2744" s="163" t="s">
        <v>6381</v>
      </c>
      <c r="B2744" s="164">
        <v>45916</v>
      </c>
      <c r="C2744" s="34" t="s">
        <v>915</v>
      </c>
      <c r="D2744" s="53" t="str">
        <f>VLOOKUP(Sales[[#This Row],[Customer ID]],Customer[#All],2,0)</f>
        <v>Sunita Kumar</v>
      </c>
      <c r="E2744" s="34" t="s">
        <v>134</v>
      </c>
      <c r="F2744" s="34" t="str">
        <f>VLOOKUP(Sales[[#This Row],[Product ID]],Product[#All],2,0)</f>
        <v>Logitech Keyboard</v>
      </c>
      <c r="G2744" s="53">
        <v>1</v>
      </c>
      <c r="H2744" s="165">
        <f>VLOOKUP(Sales[[#This Row],[Product ID]],Product[#All],7,0)</f>
        <v>4130</v>
      </c>
      <c r="I2744" s="165">
        <f>Sales[[#This Row],[Selling Rate]]*Sales[[#This Row],[Qty]]</f>
        <v>4130</v>
      </c>
      <c r="J2744" s="45">
        <v>0.1</v>
      </c>
      <c r="K2744" s="46">
        <f>Sales[[#This Row],[Gross Amount]]*Sales[[#This Row],[Disc %]]</f>
        <v>413</v>
      </c>
      <c r="L2744" s="43">
        <v>0.18</v>
      </c>
      <c r="M2744" s="46">
        <f>(Sales[[#This Row],[Gross Amount]]-Sales[[#This Row],[Disc. Amt.]])*Sales[[#This Row],[GST %]]</f>
        <v>669.06</v>
      </c>
      <c r="N2744" s="161">
        <f>Sales[[#This Row],[Gross Amount]]-Sales[[#This Row],[Disc. Amt.]]+Sales[[#This Row],[GST Amount]]</f>
        <v>4386.0599999999995</v>
      </c>
      <c r="O2744" s="34" t="s">
        <v>3566</v>
      </c>
      <c r="P2744" s="34" t="s">
        <v>3562</v>
      </c>
      <c r="Q2744" s="165">
        <f>IF(Sales[[#This Row],[Status]]="Cancelled",0,Sales[[#This Row],[Qty]])</f>
        <v>1</v>
      </c>
      <c r="R2744" s="166">
        <f>IF(Sales[[#This Row],[Status]]="Cancelled",0,Sales[[#This Row],[Total Amount]])</f>
        <v>4386.0599999999995</v>
      </c>
      <c r="S2744" s="162">
        <f>SUM(Sales[Net Amount])</f>
        <v>406839287.73200053</v>
      </c>
    </row>
    <row r="2745" spans="1:19" ht="18.75" x14ac:dyDescent="0.25">
      <c r="A2745" s="156" t="s">
        <v>6382</v>
      </c>
      <c r="B2745" s="157">
        <v>45916</v>
      </c>
      <c r="C2745" s="158" t="s">
        <v>936</v>
      </c>
      <c r="D2745" s="159" t="str">
        <f>VLOOKUP(Sales[[#This Row],[Customer ID]],Customer[#All],2,0)</f>
        <v>Pooja Patel</v>
      </c>
      <c r="E2745" s="158" t="s">
        <v>480</v>
      </c>
      <c r="F2745" s="158" t="str">
        <f>VLOOKUP(Sales[[#This Row],[Product ID]],Product[#All],2,0)</f>
        <v>TP-link Bluetooth Adapter</v>
      </c>
      <c r="G2745" s="159">
        <v>5</v>
      </c>
      <c r="H2745" s="160">
        <f>VLOOKUP(Sales[[#This Row],[Product ID]],Product[#All],7,0)</f>
        <v>1670</v>
      </c>
      <c r="I2745" s="160">
        <f>Sales[[#This Row],[Selling Rate]]*Sales[[#This Row],[Qty]]</f>
        <v>8350</v>
      </c>
      <c r="J2745" s="43">
        <v>0</v>
      </c>
      <c r="K2745" s="44">
        <f>Sales[[#This Row],[Gross Amount]]*Sales[[#This Row],[Disc %]]</f>
        <v>0</v>
      </c>
      <c r="L2745" s="43">
        <v>0.18</v>
      </c>
      <c r="M2745" s="44">
        <f>(Sales[[#This Row],[Gross Amount]]-Sales[[#This Row],[Disc. Amt.]])*Sales[[#This Row],[GST %]]</f>
        <v>1503</v>
      </c>
      <c r="N2745" s="161">
        <f>Sales[[#This Row],[Gross Amount]]-Sales[[#This Row],[Disc. Amt.]]+Sales[[#This Row],[GST Amount]]</f>
        <v>9853</v>
      </c>
      <c r="O2745" s="158" t="s">
        <v>8876</v>
      </c>
      <c r="P2745" s="158" t="s">
        <v>3562</v>
      </c>
      <c r="Q2745" s="160">
        <f>IF(Sales[[#This Row],[Status]]="Cancelled",0,Sales[[#This Row],[Qty]])</f>
        <v>5</v>
      </c>
      <c r="R2745" s="161">
        <f>IF(Sales[[#This Row],[Status]]="Cancelled",0,Sales[[#This Row],[Total Amount]])</f>
        <v>9853</v>
      </c>
      <c r="S2745" s="162">
        <f>SUM(Sales[Net Amount])</f>
        <v>406839287.73200053</v>
      </c>
    </row>
    <row r="2746" spans="1:19" ht="18.75" x14ac:dyDescent="0.25">
      <c r="A2746" s="163" t="s">
        <v>6383</v>
      </c>
      <c r="B2746" s="164">
        <v>45916</v>
      </c>
      <c r="C2746" s="34" t="s">
        <v>803</v>
      </c>
      <c r="D2746" s="53" t="str">
        <f>VLOOKUP(Sales[[#This Row],[Customer ID]],Customer[#All],2,0)</f>
        <v>Pooja Singh</v>
      </c>
      <c r="E2746" s="34" t="s">
        <v>393</v>
      </c>
      <c r="F2746" s="34" t="str">
        <f>VLOOKUP(Sales[[#This Row],[Product ID]],Product[#All],2,0)</f>
        <v>American TouristerLaptopBag</v>
      </c>
      <c r="G2746" s="53">
        <v>7</v>
      </c>
      <c r="H2746" s="165">
        <f>VLOOKUP(Sales[[#This Row],[Product ID]],Product[#All],7,0)</f>
        <v>3240</v>
      </c>
      <c r="I2746" s="165">
        <f>Sales[[#This Row],[Selling Rate]]*Sales[[#This Row],[Qty]]</f>
        <v>22680</v>
      </c>
      <c r="J2746" s="45">
        <v>0</v>
      </c>
      <c r="K2746" s="46">
        <f>Sales[[#This Row],[Gross Amount]]*Sales[[#This Row],[Disc %]]</f>
        <v>0</v>
      </c>
      <c r="L2746" s="43">
        <v>0.18</v>
      </c>
      <c r="M2746" s="46">
        <f>(Sales[[#This Row],[Gross Amount]]-Sales[[#This Row],[Disc. Amt.]])*Sales[[#This Row],[GST %]]</f>
        <v>4082.3999999999996</v>
      </c>
      <c r="N2746" s="161">
        <f>Sales[[#This Row],[Gross Amount]]-Sales[[#This Row],[Disc. Amt.]]+Sales[[#This Row],[GST Amount]]</f>
        <v>26762.400000000001</v>
      </c>
      <c r="O2746" s="34" t="s">
        <v>3569</v>
      </c>
      <c r="P2746" s="34" t="s">
        <v>3562</v>
      </c>
      <c r="Q2746" s="165">
        <f>IF(Sales[[#This Row],[Status]]="Cancelled",0,Sales[[#This Row],[Qty]])</f>
        <v>7</v>
      </c>
      <c r="R2746" s="166">
        <f>IF(Sales[[#This Row],[Status]]="Cancelled",0,Sales[[#This Row],[Total Amount]])</f>
        <v>26762.400000000001</v>
      </c>
      <c r="S2746" s="162">
        <f>SUM(Sales[Net Amount])</f>
        <v>406839287.73200053</v>
      </c>
    </row>
    <row r="2747" spans="1:19" ht="18.75" x14ac:dyDescent="0.25">
      <c r="A2747" s="156" t="s">
        <v>6384</v>
      </c>
      <c r="B2747" s="157">
        <v>45916</v>
      </c>
      <c r="C2747" s="158" t="s">
        <v>909</v>
      </c>
      <c r="D2747" s="159" t="str">
        <f>VLOOKUP(Sales[[#This Row],[Customer ID]],Customer[#All],2,0)</f>
        <v>Priya Sharma</v>
      </c>
      <c r="E2747" s="158" t="s">
        <v>305</v>
      </c>
      <c r="F2747" s="158" t="str">
        <f>VLOOKUP(Sales[[#This Row],[Product ID]],Product[#All],2,0)</f>
        <v>HP Power Adapter</v>
      </c>
      <c r="G2747" s="159">
        <v>1</v>
      </c>
      <c r="H2747" s="160">
        <f>VLOOKUP(Sales[[#This Row],[Product ID]],Product[#All],7,0)</f>
        <v>2640</v>
      </c>
      <c r="I2747" s="160">
        <f>Sales[[#This Row],[Selling Rate]]*Sales[[#This Row],[Qty]]</f>
        <v>2640</v>
      </c>
      <c r="J2747" s="43">
        <v>0</v>
      </c>
      <c r="K2747" s="44">
        <f>Sales[[#This Row],[Gross Amount]]*Sales[[#This Row],[Disc %]]</f>
        <v>0</v>
      </c>
      <c r="L2747" s="43">
        <v>0.18</v>
      </c>
      <c r="M2747" s="44">
        <f>(Sales[[#This Row],[Gross Amount]]-Sales[[#This Row],[Disc. Amt.]])*Sales[[#This Row],[GST %]]</f>
        <v>475.2</v>
      </c>
      <c r="N2747" s="161">
        <f>Sales[[#This Row],[Gross Amount]]-Sales[[#This Row],[Disc. Amt.]]+Sales[[#This Row],[GST Amount]]</f>
        <v>3115.2</v>
      </c>
      <c r="O2747" s="158" t="s">
        <v>3569</v>
      </c>
      <c r="P2747" s="158" t="s">
        <v>3562</v>
      </c>
      <c r="Q2747" s="160">
        <f>IF(Sales[[#This Row],[Status]]="Cancelled",0,Sales[[#This Row],[Qty]])</f>
        <v>1</v>
      </c>
      <c r="R2747" s="161">
        <f>IF(Sales[[#This Row],[Status]]="Cancelled",0,Sales[[#This Row],[Total Amount]])</f>
        <v>3115.2</v>
      </c>
      <c r="S2747" s="162">
        <f>SUM(Sales[Net Amount])</f>
        <v>406839287.73200053</v>
      </c>
    </row>
    <row r="2748" spans="1:19" ht="18.75" x14ac:dyDescent="0.25">
      <c r="A2748" s="163" t="s">
        <v>6385</v>
      </c>
      <c r="B2748" s="164">
        <v>45917</v>
      </c>
      <c r="C2748" s="34" t="s">
        <v>661</v>
      </c>
      <c r="D2748" s="53" t="str">
        <f>VLOOKUP(Sales[[#This Row],[Customer ID]],Customer[#All],2,0)</f>
        <v>Pooja Gupta</v>
      </c>
      <c r="E2748" s="34" t="s">
        <v>241</v>
      </c>
      <c r="F2748" s="34" t="str">
        <f>VLOOKUP(Sales[[#This Row],[Product ID]],Product[#All],2,0)</f>
        <v>Portronics USB Cable</v>
      </c>
      <c r="G2748" s="53">
        <v>1</v>
      </c>
      <c r="H2748" s="165">
        <f>VLOOKUP(Sales[[#This Row],[Product ID]],Product[#All],7,0)</f>
        <v>630</v>
      </c>
      <c r="I2748" s="165">
        <f>Sales[[#This Row],[Selling Rate]]*Sales[[#This Row],[Qty]]</f>
        <v>630</v>
      </c>
      <c r="J2748" s="45">
        <v>0</v>
      </c>
      <c r="K2748" s="46">
        <f>Sales[[#This Row],[Gross Amount]]*Sales[[#This Row],[Disc %]]</f>
        <v>0</v>
      </c>
      <c r="L2748" s="43">
        <v>0.18</v>
      </c>
      <c r="M2748" s="46">
        <f>(Sales[[#This Row],[Gross Amount]]-Sales[[#This Row],[Disc. Amt.]])*Sales[[#This Row],[GST %]]</f>
        <v>113.39999999999999</v>
      </c>
      <c r="N2748" s="161">
        <f>Sales[[#This Row],[Gross Amount]]-Sales[[#This Row],[Disc. Amt.]]+Sales[[#This Row],[GST Amount]]</f>
        <v>743.4</v>
      </c>
      <c r="O2748" s="34" t="s">
        <v>3566</v>
      </c>
      <c r="P2748" s="34" t="s">
        <v>3562</v>
      </c>
      <c r="Q2748" s="165">
        <f>IF(Sales[[#This Row],[Status]]="Cancelled",0,Sales[[#This Row],[Qty]])</f>
        <v>1</v>
      </c>
      <c r="R2748" s="166">
        <f>IF(Sales[[#This Row],[Status]]="Cancelled",0,Sales[[#This Row],[Total Amount]])</f>
        <v>743.4</v>
      </c>
      <c r="S2748" s="162">
        <f>SUM(Sales[Net Amount])</f>
        <v>406839287.73200053</v>
      </c>
    </row>
    <row r="2749" spans="1:19" ht="18.75" x14ac:dyDescent="0.25">
      <c r="A2749" s="156" t="s">
        <v>6386</v>
      </c>
      <c r="B2749" s="157">
        <v>45917</v>
      </c>
      <c r="C2749" s="158" t="s">
        <v>701</v>
      </c>
      <c r="D2749" s="159" t="str">
        <f>VLOOKUP(Sales[[#This Row],[Customer ID]],Customer[#All],2,0)</f>
        <v>Ankit Kumar</v>
      </c>
      <c r="E2749" s="158" t="s">
        <v>473</v>
      </c>
      <c r="F2749" s="158" t="str">
        <f>VLOOKUP(Sales[[#This Row],[Product ID]],Product[#All],2,0)</f>
        <v>Boat Headset</v>
      </c>
      <c r="G2749" s="159">
        <v>6</v>
      </c>
      <c r="H2749" s="160">
        <f>VLOOKUP(Sales[[#This Row],[Product ID]],Product[#All],7,0)</f>
        <v>2840</v>
      </c>
      <c r="I2749" s="160">
        <f>Sales[[#This Row],[Selling Rate]]*Sales[[#This Row],[Qty]]</f>
        <v>17040</v>
      </c>
      <c r="J2749" s="43">
        <v>0</v>
      </c>
      <c r="K2749" s="44">
        <f>Sales[[#This Row],[Gross Amount]]*Sales[[#This Row],[Disc %]]</f>
        <v>0</v>
      </c>
      <c r="L2749" s="43">
        <v>0.18</v>
      </c>
      <c r="M2749" s="44">
        <f>(Sales[[#This Row],[Gross Amount]]-Sales[[#This Row],[Disc. Amt.]])*Sales[[#This Row],[GST %]]</f>
        <v>3067.2</v>
      </c>
      <c r="N2749" s="161">
        <f>Sales[[#This Row],[Gross Amount]]-Sales[[#This Row],[Disc. Amt.]]+Sales[[#This Row],[GST Amount]]</f>
        <v>20107.2</v>
      </c>
      <c r="O2749" s="158" t="s">
        <v>8876</v>
      </c>
      <c r="P2749" s="158" t="s">
        <v>3562</v>
      </c>
      <c r="Q2749" s="160">
        <f>IF(Sales[[#This Row],[Status]]="Cancelled",0,Sales[[#This Row],[Qty]])</f>
        <v>6</v>
      </c>
      <c r="R2749" s="161">
        <f>IF(Sales[[#This Row],[Status]]="Cancelled",0,Sales[[#This Row],[Total Amount]])</f>
        <v>20107.2</v>
      </c>
      <c r="S2749" s="162">
        <f>SUM(Sales[Net Amount])</f>
        <v>406839287.73200053</v>
      </c>
    </row>
    <row r="2750" spans="1:19" ht="18.75" x14ac:dyDescent="0.25">
      <c r="A2750" s="163" t="s">
        <v>6387</v>
      </c>
      <c r="B2750" s="164">
        <v>45917</v>
      </c>
      <c r="C2750" s="34" t="s">
        <v>831</v>
      </c>
      <c r="D2750" s="53" t="str">
        <f>VLOOKUP(Sales[[#This Row],[Customer ID]],Customer[#All],2,0)</f>
        <v>Vikas Gupta</v>
      </c>
      <c r="E2750" s="34" t="s">
        <v>330</v>
      </c>
      <c r="F2750" s="34" t="str">
        <f>VLOOKUP(Sales[[#This Row],[Product ID]],Product[#All],2,0)</f>
        <v>American TouristerLaptopBag</v>
      </c>
      <c r="G2750" s="53">
        <v>2</v>
      </c>
      <c r="H2750" s="165">
        <f>VLOOKUP(Sales[[#This Row],[Product ID]],Product[#All],7,0)</f>
        <v>4970</v>
      </c>
      <c r="I2750" s="165">
        <f>Sales[[#This Row],[Selling Rate]]*Sales[[#This Row],[Qty]]</f>
        <v>9940</v>
      </c>
      <c r="J2750" s="45">
        <v>0.02</v>
      </c>
      <c r="K2750" s="46">
        <f>Sales[[#This Row],[Gross Amount]]*Sales[[#This Row],[Disc %]]</f>
        <v>198.8</v>
      </c>
      <c r="L2750" s="43">
        <v>0.18</v>
      </c>
      <c r="M2750" s="46">
        <f>(Sales[[#This Row],[Gross Amount]]-Sales[[#This Row],[Disc. Amt.]])*Sales[[#This Row],[GST %]]</f>
        <v>1753.4160000000002</v>
      </c>
      <c r="N2750" s="161">
        <f>Sales[[#This Row],[Gross Amount]]-Sales[[#This Row],[Disc. Amt.]]+Sales[[#This Row],[GST Amount]]</f>
        <v>11494.616000000002</v>
      </c>
      <c r="O2750" s="34" t="s">
        <v>3566</v>
      </c>
      <c r="P2750" s="34" t="s">
        <v>3562</v>
      </c>
      <c r="Q2750" s="165">
        <f>IF(Sales[[#This Row],[Status]]="Cancelled",0,Sales[[#This Row],[Qty]])</f>
        <v>2</v>
      </c>
      <c r="R2750" s="166">
        <f>IF(Sales[[#This Row],[Status]]="Cancelled",0,Sales[[#This Row],[Total Amount]])</f>
        <v>11494.616000000002</v>
      </c>
      <c r="S2750" s="162">
        <f>SUM(Sales[Net Amount])</f>
        <v>406839287.73200053</v>
      </c>
    </row>
    <row r="2751" spans="1:19" ht="18.75" x14ac:dyDescent="0.25">
      <c r="A2751" s="156" t="s">
        <v>6388</v>
      </c>
      <c r="B2751" s="157">
        <v>45917</v>
      </c>
      <c r="C2751" s="158" t="s">
        <v>885</v>
      </c>
      <c r="D2751" s="159" t="str">
        <f>VLOOKUP(Sales[[#This Row],[Customer ID]],Customer[#All],2,0)</f>
        <v>Pooja Verma</v>
      </c>
      <c r="E2751" s="158" t="s">
        <v>181</v>
      </c>
      <c r="F2751" s="158" t="str">
        <f>VLOOKUP(Sales[[#This Row],[Product ID]],Product[#All],2,0)</f>
        <v>Logitech Webcam</v>
      </c>
      <c r="G2751" s="159">
        <v>8</v>
      </c>
      <c r="H2751" s="160">
        <f>VLOOKUP(Sales[[#This Row],[Product ID]],Product[#All],7,0)</f>
        <v>5880</v>
      </c>
      <c r="I2751" s="160">
        <f>Sales[[#This Row],[Selling Rate]]*Sales[[#This Row],[Qty]]</f>
        <v>47040</v>
      </c>
      <c r="J2751" s="43">
        <v>0.05</v>
      </c>
      <c r="K2751" s="44">
        <f>Sales[[#This Row],[Gross Amount]]*Sales[[#This Row],[Disc %]]</f>
        <v>2352</v>
      </c>
      <c r="L2751" s="43">
        <v>0.18</v>
      </c>
      <c r="M2751" s="44">
        <f>(Sales[[#This Row],[Gross Amount]]-Sales[[#This Row],[Disc. Amt.]])*Sales[[#This Row],[GST %]]</f>
        <v>8043.84</v>
      </c>
      <c r="N2751" s="161">
        <f>Sales[[#This Row],[Gross Amount]]-Sales[[#This Row],[Disc. Amt.]]+Sales[[#This Row],[GST Amount]]</f>
        <v>52731.839999999997</v>
      </c>
      <c r="O2751" s="158" t="s">
        <v>8876</v>
      </c>
      <c r="P2751" s="158" t="s">
        <v>3562</v>
      </c>
      <c r="Q2751" s="160">
        <f>IF(Sales[[#This Row],[Status]]="Cancelled",0,Sales[[#This Row],[Qty]])</f>
        <v>8</v>
      </c>
      <c r="R2751" s="161">
        <f>IF(Sales[[#This Row],[Status]]="Cancelled",0,Sales[[#This Row],[Total Amount]])</f>
        <v>52731.839999999997</v>
      </c>
      <c r="S2751" s="162">
        <f>SUM(Sales[Net Amount])</f>
        <v>406839287.73200053</v>
      </c>
    </row>
    <row r="2752" spans="1:19" ht="18.75" x14ac:dyDescent="0.25">
      <c r="A2752" s="163" t="s">
        <v>6389</v>
      </c>
      <c r="B2752" s="164">
        <v>45917</v>
      </c>
      <c r="C2752" s="34" t="s">
        <v>700</v>
      </c>
      <c r="D2752" s="53" t="str">
        <f>VLOOKUP(Sales[[#This Row],[Customer ID]],Customer[#All],2,0)</f>
        <v>Ankit Gupta</v>
      </c>
      <c r="E2752" s="34" t="s">
        <v>321</v>
      </c>
      <c r="F2752" s="34" t="str">
        <f>VLOOKUP(Sales[[#This Row],[Product ID]],Product[#All],2,0)</f>
        <v>WD HDD</v>
      </c>
      <c r="G2752" s="53">
        <v>5</v>
      </c>
      <c r="H2752" s="165">
        <f>VLOOKUP(Sales[[#This Row],[Product ID]],Product[#All],7,0)</f>
        <v>6810</v>
      </c>
      <c r="I2752" s="165">
        <f>Sales[[#This Row],[Selling Rate]]*Sales[[#This Row],[Qty]]</f>
        <v>34050</v>
      </c>
      <c r="J2752" s="45">
        <v>0.02</v>
      </c>
      <c r="K2752" s="46">
        <f>Sales[[#This Row],[Gross Amount]]*Sales[[#This Row],[Disc %]]</f>
        <v>681</v>
      </c>
      <c r="L2752" s="43">
        <v>0.18</v>
      </c>
      <c r="M2752" s="46">
        <f>(Sales[[#This Row],[Gross Amount]]-Sales[[#This Row],[Disc. Amt.]])*Sales[[#This Row],[GST %]]</f>
        <v>6006.42</v>
      </c>
      <c r="N2752" s="161">
        <f>Sales[[#This Row],[Gross Amount]]-Sales[[#This Row],[Disc. Amt.]]+Sales[[#This Row],[GST Amount]]</f>
        <v>39375.42</v>
      </c>
      <c r="O2752" s="34" t="s">
        <v>3569</v>
      </c>
      <c r="P2752" s="34" t="s">
        <v>3562</v>
      </c>
      <c r="Q2752" s="165">
        <f>IF(Sales[[#This Row],[Status]]="Cancelled",0,Sales[[#This Row],[Qty]])</f>
        <v>5</v>
      </c>
      <c r="R2752" s="166">
        <f>IF(Sales[[#This Row],[Status]]="Cancelled",0,Sales[[#This Row],[Total Amount]])</f>
        <v>39375.42</v>
      </c>
      <c r="S2752" s="162">
        <f>SUM(Sales[Net Amount])</f>
        <v>406839287.73200053</v>
      </c>
    </row>
    <row r="2753" spans="1:19" ht="18.75" x14ac:dyDescent="0.25">
      <c r="A2753" s="156" t="s">
        <v>6390</v>
      </c>
      <c r="B2753" s="157">
        <v>45917</v>
      </c>
      <c r="C2753" s="158" t="s">
        <v>827</v>
      </c>
      <c r="D2753" s="159" t="str">
        <f>VLOOKUP(Sales[[#This Row],[Customer ID]],Customer[#All],2,0)</f>
        <v>Ankit Gupta</v>
      </c>
      <c r="E2753" s="158" t="s">
        <v>329</v>
      </c>
      <c r="F2753" s="158" t="str">
        <f>VLOOKUP(Sales[[#This Row],[Product ID]],Product[#All],2,0)</f>
        <v>Logitech Mouse</v>
      </c>
      <c r="G2753" s="159">
        <v>1</v>
      </c>
      <c r="H2753" s="160">
        <f>VLOOKUP(Sales[[#This Row],[Product ID]],Product[#All],7,0)</f>
        <v>1010</v>
      </c>
      <c r="I2753" s="160">
        <f>Sales[[#This Row],[Selling Rate]]*Sales[[#This Row],[Qty]]</f>
        <v>1010</v>
      </c>
      <c r="J2753" s="43">
        <v>0.12</v>
      </c>
      <c r="K2753" s="44">
        <f>Sales[[#This Row],[Gross Amount]]*Sales[[#This Row],[Disc %]]</f>
        <v>121.19999999999999</v>
      </c>
      <c r="L2753" s="43">
        <v>0.18</v>
      </c>
      <c r="M2753" s="44">
        <f>(Sales[[#This Row],[Gross Amount]]-Sales[[#This Row],[Disc. Amt.]])*Sales[[#This Row],[GST %]]</f>
        <v>159.98399999999998</v>
      </c>
      <c r="N2753" s="161">
        <f>Sales[[#This Row],[Gross Amount]]-Sales[[#This Row],[Disc. Amt.]]+Sales[[#This Row],[GST Amount]]</f>
        <v>1048.7839999999999</v>
      </c>
      <c r="O2753" s="158" t="s">
        <v>3566</v>
      </c>
      <c r="P2753" s="158" t="s">
        <v>3562</v>
      </c>
      <c r="Q2753" s="160">
        <f>IF(Sales[[#This Row],[Status]]="Cancelled",0,Sales[[#This Row],[Qty]])</f>
        <v>1</v>
      </c>
      <c r="R2753" s="161">
        <f>IF(Sales[[#This Row],[Status]]="Cancelled",0,Sales[[#This Row],[Total Amount]])</f>
        <v>1048.7839999999999</v>
      </c>
      <c r="S2753" s="162">
        <f>SUM(Sales[Net Amount])</f>
        <v>406839287.73200053</v>
      </c>
    </row>
    <row r="2754" spans="1:19" ht="18.75" x14ac:dyDescent="0.25">
      <c r="A2754" s="163" t="s">
        <v>6391</v>
      </c>
      <c r="B2754" s="164">
        <v>45917</v>
      </c>
      <c r="C2754" s="34" t="s">
        <v>751</v>
      </c>
      <c r="D2754" s="53" t="str">
        <f>VLOOKUP(Sales[[#This Row],[Customer ID]],Customer[#All],2,0)</f>
        <v>Ankit Verma</v>
      </c>
      <c r="E2754" s="34" t="s">
        <v>493</v>
      </c>
      <c r="F2754" s="34" t="str">
        <f>VLOOKUP(Sales[[#This Row],[Product ID]],Product[#All],2,0)</f>
        <v>Logitech Keyboard</v>
      </c>
      <c r="G2754" s="53">
        <v>8</v>
      </c>
      <c r="H2754" s="165">
        <f>VLOOKUP(Sales[[#This Row],[Product ID]],Product[#All],7,0)</f>
        <v>3040</v>
      </c>
      <c r="I2754" s="165">
        <f>Sales[[#This Row],[Selling Rate]]*Sales[[#This Row],[Qty]]</f>
        <v>24320</v>
      </c>
      <c r="J2754" s="45">
        <v>0.05</v>
      </c>
      <c r="K2754" s="46">
        <f>Sales[[#This Row],[Gross Amount]]*Sales[[#This Row],[Disc %]]</f>
        <v>1216</v>
      </c>
      <c r="L2754" s="43">
        <v>0.18</v>
      </c>
      <c r="M2754" s="46">
        <f>(Sales[[#This Row],[Gross Amount]]-Sales[[#This Row],[Disc. Amt.]])*Sales[[#This Row],[GST %]]</f>
        <v>4158.72</v>
      </c>
      <c r="N2754" s="161">
        <f>Sales[[#This Row],[Gross Amount]]-Sales[[#This Row],[Disc. Amt.]]+Sales[[#This Row],[GST Amount]]</f>
        <v>27262.720000000001</v>
      </c>
      <c r="O2754" s="34" t="s">
        <v>3561</v>
      </c>
      <c r="P2754" s="34" t="s">
        <v>3562</v>
      </c>
      <c r="Q2754" s="165">
        <f>IF(Sales[[#This Row],[Status]]="Cancelled",0,Sales[[#This Row],[Qty]])</f>
        <v>8</v>
      </c>
      <c r="R2754" s="166">
        <f>IF(Sales[[#This Row],[Status]]="Cancelled",0,Sales[[#This Row],[Total Amount]])</f>
        <v>27262.720000000001</v>
      </c>
      <c r="S2754" s="162">
        <f>SUM(Sales[Net Amount])</f>
        <v>406839287.73200053</v>
      </c>
    </row>
    <row r="2755" spans="1:19" ht="18.75" x14ac:dyDescent="0.25">
      <c r="A2755" s="156" t="s">
        <v>6392</v>
      </c>
      <c r="B2755" s="157">
        <v>45917</v>
      </c>
      <c r="C2755" s="158" t="s">
        <v>729</v>
      </c>
      <c r="D2755" s="159" t="str">
        <f>VLOOKUP(Sales[[#This Row],[Customer ID]],Customer[#All],2,0)</f>
        <v>Ankit Kumar</v>
      </c>
      <c r="E2755" s="158" t="s">
        <v>264</v>
      </c>
      <c r="F2755" s="158" t="str">
        <f>VLOOKUP(Sales[[#This Row],[Product ID]],Product[#All],2,0)</f>
        <v>Acer Laptop</v>
      </c>
      <c r="G2755" s="159">
        <v>8</v>
      </c>
      <c r="H2755" s="160">
        <f>VLOOKUP(Sales[[#This Row],[Product ID]],Product[#All],7,0)</f>
        <v>65110</v>
      </c>
      <c r="I2755" s="160">
        <f>Sales[[#This Row],[Selling Rate]]*Sales[[#This Row],[Qty]]</f>
        <v>520880</v>
      </c>
      <c r="J2755" s="43">
        <v>0.15</v>
      </c>
      <c r="K2755" s="44">
        <f>Sales[[#This Row],[Gross Amount]]*Sales[[#This Row],[Disc %]]</f>
        <v>78132</v>
      </c>
      <c r="L2755" s="43">
        <v>0.18</v>
      </c>
      <c r="M2755" s="44">
        <f>(Sales[[#This Row],[Gross Amount]]-Sales[[#This Row],[Disc. Amt.]])*Sales[[#This Row],[GST %]]</f>
        <v>79694.64</v>
      </c>
      <c r="N2755" s="161">
        <f>Sales[[#This Row],[Gross Amount]]-Sales[[#This Row],[Disc. Amt.]]+Sales[[#This Row],[GST Amount]]</f>
        <v>522442.64</v>
      </c>
      <c r="O2755" s="158" t="s">
        <v>3561</v>
      </c>
      <c r="P2755" s="158" t="s">
        <v>3562</v>
      </c>
      <c r="Q2755" s="160">
        <f>IF(Sales[[#This Row],[Status]]="Cancelled",0,Sales[[#This Row],[Qty]])</f>
        <v>8</v>
      </c>
      <c r="R2755" s="161">
        <f>IF(Sales[[#This Row],[Status]]="Cancelled",0,Sales[[#This Row],[Total Amount]])</f>
        <v>522442.64</v>
      </c>
      <c r="S2755" s="162">
        <f>SUM(Sales[Net Amount])</f>
        <v>406839287.73200053</v>
      </c>
    </row>
    <row r="2756" spans="1:19" ht="18.75" x14ac:dyDescent="0.25">
      <c r="A2756" s="163" t="s">
        <v>6393</v>
      </c>
      <c r="B2756" s="164">
        <v>45917</v>
      </c>
      <c r="C2756" s="34" t="s">
        <v>675</v>
      </c>
      <c r="D2756" s="53" t="str">
        <f>VLOOKUP(Sales[[#This Row],[Customer ID]],Customer[#All],2,0)</f>
        <v>Rahul Gupta</v>
      </c>
      <c r="E2756" s="34" t="s">
        <v>180</v>
      </c>
      <c r="F2756" s="34" t="str">
        <f>VLOOKUP(Sales[[#This Row],[Product ID]],Product[#All],2,0)</f>
        <v>Kingston Ram</v>
      </c>
      <c r="G2756" s="53">
        <v>6</v>
      </c>
      <c r="H2756" s="165">
        <f>VLOOKUP(Sales[[#This Row],[Product ID]],Product[#All],7,0)</f>
        <v>11780</v>
      </c>
      <c r="I2756" s="165">
        <f>Sales[[#This Row],[Selling Rate]]*Sales[[#This Row],[Qty]]</f>
        <v>70680</v>
      </c>
      <c r="J2756" s="45">
        <v>0.15</v>
      </c>
      <c r="K2756" s="46">
        <f>Sales[[#This Row],[Gross Amount]]*Sales[[#This Row],[Disc %]]</f>
        <v>10602</v>
      </c>
      <c r="L2756" s="43">
        <v>0.18</v>
      </c>
      <c r="M2756" s="46">
        <f>(Sales[[#This Row],[Gross Amount]]-Sales[[#This Row],[Disc. Amt.]])*Sales[[#This Row],[GST %]]</f>
        <v>10814.039999999999</v>
      </c>
      <c r="N2756" s="161">
        <f>Sales[[#This Row],[Gross Amount]]-Sales[[#This Row],[Disc. Amt.]]+Sales[[#This Row],[GST Amount]]</f>
        <v>70892.039999999994</v>
      </c>
      <c r="O2756" s="34" t="s">
        <v>8876</v>
      </c>
      <c r="P2756" s="34" t="s">
        <v>3562</v>
      </c>
      <c r="Q2756" s="165">
        <f>IF(Sales[[#This Row],[Status]]="Cancelled",0,Sales[[#This Row],[Qty]])</f>
        <v>6</v>
      </c>
      <c r="R2756" s="166">
        <f>IF(Sales[[#This Row],[Status]]="Cancelled",0,Sales[[#This Row],[Total Amount]])</f>
        <v>70892.039999999994</v>
      </c>
      <c r="S2756" s="162">
        <f>SUM(Sales[Net Amount])</f>
        <v>406839287.73200053</v>
      </c>
    </row>
    <row r="2757" spans="1:19" ht="18.75" x14ac:dyDescent="0.25">
      <c r="A2757" s="156" t="s">
        <v>6394</v>
      </c>
      <c r="B2757" s="157">
        <v>45917</v>
      </c>
      <c r="C2757" s="158" t="s">
        <v>915</v>
      </c>
      <c r="D2757" s="159" t="str">
        <f>VLOOKUP(Sales[[#This Row],[Customer ID]],Customer[#All],2,0)</f>
        <v>Sunita Kumar</v>
      </c>
      <c r="E2757" s="158" t="s">
        <v>182</v>
      </c>
      <c r="F2757" s="158" t="str">
        <f>VLOOKUP(Sales[[#This Row],[Product ID]],Product[#All],2,0)</f>
        <v>Kingston Ram</v>
      </c>
      <c r="G2757" s="159">
        <v>3</v>
      </c>
      <c r="H2757" s="160">
        <f>VLOOKUP(Sales[[#This Row],[Product ID]],Product[#All],7,0)</f>
        <v>10690</v>
      </c>
      <c r="I2757" s="160">
        <f>Sales[[#This Row],[Selling Rate]]*Sales[[#This Row],[Qty]]</f>
        <v>32070</v>
      </c>
      <c r="J2757" s="43">
        <v>0.02</v>
      </c>
      <c r="K2757" s="44">
        <f>Sales[[#This Row],[Gross Amount]]*Sales[[#This Row],[Disc %]]</f>
        <v>641.4</v>
      </c>
      <c r="L2757" s="43">
        <v>0.18</v>
      </c>
      <c r="M2757" s="44">
        <f>(Sales[[#This Row],[Gross Amount]]-Sales[[#This Row],[Disc. Amt.]])*Sales[[#This Row],[GST %]]</f>
        <v>5657.1479999999992</v>
      </c>
      <c r="N2757" s="161">
        <f>Sales[[#This Row],[Gross Amount]]-Sales[[#This Row],[Disc. Amt.]]+Sales[[#This Row],[GST Amount]]</f>
        <v>37085.748</v>
      </c>
      <c r="O2757" s="158" t="s">
        <v>8876</v>
      </c>
      <c r="P2757" s="158" t="s">
        <v>3562</v>
      </c>
      <c r="Q2757" s="160">
        <f>IF(Sales[[#This Row],[Status]]="Cancelled",0,Sales[[#This Row],[Qty]])</f>
        <v>3</v>
      </c>
      <c r="R2757" s="161">
        <f>IF(Sales[[#This Row],[Status]]="Cancelled",0,Sales[[#This Row],[Total Amount]])</f>
        <v>37085.748</v>
      </c>
      <c r="S2757" s="162">
        <f>SUM(Sales[Net Amount])</f>
        <v>406839287.73200053</v>
      </c>
    </row>
    <row r="2758" spans="1:19" ht="18.75" x14ac:dyDescent="0.25">
      <c r="A2758" s="163" t="s">
        <v>6395</v>
      </c>
      <c r="B2758" s="164">
        <v>45917</v>
      </c>
      <c r="C2758" s="34" t="s">
        <v>703</v>
      </c>
      <c r="D2758" s="53" t="str">
        <f>VLOOKUP(Sales[[#This Row],[Customer ID]],Customer[#All],2,0)</f>
        <v>Rahul Singh</v>
      </c>
      <c r="E2758" s="34" t="s">
        <v>148</v>
      </c>
      <c r="F2758" s="34" t="str">
        <f>VLOOKUP(Sales[[#This Row],[Product ID]],Product[#All],2,0)</f>
        <v>Dell Monitor</v>
      </c>
      <c r="G2758" s="53">
        <v>2</v>
      </c>
      <c r="H2758" s="165">
        <f>VLOOKUP(Sales[[#This Row],[Product ID]],Product[#All],7,0)</f>
        <v>20170</v>
      </c>
      <c r="I2758" s="165">
        <f>Sales[[#This Row],[Selling Rate]]*Sales[[#This Row],[Qty]]</f>
        <v>40340</v>
      </c>
      <c r="J2758" s="45">
        <v>0.05</v>
      </c>
      <c r="K2758" s="46">
        <f>Sales[[#This Row],[Gross Amount]]*Sales[[#This Row],[Disc %]]</f>
        <v>2017</v>
      </c>
      <c r="L2758" s="43">
        <v>0.18</v>
      </c>
      <c r="M2758" s="46">
        <f>(Sales[[#This Row],[Gross Amount]]-Sales[[#This Row],[Disc. Amt.]])*Sales[[#This Row],[GST %]]</f>
        <v>6898.1399999999994</v>
      </c>
      <c r="N2758" s="161">
        <f>Sales[[#This Row],[Gross Amount]]-Sales[[#This Row],[Disc. Amt.]]+Sales[[#This Row],[GST Amount]]</f>
        <v>45221.14</v>
      </c>
      <c r="O2758" s="34" t="s">
        <v>3569</v>
      </c>
      <c r="P2758" s="34" t="s">
        <v>3562</v>
      </c>
      <c r="Q2758" s="165">
        <f>IF(Sales[[#This Row],[Status]]="Cancelled",0,Sales[[#This Row],[Qty]])</f>
        <v>2</v>
      </c>
      <c r="R2758" s="166">
        <f>IF(Sales[[#This Row],[Status]]="Cancelled",0,Sales[[#This Row],[Total Amount]])</f>
        <v>45221.14</v>
      </c>
      <c r="S2758" s="162">
        <f>SUM(Sales[Net Amount])</f>
        <v>406839287.73200053</v>
      </c>
    </row>
    <row r="2759" spans="1:19" ht="18.75" x14ac:dyDescent="0.25">
      <c r="A2759" s="156" t="s">
        <v>6396</v>
      </c>
      <c r="B2759" s="157">
        <v>45917</v>
      </c>
      <c r="C2759" s="158" t="s">
        <v>705</v>
      </c>
      <c r="D2759" s="159" t="str">
        <f>VLOOKUP(Sales[[#This Row],[Customer ID]],Customer[#All],2,0)</f>
        <v>Priya Verma</v>
      </c>
      <c r="E2759" s="158" t="s">
        <v>214</v>
      </c>
      <c r="F2759" s="158" t="str">
        <f>VLOOKUP(Sales[[#This Row],[Product ID]],Product[#All],2,0)</f>
        <v>Microtek UPS</v>
      </c>
      <c r="G2759" s="159">
        <v>5</v>
      </c>
      <c r="H2759" s="160">
        <f>VLOOKUP(Sales[[#This Row],[Product ID]],Product[#All],7,0)</f>
        <v>10710</v>
      </c>
      <c r="I2759" s="160">
        <f>Sales[[#This Row],[Selling Rate]]*Sales[[#This Row],[Qty]]</f>
        <v>53550</v>
      </c>
      <c r="J2759" s="43">
        <v>0.1</v>
      </c>
      <c r="K2759" s="44">
        <f>Sales[[#This Row],[Gross Amount]]*Sales[[#This Row],[Disc %]]</f>
        <v>5355</v>
      </c>
      <c r="L2759" s="43">
        <v>0.18</v>
      </c>
      <c r="M2759" s="44">
        <f>(Sales[[#This Row],[Gross Amount]]-Sales[[#This Row],[Disc. Amt.]])*Sales[[#This Row],[GST %]]</f>
        <v>8675.1</v>
      </c>
      <c r="N2759" s="161">
        <f>Sales[[#This Row],[Gross Amount]]-Sales[[#This Row],[Disc. Amt.]]+Sales[[#This Row],[GST Amount]]</f>
        <v>56870.1</v>
      </c>
      <c r="O2759" s="158" t="s">
        <v>3561</v>
      </c>
      <c r="P2759" s="158" t="s">
        <v>1040</v>
      </c>
      <c r="Q2759" s="160">
        <f>IF(Sales[[#This Row],[Status]]="Cancelled",0,Sales[[#This Row],[Qty]])</f>
        <v>0</v>
      </c>
      <c r="R2759" s="161">
        <f>IF(Sales[[#This Row],[Status]]="Cancelled",0,Sales[[#This Row],[Total Amount]])</f>
        <v>0</v>
      </c>
      <c r="S2759" s="162">
        <f>SUM(Sales[Net Amount])</f>
        <v>406839287.73200053</v>
      </c>
    </row>
    <row r="2760" spans="1:19" ht="18.75" x14ac:dyDescent="0.25">
      <c r="A2760" s="163" t="s">
        <v>6397</v>
      </c>
      <c r="B2760" s="164">
        <v>45917</v>
      </c>
      <c r="C2760" s="34" t="s">
        <v>686</v>
      </c>
      <c r="D2760" s="53" t="str">
        <f>VLOOKUP(Sales[[#This Row],[Customer ID]],Customer[#All],2,0)</f>
        <v>Priya Gupta</v>
      </c>
      <c r="E2760" s="34" t="s">
        <v>116</v>
      </c>
      <c r="F2760" s="34" t="str">
        <f>VLOOKUP(Sales[[#This Row],[Product ID]],Product[#All],2,0)</f>
        <v>Epson Printer</v>
      </c>
      <c r="G2760" s="53">
        <v>7</v>
      </c>
      <c r="H2760" s="165">
        <f>VLOOKUP(Sales[[#This Row],[Product ID]],Product[#All],7,0)</f>
        <v>38550</v>
      </c>
      <c r="I2760" s="165">
        <f>Sales[[#This Row],[Selling Rate]]*Sales[[#This Row],[Qty]]</f>
        <v>269850</v>
      </c>
      <c r="J2760" s="45">
        <v>0.05</v>
      </c>
      <c r="K2760" s="46">
        <f>Sales[[#This Row],[Gross Amount]]*Sales[[#This Row],[Disc %]]</f>
        <v>13492.5</v>
      </c>
      <c r="L2760" s="43">
        <v>0.18</v>
      </c>
      <c r="M2760" s="46">
        <f>(Sales[[#This Row],[Gross Amount]]-Sales[[#This Row],[Disc. Amt.]])*Sales[[#This Row],[GST %]]</f>
        <v>46144.35</v>
      </c>
      <c r="N2760" s="161">
        <f>Sales[[#This Row],[Gross Amount]]-Sales[[#This Row],[Disc. Amt.]]+Sales[[#This Row],[GST Amount]]</f>
        <v>302501.84999999998</v>
      </c>
      <c r="O2760" s="34" t="s">
        <v>3561</v>
      </c>
      <c r="P2760" s="34" t="s">
        <v>3562</v>
      </c>
      <c r="Q2760" s="165">
        <f>IF(Sales[[#This Row],[Status]]="Cancelled",0,Sales[[#This Row],[Qty]])</f>
        <v>7</v>
      </c>
      <c r="R2760" s="166">
        <f>IF(Sales[[#This Row],[Status]]="Cancelled",0,Sales[[#This Row],[Total Amount]])</f>
        <v>302501.84999999998</v>
      </c>
      <c r="S2760" s="162">
        <f>SUM(Sales[Net Amount])</f>
        <v>406839287.73200053</v>
      </c>
    </row>
    <row r="2761" spans="1:19" ht="18.75" x14ac:dyDescent="0.25">
      <c r="A2761" s="156" t="s">
        <v>6398</v>
      </c>
      <c r="B2761" s="157">
        <v>45917</v>
      </c>
      <c r="C2761" s="158" t="s">
        <v>834</v>
      </c>
      <c r="D2761" s="159" t="str">
        <f>VLOOKUP(Sales[[#This Row],[Customer ID]],Customer[#All],2,0)</f>
        <v>Rahul Verma</v>
      </c>
      <c r="E2761" s="158" t="s">
        <v>86</v>
      </c>
      <c r="F2761" s="158" t="str">
        <f>VLOOKUP(Sales[[#This Row],[Product ID]],Product[#All],2,0)</f>
        <v>Lg Monitor</v>
      </c>
      <c r="G2761" s="159">
        <v>7</v>
      </c>
      <c r="H2761" s="160">
        <f>VLOOKUP(Sales[[#This Row],[Product ID]],Product[#All],7,0)</f>
        <v>14730</v>
      </c>
      <c r="I2761" s="160">
        <f>Sales[[#This Row],[Selling Rate]]*Sales[[#This Row],[Qty]]</f>
        <v>103110</v>
      </c>
      <c r="J2761" s="43">
        <v>0.12</v>
      </c>
      <c r="K2761" s="44">
        <f>Sales[[#This Row],[Gross Amount]]*Sales[[#This Row],[Disc %]]</f>
        <v>12373.199999999999</v>
      </c>
      <c r="L2761" s="43">
        <v>0.18</v>
      </c>
      <c r="M2761" s="44">
        <f>(Sales[[#This Row],[Gross Amount]]-Sales[[#This Row],[Disc. Amt.]])*Sales[[#This Row],[GST %]]</f>
        <v>16332.624</v>
      </c>
      <c r="N2761" s="161">
        <f>Sales[[#This Row],[Gross Amount]]-Sales[[#This Row],[Disc. Amt.]]+Sales[[#This Row],[GST Amount]]</f>
        <v>107069.424</v>
      </c>
      <c r="O2761" s="158" t="s">
        <v>3569</v>
      </c>
      <c r="P2761" s="158" t="s">
        <v>1040</v>
      </c>
      <c r="Q2761" s="160">
        <f>IF(Sales[[#This Row],[Status]]="Cancelled",0,Sales[[#This Row],[Qty]])</f>
        <v>0</v>
      </c>
      <c r="R2761" s="161">
        <f>IF(Sales[[#This Row],[Status]]="Cancelled",0,Sales[[#This Row],[Total Amount]])</f>
        <v>0</v>
      </c>
      <c r="S2761" s="162">
        <f>SUM(Sales[Net Amount])</f>
        <v>406839287.73200053</v>
      </c>
    </row>
    <row r="2762" spans="1:19" ht="18.75" x14ac:dyDescent="0.25">
      <c r="A2762" s="163" t="s">
        <v>6399</v>
      </c>
      <c r="B2762" s="164">
        <v>45917</v>
      </c>
      <c r="C2762" s="34" t="s">
        <v>671</v>
      </c>
      <c r="D2762" s="53" t="str">
        <f>VLOOKUP(Sales[[#This Row],[Customer ID]],Customer[#All],2,0)</f>
        <v>Sahil Patel</v>
      </c>
      <c r="E2762" s="34" t="s">
        <v>183</v>
      </c>
      <c r="F2762" s="34" t="str">
        <f>VLOOKUP(Sales[[#This Row],[Product ID]],Product[#All],2,0)</f>
        <v>Boat Speaker</v>
      </c>
      <c r="G2762" s="53">
        <v>1</v>
      </c>
      <c r="H2762" s="165">
        <f>VLOOKUP(Sales[[#This Row],[Product ID]],Product[#All],7,0)</f>
        <v>1430</v>
      </c>
      <c r="I2762" s="165">
        <f>Sales[[#This Row],[Selling Rate]]*Sales[[#This Row],[Qty]]</f>
        <v>1430</v>
      </c>
      <c r="J2762" s="45">
        <v>0</v>
      </c>
      <c r="K2762" s="46">
        <f>Sales[[#This Row],[Gross Amount]]*Sales[[#This Row],[Disc %]]</f>
        <v>0</v>
      </c>
      <c r="L2762" s="43">
        <v>0.18</v>
      </c>
      <c r="M2762" s="46">
        <f>(Sales[[#This Row],[Gross Amount]]-Sales[[#This Row],[Disc. Amt.]])*Sales[[#This Row],[GST %]]</f>
        <v>257.39999999999998</v>
      </c>
      <c r="N2762" s="161">
        <f>Sales[[#This Row],[Gross Amount]]-Sales[[#This Row],[Disc. Amt.]]+Sales[[#This Row],[GST Amount]]</f>
        <v>1687.4</v>
      </c>
      <c r="O2762" s="34" t="s">
        <v>3561</v>
      </c>
      <c r="P2762" s="34" t="s">
        <v>3562</v>
      </c>
      <c r="Q2762" s="165">
        <f>IF(Sales[[#This Row],[Status]]="Cancelled",0,Sales[[#This Row],[Qty]])</f>
        <v>1</v>
      </c>
      <c r="R2762" s="166">
        <f>IF(Sales[[#This Row],[Status]]="Cancelled",0,Sales[[#This Row],[Total Amount]])</f>
        <v>1687.4</v>
      </c>
      <c r="S2762" s="162">
        <f>SUM(Sales[Net Amount])</f>
        <v>406839287.73200053</v>
      </c>
    </row>
    <row r="2763" spans="1:19" ht="18.75" x14ac:dyDescent="0.25">
      <c r="A2763" s="156" t="s">
        <v>6400</v>
      </c>
      <c r="B2763" s="157">
        <v>45917</v>
      </c>
      <c r="C2763" s="158" t="s">
        <v>806</v>
      </c>
      <c r="D2763" s="159" t="str">
        <f>VLOOKUP(Sales[[#This Row],[Customer ID]],Customer[#All],2,0)</f>
        <v>Vikas Singh</v>
      </c>
      <c r="E2763" s="158" t="s">
        <v>322</v>
      </c>
      <c r="F2763" s="158" t="str">
        <f>VLOOKUP(Sales[[#This Row],[Product ID]],Product[#All],2,0)</f>
        <v>Jbl Speaker</v>
      </c>
      <c r="G2763" s="159">
        <v>7</v>
      </c>
      <c r="H2763" s="160">
        <f>VLOOKUP(Sales[[#This Row],[Product ID]],Product[#All],7,0)</f>
        <v>10370</v>
      </c>
      <c r="I2763" s="160">
        <f>Sales[[#This Row],[Selling Rate]]*Sales[[#This Row],[Qty]]</f>
        <v>72590</v>
      </c>
      <c r="J2763" s="43">
        <v>0.05</v>
      </c>
      <c r="K2763" s="44">
        <f>Sales[[#This Row],[Gross Amount]]*Sales[[#This Row],[Disc %]]</f>
        <v>3629.5</v>
      </c>
      <c r="L2763" s="43">
        <v>0.18</v>
      </c>
      <c r="M2763" s="44">
        <f>(Sales[[#This Row],[Gross Amount]]-Sales[[#This Row],[Disc. Amt.]])*Sales[[#This Row],[GST %]]</f>
        <v>12412.89</v>
      </c>
      <c r="N2763" s="161">
        <f>Sales[[#This Row],[Gross Amount]]-Sales[[#This Row],[Disc. Amt.]]+Sales[[#This Row],[GST Amount]]</f>
        <v>81373.39</v>
      </c>
      <c r="O2763" s="158" t="s">
        <v>3569</v>
      </c>
      <c r="P2763" s="158" t="s">
        <v>3562</v>
      </c>
      <c r="Q2763" s="160">
        <f>IF(Sales[[#This Row],[Status]]="Cancelled",0,Sales[[#This Row],[Qty]])</f>
        <v>7</v>
      </c>
      <c r="R2763" s="161">
        <f>IF(Sales[[#This Row],[Status]]="Cancelled",0,Sales[[#This Row],[Total Amount]])</f>
        <v>81373.39</v>
      </c>
      <c r="S2763" s="162">
        <f>SUM(Sales[Net Amount])</f>
        <v>406839287.73200053</v>
      </c>
    </row>
    <row r="2764" spans="1:19" ht="18.75" x14ac:dyDescent="0.25">
      <c r="A2764" s="163" t="s">
        <v>6401</v>
      </c>
      <c r="B2764" s="164">
        <v>45917</v>
      </c>
      <c r="C2764" s="34" t="s">
        <v>748</v>
      </c>
      <c r="D2764" s="53" t="str">
        <f>VLOOKUP(Sales[[#This Row],[Customer ID]],Customer[#All],2,0)</f>
        <v>Priya Singh</v>
      </c>
      <c r="E2764" s="34" t="s">
        <v>531</v>
      </c>
      <c r="F2764" s="34" t="str">
        <f>VLOOKUP(Sales[[#This Row],[Product ID]],Product[#All],2,0)</f>
        <v>TP-link Router</v>
      </c>
      <c r="G2764" s="53">
        <v>3</v>
      </c>
      <c r="H2764" s="165">
        <f>VLOOKUP(Sales[[#This Row],[Product ID]],Product[#All],7,0)</f>
        <v>6730</v>
      </c>
      <c r="I2764" s="165">
        <f>Sales[[#This Row],[Selling Rate]]*Sales[[#This Row],[Qty]]</f>
        <v>20190</v>
      </c>
      <c r="J2764" s="45">
        <v>0.12</v>
      </c>
      <c r="K2764" s="46">
        <f>Sales[[#This Row],[Gross Amount]]*Sales[[#This Row],[Disc %]]</f>
        <v>2422.7999999999997</v>
      </c>
      <c r="L2764" s="43">
        <v>0.18</v>
      </c>
      <c r="M2764" s="46">
        <f>(Sales[[#This Row],[Gross Amount]]-Sales[[#This Row],[Disc. Amt.]])*Sales[[#This Row],[GST %]]</f>
        <v>3198.096</v>
      </c>
      <c r="N2764" s="161">
        <f>Sales[[#This Row],[Gross Amount]]-Sales[[#This Row],[Disc. Amt.]]+Sales[[#This Row],[GST Amount]]</f>
        <v>20965.296000000002</v>
      </c>
      <c r="O2764" s="34" t="s">
        <v>3569</v>
      </c>
      <c r="P2764" s="34" t="s">
        <v>3562</v>
      </c>
      <c r="Q2764" s="165">
        <f>IF(Sales[[#This Row],[Status]]="Cancelled",0,Sales[[#This Row],[Qty]])</f>
        <v>3</v>
      </c>
      <c r="R2764" s="166">
        <f>IF(Sales[[#This Row],[Status]]="Cancelled",0,Sales[[#This Row],[Total Amount]])</f>
        <v>20965.296000000002</v>
      </c>
      <c r="S2764" s="162">
        <f>SUM(Sales[Net Amount])</f>
        <v>406839287.73200053</v>
      </c>
    </row>
    <row r="2765" spans="1:19" ht="18.75" x14ac:dyDescent="0.25">
      <c r="A2765" s="156" t="s">
        <v>6402</v>
      </c>
      <c r="B2765" s="157">
        <v>45917</v>
      </c>
      <c r="C2765" s="158" t="s">
        <v>944</v>
      </c>
      <c r="D2765" s="159" t="str">
        <f>VLOOKUP(Sales[[#This Row],[Customer ID]],Customer[#All],2,0)</f>
        <v>Pooja Patel</v>
      </c>
      <c r="E2765" s="158" t="s">
        <v>100</v>
      </c>
      <c r="F2765" s="158" t="str">
        <f>VLOOKUP(Sales[[#This Row],[Product ID]],Product[#All],2,0)</f>
        <v>Portronics USB Cable</v>
      </c>
      <c r="G2765" s="159">
        <v>8</v>
      </c>
      <c r="H2765" s="160">
        <f>VLOOKUP(Sales[[#This Row],[Product ID]],Product[#All],7,0)</f>
        <v>210</v>
      </c>
      <c r="I2765" s="160">
        <f>Sales[[#This Row],[Selling Rate]]*Sales[[#This Row],[Qty]]</f>
        <v>1680</v>
      </c>
      <c r="J2765" s="43">
        <v>0.1</v>
      </c>
      <c r="K2765" s="44">
        <f>Sales[[#This Row],[Gross Amount]]*Sales[[#This Row],[Disc %]]</f>
        <v>168</v>
      </c>
      <c r="L2765" s="43">
        <v>0.18</v>
      </c>
      <c r="M2765" s="44">
        <f>(Sales[[#This Row],[Gross Amount]]-Sales[[#This Row],[Disc. Amt.]])*Sales[[#This Row],[GST %]]</f>
        <v>272.15999999999997</v>
      </c>
      <c r="N2765" s="161">
        <f>Sales[[#This Row],[Gross Amount]]-Sales[[#This Row],[Disc. Amt.]]+Sales[[#This Row],[GST Amount]]</f>
        <v>1784.1599999999999</v>
      </c>
      <c r="O2765" s="158" t="s">
        <v>3569</v>
      </c>
      <c r="P2765" s="158" t="s">
        <v>3562</v>
      </c>
      <c r="Q2765" s="160">
        <f>IF(Sales[[#This Row],[Status]]="Cancelled",0,Sales[[#This Row],[Qty]])</f>
        <v>8</v>
      </c>
      <c r="R2765" s="161">
        <f>IF(Sales[[#This Row],[Status]]="Cancelled",0,Sales[[#This Row],[Total Amount]])</f>
        <v>1784.1599999999999</v>
      </c>
      <c r="S2765" s="162">
        <f>SUM(Sales[Net Amount])</f>
        <v>406839287.73200053</v>
      </c>
    </row>
    <row r="2766" spans="1:19" ht="18.75" x14ac:dyDescent="0.25">
      <c r="A2766" s="163" t="s">
        <v>6403</v>
      </c>
      <c r="B2766" s="164">
        <v>45917</v>
      </c>
      <c r="C2766" s="34" t="s">
        <v>785</v>
      </c>
      <c r="D2766" s="53" t="str">
        <f>VLOOKUP(Sales[[#This Row],[Customer ID]],Customer[#All],2,0)</f>
        <v>Ankit Gupta</v>
      </c>
      <c r="E2766" s="34" t="s">
        <v>208</v>
      </c>
      <c r="F2766" s="34" t="str">
        <f>VLOOKUP(Sales[[#This Row],[Product ID]],Product[#All],2,0)</f>
        <v>Dell Laptop</v>
      </c>
      <c r="G2766" s="53">
        <v>2</v>
      </c>
      <c r="H2766" s="165">
        <f>VLOOKUP(Sales[[#This Row],[Product ID]],Product[#All],7,0)</f>
        <v>67000</v>
      </c>
      <c r="I2766" s="165">
        <f>Sales[[#This Row],[Selling Rate]]*Sales[[#This Row],[Qty]]</f>
        <v>134000</v>
      </c>
      <c r="J2766" s="45">
        <v>0.12</v>
      </c>
      <c r="K2766" s="46">
        <f>Sales[[#This Row],[Gross Amount]]*Sales[[#This Row],[Disc %]]</f>
        <v>16080</v>
      </c>
      <c r="L2766" s="43">
        <v>0.18</v>
      </c>
      <c r="M2766" s="46">
        <f>(Sales[[#This Row],[Gross Amount]]-Sales[[#This Row],[Disc. Amt.]])*Sales[[#This Row],[GST %]]</f>
        <v>21225.599999999999</v>
      </c>
      <c r="N2766" s="161">
        <f>Sales[[#This Row],[Gross Amount]]-Sales[[#This Row],[Disc. Amt.]]+Sales[[#This Row],[GST Amount]]</f>
        <v>139145.60000000001</v>
      </c>
      <c r="O2766" s="34" t="s">
        <v>3561</v>
      </c>
      <c r="P2766" s="34" t="s">
        <v>3562</v>
      </c>
      <c r="Q2766" s="165">
        <f>IF(Sales[[#This Row],[Status]]="Cancelled",0,Sales[[#This Row],[Qty]])</f>
        <v>2</v>
      </c>
      <c r="R2766" s="166">
        <f>IF(Sales[[#This Row],[Status]]="Cancelled",0,Sales[[#This Row],[Total Amount]])</f>
        <v>139145.60000000001</v>
      </c>
      <c r="S2766" s="162">
        <f>SUM(Sales[Net Amount])</f>
        <v>406839287.73200053</v>
      </c>
    </row>
    <row r="2767" spans="1:19" ht="18.75" x14ac:dyDescent="0.25">
      <c r="A2767" s="156" t="s">
        <v>6404</v>
      </c>
      <c r="B2767" s="157">
        <v>45917</v>
      </c>
      <c r="C2767" s="158" t="s">
        <v>925</v>
      </c>
      <c r="D2767" s="159" t="str">
        <f>VLOOKUP(Sales[[#This Row],[Customer ID]],Customer[#All],2,0)</f>
        <v>Neha Singh</v>
      </c>
      <c r="E2767" s="158" t="s">
        <v>213</v>
      </c>
      <c r="F2767" s="158" t="str">
        <f>VLOOKUP(Sales[[#This Row],[Product ID]],Product[#All],2,0)</f>
        <v>Dell Power Adapter</v>
      </c>
      <c r="G2767" s="159">
        <v>5</v>
      </c>
      <c r="H2767" s="160">
        <f>VLOOKUP(Sales[[#This Row],[Product ID]],Product[#All],7,0)</f>
        <v>3740</v>
      </c>
      <c r="I2767" s="160">
        <f>Sales[[#This Row],[Selling Rate]]*Sales[[#This Row],[Qty]]</f>
        <v>18700</v>
      </c>
      <c r="J2767" s="43">
        <v>0.15</v>
      </c>
      <c r="K2767" s="44">
        <f>Sales[[#This Row],[Gross Amount]]*Sales[[#This Row],[Disc %]]</f>
        <v>2805</v>
      </c>
      <c r="L2767" s="43">
        <v>0.18</v>
      </c>
      <c r="M2767" s="44">
        <f>(Sales[[#This Row],[Gross Amount]]-Sales[[#This Row],[Disc. Amt.]])*Sales[[#This Row],[GST %]]</f>
        <v>2861.1</v>
      </c>
      <c r="N2767" s="161">
        <f>Sales[[#This Row],[Gross Amount]]-Sales[[#This Row],[Disc. Amt.]]+Sales[[#This Row],[GST Amount]]</f>
        <v>18756.099999999999</v>
      </c>
      <c r="O2767" s="158" t="s">
        <v>3566</v>
      </c>
      <c r="P2767" s="158" t="s">
        <v>3562</v>
      </c>
      <c r="Q2767" s="160">
        <f>IF(Sales[[#This Row],[Status]]="Cancelled",0,Sales[[#This Row],[Qty]])</f>
        <v>5</v>
      </c>
      <c r="R2767" s="161">
        <f>IF(Sales[[#This Row],[Status]]="Cancelled",0,Sales[[#This Row],[Total Amount]])</f>
        <v>18756.099999999999</v>
      </c>
      <c r="S2767" s="162">
        <f>SUM(Sales[Net Amount])</f>
        <v>406839287.73200053</v>
      </c>
    </row>
    <row r="2768" spans="1:19" ht="18.75" x14ac:dyDescent="0.25">
      <c r="A2768" s="163" t="s">
        <v>6405</v>
      </c>
      <c r="B2768" s="164">
        <v>45917</v>
      </c>
      <c r="C2768" s="34" t="s">
        <v>788</v>
      </c>
      <c r="D2768" s="53" t="str">
        <f>VLOOKUP(Sales[[#This Row],[Customer ID]],Customer[#All],2,0)</f>
        <v>Vikas Kumar</v>
      </c>
      <c r="E2768" s="34" t="s">
        <v>439</v>
      </c>
      <c r="F2768" s="34" t="str">
        <f>VLOOKUP(Sales[[#This Row],[Product ID]],Product[#All],2,0)</f>
        <v>HP Laptop</v>
      </c>
      <c r="G2768" s="53">
        <v>5</v>
      </c>
      <c r="H2768" s="165">
        <f>VLOOKUP(Sales[[#This Row],[Product ID]],Product[#All],7,0)</f>
        <v>83330</v>
      </c>
      <c r="I2768" s="165">
        <f>Sales[[#This Row],[Selling Rate]]*Sales[[#This Row],[Qty]]</f>
        <v>416650</v>
      </c>
      <c r="J2768" s="45">
        <v>0.1</v>
      </c>
      <c r="K2768" s="46">
        <f>Sales[[#This Row],[Gross Amount]]*Sales[[#This Row],[Disc %]]</f>
        <v>41665</v>
      </c>
      <c r="L2768" s="43">
        <v>0.18</v>
      </c>
      <c r="M2768" s="46">
        <f>(Sales[[#This Row],[Gross Amount]]-Sales[[#This Row],[Disc. Amt.]])*Sales[[#This Row],[GST %]]</f>
        <v>67497.3</v>
      </c>
      <c r="N2768" s="161">
        <f>Sales[[#This Row],[Gross Amount]]-Sales[[#This Row],[Disc. Amt.]]+Sales[[#This Row],[GST Amount]]</f>
        <v>442482.3</v>
      </c>
      <c r="O2768" s="34" t="s">
        <v>3569</v>
      </c>
      <c r="P2768" s="34" t="s">
        <v>3562</v>
      </c>
      <c r="Q2768" s="165">
        <f>IF(Sales[[#This Row],[Status]]="Cancelled",0,Sales[[#This Row],[Qty]])</f>
        <v>5</v>
      </c>
      <c r="R2768" s="166">
        <f>IF(Sales[[#This Row],[Status]]="Cancelled",0,Sales[[#This Row],[Total Amount]])</f>
        <v>442482.3</v>
      </c>
      <c r="S2768" s="162">
        <f>SUM(Sales[Net Amount])</f>
        <v>406839287.73200053</v>
      </c>
    </row>
    <row r="2769" spans="1:19" ht="18.75" x14ac:dyDescent="0.25">
      <c r="A2769" s="156" t="s">
        <v>6406</v>
      </c>
      <c r="B2769" s="157">
        <v>45918</v>
      </c>
      <c r="C2769" s="158" t="s">
        <v>711</v>
      </c>
      <c r="D2769" s="159" t="str">
        <f>VLOOKUP(Sales[[#This Row],[Customer ID]],Customer[#All],2,0)</f>
        <v>Priya Verma</v>
      </c>
      <c r="E2769" s="158" t="s">
        <v>135</v>
      </c>
      <c r="F2769" s="158" t="str">
        <f>VLOOKUP(Sales[[#This Row],[Product ID]],Product[#All],2,0)</f>
        <v>Kingston Ram</v>
      </c>
      <c r="G2769" s="159">
        <v>7</v>
      </c>
      <c r="H2769" s="160">
        <f>VLOOKUP(Sales[[#This Row],[Product ID]],Product[#All],7,0)</f>
        <v>3100</v>
      </c>
      <c r="I2769" s="160">
        <f>Sales[[#This Row],[Selling Rate]]*Sales[[#This Row],[Qty]]</f>
        <v>21700</v>
      </c>
      <c r="J2769" s="43">
        <v>0</v>
      </c>
      <c r="K2769" s="44">
        <f>Sales[[#This Row],[Gross Amount]]*Sales[[#This Row],[Disc %]]</f>
        <v>0</v>
      </c>
      <c r="L2769" s="43">
        <v>0.18</v>
      </c>
      <c r="M2769" s="44">
        <f>(Sales[[#This Row],[Gross Amount]]-Sales[[#This Row],[Disc. Amt.]])*Sales[[#This Row],[GST %]]</f>
        <v>3906</v>
      </c>
      <c r="N2769" s="161">
        <f>Sales[[#This Row],[Gross Amount]]-Sales[[#This Row],[Disc. Amt.]]+Sales[[#This Row],[GST Amount]]</f>
        <v>25606</v>
      </c>
      <c r="O2769" s="158" t="s">
        <v>3566</v>
      </c>
      <c r="P2769" s="158" t="s">
        <v>3562</v>
      </c>
      <c r="Q2769" s="160">
        <f>IF(Sales[[#This Row],[Status]]="Cancelled",0,Sales[[#This Row],[Qty]])</f>
        <v>7</v>
      </c>
      <c r="R2769" s="161">
        <f>IF(Sales[[#This Row],[Status]]="Cancelled",0,Sales[[#This Row],[Total Amount]])</f>
        <v>25606</v>
      </c>
      <c r="S2769" s="162">
        <f>SUM(Sales[Net Amount])</f>
        <v>406839287.73200053</v>
      </c>
    </row>
    <row r="2770" spans="1:19" ht="18.75" x14ac:dyDescent="0.25">
      <c r="A2770" s="163" t="s">
        <v>6407</v>
      </c>
      <c r="B2770" s="164">
        <v>45918</v>
      </c>
      <c r="C2770" s="34" t="s">
        <v>669</v>
      </c>
      <c r="D2770" s="53" t="str">
        <f>VLOOKUP(Sales[[#This Row],[Customer ID]],Customer[#All],2,0)</f>
        <v>Sahil Kumar</v>
      </c>
      <c r="E2770" s="34" t="s">
        <v>295</v>
      </c>
      <c r="F2770" s="34" t="str">
        <f>VLOOKUP(Sales[[#This Row],[Product ID]],Product[#All],2,0)</f>
        <v>Samsung Monitor</v>
      </c>
      <c r="G2770" s="53">
        <v>2</v>
      </c>
      <c r="H2770" s="165">
        <f>VLOOKUP(Sales[[#This Row],[Product ID]],Product[#All],7,0)</f>
        <v>7630</v>
      </c>
      <c r="I2770" s="165">
        <f>Sales[[#This Row],[Selling Rate]]*Sales[[#This Row],[Qty]]</f>
        <v>15260</v>
      </c>
      <c r="J2770" s="45">
        <v>0.05</v>
      </c>
      <c r="K2770" s="46">
        <f>Sales[[#This Row],[Gross Amount]]*Sales[[#This Row],[Disc %]]</f>
        <v>763</v>
      </c>
      <c r="L2770" s="43">
        <v>0.18</v>
      </c>
      <c r="M2770" s="46">
        <f>(Sales[[#This Row],[Gross Amount]]-Sales[[#This Row],[Disc. Amt.]])*Sales[[#This Row],[GST %]]</f>
        <v>2609.46</v>
      </c>
      <c r="N2770" s="161">
        <f>Sales[[#This Row],[Gross Amount]]-Sales[[#This Row],[Disc. Amt.]]+Sales[[#This Row],[GST Amount]]</f>
        <v>17106.46</v>
      </c>
      <c r="O2770" s="34" t="s">
        <v>3569</v>
      </c>
      <c r="P2770" s="34" t="s">
        <v>3562</v>
      </c>
      <c r="Q2770" s="165">
        <f>IF(Sales[[#This Row],[Status]]="Cancelled",0,Sales[[#This Row],[Qty]])</f>
        <v>2</v>
      </c>
      <c r="R2770" s="166">
        <f>IF(Sales[[#This Row],[Status]]="Cancelled",0,Sales[[#This Row],[Total Amount]])</f>
        <v>17106.46</v>
      </c>
      <c r="S2770" s="162">
        <f>SUM(Sales[Net Amount])</f>
        <v>406839287.73200053</v>
      </c>
    </row>
    <row r="2771" spans="1:19" ht="18.75" x14ac:dyDescent="0.25">
      <c r="A2771" s="156" t="s">
        <v>6408</v>
      </c>
      <c r="B2771" s="157">
        <v>45918</v>
      </c>
      <c r="C2771" s="158" t="s">
        <v>930</v>
      </c>
      <c r="D2771" s="159" t="str">
        <f>VLOOKUP(Sales[[#This Row],[Customer ID]],Customer[#All],2,0)</f>
        <v>Rakesh Gupta</v>
      </c>
      <c r="E2771" s="158" t="s">
        <v>166</v>
      </c>
      <c r="F2771" s="158" t="str">
        <f>VLOOKUP(Sales[[#This Row],[Product ID]],Product[#All],2,0)</f>
        <v>Canon Printer</v>
      </c>
      <c r="G2771" s="159">
        <v>7</v>
      </c>
      <c r="H2771" s="160">
        <f>VLOOKUP(Sales[[#This Row],[Product ID]],Product[#All],7,0)</f>
        <v>36680</v>
      </c>
      <c r="I2771" s="160">
        <f>Sales[[#This Row],[Selling Rate]]*Sales[[#This Row],[Qty]]</f>
        <v>256760</v>
      </c>
      <c r="J2771" s="43">
        <v>0.05</v>
      </c>
      <c r="K2771" s="44">
        <f>Sales[[#This Row],[Gross Amount]]*Sales[[#This Row],[Disc %]]</f>
        <v>12838</v>
      </c>
      <c r="L2771" s="43">
        <v>0.18</v>
      </c>
      <c r="M2771" s="44">
        <f>(Sales[[#This Row],[Gross Amount]]-Sales[[#This Row],[Disc. Amt.]])*Sales[[#This Row],[GST %]]</f>
        <v>43905.96</v>
      </c>
      <c r="N2771" s="161">
        <f>Sales[[#This Row],[Gross Amount]]-Sales[[#This Row],[Disc. Amt.]]+Sales[[#This Row],[GST Amount]]</f>
        <v>287827.96000000002</v>
      </c>
      <c r="O2771" s="158" t="s">
        <v>8876</v>
      </c>
      <c r="P2771" s="158" t="s">
        <v>1040</v>
      </c>
      <c r="Q2771" s="160">
        <f>IF(Sales[[#This Row],[Status]]="Cancelled",0,Sales[[#This Row],[Qty]])</f>
        <v>0</v>
      </c>
      <c r="R2771" s="161">
        <f>IF(Sales[[#This Row],[Status]]="Cancelled",0,Sales[[#This Row],[Total Amount]])</f>
        <v>0</v>
      </c>
      <c r="S2771" s="162">
        <f>SUM(Sales[Net Amount])</f>
        <v>406839287.73200053</v>
      </c>
    </row>
    <row r="2772" spans="1:19" ht="18.75" x14ac:dyDescent="0.25">
      <c r="A2772" s="163" t="s">
        <v>6409</v>
      </c>
      <c r="B2772" s="164">
        <v>45918</v>
      </c>
      <c r="C2772" s="34" t="s">
        <v>894</v>
      </c>
      <c r="D2772" s="53" t="str">
        <f>VLOOKUP(Sales[[#This Row],[Customer ID]],Customer[#All],2,0)</f>
        <v>Sunita Patel</v>
      </c>
      <c r="E2772" s="34" t="s">
        <v>50</v>
      </c>
      <c r="F2772" s="34" t="str">
        <f>VLOOKUP(Sales[[#This Row],[Product ID]],Product[#All],2,0)</f>
        <v>Lg Monitor</v>
      </c>
      <c r="G2772" s="53">
        <v>7</v>
      </c>
      <c r="H2772" s="165">
        <f>VLOOKUP(Sales[[#This Row],[Product ID]],Product[#All],7,0)</f>
        <v>35670</v>
      </c>
      <c r="I2772" s="165">
        <f>Sales[[#This Row],[Selling Rate]]*Sales[[#This Row],[Qty]]</f>
        <v>249690</v>
      </c>
      <c r="J2772" s="45">
        <v>0.02</v>
      </c>
      <c r="K2772" s="46">
        <f>Sales[[#This Row],[Gross Amount]]*Sales[[#This Row],[Disc %]]</f>
        <v>4993.8</v>
      </c>
      <c r="L2772" s="43">
        <v>0.18</v>
      </c>
      <c r="M2772" s="46">
        <f>(Sales[[#This Row],[Gross Amount]]-Sales[[#This Row],[Disc. Amt.]])*Sales[[#This Row],[GST %]]</f>
        <v>44045.315999999999</v>
      </c>
      <c r="N2772" s="161">
        <f>Sales[[#This Row],[Gross Amount]]-Sales[[#This Row],[Disc. Amt.]]+Sales[[#This Row],[GST Amount]]</f>
        <v>288741.516</v>
      </c>
      <c r="O2772" s="34" t="s">
        <v>3569</v>
      </c>
      <c r="P2772" s="34" t="s">
        <v>3562</v>
      </c>
      <c r="Q2772" s="165">
        <f>IF(Sales[[#This Row],[Status]]="Cancelled",0,Sales[[#This Row],[Qty]])</f>
        <v>7</v>
      </c>
      <c r="R2772" s="166">
        <f>IF(Sales[[#This Row],[Status]]="Cancelled",0,Sales[[#This Row],[Total Amount]])</f>
        <v>288741.516</v>
      </c>
      <c r="S2772" s="162">
        <f>SUM(Sales[Net Amount])</f>
        <v>406839287.73200053</v>
      </c>
    </row>
    <row r="2773" spans="1:19" ht="18.75" x14ac:dyDescent="0.25">
      <c r="A2773" s="156" t="s">
        <v>6410</v>
      </c>
      <c r="B2773" s="157">
        <v>45918</v>
      </c>
      <c r="C2773" s="158" t="s">
        <v>766</v>
      </c>
      <c r="D2773" s="159" t="str">
        <f>VLOOKUP(Sales[[#This Row],[Customer ID]],Customer[#All],2,0)</f>
        <v>Neha Gupta</v>
      </c>
      <c r="E2773" s="158" t="s">
        <v>554</v>
      </c>
      <c r="F2773" s="158" t="str">
        <f>VLOOKUP(Sales[[#This Row],[Product ID]],Product[#All],2,0)</f>
        <v>TP-link Router</v>
      </c>
      <c r="G2773" s="159">
        <v>8</v>
      </c>
      <c r="H2773" s="160">
        <f>VLOOKUP(Sales[[#This Row],[Product ID]],Product[#All],7,0)</f>
        <v>6320</v>
      </c>
      <c r="I2773" s="160">
        <f>Sales[[#This Row],[Selling Rate]]*Sales[[#This Row],[Qty]]</f>
        <v>50560</v>
      </c>
      <c r="J2773" s="43">
        <v>0.15</v>
      </c>
      <c r="K2773" s="44">
        <f>Sales[[#This Row],[Gross Amount]]*Sales[[#This Row],[Disc %]]</f>
        <v>7584</v>
      </c>
      <c r="L2773" s="43">
        <v>0.18</v>
      </c>
      <c r="M2773" s="44">
        <f>(Sales[[#This Row],[Gross Amount]]-Sales[[#This Row],[Disc. Amt.]])*Sales[[#This Row],[GST %]]</f>
        <v>7735.6799999999994</v>
      </c>
      <c r="N2773" s="161">
        <f>Sales[[#This Row],[Gross Amount]]-Sales[[#This Row],[Disc. Amt.]]+Sales[[#This Row],[GST Amount]]</f>
        <v>50711.68</v>
      </c>
      <c r="O2773" s="158" t="s">
        <v>3561</v>
      </c>
      <c r="P2773" s="158" t="s">
        <v>1040</v>
      </c>
      <c r="Q2773" s="160">
        <f>IF(Sales[[#This Row],[Status]]="Cancelled",0,Sales[[#This Row],[Qty]])</f>
        <v>0</v>
      </c>
      <c r="R2773" s="161">
        <f>IF(Sales[[#This Row],[Status]]="Cancelled",0,Sales[[#This Row],[Total Amount]])</f>
        <v>0</v>
      </c>
      <c r="S2773" s="162">
        <f>SUM(Sales[Net Amount])</f>
        <v>406839287.73200053</v>
      </c>
    </row>
    <row r="2774" spans="1:19" ht="18.75" x14ac:dyDescent="0.25">
      <c r="A2774" s="163" t="s">
        <v>6411</v>
      </c>
      <c r="B2774" s="164">
        <v>45918</v>
      </c>
      <c r="C2774" s="34" t="s">
        <v>744</v>
      </c>
      <c r="D2774" s="53" t="str">
        <f>VLOOKUP(Sales[[#This Row],[Customer ID]],Customer[#All],2,0)</f>
        <v>Rakesh Patel</v>
      </c>
      <c r="E2774" s="34" t="s">
        <v>449</v>
      </c>
      <c r="F2774" s="34" t="str">
        <f>VLOOKUP(Sales[[#This Row],[Product ID]],Product[#All],2,0)</f>
        <v>Dell Monitor</v>
      </c>
      <c r="G2774" s="53">
        <v>5</v>
      </c>
      <c r="H2774" s="165">
        <f>VLOOKUP(Sales[[#This Row],[Product ID]],Product[#All],7,0)</f>
        <v>19520</v>
      </c>
      <c r="I2774" s="165">
        <f>Sales[[#This Row],[Selling Rate]]*Sales[[#This Row],[Qty]]</f>
        <v>97600</v>
      </c>
      <c r="J2774" s="45">
        <v>0.12</v>
      </c>
      <c r="K2774" s="46">
        <f>Sales[[#This Row],[Gross Amount]]*Sales[[#This Row],[Disc %]]</f>
        <v>11712</v>
      </c>
      <c r="L2774" s="43">
        <v>0.18</v>
      </c>
      <c r="M2774" s="46">
        <f>(Sales[[#This Row],[Gross Amount]]-Sales[[#This Row],[Disc. Amt.]])*Sales[[#This Row],[GST %]]</f>
        <v>15459.84</v>
      </c>
      <c r="N2774" s="161">
        <f>Sales[[#This Row],[Gross Amount]]-Sales[[#This Row],[Disc. Amt.]]+Sales[[#This Row],[GST Amount]]</f>
        <v>101347.84</v>
      </c>
      <c r="O2774" s="34" t="s">
        <v>8876</v>
      </c>
      <c r="P2774" s="34" t="s">
        <v>3562</v>
      </c>
      <c r="Q2774" s="165">
        <f>IF(Sales[[#This Row],[Status]]="Cancelled",0,Sales[[#This Row],[Qty]])</f>
        <v>5</v>
      </c>
      <c r="R2774" s="166">
        <f>IF(Sales[[#This Row],[Status]]="Cancelled",0,Sales[[#This Row],[Total Amount]])</f>
        <v>101347.84</v>
      </c>
      <c r="S2774" s="162">
        <f>SUM(Sales[Net Amount])</f>
        <v>406839287.73200053</v>
      </c>
    </row>
    <row r="2775" spans="1:19" ht="18.75" x14ac:dyDescent="0.25">
      <c r="A2775" s="156" t="s">
        <v>6412</v>
      </c>
      <c r="B2775" s="157">
        <v>45918</v>
      </c>
      <c r="C2775" s="158" t="s">
        <v>865</v>
      </c>
      <c r="D2775" s="159" t="str">
        <f>VLOOKUP(Sales[[#This Row],[Customer ID]],Customer[#All],2,0)</f>
        <v>Sunita Gupta</v>
      </c>
      <c r="E2775" s="158" t="s">
        <v>446</v>
      </c>
      <c r="F2775" s="158" t="str">
        <f>VLOOKUP(Sales[[#This Row],[Product ID]],Product[#All],2,0)</f>
        <v>HP Desktop</v>
      </c>
      <c r="G2775" s="159">
        <v>3</v>
      </c>
      <c r="H2775" s="160">
        <f>VLOOKUP(Sales[[#This Row],[Product ID]],Product[#All],7,0)</f>
        <v>48280</v>
      </c>
      <c r="I2775" s="160">
        <f>Sales[[#This Row],[Selling Rate]]*Sales[[#This Row],[Qty]]</f>
        <v>144840</v>
      </c>
      <c r="J2775" s="43">
        <v>0</v>
      </c>
      <c r="K2775" s="44">
        <f>Sales[[#This Row],[Gross Amount]]*Sales[[#This Row],[Disc %]]</f>
        <v>0</v>
      </c>
      <c r="L2775" s="43">
        <v>0.18</v>
      </c>
      <c r="M2775" s="44">
        <f>(Sales[[#This Row],[Gross Amount]]-Sales[[#This Row],[Disc. Amt.]])*Sales[[#This Row],[GST %]]</f>
        <v>26071.200000000001</v>
      </c>
      <c r="N2775" s="161">
        <f>Sales[[#This Row],[Gross Amount]]-Sales[[#This Row],[Disc. Amt.]]+Sales[[#This Row],[GST Amount]]</f>
        <v>170911.2</v>
      </c>
      <c r="O2775" s="158" t="s">
        <v>8876</v>
      </c>
      <c r="P2775" s="158" t="s">
        <v>3562</v>
      </c>
      <c r="Q2775" s="160">
        <f>IF(Sales[[#This Row],[Status]]="Cancelled",0,Sales[[#This Row],[Qty]])</f>
        <v>3</v>
      </c>
      <c r="R2775" s="161">
        <f>IF(Sales[[#This Row],[Status]]="Cancelled",0,Sales[[#This Row],[Total Amount]])</f>
        <v>170911.2</v>
      </c>
      <c r="S2775" s="162">
        <f>SUM(Sales[Net Amount])</f>
        <v>406839287.73200053</v>
      </c>
    </row>
    <row r="2776" spans="1:19" ht="18.75" x14ac:dyDescent="0.25">
      <c r="A2776" s="163" t="s">
        <v>6413</v>
      </c>
      <c r="B2776" s="164">
        <v>45918</v>
      </c>
      <c r="C2776" s="34" t="s">
        <v>656</v>
      </c>
      <c r="D2776" s="53" t="str">
        <f>VLOOKUP(Sales[[#This Row],[Customer ID]],Customer[#All],2,0)</f>
        <v>Rahul Kumar</v>
      </c>
      <c r="E2776" s="34" t="s">
        <v>554</v>
      </c>
      <c r="F2776" s="34" t="str">
        <f>VLOOKUP(Sales[[#This Row],[Product ID]],Product[#All],2,0)</f>
        <v>TP-link Router</v>
      </c>
      <c r="G2776" s="53">
        <v>4</v>
      </c>
      <c r="H2776" s="165">
        <f>VLOOKUP(Sales[[#This Row],[Product ID]],Product[#All],7,0)</f>
        <v>6320</v>
      </c>
      <c r="I2776" s="165">
        <f>Sales[[#This Row],[Selling Rate]]*Sales[[#This Row],[Qty]]</f>
        <v>25280</v>
      </c>
      <c r="J2776" s="45">
        <v>0.05</v>
      </c>
      <c r="K2776" s="46">
        <f>Sales[[#This Row],[Gross Amount]]*Sales[[#This Row],[Disc %]]</f>
        <v>1264</v>
      </c>
      <c r="L2776" s="43">
        <v>0.18</v>
      </c>
      <c r="M2776" s="46">
        <f>(Sales[[#This Row],[Gross Amount]]-Sales[[#This Row],[Disc. Amt.]])*Sales[[#This Row],[GST %]]</f>
        <v>4322.88</v>
      </c>
      <c r="N2776" s="161">
        <f>Sales[[#This Row],[Gross Amount]]-Sales[[#This Row],[Disc. Amt.]]+Sales[[#This Row],[GST Amount]]</f>
        <v>28338.880000000001</v>
      </c>
      <c r="O2776" s="34" t="s">
        <v>3566</v>
      </c>
      <c r="P2776" s="34" t="s">
        <v>3562</v>
      </c>
      <c r="Q2776" s="165">
        <f>IF(Sales[[#This Row],[Status]]="Cancelled",0,Sales[[#This Row],[Qty]])</f>
        <v>4</v>
      </c>
      <c r="R2776" s="166">
        <f>IF(Sales[[#This Row],[Status]]="Cancelled",0,Sales[[#This Row],[Total Amount]])</f>
        <v>28338.880000000001</v>
      </c>
      <c r="S2776" s="162">
        <f>SUM(Sales[Net Amount])</f>
        <v>406839287.73200053</v>
      </c>
    </row>
    <row r="2777" spans="1:19" ht="18.75" x14ac:dyDescent="0.25">
      <c r="A2777" s="156" t="s">
        <v>6414</v>
      </c>
      <c r="B2777" s="157">
        <v>45918</v>
      </c>
      <c r="C2777" s="158" t="s">
        <v>840</v>
      </c>
      <c r="D2777" s="159" t="str">
        <f>VLOOKUP(Sales[[#This Row],[Customer ID]],Customer[#All],2,0)</f>
        <v>Rakesh Verma</v>
      </c>
      <c r="E2777" s="158" t="s">
        <v>472</v>
      </c>
      <c r="F2777" s="158" t="str">
        <f>VLOOKUP(Sales[[#This Row],[Product ID]],Product[#All],2,0)</f>
        <v>Seagate HDD</v>
      </c>
      <c r="G2777" s="159">
        <v>4</v>
      </c>
      <c r="H2777" s="160">
        <f>VLOOKUP(Sales[[#This Row],[Product ID]],Product[#All],7,0)</f>
        <v>6840</v>
      </c>
      <c r="I2777" s="160">
        <f>Sales[[#This Row],[Selling Rate]]*Sales[[#This Row],[Qty]]</f>
        <v>27360</v>
      </c>
      <c r="J2777" s="43">
        <v>0.05</v>
      </c>
      <c r="K2777" s="44">
        <f>Sales[[#This Row],[Gross Amount]]*Sales[[#This Row],[Disc %]]</f>
        <v>1368</v>
      </c>
      <c r="L2777" s="43">
        <v>0.18</v>
      </c>
      <c r="M2777" s="44">
        <f>(Sales[[#This Row],[Gross Amount]]-Sales[[#This Row],[Disc. Amt.]])*Sales[[#This Row],[GST %]]</f>
        <v>4678.5599999999995</v>
      </c>
      <c r="N2777" s="161">
        <f>Sales[[#This Row],[Gross Amount]]-Sales[[#This Row],[Disc. Amt.]]+Sales[[#This Row],[GST Amount]]</f>
        <v>30670.559999999998</v>
      </c>
      <c r="O2777" s="158" t="s">
        <v>3561</v>
      </c>
      <c r="P2777" s="158" t="s">
        <v>3562</v>
      </c>
      <c r="Q2777" s="160">
        <f>IF(Sales[[#This Row],[Status]]="Cancelled",0,Sales[[#This Row],[Qty]])</f>
        <v>4</v>
      </c>
      <c r="R2777" s="161">
        <f>IF(Sales[[#This Row],[Status]]="Cancelled",0,Sales[[#This Row],[Total Amount]])</f>
        <v>30670.559999999998</v>
      </c>
      <c r="S2777" s="162">
        <f>SUM(Sales[Net Amount])</f>
        <v>406839287.73200053</v>
      </c>
    </row>
    <row r="2778" spans="1:19" ht="18.75" x14ac:dyDescent="0.25">
      <c r="A2778" s="163" t="s">
        <v>6415</v>
      </c>
      <c r="B2778" s="164">
        <v>45918</v>
      </c>
      <c r="C2778" s="34" t="s">
        <v>901</v>
      </c>
      <c r="D2778" s="53" t="str">
        <f>VLOOKUP(Sales[[#This Row],[Customer ID]],Customer[#All],2,0)</f>
        <v>Vikas Kumar</v>
      </c>
      <c r="E2778" s="34" t="s">
        <v>30</v>
      </c>
      <c r="F2778" s="34" t="str">
        <f>VLOOKUP(Sales[[#This Row],[Product ID]],Product[#All],2,0)</f>
        <v>Samsung Monitor</v>
      </c>
      <c r="G2778" s="53">
        <v>7</v>
      </c>
      <c r="H2778" s="165">
        <f>VLOOKUP(Sales[[#This Row],[Product ID]],Product[#All],7,0)</f>
        <v>16740</v>
      </c>
      <c r="I2778" s="165">
        <f>Sales[[#This Row],[Selling Rate]]*Sales[[#This Row],[Qty]]</f>
        <v>117180</v>
      </c>
      <c r="J2778" s="45">
        <v>0.05</v>
      </c>
      <c r="K2778" s="46">
        <f>Sales[[#This Row],[Gross Amount]]*Sales[[#This Row],[Disc %]]</f>
        <v>5859</v>
      </c>
      <c r="L2778" s="43">
        <v>0.18</v>
      </c>
      <c r="M2778" s="46">
        <f>(Sales[[#This Row],[Gross Amount]]-Sales[[#This Row],[Disc. Amt.]])*Sales[[#This Row],[GST %]]</f>
        <v>20037.78</v>
      </c>
      <c r="N2778" s="161">
        <f>Sales[[#This Row],[Gross Amount]]-Sales[[#This Row],[Disc. Amt.]]+Sales[[#This Row],[GST Amount]]</f>
        <v>131358.78</v>
      </c>
      <c r="O2778" s="34" t="s">
        <v>8876</v>
      </c>
      <c r="P2778" s="34" t="s">
        <v>3562</v>
      </c>
      <c r="Q2778" s="165">
        <f>IF(Sales[[#This Row],[Status]]="Cancelled",0,Sales[[#This Row],[Qty]])</f>
        <v>7</v>
      </c>
      <c r="R2778" s="166">
        <f>IF(Sales[[#This Row],[Status]]="Cancelled",0,Sales[[#This Row],[Total Amount]])</f>
        <v>131358.78</v>
      </c>
      <c r="S2778" s="162">
        <f>SUM(Sales[Net Amount])</f>
        <v>406839287.73200053</v>
      </c>
    </row>
    <row r="2779" spans="1:19" ht="18.75" x14ac:dyDescent="0.25">
      <c r="A2779" s="156" t="s">
        <v>6416</v>
      </c>
      <c r="B2779" s="157">
        <v>45918</v>
      </c>
      <c r="C2779" s="158" t="s">
        <v>710</v>
      </c>
      <c r="D2779" s="159" t="str">
        <f>VLOOKUP(Sales[[#This Row],[Customer ID]],Customer[#All],2,0)</f>
        <v>Sunita Patel</v>
      </c>
      <c r="E2779" s="158" t="s">
        <v>537</v>
      </c>
      <c r="F2779" s="158" t="str">
        <f>VLOOKUP(Sales[[#This Row],[Product ID]],Product[#All],2,0)</f>
        <v>Dell Laptop</v>
      </c>
      <c r="G2779" s="159">
        <v>8</v>
      </c>
      <c r="H2779" s="160">
        <f>VLOOKUP(Sales[[#This Row],[Product ID]],Product[#All],7,0)</f>
        <v>90420</v>
      </c>
      <c r="I2779" s="160">
        <f>Sales[[#This Row],[Selling Rate]]*Sales[[#This Row],[Qty]]</f>
        <v>723360</v>
      </c>
      <c r="J2779" s="43">
        <v>0</v>
      </c>
      <c r="K2779" s="44">
        <f>Sales[[#This Row],[Gross Amount]]*Sales[[#This Row],[Disc %]]</f>
        <v>0</v>
      </c>
      <c r="L2779" s="43">
        <v>0.18</v>
      </c>
      <c r="M2779" s="44">
        <f>(Sales[[#This Row],[Gross Amount]]-Sales[[#This Row],[Disc. Amt.]])*Sales[[#This Row],[GST %]]</f>
        <v>130204.79999999999</v>
      </c>
      <c r="N2779" s="161">
        <f>Sales[[#This Row],[Gross Amount]]-Sales[[#This Row],[Disc. Amt.]]+Sales[[#This Row],[GST Amount]]</f>
        <v>853564.8</v>
      </c>
      <c r="O2779" s="158" t="s">
        <v>3561</v>
      </c>
      <c r="P2779" s="158" t="s">
        <v>3562</v>
      </c>
      <c r="Q2779" s="160">
        <f>IF(Sales[[#This Row],[Status]]="Cancelled",0,Sales[[#This Row],[Qty]])</f>
        <v>8</v>
      </c>
      <c r="R2779" s="161">
        <f>IF(Sales[[#This Row],[Status]]="Cancelled",0,Sales[[#This Row],[Total Amount]])</f>
        <v>853564.8</v>
      </c>
      <c r="S2779" s="162">
        <f>SUM(Sales[Net Amount])</f>
        <v>406839287.73200053</v>
      </c>
    </row>
    <row r="2780" spans="1:19" ht="18.75" x14ac:dyDescent="0.25">
      <c r="A2780" s="163" t="s">
        <v>6417</v>
      </c>
      <c r="B2780" s="164">
        <v>45918</v>
      </c>
      <c r="C2780" s="34" t="s">
        <v>864</v>
      </c>
      <c r="D2780" s="53" t="str">
        <f>VLOOKUP(Sales[[#This Row],[Customer ID]],Customer[#All],2,0)</f>
        <v>Sahil Sharma</v>
      </c>
      <c r="E2780" s="34" t="s">
        <v>242</v>
      </c>
      <c r="F2780" s="34" t="str">
        <f>VLOOKUP(Sales[[#This Row],[Product ID]],Product[#All],2,0)</f>
        <v>HP Printer</v>
      </c>
      <c r="G2780" s="53">
        <v>7</v>
      </c>
      <c r="H2780" s="165">
        <f>VLOOKUP(Sales[[#This Row],[Product ID]],Product[#All],7,0)</f>
        <v>20380</v>
      </c>
      <c r="I2780" s="165">
        <f>Sales[[#This Row],[Selling Rate]]*Sales[[#This Row],[Qty]]</f>
        <v>142660</v>
      </c>
      <c r="J2780" s="45">
        <v>0.02</v>
      </c>
      <c r="K2780" s="46">
        <f>Sales[[#This Row],[Gross Amount]]*Sales[[#This Row],[Disc %]]</f>
        <v>2853.2000000000003</v>
      </c>
      <c r="L2780" s="43">
        <v>0.18</v>
      </c>
      <c r="M2780" s="46">
        <f>(Sales[[#This Row],[Gross Amount]]-Sales[[#This Row],[Disc. Amt.]])*Sales[[#This Row],[GST %]]</f>
        <v>25165.223999999998</v>
      </c>
      <c r="N2780" s="161">
        <f>Sales[[#This Row],[Gross Amount]]-Sales[[#This Row],[Disc. Amt.]]+Sales[[#This Row],[GST Amount]]</f>
        <v>164972.02399999998</v>
      </c>
      <c r="O2780" s="34" t="s">
        <v>3566</v>
      </c>
      <c r="P2780" s="34" t="s">
        <v>3562</v>
      </c>
      <c r="Q2780" s="165">
        <f>IF(Sales[[#This Row],[Status]]="Cancelled",0,Sales[[#This Row],[Qty]])</f>
        <v>7</v>
      </c>
      <c r="R2780" s="166">
        <f>IF(Sales[[#This Row],[Status]]="Cancelled",0,Sales[[#This Row],[Total Amount]])</f>
        <v>164972.02399999998</v>
      </c>
      <c r="S2780" s="162">
        <f>SUM(Sales[Net Amount])</f>
        <v>406839287.73200053</v>
      </c>
    </row>
    <row r="2781" spans="1:19" ht="18.75" x14ac:dyDescent="0.25">
      <c r="A2781" s="156" t="s">
        <v>6418</v>
      </c>
      <c r="B2781" s="157">
        <v>45918</v>
      </c>
      <c r="C2781" s="158" t="s">
        <v>844</v>
      </c>
      <c r="D2781" s="159" t="str">
        <f>VLOOKUP(Sales[[#This Row],[Customer ID]],Customer[#All],2,0)</f>
        <v>Rahul Sharma</v>
      </c>
      <c r="E2781" s="158" t="s">
        <v>435</v>
      </c>
      <c r="F2781" s="158" t="str">
        <f>VLOOKUP(Sales[[#This Row],[Product ID]],Product[#All],2,0)</f>
        <v>Corsair Ram</v>
      </c>
      <c r="G2781" s="159">
        <v>5</v>
      </c>
      <c r="H2781" s="160">
        <f>VLOOKUP(Sales[[#This Row],[Product ID]],Product[#All],7,0)</f>
        <v>8060</v>
      </c>
      <c r="I2781" s="160">
        <f>Sales[[#This Row],[Selling Rate]]*Sales[[#This Row],[Qty]]</f>
        <v>40300</v>
      </c>
      <c r="J2781" s="43">
        <v>0.15</v>
      </c>
      <c r="K2781" s="44">
        <f>Sales[[#This Row],[Gross Amount]]*Sales[[#This Row],[Disc %]]</f>
        <v>6045</v>
      </c>
      <c r="L2781" s="43">
        <v>0.18</v>
      </c>
      <c r="M2781" s="44">
        <f>(Sales[[#This Row],[Gross Amount]]-Sales[[#This Row],[Disc. Amt.]])*Sales[[#This Row],[GST %]]</f>
        <v>6165.9</v>
      </c>
      <c r="N2781" s="161">
        <f>Sales[[#This Row],[Gross Amount]]-Sales[[#This Row],[Disc. Amt.]]+Sales[[#This Row],[GST Amount]]</f>
        <v>40420.9</v>
      </c>
      <c r="O2781" s="158" t="s">
        <v>3561</v>
      </c>
      <c r="P2781" s="158" t="s">
        <v>3562</v>
      </c>
      <c r="Q2781" s="160">
        <f>IF(Sales[[#This Row],[Status]]="Cancelled",0,Sales[[#This Row],[Qty]])</f>
        <v>5</v>
      </c>
      <c r="R2781" s="161">
        <f>IF(Sales[[#This Row],[Status]]="Cancelled",0,Sales[[#This Row],[Total Amount]])</f>
        <v>40420.9</v>
      </c>
      <c r="S2781" s="162">
        <f>SUM(Sales[Net Amount])</f>
        <v>406839287.73200053</v>
      </c>
    </row>
    <row r="2782" spans="1:19" ht="18.75" x14ac:dyDescent="0.25">
      <c r="A2782" s="163" t="s">
        <v>6419</v>
      </c>
      <c r="B2782" s="164">
        <v>45918</v>
      </c>
      <c r="C2782" s="34" t="s">
        <v>835</v>
      </c>
      <c r="D2782" s="53" t="str">
        <f>VLOOKUP(Sales[[#This Row],[Customer ID]],Customer[#All],2,0)</f>
        <v>Ankit Kumar</v>
      </c>
      <c r="E2782" s="34" t="s">
        <v>484</v>
      </c>
      <c r="F2782" s="34" t="str">
        <f>VLOOKUP(Sales[[#This Row],[Product ID]],Product[#All],2,0)</f>
        <v>Dell Desktop</v>
      </c>
      <c r="G2782" s="53">
        <v>1</v>
      </c>
      <c r="H2782" s="165">
        <f>VLOOKUP(Sales[[#This Row],[Product ID]],Product[#All],7,0)</f>
        <v>68710</v>
      </c>
      <c r="I2782" s="165">
        <f>Sales[[#This Row],[Selling Rate]]*Sales[[#This Row],[Qty]]</f>
        <v>68710</v>
      </c>
      <c r="J2782" s="45">
        <v>0</v>
      </c>
      <c r="K2782" s="46">
        <f>Sales[[#This Row],[Gross Amount]]*Sales[[#This Row],[Disc %]]</f>
        <v>0</v>
      </c>
      <c r="L2782" s="43">
        <v>0.18</v>
      </c>
      <c r="M2782" s="46">
        <f>(Sales[[#This Row],[Gross Amount]]-Sales[[#This Row],[Disc. Amt.]])*Sales[[#This Row],[GST %]]</f>
        <v>12367.8</v>
      </c>
      <c r="N2782" s="161">
        <f>Sales[[#This Row],[Gross Amount]]-Sales[[#This Row],[Disc. Amt.]]+Sales[[#This Row],[GST Amount]]</f>
        <v>81077.8</v>
      </c>
      <c r="O2782" s="34" t="s">
        <v>8876</v>
      </c>
      <c r="P2782" s="34" t="s">
        <v>3562</v>
      </c>
      <c r="Q2782" s="165">
        <f>IF(Sales[[#This Row],[Status]]="Cancelled",0,Sales[[#This Row],[Qty]])</f>
        <v>1</v>
      </c>
      <c r="R2782" s="166">
        <f>IF(Sales[[#This Row],[Status]]="Cancelled",0,Sales[[#This Row],[Total Amount]])</f>
        <v>81077.8</v>
      </c>
      <c r="S2782" s="162">
        <f>SUM(Sales[Net Amount])</f>
        <v>406839287.73200053</v>
      </c>
    </row>
    <row r="2783" spans="1:19" ht="18.75" x14ac:dyDescent="0.25">
      <c r="A2783" s="156" t="s">
        <v>6420</v>
      </c>
      <c r="B2783" s="157">
        <v>45918</v>
      </c>
      <c r="C2783" s="158" t="s">
        <v>6421</v>
      </c>
      <c r="D2783" s="159" t="str">
        <f>VLOOKUP(Sales[[#This Row],[Customer ID]],Customer[#All],2,0)</f>
        <v>Ankit Gupta</v>
      </c>
      <c r="E2783" s="158" t="s">
        <v>250</v>
      </c>
      <c r="F2783" s="158" t="str">
        <f>VLOOKUP(Sales[[#This Row],[Product ID]],Product[#All],2,0)</f>
        <v>Corsair Ram</v>
      </c>
      <c r="G2783" s="159">
        <v>5</v>
      </c>
      <c r="H2783" s="160">
        <f>VLOOKUP(Sales[[#This Row],[Product ID]],Product[#All],7,0)</f>
        <v>12160</v>
      </c>
      <c r="I2783" s="160">
        <f>Sales[[#This Row],[Selling Rate]]*Sales[[#This Row],[Qty]]</f>
        <v>60800</v>
      </c>
      <c r="J2783" s="43">
        <v>0.05</v>
      </c>
      <c r="K2783" s="44">
        <f>Sales[[#This Row],[Gross Amount]]*Sales[[#This Row],[Disc %]]</f>
        <v>3040</v>
      </c>
      <c r="L2783" s="43">
        <v>0.18</v>
      </c>
      <c r="M2783" s="44">
        <f>(Sales[[#This Row],[Gross Amount]]-Sales[[#This Row],[Disc. Amt.]])*Sales[[#This Row],[GST %]]</f>
        <v>10396.799999999999</v>
      </c>
      <c r="N2783" s="161">
        <f>Sales[[#This Row],[Gross Amount]]-Sales[[#This Row],[Disc. Amt.]]+Sales[[#This Row],[GST Amount]]</f>
        <v>68156.800000000003</v>
      </c>
      <c r="O2783" s="158" t="s">
        <v>3566</v>
      </c>
      <c r="P2783" s="158" t="s">
        <v>3562</v>
      </c>
      <c r="Q2783" s="160">
        <f>IF(Sales[[#This Row],[Status]]="Cancelled",0,Sales[[#This Row],[Qty]])</f>
        <v>5</v>
      </c>
      <c r="R2783" s="161">
        <f>IF(Sales[[#This Row],[Status]]="Cancelled",0,Sales[[#This Row],[Total Amount]])</f>
        <v>68156.800000000003</v>
      </c>
      <c r="S2783" s="162">
        <f>SUM(Sales[Net Amount])</f>
        <v>406839287.73200053</v>
      </c>
    </row>
    <row r="2784" spans="1:19" ht="18.75" x14ac:dyDescent="0.25">
      <c r="A2784" s="163" t="s">
        <v>6422</v>
      </c>
      <c r="B2784" s="164">
        <v>45918</v>
      </c>
      <c r="C2784" s="34" t="s">
        <v>702</v>
      </c>
      <c r="D2784" s="53" t="str">
        <f>VLOOKUP(Sales[[#This Row],[Customer ID]],Customer[#All],2,0)</f>
        <v>Amit Patel</v>
      </c>
      <c r="E2784" s="34" t="s">
        <v>95</v>
      </c>
      <c r="F2784" s="34" t="str">
        <f>VLOOKUP(Sales[[#This Row],[Product ID]],Product[#All],2,0)</f>
        <v>TP-link Router</v>
      </c>
      <c r="G2784" s="53">
        <v>5</v>
      </c>
      <c r="H2784" s="165">
        <f>VLOOKUP(Sales[[#This Row],[Product ID]],Product[#All],7,0)</f>
        <v>7170</v>
      </c>
      <c r="I2784" s="165">
        <f>Sales[[#This Row],[Selling Rate]]*Sales[[#This Row],[Qty]]</f>
        <v>35850</v>
      </c>
      <c r="J2784" s="45">
        <v>0</v>
      </c>
      <c r="K2784" s="46">
        <f>Sales[[#This Row],[Gross Amount]]*Sales[[#This Row],[Disc %]]</f>
        <v>0</v>
      </c>
      <c r="L2784" s="43">
        <v>0.18</v>
      </c>
      <c r="M2784" s="46">
        <f>(Sales[[#This Row],[Gross Amount]]-Sales[[#This Row],[Disc. Amt.]])*Sales[[#This Row],[GST %]]</f>
        <v>6453</v>
      </c>
      <c r="N2784" s="161">
        <f>Sales[[#This Row],[Gross Amount]]-Sales[[#This Row],[Disc. Amt.]]+Sales[[#This Row],[GST Amount]]</f>
        <v>42303</v>
      </c>
      <c r="O2784" s="34" t="s">
        <v>3566</v>
      </c>
      <c r="P2784" s="34" t="s">
        <v>3562</v>
      </c>
      <c r="Q2784" s="165">
        <f>IF(Sales[[#This Row],[Status]]="Cancelled",0,Sales[[#This Row],[Qty]])</f>
        <v>5</v>
      </c>
      <c r="R2784" s="166">
        <f>IF(Sales[[#This Row],[Status]]="Cancelled",0,Sales[[#This Row],[Total Amount]])</f>
        <v>42303</v>
      </c>
      <c r="S2784" s="162">
        <f>SUM(Sales[Net Amount])</f>
        <v>406839287.73200053</v>
      </c>
    </row>
    <row r="2785" spans="1:19" ht="18.75" x14ac:dyDescent="0.25">
      <c r="A2785" s="156" t="s">
        <v>6423</v>
      </c>
      <c r="B2785" s="157">
        <v>45918</v>
      </c>
      <c r="C2785" s="158" t="s">
        <v>870</v>
      </c>
      <c r="D2785" s="159" t="str">
        <f>VLOOKUP(Sales[[#This Row],[Customer ID]],Customer[#All],2,0)</f>
        <v>Vikas Singh</v>
      </c>
      <c r="E2785" s="158" t="s">
        <v>46</v>
      </c>
      <c r="F2785" s="158" t="str">
        <f>VLOOKUP(Sales[[#This Row],[Product ID]],Product[#All],2,0)</f>
        <v>HP Printer</v>
      </c>
      <c r="G2785" s="159">
        <v>4</v>
      </c>
      <c r="H2785" s="160">
        <f>VLOOKUP(Sales[[#This Row],[Product ID]],Product[#All],7,0)</f>
        <v>35170</v>
      </c>
      <c r="I2785" s="160">
        <f>Sales[[#This Row],[Selling Rate]]*Sales[[#This Row],[Qty]]</f>
        <v>140680</v>
      </c>
      <c r="J2785" s="43">
        <v>0.12</v>
      </c>
      <c r="K2785" s="44">
        <f>Sales[[#This Row],[Gross Amount]]*Sales[[#This Row],[Disc %]]</f>
        <v>16881.599999999999</v>
      </c>
      <c r="L2785" s="43">
        <v>0.18</v>
      </c>
      <c r="M2785" s="44">
        <f>(Sales[[#This Row],[Gross Amount]]-Sales[[#This Row],[Disc. Amt.]])*Sales[[#This Row],[GST %]]</f>
        <v>22283.712</v>
      </c>
      <c r="N2785" s="161">
        <f>Sales[[#This Row],[Gross Amount]]-Sales[[#This Row],[Disc. Amt.]]+Sales[[#This Row],[GST Amount]]</f>
        <v>146082.11199999999</v>
      </c>
      <c r="O2785" s="158" t="s">
        <v>3561</v>
      </c>
      <c r="P2785" s="158" t="s">
        <v>3562</v>
      </c>
      <c r="Q2785" s="160">
        <f>IF(Sales[[#This Row],[Status]]="Cancelled",0,Sales[[#This Row],[Qty]])</f>
        <v>4</v>
      </c>
      <c r="R2785" s="161">
        <f>IF(Sales[[#This Row],[Status]]="Cancelled",0,Sales[[#This Row],[Total Amount]])</f>
        <v>146082.11199999999</v>
      </c>
      <c r="S2785" s="162">
        <f>SUM(Sales[Net Amount])</f>
        <v>406839287.73200053</v>
      </c>
    </row>
    <row r="2786" spans="1:19" ht="18.75" x14ac:dyDescent="0.25">
      <c r="A2786" s="163" t="s">
        <v>6424</v>
      </c>
      <c r="B2786" s="164">
        <v>45918</v>
      </c>
      <c r="C2786" s="34" t="s">
        <v>696</v>
      </c>
      <c r="D2786" s="53" t="str">
        <f>VLOOKUP(Sales[[#This Row],[Customer ID]],Customer[#All],2,0)</f>
        <v>Sunita Verma</v>
      </c>
      <c r="E2786" s="34" t="s">
        <v>528</v>
      </c>
      <c r="F2786" s="34" t="str">
        <f>VLOOKUP(Sales[[#This Row],[Product ID]],Product[#All],2,0)</f>
        <v>Kingston Ram</v>
      </c>
      <c r="G2786" s="53">
        <v>2</v>
      </c>
      <c r="H2786" s="165">
        <f>VLOOKUP(Sales[[#This Row],[Product ID]],Product[#All],7,0)</f>
        <v>4750</v>
      </c>
      <c r="I2786" s="165">
        <f>Sales[[#This Row],[Selling Rate]]*Sales[[#This Row],[Qty]]</f>
        <v>9500</v>
      </c>
      <c r="J2786" s="45">
        <v>0.05</v>
      </c>
      <c r="K2786" s="46">
        <f>Sales[[#This Row],[Gross Amount]]*Sales[[#This Row],[Disc %]]</f>
        <v>475</v>
      </c>
      <c r="L2786" s="43">
        <v>0.18</v>
      </c>
      <c r="M2786" s="46">
        <f>(Sales[[#This Row],[Gross Amount]]-Sales[[#This Row],[Disc. Amt.]])*Sales[[#This Row],[GST %]]</f>
        <v>1624.5</v>
      </c>
      <c r="N2786" s="161">
        <f>Sales[[#This Row],[Gross Amount]]-Sales[[#This Row],[Disc. Amt.]]+Sales[[#This Row],[GST Amount]]</f>
        <v>10649.5</v>
      </c>
      <c r="O2786" s="34" t="s">
        <v>3566</v>
      </c>
      <c r="P2786" s="34" t="s">
        <v>3562</v>
      </c>
      <c r="Q2786" s="165">
        <f>IF(Sales[[#This Row],[Status]]="Cancelled",0,Sales[[#This Row],[Qty]])</f>
        <v>2</v>
      </c>
      <c r="R2786" s="166">
        <f>IF(Sales[[#This Row],[Status]]="Cancelled",0,Sales[[#This Row],[Total Amount]])</f>
        <v>10649.5</v>
      </c>
      <c r="S2786" s="162">
        <f>SUM(Sales[Net Amount])</f>
        <v>406839287.73200053</v>
      </c>
    </row>
    <row r="2787" spans="1:19" ht="18.75" x14ac:dyDescent="0.25">
      <c r="A2787" s="156" t="s">
        <v>6425</v>
      </c>
      <c r="B2787" s="157">
        <v>45919</v>
      </c>
      <c r="C2787" s="158" t="s">
        <v>698</v>
      </c>
      <c r="D2787" s="159" t="str">
        <f>VLOOKUP(Sales[[#This Row],[Customer ID]],Customer[#All],2,0)</f>
        <v>Neha Sharma</v>
      </c>
      <c r="E2787" s="158" t="s">
        <v>292</v>
      </c>
      <c r="F2787" s="158" t="str">
        <f>VLOOKUP(Sales[[#This Row],[Product ID]],Product[#All],2,0)</f>
        <v>Microtek UPS</v>
      </c>
      <c r="G2787" s="159">
        <v>2</v>
      </c>
      <c r="H2787" s="160">
        <f>VLOOKUP(Sales[[#This Row],[Product ID]],Product[#All],7,0)</f>
        <v>6260</v>
      </c>
      <c r="I2787" s="160">
        <f>Sales[[#This Row],[Selling Rate]]*Sales[[#This Row],[Qty]]</f>
        <v>12520</v>
      </c>
      <c r="J2787" s="43">
        <v>0.05</v>
      </c>
      <c r="K2787" s="44">
        <f>Sales[[#This Row],[Gross Amount]]*Sales[[#This Row],[Disc %]]</f>
        <v>626</v>
      </c>
      <c r="L2787" s="43">
        <v>0.18</v>
      </c>
      <c r="M2787" s="44">
        <f>(Sales[[#This Row],[Gross Amount]]-Sales[[#This Row],[Disc. Amt.]])*Sales[[#This Row],[GST %]]</f>
        <v>2140.92</v>
      </c>
      <c r="N2787" s="161">
        <f>Sales[[#This Row],[Gross Amount]]-Sales[[#This Row],[Disc. Amt.]]+Sales[[#This Row],[GST Amount]]</f>
        <v>14034.92</v>
      </c>
      <c r="O2787" s="158" t="s">
        <v>8876</v>
      </c>
      <c r="P2787" s="158" t="s">
        <v>3562</v>
      </c>
      <c r="Q2787" s="160">
        <f>IF(Sales[[#This Row],[Status]]="Cancelled",0,Sales[[#This Row],[Qty]])</f>
        <v>2</v>
      </c>
      <c r="R2787" s="161">
        <f>IF(Sales[[#This Row],[Status]]="Cancelled",0,Sales[[#This Row],[Total Amount]])</f>
        <v>14034.92</v>
      </c>
      <c r="S2787" s="162">
        <f>SUM(Sales[Net Amount])</f>
        <v>406839287.73200053</v>
      </c>
    </row>
    <row r="2788" spans="1:19" ht="18.75" x14ac:dyDescent="0.25">
      <c r="A2788" s="163" t="s">
        <v>6426</v>
      </c>
      <c r="B2788" s="164">
        <v>45919</v>
      </c>
      <c r="C2788" s="34" t="s">
        <v>6427</v>
      </c>
      <c r="D2788" s="53" t="str">
        <f>VLOOKUP(Sales[[#This Row],[Customer ID]],Customer[#All],2,0)</f>
        <v>Amit Patel</v>
      </c>
      <c r="E2788" s="34" t="s">
        <v>467</v>
      </c>
      <c r="F2788" s="34" t="str">
        <f>VLOOKUP(Sales[[#This Row],[Product ID]],Product[#All],2,0)</f>
        <v>Apc UPS</v>
      </c>
      <c r="G2788" s="53">
        <v>2</v>
      </c>
      <c r="H2788" s="165">
        <f>VLOOKUP(Sales[[#This Row],[Product ID]],Product[#All],7,0)</f>
        <v>6250</v>
      </c>
      <c r="I2788" s="165">
        <f>Sales[[#This Row],[Selling Rate]]*Sales[[#This Row],[Qty]]</f>
        <v>12500</v>
      </c>
      <c r="J2788" s="45">
        <v>0</v>
      </c>
      <c r="K2788" s="46">
        <f>Sales[[#This Row],[Gross Amount]]*Sales[[#This Row],[Disc %]]</f>
        <v>0</v>
      </c>
      <c r="L2788" s="43">
        <v>0.18</v>
      </c>
      <c r="M2788" s="46">
        <f>(Sales[[#This Row],[Gross Amount]]-Sales[[#This Row],[Disc. Amt.]])*Sales[[#This Row],[GST %]]</f>
        <v>2250</v>
      </c>
      <c r="N2788" s="161">
        <f>Sales[[#This Row],[Gross Amount]]-Sales[[#This Row],[Disc. Amt.]]+Sales[[#This Row],[GST Amount]]</f>
        <v>14750</v>
      </c>
      <c r="O2788" s="34" t="s">
        <v>3566</v>
      </c>
      <c r="P2788" s="34" t="s">
        <v>3562</v>
      </c>
      <c r="Q2788" s="165">
        <f>IF(Sales[[#This Row],[Status]]="Cancelled",0,Sales[[#This Row],[Qty]])</f>
        <v>2</v>
      </c>
      <c r="R2788" s="166">
        <f>IF(Sales[[#This Row],[Status]]="Cancelled",0,Sales[[#This Row],[Total Amount]])</f>
        <v>14750</v>
      </c>
      <c r="S2788" s="162">
        <f>SUM(Sales[Net Amount])</f>
        <v>406839287.73200053</v>
      </c>
    </row>
    <row r="2789" spans="1:19" ht="18.75" x14ac:dyDescent="0.25">
      <c r="A2789" s="156" t="s">
        <v>6428</v>
      </c>
      <c r="B2789" s="157">
        <v>45919</v>
      </c>
      <c r="C2789" s="158" t="s">
        <v>911</v>
      </c>
      <c r="D2789" s="159" t="str">
        <f>VLOOKUP(Sales[[#This Row],[Customer ID]],Customer[#All],2,0)</f>
        <v>Amit Kumar</v>
      </c>
      <c r="E2789" s="158" t="s">
        <v>276</v>
      </c>
      <c r="F2789" s="158" t="str">
        <f>VLOOKUP(Sales[[#This Row],[Product ID]],Product[#All],2,0)</f>
        <v>Corsair Ram</v>
      </c>
      <c r="G2789" s="159">
        <v>2</v>
      </c>
      <c r="H2789" s="160">
        <f>VLOOKUP(Sales[[#This Row],[Product ID]],Product[#All],7,0)</f>
        <v>7140</v>
      </c>
      <c r="I2789" s="160">
        <f>Sales[[#This Row],[Selling Rate]]*Sales[[#This Row],[Qty]]</f>
        <v>14280</v>
      </c>
      <c r="J2789" s="43">
        <v>0.02</v>
      </c>
      <c r="K2789" s="44">
        <f>Sales[[#This Row],[Gross Amount]]*Sales[[#This Row],[Disc %]]</f>
        <v>285.60000000000002</v>
      </c>
      <c r="L2789" s="43">
        <v>0.18</v>
      </c>
      <c r="M2789" s="44">
        <f>(Sales[[#This Row],[Gross Amount]]-Sales[[#This Row],[Disc. Amt.]])*Sales[[#This Row],[GST %]]</f>
        <v>2518.9919999999997</v>
      </c>
      <c r="N2789" s="161">
        <f>Sales[[#This Row],[Gross Amount]]-Sales[[#This Row],[Disc. Amt.]]+Sales[[#This Row],[GST Amount]]</f>
        <v>16513.392</v>
      </c>
      <c r="O2789" s="158" t="s">
        <v>3561</v>
      </c>
      <c r="P2789" s="158" t="s">
        <v>3562</v>
      </c>
      <c r="Q2789" s="160">
        <f>IF(Sales[[#This Row],[Status]]="Cancelled",0,Sales[[#This Row],[Qty]])</f>
        <v>2</v>
      </c>
      <c r="R2789" s="161">
        <f>IF(Sales[[#This Row],[Status]]="Cancelled",0,Sales[[#This Row],[Total Amount]])</f>
        <v>16513.392</v>
      </c>
      <c r="S2789" s="162">
        <f>SUM(Sales[Net Amount])</f>
        <v>406839287.73200053</v>
      </c>
    </row>
    <row r="2790" spans="1:19" ht="18.75" x14ac:dyDescent="0.25">
      <c r="A2790" s="163" t="s">
        <v>6429</v>
      </c>
      <c r="B2790" s="164">
        <v>45919</v>
      </c>
      <c r="C2790" s="34" t="s">
        <v>847</v>
      </c>
      <c r="D2790" s="53" t="str">
        <f>VLOOKUP(Sales[[#This Row],[Customer ID]],Customer[#All],2,0)</f>
        <v>Ankit Gupta</v>
      </c>
      <c r="E2790" s="34" t="s">
        <v>443</v>
      </c>
      <c r="F2790" s="34" t="str">
        <f>VLOOKUP(Sales[[#This Row],[Product ID]],Product[#All],2,0)</f>
        <v>HP Power Adapter</v>
      </c>
      <c r="G2790" s="53">
        <v>4</v>
      </c>
      <c r="H2790" s="165">
        <f>VLOOKUP(Sales[[#This Row],[Product ID]],Product[#All],7,0)</f>
        <v>3850</v>
      </c>
      <c r="I2790" s="165">
        <f>Sales[[#This Row],[Selling Rate]]*Sales[[#This Row],[Qty]]</f>
        <v>15400</v>
      </c>
      <c r="J2790" s="45">
        <v>0</v>
      </c>
      <c r="K2790" s="46">
        <f>Sales[[#This Row],[Gross Amount]]*Sales[[#This Row],[Disc %]]</f>
        <v>0</v>
      </c>
      <c r="L2790" s="43">
        <v>0.18</v>
      </c>
      <c r="M2790" s="46">
        <f>(Sales[[#This Row],[Gross Amount]]-Sales[[#This Row],[Disc. Amt.]])*Sales[[#This Row],[GST %]]</f>
        <v>2772</v>
      </c>
      <c r="N2790" s="161">
        <f>Sales[[#This Row],[Gross Amount]]-Sales[[#This Row],[Disc. Amt.]]+Sales[[#This Row],[GST Amount]]</f>
        <v>18172</v>
      </c>
      <c r="O2790" s="34" t="s">
        <v>3561</v>
      </c>
      <c r="P2790" s="34" t="s">
        <v>3562</v>
      </c>
      <c r="Q2790" s="165">
        <f>IF(Sales[[#This Row],[Status]]="Cancelled",0,Sales[[#This Row],[Qty]])</f>
        <v>4</v>
      </c>
      <c r="R2790" s="166">
        <f>IF(Sales[[#This Row],[Status]]="Cancelled",0,Sales[[#This Row],[Total Amount]])</f>
        <v>18172</v>
      </c>
      <c r="S2790" s="162">
        <f>SUM(Sales[Net Amount])</f>
        <v>406839287.73200053</v>
      </c>
    </row>
    <row r="2791" spans="1:19" ht="18.75" x14ac:dyDescent="0.25">
      <c r="A2791" s="156" t="s">
        <v>6430</v>
      </c>
      <c r="B2791" s="157">
        <v>45919</v>
      </c>
      <c r="C2791" s="158" t="s">
        <v>880</v>
      </c>
      <c r="D2791" s="159" t="str">
        <f>VLOOKUP(Sales[[#This Row],[Customer ID]],Customer[#All],2,0)</f>
        <v>Rahul Sharma</v>
      </c>
      <c r="E2791" s="158" t="s">
        <v>180</v>
      </c>
      <c r="F2791" s="158" t="str">
        <f>VLOOKUP(Sales[[#This Row],[Product ID]],Product[#All],2,0)</f>
        <v>Kingston Ram</v>
      </c>
      <c r="G2791" s="159">
        <v>2</v>
      </c>
      <c r="H2791" s="160">
        <f>VLOOKUP(Sales[[#This Row],[Product ID]],Product[#All],7,0)</f>
        <v>11780</v>
      </c>
      <c r="I2791" s="160">
        <f>Sales[[#This Row],[Selling Rate]]*Sales[[#This Row],[Qty]]</f>
        <v>23560</v>
      </c>
      <c r="J2791" s="43">
        <v>0.15</v>
      </c>
      <c r="K2791" s="44">
        <f>Sales[[#This Row],[Gross Amount]]*Sales[[#This Row],[Disc %]]</f>
        <v>3534</v>
      </c>
      <c r="L2791" s="43">
        <v>0.18</v>
      </c>
      <c r="M2791" s="44">
        <f>(Sales[[#This Row],[Gross Amount]]-Sales[[#This Row],[Disc. Amt.]])*Sales[[#This Row],[GST %]]</f>
        <v>3604.68</v>
      </c>
      <c r="N2791" s="161">
        <f>Sales[[#This Row],[Gross Amount]]-Sales[[#This Row],[Disc. Amt.]]+Sales[[#This Row],[GST Amount]]</f>
        <v>23630.68</v>
      </c>
      <c r="O2791" s="158" t="s">
        <v>8876</v>
      </c>
      <c r="P2791" s="158" t="s">
        <v>3562</v>
      </c>
      <c r="Q2791" s="160">
        <f>IF(Sales[[#This Row],[Status]]="Cancelled",0,Sales[[#This Row],[Qty]])</f>
        <v>2</v>
      </c>
      <c r="R2791" s="161">
        <f>IF(Sales[[#This Row],[Status]]="Cancelled",0,Sales[[#This Row],[Total Amount]])</f>
        <v>23630.68</v>
      </c>
      <c r="S2791" s="162">
        <f>SUM(Sales[Net Amount])</f>
        <v>406839287.73200053</v>
      </c>
    </row>
    <row r="2792" spans="1:19" ht="18.75" x14ac:dyDescent="0.25">
      <c r="A2792" s="163" t="s">
        <v>6431</v>
      </c>
      <c r="B2792" s="164">
        <v>45919</v>
      </c>
      <c r="C2792" s="34" t="s">
        <v>721</v>
      </c>
      <c r="D2792" s="53" t="str">
        <f>VLOOKUP(Sales[[#This Row],[Customer ID]],Customer[#All],2,0)</f>
        <v>Sahil Sharma</v>
      </c>
      <c r="E2792" s="34" t="s">
        <v>178</v>
      </c>
      <c r="F2792" s="34" t="str">
        <f>VLOOKUP(Sales[[#This Row],[Product ID]],Product[#All],2,0)</f>
        <v>Kingston Ram</v>
      </c>
      <c r="G2792" s="53">
        <v>2</v>
      </c>
      <c r="H2792" s="165">
        <f>VLOOKUP(Sales[[#This Row],[Product ID]],Product[#All],7,0)</f>
        <v>9770</v>
      </c>
      <c r="I2792" s="165">
        <f>Sales[[#This Row],[Selling Rate]]*Sales[[#This Row],[Qty]]</f>
        <v>19540</v>
      </c>
      <c r="J2792" s="45">
        <v>0</v>
      </c>
      <c r="K2792" s="46">
        <f>Sales[[#This Row],[Gross Amount]]*Sales[[#This Row],[Disc %]]</f>
        <v>0</v>
      </c>
      <c r="L2792" s="43">
        <v>0.18</v>
      </c>
      <c r="M2792" s="46">
        <f>(Sales[[#This Row],[Gross Amount]]-Sales[[#This Row],[Disc. Amt.]])*Sales[[#This Row],[GST %]]</f>
        <v>3517.2</v>
      </c>
      <c r="N2792" s="161">
        <f>Sales[[#This Row],[Gross Amount]]-Sales[[#This Row],[Disc. Amt.]]+Sales[[#This Row],[GST Amount]]</f>
        <v>23057.200000000001</v>
      </c>
      <c r="O2792" s="34" t="s">
        <v>3566</v>
      </c>
      <c r="P2792" s="34" t="s">
        <v>3562</v>
      </c>
      <c r="Q2792" s="165">
        <f>IF(Sales[[#This Row],[Status]]="Cancelled",0,Sales[[#This Row],[Qty]])</f>
        <v>2</v>
      </c>
      <c r="R2792" s="166">
        <f>IF(Sales[[#This Row],[Status]]="Cancelled",0,Sales[[#This Row],[Total Amount]])</f>
        <v>23057.200000000001</v>
      </c>
      <c r="S2792" s="162">
        <f>SUM(Sales[Net Amount])</f>
        <v>406839287.73200053</v>
      </c>
    </row>
    <row r="2793" spans="1:19" ht="18.75" x14ac:dyDescent="0.25">
      <c r="A2793" s="156" t="s">
        <v>6432</v>
      </c>
      <c r="B2793" s="157">
        <v>45919</v>
      </c>
      <c r="C2793" s="158" t="s">
        <v>813</v>
      </c>
      <c r="D2793" s="159" t="str">
        <f>VLOOKUP(Sales[[#This Row],[Customer ID]],Customer[#All],2,0)</f>
        <v>Neha Verma</v>
      </c>
      <c r="E2793" s="158" t="s">
        <v>528</v>
      </c>
      <c r="F2793" s="158" t="str">
        <f>VLOOKUP(Sales[[#This Row],[Product ID]],Product[#All],2,0)</f>
        <v>Kingston Ram</v>
      </c>
      <c r="G2793" s="159">
        <v>2</v>
      </c>
      <c r="H2793" s="160">
        <f>VLOOKUP(Sales[[#This Row],[Product ID]],Product[#All],7,0)</f>
        <v>4750</v>
      </c>
      <c r="I2793" s="160">
        <f>Sales[[#This Row],[Selling Rate]]*Sales[[#This Row],[Qty]]</f>
        <v>9500</v>
      </c>
      <c r="J2793" s="43">
        <v>0.05</v>
      </c>
      <c r="K2793" s="44">
        <f>Sales[[#This Row],[Gross Amount]]*Sales[[#This Row],[Disc %]]</f>
        <v>475</v>
      </c>
      <c r="L2793" s="43">
        <v>0.18</v>
      </c>
      <c r="M2793" s="44">
        <f>(Sales[[#This Row],[Gross Amount]]-Sales[[#This Row],[Disc. Amt.]])*Sales[[#This Row],[GST %]]</f>
        <v>1624.5</v>
      </c>
      <c r="N2793" s="161">
        <f>Sales[[#This Row],[Gross Amount]]-Sales[[#This Row],[Disc. Amt.]]+Sales[[#This Row],[GST Amount]]</f>
        <v>10649.5</v>
      </c>
      <c r="O2793" s="158" t="s">
        <v>3561</v>
      </c>
      <c r="P2793" s="158" t="s">
        <v>3562</v>
      </c>
      <c r="Q2793" s="160">
        <f>IF(Sales[[#This Row],[Status]]="Cancelled",0,Sales[[#This Row],[Qty]])</f>
        <v>2</v>
      </c>
      <c r="R2793" s="161">
        <f>IF(Sales[[#This Row],[Status]]="Cancelled",0,Sales[[#This Row],[Total Amount]])</f>
        <v>10649.5</v>
      </c>
      <c r="S2793" s="162">
        <f>SUM(Sales[Net Amount])</f>
        <v>406839287.73200053</v>
      </c>
    </row>
    <row r="2794" spans="1:19" ht="18.75" x14ac:dyDescent="0.25">
      <c r="A2794" s="163" t="s">
        <v>6433</v>
      </c>
      <c r="B2794" s="164">
        <v>45919</v>
      </c>
      <c r="C2794" s="34" t="s">
        <v>865</v>
      </c>
      <c r="D2794" s="53" t="str">
        <f>VLOOKUP(Sales[[#This Row],[Customer ID]],Customer[#All],2,0)</f>
        <v>Sunita Gupta</v>
      </c>
      <c r="E2794" s="34" t="s">
        <v>198</v>
      </c>
      <c r="F2794" s="34" t="str">
        <f>VLOOKUP(Sales[[#This Row],[Product ID]],Product[#All],2,0)</f>
        <v>PortronicsLaptopStand</v>
      </c>
      <c r="G2794" s="53">
        <v>4</v>
      </c>
      <c r="H2794" s="165">
        <f>VLOOKUP(Sales[[#This Row],[Product ID]],Product[#All],7,0)</f>
        <v>2240</v>
      </c>
      <c r="I2794" s="165">
        <f>Sales[[#This Row],[Selling Rate]]*Sales[[#This Row],[Qty]]</f>
        <v>8960</v>
      </c>
      <c r="J2794" s="45">
        <v>0</v>
      </c>
      <c r="K2794" s="46">
        <f>Sales[[#This Row],[Gross Amount]]*Sales[[#This Row],[Disc %]]</f>
        <v>0</v>
      </c>
      <c r="L2794" s="43">
        <v>0.18</v>
      </c>
      <c r="M2794" s="46">
        <f>(Sales[[#This Row],[Gross Amount]]-Sales[[#This Row],[Disc. Amt.]])*Sales[[#This Row],[GST %]]</f>
        <v>1612.8</v>
      </c>
      <c r="N2794" s="161">
        <f>Sales[[#This Row],[Gross Amount]]-Sales[[#This Row],[Disc. Amt.]]+Sales[[#This Row],[GST Amount]]</f>
        <v>10572.8</v>
      </c>
      <c r="O2794" s="34" t="s">
        <v>8876</v>
      </c>
      <c r="P2794" s="34" t="s">
        <v>3562</v>
      </c>
      <c r="Q2794" s="165">
        <f>IF(Sales[[#This Row],[Status]]="Cancelled",0,Sales[[#This Row],[Qty]])</f>
        <v>4</v>
      </c>
      <c r="R2794" s="166">
        <f>IF(Sales[[#This Row],[Status]]="Cancelled",0,Sales[[#This Row],[Total Amount]])</f>
        <v>10572.8</v>
      </c>
      <c r="S2794" s="162">
        <f>SUM(Sales[Net Amount])</f>
        <v>406839287.73200053</v>
      </c>
    </row>
    <row r="2795" spans="1:19" ht="18.75" x14ac:dyDescent="0.25">
      <c r="A2795" s="156" t="s">
        <v>6434</v>
      </c>
      <c r="B2795" s="157">
        <v>45919</v>
      </c>
      <c r="C2795" s="158" t="s">
        <v>843</v>
      </c>
      <c r="D2795" s="159" t="str">
        <f>VLOOKUP(Sales[[#This Row],[Customer ID]],Customer[#All],2,0)</f>
        <v>Amit Verma</v>
      </c>
      <c r="E2795" s="158" t="s">
        <v>319</v>
      </c>
      <c r="F2795" s="158" t="str">
        <f>VLOOKUP(Sales[[#This Row],[Product ID]],Product[#All],2,0)</f>
        <v>Seagate HDD</v>
      </c>
      <c r="G2795" s="159">
        <v>3</v>
      </c>
      <c r="H2795" s="160">
        <f>VLOOKUP(Sales[[#This Row],[Product ID]],Product[#All],7,0)</f>
        <v>10650</v>
      </c>
      <c r="I2795" s="160">
        <f>Sales[[#This Row],[Selling Rate]]*Sales[[#This Row],[Qty]]</f>
        <v>31950</v>
      </c>
      <c r="J2795" s="43">
        <v>0.15</v>
      </c>
      <c r="K2795" s="44">
        <f>Sales[[#This Row],[Gross Amount]]*Sales[[#This Row],[Disc %]]</f>
        <v>4792.5</v>
      </c>
      <c r="L2795" s="43">
        <v>0.18</v>
      </c>
      <c r="M2795" s="44">
        <f>(Sales[[#This Row],[Gross Amount]]-Sales[[#This Row],[Disc. Amt.]])*Sales[[#This Row],[GST %]]</f>
        <v>4888.3499999999995</v>
      </c>
      <c r="N2795" s="161">
        <f>Sales[[#This Row],[Gross Amount]]-Sales[[#This Row],[Disc. Amt.]]+Sales[[#This Row],[GST Amount]]</f>
        <v>32045.85</v>
      </c>
      <c r="O2795" s="158" t="s">
        <v>3569</v>
      </c>
      <c r="P2795" s="158" t="s">
        <v>3562</v>
      </c>
      <c r="Q2795" s="160">
        <f>IF(Sales[[#This Row],[Status]]="Cancelled",0,Sales[[#This Row],[Qty]])</f>
        <v>3</v>
      </c>
      <c r="R2795" s="161">
        <f>IF(Sales[[#This Row],[Status]]="Cancelled",0,Sales[[#This Row],[Total Amount]])</f>
        <v>32045.85</v>
      </c>
      <c r="S2795" s="162">
        <f>SUM(Sales[Net Amount])</f>
        <v>406839287.73200053</v>
      </c>
    </row>
    <row r="2796" spans="1:19" ht="18.75" x14ac:dyDescent="0.25">
      <c r="A2796" s="163" t="s">
        <v>6435</v>
      </c>
      <c r="B2796" s="164">
        <v>45919</v>
      </c>
      <c r="C2796" s="34" t="s">
        <v>835</v>
      </c>
      <c r="D2796" s="53" t="str">
        <f>VLOOKUP(Sales[[#This Row],[Customer ID]],Customer[#All],2,0)</f>
        <v>Ankit Kumar</v>
      </c>
      <c r="E2796" s="34" t="s">
        <v>31</v>
      </c>
      <c r="F2796" s="34" t="str">
        <f>VLOOKUP(Sales[[#This Row],[Product ID]],Product[#All],2,0)</f>
        <v>Logitech Mouse</v>
      </c>
      <c r="G2796" s="53">
        <v>1</v>
      </c>
      <c r="H2796" s="165">
        <f>VLOOKUP(Sales[[#This Row],[Product ID]],Product[#All],7,0)</f>
        <v>2660</v>
      </c>
      <c r="I2796" s="165">
        <f>Sales[[#This Row],[Selling Rate]]*Sales[[#This Row],[Qty]]</f>
        <v>2660</v>
      </c>
      <c r="J2796" s="45">
        <v>0</v>
      </c>
      <c r="K2796" s="46">
        <f>Sales[[#This Row],[Gross Amount]]*Sales[[#This Row],[Disc %]]</f>
        <v>0</v>
      </c>
      <c r="L2796" s="43">
        <v>0.18</v>
      </c>
      <c r="M2796" s="46">
        <f>(Sales[[#This Row],[Gross Amount]]-Sales[[#This Row],[Disc. Amt.]])*Sales[[#This Row],[GST %]]</f>
        <v>478.79999999999995</v>
      </c>
      <c r="N2796" s="161">
        <f>Sales[[#This Row],[Gross Amount]]-Sales[[#This Row],[Disc. Amt.]]+Sales[[#This Row],[GST Amount]]</f>
        <v>3138.8</v>
      </c>
      <c r="O2796" s="34" t="s">
        <v>3569</v>
      </c>
      <c r="P2796" s="34" t="s">
        <v>3562</v>
      </c>
      <c r="Q2796" s="165">
        <f>IF(Sales[[#This Row],[Status]]="Cancelled",0,Sales[[#This Row],[Qty]])</f>
        <v>1</v>
      </c>
      <c r="R2796" s="166">
        <f>IF(Sales[[#This Row],[Status]]="Cancelled",0,Sales[[#This Row],[Total Amount]])</f>
        <v>3138.8</v>
      </c>
      <c r="S2796" s="162">
        <f>SUM(Sales[Net Amount])</f>
        <v>406839287.73200053</v>
      </c>
    </row>
    <row r="2797" spans="1:19" ht="18.75" x14ac:dyDescent="0.25">
      <c r="A2797" s="156" t="s">
        <v>6436</v>
      </c>
      <c r="B2797" s="157">
        <v>45919</v>
      </c>
      <c r="C2797" s="158" t="s">
        <v>842</v>
      </c>
      <c r="D2797" s="159" t="str">
        <f>VLOOKUP(Sales[[#This Row],[Customer ID]],Customer[#All],2,0)</f>
        <v>Priya Gupta</v>
      </c>
      <c r="E2797" s="158" t="s">
        <v>262</v>
      </c>
      <c r="F2797" s="158" t="str">
        <f>VLOOKUP(Sales[[#This Row],[Product ID]],Product[#All],2,0)</f>
        <v>HP Power Adapter</v>
      </c>
      <c r="G2797" s="159">
        <v>1</v>
      </c>
      <c r="H2797" s="160">
        <f>VLOOKUP(Sales[[#This Row],[Product ID]],Product[#All],7,0)</f>
        <v>3560</v>
      </c>
      <c r="I2797" s="160">
        <f>Sales[[#This Row],[Selling Rate]]*Sales[[#This Row],[Qty]]</f>
        <v>3560</v>
      </c>
      <c r="J2797" s="43">
        <v>0.02</v>
      </c>
      <c r="K2797" s="44">
        <f>Sales[[#This Row],[Gross Amount]]*Sales[[#This Row],[Disc %]]</f>
        <v>71.2</v>
      </c>
      <c r="L2797" s="43">
        <v>0.18</v>
      </c>
      <c r="M2797" s="44">
        <f>(Sales[[#This Row],[Gross Amount]]-Sales[[#This Row],[Disc. Amt.]])*Sales[[#This Row],[GST %]]</f>
        <v>627.98400000000004</v>
      </c>
      <c r="N2797" s="161">
        <f>Sales[[#This Row],[Gross Amount]]-Sales[[#This Row],[Disc. Amt.]]+Sales[[#This Row],[GST Amount]]</f>
        <v>4116.7840000000006</v>
      </c>
      <c r="O2797" s="158" t="s">
        <v>3566</v>
      </c>
      <c r="P2797" s="158" t="s">
        <v>3562</v>
      </c>
      <c r="Q2797" s="160">
        <f>IF(Sales[[#This Row],[Status]]="Cancelled",0,Sales[[#This Row],[Qty]])</f>
        <v>1</v>
      </c>
      <c r="R2797" s="161">
        <f>IF(Sales[[#This Row],[Status]]="Cancelled",0,Sales[[#This Row],[Total Amount]])</f>
        <v>4116.7840000000006</v>
      </c>
      <c r="S2797" s="162">
        <f>SUM(Sales[Net Amount])</f>
        <v>406839287.73200053</v>
      </c>
    </row>
    <row r="2798" spans="1:19" ht="18.75" x14ac:dyDescent="0.25">
      <c r="A2798" s="163" t="s">
        <v>6437</v>
      </c>
      <c r="B2798" s="164">
        <v>45919</v>
      </c>
      <c r="C2798" s="34" t="s">
        <v>661</v>
      </c>
      <c r="D2798" s="53" t="str">
        <f>VLOOKUP(Sales[[#This Row],[Customer ID]],Customer[#All],2,0)</f>
        <v>Pooja Gupta</v>
      </c>
      <c r="E2798" s="34" t="s">
        <v>356</v>
      </c>
      <c r="F2798" s="34" t="str">
        <f>VLOOKUP(Sales[[#This Row],[Product ID]],Product[#All],2,0)</f>
        <v>Corsair Ram</v>
      </c>
      <c r="G2798" s="53">
        <v>8</v>
      </c>
      <c r="H2798" s="165">
        <f>VLOOKUP(Sales[[#This Row],[Product ID]],Product[#All],7,0)</f>
        <v>8460</v>
      </c>
      <c r="I2798" s="165">
        <f>Sales[[#This Row],[Selling Rate]]*Sales[[#This Row],[Qty]]</f>
        <v>67680</v>
      </c>
      <c r="J2798" s="45">
        <v>0</v>
      </c>
      <c r="K2798" s="46">
        <f>Sales[[#This Row],[Gross Amount]]*Sales[[#This Row],[Disc %]]</f>
        <v>0</v>
      </c>
      <c r="L2798" s="43">
        <v>0.18</v>
      </c>
      <c r="M2798" s="46">
        <f>(Sales[[#This Row],[Gross Amount]]-Sales[[#This Row],[Disc. Amt.]])*Sales[[#This Row],[GST %]]</f>
        <v>12182.4</v>
      </c>
      <c r="N2798" s="161">
        <f>Sales[[#This Row],[Gross Amount]]-Sales[[#This Row],[Disc. Amt.]]+Sales[[#This Row],[GST Amount]]</f>
        <v>79862.399999999994</v>
      </c>
      <c r="O2798" s="34" t="s">
        <v>8876</v>
      </c>
      <c r="P2798" s="34" t="s">
        <v>3562</v>
      </c>
      <c r="Q2798" s="165">
        <f>IF(Sales[[#This Row],[Status]]="Cancelled",0,Sales[[#This Row],[Qty]])</f>
        <v>8</v>
      </c>
      <c r="R2798" s="166">
        <f>IF(Sales[[#This Row],[Status]]="Cancelled",0,Sales[[#This Row],[Total Amount]])</f>
        <v>79862.399999999994</v>
      </c>
      <c r="S2798" s="162">
        <f>SUM(Sales[Net Amount])</f>
        <v>406839287.73200053</v>
      </c>
    </row>
    <row r="2799" spans="1:19" ht="18.75" x14ac:dyDescent="0.25">
      <c r="A2799" s="156" t="s">
        <v>6438</v>
      </c>
      <c r="B2799" s="157">
        <v>45919</v>
      </c>
      <c r="C2799" s="158" t="s">
        <v>809</v>
      </c>
      <c r="D2799" s="159" t="str">
        <f>VLOOKUP(Sales[[#This Row],[Customer ID]],Customer[#All],2,0)</f>
        <v>Priya Patel</v>
      </c>
      <c r="E2799" s="158" t="s">
        <v>378</v>
      </c>
      <c r="F2799" s="158" t="str">
        <f>VLOOKUP(Sales[[#This Row],[Product ID]],Product[#All],2,0)</f>
        <v>Kingston Ram</v>
      </c>
      <c r="G2799" s="159">
        <v>5</v>
      </c>
      <c r="H2799" s="160">
        <f>VLOOKUP(Sales[[#This Row],[Product ID]],Product[#All],7,0)</f>
        <v>4420</v>
      </c>
      <c r="I2799" s="160">
        <f>Sales[[#This Row],[Selling Rate]]*Sales[[#This Row],[Qty]]</f>
        <v>22100</v>
      </c>
      <c r="J2799" s="43">
        <v>0.12</v>
      </c>
      <c r="K2799" s="44">
        <f>Sales[[#This Row],[Gross Amount]]*Sales[[#This Row],[Disc %]]</f>
        <v>2652</v>
      </c>
      <c r="L2799" s="43">
        <v>0.18</v>
      </c>
      <c r="M2799" s="44">
        <f>(Sales[[#This Row],[Gross Amount]]-Sales[[#This Row],[Disc. Amt.]])*Sales[[#This Row],[GST %]]</f>
        <v>3500.64</v>
      </c>
      <c r="N2799" s="161">
        <f>Sales[[#This Row],[Gross Amount]]-Sales[[#This Row],[Disc. Amt.]]+Sales[[#This Row],[GST Amount]]</f>
        <v>22948.639999999999</v>
      </c>
      <c r="O2799" s="158" t="s">
        <v>3561</v>
      </c>
      <c r="P2799" s="158" t="s">
        <v>3562</v>
      </c>
      <c r="Q2799" s="160">
        <f>IF(Sales[[#This Row],[Status]]="Cancelled",0,Sales[[#This Row],[Qty]])</f>
        <v>5</v>
      </c>
      <c r="R2799" s="161">
        <f>IF(Sales[[#This Row],[Status]]="Cancelled",0,Sales[[#This Row],[Total Amount]])</f>
        <v>22948.639999999999</v>
      </c>
      <c r="S2799" s="162">
        <f>SUM(Sales[Net Amount])</f>
        <v>406839287.73200053</v>
      </c>
    </row>
    <row r="2800" spans="1:19" ht="18.75" x14ac:dyDescent="0.25">
      <c r="A2800" s="163" t="s">
        <v>6439</v>
      </c>
      <c r="B2800" s="164">
        <v>45919</v>
      </c>
      <c r="C2800" s="34" t="s">
        <v>806</v>
      </c>
      <c r="D2800" s="53" t="str">
        <f>VLOOKUP(Sales[[#This Row],[Customer ID]],Customer[#All],2,0)</f>
        <v>Vikas Singh</v>
      </c>
      <c r="E2800" s="34" t="s">
        <v>122</v>
      </c>
      <c r="F2800" s="34" t="str">
        <f>VLOOKUP(Sales[[#This Row],[Product ID]],Product[#All],2,0)</f>
        <v>HP Mouse</v>
      </c>
      <c r="G2800" s="53">
        <v>8</v>
      </c>
      <c r="H2800" s="165">
        <f>VLOOKUP(Sales[[#This Row],[Product ID]],Product[#All],7,0)</f>
        <v>1980</v>
      </c>
      <c r="I2800" s="165">
        <f>Sales[[#This Row],[Selling Rate]]*Sales[[#This Row],[Qty]]</f>
        <v>15840</v>
      </c>
      <c r="J2800" s="45">
        <v>0.05</v>
      </c>
      <c r="K2800" s="46">
        <f>Sales[[#This Row],[Gross Amount]]*Sales[[#This Row],[Disc %]]</f>
        <v>792</v>
      </c>
      <c r="L2800" s="43">
        <v>0.18</v>
      </c>
      <c r="M2800" s="46">
        <f>(Sales[[#This Row],[Gross Amount]]-Sales[[#This Row],[Disc. Amt.]])*Sales[[#This Row],[GST %]]</f>
        <v>2708.64</v>
      </c>
      <c r="N2800" s="161">
        <f>Sales[[#This Row],[Gross Amount]]-Sales[[#This Row],[Disc. Amt.]]+Sales[[#This Row],[GST Amount]]</f>
        <v>17756.64</v>
      </c>
      <c r="O2800" s="34" t="s">
        <v>8876</v>
      </c>
      <c r="P2800" s="34" t="s">
        <v>3562</v>
      </c>
      <c r="Q2800" s="165">
        <f>IF(Sales[[#This Row],[Status]]="Cancelled",0,Sales[[#This Row],[Qty]])</f>
        <v>8</v>
      </c>
      <c r="R2800" s="166">
        <f>IF(Sales[[#This Row],[Status]]="Cancelled",0,Sales[[#This Row],[Total Amount]])</f>
        <v>17756.64</v>
      </c>
      <c r="S2800" s="162">
        <f>SUM(Sales[Net Amount])</f>
        <v>406839287.73200053</v>
      </c>
    </row>
    <row r="2801" spans="1:19" ht="18.75" x14ac:dyDescent="0.25">
      <c r="A2801" s="156" t="s">
        <v>6440</v>
      </c>
      <c r="B2801" s="157">
        <v>45919</v>
      </c>
      <c r="C2801" s="158" t="s">
        <v>7375</v>
      </c>
      <c r="D2801" s="159" t="str">
        <f>VLOOKUP(Sales[[#This Row],[Customer ID]],Customer[#All],2,0)</f>
        <v>Neha Sharma</v>
      </c>
      <c r="E2801" s="158" t="s">
        <v>456</v>
      </c>
      <c r="F2801" s="158" t="str">
        <f>VLOOKUP(Sales[[#This Row],[Product ID]],Product[#All],2,0)</f>
        <v>Acer Laptop</v>
      </c>
      <c r="G2801" s="159">
        <v>2</v>
      </c>
      <c r="H2801" s="160">
        <f>VLOOKUP(Sales[[#This Row],[Product ID]],Product[#All],7,0)</f>
        <v>66790</v>
      </c>
      <c r="I2801" s="160">
        <f>Sales[[#This Row],[Selling Rate]]*Sales[[#This Row],[Qty]]</f>
        <v>133580</v>
      </c>
      <c r="J2801" s="43">
        <v>0</v>
      </c>
      <c r="K2801" s="44">
        <f>Sales[[#This Row],[Gross Amount]]*Sales[[#This Row],[Disc %]]</f>
        <v>0</v>
      </c>
      <c r="L2801" s="43">
        <v>0.18</v>
      </c>
      <c r="M2801" s="44">
        <f>(Sales[[#This Row],[Gross Amount]]-Sales[[#This Row],[Disc. Amt.]])*Sales[[#This Row],[GST %]]</f>
        <v>24044.399999999998</v>
      </c>
      <c r="N2801" s="161">
        <f>Sales[[#This Row],[Gross Amount]]-Sales[[#This Row],[Disc. Amt.]]+Sales[[#This Row],[GST Amount]]</f>
        <v>157624.4</v>
      </c>
      <c r="O2801" s="158" t="s">
        <v>3561</v>
      </c>
      <c r="P2801" s="158" t="s">
        <v>3562</v>
      </c>
      <c r="Q2801" s="160">
        <f>IF(Sales[[#This Row],[Status]]="Cancelled",0,Sales[[#This Row],[Qty]])</f>
        <v>2</v>
      </c>
      <c r="R2801" s="161">
        <f>IF(Sales[[#This Row],[Status]]="Cancelled",0,Sales[[#This Row],[Total Amount]])</f>
        <v>157624.4</v>
      </c>
      <c r="S2801" s="162">
        <f>SUM(Sales[Net Amount])</f>
        <v>406839287.73200053</v>
      </c>
    </row>
    <row r="2802" spans="1:19" ht="18.75" x14ac:dyDescent="0.25">
      <c r="A2802" s="163" t="s">
        <v>6441</v>
      </c>
      <c r="B2802" s="164">
        <v>45919</v>
      </c>
      <c r="C2802" s="34" t="s">
        <v>730</v>
      </c>
      <c r="D2802" s="53" t="str">
        <f>VLOOKUP(Sales[[#This Row],[Customer ID]],Customer[#All],2,0)</f>
        <v>Neha Verma</v>
      </c>
      <c r="E2802" s="34" t="s">
        <v>310</v>
      </c>
      <c r="F2802" s="34" t="str">
        <f>VLOOKUP(Sales[[#This Row],[Product ID]],Product[#All],2,0)</f>
        <v>TP-link Wi-Fi Adapter</v>
      </c>
      <c r="G2802" s="53">
        <v>8</v>
      </c>
      <c r="H2802" s="165">
        <f>VLOOKUP(Sales[[#This Row],[Product ID]],Product[#All],7,0)</f>
        <v>700</v>
      </c>
      <c r="I2802" s="165">
        <f>Sales[[#This Row],[Selling Rate]]*Sales[[#This Row],[Qty]]</f>
        <v>5600</v>
      </c>
      <c r="J2802" s="45">
        <v>0.02</v>
      </c>
      <c r="K2802" s="46">
        <f>Sales[[#This Row],[Gross Amount]]*Sales[[#This Row],[Disc %]]</f>
        <v>112</v>
      </c>
      <c r="L2802" s="43">
        <v>0.18</v>
      </c>
      <c r="M2802" s="46">
        <f>(Sales[[#This Row],[Gross Amount]]-Sales[[#This Row],[Disc. Amt.]])*Sales[[#This Row],[GST %]]</f>
        <v>987.83999999999992</v>
      </c>
      <c r="N2802" s="161">
        <f>Sales[[#This Row],[Gross Amount]]-Sales[[#This Row],[Disc. Amt.]]+Sales[[#This Row],[GST Amount]]</f>
        <v>6475.84</v>
      </c>
      <c r="O2802" s="34" t="s">
        <v>3566</v>
      </c>
      <c r="P2802" s="34" t="s">
        <v>3562</v>
      </c>
      <c r="Q2802" s="165">
        <f>IF(Sales[[#This Row],[Status]]="Cancelled",0,Sales[[#This Row],[Qty]])</f>
        <v>8</v>
      </c>
      <c r="R2802" s="166">
        <f>IF(Sales[[#This Row],[Status]]="Cancelled",0,Sales[[#This Row],[Total Amount]])</f>
        <v>6475.84</v>
      </c>
      <c r="S2802" s="162">
        <f>SUM(Sales[Net Amount])</f>
        <v>406839287.73200053</v>
      </c>
    </row>
    <row r="2803" spans="1:19" ht="18.75" x14ac:dyDescent="0.25">
      <c r="A2803" s="156" t="s">
        <v>6442</v>
      </c>
      <c r="B2803" s="157">
        <v>45920</v>
      </c>
      <c r="C2803" s="158" t="s">
        <v>820</v>
      </c>
      <c r="D2803" s="159" t="str">
        <f>VLOOKUP(Sales[[#This Row],[Customer ID]],Customer[#All],2,0)</f>
        <v>Sahil Gupta</v>
      </c>
      <c r="E2803" s="158" t="s">
        <v>166</v>
      </c>
      <c r="F2803" s="158" t="str">
        <f>VLOOKUP(Sales[[#This Row],[Product ID]],Product[#All],2,0)</f>
        <v>Canon Printer</v>
      </c>
      <c r="G2803" s="159">
        <v>8</v>
      </c>
      <c r="H2803" s="160">
        <f>VLOOKUP(Sales[[#This Row],[Product ID]],Product[#All],7,0)</f>
        <v>36680</v>
      </c>
      <c r="I2803" s="160">
        <f>Sales[[#This Row],[Selling Rate]]*Sales[[#This Row],[Qty]]</f>
        <v>293440</v>
      </c>
      <c r="J2803" s="43">
        <v>0.05</v>
      </c>
      <c r="K2803" s="44">
        <f>Sales[[#This Row],[Gross Amount]]*Sales[[#This Row],[Disc %]]</f>
        <v>14672</v>
      </c>
      <c r="L2803" s="43">
        <v>0.18</v>
      </c>
      <c r="M2803" s="44">
        <f>(Sales[[#This Row],[Gross Amount]]-Sales[[#This Row],[Disc. Amt.]])*Sales[[#This Row],[GST %]]</f>
        <v>50178.239999999998</v>
      </c>
      <c r="N2803" s="161">
        <f>Sales[[#This Row],[Gross Amount]]-Sales[[#This Row],[Disc. Amt.]]+Sales[[#This Row],[GST Amount]]</f>
        <v>328946.24</v>
      </c>
      <c r="O2803" s="158" t="s">
        <v>3569</v>
      </c>
      <c r="P2803" s="158" t="s">
        <v>3562</v>
      </c>
      <c r="Q2803" s="160">
        <f>IF(Sales[[#This Row],[Status]]="Cancelled",0,Sales[[#This Row],[Qty]])</f>
        <v>8</v>
      </c>
      <c r="R2803" s="161">
        <f>IF(Sales[[#This Row],[Status]]="Cancelled",0,Sales[[#This Row],[Total Amount]])</f>
        <v>328946.24</v>
      </c>
      <c r="S2803" s="162">
        <f>SUM(Sales[Net Amount])</f>
        <v>406839287.73200053</v>
      </c>
    </row>
    <row r="2804" spans="1:19" ht="18.75" x14ac:dyDescent="0.25">
      <c r="A2804" s="163" t="s">
        <v>6443</v>
      </c>
      <c r="B2804" s="164">
        <v>45920</v>
      </c>
      <c r="C2804" s="34" t="s">
        <v>703</v>
      </c>
      <c r="D2804" s="53" t="str">
        <f>VLOOKUP(Sales[[#This Row],[Customer ID]],Customer[#All],2,0)</f>
        <v>Rahul Singh</v>
      </c>
      <c r="E2804" s="34" t="s">
        <v>352</v>
      </c>
      <c r="F2804" s="34" t="str">
        <f>VLOOKUP(Sales[[#This Row],[Product ID]],Product[#All],2,0)</f>
        <v>Seagate HDD</v>
      </c>
      <c r="G2804" s="53">
        <v>3</v>
      </c>
      <c r="H2804" s="165">
        <f>VLOOKUP(Sales[[#This Row],[Product ID]],Product[#All],7,0)</f>
        <v>13350</v>
      </c>
      <c r="I2804" s="165">
        <f>Sales[[#This Row],[Selling Rate]]*Sales[[#This Row],[Qty]]</f>
        <v>40050</v>
      </c>
      <c r="J2804" s="45">
        <v>0.15</v>
      </c>
      <c r="K2804" s="46">
        <f>Sales[[#This Row],[Gross Amount]]*Sales[[#This Row],[Disc %]]</f>
        <v>6007.5</v>
      </c>
      <c r="L2804" s="43">
        <v>0.18</v>
      </c>
      <c r="M2804" s="46">
        <f>(Sales[[#This Row],[Gross Amount]]-Sales[[#This Row],[Disc. Amt.]])*Sales[[#This Row],[GST %]]</f>
        <v>6127.65</v>
      </c>
      <c r="N2804" s="161">
        <f>Sales[[#This Row],[Gross Amount]]-Sales[[#This Row],[Disc. Amt.]]+Sales[[#This Row],[GST Amount]]</f>
        <v>40170.15</v>
      </c>
      <c r="O2804" s="34" t="s">
        <v>3566</v>
      </c>
      <c r="P2804" s="34" t="s">
        <v>3562</v>
      </c>
      <c r="Q2804" s="165">
        <f>IF(Sales[[#This Row],[Status]]="Cancelled",0,Sales[[#This Row],[Qty]])</f>
        <v>3</v>
      </c>
      <c r="R2804" s="166">
        <f>IF(Sales[[#This Row],[Status]]="Cancelled",0,Sales[[#This Row],[Total Amount]])</f>
        <v>40170.15</v>
      </c>
      <c r="S2804" s="162">
        <f>SUM(Sales[Net Amount])</f>
        <v>406839287.73200053</v>
      </c>
    </row>
    <row r="2805" spans="1:19" ht="18.75" x14ac:dyDescent="0.25">
      <c r="A2805" s="156" t="s">
        <v>6444</v>
      </c>
      <c r="B2805" s="157">
        <v>45920</v>
      </c>
      <c r="C2805" s="158" t="s">
        <v>813</v>
      </c>
      <c r="D2805" s="159" t="str">
        <f>VLOOKUP(Sales[[#This Row],[Customer ID]],Customer[#All],2,0)</f>
        <v>Neha Verma</v>
      </c>
      <c r="E2805" s="158" t="s">
        <v>387</v>
      </c>
      <c r="F2805" s="158" t="str">
        <f>VLOOKUP(Sales[[#This Row],[Product ID]],Product[#All],2,0)</f>
        <v>HP Printer</v>
      </c>
      <c r="G2805" s="159">
        <v>6</v>
      </c>
      <c r="H2805" s="160">
        <f>VLOOKUP(Sales[[#This Row],[Product ID]],Product[#All],7,0)</f>
        <v>14390</v>
      </c>
      <c r="I2805" s="160">
        <f>Sales[[#This Row],[Selling Rate]]*Sales[[#This Row],[Qty]]</f>
        <v>86340</v>
      </c>
      <c r="J2805" s="43">
        <v>0.05</v>
      </c>
      <c r="K2805" s="44">
        <f>Sales[[#This Row],[Gross Amount]]*Sales[[#This Row],[Disc %]]</f>
        <v>4317</v>
      </c>
      <c r="L2805" s="43">
        <v>0.18</v>
      </c>
      <c r="M2805" s="44">
        <f>(Sales[[#This Row],[Gross Amount]]-Sales[[#This Row],[Disc. Amt.]])*Sales[[#This Row],[GST %]]</f>
        <v>14764.14</v>
      </c>
      <c r="N2805" s="161">
        <f>Sales[[#This Row],[Gross Amount]]-Sales[[#This Row],[Disc. Amt.]]+Sales[[#This Row],[GST Amount]]</f>
        <v>96787.14</v>
      </c>
      <c r="O2805" s="158" t="s">
        <v>3566</v>
      </c>
      <c r="P2805" s="158" t="s">
        <v>3562</v>
      </c>
      <c r="Q2805" s="160">
        <f>IF(Sales[[#This Row],[Status]]="Cancelled",0,Sales[[#This Row],[Qty]])</f>
        <v>6</v>
      </c>
      <c r="R2805" s="161">
        <f>IF(Sales[[#This Row],[Status]]="Cancelled",0,Sales[[#This Row],[Total Amount]])</f>
        <v>96787.14</v>
      </c>
      <c r="S2805" s="162">
        <f>SUM(Sales[Net Amount])</f>
        <v>406839287.73200053</v>
      </c>
    </row>
    <row r="2806" spans="1:19" ht="18.75" x14ac:dyDescent="0.25">
      <c r="A2806" s="163" t="s">
        <v>6445</v>
      </c>
      <c r="B2806" s="164">
        <v>45920</v>
      </c>
      <c r="C2806" s="34" t="s">
        <v>764</v>
      </c>
      <c r="D2806" s="53" t="str">
        <f>VLOOKUP(Sales[[#This Row],[Customer ID]],Customer[#All],2,0)</f>
        <v>Priya Gupta</v>
      </c>
      <c r="E2806" s="34" t="s">
        <v>530</v>
      </c>
      <c r="F2806" s="34" t="str">
        <f>VLOOKUP(Sales[[#This Row],[Product ID]],Product[#All],2,0)</f>
        <v>Acer Laptop</v>
      </c>
      <c r="G2806" s="53">
        <v>3</v>
      </c>
      <c r="H2806" s="165">
        <f>VLOOKUP(Sales[[#This Row],[Product ID]],Product[#All],7,0)</f>
        <v>31390</v>
      </c>
      <c r="I2806" s="165">
        <f>Sales[[#This Row],[Selling Rate]]*Sales[[#This Row],[Qty]]</f>
        <v>94170</v>
      </c>
      <c r="J2806" s="45">
        <v>0.15</v>
      </c>
      <c r="K2806" s="46">
        <f>Sales[[#This Row],[Gross Amount]]*Sales[[#This Row],[Disc %]]</f>
        <v>14125.5</v>
      </c>
      <c r="L2806" s="43">
        <v>0.18</v>
      </c>
      <c r="M2806" s="46">
        <f>(Sales[[#This Row],[Gross Amount]]-Sales[[#This Row],[Disc. Amt.]])*Sales[[#This Row],[GST %]]</f>
        <v>14408.01</v>
      </c>
      <c r="N2806" s="161">
        <f>Sales[[#This Row],[Gross Amount]]-Sales[[#This Row],[Disc. Amt.]]+Sales[[#This Row],[GST Amount]]</f>
        <v>94452.51</v>
      </c>
      <c r="O2806" s="34" t="s">
        <v>8876</v>
      </c>
      <c r="P2806" s="34" t="s">
        <v>3562</v>
      </c>
      <c r="Q2806" s="165">
        <f>IF(Sales[[#This Row],[Status]]="Cancelled",0,Sales[[#This Row],[Qty]])</f>
        <v>3</v>
      </c>
      <c r="R2806" s="166">
        <f>IF(Sales[[#This Row],[Status]]="Cancelled",0,Sales[[#This Row],[Total Amount]])</f>
        <v>94452.51</v>
      </c>
      <c r="S2806" s="162">
        <f>SUM(Sales[Net Amount])</f>
        <v>406839287.73200053</v>
      </c>
    </row>
    <row r="2807" spans="1:19" ht="18.75" x14ac:dyDescent="0.25">
      <c r="A2807" s="156" t="s">
        <v>6446</v>
      </c>
      <c r="B2807" s="157">
        <v>45920</v>
      </c>
      <c r="C2807" s="158" t="s">
        <v>892</v>
      </c>
      <c r="D2807" s="159" t="str">
        <f>VLOOKUP(Sales[[#This Row],[Customer ID]],Customer[#All],2,0)</f>
        <v>Sahil Verma</v>
      </c>
      <c r="E2807" s="158" t="s">
        <v>509</v>
      </c>
      <c r="F2807" s="158" t="str">
        <f>VLOOKUP(Sales[[#This Row],[Product ID]],Product[#All],2,0)</f>
        <v>D-Link Router</v>
      </c>
      <c r="G2807" s="159">
        <v>6</v>
      </c>
      <c r="H2807" s="160">
        <f>VLOOKUP(Sales[[#This Row],[Product ID]],Product[#All],7,0)</f>
        <v>3460</v>
      </c>
      <c r="I2807" s="160">
        <f>Sales[[#This Row],[Selling Rate]]*Sales[[#This Row],[Qty]]</f>
        <v>20760</v>
      </c>
      <c r="J2807" s="43">
        <v>0.05</v>
      </c>
      <c r="K2807" s="44">
        <f>Sales[[#This Row],[Gross Amount]]*Sales[[#This Row],[Disc %]]</f>
        <v>1038</v>
      </c>
      <c r="L2807" s="43">
        <v>0.18</v>
      </c>
      <c r="M2807" s="44">
        <f>(Sales[[#This Row],[Gross Amount]]-Sales[[#This Row],[Disc. Amt.]])*Sales[[#This Row],[GST %]]</f>
        <v>3549.96</v>
      </c>
      <c r="N2807" s="161">
        <f>Sales[[#This Row],[Gross Amount]]-Sales[[#This Row],[Disc. Amt.]]+Sales[[#This Row],[GST Amount]]</f>
        <v>23271.96</v>
      </c>
      <c r="O2807" s="158" t="s">
        <v>3566</v>
      </c>
      <c r="P2807" s="158" t="s">
        <v>3562</v>
      </c>
      <c r="Q2807" s="160">
        <f>IF(Sales[[#This Row],[Status]]="Cancelled",0,Sales[[#This Row],[Qty]])</f>
        <v>6</v>
      </c>
      <c r="R2807" s="161">
        <f>IF(Sales[[#This Row],[Status]]="Cancelled",0,Sales[[#This Row],[Total Amount]])</f>
        <v>23271.96</v>
      </c>
      <c r="S2807" s="162">
        <f>SUM(Sales[Net Amount])</f>
        <v>406839287.73200053</v>
      </c>
    </row>
    <row r="2808" spans="1:19" ht="18.75" x14ac:dyDescent="0.25">
      <c r="A2808" s="163" t="s">
        <v>6447</v>
      </c>
      <c r="B2808" s="164">
        <v>45920</v>
      </c>
      <c r="C2808" s="34" t="s">
        <v>926</v>
      </c>
      <c r="D2808" s="53" t="str">
        <f>VLOOKUP(Sales[[#This Row],[Customer ID]],Customer[#All],2,0)</f>
        <v>Pooja Singh</v>
      </c>
      <c r="E2808" s="34" t="s">
        <v>431</v>
      </c>
      <c r="F2808" s="34" t="str">
        <f>VLOOKUP(Sales[[#This Row],[Product ID]],Product[#All],2,0)</f>
        <v>Canon Printer</v>
      </c>
      <c r="G2808" s="53">
        <v>6</v>
      </c>
      <c r="H2808" s="165">
        <f>VLOOKUP(Sales[[#This Row],[Product ID]],Product[#All],7,0)</f>
        <v>17260</v>
      </c>
      <c r="I2808" s="165">
        <f>Sales[[#This Row],[Selling Rate]]*Sales[[#This Row],[Qty]]</f>
        <v>103560</v>
      </c>
      <c r="J2808" s="45">
        <v>0.02</v>
      </c>
      <c r="K2808" s="46">
        <f>Sales[[#This Row],[Gross Amount]]*Sales[[#This Row],[Disc %]]</f>
        <v>2071.1999999999998</v>
      </c>
      <c r="L2808" s="43">
        <v>0.18</v>
      </c>
      <c r="M2808" s="46">
        <f>(Sales[[#This Row],[Gross Amount]]-Sales[[#This Row],[Disc. Amt.]])*Sales[[#This Row],[GST %]]</f>
        <v>18267.984</v>
      </c>
      <c r="N2808" s="161">
        <f>Sales[[#This Row],[Gross Amount]]-Sales[[#This Row],[Disc. Amt.]]+Sales[[#This Row],[GST Amount]]</f>
        <v>119756.784</v>
      </c>
      <c r="O2808" s="34" t="s">
        <v>3569</v>
      </c>
      <c r="P2808" s="34" t="s">
        <v>3562</v>
      </c>
      <c r="Q2808" s="165">
        <f>IF(Sales[[#This Row],[Status]]="Cancelled",0,Sales[[#This Row],[Qty]])</f>
        <v>6</v>
      </c>
      <c r="R2808" s="166">
        <f>IF(Sales[[#This Row],[Status]]="Cancelled",0,Sales[[#This Row],[Total Amount]])</f>
        <v>119756.784</v>
      </c>
      <c r="S2808" s="162">
        <f>SUM(Sales[Net Amount])</f>
        <v>406839287.73200053</v>
      </c>
    </row>
    <row r="2809" spans="1:19" ht="18.75" x14ac:dyDescent="0.25">
      <c r="A2809" s="156" t="s">
        <v>6448</v>
      </c>
      <c r="B2809" s="157">
        <v>45920</v>
      </c>
      <c r="C2809" s="158" t="s">
        <v>729</v>
      </c>
      <c r="D2809" s="159" t="str">
        <f>VLOOKUP(Sales[[#This Row],[Customer ID]],Customer[#All],2,0)</f>
        <v>Ankit Kumar</v>
      </c>
      <c r="E2809" s="158" t="s">
        <v>262</v>
      </c>
      <c r="F2809" s="158" t="str">
        <f>VLOOKUP(Sales[[#This Row],[Product ID]],Product[#All],2,0)</f>
        <v>HP Power Adapter</v>
      </c>
      <c r="G2809" s="159">
        <v>1</v>
      </c>
      <c r="H2809" s="160">
        <f>VLOOKUP(Sales[[#This Row],[Product ID]],Product[#All],7,0)</f>
        <v>3560</v>
      </c>
      <c r="I2809" s="160">
        <f>Sales[[#This Row],[Selling Rate]]*Sales[[#This Row],[Qty]]</f>
        <v>3560</v>
      </c>
      <c r="J2809" s="43">
        <v>0.05</v>
      </c>
      <c r="K2809" s="44">
        <f>Sales[[#This Row],[Gross Amount]]*Sales[[#This Row],[Disc %]]</f>
        <v>178</v>
      </c>
      <c r="L2809" s="43">
        <v>0.18</v>
      </c>
      <c r="M2809" s="44">
        <f>(Sales[[#This Row],[Gross Amount]]-Sales[[#This Row],[Disc. Amt.]])*Sales[[#This Row],[GST %]]</f>
        <v>608.76</v>
      </c>
      <c r="N2809" s="161">
        <f>Sales[[#This Row],[Gross Amount]]-Sales[[#This Row],[Disc. Amt.]]+Sales[[#This Row],[GST Amount]]</f>
        <v>3990.76</v>
      </c>
      <c r="O2809" s="158" t="s">
        <v>3566</v>
      </c>
      <c r="P2809" s="158" t="s">
        <v>3562</v>
      </c>
      <c r="Q2809" s="160">
        <f>IF(Sales[[#This Row],[Status]]="Cancelled",0,Sales[[#This Row],[Qty]])</f>
        <v>1</v>
      </c>
      <c r="R2809" s="161">
        <f>IF(Sales[[#This Row],[Status]]="Cancelled",0,Sales[[#This Row],[Total Amount]])</f>
        <v>3990.76</v>
      </c>
      <c r="S2809" s="162">
        <f>SUM(Sales[Net Amount])</f>
        <v>406839287.73200053</v>
      </c>
    </row>
    <row r="2810" spans="1:19" ht="18.75" x14ac:dyDescent="0.25">
      <c r="A2810" s="163" t="s">
        <v>6449</v>
      </c>
      <c r="B2810" s="164">
        <v>45920</v>
      </c>
      <c r="C2810" s="34" t="s">
        <v>723</v>
      </c>
      <c r="D2810" s="53" t="str">
        <f>VLOOKUP(Sales[[#This Row],[Customer ID]],Customer[#All],2,0)</f>
        <v>Sahil Gupta</v>
      </c>
      <c r="E2810" s="34" t="s">
        <v>356</v>
      </c>
      <c r="F2810" s="34" t="str">
        <f>VLOOKUP(Sales[[#This Row],[Product ID]],Product[#All],2,0)</f>
        <v>Corsair Ram</v>
      </c>
      <c r="G2810" s="53">
        <v>4</v>
      </c>
      <c r="H2810" s="165">
        <f>VLOOKUP(Sales[[#This Row],[Product ID]],Product[#All],7,0)</f>
        <v>8460</v>
      </c>
      <c r="I2810" s="165">
        <f>Sales[[#This Row],[Selling Rate]]*Sales[[#This Row],[Qty]]</f>
        <v>33840</v>
      </c>
      <c r="J2810" s="45">
        <v>0</v>
      </c>
      <c r="K2810" s="46">
        <f>Sales[[#This Row],[Gross Amount]]*Sales[[#This Row],[Disc %]]</f>
        <v>0</v>
      </c>
      <c r="L2810" s="43">
        <v>0.18</v>
      </c>
      <c r="M2810" s="46">
        <f>(Sales[[#This Row],[Gross Amount]]-Sales[[#This Row],[Disc. Amt.]])*Sales[[#This Row],[GST %]]</f>
        <v>6091.2</v>
      </c>
      <c r="N2810" s="161">
        <f>Sales[[#This Row],[Gross Amount]]-Sales[[#This Row],[Disc. Amt.]]+Sales[[#This Row],[GST Amount]]</f>
        <v>39931.199999999997</v>
      </c>
      <c r="O2810" s="34" t="s">
        <v>3566</v>
      </c>
      <c r="P2810" s="34" t="s">
        <v>3562</v>
      </c>
      <c r="Q2810" s="165">
        <f>IF(Sales[[#This Row],[Status]]="Cancelled",0,Sales[[#This Row],[Qty]])</f>
        <v>4</v>
      </c>
      <c r="R2810" s="166">
        <f>IF(Sales[[#This Row],[Status]]="Cancelled",0,Sales[[#This Row],[Total Amount]])</f>
        <v>39931.199999999997</v>
      </c>
      <c r="S2810" s="162">
        <f>SUM(Sales[Net Amount])</f>
        <v>406839287.73200053</v>
      </c>
    </row>
    <row r="2811" spans="1:19" ht="18.75" x14ac:dyDescent="0.25">
      <c r="A2811" s="156" t="s">
        <v>6450</v>
      </c>
      <c r="B2811" s="157">
        <v>45920</v>
      </c>
      <c r="C2811" s="158" t="s">
        <v>829</v>
      </c>
      <c r="D2811" s="159" t="str">
        <f>VLOOKUP(Sales[[#This Row],[Customer ID]],Customer[#All],2,0)</f>
        <v>Pooja Patel</v>
      </c>
      <c r="E2811" s="158" t="s">
        <v>294</v>
      </c>
      <c r="F2811" s="158" t="str">
        <f>VLOOKUP(Sales[[#This Row],[Product ID]],Product[#All],2,0)</f>
        <v>Samsung Monitor</v>
      </c>
      <c r="G2811" s="159">
        <v>3</v>
      </c>
      <c r="H2811" s="160">
        <f>VLOOKUP(Sales[[#This Row],[Product ID]],Product[#All],7,0)</f>
        <v>33870</v>
      </c>
      <c r="I2811" s="160">
        <f>Sales[[#This Row],[Selling Rate]]*Sales[[#This Row],[Qty]]</f>
        <v>101610</v>
      </c>
      <c r="J2811" s="43">
        <v>0.1</v>
      </c>
      <c r="K2811" s="44">
        <f>Sales[[#This Row],[Gross Amount]]*Sales[[#This Row],[Disc %]]</f>
        <v>10161</v>
      </c>
      <c r="L2811" s="43">
        <v>0.18</v>
      </c>
      <c r="M2811" s="44">
        <f>(Sales[[#This Row],[Gross Amount]]-Sales[[#This Row],[Disc. Amt.]])*Sales[[#This Row],[GST %]]</f>
        <v>16460.82</v>
      </c>
      <c r="N2811" s="161">
        <f>Sales[[#This Row],[Gross Amount]]-Sales[[#This Row],[Disc. Amt.]]+Sales[[#This Row],[GST Amount]]</f>
        <v>107909.82</v>
      </c>
      <c r="O2811" s="158" t="s">
        <v>3566</v>
      </c>
      <c r="P2811" s="158" t="s">
        <v>3562</v>
      </c>
      <c r="Q2811" s="160">
        <f>IF(Sales[[#This Row],[Status]]="Cancelled",0,Sales[[#This Row],[Qty]])</f>
        <v>3</v>
      </c>
      <c r="R2811" s="161">
        <f>IF(Sales[[#This Row],[Status]]="Cancelled",0,Sales[[#This Row],[Total Amount]])</f>
        <v>107909.82</v>
      </c>
      <c r="S2811" s="162">
        <f>SUM(Sales[Net Amount])</f>
        <v>406839287.73200053</v>
      </c>
    </row>
    <row r="2812" spans="1:19" ht="18.75" x14ac:dyDescent="0.25">
      <c r="A2812" s="163" t="s">
        <v>6451</v>
      </c>
      <c r="B2812" s="164">
        <v>45920</v>
      </c>
      <c r="C2812" s="34" t="s">
        <v>666</v>
      </c>
      <c r="D2812" s="53" t="str">
        <f>VLOOKUP(Sales[[#This Row],[Customer ID]],Customer[#All],2,0)</f>
        <v>Sahil Gupta</v>
      </c>
      <c r="E2812" s="34" t="s">
        <v>502</v>
      </c>
      <c r="F2812" s="34" t="str">
        <f>VLOOKUP(Sales[[#This Row],[Product ID]],Product[#All],2,0)</f>
        <v>HP Printer</v>
      </c>
      <c r="G2812" s="53">
        <v>3</v>
      </c>
      <c r="H2812" s="165">
        <f>VLOOKUP(Sales[[#This Row],[Product ID]],Product[#All],7,0)</f>
        <v>32100</v>
      </c>
      <c r="I2812" s="165">
        <f>Sales[[#This Row],[Selling Rate]]*Sales[[#This Row],[Qty]]</f>
        <v>96300</v>
      </c>
      <c r="J2812" s="45">
        <v>0.05</v>
      </c>
      <c r="K2812" s="46">
        <f>Sales[[#This Row],[Gross Amount]]*Sales[[#This Row],[Disc %]]</f>
        <v>4815</v>
      </c>
      <c r="L2812" s="43">
        <v>0.18</v>
      </c>
      <c r="M2812" s="46">
        <f>(Sales[[#This Row],[Gross Amount]]-Sales[[#This Row],[Disc. Amt.]])*Sales[[#This Row],[GST %]]</f>
        <v>16467.3</v>
      </c>
      <c r="N2812" s="161">
        <f>Sales[[#This Row],[Gross Amount]]-Sales[[#This Row],[Disc. Amt.]]+Sales[[#This Row],[GST Amount]]</f>
        <v>107952.3</v>
      </c>
      <c r="O2812" s="34" t="s">
        <v>8876</v>
      </c>
      <c r="P2812" s="34" t="s">
        <v>3562</v>
      </c>
      <c r="Q2812" s="165">
        <f>IF(Sales[[#This Row],[Status]]="Cancelled",0,Sales[[#This Row],[Qty]])</f>
        <v>3</v>
      </c>
      <c r="R2812" s="166">
        <f>IF(Sales[[#This Row],[Status]]="Cancelled",0,Sales[[#This Row],[Total Amount]])</f>
        <v>107952.3</v>
      </c>
      <c r="S2812" s="162">
        <f>SUM(Sales[Net Amount])</f>
        <v>406839287.73200053</v>
      </c>
    </row>
    <row r="2813" spans="1:19" ht="18.75" x14ac:dyDescent="0.25">
      <c r="A2813" s="156" t="s">
        <v>6452</v>
      </c>
      <c r="B2813" s="157">
        <v>45920</v>
      </c>
      <c r="C2813" s="158" t="s">
        <v>916</v>
      </c>
      <c r="D2813" s="159" t="str">
        <f>VLOOKUP(Sales[[#This Row],[Customer ID]],Customer[#All],2,0)</f>
        <v>Ankit Singh</v>
      </c>
      <c r="E2813" s="158" t="s">
        <v>411</v>
      </c>
      <c r="F2813" s="158" t="str">
        <f>VLOOKUP(Sales[[#This Row],[Product ID]],Product[#All],2,0)</f>
        <v>Logitech Webcam</v>
      </c>
      <c r="G2813" s="159">
        <v>1</v>
      </c>
      <c r="H2813" s="160">
        <f>VLOOKUP(Sales[[#This Row],[Product ID]],Product[#All],7,0)</f>
        <v>2350</v>
      </c>
      <c r="I2813" s="160">
        <f>Sales[[#This Row],[Selling Rate]]*Sales[[#This Row],[Qty]]</f>
        <v>2350</v>
      </c>
      <c r="J2813" s="43">
        <v>0</v>
      </c>
      <c r="K2813" s="44">
        <f>Sales[[#This Row],[Gross Amount]]*Sales[[#This Row],[Disc %]]</f>
        <v>0</v>
      </c>
      <c r="L2813" s="43">
        <v>0.18</v>
      </c>
      <c r="M2813" s="44">
        <f>(Sales[[#This Row],[Gross Amount]]-Sales[[#This Row],[Disc. Amt.]])*Sales[[#This Row],[GST %]]</f>
        <v>423</v>
      </c>
      <c r="N2813" s="161">
        <f>Sales[[#This Row],[Gross Amount]]-Sales[[#This Row],[Disc. Amt.]]+Sales[[#This Row],[GST Amount]]</f>
        <v>2773</v>
      </c>
      <c r="O2813" s="158" t="s">
        <v>3561</v>
      </c>
      <c r="P2813" s="158" t="s">
        <v>3562</v>
      </c>
      <c r="Q2813" s="160">
        <f>IF(Sales[[#This Row],[Status]]="Cancelled",0,Sales[[#This Row],[Qty]])</f>
        <v>1</v>
      </c>
      <c r="R2813" s="161">
        <f>IF(Sales[[#This Row],[Status]]="Cancelled",0,Sales[[#This Row],[Total Amount]])</f>
        <v>2773</v>
      </c>
      <c r="S2813" s="162">
        <f>SUM(Sales[Net Amount])</f>
        <v>406839287.73200053</v>
      </c>
    </row>
    <row r="2814" spans="1:19" ht="18.75" x14ac:dyDescent="0.25">
      <c r="A2814" s="163" t="s">
        <v>6453</v>
      </c>
      <c r="B2814" s="164">
        <v>45920</v>
      </c>
      <c r="C2814" s="34" t="s">
        <v>755</v>
      </c>
      <c r="D2814" s="53" t="str">
        <f>VLOOKUP(Sales[[#This Row],[Customer ID]],Customer[#All],2,0)</f>
        <v>Sunita Gupta</v>
      </c>
      <c r="E2814" s="34" t="s">
        <v>486</v>
      </c>
      <c r="F2814" s="34" t="str">
        <f>VLOOKUP(Sales[[#This Row],[Product ID]],Product[#All],2,0)</f>
        <v>Logitech Mouse</v>
      </c>
      <c r="G2814" s="53">
        <v>5</v>
      </c>
      <c r="H2814" s="165">
        <f>VLOOKUP(Sales[[#This Row],[Product ID]],Product[#All],7,0)</f>
        <v>1650</v>
      </c>
      <c r="I2814" s="165">
        <f>Sales[[#This Row],[Selling Rate]]*Sales[[#This Row],[Qty]]</f>
        <v>8250</v>
      </c>
      <c r="J2814" s="45">
        <v>0.12</v>
      </c>
      <c r="K2814" s="46">
        <f>Sales[[#This Row],[Gross Amount]]*Sales[[#This Row],[Disc %]]</f>
        <v>990</v>
      </c>
      <c r="L2814" s="43">
        <v>0.18</v>
      </c>
      <c r="M2814" s="46">
        <f>(Sales[[#This Row],[Gross Amount]]-Sales[[#This Row],[Disc. Amt.]])*Sales[[#This Row],[GST %]]</f>
        <v>1306.8</v>
      </c>
      <c r="N2814" s="161">
        <f>Sales[[#This Row],[Gross Amount]]-Sales[[#This Row],[Disc. Amt.]]+Sales[[#This Row],[GST Amount]]</f>
        <v>8566.7999999999993</v>
      </c>
      <c r="O2814" s="34" t="s">
        <v>8876</v>
      </c>
      <c r="P2814" s="34" t="s">
        <v>3562</v>
      </c>
      <c r="Q2814" s="165">
        <f>IF(Sales[[#This Row],[Status]]="Cancelled",0,Sales[[#This Row],[Qty]])</f>
        <v>5</v>
      </c>
      <c r="R2814" s="166">
        <f>IF(Sales[[#This Row],[Status]]="Cancelled",0,Sales[[#This Row],[Total Amount]])</f>
        <v>8566.7999999999993</v>
      </c>
      <c r="S2814" s="162">
        <f>SUM(Sales[Net Amount])</f>
        <v>406839287.73200053</v>
      </c>
    </row>
    <row r="2815" spans="1:19" ht="18.75" x14ac:dyDescent="0.25">
      <c r="A2815" s="156" t="s">
        <v>6454</v>
      </c>
      <c r="B2815" s="157">
        <v>45920</v>
      </c>
      <c r="C2815" s="158" t="s">
        <v>758</v>
      </c>
      <c r="D2815" s="159" t="str">
        <f>VLOOKUP(Sales[[#This Row],[Customer ID]],Customer[#All],2,0)</f>
        <v>Rahul Verma</v>
      </c>
      <c r="E2815" s="158" t="s">
        <v>454</v>
      </c>
      <c r="F2815" s="158" t="str">
        <f>VLOOKUP(Sales[[#This Row],[Product ID]],Product[#All],2,0)</f>
        <v>Dell Monitor</v>
      </c>
      <c r="G2815" s="159">
        <v>5</v>
      </c>
      <c r="H2815" s="160">
        <f>VLOOKUP(Sales[[#This Row],[Product ID]],Product[#All],7,0)</f>
        <v>16760</v>
      </c>
      <c r="I2815" s="160">
        <f>Sales[[#This Row],[Selling Rate]]*Sales[[#This Row],[Qty]]</f>
        <v>83800</v>
      </c>
      <c r="J2815" s="43">
        <v>0.05</v>
      </c>
      <c r="K2815" s="44">
        <f>Sales[[#This Row],[Gross Amount]]*Sales[[#This Row],[Disc %]]</f>
        <v>4190</v>
      </c>
      <c r="L2815" s="43">
        <v>0.18</v>
      </c>
      <c r="M2815" s="44">
        <f>(Sales[[#This Row],[Gross Amount]]-Sales[[#This Row],[Disc. Amt.]])*Sales[[#This Row],[GST %]]</f>
        <v>14329.8</v>
      </c>
      <c r="N2815" s="161">
        <f>Sales[[#This Row],[Gross Amount]]-Sales[[#This Row],[Disc. Amt.]]+Sales[[#This Row],[GST Amount]]</f>
        <v>93939.8</v>
      </c>
      <c r="O2815" s="158" t="s">
        <v>8876</v>
      </c>
      <c r="P2815" s="158" t="s">
        <v>3562</v>
      </c>
      <c r="Q2815" s="160">
        <f>IF(Sales[[#This Row],[Status]]="Cancelled",0,Sales[[#This Row],[Qty]])</f>
        <v>5</v>
      </c>
      <c r="R2815" s="161">
        <f>IF(Sales[[#This Row],[Status]]="Cancelled",0,Sales[[#This Row],[Total Amount]])</f>
        <v>93939.8</v>
      </c>
      <c r="S2815" s="162">
        <f>SUM(Sales[Net Amount])</f>
        <v>406839287.73200053</v>
      </c>
    </row>
    <row r="2816" spans="1:19" ht="18.75" x14ac:dyDescent="0.25">
      <c r="A2816" s="163" t="s">
        <v>6455</v>
      </c>
      <c r="B2816" s="164">
        <v>45920</v>
      </c>
      <c r="C2816" s="34" t="s">
        <v>668</v>
      </c>
      <c r="D2816" s="53" t="str">
        <f>VLOOKUP(Sales[[#This Row],[Customer ID]],Customer[#All],2,0)</f>
        <v>Rahul Patel</v>
      </c>
      <c r="E2816" s="34" t="s">
        <v>430</v>
      </c>
      <c r="F2816" s="34" t="str">
        <f>VLOOKUP(Sales[[#This Row],[Product ID]],Product[#All],2,0)</f>
        <v>Jbl Speaker</v>
      </c>
      <c r="G2816" s="53">
        <v>4</v>
      </c>
      <c r="H2816" s="165">
        <f>VLOOKUP(Sales[[#This Row],[Product ID]],Product[#All],7,0)</f>
        <v>6890</v>
      </c>
      <c r="I2816" s="165">
        <f>Sales[[#This Row],[Selling Rate]]*Sales[[#This Row],[Qty]]</f>
        <v>27560</v>
      </c>
      <c r="J2816" s="45">
        <v>0.15</v>
      </c>
      <c r="K2816" s="46">
        <f>Sales[[#This Row],[Gross Amount]]*Sales[[#This Row],[Disc %]]</f>
        <v>4134</v>
      </c>
      <c r="L2816" s="43">
        <v>0.18</v>
      </c>
      <c r="M2816" s="46">
        <f>(Sales[[#This Row],[Gross Amount]]-Sales[[#This Row],[Disc. Amt.]])*Sales[[#This Row],[GST %]]</f>
        <v>4216.68</v>
      </c>
      <c r="N2816" s="161">
        <f>Sales[[#This Row],[Gross Amount]]-Sales[[#This Row],[Disc. Amt.]]+Sales[[#This Row],[GST Amount]]</f>
        <v>27642.68</v>
      </c>
      <c r="O2816" s="34" t="s">
        <v>3566</v>
      </c>
      <c r="P2816" s="34" t="s">
        <v>3562</v>
      </c>
      <c r="Q2816" s="165">
        <f>IF(Sales[[#This Row],[Status]]="Cancelled",0,Sales[[#This Row],[Qty]])</f>
        <v>4</v>
      </c>
      <c r="R2816" s="166">
        <f>IF(Sales[[#This Row],[Status]]="Cancelled",0,Sales[[#This Row],[Total Amount]])</f>
        <v>27642.68</v>
      </c>
      <c r="S2816" s="162">
        <f>SUM(Sales[Net Amount])</f>
        <v>406839287.73200053</v>
      </c>
    </row>
    <row r="2817" spans="1:19" ht="18.75" x14ac:dyDescent="0.25">
      <c r="A2817" s="156" t="s">
        <v>6456</v>
      </c>
      <c r="B2817" s="157">
        <v>45920</v>
      </c>
      <c r="C2817" s="158" t="s">
        <v>931</v>
      </c>
      <c r="D2817" s="159" t="str">
        <f>VLOOKUP(Sales[[#This Row],[Customer ID]],Customer[#All],2,0)</f>
        <v>Sahil Patel</v>
      </c>
      <c r="E2817" s="158" t="s">
        <v>232</v>
      </c>
      <c r="F2817" s="158" t="str">
        <f>VLOOKUP(Sales[[#This Row],[Product ID]],Product[#All],2,0)</f>
        <v>HP Printer</v>
      </c>
      <c r="G2817" s="159">
        <v>5</v>
      </c>
      <c r="H2817" s="160">
        <f>VLOOKUP(Sales[[#This Row],[Product ID]],Product[#All],7,0)</f>
        <v>35700</v>
      </c>
      <c r="I2817" s="160">
        <f>Sales[[#This Row],[Selling Rate]]*Sales[[#This Row],[Qty]]</f>
        <v>178500</v>
      </c>
      <c r="J2817" s="43">
        <v>0.1</v>
      </c>
      <c r="K2817" s="44">
        <f>Sales[[#This Row],[Gross Amount]]*Sales[[#This Row],[Disc %]]</f>
        <v>17850</v>
      </c>
      <c r="L2817" s="43">
        <v>0.18</v>
      </c>
      <c r="M2817" s="44">
        <f>(Sales[[#This Row],[Gross Amount]]-Sales[[#This Row],[Disc. Amt.]])*Sales[[#This Row],[GST %]]</f>
        <v>28917</v>
      </c>
      <c r="N2817" s="161">
        <f>Sales[[#This Row],[Gross Amount]]-Sales[[#This Row],[Disc. Amt.]]+Sales[[#This Row],[GST Amount]]</f>
        <v>189567</v>
      </c>
      <c r="O2817" s="158" t="s">
        <v>8876</v>
      </c>
      <c r="P2817" s="158" t="s">
        <v>3562</v>
      </c>
      <c r="Q2817" s="160">
        <f>IF(Sales[[#This Row],[Status]]="Cancelled",0,Sales[[#This Row],[Qty]])</f>
        <v>5</v>
      </c>
      <c r="R2817" s="161">
        <f>IF(Sales[[#This Row],[Status]]="Cancelled",0,Sales[[#This Row],[Total Amount]])</f>
        <v>189567</v>
      </c>
      <c r="S2817" s="162">
        <f>SUM(Sales[Net Amount])</f>
        <v>406839287.73200053</v>
      </c>
    </row>
    <row r="2818" spans="1:19" ht="18.75" x14ac:dyDescent="0.25">
      <c r="A2818" s="163" t="s">
        <v>6457</v>
      </c>
      <c r="B2818" s="164">
        <v>45920</v>
      </c>
      <c r="C2818" s="34" t="s">
        <v>675</v>
      </c>
      <c r="D2818" s="53" t="str">
        <f>VLOOKUP(Sales[[#This Row],[Customer ID]],Customer[#All],2,0)</f>
        <v>Rahul Gupta</v>
      </c>
      <c r="E2818" s="34" t="s">
        <v>7</v>
      </c>
      <c r="F2818" s="34" t="str">
        <f>VLOOKUP(Sales[[#This Row],[Product ID]],Product[#All],2,0)</f>
        <v>Dell Desktop</v>
      </c>
      <c r="G2818" s="53">
        <v>8</v>
      </c>
      <c r="H2818" s="165">
        <f>VLOOKUP(Sales[[#This Row],[Product ID]],Product[#All],7,0)</f>
        <v>33010</v>
      </c>
      <c r="I2818" s="165">
        <f>Sales[[#This Row],[Selling Rate]]*Sales[[#This Row],[Qty]]</f>
        <v>264080</v>
      </c>
      <c r="J2818" s="45">
        <v>0.05</v>
      </c>
      <c r="K2818" s="46">
        <f>Sales[[#This Row],[Gross Amount]]*Sales[[#This Row],[Disc %]]</f>
        <v>13204</v>
      </c>
      <c r="L2818" s="43">
        <v>0.18</v>
      </c>
      <c r="M2818" s="46">
        <f>(Sales[[#This Row],[Gross Amount]]-Sales[[#This Row],[Disc. Amt.]])*Sales[[#This Row],[GST %]]</f>
        <v>45157.68</v>
      </c>
      <c r="N2818" s="161">
        <f>Sales[[#This Row],[Gross Amount]]-Sales[[#This Row],[Disc. Amt.]]+Sales[[#This Row],[GST Amount]]</f>
        <v>296033.68</v>
      </c>
      <c r="O2818" s="34" t="s">
        <v>3569</v>
      </c>
      <c r="P2818" s="34" t="s">
        <v>3562</v>
      </c>
      <c r="Q2818" s="165">
        <f>IF(Sales[[#This Row],[Status]]="Cancelled",0,Sales[[#This Row],[Qty]])</f>
        <v>8</v>
      </c>
      <c r="R2818" s="166">
        <f>IF(Sales[[#This Row],[Status]]="Cancelled",0,Sales[[#This Row],[Total Amount]])</f>
        <v>296033.68</v>
      </c>
      <c r="S2818" s="162">
        <f>SUM(Sales[Net Amount])</f>
        <v>406839287.73200053</v>
      </c>
    </row>
    <row r="2819" spans="1:19" ht="18.75" x14ac:dyDescent="0.25">
      <c r="A2819" s="156" t="s">
        <v>6458</v>
      </c>
      <c r="B2819" s="157">
        <v>45920</v>
      </c>
      <c r="C2819" s="158" t="s">
        <v>821</v>
      </c>
      <c r="D2819" s="159" t="str">
        <f>VLOOKUP(Sales[[#This Row],[Customer ID]],Customer[#All],2,0)</f>
        <v>Rakesh Sharma</v>
      </c>
      <c r="E2819" s="158" t="s">
        <v>490</v>
      </c>
      <c r="F2819" s="158" t="str">
        <f>VLOOKUP(Sales[[#This Row],[Product ID]],Product[#All],2,0)</f>
        <v>Acer Laptop</v>
      </c>
      <c r="G2819" s="159">
        <v>4</v>
      </c>
      <c r="H2819" s="160">
        <f>VLOOKUP(Sales[[#This Row],[Product ID]],Product[#All],7,0)</f>
        <v>38490</v>
      </c>
      <c r="I2819" s="160">
        <f>Sales[[#This Row],[Selling Rate]]*Sales[[#This Row],[Qty]]</f>
        <v>153960</v>
      </c>
      <c r="J2819" s="43">
        <v>0.05</v>
      </c>
      <c r="K2819" s="44">
        <f>Sales[[#This Row],[Gross Amount]]*Sales[[#This Row],[Disc %]]</f>
        <v>7698</v>
      </c>
      <c r="L2819" s="43">
        <v>0.18</v>
      </c>
      <c r="M2819" s="44">
        <f>(Sales[[#This Row],[Gross Amount]]-Sales[[#This Row],[Disc. Amt.]])*Sales[[#This Row],[GST %]]</f>
        <v>26327.16</v>
      </c>
      <c r="N2819" s="161">
        <f>Sales[[#This Row],[Gross Amount]]-Sales[[#This Row],[Disc. Amt.]]+Sales[[#This Row],[GST Amount]]</f>
        <v>172589.16</v>
      </c>
      <c r="O2819" s="158" t="s">
        <v>3569</v>
      </c>
      <c r="P2819" s="158" t="s">
        <v>3562</v>
      </c>
      <c r="Q2819" s="160">
        <f>IF(Sales[[#This Row],[Status]]="Cancelled",0,Sales[[#This Row],[Qty]])</f>
        <v>4</v>
      </c>
      <c r="R2819" s="161">
        <f>IF(Sales[[#This Row],[Status]]="Cancelled",0,Sales[[#This Row],[Total Amount]])</f>
        <v>172589.16</v>
      </c>
      <c r="S2819" s="162">
        <f>SUM(Sales[Net Amount])</f>
        <v>406839287.73200053</v>
      </c>
    </row>
    <row r="2820" spans="1:19" ht="18.75" x14ac:dyDescent="0.25">
      <c r="A2820" s="163" t="s">
        <v>6459</v>
      </c>
      <c r="B2820" s="164">
        <v>45920</v>
      </c>
      <c r="C2820" s="34" t="s">
        <v>840</v>
      </c>
      <c r="D2820" s="53" t="str">
        <f>VLOOKUP(Sales[[#This Row],[Customer ID]],Customer[#All],2,0)</f>
        <v>Rakesh Verma</v>
      </c>
      <c r="E2820" s="34" t="s">
        <v>505</v>
      </c>
      <c r="F2820" s="34" t="str">
        <f>VLOOKUP(Sales[[#This Row],[Product ID]],Product[#All],2,0)</f>
        <v>Dell Monitor</v>
      </c>
      <c r="G2820" s="53">
        <v>2</v>
      </c>
      <c r="H2820" s="165">
        <f>VLOOKUP(Sales[[#This Row],[Product ID]],Product[#All],7,0)</f>
        <v>12790</v>
      </c>
      <c r="I2820" s="165">
        <f>Sales[[#This Row],[Selling Rate]]*Sales[[#This Row],[Qty]]</f>
        <v>25580</v>
      </c>
      <c r="J2820" s="45">
        <v>0.05</v>
      </c>
      <c r="K2820" s="46">
        <f>Sales[[#This Row],[Gross Amount]]*Sales[[#This Row],[Disc %]]</f>
        <v>1279</v>
      </c>
      <c r="L2820" s="43">
        <v>0.18</v>
      </c>
      <c r="M2820" s="46">
        <f>(Sales[[#This Row],[Gross Amount]]-Sales[[#This Row],[Disc. Amt.]])*Sales[[#This Row],[GST %]]</f>
        <v>4374.18</v>
      </c>
      <c r="N2820" s="161">
        <f>Sales[[#This Row],[Gross Amount]]-Sales[[#This Row],[Disc. Amt.]]+Sales[[#This Row],[GST Amount]]</f>
        <v>28675.18</v>
      </c>
      <c r="O2820" s="34" t="s">
        <v>3569</v>
      </c>
      <c r="P2820" s="34" t="s">
        <v>3562</v>
      </c>
      <c r="Q2820" s="165">
        <f>IF(Sales[[#This Row],[Status]]="Cancelled",0,Sales[[#This Row],[Qty]])</f>
        <v>2</v>
      </c>
      <c r="R2820" s="166">
        <f>IF(Sales[[#This Row],[Status]]="Cancelled",0,Sales[[#This Row],[Total Amount]])</f>
        <v>28675.18</v>
      </c>
      <c r="S2820" s="162">
        <f>SUM(Sales[Net Amount])</f>
        <v>406839287.73200053</v>
      </c>
    </row>
    <row r="2821" spans="1:19" ht="18.75" x14ac:dyDescent="0.25">
      <c r="A2821" s="156" t="s">
        <v>6460</v>
      </c>
      <c r="B2821" s="157">
        <v>45920</v>
      </c>
      <c r="C2821" s="158" t="s">
        <v>6461</v>
      </c>
      <c r="D2821" s="159" t="str">
        <f>VLOOKUP(Sales[[#This Row],[Customer ID]],Customer[#All],2,0)</f>
        <v>Sahil Singh</v>
      </c>
      <c r="E2821" s="158" t="s">
        <v>312</v>
      </c>
      <c r="F2821" s="158" t="str">
        <f>VLOOKUP(Sales[[#This Row],[Product ID]],Product[#All],2,0)</f>
        <v>Dell Desktop</v>
      </c>
      <c r="G2821" s="159">
        <v>3</v>
      </c>
      <c r="H2821" s="160">
        <f>VLOOKUP(Sales[[#This Row],[Product ID]],Product[#All],7,0)</f>
        <v>59050</v>
      </c>
      <c r="I2821" s="160">
        <f>Sales[[#This Row],[Selling Rate]]*Sales[[#This Row],[Qty]]</f>
        <v>177150</v>
      </c>
      <c r="J2821" s="43">
        <v>0.05</v>
      </c>
      <c r="K2821" s="44">
        <f>Sales[[#This Row],[Gross Amount]]*Sales[[#This Row],[Disc %]]</f>
        <v>8857.5</v>
      </c>
      <c r="L2821" s="43">
        <v>0.18</v>
      </c>
      <c r="M2821" s="44">
        <f>(Sales[[#This Row],[Gross Amount]]-Sales[[#This Row],[Disc. Amt.]])*Sales[[#This Row],[GST %]]</f>
        <v>30292.649999999998</v>
      </c>
      <c r="N2821" s="161">
        <f>Sales[[#This Row],[Gross Amount]]-Sales[[#This Row],[Disc. Amt.]]+Sales[[#This Row],[GST Amount]]</f>
        <v>198585.15</v>
      </c>
      <c r="O2821" s="158" t="s">
        <v>8876</v>
      </c>
      <c r="P2821" s="158" t="s">
        <v>3562</v>
      </c>
      <c r="Q2821" s="160">
        <f>IF(Sales[[#This Row],[Status]]="Cancelled",0,Sales[[#This Row],[Qty]])</f>
        <v>3</v>
      </c>
      <c r="R2821" s="161">
        <f>IF(Sales[[#This Row],[Status]]="Cancelled",0,Sales[[#This Row],[Total Amount]])</f>
        <v>198585.15</v>
      </c>
      <c r="S2821" s="162">
        <f>SUM(Sales[Net Amount])</f>
        <v>406839287.73200053</v>
      </c>
    </row>
    <row r="2822" spans="1:19" ht="18.75" x14ac:dyDescent="0.25">
      <c r="A2822" s="163" t="s">
        <v>6462</v>
      </c>
      <c r="B2822" s="164">
        <v>45920</v>
      </c>
      <c r="C2822" s="34" t="s">
        <v>849</v>
      </c>
      <c r="D2822" s="53" t="str">
        <f>VLOOKUP(Sales[[#This Row],[Customer ID]],Customer[#All],2,0)</f>
        <v>Sunita Sharma</v>
      </c>
      <c r="E2822" s="34" t="s">
        <v>396</v>
      </c>
      <c r="F2822" s="34" t="str">
        <f>VLOOKUP(Sales[[#This Row],[Product ID]],Product[#All],2,0)</f>
        <v>HP Laptop</v>
      </c>
      <c r="G2822" s="53">
        <v>6</v>
      </c>
      <c r="H2822" s="165">
        <f>VLOOKUP(Sales[[#This Row],[Product ID]],Product[#All],7,0)</f>
        <v>77100</v>
      </c>
      <c r="I2822" s="165">
        <f>Sales[[#This Row],[Selling Rate]]*Sales[[#This Row],[Qty]]</f>
        <v>462600</v>
      </c>
      <c r="J2822" s="45">
        <v>0.05</v>
      </c>
      <c r="K2822" s="46">
        <f>Sales[[#This Row],[Gross Amount]]*Sales[[#This Row],[Disc %]]</f>
        <v>23130</v>
      </c>
      <c r="L2822" s="43">
        <v>0.18</v>
      </c>
      <c r="M2822" s="46">
        <f>(Sales[[#This Row],[Gross Amount]]-Sales[[#This Row],[Disc. Amt.]])*Sales[[#This Row],[GST %]]</f>
        <v>79104.599999999991</v>
      </c>
      <c r="N2822" s="161">
        <f>Sales[[#This Row],[Gross Amount]]-Sales[[#This Row],[Disc. Amt.]]+Sales[[#This Row],[GST Amount]]</f>
        <v>518574.6</v>
      </c>
      <c r="O2822" s="34" t="s">
        <v>3561</v>
      </c>
      <c r="P2822" s="34" t="s">
        <v>3562</v>
      </c>
      <c r="Q2822" s="165">
        <f>IF(Sales[[#This Row],[Status]]="Cancelled",0,Sales[[#This Row],[Qty]])</f>
        <v>6</v>
      </c>
      <c r="R2822" s="166">
        <f>IF(Sales[[#This Row],[Status]]="Cancelled",0,Sales[[#This Row],[Total Amount]])</f>
        <v>518574.6</v>
      </c>
      <c r="S2822" s="162">
        <f>SUM(Sales[Net Amount])</f>
        <v>406839287.73200053</v>
      </c>
    </row>
    <row r="2823" spans="1:19" ht="18.75" x14ac:dyDescent="0.25">
      <c r="A2823" s="156" t="s">
        <v>6463</v>
      </c>
      <c r="B2823" s="157">
        <v>45920</v>
      </c>
      <c r="C2823" s="158" t="s">
        <v>650</v>
      </c>
      <c r="D2823" s="159" t="str">
        <f>VLOOKUP(Sales[[#This Row],[Customer ID]],Customer[#All],2,0)</f>
        <v xml:space="preserve">Pooja Patel </v>
      </c>
      <c r="E2823" s="158" t="s">
        <v>73</v>
      </c>
      <c r="F2823" s="158" t="str">
        <f>VLOOKUP(Sales[[#This Row],[Product ID]],Product[#All],2,0)</f>
        <v>TP-link Router</v>
      </c>
      <c r="G2823" s="159">
        <v>5</v>
      </c>
      <c r="H2823" s="160">
        <f>VLOOKUP(Sales[[#This Row],[Product ID]],Product[#All],7,0)</f>
        <v>1770</v>
      </c>
      <c r="I2823" s="160">
        <f>Sales[[#This Row],[Selling Rate]]*Sales[[#This Row],[Qty]]</f>
        <v>8850</v>
      </c>
      <c r="J2823" s="43">
        <v>0.15</v>
      </c>
      <c r="K2823" s="44">
        <f>Sales[[#This Row],[Gross Amount]]*Sales[[#This Row],[Disc %]]</f>
        <v>1327.5</v>
      </c>
      <c r="L2823" s="43">
        <v>0.18</v>
      </c>
      <c r="M2823" s="44">
        <f>(Sales[[#This Row],[Gross Amount]]-Sales[[#This Row],[Disc. Amt.]])*Sales[[#This Row],[GST %]]</f>
        <v>1354.05</v>
      </c>
      <c r="N2823" s="161">
        <f>Sales[[#This Row],[Gross Amount]]-Sales[[#This Row],[Disc. Amt.]]+Sales[[#This Row],[GST Amount]]</f>
        <v>8876.5499999999993</v>
      </c>
      <c r="O2823" s="158" t="s">
        <v>8876</v>
      </c>
      <c r="P2823" s="158" t="s">
        <v>3562</v>
      </c>
      <c r="Q2823" s="160">
        <f>IF(Sales[[#This Row],[Status]]="Cancelled",0,Sales[[#This Row],[Qty]])</f>
        <v>5</v>
      </c>
      <c r="R2823" s="161">
        <f>IF(Sales[[#This Row],[Status]]="Cancelled",0,Sales[[#This Row],[Total Amount]])</f>
        <v>8876.5499999999993</v>
      </c>
      <c r="S2823" s="162">
        <f>SUM(Sales[Net Amount])</f>
        <v>406839287.73200053</v>
      </c>
    </row>
    <row r="2824" spans="1:19" ht="18.75" x14ac:dyDescent="0.25">
      <c r="A2824" s="163" t="s">
        <v>6464</v>
      </c>
      <c r="B2824" s="164">
        <v>45920</v>
      </c>
      <c r="C2824" s="34" t="s">
        <v>813</v>
      </c>
      <c r="D2824" s="53" t="str">
        <f>VLOOKUP(Sales[[#This Row],[Customer ID]],Customer[#All],2,0)</f>
        <v>Neha Verma</v>
      </c>
      <c r="E2824" s="34" t="s">
        <v>298</v>
      </c>
      <c r="F2824" s="34" t="str">
        <f>VLOOKUP(Sales[[#This Row],[Product ID]],Product[#All],2,0)</f>
        <v>Dell Monitor</v>
      </c>
      <c r="G2824" s="53">
        <v>2</v>
      </c>
      <c r="H2824" s="165">
        <f>VLOOKUP(Sales[[#This Row],[Product ID]],Product[#All],7,0)</f>
        <v>25790</v>
      </c>
      <c r="I2824" s="165">
        <f>Sales[[#This Row],[Selling Rate]]*Sales[[#This Row],[Qty]]</f>
        <v>51580</v>
      </c>
      <c r="J2824" s="45">
        <v>0.15</v>
      </c>
      <c r="K2824" s="46">
        <f>Sales[[#This Row],[Gross Amount]]*Sales[[#This Row],[Disc %]]</f>
        <v>7737</v>
      </c>
      <c r="L2824" s="43">
        <v>0.18</v>
      </c>
      <c r="M2824" s="46">
        <f>(Sales[[#This Row],[Gross Amount]]-Sales[[#This Row],[Disc. Amt.]])*Sales[[#This Row],[GST %]]</f>
        <v>7891.74</v>
      </c>
      <c r="N2824" s="161">
        <f>Sales[[#This Row],[Gross Amount]]-Sales[[#This Row],[Disc. Amt.]]+Sales[[#This Row],[GST Amount]]</f>
        <v>51734.74</v>
      </c>
      <c r="O2824" s="34" t="s">
        <v>3566</v>
      </c>
      <c r="P2824" s="34" t="s">
        <v>3562</v>
      </c>
      <c r="Q2824" s="165">
        <f>IF(Sales[[#This Row],[Status]]="Cancelled",0,Sales[[#This Row],[Qty]])</f>
        <v>2</v>
      </c>
      <c r="R2824" s="166">
        <f>IF(Sales[[#This Row],[Status]]="Cancelled",0,Sales[[#This Row],[Total Amount]])</f>
        <v>51734.74</v>
      </c>
      <c r="S2824" s="162">
        <f>SUM(Sales[Net Amount])</f>
        <v>406839287.73200053</v>
      </c>
    </row>
    <row r="2825" spans="1:19" ht="18.75" x14ac:dyDescent="0.25">
      <c r="A2825" s="156" t="s">
        <v>6465</v>
      </c>
      <c r="B2825" s="157">
        <v>45920</v>
      </c>
      <c r="C2825" s="158" t="s">
        <v>655</v>
      </c>
      <c r="D2825" s="159" t="str">
        <f>VLOOKUP(Sales[[#This Row],[Customer ID]],Customer[#All],2,0)</f>
        <v>Pooja Singh</v>
      </c>
      <c r="E2825" s="158" t="s">
        <v>157</v>
      </c>
      <c r="F2825" s="158" t="str">
        <f>VLOOKUP(Sales[[#This Row],[Product ID]],Product[#All],2,0)</f>
        <v>Epson Printer</v>
      </c>
      <c r="G2825" s="159">
        <v>8</v>
      </c>
      <c r="H2825" s="160">
        <f>VLOOKUP(Sales[[#This Row],[Product ID]],Product[#All],7,0)</f>
        <v>12100</v>
      </c>
      <c r="I2825" s="160">
        <f>Sales[[#This Row],[Selling Rate]]*Sales[[#This Row],[Qty]]</f>
        <v>96800</v>
      </c>
      <c r="J2825" s="43">
        <v>0</v>
      </c>
      <c r="K2825" s="44">
        <f>Sales[[#This Row],[Gross Amount]]*Sales[[#This Row],[Disc %]]</f>
        <v>0</v>
      </c>
      <c r="L2825" s="43">
        <v>0.18</v>
      </c>
      <c r="M2825" s="44">
        <f>(Sales[[#This Row],[Gross Amount]]-Sales[[#This Row],[Disc. Amt.]])*Sales[[#This Row],[GST %]]</f>
        <v>17424</v>
      </c>
      <c r="N2825" s="161">
        <f>Sales[[#This Row],[Gross Amount]]-Sales[[#This Row],[Disc. Amt.]]+Sales[[#This Row],[GST Amount]]</f>
        <v>114224</v>
      </c>
      <c r="O2825" s="158" t="s">
        <v>3566</v>
      </c>
      <c r="P2825" s="158" t="s">
        <v>3562</v>
      </c>
      <c r="Q2825" s="160">
        <f>IF(Sales[[#This Row],[Status]]="Cancelled",0,Sales[[#This Row],[Qty]])</f>
        <v>8</v>
      </c>
      <c r="R2825" s="161">
        <f>IF(Sales[[#This Row],[Status]]="Cancelled",0,Sales[[#This Row],[Total Amount]])</f>
        <v>114224</v>
      </c>
      <c r="S2825" s="162">
        <f>SUM(Sales[Net Amount])</f>
        <v>406839287.73200053</v>
      </c>
    </row>
    <row r="2826" spans="1:19" ht="18.75" x14ac:dyDescent="0.25">
      <c r="A2826" s="163" t="s">
        <v>6466</v>
      </c>
      <c r="B2826" s="164">
        <v>45921</v>
      </c>
      <c r="C2826" s="34" t="s">
        <v>943</v>
      </c>
      <c r="D2826" s="53" t="str">
        <f>VLOOKUP(Sales[[#This Row],[Customer ID]],Customer[#All],2,0)</f>
        <v>Sahil Singh</v>
      </c>
      <c r="E2826" s="34" t="s">
        <v>527</v>
      </c>
      <c r="F2826" s="34" t="str">
        <f>VLOOKUP(Sales[[#This Row],[Product ID]],Product[#All],2,0)</f>
        <v>Acer Laptop</v>
      </c>
      <c r="G2826" s="53">
        <v>3</v>
      </c>
      <c r="H2826" s="165">
        <f>VLOOKUP(Sales[[#This Row],[Product ID]],Product[#All],7,0)</f>
        <v>29070</v>
      </c>
      <c r="I2826" s="165">
        <f>Sales[[#This Row],[Selling Rate]]*Sales[[#This Row],[Qty]]</f>
        <v>87210</v>
      </c>
      <c r="J2826" s="45">
        <v>0.12</v>
      </c>
      <c r="K2826" s="46">
        <f>Sales[[#This Row],[Gross Amount]]*Sales[[#This Row],[Disc %]]</f>
        <v>10465.199999999999</v>
      </c>
      <c r="L2826" s="43">
        <v>0.18</v>
      </c>
      <c r="M2826" s="46">
        <f>(Sales[[#This Row],[Gross Amount]]-Sales[[#This Row],[Disc. Amt.]])*Sales[[#This Row],[GST %]]</f>
        <v>13814.064</v>
      </c>
      <c r="N2826" s="161">
        <f>Sales[[#This Row],[Gross Amount]]-Sales[[#This Row],[Disc. Amt.]]+Sales[[#This Row],[GST Amount]]</f>
        <v>90558.864000000001</v>
      </c>
      <c r="O2826" s="34" t="s">
        <v>3561</v>
      </c>
      <c r="P2826" s="34" t="s">
        <v>3562</v>
      </c>
      <c r="Q2826" s="165">
        <f>IF(Sales[[#This Row],[Status]]="Cancelled",0,Sales[[#This Row],[Qty]])</f>
        <v>3</v>
      </c>
      <c r="R2826" s="166">
        <f>IF(Sales[[#This Row],[Status]]="Cancelled",0,Sales[[#This Row],[Total Amount]])</f>
        <v>90558.864000000001</v>
      </c>
      <c r="S2826" s="162">
        <f>SUM(Sales[Net Amount])</f>
        <v>406839287.73200053</v>
      </c>
    </row>
    <row r="2827" spans="1:19" ht="18.75" x14ac:dyDescent="0.25">
      <c r="A2827" s="156" t="s">
        <v>6467</v>
      </c>
      <c r="B2827" s="157">
        <v>45921</v>
      </c>
      <c r="C2827" s="158" t="s">
        <v>793</v>
      </c>
      <c r="D2827" s="159" t="str">
        <f>VLOOKUP(Sales[[#This Row],[Customer ID]],Customer[#All],2,0)</f>
        <v>Neha Verma</v>
      </c>
      <c r="E2827" s="158" t="s">
        <v>130</v>
      </c>
      <c r="F2827" s="158" t="str">
        <f>VLOOKUP(Sales[[#This Row],[Product ID]],Product[#All],2,0)</f>
        <v>Lenovo Laptop</v>
      </c>
      <c r="G2827" s="159">
        <v>4</v>
      </c>
      <c r="H2827" s="160">
        <f>VLOOKUP(Sales[[#This Row],[Product ID]],Product[#All],7,0)</f>
        <v>39230</v>
      </c>
      <c r="I2827" s="160">
        <f>Sales[[#This Row],[Selling Rate]]*Sales[[#This Row],[Qty]]</f>
        <v>156920</v>
      </c>
      <c r="J2827" s="43">
        <v>0.12</v>
      </c>
      <c r="K2827" s="44">
        <f>Sales[[#This Row],[Gross Amount]]*Sales[[#This Row],[Disc %]]</f>
        <v>18830.399999999998</v>
      </c>
      <c r="L2827" s="43">
        <v>0.18</v>
      </c>
      <c r="M2827" s="44">
        <f>(Sales[[#This Row],[Gross Amount]]-Sales[[#This Row],[Disc. Amt.]])*Sales[[#This Row],[GST %]]</f>
        <v>24856.128000000001</v>
      </c>
      <c r="N2827" s="161">
        <f>Sales[[#This Row],[Gross Amount]]-Sales[[#This Row],[Disc. Amt.]]+Sales[[#This Row],[GST Amount]]</f>
        <v>162945.728</v>
      </c>
      <c r="O2827" s="158" t="s">
        <v>3561</v>
      </c>
      <c r="P2827" s="158" t="s">
        <v>3562</v>
      </c>
      <c r="Q2827" s="160">
        <f>IF(Sales[[#This Row],[Status]]="Cancelled",0,Sales[[#This Row],[Qty]])</f>
        <v>4</v>
      </c>
      <c r="R2827" s="161">
        <f>IF(Sales[[#This Row],[Status]]="Cancelled",0,Sales[[#This Row],[Total Amount]])</f>
        <v>162945.728</v>
      </c>
      <c r="S2827" s="162">
        <f>SUM(Sales[Net Amount])</f>
        <v>406839287.73200053</v>
      </c>
    </row>
    <row r="2828" spans="1:19" ht="18.75" x14ac:dyDescent="0.25">
      <c r="A2828" s="163" t="s">
        <v>6468</v>
      </c>
      <c r="B2828" s="164">
        <v>45921</v>
      </c>
      <c r="C2828" s="34" t="s">
        <v>659</v>
      </c>
      <c r="D2828" s="53" t="str">
        <f>VLOOKUP(Sales[[#This Row],[Customer ID]],Customer[#All],2,0)</f>
        <v>Rakesh Sharma</v>
      </c>
      <c r="E2828" s="34" t="s">
        <v>211</v>
      </c>
      <c r="F2828" s="34" t="str">
        <f>VLOOKUP(Sales[[#This Row],[Product ID]],Product[#All],2,0)</f>
        <v>Samsung Ssd</v>
      </c>
      <c r="G2828" s="53">
        <v>7</v>
      </c>
      <c r="H2828" s="165">
        <f>VLOOKUP(Sales[[#This Row],[Product ID]],Product[#All],7,0)</f>
        <v>16100</v>
      </c>
      <c r="I2828" s="165">
        <f>Sales[[#This Row],[Selling Rate]]*Sales[[#This Row],[Qty]]</f>
        <v>112700</v>
      </c>
      <c r="J2828" s="45">
        <v>0.05</v>
      </c>
      <c r="K2828" s="46">
        <f>Sales[[#This Row],[Gross Amount]]*Sales[[#This Row],[Disc %]]</f>
        <v>5635</v>
      </c>
      <c r="L2828" s="43">
        <v>0.18</v>
      </c>
      <c r="M2828" s="46">
        <f>(Sales[[#This Row],[Gross Amount]]-Sales[[#This Row],[Disc. Amt.]])*Sales[[#This Row],[GST %]]</f>
        <v>19271.7</v>
      </c>
      <c r="N2828" s="161">
        <f>Sales[[#This Row],[Gross Amount]]-Sales[[#This Row],[Disc. Amt.]]+Sales[[#This Row],[GST Amount]]</f>
        <v>126336.7</v>
      </c>
      <c r="O2828" s="34" t="s">
        <v>3566</v>
      </c>
      <c r="P2828" s="34" t="s">
        <v>3562</v>
      </c>
      <c r="Q2828" s="165">
        <f>IF(Sales[[#This Row],[Status]]="Cancelled",0,Sales[[#This Row],[Qty]])</f>
        <v>7</v>
      </c>
      <c r="R2828" s="166">
        <f>IF(Sales[[#This Row],[Status]]="Cancelled",0,Sales[[#This Row],[Total Amount]])</f>
        <v>126336.7</v>
      </c>
      <c r="S2828" s="162">
        <f>SUM(Sales[Net Amount])</f>
        <v>406839287.73200053</v>
      </c>
    </row>
    <row r="2829" spans="1:19" ht="18.75" x14ac:dyDescent="0.25">
      <c r="A2829" s="156" t="s">
        <v>6469</v>
      </c>
      <c r="B2829" s="157">
        <v>45921</v>
      </c>
      <c r="C2829" s="158" t="s">
        <v>950</v>
      </c>
      <c r="D2829" s="159" t="str">
        <f>VLOOKUP(Sales[[#This Row],[Customer ID]],Customer[#All],2,0)</f>
        <v>Sunita Sharma</v>
      </c>
      <c r="E2829" s="158" t="s">
        <v>7</v>
      </c>
      <c r="F2829" s="158" t="str">
        <f>VLOOKUP(Sales[[#This Row],[Product ID]],Product[#All],2,0)</f>
        <v>Dell Desktop</v>
      </c>
      <c r="G2829" s="159">
        <v>4</v>
      </c>
      <c r="H2829" s="160">
        <f>VLOOKUP(Sales[[#This Row],[Product ID]],Product[#All],7,0)</f>
        <v>33010</v>
      </c>
      <c r="I2829" s="160">
        <f>Sales[[#This Row],[Selling Rate]]*Sales[[#This Row],[Qty]]</f>
        <v>132040</v>
      </c>
      <c r="J2829" s="43">
        <v>0.1</v>
      </c>
      <c r="K2829" s="44">
        <f>Sales[[#This Row],[Gross Amount]]*Sales[[#This Row],[Disc %]]</f>
        <v>13204</v>
      </c>
      <c r="L2829" s="43">
        <v>0.18</v>
      </c>
      <c r="M2829" s="44">
        <f>(Sales[[#This Row],[Gross Amount]]-Sales[[#This Row],[Disc. Amt.]])*Sales[[#This Row],[GST %]]</f>
        <v>21390.48</v>
      </c>
      <c r="N2829" s="161">
        <f>Sales[[#This Row],[Gross Amount]]-Sales[[#This Row],[Disc. Amt.]]+Sales[[#This Row],[GST Amount]]</f>
        <v>140226.48000000001</v>
      </c>
      <c r="O2829" s="158" t="s">
        <v>3561</v>
      </c>
      <c r="P2829" s="158" t="s">
        <v>3562</v>
      </c>
      <c r="Q2829" s="160">
        <f>IF(Sales[[#This Row],[Status]]="Cancelled",0,Sales[[#This Row],[Qty]])</f>
        <v>4</v>
      </c>
      <c r="R2829" s="161">
        <f>IF(Sales[[#This Row],[Status]]="Cancelled",0,Sales[[#This Row],[Total Amount]])</f>
        <v>140226.48000000001</v>
      </c>
      <c r="S2829" s="162">
        <f>SUM(Sales[Net Amount])</f>
        <v>406839287.73200053</v>
      </c>
    </row>
    <row r="2830" spans="1:19" ht="18.75" x14ac:dyDescent="0.25">
      <c r="A2830" s="163" t="s">
        <v>6470</v>
      </c>
      <c r="B2830" s="164">
        <v>45921</v>
      </c>
      <c r="C2830" s="34" t="s">
        <v>711</v>
      </c>
      <c r="D2830" s="53" t="str">
        <f>VLOOKUP(Sales[[#This Row],[Customer ID]],Customer[#All],2,0)</f>
        <v>Priya Verma</v>
      </c>
      <c r="E2830" s="34" t="s">
        <v>49</v>
      </c>
      <c r="F2830" s="34" t="str">
        <f>VLOOKUP(Sales[[#This Row],[Product ID]],Product[#All],2,0)</f>
        <v>Boat Headset</v>
      </c>
      <c r="G2830" s="53">
        <v>6</v>
      </c>
      <c r="H2830" s="165">
        <f>VLOOKUP(Sales[[#This Row],[Product ID]],Product[#All],7,0)</f>
        <v>970</v>
      </c>
      <c r="I2830" s="165">
        <f>Sales[[#This Row],[Selling Rate]]*Sales[[#This Row],[Qty]]</f>
        <v>5820</v>
      </c>
      <c r="J2830" s="45">
        <v>0.05</v>
      </c>
      <c r="K2830" s="46">
        <f>Sales[[#This Row],[Gross Amount]]*Sales[[#This Row],[Disc %]]</f>
        <v>291</v>
      </c>
      <c r="L2830" s="43">
        <v>0.18</v>
      </c>
      <c r="M2830" s="46">
        <f>(Sales[[#This Row],[Gross Amount]]-Sales[[#This Row],[Disc. Amt.]])*Sales[[#This Row],[GST %]]</f>
        <v>995.21999999999991</v>
      </c>
      <c r="N2830" s="161">
        <f>Sales[[#This Row],[Gross Amount]]-Sales[[#This Row],[Disc. Amt.]]+Sales[[#This Row],[GST Amount]]</f>
        <v>6524.22</v>
      </c>
      <c r="O2830" s="34" t="s">
        <v>8876</v>
      </c>
      <c r="P2830" s="34" t="s">
        <v>1040</v>
      </c>
      <c r="Q2830" s="165">
        <f>IF(Sales[[#This Row],[Status]]="Cancelled",0,Sales[[#This Row],[Qty]])</f>
        <v>0</v>
      </c>
      <c r="R2830" s="166">
        <f>IF(Sales[[#This Row],[Status]]="Cancelled",0,Sales[[#This Row],[Total Amount]])</f>
        <v>0</v>
      </c>
      <c r="S2830" s="162">
        <f>SUM(Sales[Net Amount])</f>
        <v>406839287.73200053</v>
      </c>
    </row>
    <row r="2831" spans="1:19" ht="18.75" x14ac:dyDescent="0.25">
      <c r="A2831" s="156" t="s">
        <v>6471</v>
      </c>
      <c r="B2831" s="157">
        <v>45921</v>
      </c>
      <c r="C2831" s="158" t="s">
        <v>761</v>
      </c>
      <c r="D2831" s="159" t="str">
        <f>VLOOKUP(Sales[[#This Row],[Customer ID]],Customer[#All],2,0)</f>
        <v>Priya Verma</v>
      </c>
      <c r="E2831" s="158" t="s">
        <v>283</v>
      </c>
      <c r="F2831" s="158" t="str">
        <f>VLOOKUP(Sales[[#This Row],[Product ID]],Product[#All],2,0)</f>
        <v>Lenovo Laptop</v>
      </c>
      <c r="G2831" s="159">
        <v>1</v>
      </c>
      <c r="H2831" s="160">
        <f>VLOOKUP(Sales[[#This Row],[Product ID]],Product[#All],7,0)</f>
        <v>36480</v>
      </c>
      <c r="I2831" s="160">
        <f>Sales[[#This Row],[Selling Rate]]*Sales[[#This Row],[Qty]]</f>
        <v>36480</v>
      </c>
      <c r="J2831" s="43">
        <v>0.05</v>
      </c>
      <c r="K2831" s="44">
        <f>Sales[[#This Row],[Gross Amount]]*Sales[[#This Row],[Disc %]]</f>
        <v>1824</v>
      </c>
      <c r="L2831" s="43">
        <v>0.18</v>
      </c>
      <c r="M2831" s="44">
        <f>(Sales[[#This Row],[Gross Amount]]-Sales[[#This Row],[Disc. Amt.]])*Sales[[#This Row],[GST %]]</f>
        <v>6238.08</v>
      </c>
      <c r="N2831" s="161">
        <f>Sales[[#This Row],[Gross Amount]]-Sales[[#This Row],[Disc. Amt.]]+Sales[[#This Row],[GST Amount]]</f>
        <v>40894.080000000002</v>
      </c>
      <c r="O2831" s="158" t="s">
        <v>3566</v>
      </c>
      <c r="P2831" s="158" t="s">
        <v>3562</v>
      </c>
      <c r="Q2831" s="160">
        <f>IF(Sales[[#This Row],[Status]]="Cancelled",0,Sales[[#This Row],[Qty]])</f>
        <v>1</v>
      </c>
      <c r="R2831" s="161">
        <f>IF(Sales[[#This Row],[Status]]="Cancelled",0,Sales[[#This Row],[Total Amount]])</f>
        <v>40894.080000000002</v>
      </c>
      <c r="S2831" s="162">
        <f>SUM(Sales[Net Amount])</f>
        <v>406839287.73200053</v>
      </c>
    </row>
    <row r="2832" spans="1:19" ht="18.75" x14ac:dyDescent="0.25">
      <c r="A2832" s="163" t="s">
        <v>6472</v>
      </c>
      <c r="B2832" s="164">
        <v>45921</v>
      </c>
      <c r="C2832" s="34" t="s">
        <v>800</v>
      </c>
      <c r="D2832" s="53" t="str">
        <f>VLOOKUP(Sales[[#This Row],[Customer ID]],Customer[#All],2,0)</f>
        <v>Priya Gupta</v>
      </c>
      <c r="E2832" s="34" t="s">
        <v>47</v>
      </c>
      <c r="F2832" s="34" t="str">
        <f>VLOOKUP(Sales[[#This Row],[Product ID]],Product[#All],2,0)</f>
        <v>Logitech Keyboard</v>
      </c>
      <c r="G2832" s="53">
        <v>6</v>
      </c>
      <c r="H2832" s="165">
        <f>VLOOKUP(Sales[[#This Row],[Product ID]],Product[#All],7,0)</f>
        <v>930</v>
      </c>
      <c r="I2832" s="165">
        <f>Sales[[#This Row],[Selling Rate]]*Sales[[#This Row],[Qty]]</f>
        <v>5580</v>
      </c>
      <c r="J2832" s="45">
        <v>0</v>
      </c>
      <c r="K2832" s="46">
        <f>Sales[[#This Row],[Gross Amount]]*Sales[[#This Row],[Disc %]]</f>
        <v>0</v>
      </c>
      <c r="L2832" s="43">
        <v>0.18</v>
      </c>
      <c r="M2832" s="46">
        <f>(Sales[[#This Row],[Gross Amount]]-Sales[[#This Row],[Disc. Amt.]])*Sales[[#This Row],[GST %]]</f>
        <v>1004.4</v>
      </c>
      <c r="N2832" s="161">
        <f>Sales[[#This Row],[Gross Amount]]-Sales[[#This Row],[Disc. Amt.]]+Sales[[#This Row],[GST Amount]]</f>
        <v>6584.4</v>
      </c>
      <c r="O2832" s="34" t="s">
        <v>3566</v>
      </c>
      <c r="P2832" s="34" t="s">
        <v>3562</v>
      </c>
      <c r="Q2832" s="165">
        <f>IF(Sales[[#This Row],[Status]]="Cancelled",0,Sales[[#This Row],[Qty]])</f>
        <v>6</v>
      </c>
      <c r="R2832" s="166">
        <f>IF(Sales[[#This Row],[Status]]="Cancelled",0,Sales[[#This Row],[Total Amount]])</f>
        <v>6584.4</v>
      </c>
      <c r="S2832" s="162">
        <f>SUM(Sales[Net Amount])</f>
        <v>406839287.73200053</v>
      </c>
    </row>
    <row r="2833" spans="1:19" ht="18.75" x14ac:dyDescent="0.25">
      <c r="A2833" s="156" t="s">
        <v>6473</v>
      </c>
      <c r="B2833" s="157">
        <v>45921</v>
      </c>
      <c r="C2833" s="158" t="s">
        <v>932</v>
      </c>
      <c r="D2833" s="159" t="str">
        <f>VLOOKUP(Sales[[#This Row],[Customer ID]],Customer[#All],2,0)</f>
        <v>Vikas Gupta</v>
      </c>
      <c r="E2833" s="158" t="s">
        <v>64</v>
      </c>
      <c r="F2833" s="158" t="str">
        <f>VLOOKUP(Sales[[#This Row],[Product ID]],Product[#All],2,0)</f>
        <v>Jbl Headset</v>
      </c>
      <c r="G2833" s="159">
        <v>7</v>
      </c>
      <c r="H2833" s="160">
        <f>VLOOKUP(Sales[[#This Row],[Product ID]],Product[#All],7,0)</f>
        <v>930</v>
      </c>
      <c r="I2833" s="160">
        <f>Sales[[#This Row],[Selling Rate]]*Sales[[#This Row],[Qty]]</f>
        <v>6510</v>
      </c>
      <c r="J2833" s="43">
        <v>0.05</v>
      </c>
      <c r="K2833" s="44">
        <f>Sales[[#This Row],[Gross Amount]]*Sales[[#This Row],[Disc %]]</f>
        <v>325.5</v>
      </c>
      <c r="L2833" s="43">
        <v>0.18</v>
      </c>
      <c r="M2833" s="44">
        <f>(Sales[[#This Row],[Gross Amount]]-Sales[[#This Row],[Disc. Amt.]])*Sales[[#This Row],[GST %]]</f>
        <v>1113.21</v>
      </c>
      <c r="N2833" s="161">
        <f>Sales[[#This Row],[Gross Amount]]-Sales[[#This Row],[Disc. Amt.]]+Sales[[#This Row],[GST Amount]]</f>
        <v>7297.71</v>
      </c>
      <c r="O2833" s="158" t="s">
        <v>3569</v>
      </c>
      <c r="P2833" s="158" t="s">
        <v>3562</v>
      </c>
      <c r="Q2833" s="160">
        <f>IF(Sales[[#This Row],[Status]]="Cancelled",0,Sales[[#This Row],[Qty]])</f>
        <v>7</v>
      </c>
      <c r="R2833" s="161">
        <f>IF(Sales[[#This Row],[Status]]="Cancelled",0,Sales[[#This Row],[Total Amount]])</f>
        <v>7297.71</v>
      </c>
      <c r="S2833" s="162">
        <f>SUM(Sales[Net Amount])</f>
        <v>406839287.73200053</v>
      </c>
    </row>
    <row r="2834" spans="1:19" ht="18.75" x14ac:dyDescent="0.25">
      <c r="A2834" s="163" t="s">
        <v>6474</v>
      </c>
      <c r="B2834" s="164">
        <v>45921</v>
      </c>
      <c r="C2834" s="34" t="s">
        <v>729</v>
      </c>
      <c r="D2834" s="53" t="str">
        <f>VLOOKUP(Sales[[#This Row],[Customer ID]],Customer[#All],2,0)</f>
        <v>Ankit Kumar</v>
      </c>
      <c r="E2834" s="34" t="s">
        <v>220</v>
      </c>
      <c r="F2834" s="34" t="str">
        <f>VLOOKUP(Sales[[#This Row],[Product ID]],Product[#All],2,0)</f>
        <v>HP Desktop</v>
      </c>
      <c r="G2834" s="53">
        <v>4</v>
      </c>
      <c r="H2834" s="165">
        <f>VLOOKUP(Sales[[#This Row],[Product ID]],Product[#All],7,0)</f>
        <v>40570</v>
      </c>
      <c r="I2834" s="165">
        <f>Sales[[#This Row],[Selling Rate]]*Sales[[#This Row],[Qty]]</f>
        <v>162280</v>
      </c>
      <c r="J2834" s="45">
        <v>0</v>
      </c>
      <c r="K2834" s="46">
        <f>Sales[[#This Row],[Gross Amount]]*Sales[[#This Row],[Disc %]]</f>
        <v>0</v>
      </c>
      <c r="L2834" s="43">
        <v>0.18</v>
      </c>
      <c r="M2834" s="46">
        <f>(Sales[[#This Row],[Gross Amount]]-Sales[[#This Row],[Disc. Amt.]])*Sales[[#This Row],[GST %]]</f>
        <v>29210.399999999998</v>
      </c>
      <c r="N2834" s="161">
        <f>Sales[[#This Row],[Gross Amount]]-Sales[[#This Row],[Disc. Amt.]]+Sales[[#This Row],[GST Amount]]</f>
        <v>191490.4</v>
      </c>
      <c r="O2834" s="34" t="s">
        <v>3561</v>
      </c>
      <c r="P2834" s="34" t="s">
        <v>3562</v>
      </c>
      <c r="Q2834" s="165">
        <f>IF(Sales[[#This Row],[Status]]="Cancelled",0,Sales[[#This Row],[Qty]])</f>
        <v>4</v>
      </c>
      <c r="R2834" s="166">
        <f>IF(Sales[[#This Row],[Status]]="Cancelled",0,Sales[[#This Row],[Total Amount]])</f>
        <v>191490.4</v>
      </c>
      <c r="S2834" s="162">
        <f>SUM(Sales[Net Amount])</f>
        <v>406839287.73200053</v>
      </c>
    </row>
    <row r="2835" spans="1:19" ht="18.75" x14ac:dyDescent="0.25">
      <c r="A2835" s="156" t="s">
        <v>6475</v>
      </c>
      <c r="B2835" s="157">
        <v>45921</v>
      </c>
      <c r="C2835" s="158" t="s">
        <v>6476</v>
      </c>
      <c r="D2835" s="159" t="str">
        <f>VLOOKUP(Sales[[#This Row],[Customer ID]],Customer[#All],2,0)</f>
        <v>Vikas Verma</v>
      </c>
      <c r="E2835" s="158" t="s">
        <v>346</v>
      </c>
      <c r="F2835" s="158" t="str">
        <f>VLOOKUP(Sales[[#This Row],[Product ID]],Product[#All],2,0)</f>
        <v>HP Laptop</v>
      </c>
      <c r="G2835" s="159">
        <v>6</v>
      </c>
      <c r="H2835" s="160">
        <f>VLOOKUP(Sales[[#This Row],[Product ID]],Product[#All],7,0)</f>
        <v>88550</v>
      </c>
      <c r="I2835" s="160">
        <f>Sales[[#This Row],[Selling Rate]]*Sales[[#This Row],[Qty]]</f>
        <v>531300</v>
      </c>
      <c r="J2835" s="43">
        <v>0.12</v>
      </c>
      <c r="K2835" s="44">
        <f>Sales[[#This Row],[Gross Amount]]*Sales[[#This Row],[Disc %]]</f>
        <v>63756</v>
      </c>
      <c r="L2835" s="43">
        <v>0.18</v>
      </c>
      <c r="M2835" s="44">
        <f>(Sales[[#This Row],[Gross Amount]]-Sales[[#This Row],[Disc. Amt.]])*Sales[[#This Row],[GST %]]</f>
        <v>84157.92</v>
      </c>
      <c r="N2835" s="161">
        <f>Sales[[#This Row],[Gross Amount]]-Sales[[#This Row],[Disc. Amt.]]+Sales[[#This Row],[GST Amount]]</f>
        <v>551701.92000000004</v>
      </c>
      <c r="O2835" s="158" t="s">
        <v>8876</v>
      </c>
      <c r="P2835" s="158" t="s">
        <v>3562</v>
      </c>
      <c r="Q2835" s="160">
        <f>IF(Sales[[#This Row],[Status]]="Cancelled",0,Sales[[#This Row],[Qty]])</f>
        <v>6</v>
      </c>
      <c r="R2835" s="161">
        <f>IF(Sales[[#This Row],[Status]]="Cancelled",0,Sales[[#This Row],[Total Amount]])</f>
        <v>551701.92000000004</v>
      </c>
      <c r="S2835" s="162">
        <f>SUM(Sales[Net Amount])</f>
        <v>406839287.73200053</v>
      </c>
    </row>
    <row r="2836" spans="1:19" ht="18.75" x14ac:dyDescent="0.25">
      <c r="A2836" s="163" t="s">
        <v>6477</v>
      </c>
      <c r="B2836" s="164">
        <v>45921</v>
      </c>
      <c r="C2836" s="34" t="s">
        <v>852</v>
      </c>
      <c r="D2836" s="53" t="str">
        <f>VLOOKUP(Sales[[#This Row],[Customer ID]],Customer[#All],2,0)</f>
        <v>Neha Singh</v>
      </c>
      <c r="E2836" s="34" t="s">
        <v>360</v>
      </c>
      <c r="F2836" s="34" t="str">
        <f>VLOOKUP(Sales[[#This Row],[Product ID]],Product[#All],2,0)</f>
        <v>Canon Printer</v>
      </c>
      <c r="G2836" s="53">
        <v>6</v>
      </c>
      <c r="H2836" s="165">
        <f>VLOOKUP(Sales[[#This Row],[Product ID]],Product[#All],7,0)</f>
        <v>29670</v>
      </c>
      <c r="I2836" s="165">
        <f>Sales[[#This Row],[Selling Rate]]*Sales[[#This Row],[Qty]]</f>
        <v>178020</v>
      </c>
      <c r="J2836" s="45">
        <v>0</v>
      </c>
      <c r="K2836" s="46">
        <f>Sales[[#This Row],[Gross Amount]]*Sales[[#This Row],[Disc %]]</f>
        <v>0</v>
      </c>
      <c r="L2836" s="43">
        <v>0.18</v>
      </c>
      <c r="M2836" s="46">
        <f>(Sales[[#This Row],[Gross Amount]]-Sales[[#This Row],[Disc. Amt.]])*Sales[[#This Row],[GST %]]</f>
        <v>32043.599999999999</v>
      </c>
      <c r="N2836" s="161">
        <f>Sales[[#This Row],[Gross Amount]]-Sales[[#This Row],[Disc. Amt.]]+Sales[[#This Row],[GST Amount]]</f>
        <v>210063.6</v>
      </c>
      <c r="O2836" s="34" t="s">
        <v>3561</v>
      </c>
      <c r="P2836" s="34" t="s">
        <v>3562</v>
      </c>
      <c r="Q2836" s="165">
        <f>IF(Sales[[#This Row],[Status]]="Cancelled",0,Sales[[#This Row],[Qty]])</f>
        <v>6</v>
      </c>
      <c r="R2836" s="166">
        <f>IF(Sales[[#This Row],[Status]]="Cancelled",0,Sales[[#This Row],[Total Amount]])</f>
        <v>210063.6</v>
      </c>
      <c r="S2836" s="162">
        <f>SUM(Sales[Net Amount])</f>
        <v>406839287.73200053</v>
      </c>
    </row>
    <row r="2837" spans="1:19" ht="18.75" x14ac:dyDescent="0.25">
      <c r="A2837" s="156" t="s">
        <v>6478</v>
      </c>
      <c r="B2837" s="157">
        <v>45921</v>
      </c>
      <c r="C2837" s="158" t="s">
        <v>946</v>
      </c>
      <c r="D2837" s="159" t="str">
        <f>VLOOKUP(Sales[[#This Row],[Customer ID]],Customer[#All],2,0)</f>
        <v>Priya Patel</v>
      </c>
      <c r="E2837" s="158" t="s">
        <v>98</v>
      </c>
      <c r="F2837" s="158" t="str">
        <f>VLOOKUP(Sales[[#This Row],[Product ID]],Product[#All],2,0)</f>
        <v>TP-link Bluetooth Adapter</v>
      </c>
      <c r="G2837" s="159">
        <v>1</v>
      </c>
      <c r="H2837" s="160">
        <f>VLOOKUP(Sales[[#This Row],[Product ID]],Product[#All],7,0)</f>
        <v>1420</v>
      </c>
      <c r="I2837" s="160">
        <f>Sales[[#This Row],[Selling Rate]]*Sales[[#This Row],[Qty]]</f>
        <v>1420</v>
      </c>
      <c r="J2837" s="43">
        <v>0</v>
      </c>
      <c r="K2837" s="44">
        <f>Sales[[#This Row],[Gross Amount]]*Sales[[#This Row],[Disc %]]</f>
        <v>0</v>
      </c>
      <c r="L2837" s="43">
        <v>0.18</v>
      </c>
      <c r="M2837" s="44">
        <f>(Sales[[#This Row],[Gross Amount]]-Sales[[#This Row],[Disc. Amt.]])*Sales[[#This Row],[GST %]]</f>
        <v>255.6</v>
      </c>
      <c r="N2837" s="161">
        <f>Sales[[#This Row],[Gross Amount]]-Sales[[#This Row],[Disc. Amt.]]+Sales[[#This Row],[GST Amount]]</f>
        <v>1675.6</v>
      </c>
      <c r="O2837" s="158" t="s">
        <v>8876</v>
      </c>
      <c r="P2837" s="158" t="s">
        <v>3562</v>
      </c>
      <c r="Q2837" s="160">
        <f>IF(Sales[[#This Row],[Status]]="Cancelled",0,Sales[[#This Row],[Qty]])</f>
        <v>1</v>
      </c>
      <c r="R2837" s="161">
        <f>IF(Sales[[#This Row],[Status]]="Cancelled",0,Sales[[#This Row],[Total Amount]])</f>
        <v>1675.6</v>
      </c>
      <c r="S2837" s="162">
        <f>SUM(Sales[Net Amount])</f>
        <v>406839287.73200053</v>
      </c>
    </row>
    <row r="2838" spans="1:19" ht="18.75" x14ac:dyDescent="0.25">
      <c r="A2838" s="163" t="s">
        <v>6479</v>
      </c>
      <c r="B2838" s="164">
        <v>45921</v>
      </c>
      <c r="C2838" s="34" t="s">
        <v>788</v>
      </c>
      <c r="D2838" s="53" t="str">
        <f>VLOOKUP(Sales[[#This Row],[Customer ID]],Customer[#All],2,0)</f>
        <v>Vikas Kumar</v>
      </c>
      <c r="E2838" s="34" t="s">
        <v>379</v>
      </c>
      <c r="F2838" s="34" t="str">
        <f>VLOOKUP(Sales[[#This Row],[Product ID]],Product[#All],2,0)</f>
        <v>Acer Laptop</v>
      </c>
      <c r="G2838" s="53">
        <v>5</v>
      </c>
      <c r="H2838" s="165">
        <f>VLOOKUP(Sales[[#This Row],[Product ID]],Product[#All],7,0)</f>
        <v>74390</v>
      </c>
      <c r="I2838" s="165">
        <f>Sales[[#This Row],[Selling Rate]]*Sales[[#This Row],[Qty]]</f>
        <v>371950</v>
      </c>
      <c r="J2838" s="45">
        <v>0.15</v>
      </c>
      <c r="K2838" s="46">
        <f>Sales[[#This Row],[Gross Amount]]*Sales[[#This Row],[Disc %]]</f>
        <v>55792.5</v>
      </c>
      <c r="L2838" s="43">
        <v>0.18</v>
      </c>
      <c r="M2838" s="46">
        <f>(Sales[[#This Row],[Gross Amount]]-Sales[[#This Row],[Disc. Amt.]])*Sales[[#This Row],[GST %]]</f>
        <v>56908.35</v>
      </c>
      <c r="N2838" s="161">
        <f>Sales[[#This Row],[Gross Amount]]-Sales[[#This Row],[Disc. Amt.]]+Sales[[#This Row],[GST Amount]]</f>
        <v>373065.85</v>
      </c>
      <c r="O2838" s="34" t="s">
        <v>3566</v>
      </c>
      <c r="P2838" s="34" t="s">
        <v>3562</v>
      </c>
      <c r="Q2838" s="165">
        <f>IF(Sales[[#This Row],[Status]]="Cancelled",0,Sales[[#This Row],[Qty]])</f>
        <v>5</v>
      </c>
      <c r="R2838" s="166">
        <f>IF(Sales[[#This Row],[Status]]="Cancelled",0,Sales[[#This Row],[Total Amount]])</f>
        <v>373065.85</v>
      </c>
      <c r="S2838" s="162">
        <f>SUM(Sales[Net Amount])</f>
        <v>406839287.73200053</v>
      </c>
    </row>
    <row r="2839" spans="1:19" ht="18.75" x14ac:dyDescent="0.25">
      <c r="A2839" s="156" t="s">
        <v>6480</v>
      </c>
      <c r="B2839" s="157">
        <v>45921</v>
      </c>
      <c r="C2839" s="158" t="s">
        <v>765</v>
      </c>
      <c r="D2839" s="159" t="str">
        <f>VLOOKUP(Sales[[#This Row],[Customer ID]],Customer[#All],2,0)</f>
        <v>Neha Gupta</v>
      </c>
      <c r="E2839" s="158" t="s">
        <v>554</v>
      </c>
      <c r="F2839" s="158" t="str">
        <f>VLOOKUP(Sales[[#This Row],[Product ID]],Product[#All],2,0)</f>
        <v>TP-link Router</v>
      </c>
      <c r="G2839" s="159">
        <v>3</v>
      </c>
      <c r="H2839" s="160">
        <f>VLOOKUP(Sales[[#This Row],[Product ID]],Product[#All],7,0)</f>
        <v>6320</v>
      </c>
      <c r="I2839" s="160">
        <f>Sales[[#This Row],[Selling Rate]]*Sales[[#This Row],[Qty]]</f>
        <v>18960</v>
      </c>
      <c r="J2839" s="43">
        <v>0.15</v>
      </c>
      <c r="K2839" s="44">
        <f>Sales[[#This Row],[Gross Amount]]*Sales[[#This Row],[Disc %]]</f>
        <v>2844</v>
      </c>
      <c r="L2839" s="43">
        <v>0.18</v>
      </c>
      <c r="M2839" s="44">
        <f>(Sales[[#This Row],[Gross Amount]]-Sales[[#This Row],[Disc. Amt.]])*Sales[[#This Row],[GST %]]</f>
        <v>2900.88</v>
      </c>
      <c r="N2839" s="161">
        <f>Sales[[#This Row],[Gross Amount]]-Sales[[#This Row],[Disc. Amt.]]+Sales[[#This Row],[GST Amount]]</f>
        <v>19016.88</v>
      </c>
      <c r="O2839" s="158" t="s">
        <v>3569</v>
      </c>
      <c r="P2839" s="158" t="s">
        <v>3562</v>
      </c>
      <c r="Q2839" s="160">
        <f>IF(Sales[[#This Row],[Status]]="Cancelled",0,Sales[[#This Row],[Qty]])</f>
        <v>3</v>
      </c>
      <c r="R2839" s="161">
        <f>IF(Sales[[#This Row],[Status]]="Cancelled",0,Sales[[#This Row],[Total Amount]])</f>
        <v>19016.88</v>
      </c>
      <c r="S2839" s="162">
        <f>SUM(Sales[Net Amount])</f>
        <v>406839287.73200053</v>
      </c>
    </row>
    <row r="2840" spans="1:19" ht="18.75" x14ac:dyDescent="0.25">
      <c r="A2840" s="163" t="s">
        <v>6481</v>
      </c>
      <c r="B2840" s="164">
        <v>45921</v>
      </c>
      <c r="C2840" s="34" t="s">
        <v>758</v>
      </c>
      <c r="D2840" s="53" t="str">
        <f>VLOOKUP(Sales[[#This Row],[Customer ID]],Customer[#All],2,0)</f>
        <v>Rahul Verma</v>
      </c>
      <c r="E2840" s="34" t="s">
        <v>161</v>
      </c>
      <c r="F2840" s="34" t="str">
        <f>VLOOKUP(Sales[[#This Row],[Product ID]],Product[#All],2,0)</f>
        <v>TP-link Router</v>
      </c>
      <c r="G2840" s="53">
        <v>2</v>
      </c>
      <c r="H2840" s="165">
        <f>VLOOKUP(Sales[[#This Row],[Product ID]],Product[#All],7,0)</f>
        <v>1330</v>
      </c>
      <c r="I2840" s="165">
        <f>Sales[[#This Row],[Selling Rate]]*Sales[[#This Row],[Qty]]</f>
        <v>2660</v>
      </c>
      <c r="J2840" s="45">
        <v>0</v>
      </c>
      <c r="K2840" s="46">
        <f>Sales[[#This Row],[Gross Amount]]*Sales[[#This Row],[Disc %]]</f>
        <v>0</v>
      </c>
      <c r="L2840" s="43">
        <v>0.18</v>
      </c>
      <c r="M2840" s="46">
        <f>(Sales[[#This Row],[Gross Amount]]-Sales[[#This Row],[Disc. Amt.]])*Sales[[#This Row],[GST %]]</f>
        <v>478.79999999999995</v>
      </c>
      <c r="N2840" s="161">
        <f>Sales[[#This Row],[Gross Amount]]-Sales[[#This Row],[Disc. Amt.]]+Sales[[#This Row],[GST Amount]]</f>
        <v>3138.8</v>
      </c>
      <c r="O2840" s="34" t="s">
        <v>3566</v>
      </c>
      <c r="P2840" s="34" t="s">
        <v>3562</v>
      </c>
      <c r="Q2840" s="165">
        <f>IF(Sales[[#This Row],[Status]]="Cancelled",0,Sales[[#This Row],[Qty]])</f>
        <v>2</v>
      </c>
      <c r="R2840" s="166">
        <f>IF(Sales[[#This Row],[Status]]="Cancelled",0,Sales[[#This Row],[Total Amount]])</f>
        <v>3138.8</v>
      </c>
      <c r="S2840" s="162">
        <f>SUM(Sales[Net Amount])</f>
        <v>406839287.73200053</v>
      </c>
    </row>
    <row r="2841" spans="1:19" ht="18.75" x14ac:dyDescent="0.25">
      <c r="A2841" s="156" t="s">
        <v>6482</v>
      </c>
      <c r="B2841" s="157">
        <v>45921</v>
      </c>
      <c r="C2841" s="158" t="s">
        <v>952</v>
      </c>
      <c r="D2841" s="159" t="str">
        <f>VLOOKUP(Sales[[#This Row],[Customer ID]],Customer[#All],2,0)</f>
        <v>Pooja Singh</v>
      </c>
      <c r="E2841" s="158" t="s">
        <v>339</v>
      </c>
      <c r="F2841" s="158" t="str">
        <f>VLOOKUP(Sales[[#This Row],[Product ID]],Product[#All],2,0)</f>
        <v>Microtek UPS</v>
      </c>
      <c r="G2841" s="159">
        <v>3</v>
      </c>
      <c r="H2841" s="160">
        <f>VLOOKUP(Sales[[#This Row],[Product ID]],Product[#All],7,0)</f>
        <v>8400</v>
      </c>
      <c r="I2841" s="160">
        <f>Sales[[#This Row],[Selling Rate]]*Sales[[#This Row],[Qty]]</f>
        <v>25200</v>
      </c>
      <c r="J2841" s="43">
        <v>0.12</v>
      </c>
      <c r="K2841" s="44">
        <f>Sales[[#This Row],[Gross Amount]]*Sales[[#This Row],[Disc %]]</f>
        <v>3024</v>
      </c>
      <c r="L2841" s="43">
        <v>0.18</v>
      </c>
      <c r="M2841" s="44">
        <f>(Sales[[#This Row],[Gross Amount]]-Sales[[#This Row],[Disc. Amt.]])*Sales[[#This Row],[GST %]]</f>
        <v>3991.68</v>
      </c>
      <c r="N2841" s="161">
        <f>Sales[[#This Row],[Gross Amount]]-Sales[[#This Row],[Disc. Amt.]]+Sales[[#This Row],[GST Amount]]</f>
        <v>26167.68</v>
      </c>
      <c r="O2841" s="158" t="s">
        <v>3561</v>
      </c>
      <c r="P2841" s="158" t="s">
        <v>1040</v>
      </c>
      <c r="Q2841" s="160">
        <f>IF(Sales[[#This Row],[Status]]="Cancelled",0,Sales[[#This Row],[Qty]])</f>
        <v>0</v>
      </c>
      <c r="R2841" s="161">
        <f>IF(Sales[[#This Row],[Status]]="Cancelled",0,Sales[[#This Row],[Total Amount]])</f>
        <v>0</v>
      </c>
      <c r="S2841" s="162">
        <f>SUM(Sales[Net Amount])</f>
        <v>406839287.73200053</v>
      </c>
    </row>
    <row r="2842" spans="1:19" ht="18.75" x14ac:dyDescent="0.25">
      <c r="A2842" s="163" t="s">
        <v>6483</v>
      </c>
      <c r="B2842" s="164">
        <v>45921</v>
      </c>
      <c r="C2842" s="34" t="s">
        <v>760</v>
      </c>
      <c r="D2842" s="53" t="str">
        <f>VLOOKUP(Sales[[#This Row],[Customer ID]],Customer[#All],2,0)</f>
        <v>Pooja Singh</v>
      </c>
      <c r="E2842" s="34" t="s">
        <v>509</v>
      </c>
      <c r="F2842" s="34" t="str">
        <f>VLOOKUP(Sales[[#This Row],[Product ID]],Product[#All],2,0)</f>
        <v>D-Link Router</v>
      </c>
      <c r="G2842" s="53">
        <v>2</v>
      </c>
      <c r="H2842" s="165">
        <f>VLOOKUP(Sales[[#This Row],[Product ID]],Product[#All],7,0)</f>
        <v>3460</v>
      </c>
      <c r="I2842" s="165">
        <f>Sales[[#This Row],[Selling Rate]]*Sales[[#This Row],[Qty]]</f>
        <v>6920</v>
      </c>
      <c r="J2842" s="45">
        <v>0</v>
      </c>
      <c r="K2842" s="46">
        <f>Sales[[#This Row],[Gross Amount]]*Sales[[#This Row],[Disc %]]</f>
        <v>0</v>
      </c>
      <c r="L2842" s="43">
        <v>0.18</v>
      </c>
      <c r="M2842" s="46">
        <f>(Sales[[#This Row],[Gross Amount]]-Sales[[#This Row],[Disc. Amt.]])*Sales[[#This Row],[GST %]]</f>
        <v>1245.5999999999999</v>
      </c>
      <c r="N2842" s="161">
        <f>Sales[[#This Row],[Gross Amount]]-Sales[[#This Row],[Disc. Amt.]]+Sales[[#This Row],[GST Amount]]</f>
        <v>8165.6</v>
      </c>
      <c r="O2842" s="34" t="s">
        <v>8876</v>
      </c>
      <c r="P2842" s="34" t="s">
        <v>3562</v>
      </c>
      <c r="Q2842" s="165">
        <f>IF(Sales[[#This Row],[Status]]="Cancelled",0,Sales[[#This Row],[Qty]])</f>
        <v>2</v>
      </c>
      <c r="R2842" s="166">
        <f>IF(Sales[[#This Row],[Status]]="Cancelled",0,Sales[[#This Row],[Total Amount]])</f>
        <v>8165.6</v>
      </c>
      <c r="S2842" s="162">
        <f>SUM(Sales[Net Amount])</f>
        <v>406839287.73200053</v>
      </c>
    </row>
    <row r="2843" spans="1:19" ht="18.75" x14ac:dyDescent="0.25">
      <c r="A2843" s="156" t="s">
        <v>6484</v>
      </c>
      <c r="B2843" s="157">
        <v>45921</v>
      </c>
      <c r="C2843" s="158" t="s">
        <v>909</v>
      </c>
      <c r="D2843" s="159" t="str">
        <f>VLOOKUP(Sales[[#This Row],[Customer ID]],Customer[#All],2,0)</f>
        <v>Priya Sharma</v>
      </c>
      <c r="E2843" s="158" t="s">
        <v>536</v>
      </c>
      <c r="F2843" s="158" t="str">
        <f>VLOOKUP(Sales[[#This Row],[Product ID]],Product[#All],2,0)</f>
        <v>Logitech Keyboard</v>
      </c>
      <c r="G2843" s="159">
        <v>5</v>
      </c>
      <c r="H2843" s="160">
        <f>VLOOKUP(Sales[[#This Row],[Product ID]],Product[#All],7,0)</f>
        <v>1160</v>
      </c>
      <c r="I2843" s="160">
        <f>Sales[[#This Row],[Selling Rate]]*Sales[[#This Row],[Qty]]</f>
        <v>5800</v>
      </c>
      <c r="J2843" s="43">
        <v>0.05</v>
      </c>
      <c r="K2843" s="44">
        <f>Sales[[#This Row],[Gross Amount]]*Sales[[#This Row],[Disc %]]</f>
        <v>290</v>
      </c>
      <c r="L2843" s="43">
        <v>0.18</v>
      </c>
      <c r="M2843" s="44">
        <f>(Sales[[#This Row],[Gross Amount]]-Sales[[#This Row],[Disc. Amt.]])*Sales[[#This Row],[GST %]]</f>
        <v>991.8</v>
      </c>
      <c r="N2843" s="161">
        <f>Sales[[#This Row],[Gross Amount]]-Sales[[#This Row],[Disc. Amt.]]+Sales[[#This Row],[GST Amount]]</f>
        <v>6501.8</v>
      </c>
      <c r="O2843" s="158" t="s">
        <v>3561</v>
      </c>
      <c r="P2843" s="158" t="s">
        <v>3562</v>
      </c>
      <c r="Q2843" s="160">
        <f>IF(Sales[[#This Row],[Status]]="Cancelled",0,Sales[[#This Row],[Qty]])</f>
        <v>5</v>
      </c>
      <c r="R2843" s="161">
        <f>IF(Sales[[#This Row],[Status]]="Cancelled",0,Sales[[#This Row],[Total Amount]])</f>
        <v>6501.8</v>
      </c>
      <c r="S2843" s="162">
        <f>SUM(Sales[Net Amount])</f>
        <v>406839287.73200053</v>
      </c>
    </row>
    <row r="2844" spans="1:19" ht="18.75" x14ac:dyDescent="0.25">
      <c r="A2844" s="163" t="s">
        <v>6485</v>
      </c>
      <c r="B2844" s="164">
        <v>45922</v>
      </c>
      <c r="C2844" s="34" t="s">
        <v>677</v>
      </c>
      <c r="D2844" s="53" t="str">
        <f>VLOOKUP(Sales[[#This Row],[Customer ID]],Customer[#All],2,0)</f>
        <v>Sahil Verma</v>
      </c>
      <c r="E2844" s="34" t="s">
        <v>298</v>
      </c>
      <c r="F2844" s="34" t="str">
        <f>VLOOKUP(Sales[[#This Row],[Product ID]],Product[#All],2,0)</f>
        <v>Dell Monitor</v>
      </c>
      <c r="G2844" s="53">
        <v>2</v>
      </c>
      <c r="H2844" s="165">
        <f>VLOOKUP(Sales[[#This Row],[Product ID]],Product[#All],7,0)</f>
        <v>25790</v>
      </c>
      <c r="I2844" s="165">
        <f>Sales[[#This Row],[Selling Rate]]*Sales[[#This Row],[Qty]]</f>
        <v>51580</v>
      </c>
      <c r="J2844" s="45">
        <v>0</v>
      </c>
      <c r="K2844" s="46">
        <f>Sales[[#This Row],[Gross Amount]]*Sales[[#This Row],[Disc %]]</f>
        <v>0</v>
      </c>
      <c r="L2844" s="43">
        <v>0.18</v>
      </c>
      <c r="M2844" s="46">
        <f>(Sales[[#This Row],[Gross Amount]]-Sales[[#This Row],[Disc. Amt.]])*Sales[[#This Row],[GST %]]</f>
        <v>9284.4</v>
      </c>
      <c r="N2844" s="161">
        <f>Sales[[#This Row],[Gross Amount]]-Sales[[#This Row],[Disc. Amt.]]+Sales[[#This Row],[GST Amount]]</f>
        <v>60864.4</v>
      </c>
      <c r="O2844" s="34" t="s">
        <v>8876</v>
      </c>
      <c r="P2844" s="34" t="s">
        <v>3562</v>
      </c>
      <c r="Q2844" s="165">
        <f>IF(Sales[[#This Row],[Status]]="Cancelled",0,Sales[[#This Row],[Qty]])</f>
        <v>2</v>
      </c>
      <c r="R2844" s="166">
        <f>IF(Sales[[#This Row],[Status]]="Cancelled",0,Sales[[#This Row],[Total Amount]])</f>
        <v>60864.4</v>
      </c>
      <c r="S2844" s="162">
        <f>SUM(Sales[Net Amount])</f>
        <v>406839287.73200053</v>
      </c>
    </row>
    <row r="2845" spans="1:19" ht="18.75" x14ac:dyDescent="0.25">
      <c r="A2845" s="156" t="s">
        <v>6486</v>
      </c>
      <c r="B2845" s="157">
        <v>45922</v>
      </c>
      <c r="C2845" s="158" t="s">
        <v>766</v>
      </c>
      <c r="D2845" s="159" t="str">
        <f>VLOOKUP(Sales[[#This Row],[Customer ID]],Customer[#All],2,0)</f>
        <v>Neha Gupta</v>
      </c>
      <c r="E2845" s="158" t="s">
        <v>151</v>
      </c>
      <c r="F2845" s="158" t="str">
        <f>VLOOKUP(Sales[[#This Row],[Product ID]],Product[#All],2,0)</f>
        <v>Jbl Speaker</v>
      </c>
      <c r="G2845" s="159">
        <v>8</v>
      </c>
      <c r="H2845" s="160">
        <f>VLOOKUP(Sales[[#This Row],[Product ID]],Product[#All],7,0)</f>
        <v>7010</v>
      </c>
      <c r="I2845" s="160">
        <f>Sales[[#This Row],[Selling Rate]]*Sales[[#This Row],[Qty]]</f>
        <v>56080</v>
      </c>
      <c r="J2845" s="43">
        <v>0.15</v>
      </c>
      <c r="K2845" s="44">
        <f>Sales[[#This Row],[Gross Amount]]*Sales[[#This Row],[Disc %]]</f>
        <v>8412</v>
      </c>
      <c r="L2845" s="43">
        <v>0.18</v>
      </c>
      <c r="M2845" s="44">
        <f>(Sales[[#This Row],[Gross Amount]]-Sales[[#This Row],[Disc. Amt.]])*Sales[[#This Row],[GST %]]</f>
        <v>8580.24</v>
      </c>
      <c r="N2845" s="161">
        <f>Sales[[#This Row],[Gross Amount]]-Sales[[#This Row],[Disc. Amt.]]+Sales[[#This Row],[GST Amount]]</f>
        <v>56248.24</v>
      </c>
      <c r="O2845" s="158" t="s">
        <v>3569</v>
      </c>
      <c r="P2845" s="158" t="s">
        <v>3562</v>
      </c>
      <c r="Q2845" s="160">
        <f>IF(Sales[[#This Row],[Status]]="Cancelled",0,Sales[[#This Row],[Qty]])</f>
        <v>8</v>
      </c>
      <c r="R2845" s="161">
        <f>IF(Sales[[#This Row],[Status]]="Cancelled",0,Sales[[#This Row],[Total Amount]])</f>
        <v>56248.24</v>
      </c>
      <c r="S2845" s="162">
        <f>SUM(Sales[Net Amount])</f>
        <v>406839287.73200053</v>
      </c>
    </row>
    <row r="2846" spans="1:19" ht="18.75" x14ac:dyDescent="0.25">
      <c r="A2846" s="163" t="s">
        <v>6487</v>
      </c>
      <c r="B2846" s="164">
        <v>45922</v>
      </c>
      <c r="C2846" s="34" t="s">
        <v>887</v>
      </c>
      <c r="D2846" s="53" t="str">
        <f>VLOOKUP(Sales[[#This Row],[Customer ID]],Customer[#All],2,0)</f>
        <v>Sahil Verma</v>
      </c>
      <c r="E2846" s="34" t="s">
        <v>509</v>
      </c>
      <c r="F2846" s="34" t="str">
        <f>VLOOKUP(Sales[[#This Row],[Product ID]],Product[#All],2,0)</f>
        <v>D-Link Router</v>
      </c>
      <c r="G2846" s="53">
        <v>1</v>
      </c>
      <c r="H2846" s="165">
        <f>VLOOKUP(Sales[[#This Row],[Product ID]],Product[#All],7,0)</f>
        <v>3460</v>
      </c>
      <c r="I2846" s="165">
        <f>Sales[[#This Row],[Selling Rate]]*Sales[[#This Row],[Qty]]</f>
        <v>3460</v>
      </c>
      <c r="J2846" s="45">
        <v>0.05</v>
      </c>
      <c r="K2846" s="46">
        <f>Sales[[#This Row],[Gross Amount]]*Sales[[#This Row],[Disc %]]</f>
        <v>173</v>
      </c>
      <c r="L2846" s="43">
        <v>0.18</v>
      </c>
      <c r="M2846" s="46">
        <f>(Sales[[#This Row],[Gross Amount]]-Sales[[#This Row],[Disc. Amt.]])*Sales[[#This Row],[GST %]]</f>
        <v>591.66</v>
      </c>
      <c r="N2846" s="161">
        <f>Sales[[#This Row],[Gross Amount]]-Sales[[#This Row],[Disc. Amt.]]+Sales[[#This Row],[GST Amount]]</f>
        <v>3878.66</v>
      </c>
      <c r="O2846" s="34" t="s">
        <v>8876</v>
      </c>
      <c r="P2846" s="34" t="s">
        <v>3562</v>
      </c>
      <c r="Q2846" s="165">
        <f>IF(Sales[[#This Row],[Status]]="Cancelled",0,Sales[[#This Row],[Qty]])</f>
        <v>1</v>
      </c>
      <c r="R2846" s="166">
        <f>IF(Sales[[#This Row],[Status]]="Cancelled",0,Sales[[#This Row],[Total Amount]])</f>
        <v>3878.66</v>
      </c>
      <c r="S2846" s="162">
        <f>SUM(Sales[Net Amount])</f>
        <v>406839287.73200053</v>
      </c>
    </row>
    <row r="2847" spans="1:19" ht="18.75" x14ac:dyDescent="0.25">
      <c r="A2847" s="156" t="s">
        <v>6488</v>
      </c>
      <c r="B2847" s="157">
        <v>45922</v>
      </c>
      <c r="C2847" s="158" t="s">
        <v>748</v>
      </c>
      <c r="D2847" s="159" t="str">
        <f>VLOOKUP(Sales[[#This Row],[Customer ID]],Customer[#All],2,0)</f>
        <v>Priya Singh</v>
      </c>
      <c r="E2847" s="158" t="s">
        <v>485</v>
      </c>
      <c r="F2847" s="158" t="str">
        <f>VLOOKUP(Sales[[#This Row],[Product ID]],Product[#All],2,0)</f>
        <v>Lenovo Laptop</v>
      </c>
      <c r="G2847" s="159">
        <v>3</v>
      </c>
      <c r="H2847" s="160">
        <f>VLOOKUP(Sales[[#This Row],[Product ID]],Product[#All],7,0)</f>
        <v>55360</v>
      </c>
      <c r="I2847" s="160">
        <f>Sales[[#This Row],[Selling Rate]]*Sales[[#This Row],[Qty]]</f>
        <v>166080</v>
      </c>
      <c r="J2847" s="43">
        <v>0</v>
      </c>
      <c r="K2847" s="44">
        <f>Sales[[#This Row],[Gross Amount]]*Sales[[#This Row],[Disc %]]</f>
        <v>0</v>
      </c>
      <c r="L2847" s="43">
        <v>0.18</v>
      </c>
      <c r="M2847" s="44">
        <f>(Sales[[#This Row],[Gross Amount]]-Sales[[#This Row],[Disc. Amt.]])*Sales[[#This Row],[GST %]]</f>
        <v>29894.399999999998</v>
      </c>
      <c r="N2847" s="161">
        <f>Sales[[#This Row],[Gross Amount]]-Sales[[#This Row],[Disc. Amt.]]+Sales[[#This Row],[GST Amount]]</f>
        <v>195974.39999999999</v>
      </c>
      <c r="O2847" s="158" t="s">
        <v>3569</v>
      </c>
      <c r="P2847" s="158" t="s">
        <v>3562</v>
      </c>
      <c r="Q2847" s="160">
        <f>IF(Sales[[#This Row],[Status]]="Cancelled",0,Sales[[#This Row],[Qty]])</f>
        <v>3</v>
      </c>
      <c r="R2847" s="161">
        <f>IF(Sales[[#This Row],[Status]]="Cancelled",0,Sales[[#This Row],[Total Amount]])</f>
        <v>195974.39999999999</v>
      </c>
      <c r="S2847" s="162">
        <f>SUM(Sales[Net Amount])</f>
        <v>406839287.73200053</v>
      </c>
    </row>
    <row r="2848" spans="1:19" ht="18.75" x14ac:dyDescent="0.25">
      <c r="A2848" s="163" t="s">
        <v>6489</v>
      </c>
      <c r="B2848" s="164">
        <v>45922</v>
      </c>
      <c r="C2848" s="34" t="s">
        <v>679</v>
      </c>
      <c r="D2848" s="53" t="str">
        <f>VLOOKUP(Sales[[#This Row],[Customer ID]],Customer[#All],2,0)</f>
        <v>Rahul Singh</v>
      </c>
      <c r="E2848" s="34" t="s">
        <v>376</v>
      </c>
      <c r="F2848" s="34" t="str">
        <f>VLOOKUP(Sales[[#This Row],[Product ID]],Product[#All],2,0)</f>
        <v>Lenovo Laptop</v>
      </c>
      <c r="G2848" s="53">
        <v>8</v>
      </c>
      <c r="H2848" s="165">
        <f>VLOOKUP(Sales[[#This Row],[Product ID]],Product[#All],7,0)</f>
        <v>38140</v>
      </c>
      <c r="I2848" s="165">
        <f>Sales[[#This Row],[Selling Rate]]*Sales[[#This Row],[Qty]]</f>
        <v>305120</v>
      </c>
      <c r="J2848" s="45">
        <v>0</v>
      </c>
      <c r="K2848" s="46">
        <f>Sales[[#This Row],[Gross Amount]]*Sales[[#This Row],[Disc %]]</f>
        <v>0</v>
      </c>
      <c r="L2848" s="43">
        <v>0.18</v>
      </c>
      <c r="M2848" s="46">
        <f>(Sales[[#This Row],[Gross Amount]]-Sales[[#This Row],[Disc. Amt.]])*Sales[[#This Row],[GST %]]</f>
        <v>54921.599999999999</v>
      </c>
      <c r="N2848" s="161">
        <f>Sales[[#This Row],[Gross Amount]]-Sales[[#This Row],[Disc. Amt.]]+Sales[[#This Row],[GST Amount]]</f>
        <v>360041.6</v>
      </c>
      <c r="O2848" s="34" t="s">
        <v>3561</v>
      </c>
      <c r="P2848" s="34" t="s">
        <v>3562</v>
      </c>
      <c r="Q2848" s="165">
        <f>IF(Sales[[#This Row],[Status]]="Cancelled",0,Sales[[#This Row],[Qty]])</f>
        <v>8</v>
      </c>
      <c r="R2848" s="166">
        <f>IF(Sales[[#This Row],[Status]]="Cancelled",0,Sales[[#This Row],[Total Amount]])</f>
        <v>360041.6</v>
      </c>
      <c r="S2848" s="162">
        <f>SUM(Sales[Net Amount])</f>
        <v>406839287.73200053</v>
      </c>
    </row>
    <row r="2849" spans="1:19" ht="18.75" x14ac:dyDescent="0.25">
      <c r="A2849" s="156" t="s">
        <v>6490</v>
      </c>
      <c r="B2849" s="157">
        <v>45922</v>
      </c>
      <c r="C2849" s="158" t="s">
        <v>653</v>
      </c>
      <c r="D2849" s="159" t="str">
        <f>VLOOKUP(Sales[[#This Row],[Customer ID]],Customer[#All],2,0)</f>
        <v>Pooja Patel</v>
      </c>
      <c r="E2849" s="158" t="s">
        <v>112</v>
      </c>
      <c r="F2849" s="158" t="str">
        <f>VLOOKUP(Sales[[#This Row],[Product ID]],Product[#All],2,0)</f>
        <v>Logitech Keyboard</v>
      </c>
      <c r="G2849" s="159">
        <v>8</v>
      </c>
      <c r="H2849" s="160">
        <f>VLOOKUP(Sales[[#This Row],[Product ID]],Product[#All],7,0)</f>
        <v>3300</v>
      </c>
      <c r="I2849" s="160">
        <f>Sales[[#This Row],[Selling Rate]]*Sales[[#This Row],[Qty]]</f>
        <v>26400</v>
      </c>
      <c r="J2849" s="43">
        <v>0.02</v>
      </c>
      <c r="K2849" s="44">
        <f>Sales[[#This Row],[Gross Amount]]*Sales[[#This Row],[Disc %]]</f>
        <v>528</v>
      </c>
      <c r="L2849" s="43">
        <v>0.18</v>
      </c>
      <c r="M2849" s="44">
        <f>(Sales[[#This Row],[Gross Amount]]-Sales[[#This Row],[Disc. Amt.]])*Sales[[#This Row],[GST %]]</f>
        <v>4656.96</v>
      </c>
      <c r="N2849" s="161">
        <f>Sales[[#This Row],[Gross Amount]]-Sales[[#This Row],[Disc. Amt.]]+Sales[[#This Row],[GST Amount]]</f>
        <v>30528.959999999999</v>
      </c>
      <c r="O2849" s="158" t="s">
        <v>8876</v>
      </c>
      <c r="P2849" s="158" t="s">
        <v>3562</v>
      </c>
      <c r="Q2849" s="160">
        <f>IF(Sales[[#This Row],[Status]]="Cancelled",0,Sales[[#This Row],[Qty]])</f>
        <v>8</v>
      </c>
      <c r="R2849" s="161">
        <f>IF(Sales[[#This Row],[Status]]="Cancelled",0,Sales[[#This Row],[Total Amount]])</f>
        <v>30528.959999999999</v>
      </c>
      <c r="S2849" s="162">
        <f>SUM(Sales[Net Amount])</f>
        <v>406839287.73200053</v>
      </c>
    </row>
    <row r="2850" spans="1:19" ht="18.75" x14ac:dyDescent="0.25">
      <c r="A2850" s="163" t="s">
        <v>6491</v>
      </c>
      <c r="B2850" s="164">
        <v>45922</v>
      </c>
      <c r="C2850" s="34" t="s">
        <v>666</v>
      </c>
      <c r="D2850" s="53" t="str">
        <f>VLOOKUP(Sales[[#This Row],[Customer ID]],Customer[#All],2,0)</f>
        <v>Sahil Gupta</v>
      </c>
      <c r="E2850" s="34" t="s">
        <v>491</v>
      </c>
      <c r="F2850" s="34" t="str">
        <f>VLOOKUP(Sales[[#This Row],[Product ID]],Product[#All],2,0)</f>
        <v>Boat Speaker</v>
      </c>
      <c r="G2850" s="53">
        <v>7</v>
      </c>
      <c r="H2850" s="165">
        <f>VLOOKUP(Sales[[#This Row],[Product ID]],Product[#All],7,0)</f>
        <v>2300</v>
      </c>
      <c r="I2850" s="165">
        <f>Sales[[#This Row],[Selling Rate]]*Sales[[#This Row],[Qty]]</f>
        <v>16100</v>
      </c>
      <c r="J2850" s="45">
        <v>0.02</v>
      </c>
      <c r="K2850" s="46">
        <f>Sales[[#This Row],[Gross Amount]]*Sales[[#This Row],[Disc %]]</f>
        <v>322</v>
      </c>
      <c r="L2850" s="43">
        <v>0.18</v>
      </c>
      <c r="M2850" s="46">
        <f>(Sales[[#This Row],[Gross Amount]]-Sales[[#This Row],[Disc. Amt.]])*Sales[[#This Row],[GST %]]</f>
        <v>2840.04</v>
      </c>
      <c r="N2850" s="161">
        <f>Sales[[#This Row],[Gross Amount]]-Sales[[#This Row],[Disc. Amt.]]+Sales[[#This Row],[GST Amount]]</f>
        <v>18618.04</v>
      </c>
      <c r="O2850" s="34" t="s">
        <v>8876</v>
      </c>
      <c r="P2850" s="34" t="s">
        <v>3562</v>
      </c>
      <c r="Q2850" s="165">
        <f>IF(Sales[[#This Row],[Status]]="Cancelled",0,Sales[[#This Row],[Qty]])</f>
        <v>7</v>
      </c>
      <c r="R2850" s="166">
        <f>IF(Sales[[#This Row],[Status]]="Cancelled",0,Sales[[#This Row],[Total Amount]])</f>
        <v>18618.04</v>
      </c>
      <c r="S2850" s="162">
        <f>SUM(Sales[Net Amount])</f>
        <v>406839287.73200053</v>
      </c>
    </row>
    <row r="2851" spans="1:19" ht="18.75" x14ac:dyDescent="0.25">
      <c r="A2851" s="156" t="s">
        <v>6492</v>
      </c>
      <c r="B2851" s="157">
        <v>45922</v>
      </c>
      <c r="C2851" s="158" t="s">
        <v>905</v>
      </c>
      <c r="D2851" s="159" t="str">
        <f>VLOOKUP(Sales[[#This Row],[Customer ID]],Customer[#All],2,0)</f>
        <v>Rakesh Gupta</v>
      </c>
      <c r="E2851" s="158" t="s">
        <v>35</v>
      </c>
      <c r="F2851" s="158" t="str">
        <f>VLOOKUP(Sales[[#This Row],[Product ID]],Product[#All],2,0)</f>
        <v>Dell Keyboard</v>
      </c>
      <c r="G2851" s="159">
        <v>3</v>
      </c>
      <c r="H2851" s="160">
        <f>VLOOKUP(Sales[[#This Row],[Product ID]],Product[#All],7,0)</f>
        <v>3560</v>
      </c>
      <c r="I2851" s="160">
        <f>Sales[[#This Row],[Selling Rate]]*Sales[[#This Row],[Qty]]</f>
        <v>10680</v>
      </c>
      <c r="J2851" s="43">
        <v>0.1</v>
      </c>
      <c r="K2851" s="44">
        <f>Sales[[#This Row],[Gross Amount]]*Sales[[#This Row],[Disc %]]</f>
        <v>1068</v>
      </c>
      <c r="L2851" s="43">
        <v>0.18</v>
      </c>
      <c r="M2851" s="44">
        <f>(Sales[[#This Row],[Gross Amount]]-Sales[[#This Row],[Disc. Amt.]])*Sales[[#This Row],[GST %]]</f>
        <v>1730.1599999999999</v>
      </c>
      <c r="N2851" s="161">
        <f>Sales[[#This Row],[Gross Amount]]-Sales[[#This Row],[Disc. Amt.]]+Sales[[#This Row],[GST Amount]]</f>
        <v>11342.16</v>
      </c>
      <c r="O2851" s="158" t="s">
        <v>3561</v>
      </c>
      <c r="P2851" s="158" t="s">
        <v>3562</v>
      </c>
      <c r="Q2851" s="160">
        <f>IF(Sales[[#This Row],[Status]]="Cancelled",0,Sales[[#This Row],[Qty]])</f>
        <v>3</v>
      </c>
      <c r="R2851" s="161">
        <f>IF(Sales[[#This Row],[Status]]="Cancelled",0,Sales[[#This Row],[Total Amount]])</f>
        <v>11342.16</v>
      </c>
      <c r="S2851" s="162">
        <f>SUM(Sales[Net Amount])</f>
        <v>406839287.73200053</v>
      </c>
    </row>
    <row r="2852" spans="1:19" ht="18.75" x14ac:dyDescent="0.25">
      <c r="A2852" s="163" t="s">
        <v>6493</v>
      </c>
      <c r="B2852" s="164">
        <v>45922</v>
      </c>
      <c r="C2852" s="34" t="s">
        <v>708</v>
      </c>
      <c r="D2852" s="53" t="str">
        <f>VLOOKUP(Sales[[#This Row],[Customer ID]],Customer[#All],2,0)</f>
        <v>Amit Verma</v>
      </c>
      <c r="E2852" s="34" t="s">
        <v>486</v>
      </c>
      <c r="F2852" s="34" t="str">
        <f>VLOOKUP(Sales[[#This Row],[Product ID]],Product[#All],2,0)</f>
        <v>Logitech Mouse</v>
      </c>
      <c r="G2852" s="53">
        <v>8</v>
      </c>
      <c r="H2852" s="165">
        <f>VLOOKUP(Sales[[#This Row],[Product ID]],Product[#All],7,0)</f>
        <v>1650</v>
      </c>
      <c r="I2852" s="165">
        <f>Sales[[#This Row],[Selling Rate]]*Sales[[#This Row],[Qty]]</f>
        <v>13200</v>
      </c>
      <c r="J2852" s="45">
        <v>0.1</v>
      </c>
      <c r="K2852" s="46">
        <f>Sales[[#This Row],[Gross Amount]]*Sales[[#This Row],[Disc %]]</f>
        <v>1320</v>
      </c>
      <c r="L2852" s="43">
        <v>0.18</v>
      </c>
      <c r="M2852" s="46">
        <f>(Sales[[#This Row],[Gross Amount]]-Sales[[#This Row],[Disc. Amt.]])*Sales[[#This Row],[GST %]]</f>
        <v>2138.4</v>
      </c>
      <c r="N2852" s="161">
        <f>Sales[[#This Row],[Gross Amount]]-Sales[[#This Row],[Disc. Amt.]]+Sales[[#This Row],[GST Amount]]</f>
        <v>14018.4</v>
      </c>
      <c r="O2852" s="34" t="s">
        <v>8876</v>
      </c>
      <c r="P2852" s="34" t="s">
        <v>3562</v>
      </c>
      <c r="Q2852" s="165">
        <f>IF(Sales[[#This Row],[Status]]="Cancelled",0,Sales[[#This Row],[Qty]])</f>
        <v>8</v>
      </c>
      <c r="R2852" s="166">
        <f>IF(Sales[[#This Row],[Status]]="Cancelled",0,Sales[[#This Row],[Total Amount]])</f>
        <v>14018.4</v>
      </c>
      <c r="S2852" s="162">
        <f>SUM(Sales[Net Amount])</f>
        <v>406839287.73200053</v>
      </c>
    </row>
    <row r="2853" spans="1:19" ht="18.75" x14ac:dyDescent="0.25">
      <c r="A2853" s="156" t="s">
        <v>6494</v>
      </c>
      <c r="B2853" s="157">
        <v>45922</v>
      </c>
      <c r="C2853" s="158" t="s">
        <v>906</v>
      </c>
      <c r="D2853" s="159" t="str">
        <f>VLOOKUP(Sales[[#This Row],[Customer ID]],Customer[#All],2,0)</f>
        <v>Ankit Sharma</v>
      </c>
      <c r="E2853" s="158" t="s">
        <v>291</v>
      </c>
      <c r="F2853" s="158" t="str">
        <f>VLOOKUP(Sales[[#This Row],[Product ID]],Product[#All],2,0)</f>
        <v>Jbl Speaker</v>
      </c>
      <c r="G2853" s="159">
        <v>1</v>
      </c>
      <c r="H2853" s="160">
        <f>VLOOKUP(Sales[[#This Row],[Product ID]],Product[#All],7,0)</f>
        <v>12040</v>
      </c>
      <c r="I2853" s="160">
        <f>Sales[[#This Row],[Selling Rate]]*Sales[[#This Row],[Qty]]</f>
        <v>12040</v>
      </c>
      <c r="J2853" s="43">
        <v>0.05</v>
      </c>
      <c r="K2853" s="44">
        <f>Sales[[#This Row],[Gross Amount]]*Sales[[#This Row],[Disc %]]</f>
        <v>602</v>
      </c>
      <c r="L2853" s="43">
        <v>0.18</v>
      </c>
      <c r="M2853" s="44">
        <f>(Sales[[#This Row],[Gross Amount]]-Sales[[#This Row],[Disc. Amt.]])*Sales[[#This Row],[GST %]]</f>
        <v>2058.84</v>
      </c>
      <c r="N2853" s="161">
        <f>Sales[[#This Row],[Gross Amount]]-Sales[[#This Row],[Disc. Amt.]]+Sales[[#This Row],[GST Amount]]</f>
        <v>13496.84</v>
      </c>
      <c r="O2853" s="158" t="s">
        <v>3566</v>
      </c>
      <c r="P2853" s="158" t="s">
        <v>3562</v>
      </c>
      <c r="Q2853" s="160">
        <f>IF(Sales[[#This Row],[Status]]="Cancelled",0,Sales[[#This Row],[Qty]])</f>
        <v>1</v>
      </c>
      <c r="R2853" s="161">
        <f>IF(Sales[[#This Row],[Status]]="Cancelled",0,Sales[[#This Row],[Total Amount]])</f>
        <v>13496.84</v>
      </c>
      <c r="S2853" s="162">
        <f>SUM(Sales[Net Amount])</f>
        <v>406839287.73200053</v>
      </c>
    </row>
    <row r="2854" spans="1:19" ht="18.75" x14ac:dyDescent="0.25">
      <c r="A2854" s="163" t="s">
        <v>6495</v>
      </c>
      <c r="B2854" s="164">
        <v>45922</v>
      </c>
      <c r="C2854" s="34" t="s">
        <v>859</v>
      </c>
      <c r="D2854" s="53" t="str">
        <f>VLOOKUP(Sales[[#This Row],[Customer ID]],Customer[#All],2,0)</f>
        <v>Rakesh Kumar</v>
      </c>
      <c r="E2854" s="34" t="s">
        <v>266</v>
      </c>
      <c r="F2854" s="34" t="str">
        <f>VLOOKUP(Sales[[#This Row],[Product ID]],Product[#All],2,0)</f>
        <v>American TouristerLaptopBag</v>
      </c>
      <c r="G2854" s="53">
        <v>1</v>
      </c>
      <c r="H2854" s="165">
        <f>VLOOKUP(Sales[[#This Row],[Product ID]],Product[#All],7,0)</f>
        <v>4170</v>
      </c>
      <c r="I2854" s="165">
        <f>Sales[[#This Row],[Selling Rate]]*Sales[[#This Row],[Qty]]</f>
        <v>4170</v>
      </c>
      <c r="J2854" s="45">
        <v>0.05</v>
      </c>
      <c r="K2854" s="46">
        <f>Sales[[#This Row],[Gross Amount]]*Sales[[#This Row],[Disc %]]</f>
        <v>208.5</v>
      </c>
      <c r="L2854" s="43">
        <v>0.18</v>
      </c>
      <c r="M2854" s="46">
        <f>(Sales[[#This Row],[Gross Amount]]-Sales[[#This Row],[Disc. Amt.]])*Sales[[#This Row],[GST %]]</f>
        <v>713.06999999999994</v>
      </c>
      <c r="N2854" s="161">
        <f>Sales[[#This Row],[Gross Amount]]-Sales[[#This Row],[Disc. Amt.]]+Sales[[#This Row],[GST Amount]]</f>
        <v>4674.57</v>
      </c>
      <c r="O2854" s="34" t="s">
        <v>8876</v>
      </c>
      <c r="P2854" s="34" t="s">
        <v>3562</v>
      </c>
      <c r="Q2854" s="165">
        <f>IF(Sales[[#This Row],[Status]]="Cancelled",0,Sales[[#This Row],[Qty]])</f>
        <v>1</v>
      </c>
      <c r="R2854" s="166">
        <f>IF(Sales[[#This Row],[Status]]="Cancelled",0,Sales[[#This Row],[Total Amount]])</f>
        <v>4674.57</v>
      </c>
      <c r="S2854" s="162">
        <f>SUM(Sales[Net Amount])</f>
        <v>406839287.73200053</v>
      </c>
    </row>
    <row r="2855" spans="1:19" ht="18.75" x14ac:dyDescent="0.25">
      <c r="A2855" s="156" t="s">
        <v>6496</v>
      </c>
      <c r="B2855" s="157">
        <v>45922</v>
      </c>
      <c r="C2855" s="158" t="s">
        <v>922</v>
      </c>
      <c r="D2855" s="159" t="str">
        <f>VLOOKUP(Sales[[#This Row],[Customer ID]],Customer[#All],2,0)</f>
        <v>Pooja Patel</v>
      </c>
      <c r="E2855" s="158" t="s">
        <v>484</v>
      </c>
      <c r="F2855" s="158" t="str">
        <f>VLOOKUP(Sales[[#This Row],[Product ID]],Product[#All],2,0)</f>
        <v>Dell Desktop</v>
      </c>
      <c r="G2855" s="159">
        <v>4</v>
      </c>
      <c r="H2855" s="160">
        <f>VLOOKUP(Sales[[#This Row],[Product ID]],Product[#All],7,0)</f>
        <v>68710</v>
      </c>
      <c r="I2855" s="160">
        <f>Sales[[#This Row],[Selling Rate]]*Sales[[#This Row],[Qty]]</f>
        <v>274840</v>
      </c>
      <c r="J2855" s="43">
        <v>0.12</v>
      </c>
      <c r="K2855" s="44">
        <f>Sales[[#This Row],[Gross Amount]]*Sales[[#This Row],[Disc %]]</f>
        <v>32980.799999999996</v>
      </c>
      <c r="L2855" s="43">
        <v>0.18</v>
      </c>
      <c r="M2855" s="44">
        <f>(Sales[[#This Row],[Gross Amount]]-Sales[[#This Row],[Disc. Amt.]])*Sales[[#This Row],[GST %]]</f>
        <v>43534.656000000003</v>
      </c>
      <c r="N2855" s="161">
        <f>Sales[[#This Row],[Gross Amount]]-Sales[[#This Row],[Disc. Amt.]]+Sales[[#This Row],[GST Amount]]</f>
        <v>285393.85600000003</v>
      </c>
      <c r="O2855" s="158" t="s">
        <v>8876</v>
      </c>
      <c r="P2855" s="158" t="s">
        <v>3562</v>
      </c>
      <c r="Q2855" s="160">
        <f>IF(Sales[[#This Row],[Status]]="Cancelled",0,Sales[[#This Row],[Qty]])</f>
        <v>4</v>
      </c>
      <c r="R2855" s="161">
        <f>IF(Sales[[#This Row],[Status]]="Cancelled",0,Sales[[#This Row],[Total Amount]])</f>
        <v>285393.85600000003</v>
      </c>
      <c r="S2855" s="162">
        <f>SUM(Sales[Net Amount])</f>
        <v>406839287.73200053</v>
      </c>
    </row>
    <row r="2856" spans="1:19" ht="18.75" x14ac:dyDescent="0.25">
      <c r="A2856" s="163" t="s">
        <v>6497</v>
      </c>
      <c r="B2856" s="164">
        <v>45922</v>
      </c>
      <c r="C2856" s="34" t="s">
        <v>896</v>
      </c>
      <c r="D2856" s="53" t="str">
        <f>VLOOKUP(Sales[[#This Row],[Customer ID]],Customer[#All],2,0)</f>
        <v>Amit Gupta</v>
      </c>
      <c r="E2856" s="34" t="s">
        <v>518</v>
      </c>
      <c r="F2856" s="34" t="str">
        <f>VLOOKUP(Sales[[#This Row],[Product ID]],Product[#All],2,0)</f>
        <v>Samsung Monitor</v>
      </c>
      <c r="G2856" s="53">
        <v>8</v>
      </c>
      <c r="H2856" s="165">
        <f>VLOOKUP(Sales[[#This Row],[Product ID]],Product[#All],7,0)</f>
        <v>23660</v>
      </c>
      <c r="I2856" s="165">
        <f>Sales[[#This Row],[Selling Rate]]*Sales[[#This Row],[Qty]]</f>
        <v>189280</v>
      </c>
      <c r="J2856" s="45">
        <v>0.02</v>
      </c>
      <c r="K2856" s="46">
        <f>Sales[[#This Row],[Gross Amount]]*Sales[[#This Row],[Disc %]]</f>
        <v>3785.6</v>
      </c>
      <c r="L2856" s="43">
        <v>0.18</v>
      </c>
      <c r="M2856" s="46">
        <f>(Sales[[#This Row],[Gross Amount]]-Sales[[#This Row],[Disc. Amt.]])*Sales[[#This Row],[GST %]]</f>
        <v>33388.991999999998</v>
      </c>
      <c r="N2856" s="161">
        <f>Sales[[#This Row],[Gross Amount]]-Sales[[#This Row],[Disc. Amt.]]+Sales[[#This Row],[GST Amount]]</f>
        <v>218883.39199999999</v>
      </c>
      <c r="O2856" s="34" t="s">
        <v>3566</v>
      </c>
      <c r="P2856" s="34" t="s">
        <v>3562</v>
      </c>
      <c r="Q2856" s="165">
        <f>IF(Sales[[#This Row],[Status]]="Cancelled",0,Sales[[#This Row],[Qty]])</f>
        <v>8</v>
      </c>
      <c r="R2856" s="166">
        <f>IF(Sales[[#This Row],[Status]]="Cancelled",0,Sales[[#This Row],[Total Amount]])</f>
        <v>218883.39199999999</v>
      </c>
      <c r="S2856" s="162">
        <f>SUM(Sales[Net Amount])</f>
        <v>406839287.73200053</v>
      </c>
    </row>
    <row r="2857" spans="1:19" ht="18.75" x14ac:dyDescent="0.25">
      <c r="A2857" s="156" t="s">
        <v>6498</v>
      </c>
      <c r="B2857" s="157">
        <v>45922</v>
      </c>
      <c r="C2857" s="158" t="s">
        <v>805</v>
      </c>
      <c r="D2857" s="159" t="str">
        <f>VLOOKUP(Sales[[#This Row],[Customer ID]],Customer[#All],2,0)</f>
        <v>Priya Kumar</v>
      </c>
      <c r="E2857" s="158" t="s">
        <v>151</v>
      </c>
      <c r="F2857" s="158" t="str">
        <f>VLOOKUP(Sales[[#This Row],[Product ID]],Product[#All],2,0)</f>
        <v>Jbl Speaker</v>
      </c>
      <c r="G2857" s="159">
        <v>4</v>
      </c>
      <c r="H2857" s="160">
        <f>VLOOKUP(Sales[[#This Row],[Product ID]],Product[#All],7,0)</f>
        <v>7010</v>
      </c>
      <c r="I2857" s="160">
        <f>Sales[[#This Row],[Selling Rate]]*Sales[[#This Row],[Qty]]</f>
        <v>28040</v>
      </c>
      <c r="J2857" s="43">
        <v>0.05</v>
      </c>
      <c r="K2857" s="44">
        <f>Sales[[#This Row],[Gross Amount]]*Sales[[#This Row],[Disc %]]</f>
        <v>1402</v>
      </c>
      <c r="L2857" s="43">
        <v>0.18</v>
      </c>
      <c r="M2857" s="44">
        <f>(Sales[[#This Row],[Gross Amount]]-Sales[[#This Row],[Disc. Amt.]])*Sales[[#This Row],[GST %]]</f>
        <v>4794.84</v>
      </c>
      <c r="N2857" s="161">
        <f>Sales[[#This Row],[Gross Amount]]-Sales[[#This Row],[Disc. Amt.]]+Sales[[#This Row],[GST Amount]]</f>
        <v>31432.84</v>
      </c>
      <c r="O2857" s="158" t="s">
        <v>3569</v>
      </c>
      <c r="P2857" s="158" t="s">
        <v>3562</v>
      </c>
      <c r="Q2857" s="160">
        <f>IF(Sales[[#This Row],[Status]]="Cancelled",0,Sales[[#This Row],[Qty]])</f>
        <v>4</v>
      </c>
      <c r="R2857" s="161">
        <f>IF(Sales[[#This Row],[Status]]="Cancelled",0,Sales[[#This Row],[Total Amount]])</f>
        <v>31432.84</v>
      </c>
      <c r="S2857" s="162">
        <f>SUM(Sales[Net Amount])</f>
        <v>406839287.73200053</v>
      </c>
    </row>
    <row r="2858" spans="1:19" ht="18.75" x14ac:dyDescent="0.25">
      <c r="A2858" s="163" t="s">
        <v>6499</v>
      </c>
      <c r="B2858" s="164">
        <v>45922</v>
      </c>
      <c r="C2858" s="34" t="s">
        <v>739</v>
      </c>
      <c r="D2858" s="53" t="str">
        <f>VLOOKUP(Sales[[#This Row],[Customer ID]],Customer[#All],2,0)</f>
        <v>Ankit Singh</v>
      </c>
      <c r="E2858" s="34" t="s">
        <v>185</v>
      </c>
      <c r="F2858" s="34" t="str">
        <f>VLOOKUP(Sales[[#This Row],[Product ID]],Product[#All],2,0)</f>
        <v>HP Power Adapter</v>
      </c>
      <c r="G2858" s="53">
        <v>8</v>
      </c>
      <c r="H2858" s="165">
        <f>VLOOKUP(Sales[[#This Row],[Product ID]],Product[#All],7,0)</f>
        <v>4850</v>
      </c>
      <c r="I2858" s="165">
        <f>Sales[[#This Row],[Selling Rate]]*Sales[[#This Row],[Qty]]</f>
        <v>38800</v>
      </c>
      <c r="J2858" s="45">
        <v>0.05</v>
      </c>
      <c r="K2858" s="46">
        <f>Sales[[#This Row],[Gross Amount]]*Sales[[#This Row],[Disc %]]</f>
        <v>1940</v>
      </c>
      <c r="L2858" s="43">
        <v>0.18</v>
      </c>
      <c r="M2858" s="46">
        <f>(Sales[[#This Row],[Gross Amount]]-Sales[[#This Row],[Disc. Amt.]])*Sales[[#This Row],[GST %]]</f>
        <v>6634.8</v>
      </c>
      <c r="N2858" s="161">
        <f>Sales[[#This Row],[Gross Amount]]-Sales[[#This Row],[Disc. Amt.]]+Sales[[#This Row],[GST Amount]]</f>
        <v>43494.8</v>
      </c>
      <c r="O2858" s="34" t="s">
        <v>8876</v>
      </c>
      <c r="P2858" s="34" t="s">
        <v>3562</v>
      </c>
      <c r="Q2858" s="165">
        <f>IF(Sales[[#This Row],[Status]]="Cancelled",0,Sales[[#This Row],[Qty]])</f>
        <v>8</v>
      </c>
      <c r="R2858" s="166">
        <f>IF(Sales[[#This Row],[Status]]="Cancelled",0,Sales[[#This Row],[Total Amount]])</f>
        <v>43494.8</v>
      </c>
      <c r="S2858" s="162">
        <f>SUM(Sales[Net Amount])</f>
        <v>406839287.73200053</v>
      </c>
    </row>
    <row r="2859" spans="1:19" ht="18.75" x14ac:dyDescent="0.25">
      <c r="A2859" s="156" t="s">
        <v>6500</v>
      </c>
      <c r="B2859" s="157">
        <v>45922</v>
      </c>
      <c r="C2859" s="158" t="s">
        <v>6501</v>
      </c>
      <c r="D2859" s="159" t="str">
        <f>VLOOKUP(Sales[[#This Row],[Customer ID]],Customer[#All],2,0)</f>
        <v>Pooja Singh</v>
      </c>
      <c r="E2859" s="158" t="s">
        <v>303</v>
      </c>
      <c r="F2859" s="158" t="str">
        <f>VLOOKUP(Sales[[#This Row],[Product ID]],Product[#All],2,0)</f>
        <v>Crucial Ssd</v>
      </c>
      <c r="G2859" s="159">
        <v>7</v>
      </c>
      <c r="H2859" s="160">
        <f>VLOOKUP(Sales[[#This Row],[Product ID]],Product[#All],7,0)</f>
        <v>7740</v>
      </c>
      <c r="I2859" s="160">
        <f>Sales[[#This Row],[Selling Rate]]*Sales[[#This Row],[Qty]]</f>
        <v>54180</v>
      </c>
      <c r="J2859" s="43">
        <v>0.05</v>
      </c>
      <c r="K2859" s="44">
        <f>Sales[[#This Row],[Gross Amount]]*Sales[[#This Row],[Disc %]]</f>
        <v>2709</v>
      </c>
      <c r="L2859" s="43">
        <v>0.18</v>
      </c>
      <c r="M2859" s="44">
        <f>(Sales[[#This Row],[Gross Amount]]-Sales[[#This Row],[Disc. Amt.]])*Sales[[#This Row],[GST %]]</f>
        <v>9264.7799999999988</v>
      </c>
      <c r="N2859" s="161">
        <f>Sales[[#This Row],[Gross Amount]]-Sales[[#This Row],[Disc. Amt.]]+Sales[[#This Row],[GST Amount]]</f>
        <v>60735.78</v>
      </c>
      <c r="O2859" s="158" t="s">
        <v>3569</v>
      </c>
      <c r="P2859" s="158" t="s">
        <v>3562</v>
      </c>
      <c r="Q2859" s="160">
        <f>IF(Sales[[#This Row],[Status]]="Cancelled",0,Sales[[#This Row],[Qty]])</f>
        <v>7</v>
      </c>
      <c r="R2859" s="161">
        <f>IF(Sales[[#This Row],[Status]]="Cancelled",0,Sales[[#This Row],[Total Amount]])</f>
        <v>60735.78</v>
      </c>
      <c r="S2859" s="162">
        <f>SUM(Sales[Net Amount])</f>
        <v>406839287.73200053</v>
      </c>
    </row>
    <row r="2860" spans="1:19" ht="18.75" x14ac:dyDescent="0.25">
      <c r="A2860" s="163" t="s">
        <v>6502</v>
      </c>
      <c r="B2860" s="164">
        <v>45922</v>
      </c>
      <c r="C2860" s="34" t="s">
        <v>898</v>
      </c>
      <c r="D2860" s="53" t="str">
        <f>VLOOKUP(Sales[[#This Row],[Customer ID]],Customer[#All],2,0)</f>
        <v>Rahul Singh</v>
      </c>
      <c r="E2860" s="34" t="s">
        <v>209</v>
      </c>
      <c r="F2860" s="34" t="str">
        <f>VLOOKUP(Sales[[#This Row],[Product ID]],Product[#All],2,0)</f>
        <v>HP Laptop</v>
      </c>
      <c r="G2860" s="53">
        <v>7</v>
      </c>
      <c r="H2860" s="165">
        <f>VLOOKUP(Sales[[#This Row],[Product ID]],Product[#All],7,0)</f>
        <v>60780</v>
      </c>
      <c r="I2860" s="165">
        <f>Sales[[#This Row],[Selling Rate]]*Sales[[#This Row],[Qty]]</f>
        <v>425460</v>
      </c>
      <c r="J2860" s="45">
        <v>0.12</v>
      </c>
      <c r="K2860" s="46">
        <f>Sales[[#This Row],[Gross Amount]]*Sales[[#This Row],[Disc %]]</f>
        <v>51055.199999999997</v>
      </c>
      <c r="L2860" s="43">
        <v>0.18</v>
      </c>
      <c r="M2860" s="46">
        <f>(Sales[[#This Row],[Gross Amount]]-Sales[[#This Row],[Disc. Amt.]])*Sales[[#This Row],[GST %]]</f>
        <v>67392.864000000001</v>
      </c>
      <c r="N2860" s="161">
        <f>Sales[[#This Row],[Gross Amount]]-Sales[[#This Row],[Disc. Amt.]]+Sales[[#This Row],[GST Amount]]</f>
        <v>441797.66399999999</v>
      </c>
      <c r="O2860" s="34" t="s">
        <v>3561</v>
      </c>
      <c r="P2860" s="34" t="s">
        <v>3562</v>
      </c>
      <c r="Q2860" s="165">
        <f>IF(Sales[[#This Row],[Status]]="Cancelled",0,Sales[[#This Row],[Qty]])</f>
        <v>7</v>
      </c>
      <c r="R2860" s="166">
        <f>IF(Sales[[#This Row],[Status]]="Cancelled",0,Sales[[#This Row],[Total Amount]])</f>
        <v>441797.66399999999</v>
      </c>
      <c r="S2860" s="162">
        <f>SUM(Sales[Net Amount])</f>
        <v>406839287.73200053</v>
      </c>
    </row>
    <row r="2861" spans="1:19" ht="18.75" x14ac:dyDescent="0.25">
      <c r="A2861" s="156" t="s">
        <v>6503</v>
      </c>
      <c r="B2861" s="157">
        <v>45922</v>
      </c>
      <c r="C2861" s="158" t="s">
        <v>6504</v>
      </c>
      <c r="D2861" s="159" t="str">
        <f>VLOOKUP(Sales[[#This Row],[Customer ID]],Customer[#All],2,0)</f>
        <v>Rahul Singh</v>
      </c>
      <c r="E2861" s="158" t="s">
        <v>302</v>
      </c>
      <c r="F2861" s="158" t="str">
        <f>VLOOKUP(Sales[[#This Row],[Product ID]],Product[#All],2,0)</f>
        <v>Sandisk Pen Drive</v>
      </c>
      <c r="G2861" s="159">
        <v>5</v>
      </c>
      <c r="H2861" s="160">
        <f>VLOOKUP(Sales[[#This Row],[Product ID]],Product[#All],7,0)</f>
        <v>2500</v>
      </c>
      <c r="I2861" s="160">
        <f>Sales[[#This Row],[Selling Rate]]*Sales[[#This Row],[Qty]]</f>
        <v>12500</v>
      </c>
      <c r="J2861" s="43">
        <v>0.15</v>
      </c>
      <c r="K2861" s="44">
        <f>Sales[[#This Row],[Gross Amount]]*Sales[[#This Row],[Disc %]]</f>
        <v>1875</v>
      </c>
      <c r="L2861" s="43">
        <v>0.18</v>
      </c>
      <c r="M2861" s="44">
        <f>(Sales[[#This Row],[Gross Amount]]-Sales[[#This Row],[Disc. Amt.]])*Sales[[#This Row],[GST %]]</f>
        <v>1912.5</v>
      </c>
      <c r="N2861" s="161">
        <f>Sales[[#This Row],[Gross Amount]]-Sales[[#This Row],[Disc. Amt.]]+Sales[[#This Row],[GST Amount]]</f>
        <v>12537.5</v>
      </c>
      <c r="O2861" s="158" t="s">
        <v>3566</v>
      </c>
      <c r="P2861" s="158" t="s">
        <v>3562</v>
      </c>
      <c r="Q2861" s="160">
        <f>IF(Sales[[#This Row],[Status]]="Cancelled",0,Sales[[#This Row],[Qty]])</f>
        <v>5</v>
      </c>
      <c r="R2861" s="161">
        <f>IF(Sales[[#This Row],[Status]]="Cancelled",0,Sales[[#This Row],[Total Amount]])</f>
        <v>12537.5</v>
      </c>
      <c r="S2861" s="162">
        <f>SUM(Sales[Net Amount])</f>
        <v>406839287.73200053</v>
      </c>
    </row>
    <row r="2862" spans="1:19" ht="18.75" x14ac:dyDescent="0.25">
      <c r="A2862" s="163" t="s">
        <v>6505</v>
      </c>
      <c r="B2862" s="164">
        <v>45922</v>
      </c>
      <c r="C2862" s="34" t="s">
        <v>785</v>
      </c>
      <c r="D2862" s="53" t="str">
        <f>VLOOKUP(Sales[[#This Row],[Customer ID]],Customer[#All],2,0)</f>
        <v>Ankit Gupta</v>
      </c>
      <c r="E2862" s="34" t="s">
        <v>432</v>
      </c>
      <c r="F2862" s="34" t="str">
        <f>VLOOKUP(Sales[[#This Row],[Product ID]],Product[#All],2,0)</f>
        <v>Boat Speaker</v>
      </c>
      <c r="G2862" s="53">
        <v>8</v>
      </c>
      <c r="H2862" s="165">
        <f>VLOOKUP(Sales[[#This Row],[Product ID]],Product[#All],7,0)</f>
        <v>750</v>
      </c>
      <c r="I2862" s="165">
        <f>Sales[[#This Row],[Selling Rate]]*Sales[[#This Row],[Qty]]</f>
        <v>6000</v>
      </c>
      <c r="J2862" s="45">
        <v>0.05</v>
      </c>
      <c r="K2862" s="46">
        <f>Sales[[#This Row],[Gross Amount]]*Sales[[#This Row],[Disc %]]</f>
        <v>300</v>
      </c>
      <c r="L2862" s="43">
        <v>0.18</v>
      </c>
      <c r="M2862" s="46">
        <f>(Sales[[#This Row],[Gross Amount]]-Sales[[#This Row],[Disc. Amt.]])*Sales[[#This Row],[GST %]]</f>
        <v>1026</v>
      </c>
      <c r="N2862" s="161">
        <f>Sales[[#This Row],[Gross Amount]]-Sales[[#This Row],[Disc. Amt.]]+Sales[[#This Row],[GST Amount]]</f>
        <v>6726</v>
      </c>
      <c r="O2862" s="34" t="s">
        <v>3569</v>
      </c>
      <c r="P2862" s="34" t="s">
        <v>3562</v>
      </c>
      <c r="Q2862" s="165">
        <f>IF(Sales[[#This Row],[Status]]="Cancelled",0,Sales[[#This Row],[Qty]])</f>
        <v>8</v>
      </c>
      <c r="R2862" s="166">
        <f>IF(Sales[[#This Row],[Status]]="Cancelled",0,Sales[[#This Row],[Total Amount]])</f>
        <v>6726</v>
      </c>
      <c r="S2862" s="162">
        <f>SUM(Sales[Net Amount])</f>
        <v>406839287.73200053</v>
      </c>
    </row>
    <row r="2863" spans="1:19" ht="18.75" x14ac:dyDescent="0.25">
      <c r="A2863" s="156" t="s">
        <v>6506</v>
      </c>
      <c r="B2863" s="157">
        <v>45922</v>
      </c>
      <c r="C2863" s="158" t="s">
        <v>663</v>
      </c>
      <c r="D2863" s="159" t="str">
        <f>VLOOKUP(Sales[[#This Row],[Customer ID]],Customer[#All],2,0)</f>
        <v>Amit Sharma</v>
      </c>
      <c r="E2863" s="158" t="s">
        <v>96</v>
      </c>
      <c r="F2863" s="158" t="str">
        <f>VLOOKUP(Sales[[#This Row],[Product ID]],Product[#All],2,0)</f>
        <v>Corsair Ram</v>
      </c>
      <c r="G2863" s="159">
        <v>6</v>
      </c>
      <c r="H2863" s="160">
        <f>VLOOKUP(Sales[[#This Row],[Product ID]],Product[#All],7,0)</f>
        <v>4570</v>
      </c>
      <c r="I2863" s="160">
        <f>Sales[[#This Row],[Selling Rate]]*Sales[[#This Row],[Qty]]</f>
        <v>27420</v>
      </c>
      <c r="J2863" s="43">
        <v>0.1</v>
      </c>
      <c r="K2863" s="44">
        <f>Sales[[#This Row],[Gross Amount]]*Sales[[#This Row],[Disc %]]</f>
        <v>2742</v>
      </c>
      <c r="L2863" s="43">
        <v>0.18</v>
      </c>
      <c r="M2863" s="44">
        <f>(Sales[[#This Row],[Gross Amount]]-Sales[[#This Row],[Disc. Amt.]])*Sales[[#This Row],[GST %]]</f>
        <v>4442.04</v>
      </c>
      <c r="N2863" s="161">
        <f>Sales[[#This Row],[Gross Amount]]-Sales[[#This Row],[Disc. Amt.]]+Sales[[#This Row],[GST Amount]]</f>
        <v>29120.04</v>
      </c>
      <c r="O2863" s="158" t="s">
        <v>3561</v>
      </c>
      <c r="P2863" s="158" t="s">
        <v>3562</v>
      </c>
      <c r="Q2863" s="160">
        <f>IF(Sales[[#This Row],[Status]]="Cancelled",0,Sales[[#This Row],[Qty]])</f>
        <v>6</v>
      </c>
      <c r="R2863" s="161">
        <f>IF(Sales[[#This Row],[Status]]="Cancelled",0,Sales[[#This Row],[Total Amount]])</f>
        <v>29120.04</v>
      </c>
      <c r="S2863" s="162">
        <f>SUM(Sales[Net Amount])</f>
        <v>406839287.73200053</v>
      </c>
    </row>
    <row r="2864" spans="1:19" ht="18.75" x14ac:dyDescent="0.25">
      <c r="A2864" s="163" t="s">
        <v>6507</v>
      </c>
      <c r="B2864" s="164">
        <v>45923</v>
      </c>
      <c r="C2864" s="34" t="s">
        <v>857</v>
      </c>
      <c r="D2864" s="53" t="str">
        <f>VLOOKUP(Sales[[#This Row],[Customer ID]],Customer[#All],2,0)</f>
        <v>Pooja Singh</v>
      </c>
      <c r="E2864" s="34" t="s">
        <v>548</v>
      </c>
      <c r="F2864" s="34" t="str">
        <f>VLOOKUP(Sales[[#This Row],[Product ID]],Product[#All],2,0)</f>
        <v>HP Power Adapter</v>
      </c>
      <c r="G2864" s="53">
        <v>1</v>
      </c>
      <c r="H2864" s="165">
        <f>VLOOKUP(Sales[[#This Row],[Product ID]],Product[#All],7,0)</f>
        <v>2470</v>
      </c>
      <c r="I2864" s="165">
        <f>Sales[[#This Row],[Selling Rate]]*Sales[[#This Row],[Qty]]</f>
        <v>2470</v>
      </c>
      <c r="J2864" s="45">
        <v>0.02</v>
      </c>
      <c r="K2864" s="46">
        <f>Sales[[#This Row],[Gross Amount]]*Sales[[#This Row],[Disc %]]</f>
        <v>49.4</v>
      </c>
      <c r="L2864" s="43">
        <v>0.18</v>
      </c>
      <c r="M2864" s="46">
        <f>(Sales[[#This Row],[Gross Amount]]-Sales[[#This Row],[Disc. Amt.]])*Sales[[#This Row],[GST %]]</f>
        <v>435.70799999999997</v>
      </c>
      <c r="N2864" s="161">
        <f>Sales[[#This Row],[Gross Amount]]-Sales[[#This Row],[Disc. Amt.]]+Sales[[#This Row],[GST Amount]]</f>
        <v>2856.308</v>
      </c>
      <c r="O2864" s="34" t="s">
        <v>3566</v>
      </c>
      <c r="P2864" s="34" t="s">
        <v>3562</v>
      </c>
      <c r="Q2864" s="165">
        <f>IF(Sales[[#This Row],[Status]]="Cancelled",0,Sales[[#This Row],[Qty]])</f>
        <v>1</v>
      </c>
      <c r="R2864" s="166">
        <f>IF(Sales[[#This Row],[Status]]="Cancelled",0,Sales[[#This Row],[Total Amount]])</f>
        <v>2856.308</v>
      </c>
      <c r="S2864" s="162">
        <f>SUM(Sales[Net Amount])</f>
        <v>406839287.73200053</v>
      </c>
    </row>
    <row r="2865" spans="1:19" ht="18.75" x14ac:dyDescent="0.25">
      <c r="A2865" s="156" t="s">
        <v>6508</v>
      </c>
      <c r="B2865" s="157">
        <v>45923</v>
      </c>
      <c r="C2865" s="158" t="s">
        <v>747</v>
      </c>
      <c r="D2865" s="159" t="str">
        <f>VLOOKUP(Sales[[#This Row],[Customer ID]],Customer[#All],2,0)</f>
        <v>Sunita Gupta</v>
      </c>
      <c r="E2865" s="158" t="s">
        <v>337</v>
      </c>
      <c r="F2865" s="158" t="str">
        <f>VLOOKUP(Sales[[#This Row],[Product ID]],Product[#All],2,0)</f>
        <v>Corsair Ram</v>
      </c>
      <c r="G2865" s="159">
        <v>8</v>
      </c>
      <c r="H2865" s="160">
        <f>VLOOKUP(Sales[[#This Row],[Product ID]],Product[#All],7,0)</f>
        <v>10500</v>
      </c>
      <c r="I2865" s="160">
        <f>Sales[[#This Row],[Selling Rate]]*Sales[[#This Row],[Qty]]</f>
        <v>84000</v>
      </c>
      <c r="J2865" s="43">
        <v>0</v>
      </c>
      <c r="K2865" s="44">
        <f>Sales[[#This Row],[Gross Amount]]*Sales[[#This Row],[Disc %]]</f>
        <v>0</v>
      </c>
      <c r="L2865" s="43">
        <v>0.18</v>
      </c>
      <c r="M2865" s="44">
        <f>(Sales[[#This Row],[Gross Amount]]-Sales[[#This Row],[Disc. Amt.]])*Sales[[#This Row],[GST %]]</f>
        <v>15120</v>
      </c>
      <c r="N2865" s="161">
        <f>Sales[[#This Row],[Gross Amount]]-Sales[[#This Row],[Disc. Amt.]]+Sales[[#This Row],[GST Amount]]</f>
        <v>99120</v>
      </c>
      <c r="O2865" s="158" t="s">
        <v>3569</v>
      </c>
      <c r="P2865" s="158" t="s">
        <v>3562</v>
      </c>
      <c r="Q2865" s="160">
        <f>IF(Sales[[#This Row],[Status]]="Cancelled",0,Sales[[#This Row],[Qty]])</f>
        <v>8</v>
      </c>
      <c r="R2865" s="161">
        <f>IF(Sales[[#This Row],[Status]]="Cancelled",0,Sales[[#This Row],[Total Amount]])</f>
        <v>99120</v>
      </c>
      <c r="S2865" s="162">
        <f>SUM(Sales[Net Amount])</f>
        <v>406839287.73200053</v>
      </c>
    </row>
    <row r="2866" spans="1:19" ht="18.75" x14ac:dyDescent="0.25">
      <c r="A2866" s="163" t="s">
        <v>6509</v>
      </c>
      <c r="B2866" s="164">
        <v>45923</v>
      </c>
      <c r="C2866" s="34" t="s">
        <v>681</v>
      </c>
      <c r="D2866" s="53" t="str">
        <f>VLOOKUP(Sales[[#This Row],[Customer ID]],Customer[#All],2,0)</f>
        <v>Amit Kumar</v>
      </c>
      <c r="E2866" s="34" t="s">
        <v>480</v>
      </c>
      <c r="F2866" s="34" t="str">
        <f>VLOOKUP(Sales[[#This Row],[Product ID]],Product[#All],2,0)</f>
        <v>TP-link Bluetooth Adapter</v>
      </c>
      <c r="G2866" s="53">
        <v>8</v>
      </c>
      <c r="H2866" s="165">
        <f>VLOOKUP(Sales[[#This Row],[Product ID]],Product[#All],7,0)</f>
        <v>1670</v>
      </c>
      <c r="I2866" s="165">
        <f>Sales[[#This Row],[Selling Rate]]*Sales[[#This Row],[Qty]]</f>
        <v>13360</v>
      </c>
      <c r="J2866" s="45">
        <v>0</v>
      </c>
      <c r="K2866" s="46">
        <f>Sales[[#This Row],[Gross Amount]]*Sales[[#This Row],[Disc %]]</f>
        <v>0</v>
      </c>
      <c r="L2866" s="43">
        <v>0.18</v>
      </c>
      <c r="M2866" s="46">
        <f>(Sales[[#This Row],[Gross Amount]]-Sales[[#This Row],[Disc. Amt.]])*Sales[[#This Row],[GST %]]</f>
        <v>2404.7999999999997</v>
      </c>
      <c r="N2866" s="161">
        <f>Sales[[#This Row],[Gross Amount]]-Sales[[#This Row],[Disc. Amt.]]+Sales[[#This Row],[GST Amount]]</f>
        <v>15764.8</v>
      </c>
      <c r="O2866" s="34" t="s">
        <v>3561</v>
      </c>
      <c r="P2866" s="34" t="s">
        <v>3562</v>
      </c>
      <c r="Q2866" s="165">
        <f>IF(Sales[[#This Row],[Status]]="Cancelled",0,Sales[[#This Row],[Qty]])</f>
        <v>8</v>
      </c>
      <c r="R2866" s="166">
        <f>IF(Sales[[#This Row],[Status]]="Cancelled",0,Sales[[#This Row],[Total Amount]])</f>
        <v>15764.8</v>
      </c>
      <c r="S2866" s="162">
        <f>SUM(Sales[Net Amount])</f>
        <v>406839287.73200053</v>
      </c>
    </row>
    <row r="2867" spans="1:19" ht="18.75" x14ac:dyDescent="0.25">
      <c r="A2867" s="156" t="s">
        <v>6510</v>
      </c>
      <c r="B2867" s="157">
        <v>45923</v>
      </c>
      <c r="C2867" s="158" t="s">
        <v>844</v>
      </c>
      <c r="D2867" s="159" t="str">
        <f>VLOOKUP(Sales[[#This Row],[Customer ID]],Customer[#All],2,0)</f>
        <v>Rahul Sharma</v>
      </c>
      <c r="E2867" s="158" t="s">
        <v>266</v>
      </c>
      <c r="F2867" s="158" t="str">
        <f>VLOOKUP(Sales[[#This Row],[Product ID]],Product[#All],2,0)</f>
        <v>American TouristerLaptopBag</v>
      </c>
      <c r="G2867" s="159">
        <v>7</v>
      </c>
      <c r="H2867" s="160">
        <f>VLOOKUP(Sales[[#This Row],[Product ID]],Product[#All],7,0)</f>
        <v>4170</v>
      </c>
      <c r="I2867" s="160">
        <f>Sales[[#This Row],[Selling Rate]]*Sales[[#This Row],[Qty]]</f>
        <v>29190</v>
      </c>
      <c r="J2867" s="43">
        <v>0.15</v>
      </c>
      <c r="K2867" s="44">
        <f>Sales[[#This Row],[Gross Amount]]*Sales[[#This Row],[Disc %]]</f>
        <v>4378.5</v>
      </c>
      <c r="L2867" s="43">
        <v>0.18</v>
      </c>
      <c r="M2867" s="44">
        <f>(Sales[[#This Row],[Gross Amount]]-Sales[[#This Row],[Disc. Amt.]])*Sales[[#This Row],[GST %]]</f>
        <v>4466.07</v>
      </c>
      <c r="N2867" s="161">
        <f>Sales[[#This Row],[Gross Amount]]-Sales[[#This Row],[Disc. Amt.]]+Sales[[#This Row],[GST Amount]]</f>
        <v>29277.57</v>
      </c>
      <c r="O2867" s="158" t="s">
        <v>3561</v>
      </c>
      <c r="P2867" s="158" t="s">
        <v>3562</v>
      </c>
      <c r="Q2867" s="160">
        <f>IF(Sales[[#This Row],[Status]]="Cancelled",0,Sales[[#This Row],[Qty]])</f>
        <v>7</v>
      </c>
      <c r="R2867" s="161">
        <f>IF(Sales[[#This Row],[Status]]="Cancelled",0,Sales[[#This Row],[Total Amount]])</f>
        <v>29277.57</v>
      </c>
      <c r="S2867" s="162">
        <f>SUM(Sales[Net Amount])</f>
        <v>406839287.73200053</v>
      </c>
    </row>
    <row r="2868" spans="1:19" ht="18.75" x14ac:dyDescent="0.25">
      <c r="A2868" s="163" t="s">
        <v>6511</v>
      </c>
      <c r="B2868" s="164">
        <v>45923</v>
      </c>
      <c r="C2868" s="34" t="s">
        <v>6512</v>
      </c>
      <c r="D2868" s="53" t="str">
        <f>VLOOKUP(Sales[[#This Row],[Customer ID]],Customer[#All],2,0)</f>
        <v>Amit Singh</v>
      </c>
      <c r="E2868" s="34" t="s">
        <v>40</v>
      </c>
      <c r="F2868" s="34" t="str">
        <f>VLOOKUP(Sales[[#This Row],[Product ID]],Product[#All],2,0)</f>
        <v>Boat Headset</v>
      </c>
      <c r="G2868" s="53">
        <v>6</v>
      </c>
      <c r="H2868" s="165">
        <f>VLOOKUP(Sales[[#This Row],[Product ID]],Product[#All],7,0)</f>
        <v>3470</v>
      </c>
      <c r="I2868" s="165">
        <f>Sales[[#This Row],[Selling Rate]]*Sales[[#This Row],[Qty]]</f>
        <v>20820</v>
      </c>
      <c r="J2868" s="45">
        <v>0.02</v>
      </c>
      <c r="K2868" s="46">
        <f>Sales[[#This Row],[Gross Amount]]*Sales[[#This Row],[Disc %]]</f>
        <v>416.40000000000003</v>
      </c>
      <c r="L2868" s="43">
        <v>0.18</v>
      </c>
      <c r="M2868" s="46">
        <f>(Sales[[#This Row],[Gross Amount]]-Sales[[#This Row],[Disc. Amt.]])*Sales[[#This Row],[GST %]]</f>
        <v>3672.6479999999997</v>
      </c>
      <c r="N2868" s="161">
        <f>Sales[[#This Row],[Gross Amount]]-Sales[[#This Row],[Disc. Amt.]]+Sales[[#This Row],[GST Amount]]</f>
        <v>24076.248</v>
      </c>
      <c r="O2868" s="34" t="s">
        <v>3569</v>
      </c>
      <c r="P2868" s="34" t="s">
        <v>3562</v>
      </c>
      <c r="Q2868" s="165">
        <f>IF(Sales[[#This Row],[Status]]="Cancelled",0,Sales[[#This Row],[Qty]])</f>
        <v>6</v>
      </c>
      <c r="R2868" s="166">
        <f>IF(Sales[[#This Row],[Status]]="Cancelled",0,Sales[[#This Row],[Total Amount]])</f>
        <v>24076.248</v>
      </c>
      <c r="S2868" s="162">
        <f>SUM(Sales[Net Amount])</f>
        <v>406839287.73200053</v>
      </c>
    </row>
    <row r="2869" spans="1:19" ht="18.75" x14ac:dyDescent="0.25">
      <c r="A2869" s="156" t="s">
        <v>6513</v>
      </c>
      <c r="B2869" s="157">
        <v>45923</v>
      </c>
      <c r="C2869" s="158" t="s">
        <v>847</v>
      </c>
      <c r="D2869" s="159" t="str">
        <f>VLOOKUP(Sales[[#This Row],[Customer ID]],Customer[#All],2,0)</f>
        <v>Ankit Gupta</v>
      </c>
      <c r="E2869" s="158" t="s">
        <v>321</v>
      </c>
      <c r="F2869" s="158" t="str">
        <f>VLOOKUP(Sales[[#This Row],[Product ID]],Product[#All],2,0)</f>
        <v>WD HDD</v>
      </c>
      <c r="G2869" s="159">
        <v>8</v>
      </c>
      <c r="H2869" s="160">
        <f>VLOOKUP(Sales[[#This Row],[Product ID]],Product[#All],7,0)</f>
        <v>6810</v>
      </c>
      <c r="I2869" s="160">
        <f>Sales[[#This Row],[Selling Rate]]*Sales[[#This Row],[Qty]]</f>
        <v>54480</v>
      </c>
      <c r="J2869" s="43">
        <v>0.05</v>
      </c>
      <c r="K2869" s="44">
        <f>Sales[[#This Row],[Gross Amount]]*Sales[[#This Row],[Disc %]]</f>
        <v>2724</v>
      </c>
      <c r="L2869" s="43">
        <v>0.18</v>
      </c>
      <c r="M2869" s="44">
        <f>(Sales[[#This Row],[Gross Amount]]-Sales[[#This Row],[Disc. Amt.]])*Sales[[#This Row],[GST %]]</f>
        <v>9316.08</v>
      </c>
      <c r="N2869" s="161">
        <f>Sales[[#This Row],[Gross Amount]]-Sales[[#This Row],[Disc. Amt.]]+Sales[[#This Row],[GST Amount]]</f>
        <v>61072.08</v>
      </c>
      <c r="O2869" s="158" t="s">
        <v>3561</v>
      </c>
      <c r="P2869" s="158" t="s">
        <v>3562</v>
      </c>
      <c r="Q2869" s="160">
        <f>IF(Sales[[#This Row],[Status]]="Cancelled",0,Sales[[#This Row],[Qty]])</f>
        <v>8</v>
      </c>
      <c r="R2869" s="161">
        <f>IF(Sales[[#This Row],[Status]]="Cancelled",0,Sales[[#This Row],[Total Amount]])</f>
        <v>61072.08</v>
      </c>
      <c r="S2869" s="162">
        <f>SUM(Sales[Net Amount])</f>
        <v>406839287.73200053</v>
      </c>
    </row>
    <row r="2870" spans="1:19" ht="18.75" x14ac:dyDescent="0.25">
      <c r="A2870" s="163" t="s">
        <v>6514</v>
      </c>
      <c r="B2870" s="164">
        <v>45923</v>
      </c>
      <c r="C2870" s="34" t="s">
        <v>840</v>
      </c>
      <c r="D2870" s="53" t="str">
        <f>VLOOKUP(Sales[[#This Row],[Customer ID]],Customer[#All],2,0)</f>
        <v>Rakesh Verma</v>
      </c>
      <c r="E2870" s="34" t="s">
        <v>61</v>
      </c>
      <c r="F2870" s="34" t="str">
        <f>VLOOKUP(Sales[[#This Row],[Product ID]],Product[#All],2,0)</f>
        <v>Boat Headset</v>
      </c>
      <c r="G2870" s="53">
        <v>4</v>
      </c>
      <c r="H2870" s="165">
        <f>VLOOKUP(Sales[[#This Row],[Product ID]],Product[#All],7,0)</f>
        <v>3570</v>
      </c>
      <c r="I2870" s="165">
        <f>Sales[[#This Row],[Selling Rate]]*Sales[[#This Row],[Qty]]</f>
        <v>14280</v>
      </c>
      <c r="J2870" s="45">
        <v>0</v>
      </c>
      <c r="K2870" s="46">
        <f>Sales[[#This Row],[Gross Amount]]*Sales[[#This Row],[Disc %]]</f>
        <v>0</v>
      </c>
      <c r="L2870" s="43">
        <v>0.18</v>
      </c>
      <c r="M2870" s="46">
        <f>(Sales[[#This Row],[Gross Amount]]-Sales[[#This Row],[Disc. Amt.]])*Sales[[#This Row],[GST %]]</f>
        <v>2570.4</v>
      </c>
      <c r="N2870" s="161">
        <f>Sales[[#This Row],[Gross Amount]]-Sales[[#This Row],[Disc. Amt.]]+Sales[[#This Row],[GST Amount]]</f>
        <v>16850.400000000001</v>
      </c>
      <c r="O2870" s="34" t="s">
        <v>8876</v>
      </c>
      <c r="P2870" s="34" t="s">
        <v>3562</v>
      </c>
      <c r="Q2870" s="165">
        <f>IF(Sales[[#This Row],[Status]]="Cancelled",0,Sales[[#This Row],[Qty]])</f>
        <v>4</v>
      </c>
      <c r="R2870" s="166">
        <f>IF(Sales[[#This Row],[Status]]="Cancelled",0,Sales[[#This Row],[Total Amount]])</f>
        <v>16850.400000000001</v>
      </c>
      <c r="S2870" s="162">
        <f>SUM(Sales[Net Amount])</f>
        <v>406839287.73200053</v>
      </c>
    </row>
    <row r="2871" spans="1:19" ht="18.75" x14ac:dyDescent="0.25">
      <c r="A2871" s="156" t="s">
        <v>6515</v>
      </c>
      <c r="B2871" s="157">
        <v>45923</v>
      </c>
      <c r="C2871" s="158" t="s">
        <v>701</v>
      </c>
      <c r="D2871" s="159" t="str">
        <f>VLOOKUP(Sales[[#This Row],[Customer ID]],Customer[#All],2,0)</f>
        <v>Ankit Kumar</v>
      </c>
      <c r="E2871" s="158" t="s">
        <v>435</v>
      </c>
      <c r="F2871" s="158" t="str">
        <f>VLOOKUP(Sales[[#This Row],[Product ID]],Product[#All],2,0)</f>
        <v>Corsair Ram</v>
      </c>
      <c r="G2871" s="159">
        <v>2</v>
      </c>
      <c r="H2871" s="160">
        <f>VLOOKUP(Sales[[#This Row],[Product ID]],Product[#All],7,0)</f>
        <v>8060</v>
      </c>
      <c r="I2871" s="160">
        <f>Sales[[#This Row],[Selling Rate]]*Sales[[#This Row],[Qty]]</f>
        <v>16120</v>
      </c>
      <c r="J2871" s="43">
        <v>0</v>
      </c>
      <c r="K2871" s="44">
        <f>Sales[[#This Row],[Gross Amount]]*Sales[[#This Row],[Disc %]]</f>
        <v>0</v>
      </c>
      <c r="L2871" s="43">
        <v>0.18</v>
      </c>
      <c r="M2871" s="44">
        <f>(Sales[[#This Row],[Gross Amount]]-Sales[[#This Row],[Disc. Amt.]])*Sales[[#This Row],[GST %]]</f>
        <v>2901.6</v>
      </c>
      <c r="N2871" s="161">
        <f>Sales[[#This Row],[Gross Amount]]-Sales[[#This Row],[Disc. Amt.]]+Sales[[#This Row],[GST Amount]]</f>
        <v>19021.599999999999</v>
      </c>
      <c r="O2871" s="158" t="s">
        <v>3569</v>
      </c>
      <c r="P2871" s="158" t="s">
        <v>3562</v>
      </c>
      <c r="Q2871" s="160">
        <f>IF(Sales[[#This Row],[Status]]="Cancelled",0,Sales[[#This Row],[Qty]])</f>
        <v>2</v>
      </c>
      <c r="R2871" s="161">
        <f>IF(Sales[[#This Row],[Status]]="Cancelled",0,Sales[[#This Row],[Total Amount]])</f>
        <v>19021.599999999999</v>
      </c>
      <c r="S2871" s="162">
        <f>SUM(Sales[Net Amount])</f>
        <v>406839287.73200053</v>
      </c>
    </row>
    <row r="2872" spans="1:19" ht="18.75" x14ac:dyDescent="0.25">
      <c r="A2872" s="163" t="s">
        <v>6516</v>
      </c>
      <c r="B2872" s="164">
        <v>45923</v>
      </c>
      <c r="C2872" s="34" t="s">
        <v>895</v>
      </c>
      <c r="D2872" s="53" t="str">
        <f>VLOOKUP(Sales[[#This Row],[Customer ID]],Customer[#All],2,0)</f>
        <v>Pooja Patel</v>
      </c>
      <c r="E2872" s="34" t="s">
        <v>168</v>
      </c>
      <c r="F2872" s="34" t="str">
        <f>VLOOKUP(Sales[[#This Row],[Product ID]],Product[#All],2,0)</f>
        <v>TP-link Wi-Fi Adapter</v>
      </c>
      <c r="G2872" s="53">
        <v>2</v>
      </c>
      <c r="H2872" s="165">
        <f>VLOOKUP(Sales[[#This Row],[Product ID]],Product[#All],7,0)</f>
        <v>1460</v>
      </c>
      <c r="I2872" s="165">
        <f>Sales[[#This Row],[Selling Rate]]*Sales[[#This Row],[Qty]]</f>
        <v>2920</v>
      </c>
      <c r="J2872" s="45">
        <v>0.12</v>
      </c>
      <c r="K2872" s="46">
        <f>Sales[[#This Row],[Gross Amount]]*Sales[[#This Row],[Disc %]]</f>
        <v>350.4</v>
      </c>
      <c r="L2872" s="43">
        <v>0.18</v>
      </c>
      <c r="M2872" s="46">
        <f>(Sales[[#This Row],[Gross Amount]]-Sales[[#This Row],[Disc. Amt.]])*Sales[[#This Row],[GST %]]</f>
        <v>462.52799999999996</v>
      </c>
      <c r="N2872" s="161">
        <f>Sales[[#This Row],[Gross Amount]]-Sales[[#This Row],[Disc. Amt.]]+Sales[[#This Row],[GST Amount]]</f>
        <v>3032.1279999999997</v>
      </c>
      <c r="O2872" s="34" t="s">
        <v>3561</v>
      </c>
      <c r="P2872" s="34" t="s">
        <v>3562</v>
      </c>
      <c r="Q2872" s="165">
        <f>IF(Sales[[#This Row],[Status]]="Cancelled",0,Sales[[#This Row],[Qty]])</f>
        <v>2</v>
      </c>
      <c r="R2872" s="166">
        <f>IF(Sales[[#This Row],[Status]]="Cancelled",0,Sales[[#This Row],[Total Amount]])</f>
        <v>3032.1279999999997</v>
      </c>
      <c r="S2872" s="162">
        <f>SUM(Sales[Net Amount])</f>
        <v>406839287.73200053</v>
      </c>
    </row>
    <row r="2873" spans="1:19" ht="18.75" x14ac:dyDescent="0.25">
      <c r="A2873" s="156" t="s">
        <v>6517</v>
      </c>
      <c r="B2873" s="157">
        <v>45923</v>
      </c>
      <c r="C2873" s="158" t="s">
        <v>6518</v>
      </c>
      <c r="D2873" s="159" t="str">
        <f>VLOOKUP(Sales[[#This Row],[Customer ID]],Customer[#All],2,0)</f>
        <v>Sunita Gupta</v>
      </c>
      <c r="E2873" s="158" t="s">
        <v>375</v>
      </c>
      <c r="F2873" s="158" t="str">
        <f>VLOOKUP(Sales[[#This Row],[Product ID]],Product[#All],2,0)</f>
        <v>American TouristerLaptopBag</v>
      </c>
      <c r="G2873" s="159">
        <v>6</v>
      </c>
      <c r="H2873" s="160">
        <f>VLOOKUP(Sales[[#This Row],[Product ID]],Product[#All],7,0)</f>
        <v>4990</v>
      </c>
      <c r="I2873" s="160">
        <f>Sales[[#This Row],[Selling Rate]]*Sales[[#This Row],[Qty]]</f>
        <v>29940</v>
      </c>
      <c r="J2873" s="43">
        <v>0.1</v>
      </c>
      <c r="K2873" s="44">
        <f>Sales[[#This Row],[Gross Amount]]*Sales[[#This Row],[Disc %]]</f>
        <v>2994</v>
      </c>
      <c r="L2873" s="43">
        <v>0.18</v>
      </c>
      <c r="M2873" s="44">
        <f>(Sales[[#This Row],[Gross Amount]]-Sales[[#This Row],[Disc. Amt.]])*Sales[[#This Row],[GST %]]</f>
        <v>4850.28</v>
      </c>
      <c r="N2873" s="161">
        <f>Sales[[#This Row],[Gross Amount]]-Sales[[#This Row],[Disc. Amt.]]+Sales[[#This Row],[GST Amount]]</f>
        <v>31796.28</v>
      </c>
      <c r="O2873" s="158" t="s">
        <v>3561</v>
      </c>
      <c r="P2873" s="158" t="s">
        <v>3562</v>
      </c>
      <c r="Q2873" s="160">
        <f>IF(Sales[[#This Row],[Status]]="Cancelled",0,Sales[[#This Row],[Qty]])</f>
        <v>6</v>
      </c>
      <c r="R2873" s="161">
        <f>IF(Sales[[#This Row],[Status]]="Cancelled",0,Sales[[#This Row],[Total Amount]])</f>
        <v>31796.28</v>
      </c>
      <c r="S2873" s="162">
        <f>SUM(Sales[Net Amount])</f>
        <v>406839287.73200053</v>
      </c>
    </row>
    <row r="2874" spans="1:19" ht="18.75" x14ac:dyDescent="0.25">
      <c r="A2874" s="163" t="s">
        <v>6519</v>
      </c>
      <c r="B2874" s="164">
        <v>45923</v>
      </c>
      <c r="C2874" s="34" t="s">
        <v>754</v>
      </c>
      <c r="D2874" s="53" t="str">
        <f>VLOOKUP(Sales[[#This Row],[Customer ID]],Customer[#All],2,0)</f>
        <v>Rakesh Gupta</v>
      </c>
      <c r="E2874" s="34" t="s">
        <v>349</v>
      </c>
      <c r="F2874" s="34" t="str">
        <f>VLOOKUP(Sales[[#This Row],[Product ID]],Product[#All],2,0)</f>
        <v>Samsung Monitor</v>
      </c>
      <c r="G2874" s="53">
        <v>6</v>
      </c>
      <c r="H2874" s="165">
        <f>VLOOKUP(Sales[[#This Row],[Product ID]],Product[#All],7,0)</f>
        <v>11070</v>
      </c>
      <c r="I2874" s="165">
        <f>Sales[[#This Row],[Selling Rate]]*Sales[[#This Row],[Qty]]</f>
        <v>66420</v>
      </c>
      <c r="J2874" s="45">
        <v>0.02</v>
      </c>
      <c r="K2874" s="46">
        <f>Sales[[#This Row],[Gross Amount]]*Sales[[#This Row],[Disc %]]</f>
        <v>1328.4</v>
      </c>
      <c r="L2874" s="43">
        <v>0.18</v>
      </c>
      <c r="M2874" s="46">
        <f>(Sales[[#This Row],[Gross Amount]]-Sales[[#This Row],[Disc. Amt.]])*Sales[[#This Row],[GST %]]</f>
        <v>11716.487999999999</v>
      </c>
      <c r="N2874" s="161">
        <f>Sales[[#This Row],[Gross Amount]]-Sales[[#This Row],[Disc. Amt.]]+Sales[[#This Row],[GST Amount]]</f>
        <v>76808.088000000003</v>
      </c>
      <c r="O2874" s="34" t="s">
        <v>8876</v>
      </c>
      <c r="P2874" s="34" t="s">
        <v>3562</v>
      </c>
      <c r="Q2874" s="165">
        <f>IF(Sales[[#This Row],[Status]]="Cancelled",0,Sales[[#This Row],[Qty]])</f>
        <v>6</v>
      </c>
      <c r="R2874" s="166">
        <f>IF(Sales[[#This Row],[Status]]="Cancelled",0,Sales[[#This Row],[Total Amount]])</f>
        <v>76808.088000000003</v>
      </c>
      <c r="S2874" s="162">
        <f>SUM(Sales[Net Amount])</f>
        <v>406839287.73200053</v>
      </c>
    </row>
    <row r="2875" spans="1:19" ht="18.75" x14ac:dyDescent="0.25">
      <c r="A2875" s="156" t="s">
        <v>6520</v>
      </c>
      <c r="B2875" s="157">
        <v>45923</v>
      </c>
      <c r="C2875" s="158" t="s">
        <v>947</v>
      </c>
      <c r="D2875" s="159" t="str">
        <f>VLOOKUP(Sales[[#This Row],[Customer ID]],Customer[#All],2,0)</f>
        <v>Sunita Singh</v>
      </c>
      <c r="E2875" s="158" t="s">
        <v>337</v>
      </c>
      <c r="F2875" s="158" t="str">
        <f>VLOOKUP(Sales[[#This Row],[Product ID]],Product[#All],2,0)</f>
        <v>Corsair Ram</v>
      </c>
      <c r="G2875" s="159">
        <v>8</v>
      </c>
      <c r="H2875" s="160">
        <f>VLOOKUP(Sales[[#This Row],[Product ID]],Product[#All],7,0)</f>
        <v>10500</v>
      </c>
      <c r="I2875" s="160">
        <f>Sales[[#This Row],[Selling Rate]]*Sales[[#This Row],[Qty]]</f>
        <v>84000</v>
      </c>
      <c r="J2875" s="43">
        <v>0.05</v>
      </c>
      <c r="K2875" s="44">
        <f>Sales[[#This Row],[Gross Amount]]*Sales[[#This Row],[Disc %]]</f>
        <v>4200</v>
      </c>
      <c r="L2875" s="43">
        <v>0.18</v>
      </c>
      <c r="M2875" s="44">
        <f>(Sales[[#This Row],[Gross Amount]]-Sales[[#This Row],[Disc. Amt.]])*Sales[[#This Row],[GST %]]</f>
        <v>14364</v>
      </c>
      <c r="N2875" s="161">
        <f>Sales[[#This Row],[Gross Amount]]-Sales[[#This Row],[Disc. Amt.]]+Sales[[#This Row],[GST Amount]]</f>
        <v>94164</v>
      </c>
      <c r="O2875" s="158" t="s">
        <v>3561</v>
      </c>
      <c r="P2875" s="158" t="s">
        <v>3562</v>
      </c>
      <c r="Q2875" s="160">
        <f>IF(Sales[[#This Row],[Status]]="Cancelled",0,Sales[[#This Row],[Qty]])</f>
        <v>8</v>
      </c>
      <c r="R2875" s="161">
        <f>IF(Sales[[#This Row],[Status]]="Cancelled",0,Sales[[#This Row],[Total Amount]])</f>
        <v>94164</v>
      </c>
      <c r="S2875" s="162">
        <f>SUM(Sales[Net Amount])</f>
        <v>406839287.73200053</v>
      </c>
    </row>
    <row r="2876" spans="1:19" ht="18.75" x14ac:dyDescent="0.25">
      <c r="A2876" s="163" t="s">
        <v>6521</v>
      </c>
      <c r="B2876" s="164">
        <v>45923</v>
      </c>
      <c r="C2876" s="34" t="s">
        <v>691</v>
      </c>
      <c r="D2876" s="53" t="str">
        <f>VLOOKUP(Sales[[#This Row],[Customer ID]],Customer[#All],2,0)</f>
        <v>Pooja Patel</v>
      </c>
      <c r="E2876" s="34" t="s">
        <v>369</v>
      </c>
      <c r="F2876" s="34" t="str">
        <f>VLOOKUP(Sales[[#This Row],[Product ID]],Product[#All],2,0)</f>
        <v>HP Mouse</v>
      </c>
      <c r="G2876" s="53">
        <v>6</v>
      </c>
      <c r="H2876" s="165">
        <f>VLOOKUP(Sales[[#This Row],[Product ID]],Product[#All],7,0)</f>
        <v>2040</v>
      </c>
      <c r="I2876" s="165">
        <f>Sales[[#This Row],[Selling Rate]]*Sales[[#This Row],[Qty]]</f>
        <v>12240</v>
      </c>
      <c r="J2876" s="45">
        <v>0</v>
      </c>
      <c r="K2876" s="46">
        <f>Sales[[#This Row],[Gross Amount]]*Sales[[#This Row],[Disc %]]</f>
        <v>0</v>
      </c>
      <c r="L2876" s="43">
        <v>0.18</v>
      </c>
      <c r="M2876" s="46">
        <f>(Sales[[#This Row],[Gross Amount]]-Sales[[#This Row],[Disc. Amt.]])*Sales[[#This Row],[GST %]]</f>
        <v>2203.1999999999998</v>
      </c>
      <c r="N2876" s="161">
        <f>Sales[[#This Row],[Gross Amount]]-Sales[[#This Row],[Disc. Amt.]]+Sales[[#This Row],[GST Amount]]</f>
        <v>14443.2</v>
      </c>
      <c r="O2876" s="34" t="s">
        <v>8876</v>
      </c>
      <c r="P2876" s="34" t="s">
        <v>3562</v>
      </c>
      <c r="Q2876" s="165">
        <f>IF(Sales[[#This Row],[Status]]="Cancelled",0,Sales[[#This Row],[Qty]])</f>
        <v>6</v>
      </c>
      <c r="R2876" s="166">
        <f>IF(Sales[[#This Row],[Status]]="Cancelled",0,Sales[[#This Row],[Total Amount]])</f>
        <v>14443.2</v>
      </c>
      <c r="S2876" s="162">
        <f>SUM(Sales[Net Amount])</f>
        <v>406839287.73200053</v>
      </c>
    </row>
    <row r="2877" spans="1:19" ht="18.75" x14ac:dyDescent="0.25">
      <c r="A2877" s="156" t="s">
        <v>6522</v>
      </c>
      <c r="B2877" s="157">
        <v>45923</v>
      </c>
      <c r="C2877" s="158" t="s">
        <v>758</v>
      </c>
      <c r="D2877" s="159" t="str">
        <f>VLOOKUP(Sales[[#This Row],[Customer ID]],Customer[#All],2,0)</f>
        <v>Rahul Verma</v>
      </c>
      <c r="E2877" s="158" t="s">
        <v>52</v>
      </c>
      <c r="F2877" s="158" t="str">
        <f>VLOOKUP(Sales[[#This Row],[Product ID]],Product[#All],2,0)</f>
        <v>HP Power Adapter</v>
      </c>
      <c r="G2877" s="159">
        <v>2</v>
      </c>
      <c r="H2877" s="160">
        <f>VLOOKUP(Sales[[#This Row],[Product ID]],Product[#All],7,0)</f>
        <v>4510</v>
      </c>
      <c r="I2877" s="160">
        <f>Sales[[#This Row],[Selling Rate]]*Sales[[#This Row],[Qty]]</f>
        <v>9020</v>
      </c>
      <c r="J2877" s="43">
        <v>0.1</v>
      </c>
      <c r="K2877" s="44">
        <f>Sales[[#This Row],[Gross Amount]]*Sales[[#This Row],[Disc %]]</f>
        <v>902</v>
      </c>
      <c r="L2877" s="43">
        <v>0.18</v>
      </c>
      <c r="M2877" s="44">
        <f>(Sales[[#This Row],[Gross Amount]]-Sales[[#This Row],[Disc. Amt.]])*Sales[[#This Row],[GST %]]</f>
        <v>1461.24</v>
      </c>
      <c r="N2877" s="161">
        <f>Sales[[#This Row],[Gross Amount]]-Sales[[#This Row],[Disc. Amt.]]+Sales[[#This Row],[GST Amount]]</f>
        <v>9579.24</v>
      </c>
      <c r="O2877" s="158" t="s">
        <v>3561</v>
      </c>
      <c r="P2877" s="158" t="s">
        <v>3562</v>
      </c>
      <c r="Q2877" s="160">
        <f>IF(Sales[[#This Row],[Status]]="Cancelled",0,Sales[[#This Row],[Qty]])</f>
        <v>2</v>
      </c>
      <c r="R2877" s="161">
        <f>IF(Sales[[#This Row],[Status]]="Cancelled",0,Sales[[#This Row],[Total Amount]])</f>
        <v>9579.24</v>
      </c>
      <c r="S2877" s="162">
        <f>SUM(Sales[Net Amount])</f>
        <v>406839287.73200053</v>
      </c>
    </row>
    <row r="2878" spans="1:19" ht="18.75" x14ac:dyDescent="0.25">
      <c r="A2878" s="163" t="s">
        <v>6523</v>
      </c>
      <c r="B2878" s="164">
        <v>45923</v>
      </c>
      <c r="C2878" s="34" t="s">
        <v>918</v>
      </c>
      <c r="D2878" s="53" t="str">
        <f>VLOOKUP(Sales[[#This Row],[Customer ID]],Customer[#All],2,0)</f>
        <v>Pooja Patel</v>
      </c>
      <c r="E2878" s="34" t="s">
        <v>503</v>
      </c>
      <c r="F2878" s="34" t="str">
        <f>VLOOKUP(Sales[[#This Row],[Product ID]],Product[#All],2,0)</f>
        <v>Corsair Ram</v>
      </c>
      <c r="G2878" s="53">
        <v>8</v>
      </c>
      <c r="H2878" s="165">
        <f>VLOOKUP(Sales[[#This Row],[Product ID]],Product[#All],7,0)</f>
        <v>8750</v>
      </c>
      <c r="I2878" s="165">
        <f>Sales[[#This Row],[Selling Rate]]*Sales[[#This Row],[Qty]]</f>
        <v>70000</v>
      </c>
      <c r="J2878" s="45">
        <v>0</v>
      </c>
      <c r="K2878" s="46">
        <f>Sales[[#This Row],[Gross Amount]]*Sales[[#This Row],[Disc %]]</f>
        <v>0</v>
      </c>
      <c r="L2878" s="43">
        <v>0.18</v>
      </c>
      <c r="M2878" s="46">
        <f>(Sales[[#This Row],[Gross Amount]]-Sales[[#This Row],[Disc. Amt.]])*Sales[[#This Row],[GST %]]</f>
        <v>12600</v>
      </c>
      <c r="N2878" s="161">
        <f>Sales[[#This Row],[Gross Amount]]-Sales[[#This Row],[Disc. Amt.]]+Sales[[#This Row],[GST Amount]]</f>
        <v>82600</v>
      </c>
      <c r="O2878" s="34" t="s">
        <v>8876</v>
      </c>
      <c r="P2878" s="34" t="s">
        <v>3562</v>
      </c>
      <c r="Q2878" s="165">
        <f>IF(Sales[[#This Row],[Status]]="Cancelled",0,Sales[[#This Row],[Qty]])</f>
        <v>8</v>
      </c>
      <c r="R2878" s="166">
        <f>IF(Sales[[#This Row],[Status]]="Cancelled",0,Sales[[#This Row],[Total Amount]])</f>
        <v>82600</v>
      </c>
      <c r="S2878" s="162">
        <f>SUM(Sales[Net Amount])</f>
        <v>406839287.73200053</v>
      </c>
    </row>
    <row r="2879" spans="1:19" ht="18.75" x14ac:dyDescent="0.25">
      <c r="A2879" s="156" t="s">
        <v>6524</v>
      </c>
      <c r="B2879" s="157">
        <v>45923</v>
      </c>
      <c r="C2879" s="158" t="s">
        <v>840</v>
      </c>
      <c r="D2879" s="159" t="str">
        <f>VLOOKUP(Sales[[#This Row],[Customer ID]],Customer[#All],2,0)</f>
        <v>Rakesh Verma</v>
      </c>
      <c r="E2879" s="158" t="s">
        <v>455</v>
      </c>
      <c r="F2879" s="158" t="str">
        <f>VLOOKUP(Sales[[#This Row],[Product ID]],Product[#All],2,0)</f>
        <v>WD HDD</v>
      </c>
      <c r="G2879" s="159">
        <v>3</v>
      </c>
      <c r="H2879" s="160">
        <f>VLOOKUP(Sales[[#This Row],[Product ID]],Product[#All],7,0)</f>
        <v>13980</v>
      </c>
      <c r="I2879" s="160">
        <f>Sales[[#This Row],[Selling Rate]]*Sales[[#This Row],[Qty]]</f>
        <v>41940</v>
      </c>
      <c r="J2879" s="43">
        <v>0.12</v>
      </c>
      <c r="K2879" s="44">
        <f>Sales[[#This Row],[Gross Amount]]*Sales[[#This Row],[Disc %]]</f>
        <v>5032.8</v>
      </c>
      <c r="L2879" s="43">
        <v>0.18</v>
      </c>
      <c r="M2879" s="44">
        <f>(Sales[[#This Row],[Gross Amount]]-Sales[[#This Row],[Disc. Amt.]])*Sales[[#This Row],[GST %]]</f>
        <v>6643.2959999999994</v>
      </c>
      <c r="N2879" s="161">
        <f>Sales[[#This Row],[Gross Amount]]-Sales[[#This Row],[Disc. Amt.]]+Sales[[#This Row],[GST Amount]]</f>
        <v>43550.495999999999</v>
      </c>
      <c r="O2879" s="158" t="s">
        <v>3566</v>
      </c>
      <c r="P2879" s="158" t="s">
        <v>3562</v>
      </c>
      <c r="Q2879" s="160">
        <f>IF(Sales[[#This Row],[Status]]="Cancelled",0,Sales[[#This Row],[Qty]])</f>
        <v>3</v>
      </c>
      <c r="R2879" s="161">
        <f>IF(Sales[[#This Row],[Status]]="Cancelled",0,Sales[[#This Row],[Total Amount]])</f>
        <v>43550.495999999999</v>
      </c>
      <c r="S2879" s="162">
        <f>SUM(Sales[Net Amount])</f>
        <v>406839287.73200053</v>
      </c>
    </row>
    <row r="2880" spans="1:19" ht="18.75" x14ac:dyDescent="0.25">
      <c r="A2880" s="163" t="s">
        <v>6525</v>
      </c>
      <c r="B2880" s="164">
        <v>45923</v>
      </c>
      <c r="C2880" s="34" t="s">
        <v>688</v>
      </c>
      <c r="D2880" s="53" t="str">
        <f>VLOOKUP(Sales[[#This Row],[Customer ID]],Customer[#All],2,0)</f>
        <v>Rahul Verma</v>
      </c>
      <c r="E2880" s="34" t="s">
        <v>473</v>
      </c>
      <c r="F2880" s="34" t="str">
        <f>VLOOKUP(Sales[[#This Row],[Product ID]],Product[#All],2,0)</f>
        <v>Boat Headset</v>
      </c>
      <c r="G2880" s="53">
        <v>6</v>
      </c>
      <c r="H2880" s="165">
        <f>VLOOKUP(Sales[[#This Row],[Product ID]],Product[#All],7,0)</f>
        <v>2840</v>
      </c>
      <c r="I2880" s="165">
        <f>Sales[[#This Row],[Selling Rate]]*Sales[[#This Row],[Qty]]</f>
        <v>17040</v>
      </c>
      <c r="J2880" s="45">
        <v>0.05</v>
      </c>
      <c r="K2880" s="46">
        <f>Sales[[#This Row],[Gross Amount]]*Sales[[#This Row],[Disc %]]</f>
        <v>852</v>
      </c>
      <c r="L2880" s="43">
        <v>0.18</v>
      </c>
      <c r="M2880" s="46">
        <f>(Sales[[#This Row],[Gross Amount]]-Sales[[#This Row],[Disc. Amt.]])*Sales[[#This Row],[GST %]]</f>
        <v>2913.8399999999997</v>
      </c>
      <c r="N2880" s="161">
        <f>Sales[[#This Row],[Gross Amount]]-Sales[[#This Row],[Disc. Amt.]]+Sales[[#This Row],[GST Amount]]</f>
        <v>19101.84</v>
      </c>
      <c r="O2880" s="34" t="s">
        <v>3569</v>
      </c>
      <c r="P2880" s="34" t="s">
        <v>3562</v>
      </c>
      <c r="Q2880" s="165">
        <f>IF(Sales[[#This Row],[Status]]="Cancelled",0,Sales[[#This Row],[Qty]])</f>
        <v>6</v>
      </c>
      <c r="R2880" s="166">
        <f>IF(Sales[[#This Row],[Status]]="Cancelled",0,Sales[[#This Row],[Total Amount]])</f>
        <v>19101.84</v>
      </c>
      <c r="S2880" s="162">
        <f>SUM(Sales[Net Amount])</f>
        <v>406839287.73200053</v>
      </c>
    </row>
    <row r="2881" spans="1:19" ht="18.75" x14ac:dyDescent="0.25">
      <c r="A2881" s="156" t="s">
        <v>6526</v>
      </c>
      <c r="B2881" s="157">
        <v>45923</v>
      </c>
      <c r="C2881" s="158" t="s">
        <v>742</v>
      </c>
      <c r="D2881" s="159" t="str">
        <f>VLOOKUP(Sales[[#This Row],[Customer ID]],Customer[#All],2,0)</f>
        <v>Rahul Patel</v>
      </c>
      <c r="E2881" s="158" t="s">
        <v>265</v>
      </c>
      <c r="F2881" s="158" t="str">
        <f>VLOOKUP(Sales[[#This Row],[Product ID]],Product[#All],2,0)</f>
        <v>Canon Printer</v>
      </c>
      <c r="G2881" s="159">
        <v>6</v>
      </c>
      <c r="H2881" s="160">
        <f>VLOOKUP(Sales[[#This Row],[Product ID]],Product[#All],7,0)</f>
        <v>33970</v>
      </c>
      <c r="I2881" s="160">
        <f>Sales[[#This Row],[Selling Rate]]*Sales[[#This Row],[Qty]]</f>
        <v>203820</v>
      </c>
      <c r="J2881" s="43">
        <v>0.15</v>
      </c>
      <c r="K2881" s="44">
        <f>Sales[[#This Row],[Gross Amount]]*Sales[[#This Row],[Disc %]]</f>
        <v>30573</v>
      </c>
      <c r="L2881" s="43">
        <v>0.18</v>
      </c>
      <c r="M2881" s="44">
        <f>(Sales[[#This Row],[Gross Amount]]-Sales[[#This Row],[Disc. Amt.]])*Sales[[#This Row],[GST %]]</f>
        <v>31184.46</v>
      </c>
      <c r="N2881" s="161">
        <f>Sales[[#This Row],[Gross Amount]]-Sales[[#This Row],[Disc. Amt.]]+Sales[[#This Row],[GST Amount]]</f>
        <v>204431.46</v>
      </c>
      <c r="O2881" s="158" t="s">
        <v>3561</v>
      </c>
      <c r="P2881" s="158" t="s">
        <v>3562</v>
      </c>
      <c r="Q2881" s="160">
        <f>IF(Sales[[#This Row],[Status]]="Cancelled",0,Sales[[#This Row],[Qty]])</f>
        <v>6</v>
      </c>
      <c r="R2881" s="161">
        <f>IF(Sales[[#This Row],[Status]]="Cancelled",0,Sales[[#This Row],[Total Amount]])</f>
        <v>204431.46</v>
      </c>
      <c r="S2881" s="162">
        <f>SUM(Sales[Net Amount])</f>
        <v>406839287.73200053</v>
      </c>
    </row>
    <row r="2882" spans="1:19" ht="18.75" x14ac:dyDescent="0.25">
      <c r="A2882" s="163" t="s">
        <v>6527</v>
      </c>
      <c r="B2882" s="164">
        <v>45923</v>
      </c>
      <c r="C2882" s="34" t="s">
        <v>652</v>
      </c>
      <c r="D2882" s="53" t="str">
        <f>VLOOKUP(Sales[[#This Row],[Customer ID]],Customer[#All],2,0)</f>
        <v>Sahil Kumar</v>
      </c>
      <c r="E2882" s="34" t="s">
        <v>81</v>
      </c>
      <c r="F2882" s="34" t="str">
        <f>VLOOKUP(Sales[[#This Row],[Product ID]],Product[#All],2,0)</f>
        <v>HP Desktop</v>
      </c>
      <c r="G2882" s="53">
        <v>6</v>
      </c>
      <c r="H2882" s="165">
        <f>VLOOKUP(Sales[[#This Row],[Product ID]],Product[#All],7,0)</f>
        <v>65470</v>
      </c>
      <c r="I2882" s="165">
        <f>Sales[[#This Row],[Selling Rate]]*Sales[[#This Row],[Qty]]</f>
        <v>392820</v>
      </c>
      <c r="J2882" s="45">
        <v>0</v>
      </c>
      <c r="K2882" s="46">
        <f>Sales[[#This Row],[Gross Amount]]*Sales[[#This Row],[Disc %]]</f>
        <v>0</v>
      </c>
      <c r="L2882" s="43">
        <v>0.18</v>
      </c>
      <c r="M2882" s="46">
        <f>(Sales[[#This Row],[Gross Amount]]-Sales[[#This Row],[Disc. Amt.]])*Sales[[#This Row],[GST %]]</f>
        <v>70707.599999999991</v>
      </c>
      <c r="N2882" s="161">
        <f>Sales[[#This Row],[Gross Amount]]-Sales[[#This Row],[Disc. Amt.]]+Sales[[#This Row],[GST Amount]]</f>
        <v>463527.6</v>
      </c>
      <c r="O2882" s="34" t="s">
        <v>3561</v>
      </c>
      <c r="P2882" s="34" t="s">
        <v>3562</v>
      </c>
      <c r="Q2882" s="165">
        <f>IF(Sales[[#This Row],[Status]]="Cancelled",0,Sales[[#This Row],[Qty]])</f>
        <v>6</v>
      </c>
      <c r="R2882" s="166">
        <f>IF(Sales[[#This Row],[Status]]="Cancelled",0,Sales[[#This Row],[Total Amount]])</f>
        <v>463527.6</v>
      </c>
      <c r="S2882" s="162">
        <f>SUM(Sales[Net Amount])</f>
        <v>406839287.73200053</v>
      </c>
    </row>
    <row r="2883" spans="1:19" ht="18.75" x14ac:dyDescent="0.25">
      <c r="A2883" s="156" t="s">
        <v>6528</v>
      </c>
      <c r="B2883" s="157">
        <v>45923</v>
      </c>
      <c r="C2883" s="158" t="s">
        <v>871</v>
      </c>
      <c r="D2883" s="159" t="str">
        <f>VLOOKUP(Sales[[#This Row],[Customer ID]],Customer[#All],2,0)</f>
        <v>Rakesh Kumar</v>
      </c>
      <c r="E2883" s="158" t="s">
        <v>155</v>
      </c>
      <c r="F2883" s="158" t="str">
        <f>VLOOKUP(Sales[[#This Row],[Product ID]],Product[#All],2,0)</f>
        <v>Sandisk Pen Drive</v>
      </c>
      <c r="G2883" s="159">
        <v>4</v>
      </c>
      <c r="H2883" s="160">
        <f>VLOOKUP(Sales[[#This Row],[Product ID]],Product[#All],7,0)</f>
        <v>3650</v>
      </c>
      <c r="I2883" s="160">
        <f>Sales[[#This Row],[Selling Rate]]*Sales[[#This Row],[Qty]]</f>
        <v>14600</v>
      </c>
      <c r="J2883" s="43">
        <v>0</v>
      </c>
      <c r="K2883" s="44">
        <f>Sales[[#This Row],[Gross Amount]]*Sales[[#This Row],[Disc %]]</f>
        <v>0</v>
      </c>
      <c r="L2883" s="43">
        <v>0.18</v>
      </c>
      <c r="M2883" s="44">
        <f>(Sales[[#This Row],[Gross Amount]]-Sales[[#This Row],[Disc. Amt.]])*Sales[[#This Row],[GST %]]</f>
        <v>2628</v>
      </c>
      <c r="N2883" s="161">
        <f>Sales[[#This Row],[Gross Amount]]-Sales[[#This Row],[Disc. Amt.]]+Sales[[#This Row],[GST Amount]]</f>
        <v>17228</v>
      </c>
      <c r="O2883" s="158" t="s">
        <v>3561</v>
      </c>
      <c r="P2883" s="158" t="s">
        <v>3562</v>
      </c>
      <c r="Q2883" s="160">
        <f>IF(Sales[[#This Row],[Status]]="Cancelled",0,Sales[[#This Row],[Qty]])</f>
        <v>4</v>
      </c>
      <c r="R2883" s="161">
        <f>IF(Sales[[#This Row],[Status]]="Cancelled",0,Sales[[#This Row],[Total Amount]])</f>
        <v>17228</v>
      </c>
      <c r="S2883" s="162">
        <f>SUM(Sales[Net Amount])</f>
        <v>406839287.73200053</v>
      </c>
    </row>
    <row r="2884" spans="1:19" ht="18.75" x14ac:dyDescent="0.25">
      <c r="A2884" s="163" t="s">
        <v>6529</v>
      </c>
      <c r="B2884" s="164">
        <v>45923</v>
      </c>
      <c r="C2884" s="34" t="s">
        <v>899</v>
      </c>
      <c r="D2884" s="53" t="str">
        <f>VLOOKUP(Sales[[#This Row],[Customer ID]],Customer[#All],2,0)</f>
        <v>Sunita Verma</v>
      </c>
      <c r="E2884" s="34" t="s">
        <v>172</v>
      </c>
      <c r="F2884" s="34" t="str">
        <f>VLOOKUP(Sales[[#This Row],[Product ID]],Product[#All],2,0)</f>
        <v>Jbl Headset</v>
      </c>
      <c r="G2884" s="53">
        <v>6</v>
      </c>
      <c r="H2884" s="165">
        <f>VLOOKUP(Sales[[#This Row],[Product ID]],Product[#All],7,0)</f>
        <v>7300</v>
      </c>
      <c r="I2884" s="165">
        <f>Sales[[#This Row],[Selling Rate]]*Sales[[#This Row],[Qty]]</f>
        <v>43800</v>
      </c>
      <c r="J2884" s="45">
        <v>0.1</v>
      </c>
      <c r="K2884" s="46">
        <f>Sales[[#This Row],[Gross Amount]]*Sales[[#This Row],[Disc %]]</f>
        <v>4380</v>
      </c>
      <c r="L2884" s="43">
        <v>0.18</v>
      </c>
      <c r="M2884" s="46">
        <f>(Sales[[#This Row],[Gross Amount]]-Sales[[#This Row],[Disc. Amt.]])*Sales[[#This Row],[GST %]]</f>
        <v>7095.5999999999995</v>
      </c>
      <c r="N2884" s="161">
        <f>Sales[[#This Row],[Gross Amount]]-Sales[[#This Row],[Disc. Amt.]]+Sales[[#This Row],[GST Amount]]</f>
        <v>46515.6</v>
      </c>
      <c r="O2884" s="34" t="s">
        <v>3566</v>
      </c>
      <c r="P2884" s="34" t="s">
        <v>3562</v>
      </c>
      <c r="Q2884" s="165">
        <f>IF(Sales[[#This Row],[Status]]="Cancelled",0,Sales[[#This Row],[Qty]])</f>
        <v>6</v>
      </c>
      <c r="R2884" s="166">
        <f>IF(Sales[[#This Row],[Status]]="Cancelled",0,Sales[[#This Row],[Total Amount]])</f>
        <v>46515.6</v>
      </c>
      <c r="S2884" s="162">
        <f>SUM(Sales[Net Amount])</f>
        <v>406839287.73200053</v>
      </c>
    </row>
    <row r="2885" spans="1:19" ht="18.75" x14ac:dyDescent="0.25">
      <c r="A2885" s="156" t="s">
        <v>6530</v>
      </c>
      <c r="B2885" s="157">
        <v>45924</v>
      </c>
      <c r="C2885" s="158" t="s">
        <v>734</v>
      </c>
      <c r="D2885" s="159" t="str">
        <f>VLOOKUP(Sales[[#This Row],[Customer ID]],Customer[#All],2,0)</f>
        <v>Ankit Sharma</v>
      </c>
      <c r="E2885" s="158" t="s">
        <v>122</v>
      </c>
      <c r="F2885" s="158" t="str">
        <f>VLOOKUP(Sales[[#This Row],[Product ID]],Product[#All],2,0)</f>
        <v>HP Mouse</v>
      </c>
      <c r="G2885" s="159">
        <v>8</v>
      </c>
      <c r="H2885" s="160">
        <f>VLOOKUP(Sales[[#This Row],[Product ID]],Product[#All],7,0)</f>
        <v>1980</v>
      </c>
      <c r="I2885" s="160">
        <f>Sales[[#This Row],[Selling Rate]]*Sales[[#This Row],[Qty]]</f>
        <v>15840</v>
      </c>
      <c r="J2885" s="43">
        <v>0.12</v>
      </c>
      <c r="K2885" s="44">
        <f>Sales[[#This Row],[Gross Amount]]*Sales[[#This Row],[Disc %]]</f>
        <v>1900.8</v>
      </c>
      <c r="L2885" s="43">
        <v>0.18</v>
      </c>
      <c r="M2885" s="44">
        <f>(Sales[[#This Row],[Gross Amount]]-Sales[[#This Row],[Disc. Amt.]])*Sales[[#This Row],[GST %]]</f>
        <v>2509.056</v>
      </c>
      <c r="N2885" s="161">
        <f>Sales[[#This Row],[Gross Amount]]-Sales[[#This Row],[Disc. Amt.]]+Sales[[#This Row],[GST Amount]]</f>
        <v>16448.256000000001</v>
      </c>
      <c r="O2885" s="158" t="s">
        <v>3569</v>
      </c>
      <c r="P2885" s="158" t="s">
        <v>3562</v>
      </c>
      <c r="Q2885" s="160">
        <f>IF(Sales[[#This Row],[Status]]="Cancelled",0,Sales[[#This Row],[Qty]])</f>
        <v>8</v>
      </c>
      <c r="R2885" s="161">
        <f>IF(Sales[[#This Row],[Status]]="Cancelled",0,Sales[[#This Row],[Total Amount]])</f>
        <v>16448.256000000001</v>
      </c>
      <c r="S2885" s="162">
        <f>SUM(Sales[Net Amount])</f>
        <v>406839287.73200053</v>
      </c>
    </row>
    <row r="2886" spans="1:19" ht="18.75" x14ac:dyDescent="0.25">
      <c r="A2886" s="163" t="s">
        <v>6531</v>
      </c>
      <c r="B2886" s="164">
        <v>45924</v>
      </c>
      <c r="C2886" s="34" t="s">
        <v>5262</v>
      </c>
      <c r="D2886" s="53" t="str">
        <f>VLOOKUP(Sales[[#This Row],[Customer ID]],Customer[#All],2,0)</f>
        <v>Amit Singh</v>
      </c>
      <c r="E2886" s="34" t="s">
        <v>275</v>
      </c>
      <c r="F2886" s="34" t="str">
        <f>VLOOKUP(Sales[[#This Row],[Product ID]],Product[#All],2,0)</f>
        <v>Canon Printer</v>
      </c>
      <c r="G2886" s="53">
        <v>3</v>
      </c>
      <c r="H2886" s="165">
        <f>VLOOKUP(Sales[[#This Row],[Product ID]],Product[#All],7,0)</f>
        <v>36460</v>
      </c>
      <c r="I2886" s="165">
        <f>Sales[[#This Row],[Selling Rate]]*Sales[[#This Row],[Qty]]</f>
        <v>109380</v>
      </c>
      <c r="J2886" s="45">
        <v>0</v>
      </c>
      <c r="K2886" s="46">
        <f>Sales[[#This Row],[Gross Amount]]*Sales[[#This Row],[Disc %]]</f>
        <v>0</v>
      </c>
      <c r="L2886" s="43">
        <v>0.18</v>
      </c>
      <c r="M2886" s="46">
        <f>(Sales[[#This Row],[Gross Amount]]-Sales[[#This Row],[Disc. Amt.]])*Sales[[#This Row],[GST %]]</f>
        <v>19688.399999999998</v>
      </c>
      <c r="N2886" s="161">
        <f>Sales[[#This Row],[Gross Amount]]-Sales[[#This Row],[Disc. Amt.]]+Sales[[#This Row],[GST Amount]]</f>
        <v>129068.4</v>
      </c>
      <c r="O2886" s="34" t="s">
        <v>3566</v>
      </c>
      <c r="P2886" s="34" t="s">
        <v>3562</v>
      </c>
      <c r="Q2886" s="165">
        <f>IF(Sales[[#This Row],[Status]]="Cancelled",0,Sales[[#This Row],[Qty]])</f>
        <v>3</v>
      </c>
      <c r="R2886" s="166">
        <f>IF(Sales[[#This Row],[Status]]="Cancelled",0,Sales[[#This Row],[Total Amount]])</f>
        <v>129068.4</v>
      </c>
      <c r="S2886" s="162">
        <f>SUM(Sales[Net Amount])</f>
        <v>406839287.73200053</v>
      </c>
    </row>
    <row r="2887" spans="1:19" ht="18.75" x14ac:dyDescent="0.25">
      <c r="A2887" s="156" t="s">
        <v>6532</v>
      </c>
      <c r="B2887" s="157">
        <v>45924</v>
      </c>
      <c r="C2887" s="158" t="s">
        <v>747</v>
      </c>
      <c r="D2887" s="159" t="str">
        <f>VLOOKUP(Sales[[#This Row],[Customer ID]],Customer[#All],2,0)</f>
        <v>Sunita Gupta</v>
      </c>
      <c r="E2887" s="158" t="s">
        <v>373</v>
      </c>
      <c r="F2887" s="158" t="str">
        <f>VLOOKUP(Sales[[#This Row],[Product ID]],Product[#All],2,0)</f>
        <v>Epson Printer</v>
      </c>
      <c r="G2887" s="159">
        <v>6</v>
      </c>
      <c r="H2887" s="160">
        <f>VLOOKUP(Sales[[#This Row],[Product ID]],Product[#All],7,0)</f>
        <v>9710</v>
      </c>
      <c r="I2887" s="160">
        <f>Sales[[#This Row],[Selling Rate]]*Sales[[#This Row],[Qty]]</f>
        <v>58260</v>
      </c>
      <c r="J2887" s="43">
        <v>0.15</v>
      </c>
      <c r="K2887" s="44">
        <f>Sales[[#This Row],[Gross Amount]]*Sales[[#This Row],[Disc %]]</f>
        <v>8739</v>
      </c>
      <c r="L2887" s="43">
        <v>0.18</v>
      </c>
      <c r="M2887" s="44">
        <f>(Sales[[#This Row],[Gross Amount]]-Sales[[#This Row],[Disc. Amt.]])*Sales[[#This Row],[GST %]]</f>
        <v>8913.7799999999988</v>
      </c>
      <c r="N2887" s="161">
        <f>Sales[[#This Row],[Gross Amount]]-Sales[[#This Row],[Disc. Amt.]]+Sales[[#This Row],[GST Amount]]</f>
        <v>58434.78</v>
      </c>
      <c r="O2887" s="158" t="s">
        <v>8876</v>
      </c>
      <c r="P2887" s="158" t="s">
        <v>3562</v>
      </c>
      <c r="Q2887" s="160">
        <f>IF(Sales[[#This Row],[Status]]="Cancelled",0,Sales[[#This Row],[Qty]])</f>
        <v>6</v>
      </c>
      <c r="R2887" s="161">
        <f>IF(Sales[[#This Row],[Status]]="Cancelled",0,Sales[[#This Row],[Total Amount]])</f>
        <v>58434.78</v>
      </c>
      <c r="S2887" s="162">
        <f>SUM(Sales[Net Amount])</f>
        <v>406839287.73200053</v>
      </c>
    </row>
    <row r="2888" spans="1:19" ht="18.75" x14ac:dyDescent="0.25">
      <c r="A2888" s="163" t="s">
        <v>6533</v>
      </c>
      <c r="B2888" s="164">
        <v>45924</v>
      </c>
      <c r="C2888" s="34" t="s">
        <v>670</v>
      </c>
      <c r="D2888" s="53" t="str">
        <f>VLOOKUP(Sales[[#This Row],[Customer ID]],Customer[#All],2,0)</f>
        <v>Rakesh Patel</v>
      </c>
      <c r="E2888" s="34" t="s">
        <v>480</v>
      </c>
      <c r="F2888" s="34" t="str">
        <f>VLOOKUP(Sales[[#This Row],[Product ID]],Product[#All],2,0)</f>
        <v>TP-link Bluetooth Adapter</v>
      </c>
      <c r="G2888" s="53">
        <v>8</v>
      </c>
      <c r="H2888" s="165">
        <f>VLOOKUP(Sales[[#This Row],[Product ID]],Product[#All],7,0)</f>
        <v>1670</v>
      </c>
      <c r="I2888" s="165">
        <f>Sales[[#This Row],[Selling Rate]]*Sales[[#This Row],[Qty]]</f>
        <v>13360</v>
      </c>
      <c r="J2888" s="45">
        <v>0.05</v>
      </c>
      <c r="K2888" s="46">
        <f>Sales[[#This Row],[Gross Amount]]*Sales[[#This Row],[Disc %]]</f>
        <v>668</v>
      </c>
      <c r="L2888" s="43">
        <v>0.18</v>
      </c>
      <c r="M2888" s="46">
        <f>(Sales[[#This Row],[Gross Amount]]-Sales[[#This Row],[Disc. Amt.]])*Sales[[#This Row],[GST %]]</f>
        <v>2284.56</v>
      </c>
      <c r="N2888" s="161">
        <f>Sales[[#This Row],[Gross Amount]]-Sales[[#This Row],[Disc. Amt.]]+Sales[[#This Row],[GST Amount]]</f>
        <v>14976.56</v>
      </c>
      <c r="O2888" s="34" t="s">
        <v>8876</v>
      </c>
      <c r="P2888" s="34" t="s">
        <v>3562</v>
      </c>
      <c r="Q2888" s="165">
        <f>IF(Sales[[#This Row],[Status]]="Cancelled",0,Sales[[#This Row],[Qty]])</f>
        <v>8</v>
      </c>
      <c r="R2888" s="166">
        <f>IF(Sales[[#This Row],[Status]]="Cancelled",0,Sales[[#This Row],[Total Amount]])</f>
        <v>14976.56</v>
      </c>
      <c r="S2888" s="162">
        <f>SUM(Sales[Net Amount])</f>
        <v>406839287.73200053</v>
      </c>
    </row>
    <row r="2889" spans="1:19" ht="18.75" x14ac:dyDescent="0.25">
      <c r="A2889" s="156" t="s">
        <v>6534</v>
      </c>
      <c r="B2889" s="157">
        <v>45924</v>
      </c>
      <c r="C2889" s="158" t="s">
        <v>926</v>
      </c>
      <c r="D2889" s="159" t="str">
        <f>VLOOKUP(Sales[[#This Row],[Customer ID]],Customer[#All],2,0)</f>
        <v>Pooja Singh</v>
      </c>
      <c r="E2889" s="158" t="s">
        <v>211</v>
      </c>
      <c r="F2889" s="158" t="str">
        <f>VLOOKUP(Sales[[#This Row],[Product ID]],Product[#All],2,0)</f>
        <v>Samsung Ssd</v>
      </c>
      <c r="G2889" s="159">
        <v>5</v>
      </c>
      <c r="H2889" s="160">
        <f>VLOOKUP(Sales[[#This Row],[Product ID]],Product[#All],7,0)</f>
        <v>16100</v>
      </c>
      <c r="I2889" s="160">
        <f>Sales[[#This Row],[Selling Rate]]*Sales[[#This Row],[Qty]]</f>
        <v>80500</v>
      </c>
      <c r="J2889" s="43">
        <v>0</v>
      </c>
      <c r="K2889" s="44">
        <f>Sales[[#This Row],[Gross Amount]]*Sales[[#This Row],[Disc %]]</f>
        <v>0</v>
      </c>
      <c r="L2889" s="43">
        <v>0.18</v>
      </c>
      <c r="M2889" s="44">
        <f>(Sales[[#This Row],[Gross Amount]]-Sales[[#This Row],[Disc. Amt.]])*Sales[[#This Row],[GST %]]</f>
        <v>14490</v>
      </c>
      <c r="N2889" s="161">
        <f>Sales[[#This Row],[Gross Amount]]-Sales[[#This Row],[Disc. Amt.]]+Sales[[#This Row],[GST Amount]]</f>
        <v>94990</v>
      </c>
      <c r="O2889" s="158" t="s">
        <v>3561</v>
      </c>
      <c r="P2889" s="158" t="s">
        <v>3562</v>
      </c>
      <c r="Q2889" s="160">
        <f>IF(Sales[[#This Row],[Status]]="Cancelled",0,Sales[[#This Row],[Qty]])</f>
        <v>5</v>
      </c>
      <c r="R2889" s="161">
        <f>IF(Sales[[#This Row],[Status]]="Cancelled",0,Sales[[#This Row],[Total Amount]])</f>
        <v>94990</v>
      </c>
      <c r="S2889" s="162">
        <f>SUM(Sales[Net Amount])</f>
        <v>406839287.73200053</v>
      </c>
    </row>
    <row r="2890" spans="1:19" ht="18.75" x14ac:dyDescent="0.25">
      <c r="A2890" s="163" t="s">
        <v>6535</v>
      </c>
      <c r="B2890" s="164">
        <v>45924</v>
      </c>
      <c r="C2890" s="34" t="s">
        <v>889</v>
      </c>
      <c r="D2890" s="53" t="str">
        <f>VLOOKUP(Sales[[#This Row],[Customer ID]],Customer[#All],2,0)</f>
        <v>Rakesh Sharma</v>
      </c>
      <c r="E2890" s="34" t="s">
        <v>480</v>
      </c>
      <c r="F2890" s="34" t="str">
        <f>VLOOKUP(Sales[[#This Row],[Product ID]],Product[#All],2,0)</f>
        <v>TP-link Bluetooth Adapter</v>
      </c>
      <c r="G2890" s="53">
        <v>5</v>
      </c>
      <c r="H2890" s="165">
        <f>VLOOKUP(Sales[[#This Row],[Product ID]],Product[#All],7,0)</f>
        <v>1670</v>
      </c>
      <c r="I2890" s="165">
        <f>Sales[[#This Row],[Selling Rate]]*Sales[[#This Row],[Qty]]</f>
        <v>8350</v>
      </c>
      <c r="J2890" s="45">
        <v>0.12</v>
      </c>
      <c r="K2890" s="46">
        <f>Sales[[#This Row],[Gross Amount]]*Sales[[#This Row],[Disc %]]</f>
        <v>1002</v>
      </c>
      <c r="L2890" s="43">
        <v>0.18</v>
      </c>
      <c r="M2890" s="46">
        <f>(Sales[[#This Row],[Gross Amount]]-Sales[[#This Row],[Disc. Amt.]])*Sales[[#This Row],[GST %]]</f>
        <v>1322.6399999999999</v>
      </c>
      <c r="N2890" s="161">
        <f>Sales[[#This Row],[Gross Amount]]-Sales[[#This Row],[Disc. Amt.]]+Sales[[#This Row],[GST Amount]]</f>
        <v>8670.64</v>
      </c>
      <c r="O2890" s="34" t="s">
        <v>3569</v>
      </c>
      <c r="P2890" s="34" t="s">
        <v>3562</v>
      </c>
      <c r="Q2890" s="165">
        <f>IF(Sales[[#This Row],[Status]]="Cancelled",0,Sales[[#This Row],[Qty]])</f>
        <v>5</v>
      </c>
      <c r="R2890" s="166">
        <f>IF(Sales[[#This Row],[Status]]="Cancelled",0,Sales[[#This Row],[Total Amount]])</f>
        <v>8670.64</v>
      </c>
      <c r="S2890" s="162">
        <f>SUM(Sales[Net Amount])</f>
        <v>406839287.73200053</v>
      </c>
    </row>
    <row r="2891" spans="1:19" ht="18.75" x14ac:dyDescent="0.25">
      <c r="A2891" s="156" t="s">
        <v>6536</v>
      </c>
      <c r="B2891" s="157">
        <v>45924</v>
      </c>
      <c r="C2891" s="158" t="s">
        <v>760</v>
      </c>
      <c r="D2891" s="159" t="str">
        <f>VLOOKUP(Sales[[#This Row],[Customer ID]],Customer[#All],2,0)</f>
        <v>Pooja Singh</v>
      </c>
      <c r="E2891" s="158" t="s">
        <v>453</v>
      </c>
      <c r="F2891" s="158" t="str">
        <f>VLOOKUP(Sales[[#This Row],[Product ID]],Product[#All],2,0)</f>
        <v>American TouristerLaptopBag</v>
      </c>
      <c r="G2891" s="159">
        <v>8</v>
      </c>
      <c r="H2891" s="160">
        <f>VLOOKUP(Sales[[#This Row],[Product ID]],Product[#All],7,0)</f>
        <v>3050</v>
      </c>
      <c r="I2891" s="160">
        <f>Sales[[#This Row],[Selling Rate]]*Sales[[#This Row],[Qty]]</f>
        <v>24400</v>
      </c>
      <c r="J2891" s="43">
        <v>0.05</v>
      </c>
      <c r="K2891" s="44">
        <f>Sales[[#This Row],[Gross Amount]]*Sales[[#This Row],[Disc %]]</f>
        <v>1220</v>
      </c>
      <c r="L2891" s="43">
        <v>0.18</v>
      </c>
      <c r="M2891" s="44">
        <f>(Sales[[#This Row],[Gross Amount]]-Sales[[#This Row],[Disc. Amt.]])*Sales[[#This Row],[GST %]]</f>
        <v>4172.3999999999996</v>
      </c>
      <c r="N2891" s="161">
        <f>Sales[[#This Row],[Gross Amount]]-Sales[[#This Row],[Disc. Amt.]]+Sales[[#This Row],[GST Amount]]</f>
        <v>27352.400000000001</v>
      </c>
      <c r="O2891" s="158" t="s">
        <v>3569</v>
      </c>
      <c r="P2891" s="158" t="s">
        <v>3562</v>
      </c>
      <c r="Q2891" s="160">
        <f>IF(Sales[[#This Row],[Status]]="Cancelled",0,Sales[[#This Row],[Qty]])</f>
        <v>8</v>
      </c>
      <c r="R2891" s="161">
        <f>IF(Sales[[#This Row],[Status]]="Cancelled",0,Sales[[#This Row],[Total Amount]])</f>
        <v>27352.400000000001</v>
      </c>
      <c r="S2891" s="162">
        <f>SUM(Sales[Net Amount])</f>
        <v>406839287.73200053</v>
      </c>
    </row>
    <row r="2892" spans="1:19" ht="18.75" x14ac:dyDescent="0.25">
      <c r="A2892" s="163" t="s">
        <v>6537</v>
      </c>
      <c r="B2892" s="164">
        <v>45924</v>
      </c>
      <c r="C2892" s="34" t="s">
        <v>686</v>
      </c>
      <c r="D2892" s="53" t="str">
        <f>VLOOKUP(Sales[[#This Row],[Customer ID]],Customer[#All],2,0)</f>
        <v>Priya Gupta</v>
      </c>
      <c r="E2892" s="34" t="s">
        <v>305</v>
      </c>
      <c r="F2892" s="34" t="str">
        <f>VLOOKUP(Sales[[#This Row],[Product ID]],Product[#All],2,0)</f>
        <v>HP Power Adapter</v>
      </c>
      <c r="G2892" s="53">
        <v>4</v>
      </c>
      <c r="H2892" s="165">
        <f>VLOOKUP(Sales[[#This Row],[Product ID]],Product[#All],7,0)</f>
        <v>2640</v>
      </c>
      <c r="I2892" s="165">
        <f>Sales[[#This Row],[Selling Rate]]*Sales[[#This Row],[Qty]]</f>
        <v>10560</v>
      </c>
      <c r="J2892" s="45">
        <v>0.15</v>
      </c>
      <c r="K2892" s="46">
        <f>Sales[[#This Row],[Gross Amount]]*Sales[[#This Row],[Disc %]]</f>
        <v>1584</v>
      </c>
      <c r="L2892" s="43">
        <v>0.18</v>
      </c>
      <c r="M2892" s="46">
        <f>(Sales[[#This Row],[Gross Amount]]-Sales[[#This Row],[Disc. Amt.]])*Sales[[#This Row],[GST %]]</f>
        <v>1615.6799999999998</v>
      </c>
      <c r="N2892" s="161">
        <f>Sales[[#This Row],[Gross Amount]]-Sales[[#This Row],[Disc. Amt.]]+Sales[[#This Row],[GST Amount]]</f>
        <v>10591.68</v>
      </c>
      <c r="O2892" s="34" t="s">
        <v>8876</v>
      </c>
      <c r="P2892" s="34" t="s">
        <v>3562</v>
      </c>
      <c r="Q2892" s="165">
        <f>IF(Sales[[#This Row],[Status]]="Cancelled",0,Sales[[#This Row],[Qty]])</f>
        <v>4</v>
      </c>
      <c r="R2892" s="166">
        <f>IF(Sales[[#This Row],[Status]]="Cancelled",0,Sales[[#This Row],[Total Amount]])</f>
        <v>10591.68</v>
      </c>
      <c r="S2892" s="162">
        <f>SUM(Sales[Net Amount])</f>
        <v>406839287.73200053</v>
      </c>
    </row>
    <row r="2893" spans="1:19" ht="18.75" x14ac:dyDescent="0.25">
      <c r="A2893" s="156" t="s">
        <v>6538</v>
      </c>
      <c r="B2893" s="157">
        <v>45924</v>
      </c>
      <c r="C2893" s="158" t="s">
        <v>699</v>
      </c>
      <c r="D2893" s="159" t="str">
        <f>VLOOKUP(Sales[[#This Row],[Customer ID]],Customer[#All],2,0)</f>
        <v>Amit Singh</v>
      </c>
      <c r="E2893" s="158" t="s">
        <v>461</v>
      </c>
      <c r="F2893" s="158" t="str">
        <f>VLOOKUP(Sales[[#This Row],[Product ID]],Product[#All],2,0)</f>
        <v>TP-link Wi-Fi Adapter</v>
      </c>
      <c r="G2893" s="159">
        <v>2</v>
      </c>
      <c r="H2893" s="160">
        <f>VLOOKUP(Sales[[#This Row],[Product ID]],Product[#All],7,0)</f>
        <v>2500</v>
      </c>
      <c r="I2893" s="160">
        <f>Sales[[#This Row],[Selling Rate]]*Sales[[#This Row],[Qty]]</f>
        <v>5000</v>
      </c>
      <c r="J2893" s="43">
        <v>0.1</v>
      </c>
      <c r="K2893" s="44">
        <f>Sales[[#This Row],[Gross Amount]]*Sales[[#This Row],[Disc %]]</f>
        <v>500</v>
      </c>
      <c r="L2893" s="43">
        <v>0.18</v>
      </c>
      <c r="M2893" s="44">
        <f>(Sales[[#This Row],[Gross Amount]]-Sales[[#This Row],[Disc. Amt.]])*Sales[[#This Row],[GST %]]</f>
        <v>810</v>
      </c>
      <c r="N2893" s="161">
        <f>Sales[[#This Row],[Gross Amount]]-Sales[[#This Row],[Disc. Amt.]]+Sales[[#This Row],[GST Amount]]</f>
        <v>5310</v>
      </c>
      <c r="O2893" s="158" t="s">
        <v>3566</v>
      </c>
      <c r="P2893" s="158" t="s">
        <v>3562</v>
      </c>
      <c r="Q2893" s="160">
        <f>IF(Sales[[#This Row],[Status]]="Cancelled",0,Sales[[#This Row],[Qty]])</f>
        <v>2</v>
      </c>
      <c r="R2893" s="161">
        <f>IF(Sales[[#This Row],[Status]]="Cancelled",0,Sales[[#This Row],[Total Amount]])</f>
        <v>5310</v>
      </c>
      <c r="S2893" s="162">
        <f>SUM(Sales[Net Amount])</f>
        <v>406839287.73200053</v>
      </c>
    </row>
    <row r="2894" spans="1:19" ht="18.75" x14ac:dyDescent="0.25">
      <c r="A2894" s="163" t="s">
        <v>6539</v>
      </c>
      <c r="B2894" s="164">
        <v>45924</v>
      </c>
      <c r="C2894" s="34" t="s">
        <v>938</v>
      </c>
      <c r="D2894" s="53" t="str">
        <f>VLOOKUP(Sales[[#This Row],[Customer ID]],Customer[#All],2,0)</f>
        <v>Sunita Sharma</v>
      </c>
      <c r="E2894" s="34" t="s">
        <v>345</v>
      </c>
      <c r="F2894" s="34" t="str">
        <f>VLOOKUP(Sales[[#This Row],[Product ID]],Product[#All],2,0)</f>
        <v>Amazon Basics Hdmi Cable</v>
      </c>
      <c r="G2894" s="53">
        <v>3</v>
      </c>
      <c r="H2894" s="165">
        <f>VLOOKUP(Sales[[#This Row],[Product ID]],Product[#All],7,0)</f>
        <v>190</v>
      </c>
      <c r="I2894" s="165">
        <f>Sales[[#This Row],[Selling Rate]]*Sales[[#This Row],[Qty]]</f>
        <v>570</v>
      </c>
      <c r="J2894" s="45">
        <v>0.02</v>
      </c>
      <c r="K2894" s="46">
        <f>Sales[[#This Row],[Gross Amount]]*Sales[[#This Row],[Disc %]]</f>
        <v>11.4</v>
      </c>
      <c r="L2894" s="43">
        <v>0.18</v>
      </c>
      <c r="M2894" s="46">
        <f>(Sales[[#This Row],[Gross Amount]]-Sales[[#This Row],[Disc. Amt.]])*Sales[[#This Row],[GST %]]</f>
        <v>100.548</v>
      </c>
      <c r="N2894" s="161">
        <f>Sales[[#This Row],[Gross Amount]]-Sales[[#This Row],[Disc. Amt.]]+Sales[[#This Row],[GST Amount]]</f>
        <v>659.14800000000002</v>
      </c>
      <c r="O2894" s="34" t="s">
        <v>3566</v>
      </c>
      <c r="P2894" s="34" t="s">
        <v>3562</v>
      </c>
      <c r="Q2894" s="165">
        <f>IF(Sales[[#This Row],[Status]]="Cancelled",0,Sales[[#This Row],[Qty]])</f>
        <v>3</v>
      </c>
      <c r="R2894" s="166">
        <f>IF(Sales[[#This Row],[Status]]="Cancelled",0,Sales[[#This Row],[Total Amount]])</f>
        <v>659.14800000000002</v>
      </c>
      <c r="S2894" s="162">
        <f>SUM(Sales[Net Amount])</f>
        <v>406839287.73200053</v>
      </c>
    </row>
    <row r="2895" spans="1:19" ht="18.75" x14ac:dyDescent="0.25">
      <c r="A2895" s="156" t="s">
        <v>6540</v>
      </c>
      <c r="B2895" s="157">
        <v>45924</v>
      </c>
      <c r="C2895" s="158" t="s">
        <v>908</v>
      </c>
      <c r="D2895" s="159" t="str">
        <f>VLOOKUP(Sales[[#This Row],[Customer ID]],Customer[#All],2,0)</f>
        <v>Rahul Singh</v>
      </c>
      <c r="E2895" s="158" t="s">
        <v>391</v>
      </c>
      <c r="F2895" s="158" t="str">
        <f>VLOOKUP(Sales[[#This Row],[Product ID]],Product[#All],2,0)</f>
        <v>Seagate HDD</v>
      </c>
      <c r="G2895" s="159">
        <v>1</v>
      </c>
      <c r="H2895" s="160">
        <f>VLOOKUP(Sales[[#This Row],[Product ID]],Product[#All],7,0)</f>
        <v>10370</v>
      </c>
      <c r="I2895" s="160">
        <f>Sales[[#This Row],[Selling Rate]]*Sales[[#This Row],[Qty]]</f>
        <v>10370</v>
      </c>
      <c r="J2895" s="43">
        <v>0.1</v>
      </c>
      <c r="K2895" s="44">
        <f>Sales[[#This Row],[Gross Amount]]*Sales[[#This Row],[Disc %]]</f>
        <v>1037</v>
      </c>
      <c r="L2895" s="43">
        <v>0.18</v>
      </c>
      <c r="M2895" s="44">
        <f>(Sales[[#This Row],[Gross Amount]]-Sales[[#This Row],[Disc. Amt.]])*Sales[[#This Row],[GST %]]</f>
        <v>1679.9399999999998</v>
      </c>
      <c r="N2895" s="161">
        <f>Sales[[#This Row],[Gross Amount]]-Sales[[#This Row],[Disc. Amt.]]+Sales[[#This Row],[GST Amount]]</f>
        <v>11012.94</v>
      </c>
      <c r="O2895" s="158" t="s">
        <v>3566</v>
      </c>
      <c r="P2895" s="158" t="s">
        <v>3562</v>
      </c>
      <c r="Q2895" s="160">
        <f>IF(Sales[[#This Row],[Status]]="Cancelled",0,Sales[[#This Row],[Qty]])</f>
        <v>1</v>
      </c>
      <c r="R2895" s="161">
        <f>IF(Sales[[#This Row],[Status]]="Cancelled",0,Sales[[#This Row],[Total Amount]])</f>
        <v>11012.94</v>
      </c>
      <c r="S2895" s="162">
        <f>SUM(Sales[Net Amount])</f>
        <v>406839287.73200053</v>
      </c>
    </row>
    <row r="2896" spans="1:19" ht="18.75" x14ac:dyDescent="0.25">
      <c r="A2896" s="163" t="s">
        <v>6541</v>
      </c>
      <c r="B2896" s="164">
        <v>45924</v>
      </c>
      <c r="C2896" s="34" t="s">
        <v>926</v>
      </c>
      <c r="D2896" s="53" t="str">
        <f>VLOOKUP(Sales[[#This Row],[Customer ID]],Customer[#All],2,0)</f>
        <v>Pooja Singh</v>
      </c>
      <c r="E2896" s="34" t="s">
        <v>430</v>
      </c>
      <c r="F2896" s="34" t="str">
        <f>VLOOKUP(Sales[[#This Row],[Product ID]],Product[#All],2,0)</f>
        <v>Jbl Speaker</v>
      </c>
      <c r="G2896" s="53">
        <v>2</v>
      </c>
      <c r="H2896" s="165">
        <f>VLOOKUP(Sales[[#This Row],[Product ID]],Product[#All],7,0)</f>
        <v>6890</v>
      </c>
      <c r="I2896" s="165">
        <f>Sales[[#This Row],[Selling Rate]]*Sales[[#This Row],[Qty]]</f>
        <v>13780</v>
      </c>
      <c r="J2896" s="45">
        <v>0</v>
      </c>
      <c r="K2896" s="46">
        <f>Sales[[#This Row],[Gross Amount]]*Sales[[#This Row],[Disc %]]</f>
        <v>0</v>
      </c>
      <c r="L2896" s="43">
        <v>0.18</v>
      </c>
      <c r="M2896" s="46">
        <f>(Sales[[#This Row],[Gross Amount]]-Sales[[#This Row],[Disc. Amt.]])*Sales[[#This Row],[GST %]]</f>
        <v>2480.4</v>
      </c>
      <c r="N2896" s="161">
        <f>Sales[[#This Row],[Gross Amount]]-Sales[[#This Row],[Disc. Amt.]]+Sales[[#This Row],[GST Amount]]</f>
        <v>16260.4</v>
      </c>
      <c r="O2896" s="34" t="s">
        <v>8876</v>
      </c>
      <c r="P2896" s="34" t="s">
        <v>3562</v>
      </c>
      <c r="Q2896" s="165">
        <f>IF(Sales[[#This Row],[Status]]="Cancelled",0,Sales[[#This Row],[Qty]])</f>
        <v>2</v>
      </c>
      <c r="R2896" s="166">
        <f>IF(Sales[[#This Row],[Status]]="Cancelled",0,Sales[[#This Row],[Total Amount]])</f>
        <v>16260.4</v>
      </c>
      <c r="S2896" s="162">
        <f>SUM(Sales[Net Amount])</f>
        <v>406839287.73200053</v>
      </c>
    </row>
    <row r="2897" spans="1:19" ht="18.75" x14ac:dyDescent="0.25">
      <c r="A2897" s="156" t="s">
        <v>6542</v>
      </c>
      <c r="B2897" s="157">
        <v>45924</v>
      </c>
      <c r="C2897" s="158" t="s">
        <v>895</v>
      </c>
      <c r="D2897" s="159" t="str">
        <f>VLOOKUP(Sales[[#This Row],[Customer ID]],Customer[#All],2,0)</f>
        <v>Pooja Patel</v>
      </c>
      <c r="E2897" s="158" t="s">
        <v>321</v>
      </c>
      <c r="F2897" s="158" t="str">
        <f>VLOOKUP(Sales[[#This Row],[Product ID]],Product[#All],2,0)</f>
        <v>WD HDD</v>
      </c>
      <c r="G2897" s="159">
        <v>1</v>
      </c>
      <c r="H2897" s="160">
        <f>VLOOKUP(Sales[[#This Row],[Product ID]],Product[#All],7,0)</f>
        <v>6810</v>
      </c>
      <c r="I2897" s="160">
        <f>Sales[[#This Row],[Selling Rate]]*Sales[[#This Row],[Qty]]</f>
        <v>6810</v>
      </c>
      <c r="J2897" s="43">
        <v>0.1</v>
      </c>
      <c r="K2897" s="44">
        <f>Sales[[#This Row],[Gross Amount]]*Sales[[#This Row],[Disc %]]</f>
        <v>681</v>
      </c>
      <c r="L2897" s="43">
        <v>0.18</v>
      </c>
      <c r="M2897" s="44">
        <f>(Sales[[#This Row],[Gross Amount]]-Sales[[#This Row],[Disc. Amt.]])*Sales[[#This Row],[GST %]]</f>
        <v>1103.22</v>
      </c>
      <c r="N2897" s="161">
        <f>Sales[[#This Row],[Gross Amount]]-Sales[[#This Row],[Disc. Amt.]]+Sales[[#This Row],[GST Amount]]</f>
        <v>7232.22</v>
      </c>
      <c r="O2897" s="158" t="s">
        <v>3561</v>
      </c>
      <c r="P2897" s="158" t="s">
        <v>1040</v>
      </c>
      <c r="Q2897" s="160">
        <f>IF(Sales[[#This Row],[Status]]="Cancelled",0,Sales[[#This Row],[Qty]])</f>
        <v>0</v>
      </c>
      <c r="R2897" s="161">
        <f>IF(Sales[[#This Row],[Status]]="Cancelled",0,Sales[[#This Row],[Total Amount]])</f>
        <v>0</v>
      </c>
      <c r="S2897" s="162">
        <f>SUM(Sales[Net Amount])</f>
        <v>406839287.73200053</v>
      </c>
    </row>
    <row r="2898" spans="1:19" ht="18.75" x14ac:dyDescent="0.25">
      <c r="A2898" s="163" t="s">
        <v>6543</v>
      </c>
      <c r="B2898" s="164">
        <v>45924</v>
      </c>
      <c r="C2898" s="34" t="s">
        <v>737</v>
      </c>
      <c r="D2898" s="53" t="str">
        <f>VLOOKUP(Sales[[#This Row],[Customer ID]],Customer[#All],2,0)</f>
        <v>Pooja Verma</v>
      </c>
      <c r="E2898" s="34" t="s">
        <v>288</v>
      </c>
      <c r="F2898" s="34" t="str">
        <f>VLOOKUP(Sales[[#This Row],[Product ID]],Product[#All],2,0)</f>
        <v>Canon Printer</v>
      </c>
      <c r="G2898" s="53">
        <v>7</v>
      </c>
      <c r="H2898" s="165">
        <f>VLOOKUP(Sales[[#This Row],[Product ID]],Product[#All],7,0)</f>
        <v>41150</v>
      </c>
      <c r="I2898" s="165">
        <f>Sales[[#This Row],[Selling Rate]]*Sales[[#This Row],[Qty]]</f>
        <v>288050</v>
      </c>
      <c r="J2898" s="45">
        <v>0.05</v>
      </c>
      <c r="K2898" s="46">
        <f>Sales[[#This Row],[Gross Amount]]*Sales[[#This Row],[Disc %]]</f>
        <v>14402.5</v>
      </c>
      <c r="L2898" s="43">
        <v>0.18</v>
      </c>
      <c r="M2898" s="46">
        <f>(Sales[[#This Row],[Gross Amount]]-Sales[[#This Row],[Disc. Amt.]])*Sales[[#This Row],[GST %]]</f>
        <v>49256.549999999996</v>
      </c>
      <c r="N2898" s="161">
        <f>Sales[[#This Row],[Gross Amount]]-Sales[[#This Row],[Disc. Amt.]]+Sales[[#This Row],[GST Amount]]</f>
        <v>322904.05</v>
      </c>
      <c r="O2898" s="34" t="s">
        <v>3566</v>
      </c>
      <c r="P2898" s="34" t="s">
        <v>3562</v>
      </c>
      <c r="Q2898" s="165">
        <f>IF(Sales[[#This Row],[Status]]="Cancelled",0,Sales[[#This Row],[Qty]])</f>
        <v>7</v>
      </c>
      <c r="R2898" s="166">
        <f>IF(Sales[[#This Row],[Status]]="Cancelled",0,Sales[[#This Row],[Total Amount]])</f>
        <v>322904.05</v>
      </c>
      <c r="S2898" s="162">
        <f>SUM(Sales[Net Amount])</f>
        <v>406839287.73200053</v>
      </c>
    </row>
    <row r="2899" spans="1:19" ht="18.75" x14ac:dyDescent="0.25">
      <c r="A2899" s="156" t="s">
        <v>6544</v>
      </c>
      <c r="B2899" s="157">
        <v>45925</v>
      </c>
      <c r="C2899" s="158" t="s">
        <v>727</v>
      </c>
      <c r="D2899" s="159" t="str">
        <f>VLOOKUP(Sales[[#This Row],[Customer ID]],Customer[#All],2,0)</f>
        <v>Sahil Sharma</v>
      </c>
      <c r="E2899" s="158" t="s">
        <v>367</v>
      </c>
      <c r="F2899" s="158" t="str">
        <f>VLOOKUP(Sales[[#This Row],[Product ID]],Product[#All],2,0)</f>
        <v>Jbl Speaker</v>
      </c>
      <c r="G2899" s="159">
        <v>5</v>
      </c>
      <c r="H2899" s="160">
        <f>VLOOKUP(Sales[[#This Row],[Product ID]],Product[#All],7,0)</f>
        <v>4880</v>
      </c>
      <c r="I2899" s="160">
        <f>Sales[[#This Row],[Selling Rate]]*Sales[[#This Row],[Qty]]</f>
        <v>24400</v>
      </c>
      <c r="J2899" s="43">
        <v>0.15</v>
      </c>
      <c r="K2899" s="44">
        <f>Sales[[#This Row],[Gross Amount]]*Sales[[#This Row],[Disc %]]</f>
        <v>3660</v>
      </c>
      <c r="L2899" s="43">
        <v>0.18</v>
      </c>
      <c r="M2899" s="44">
        <f>(Sales[[#This Row],[Gross Amount]]-Sales[[#This Row],[Disc. Amt.]])*Sales[[#This Row],[GST %]]</f>
        <v>3733.2</v>
      </c>
      <c r="N2899" s="161">
        <f>Sales[[#This Row],[Gross Amount]]-Sales[[#This Row],[Disc. Amt.]]+Sales[[#This Row],[GST Amount]]</f>
        <v>24473.200000000001</v>
      </c>
      <c r="O2899" s="158" t="s">
        <v>8876</v>
      </c>
      <c r="P2899" s="158" t="s">
        <v>3562</v>
      </c>
      <c r="Q2899" s="160">
        <f>IF(Sales[[#This Row],[Status]]="Cancelled",0,Sales[[#This Row],[Qty]])</f>
        <v>5</v>
      </c>
      <c r="R2899" s="161">
        <f>IF(Sales[[#This Row],[Status]]="Cancelled",0,Sales[[#This Row],[Total Amount]])</f>
        <v>24473.200000000001</v>
      </c>
      <c r="S2899" s="162">
        <f>SUM(Sales[Net Amount])</f>
        <v>406839287.73200053</v>
      </c>
    </row>
    <row r="2900" spans="1:19" ht="18.75" x14ac:dyDescent="0.25">
      <c r="A2900" s="163" t="s">
        <v>6545</v>
      </c>
      <c r="B2900" s="164">
        <v>45925</v>
      </c>
      <c r="C2900" s="34" t="s">
        <v>920</v>
      </c>
      <c r="D2900" s="53" t="str">
        <f>VLOOKUP(Sales[[#This Row],[Customer ID]],Customer[#All],2,0)</f>
        <v>Rakesh Sharma</v>
      </c>
      <c r="E2900" s="34" t="s">
        <v>157</v>
      </c>
      <c r="F2900" s="34" t="str">
        <f>VLOOKUP(Sales[[#This Row],[Product ID]],Product[#All],2,0)</f>
        <v>Epson Printer</v>
      </c>
      <c r="G2900" s="53">
        <v>6</v>
      </c>
      <c r="H2900" s="165">
        <f>VLOOKUP(Sales[[#This Row],[Product ID]],Product[#All],7,0)</f>
        <v>12100</v>
      </c>
      <c r="I2900" s="165">
        <f>Sales[[#This Row],[Selling Rate]]*Sales[[#This Row],[Qty]]</f>
        <v>72600</v>
      </c>
      <c r="J2900" s="45">
        <v>0</v>
      </c>
      <c r="K2900" s="46">
        <f>Sales[[#This Row],[Gross Amount]]*Sales[[#This Row],[Disc %]]</f>
        <v>0</v>
      </c>
      <c r="L2900" s="43">
        <v>0.18</v>
      </c>
      <c r="M2900" s="46">
        <f>(Sales[[#This Row],[Gross Amount]]-Sales[[#This Row],[Disc. Amt.]])*Sales[[#This Row],[GST %]]</f>
        <v>13068</v>
      </c>
      <c r="N2900" s="161">
        <f>Sales[[#This Row],[Gross Amount]]-Sales[[#This Row],[Disc. Amt.]]+Sales[[#This Row],[GST Amount]]</f>
        <v>85668</v>
      </c>
      <c r="O2900" s="34" t="s">
        <v>8876</v>
      </c>
      <c r="P2900" s="34" t="s">
        <v>3562</v>
      </c>
      <c r="Q2900" s="165">
        <f>IF(Sales[[#This Row],[Status]]="Cancelled",0,Sales[[#This Row],[Qty]])</f>
        <v>6</v>
      </c>
      <c r="R2900" s="166">
        <f>IF(Sales[[#This Row],[Status]]="Cancelled",0,Sales[[#This Row],[Total Amount]])</f>
        <v>85668</v>
      </c>
      <c r="S2900" s="162">
        <f>SUM(Sales[Net Amount])</f>
        <v>406839287.73200053</v>
      </c>
    </row>
    <row r="2901" spans="1:19" ht="18.75" x14ac:dyDescent="0.25">
      <c r="A2901" s="156" t="s">
        <v>6546</v>
      </c>
      <c r="B2901" s="157">
        <v>45925</v>
      </c>
      <c r="C2901" s="158" t="s">
        <v>657</v>
      </c>
      <c r="D2901" s="159" t="str">
        <f>VLOOKUP(Sales[[#This Row],[Customer ID]],Customer[#All],2,0)</f>
        <v>Rahul Verma</v>
      </c>
      <c r="E2901" s="158" t="s">
        <v>128</v>
      </c>
      <c r="F2901" s="158" t="str">
        <f>VLOOKUP(Sales[[#This Row],[Product ID]],Product[#All],2,0)</f>
        <v>American TouristerLaptopBag</v>
      </c>
      <c r="G2901" s="159">
        <v>7</v>
      </c>
      <c r="H2901" s="160">
        <f>VLOOKUP(Sales[[#This Row],[Product ID]],Product[#All],7,0)</f>
        <v>2990</v>
      </c>
      <c r="I2901" s="160">
        <f>Sales[[#This Row],[Selling Rate]]*Sales[[#This Row],[Qty]]</f>
        <v>20930</v>
      </c>
      <c r="J2901" s="43">
        <v>0.02</v>
      </c>
      <c r="K2901" s="44">
        <f>Sales[[#This Row],[Gross Amount]]*Sales[[#This Row],[Disc %]]</f>
        <v>418.6</v>
      </c>
      <c r="L2901" s="43">
        <v>0.18</v>
      </c>
      <c r="M2901" s="44">
        <f>(Sales[[#This Row],[Gross Amount]]-Sales[[#This Row],[Disc. Amt.]])*Sales[[#This Row],[GST %]]</f>
        <v>3692.0520000000001</v>
      </c>
      <c r="N2901" s="161">
        <f>Sales[[#This Row],[Gross Amount]]-Sales[[#This Row],[Disc. Amt.]]+Sales[[#This Row],[GST Amount]]</f>
        <v>24203.452000000001</v>
      </c>
      <c r="O2901" s="158" t="s">
        <v>3561</v>
      </c>
      <c r="P2901" s="158" t="s">
        <v>3562</v>
      </c>
      <c r="Q2901" s="160">
        <f>IF(Sales[[#This Row],[Status]]="Cancelled",0,Sales[[#This Row],[Qty]])</f>
        <v>7</v>
      </c>
      <c r="R2901" s="161">
        <f>IF(Sales[[#This Row],[Status]]="Cancelled",0,Sales[[#This Row],[Total Amount]])</f>
        <v>24203.452000000001</v>
      </c>
      <c r="S2901" s="162">
        <f>SUM(Sales[Net Amount])</f>
        <v>406839287.73200053</v>
      </c>
    </row>
    <row r="2902" spans="1:19" ht="18.75" x14ac:dyDescent="0.25">
      <c r="A2902" s="163" t="s">
        <v>6547</v>
      </c>
      <c r="B2902" s="164">
        <v>45925</v>
      </c>
      <c r="C2902" s="34" t="s">
        <v>789</v>
      </c>
      <c r="D2902" s="53" t="str">
        <f>VLOOKUP(Sales[[#This Row],[Customer ID]],Customer[#All],2,0)</f>
        <v>Ankit Patel</v>
      </c>
      <c r="E2902" s="34" t="s">
        <v>224</v>
      </c>
      <c r="F2902" s="34" t="str">
        <f>VLOOKUP(Sales[[#This Row],[Product ID]],Product[#All],2,0)</f>
        <v>Seagate HDD</v>
      </c>
      <c r="G2902" s="53">
        <v>4</v>
      </c>
      <c r="H2902" s="165">
        <f>VLOOKUP(Sales[[#This Row],[Product ID]],Product[#All],7,0)</f>
        <v>8130</v>
      </c>
      <c r="I2902" s="165">
        <f>Sales[[#This Row],[Selling Rate]]*Sales[[#This Row],[Qty]]</f>
        <v>32520</v>
      </c>
      <c r="J2902" s="45">
        <v>0.15</v>
      </c>
      <c r="K2902" s="46">
        <f>Sales[[#This Row],[Gross Amount]]*Sales[[#This Row],[Disc %]]</f>
        <v>4878</v>
      </c>
      <c r="L2902" s="43">
        <v>0.18</v>
      </c>
      <c r="M2902" s="46">
        <f>(Sales[[#This Row],[Gross Amount]]-Sales[[#This Row],[Disc. Amt.]])*Sales[[#This Row],[GST %]]</f>
        <v>4975.5599999999995</v>
      </c>
      <c r="N2902" s="161">
        <f>Sales[[#This Row],[Gross Amount]]-Sales[[#This Row],[Disc. Amt.]]+Sales[[#This Row],[GST Amount]]</f>
        <v>32617.559999999998</v>
      </c>
      <c r="O2902" s="34" t="s">
        <v>8876</v>
      </c>
      <c r="P2902" s="34" t="s">
        <v>3562</v>
      </c>
      <c r="Q2902" s="165">
        <f>IF(Sales[[#This Row],[Status]]="Cancelled",0,Sales[[#This Row],[Qty]])</f>
        <v>4</v>
      </c>
      <c r="R2902" s="166">
        <f>IF(Sales[[#This Row],[Status]]="Cancelled",0,Sales[[#This Row],[Total Amount]])</f>
        <v>32617.559999999998</v>
      </c>
      <c r="S2902" s="162">
        <f>SUM(Sales[Net Amount])</f>
        <v>406839287.73200053</v>
      </c>
    </row>
    <row r="2903" spans="1:19" ht="18.75" x14ac:dyDescent="0.25">
      <c r="A2903" s="156" t="s">
        <v>6548</v>
      </c>
      <c r="B2903" s="157">
        <v>45925</v>
      </c>
      <c r="C2903" s="158" t="s">
        <v>857</v>
      </c>
      <c r="D2903" s="159" t="str">
        <f>VLOOKUP(Sales[[#This Row],[Customer ID]],Customer[#All],2,0)</f>
        <v>Pooja Singh</v>
      </c>
      <c r="E2903" s="158" t="s">
        <v>122</v>
      </c>
      <c r="F2903" s="158" t="str">
        <f>VLOOKUP(Sales[[#This Row],[Product ID]],Product[#All],2,0)</f>
        <v>HP Mouse</v>
      </c>
      <c r="G2903" s="159">
        <v>6</v>
      </c>
      <c r="H2903" s="160">
        <f>VLOOKUP(Sales[[#This Row],[Product ID]],Product[#All],7,0)</f>
        <v>1980</v>
      </c>
      <c r="I2903" s="160">
        <f>Sales[[#This Row],[Selling Rate]]*Sales[[#This Row],[Qty]]</f>
        <v>11880</v>
      </c>
      <c r="J2903" s="43">
        <v>0</v>
      </c>
      <c r="K2903" s="44">
        <f>Sales[[#This Row],[Gross Amount]]*Sales[[#This Row],[Disc %]]</f>
        <v>0</v>
      </c>
      <c r="L2903" s="43">
        <v>0.18</v>
      </c>
      <c r="M2903" s="44">
        <f>(Sales[[#This Row],[Gross Amount]]-Sales[[#This Row],[Disc. Amt.]])*Sales[[#This Row],[GST %]]</f>
        <v>2138.4</v>
      </c>
      <c r="N2903" s="161">
        <f>Sales[[#This Row],[Gross Amount]]-Sales[[#This Row],[Disc. Amt.]]+Sales[[#This Row],[GST Amount]]</f>
        <v>14018.4</v>
      </c>
      <c r="O2903" s="158" t="s">
        <v>8876</v>
      </c>
      <c r="P2903" s="158" t="s">
        <v>3562</v>
      </c>
      <c r="Q2903" s="160">
        <f>IF(Sales[[#This Row],[Status]]="Cancelled",0,Sales[[#This Row],[Qty]])</f>
        <v>6</v>
      </c>
      <c r="R2903" s="161">
        <f>IF(Sales[[#This Row],[Status]]="Cancelled",0,Sales[[#This Row],[Total Amount]])</f>
        <v>14018.4</v>
      </c>
      <c r="S2903" s="162">
        <f>SUM(Sales[Net Amount])</f>
        <v>406839287.73200053</v>
      </c>
    </row>
    <row r="2904" spans="1:19" ht="18.75" x14ac:dyDescent="0.25">
      <c r="A2904" s="163" t="s">
        <v>6549</v>
      </c>
      <c r="B2904" s="164">
        <v>45925</v>
      </c>
      <c r="C2904" s="34" t="s">
        <v>659</v>
      </c>
      <c r="D2904" s="53" t="str">
        <f>VLOOKUP(Sales[[#This Row],[Customer ID]],Customer[#All],2,0)</f>
        <v>Rakesh Sharma</v>
      </c>
      <c r="E2904" s="34" t="s">
        <v>350</v>
      </c>
      <c r="F2904" s="34" t="str">
        <f>VLOOKUP(Sales[[#This Row],[Product ID]],Product[#All],2,0)</f>
        <v>Apc UPS</v>
      </c>
      <c r="G2904" s="53">
        <v>4</v>
      </c>
      <c r="H2904" s="165">
        <f>VLOOKUP(Sales[[#This Row],[Product ID]],Product[#All],7,0)</f>
        <v>18110</v>
      </c>
      <c r="I2904" s="165">
        <f>Sales[[#This Row],[Selling Rate]]*Sales[[#This Row],[Qty]]</f>
        <v>72440</v>
      </c>
      <c r="J2904" s="45">
        <v>0.02</v>
      </c>
      <c r="K2904" s="46">
        <f>Sales[[#This Row],[Gross Amount]]*Sales[[#This Row],[Disc %]]</f>
        <v>1448.8</v>
      </c>
      <c r="L2904" s="43">
        <v>0.18</v>
      </c>
      <c r="M2904" s="46">
        <f>(Sales[[#This Row],[Gross Amount]]-Sales[[#This Row],[Disc. Amt.]])*Sales[[#This Row],[GST %]]</f>
        <v>12778.415999999999</v>
      </c>
      <c r="N2904" s="161">
        <f>Sales[[#This Row],[Gross Amount]]-Sales[[#This Row],[Disc. Amt.]]+Sales[[#This Row],[GST Amount]]</f>
        <v>83769.615999999995</v>
      </c>
      <c r="O2904" s="34" t="s">
        <v>8876</v>
      </c>
      <c r="P2904" s="34" t="s">
        <v>3562</v>
      </c>
      <c r="Q2904" s="165">
        <f>IF(Sales[[#This Row],[Status]]="Cancelled",0,Sales[[#This Row],[Qty]])</f>
        <v>4</v>
      </c>
      <c r="R2904" s="166">
        <f>IF(Sales[[#This Row],[Status]]="Cancelled",0,Sales[[#This Row],[Total Amount]])</f>
        <v>83769.615999999995</v>
      </c>
      <c r="S2904" s="162">
        <f>SUM(Sales[Net Amount])</f>
        <v>406839287.73200053</v>
      </c>
    </row>
    <row r="2905" spans="1:19" ht="18.75" x14ac:dyDescent="0.25">
      <c r="A2905" s="156" t="s">
        <v>6550</v>
      </c>
      <c r="B2905" s="157">
        <v>45925</v>
      </c>
      <c r="C2905" s="158" t="s">
        <v>937</v>
      </c>
      <c r="D2905" s="159" t="str">
        <f>VLOOKUP(Sales[[#This Row],[Customer ID]],Customer[#All],2,0)</f>
        <v>Rahul Singh</v>
      </c>
      <c r="E2905" s="158" t="s">
        <v>338</v>
      </c>
      <c r="F2905" s="158" t="str">
        <f>VLOOKUP(Sales[[#This Row],[Product ID]],Product[#All],2,0)</f>
        <v>Canon Printer</v>
      </c>
      <c r="G2905" s="159">
        <v>2</v>
      </c>
      <c r="H2905" s="160">
        <f>VLOOKUP(Sales[[#This Row],[Product ID]],Product[#All],7,0)</f>
        <v>13780</v>
      </c>
      <c r="I2905" s="160">
        <f>Sales[[#This Row],[Selling Rate]]*Sales[[#This Row],[Qty]]</f>
        <v>27560</v>
      </c>
      <c r="J2905" s="43">
        <v>0.12</v>
      </c>
      <c r="K2905" s="44">
        <f>Sales[[#This Row],[Gross Amount]]*Sales[[#This Row],[Disc %]]</f>
        <v>3307.2</v>
      </c>
      <c r="L2905" s="43">
        <v>0.18</v>
      </c>
      <c r="M2905" s="44">
        <f>(Sales[[#This Row],[Gross Amount]]-Sales[[#This Row],[Disc. Amt.]])*Sales[[#This Row],[GST %]]</f>
        <v>4365.5039999999999</v>
      </c>
      <c r="N2905" s="161">
        <f>Sales[[#This Row],[Gross Amount]]-Sales[[#This Row],[Disc. Amt.]]+Sales[[#This Row],[GST Amount]]</f>
        <v>28618.304</v>
      </c>
      <c r="O2905" s="158" t="s">
        <v>3569</v>
      </c>
      <c r="P2905" s="158" t="s">
        <v>3562</v>
      </c>
      <c r="Q2905" s="160">
        <f>IF(Sales[[#This Row],[Status]]="Cancelled",0,Sales[[#This Row],[Qty]])</f>
        <v>2</v>
      </c>
      <c r="R2905" s="161">
        <f>IF(Sales[[#This Row],[Status]]="Cancelled",0,Sales[[#This Row],[Total Amount]])</f>
        <v>28618.304</v>
      </c>
      <c r="S2905" s="162">
        <f>SUM(Sales[Net Amount])</f>
        <v>406839287.73200053</v>
      </c>
    </row>
    <row r="2906" spans="1:19" ht="18.75" x14ac:dyDescent="0.25">
      <c r="A2906" s="163" t="s">
        <v>6551</v>
      </c>
      <c r="B2906" s="164">
        <v>45925</v>
      </c>
      <c r="C2906" s="34" t="s">
        <v>727</v>
      </c>
      <c r="D2906" s="53" t="str">
        <f>VLOOKUP(Sales[[#This Row],[Customer ID]],Customer[#All],2,0)</f>
        <v>Sahil Sharma</v>
      </c>
      <c r="E2906" s="34" t="s">
        <v>347</v>
      </c>
      <c r="F2906" s="34" t="str">
        <f>VLOOKUP(Sales[[#This Row],[Product ID]],Product[#All],2,0)</f>
        <v>Logitech Mouse</v>
      </c>
      <c r="G2906" s="53">
        <v>2</v>
      </c>
      <c r="H2906" s="165">
        <f>VLOOKUP(Sales[[#This Row],[Product ID]],Product[#All],7,0)</f>
        <v>680</v>
      </c>
      <c r="I2906" s="165">
        <f>Sales[[#This Row],[Selling Rate]]*Sales[[#This Row],[Qty]]</f>
        <v>1360</v>
      </c>
      <c r="J2906" s="45">
        <v>0</v>
      </c>
      <c r="K2906" s="46">
        <f>Sales[[#This Row],[Gross Amount]]*Sales[[#This Row],[Disc %]]</f>
        <v>0</v>
      </c>
      <c r="L2906" s="43">
        <v>0.18</v>
      </c>
      <c r="M2906" s="46">
        <f>(Sales[[#This Row],[Gross Amount]]-Sales[[#This Row],[Disc. Amt.]])*Sales[[#This Row],[GST %]]</f>
        <v>244.79999999999998</v>
      </c>
      <c r="N2906" s="161">
        <f>Sales[[#This Row],[Gross Amount]]-Sales[[#This Row],[Disc. Amt.]]+Sales[[#This Row],[GST Amount]]</f>
        <v>1604.8</v>
      </c>
      <c r="O2906" s="34" t="s">
        <v>3569</v>
      </c>
      <c r="P2906" s="34" t="s">
        <v>1040</v>
      </c>
      <c r="Q2906" s="165">
        <f>IF(Sales[[#This Row],[Status]]="Cancelled",0,Sales[[#This Row],[Qty]])</f>
        <v>0</v>
      </c>
      <c r="R2906" s="166">
        <f>IF(Sales[[#This Row],[Status]]="Cancelled",0,Sales[[#This Row],[Total Amount]])</f>
        <v>0</v>
      </c>
      <c r="S2906" s="162">
        <f>SUM(Sales[Net Amount])</f>
        <v>406839287.73200053</v>
      </c>
    </row>
    <row r="2907" spans="1:19" ht="18.75" x14ac:dyDescent="0.25">
      <c r="A2907" s="156" t="s">
        <v>6552</v>
      </c>
      <c r="B2907" s="157">
        <v>45925</v>
      </c>
      <c r="C2907" s="158" t="s">
        <v>752</v>
      </c>
      <c r="D2907" s="159" t="str">
        <f>VLOOKUP(Sales[[#This Row],[Customer ID]],Customer[#All],2,0)</f>
        <v>Pooja Patel</v>
      </c>
      <c r="E2907" s="158" t="s">
        <v>356</v>
      </c>
      <c r="F2907" s="158" t="str">
        <f>VLOOKUP(Sales[[#This Row],[Product ID]],Product[#All],2,0)</f>
        <v>Corsair Ram</v>
      </c>
      <c r="G2907" s="159">
        <v>1</v>
      </c>
      <c r="H2907" s="160">
        <f>VLOOKUP(Sales[[#This Row],[Product ID]],Product[#All],7,0)</f>
        <v>8460</v>
      </c>
      <c r="I2907" s="160">
        <f>Sales[[#This Row],[Selling Rate]]*Sales[[#This Row],[Qty]]</f>
        <v>8460</v>
      </c>
      <c r="J2907" s="43">
        <v>0.05</v>
      </c>
      <c r="K2907" s="44">
        <f>Sales[[#This Row],[Gross Amount]]*Sales[[#This Row],[Disc %]]</f>
        <v>423</v>
      </c>
      <c r="L2907" s="43">
        <v>0.18</v>
      </c>
      <c r="M2907" s="44">
        <f>(Sales[[#This Row],[Gross Amount]]-Sales[[#This Row],[Disc. Amt.]])*Sales[[#This Row],[GST %]]</f>
        <v>1446.6599999999999</v>
      </c>
      <c r="N2907" s="161">
        <f>Sales[[#This Row],[Gross Amount]]-Sales[[#This Row],[Disc. Amt.]]+Sales[[#This Row],[GST Amount]]</f>
        <v>9483.66</v>
      </c>
      <c r="O2907" s="158" t="s">
        <v>3566</v>
      </c>
      <c r="P2907" s="158" t="s">
        <v>3562</v>
      </c>
      <c r="Q2907" s="160">
        <f>IF(Sales[[#This Row],[Status]]="Cancelled",0,Sales[[#This Row],[Qty]])</f>
        <v>1</v>
      </c>
      <c r="R2907" s="161">
        <f>IF(Sales[[#This Row],[Status]]="Cancelled",0,Sales[[#This Row],[Total Amount]])</f>
        <v>9483.66</v>
      </c>
      <c r="S2907" s="162">
        <f>SUM(Sales[Net Amount])</f>
        <v>406839287.73200053</v>
      </c>
    </row>
    <row r="2908" spans="1:19" ht="18.75" x14ac:dyDescent="0.25">
      <c r="A2908" s="163" t="s">
        <v>6553</v>
      </c>
      <c r="B2908" s="164">
        <v>45925</v>
      </c>
      <c r="C2908" s="34" t="s">
        <v>938</v>
      </c>
      <c r="D2908" s="53" t="str">
        <f>VLOOKUP(Sales[[#This Row],[Customer ID]],Customer[#All],2,0)</f>
        <v>Sunita Sharma</v>
      </c>
      <c r="E2908" s="34" t="s">
        <v>388</v>
      </c>
      <c r="F2908" s="34" t="str">
        <f>VLOOKUP(Sales[[#This Row],[Product ID]],Product[#All],2,0)</f>
        <v>Dell Laptop</v>
      </c>
      <c r="G2908" s="53">
        <v>8</v>
      </c>
      <c r="H2908" s="165">
        <f>VLOOKUP(Sales[[#This Row],[Product ID]],Product[#All],7,0)</f>
        <v>68790</v>
      </c>
      <c r="I2908" s="165">
        <f>Sales[[#This Row],[Selling Rate]]*Sales[[#This Row],[Qty]]</f>
        <v>550320</v>
      </c>
      <c r="J2908" s="45">
        <v>0</v>
      </c>
      <c r="K2908" s="46">
        <f>Sales[[#This Row],[Gross Amount]]*Sales[[#This Row],[Disc %]]</f>
        <v>0</v>
      </c>
      <c r="L2908" s="43">
        <v>0.18</v>
      </c>
      <c r="M2908" s="46">
        <f>(Sales[[#This Row],[Gross Amount]]-Sales[[#This Row],[Disc. Amt.]])*Sales[[#This Row],[GST %]]</f>
        <v>99057.599999999991</v>
      </c>
      <c r="N2908" s="161">
        <f>Sales[[#This Row],[Gross Amount]]-Sales[[#This Row],[Disc. Amt.]]+Sales[[#This Row],[GST Amount]]</f>
        <v>649377.6</v>
      </c>
      <c r="O2908" s="34" t="s">
        <v>8876</v>
      </c>
      <c r="P2908" s="34" t="s">
        <v>3562</v>
      </c>
      <c r="Q2908" s="165">
        <f>IF(Sales[[#This Row],[Status]]="Cancelled",0,Sales[[#This Row],[Qty]])</f>
        <v>8</v>
      </c>
      <c r="R2908" s="166">
        <f>IF(Sales[[#This Row],[Status]]="Cancelled",0,Sales[[#This Row],[Total Amount]])</f>
        <v>649377.6</v>
      </c>
      <c r="S2908" s="162">
        <f>SUM(Sales[Net Amount])</f>
        <v>406839287.73200053</v>
      </c>
    </row>
    <row r="2909" spans="1:19" ht="18.75" x14ac:dyDescent="0.25">
      <c r="A2909" s="156" t="s">
        <v>6554</v>
      </c>
      <c r="B2909" s="157">
        <v>45925</v>
      </c>
      <c r="C2909" s="158" t="s">
        <v>925</v>
      </c>
      <c r="D2909" s="159" t="str">
        <f>VLOOKUP(Sales[[#This Row],[Customer ID]],Customer[#All],2,0)</f>
        <v>Neha Singh</v>
      </c>
      <c r="E2909" s="158" t="s">
        <v>113</v>
      </c>
      <c r="F2909" s="158" t="str">
        <f>VLOOKUP(Sales[[#This Row],[Product ID]],Product[#All],2,0)</f>
        <v>HP Laptop</v>
      </c>
      <c r="G2909" s="159">
        <v>7</v>
      </c>
      <c r="H2909" s="160">
        <f>VLOOKUP(Sales[[#This Row],[Product ID]],Product[#All],7,0)</f>
        <v>92470</v>
      </c>
      <c r="I2909" s="160">
        <f>Sales[[#This Row],[Selling Rate]]*Sales[[#This Row],[Qty]]</f>
        <v>647290</v>
      </c>
      <c r="J2909" s="43">
        <v>0</v>
      </c>
      <c r="K2909" s="44">
        <f>Sales[[#This Row],[Gross Amount]]*Sales[[#This Row],[Disc %]]</f>
        <v>0</v>
      </c>
      <c r="L2909" s="43">
        <v>0.18</v>
      </c>
      <c r="M2909" s="44">
        <f>(Sales[[#This Row],[Gross Amount]]-Sales[[#This Row],[Disc. Amt.]])*Sales[[#This Row],[GST %]]</f>
        <v>116512.2</v>
      </c>
      <c r="N2909" s="161">
        <f>Sales[[#This Row],[Gross Amount]]-Sales[[#This Row],[Disc. Amt.]]+Sales[[#This Row],[GST Amount]]</f>
        <v>763802.2</v>
      </c>
      <c r="O2909" s="158" t="s">
        <v>3569</v>
      </c>
      <c r="P2909" s="158" t="s">
        <v>3562</v>
      </c>
      <c r="Q2909" s="160">
        <f>IF(Sales[[#This Row],[Status]]="Cancelled",0,Sales[[#This Row],[Qty]])</f>
        <v>7</v>
      </c>
      <c r="R2909" s="161">
        <f>IF(Sales[[#This Row],[Status]]="Cancelled",0,Sales[[#This Row],[Total Amount]])</f>
        <v>763802.2</v>
      </c>
      <c r="S2909" s="162">
        <f>SUM(Sales[Net Amount])</f>
        <v>406839287.73200053</v>
      </c>
    </row>
    <row r="2910" spans="1:19" ht="18.75" x14ac:dyDescent="0.25">
      <c r="A2910" s="163" t="s">
        <v>6555</v>
      </c>
      <c r="B2910" s="164">
        <v>45925</v>
      </c>
      <c r="C2910" s="34" t="s">
        <v>767</v>
      </c>
      <c r="D2910" s="53" t="str">
        <f>VLOOKUP(Sales[[#This Row],[Customer ID]],Customer[#All],2,0)</f>
        <v>Sunita Singh</v>
      </c>
      <c r="E2910" s="34" t="s">
        <v>229</v>
      </c>
      <c r="F2910" s="34" t="str">
        <f>VLOOKUP(Sales[[#This Row],[Product ID]],Product[#All],2,0)</f>
        <v>Jbl Headset</v>
      </c>
      <c r="G2910" s="53">
        <v>2</v>
      </c>
      <c r="H2910" s="165">
        <f>VLOOKUP(Sales[[#This Row],[Product ID]],Product[#All],7,0)</f>
        <v>3170</v>
      </c>
      <c r="I2910" s="165">
        <f>Sales[[#This Row],[Selling Rate]]*Sales[[#This Row],[Qty]]</f>
        <v>6340</v>
      </c>
      <c r="J2910" s="45">
        <v>0.12</v>
      </c>
      <c r="K2910" s="46">
        <f>Sales[[#This Row],[Gross Amount]]*Sales[[#This Row],[Disc %]]</f>
        <v>760.8</v>
      </c>
      <c r="L2910" s="43">
        <v>0.18</v>
      </c>
      <c r="M2910" s="46">
        <f>(Sales[[#This Row],[Gross Amount]]-Sales[[#This Row],[Disc. Amt.]])*Sales[[#This Row],[GST %]]</f>
        <v>1004.256</v>
      </c>
      <c r="N2910" s="161">
        <f>Sales[[#This Row],[Gross Amount]]-Sales[[#This Row],[Disc. Amt.]]+Sales[[#This Row],[GST Amount]]</f>
        <v>6583.4560000000001</v>
      </c>
      <c r="O2910" s="34" t="s">
        <v>3569</v>
      </c>
      <c r="P2910" s="34" t="s">
        <v>3562</v>
      </c>
      <c r="Q2910" s="165">
        <f>IF(Sales[[#This Row],[Status]]="Cancelled",0,Sales[[#This Row],[Qty]])</f>
        <v>2</v>
      </c>
      <c r="R2910" s="166">
        <f>IF(Sales[[#This Row],[Status]]="Cancelled",0,Sales[[#This Row],[Total Amount]])</f>
        <v>6583.4560000000001</v>
      </c>
      <c r="S2910" s="162">
        <f>SUM(Sales[Net Amount])</f>
        <v>406839287.73200053</v>
      </c>
    </row>
    <row r="2911" spans="1:19" ht="18.75" x14ac:dyDescent="0.25">
      <c r="A2911" s="156" t="s">
        <v>6556</v>
      </c>
      <c r="B2911" s="157">
        <v>45925</v>
      </c>
      <c r="C2911" s="158" t="s">
        <v>707</v>
      </c>
      <c r="D2911" s="159" t="str">
        <f>VLOOKUP(Sales[[#This Row],[Customer ID]],Customer[#All],2,0)</f>
        <v>Rahul Verma</v>
      </c>
      <c r="E2911" s="158" t="s">
        <v>479</v>
      </c>
      <c r="F2911" s="158" t="str">
        <f>VLOOKUP(Sales[[#This Row],[Product ID]],Product[#All],2,0)</f>
        <v>TP-link Router</v>
      </c>
      <c r="G2911" s="159">
        <v>7</v>
      </c>
      <c r="H2911" s="160">
        <f>VLOOKUP(Sales[[#This Row],[Product ID]],Product[#All],7,0)</f>
        <v>5740</v>
      </c>
      <c r="I2911" s="160">
        <f>Sales[[#This Row],[Selling Rate]]*Sales[[#This Row],[Qty]]</f>
        <v>40180</v>
      </c>
      <c r="J2911" s="43">
        <v>0.05</v>
      </c>
      <c r="K2911" s="44">
        <f>Sales[[#This Row],[Gross Amount]]*Sales[[#This Row],[Disc %]]</f>
        <v>2009</v>
      </c>
      <c r="L2911" s="43">
        <v>0.18</v>
      </c>
      <c r="M2911" s="44">
        <f>(Sales[[#This Row],[Gross Amount]]-Sales[[#This Row],[Disc. Amt.]])*Sales[[#This Row],[GST %]]</f>
        <v>6870.78</v>
      </c>
      <c r="N2911" s="161">
        <f>Sales[[#This Row],[Gross Amount]]-Sales[[#This Row],[Disc. Amt.]]+Sales[[#This Row],[GST Amount]]</f>
        <v>45041.78</v>
      </c>
      <c r="O2911" s="158" t="s">
        <v>3561</v>
      </c>
      <c r="P2911" s="158" t="s">
        <v>3562</v>
      </c>
      <c r="Q2911" s="160">
        <f>IF(Sales[[#This Row],[Status]]="Cancelled",0,Sales[[#This Row],[Qty]])</f>
        <v>7</v>
      </c>
      <c r="R2911" s="161">
        <f>IF(Sales[[#This Row],[Status]]="Cancelled",0,Sales[[#This Row],[Total Amount]])</f>
        <v>45041.78</v>
      </c>
      <c r="S2911" s="162">
        <f>SUM(Sales[Net Amount])</f>
        <v>406839287.73200053</v>
      </c>
    </row>
    <row r="2912" spans="1:19" ht="18.75" x14ac:dyDescent="0.25">
      <c r="A2912" s="163" t="s">
        <v>6557</v>
      </c>
      <c r="B2912" s="164">
        <v>45925</v>
      </c>
      <c r="C2912" s="34" t="s">
        <v>919</v>
      </c>
      <c r="D2912" s="53" t="str">
        <f>VLOOKUP(Sales[[#This Row],[Customer ID]],Customer[#All],2,0)</f>
        <v>Pooja Patel</v>
      </c>
      <c r="E2912" s="34" t="s">
        <v>271</v>
      </c>
      <c r="F2912" s="34" t="str">
        <f>VLOOKUP(Sales[[#This Row],[Product ID]],Product[#All],2,0)</f>
        <v>TP-link Bluetooth Adapter</v>
      </c>
      <c r="G2912" s="53">
        <v>5</v>
      </c>
      <c r="H2912" s="165">
        <f>VLOOKUP(Sales[[#This Row],[Product ID]],Product[#All],7,0)</f>
        <v>410</v>
      </c>
      <c r="I2912" s="165">
        <f>Sales[[#This Row],[Selling Rate]]*Sales[[#This Row],[Qty]]</f>
        <v>2050</v>
      </c>
      <c r="J2912" s="45">
        <v>0.05</v>
      </c>
      <c r="K2912" s="46">
        <f>Sales[[#This Row],[Gross Amount]]*Sales[[#This Row],[Disc %]]</f>
        <v>102.5</v>
      </c>
      <c r="L2912" s="43">
        <v>0.18</v>
      </c>
      <c r="M2912" s="46">
        <f>(Sales[[#This Row],[Gross Amount]]-Sales[[#This Row],[Disc. Amt.]])*Sales[[#This Row],[GST %]]</f>
        <v>350.55</v>
      </c>
      <c r="N2912" s="161">
        <f>Sales[[#This Row],[Gross Amount]]-Sales[[#This Row],[Disc. Amt.]]+Sales[[#This Row],[GST Amount]]</f>
        <v>2298.0500000000002</v>
      </c>
      <c r="O2912" s="34" t="s">
        <v>3561</v>
      </c>
      <c r="P2912" s="34" t="s">
        <v>3562</v>
      </c>
      <c r="Q2912" s="165">
        <f>IF(Sales[[#This Row],[Status]]="Cancelled",0,Sales[[#This Row],[Qty]])</f>
        <v>5</v>
      </c>
      <c r="R2912" s="166">
        <f>IF(Sales[[#This Row],[Status]]="Cancelled",0,Sales[[#This Row],[Total Amount]])</f>
        <v>2298.0500000000002</v>
      </c>
      <c r="S2912" s="162">
        <f>SUM(Sales[Net Amount])</f>
        <v>406839287.73200053</v>
      </c>
    </row>
    <row r="2913" spans="1:19" ht="18.75" x14ac:dyDescent="0.25">
      <c r="A2913" s="156" t="s">
        <v>6558</v>
      </c>
      <c r="B2913" s="157">
        <v>45925</v>
      </c>
      <c r="C2913" s="158" t="s">
        <v>898</v>
      </c>
      <c r="D2913" s="159" t="str">
        <f>VLOOKUP(Sales[[#This Row],[Customer ID]],Customer[#All],2,0)</f>
        <v>Rahul Singh</v>
      </c>
      <c r="E2913" s="158" t="s">
        <v>64</v>
      </c>
      <c r="F2913" s="158" t="str">
        <f>VLOOKUP(Sales[[#This Row],[Product ID]],Product[#All],2,0)</f>
        <v>Jbl Headset</v>
      </c>
      <c r="G2913" s="159">
        <v>7</v>
      </c>
      <c r="H2913" s="160">
        <f>VLOOKUP(Sales[[#This Row],[Product ID]],Product[#All],7,0)</f>
        <v>930</v>
      </c>
      <c r="I2913" s="160">
        <f>Sales[[#This Row],[Selling Rate]]*Sales[[#This Row],[Qty]]</f>
        <v>6510</v>
      </c>
      <c r="J2913" s="43">
        <v>0</v>
      </c>
      <c r="K2913" s="44">
        <f>Sales[[#This Row],[Gross Amount]]*Sales[[#This Row],[Disc %]]</f>
        <v>0</v>
      </c>
      <c r="L2913" s="43">
        <v>0.18</v>
      </c>
      <c r="M2913" s="44">
        <f>(Sales[[#This Row],[Gross Amount]]-Sales[[#This Row],[Disc. Amt.]])*Sales[[#This Row],[GST %]]</f>
        <v>1171.8</v>
      </c>
      <c r="N2913" s="161">
        <f>Sales[[#This Row],[Gross Amount]]-Sales[[#This Row],[Disc. Amt.]]+Sales[[#This Row],[GST Amount]]</f>
        <v>7681.8</v>
      </c>
      <c r="O2913" s="158" t="s">
        <v>3566</v>
      </c>
      <c r="P2913" s="158" t="s">
        <v>3562</v>
      </c>
      <c r="Q2913" s="160">
        <f>IF(Sales[[#This Row],[Status]]="Cancelled",0,Sales[[#This Row],[Qty]])</f>
        <v>7</v>
      </c>
      <c r="R2913" s="161">
        <f>IF(Sales[[#This Row],[Status]]="Cancelled",0,Sales[[#This Row],[Total Amount]])</f>
        <v>7681.8</v>
      </c>
      <c r="S2913" s="162">
        <f>SUM(Sales[Net Amount])</f>
        <v>406839287.73200053</v>
      </c>
    </row>
    <row r="2914" spans="1:19" ht="18.75" x14ac:dyDescent="0.25">
      <c r="A2914" s="163" t="s">
        <v>6559</v>
      </c>
      <c r="B2914" s="164">
        <v>45925</v>
      </c>
      <c r="C2914" s="34" t="s">
        <v>744</v>
      </c>
      <c r="D2914" s="53" t="str">
        <f>VLOOKUP(Sales[[#This Row],[Customer ID]],Customer[#All],2,0)</f>
        <v>Rakesh Patel</v>
      </c>
      <c r="E2914" s="34" t="s">
        <v>515</v>
      </c>
      <c r="F2914" s="34" t="str">
        <f>VLOOKUP(Sales[[#This Row],[Product ID]],Product[#All],2,0)</f>
        <v>HP Mouse</v>
      </c>
      <c r="G2914" s="53">
        <v>3</v>
      </c>
      <c r="H2914" s="165">
        <f>VLOOKUP(Sales[[#This Row],[Product ID]],Product[#All],7,0)</f>
        <v>2520</v>
      </c>
      <c r="I2914" s="165">
        <f>Sales[[#This Row],[Selling Rate]]*Sales[[#This Row],[Qty]]</f>
        <v>7560</v>
      </c>
      <c r="J2914" s="45">
        <v>0.05</v>
      </c>
      <c r="K2914" s="46">
        <f>Sales[[#This Row],[Gross Amount]]*Sales[[#This Row],[Disc %]]</f>
        <v>378</v>
      </c>
      <c r="L2914" s="43">
        <v>0.18</v>
      </c>
      <c r="M2914" s="46">
        <f>(Sales[[#This Row],[Gross Amount]]-Sales[[#This Row],[Disc. Amt.]])*Sales[[#This Row],[GST %]]</f>
        <v>1292.76</v>
      </c>
      <c r="N2914" s="161">
        <f>Sales[[#This Row],[Gross Amount]]-Sales[[#This Row],[Disc. Amt.]]+Sales[[#This Row],[GST Amount]]</f>
        <v>8474.76</v>
      </c>
      <c r="O2914" s="34" t="s">
        <v>3569</v>
      </c>
      <c r="P2914" s="34" t="s">
        <v>3562</v>
      </c>
      <c r="Q2914" s="165">
        <f>IF(Sales[[#This Row],[Status]]="Cancelled",0,Sales[[#This Row],[Qty]])</f>
        <v>3</v>
      </c>
      <c r="R2914" s="166">
        <f>IF(Sales[[#This Row],[Status]]="Cancelled",0,Sales[[#This Row],[Total Amount]])</f>
        <v>8474.76</v>
      </c>
      <c r="S2914" s="162">
        <f>SUM(Sales[Net Amount])</f>
        <v>406839287.73200053</v>
      </c>
    </row>
    <row r="2915" spans="1:19" ht="18.75" x14ac:dyDescent="0.25">
      <c r="A2915" s="156" t="s">
        <v>6560</v>
      </c>
      <c r="B2915" s="157">
        <v>45925</v>
      </c>
      <c r="C2915" s="158" t="s">
        <v>937</v>
      </c>
      <c r="D2915" s="159" t="str">
        <f>VLOOKUP(Sales[[#This Row],[Customer ID]],Customer[#All],2,0)</f>
        <v>Rahul Singh</v>
      </c>
      <c r="E2915" s="158" t="s">
        <v>365</v>
      </c>
      <c r="F2915" s="158" t="str">
        <f>VLOOKUP(Sales[[#This Row],[Product ID]],Product[#All],2,0)</f>
        <v>TP-link Bluetooth Adapter</v>
      </c>
      <c r="G2915" s="159">
        <v>6</v>
      </c>
      <c r="H2915" s="160">
        <f>VLOOKUP(Sales[[#This Row],[Product ID]],Product[#All],7,0)</f>
        <v>2120</v>
      </c>
      <c r="I2915" s="160">
        <f>Sales[[#This Row],[Selling Rate]]*Sales[[#This Row],[Qty]]</f>
        <v>12720</v>
      </c>
      <c r="J2915" s="43">
        <v>0</v>
      </c>
      <c r="K2915" s="44">
        <f>Sales[[#This Row],[Gross Amount]]*Sales[[#This Row],[Disc %]]</f>
        <v>0</v>
      </c>
      <c r="L2915" s="43">
        <v>0.18</v>
      </c>
      <c r="M2915" s="44">
        <f>(Sales[[#This Row],[Gross Amount]]-Sales[[#This Row],[Disc. Amt.]])*Sales[[#This Row],[GST %]]</f>
        <v>2289.6</v>
      </c>
      <c r="N2915" s="161">
        <f>Sales[[#This Row],[Gross Amount]]-Sales[[#This Row],[Disc. Amt.]]+Sales[[#This Row],[GST Amount]]</f>
        <v>15009.6</v>
      </c>
      <c r="O2915" s="158" t="s">
        <v>3561</v>
      </c>
      <c r="P2915" s="158" t="s">
        <v>3562</v>
      </c>
      <c r="Q2915" s="160">
        <f>IF(Sales[[#This Row],[Status]]="Cancelled",0,Sales[[#This Row],[Qty]])</f>
        <v>6</v>
      </c>
      <c r="R2915" s="161">
        <f>IF(Sales[[#This Row],[Status]]="Cancelled",0,Sales[[#This Row],[Total Amount]])</f>
        <v>15009.6</v>
      </c>
      <c r="S2915" s="162">
        <f>SUM(Sales[Net Amount])</f>
        <v>406839287.73200053</v>
      </c>
    </row>
    <row r="2916" spans="1:19" ht="18.75" x14ac:dyDescent="0.25">
      <c r="A2916" s="163" t="s">
        <v>6561</v>
      </c>
      <c r="B2916" s="164">
        <v>45925</v>
      </c>
      <c r="C2916" s="34" t="s">
        <v>676</v>
      </c>
      <c r="D2916" s="53" t="str">
        <f>VLOOKUP(Sales[[#This Row],[Customer ID]],Customer[#All],2,0)</f>
        <v>Neha Singh</v>
      </c>
      <c r="E2916" s="34" t="s">
        <v>170</v>
      </c>
      <c r="F2916" s="34" t="str">
        <f>VLOOKUP(Sales[[#This Row],[Product ID]],Product[#All],2,0)</f>
        <v>Lenovo Laptop</v>
      </c>
      <c r="G2916" s="53">
        <v>5</v>
      </c>
      <c r="H2916" s="165">
        <f>VLOOKUP(Sales[[#This Row],[Product ID]],Product[#All],7,0)</f>
        <v>29710</v>
      </c>
      <c r="I2916" s="165">
        <f>Sales[[#This Row],[Selling Rate]]*Sales[[#This Row],[Qty]]</f>
        <v>148550</v>
      </c>
      <c r="J2916" s="45">
        <v>0.05</v>
      </c>
      <c r="K2916" s="46">
        <f>Sales[[#This Row],[Gross Amount]]*Sales[[#This Row],[Disc %]]</f>
        <v>7427.5</v>
      </c>
      <c r="L2916" s="43">
        <v>0.18</v>
      </c>
      <c r="M2916" s="46">
        <f>(Sales[[#This Row],[Gross Amount]]-Sales[[#This Row],[Disc. Amt.]])*Sales[[#This Row],[GST %]]</f>
        <v>25402.05</v>
      </c>
      <c r="N2916" s="161">
        <f>Sales[[#This Row],[Gross Amount]]-Sales[[#This Row],[Disc. Amt.]]+Sales[[#This Row],[GST Amount]]</f>
        <v>166524.54999999999</v>
      </c>
      <c r="O2916" s="34" t="s">
        <v>8876</v>
      </c>
      <c r="P2916" s="34" t="s">
        <v>3562</v>
      </c>
      <c r="Q2916" s="165">
        <f>IF(Sales[[#This Row],[Status]]="Cancelled",0,Sales[[#This Row],[Qty]])</f>
        <v>5</v>
      </c>
      <c r="R2916" s="166">
        <f>IF(Sales[[#This Row],[Status]]="Cancelled",0,Sales[[#This Row],[Total Amount]])</f>
        <v>166524.54999999999</v>
      </c>
      <c r="S2916" s="162">
        <f>SUM(Sales[Net Amount])</f>
        <v>406839287.73200053</v>
      </c>
    </row>
    <row r="2917" spans="1:19" ht="18.75" x14ac:dyDescent="0.25">
      <c r="A2917" s="156" t="s">
        <v>6562</v>
      </c>
      <c r="B2917" s="157">
        <v>45925</v>
      </c>
      <c r="C2917" s="158" t="s">
        <v>656</v>
      </c>
      <c r="D2917" s="159" t="str">
        <f>VLOOKUP(Sales[[#This Row],[Customer ID]],Customer[#All],2,0)</f>
        <v>Rahul Kumar</v>
      </c>
      <c r="E2917" s="158" t="s">
        <v>409</v>
      </c>
      <c r="F2917" s="158" t="str">
        <f>VLOOKUP(Sales[[#This Row],[Product ID]],Product[#All],2,0)</f>
        <v>Amazon Basics Hdmi Cable</v>
      </c>
      <c r="G2917" s="159">
        <v>5</v>
      </c>
      <c r="H2917" s="160">
        <f>VLOOKUP(Sales[[#This Row],[Product ID]],Product[#All],7,0)</f>
        <v>760</v>
      </c>
      <c r="I2917" s="160">
        <f>Sales[[#This Row],[Selling Rate]]*Sales[[#This Row],[Qty]]</f>
        <v>3800</v>
      </c>
      <c r="J2917" s="43">
        <v>0.12</v>
      </c>
      <c r="K2917" s="44">
        <f>Sales[[#This Row],[Gross Amount]]*Sales[[#This Row],[Disc %]]</f>
        <v>456</v>
      </c>
      <c r="L2917" s="43">
        <v>0.18</v>
      </c>
      <c r="M2917" s="44">
        <f>(Sales[[#This Row],[Gross Amount]]-Sales[[#This Row],[Disc. Amt.]])*Sales[[#This Row],[GST %]]</f>
        <v>601.91999999999996</v>
      </c>
      <c r="N2917" s="161">
        <f>Sales[[#This Row],[Gross Amount]]-Sales[[#This Row],[Disc. Amt.]]+Sales[[#This Row],[GST Amount]]</f>
        <v>3945.92</v>
      </c>
      <c r="O2917" s="158" t="s">
        <v>3561</v>
      </c>
      <c r="P2917" s="158" t="s">
        <v>3562</v>
      </c>
      <c r="Q2917" s="160">
        <f>IF(Sales[[#This Row],[Status]]="Cancelled",0,Sales[[#This Row],[Qty]])</f>
        <v>5</v>
      </c>
      <c r="R2917" s="161">
        <f>IF(Sales[[#This Row],[Status]]="Cancelled",0,Sales[[#This Row],[Total Amount]])</f>
        <v>3945.92</v>
      </c>
      <c r="S2917" s="162">
        <f>SUM(Sales[Net Amount])</f>
        <v>406839287.73200053</v>
      </c>
    </row>
    <row r="2918" spans="1:19" ht="18.75" x14ac:dyDescent="0.25">
      <c r="A2918" s="163" t="s">
        <v>6563</v>
      </c>
      <c r="B2918" s="164">
        <v>45925</v>
      </c>
      <c r="C2918" s="34" t="s">
        <v>775</v>
      </c>
      <c r="D2918" s="53" t="str">
        <f>VLOOKUP(Sales[[#This Row],[Customer ID]],Customer[#All],2,0)</f>
        <v>Ankit Kumar</v>
      </c>
      <c r="E2918" s="34" t="s">
        <v>425</v>
      </c>
      <c r="F2918" s="34" t="str">
        <f>VLOOKUP(Sales[[#This Row],[Product ID]],Product[#All],2,0)</f>
        <v>WD HDD</v>
      </c>
      <c r="G2918" s="53">
        <v>6</v>
      </c>
      <c r="H2918" s="165">
        <f>VLOOKUP(Sales[[#This Row],[Product ID]],Product[#All],7,0)</f>
        <v>7660</v>
      </c>
      <c r="I2918" s="165">
        <f>Sales[[#This Row],[Selling Rate]]*Sales[[#This Row],[Qty]]</f>
        <v>45960</v>
      </c>
      <c r="J2918" s="45">
        <v>0.02</v>
      </c>
      <c r="K2918" s="46">
        <f>Sales[[#This Row],[Gross Amount]]*Sales[[#This Row],[Disc %]]</f>
        <v>919.2</v>
      </c>
      <c r="L2918" s="43">
        <v>0.18</v>
      </c>
      <c r="M2918" s="46">
        <f>(Sales[[#This Row],[Gross Amount]]-Sales[[#This Row],[Disc. Amt.]])*Sales[[#This Row],[GST %]]</f>
        <v>8107.3440000000001</v>
      </c>
      <c r="N2918" s="161">
        <f>Sales[[#This Row],[Gross Amount]]-Sales[[#This Row],[Disc. Amt.]]+Sales[[#This Row],[GST Amount]]</f>
        <v>53148.144</v>
      </c>
      <c r="O2918" s="34" t="s">
        <v>8876</v>
      </c>
      <c r="P2918" s="34" t="s">
        <v>3562</v>
      </c>
      <c r="Q2918" s="165">
        <f>IF(Sales[[#This Row],[Status]]="Cancelled",0,Sales[[#This Row],[Qty]])</f>
        <v>6</v>
      </c>
      <c r="R2918" s="166">
        <f>IF(Sales[[#This Row],[Status]]="Cancelled",0,Sales[[#This Row],[Total Amount]])</f>
        <v>53148.144</v>
      </c>
      <c r="S2918" s="162">
        <f>SUM(Sales[Net Amount])</f>
        <v>406839287.73200053</v>
      </c>
    </row>
    <row r="2919" spans="1:19" ht="18.75" x14ac:dyDescent="0.25">
      <c r="A2919" s="156" t="s">
        <v>6564</v>
      </c>
      <c r="B2919" s="157">
        <v>45925</v>
      </c>
      <c r="C2919" s="158" t="s">
        <v>676</v>
      </c>
      <c r="D2919" s="159" t="str">
        <f>VLOOKUP(Sales[[#This Row],[Customer ID]],Customer[#All],2,0)</f>
        <v>Neha Singh</v>
      </c>
      <c r="E2919" s="158" t="s">
        <v>267</v>
      </c>
      <c r="F2919" s="158" t="str">
        <f>VLOOKUP(Sales[[#This Row],[Product ID]],Product[#All],2,0)</f>
        <v>Boat Speaker</v>
      </c>
      <c r="G2919" s="159">
        <v>1</v>
      </c>
      <c r="H2919" s="160">
        <f>VLOOKUP(Sales[[#This Row],[Product ID]],Product[#All],7,0)</f>
        <v>2230</v>
      </c>
      <c r="I2919" s="160">
        <f>Sales[[#This Row],[Selling Rate]]*Sales[[#This Row],[Qty]]</f>
        <v>2230</v>
      </c>
      <c r="J2919" s="43">
        <v>0</v>
      </c>
      <c r="K2919" s="44">
        <f>Sales[[#This Row],[Gross Amount]]*Sales[[#This Row],[Disc %]]</f>
        <v>0</v>
      </c>
      <c r="L2919" s="43">
        <v>0.18</v>
      </c>
      <c r="M2919" s="44">
        <f>(Sales[[#This Row],[Gross Amount]]-Sales[[#This Row],[Disc. Amt.]])*Sales[[#This Row],[GST %]]</f>
        <v>401.4</v>
      </c>
      <c r="N2919" s="161">
        <f>Sales[[#This Row],[Gross Amount]]-Sales[[#This Row],[Disc. Amt.]]+Sales[[#This Row],[GST Amount]]</f>
        <v>2631.4</v>
      </c>
      <c r="O2919" s="158" t="s">
        <v>3561</v>
      </c>
      <c r="P2919" s="158" t="s">
        <v>3562</v>
      </c>
      <c r="Q2919" s="160">
        <f>IF(Sales[[#This Row],[Status]]="Cancelled",0,Sales[[#This Row],[Qty]])</f>
        <v>1</v>
      </c>
      <c r="R2919" s="161">
        <f>IF(Sales[[#This Row],[Status]]="Cancelled",0,Sales[[#This Row],[Total Amount]])</f>
        <v>2631.4</v>
      </c>
      <c r="S2919" s="162">
        <f>SUM(Sales[Net Amount])</f>
        <v>406839287.73200053</v>
      </c>
    </row>
    <row r="2920" spans="1:19" ht="18.75" x14ac:dyDescent="0.25">
      <c r="A2920" s="163" t="s">
        <v>6565</v>
      </c>
      <c r="B2920" s="164">
        <v>45925</v>
      </c>
      <c r="C2920" s="34" t="s">
        <v>839</v>
      </c>
      <c r="D2920" s="53" t="str">
        <f>VLOOKUP(Sales[[#This Row],[Customer ID]],Customer[#All],2,0)</f>
        <v>Amit Patel</v>
      </c>
      <c r="E2920" s="34" t="s">
        <v>75</v>
      </c>
      <c r="F2920" s="34" t="str">
        <f>VLOOKUP(Sales[[#This Row],[Product ID]],Product[#All],2,0)</f>
        <v>Samsung Monitor</v>
      </c>
      <c r="G2920" s="53">
        <v>2</v>
      </c>
      <c r="H2920" s="165">
        <f>VLOOKUP(Sales[[#This Row],[Product ID]],Product[#All],7,0)</f>
        <v>30810</v>
      </c>
      <c r="I2920" s="165">
        <f>Sales[[#This Row],[Selling Rate]]*Sales[[#This Row],[Qty]]</f>
        <v>61620</v>
      </c>
      <c r="J2920" s="45">
        <v>0.15</v>
      </c>
      <c r="K2920" s="46">
        <f>Sales[[#This Row],[Gross Amount]]*Sales[[#This Row],[Disc %]]</f>
        <v>9243</v>
      </c>
      <c r="L2920" s="43">
        <v>0.18</v>
      </c>
      <c r="M2920" s="46">
        <f>(Sales[[#This Row],[Gross Amount]]-Sales[[#This Row],[Disc. Amt.]])*Sales[[#This Row],[GST %]]</f>
        <v>9427.8599999999988</v>
      </c>
      <c r="N2920" s="161">
        <f>Sales[[#This Row],[Gross Amount]]-Sales[[#This Row],[Disc. Amt.]]+Sales[[#This Row],[GST Amount]]</f>
        <v>61804.86</v>
      </c>
      <c r="O2920" s="34" t="s">
        <v>3561</v>
      </c>
      <c r="P2920" s="34" t="s">
        <v>3562</v>
      </c>
      <c r="Q2920" s="165">
        <f>IF(Sales[[#This Row],[Status]]="Cancelled",0,Sales[[#This Row],[Qty]])</f>
        <v>2</v>
      </c>
      <c r="R2920" s="166">
        <f>IF(Sales[[#This Row],[Status]]="Cancelled",0,Sales[[#This Row],[Total Amount]])</f>
        <v>61804.86</v>
      </c>
      <c r="S2920" s="162">
        <f>SUM(Sales[Net Amount])</f>
        <v>406839287.73200053</v>
      </c>
    </row>
    <row r="2921" spans="1:19" ht="18.75" x14ac:dyDescent="0.25">
      <c r="A2921" s="156" t="s">
        <v>6566</v>
      </c>
      <c r="B2921" s="157">
        <v>45926</v>
      </c>
      <c r="C2921" s="158" t="s">
        <v>6567</v>
      </c>
      <c r="D2921" s="159" t="str">
        <f>VLOOKUP(Sales[[#This Row],[Customer ID]],Customer[#All],2,0)</f>
        <v>Rakesh Patel</v>
      </c>
      <c r="E2921" s="158" t="s">
        <v>242</v>
      </c>
      <c r="F2921" s="158" t="str">
        <f>VLOOKUP(Sales[[#This Row],[Product ID]],Product[#All],2,0)</f>
        <v>HP Printer</v>
      </c>
      <c r="G2921" s="159">
        <v>5</v>
      </c>
      <c r="H2921" s="160">
        <f>VLOOKUP(Sales[[#This Row],[Product ID]],Product[#All],7,0)</f>
        <v>20380</v>
      </c>
      <c r="I2921" s="160">
        <f>Sales[[#This Row],[Selling Rate]]*Sales[[#This Row],[Qty]]</f>
        <v>101900</v>
      </c>
      <c r="J2921" s="43">
        <v>0.05</v>
      </c>
      <c r="K2921" s="44">
        <f>Sales[[#This Row],[Gross Amount]]*Sales[[#This Row],[Disc %]]</f>
        <v>5095</v>
      </c>
      <c r="L2921" s="43">
        <v>0.18</v>
      </c>
      <c r="M2921" s="44">
        <f>(Sales[[#This Row],[Gross Amount]]-Sales[[#This Row],[Disc. Amt.]])*Sales[[#This Row],[GST %]]</f>
        <v>17424.899999999998</v>
      </c>
      <c r="N2921" s="161">
        <f>Sales[[#This Row],[Gross Amount]]-Sales[[#This Row],[Disc. Amt.]]+Sales[[#This Row],[GST Amount]]</f>
        <v>114229.9</v>
      </c>
      <c r="O2921" s="158" t="s">
        <v>8876</v>
      </c>
      <c r="P2921" s="158" t="s">
        <v>1040</v>
      </c>
      <c r="Q2921" s="160">
        <f>IF(Sales[[#This Row],[Status]]="Cancelled",0,Sales[[#This Row],[Qty]])</f>
        <v>0</v>
      </c>
      <c r="R2921" s="161">
        <f>IF(Sales[[#This Row],[Status]]="Cancelled",0,Sales[[#This Row],[Total Amount]])</f>
        <v>0</v>
      </c>
      <c r="S2921" s="162">
        <f>SUM(Sales[Net Amount])</f>
        <v>406839287.73200053</v>
      </c>
    </row>
    <row r="2922" spans="1:19" ht="18.75" x14ac:dyDescent="0.25">
      <c r="A2922" s="163" t="s">
        <v>6568</v>
      </c>
      <c r="B2922" s="164">
        <v>45926</v>
      </c>
      <c r="C2922" s="34" t="s">
        <v>893</v>
      </c>
      <c r="D2922" s="53" t="str">
        <f>VLOOKUP(Sales[[#This Row],[Customer ID]],Customer[#All],2,0)</f>
        <v>Sunita Sharma</v>
      </c>
      <c r="E2922" s="34" t="s">
        <v>152</v>
      </c>
      <c r="F2922" s="34" t="str">
        <f>VLOOKUP(Sales[[#This Row],[Product ID]],Product[#All],2,0)</f>
        <v>Acer Laptop</v>
      </c>
      <c r="G2922" s="53">
        <v>3</v>
      </c>
      <c r="H2922" s="165">
        <f>VLOOKUP(Sales[[#This Row],[Product ID]],Product[#All],7,0)</f>
        <v>33410</v>
      </c>
      <c r="I2922" s="165">
        <f>Sales[[#This Row],[Selling Rate]]*Sales[[#This Row],[Qty]]</f>
        <v>100230</v>
      </c>
      <c r="J2922" s="45">
        <v>0</v>
      </c>
      <c r="K2922" s="46">
        <f>Sales[[#This Row],[Gross Amount]]*Sales[[#This Row],[Disc %]]</f>
        <v>0</v>
      </c>
      <c r="L2922" s="43">
        <v>0.18</v>
      </c>
      <c r="M2922" s="46">
        <f>(Sales[[#This Row],[Gross Amount]]-Sales[[#This Row],[Disc. Amt.]])*Sales[[#This Row],[GST %]]</f>
        <v>18041.399999999998</v>
      </c>
      <c r="N2922" s="161">
        <f>Sales[[#This Row],[Gross Amount]]-Sales[[#This Row],[Disc. Amt.]]+Sales[[#This Row],[GST Amount]]</f>
        <v>118271.4</v>
      </c>
      <c r="O2922" s="34" t="s">
        <v>3566</v>
      </c>
      <c r="P2922" s="34" t="s">
        <v>3562</v>
      </c>
      <c r="Q2922" s="165">
        <f>IF(Sales[[#This Row],[Status]]="Cancelled",0,Sales[[#This Row],[Qty]])</f>
        <v>3</v>
      </c>
      <c r="R2922" s="166">
        <f>IF(Sales[[#This Row],[Status]]="Cancelled",0,Sales[[#This Row],[Total Amount]])</f>
        <v>118271.4</v>
      </c>
      <c r="S2922" s="162">
        <f>SUM(Sales[Net Amount])</f>
        <v>406839287.73200053</v>
      </c>
    </row>
    <row r="2923" spans="1:19" ht="18.75" x14ac:dyDescent="0.25">
      <c r="A2923" s="156" t="s">
        <v>6569</v>
      </c>
      <c r="B2923" s="157">
        <v>45926</v>
      </c>
      <c r="C2923" s="158" t="s">
        <v>822</v>
      </c>
      <c r="D2923" s="159" t="str">
        <f>VLOOKUP(Sales[[#This Row],[Customer ID]],Customer[#All],2,0)</f>
        <v>Vikas Singh</v>
      </c>
      <c r="E2923" s="158" t="s">
        <v>165</v>
      </c>
      <c r="F2923" s="158" t="str">
        <f>VLOOKUP(Sales[[#This Row],[Product ID]],Product[#All],2,0)</f>
        <v>Kingston Ram</v>
      </c>
      <c r="G2923" s="159">
        <v>6</v>
      </c>
      <c r="H2923" s="160">
        <f>VLOOKUP(Sales[[#This Row],[Product ID]],Product[#All],7,0)</f>
        <v>8020</v>
      </c>
      <c r="I2923" s="160">
        <f>Sales[[#This Row],[Selling Rate]]*Sales[[#This Row],[Qty]]</f>
        <v>48120</v>
      </c>
      <c r="J2923" s="43">
        <v>0.12</v>
      </c>
      <c r="K2923" s="44">
        <f>Sales[[#This Row],[Gross Amount]]*Sales[[#This Row],[Disc %]]</f>
        <v>5774.4</v>
      </c>
      <c r="L2923" s="43">
        <v>0.18</v>
      </c>
      <c r="M2923" s="44">
        <f>(Sales[[#This Row],[Gross Amount]]-Sales[[#This Row],[Disc. Amt.]])*Sales[[#This Row],[GST %]]</f>
        <v>7622.2079999999996</v>
      </c>
      <c r="N2923" s="161">
        <f>Sales[[#This Row],[Gross Amount]]-Sales[[#This Row],[Disc. Amt.]]+Sales[[#This Row],[GST Amount]]</f>
        <v>49967.807999999997</v>
      </c>
      <c r="O2923" s="158" t="s">
        <v>3566</v>
      </c>
      <c r="P2923" s="158" t="s">
        <v>3562</v>
      </c>
      <c r="Q2923" s="160">
        <f>IF(Sales[[#This Row],[Status]]="Cancelled",0,Sales[[#This Row],[Qty]])</f>
        <v>6</v>
      </c>
      <c r="R2923" s="161">
        <f>IF(Sales[[#This Row],[Status]]="Cancelled",0,Sales[[#This Row],[Total Amount]])</f>
        <v>49967.807999999997</v>
      </c>
      <c r="S2923" s="162">
        <f>SUM(Sales[Net Amount])</f>
        <v>406839287.73200053</v>
      </c>
    </row>
    <row r="2924" spans="1:19" ht="18.75" x14ac:dyDescent="0.25">
      <c r="A2924" s="163" t="s">
        <v>6570</v>
      </c>
      <c r="B2924" s="164">
        <v>45926</v>
      </c>
      <c r="C2924" s="34" t="s">
        <v>723</v>
      </c>
      <c r="D2924" s="53" t="str">
        <f>VLOOKUP(Sales[[#This Row],[Customer ID]],Customer[#All],2,0)</f>
        <v>Sahil Gupta</v>
      </c>
      <c r="E2924" s="34" t="s">
        <v>241</v>
      </c>
      <c r="F2924" s="34" t="str">
        <f>VLOOKUP(Sales[[#This Row],[Product ID]],Product[#All],2,0)</f>
        <v>Portronics USB Cable</v>
      </c>
      <c r="G2924" s="53">
        <v>6</v>
      </c>
      <c r="H2924" s="165">
        <f>VLOOKUP(Sales[[#This Row],[Product ID]],Product[#All],7,0)</f>
        <v>630</v>
      </c>
      <c r="I2924" s="165">
        <f>Sales[[#This Row],[Selling Rate]]*Sales[[#This Row],[Qty]]</f>
        <v>3780</v>
      </c>
      <c r="J2924" s="45">
        <v>0.05</v>
      </c>
      <c r="K2924" s="46">
        <f>Sales[[#This Row],[Gross Amount]]*Sales[[#This Row],[Disc %]]</f>
        <v>189</v>
      </c>
      <c r="L2924" s="43">
        <v>0.18</v>
      </c>
      <c r="M2924" s="46">
        <f>(Sales[[#This Row],[Gross Amount]]-Sales[[#This Row],[Disc. Amt.]])*Sales[[#This Row],[GST %]]</f>
        <v>646.38</v>
      </c>
      <c r="N2924" s="161">
        <f>Sales[[#This Row],[Gross Amount]]-Sales[[#This Row],[Disc. Amt.]]+Sales[[#This Row],[GST Amount]]</f>
        <v>4237.38</v>
      </c>
      <c r="O2924" s="34" t="s">
        <v>3561</v>
      </c>
      <c r="P2924" s="34" t="s">
        <v>3562</v>
      </c>
      <c r="Q2924" s="165">
        <f>IF(Sales[[#This Row],[Status]]="Cancelled",0,Sales[[#This Row],[Qty]])</f>
        <v>6</v>
      </c>
      <c r="R2924" s="166">
        <f>IF(Sales[[#This Row],[Status]]="Cancelled",0,Sales[[#This Row],[Total Amount]])</f>
        <v>4237.38</v>
      </c>
      <c r="S2924" s="162">
        <f>SUM(Sales[Net Amount])</f>
        <v>406839287.73200053</v>
      </c>
    </row>
    <row r="2925" spans="1:19" ht="18.75" x14ac:dyDescent="0.25">
      <c r="A2925" s="156" t="s">
        <v>6571</v>
      </c>
      <c r="B2925" s="157">
        <v>45926</v>
      </c>
      <c r="C2925" s="158" t="s">
        <v>741</v>
      </c>
      <c r="D2925" s="159" t="str">
        <f>VLOOKUP(Sales[[#This Row],[Customer ID]],Customer[#All],2,0)</f>
        <v>Rahul Patel</v>
      </c>
      <c r="E2925" s="158" t="s">
        <v>518</v>
      </c>
      <c r="F2925" s="158" t="str">
        <f>VLOOKUP(Sales[[#This Row],[Product ID]],Product[#All],2,0)</f>
        <v>Samsung Monitor</v>
      </c>
      <c r="G2925" s="159">
        <v>2</v>
      </c>
      <c r="H2925" s="160">
        <f>VLOOKUP(Sales[[#This Row],[Product ID]],Product[#All],7,0)</f>
        <v>23660</v>
      </c>
      <c r="I2925" s="160">
        <f>Sales[[#This Row],[Selling Rate]]*Sales[[#This Row],[Qty]]</f>
        <v>47320</v>
      </c>
      <c r="J2925" s="43">
        <v>0.02</v>
      </c>
      <c r="K2925" s="44">
        <f>Sales[[#This Row],[Gross Amount]]*Sales[[#This Row],[Disc %]]</f>
        <v>946.4</v>
      </c>
      <c r="L2925" s="43">
        <v>0.18</v>
      </c>
      <c r="M2925" s="44">
        <f>(Sales[[#This Row],[Gross Amount]]-Sales[[#This Row],[Disc. Amt.]])*Sales[[#This Row],[GST %]]</f>
        <v>8347.2479999999996</v>
      </c>
      <c r="N2925" s="161">
        <f>Sales[[#This Row],[Gross Amount]]-Sales[[#This Row],[Disc. Amt.]]+Sales[[#This Row],[GST Amount]]</f>
        <v>54720.847999999998</v>
      </c>
      <c r="O2925" s="158" t="s">
        <v>3566</v>
      </c>
      <c r="P2925" s="158" t="s">
        <v>3562</v>
      </c>
      <c r="Q2925" s="160">
        <f>IF(Sales[[#This Row],[Status]]="Cancelled",0,Sales[[#This Row],[Qty]])</f>
        <v>2</v>
      </c>
      <c r="R2925" s="161">
        <f>IF(Sales[[#This Row],[Status]]="Cancelled",0,Sales[[#This Row],[Total Amount]])</f>
        <v>54720.847999999998</v>
      </c>
      <c r="S2925" s="162">
        <f>SUM(Sales[Net Amount])</f>
        <v>406839287.73200053</v>
      </c>
    </row>
    <row r="2926" spans="1:19" ht="18.75" x14ac:dyDescent="0.25">
      <c r="A2926" s="163" t="s">
        <v>6572</v>
      </c>
      <c r="B2926" s="164">
        <v>45926</v>
      </c>
      <c r="C2926" s="34" t="s">
        <v>883</v>
      </c>
      <c r="D2926" s="53" t="str">
        <f>VLOOKUP(Sales[[#This Row],[Customer ID]],Customer[#All],2,0)</f>
        <v>Rahul Verma</v>
      </c>
      <c r="E2926" s="34" t="s">
        <v>359</v>
      </c>
      <c r="F2926" s="34" t="str">
        <f>VLOOKUP(Sales[[#This Row],[Product ID]],Product[#All],2,0)</f>
        <v>Sandisk Pen Drive</v>
      </c>
      <c r="G2926" s="53">
        <v>1</v>
      </c>
      <c r="H2926" s="165">
        <f>VLOOKUP(Sales[[#This Row],[Product ID]],Product[#All],7,0)</f>
        <v>1140</v>
      </c>
      <c r="I2926" s="165">
        <f>Sales[[#This Row],[Selling Rate]]*Sales[[#This Row],[Qty]]</f>
        <v>1140</v>
      </c>
      <c r="J2926" s="45">
        <v>0.05</v>
      </c>
      <c r="K2926" s="46">
        <f>Sales[[#This Row],[Gross Amount]]*Sales[[#This Row],[Disc %]]</f>
        <v>57</v>
      </c>
      <c r="L2926" s="43">
        <v>0.18</v>
      </c>
      <c r="M2926" s="46">
        <f>(Sales[[#This Row],[Gross Amount]]-Sales[[#This Row],[Disc. Amt.]])*Sales[[#This Row],[GST %]]</f>
        <v>194.94</v>
      </c>
      <c r="N2926" s="161">
        <f>Sales[[#This Row],[Gross Amount]]-Sales[[#This Row],[Disc. Amt.]]+Sales[[#This Row],[GST Amount]]</f>
        <v>1277.94</v>
      </c>
      <c r="O2926" s="34" t="s">
        <v>8876</v>
      </c>
      <c r="P2926" s="34" t="s">
        <v>3562</v>
      </c>
      <c r="Q2926" s="165">
        <f>IF(Sales[[#This Row],[Status]]="Cancelled",0,Sales[[#This Row],[Qty]])</f>
        <v>1</v>
      </c>
      <c r="R2926" s="166">
        <f>IF(Sales[[#This Row],[Status]]="Cancelled",0,Sales[[#This Row],[Total Amount]])</f>
        <v>1277.94</v>
      </c>
      <c r="S2926" s="162">
        <f>SUM(Sales[Net Amount])</f>
        <v>406839287.73200053</v>
      </c>
    </row>
    <row r="2927" spans="1:19" ht="18.75" x14ac:dyDescent="0.25">
      <c r="A2927" s="156" t="s">
        <v>6573</v>
      </c>
      <c r="B2927" s="157">
        <v>45926</v>
      </c>
      <c r="C2927" s="158" t="s">
        <v>755</v>
      </c>
      <c r="D2927" s="159" t="str">
        <f>VLOOKUP(Sales[[#This Row],[Customer ID]],Customer[#All],2,0)</f>
        <v>Sunita Gupta</v>
      </c>
      <c r="E2927" s="158" t="s">
        <v>414</v>
      </c>
      <c r="F2927" s="158" t="str">
        <f>VLOOKUP(Sales[[#This Row],[Product ID]],Product[#All],2,0)</f>
        <v>Logitech Keyboard</v>
      </c>
      <c r="G2927" s="159">
        <v>4</v>
      </c>
      <c r="H2927" s="160">
        <f>VLOOKUP(Sales[[#This Row],[Product ID]],Product[#All],7,0)</f>
        <v>2030</v>
      </c>
      <c r="I2927" s="160">
        <f>Sales[[#This Row],[Selling Rate]]*Sales[[#This Row],[Qty]]</f>
        <v>8120</v>
      </c>
      <c r="J2927" s="43">
        <v>0.05</v>
      </c>
      <c r="K2927" s="44">
        <f>Sales[[#This Row],[Gross Amount]]*Sales[[#This Row],[Disc %]]</f>
        <v>406</v>
      </c>
      <c r="L2927" s="43">
        <v>0.18</v>
      </c>
      <c r="M2927" s="44">
        <f>(Sales[[#This Row],[Gross Amount]]-Sales[[#This Row],[Disc. Amt.]])*Sales[[#This Row],[GST %]]</f>
        <v>1388.52</v>
      </c>
      <c r="N2927" s="161">
        <f>Sales[[#This Row],[Gross Amount]]-Sales[[#This Row],[Disc. Amt.]]+Sales[[#This Row],[GST Amount]]</f>
        <v>9102.52</v>
      </c>
      <c r="O2927" s="158" t="s">
        <v>3561</v>
      </c>
      <c r="P2927" s="158" t="s">
        <v>3562</v>
      </c>
      <c r="Q2927" s="160">
        <f>IF(Sales[[#This Row],[Status]]="Cancelled",0,Sales[[#This Row],[Qty]])</f>
        <v>4</v>
      </c>
      <c r="R2927" s="161">
        <f>IF(Sales[[#This Row],[Status]]="Cancelled",0,Sales[[#This Row],[Total Amount]])</f>
        <v>9102.52</v>
      </c>
      <c r="S2927" s="162">
        <f>SUM(Sales[Net Amount])</f>
        <v>406839287.73200053</v>
      </c>
    </row>
    <row r="2928" spans="1:19" ht="18.75" x14ac:dyDescent="0.25">
      <c r="A2928" s="163" t="s">
        <v>6574</v>
      </c>
      <c r="B2928" s="164">
        <v>45926</v>
      </c>
      <c r="C2928" s="34" t="s">
        <v>670</v>
      </c>
      <c r="D2928" s="53" t="str">
        <f>VLOOKUP(Sales[[#This Row],[Customer ID]],Customer[#All],2,0)</f>
        <v>Rakesh Patel</v>
      </c>
      <c r="E2928" s="34" t="s">
        <v>237</v>
      </c>
      <c r="F2928" s="34" t="str">
        <f>VLOOKUP(Sales[[#This Row],[Product ID]],Product[#All],2,0)</f>
        <v>Jbl Headset</v>
      </c>
      <c r="G2928" s="53">
        <v>7</v>
      </c>
      <c r="H2928" s="165">
        <f>VLOOKUP(Sales[[#This Row],[Product ID]],Product[#All],7,0)</f>
        <v>5520</v>
      </c>
      <c r="I2928" s="165">
        <f>Sales[[#This Row],[Selling Rate]]*Sales[[#This Row],[Qty]]</f>
        <v>38640</v>
      </c>
      <c r="J2928" s="45">
        <v>0</v>
      </c>
      <c r="K2928" s="46">
        <f>Sales[[#This Row],[Gross Amount]]*Sales[[#This Row],[Disc %]]</f>
        <v>0</v>
      </c>
      <c r="L2928" s="43">
        <v>0.18</v>
      </c>
      <c r="M2928" s="46">
        <f>(Sales[[#This Row],[Gross Amount]]-Sales[[#This Row],[Disc. Amt.]])*Sales[[#This Row],[GST %]]</f>
        <v>6955.2</v>
      </c>
      <c r="N2928" s="161">
        <f>Sales[[#This Row],[Gross Amount]]-Sales[[#This Row],[Disc. Amt.]]+Sales[[#This Row],[GST Amount]]</f>
        <v>45595.199999999997</v>
      </c>
      <c r="O2928" s="34" t="s">
        <v>8876</v>
      </c>
      <c r="P2928" s="34" t="s">
        <v>3562</v>
      </c>
      <c r="Q2928" s="165">
        <f>IF(Sales[[#This Row],[Status]]="Cancelled",0,Sales[[#This Row],[Qty]])</f>
        <v>7</v>
      </c>
      <c r="R2928" s="166">
        <f>IF(Sales[[#This Row],[Status]]="Cancelled",0,Sales[[#This Row],[Total Amount]])</f>
        <v>45595.199999999997</v>
      </c>
      <c r="S2928" s="162">
        <f>SUM(Sales[Net Amount])</f>
        <v>406839287.73200053</v>
      </c>
    </row>
    <row r="2929" spans="1:19" ht="18.75" x14ac:dyDescent="0.25">
      <c r="A2929" s="156" t="s">
        <v>6575</v>
      </c>
      <c r="B2929" s="157">
        <v>45926</v>
      </c>
      <c r="C2929" s="158" t="s">
        <v>680</v>
      </c>
      <c r="D2929" s="159" t="str">
        <f>VLOOKUP(Sales[[#This Row],[Customer ID]],Customer[#All],2,0)</f>
        <v>Rahul Kumar</v>
      </c>
      <c r="E2929" s="158" t="s">
        <v>489</v>
      </c>
      <c r="F2929" s="158" t="str">
        <f>VLOOKUP(Sales[[#This Row],[Product ID]],Product[#All],2,0)</f>
        <v>Microtek UPS</v>
      </c>
      <c r="G2929" s="159">
        <v>7</v>
      </c>
      <c r="H2929" s="160">
        <f>VLOOKUP(Sales[[#This Row],[Product ID]],Product[#All],7,0)</f>
        <v>8040</v>
      </c>
      <c r="I2929" s="160">
        <f>Sales[[#This Row],[Selling Rate]]*Sales[[#This Row],[Qty]]</f>
        <v>56280</v>
      </c>
      <c r="J2929" s="43">
        <v>0.1</v>
      </c>
      <c r="K2929" s="44">
        <f>Sales[[#This Row],[Gross Amount]]*Sales[[#This Row],[Disc %]]</f>
        <v>5628</v>
      </c>
      <c r="L2929" s="43">
        <v>0.18</v>
      </c>
      <c r="M2929" s="44">
        <f>(Sales[[#This Row],[Gross Amount]]-Sales[[#This Row],[Disc. Amt.]])*Sales[[#This Row],[GST %]]</f>
        <v>9117.3599999999988</v>
      </c>
      <c r="N2929" s="161">
        <f>Sales[[#This Row],[Gross Amount]]-Sales[[#This Row],[Disc. Amt.]]+Sales[[#This Row],[GST Amount]]</f>
        <v>59769.36</v>
      </c>
      <c r="O2929" s="158" t="s">
        <v>3569</v>
      </c>
      <c r="P2929" s="158" t="s">
        <v>3562</v>
      </c>
      <c r="Q2929" s="160">
        <f>IF(Sales[[#This Row],[Status]]="Cancelled",0,Sales[[#This Row],[Qty]])</f>
        <v>7</v>
      </c>
      <c r="R2929" s="161">
        <f>IF(Sales[[#This Row],[Status]]="Cancelled",0,Sales[[#This Row],[Total Amount]])</f>
        <v>59769.36</v>
      </c>
      <c r="S2929" s="162">
        <f>SUM(Sales[Net Amount])</f>
        <v>406839287.73200053</v>
      </c>
    </row>
    <row r="2930" spans="1:19" ht="18.75" x14ac:dyDescent="0.25">
      <c r="A2930" s="163" t="s">
        <v>6576</v>
      </c>
      <c r="B2930" s="164">
        <v>45926</v>
      </c>
      <c r="C2930" s="34" t="s">
        <v>701</v>
      </c>
      <c r="D2930" s="53" t="str">
        <f>VLOOKUP(Sales[[#This Row],[Customer ID]],Customer[#All],2,0)</f>
        <v>Ankit Kumar</v>
      </c>
      <c r="E2930" s="34" t="s">
        <v>479</v>
      </c>
      <c r="F2930" s="34" t="str">
        <f>VLOOKUP(Sales[[#This Row],[Product ID]],Product[#All],2,0)</f>
        <v>TP-link Router</v>
      </c>
      <c r="G2930" s="53">
        <v>6</v>
      </c>
      <c r="H2930" s="165">
        <f>VLOOKUP(Sales[[#This Row],[Product ID]],Product[#All],7,0)</f>
        <v>5740</v>
      </c>
      <c r="I2930" s="165">
        <f>Sales[[#This Row],[Selling Rate]]*Sales[[#This Row],[Qty]]</f>
        <v>34440</v>
      </c>
      <c r="J2930" s="45">
        <v>0.02</v>
      </c>
      <c r="K2930" s="46">
        <f>Sales[[#This Row],[Gross Amount]]*Sales[[#This Row],[Disc %]]</f>
        <v>688.80000000000007</v>
      </c>
      <c r="L2930" s="43">
        <v>0.18</v>
      </c>
      <c r="M2930" s="46">
        <f>(Sales[[#This Row],[Gross Amount]]-Sales[[#This Row],[Disc. Amt.]])*Sales[[#This Row],[GST %]]</f>
        <v>6075.2159999999994</v>
      </c>
      <c r="N2930" s="161">
        <f>Sales[[#This Row],[Gross Amount]]-Sales[[#This Row],[Disc. Amt.]]+Sales[[#This Row],[GST Amount]]</f>
        <v>39826.415999999997</v>
      </c>
      <c r="O2930" s="34" t="s">
        <v>3561</v>
      </c>
      <c r="P2930" s="34" t="s">
        <v>3562</v>
      </c>
      <c r="Q2930" s="165">
        <f>IF(Sales[[#This Row],[Status]]="Cancelled",0,Sales[[#This Row],[Qty]])</f>
        <v>6</v>
      </c>
      <c r="R2930" s="166">
        <f>IF(Sales[[#This Row],[Status]]="Cancelled",0,Sales[[#This Row],[Total Amount]])</f>
        <v>39826.415999999997</v>
      </c>
      <c r="S2930" s="162">
        <f>SUM(Sales[Net Amount])</f>
        <v>406839287.73200053</v>
      </c>
    </row>
    <row r="2931" spans="1:19" ht="18.75" x14ac:dyDescent="0.25">
      <c r="A2931" s="156" t="s">
        <v>6577</v>
      </c>
      <c r="B2931" s="157">
        <v>45926</v>
      </c>
      <c r="C2931" s="158" t="s">
        <v>688</v>
      </c>
      <c r="D2931" s="159" t="str">
        <f>VLOOKUP(Sales[[#This Row],[Customer ID]],Customer[#All],2,0)</f>
        <v>Rahul Verma</v>
      </c>
      <c r="E2931" s="158" t="s">
        <v>96</v>
      </c>
      <c r="F2931" s="158" t="str">
        <f>VLOOKUP(Sales[[#This Row],[Product ID]],Product[#All],2,0)</f>
        <v>Corsair Ram</v>
      </c>
      <c r="G2931" s="159">
        <v>1</v>
      </c>
      <c r="H2931" s="160">
        <f>VLOOKUP(Sales[[#This Row],[Product ID]],Product[#All],7,0)</f>
        <v>4570</v>
      </c>
      <c r="I2931" s="160">
        <f>Sales[[#This Row],[Selling Rate]]*Sales[[#This Row],[Qty]]</f>
        <v>4570</v>
      </c>
      <c r="J2931" s="43">
        <v>0</v>
      </c>
      <c r="K2931" s="44">
        <f>Sales[[#This Row],[Gross Amount]]*Sales[[#This Row],[Disc %]]</f>
        <v>0</v>
      </c>
      <c r="L2931" s="43">
        <v>0.18</v>
      </c>
      <c r="M2931" s="44">
        <f>(Sales[[#This Row],[Gross Amount]]-Sales[[#This Row],[Disc. Amt.]])*Sales[[#This Row],[GST %]]</f>
        <v>822.6</v>
      </c>
      <c r="N2931" s="161">
        <f>Sales[[#This Row],[Gross Amount]]-Sales[[#This Row],[Disc. Amt.]]+Sales[[#This Row],[GST Amount]]</f>
        <v>5392.6</v>
      </c>
      <c r="O2931" s="158" t="s">
        <v>3569</v>
      </c>
      <c r="P2931" s="158" t="s">
        <v>3562</v>
      </c>
      <c r="Q2931" s="160">
        <f>IF(Sales[[#This Row],[Status]]="Cancelled",0,Sales[[#This Row],[Qty]])</f>
        <v>1</v>
      </c>
      <c r="R2931" s="161">
        <f>IF(Sales[[#This Row],[Status]]="Cancelled",0,Sales[[#This Row],[Total Amount]])</f>
        <v>5392.6</v>
      </c>
      <c r="S2931" s="162">
        <f>SUM(Sales[Net Amount])</f>
        <v>406839287.73200053</v>
      </c>
    </row>
    <row r="2932" spans="1:19" ht="18.75" x14ac:dyDescent="0.25">
      <c r="A2932" s="163" t="s">
        <v>6578</v>
      </c>
      <c r="B2932" s="164">
        <v>45926</v>
      </c>
      <c r="C2932" s="34" t="s">
        <v>900</v>
      </c>
      <c r="D2932" s="53" t="str">
        <f>VLOOKUP(Sales[[#This Row],[Customer ID]],Customer[#All],2,0)</f>
        <v>Neha Kumar</v>
      </c>
      <c r="E2932" s="34" t="s">
        <v>67</v>
      </c>
      <c r="F2932" s="34" t="str">
        <f>VLOOKUP(Sales[[#This Row],[Product ID]],Product[#All],2,0)</f>
        <v>TP-link Wi-Fi Adapter</v>
      </c>
      <c r="G2932" s="53">
        <v>4</v>
      </c>
      <c r="H2932" s="165">
        <f>VLOOKUP(Sales[[#This Row],[Product ID]],Product[#All],7,0)</f>
        <v>2990</v>
      </c>
      <c r="I2932" s="165">
        <f>Sales[[#This Row],[Selling Rate]]*Sales[[#This Row],[Qty]]</f>
        <v>11960</v>
      </c>
      <c r="J2932" s="45">
        <v>0.12</v>
      </c>
      <c r="K2932" s="46">
        <f>Sales[[#This Row],[Gross Amount]]*Sales[[#This Row],[Disc %]]</f>
        <v>1435.2</v>
      </c>
      <c r="L2932" s="43">
        <v>0.18</v>
      </c>
      <c r="M2932" s="46">
        <f>(Sales[[#This Row],[Gross Amount]]-Sales[[#This Row],[Disc. Amt.]])*Sales[[#This Row],[GST %]]</f>
        <v>1894.4639999999997</v>
      </c>
      <c r="N2932" s="161">
        <f>Sales[[#This Row],[Gross Amount]]-Sales[[#This Row],[Disc. Amt.]]+Sales[[#This Row],[GST Amount]]</f>
        <v>12419.263999999999</v>
      </c>
      <c r="O2932" s="34" t="s">
        <v>3569</v>
      </c>
      <c r="P2932" s="34" t="s">
        <v>3562</v>
      </c>
      <c r="Q2932" s="165">
        <f>IF(Sales[[#This Row],[Status]]="Cancelled",0,Sales[[#This Row],[Qty]])</f>
        <v>4</v>
      </c>
      <c r="R2932" s="166">
        <f>IF(Sales[[#This Row],[Status]]="Cancelled",0,Sales[[#This Row],[Total Amount]])</f>
        <v>12419.263999999999</v>
      </c>
      <c r="S2932" s="162">
        <f>SUM(Sales[Net Amount])</f>
        <v>406839287.73200053</v>
      </c>
    </row>
    <row r="2933" spans="1:19" ht="18.75" x14ac:dyDescent="0.25">
      <c r="A2933" s="156" t="s">
        <v>6579</v>
      </c>
      <c r="B2933" s="157">
        <v>45926</v>
      </c>
      <c r="C2933" s="158" t="s">
        <v>713</v>
      </c>
      <c r="D2933" s="159" t="str">
        <f>VLOOKUP(Sales[[#This Row],[Customer ID]],Customer[#All],2,0)</f>
        <v>Amit Gupta</v>
      </c>
      <c r="E2933" s="158" t="s">
        <v>325</v>
      </c>
      <c r="F2933" s="158" t="str">
        <f>VLOOKUP(Sales[[#This Row],[Product ID]],Product[#All],2,0)</f>
        <v>Dell Power Adapter</v>
      </c>
      <c r="G2933" s="159">
        <v>2</v>
      </c>
      <c r="H2933" s="160">
        <f>VLOOKUP(Sales[[#This Row],[Product ID]],Product[#All],7,0)</f>
        <v>1630</v>
      </c>
      <c r="I2933" s="160">
        <f>Sales[[#This Row],[Selling Rate]]*Sales[[#This Row],[Qty]]</f>
        <v>3260</v>
      </c>
      <c r="J2933" s="43">
        <v>0.15</v>
      </c>
      <c r="K2933" s="44">
        <f>Sales[[#This Row],[Gross Amount]]*Sales[[#This Row],[Disc %]]</f>
        <v>489</v>
      </c>
      <c r="L2933" s="43">
        <v>0.18</v>
      </c>
      <c r="M2933" s="44">
        <f>(Sales[[#This Row],[Gross Amount]]-Sales[[#This Row],[Disc. Amt.]])*Sales[[#This Row],[GST %]]</f>
        <v>498.78</v>
      </c>
      <c r="N2933" s="161">
        <f>Sales[[#This Row],[Gross Amount]]-Sales[[#This Row],[Disc. Amt.]]+Sales[[#This Row],[GST Amount]]</f>
        <v>3269.7799999999997</v>
      </c>
      <c r="O2933" s="158" t="s">
        <v>3566</v>
      </c>
      <c r="P2933" s="158" t="s">
        <v>3562</v>
      </c>
      <c r="Q2933" s="160">
        <f>IF(Sales[[#This Row],[Status]]="Cancelled",0,Sales[[#This Row],[Qty]])</f>
        <v>2</v>
      </c>
      <c r="R2933" s="161">
        <f>IF(Sales[[#This Row],[Status]]="Cancelled",0,Sales[[#This Row],[Total Amount]])</f>
        <v>3269.7799999999997</v>
      </c>
      <c r="S2933" s="162">
        <f>SUM(Sales[Net Amount])</f>
        <v>406839287.73200053</v>
      </c>
    </row>
    <row r="2934" spans="1:19" ht="18.75" x14ac:dyDescent="0.25">
      <c r="A2934" s="163" t="s">
        <v>6580</v>
      </c>
      <c r="B2934" s="164">
        <v>45926</v>
      </c>
      <c r="C2934" s="34" t="s">
        <v>826</v>
      </c>
      <c r="D2934" s="53" t="str">
        <f>VLOOKUP(Sales[[#This Row],[Customer ID]],Customer[#All],2,0)</f>
        <v>Sahil Sharma</v>
      </c>
      <c r="E2934" s="34" t="s">
        <v>59</v>
      </c>
      <c r="F2934" s="34" t="str">
        <f>VLOOKUP(Sales[[#This Row],[Product ID]],Product[#All],2,0)</f>
        <v>Amazon Basics Hdmi Cable</v>
      </c>
      <c r="G2934" s="53">
        <v>6</v>
      </c>
      <c r="H2934" s="165">
        <f>VLOOKUP(Sales[[#This Row],[Product ID]],Product[#All],7,0)</f>
        <v>1160</v>
      </c>
      <c r="I2934" s="165">
        <f>Sales[[#This Row],[Selling Rate]]*Sales[[#This Row],[Qty]]</f>
        <v>6960</v>
      </c>
      <c r="J2934" s="45">
        <v>0.1</v>
      </c>
      <c r="K2934" s="46">
        <f>Sales[[#This Row],[Gross Amount]]*Sales[[#This Row],[Disc %]]</f>
        <v>696</v>
      </c>
      <c r="L2934" s="43">
        <v>0.18</v>
      </c>
      <c r="M2934" s="46">
        <f>(Sales[[#This Row],[Gross Amount]]-Sales[[#This Row],[Disc. Amt.]])*Sales[[#This Row],[GST %]]</f>
        <v>1127.52</v>
      </c>
      <c r="N2934" s="161">
        <f>Sales[[#This Row],[Gross Amount]]-Sales[[#This Row],[Disc. Amt.]]+Sales[[#This Row],[GST Amount]]</f>
        <v>7391.52</v>
      </c>
      <c r="O2934" s="34" t="s">
        <v>3561</v>
      </c>
      <c r="P2934" s="34" t="s">
        <v>3562</v>
      </c>
      <c r="Q2934" s="165">
        <f>IF(Sales[[#This Row],[Status]]="Cancelled",0,Sales[[#This Row],[Qty]])</f>
        <v>6</v>
      </c>
      <c r="R2934" s="166">
        <f>IF(Sales[[#This Row],[Status]]="Cancelled",0,Sales[[#This Row],[Total Amount]])</f>
        <v>7391.52</v>
      </c>
      <c r="S2934" s="162">
        <f>SUM(Sales[Net Amount])</f>
        <v>406839287.73200053</v>
      </c>
    </row>
    <row r="2935" spans="1:19" ht="18.75" x14ac:dyDescent="0.25">
      <c r="A2935" s="156" t="s">
        <v>6581</v>
      </c>
      <c r="B2935" s="157">
        <v>45926</v>
      </c>
      <c r="C2935" s="158" t="s">
        <v>759</v>
      </c>
      <c r="D2935" s="159" t="str">
        <f>VLOOKUP(Sales[[#This Row],[Customer ID]],Customer[#All],2,0)</f>
        <v>Ankit Sharma</v>
      </c>
      <c r="E2935" s="158" t="s">
        <v>325</v>
      </c>
      <c r="F2935" s="158" t="str">
        <f>VLOOKUP(Sales[[#This Row],[Product ID]],Product[#All],2,0)</f>
        <v>Dell Power Adapter</v>
      </c>
      <c r="G2935" s="159">
        <v>5</v>
      </c>
      <c r="H2935" s="160">
        <f>VLOOKUP(Sales[[#This Row],[Product ID]],Product[#All],7,0)</f>
        <v>1630</v>
      </c>
      <c r="I2935" s="160">
        <f>Sales[[#This Row],[Selling Rate]]*Sales[[#This Row],[Qty]]</f>
        <v>8150</v>
      </c>
      <c r="J2935" s="43">
        <v>0.02</v>
      </c>
      <c r="K2935" s="44">
        <f>Sales[[#This Row],[Gross Amount]]*Sales[[#This Row],[Disc %]]</f>
        <v>163</v>
      </c>
      <c r="L2935" s="43">
        <v>0.18</v>
      </c>
      <c r="M2935" s="44">
        <f>(Sales[[#This Row],[Gross Amount]]-Sales[[#This Row],[Disc. Amt.]])*Sales[[#This Row],[GST %]]</f>
        <v>1437.6599999999999</v>
      </c>
      <c r="N2935" s="161">
        <f>Sales[[#This Row],[Gross Amount]]-Sales[[#This Row],[Disc. Amt.]]+Sales[[#This Row],[GST Amount]]</f>
        <v>9424.66</v>
      </c>
      <c r="O2935" s="158" t="s">
        <v>8876</v>
      </c>
      <c r="P2935" s="158" t="s">
        <v>3562</v>
      </c>
      <c r="Q2935" s="160">
        <f>IF(Sales[[#This Row],[Status]]="Cancelled",0,Sales[[#This Row],[Qty]])</f>
        <v>5</v>
      </c>
      <c r="R2935" s="161">
        <f>IF(Sales[[#This Row],[Status]]="Cancelled",0,Sales[[#This Row],[Total Amount]])</f>
        <v>9424.66</v>
      </c>
      <c r="S2935" s="162">
        <f>SUM(Sales[Net Amount])</f>
        <v>406839287.73200053</v>
      </c>
    </row>
    <row r="2936" spans="1:19" ht="18.75" x14ac:dyDescent="0.25">
      <c r="A2936" s="163" t="s">
        <v>6582</v>
      </c>
      <c r="B2936" s="164">
        <v>45926</v>
      </c>
      <c r="C2936" s="34" t="s">
        <v>834</v>
      </c>
      <c r="D2936" s="53" t="str">
        <f>VLOOKUP(Sales[[#This Row],[Customer ID]],Customer[#All],2,0)</f>
        <v>Rahul Verma</v>
      </c>
      <c r="E2936" s="34" t="s">
        <v>252</v>
      </c>
      <c r="F2936" s="34" t="str">
        <f>VLOOKUP(Sales[[#This Row],[Product ID]],Product[#All],2,0)</f>
        <v>Dell Laptop</v>
      </c>
      <c r="G2936" s="53">
        <v>2</v>
      </c>
      <c r="H2936" s="165">
        <f>VLOOKUP(Sales[[#This Row],[Product ID]],Product[#All],7,0)</f>
        <v>61580</v>
      </c>
      <c r="I2936" s="165">
        <f>Sales[[#This Row],[Selling Rate]]*Sales[[#This Row],[Qty]]</f>
        <v>123160</v>
      </c>
      <c r="J2936" s="45">
        <v>0.12</v>
      </c>
      <c r="K2936" s="46">
        <f>Sales[[#This Row],[Gross Amount]]*Sales[[#This Row],[Disc %]]</f>
        <v>14779.199999999999</v>
      </c>
      <c r="L2936" s="43">
        <v>0.18</v>
      </c>
      <c r="M2936" s="46">
        <f>(Sales[[#This Row],[Gross Amount]]-Sales[[#This Row],[Disc. Amt.]])*Sales[[#This Row],[GST %]]</f>
        <v>19508.543999999998</v>
      </c>
      <c r="N2936" s="161">
        <f>Sales[[#This Row],[Gross Amount]]-Sales[[#This Row],[Disc. Amt.]]+Sales[[#This Row],[GST Amount]]</f>
        <v>127889.344</v>
      </c>
      <c r="O2936" s="34" t="s">
        <v>3569</v>
      </c>
      <c r="P2936" s="34" t="s">
        <v>3562</v>
      </c>
      <c r="Q2936" s="165">
        <f>IF(Sales[[#This Row],[Status]]="Cancelled",0,Sales[[#This Row],[Qty]])</f>
        <v>2</v>
      </c>
      <c r="R2936" s="166">
        <f>IF(Sales[[#This Row],[Status]]="Cancelled",0,Sales[[#This Row],[Total Amount]])</f>
        <v>127889.344</v>
      </c>
      <c r="S2936" s="162">
        <f>SUM(Sales[Net Amount])</f>
        <v>406839287.73200053</v>
      </c>
    </row>
    <row r="2937" spans="1:19" ht="18.75" x14ac:dyDescent="0.25">
      <c r="A2937" s="156" t="s">
        <v>6583</v>
      </c>
      <c r="B2937" s="157">
        <v>45926</v>
      </c>
      <c r="C2937" s="158" t="s">
        <v>865</v>
      </c>
      <c r="D2937" s="159" t="str">
        <f>VLOOKUP(Sales[[#This Row],[Customer ID]],Customer[#All],2,0)</f>
        <v>Sunita Gupta</v>
      </c>
      <c r="E2937" s="158" t="s">
        <v>123</v>
      </c>
      <c r="F2937" s="158" t="str">
        <f>VLOOKUP(Sales[[#This Row],[Product ID]],Product[#All],2,0)</f>
        <v>HP Mouse</v>
      </c>
      <c r="G2937" s="159">
        <v>5</v>
      </c>
      <c r="H2937" s="160">
        <f>VLOOKUP(Sales[[#This Row],[Product ID]],Product[#All],7,0)</f>
        <v>2480</v>
      </c>
      <c r="I2937" s="160">
        <f>Sales[[#This Row],[Selling Rate]]*Sales[[#This Row],[Qty]]</f>
        <v>12400</v>
      </c>
      <c r="J2937" s="43">
        <v>0.1</v>
      </c>
      <c r="K2937" s="44">
        <f>Sales[[#This Row],[Gross Amount]]*Sales[[#This Row],[Disc %]]</f>
        <v>1240</v>
      </c>
      <c r="L2937" s="43">
        <v>0.18</v>
      </c>
      <c r="M2937" s="44">
        <f>(Sales[[#This Row],[Gross Amount]]-Sales[[#This Row],[Disc. Amt.]])*Sales[[#This Row],[GST %]]</f>
        <v>2008.8</v>
      </c>
      <c r="N2937" s="161">
        <f>Sales[[#This Row],[Gross Amount]]-Sales[[#This Row],[Disc. Amt.]]+Sales[[#This Row],[GST Amount]]</f>
        <v>13168.8</v>
      </c>
      <c r="O2937" s="158" t="s">
        <v>8876</v>
      </c>
      <c r="P2937" s="158" t="s">
        <v>3562</v>
      </c>
      <c r="Q2937" s="160">
        <f>IF(Sales[[#This Row],[Status]]="Cancelled",0,Sales[[#This Row],[Qty]])</f>
        <v>5</v>
      </c>
      <c r="R2937" s="161">
        <f>IF(Sales[[#This Row],[Status]]="Cancelled",0,Sales[[#This Row],[Total Amount]])</f>
        <v>13168.8</v>
      </c>
      <c r="S2937" s="162">
        <f>SUM(Sales[Net Amount])</f>
        <v>406839287.73200053</v>
      </c>
    </row>
    <row r="2938" spans="1:19" ht="18.75" x14ac:dyDescent="0.25">
      <c r="A2938" s="163" t="s">
        <v>6584</v>
      </c>
      <c r="B2938" s="164">
        <v>45926</v>
      </c>
      <c r="C2938" s="34" t="s">
        <v>794</v>
      </c>
      <c r="D2938" s="53" t="str">
        <f>VLOOKUP(Sales[[#This Row],[Customer ID]],Customer[#All],2,0)</f>
        <v>Sunita Sharma</v>
      </c>
      <c r="E2938" s="34" t="s">
        <v>189</v>
      </c>
      <c r="F2938" s="34" t="str">
        <f>VLOOKUP(Sales[[#This Row],[Product ID]],Product[#All],2,0)</f>
        <v>Boat Headset</v>
      </c>
      <c r="G2938" s="53">
        <v>5</v>
      </c>
      <c r="H2938" s="165">
        <f>VLOOKUP(Sales[[#This Row],[Product ID]],Product[#All],7,0)</f>
        <v>1610</v>
      </c>
      <c r="I2938" s="165">
        <f>Sales[[#This Row],[Selling Rate]]*Sales[[#This Row],[Qty]]</f>
        <v>8050</v>
      </c>
      <c r="J2938" s="45">
        <v>0.12</v>
      </c>
      <c r="K2938" s="46">
        <f>Sales[[#This Row],[Gross Amount]]*Sales[[#This Row],[Disc %]]</f>
        <v>966</v>
      </c>
      <c r="L2938" s="43">
        <v>0.18</v>
      </c>
      <c r="M2938" s="46">
        <f>(Sales[[#This Row],[Gross Amount]]-Sales[[#This Row],[Disc. Amt.]])*Sales[[#This Row],[GST %]]</f>
        <v>1275.1199999999999</v>
      </c>
      <c r="N2938" s="161">
        <f>Sales[[#This Row],[Gross Amount]]-Sales[[#This Row],[Disc. Amt.]]+Sales[[#This Row],[GST Amount]]</f>
        <v>8359.119999999999</v>
      </c>
      <c r="O2938" s="34" t="s">
        <v>3561</v>
      </c>
      <c r="P2938" s="34" t="s">
        <v>3562</v>
      </c>
      <c r="Q2938" s="165">
        <f>IF(Sales[[#This Row],[Status]]="Cancelled",0,Sales[[#This Row],[Qty]])</f>
        <v>5</v>
      </c>
      <c r="R2938" s="166">
        <f>IF(Sales[[#This Row],[Status]]="Cancelled",0,Sales[[#This Row],[Total Amount]])</f>
        <v>8359.119999999999</v>
      </c>
      <c r="S2938" s="162">
        <f>SUM(Sales[Net Amount])</f>
        <v>406839287.73200053</v>
      </c>
    </row>
    <row r="2939" spans="1:19" ht="18.75" x14ac:dyDescent="0.25">
      <c r="A2939" s="156" t="s">
        <v>6585</v>
      </c>
      <c r="B2939" s="157">
        <v>45927</v>
      </c>
      <c r="C2939" s="158" t="s">
        <v>916</v>
      </c>
      <c r="D2939" s="159" t="str">
        <f>VLOOKUP(Sales[[#This Row],[Customer ID]],Customer[#All],2,0)</f>
        <v>Ankit Singh</v>
      </c>
      <c r="E2939" s="158" t="s">
        <v>51</v>
      </c>
      <c r="F2939" s="158" t="str">
        <f>VLOOKUP(Sales[[#This Row],[Product ID]],Product[#All],2,0)</f>
        <v>Boat Speaker</v>
      </c>
      <c r="G2939" s="159">
        <v>3</v>
      </c>
      <c r="H2939" s="160">
        <f>VLOOKUP(Sales[[#This Row],[Product ID]],Product[#All],7,0)</f>
        <v>4730</v>
      </c>
      <c r="I2939" s="160">
        <f>Sales[[#This Row],[Selling Rate]]*Sales[[#This Row],[Qty]]</f>
        <v>14190</v>
      </c>
      <c r="J2939" s="43">
        <v>0.05</v>
      </c>
      <c r="K2939" s="44">
        <f>Sales[[#This Row],[Gross Amount]]*Sales[[#This Row],[Disc %]]</f>
        <v>709.5</v>
      </c>
      <c r="L2939" s="43">
        <v>0.18</v>
      </c>
      <c r="M2939" s="44">
        <f>(Sales[[#This Row],[Gross Amount]]-Sales[[#This Row],[Disc. Amt.]])*Sales[[#This Row],[GST %]]</f>
        <v>2426.4899999999998</v>
      </c>
      <c r="N2939" s="161">
        <f>Sales[[#This Row],[Gross Amount]]-Sales[[#This Row],[Disc. Amt.]]+Sales[[#This Row],[GST Amount]]</f>
        <v>15906.99</v>
      </c>
      <c r="O2939" s="158" t="s">
        <v>3566</v>
      </c>
      <c r="P2939" s="158" t="s">
        <v>3562</v>
      </c>
      <c r="Q2939" s="160">
        <f>IF(Sales[[#This Row],[Status]]="Cancelled",0,Sales[[#This Row],[Qty]])</f>
        <v>3</v>
      </c>
      <c r="R2939" s="161">
        <f>IF(Sales[[#This Row],[Status]]="Cancelled",0,Sales[[#This Row],[Total Amount]])</f>
        <v>15906.99</v>
      </c>
      <c r="S2939" s="162">
        <f>SUM(Sales[Net Amount])</f>
        <v>406839287.73200053</v>
      </c>
    </row>
    <row r="2940" spans="1:19" ht="18.75" x14ac:dyDescent="0.25">
      <c r="A2940" s="163" t="s">
        <v>6586</v>
      </c>
      <c r="B2940" s="164">
        <v>45927</v>
      </c>
      <c r="C2940" s="34" t="s">
        <v>656</v>
      </c>
      <c r="D2940" s="53" t="str">
        <f>VLOOKUP(Sales[[#This Row],[Customer ID]],Customer[#All],2,0)</f>
        <v>Rahul Kumar</v>
      </c>
      <c r="E2940" s="34" t="s">
        <v>148</v>
      </c>
      <c r="F2940" s="34" t="str">
        <f>VLOOKUP(Sales[[#This Row],[Product ID]],Product[#All],2,0)</f>
        <v>Dell Monitor</v>
      </c>
      <c r="G2940" s="53">
        <v>4</v>
      </c>
      <c r="H2940" s="165">
        <f>VLOOKUP(Sales[[#This Row],[Product ID]],Product[#All],7,0)</f>
        <v>20170</v>
      </c>
      <c r="I2940" s="165">
        <f>Sales[[#This Row],[Selling Rate]]*Sales[[#This Row],[Qty]]</f>
        <v>80680</v>
      </c>
      <c r="J2940" s="45">
        <v>0</v>
      </c>
      <c r="K2940" s="46">
        <f>Sales[[#This Row],[Gross Amount]]*Sales[[#This Row],[Disc %]]</f>
        <v>0</v>
      </c>
      <c r="L2940" s="43">
        <v>0.18</v>
      </c>
      <c r="M2940" s="46">
        <f>(Sales[[#This Row],[Gross Amount]]-Sales[[#This Row],[Disc. Amt.]])*Sales[[#This Row],[GST %]]</f>
        <v>14522.4</v>
      </c>
      <c r="N2940" s="161">
        <f>Sales[[#This Row],[Gross Amount]]-Sales[[#This Row],[Disc. Amt.]]+Sales[[#This Row],[GST Amount]]</f>
        <v>95202.4</v>
      </c>
      <c r="O2940" s="34" t="s">
        <v>3561</v>
      </c>
      <c r="P2940" s="34" t="s">
        <v>3562</v>
      </c>
      <c r="Q2940" s="165">
        <f>IF(Sales[[#This Row],[Status]]="Cancelled",0,Sales[[#This Row],[Qty]])</f>
        <v>4</v>
      </c>
      <c r="R2940" s="166">
        <f>IF(Sales[[#This Row],[Status]]="Cancelled",0,Sales[[#This Row],[Total Amount]])</f>
        <v>95202.4</v>
      </c>
      <c r="S2940" s="162">
        <f>SUM(Sales[Net Amount])</f>
        <v>406839287.73200053</v>
      </c>
    </row>
    <row r="2941" spans="1:19" ht="18.75" x14ac:dyDescent="0.25">
      <c r="A2941" s="156" t="s">
        <v>6587</v>
      </c>
      <c r="B2941" s="157">
        <v>45927</v>
      </c>
      <c r="C2941" s="158" t="s">
        <v>864</v>
      </c>
      <c r="D2941" s="159" t="str">
        <f>VLOOKUP(Sales[[#This Row],[Customer ID]],Customer[#All],2,0)</f>
        <v>Sahil Sharma</v>
      </c>
      <c r="E2941" s="158" t="s">
        <v>321</v>
      </c>
      <c r="F2941" s="158" t="str">
        <f>VLOOKUP(Sales[[#This Row],[Product ID]],Product[#All],2,0)</f>
        <v>WD HDD</v>
      </c>
      <c r="G2941" s="159">
        <v>4</v>
      </c>
      <c r="H2941" s="160">
        <f>VLOOKUP(Sales[[#This Row],[Product ID]],Product[#All],7,0)</f>
        <v>6810</v>
      </c>
      <c r="I2941" s="160">
        <f>Sales[[#This Row],[Selling Rate]]*Sales[[#This Row],[Qty]]</f>
        <v>27240</v>
      </c>
      <c r="J2941" s="43">
        <v>0.02</v>
      </c>
      <c r="K2941" s="44">
        <f>Sales[[#This Row],[Gross Amount]]*Sales[[#This Row],[Disc %]]</f>
        <v>544.79999999999995</v>
      </c>
      <c r="L2941" s="43">
        <v>0.18</v>
      </c>
      <c r="M2941" s="44">
        <f>(Sales[[#This Row],[Gross Amount]]-Sales[[#This Row],[Disc. Amt.]])*Sales[[#This Row],[GST %]]</f>
        <v>4805.1359999999995</v>
      </c>
      <c r="N2941" s="161">
        <f>Sales[[#This Row],[Gross Amount]]-Sales[[#This Row],[Disc. Amt.]]+Sales[[#This Row],[GST Amount]]</f>
        <v>31500.335999999999</v>
      </c>
      <c r="O2941" s="158" t="s">
        <v>3566</v>
      </c>
      <c r="P2941" s="158" t="s">
        <v>3562</v>
      </c>
      <c r="Q2941" s="160">
        <f>IF(Sales[[#This Row],[Status]]="Cancelled",0,Sales[[#This Row],[Qty]])</f>
        <v>4</v>
      </c>
      <c r="R2941" s="161">
        <f>IF(Sales[[#This Row],[Status]]="Cancelled",0,Sales[[#This Row],[Total Amount]])</f>
        <v>31500.335999999999</v>
      </c>
      <c r="S2941" s="162">
        <f>SUM(Sales[Net Amount])</f>
        <v>406839287.73200053</v>
      </c>
    </row>
    <row r="2942" spans="1:19" ht="18.75" x14ac:dyDescent="0.25">
      <c r="A2942" s="163" t="s">
        <v>6588</v>
      </c>
      <c r="B2942" s="164">
        <v>45927</v>
      </c>
      <c r="C2942" s="34" t="s">
        <v>928</v>
      </c>
      <c r="D2942" s="53" t="str">
        <f>VLOOKUP(Sales[[#This Row],[Customer ID]],Customer[#All],2,0)</f>
        <v>Rahul Kumar</v>
      </c>
      <c r="E2942" s="34" t="s">
        <v>543</v>
      </c>
      <c r="F2942" s="34" t="str">
        <f>VLOOKUP(Sales[[#This Row],[Product ID]],Product[#All],2,0)</f>
        <v>Logitech Mouse</v>
      </c>
      <c r="G2942" s="53">
        <v>8</v>
      </c>
      <c r="H2942" s="165">
        <f>VLOOKUP(Sales[[#This Row],[Product ID]],Product[#All],7,0)</f>
        <v>2430</v>
      </c>
      <c r="I2942" s="165">
        <f>Sales[[#This Row],[Selling Rate]]*Sales[[#This Row],[Qty]]</f>
        <v>19440</v>
      </c>
      <c r="J2942" s="45">
        <v>0.12</v>
      </c>
      <c r="K2942" s="46">
        <f>Sales[[#This Row],[Gross Amount]]*Sales[[#This Row],[Disc %]]</f>
        <v>2332.7999999999997</v>
      </c>
      <c r="L2942" s="43">
        <v>0.18</v>
      </c>
      <c r="M2942" s="46">
        <f>(Sales[[#This Row],[Gross Amount]]-Sales[[#This Row],[Disc. Amt.]])*Sales[[#This Row],[GST %]]</f>
        <v>3079.2959999999998</v>
      </c>
      <c r="N2942" s="161">
        <f>Sales[[#This Row],[Gross Amount]]-Sales[[#This Row],[Disc. Amt.]]+Sales[[#This Row],[GST Amount]]</f>
        <v>20186.495999999999</v>
      </c>
      <c r="O2942" s="34" t="s">
        <v>3566</v>
      </c>
      <c r="P2942" s="34" t="s">
        <v>3562</v>
      </c>
      <c r="Q2942" s="165">
        <f>IF(Sales[[#This Row],[Status]]="Cancelled",0,Sales[[#This Row],[Qty]])</f>
        <v>8</v>
      </c>
      <c r="R2942" s="166">
        <f>IF(Sales[[#This Row],[Status]]="Cancelled",0,Sales[[#This Row],[Total Amount]])</f>
        <v>20186.495999999999</v>
      </c>
      <c r="S2942" s="162">
        <f>SUM(Sales[Net Amount])</f>
        <v>406839287.73200053</v>
      </c>
    </row>
    <row r="2943" spans="1:19" ht="18.75" x14ac:dyDescent="0.25">
      <c r="A2943" s="156" t="s">
        <v>6589</v>
      </c>
      <c r="B2943" s="157">
        <v>45927</v>
      </c>
      <c r="C2943" s="158" t="s">
        <v>861</v>
      </c>
      <c r="D2943" s="159" t="str">
        <f>VLOOKUP(Sales[[#This Row],[Customer ID]],Customer[#All],2,0)</f>
        <v>Rakesh Patel</v>
      </c>
      <c r="E2943" s="158" t="s">
        <v>93</v>
      </c>
      <c r="F2943" s="158" t="str">
        <f>VLOOKUP(Sales[[#This Row],[Product ID]],Product[#All],2,0)</f>
        <v>PortronicsLaptopStand</v>
      </c>
      <c r="G2943" s="159">
        <v>7</v>
      </c>
      <c r="H2943" s="160">
        <f>VLOOKUP(Sales[[#This Row],[Product ID]],Product[#All],7,0)</f>
        <v>1650</v>
      </c>
      <c r="I2943" s="160">
        <f>Sales[[#This Row],[Selling Rate]]*Sales[[#This Row],[Qty]]</f>
        <v>11550</v>
      </c>
      <c r="J2943" s="43">
        <v>0.05</v>
      </c>
      <c r="K2943" s="44">
        <f>Sales[[#This Row],[Gross Amount]]*Sales[[#This Row],[Disc %]]</f>
        <v>577.5</v>
      </c>
      <c r="L2943" s="43">
        <v>0.18</v>
      </c>
      <c r="M2943" s="44">
        <f>(Sales[[#This Row],[Gross Amount]]-Sales[[#This Row],[Disc. Amt.]])*Sales[[#This Row],[GST %]]</f>
        <v>1975.05</v>
      </c>
      <c r="N2943" s="161">
        <f>Sales[[#This Row],[Gross Amount]]-Sales[[#This Row],[Disc. Amt.]]+Sales[[#This Row],[GST Amount]]</f>
        <v>12947.55</v>
      </c>
      <c r="O2943" s="158" t="s">
        <v>3569</v>
      </c>
      <c r="P2943" s="158" t="s">
        <v>3562</v>
      </c>
      <c r="Q2943" s="160">
        <f>IF(Sales[[#This Row],[Status]]="Cancelled",0,Sales[[#This Row],[Qty]])</f>
        <v>7</v>
      </c>
      <c r="R2943" s="161">
        <f>IF(Sales[[#This Row],[Status]]="Cancelled",0,Sales[[#This Row],[Total Amount]])</f>
        <v>12947.55</v>
      </c>
      <c r="S2943" s="162">
        <f>SUM(Sales[Net Amount])</f>
        <v>406839287.73200053</v>
      </c>
    </row>
    <row r="2944" spans="1:19" ht="18.75" x14ac:dyDescent="0.25">
      <c r="A2944" s="163" t="s">
        <v>6590</v>
      </c>
      <c r="B2944" s="164">
        <v>45927</v>
      </c>
      <c r="C2944" s="34" t="s">
        <v>736</v>
      </c>
      <c r="D2944" s="53" t="str">
        <f>VLOOKUP(Sales[[#This Row],[Customer ID]],Customer[#All],2,0)</f>
        <v>Ankit Verma</v>
      </c>
      <c r="E2944" s="34" t="s">
        <v>139</v>
      </c>
      <c r="F2944" s="34" t="str">
        <f>VLOOKUP(Sales[[#This Row],[Product ID]],Product[#All],2,0)</f>
        <v>HP Printer</v>
      </c>
      <c r="G2944" s="53">
        <v>3</v>
      </c>
      <c r="H2944" s="165">
        <f>VLOOKUP(Sales[[#This Row],[Product ID]],Product[#All],7,0)</f>
        <v>25260</v>
      </c>
      <c r="I2944" s="165">
        <f>Sales[[#This Row],[Selling Rate]]*Sales[[#This Row],[Qty]]</f>
        <v>75780</v>
      </c>
      <c r="J2944" s="45">
        <v>0.05</v>
      </c>
      <c r="K2944" s="46">
        <f>Sales[[#This Row],[Gross Amount]]*Sales[[#This Row],[Disc %]]</f>
        <v>3789</v>
      </c>
      <c r="L2944" s="43">
        <v>0.18</v>
      </c>
      <c r="M2944" s="46">
        <f>(Sales[[#This Row],[Gross Amount]]-Sales[[#This Row],[Disc. Amt.]])*Sales[[#This Row],[GST %]]</f>
        <v>12958.38</v>
      </c>
      <c r="N2944" s="161">
        <f>Sales[[#This Row],[Gross Amount]]-Sales[[#This Row],[Disc. Amt.]]+Sales[[#This Row],[GST Amount]]</f>
        <v>84949.38</v>
      </c>
      <c r="O2944" s="34" t="s">
        <v>3561</v>
      </c>
      <c r="P2944" s="34" t="s">
        <v>1040</v>
      </c>
      <c r="Q2944" s="165">
        <f>IF(Sales[[#This Row],[Status]]="Cancelled",0,Sales[[#This Row],[Qty]])</f>
        <v>0</v>
      </c>
      <c r="R2944" s="166">
        <f>IF(Sales[[#This Row],[Status]]="Cancelled",0,Sales[[#This Row],[Total Amount]])</f>
        <v>0</v>
      </c>
      <c r="S2944" s="162">
        <f>SUM(Sales[Net Amount])</f>
        <v>406839287.73200053</v>
      </c>
    </row>
    <row r="2945" spans="1:19" ht="18.75" x14ac:dyDescent="0.25">
      <c r="A2945" s="156" t="s">
        <v>6591</v>
      </c>
      <c r="B2945" s="157">
        <v>45927</v>
      </c>
      <c r="C2945" s="158" t="s">
        <v>762</v>
      </c>
      <c r="D2945" s="159" t="str">
        <f>VLOOKUP(Sales[[#This Row],[Customer ID]],Customer[#All],2,0)</f>
        <v>Amit Patel</v>
      </c>
      <c r="E2945" s="158" t="s">
        <v>475</v>
      </c>
      <c r="F2945" s="158" t="str">
        <f>VLOOKUP(Sales[[#This Row],[Product ID]],Product[#All],2,0)</f>
        <v>TP-link Bluetooth Adapter</v>
      </c>
      <c r="G2945" s="159">
        <v>8</v>
      </c>
      <c r="H2945" s="160">
        <f>VLOOKUP(Sales[[#This Row],[Product ID]],Product[#All],7,0)</f>
        <v>1430</v>
      </c>
      <c r="I2945" s="160">
        <f>Sales[[#This Row],[Selling Rate]]*Sales[[#This Row],[Qty]]</f>
        <v>11440</v>
      </c>
      <c r="J2945" s="43">
        <v>0.1</v>
      </c>
      <c r="K2945" s="44">
        <f>Sales[[#This Row],[Gross Amount]]*Sales[[#This Row],[Disc %]]</f>
        <v>1144</v>
      </c>
      <c r="L2945" s="43">
        <v>0.18</v>
      </c>
      <c r="M2945" s="44">
        <f>(Sales[[#This Row],[Gross Amount]]-Sales[[#This Row],[Disc. Amt.]])*Sales[[#This Row],[GST %]]</f>
        <v>1853.28</v>
      </c>
      <c r="N2945" s="161">
        <f>Sales[[#This Row],[Gross Amount]]-Sales[[#This Row],[Disc. Amt.]]+Sales[[#This Row],[GST Amount]]</f>
        <v>12149.28</v>
      </c>
      <c r="O2945" s="158" t="s">
        <v>3561</v>
      </c>
      <c r="P2945" s="158" t="s">
        <v>3562</v>
      </c>
      <c r="Q2945" s="160">
        <f>IF(Sales[[#This Row],[Status]]="Cancelled",0,Sales[[#This Row],[Qty]])</f>
        <v>8</v>
      </c>
      <c r="R2945" s="161">
        <f>IF(Sales[[#This Row],[Status]]="Cancelled",0,Sales[[#This Row],[Total Amount]])</f>
        <v>12149.28</v>
      </c>
      <c r="S2945" s="162">
        <f>SUM(Sales[Net Amount])</f>
        <v>406839287.73200053</v>
      </c>
    </row>
    <row r="2946" spans="1:19" ht="18.75" x14ac:dyDescent="0.25">
      <c r="A2946" s="163" t="s">
        <v>6592</v>
      </c>
      <c r="B2946" s="164">
        <v>45927</v>
      </c>
      <c r="C2946" s="34" t="s">
        <v>668</v>
      </c>
      <c r="D2946" s="53" t="str">
        <f>VLOOKUP(Sales[[#This Row],[Customer ID]],Customer[#All],2,0)</f>
        <v>Rahul Patel</v>
      </c>
      <c r="E2946" s="34" t="s">
        <v>314</v>
      </c>
      <c r="F2946" s="34" t="str">
        <f>VLOOKUP(Sales[[#This Row],[Product ID]],Product[#All],2,0)</f>
        <v>Dell Desktop</v>
      </c>
      <c r="G2946" s="53">
        <v>2</v>
      </c>
      <c r="H2946" s="165">
        <f>VLOOKUP(Sales[[#This Row],[Product ID]],Product[#All],7,0)</f>
        <v>59580</v>
      </c>
      <c r="I2946" s="165">
        <f>Sales[[#This Row],[Selling Rate]]*Sales[[#This Row],[Qty]]</f>
        <v>119160</v>
      </c>
      <c r="J2946" s="45">
        <v>0.1</v>
      </c>
      <c r="K2946" s="46">
        <f>Sales[[#This Row],[Gross Amount]]*Sales[[#This Row],[Disc %]]</f>
        <v>11916</v>
      </c>
      <c r="L2946" s="43">
        <v>0.18</v>
      </c>
      <c r="M2946" s="46">
        <f>(Sales[[#This Row],[Gross Amount]]-Sales[[#This Row],[Disc. Amt.]])*Sales[[#This Row],[GST %]]</f>
        <v>19303.919999999998</v>
      </c>
      <c r="N2946" s="161">
        <f>Sales[[#This Row],[Gross Amount]]-Sales[[#This Row],[Disc. Amt.]]+Sales[[#This Row],[GST Amount]]</f>
        <v>126547.92</v>
      </c>
      <c r="O2946" s="34" t="s">
        <v>3561</v>
      </c>
      <c r="P2946" s="34" t="s">
        <v>3562</v>
      </c>
      <c r="Q2946" s="165">
        <f>IF(Sales[[#This Row],[Status]]="Cancelled",0,Sales[[#This Row],[Qty]])</f>
        <v>2</v>
      </c>
      <c r="R2946" s="166">
        <f>IF(Sales[[#This Row],[Status]]="Cancelled",0,Sales[[#This Row],[Total Amount]])</f>
        <v>126547.92</v>
      </c>
      <c r="S2946" s="162">
        <f>SUM(Sales[Net Amount])</f>
        <v>406839287.73200053</v>
      </c>
    </row>
    <row r="2947" spans="1:19" ht="18.75" x14ac:dyDescent="0.25">
      <c r="A2947" s="156" t="s">
        <v>6593</v>
      </c>
      <c r="B2947" s="157">
        <v>45927</v>
      </c>
      <c r="C2947" s="158" t="s">
        <v>867</v>
      </c>
      <c r="D2947" s="159" t="str">
        <f>VLOOKUP(Sales[[#This Row],[Customer ID]],Customer[#All],2,0)</f>
        <v>Priya Gupta</v>
      </c>
      <c r="E2947" s="158" t="s">
        <v>503</v>
      </c>
      <c r="F2947" s="158" t="str">
        <f>VLOOKUP(Sales[[#This Row],[Product ID]],Product[#All],2,0)</f>
        <v>Corsair Ram</v>
      </c>
      <c r="G2947" s="159">
        <v>4</v>
      </c>
      <c r="H2947" s="160">
        <f>VLOOKUP(Sales[[#This Row],[Product ID]],Product[#All],7,0)</f>
        <v>8750</v>
      </c>
      <c r="I2947" s="160">
        <f>Sales[[#This Row],[Selling Rate]]*Sales[[#This Row],[Qty]]</f>
        <v>35000</v>
      </c>
      <c r="J2947" s="43">
        <v>0.1</v>
      </c>
      <c r="K2947" s="44">
        <f>Sales[[#This Row],[Gross Amount]]*Sales[[#This Row],[Disc %]]</f>
        <v>3500</v>
      </c>
      <c r="L2947" s="43">
        <v>0.18</v>
      </c>
      <c r="M2947" s="44">
        <f>(Sales[[#This Row],[Gross Amount]]-Sales[[#This Row],[Disc. Amt.]])*Sales[[#This Row],[GST %]]</f>
        <v>5670</v>
      </c>
      <c r="N2947" s="161">
        <f>Sales[[#This Row],[Gross Amount]]-Sales[[#This Row],[Disc. Amt.]]+Sales[[#This Row],[GST Amount]]</f>
        <v>37170</v>
      </c>
      <c r="O2947" s="158" t="s">
        <v>3561</v>
      </c>
      <c r="P2947" s="158" t="s">
        <v>3562</v>
      </c>
      <c r="Q2947" s="160">
        <f>IF(Sales[[#This Row],[Status]]="Cancelled",0,Sales[[#This Row],[Qty]])</f>
        <v>4</v>
      </c>
      <c r="R2947" s="161">
        <f>IF(Sales[[#This Row],[Status]]="Cancelled",0,Sales[[#This Row],[Total Amount]])</f>
        <v>37170</v>
      </c>
      <c r="S2947" s="162">
        <f>SUM(Sales[Net Amount])</f>
        <v>406839287.73200053</v>
      </c>
    </row>
    <row r="2948" spans="1:19" ht="18.75" x14ac:dyDescent="0.25">
      <c r="A2948" s="163" t="s">
        <v>6594</v>
      </c>
      <c r="B2948" s="164">
        <v>45927</v>
      </c>
      <c r="C2948" s="34" t="s">
        <v>922</v>
      </c>
      <c r="D2948" s="53" t="str">
        <f>VLOOKUP(Sales[[#This Row],[Customer ID]],Customer[#All],2,0)</f>
        <v>Pooja Patel</v>
      </c>
      <c r="E2948" s="34" t="s">
        <v>114</v>
      </c>
      <c r="F2948" s="34" t="str">
        <f>VLOOKUP(Sales[[#This Row],[Product ID]],Product[#All],2,0)</f>
        <v>Apc UPS</v>
      </c>
      <c r="G2948" s="53">
        <v>3</v>
      </c>
      <c r="H2948" s="165">
        <f>VLOOKUP(Sales[[#This Row],[Product ID]],Product[#All],7,0)</f>
        <v>17310</v>
      </c>
      <c r="I2948" s="165">
        <f>Sales[[#This Row],[Selling Rate]]*Sales[[#This Row],[Qty]]</f>
        <v>51930</v>
      </c>
      <c r="J2948" s="45">
        <v>0.05</v>
      </c>
      <c r="K2948" s="46">
        <f>Sales[[#This Row],[Gross Amount]]*Sales[[#This Row],[Disc %]]</f>
        <v>2596.5</v>
      </c>
      <c r="L2948" s="43">
        <v>0.18</v>
      </c>
      <c r="M2948" s="46">
        <f>(Sales[[#This Row],[Gross Amount]]-Sales[[#This Row],[Disc. Amt.]])*Sales[[#This Row],[GST %]]</f>
        <v>8880.0299999999988</v>
      </c>
      <c r="N2948" s="161">
        <f>Sales[[#This Row],[Gross Amount]]-Sales[[#This Row],[Disc. Amt.]]+Sales[[#This Row],[GST Amount]]</f>
        <v>58213.53</v>
      </c>
      <c r="O2948" s="34" t="s">
        <v>3566</v>
      </c>
      <c r="P2948" s="34" t="s">
        <v>3562</v>
      </c>
      <c r="Q2948" s="165">
        <f>IF(Sales[[#This Row],[Status]]="Cancelled",0,Sales[[#This Row],[Qty]])</f>
        <v>3</v>
      </c>
      <c r="R2948" s="166">
        <f>IF(Sales[[#This Row],[Status]]="Cancelled",0,Sales[[#This Row],[Total Amount]])</f>
        <v>58213.53</v>
      </c>
      <c r="S2948" s="162">
        <f>SUM(Sales[Net Amount])</f>
        <v>406839287.73200053</v>
      </c>
    </row>
    <row r="2949" spans="1:19" ht="18.75" x14ac:dyDescent="0.25">
      <c r="A2949" s="156" t="s">
        <v>6595</v>
      </c>
      <c r="B2949" s="157">
        <v>45927</v>
      </c>
      <c r="C2949" s="158" t="s">
        <v>848</v>
      </c>
      <c r="D2949" s="159" t="str">
        <f>VLOOKUP(Sales[[#This Row],[Customer ID]],Customer[#All],2,0)</f>
        <v>Rakesh Patel</v>
      </c>
      <c r="E2949" s="158" t="s">
        <v>544</v>
      </c>
      <c r="F2949" s="158" t="str">
        <f>VLOOKUP(Sales[[#This Row],[Product ID]],Product[#All],2,0)</f>
        <v>HP Printer</v>
      </c>
      <c r="G2949" s="159">
        <v>7</v>
      </c>
      <c r="H2949" s="160">
        <f>VLOOKUP(Sales[[#This Row],[Product ID]],Product[#All],7,0)</f>
        <v>18010</v>
      </c>
      <c r="I2949" s="160">
        <f>Sales[[#This Row],[Selling Rate]]*Sales[[#This Row],[Qty]]</f>
        <v>126070</v>
      </c>
      <c r="J2949" s="43">
        <v>0.15</v>
      </c>
      <c r="K2949" s="44">
        <f>Sales[[#This Row],[Gross Amount]]*Sales[[#This Row],[Disc %]]</f>
        <v>18910.5</v>
      </c>
      <c r="L2949" s="43">
        <v>0.18</v>
      </c>
      <c r="M2949" s="44">
        <f>(Sales[[#This Row],[Gross Amount]]-Sales[[#This Row],[Disc. Amt.]])*Sales[[#This Row],[GST %]]</f>
        <v>19288.71</v>
      </c>
      <c r="N2949" s="161">
        <f>Sales[[#This Row],[Gross Amount]]-Sales[[#This Row],[Disc. Amt.]]+Sales[[#This Row],[GST Amount]]</f>
        <v>126448.20999999999</v>
      </c>
      <c r="O2949" s="158" t="s">
        <v>3561</v>
      </c>
      <c r="P2949" s="158" t="s">
        <v>3562</v>
      </c>
      <c r="Q2949" s="160">
        <f>IF(Sales[[#This Row],[Status]]="Cancelled",0,Sales[[#This Row],[Qty]])</f>
        <v>7</v>
      </c>
      <c r="R2949" s="161">
        <f>IF(Sales[[#This Row],[Status]]="Cancelled",0,Sales[[#This Row],[Total Amount]])</f>
        <v>126448.20999999999</v>
      </c>
      <c r="S2949" s="162">
        <f>SUM(Sales[Net Amount])</f>
        <v>406839287.73200053</v>
      </c>
    </row>
    <row r="2950" spans="1:19" ht="18.75" x14ac:dyDescent="0.25">
      <c r="A2950" s="163" t="s">
        <v>6596</v>
      </c>
      <c r="B2950" s="164">
        <v>45927</v>
      </c>
      <c r="C2950" s="34" t="s">
        <v>660</v>
      </c>
      <c r="D2950" s="53" t="str">
        <f>VLOOKUP(Sales[[#This Row],[Customer ID]],Customer[#All],2,0)</f>
        <v>Priya Sharma</v>
      </c>
      <c r="E2950" s="34" t="s">
        <v>272</v>
      </c>
      <c r="F2950" s="34" t="str">
        <f>VLOOKUP(Sales[[#This Row],[Product ID]],Product[#All],2,0)</f>
        <v>Jbl Speaker</v>
      </c>
      <c r="G2950" s="53">
        <v>3</v>
      </c>
      <c r="H2950" s="165">
        <f>VLOOKUP(Sales[[#This Row],[Product ID]],Product[#All],7,0)</f>
        <v>10960</v>
      </c>
      <c r="I2950" s="165">
        <f>Sales[[#This Row],[Selling Rate]]*Sales[[#This Row],[Qty]]</f>
        <v>32880</v>
      </c>
      <c r="J2950" s="45">
        <v>0.12</v>
      </c>
      <c r="K2950" s="46">
        <f>Sales[[#This Row],[Gross Amount]]*Sales[[#This Row],[Disc %]]</f>
        <v>3945.6</v>
      </c>
      <c r="L2950" s="43">
        <v>0.18</v>
      </c>
      <c r="M2950" s="46">
        <f>(Sales[[#This Row],[Gross Amount]]-Sales[[#This Row],[Disc. Amt.]])*Sales[[#This Row],[GST %]]</f>
        <v>5208.192</v>
      </c>
      <c r="N2950" s="161">
        <f>Sales[[#This Row],[Gross Amount]]-Sales[[#This Row],[Disc. Amt.]]+Sales[[#This Row],[GST Amount]]</f>
        <v>34142.592000000004</v>
      </c>
      <c r="O2950" s="34" t="s">
        <v>8876</v>
      </c>
      <c r="P2950" s="34" t="s">
        <v>3562</v>
      </c>
      <c r="Q2950" s="165">
        <f>IF(Sales[[#This Row],[Status]]="Cancelled",0,Sales[[#This Row],[Qty]])</f>
        <v>3</v>
      </c>
      <c r="R2950" s="166">
        <f>IF(Sales[[#This Row],[Status]]="Cancelled",0,Sales[[#This Row],[Total Amount]])</f>
        <v>34142.592000000004</v>
      </c>
      <c r="S2950" s="162">
        <f>SUM(Sales[Net Amount])</f>
        <v>406839287.73200053</v>
      </c>
    </row>
    <row r="2951" spans="1:19" ht="18.75" x14ac:dyDescent="0.25">
      <c r="A2951" s="156" t="s">
        <v>6597</v>
      </c>
      <c r="B2951" s="157">
        <v>45927</v>
      </c>
      <c r="C2951" s="158" t="s">
        <v>729</v>
      </c>
      <c r="D2951" s="159" t="str">
        <f>VLOOKUP(Sales[[#This Row],[Customer ID]],Customer[#All],2,0)</f>
        <v>Ankit Kumar</v>
      </c>
      <c r="E2951" s="158" t="s">
        <v>212</v>
      </c>
      <c r="F2951" s="158" t="str">
        <f>VLOOKUP(Sales[[#This Row],[Product ID]],Product[#All],2,0)</f>
        <v>Jbl Headset</v>
      </c>
      <c r="G2951" s="159">
        <v>6</v>
      </c>
      <c r="H2951" s="160">
        <f>VLOOKUP(Sales[[#This Row],[Product ID]],Product[#All],7,0)</f>
        <v>1230</v>
      </c>
      <c r="I2951" s="160">
        <f>Sales[[#This Row],[Selling Rate]]*Sales[[#This Row],[Qty]]</f>
        <v>7380</v>
      </c>
      <c r="J2951" s="43">
        <v>0.15</v>
      </c>
      <c r="K2951" s="44">
        <f>Sales[[#This Row],[Gross Amount]]*Sales[[#This Row],[Disc %]]</f>
        <v>1107</v>
      </c>
      <c r="L2951" s="43">
        <v>0.18</v>
      </c>
      <c r="M2951" s="44">
        <f>(Sales[[#This Row],[Gross Amount]]-Sales[[#This Row],[Disc. Amt.]])*Sales[[#This Row],[GST %]]</f>
        <v>1129.1399999999999</v>
      </c>
      <c r="N2951" s="161">
        <f>Sales[[#This Row],[Gross Amount]]-Sales[[#This Row],[Disc. Amt.]]+Sales[[#This Row],[GST Amount]]</f>
        <v>7402.1399999999994</v>
      </c>
      <c r="O2951" s="158" t="s">
        <v>3561</v>
      </c>
      <c r="P2951" s="158" t="s">
        <v>3562</v>
      </c>
      <c r="Q2951" s="160">
        <f>IF(Sales[[#This Row],[Status]]="Cancelled",0,Sales[[#This Row],[Qty]])</f>
        <v>6</v>
      </c>
      <c r="R2951" s="161">
        <f>IF(Sales[[#This Row],[Status]]="Cancelled",0,Sales[[#This Row],[Total Amount]])</f>
        <v>7402.1399999999994</v>
      </c>
      <c r="S2951" s="162">
        <f>SUM(Sales[Net Amount])</f>
        <v>406839287.73200053</v>
      </c>
    </row>
    <row r="2952" spans="1:19" ht="18.75" x14ac:dyDescent="0.25">
      <c r="A2952" s="163" t="s">
        <v>6598</v>
      </c>
      <c r="B2952" s="164">
        <v>45927</v>
      </c>
      <c r="C2952" s="34" t="s">
        <v>805</v>
      </c>
      <c r="D2952" s="53" t="str">
        <f>VLOOKUP(Sales[[#This Row],[Customer ID]],Customer[#All],2,0)</f>
        <v>Priya Kumar</v>
      </c>
      <c r="E2952" s="34" t="s">
        <v>292</v>
      </c>
      <c r="F2952" s="34" t="str">
        <f>VLOOKUP(Sales[[#This Row],[Product ID]],Product[#All],2,0)</f>
        <v>Microtek UPS</v>
      </c>
      <c r="G2952" s="53">
        <v>5</v>
      </c>
      <c r="H2952" s="165">
        <f>VLOOKUP(Sales[[#This Row],[Product ID]],Product[#All],7,0)</f>
        <v>6260</v>
      </c>
      <c r="I2952" s="165">
        <f>Sales[[#This Row],[Selling Rate]]*Sales[[#This Row],[Qty]]</f>
        <v>31300</v>
      </c>
      <c r="J2952" s="45">
        <v>0.12</v>
      </c>
      <c r="K2952" s="46">
        <f>Sales[[#This Row],[Gross Amount]]*Sales[[#This Row],[Disc %]]</f>
        <v>3756</v>
      </c>
      <c r="L2952" s="43">
        <v>0.18</v>
      </c>
      <c r="M2952" s="46">
        <f>(Sales[[#This Row],[Gross Amount]]-Sales[[#This Row],[Disc. Amt.]])*Sales[[#This Row],[GST %]]</f>
        <v>4957.92</v>
      </c>
      <c r="N2952" s="161">
        <f>Sales[[#This Row],[Gross Amount]]-Sales[[#This Row],[Disc. Amt.]]+Sales[[#This Row],[GST Amount]]</f>
        <v>32501.919999999998</v>
      </c>
      <c r="O2952" s="34" t="s">
        <v>3569</v>
      </c>
      <c r="P2952" s="34" t="s">
        <v>3562</v>
      </c>
      <c r="Q2952" s="165">
        <f>IF(Sales[[#This Row],[Status]]="Cancelled",0,Sales[[#This Row],[Qty]])</f>
        <v>5</v>
      </c>
      <c r="R2952" s="166">
        <f>IF(Sales[[#This Row],[Status]]="Cancelled",0,Sales[[#This Row],[Total Amount]])</f>
        <v>32501.919999999998</v>
      </c>
      <c r="S2952" s="162">
        <f>SUM(Sales[Net Amount])</f>
        <v>406839287.73200053</v>
      </c>
    </row>
    <row r="2953" spans="1:19" ht="18.75" x14ac:dyDescent="0.25">
      <c r="A2953" s="156" t="s">
        <v>6599</v>
      </c>
      <c r="B2953" s="157">
        <v>45927</v>
      </c>
      <c r="C2953" s="158" t="s">
        <v>6600</v>
      </c>
      <c r="D2953" s="159" t="str">
        <f>VLOOKUP(Sales[[#This Row],[Customer ID]],Customer[#All],2,0)</f>
        <v>Vikas Kumar</v>
      </c>
      <c r="E2953" s="158" t="s">
        <v>197</v>
      </c>
      <c r="F2953" s="158" t="str">
        <f>VLOOKUP(Sales[[#This Row],[Product ID]],Product[#All],2,0)</f>
        <v>Crucial Ssd</v>
      </c>
      <c r="G2953" s="159">
        <v>6</v>
      </c>
      <c r="H2953" s="160">
        <f>VLOOKUP(Sales[[#This Row],[Product ID]],Product[#All],7,0)</f>
        <v>16400</v>
      </c>
      <c r="I2953" s="160">
        <f>Sales[[#This Row],[Selling Rate]]*Sales[[#This Row],[Qty]]</f>
        <v>98400</v>
      </c>
      <c r="J2953" s="43">
        <v>0.15</v>
      </c>
      <c r="K2953" s="44">
        <f>Sales[[#This Row],[Gross Amount]]*Sales[[#This Row],[Disc %]]</f>
        <v>14760</v>
      </c>
      <c r="L2953" s="43">
        <v>0.18</v>
      </c>
      <c r="M2953" s="44">
        <f>(Sales[[#This Row],[Gross Amount]]-Sales[[#This Row],[Disc. Amt.]])*Sales[[#This Row],[GST %]]</f>
        <v>15055.199999999999</v>
      </c>
      <c r="N2953" s="161">
        <f>Sales[[#This Row],[Gross Amount]]-Sales[[#This Row],[Disc. Amt.]]+Sales[[#This Row],[GST Amount]]</f>
        <v>98695.2</v>
      </c>
      <c r="O2953" s="158" t="s">
        <v>8876</v>
      </c>
      <c r="P2953" s="158" t="s">
        <v>3562</v>
      </c>
      <c r="Q2953" s="160">
        <f>IF(Sales[[#This Row],[Status]]="Cancelled",0,Sales[[#This Row],[Qty]])</f>
        <v>6</v>
      </c>
      <c r="R2953" s="161">
        <f>IF(Sales[[#This Row],[Status]]="Cancelled",0,Sales[[#This Row],[Total Amount]])</f>
        <v>98695.2</v>
      </c>
      <c r="S2953" s="162">
        <f>SUM(Sales[Net Amount])</f>
        <v>406839287.73200053</v>
      </c>
    </row>
    <row r="2954" spans="1:19" ht="18.75" x14ac:dyDescent="0.25">
      <c r="A2954" s="163" t="s">
        <v>6601</v>
      </c>
      <c r="B2954" s="164">
        <v>45927</v>
      </c>
      <c r="C2954" s="34" t="s">
        <v>797</v>
      </c>
      <c r="D2954" s="53" t="str">
        <f>VLOOKUP(Sales[[#This Row],[Customer ID]],Customer[#All],2,0)</f>
        <v>Ankit Gupta</v>
      </c>
      <c r="E2954" s="34" t="s">
        <v>300</v>
      </c>
      <c r="F2954" s="34" t="str">
        <f>VLOOKUP(Sales[[#This Row],[Product ID]],Product[#All],2,0)</f>
        <v>Crucial Ssd</v>
      </c>
      <c r="G2954" s="53">
        <v>2</v>
      </c>
      <c r="H2954" s="165">
        <f>VLOOKUP(Sales[[#This Row],[Product ID]],Product[#All],7,0)</f>
        <v>9950</v>
      </c>
      <c r="I2954" s="165">
        <f>Sales[[#This Row],[Selling Rate]]*Sales[[#This Row],[Qty]]</f>
        <v>19900</v>
      </c>
      <c r="J2954" s="45">
        <v>0.12</v>
      </c>
      <c r="K2954" s="46">
        <f>Sales[[#This Row],[Gross Amount]]*Sales[[#This Row],[Disc %]]</f>
        <v>2388</v>
      </c>
      <c r="L2954" s="43">
        <v>0.18</v>
      </c>
      <c r="M2954" s="46">
        <f>(Sales[[#This Row],[Gross Amount]]-Sales[[#This Row],[Disc. Amt.]])*Sales[[#This Row],[GST %]]</f>
        <v>3152.16</v>
      </c>
      <c r="N2954" s="161">
        <f>Sales[[#This Row],[Gross Amount]]-Sales[[#This Row],[Disc. Amt.]]+Sales[[#This Row],[GST Amount]]</f>
        <v>20664.16</v>
      </c>
      <c r="O2954" s="34" t="s">
        <v>8876</v>
      </c>
      <c r="P2954" s="34" t="s">
        <v>3562</v>
      </c>
      <c r="Q2954" s="165">
        <f>IF(Sales[[#This Row],[Status]]="Cancelled",0,Sales[[#This Row],[Qty]])</f>
        <v>2</v>
      </c>
      <c r="R2954" s="166">
        <f>IF(Sales[[#This Row],[Status]]="Cancelled",0,Sales[[#This Row],[Total Amount]])</f>
        <v>20664.16</v>
      </c>
      <c r="S2954" s="162">
        <f>SUM(Sales[Net Amount])</f>
        <v>406839287.73200053</v>
      </c>
    </row>
    <row r="2955" spans="1:19" ht="18.75" x14ac:dyDescent="0.25">
      <c r="A2955" s="156" t="s">
        <v>6602</v>
      </c>
      <c r="B2955" s="157">
        <v>45927</v>
      </c>
      <c r="C2955" s="158" t="s">
        <v>943</v>
      </c>
      <c r="D2955" s="159" t="str">
        <f>VLOOKUP(Sales[[#This Row],[Customer ID]],Customer[#All],2,0)</f>
        <v>Sahil Singh</v>
      </c>
      <c r="E2955" s="158" t="s">
        <v>274</v>
      </c>
      <c r="F2955" s="158" t="str">
        <f>VLOOKUP(Sales[[#This Row],[Product ID]],Product[#All],2,0)</f>
        <v>Dell Desktop</v>
      </c>
      <c r="G2955" s="159">
        <v>2</v>
      </c>
      <c r="H2955" s="160">
        <f>VLOOKUP(Sales[[#This Row],[Product ID]],Product[#All],7,0)</f>
        <v>54540</v>
      </c>
      <c r="I2955" s="160">
        <f>Sales[[#This Row],[Selling Rate]]*Sales[[#This Row],[Qty]]</f>
        <v>109080</v>
      </c>
      <c r="J2955" s="43">
        <v>0.15</v>
      </c>
      <c r="K2955" s="44">
        <f>Sales[[#This Row],[Gross Amount]]*Sales[[#This Row],[Disc %]]</f>
        <v>16362</v>
      </c>
      <c r="L2955" s="43">
        <v>0.18</v>
      </c>
      <c r="M2955" s="44">
        <f>(Sales[[#This Row],[Gross Amount]]-Sales[[#This Row],[Disc. Amt.]])*Sales[[#This Row],[GST %]]</f>
        <v>16689.239999999998</v>
      </c>
      <c r="N2955" s="161">
        <f>Sales[[#This Row],[Gross Amount]]-Sales[[#This Row],[Disc. Amt.]]+Sales[[#This Row],[GST Amount]]</f>
        <v>109407.23999999999</v>
      </c>
      <c r="O2955" s="158" t="s">
        <v>8876</v>
      </c>
      <c r="P2955" s="158" t="s">
        <v>3562</v>
      </c>
      <c r="Q2955" s="160">
        <f>IF(Sales[[#This Row],[Status]]="Cancelled",0,Sales[[#This Row],[Qty]])</f>
        <v>2</v>
      </c>
      <c r="R2955" s="161">
        <f>IF(Sales[[#This Row],[Status]]="Cancelled",0,Sales[[#This Row],[Total Amount]])</f>
        <v>109407.23999999999</v>
      </c>
      <c r="S2955" s="162">
        <f>SUM(Sales[Net Amount])</f>
        <v>406839287.73200053</v>
      </c>
    </row>
    <row r="2956" spans="1:19" ht="18.75" x14ac:dyDescent="0.25">
      <c r="A2956" s="163" t="s">
        <v>6603</v>
      </c>
      <c r="B2956" s="164">
        <v>45927</v>
      </c>
      <c r="C2956" s="34" t="s">
        <v>819</v>
      </c>
      <c r="D2956" s="53" t="str">
        <f>VLOOKUP(Sales[[#This Row],[Customer ID]],Customer[#All],2,0)</f>
        <v>Neha Gupta</v>
      </c>
      <c r="E2956" s="34" t="s">
        <v>148</v>
      </c>
      <c r="F2956" s="34" t="str">
        <f>VLOOKUP(Sales[[#This Row],[Product ID]],Product[#All],2,0)</f>
        <v>Dell Monitor</v>
      </c>
      <c r="G2956" s="53">
        <v>3</v>
      </c>
      <c r="H2956" s="165">
        <f>VLOOKUP(Sales[[#This Row],[Product ID]],Product[#All],7,0)</f>
        <v>20170</v>
      </c>
      <c r="I2956" s="165">
        <f>Sales[[#This Row],[Selling Rate]]*Sales[[#This Row],[Qty]]</f>
        <v>60510</v>
      </c>
      <c r="J2956" s="45">
        <v>0.05</v>
      </c>
      <c r="K2956" s="46">
        <f>Sales[[#This Row],[Gross Amount]]*Sales[[#This Row],[Disc %]]</f>
        <v>3025.5</v>
      </c>
      <c r="L2956" s="43">
        <v>0.18</v>
      </c>
      <c r="M2956" s="46">
        <f>(Sales[[#This Row],[Gross Amount]]-Sales[[#This Row],[Disc. Amt.]])*Sales[[#This Row],[GST %]]</f>
        <v>10347.209999999999</v>
      </c>
      <c r="N2956" s="161">
        <f>Sales[[#This Row],[Gross Amount]]-Sales[[#This Row],[Disc. Amt.]]+Sales[[#This Row],[GST Amount]]</f>
        <v>67831.709999999992</v>
      </c>
      <c r="O2956" s="34" t="s">
        <v>8876</v>
      </c>
      <c r="P2956" s="34" t="s">
        <v>3562</v>
      </c>
      <c r="Q2956" s="165">
        <f>IF(Sales[[#This Row],[Status]]="Cancelled",0,Sales[[#This Row],[Qty]])</f>
        <v>3</v>
      </c>
      <c r="R2956" s="166">
        <f>IF(Sales[[#This Row],[Status]]="Cancelled",0,Sales[[#This Row],[Total Amount]])</f>
        <v>67831.709999999992</v>
      </c>
      <c r="S2956" s="162">
        <f>SUM(Sales[Net Amount])</f>
        <v>406839287.73200053</v>
      </c>
    </row>
    <row r="2957" spans="1:19" ht="18.75" x14ac:dyDescent="0.25">
      <c r="A2957" s="156" t="s">
        <v>6604</v>
      </c>
      <c r="B2957" s="157">
        <v>45928</v>
      </c>
      <c r="C2957" s="158" t="s">
        <v>837</v>
      </c>
      <c r="D2957" s="159" t="str">
        <f>VLOOKUP(Sales[[#This Row],[Customer ID]],Customer[#All],2,0)</f>
        <v>Sahil Patel</v>
      </c>
      <c r="E2957" s="158" t="s">
        <v>265</v>
      </c>
      <c r="F2957" s="158" t="str">
        <f>VLOOKUP(Sales[[#This Row],[Product ID]],Product[#All],2,0)</f>
        <v>Canon Printer</v>
      </c>
      <c r="G2957" s="159">
        <v>1</v>
      </c>
      <c r="H2957" s="160">
        <f>VLOOKUP(Sales[[#This Row],[Product ID]],Product[#All],7,0)</f>
        <v>33970</v>
      </c>
      <c r="I2957" s="160">
        <f>Sales[[#This Row],[Selling Rate]]*Sales[[#This Row],[Qty]]</f>
        <v>33970</v>
      </c>
      <c r="J2957" s="43">
        <v>0.05</v>
      </c>
      <c r="K2957" s="44">
        <f>Sales[[#This Row],[Gross Amount]]*Sales[[#This Row],[Disc %]]</f>
        <v>1698.5</v>
      </c>
      <c r="L2957" s="43">
        <v>0.18</v>
      </c>
      <c r="M2957" s="44">
        <f>(Sales[[#This Row],[Gross Amount]]-Sales[[#This Row],[Disc. Amt.]])*Sales[[#This Row],[GST %]]</f>
        <v>5808.87</v>
      </c>
      <c r="N2957" s="161">
        <f>Sales[[#This Row],[Gross Amount]]-Sales[[#This Row],[Disc. Amt.]]+Sales[[#This Row],[GST Amount]]</f>
        <v>38080.370000000003</v>
      </c>
      <c r="O2957" s="158" t="s">
        <v>3569</v>
      </c>
      <c r="P2957" s="158" t="s">
        <v>3562</v>
      </c>
      <c r="Q2957" s="160">
        <f>IF(Sales[[#This Row],[Status]]="Cancelled",0,Sales[[#This Row],[Qty]])</f>
        <v>1</v>
      </c>
      <c r="R2957" s="161">
        <f>IF(Sales[[#This Row],[Status]]="Cancelled",0,Sales[[#This Row],[Total Amount]])</f>
        <v>38080.370000000003</v>
      </c>
      <c r="S2957" s="162">
        <f>SUM(Sales[Net Amount])</f>
        <v>406839287.73200053</v>
      </c>
    </row>
    <row r="2958" spans="1:19" ht="18.75" x14ac:dyDescent="0.25">
      <c r="A2958" s="163" t="s">
        <v>6605</v>
      </c>
      <c r="B2958" s="164">
        <v>45928</v>
      </c>
      <c r="C2958" s="34" t="s">
        <v>850</v>
      </c>
      <c r="D2958" s="53" t="str">
        <f>VLOOKUP(Sales[[#This Row],[Customer ID]],Customer[#All],2,0)</f>
        <v>Sahil Patel</v>
      </c>
      <c r="E2958" s="34" t="s">
        <v>351</v>
      </c>
      <c r="F2958" s="34" t="str">
        <f>VLOOKUP(Sales[[#This Row],[Product ID]],Product[#All],2,0)</f>
        <v>Logitech Mouse</v>
      </c>
      <c r="G2958" s="53">
        <v>6</v>
      </c>
      <c r="H2958" s="165">
        <f>VLOOKUP(Sales[[#This Row],[Product ID]],Product[#All],7,0)</f>
        <v>2130</v>
      </c>
      <c r="I2958" s="165">
        <f>Sales[[#This Row],[Selling Rate]]*Sales[[#This Row],[Qty]]</f>
        <v>12780</v>
      </c>
      <c r="J2958" s="45">
        <v>0.05</v>
      </c>
      <c r="K2958" s="46">
        <f>Sales[[#This Row],[Gross Amount]]*Sales[[#This Row],[Disc %]]</f>
        <v>639</v>
      </c>
      <c r="L2958" s="43">
        <v>0.18</v>
      </c>
      <c r="M2958" s="46">
        <f>(Sales[[#This Row],[Gross Amount]]-Sales[[#This Row],[Disc. Amt.]])*Sales[[#This Row],[GST %]]</f>
        <v>2185.38</v>
      </c>
      <c r="N2958" s="161">
        <f>Sales[[#This Row],[Gross Amount]]-Sales[[#This Row],[Disc. Amt.]]+Sales[[#This Row],[GST Amount]]</f>
        <v>14326.380000000001</v>
      </c>
      <c r="O2958" s="34" t="s">
        <v>3566</v>
      </c>
      <c r="P2958" s="34" t="s">
        <v>3562</v>
      </c>
      <c r="Q2958" s="165">
        <f>IF(Sales[[#This Row],[Status]]="Cancelled",0,Sales[[#This Row],[Qty]])</f>
        <v>6</v>
      </c>
      <c r="R2958" s="166">
        <f>IF(Sales[[#This Row],[Status]]="Cancelled",0,Sales[[#This Row],[Total Amount]])</f>
        <v>14326.380000000001</v>
      </c>
      <c r="S2958" s="162">
        <f>SUM(Sales[Net Amount])</f>
        <v>406839287.73200053</v>
      </c>
    </row>
    <row r="2959" spans="1:19" ht="18.75" x14ac:dyDescent="0.25">
      <c r="A2959" s="156" t="s">
        <v>6606</v>
      </c>
      <c r="B2959" s="157">
        <v>45928</v>
      </c>
      <c r="C2959" s="158" t="s">
        <v>711</v>
      </c>
      <c r="D2959" s="159" t="str">
        <f>VLOOKUP(Sales[[#This Row],[Customer ID]],Customer[#All],2,0)</f>
        <v>Priya Verma</v>
      </c>
      <c r="E2959" s="158" t="s">
        <v>114</v>
      </c>
      <c r="F2959" s="158" t="str">
        <f>VLOOKUP(Sales[[#This Row],[Product ID]],Product[#All],2,0)</f>
        <v>Apc UPS</v>
      </c>
      <c r="G2959" s="159">
        <v>8</v>
      </c>
      <c r="H2959" s="160">
        <f>VLOOKUP(Sales[[#This Row],[Product ID]],Product[#All],7,0)</f>
        <v>17310</v>
      </c>
      <c r="I2959" s="160">
        <f>Sales[[#This Row],[Selling Rate]]*Sales[[#This Row],[Qty]]</f>
        <v>138480</v>
      </c>
      <c r="J2959" s="43">
        <v>0.15</v>
      </c>
      <c r="K2959" s="44">
        <f>Sales[[#This Row],[Gross Amount]]*Sales[[#This Row],[Disc %]]</f>
        <v>20772</v>
      </c>
      <c r="L2959" s="43">
        <v>0.18</v>
      </c>
      <c r="M2959" s="44">
        <f>(Sales[[#This Row],[Gross Amount]]-Sales[[#This Row],[Disc. Amt.]])*Sales[[#This Row],[GST %]]</f>
        <v>21187.439999999999</v>
      </c>
      <c r="N2959" s="161">
        <f>Sales[[#This Row],[Gross Amount]]-Sales[[#This Row],[Disc. Amt.]]+Sales[[#This Row],[GST Amount]]</f>
        <v>138895.44</v>
      </c>
      <c r="O2959" s="158" t="s">
        <v>3569</v>
      </c>
      <c r="P2959" s="158" t="s">
        <v>3562</v>
      </c>
      <c r="Q2959" s="160">
        <f>IF(Sales[[#This Row],[Status]]="Cancelled",0,Sales[[#This Row],[Qty]])</f>
        <v>8</v>
      </c>
      <c r="R2959" s="161">
        <f>IF(Sales[[#This Row],[Status]]="Cancelled",0,Sales[[#This Row],[Total Amount]])</f>
        <v>138895.44</v>
      </c>
      <c r="S2959" s="162">
        <f>SUM(Sales[Net Amount])</f>
        <v>406839287.73200053</v>
      </c>
    </row>
    <row r="2960" spans="1:19" ht="18.75" x14ac:dyDescent="0.25">
      <c r="A2960" s="163" t="s">
        <v>6607</v>
      </c>
      <c r="B2960" s="164">
        <v>45928</v>
      </c>
      <c r="C2960" s="34" t="s">
        <v>719</v>
      </c>
      <c r="D2960" s="53" t="str">
        <f>VLOOKUP(Sales[[#This Row],[Customer ID]],Customer[#All],2,0)</f>
        <v>Priya Verma</v>
      </c>
      <c r="E2960" s="34" t="s">
        <v>79</v>
      </c>
      <c r="F2960" s="34" t="str">
        <f>VLOOKUP(Sales[[#This Row],[Product ID]],Product[#All],2,0)</f>
        <v>Samsung Monitor</v>
      </c>
      <c r="G2960" s="53">
        <v>5</v>
      </c>
      <c r="H2960" s="165">
        <f>VLOOKUP(Sales[[#This Row],[Product ID]],Product[#All],7,0)</f>
        <v>32480</v>
      </c>
      <c r="I2960" s="165">
        <f>Sales[[#This Row],[Selling Rate]]*Sales[[#This Row],[Qty]]</f>
        <v>162400</v>
      </c>
      <c r="J2960" s="45">
        <v>0</v>
      </c>
      <c r="K2960" s="46">
        <f>Sales[[#This Row],[Gross Amount]]*Sales[[#This Row],[Disc %]]</f>
        <v>0</v>
      </c>
      <c r="L2960" s="43">
        <v>0.18</v>
      </c>
      <c r="M2960" s="46">
        <f>(Sales[[#This Row],[Gross Amount]]-Sales[[#This Row],[Disc. Amt.]])*Sales[[#This Row],[GST %]]</f>
        <v>29232</v>
      </c>
      <c r="N2960" s="161">
        <f>Sales[[#This Row],[Gross Amount]]-Sales[[#This Row],[Disc. Amt.]]+Sales[[#This Row],[GST Amount]]</f>
        <v>191632</v>
      </c>
      <c r="O2960" s="34" t="s">
        <v>3561</v>
      </c>
      <c r="P2960" s="34" t="s">
        <v>3562</v>
      </c>
      <c r="Q2960" s="165">
        <f>IF(Sales[[#This Row],[Status]]="Cancelled",0,Sales[[#This Row],[Qty]])</f>
        <v>5</v>
      </c>
      <c r="R2960" s="166">
        <f>IF(Sales[[#This Row],[Status]]="Cancelled",0,Sales[[#This Row],[Total Amount]])</f>
        <v>191632</v>
      </c>
      <c r="S2960" s="162">
        <f>SUM(Sales[Net Amount])</f>
        <v>406839287.73200053</v>
      </c>
    </row>
    <row r="2961" spans="1:19" ht="18.75" x14ac:dyDescent="0.25">
      <c r="A2961" s="156" t="s">
        <v>6608</v>
      </c>
      <c r="B2961" s="157">
        <v>45928</v>
      </c>
      <c r="C2961" s="158" t="s">
        <v>757</v>
      </c>
      <c r="D2961" s="159" t="str">
        <f>VLOOKUP(Sales[[#This Row],[Customer ID]],Customer[#All],2,0)</f>
        <v>Amit Singh</v>
      </c>
      <c r="E2961" s="158" t="s">
        <v>456</v>
      </c>
      <c r="F2961" s="158" t="str">
        <f>VLOOKUP(Sales[[#This Row],[Product ID]],Product[#All],2,0)</f>
        <v>Acer Laptop</v>
      </c>
      <c r="G2961" s="159">
        <v>3</v>
      </c>
      <c r="H2961" s="160">
        <f>VLOOKUP(Sales[[#This Row],[Product ID]],Product[#All],7,0)</f>
        <v>66790</v>
      </c>
      <c r="I2961" s="160">
        <f>Sales[[#This Row],[Selling Rate]]*Sales[[#This Row],[Qty]]</f>
        <v>200370</v>
      </c>
      <c r="J2961" s="43">
        <v>0.1</v>
      </c>
      <c r="K2961" s="44">
        <f>Sales[[#This Row],[Gross Amount]]*Sales[[#This Row],[Disc %]]</f>
        <v>20037</v>
      </c>
      <c r="L2961" s="43">
        <v>0.18</v>
      </c>
      <c r="M2961" s="44">
        <f>(Sales[[#This Row],[Gross Amount]]-Sales[[#This Row],[Disc. Amt.]])*Sales[[#This Row],[GST %]]</f>
        <v>32459.94</v>
      </c>
      <c r="N2961" s="161">
        <f>Sales[[#This Row],[Gross Amount]]-Sales[[#This Row],[Disc. Amt.]]+Sales[[#This Row],[GST Amount]]</f>
        <v>212792.94</v>
      </c>
      <c r="O2961" s="158" t="s">
        <v>8876</v>
      </c>
      <c r="P2961" s="158" t="s">
        <v>3562</v>
      </c>
      <c r="Q2961" s="160">
        <f>IF(Sales[[#This Row],[Status]]="Cancelled",0,Sales[[#This Row],[Qty]])</f>
        <v>3</v>
      </c>
      <c r="R2961" s="161">
        <f>IF(Sales[[#This Row],[Status]]="Cancelled",0,Sales[[#This Row],[Total Amount]])</f>
        <v>212792.94</v>
      </c>
      <c r="S2961" s="162">
        <f>SUM(Sales[Net Amount])</f>
        <v>406839287.73200053</v>
      </c>
    </row>
    <row r="2962" spans="1:19" ht="18.75" x14ac:dyDescent="0.25">
      <c r="A2962" s="163" t="s">
        <v>6609</v>
      </c>
      <c r="B2962" s="164">
        <v>45928</v>
      </c>
      <c r="C2962" s="34" t="s">
        <v>758</v>
      </c>
      <c r="D2962" s="53" t="str">
        <f>VLOOKUP(Sales[[#This Row],[Customer ID]],Customer[#All],2,0)</f>
        <v>Rahul Verma</v>
      </c>
      <c r="E2962" s="34" t="s">
        <v>215</v>
      </c>
      <c r="F2962" s="34" t="str">
        <f>VLOOKUP(Sales[[#This Row],[Product ID]],Product[#All],2,0)</f>
        <v>Apc UPS</v>
      </c>
      <c r="G2962" s="53">
        <v>1</v>
      </c>
      <c r="H2962" s="165">
        <f>VLOOKUP(Sales[[#This Row],[Product ID]],Product[#All],7,0)</f>
        <v>10210</v>
      </c>
      <c r="I2962" s="165">
        <f>Sales[[#This Row],[Selling Rate]]*Sales[[#This Row],[Qty]]</f>
        <v>10210</v>
      </c>
      <c r="J2962" s="45">
        <v>0.05</v>
      </c>
      <c r="K2962" s="46">
        <f>Sales[[#This Row],[Gross Amount]]*Sales[[#This Row],[Disc %]]</f>
        <v>510.5</v>
      </c>
      <c r="L2962" s="43">
        <v>0.18</v>
      </c>
      <c r="M2962" s="46">
        <f>(Sales[[#This Row],[Gross Amount]]-Sales[[#This Row],[Disc. Amt.]])*Sales[[#This Row],[GST %]]</f>
        <v>1745.9099999999999</v>
      </c>
      <c r="N2962" s="161">
        <f>Sales[[#This Row],[Gross Amount]]-Sales[[#This Row],[Disc. Amt.]]+Sales[[#This Row],[GST Amount]]</f>
        <v>11445.41</v>
      </c>
      <c r="O2962" s="34" t="s">
        <v>8876</v>
      </c>
      <c r="P2962" s="34" t="s">
        <v>3562</v>
      </c>
      <c r="Q2962" s="165">
        <f>IF(Sales[[#This Row],[Status]]="Cancelled",0,Sales[[#This Row],[Qty]])</f>
        <v>1</v>
      </c>
      <c r="R2962" s="166">
        <f>IF(Sales[[#This Row],[Status]]="Cancelled",0,Sales[[#This Row],[Total Amount]])</f>
        <v>11445.41</v>
      </c>
      <c r="S2962" s="162">
        <f>SUM(Sales[Net Amount])</f>
        <v>406839287.73200053</v>
      </c>
    </row>
    <row r="2963" spans="1:19" ht="18.75" x14ac:dyDescent="0.25">
      <c r="A2963" s="156" t="s">
        <v>6610</v>
      </c>
      <c r="B2963" s="157">
        <v>45928</v>
      </c>
      <c r="C2963" s="158" t="s">
        <v>695</v>
      </c>
      <c r="D2963" s="159" t="str">
        <f>VLOOKUP(Sales[[#This Row],[Customer ID]],Customer[#All],2,0)</f>
        <v>Rahul Kumar</v>
      </c>
      <c r="E2963" s="158" t="s">
        <v>243</v>
      </c>
      <c r="F2963" s="158" t="str">
        <f>VLOOKUP(Sales[[#This Row],[Product ID]],Product[#All],2,0)</f>
        <v>TP-link Router</v>
      </c>
      <c r="G2963" s="159">
        <v>2</v>
      </c>
      <c r="H2963" s="160">
        <f>VLOOKUP(Sales[[#This Row],[Product ID]],Product[#All],7,0)</f>
        <v>3230</v>
      </c>
      <c r="I2963" s="160">
        <f>Sales[[#This Row],[Selling Rate]]*Sales[[#This Row],[Qty]]</f>
        <v>6460</v>
      </c>
      <c r="J2963" s="43">
        <v>0.05</v>
      </c>
      <c r="K2963" s="44">
        <f>Sales[[#This Row],[Gross Amount]]*Sales[[#This Row],[Disc %]]</f>
        <v>323</v>
      </c>
      <c r="L2963" s="43">
        <v>0.18</v>
      </c>
      <c r="M2963" s="44">
        <f>(Sales[[#This Row],[Gross Amount]]-Sales[[#This Row],[Disc. Amt.]])*Sales[[#This Row],[GST %]]</f>
        <v>1104.6599999999999</v>
      </c>
      <c r="N2963" s="161">
        <f>Sales[[#This Row],[Gross Amount]]-Sales[[#This Row],[Disc. Amt.]]+Sales[[#This Row],[GST Amount]]</f>
        <v>7241.66</v>
      </c>
      <c r="O2963" s="158" t="s">
        <v>3569</v>
      </c>
      <c r="P2963" s="158" t="s">
        <v>3562</v>
      </c>
      <c r="Q2963" s="160">
        <f>IF(Sales[[#This Row],[Status]]="Cancelled",0,Sales[[#This Row],[Qty]])</f>
        <v>2</v>
      </c>
      <c r="R2963" s="161">
        <f>IF(Sales[[#This Row],[Status]]="Cancelled",0,Sales[[#This Row],[Total Amount]])</f>
        <v>7241.66</v>
      </c>
      <c r="S2963" s="162">
        <f>SUM(Sales[Net Amount])</f>
        <v>406839287.73200053</v>
      </c>
    </row>
    <row r="2964" spans="1:19" ht="18.75" x14ac:dyDescent="0.25">
      <c r="A2964" s="163" t="s">
        <v>6611</v>
      </c>
      <c r="B2964" s="164">
        <v>45928</v>
      </c>
      <c r="C2964" s="34" t="s">
        <v>837</v>
      </c>
      <c r="D2964" s="53" t="str">
        <f>VLOOKUP(Sales[[#This Row],[Customer ID]],Customer[#All],2,0)</f>
        <v>Sahil Patel</v>
      </c>
      <c r="E2964" s="34" t="s">
        <v>444</v>
      </c>
      <c r="F2964" s="34" t="str">
        <f>VLOOKUP(Sales[[#This Row],[Product ID]],Product[#All],2,0)</f>
        <v>Dell Desktop</v>
      </c>
      <c r="G2964" s="53">
        <v>1</v>
      </c>
      <c r="H2964" s="165">
        <f>VLOOKUP(Sales[[#This Row],[Product ID]],Product[#All],7,0)</f>
        <v>55730</v>
      </c>
      <c r="I2964" s="165">
        <f>Sales[[#This Row],[Selling Rate]]*Sales[[#This Row],[Qty]]</f>
        <v>55730</v>
      </c>
      <c r="J2964" s="45">
        <v>0.12</v>
      </c>
      <c r="K2964" s="46">
        <f>Sales[[#This Row],[Gross Amount]]*Sales[[#This Row],[Disc %]]</f>
        <v>6687.5999999999995</v>
      </c>
      <c r="L2964" s="43">
        <v>0.18</v>
      </c>
      <c r="M2964" s="46">
        <f>(Sales[[#This Row],[Gross Amount]]-Sales[[#This Row],[Disc. Amt.]])*Sales[[#This Row],[GST %]]</f>
        <v>8827.6319999999996</v>
      </c>
      <c r="N2964" s="161">
        <f>Sales[[#This Row],[Gross Amount]]-Sales[[#This Row],[Disc. Amt.]]+Sales[[#This Row],[GST Amount]]</f>
        <v>57870.031999999999</v>
      </c>
      <c r="O2964" s="34" t="s">
        <v>3566</v>
      </c>
      <c r="P2964" s="34" t="s">
        <v>3562</v>
      </c>
      <c r="Q2964" s="165">
        <f>IF(Sales[[#This Row],[Status]]="Cancelled",0,Sales[[#This Row],[Qty]])</f>
        <v>1</v>
      </c>
      <c r="R2964" s="166">
        <f>IF(Sales[[#This Row],[Status]]="Cancelled",0,Sales[[#This Row],[Total Amount]])</f>
        <v>57870.031999999999</v>
      </c>
      <c r="S2964" s="162">
        <f>SUM(Sales[Net Amount])</f>
        <v>406839287.73200053</v>
      </c>
    </row>
    <row r="2965" spans="1:19" ht="18.75" x14ac:dyDescent="0.25">
      <c r="A2965" s="156" t="s">
        <v>6612</v>
      </c>
      <c r="B2965" s="157">
        <v>45928</v>
      </c>
      <c r="C2965" s="158" t="s">
        <v>6613</v>
      </c>
      <c r="D2965" s="159" t="str">
        <f>VLOOKUP(Sales[[#This Row],[Customer ID]],Customer[#All],2,0)</f>
        <v>Sunita Patel</v>
      </c>
      <c r="E2965" s="158" t="s">
        <v>504</v>
      </c>
      <c r="F2965" s="158" t="str">
        <f>VLOOKUP(Sales[[#This Row],[Product ID]],Product[#All],2,0)</f>
        <v>Logitech Keyboard</v>
      </c>
      <c r="G2965" s="159">
        <v>4</v>
      </c>
      <c r="H2965" s="160">
        <f>VLOOKUP(Sales[[#This Row],[Product ID]],Product[#All],7,0)</f>
        <v>3930</v>
      </c>
      <c r="I2965" s="160">
        <f>Sales[[#This Row],[Selling Rate]]*Sales[[#This Row],[Qty]]</f>
        <v>15720</v>
      </c>
      <c r="J2965" s="43">
        <v>0.15</v>
      </c>
      <c r="K2965" s="44">
        <f>Sales[[#This Row],[Gross Amount]]*Sales[[#This Row],[Disc %]]</f>
        <v>2358</v>
      </c>
      <c r="L2965" s="43">
        <v>0.18</v>
      </c>
      <c r="M2965" s="44">
        <f>(Sales[[#This Row],[Gross Amount]]-Sales[[#This Row],[Disc. Amt.]])*Sales[[#This Row],[GST %]]</f>
        <v>2405.16</v>
      </c>
      <c r="N2965" s="161">
        <f>Sales[[#This Row],[Gross Amount]]-Sales[[#This Row],[Disc. Amt.]]+Sales[[#This Row],[GST Amount]]</f>
        <v>15767.16</v>
      </c>
      <c r="O2965" s="158" t="s">
        <v>3569</v>
      </c>
      <c r="P2965" s="158" t="s">
        <v>3562</v>
      </c>
      <c r="Q2965" s="160">
        <f>IF(Sales[[#This Row],[Status]]="Cancelled",0,Sales[[#This Row],[Qty]])</f>
        <v>4</v>
      </c>
      <c r="R2965" s="161">
        <f>IF(Sales[[#This Row],[Status]]="Cancelled",0,Sales[[#This Row],[Total Amount]])</f>
        <v>15767.16</v>
      </c>
      <c r="S2965" s="162">
        <f>SUM(Sales[Net Amount])</f>
        <v>406839287.73200053</v>
      </c>
    </row>
    <row r="2966" spans="1:19" ht="18.75" x14ac:dyDescent="0.25">
      <c r="A2966" s="163" t="s">
        <v>6614</v>
      </c>
      <c r="B2966" s="164">
        <v>45928</v>
      </c>
      <c r="C2966" s="34" t="s">
        <v>932</v>
      </c>
      <c r="D2966" s="53" t="str">
        <f>VLOOKUP(Sales[[#This Row],[Customer ID]],Customer[#All],2,0)</f>
        <v>Vikas Gupta</v>
      </c>
      <c r="E2966" s="34" t="s">
        <v>492</v>
      </c>
      <c r="F2966" s="34" t="str">
        <f>VLOOKUP(Sales[[#This Row],[Product ID]],Product[#All],2,0)</f>
        <v>Microtek UPS</v>
      </c>
      <c r="G2966" s="53">
        <v>4</v>
      </c>
      <c r="H2966" s="165">
        <f>VLOOKUP(Sales[[#This Row],[Product ID]],Product[#All],7,0)</f>
        <v>13470</v>
      </c>
      <c r="I2966" s="165">
        <f>Sales[[#This Row],[Selling Rate]]*Sales[[#This Row],[Qty]]</f>
        <v>53880</v>
      </c>
      <c r="J2966" s="45">
        <v>0.15</v>
      </c>
      <c r="K2966" s="46">
        <f>Sales[[#This Row],[Gross Amount]]*Sales[[#This Row],[Disc %]]</f>
        <v>8082</v>
      </c>
      <c r="L2966" s="43">
        <v>0.18</v>
      </c>
      <c r="M2966" s="46">
        <f>(Sales[[#This Row],[Gross Amount]]-Sales[[#This Row],[Disc. Amt.]])*Sales[[#This Row],[GST %]]</f>
        <v>8243.64</v>
      </c>
      <c r="N2966" s="161">
        <f>Sales[[#This Row],[Gross Amount]]-Sales[[#This Row],[Disc. Amt.]]+Sales[[#This Row],[GST Amount]]</f>
        <v>54041.64</v>
      </c>
      <c r="O2966" s="34" t="s">
        <v>3569</v>
      </c>
      <c r="P2966" s="34" t="s">
        <v>3562</v>
      </c>
      <c r="Q2966" s="165">
        <f>IF(Sales[[#This Row],[Status]]="Cancelled",0,Sales[[#This Row],[Qty]])</f>
        <v>4</v>
      </c>
      <c r="R2966" s="166">
        <f>IF(Sales[[#This Row],[Status]]="Cancelled",0,Sales[[#This Row],[Total Amount]])</f>
        <v>54041.64</v>
      </c>
      <c r="S2966" s="162">
        <f>SUM(Sales[Net Amount])</f>
        <v>406839287.73200053</v>
      </c>
    </row>
    <row r="2967" spans="1:19" ht="18.75" x14ac:dyDescent="0.25">
      <c r="A2967" s="156" t="s">
        <v>6615</v>
      </c>
      <c r="B2967" s="157">
        <v>45928</v>
      </c>
      <c r="C2967" s="158" t="s">
        <v>944</v>
      </c>
      <c r="D2967" s="159" t="str">
        <f>VLOOKUP(Sales[[#This Row],[Customer ID]],Customer[#All],2,0)</f>
        <v>Pooja Patel</v>
      </c>
      <c r="E2967" s="158" t="s">
        <v>440</v>
      </c>
      <c r="F2967" s="158" t="str">
        <f>VLOOKUP(Sales[[#This Row],[Product ID]],Product[#All],2,0)</f>
        <v>Dell Monitor</v>
      </c>
      <c r="G2967" s="159">
        <v>6</v>
      </c>
      <c r="H2967" s="160">
        <f>VLOOKUP(Sales[[#This Row],[Product ID]],Product[#All],7,0)</f>
        <v>22810</v>
      </c>
      <c r="I2967" s="160">
        <f>Sales[[#This Row],[Selling Rate]]*Sales[[#This Row],[Qty]]</f>
        <v>136860</v>
      </c>
      <c r="J2967" s="43">
        <v>0</v>
      </c>
      <c r="K2967" s="44">
        <f>Sales[[#This Row],[Gross Amount]]*Sales[[#This Row],[Disc %]]</f>
        <v>0</v>
      </c>
      <c r="L2967" s="43">
        <v>0.18</v>
      </c>
      <c r="M2967" s="44">
        <f>(Sales[[#This Row],[Gross Amount]]-Sales[[#This Row],[Disc. Amt.]])*Sales[[#This Row],[GST %]]</f>
        <v>24634.799999999999</v>
      </c>
      <c r="N2967" s="161">
        <f>Sales[[#This Row],[Gross Amount]]-Sales[[#This Row],[Disc. Amt.]]+Sales[[#This Row],[GST Amount]]</f>
        <v>161494.79999999999</v>
      </c>
      <c r="O2967" s="158" t="s">
        <v>3569</v>
      </c>
      <c r="P2967" s="158" t="s">
        <v>3562</v>
      </c>
      <c r="Q2967" s="160">
        <f>IF(Sales[[#This Row],[Status]]="Cancelled",0,Sales[[#This Row],[Qty]])</f>
        <v>6</v>
      </c>
      <c r="R2967" s="161">
        <f>IF(Sales[[#This Row],[Status]]="Cancelled",0,Sales[[#This Row],[Total Amount]])</f>
        <v>161494.79999999999</v>
      </c>
      <c r="S2967" s="162">
        <f>SUM(Sales[Net Amount])</f>
        <v>406839287.73200053</v>
      </c>
    </row>
    <row r="2968" spans="1:19" ht="18.75" x14ac:dyDescent="0.25">
      <c r="A2968" s="163" t="s">
        <v>6616</v>
      </c>
      <c r="B2968" s="164">
        <v>45928</v>
      </c>
      <c r="C2968" s="34" t="s">
        <v>871</v>
      </c>
      <c r="D2968" s="53" t="str">
        <f>VLOOKUP(Sales[[#This Row],[Customer ID]],Customer[#All],2,0)</f>
        <v>Rakesh Kumar</v>
      </c>
      <c r="E2968" s="34" t="s">
        <v>491</v>
      </c>
      <c r="F2968" s="34" t="str">
        <f>VLOOKUP(Sales[[#This Row],[Product ID]],Product[#All],2,0)</f>
        <v>Boat Speaker</v>
      </c>
      <c r="G2968" s="53">
        <v>7</v>
      </c>
      <c r="H2968" s="165">
        <f>VLOOKUP(Sales[[#This Row],[Product ID]],Product[#All],7,0)</f>
        <v>2300</v>
      </c>
      <c r="I2968" s="165">
        <f>Sales[[#This Row],[Selling Rate]]*Sales[[#This Row],[Qty]]</f>
        <v>16100</v>
      </c>
      <c r="J2968" s="45">
        <v>0.15</v>
      </c>
      <c r="K2968" s="46">
        <f>Sales[[#This Row],[Gross Amount]]*Sales[[#This Row],[Disc %]]</f>
        <v>2415</v>
      </c>
      <c r="L2968" s="43">
        <v>0.18</v>
      </c>
      <c r="M2968" s="46">
        <f>(Sales[[#This Row],[Gross Amount]]-Sales[[#This Row],[Disc. Amt.]])*Sales[[#This Row],[GST %]]</f>
        <v>2463.2999999999997</v>
      </c>
      <c r="N2968" s="161">
        <f>Sales[[#This Row],[Gross Amount]]-Sales[[#This Row],[Disc. Amt.]]+Sales[[#This Row],[GST Amount]]</f>
        <v>16148.3</v>
      </c>
      <c r="O2968" s="34" t="s">
        <v>8876</v>
      </c>
      <c r="P2968" s="34" t="s">
        <v>3562</v>
      </c>
      <c r="Q2968" s="165">
        <f>IF(Sales[[#This Row],[Status]]="Cancelled",0,Sales[[#This Row],[Qty]])</f>
        <v>7</v>
      </c>
      <c r="R2968" s="166">
        <f>IF(Sales[[#This Row],[Status]]="Cancelled",0,Sales[[#This Row],[Total Amount]])</f>
        <v>16148.3</v>
      </c>
      <c r="S2968" s="162">
        <f>SUM(Sales[Net Amount])</f>
        <v>406839287.73200053</v>
      </c>
    </row>
    <row r="2969" spans="1:19" ht="18.75" x14ac:dyDescent="0.25">
      <c r="A2969" s="156" t="s">
        <v>6617</v>
      </c>
      <c r="B2969" s="157">
        <v>45928</v>
      </c>
      <c r="C2969" s="158" t="s">
        <v>885</v>
      </c>
      <c r="D2969" s="159" t="str">
        <f>VLOOKUP(Sales[[#This Row],[Customer ID]],Customer[#All],2,0)</f>
        <v>Pooja Verma</v>
      </c>
      <c r="E2969" s="158" t="s">
        <v>216</v>
      </c>
      <c r="F2969" s="158" t="str">
        <f>VLOOKUP(Sales[[#This Row],[Product ID]],Product[#All],2,0)</f>
        <v>Amazon Basics Hdmi Cable</v>
      </c>
      <c r="G2969" s="159">
        <v>4</v>
      </c>
      <c r="H2969" s="160">
        <f>VLOOKUP(Sales[[#This Row],[Product ID]],Product[#All],7,0)</f>
        <v>1080</v>
      </c>
      <c r="I2969" s="160">
        <f>Sales[[#This Row],[Selling Rate]]*Sales[[#This Row],[Qty]]</f>
        <v>4320</v>
      </c>
      <c r="J2969" s="43">
        <v>0.02</v>
      </c>
      <c r="K2969" s="44">
        <f>Sales[[#This Row],[Gross Amount]]*Sales[[#This Row],[Disc %]]</f>
        <v>86.4</v>
      </c>
      <c r="L2969" s="43">
        <v>0.18</v>
      </c>
      <c r="M2969" s="44">
        <f>(Sales[[#This Row],[Gross Amount]]-Sales[[#This Row],[Disc. Amt.]])*Sales[[#This Row],[GST %]]</f>
        <v>762.048</v>
      </c>
      <c r="N2969" s="161">
        <f>Sales[[#This Row],[Gross Amount]]-Sales[[#This Row],[Disc. Amt.]]+Sales[[#This Row],[GST Amount]]</f>
        <v>4995.6480000000001</v>
      </c>
      <c r="O2969" s="158" t="s">
        <v>3569</v>
      </c>
      <c r="P2969" s="158" t="s">
        <v>3562</v>
      </c>
      <c r="Q2969" s="160">
        <f>IF(Sales[[#This Row],[Status]]="Cancelled",0,Sales[[#This Row],[Qty]])</f>
        <v>4</v>
      </c>
      <c r="R2969" s="161">
        <f>IF(Sales[[#This Row],[Status]]="Cancelled",0,Sales[[#This Row],[Total Amount]])</f>
        <v>4995.6480000000001</v>
      </c>
      <c r="S2969" s="162">
        <f>SUM(Sales[Net Amount])</f>
        <v>406839287.73200053</v>
      </c>
    </row>
    <row r="2970" spans="1:19" ht="18.75" x14ac:dyDescent="0.25">
      <c r="A2970" s="163" t="s">
        <v>6618</v>
      </c>
      <c r="B2970" s="164">
        <v>45928</v>
      </c>
      <c r="C2970" s="34" t="s">
        <v>773</v>
      </c>
      <c r="D2970" s="53" t="str">
        <f>VLOOKUP(Sales[[#This Row],[Customer ID]],Customer[#All],2,0)</f>
        <v>Rahul Kumar</v>
      </c>
      <c r="E2970" s="34" t="s">
        <v>202</v>
      </c>
      <c r="F2970" s="34" t="str">
        <f>VLOOKUP(Sales[[#This Row],[Product ID]],Product[#All],2,0)</f>
        <v>TP-link Wi-Fi Adapter</v>
      </c>
      <c r="G2970" s="53">
        <v>6</v>
      </c>
      <c r="H2970" s="165">
        <f>VLOOKUP(Sales[[#This Row],[Product ID]],Product[#All],7,0)</f>
        <v>1330</v>
      </c>
      <c r="I2970" s="165">
        <f>Sales[[#This Row],[Selling Rate]]*Sales[[#This Row],[Qty]]</f>
        <v>7980</v>
      </c>
      <c r="J2970" s="45">
        <v>0.15</v>
      </c>
      <c r="K2970" s="46">
        <f>Sales[[#This Row],[Gross Amount]]*Sales[[#This Row],[Disc %]]</f>
        <v>1197</v>
      </c>
      <c r="L2970" s="43">
        <v>0.18</v>
      </c>
      <c r="M2970" s="46">
        <f>(Sales[[#This Row],[Gross Amount]]-Sales[[#This Row],[Disc. Amt.]])*Sales[[#This Row],[GST %]]</f>
        <v>1220.94</v>
      </c>
      <c r="N2970" s="161">
        <f>Sales[[#This Row],[Gross Amount]]-Sales[[#This Row],[Disc. Amt.]]+Sales[[#This Row],[GST Amount]]</f>
        <v>8003.9400000000005</v>
      </c>
      <c r="O2970" s="34" t="s">
        <v>3566</v>
      </c>
      <c r="P2970" s="34" t="s">
        <v>1040</v>
      </c>
      <c r="Q2970" s="165">
        <f>IF(Sales[[#This Row],[Status]]="Cancelled",0,Sales[[#This Row],[Qty]])</f>
        <v>0</v>
      </c>
      <c r="R2970" s="166">
        <f>IF(Sales[[#This Row],[Status]]="Cancelled",0,Sales[[#This Row],[Total Amount]])</f>
        <v>0</v>
      </c>
      <c r="S2970" s="162">
        <f>SUM(Sales[Net Amount])</f>
        <v>406839287.73200053</v>
      </c>
    </row>
    <row r="2971" spans="1:19" ht="18.75" x14ac:dyDescent="0.25">
      <c r="A2971" s="156" t="s">
        <v>6619</v>
      </c>
      <c r="B2971" s="157">
        <v>45928</v>
      </c>
      <c r="C2971" s="158" t="s">
        <v>753</v>
      </c>
      <c r="D2971" s="159" t="str">
        <f>VLOOKUP(Sales[[#This Row],[Customer ID]],Customer[#All],2,0)</f>
        <v>Sunita Gupta</v>
      </c>
      <c r="E2971" s="158" t="s">
        <v>133</v>
      </c>
      <c r="F2971" s="158" t="str">
        <f>VLOOKUP(Sales[[#This Row],[Product ID]],Product[#All],2,0)</f>
        <v>HP Laptop</v>
      </c>
      <c r="G2971" s="159">
        <v>8</v>
      </c>
      <c r="H2971" s="160">
        <f>VLOOKUP(Sales[[#This Row],[Product ID]],Product[#All],7,0)</f>
        <v>44790</v>
      </c>
      <c r="I2971" s="160">
        <f>Sales[[#This Row],[Selling Rate]]*Sales[[#This Row],[Qty]]</f>
        <v>358320</v>
      </c>
      <c r="J2971" s="43">
        <v>0</v>
      </c>
      <c r="K2971" s="44">
        <f>Sales[[#This Row],[Gross Amount]]*Sales[[#This Row],[Disc %]]</f>
        <v>0</v>
      </c>
      <c r="L2971" s="43">
        <v>0.18</v>
      </c>
      <c r="M2971" s="44">
        <f>(Sales[[#This Row],[Gross Amount]]-Sales[[#This Row],[Disc. Amt.]])*Sales[[#This Row],[GST %]]</f>
        <v>64497.599999999999</v>
      </c>
      <c r="N2971" s="161">
        <f>Sales[[#This Row],[Gross Amount]]-Sales[[#This Row],[Disc. Amt.]]+Sales[[#This Row],[GST Amount]]</f>
        <v>422817.6</v>
      </c>
      <c r="O2971" s="158" t="s">
        <v>8876</v>
      </c>
      <c r="P2971" s="158" t="s">
        <v>3562</v>
      </c>
      <c r="Q2971" s="160">
        <f>IF(Sales[[#This Row],[Status]]="Cancelled",0,Sales[[#This Row],[Qty]])</f>
        <v>8</v>
      </c>
      <c r="R2971" s="161">
        <f>IF(Sales[[#This Row],[Status]]="Cancelled",0,Sales[[#This Row],[Total Amount]])</f>
        <v>422817.6</v>
      </c>
      <c r="S2971" s="162">
        <f>SUM(Sales[Net Amount])</f>
        <v>406839287.73200053</v>
      </c>
    </row>
    <row r="2972" spans="1:19" ht="18.75" x14ac:dyDescent="0.25">
      <c r="A2972" s="163" t="s">
        <v>6620</v>
      </c>
      <c r="B2972" s="164">
        <v>45928</v>
      </c>
      <c r="C2972" s="34" t="s">
        <v>664</v>
      </c>
      <c r="D2972" s="53" t="str">
        <f>VLOOKUP(Sales[[#This Row],[Customer ID]],Customer[#All],2,0)</f>
        <v>Sahil Singh</v>
      </c>
      <c r="E2972" s="34" t="s">
        <v>219</v>
      </c>
      <c r="F2972" s="34" t="str">
        <f>VLOOKUP(Sales[[#This Row],[Product ID]],Product[#All],2,0)</f>
        <v>Samsung Monitor</v>
      </c>
      <c r="G2972" s="53">
        <v>3</v>
      </c>
      <c r="H2972" s="165">
        <f>VLOOKUP(Sales[[#This Row],[Product ID]],Product[#All],7,0)</f>
        <v>22630</v>
      </c>
      <c r="I2972" s="165">
        <f>Sales[[#This Row],[Selling Rate]]*Sales[[#This Row],[Qty]]</f>
        <v>67890</v>
      </c>
      <c r="J2972" s="45">
        <v>0</v>
      </c>
      <c r="K2972" s="46">
        <f>Sales[[#This Row],[Gross Amount]]*Sales[[#This Row],[Disc %]]</f>
        <v>0</v>
      </c>
      <c r="L2972" s="43">
        <v>0.18</v>
      </c>
      <c r="M2972" s="46">
        <f>(Sales[[#This Row],[Gross Amount]]-Sales[[#This Row],[Disc. Amt.]])*Sales[[#This Row],[GST %]]</f>
        <v>12220.199999999999</v>
      </c>
      <c r="N2972" s="161">
        <f>Sales[[#This Row],[Gross Amount]]-Sales[[#This Row],[Disc. Amt.]]+Sales[[#This Row],[GST Amount]]</f>
        <v>80110.2</v>
      </c>
      <c r="O2972" s="34" t="s">
        <v>3569</v>
      </c>
      <c r="P2972" s="34" t="s">
        <v>3562</v>
      </c>
      <c r="Q2972" s="165">
        <f>IF(Sales[[#This Row],[Status]]="Cancelled",0,Sales[[#This Row],[Qty]])</f>
        <v>3</v>
      </c>
      <c r="R2972" s="166">
        <f>IF(Sales[[#This Row],[Status]]="Cancelled",0,Sales[[#This Row],[Total Amount]])</f>
        <v>80110.2</v>
      </c>
      <c r="S2972" s="162">
        <f>SUM(Sales[Net Amount])</f>
        <v>406839287.73200053</v>
      </c>
    </row>
    <row r="2973" spans="1:19" ht="18.75" x14ac:dyDescent="0.25">
      <c r="A2973" s="156" t="s">
        <v>6621</v>
      </c>
      <c r="B2973" s="157">
        <v>45928</v>
      </c>
      <c r="C2973" s="158" t="s">
        <v>712</v>
      </c>
      <c r="D2973" s="159" t="str">
        <f>VLOOKUP(Sales[[#This Row],[Customer ID]],Customer[#All],2,0)</f>
        <v>Sahil Verma</v>
      </c>
      <c r="E2973" s="158" t="s">
        <v>100</v>
      </c>
      <c r="F2973" s="158" t="str">
        <f>VLOOKUP(Sales[[#This Row],[Product ID]],Product[#All],2,0)</f>
        <v>Portronics USB Cable</v>
      </c>
      <c r="G2973" s="159">
        <v>8</v>
      </c>
      <c r="H2973" s="160">
        <f>VLOOKUP(Sales[[#This Row],[Product ID]],Product[#All],7,0)</f>
        <v>210</v>
      </c>
      <c r="I2973" s="160">
        <f>Sales[[#This Row],[Selling Rate]]*Sales[[#This Row],[Qty]]</f>
        <v>1680</v>
      </c>
      <c r="J2973" s="43">
        <v>0</v>
      </c>
      <c r="K2973" s="44">
        <f>Sales[[#This Row],[Gross Amount]]*Sales[[#This Row],[Disc %]]</f>
        <v>0</v>
      </c>
      <c r="L2973" s="43">
        <v>0.18</v>
      </c>
      <c r="M2973" s="44">
        <f>(Sales[[#This Row],[Gross Amount]]-Sales[[#This Row],[Disc. Amt.]])*Sales[[#This Row],[GST %]]</f>
        <v>302.39999999999998</v>
      </c>
      <c r="N2973" s="161">
        <f>Sales[[#This Row],[Gross Amount]]-Sales[[#This Row],[Disc. Amt.]]+Sales[[#This Row],[GST Amount]]</f>
        <v>1982.4</v>
      </c>
      <c r="O2973" s="158" t="s">
        <v>8876</v>
      </c>
      <c r="P2973" s="158" t="s">
        <v>3562</v>
      </c>
      <c r="Q2973" s="160">
        <f>IF(Sales[[#This Row],[Status]]="Cancelled",0,Sales[[#This Row],[Qty]])</f>
        <v>8</v>
      </c>
      <c r="R2973" s="161">
        <f>IF(Sales[[#This Row],[Status]]="Cancelled",0,Sales[[#This Row],[Total Amount]])</f>
        <v>1982.4</v>
      </c>
      <c r="S2973" s="162">
        <f>SUM(Sales[Net Amount])</f>
        <v>406839287.73200053</v>
      </c>
    </row>
    <row r="2974" spans="1:19" ht="18.75" x14ac:dyDescent="0.25">
      <c r="A2974" s="163" t="s">
        <v>6622</v>
      </c>
      <c r="B2974" s="164">
        <v>45928</v>
      </c>
      <c r="C2974" s="34" t="s">
        <v>758</v>
      </c>
      <c r="D2974" s="53" t="str">
        <f>VLOOKUP(Sales[[#This Row],[Customer ID]],Customer[#All],2,0)</f>
        <v>Rahul Verma</v>
      </c>
      <c r="E2974" s="34" t="s">
        <v>371</v>
      </c>
      <c r="F2974" s="34" t="str">
        <f>VLOOKUP(Sales[[#This Row],[Product ID]],Product[#All],2,0)</f>
        <v>Portronics USB Cable</v>
      </c>
      <c r="G2974" s="53">
        <v>5</v>
      </c>
      <c r="H2974" s="165">
        <f>VLOOKUP(Sales[[#This Row],[Product ID]],Product[#All],7,0)</f>
        <v>440</v>
      </c>
      <c r="I2974" s="165">
        <f>Sales[[#This Row],[Selling Rate]]*Sales[[#This Row],[Qty]]</f>
        <v>2200</v>
      </c>
      <c r="J2974" s="45">
        <v>0.02</v>
      </c>
      <c r="K2974" s="46">
        <f>Sales[[#This Row],[Gross Amount]]*Sales[[#This Row],[Disc %]]</f>
        <v>44</v>
      </c>
      <c r="L2974" s="43">
        <v>0.18</v>
      </c>
      <c r="M2974" s="46">
        <f>(Sales[[#This Row],[Gross Amount]]-Sales[[#This Row],[Disc. Amt.]])*Sales[[#This Row],[GST %]]</f>
        <v>388.08</v>
      </c>
      <c r="N2974" s="161">
        <f>Sales[[#This Row],[Gross Amount]]-Sales[[#This Row],[Disc. Amt.]]+Sales[[#This Row],[GST Amount]]</f>
        <v>2544.08</v>
      </c>
      <c r="O2974" s="34" t="s">
        <v>3566</v>
      </c>
      <c r="P2974" s="34" t="s">
        <v>3562</v>
      </c>
      <c r="Q2974" s="165">
        <f>IF(Sales[[#This Row],[Status]]="Cancelled",0,Sales[[#This Row],[Qty]])</f>
        <v>5</v>
      </c>
      <c r="R2974" s="166">
        <f>IF(Sales[[#This Row],[Status]]="Cancelled",0,Sales[[#This Row],[Total Amount]])</f>
        <v>2544.08</v>
      </c>
      <c r="S2974" s="162">
        <f>SUM(Sales[Net Amount])</f>
        <v>406839287.73200053</v>
      </c>
    </row>
    <row r="2975" spans="1:19" ht="18.75" x14ac:dyDescent="0.25">
      <c r="A2975" s="156" t="s">
        <v>6623</v>
      </c>
      <c r="B2975" s="157">
        <v>45928</v>
      </c>
      <c r="C2975" s="158" t="s">
        <v>811</v>
      </c>
      <c r="D2975" s="159" t="str">
        <f>VLOOKUP(Sales[[#This Row],[Customer ID]],Customer[#All],2,0)</f>
        <v>Rahul Sharma</v>
      </c>
      <c r="E2975" s="158" t="s">
        <v>258</v>
      </c>
      <c r="F2975" s="158" t="str">
        <f>VLOOKUP(Sales[[#This Row],[Product ID]],Product[#All],2,0)</f>
        <v>HP Power Adapter</v>
      </c>
      <c r="G2975" s="159">
        <v>5</v>
      </c>
      <c r="H2975" s="160">
        <f>VLOOKUP(Sales[[#This Row],[Product ID]],Product[#All],7,0)</f>
        <v>2370</v>
      </c>
      <c r="I2975" s="160">
        <f>Sales[[#This Row],[Selling Rate]]*Sales[[#This Row],[Qty]]</f>
        <v>11850</v>
      </c>
      <c r="J2975" s="43">
        <v>0</v>
      </c>
      <c r="K2975" s="44">
        <f>Sales[[#This Row],[Gross Amount]]*Sales[[#This Row],[Disc %]]</f>
        <v>0</v>
      </c>
      <c r="L2975" s="43">
        <v>0.18</v>
      </c>
      <c r="M2975" s="44">
        <f>(Sales[[#This Row],[Gross Amount]]-Sales[[#This Row],[Disc. Amt.]])*Sales[[#This Row],[GST %]]</f>
        <v>2133</v>
      </c>
      <c r="N2975" s="161">
        <f>Sales[[#This Row],[Gross Amount]]-Sales[[#This Row],[Disc. Amt.]]+Sales[[#This Row],[GST Amount]]</f>
        <v>13983</v>
      </c>
      <c r="O2975" s="158" t="s">
        <v>8876</v>
      </c>
      <c r="P2975" s="158" t="s">
        <v>3562</v>
      </c>
      <c r="Q2975" s="160">
        <f>IF(Sales[[#This Row],[Status]]="Cancelled",0,Sales[[#This Row],[Qty]])</f>
        <v>5</v>
      </c>
      <c r="R2975" s="161">
        <f>IF(Sales[[#This Row],[Status]]="Cancelled",0,Sales[[#This Row],[Total Amount]])</f>
        <v>13983</v>
      </c>
      <c r="S2975" s="162">
        <f>SUM(Sales[Net Amount])</f>
        <v>406839287.73200053</v>
      </c>
    </row>
    <row r="2976" spans="1:19" ht="18.75" x14ac:dyDescent="0.25">
      <c r="A2976" s="163" t="s">
        <v>6624</v>
      </c>
      <c r="B2976" s="164">
        <v>45928</v>
      </c>
      <c r="C2976" s="34" t="s">
        <v>726</v>
      </c>
      <c r="D2976" s="53" t="str">
        <f>VLOOKUP(Sales[[#This Row],[Customer ID]],Customer[#All],2,0)</f>
        <v>Priya Singh</v>
      </c>
      <c r="E2976" s="34" t="s">
        <v>339</v>
      </c>
      <c r="F2976" s="34" t="str">
        <f>VLOOKUP(Sales[[#This Row],[Product ID]],Product[#All],2,0)</f>
        <v>Microtek UPS</v>
      </c>
      <c r="G2976" s="53">
        <v>6</v>
      </c>
      <c r="H2976" s="165">
        <f>VLOOKUP(Sales[[#This Row],[Product ID]],Product[#All],7,0)</f>
        <v>8400</v>
      </c>
      <c r="I2976" s="165">
        <f>Sales[[#This Row],[Selling Rate]]*Sales[[#This Row],[Qty]]</f>
        <v>50400</v>
      </c>
      <c r="J2976" s="45">
        <v>0</v>
      </c>
      <c r="K2976" s="46">
        <f>Sales[[#This Row],[Gross Amount]]*Sales[[#This Row],[Disc %]]</f>
        <v>0</v>
      </c>
      <c r="L2976" s="43">
        <v>0.18</v>
      </c>
      <c r="M2976" s="46">
        <f>(Sales[[#This Row],[Gross Amount]]-Sales[[#This Row],[Disc. Amt.]])*Sales[[#This Row],[GST %]]</f>
        <v>9072</v>
      </c>
      <c r="N2976" s="161">
        <f>Sales[[#This Row],[Gross Amount]]-Sales[[#This Row],[Disc. Amt.]]+Sales[[#This Row],[GST Amount]]</f>
        <v>59472</v>
      </c>
      <c r="O2976" s="34" t="s">
        <v>3569</v>
      </c>
      <c r="P2976" s="34" t="s">
        <v>3562</v>
      </c>
      <c r="Q2976" s="165">
        <f>IF(Sales[[#This Row],[Status]]="Cancelled",0,Sales[[#This Row],[Qty]])</f>
        <v>6</v>
      </c>
      <c r="R2976" s="166">
        <f>IF(Sales[[#This Row],[Status]]="Cancelled",0,Sales[[#This Row],[Total Amount]])</f>
        <v>59472</v>
      </c>
      <c r="S2976" s="162">
        <f>SUM(Sales[Net Amount])</f>
        <v>406839287.73200053</v>
      </c>
    </row>
    <row r="2977" spans="1:19" ht="18.75" x14ac:dyDescent="0.25">
      <c r="A2977" s="156" t="s">
        <v>6625</v>
      </c>
      <c r="B2977" s="157">
        <v>45928</v>
      </c>
      <c r="C2977" s="158" t="s">
        <v>779</v>
      </c>
      <c r="D2977" s="159" t="str">
        <f>VLOOKUP(Sales[[#This Row],[Customer ID]],Customer[#All],2,0)</f>
        <v>Rakesh Verma</v>
      </c>
      <c r="E2977" s="158" t="s">
        <v>56</v>
      </c>
      <c r="F2977" s="158" t="str">
        <f>VLOOKUP(Sales[[#This Row],[Product ID]],Product[#All],2,0)</f>
        <v>Boat Headset</v>
      </c>
      <c r="G2977" s="159">
        <v>5</v>
      </c>
      <c r="H2977" s="160">
        <f>VLOOKUP(Sales[[#This Row],[Product ID]],Product[#All],7,0)</f>
        <v>4140</v>
      </c>
      <c r="I2977" s="160">
        <f>Sales[[#This Row],[Selling Rate]]*Sales[[#This Row],[Qty]]</f>
        <v>20700</v>
      </c>
      <c r="J2977" s="43">
        <v>0.12</v>
      </c>
      <c r="K2977" s="44">
        <f>Sales[[#This Row],[Gross Amount]]*Sales[[#This Row],[Disc %]]</f>
        <v>2484</v>
      </c>
      <c r="L2977" s="43">
        <v>0.18</v>
      </c>
      <c r="M2977" s="44">
        <f>(Sales[[#This Row],[Gross Amount]]-Sales[[#This Row],[Disc. Amt.]])*Sales[[#This Row],[GST %]]</f>
        <v>3278.8799999999997</v>
      </c>
      <c r="N2977" s="161">
        <f>Sales[[#This Row],[Gross Amount]]-Sales[[#This Row],[Disc. Amt.]]+Sales[[#This Row],[GST Amount]]</f>
        <v>21494.880000000001</v>
      </c>
      <c r="O2977" s="158" t="s">
        <v>3569</v>
      </c>
      <c r="P2977" s="158" t="s">
        <v>3562</v>
      </c>
      <c r="Q2977" s="160">
        <f>IF(Sales[[#This Row],[Status]]="Cancelled",0,Sales[[#This Row],[Qty]])</f>
        <v>5</v>
      </c>
      <c r="R2977" s="161">
        <f>IF(Sales[[#This Row],[Status]]="Cancelled",0,Sales[[#This Row],[Total Amount]])</f>
        <v>21494.880000000001</v>
      </c>
      <c r="S2977" s="162">
        <f>SUM(Sales[Net Amount])</f>
        <v>406839287.73200053</v>
      </c>
    </row>
    <row r="2978" spans="1:19" ht="18.75" x14ac:dyDescent="0.25">
      <c r="A2978" s="163" t="s">
        <v>6626</v>
      </c>
      <c r="B2978" s="164">
        <v>45928</v>
      </c>
      <c r="C2978" s="34" t="s">
        <v>705</v>
      </c>
      <c r="D2978" s="53" t="str">
        <f>VLOOKUP(Sales[[#This Row],[Customer ID]],Customer[#All],2,0)</f>
        <v>Priya Verma</v>
      </c>
      <c r="E2978" s="34" t="s">
        <v>364</v>
      </c>
      <c r="F2978" s="34" t="str">
        <f>VLOOKUP(Sales[[#This Row],[Product ID]],Product[#All],2,0)</f>
        <v>Canon Printer</v>
      </c>
      <c r="G2978" s="53">
        <v>6</v>
      </c>
      <c r="H2978" s="165">
        <f>VLOOKUP(Sales[[#This Row],[Product ID]],Product[#All],7,0)</f>
        <v>41460</v>
      </c>
      <c r="I2978" s="165">
        <f>Sales[[#This Row],[Selling Rate]]*Sales[[#This Row],[Qty]]</f>
        <v>248760</v>
      </c>
      <c r="J2978" s="45">
        <v>0.05</v>
      </c>
      <c r="K2978" s="46">
        <f>Sales[[#This Row],[Gross Amount]]*Sales[[#This Row],[Disc %]]</f>
        <v>12438</v>
      </c>
      <c r="L2978" s="43">
        <v>0.18</v>
      </c>
      <c r="M2978" s="46">
        <f>(Sales[[#This Row],[Gross Amount]]-Sales[[#This Row],[Disc. Amt.]])*Sales[[#This Row],[GST %]]</f>
        <v>42537.96</v>
      </c>
      <c r="N2978" s="161">
        <f>Sales[[#This Row],[Gross Amount]]-Sales[[#This Row],[Disc. Amt.]]+Sales[[#This Row],[GST Amount]]</f>
        <v>278859.96000000002</v>
      </c>
      <c r="O2978" s="34" t="s">
        <v>3561</v>
      </c>
      <c r="P2978" s="34" t="s">
        <v>3562</v>
      </c>
      <c r="Q2978" s="165">
        <f>IF(Sales[[#This Row],[Status]]="Cancelled",0,Sales[[#This Row],[Qty]])</f>
        <v>6</v>
      </c>
      <c r="R2978" s="166">
        <f>IF(Sales[[#This Row],[Status]]="Cancelled",0,Sales[[#This Row],[Total Amount]])</f>
        <v>278859.96000000002</v>
      </c>
      <c r="S2978" s="162">
        <f>SUM(Sales[Net Amount])</f>
        <v>406839287.73200053</v>
      </c>
    </row>
    <row r="2979" spans="1:19" ht="18.75" x14ac:dyDescent="0.25">
      <c r="A2979" s="156" t="s">
        <v>6627</v>
      </c>
      <c r="B2979" s="157">
        <v>45929</v>
      </c>
      <c r="C2979" s="158" t="s">
        <v>707</v>
      </c>
      <c r="D2979" s="159" t="str">
        <f>VLOOKUP(Sales[[#This Row],[Customer ID]],Customer[#All],2,0)</f>
        <v>Rahul Verma</v>
      </c>
      <c r="E2979" s="158" t="s">
        <v>231</v>
      </c>
      <c r="F2979" s="158" t="str">
        <f>VLOOKUP(Sales[[#This Row],[Product ID]],Product[#All],2,0)</f>
        <v>TP-link Wi-Fi Adapter</v>
      </c>
      <c r="G2979" s="159">
        <v>7</v>
      </c>
      <c r="H2979" s="160">
        <f>VLOOKUP(Sales[[#This Row],[Product ID]],Product[#All],7,0)</f>
        <v>2200</v>
      </c>
      <c r="I2979" s="160">
        <f>Sales[[#This Row],[Selling Rate]]*Sales[[#This Row],[Qty]]</f>
        <v>15400</v>
      </c>
      <c r="J2979" s="43">
        <v>0.12</v>
      </c>
      <c r="K2979" s="44">
        <f>Sales[[#This Row],[Gross Amount]]*Sales[[#This Row],[Disc %]]</f>
        <v>1848</v>
      </c>
      <c r="L2979" s="43">
        <v>0.18</v>
      </c>
      <c r="M2979" s="44">
        <f>(Sales[[#This Row],[Gross Amount]]-Sales[[#This Row],[Disc. Amt.]])*Sales[[#This Row],[GST %]]</f>
        <v>2439.36</v>
      </c>
      <c r="N2979" s="161">
        <f>Sales[[#This Row],[Gross Amount]]-Sales[[#This Row],[Disc. Amt.]]+Sales[[#This Row],[GST Amount]]</f>
        <v>15991.36</v>
      </c>
      <c r="O2979" s="158" t="s">
        <v>3569</v>
      </c>
      <c r="P2979" s="158" t="s">
        <v>3562</v>
      </c>
      <c r="Q2979" s="160">
        <f>IF(Sales[[#This Row],[Status]]="Cancelled",0,Sales[[#This Row],[Qty]])</f>
        <v>7</v>
      </c>
      <c r="R2979" s="161">
        <f>IF(Sales[[#This Row],[Status]]="Cancelled",0,Sales[[#This Row],[Total Amount]])</f>
        <v>15991.36</v>
      </c>
      <c r="S2979" s="162">
        <f>SUM(Sales[Net Amount])</f>
        <v>406839287.73200053</v>
      </c>
    </row>
    <row r="2980" spans="1:19" ht="18.75" x14ac:dyDescent="0.25">
      <c r="A2980" s="163" t="s">
        <v>6628</v>
      </c>
      <c r="B2980" s="164">
        <v>45929</v>
      </c>
      <c r="C2980" s="34" t="s">
        <v>772</v>
      </c>
      <c r="D2980" s="53" t="str">
        <f>VLOOKUP(Sales[[#This Row],[Customer ID]],Customer[#All],2,0)</f>
        <v>Rahul Patel</v>
      </c>
      <c r="E2980" s="34" t="s">
        <v>463</v>
      </c>
      <c r="F2980" s="34" t="str">
        <f>VLOOKUP(Sales[[#This Row],[Product ID]],Product[#All],2,0)</f>
        <v>Apc UPS</v>
      </c>
      <c r="G2980" s="53">
        <v>3</v>
      </c>
      <c r="H2980" s="165">
        <f>VLOOKUP(Sales[[#This Row],[Product ID]],Product[#All],7,0)</f>
        <v>10050</v>
      </c>
      <c r="I2980" s="165">
        <f>Sales[[#This Row],[Selling Rate]]*Sales[[#This Row],[Qty]]</f>
        <v>30150</v>
      </c>
      <c r="J2980" s="45">
        <v>0.05</v>
      </c>
      <c r="K2980" s="46">
        <f>Sales[[#This Row],[Gross Amount]]*Sales[[#This Row],[Disc %]]</f>
        <v>1507.5</v>
      </c>
      <c r="L2980" s="43">
        <v>0.18</v>
      </c>
      <c r="M2980" s="46">
        <f>(Sales[[#This Row],[Gross Amount]]-Sales[[#This Row],[Disc. Amt.]])*Sales[[#This Row],[GST %]]</f>
        <v>5155.6499999999996</v>
      </c>
      <c r="N2980" s="161">
        <f>Sales[[#This Row],[Gross Amount]]-Sales[[#This Row],[Disc. Amt.]]+Sales[[#This Row],[GST Amount]]</f>
        <v>33798.15</v>
      </c>
      <c r="O2980" s="34" t="s">
        <v>8876</v>
      </c>
      <c r="P2980" s="34" t="s">
        <v>3562</v>
      </c>
      <c r="Q2980" s="165">
        <f>IF(Sales[[#This Row],[Status]]="Cancelled",0,Sales[[#This Row],[Qty]])</f>
        <v>3</v>
      </c>
      <c r="R2980" s="166">
        <f>IF(Sales[[#This Row],[Status]]="Cancelled",0,Sales[[#This Row],[Total Amount]])</f>
        <v>33798.15</v>
      </c>
      <c r="S2980" s="162">
        <f>SUM(Sales[Net Amount])</f>
        <v>406839287.73200053</v>
      </c>
    </row>
    <row r="2981" spans="1:19" ht="18.75" x14ac:dyDescent="0.25">
      <c r="A2981" s="156" t="s">
        <v>6629</v>
      </c>
      <c r="B2981" s="157">
        <v>45929</v>
      </c>
      <c r="C2981" s="158" t="s">
        <v>767</v>
      </c>
      <c r="D2981" s="159" t="str">
        <f>VLOOKUP(Sales[[#This Row],[Customer ID]],Customer[#All],2,0)</f>
        <v>Sunita Singh</v>
      </c>
      <c r="E2981" s="158" t="s">
        <v>266</v>
      </c>
      <c r="F2981" s="158" t="str">
        <f>VLOOKUP(Sales[[#This Row],[Product ID]],Product[#All],2,0)</f>
        <v>American TouristerLaptopBag</v>
      </c>
      <c r="G2981" s="159">
        <v>5</v>
      </c>
      <c r="H2981" s="160">
        <f>VLOOKUP(Sales[[#This Row],[Product ID]],Product[#All],7,0)</f>
        <v>4170</v>
      </c>
      <c r="I2981" s="160">
        <f>Sales[[#This Row],[Selling Rate]]*Sales[[#This Row],[Qty]]</f>
        <v>20850</v>
      </c>
      <c r="J2981" s="43">
        <v>0</v>
      </c>
      <c r="K2981" s="44">
        <f>Sales[[#This Row],[Gross Amount]]*Sales[[#This Row],[Disc %]]</f>
        <v>0</v>
      </c>
      <c r="L2981" s="43">
        <v>0.18</v>
      </c>
      <c r="M2981" s="44">
        <f>(Sales[[#This Row],[Gross Amount]]-Sales[[#This Row],[Disc. Amt.]])*Sales[[#This Row],[GST %]]</f>
        <v>3753</v>
      </c>
      <c r="N2981" s="161">
        <f>Sales[[#This Row],[Gross Amount]]-Sales[[#This Row],[Disc. Amt.]]+Sales[[#This Row],[GST Amount]]</f>
        <v>24603</v>
      </c>
      <c r="O2981" s="158" t="s">
        <v>3569</v>
      </c>
      <c r="P2981" s="158" t="s">
        <v>3562</v>
      </c>
      <c r="Q2981" s="160">
        <f>IF(Sales[[#This Row],[Status]]="Cancelled",0,Sales[[#This Row],[Qty]])</f>
        <v>5</v>
      </c>
      <c r="R2981" s="161">
        <f>IF(Sales[[#This Row],[Status]]="Cancelled",0,Sales[[#This Row],[Total Amount]])</f>
        <v>24603</v>
      </c>
      <c r="S2981" s="162">
        <f>SUM(Sales[Net Amount])</f>
        <v>406839287.73200053</v>
      </c>
    </row>
    <row r="2982" spans="1:19" ht="18.75" x14ac:dyDescent="0.25">
      <c r="A2982" s="163" t="s">
        <v>6630</v>
      </c>
      <c r="B2982" s="164">
        <v>45929</v>
      </c>
      <c r="C2982" s="34" t="s">
        <v>874</v>
      </c>
      <c r="D2982" s="53" t="str">
        <f>VLOOKUP(Sales[[#This Row],[Customer ID]],Customer[#All],2,0)</f>
        <v>Vikas Sharma</v>
      </c>
      <c r="E2982" s="34" t="s">
        <v>533</v>
      </c>
      <c r="F2982" s="34" t="str">
        <f>VLOOKUP(Sales[[#This Row],[Product ID]],Product[#All],2,0)</f>
        <v>HP Desktop</v>
      </c>
      <c r="G2982" s="53">
        <v>4</v>
      </c>
      <c r="H2982" s="165">
        <f>VLOOKUP(Sales[[#This Row],[Product ID]],Product[#All],7,0)</f>
        <v>72430</v>
      </c>
      <c r="I2982" s="165">
        <f>Sales[[#This Row],[Selling Rate]]*Sales[[#This Row],[Qty]]</f>
        <v>289720</v>
      </c>
      <c r="J2982" s="45">
        <v>0.15</v>
      </c>
      <c r="K2982" s="46">
        <f>Sales[[#This Row],[Gross Amount]]*Sales[[#This Row],[Disc %]]</f>
        <v>43458</v>
      </c>
      <c r="L2982" s="43">
        <v>0.18</v>
      </c>
      <c r="M2982" s="46">
        <f>(Sales[[#This Row],[Gross Amount]]-Sales[[#This Row],[Disc. Amt.]])*Sales[[#This Row],[GST %]]</f>
        <v>44327.159999999996</v>
      </c>
      <c r="N2982" s="161">
        <f>Sales[[#This Row],[Gross Amount]]-Sales[[#This Row],[Disc. Amt.]]+Sales[[#This Row],[GST Amount]]</f>
        <v>290589.15999999997</v>
      </c>
      <c r="O2982" s="34" t="s">
        <v>3561</v>
      </c>
      <c r="P2982" s="34" t="s">
        <v>1040</v>
      </c>
      <c r="Q2982" s="165">
        <f>IF(Sales[[#This Row],[Status]]="Cancelled",0,Sales[[#This Row],[Qty]])</f>
        <v>0</v>
      </c>
      <c r="R2982" s="166">
        <f>IF(Sales[[#This Row],[Status]]="Cancelled",0,Sales[[#This Row],[Total Amount]])</f>
        <v>0</v>
      </c>
      <c r="S2982" s="162">
        <f>SUM(Sales[Net Amount])</f>
        <v>406839287.73200053</v>
      </c>
    </row>
    <row r="2983" spans="1:19" ht="18.75" x14ac:dyDescent="0.25">
      <c r="A2983" s="156" t="s">
        <v>6631</v>
      </c>
      <c r="B2983" s="157">
        <v>45929</v>
      </c>
      <c r="C2983" s="158" t="s">
        <v>896</v>
      </c>
      <c r="D2983" s="159" t="str">
        <f>VLOOKUP(Sales[[#This Row],[Customer ID]],Customer[#All],2,0)</f>
        <v>Amit Gupta</v>
      </c>
      <c r="E2983" s="158" t="s">
        <v>272</v>
      </c>
      <c r="F2983" s="158" t="str">
        <f>VLOOKUP(Sales[[#This Row],[Product ID]],Product[#All],2,0)</f>
        <v>Jbl Speaker</v>
      </c>
      <c r="G2983" s="159">
        <v>3</v>
      </c>
      <c r="H2983" s="160">
        <f>VLOOKUP(Sales[[#This Row],[Product ID]],Product[#All],7,0)</f>
        <v>10960</v>
      </c>
      <c r="I2983" s="160">
        <f>Sales[[#This Row],[Selling Rate]]*Sales[[#This Row],[Qty]]</f>
        <v>32880</v>
      </c>
      <c r="J2983" s="43">
        <v>0.1</v>
      </c>
      <c r="K2983" s="44">
        <f>Sales[[#This Row],[Gross Amount]]*Sales[[#This Row],[Disc %]]</f>
        <v>3288</v>
      </c>
      <c r="L2983" s="43">
        <v>0.18</v>
      </c>
      <c r="M2983" s="44">
        <f>(Sales[[#This Row],[Gross Amount]]-Sales[[#This Row],[Disc. Amt.]])*Sales[[#This Row],[GST %]]</f>
        <v>5326.5599999999995</v>
      </c>
      <c r="N2983" s="161">
        <f>Sales[[#This Row],[Gross Amount]]-Sales[[#This Row],[Disc. Amt.]]+Sales[[#This Row],[GST Amount]]</f>
        <v>34918.559999999998</v>
      </c>
      <c r="O2983" s="158" t="s">
        <v>3561</v>
      </c>
      <c r="P2983" s="158" t="s">
        <v>3562</v>
      </c>
      <c r="Q2983" s="160">
        <f>IF(Sales[[#This Row],[Status]]="Cancelled",0,Sales[[#This Row],[Qty]])</f>
        <v>3</v>
      </c>
      <c r="R2983" s="161">
        <f>IF(Sales[[#This Row],[Status]]="Cancelled",0,Sales[[#This Row],[Total Amount]])</f>
        <v>34918.559999999998</v>
      </c>
      <c r="S2983" s="162">
        <f>SUM(Sales[Net Amount])</f>
        <v>406839287.73200053</v>
      </c>
    </row>
    <row r="2984" spans="1:19" ht="18.75" x14ac:dyDescent="0.25">
      <c r="A2984" s="163" t="s">
        <v>6632</v>
      </c>
      <c r="B2984" s="164">
        <v>45929</v>
      </c>
      <c r="C2984" s="34" t="s">
        <v>832</v>
      </c>
      <c r="D2984" s="53" t="str">
        <f>VLOOKUP(Sales[[#This Row],[Customer ID]],Customer[#All],2,0)</f>
        <v>Vikas Sharma</v>
      </c>
      <c r="E2984" s="34" t="s">
        <v>147</v>
      </c>
      <c r="F2984" s="34" t="str">
        <f>VLOOKUP(Sales[[#This Row],[Product ID]],Product[#All],2,0)</f>
        <v>HP Power Adapter</v>
      </c>
      <c r="G2984" s="53">
        <v>8</v>
      </c>
      <c r="H2984" s="165">
        <f>VLOOKUP(Sales[[#This Row],[Product ID]],Product[#All],7,0)</f>
        <v>4680</v>
      </c>
      <c r="I2984" s="165">
        <f>Sales[[#This Row],[Selling Rate]]*Sales[[#This Row],[Qty]]</f>
        <v>37440</v>
      </c>
      <c r="J2984" s="45">
        <v>0.1</v>
      </c>
      <c r="K2984" s="46">
        <f>Sales[[#This Row],[Gross Amount]]*Sales[[#This Row],[Disc %]]</f>
        <v>3744</v>
      </c>
      <c r="L2984" s="43">
        <v>0.18</v>
      </c>
      <c r="M2984" s="46">
        <f>(Sales[[#This Row],[Gross Amount]]-Sales[[#This Row],[Disc. Amt.]])*Sales[[#This Row],[GST %]]</f>
        <v>6065.28</v>
      </c>
      <c r="N2984" s="161">
        <f>Sales[[#This Row],[Gross Amount]]-Sales[[#This Row],[Disc. Amt.]]+Sales[[#This Row],[GST Amount]]</f>
        <v>39761.279999999999</v>
      </c>
      <c r="O2984" s="34" t="s">
        <v>3569</v>
      </c>
      <c r="P2984" s="34" t="s">
        <v>3562</v>
      </c>
      <c r="Q2984" s="165">
        <f>IF(Sales[[#This Row],[Status]]="Cancelled",0,Sales[[#This Row],[Qty]])</f>
        <v>8</v>
      </c>
      <c r="R2984" s="166">
        <f>IF(Sales[[#This Row],[Status]]="Cancelled",0,Sales[[#This Row],[Total Amount]])</f>
        <v>39761.279999999999</v>
      </c>
      <c r="S2984" s="162">
        <f>SUM(Sales[Net Amount])</f>
        <v>406839287.73200053</v>
      </c>
    </row>
    <row r="2985" spans="1:19" ht="18.75" x14ac:dyDescent="0.25">
      <c r="A2985" s="156" t="s">
        <v>6633</v>
      </c>
      <c r="B2985" s="157">
        <v>45929</v>
      </c>
      <c r="C2985" s="158" t="s">
        <v>713</v>
      </c>
      <c r="D2985" s="159" t="str">
        <f>VLOOKUP(Sales[[#This Row],[Customer ID]],Customer[#All],2,0)</f>
        <v>Amit Gupta</v>
      </c>
      <c r="E2985" s="158" t="s">
        <v>308</v>
      </c>
      <c r="F2985" s="158" t="str">
        <f>VLOOKUP(Sales[[#This Row],[Product ID]],Product[#All],2,0)</f>
        <v>Kingston Ram</v>
      </c>
      <c r="G2985" s="159">
        <v>7</v>
      </c>
      <c r="H2985" s="160">
        <f>VLOOKUP(Sales[[#This Row],[Product ID]],Product[#All],7,0)</f>
        <v>3980</v>
      </c>
      <c r="I2985" s="160">
        <f>Sales[[#This Row],[Selling Rate]]*Sales[[#This Row],[Qty]]</f>
        <v>27860</v>
      </c>
      <c r="J2985" s="43">
        <v>0.12</v>
      </c>
      <c r="K2985" s="44">
        <f>Sales[[#This Row],[Gross Amount]]*Sales[[#This Row],[Disc %]]</f>
        <v>3343.2</v>
      </c>
      <c r="L2985" s="43">
        <v>0.18</v>
      </c>
      <c r="M2985" s="44">
        <f>(Sales[[#This Row],[Gross Amount]]-Sales[[#This Row],[Disc. Amt.]])*Sales[[#This Row],[GST %]]</f>
        <v>4413.0239999999994</v>
      </c>
      <c r="N2985" s="161">
        <f>Sales[[#This Row],[Gross Amount]]-Sales[[#This Row],[Disc. Amt.]]+Sales[[#This Row],[GST Amount]]</f>
        <v>28929.824000000001</v>
      </c>
      <c r="O2985" s="158" t="s">
        <v>3561</v>
      </c>
      <c r="P2985" s="158" t="s">
        <v>3562</v>
      </c>
      <c r="Q2985" s="160">
        <f>IF(Sales[[#This Row],[Status]]="Cancelled",0,Sales[[#This Row],[Qty]])</f>
        <v>7</v>
      </c>
      <c r="R2985" s="161">
        <f>IF(Sales[[#This Row],[Status]]="Cancelled",0,Sales[[#This Row],[Total Amount]])</f>
        <v>28929.824000000001</v>
      </c>
      <c r="S2985" s="162">
        <f>SUM(Sales[Net Amount])</f>
        <v>406839287.73200053</v>
      </c>
    </row>
    <row r="2986" spans="1:19" ht="18.75" x14ac:dyDescent="0.25">
      <c r="A2986" s="163" t="s">
        <v>6634</v>
      </c>
      <c r="B2986" s="164">
        <v>45929</v>
      </c>
      <c r="C2986" s="34" t="s">
        <v>756</v>
      </c>
      <c r="D2986" s="53" t="str">
        <f>VLOOKUP(Sales[[#This Row],[Customer ID]],Customer[#All],2,0)</f>
        <v>Amit Patel</v>
      </c>
      <c r="E2986" s="34" t="s">
        <v>359</v>
      </c>
      <c r="F2986" s="34" t="str">
        <f>VLOOKUP(Sales[[#This Row],[Product ID]],Product[#All],2,0)</f>
        <v>Sandisk Pen Drive</v>
      </c>
      <c r="G2986" s="53">
        <v>1</v>
      </c>
      <c r="H2986" s="165">
        <f>VLOOKUP(Sales[[#This Row],[Product ID]],Product[#All],7,0)</f>
        <v>1140</v>
      </c>
      <c r="I2986" s="165">
        <f>Sales[[#This Row],[Selling Rate]]*Sales[[#This Row],[Qty]]</f>
        <v>1140</v>
      </c>
      <c r="J2986" s="45">
        <v>0</v>
      </c>
      <c r="K2986" s="46">
        <f>Sales[[#This Row],[Gross Amount]]*Sales[[#This Row],[Disc %]]</f>
        <v>0</v>
      </c>
      <c r="L2986" s="43">
        <v>0.18</v>
      </c>
      <c r="M2986" s="46">
        <f>(Sales[[#This Row],[Gross Amount]]-Sales[[#This Row],[Disc. Amt.]])*Sales[[#This Row],[GST %]]</f>
        <v>205.2</v>
      </c>
      <c r="N2986" s="161">
        <f>Sales[[#This Row],[Gross Amount]]-Sales[[#This Row],[Disc. Amt.]]+Sales[[#This Row],[GST Amount]]</f>
        <v>1345.2</v>
      </c>
      <c r="O2986" s="34" t="s">
        <v>8876</v>
      </c>
      <c r="P2986" s="34" t="s">
        <v>3562</v>
      </c>
      <c r="Q2986" s="165">
        <f>IF(Sales[[#This Row],[Status]]="Cancelled",0,Sales[[#This Row],[Qty]])</f>
        <v>1</v>
      </c>
      <c r="R2986" s="166">
        <f>IF(Sales[[#This Row],[Status]]="Cancelled",0,Sales[[#This Row],[Total Amount]])</f>
        <v>1345.2</v>
      </c>
      <c r="S2986" s="162">
        <f>SUM(Sales[Net Amount])</f>
        <v>406839287.73200053</v>
      </c>
    </row>
    <row r="2987" spans="1:19" ht="18.75" x14ac:dyDescent="0.25">
      <c r="A2987" s="156" t="s">
        <v>6635</v>
      </c>
      <c r="B2987" s="157">
        <v>45929</v>
      </c>
      <c r="C2987" s="158" t="s">
        <v>939</v>
      </c>
      <c r="D2987" s="159" t="str">
        <f>VLOOKUP(Sales[[#This Row],[Customer ID]],Customer[#All],2,0)</f>
        <v>Sunita Sharma</v>
      </c>
      <c r="E2987" s="158" t="s">
        <v>478</v>
      </c>
      <c r="F2987" s="158" t="str">
        <f>VLOOKUP(Sales[[#This Row],[Product ID]],Product[#All],2,0)</f>
        <v>American TouristerLaptopBag</v>
      </c>
      <c r="G2987" s="159">
        <v>6</v>
      </c>
      <c r="H2987" s="160">
        <f>VLOOKUP(Sales[[#This Row],[Product ID]],Product[#All],7,0)</f>
        <v>6010</v>
      </c>
      <c r="I2987" s="160">
        <f>Sales[[#This Row],[Selling Rate]]*Sales[[#This Row],[Qty]]</f>
        <v>36060</v>
      </c>
      <c r="J2987" s="43">
        <v>0</v>
      </c>
      <c r="K2987" s="44">
        <f>Sales[[#This Row],[Gross Amount]]*Sales[[#This Row],[Disc %]]</f>
        <v>0</v>
      </c>
      <c r="L2987" s="43">
        <v>0.18</v>
      </c>
      <c r="M2987" s="44">
        <f>(Sales[[#This Row],[Gross Amount]]-Sales[[#This Row],[Disc. Amt.]])*Sales[[#This Row],[GST %]]</f>
        <v>6490.8</v>
      </c>
      <c r="N2987" s="161">
        <f>Sales[[#This Row],[Gross Amount]]-Sales[[#This Row],[Disc. Amt.]]+Sales[[#This Row],[GST Amount]]</f>
        <v>42550.8</v>
      </c>
      <c r="O2987" s="158" t="s">
        <v>3569</v>
      </c>
      <c r="P2987" s="158" t="s">
        <v>3562</v>
      </c>
      <c r="Q2987" s="160">
        <f>IF(Sales[[#This Row],[Status]]="Cancelled",0,Sales[[#This Row],[Qty]])</f>
        <v>6</v>
      </c>
      <c r="R2987" s="161">
        <f>IF(Sales[[#This Row],[Status]]="Cancelled",0,Sales[[#This Row],[Total Amount]])</f>
        <v>42550.8</v>
      </c>
      <c r="S2987" s="162">
        <f>SUM(Sales[Net Amount])</f>
        <v>406839287.73200053</v>
      </c>
    </row>
    <row r="2988" spans="1:19" ht="18.75" x14ac:dyDescent="0.25">
      <c r="A2988" s="163" t="s">
        <v>6636</v>
      </c>
      <c r="B2988" s="164">
        <v>45929</v>
      </c>
      <c r="C2988" s="34" t="s">
        <v>848</v>
      </c>
      <c r="D2988" s="53" t="str">
        <f>VLOOKUP(Sales[[#This Row],[Customer ID]],Customer[#All],2,0)</f>
        <v>Rakesh Patel</v>
      </c>
      <c r="E2988" s="34" t="s">
        <v>409</v>
      </c>
      <c r="F2988" s="34" t="str">
        <f>VLOOKUP(Sales[[#This Row],[Product ID]],Product[#All],2,0)</f>
        <v>Amazon Basics Hdmi Cable</v>
      </c>
      <c r="G2988" s="53">
        <v>8</v>
      </c>
      <c r="H2988" s="165">
        <f>VLOOKUP(Sales[[#This Row],[Product ID]],Product[#All],7,0)</f>
        <v>760</v>
      </c>
      <c r="I2988" s="165">
        <f>Sales[[#This Row],[Selling Rate]]*Sales[[#This Row],[Qty]]</f>
        <v>6080</v>
      </c>
      <c r="J2988" s="45">
        <v>0.1</v>
      </c>
      <c r="K2988" s="46">
        <f>Sales[[#This Row],[Gross Amount]]*Sales[[#This Row],[Disc %]]</f>
        <v>608</v>
      </c>
      <c r="L2988" s="43">
        <v>0.18</v>
      </c>
      <c r="M2988" s="46">
        <f>(Sales[[#This Row],[Gross Amount]]-Sales[[#This Row],[Disc. Amt.]])*Sales[[#This Row],[GST %]]</f>
        <v>984.95999999999992</v>
      </c>
      <c r="N2988" s="161">
        <f>Sales[[#This Row],[Gross Amount]]-Sales[[#This Row],[Disc. Amt.]]+Sales[[#This Row],[GST Amount]]</f>
        <v>6456.96</v>
      </c>
      <c r="O2988" s="34" t="s">
        <v>3569</v>
      </c>
      <c r="P2988" s="34" t="s">
        <v>3562</v>
      </c>
      <c r="Q2988" s="165">
        <f>IF(Sales[[#This Row],[Status]]="Cancelled",0,Sales[[#This Row],[Qty]])</f>
        <v>8</v>
      </c>
      <c r="R2988" s="166">
        <f>IF(Sales[[#This Row],[Status]]="Cancelled",0,Sales[[#This Row],[Total Amount]])</f>
        <v>6456.96</v>
      </c>
      <c r="S2988" s="162">
        <f>SUM(Sales[Net Amount])</f>
        <v>406839287.73200053</v>
      </c>
    </row>
    <row r="2989" spans="1:19" ht="18.75" x14ac:dyDescent="0.25">
      <c r="A2989" s="156" t="s">
        <v>6637</v>
      </c>
      <c r="B2989" s="157">
        <v>45929</v>
      </c>
      <c r="C2989" s="158" t="s">
        <v>876</v>
      </c>
      <c r="D2989" s="159" t="str">
        <f>VLOOKUP(Sales[[#This Row],[Customer ID]],Customer[#All],2,0)</f>
        <v>Sahil Verma</v>
      </c>
      <c r="E2989" s="158" t="s">
        <v>319</v>
      </c>
      <c r="F2989" s="158" t="str">
        <f>VLOOKUP(Sales[[#This Row],[Product ID]],Product[#All],2,0)</f>
        <v>Seagate HDD</v>
      </c>
      <c r="G2989" s="159">
        <v>1</v>
      </c>
      <c r="H2989" s="160">
        <f>VLOOKUP(Sales[[#This Row],[Product ID]],Product[#All],7,0)</f>
        <v>10650</v>
      </c>
      <c r="I2989" s="160">
        <f>Sales[[#This Row],[Selling Rate]]*Sales[[#This Row],[Qty]]</f>
        <v>10650</v>
      </c>
      <c r="J2989" s="43">
        <v>0.15</v>
      </c>
      <c r="K2989" s="44">
        <f>Sales[[#This Row],[Gross Amount]]*Sales[[#This Row],[Disc %]]</f>
        <v>1597.5</v>
      </c>
      <c r="L2989" s="43">
        <v>0.18</v>
      </c>
      <c r="M2989" s="44">
        <f>(Sales[[#This Row],[Gross Amount]]-Sales[[#This Row],[Disc. Amt.]])*Sales[[#This Row],[GST %]]</f>
        <v>1629.45</v>
      </c>
      <c r="N2989" s="161">
        <f>Sales[[#This Row],[Gross Amount]]-Sales[[#This Row],[Disc. Amt.]]+Sales[[#This Row],[GST Amount]]</f>
        <v>10681.95</v>
      </c>
      <c r="O2989" s="158" t="s">
        <v>3569</v>
      </c>
      <c r="P2989" s="158" t="s">
        <v>3562</v>
      </c>
      <c r="Q2989" s="160">
        <f>IF(Sales[[#This Row],[Status]]="Cancelled",0,Sales[[#This Row],[Qty]])</f>
        <v>1</v>
      </c>
      <c r="R2989" s="161">
        <f>IF(Sales[[#This Row],[Status]]="Cancelled",0,Sales[[#This Row],[Total Amount]])</f>
        <v>10681.95</v>
      </c>
      <c r="S2989" s="162">
        <f>SUM(Sales[Net Amount])</f>
        <v>406839287.73200053</v>
      </c>
    </row>
    <row r="2990" spans="1:19" ht="18.75" x14ac:dyDescent="0.25">
      <c r="A2990" s="163" t="s">
        <v>6638</v>
      </c>
      <c r="B2990" s="164">
        <v>45929</v>
      </c>
      <c r="C2990" s="34" t="s">
        <v>802</v>
      </c>
      <c r="D2990" s="53" t="str">
        <f>VLOOKUP(Sales[[#This Row],[Customer ID]],Customer[#All],2,0)</f>
        <v>Rakesh Patel</v>
      </c>
      <c r="E2990" s="34" t="s">
        <v>338</v>
      </c>
      <c r="F2990" s="34" t="str">
        <f>VLOOKUP(Sales[[#This Row],[Product ID]],Product[#All],2,0)</f>
        <v>Canon Printer</v>
      </c>
      <c r="G2990" s="53">
        <v>5</v>
      </c>
      <c r="H2990" s="165">
        <f>VLOOKUP(Sales[[#This Row],[Product ID]],Product[#All],7,0)</f>
        <v>13780</v>
      </c>
      <c r="I2990" s="165">
        <f>Sales[[#This Row],[Selling Rate]]*Sales[[#This Row],[Qty]]</f>
        <v>68900</v>
      </c>
      <c r="J2990" s="45">
        <v>0.15</v>
      </c>
      <c r="K2990" s="46">
        <f>Sales[[#This Row],[Gross Amount]]*Sales[[#This Row],[Disc %]]</f>
        <v>10335</v>
      </c>
      <c r="L2990" s="43">
        <v>0.18</v>
      </c>
      <c r="M2990" s="46">
        <f>(Sales[[#This Row],[Gross Amount]]-Sales[[#This Row],[Disc. Amt.]])*Sales[[#This Row],[GST %]]</f>
        <v>10541.699999999999</v>
      </c>
      <c r="N2990" s="161">
        <f>Sales[[#This Row],[Gross Amount]]-Sales[[#This Row],[Disc. Amt.]]+Sales[[#This Row],[GST Amount]]</f>
        <v>69106.7</v>
      </c>
      <c r="O2990" s="34" t="s">
        <v>8876</v>
      </c>
      <c r="P2990" s="34" t="s">
        <v>3562</v>
      </c>
      <c r="Q2990" s="165">
        <f>IF(Sales[[#This Row],[Status]]="Cancelled",0,Sales[[#This Row],[Qty]])</f>
        <v>5</v>
      </c>
      <c r="R2990" s="166">
        <f>IF(Sales[[#This Row],[Status]]="Cancelled",0,Sales[[#This Row],[Total Amount]])</f>
        <v>69106.7</v>
      </c>
      <c r="S2990" s="162">
        <f>SUM(Sales[Net Amount])</f>
        <v>406839287.73200053</v>
      </c>
    </row>
    <row r="2991" spans="1:19" ht="18.75" x14ac:dyDescent="0.25">
      <c r="A2991" s="156" t="s">
        <v>6639</v>
      </c>
      <c r="B2991" s="157">
        <v>45929</v>
      </c>
      <c r="C2991" s="158" t="s">
        <v>691</v>
      </c>
      <c r="D2991" s="159" t="str">
        <f>VLOOKUP(Sales[[#This Row],[Customer ID]],Customer[#All],2,0)</f>
        <v>Pooja Patel</v>
      </c>
      <c r="E2991" s="158" t="s">
        <v>334</v>
      </c>
      <c r="F2991" s="158" t="str">
        <f>VLOOKUP(Sales[[#This Row],[Product ID]],Product[#All],2,0)</f>
        <v>Jbl Headset</v>
      </c>
      <c r="G2991" s="159">
        <v>6</v>
      </c>
      <c r="H2991" s="160">
        <f>VLOOKUP(Sales[[#This Row],[Product ID]],Product[#All],7,0)</f>
        <v>3150</v>
      </c>
      <c r="I2991" s="160">
        <f>Sales[[#This Row],[Selling Rate]]*Sales[[#This Row],[Qty]]</f>
        <v>18900</v>
      </c>
      <c r="J2991" s="43">
        <v>0.05</v>
      </c>
      <c r="K2991" s="44">
        <f>Sales[[#This Row],[Gross Amount]]*Sales[[#This Row],[Disc %]]</f>
        <v>945</v>
      </c>
      <c r="L2991" s="43">
        <v>0.18</v>
      </c>
      <c r="M2991" s="44">
        <f>(Sales[[#This Row],[Gross Amount]]-Sales[[#This Row],[Disc. Amt.]])*Sales[[#This Row],[GST %]]</f>
        <v>3231.9</v>
      </c>
      <c r="N2991" s="161">
        <f>Sales[[#This Row],[Gross Amount]]-Sales[[#This Row],[Disc. Amt.]]+Sales[[#This Row],[GST Amount]]</f>
        <v>21186.9</v>
      </c>
      <c r="O2991" s="158" t="s">
        <v>8876</v>
      </c>
      <c r="P2991" s="158" t="s">
        <v>3562</v>
      </c>
      <c r="Q2991" s="160">
        <f>IF(Sales[[#This Row],[Status]]="Cancelled",0,Sales[[#This Row],[Qty]])</f>
        <v>6</v>
      </c>
      <c r="R2991" s="161">
        <f>IF(Sales[[#This Row],[Status]]="Cancelled",0,Sales[[#This Row],[Total Amount]])</f>
        <v>21186.9</v>
      </c>
      <c r="S2991" s="162">
        <f>SUM(Sales[Net Amount])</f>
        <v>406839287.73200053</v>
      </c>
    </row>
    <row r="2992" spans="1:19" ht="18.75" x14ac:dyDescent="0.25">
      <c r="A2992" s="163" t="s">
        <v>6640</v>
      </c>
      <c r="B2992" s="164">
        <v>45929</v>
      </c>
      <c r="C2992" s="34" t="s">
        <v>855</v>
      </c>
      <c r="D2992" s="53" t="str">
        <f>VLOOKUP(Sales[[#This Row],[Customer ID]],Customer[#All],2,0)</f>
        <v>Sahil Singh</v>
      </c>
      <c r="E2992" s="34" t="s">
        <v>513</v>
      </c>
      <c r="F2992" s="34" t="str">
        <f>VLOOKUP(Sales[[#This Row],[Product ID]],Product[#All],2,0)</f>
        <v>HP Power Adapter</v>
      </c>
      <c r="G2992" s="53">
        <v>4</v>
      </c>
      <c r="H2992" s="165">
        <f>VLOOKUP(Sales[[#This Row],[Product ID]],Product[#All],7,0)</f>
        <v>2470</v>
      </c>
      <c r="I2992" s="165">
        <f>Sales[[#This Row],[Selling Rate]]*Sales[[#This Row],[Qty]]</f>
        <v>9880</v>
      </c>
      <c r="J2992" s="45">
        <v>0.15</v>
      </c>
      <c r="K2992" s="46">
        <f>Sales[[#This Row],[Gross Amount]]*Sales[[#This Row],[Disc %]]</f>
        <v>1482</v>
      </c>
      <c r="L2992" s="43">
        <v>0.18</v>
      </c>
      <c r="M2992" s="46">
        <f>(Sales[[#This Row],[Gross Amount]]-Sales[[#This Row],[Disc. Amt.]])*Sales[[#This Row],[GST %]]</f>
        <v>1511.6399999999999</v>
      </c>
      <c r="N2992" s="161">
        <f>Sales[[#This Row],[Gross Amount]]-Sales[[#This Row],[Disc. Amt.]]+Sales[[#This Row],[GST Amount]]</f>
        <v>9909.64</v>
      </c>
      <c r="O2992" s="34" t="s">
        <v>3566</v>
      </c>
      <c r="P2992" s="34" t="s">
        <v>3562</v>
      </c>
      <c r="Q2992" s="165">
        <f>IF(Sales[[#This Row],[Status]]="Cancelled",0,Sales[[#This Row],[Qty]])</f>
        <v>4</v>
      </c>
      <c r="R2992" s="166">
        <f>IF(Sales[[#This Row],[Status]]="Cancelled",0,Sales[[#This Row],[Total Amount]])</f>
        <v>9909.64</v>
      </c>
      <c r="S2992" s="162">
        <f>SUM(Sales[Net Amount])</f>
        <v>406839287.73200053</v>
      </c>
    </row>
    <row r="2993" spans="1:19" ht="18.75" x14ac:dyDescent="0.25">
      <c r="A2993" s="156" t="s">
        <v>6641</v>
      </c>
      <c r="B2993" s="157">
        <v>45929</v>
      </c>
      <c r="C2993" s="158" t="s">
        <v>653</v>
      </c>
      <c r="D2993" s="159" t="str">
        <f>VLOOKUP(Sales[[#This Row],[Customer ID]],Customer[#All],2,0)</f>
        <v>Pooja Patel</v>
      </c>
      <c r="E2993" s="158" t="s">
        <v>155</v>
      </c>
      <c r="F2993" s="158" t="str">
        <f>VLOOKUP(Sales[[#This Row],[Product ID]],Product[#All],2,0)</f>
        <v>Sandisk Pen Drive</v>
      </c>
      <c r="G2993" s="159">
        <v>2</v>
      </c>
      <c r="H2993" s="160">
        <f>VLOOKUP(Sales[[#This Row],[Product ID]],Product[#All],7,0)</f>
        <v>3650</v>
      </c>
      <c r="I2993" s="160">
        <f>Sales[[#This Row],[Selling Rate]]*Sales[[#This Row],[Qty]]</f>
        <v>7300</v>
      </c>
      <c r="J2993" s="43">
        <v>0.05</v>
      </c>
      <c r="K2993" s="44">
        <f>Sales[[#This Row],[Gross Amount]]*Sales[[#This Row],[Disc %]]</f>
        <v>365</v>
      </c>
      <c r="L2993" s="43">
        <v>0.18</v>
      </c>
      <c r="M2993" s="44">
        <f>(Sales[[#This Row],[Gross Amount]]-Sales[[#This Row],[Disc. Amt.]])*Sales[[#This Row],[GST %]]</f>
        <v>1248.3</v>
      </c>
      <c r="N2993" s="161">
        <f>Sales[[#This Row],[Gross Amount]]-Sales[[#This Row],[Disc. Amt.]]+Sales[[#This Row],[GST Amount]]</f>
        <v>8183.3</v>
      </c>
      <c r="O2993" s="158" t="s">
        <v>3561</v>
      </c>
      <c r="P2993" s="158" t="s">
        <v>3562</v>
      </c>
      <c r="Q2993" s="160">
        <f>IF(Sales[[#This Row],[Status]]="Cancelled",0,Sales[[#This Row],[Qty]])</f>
        <v>2</v>
      </c>
      <c r="R2993" s="161">
        <f>IF(Sales[[#This Row],[Status]]="Cancelled",0,Sales[[#This Row],[Total Amount]])</f>
        <v>8183.3</v>
      </c>
      <c r="S2993" s="162">
        <f>SUM(Sales[Net Amount])</f>
        <v>406839287.73200053</v>
      </c>
    </row>
    <row r="2994" spans="1:19" ht="18.75" x14ac:dyDescent="0.25">
      <c r="A2994" s="163" t="s">
        <v>6642</v>
      </c>
      <c r="B2994" s="164">
        <v>45929</v>
      </c>
      <c r="C2994" s="34" t="s">
        <v>931</v>
      </c>
      <c r="D2994" s="53" t="str">
        <f>VLOOKUP(Sales[[#This Row],[Customer ID]],Customer[#All],2,0)</f>
        <v>Sahil Patel</v>
      </c>
      <c r="E2994" s="34" t="s">
        <v>549</v>
      </c>
      <c r="F2994" s="34" t="str">
        <f>VLOOKUP(Sales[[#This Row],[Product ID]],Product[#All],2,0)</f>
        <v>Boat Headset</v>
      </c>
      <c r="G2994" s="53">
        <v>4</v>
      </c>
      <c r="H2994" s="165">
        <f>VLOOKUP(Sales[[#This Row],[Product ID]],Product[#All],7,0)</f>
        <v>3390</v>
      </c>
      <c r="I2994" s="165">
        <f>Sales[[#This Row],[Selling Rate]]*Sales[[#This Row],[Qty]]</f>
        <v>13560</v>
      </c>
      <c r="J2994" s="45">
        <v>0.05</v>
      </c>
      <c r="K2994" s="46">
        <f>Sales[[#This Row],[Gross Amount]]*Sales[[#This Row],[Disc %]]</f>
        <v>678</v>
      </c>
      <c r="L2994" s="43">
        <v>0.18</v>
      </c>
      <c r="M2994" s="46">
        <f>(Sales[[#This Row],[Gross Amount]]-Sales[[#This Row],[Disc. Amt.]])*Sales[[#This Row],[GST %]]</f>
        <v>2318.7599999999998</v>
      </c>
      <c r="N2994" s="161">
        <f>Sales[[#This Row],[Gross Amount]]-Sales[[#This Row],[Disc. Amt.]]+Sales[[#This Row],[GST Amount]]</f>
        <v>15200.76</v>
      </c>
      <c r="O2994" s="34" t="s">
        <v>3566</v>
      </c>
      <c r="P2994" s="34" t="s">
        <v>3562</v>
      </c>
      <c r="Q2994" s="165">
        <f>IF(Sales[[#This Row],[Status]]="Cancelled",0,Sales[[#This Row],[Qty]])</f>
        <v>4</v>
      </c>
      <c r="R2994" s="166">
        <f>IF(Sales[[#This Row],[Status]]="Cancelled",0,Sales[[#This Row],[Total Amount]])</f>
        <v>15200.76</v>
      </c>
      <c r="S2994" s="162">
        <f>SUM(Sales[Net Amount])</f>
        <v>406839287.73200053</v>
      </c>
    </row>
    <row r="2995" spans="1:19" ht="18.75" x14ac:dyDescent="0.25">
      <c r="A2995" s="156" t="s">
        <v>6643</v>
      </c>
      <c r="B2995" s="157">
        <v>45929</v>
      </c>
      <c r="C2995" s="158" t="s">
        <v>945</v>
      </c>
      <c r="D2995" s="159" t="str">
        <f>VLOOKUP(Sales[[#This Row],[Customer ID]],Customer[#All],2,0)</f>
        <v>Rahul Singh</v>
      </c>
      <c r="E2995" s="158" t="s">
        <v>77</v>
      </c>
      <c r="F2995" s="158" t="str">
        <f>VLOOKUP(Sales[[#This Row],[Product ID]],Product[#All],2,0)</f>
        <v>HP Power Adapter</v>
      </c>
      <c r="G2995" s="159">
        <v>1</v>
      </c>
      <c r="H2995" s="160">
        <f>VLOOKUP(Sales[[#This Row],[Product ID]],Product[#All],7,0)</f>
        <v>2770</v>
      </c>
      <c r="I2995" s="160">
        <f>Sales[[#This Row],[Selling Rate]]*Sales[[#This Row],[Qty]]</f>
        <v>2770</v>
      </c>
      <c r="J2995" s="43">
        <v>0.12</v>
      </c>
      <c r="K2995" s="44">
        <f>Sales[[#This Row],[Gross Amount]]*Sales[[#This Row],[Disc %]]</f>
        <v>332.4</v>
      </c>
      <c r="L2995" s="43">
        <v>0.18</v>
      </c>
      <c r="M2995" s="44">
        <f>(Sales[[#This Row],[Gross Amount]]-Sales[[#This Row],[Disc. Amt.]])*Sales[[#This Row],[GST %]]</f>
        <v>438.76799999999997</v>
      </c>
      <c r="N2995" s="161">
        <f>Sales[[#This Row],[Gross Amount]]-Sales[[#This Row],[Disc. Amt.]]+Sales[[#This Row],[GST Amount]]</f>
        <v>2876.3679999999999</v>
      </c>
      <c r="O2995" s="158" t="s">
        <v>3561</v>
      </c>
      <c r="P2995" s="158" t="s">
        <v>3562</v>
      </c>
      <c r="Q2995" s="160">
        <f>IF(Sales[[#This Row],[Status]]="Cancelled",0,Sales[[#This Row],[Qty]])</f>
        <v>1</v>
      </c>
      <c r="R2995" s="161">
        <f>IF(Sales[[#This Row],[Status]]="Cancelled",0,Sales[[#This Row],[Total Amount]])</f>
        <v>2876.3679999999999</v>
      </c>
      <c r="S2995" s="162">
        <f>SUM(Sales[Net Amount])</f>
        <v>406839287.73200053</v>
      </c>
    </row>
    <row r="2996" spans="1:19" ht="18.75" x14ac:dyDescent="0.25">
      <c r="A2996" s="163" t="s">
        <v>6644</v>
      </c>
      <c r="B2996" s="164">
        <v>45929</v>
      </c>
      <c r="C2996" s="34" t="s">
        <v>925</v>
      </c>
      <c r="D2996" s="53" t="str">
        <f>VLOOKUP(Sales[[#This Row],[Customer ID]],Customer[#All],2,0)</f>
        <v>Neha Singh</v>
      </c>
      <c r="E2996" s="34" t="s">
        <v>386</v>
      </c>
      <c r="F2996" s="34" t="str">
        <f>VLOOKUP(Sales[[#This Row],[Product ID]],Product[#All],2,0)</f>
        <v>Sandisk Pen Drive</v>
      </c>
      <c r="G2996" s="53">
        <v>2</v>
      </c>
      <c r="H2996" s="165">
        <f>VLOOKUP(Sales[[#This Row],[Product ID]],Product[#All],7,0)</f>
        <v>700</v>
      </c>
      <c r="I2996" s="165">
        <f>Sales[[#This Row],[Selling Rate]]*Sales[[#This Row],[Qty]]</f>
        <v>1400</v>
      </c>
      <c r="J2996" s="45">
        <v>0</v>
      </c>
      <c r="K2996" s="46">
        <f>Sales[[#This Row],[Gross Amount]]*Sales[[#This Row],[Disc %]]</f>
        <v>0</v>
      </c>
      <c r="L2996" s="43">
        <v>0.18</v>
      </c>
      <c r="M2996" s="46">
        <f>(Sales[[#This Row],[Gross Amount]]-Sales[[#This Row],[Disc. Amt.]])*Sales[[#This Row],[GST %]]</f>
        <v>252</v>
      </c>
      <c r="N2996" s="161">
        <f>Sales[[#This Row],[Gross Amount]]-Sales[[#This Row],[Disc. Amt.]]+Sales[[#This Row],[GST Amount]]</f>
        <v>1652</v>
      </c>
      <c r="O2996" s="34" t="s">
        <v>3569</v>
      </c>
      <c r="P2996" s="34" t="s">
        <v>3562</v>
      </c>
      <c r="Q2996" s="165">
        <f>IF(Sales[[#This Row],[Status]]="Cancelled",0,Sales[[#This Row],[Qty]])</f>
        <v>2</v>
      </c>
      <c r="R2996" s="166">
        <f>IF(Sales[[#This Row],[Status]]="Cancelled",0,Sales[[#This Row],[Total Amount]])</f>
        <v>1652</v>
      </c>
      <c r="S2996" s="162">
        <f>SUM(Sales[Net Amount])</f>
        <v>406839287.73200053</v>
      </c>
    </row>
    <row r="2997" spans="1:19" ht="18.75" x14ac:dyDescent="0.25">
      <c r="A2997" s="156" t="s">
        <v>6645</v>
      </c>
      <c r="B2997" s="157">
        <v>45929</v>
      </c>
      <c r="C2997" s="158" t="s">
        <v>886</v>
      </c>
      <c r="D2997" s="159" t="str">
        <f>VLOOKUP(Sales[[#This Row],[Customer ID]],Customer[#All],2,0)</f>
        <v>Sunita Gupta</v>
      </c>
      <c r="E2997" s="158" t="s">
        <v>356</v>
      </c>
      <c r="F2997" s="158" t="str">
        <f>VLOOKUP(Sales[[#This Row],[Product ID]],Product[#All],2,0)</f>
        <v>Corsair Ram</v>
      </c>
      <c r="G2997" s="159">
        <v>3</v>
      </c>
      <c r="H2997" s="160">
        <f>VLOOKUP(Sales[[#This Row],[Product ID]],Product[#All],7,0)</f>
        <v>8460</v>
      </c>
      <c r="I2997" s="160">
        <f>Sales[[#This Row],[Selling Rate]]*Sales[[#This Row],[Qty]]</f>
        <v>25380</v>
      </c>
      <c r="J2997" s="43">
        <v>0.15</v>
      </c>
      <c r="K2997" s="44">
        <f>Sales[[#This Row],[Gross Amount]]*Sales[[#This Row],[Disc %]]</f>
        <v>3807</v>
      </c>
      <c r="L2997" s="43">
        <v>0.18</v>
      </c>
      <c r="M2997" s="44">
        <f>(Sales[[#This Row],[Gross Amount]]-Sales[[#This Row],[Disc. Amt.]])*Sales[[#This Row],[GST %]]</f>
        <v>3883.14</v>
      </c>
      <c r="N2997" s="161">
        <f>Sales[[#This Row],[Gross Amount]]-Sales[[#This Row],[Disc. Amt.]]+Sales[[#This Row],[GST Amount]]</f>
        <v>25456.14</v>
      </c>
      <c r="O2997" s="158" t="s">
        <v>3569</v>
      </c>
      <c r="P2997" s="158" t="s">
        <v>3562</v>
      </c>
      <c r="Q2997" s="160">
        <f>IF(Sales[[#This Row],[Status]]="Cancelled",0,Sales[[#This Row],[Qty]])</f>
        <v>3</v>
      </c>
      <c r="R2997" s="161">
        <f>IF(Sales[[#This Row],[Status]]="Cancelled",0,Sales[[#This Row],[Total Amount]])</f>
        <v>25456.14</v>
      </c>
      <c r="S2997" s="162">
        <f>SUM(Sales[Net Amount])</f>
        <v>406839287.73200053</v>
      </c>
    </row>
    <row r="2998" spans="1:19" ht="18.75" x14ac:dyDescent="0.25">
      <c r="A2998" s="163" t="s">
        <v>6646</v>
      </c>
      <c r="B2998" s="164">
        <v>45929</v>
      </c>
      <c r="C2998" s="34" t="s">
        <v>668</v>
      </c>
      <c r="D2998" s="53" t="str">
        <f>VLOOKUP(Sales[[#This Row],[Customer ID]],Customer[#All],2,0)</f>
        <v>Rahul Patel</v>
      </c>
      <c r="E2998" s="34" t="s">
        <v>412</v>
      </c>
      <c r="F2998" s="34" t="str">
        <f>VLOOKUP(Sales[[#This Row],[Product ID]],Product[#All],2,0)</f>
        <v>Dell Monitor</v>
      </c>
      <c r="G2998" s="53">
        <v>2</v>
      </c>
      <c r="H2998" s="165">
        <f>VLOOKUP(Sales[[#This Row],[Product ID]],Product[#All],7,0)</f>
        <v>30230</v>
      </c>
      <c r="I2998" s="165">
        <f>Sales[[#This Row],[Selling Rate]]*Sales[[#This Row],[Qty]]</f>
        <v>60460</v>
      </c>
      <c r="J2998" s="45">
        <v>0</v>
      </c>
      <c r="K2998" s="46">
        <f>Sales[[#This Row],[Gross Amount]]*Sales[[#This Row],[Disc %]]</f>
        <v>0</v>
      </c>
      <c r="L2998" s="43">
        <v>0.18</v>
      </c>
      <c r="M2998" s="46">
        <f>(Sales[[#This Row],[Gross Amount]]-Sales[[#This Row],[Disc. Amt.]])*Sales[[#This Row],[GST %]]</f>
        <v>10882.8</v>
      </c>
      <c r="N2998" s="161">
        <f>Sales[[#This Row],[Gross Amount]]-Sales[[#This Row],[Disc. Amt.]]+Sales[[#This Row],[GST Amount]]</f>
        <v>71342.8</v>
      </c>
      <c r="O2998" s="34" t="s">
        <v>8876</v>
      </c>
      <c r="P2998" s="34" t="s">
        <v>3562</v>
      </c>
      <c r="Q2998" s="165">
        <f>IF(Sales[[#This Row],[Status]]="Cancelled",0,Sales[[#This Row],[Qty]])</f>
        <v>2</v>
      </c>
      <c r="R2998" s="166">
        <f>IF(Sales[[#This Row],[Status]]="Cancelled",0,Sales[[#This Row],[Total Amount]])</f>
        <v>71342.8</v>
      </c>
      <c r="S2998" s="162">
        <f>SUM(Sales[Net Amount])</f>
        <v>406839287.73200053</v>
      </c>
    </row>
    <row r="2999" spans="1:19" ht="18.75" x14ac:dyDescent="0.25">
      <c r="A2999" s="156" t="s">
        <v>6647</v>
      </c>
      <c r="B2999" s="157">
        <v>45929</v>
      </c>
      <c r="C2999" s="158" t="s">
        <v>815</v>
      </c>
      <c r="D2999" s="159" t="str">
        <f>VLOOKUP(Sales[[#This Row],[Customer ID]],Customer[#All],2,0)</f>
        <v>Priya Gupta</v>
      </c>
      <c r="E2999" s="158" t="s">
        <v>56</v>
      </c>
      <c r="F2999" s="158" t="str">
        <f>VLOOKUP(Sales[[#This Row],[Product ID]],Product[#All],2,0)</f>
        <v>Boat Headset</v>
      </c>
      <c r="G2999" s="159">
        <v>8</v>
      </c>
      <c r="H2999" s="160">
        <f>VLOOKUP(Sales[[#This Row],[Product ID]],Product[#All],7,0)</f>
        <v>4140</v>
      </c>
      <c r="I2999" s="160">
        <f>Sales[[#This Row],[Selling Rate]]*Sales[[#This Row],[Qty]]</f>
        <v>33120</v>
      </c>
      <c r="J2999" s="43">
        <v>0.05</v>
      </c>
      <c r="K2999" s="44">
        <f>Sales[[#This Row],[Gross Amount]]*Sales[[#This Row],[Disc %]]</f>
        <v>1656</v>
      </c>
      <c r="L2999" s="43">
        <v>0.18</v>
      </c>
      <c r="M2999" s="44">
        <f>(Sales[[#This Row],[Gross Amount]]-Sales[[#This Row],[Disc. Amt.]])*Sales[[#This Row],[GST %]]</f>
        <v>5663.5199999999995</v>
      </c>
      <c r="N2999" s="161">
        <f>Sales[[#This Row],[Gross Amount]]-Sales[[#This Row],[Disc. Amt.]]+Sales[[#This Row],[GST Amount]]</f>
        <v>37127.519999999997</v>
      </c>
      <c r="O2999" s="158" t="s">
        <v>3569</v>
      </c>
      <c r="P2999" s="158" t="s">
        <v>3562</v>
      </c>
      <c r="Q2999" s="160">
        <f>IF(Sales[[#This Row],[Status]]="Cancelled",0,Sales[[#This Row],[Qty]])</f>
        <v>8</v>
      </c>
      <c r="R2999" s="161">
        <f>IF(Sales[[#This Row],[Status]]="Cancelled",0,Sales[[#This Row],[Total Amount]])</f>
        <v>37127.519999999997</v>
      </c>
      <c r="S2999" s="162">
        <f>SUM(Sales[Net Amount])</f>
        <v>406839287.73200053</v>
      </c>
    </row>
    <row r="3000" spans="1:19" ht="18.75" x14ac:dyDescent="0.25">
      <c r="A3000" s="163" t="s">
        <v>6648</v>
      </c>
      <c r="B3000" s="164">
        <v>45929</v>
      </c>
      <c r="C3000" s="34" t="s">
        <v>793</v>
      </c>
      <c r="D3000" s="53" t="str">
        <f>VLOOKUP(Sales[[#This Row],[Customer ID]],Customer[#All],2,0)</f>
        <v>Neha Verma</v>
      </c>
      <c r="E3000" s="34" t="s">
        <v>70</v>
      </c>
      <c r="F3000" s="34" t="str">
        <f>VLOOKUP(Sales[[#This Row],[Product ID]],Product[#All],2,0)</f>
        <v>Logitech Webcam</v>
      </c>
      <c r="G3000" s="53">
        <v>6</v>
      </c>
      <c r="H3000" s="165">
        <f>VLOOKUP(Sales[[#This Row],[Product ID]],Product[#All],7,0)</f>
        <v>5200</v>
      </c>
      <c r="I3000" s="165">
        <f>Sales[[#This Row],[Selling Rate]]*Sales[[#This Row],[Qty]]</f>
        <v>31200</v>
      </c>
      <c r="J3000" s="45">
        <v>0.02</v>
      </c>
      <c r="K3000" s="46">
        <f>Sales[[#This Row],[Gross Amount]]*Sales[[#This Row],[Disc %]]</f>
        <v>624</v>
      </c>
      <c r="L3000" s="43">
        <v>0.18</v>
      </c>
      <c r="M3000" s="46">
        <f>(Sales[[#This Row],[Gross Amount]]-Sales[[#This Row],[Disc. Amt.]])*Sales[[#This Row],[GST %]]</f>
        <v>5503.6799999999994</v>
      </c>
      <c r="N3000" s="161">
        <f>Sales[[#This Row],[Gross Amount]]-Sales[[#This Row],[Disc. Amt.]]+Sales[[#This Row],[GST Amount]]</f>
        <v>36079.68</v>
      </c>
      <c r="O3000" s="34" t="s">
        <v>3566</v>
      </c>
      <c r="P3000" s="34" t="s">
        <v>3562</v>
      </c>
      <c r="Q3000" s="165">
        <f>IF(Sales[[#This Row],[Status]]="Cancelled",0,Sales[[#This Row],[Qty]])</f>
        <v>6</v>
      </c>
      <c r="R3000" s="166">
        <f>IF(Sales[[#This Row],[Status]]="Cancelled",0,Sales[[#This Row],[Total Amount]])</f>
        <v>36079.68</v>
      </c>
      <c r="S3000" s="162">
        <f>SUM(Sales[Net Amount])</f>
        <v>406839287.73200053</v>
      </c>
    </row>
    <row r="3001" spans="1:19" ht="18.75" x14ac:dyDescent="0.25">
      <c r="A3001" s="156" t="s">
        <v>6649</v>
      </c>
      <c r="B3001" s="157">
        <v>45929</v>
      </c>
      <c r="C3001" s="158" t="s">
        <v>803</v>
      </c>
      <c r="D3001" s="159" t="str">
        <f>VLOOKUP(Sales[[#This Row],[Customer ID]],Customer[#All],2,0)</f>
        <v>Pooja Singh</v>
      </c>
      <c r="E3001" s="158" t="s">
        <v>402</v>
      </c>
      <c r="F3001" s="158" t="str">
        <f>VLOOKUP(Sales[[#This Row],[Product ID]],Product[#All],2,0)</f>
        <v>Logitech Keyboard</v>
      </c>
      <c r="G3001" s="159">
        <v>3</v>
      </c>
      <c r="H3001" s="160">
        <f>VLOOKUP(Sales[[#This Row],[Product ID]],Product[#All],7,0)</f>
        <v>3500</v>
      </c>
      <c r="I3001" s="160">
        <f>Sales[[#This Row],[Selling Rate]]*Sales[[#This Row],[Qty]]</f>
        <v>10500</v>
      </c>
      <c r="J3001" s="43">
        <v>0.15</v>
      </c>
      <c r="K3001" s="44">
        <f>Sales[[#This Row],[Gross Amount]]*Sales[[#This Row],[Disc %]]</f>
        <v>1575</v>
      </c>
      <c r="L3001" s="43">
        <v>0.18</v>
      </c>
      <c r="M3001" s="44">
        <f>(Sales[[#This Row],[Gross Amount]]-Sales[[#This Row],[Disc. Amt.]])*Sales[[#This Row],[GST %]]</f>
        <v>1606.5</v>
      </c>
      <c r="N3001" s="161">
        <f>Sales[[#This Row],[Gross Amount]]-Sales[[#This Row],[Disc. Amt.]]+Sales[[#This Row],[GST Amount]]</f>
        <v>10531.5</v>
      </c>
      <c r="O3001" s="158" t="s">
        <v>8876</v>
      </c>
      <c r="P3001" s="158" t="s">
        <v>3562</v>
      </c>
      <c r="Q3001" s="160">
        <f>IF(Sales[[#This Row],[Status]]="Cancelled",0,Sales[[#This Row],[Qty]])</f>
        <v>3</v>
      </c>
      <c r="R3001" s="161">
        <f>IF(Sales[[#This Row],[Status]]="Cancelled",0,Sales[[#This Row],[Total Amount]])</f>
        <v>10531.5</v>
      </c>
      <c r="S3001" s="162">
        <f>SUM(Sales[Net Amount])</f>
        <v>406839287.73200053</v>
      </c>
    </row>
    <row r="3002" spans="1:19" ht="18.75" x14ac:dyDescent="0.25">
      <c r="A3002" s="163" t="s">
        <v>6650</v>
      </c>
      <c r="B3002" s="164">
        <v>45929</v>
      </c>
      <c r="C3002" s="34" t="s">
        <v>886</v>
      </c>
      <c r="D3002" s="53" t="str">
        <f>VLOOKUP(Sales[[#This Row],[Customer ID]],Customer[#All],2,0)</f>
        <v>Sunita Gupta</v>
      </c>
      <c r="E3002" s="34" t="s">
        <v>72</v>
      </c>
      <c r="F3002" s="34" t="str">
        <f>VLOOKUP(Sales[[#This Row],[Product ID]],Product[#All],2,0)</f>
        <v>Dell Keyboard</v>
      </c>
      <c r="G3002" s="53">
        <v>3</v>
      </c>
      <c r="H3002" s="165">
        <f>VLOOKUP(Sales[[#This Row],[Product ID]],Product[#All],7,0)</f>
        <v>1250</v>
      </c>
      <c r="I3002" s="165">
        <f>Sales[[#This Row],[Selling Rate]]*Sales[[#This Row],[Qty]]</f>
        <v>3750</v>
      </c>
      <c r="J3002" s="45">
        <v>0.05</v>
      </c>
      <c r="K3002" s="46">
        <f>Sales[[#This Row],[Gross Amount]]*Sales[[#This Row],[Disc %]]</f>
        <v>187.5</v>
      </c>
      <c r="L3002" s="43">
        <v>0.18</v>
      </c>
      <c r="M3002" s="46">
        <f>(Sales[[#This Row],[Gross Amount]]-Sales[[#This Row],[Disc. Amt.]])*Sales[[#This Row],[GST %]]</f>
        <v>641.25</v>
      </c>
      <c r="N3002" s="161">
        <f>Sales[[#This Row],[Gross Amount]]-Sales[[#This Row],[Disc. Amt.]]+Sales[[#This Row],[GST Amount]]</f>
        <v>4203.75</v>
      </c>
      <c r="O3002" s="34" t="s">
        <v>3566</v>
      </c>
      <c r="P3002" s="34" t="s">
        <v>3562</v>
      </c>
      <c r="Q3002" s="165">
        <f>IF(Sales[[#This Row],[Status]]="Cancelled",0,Sales[[#This Row],[Qty]])</f>
        <v>3</v>
      </c>
      <c r="R3002" s="166">
        <f>IF(Sales[[#This Row],[Status]]="Cancelled",0,Sales[[#This Row],[Total Amount]])</f>
        <v>4203.75</v>
      </c>
      <c r="S3002" s="162">
        <f>SUM(Sales[Net Amount])</f>
        <v>406839287.73200053</v>
      </c>
    </row>
    <row r="3003" spans="1:19" ht="18.75" x14ac:dyDescent="0.25">
      <c r="A3003" s="156" t="s">
        <v>6651</v>
      </c>
      <c r="B3003" s="157">
        <v>45929</v>
      </c>
      <c r="C3003" s="158" t="s">
        <v>656</v>
      </c>
      <c r="D3003" s="159" t="str">
        <f>VLOOKUP(Sales[[#This Row],[Customer ID]],Customer[#All],2,0)</f>
        <v>Rahul Kumar</v>
      </c>
      <c r="E3003" s="158" t="s">
        <v>482</v>
      </c>
      <c r="F3003" s="158" t="str">
        <f>VLOOKUP(Sales[[#This Row],[Product ID]],Product[#All],2,0)</f>
        <v>HP Mouse</v>
      </c>
      <c r="G3003" s="159">
        <v>7</v>
      </c>
      <c r="H3003" s="160">
        <f>VLOOKUP(Sales[[#This Row],[Product ID]],Product[#All],7,0)</f>
        <v>790</v>
      </c>
      <c r="I3003" s="160">
        <f>Sales[[#This Row],[Selling Rate]]*Sales[[#This Row],[Qty]]</f>
        <v>5530</v>
      </c>
      <c r="J3003" s="43">
        <v>0.1</v>
      </c>
      <c r="K3003" s="44">
        <f>Sales[[#This Row],[Gross Amount]]*Sales[[#This Row],[Disc %]]</f>
        <v>553</v>
      </c>
      <c r="L3003" s="43">
        <v>0.18</v>
      </c>
      <c r="M3003" s="44">
        <f>(Sales[[#This Row],[Gross Amount]]-Sales[[#This Row],[Disc. Amt.]])*Sales[[#This Row],[GST %]]</f>
        <v>895.86</v>
      </c>
      <c r="N3003" s="161">
        <f>Sales[[#This Row],[Gross Amount]]-Sales[[#This Row],[Disc. Amt.]]+Sales[[#This Row],[GST Amount]]</f>
        <v>5872.86</v>
      </c>
      <c r="O3003" s="158" t="s">
        <v>8876</v>
      </c>
      <c r="P3003" s="158" t="s">
        <v>3562</v>
      </c>
      <c r="Q3003" s="160">
        <f>IF(Sales[[#This Row],[Status]]="Cancelled",0,Sales[[#This Row],[Qty]])</f>
        <v>7</v>
      </c>
      <c r="R3003" s="161">
        <f>IF(Sales[[#This Row],[Status]]="Cancelled",0,Sales[[#This Row],[Total Amount]])</f>
        <v>5872.86</v>
      </c>
      <c r="S3003" s="162">
        <f>SUM(Sales[Net Amount])</f>
        <v>406839287.73200053</v>
      </c>
    </row>
    <row r="3004" spans="1:19" ht="18.75" x14ac:dyDescent="0.25">
      <c r="A3004" s="163" t="s">
        <v>6652</v>
      </c>
      <c r="B3004" s="164">
        <v>45929</v>
      </c>
      <c r="C3004" s="34" t="s">
        <v>828</v>
      </c>
      <c r="D3004" s="53" t="str">
        <f>VLOOKUP(Sales[[#This Row],[Customer ID]],Customer[#All],2,0)</f>
        <v>Ankit Verma</v>
      </c>
      <c r="E3004" s="34" t="s">
        <v>264</v>
      </c>
      <c r="F3004" s="34" t="str">
        <f>VLOOKUP(Sales[[#This Row],[Product ID]],Product[#All],2,0)</f>
        <v>Acer Laptop</v>
      </c>
      <c r="G3004" s="53">
        <v>3</v>
      </c>
      <c r="H3004" s="165">
        <f>VLOOKUP(Sales[[#This Row],[Product ID]],Product[#All],7,0)</f>
        <v>65110</v>
      </c>
      <c r="I3004" s="165">
        <f>Sales[[#This Row],[Selling Rate]]*Sales[[#This Row],[Qty]]</f>
        <v>195330</v>
      </c>
      <c r="J3004" s="45">
        <v>0.05</v>
      </c>
      <c r="K3004" s="46">
        <f>Sales[[#This Row],[Gross Amount]]*Sales[[#This Row],[Disc %]]</f>
        <v>9766.5</v>
      </c>
      <c r="L3004" s="43">
        <v>0.18</v>
      </c>
      <c r="M3004" s="46">
        <f>(Sales[[#This Row],[Gross Amount]]-Sales[[#This Row],[Disc. Amt.]])*Sales[[#This Row],[GST %]]</f>
        <v>33401.43</v>
      </c>
      <c r="N3004" s="161">
        <f>Sales[[#This Row],[Gross Amount]]-Sales[[#This Row],[Disc. Amt.]]+Sales[[#This Row],[GST Amount]]</f>
        <v>218964.93</v>
      </c>
      <c r="O3004" s="34" t="s">
        <v>3566</v>
      </c>
      <c r="P3004" s="34" t="s">
        <v>3562</v>
      </c>
      <c r="Q3004" s="165">
        <f>IF(Sales[[#This Row],[Status]]="Cancelled",0,Sales[[#This Row],[Qty]])</f>
        <v>3</v>
      </c>
      <c r="R3004" s="166">
        <f>IF(Sales[[#This Row],[Status]]="Cancelled",0,Sales[[#This Row],[Total Amount]])</f>
        <v>218964.93</v>
      </c>
      <c r="S3004" s="162">
        <f>SUM(Sales[Net Amount])</f>
        <v>406839287.73200053</v>
      </c>
    </row>
    <row r="3005" spans="1:19" ht="18.75" x14ac:dyDescent="0.25">
      <c r="A3005" s="156" t="s">
        <v>6653</v>
      </c>
      <c r="B3005" s="157">
        <v>45929</v>
      </c>
      <c r="C3005" s="158" t="s">
        <v>713</v>
      </c>
      <c r="D3005" s="159" t="str">
        <f>VLOOKUP(Sales[[#This Row],[Customer ID]],Customer[#All],2,0)</f>
        <v>Amit Gupta</v>
      </c>
      <c r="E3005" s="158" t="s">
        <v>172</v>
      </c>
      <c r="F3005" s="158" t="str">
        <f>VLOOKUP(Sales[[#This Row],[Product ID]],Product[#All],2,0)</f>
        <v>Jbl Headset</v>
      </c>
      <c r="G3005" s="159">
        <v>1</v>
      </c>
      <c r="H3005" s="160">
        <f>VLOOKUP(Sales[[#This Row],[Product ID]],Product[#All],7,0)</f>
        <v>7300</v>
      </c>
      <c r="I3005" s="160">
        <f>Sales[[#This Row],[Selling Rate]]*Sales[[#This Row],[Qty]]</f>
        <v>7300</v>
      </c>
      <c r="J3005" s="43">
        <v>0</v>
      </c>
      <c r="K3005" s="44">
        <f>Sales[[#This Row],[Gross Amount]]*Sales[[#This Row],[Disc %]]</f>
        <v>0</v>
      </c>
      <c r="L3005" s="43">
        <v>0.18</v>
      </c>
      <c r="M3005" s="44">
        <f>(Sales[[#This Row],[Gross Amount]]-Sales[[#This Row],[Disc. Amt.]])*Sales[[#This Row],[GST %]]</f>
        <v>1314</v>
      </c>
      <c r="N3005" s="161">
        <f>Sales[[#This Row],[Gross Amount]]-Sales[[#This Row],[Disc. Amt.]]+Sales[[#This Row],[GST Amount]]</f>
        <v>8614</v>
      </c>
      <c r="O3005" s="158" t="s">
        <v>3569</v>
      </c>
      <c r="P3005" s="158" t="s">
        <v>3562</v>
      </c>
      <c r="Q3005" s="160">
        <f>IF(Sales[[#This Row],[Status]]="Cancelled",0,Sales[[#This Row],[Qty]])</f>
        <v>1</v>
      </c>
      <c r="R3005" s="161">
        <f>IF(Sales[[#This Row],[Status]]="Cancelled",0,Sales[[#This Row],[Total Amount]])</f>
        <v>8614</v>
      </c>
      <c r="S3005" s="162">
        <f>SUM(Sales[Net Amount])</f>
        <v>406839287.73200053</v>
      </c>
    </row>
    <row r="3006" spans="1:19" ht="18.75" x14ac:dyDescent="0.25">
      <c r="A3006" s="163" t="s">
        <v>6654</v>
      </c>
      <c r="B3006" s="164">
        <v>45929</v>
      </c>
      <c r="C3006" s="34" t="s">
        <v>707</v>
      </c>
      <c r="D3006" s="53" t="str">
        <f>VLOOKUP(Sales[[#This Row],[Customer ID]],Customer[#All],2,0)</f>
        <v>Rahul Verma</v>
      </c>
      <c r="E3006" s="34" t="s">
        <v>125</v>
      </c>
      <c r="F3006" s="34" t="str">
        <f>VLOOKUP(Sales[[#This Row],[Product ID]],Product[#All],2,0)</f>
        <v>HP Printer</v>
      </c>
      <c r="G3006" s="53">
        <v>1</v>
      </c>
      <c r="H3006" s="165">
        <f>VLOOKUP(Sales[[#This Row],[Product ID]],Product[#All],7,0)</f>
        <v>41620</v>
      </c>
      <c r="I3006" s="165">
        <f>Sales[[#This Row],[Selling Rate]]*Sales[[#This Row],[Qty]]</f>
        <v>41620</v>
      </c>
      <c r="J3006" s="45">
        <v>0</v>
      </c>
      <c r="K3006" s="46">
        <f>Sales[[#This Row],[Gross Amount]]*Sales[[#This Row],[Disc %]]</f>
        <v>0</v>
      </c>
      <c r="L3006" s="43">
        <v>0.18</v>
      </c>
      <c r="M3006" s="46">
        <f>(Sales[[#This Row],[Gross Amount]]-Sales[[#This Row],[Disc. Amt.]])*Sales[[#This Row],[GST %]]</f>
        <v>7491.5999999999995</v>
      </c>
      <c r="N3006" s="161">
        <f>Sales[[#This Row],[Gross Amount]]-Sales[[#This Row],[Disc. Amt.]]+Sales[[#This Row],[GST Amount]]</f>
        <v>49111.6</v>
      </c>
      <c r="O3006" s="34" t="s">
        <v>3569</v>
      </c>
      <c r="P3006" s="34" t="s">
        <v>3562</v>
      </c>
      <c r="Q3006" s="165">
        <f>IF(Sales[[#This Row],[Status]]="Cancelled",0,Sales[[#This Row],[Qty]])</f>
        <v>1</v>
      </c>
      <c r="R3006" s="166">
        <f>IF(Sales[[#This Row],[Status]]="Cancelled",0,Sales[[#This Row],[Total Amount]])</f>
        <v>49111.6</v>
      </c>
      <c r="S3006" s="162">
        <f>SUM(Sales[Net Amount])</f>
        <v>406839287.73200053</v>
      </c>
    </row>
    <row r="3007" spans="1:19" ht="18.75" x14ac:dyDescent="0.25">
      <c r="A3007" s="156" t="s">
        <v>6655</v>
      </c>
      <c r="B3007" s="157">
        <v>45929</v>
      </c>
      <c r="C3007" s="158" t="s">
        <v>936</v>
      </c>
      <c r="D3007" s="159" t="str">
        <f>VLOOKUP(Sales[[#This Row],[Customer ID]],Customer[#All],2,0)</f>
        <v>Pooja Patel</v>
      </c>
      <c r="E3007" s="158" t="s">
        <v>118</v>
      </c>
      <c r="F3007" s="158" t="str">
        <f>VLOOKUP(Sales[[#This Row],[Product ID]],Product[#All],2,0)</f>
        <v>American TouristerLaptopBag</v>
      </c>
      <c r="G3007" s="159">
        <v>6</v>
      </c>
      <c r="H3007" s="160">
        <f>VLOOKUP(Sales[[#This Row],[Product ID]],Product[#All],7,0)</f>
        <v>4160</v>
      </c>
      <c r="I3007" s="160">
        <f>Sales[[#This Row],[Selling Rate]]*Sales[[#This Row],[Qty]]</f>
        <v>24960</v>
      </c>
      <c r="J3007" s="43">
        <v>0.02</v>
      </c>
      <c r="K3007" s="44">
        <f>Sales[[#This Row],[Gross Amount]]*Sales[[#This Row],[Disc %]]</f>
        <v>499.2</v>
      </c>
      <c r="L3007" s="43">
        <v>0.18</v>
      </c>
      <c r="M3007" s="44">
        <f>(Sales[[#This Row],[Gross Amount]]-Sales[[#This Row],[Disc. Amt.]])*Sales[[#This Row],[GST %]]</f>
        <v>4402.9439999999995</v>
      </c>
      <c r="N3007" s="161">
        <f>Sales[[#This Row],[Gross Amount]]-Sales[[#This Row],[Disc. Amt.]]+Sales[[#This Row],[GST Amount]]</f>
        <v>28863.743999999999</v>
      </c>
      <c r="O3007" s="158" t="s">
        <v>3561</v>
      </c>
      <c r="P3007" s="158" t="s">
        <v>3562</v>
      </c>
      <c r="Q3007" s="160">
        <f>IF(Sales[[#This Row],[Status]]="Cancelled",0,Sales[[#This Row],[Qty]])</f>
        <v>6</v>
      </c>
      <c r="R3007" s="161">
        <f>IF(Sales[[#This Row],[Status]]="Cancelled",0,Sales[[#This Row],[Total Amount]])</f>
        <v>28863.743999999999</v>
      </c>
      <c r="S3007" s="162">
        <f>SUM(Sales[Net Amount])</f>
        <v>406839287.73200053</v>
      </c>
    </row>
    <row r="3008" spans="1:19" ht="18.75" x14ac:dyDescent="0.25">
      <c r="A3008" s="163" t="s">
        <v>6656</v>
      </c>
      <c r="B3008" s="164">
        <v>45929</v>
      </c>
      <c r="C3008" s="34" t="s">
        <v>901</v>
      </c>
      <c r="D3008" s="53" t="str">
        <f>VLOOKUP(Sales[[#This Row],[Customer ID]],Customer[#All],2,0)</f>
        <v>Vikas Kumar</v>
      </c>
      <c r="E3008" s="34" t="s">
        <v>475</v>
      </c>
      <c r="F3008" s="34" t="str">
        <f>VLOOKUP(Sales[[#This Row],[Product ID]],Product[#All],2,0)</f>
        <v>TP-link Bluetooth Adapter</v>
      </c>
      <c r="G3008" s="53">
        <v>5</v>
      </c>
      <c r="H3008" s="165">
        <f>VLOOKUP(Sales[[#This Row],[Product ID]],Product[#All],7,0)</f>
        <v>1430</v>
      </c>
      <c r="I3008" s="165">
        <f>Sales[[#This Row],[Selling Rate]]*Sales[[#This Row],[Qty]]</f>
        <v>7150</v>
      </c>
      <c r="J3008" s="45">
        <v>0.05</v>
      </c>
      <c r="K3008" s="46">
        <f>Sales[[#This Row],[Gross Amount]]*Sales[[#This Row],[Disc %]]</f>
        <v>357.5</v>
      </c>
      <c r="L3008" s="43">
        <v>0.18</v>
      </c>
      <c r="M3008" s="46">
        <f>(Sales[[#This Row],[Gross Amount]]-Sales[[#This Row],[Disc. Amt.]])*Sales[[#This Row],[GST %]]</f>
        <v>1222.6499999999999</v>
      </c>
      <c r="N3008" s="161">
        <f>Sales[[#This Row],[Gross Amount]]-Sales[[#This Row],[Disc. Amt.]]+Sales[[#This Row],[GST Amount]]</f>
        <v>8015.15</v>
      </c>
      <c r="O3008" s="34" t="s">
        <v>3569</v>
      </c>
      <c r="P3008" s="34" t="s">
        <v>3562</v>
      </c>
      <c r="Q3008" s="165">
        <f>IF(Sales[[#This Row],[Status]]="Cancelled",0,Sales[[#This Row],[Qty]])</f>
        <v>5</v>
      </c>
      <c r="R3008" s="166">
        <f>IF(Sales[[#This Row],[Status]]="Cancelled",0,Sales[[#This Row],[Total Amount]])</f>
        <v>8015.15</v>
      </c>
      <c r="S3008" s="162">
        <f>SUM(Sales[Net Amount])</f>
        <v>406839287.73200053</v>
      </c>
    </row>
    <row r="3009" spans="1:19" ht="18.75" x14ac:dyDescent="0.25">
      <c r="A3009" s="156" t="s">
        <v>6657</v>
      </c>
      <c r="B3009" s="157">
        <v>45929</v>
      </c>
      <c r="C3009" s="158" t="s">
        <v>817</v>
      </c>
      <c r="D3009" s="159" t="str">
        <f>VLOOKUP(Sales[[#This Row],[Customer ID]],Customer[#All],2,0)</f>
        <v>Ankit Patel</v>
      </c>
      <c r="E3009" s="158" t="s">
        <v>344</v>
      </c>
      <c r="F3009" s="158" t="str">
        <f>VLOOKUP(Sales[[#This Row],[Product ID]],Product[#All],2,0)</f>
        <v>WD HDD</v>
      </c>
      <c r="G3009" s="159">
        <v>1</v>
      </c>
      <c r="H3009" s="160">
        <f>VLOOKUP(Sales[[#This Row],[Product ID]],Product[#All],7,0)</f>
        <v>11260</v>
      </c>
      <c r="I3009" s="160">
        <f>Sales[[#This Row],[Selling Rate]]*Sales[[#This Row],[Qty]]</f>
        <v>11260</v>
      </c>
      <c r="J3009" s="43">
        <v>0.02</v>
      </c>
      <c r="K3009" s="44">
        <f>Sales[[#This Row],[Gross Amount]]*Sales[[#This Row],[Disc %]]</f>
        <v>225.20000000000002</v>
      </c>
      <c r="L3009" s="43">
        <v>0.18</v>
      </c>
      <c r="M3009" s="44">
        <f>(Sales[[#This Row],[Gross Amount]]-Sales[[#This Row],[Disc. Amt.]])*Sales[[#This Row],[GST %]]</f>
        <v>1986.2639999999999</v>
      </c>
      <c r="N3009" s="161">
        <f>Sales[[#This Row],[Gross Amount]]-Sales[[#This Row],[Disc. Amt.]]+Sales[[#This Row],[GST Amount]]</f>
        <v>13021.063999999998</v>
      </c>
      <c r="O3009" s="158" t="s">
        <v>3561</v>
      </c>
      <c r="P3009" s="158" t="s">
        <v>3562</v>
      </c>
      <c r="Q3009" s="160">
        <f>IF(Sales[[#This Row],[Status]]="Cancelled",0,Sales[[#This Row],[Qty]])</f>
        <v>1</v>
      </c>
      <c r="R3009" s="161">
        <f>IF(Sales[[#This Row],[Status]]="Cancelled",0,Sales[[#This Row],[Total Amount]])</f>
        <v>13021.063999999998</v>
      </c>
      <c r="S3009" s="162">
        <f>SUM(Sales[Net Amount])</f>
        <v>406839287.73200053</v>
      </c>
    </row>
    <row r="3010" spans="1:19" ht="18.75" x14ac:dyDescent="0.25">
      <c r="A3010" s="163" t="s">
        <v>6658</v>
      </c>
      <c r="B3010" s="164">
        <v>45930</v>
      </c>
      <c r="C3010" s="34" t="s">
        <v>771</v>
      </c>
      <c r="D3010" s="53" t="str">
        <f>VLOOKUP(Sales[[#This Row],[Customer ID]],Customer[#All],2,0)</f>
        <v>Pooja Sharma</v>
      </c>
      <c r="E3010" s="34" t="s">
        <v>192</v>
      </c>
      <c r="F3010" s="34" t="str">
        <f>VLOOKUP(Sales[[#This Row],[Product ID]],Product[#All],2,0)</f>
        <v>HP Laptop</v>
      </c>
      <c r="G3010" s="53">
        <v>6</v>
      </c>
      <c r="H3010" s="165">
        <f>VLOOKUP(Sales[[#This Row],[Product ID]],Product[#All],7,0)</f>
        <v>59870</v>
      </c>
      <c r="I3010" s="165">
        <f>Sales[[#This Row],[Selling Rate]]*Sales[[#This Row],[Qty]]</f>
        <v>359220</v>
      </c>
      <c r="J3010" s="45">
        <v>0</v>
      </c>
      <c r="K3010" s="46">
        <f>Sales[[#This Row],[Gross Amount]]*Sales[[#This Row],[Disc %]]</f>
        <v>0</v>
      </c>
      <c r="L3010" s="43">
        <v>0.18</v>
      </c>
      <c r="M3010" s="46">
        <f>(Sales[[#This Row],[Gross Amount]]-Sales[[#This Row],[Disc. Amt.]])*Sales[[#This Row],[GST %]]</f>
        <v>64659.6</v>
      </c>
      <c r="N3010" s="161">
        <f>Sales[[#This Row],[Gross Amount]]-Sales[[#This Row],[Disc. Amt.]]+Sales[[#This Row],[GST Amount]]</f>
        <v>423879.6</v>
      </c>
      <c r="O3010" s="34" t="s">
        <v>3569</v>
      </c>
      <c r="P3010" s="34" t="s">
        <v>3562</v>
      </c>
      <c r="Q3010" s="165">
        <f>IF(Sales[[#This Row],[Status]]="Cancelled",0,Sales[[#This Row],[Qty]])</f>
        <v>6</v>
      </c>
      <c r="R3010" s="166">
        <f>IF(Sales[[#This Row],[Status]]="Cancelled",0,Sales[[#This Row],[Total Amount]])</f>
        <v>423879.6</v>
      </c>
      <c r="S3010" s="162">
        <f>SUM(Sales[Net Amount])</f>
        <v>406839287.73200053</v>
      </c>
    </row>
    <row r="3011" spans="1:19" ht="18.75" x14ac:dyDescent="0.25">
      <c r="A3011" s="156" t="s">
        <v>6659</v>
      </c>
      <c r="B3011" s="157">
        <v>45930</v>
      </c>
      <c r="C3011" s="158" t="s">
        <v>837</v>
      </c>
      <c r="D3011" s="159" t="str">
        <f>VLOOKUP(Sales[[#This Row],[Customer ID]],Customer[#All],2,0)</f>
        <v>Sahil Patel</v>
      </c>
      <c r="E3011" s="158" t="s">
        <v>476</v>
      </c>
      <c r="F3011" s="158" t="str">
        <f>VLOOKUP(Sales[[#This Row],[Product ID]],Product[#All],2,0)</f>
        <v>Sandisk Pen Drive</v>
      </c>
      <c r="G3011" s="159">
        <v>7</v>
      </c>
      <c r="H3011" s="160">
        <f>VLOOKUP(Sales[[#This Row],[Product ID]],Product[#All],7,0)</f>
        <v>650</v>
      </c>
      <c r="I3011" s="160">
        <f>Sales[[#This Row],[Selling Rate]]*Sales[[#This Row],[Qty]]</f>
        <v>4550</v>
      </c>
      <c r="J3011" s="43">
        <v>0.05</v>
      </c>
      <c r="K3011" s="44">
        <f>Sales[[#This Row],[Gross Amount]]*Sales[[#This Row],[Disc %]]</f>
        <v>227.5</v>
      </c>
      <c r="L3011" s="43">
        <v>0.18</v>
      </c>
      <c r="M3011" s="44">
        <f>(Sales[[#This Row],[Gross Amount]]-Sales[[#This Row],[Disc. Amt.]])*Sales[[#This Row],[GST %]]</f>
        <v>778.05</v>
      </c>
      <c r="N3011" s="161">
        <f>Sales[[#This Row],[Gross Amount]]-Sales[[#This Row],[Disc. Amt.]]+Sales[[#This Row],[GST Amount]]</f>
        <v>5100.55</v>
      </c>
      <c r="O3011" s="158" t="s">
        <v>8876</v>
      </c>
      <c r="P3011" s="158" t="s">
        <v>3562</v>
      </c>
      <c r="Q3011" s="160">
        <f>IF(Sales[[#This Row],[Status]]="Cancelled",0,Sales[[#This Row],[Qty]])</f>
        <v>7</v>
      </c>
      <c r="R3011" s="161">
        <f>IF(Sales[[#This Row],[Status]]="Cancelled",0,Sales[[#This Row],[Total Amount]])</f>
        <v>5100.55</v>
      </c>
      <c r="S3011" s="162">
        <f>SUM(Sales[Net Amount])</f>
        <v>406839287.73200053</v>
      </c>
    </row>
    <row r="3012" spans="1:19" ht="18.75" x14ac:dyDescent="0.25">
      <c r="A3012" s="163" t="s">
        <v>6660</v>
      </c>
      <c r="B3012" s="164">
        <v>45930</v>
      </c>
      <c r="C3012" s="34" t="s">
        <v>935</v>
      </c>
      <c r="D3012" s="53" t="str">
        <f>VLOOKUP(Sales[[#This Row],[Customer ID]],Customer[#All],2,0)</f>
        <v>Ankit Kumar</v>
      </c>
      <c r="E3012" s="34" t="s">
        <v>409</v>
      </c>
      <c r="F3012" s="34" t="str">
        <f>VLOOKUP(Sales[[#This Row],[Product ID]],Product[#All],2,0)</f>
        <v>Amazon Basics Hdmi Cable</v>
      </c>
      <c r="G3012" s="53">
        <v>6</v>
      </c>
      <c r="H3012" s="165">
        <f>VLOOKUP(Sales[[#This Row],[Product ID]],Product[#All],7,0)</f>
        <v>760</v>
      </c>
      <c r="I3012" s="165">
        <f>Sales[[#This Row],[Selling Rate]]*Sales[[#This Row],[Qty]]</f>
        <v>4560</v>
      </c>
      <c r="J3012" s="45">
        <v>0</v>
      </c>
      <c r="K3012" s="46">
        <f>Sales[[#This Row],[Gross Amount]]*Sales[[#This Row],[Disc %]]</f>
        <v>0</v>
      </c>
      <c r="L3012" s="43">
        <v>0.18</v>
      </c>
      <c r="M3012" s="46">
        <f>(Sales[[#This Row],[Gross Amount]]-Sales[[#This Row],[Disc. Amt.]])*Sales[[#This Row],[GST %]]</f>
        <v>820.8</v>
      </c>
      <c r="N3012" s="161">
        <f>Sales[[#This Row],[Gross Amount]]-Sales[[#This Row],[Disc. Amt.]]+Sales[[#This Row],[GST Amount]]</f>
        <v>5380.8</v>
      </c>
      <c r="O3012" s="34" t="s">
        <v>3569</v>
      </c>
      <c r="P3012" s="34" t="s">
        <v>3562</v>
      </c>
      <c r="Q3012" s="165">
        <f>IF(Sales[[#This Row],[Status]]="Cancelled",0,Sales[[#This Row],[Qty]])</f>
        <v>6</v>
      </c>
      <c r="R3012" s="166">
        <f>IF(Sales[[#This Row],[Status]]="Cancelled",0,Sales[[#This Row],[Total Amount]])</f>
        <v>5380.8</v>
      </c>
      <c r="S3012" s="162">
        <f>SUM(Sales[Net Amount])</f>
        <v>406839287.73200053</v>
      </c>
    </row>
    <row r="3013" spans="1:19" ht="18.75" x14ac:dyDescent="0.25">
      <c r="A3013" s="156" t="s">
        <v>6661</v>
      </c>
      <c r="B3013" s="157">
        <v>45930</v>
      </c>
      <c r="C3013" s="158" t="s">
        <v>936</v>
      </c>
      <c r="D3013" s="159" t="str">
        <f>VLOOKUP(Sales[[#This Row],[Customer ID]],Customer[#All],2,0)</f>
        <v>Pooja Patel</v>
      </c>
      <c r="E3013" s="158" t="s">
        <v>226</v>
      </c>
      <c r="F3013" s="158" t="str">
        <f>VLOOKUP(Sales[[#This Row],[Product ID]],Product[#All],2,0)</f>
        <v>Jbl Speaker</v>
      </c>
      <c r="G3013" s="159">
        <v>5</v>
      </c>
      <c r="H3013" s="160">
        <f>VLOOKUP(Sales[[#This Row],[Product ID]],Product[#All],7,0)</f>
        <v>5020</v>
      </c>
      <c r="I3013" s="160">
        <f>Sales[[#This Row],[Selling Rate]]*Sales[[#This Row],[Qty]]</f>
        <v>25100</v>
      </c>
      <c r="J3013" s="43">
        <v>0</v>
      </c>
      <c r="K3013" s="44">
        <f>Sales[[#This Row],[Gross Amount]]*Sales[[#This Row],[Disc %]]</f>
        <v>0</v>
      </c>
      <c r="L3013" s="43">
        <v>0.18</v>
      </c>
      <c r="M3013" s="44">
        <f>(Sales[[#This Row],[Gross Amount]]-Sales[[#This Row],[Disc. Amt.]])*Sales[[#This Row],[GST %]]</f>
        <v>4518</v>
      </c>
      <c r="N3013" s="161">
        <f>Sales[[#This Row],[Gross Amount]]-Sales[[#This Row],[Disc. Amt.]]+Sales[[#This Row],[GST Amount]]</f>
        <v>29618</v>
      </c>
      <c r="O3013" s="158" t="s">
        <v>3561</v>
      </c>
      <c r="P3013" s="158" t="s">
        <v>3562</v>
      </c>
      <c r="Q3013" s="160">
        <f>IF(Sales[[#This Row],[Status]]="Cancelled",0,Sales[[#This Row],[Qty]])</f>
        <v>5</v>
      </c>
      <c r="R3013" s="161">
        <f>IF(Sales[[#This Row],[Status]]="Cancelled",0,Sales[[#This Row],[Total Amount]])</f>
        <v>29618</v>
      </c>
      <c r="S3013" s="162">
        <f>SUM(Sales[Net Amount])</f>
        <v>406839287.73200053</v>
      </c>
    </row>
    <row r="3014" spans="1:19" ht="18.75" x14ac:dyDescent="0.25">
      <c r="A3014" s="163" t="s">
        <v>6662</v>
      </c>
      <c r="B3014" s="164">
        <v>45930</v>
      </c>
      <c r="C3014" s="34" t="s">
        <v>914</v>
      </c>
      <c r="D3014" s="53" t="str">
        <f>VLOOKUP(Sales[[#This Row],[Customer ID]],Customer[#All],2,0)</f>
        <v>Rakesh Patel</v>
      </c>
      <c r="E3014" s="34" t="s">
        <v>275</v>
      </c>
      <c r="F3014" s="34" t="str">
        <f>VLOOKUP(Sales[[#This Row],[Product ID]],Product[#All],2,0)</f>
        <v>Canon Printer</v>
      </c>
      <c r="G3014" s="53">
        <v>5</v>
      </c>
      <c r="H3014" s="165">
        <f>VLOOKUP(Sales[[#This Row],[Product ID]],Product[#All],7,0)</f>
        <v>36460</v>
      </c>
      <c r="I3014" s="165">
        <f>Sales[[#This Row],[Selling Rate]]*Sales[[#This Row],[Qty]]</f>
        <v>182300</v>
      </c>
      <c r="J3014" s="45">
        <v>0.02</v>
      </c>
      <c r="K3014" s="46">
        <f>Sales[[#This Row],[Gross Amount]]*Sales[[#This Row],[Disc %]]</f>
        <v>3646</v>
      </c>
      <c r="L3014" s="43">
        <v>0.18</v>
      </c>
      <c r="M3014" s="46">
        <f>(Sales[[#This Row],[Gross Amount]]-Sales[[#This Row],[Disc. Amt.]])*Sales[[#This Row],[GST %]]</f>
        <v>32157.719999999998</v>
      </c>
      <c r="N3014" s="161">
        <f>Sales[[#This Row],[Gross Amount]]-Sales[[#This Row],[Disc. Amt.]]+Sales[[#This Row],[GST Amount]]</f>
        <v>210811.72</v>
      </c>
      <c r="O3014" s="34" t="s">
        <v>3561</v>
      </c>
      <c r="P3014" s="34" t="s">
        <v>3562</v>
      </c>
      <c r="Q3014" s="165">
        <f>IF(Sales[[#This Row],[Status]]="Cancelled",0,Sales[[#This Row],[Qty]])</f>
        <v>5</v>
      </c>
      <c r="R3014" s="166">
        <f>IF(Sales[[#This Row],[Status]]="Cancelled",0,Sales[[#This Row],[Total Amount]])</f>
        <v>210811.72</v>
      </c>
      <c r="S3014" s="162">
        <f>SUM(Sales[Net Amount])</f>
        <v>406839287.73200053</v>
      </c>
    </row>
    <row r="3015" spans="1:19" ht="18.75" x14ac:dyDescent="0.25">
      <c r="A3015" s="156" t="s">
        <v>6663</v>
      </c>
      <c r="B3015" s="157">
        <v>45930</v>
      </c>
      <c r="C3015" s="158" t="s">
        <v>914</v>
      </c>
      <c r="D3015" s="159" t="str">
        <f>VLOOKUP(Sales[[#This Row],[Customer ID]],Customer[#All],2,0)</f>
        <v>Rakesh Patel</v>
      </c>
      <c r="E3015" s="158" t="s">
        <v>168</v>
      </c>
      <c r="F3015" s="158" t="str">
        <f>VLOOKUP(Sales[[#This Row],[Product ID]],Product[#All],2,0)</f>
        <v>TP-link Wi-Fi Adapter</v>
      </c>
      <c r="G3015" s="159">
        <v>4</v>
      </c>
      <c r="H3015" s="160">
        <f>VLOOKUP(Sales[[#This Row],[Product ID]],Product[#All],7,0)</f>
        <v>1460</v>
      </c>
      <c r="I3015" s="160">
        <f>Sales[[#This Row],[Selling Rate]]*Sales[[#This Row],[Qty]]</f>
        <v>5840</v>
      </c>
      <c r="J3015" s="43">
        <v>0.15</v>
      </c>
      <c r="K3015" s="44">
        <f>Sales[[#This Row],[Gross Amount]]*Sales[[#This Row],[Disc %]]</f>
        <v>876</v>
      </c>
      <c r="L3015" s="43">
        <v>0.18</v>
      </c>
      <c r="M3015" s="44">
        <f>(Sales[[#This Row],[Gross Amount]]-Sales[[#This Row],[Disc. Amt.]])*Sales[[#This Row],[GST %]]</f>
        <v>893.52</v>
      </c>
      <c r="N3015" s="161">
        <f>Sales[[#This Row],[Gross Amount]]-Sales[[#This Row],[Disc. Amt.]]+Sales[[#This Row],[GST Amount]]</f>
        <v>5857.52</v>
      </c>
      <c r="O3015" s="158" t="s">
        <v>3561</v>
      </c>
      <c r="P3015" s="158" t="s">
        <v>3562</v>
      </c>
      <c r="Q3015" s="160">
        <f>IF(Sales[[#This Row],[Status]]="Cancelled",0,Sales[[#This Row],[Qty]])</f>
        <v>4</v>
      </c>
      <c r="R3015" s="161">
        <f>IF(Sales[[#This Row],[Status]]="Cancelled",0,Sales[[#This Row],[Total Amount]])</f>
        <v>5857.52</v>
      </c>
      <c r="S3015" s="162">
        <f>SUM(Sales[Net Amount])</f>
        <v>406839287.73200053</v>
      </c>
    </row>
    <row r="3016" spans="1:19" ht="18.75" x14ac:dyDescent="0.25">
      <c r="A3016" s="163" t="s">
        <v>6664</v>
      </c>
      <c r="B3016" s="164">
        <v>45930</v>
      </c>
      <c r="C3016" s="34" t="s">
        <v>738</v>
      </c>
      <c r="D3016" s="53" t="str">
        <f>VLOOKUP(Sales[[#This Row],[Customer ID]],Customer[#All],2,0)</f>
        <v>Pooja Patel</v>
      </c>
      <c r="E3016" s="34" t="s">
        <v>96</v>
      </c>
      <c r="F3016" s="34" t="str">
        <f>VLOOKUP(Sales[[#This Row],[Product ID]],Product[#All],2,0)</f>
        <v>Corsair Ram</v>
      </c>
      <c r="G3016" s="53">
        <v>3</v>
      </c>
      <c r="H3016" s="165">
        <f>VLOOKUP(Sales[[#This Row],[Product ID]],Product[#All],7,0)</f>
        <v>4570</v>
      </c>
      <c r="I3016" s="165">
        <f>Sales[[#This Row],[Selling Rate]]*Sales[[#This Row],[Qty]]</f>
        <v>13710</v>
      </c>
      <c r="J3016" s="45">
        <v>0.02</v>
      </c>
      <c r="K3016" s="46">
        <f>Sales[[#This Row],[Gross Amount]]*Sales[[#This Row],[Disc %]]</f>
        <v>274.2</v>
      </c>
      <c r="L3016" s="43">
        <v>0.18</v>
      </c>
      <c r="M3016" s="46">
        <f>(Sales[[#This Row],[Gross Amount]]-Sales[[#This Row],[Disc. Amt.]])*Sales[[#This Row],[GST %]]</f>
        <v>2418.444</v>
      </c>
      <c r="N3016" s="161">
        <f>Sales[[#This Row],[Gross Amount]]-Sales[[#This Row],[Disc. Amt.]]+Sales[[#This Row],[GST Amount]]</f>
        <v>15854.243999999999</v>
      </c>
      <c r="O3016" s="34" t="s">
        <v>3561</v>
      </c>
      <c r="P3016" s="34" t="s">
        <v>3562</v>
      </c>
      <c r="Q3016" s="165">
        <f>IF(Sales[[#This Row],[Status]]="Cancelled",0,Sales[[#This Row],[Qty]])</f>
        <v>3</v>
      </c>
      <c r="R3016" s="166">
        <f>IF(Sales[[#This Row],[Status]]="Cancelled",0,Sales[[#This Row],[Total Amount]])</f>
        <v>15854.243999999999</v>
      </c>
      <c r="S3016" s="162">
        <f>SUM(Sales[Net Amount])</f>
        <v>406839287.73200053</v>
      </c>
    </row>
    <row r="3017" spans="1:19" ht="18.75" x14ac:dyDescent="0.25">
      <c r="A3017" s="156" t="s">
        <v>6665</v>
      </c>
      <c r="B3017" s="157">
        <v>45930</v>
      </c>
      <c r="C3017" s="158" t="s">
        <v>797</v>
      </c>
      <c r="D3017" s="159" t="str">
        <f>VLOOKUP(Sales[[#This Row],[Customer ID]],Customer[#All],2,0)</f>
        <v>Ankit Gupta</v>
      </c>
      <c r="E3017" s="158" t="s">
        <v>107</v>
      </c>
      <c r="F3017" s="158" t="str">
        <f>VLOOKUP(Sales[[#This Row],[Product ID]],Product[#All],2,0)</f>
        <v>Samsung Ssd</v>
      </c>
      <c r="G3017" s="159">
        <v>8</v>
      </c>
      <c r="H3017" s="160">
        <f>VLOOKUP(Sales[[#This Row],[Product ID]],Product[#All],7,0)</f>
        <v>15030</v>
      </c>
      <c r="I3017" s="160">
        <f>Sales[[#This Row],[Selling Rate]]*Sales[[#This Row],[Qty]]</f>
        <v>120240</v>
      </c>
      <c r="J3017" s="43">
        <v>0.12</v>
      </c>
      <c r="K3017" s="44">
        <f>Sales[[#This Row],[Gross Amount]]*Sales[[#This Row],[Disc %]]</f>
        <v>14428.8</v>
      </c>
      <c r="L3017" s="43">
        <v>0.18</v>
      </c>
      <c r="M3017" s="44">
        <f>(Sales[[#This Row],[Gross Amount]]-Sales[[#This Row],[Disc. Amt.]])*Sales[[#This Row],[GST %]]</f>
        <v>19046.016</v>
      </c>
      <c r="N3017" s="161">
        <f>Sales[[#This Row],[Gross Amount]]-Sales[[#This Row],[Disc. Amt.]]+Sales[[#This Row],[GST Amount]]</f>
        <v>124857.216</v>
      </c>
      <c r="O3017" s="158" t="s">
        <v>8876</v>
      </c>
      <c r="P3017" s="158" t="s">
        <v>3562</v>
      </c>
      <c r="Q3017" s="160">
        <f>IF(Sales[[#This Row],[Status]]="Cancelled",0,Sales[[#This Row],[Qty]])</f>
        <v>8</v>
      </c>
      <c r="R3017" s="161">
        <f>IF(Sales[[#This Row],[Status]]="Cancelled",0,Sales[[#This Row],[Total Amount]])</f>
        <v>124857.216</v>
      </c>
      <c r="S3017" s="162">
        <f>SUM(Sales[Net Amount])</f>
        <v>406839287.73200053</v>
      </c>
    </row>
    <row r="3018" spans="1:19" ht="18.75" x14ac:dyDescent="0.25">
      <c r="A3018" s="163" t="s">
        <v>6666</v>
      </c>
      <c r="B3018" s="164">
        <v>45930</v>
      </c>
      <c r="C3018" s="34" t="s">
        <v>741</v>
      </c>
      <c r="D3018" s="53" t="str">
        <f>VLOOKUP(Sales[[#This Row],[Customer ID]],Customer[#All],2,0)</f>
        <v>Rahul Patel</v>
      </c>
      <c r="E3018" s="34" t="s">
        <v>112</v>
      </c>
      <c r="F3018" s="34" t="str">
        <f>VLOOKUP(Sales[[#This Row],[Product ID]],Product[#All],2,0)</f>
        <v>Logitech Keyboard</v>
      </c>
      <c r="G3018" s="53">
        <v>8</v>
      </c>
      <c r="H3018" s="165">
        <f>VLOOKUP(Sales[[#This Row],[Product ID]],Product[#All],7,0)</f>
        <v>3300</v>
      </c>
      <c r="I3018" s="165">
        <f>Sales[[#This Row],[Selling Rate]]*Sales[[#This Row],[Qty]]</f>
        <v>26400</v>
      </c>
      <c r="J3018" s="45">
        <v>0.1</v>
      </c>
      <c r="K3018" s="46">
        <f>Sales[[#This Row],[Gross Amount]]*Sales[[#This Row],[Disc %]]</f>
        <v>2640</v>
      </c>
      <c r="L3018" s="43">
        <v>0.18</v>
      </c>
      <c r="M3018" s="46">
        <f>(Sales[[#This Row],[Gross Amount]]-Sales[[#This Row],[Disc. Amt.]])*Sales[[#This Row],[GST %]]</f>
        <v>4276.8</v>
      </c>
      <c r="N3018" s="161">
        <f>Sales[[#This Row],[Gross Amount]]-Sales[[#This Row],[Disc. Amt.]]+Sales[[#This Row],[GST Amount]]</f>
        <v>28036.799999999999</v>
      </c>
      <c r="O3018" s="34" t="s">
        <v>3566</v>
      </c>
      <c r="P3018" s="34" t="s">
        <v>3562</v>
      </c>
      <c r="Q3018" s="165">
        <f>IF(Sales[[#This Row],[Status]]="Cancelled",0,Sales[[#This Row],[Qty]])</f>
        <v>8</v>
      </c>
      <c r="R3018" s="166">
        <f>IF(Sales[[#This Row],[Status]]="Cancelled",0,Sales[[#This Row],[Total Amount]])</f>
        <v>28036.799999999999</v>
      </c>
      <c r="S3018" s="162">
        <f>SUM(Sales[Net Amount])</f>
        <v>406839287.73200053</v>
      </c>
    </row>
    <row r="3019" spans="1:19" ht="18.75" x14ac:dyDescent="0.25">
      <c r="A3019" s="156" t="s">
        <v>6667</v>
      </c>
      <c r="B3019" s="157">
        <v>45930</v>
      </c>
      <c r="C3019" s="158" t="s">
        <v>875</v>
      </c>
      <c r="D3019" s="159" t="str">
        <f>VLOOKUP(Sales[[#This Row],[Customer ID]],Customer[#All],2,0)</f>
        <v>Rahul Verma</v>
      </c>
      <c r="E3019" s="158" t="s">
        <v>308</v>
      </c>
      <c r="F3019" s="158" t="str">
        <f>VLOOKUP(Sales[[#This Row],[Product ID]],Product[#All],2,0)</f>
        <v>Kingston Ram</v>
      </c>
      <c r="G3019" s="159">
        <v>8</v>
      </c>
      <c r="H3019" s="160">
        <f>VLOOKUP(Sales[[#This Row],[Product ID]],Product[#All],7,0)</f>
        <v>3980</v>
      </c>
      <c r="I3019" s="160">
        <f>Sales[[#This Row],[Selling Rate]]*Sales[[#This Row],[Qty]]</f>
        <v>31840</v>
      </c>
      <c r="J3019" s="43">
        <v>0</v>
      </c>
      <c r="K3019" s="44">
        <f>Sales[[#This Row],[Gross Amount]]*Sales[[#This Row],[Disc %]]</f>
        <v>0</v>
      </c>
      <c r="L3019" s="43">
        <v>0.18</v>
      </c>
      <c r="M3019" s="44">
        <f>(Sales[[#This Row],[Gross Amount]]-Sales[[#This Row],[Disc. Amt.]])*Sales[[#This Row],[GST %]]</f>
        <v>5731.2</v>
      </c>
      <c r="N3019" s="161">
        <f>Sales[[#This Row],[Gross Amount]]-Sales[[#This Row],[Disc. Amt.]]+Sales[[#This Row],[GST Amount]]</f>
        <v>37571.199999999997</v>
      </c>
      <c r="O3019" s="158" t="s">
        <v>3566</v>
      </c>
      <c r="P3019" s="158" t="s">
        <v>3562</v>
      </c>
      <c r="Q3019" s="160">
        <f>IF(Sales[[#This Row],[Status]]="Cancelled",0,Sales[[#This Row],[Qty]])</f>
        <v>8</v>
      </c>
      <c r="R3019" s="161">
        <f>IF(Sales[[#This Row],[Status]]="Cancelled",0,Sales[[#This Row],[Total Amount]])</f>
        <v>37571.199999999997</v>
      </c>
      <c r="S3019" s="162">
        <f>SUM(Sales[Net Amount])</f>
        <v>406839287.73200053</v>
      </c>
    </row>
    <row r="3020" spans="1:19" ht="18.75" x14ac:dyDescent="0.25">
      <c r="A3020" s="163" t="s">
        <v>6668</v>
      </c>
      <c r="B3020" s="164">
        <v>45930</v>
      </c>
      <c r="C3020" s="34" t="s">
        <v>825</v>
      </c>
      <c r="D3020" s="53" t="str">
        <f>VLOOKUP(Sales[[#This Row],[Customer ID]],Customer[#All],2,0)</f>
        <v>Rahul Kumar</v>
      </c>
      <c r="E3020" s="34" t="s">
        <v>448</v>
      </c>
      <c r="F3020" s="34" t="str">
        <f>VLOOKUP(Sales[[#This Row],[Product ID]],Product[#All],2,0)</f>
        <v>Crucial Ssd</v>
      </c>
      <c r="G3020" s="53">
        <v>3</v>
      </c>
      <c r="H3020" s="165">
        <f>VLOOKUP(Sales[[#This Row],[Product ID]],Product[#All],7,0)</f>
        <v>7930</v>
      </c>
      <c r="I3020" s="165">
        <f>Sales[[#This Row],[Selling Rate]]*Sales[[#This Row],[Qty]]</f>
        <v>23790</v>
      </c>
      <c r="J3020" s="45">
        <v>0.15</v>
      </c>
      <c r="K3020" s="46">
        <f>Sales[[#This Row],[Gross Amount]]*Sales[[#This Row],[Disc %]]</f>
        <v>3568.5</v>
      </c>
      <c r="L3020" s="43">
        <v>0.18</v>
      </c>
      <c r="M3020" s="46">
        <f>(Sales[[#This Row],[Gross Amount]]-Sales[[#This Row],[Disc. Amt.]])*Sales[[#This Row],[GST %]]</f>
        <v>3639.87</v>
      </c>
      <c r="N3020" s="161">
        <f>Sales[[#This Row],[Gross Amount]]-Sales[[#This Row],[Disc. Amt.]]+Sales[[#This Row],[GST Amount]]</f>
        <v>23861.37</v>
      </c>
      <c r="O3020" s="34" t="s">
        <v>3566</v>
      </c>
      <c r="P3020" s="34" t="s">
        <v>3562</v>
      </c>
      <c r="Q3020" s="165">
        <f>IF(Sales[[#This Row],[Status]]="Cancelled",0,Sales[[#This Row],[Qty]])</f>
        <v>3</v>
      </c>
      <c r="R3020" s="166">
        <f>IF(Sales[[#This Row],[Status]]="Cancelled",0,Sales[[#This Row],[Total Amount]])</f>
        <v>23861.37</v>
      </c>
      <c r="S3020" s="162">
        <f>SUM(Sales[Net Amount])</f>
        <v>406839287.73200053</v>
      </c>
    </row>
    <row r="3021" spans="1:19" ht="18.75" x14ac:dyDescent="0.25">
      <c r="A3021" s="156" t="s">
        <v>6669</v>
      </c>
      <c r="B3021" s="157">
        <v>45930</v>
      </c>
      <c r="C3021" s="158" t="s">
        <v>885</v>
      </c>
      <c r="D3021" s="159" t="str">
        <f>VLOOKUP(Sales[[#This Row],[Customer ID]],Customer[#All],2,0)</f>
        <v>Pooja Verma</v>
      </c>
      <c r="E3021" s="158" t="s">
        <v>376</v>
      </c>
      <c r="F3021" s="158" t="str">
        <f>VLOOKUP(Sales[[#This Row],[Product ID]],Product[#All],2,0)</f>
        <v>Lenovo Laptop</v>
      </c>
      <c r="G3021" s="159">
        <v>7</v>
      </c>
      <c r="H3021" s="160">
        <f>VLOOKUP(Sales[[#This Row],[Product ID]],Product[#All],7,0)</f>
        <v>38140</v>
      </c>
      <c r="I3021" s="160">
        <f>Sales[[#This Row],[Selling Rate]]*Sales[[#This Row],[Qty]]</f>
        <v>266980</v>
      </c>
      <c r="J3021" s="43">
        <v>0.05</v>
      </c>
      <c r="K3021" s="44">
        <f>Sales[[#This Row],[Gross Amount]]*Sales[[#This Row],[Disc %]]</f>
        <v>13349</v>
      </c>
      <c r="L3021" s="43">
        <v>0.18</v>
      </c>
      <c r="M3021" s="44">
        <f>(Sales[[#This Row],[Gross Amount]]-Sales[[#This Row],[Disc. Amt.]])*Sales[[#This Row],[GST %]]</f>
        <v>45653.58</v>
      </c>
      <c r="N3021" s="161">
        <f>Sales[[#This Row],[Gross Amount]]-Sales[[#This Row],[Disc. Amt.]]+Sales[[#This Row],[GST Amount]]</f>
        <v>299284.58</v>
      </c>
      <c r="O3021" s="158" t="s">
        <v>3569</v>
      </c>
      <c r="P3021" s="158" t="s">
        <v>3562</v>
      </c>
      <c r="Q3021" s="160">
        <f>IF(Sales[[#This Row],[Status]]="Cancelled",0,Sales[[#This Row],[Qty]])</f>
        <v>7</v>
      </c>
      <c r="R3021" s="161">
        <f>IF(Sales[[#This Row],[Status]]="Cancelled",0,Sales[[#This Row],[Total Amount]])</f>
        <v>299284.58</v>
      </c>
      <c r="S3021" s="162">
        <f>SUM(Sales[Net Amount])</f>
        <v>406839287.73200053</v>
      </c>
    </row>
    <row r="3022" spans="1:19" ht="18.75" x14ac:dyDescent="0.25">
      <c r="A3022" s="163" t="s">
        <v>6670</v>
      </c>
      <c r="B3022" s="164">
        <v>45930</v>
      </c>
      <c r="C3022" s="34" t="s">
        <v>763</v>
      </c>
      <c r="D3022" s="53" t="str">
        <f>VLOOKUP(Sales[[#This Row],[Customer ID]],Customer[#All],2,0)</f>
        <v>Pooja Verma</v>
      </c>
      <c r="E3022" s="34" t="s">
        <v>369</v>
      </c>
      <c r="F3022" s="34" t="str">
        <f>VLOOKUP(Sales[[#This Row],[Product ID]],Product[#All],2,0)</f>
        <v>HP Mouse</v>
      </c>
      <c r="G3022" s="53">
        <v>2</v>
      </c>
      <c r="H3022" s="165">
        <f>VLOOKUP(Sales[[#This Row],[Product ID]],Product[#All],7,0)</f>
        <v>2040</v>
      </c>
      <c r="I3022" s="165">
        <f>Sales[[#This Row],[Selling Rate]]*Sales[[#This Row],[Qty]]</f>
        <v>4080</v>
      </c>
      <c r="J3022" s="45">
        <v>0.1</v>
      </c>
      <c r="K3022" s="46">
        <f>Sales[[#This Row],[Gross Amount]]*Sales[[#This Row],[Disc %]]</f>
        <v>408</v>
      </c>
      <c r="L3022" s="43">
        <v>0.18</v>
      </c>
      <c r="M3022" s="46">
        <f>(Sales[[#This Row],[Gross Amount]]-Sales[[#This Row],[Disc. Amt.]])*Sales[[#This Row],[GST %]]</f>
        <v>660.95999999999992</v>
      </c>
      <c r="N3022" s="161">
        <f>Sales[[#This Row],[Gross Amount]]-Sales[[#This Row],[Disc. Amt.]]+Sales[[#This Row],[GST Amount]]</f>
        <v>4332.96</v>
      </c>
      <c r="O3022" s="34" t="s">
        <v>3569</v>
      </c>
      <c r="P3022" s="34" t="s">
        <v>3562</v>
      </c>
      <c r="Q3022" s="165">
        <f>IF(Sales[[#This Row],[Status]]="Cancelled",0,Sales[[#This Row],[Qty]])</f>
        <v>2</v>
      </c>
      <c r="R3022" s="166">
        <f>IF(Sales[[#This Row],[Status]]="Cancelled",0,Sales[[#This Row],[Total Amount]])</f>
        <v>4332.96</v>
      </c>
      <c r="S3022" s="162">
        <f>SUM(Sales[Net Amount])</f>
        <v>406839287.73200053</v>
      </c>
    </row>
    <row r="3023" spans="1:19" ht="18.75" x14ac:dyDescent="0.25">
      <c r="A3023" s="156" t="s">
        <v>6671</v>
      </c>
      <c r="B3023" s="157">
        <v>45930</v>
      </c>
      <c r="C3023" s="158" t="s">
        <v>809</v>
      </c>
      <c r="D3023" s="159" t="str">
        <f>VLOOKUP(Sales[[#This Row],[Customer ID]],Customer[#All],2,0)</f>
        <v>Priya Patel</v>
      </c>
      <c r="E3023" s="158" t="s">
        <v>256</v>
      </c>
      <c r="F3023" s="158" t="str">
        <f>VLOOKUP(Sales[[#This Row],[Product ID]],Product[#All],2,0)</f>
        <v>HP Laptop</v>
      </c>
      <c r="G3023" s="159">
        <v>1</v>
      </c>
      <c r="H3023" s="160">
        <f>VLOOKUP(Sales[[#This Row],[Product ID]],Product[#All],7,0)</f>
        <v>106260</v>
      </c>
      <c r="I3023" s="160">
        <f>Sales[[#This Row],[Selling Rate]]*Sales[[#This Row],[Qty]]</f>
        <v>106260</v>
      </c>
      <c r="J3023" s="43">
        <v>0.05</v>
      </c>
      <c r="K3023" s="44">
        <f>Sales[[#This Row],[Gross Amount]]*Sales[[#This Row],[Disc %]]</f>
        <v>5313</v>
      </c>
      <c r="L3023" s="43">
        <v>0.18</v>
      </c>
      <c r="M3023" s="44">
        <f>(Sales[[#This Row],[Gross Amount]]-Sales[[#This Row],[Disc. Amt.]])*Sales[[#This Row],[GST %]]</f>
        <v>18170.46</v>
      </c>
      <c r="N3023" s="161">
        <f>Sales[[#This Row],[Gross Amount]]-Sales[[#This Row],[Disc. Amt.]]+Sales[[#This Row],[GST Amount]]</f>
        <v>119117.45999999999</v>
      </c>
      <c r="O3023" s="158" t="s">
        <v>3566</v>
      </c>
      <c r="P3023" s="158" t="s">
        <v>3562</v>
      </c>
      <c r="Q3023" s="160">
        <f>IF(Sales[[#This Row],[Status]]="Cancelled",0,Sales[[#This Row],[Qty]])</f>
        <v>1</v>
      </c>
      <c r="R3023" s="161">
        <f>IF(Sales[[#This Row],[Status]]="Cancelled",0,Sales[[#This Row],[Total Amount]])</f>
        <v>119117.45999999999</v>
      </c>
      <c r="S3023" s="162">
        <f>SUM(Sales[Net Amount])</f>
        <v>406839287.73200053</v>
      </c>
    </row>
    <row r="3024" spans="1:19" ht="18.75" x14ac:dyDescent="0.25">
      <c r="A3024" s="163" t="s">
        <v>6672</v>
      </c>
      <c r="B3024" s="164">
        <v>45930</v>
      </c>
      <c r="C3024" s="34" t="s">
        <v>814</v>
      </c>
      <c r="D3024" s="53" t="str">
        <f>VLOOKUP(Sales[[#This Row],[Customer ID]],Customer[#All],2,0)</f>
        <v>Amit Kumar</v>
      </c>
      <c r="E3024" s="34" t="s">
        <v>488</v>
      </c>
      <c r="F3024" s="34" t="str">
        <f>VLOOKUP(Sales[[#This Row],[Product ID]],Product[#All],2,0)</f>
        <v>Samsung Monitor</v>
      </c>
      <c r="G3024" s="53">
        <v>8</v>
      </c>
      <c r="H3024" s="165">
        <f>VLOOKUP(Sales[[#This Row],[Product ID]],Product[#All],7,0)</f>
        <v>32720</v>
      </c>
      <c r="I3024" s="165">
        <f>Sales[[#This Row],[Selling Rate]]*Sales[[#This Row],[Qty]]</f>
        <v>261760</v>
      </c>
      <c r="J3024" s="45">
        <v>0.12</v>
      </c>
      <c r="K3024" s="46">
        <f>Sales[[#This Row],[Gross Amount]]*Sales[[#This Row],[Disc %]]</f>
        <v>31411.199999999997</v>
      </c>
      <c r="L3024" s="43">
        <v>0.18</v>
      </c>
      <c r="M3024" s="46">
        <f>(Sales[[#This Row],[Gross Amount]]-Sales[[#This Row],[Disc. Amt.]])*Sales[[#This Row],[GST %]]</f>
        <v>41462.784</v>
      </c>
      <c r="N3024" s="161">
        <f>Sales[[#This Row],[Gross Amount]]-Sales[[#This Row],[Disc. Amt.]]+Sales[[#This Row],[GST Amount]]</f>
        <v>271811.58399999997</v>
      </c>
      <c r="O3024" s="34" t="s">
        <v>3561</v>
      </c>
      <c r="P3024" s="34" t="s">
        <v>3562</v>
      </c>
      <c r="Q3024" s="165">
        <f>IF(Sales[[#This Row],[Status]]="Cancelled",0,Sales[[#This Row],[Qty]])</f>
        <v>8</v>
      </c>
      <c r="R3024" s="166">
        <f>IF(Sales[[#This Row],[Status]]="Cancelled",0,Sales[[#This Row],[Total Amount]])</f>
        <v>271811.58399999997</v>
      </c>
      <c r="S3024" s="162">
        <f>SUM(Sales[Net Amount])</f>
        <v>406839287.73200053</v>
      </c>
    </row>
    <row r="3025" spans="1:19" ht="18.75" x14ac:dyDescent="0.25">
      <c r="A3025" s="156" t="s">
        <v>6673</v>
      </c>
      <c r="B3025" s="157">
        <v>45930</v>
      </c>
      <c r="C3025" s="158" t="s">
        <v>767</v>
      </c>
      <c r="D3025" s="159" t="str">
        <f>VLOOKUP(Sales[[#This Row],[Customer ID]],Customer[#All],2,0)</f>
        <v>Sunita Singh</v>
      </c>
      <c r="E3025" s="158" t="s">
        <v>365</v>
      </c>
      <c r="F3025" s="158" t="str">
        <f>VLOOKUP(Sales[[#This Row],[Product ID]],Product[#All],2,0)</f>
        <v>TP-link Bluetooth Adapter</v>
      </c>
      <c r="G3025" s="159">
        <v>4</v>
      </c>
      <c r="H3025" s="160">
        <f>VLOOKUP(Sales[[#This Row],[Product ID]],Product[#All],7,0)</f>
        <v>2120</v>
      </c>
      <c r="I3025" s="160">
        <f>Sales[[#This Row],[Selling Rate]]*Sales[[#This Row],[Qty]]</f>
        <v>8480</v>
      </c>
      <c r="J3025" s="43">
        <v>0.15</v>
      </c>
      <c r="K3025" s="44">
        <f>Sales[[#This Row],[Gross Amount]]*Sales[[#This Row],[Disc %]]</f>
        <v>1272</v>
      </c>
      <c r="L3025" s="43">
        <v>0.18</v>
      </c>
      <c r="M3025" s="44">
        <f>(Sales[[#This Row],[Gross Amount]]-Sales[[#This Row],[Disc. Amt.]])*Sales[[#This Row],[GST %]]</f>
        <v>1297.44</v>
      </c>
      <c r="N3025" s="161">
        <f>Sales[[#This Row],[Gross Amount]]-Sales[[#This Row],[Disc. Amt.]]+Sales[[#This Row],[GST Amount]]</f>
        <v>8505.44</v>
      </c>
      <c r="O3025" s="158" t="s">
        <v>3569</v>
      </c>
      <c r="P3025" s="158" t="s">
        <v>3562</v>
      </c>
      <c r="Q3025" s="160">
        <f>IF(Sales[[#This Row],[Status]]="Cancelled",0,Sales[[#This Row],[Qty]])</f>
        <v>4</v>
      </c>
      <c r="R3025" s="161">
        <f>IF(Sales[[#This Row],[Status]]="Cancelled",0,Sales[[#This Row],[Total Amount]])</f>
        <v>8505.44</v>
      </c>
      <c r="S3025" s="162">
        <f>SUM(Sales[Net Amount])</f>
        <v>406839287.73200053</v>
      </c>
    </row>
    <row r="3026" spans="1:19" ht="18.75" x14ac:dyDescent="0.25">
      <c r="A3026" s="163" t="s">
        <v>6674</v>
      </c>
      <c r="B3026" s="164">
        <v>45930</v>
      </c>
      <c r="C3026" s="34" t="s">
        <v>710</v>
      </c>
      <c r="D3026" s="53" t="str">
        <f>VLOOKUP(Sales[[#This Row],[Customer ID]],Customer[#All],2,0)</f>
        <v>Sunita Patel</v>
      </c>
      <c r="E3026" s="34" t="s">
        <v>404</v>
      </c>
      <c r="F3026" s="34" t="str">
        <f>VLOOKUP(Sales[[#This Row],[Product ID]],Product[#All],2,0)</f>
        <v>Dell Keyboard</v>
      </c>
      <c r="G3026" s="53">
        <v>6</v>
      </c>
      <c r="H3026" s="165">
        <f>VLOOKUP(Sales[[#This Row],[Product ID]],Product[#All],7,0)</f>
        <v>3410</v>
      </c>
      <c r="I3026" s="165">
        <f>Sales[[#This Row],[Selling Rate]]*Sales[[#This Row],[Qty]]</f>
        <v>20460</v>
      </c>
      <c r="J3026" s="45">
        <v>0.02</v>
      </c>
      <c r="K3026" s="46">
        <f>Sales[[#This Row],[Gross Amount]]*Sales[[#This Row],[Disc %]]</f>
        <v>409.2</v>
      </c>
      <c r="L3026" s="43">
        <v>0.18</v>
      </c>
      <c r="M3026" s="46">
        <f>(Sales[[#This Row],[Gross Amount]]-Sales[[#This Row],[Disc. Amt.]])*Sales[[#This Row],[GST %]]</f>
        <v>3609.1439999999998</v>
      </c>
      <c r="N3026" s="161">
        <f>Sales[[#This Row],[Gross Amount]]-Sales[[#This Row],[Disc. Amt.]]+Sales[[#This Row],[GST Amount]]</f>
        <v>23659.944</v>
      </c>
      <c r="O3026" s="34" t="s">
        <v>8876</v>
      </c>
      <c r="P3026" s="34" t="s">
        <v>3562</v>
      </c>
      <c r="Q3026" s="165">
        <f>IF(Sales[[#This Row],[Status]]="Cancelled",0,Sales[[#This Row],[Qty]])</f>
        <v>6</v>
      </c>
      <c r="R3026" s="166">
        <f>IF(Sales[[#This Row],[Status]]="Cancelled",0,Sales[[#This Row],[Total Amount]])</f>
        <v>23659.944</v>
      </c>
      <c r="S3026" s="162">
        <f>SUM(Sales[Net Amount])</f>
        <v>406839287.73200053</v>
      </c>
    </row>
    <row r="3027" spans="1:19" ht="18.75" x14ac:dyDescent="0.25">
      <c r="A3027" s="156" t="s">
        <v>6675</v>
      </c>
      <c r="B3027" s="157">
        <v>45930</v>
      </c>
      <c r="C3027" s="158" t="s">
        <v>683</v>
      </c>
      <c r="D3027" s="159" t="str">
        <f>VLOOKUP(Sales[[#This Row],[Customer ID]],Customer[#All],2,0)</f>
        <v>Rahul Kumar</v>
      </c>
      <c r="E3027" s="158" t="s">
        <v>428</v>
      </c>
      <c r="F3027" s="158" t="str">
        <f>VLOOKUP(Sales[[#This Row],[Product ID]],Product[#All],2,0)</f>
        <v>Microtek UPS</v>
      </c>
      <c r="G3027" s="159">
        <v>7</v>
      </c>
      <c r="H3027" s="160">
        <f>VLOOKUP(Sales[[#This Row],[Product ID]],Product[#All],7,0)</f>
        <v>8450</v>
      </c>
      <c r="I3027" s="160">
        <f>Sales[[#This Row],[Selling Rate]]*Sales[[#This Row],[Qty]]</f>
        <v>59150</v>
      </c>
      <c r="J3027" s="43">
        <v>0.05</v>
      </c>
      <c r="K3027" s="44">
        <f>Sales[[#This Row],[Gross Amount]]*Sales[[#This Row],[Disc %]]</f>
        <v>2957.5</v>
      </c>
      <c r="L3027" s="43">
        <v>0.18</v>
      </c>
      <c r="M3027" s="44">
        <f>(Sales[[#This Row],[Gross Amount]]-Sales[[#This Row],[Disc. Amt.]])*Sales[[#This Row],[GST %]]</f>
        <v>10114.65</v>
      </c>
      <c r="N3027" s="161">
        <f>Sales[[#This Row],[Gross Amount]]-Sales[[#This Row],[Disc. Amt.]]+Sales[[#This Row],[GST Amount]]</f>
        <v>66307.149999999994</v>
      </c>
      <c r="O3027" s="158" t="s">
        <v>3569</v>
      </c>
      <c r="P3027" s="158" t="s">
        <v>3562</v>
      </c>
      <c r="Q3027" s="160">
        <f>IF(Sales[[#This Row],[Status]]="Cancelled",0,Sales[[#This Row],[Qty]])</f>
        <v>7</v>
      </c>
      <c r="R3027" s="161">
        <f>IF(Sales[[#This Row],[Status]]="Cancelled",0,Sales[[#This Row],[Total Amount]])</f>
        <v>66307.149999999994</v>
      </c>
      <c r="S3027" s="162">
        <f>SUM(Sales[Net Amount])</f>
        <v>406839287.73200053</v>
      </c>
    </row>
    <row r="3028" spans="1:19" ht="18.75" x14ac:dyDescent="0.25">
      <c r="A3028" s="163" t="s">
        <v>6676</v>
      </c>
      <c r="B3028" s="164">
        <v>45930</v>
      </c>
      <c r="C3028" s="34" t="s">
        <v>775</v>
      </c>
      <c r="D3028" s="53" t="str">
        <f>VLOOKUP(Sales[[#This Row],[Customer ID]],Customer[#All],2,0)</f>
        <v>Ankit Kumar</v>
      </c>
      <c r="E3028" s="34" t="s">
        <v>553</v>
      </c>
      <c r="F3028" s="34" t="str">
        <f>VLOOKUP(Sales[[#This Row],[Product ID]],Product[#All],2,0)</f>
        <v>Logitech Webcam</v>
      </c>
      <c r="G3028" s="53">
        <v>4</v>
      </c>
      <c r="H3028" s="165">
        <f>VLOOKUP(Sales[[#This Row],[Product ID]],Product[#All],7,0)</f>
        <v>3820</v>
      </c>
      <c r="I3028" s="165">
        <f>Sales[[#This Row],[Selling Rate]]*Sales[[#This Row],[Qty]]</f>
        <v>15280</v>
      </c>
      <c r="J3028" s="45">
        <v>0</v>
      </c>
      <c r="K3028" s="46">
        <f>Sales[[#This Row],[Gross Amount]]*Sales[[#This Row],[Disc %]]</f>
        <v>0</v>
      </c>
      <c r="L3028" s="43">
        <v>0.18</v>
      </c>
      <c r="M3028" s="46">
        <f>(Sales[[#This Row],[Gross Amount]]-Sales[[#This Row],[Disc. Amt.]])*Sales[[#This Row],[GST %]]</f>
        <v>2750.4</v>
      </c>
      <c r="N3028" s="161">
        <f>Sales[[#This Row],[Gross Amount]]-Sales[[#This Row],[Disc. Amt.]]+Sales[[#This Row],[GST Amount]]</f>
        <v>18030.400000000001</v>
      </c>
      <c r="O3028" s="34" t="s">
        <v>3561</v>
      </c>
      <c r="P3028" s="34" t="s">
        <v>3562</v>
      </c>
      <c r="Q3028" s="165">
        <f>IF(Sales[[#This Row],[Status]]="Cancelled",0,Sales[[#This Row],[Qty]])</f>
        <v>4</v>
      </c>
      <c r="R3028" s="166">
        <f>IF(Sales[[#This Row],[Status]]="Cancelled",0,Sales[[#This Row],[Total Amount]])</f>
        <v>18030.400000000001</v>
      </c>
      <c r="S3028" s="162">
        <f>SUM(Sales[Net Amount])</f>
        <v>406839287.73200053</v>
      </c>
    </row>
    <row r="3029" spans="1:19" ht="18.75" x14ac:dyDescent="0.25">
      <c r="A3029" s="156" t="s">
        <v>6677</v>
      </c>
      <c r="B3029" s="157">
        <v>45930</v>
      </c>
      <c r="C3029" s="158" t="s">
        <v>801</v>
      </c>
      <c r="D3029" s="159" t="str">
        <f>VLOOKUP(Sales[[#This Row],[Customer ID]],Customer[#All],2,0)</f>
        <v>Sunita Verma</v>
      </c>
      <c r="E3029" s="158" t="s">
        <v>510</v>
      </c>
      <c r="F3029" s="158" t="str">
        <f>VLOOKUP(Sales[[#This Row],[Product ID]],Product[#All],2,0)</f>
        <v>American TouristerLaptopBag</v>
      </c>
      <c r="G3029" s="159">
        <v>3</v>
      </c>
      <c r="H3029" s="160">
        <f>VLOOKUP(Sales[[#This Row],[Product ID]],Product[#All],7,0)</f>
        <v>5010</v>
      </c>
      <c r="I3029" s="160">
        <f>Sales[[#This Row],[Selling Rate]]*Sales[[#This Row],[Qty]]</f>
        <v>15030</v>
      </c>
      <c r="J3029" s="43">
        <v>0.1</v>
      </c>
      <c r="K3029" s="44">
        <f>Sales[[#This Row],[Gross Amount]]*Sales[[#This Row],[Disc %]]</f>
        <v>1503</v>
      </c>
      <c r="L3029" s="43">
        <v>0.18</v>
      </c>
      <c r="M3029" s="44">
        <f>(Sales[[#This Row],[Gross Amount]]-Sales[[#This Row],[Disc. Amt.]])*Sales[[#This Row],[GST %]]</f>
        <v>2434.86</v>
      </c>
      <c r="N3029" s="161">
        <f>Sales[[#This Row],[Gross Amount]]-Sales[[#This Row],[Disc. Amt.]]+Sales[[#This Row],[GST Amount]]</f>
        <v>15961.86</v>
      </c>
      <c r="O3029" s="158" t="s">
        <v>8876</v>
      </c>
      <c r="P3029" s="158" t="s">
        <v>3562</v>
      </c>
      <c r="Q3029" s="160">
        <f>IF(Sales[[#This Row],[Status]]="Cancelled",0,Sales[[#This Row],[Qty]])</f>
        <v>3</v>
      </c>
      <c r="R3029" s="161">
        <f>IF(Sales[[#This Row],[Status]]="Cancelled",0,Sales[[#This Row],[Total Amount]])</f>
        <v>15961.86</v>
      </c>
      <c r="S3029" s="162">
        <f>SUM(Sales[Net Amount])</f>
        <v>406839287.73200053</v>
      </c>
    </row>
    <row r="3030" spans="1:19" ht="18.75" x14ac:dyDescent="0.25">
      <c r="A3030" s="163" t="s">
        <v>6678</v>
      </c>
      <c r="B3030" s="164">
        <v>45930</v>
      </c>
      <c r="C3030" s="34" t="s">
        <v>831</v>
      </c>
      <c r="D3030" s="53" t="str">
        <f>VLOOKUP(Sales[[#This Row],[Customer ID]],Customer[#All],2,0)</f>
        <v>Vikas Gupta</v>
      </c>
      <c r="E3030" s="34" t="s">
        <v>318</v>
      </c>
      <c r="F3030" s="34" t="str">
        <f>VLOOKUP(Sales[[#This Row],[Product ID]],Product[#All],2,0)</f>
        <v>HP Printer</v>
      </c>
      <c r="G3030" s="53">
        <v>8</v>
      </c>
      <c r="H3030" s="165">
        <f>VLOOKUP(Sales[[#This Row],[Product ID]],Product[#All],7,0)</f>
        <v>30590</v>
      </c>
      <c r="I3030" s="165">
        <f>Sales[[#This Row],[Selling Rate]]*Sales[[#This Row],[Qty]]</f>
        <v>244720</v>
      </c>
      <c r="J3030" s="45">
        <v>0</v>
      </c>
      <c r="K3030" s="46">
        <f>Sales[[#This Row],[Gross Amount]]*Sales[[#This Row],[Disc %]]</f>
        <v>0</v>
      </c>
      <c r="L3030" s="43">
        <v>0.18</v>
      </c>
      <c r="M3030" s="46">
        <f>(Sales[[#This Row],[Gross Amount]]-Sales[[#This Row],[Disc. Amt.]])*Sales[[#This Row],[GST %]]</f>
        <v>44049.599999999999</v>
      </c>
      <c r="N3030" s="161">
        <f>Sales[[#This Row],[Gross Amount]]-Sales[[#This Row],[Disc. Amt.]]+Sales[[#This Row],[GST Amount]]</f>
        <v>288769.59999999998</v>
      </c>
      <c r="O3030" s="34" t="s">
        <v>3561</v>
      </c>
      <c r="P3030" s="34" t="s">
        <v>3562</v>
      </c>
      <c r="Q3030" s="165">
        <f>IF(Sales[[#This Row],[Status]]="Cancelled",0,Sales[[#This Row],[Qty]])</f>
        <v>8</v>
      </c>
      <c r="R3030" s="166">
        <f>IF(Sales[[#This Row],[Status]]="Cancelled",0,Sales[[#This Row],[Total Amount]])</f>
        <v>288769.59999999998</v>
      </c>
      <c r="S3030" s="162">
        <f>SUM(Sales[Net Amount])</f>
        <v>406839287.73200053</v>
      </c>
    </row>
    <row r="3031" spans="1:19" ht="18.75" x14ac:dyDescent="0.25">
      <c r="A3031" s="156" t="s">
        <v>6679</v>
      </c>
      <c r="B3031" s="157">
        <v>45930</v>
      </c>
      <c r="C3031" s="158" t="s">
        <v>789</v>
      </c>
      <c r="D3031" s="159" t="str">
        <f>VLOOKUP(Sales[[#This Row],[Customer ID]],Customer[#All],2,0)</f>
        <v>Ankit Patel</v>
      </c>
      <c r="E3031" s="158" t="s">
        <v>483</v>
      </c>
      <c r="F3031" s="158" t="str">
        <f>VLOOKUP(Sales[[#This Row],[Product ID]],Product[#All],2,0)</f>
        <v>Kingston Ram</v>
      </c>
      <c r="G3031" s="159">
        <v>3</v>
      </c>
      <c r="H3031" s="160">
        <f>VLOOKUP(Sales[[#This Row],[Product ID]],Product[#All],7,0)</f>
        <v>8630</v>
      </c>
      <c r="I3031" s="160">
        <f>Sales[[#This Row],[Selling Rate]]*Sales[[#This Row],[Qty]]</f>
        <v>25890</v>
      </c>
      <c r="J3031" s="43">
        <v>0</v>
      </c>
      <c r="K3031" s="44">
        <f>Sales[[#This Row],[Gross Amount]]*Sales[[#This Row],[Disc %]]</f>
        <v>0</v>
      </c>
      <c r="L3031" s="43">
        <v>0.18</v>
      </c>
      <c r="M3031" s="44">
        <f>(Sales[[#This Row],[Gross Amount]]-Sales[[#This Row],[Disc. Amt.]])*Sales[[#This Row],[GST %]]</f>
        <v>4660.2</v>
      </c>
      <c r="N3031" s="161">
        <f>Sales[[#This Row],[Gross Amount]]-Sales[[#This Row],[Disc. Amt.]]+Sales[[#This Row],[GST Amount]]</f>
        <v>30550.2</v>
      </c>
      <c r="O3031" s="158" t="s">
        <v>3566</v>
      </c>
      <c r="P3031" s="158" t="s">
        <v>3562</v>
      </c>
      <c r="Q3031" s="160">
        <f>IF(Sales[[#This Row],[Status]]="Cancelled",0,Sales[[#This Row],[Qty]])</f>
        <v>3</v>
      </c>
      <c r="R3031" s="161">
        <f>IF(Sales[[#This Row],[Status]]="Cancelled",0,Sales[[#This Row],[Total Amount]])</f>
        <v>30550.2</v>
      </c>
      <c r="S3031" s="162">
        <f>SUM(Sales[Net Amount])</f>
        <v>406839287.73200053</v>
      </c>
    </row>
    <row r="3032" spans="1:19" ht="18.75" x14ac:dyDescent="0.25">
      <c r="A3032" s="163" t="s">
        <v>6680</v>
      </c>
      <c r="B3032" s="164">
        <v>45930</v>
      </c>
      <c r="C3032" s="34" t="s">
        <v>930</v>
      </c>
      <c r="D3032" s="53" t="str">
        <f>VLOOKUP(Sales[[#This Row],[Customer ID]],Customer[#All],2,0)</f>
        <v>Rakesh Gupta</v>
      </c>
      <c r="E3032" s="34" t="s">
        <v>508</v>
      </c>
      <c r="F3032" s="34" t="str">
        <f>VLOOKUP(Sales[[#This Row],[Product ID]],Product[#All],2,0)</f>
        <v>American TouristerLaptopBag</v>
      </c>
      <c r="G3032" s="53">
        <v>5</v>
      </c>
      <c r="H3032" s="165">
        <f>VLOOKUP(Sales[[#This Row],[Product ID]],Product[#All],7,0)</f>
        <v>2340</v>
      </c>
      <c r="I3032" s="165">
        <f>Sales[[#This Row],[Selling Rate]]*Sales[[#This Row],[Qty]]</f>
        <v>11700</v>
      </c>
      <c r="J3032" s="45">
        <v>0.1</v>
      </c>
      <c r="K3032" s="46">
        <f>Sales[[#This Row],[Gross Amount]]*Sales[[#This Row],[Disc %]]</f>
        <v>1170</v>
      </c>
      <c r="L3032" s="43">
        <v>0.18</v>
      </c>
      <c r="M3032" s="46">
        <f>(Sales[[#This Row],[Gross Amount]]-Sales[[#This Row],[Disc. Amt.]])*Sales[[#This Row],[GST %]]</f>
        <v>1895.3999999999999</v>
      </c>
      <c r="N3032" s="161">
        <f>Sales[[#This Row],[Gross Amount]]-Sales[[#This Row],[Disc. Amt.]]+Sales[[#This Row],[GST Amount]]</f>
        <v>12425.4</v>
      </c>
      <c r="O3032" s="34" t="s">
        <v>3561</v>
      </c>
      <c r="P3032" s="34" t="s">
        <v>3562</v>
      </c>
      <c r="Q3032" s="165">
        <f>IF(Sales[[#This Row],[Status]]="Cancelled",0,Sales[[#This Row],[Qty]])</f>
        <v>5</v>
      </c>
      <c r="R3032" s="166">
        <f>IF(Sales[[#This Row],[Status]]="Cancelled",0,Sales[[#This Row],[Total Amount]])</f>
        <v>12425.4</v>
      </c>
      <c r="S3032" s="162">
        <f>SUM(Sales[Net Amount])</f>
        <v>406839287.73200053</v>
      </c>
    </row>
    <row r="3033" spans="1:19" ht="18.75" x14ac:dyDescent="0.25">
      <c r="A3033" s="156" t="s">
        <v>6681</v>
      </c>
      <c r="B3033" s="157">
        <v>45930</v>
      </c>
      <c r="C3033" s="158" t="s">
        <v>730</v>
      </c>
      <c r="D3033" s="159" t="str">
        <f>VLOOKUP(Sales[[#This Row],[Customer ID]],Customer[#All],2,0)</f>
        <v>Neha Verma</v>
      </c>
      <c r="E3033" s="158" t="s">
        <v>402</v>
      </c>
      <c r="F3033" s="158" t="str">
        <f>VLOOKUP(Sales[[#This Row],[Product ID]],Product[#All],2,0)</f>
        <v>Logitech Keyboard</v>
      </c>
      <c r="G3033" s="159">
        <v>1</v>
      </c>
      <c r="H3033" s="160">
        <f>VLOOKUP(Sales[[#This Row],[Product ID]],Product[#All],7,0)</f>
        <v>3500</v>
      </c>
      <c r="I3033" s="160">
        <f>Sales[[#This Row],[Selling Rate]]*Sales[[#This Row],[Qty]]</f>
        <v>3500</v>
      </c>
      <c r="J3033" s="43">
        <v>0</v>
      </c>
      <c r="K3033" s="44">
        <f>Sales[[#This Row],[Gross Amount]]*Sales[[#This Row],[Disc %]]</f>
        <v>0</v>
      </c>
      <c r="L3033" s="43">
        <v>0.18</v>
      </c>
      <c r="M3033" s="44">
        <f>(Sales[[#This Row],[Gross Amount]]-Sales[[#This Row],[Disc. Amt.]])*Sales[[#This Row],[GST %]]</f>
        <v>630</v>
      </c>
      <c r="N3033" s="161">
        <f>Sales[[#This Row],[Gross Amount]]-Sales[[#This Row],[Disc. Amt.]]+Sales[[#This Row],[GST Amount]]</f>
        <v>4130</v>
      </c>
      <c r="O3033" s="158" t="s">
        <v>3561</v>
      </c>
      <c r="P3033" s="158" t="s">
        <v>3562</v>
      </c>
      <c r="Q3033" s="160">
        <f>IF(Sales[[#This Row],[Status]]="Cancelled",0,Sales[[#This Row],[Qty]])</f>
        <v>1</v>
      </c>
      <c r="R3033" s="161">
        <f>IF(Sales[[#This Row],[Status]]="Cancelled",0,Sales[[#This Row],[Total Amount]])</f>
        <v>4130</v>
      </c>
      <c r="S3033" s="162">
        <f>SUM(Sales[Net Amount])</f>
        <v>406839287.73200053</v>
      </c>
    </row>
    <row r="3034" spans="1:19" ht="18.75" x14ac:dyDescent="0.25">
      <c r="A3034" s="163" t="s">
        <v>6682</v>
      </c>
      <c r="B3034" s="164">
        <v>45930</v>
      </c>
      <c r="C3034" s="34" t="s">
        <v>6683</v>
      </c>
      <c r="D3034" s="53" t="str">
        <f>VLOOKUP(Sales[[#This Row],[Customer ID]],Customer[#All],2,0)</f>
        <v>Sahil Verma</v>
      </c>
      <c r="E3034" s="34" t="s">
        <v>318</v>
      </c>
      <c r="F3034" s="34" t="str">
        <f>VLOOKUP(Sales[[#This Row],[Product ID]],Product[#All],2,0)</f>
        <v>HP Printer</v>
      </c>
      <c r="G3034" s="53">
        <v>2</v>
      </c>
      <c r="H3034" s="165">
        <f>VLOOKUP(Sales[[#This Row],[Product ID]],Product[#All],7,0)</f>
        <v>30590</v>
      </c>
      <c r="I3034" s="165">
        <f>Sales[[#This Row],[Selling Rate]]*Sales[[#This Row],[Qty]]</f>
        <v>61180</v>
      </c>
      <c r="J3034" s="45">
        <v>0</v>
      </c>
      <c r="K3034" s="46">
        <f>Sales[[#This Row],[Gross Amount]]*Sales[[#This Row],[Disc %]]</f>
        <v>0</v>
      </c>
      <c r="L3034" s="43">
        <v>0.18</v>
      </c>
      <c r="M3034" s="46">
        <f>(Sales[[#This Row],[Gross Amount]]-Sales[[#This Row],[Disc. Amt.]])*Sales[[#This Row],[GST %]]</f>
        <v>11012.4</v>
      </c>
      <c r="N3034" s="161">
        <f>Sales[[#This Row],[Gross Amount]]-Sales[[#This Row],[Disc. Amt.]]+Sales[[#This Row],[GST Amount]]</f>
        <v>72192.399999999994</v>
      </c>
      <c r="O3034" s="34" t="s">
        <v>3561</v>
      </c>
      <c r="P3034" s="34" t="s">
        <v>3562</v>
      </c>
      <c r="Q3034" s="165">
        <f>IF(Sales[[#This Row],[Status]]="Cancelled",0,Sales[[#This Row],[Qty]])</f>
        <v>2</v>
      </c>
      <c r="R3034" s="166">
        <f>IF(Sales[[#This Row],[Status]]="Cancelled",0,Sales[[#This Row],[Total Amount]])</f>
        <v>72192.399999999994</v>
      </c>
      <c r="S3034" s="162">
        <f>SUM(Sales[Net Amount])</f>
        <v>406839287.73200053</v>
      </c>
    </row>
    <row r="3035" spans="1:19" ht="18.75" x14ac:dyDescent="0.25">
      <c r="A3035" s="156" t="s">
        <v>6684</v>
      </c>
      <c r="B3035" s="157">
        <v>45930</v>
      </c>
      <c r="C3035" s="158" t="s">
        <v>839</v>
      </c>
      <c r="D3035" s="159" t="str">
        <f>VLOOKUP(Sales[[#This Row],[Customer ID]],Customer[#All],2,0)</f>
        <v>Amit Patel</v>
      </c>
      <c r="E3035" s="158" t="s">
        <v>412</v>
      </c>
      <c r="F3035" s="158" t="str">
        <f>VLOOKUP(Sales[[#This Row],[Product ID]],Product[#All],2,0)</f>
        <v>Dell Monitor</v>
      </c>
      <c r="G3035" s="159">
        <v>2</v>
      </c>
      <c r="H3035" s="160">
        <f>VLOOKUP(Sales[[#This Row],[Product ID]],Product[#All],7,0)</f>
        <v>30230</v>
      </c>
      <c r="I3035" s="160">
        <f>Sales[[#This Row],[Selling Rate]]*Sales[[#This Row],[Qty]]</f>
        <v>60460</v>
      </c>
      <c r="J3035" s="43">
        <v>0</v>
      </c>
      <c r="K3035" s="44">
        <f>Sales[[#This Row],[Gross Amount]]*Sales[[#This Row],[Disc %]]</f>
        <v>0</v>
      </c>
      <c r="L3035" s="43">
        <v>0.18</v>
      </c>
      <c r="M3035" s="44">
        <f>(Sales[[#This Row],[Gross Amount]]-Sales[[#This Row],[Disc. Amt.]])*Sales[[#This Row],[GST %]]</f>
        <v>10882.8</v>
      </c>
      <c r="N3035" s="161">
        <f>Sales[[#This Row],[Gross Amount]]-Sales[[#This Row],[Disc. Amt.]]+Sales[[#This Row],[GST Amount]]</f>
        <v>71342.8</v>
      </c>
      <c r="O3035" s="158" t="s">
        <v>3561</v>
      </c>
      <c r="P3035" s="158" t="s">
        <v>3562</v>
      </c>
      <c r="Q3035" s="160">
        <f>IF(Sales[[#This Row],[Status]]="Cancelled",0,Sales[[#This Row],[Qty]])</f>
        <v>2</v>
      </c>
      <c r="R3035" s="161">
        <f>IF(Sales[[#This Row],[Status]]="Cancelled",0,Sales[[#This Row],[Total Amount]])</f>
        <v>71342.8</v>
      </c>
      <c r="S3035" s="162">
        <f>SUM(Sales[Net Amount])</f>
        <v>406839287.73200053</v>
      </c>
    </row>
    <row r="3036" spans="1:19" ht="18.75" x14ac:dyDescent="0.25">
      <c r="A3036" s="163" t="s">
        <v>6685</v>
      </c>
      <c r="B3036" s="164">
        <v>45930</v>
      </c>
      <c r="C3036" s="34" t="s">
        <v>780</v>
      </c>
      <c r="D3036" s="53" t="str">
        <f>VLOOKUP(Sales[[#This Row],[Customer ID]],Customer[#All],2,0)</f>
        <v>Sahil Gupta</v>
      </c>
      <c r="E3036" s="34" t="s">
        <v>239</v>
      </c>
      <c r="F3036" s="34" t="str">
        <f>VLOOKUP(Sales[[#This Row],[Product ID]],Product[#All],2,0)</f>
        <v>Microtek UPS</v>
      </c>
      <c r="G3036" s="53">
        <v>3</v>
      </c>
      <c r="H3036" s="165">
        <f>VLOOKUP(Sales[[#This Row],[Product ID]],Product[#All],7,0)</f>
        <v>7570</v>
      </c>
      <c r="I3036" s="165">
        <f>Sales[[#This Row],[Selling Rate]]*Sales[[#This Row],[Qty]]</f>
        <v>22710</v>
      </c>
      <c r="J3036" s="45">
        <v>0.15</v>
      </c>
      <c r="K3036" s="46">
        <f>Sales[[#This Row],[Gross Amount]]*Sales[[#This Row],[Disc %]]</f>
        <v>3406.5</v>
      </c>
      <c r="L3036" s="43">
        <v>0.18</v>
      </c>
      <c r="M3036" s="46">
        <f>(Sales[[#This Row],[Gross Amount]]-Sales[[#This Row],[Disc. Amt.]])*Sales[[#This Row],[GST %]]</f>
        <v>3474.6299999999997</v>
      </c>
      <c r="N3036" s="161">
        <f>Sales[[#This Row],[Gross Amount]]-Sales[[#This Row],[Disc. Amt.]]+Sales[[#This Row],[GST Amount]]</f>
        <v>22778.13</v>
      </c>
      <c r="O3036" s="34" t="s">
        <v>3566</v>
      </c>
      <c r="P3036" s="34" t="s">
        <v>3562</v>
      </c>
      <c r="Q3036" s="165">
        <f>IF(Sales[[#This Row],[Status]]="Cancelled",0,Sales[[#This Row],[Qty]])</f>
        <v>3</v>
      </c>
      <c r="R3036" s="166">
        <f>IF(Sales[[#This Row],[Status]]="Cancelled",0,Sales[[#This Row],[Total Amount]])</f>
        <v>22778.13</v>
      </c>
      <c r="S3036" s="162">
        <f>SUM(Sales[Net Amount])</f>
        <v>406839287.73200053</v>
      </c>
    </row>
    <row r="3037" spans="1:19" ht="18.75" x14ac:dyDescent="0.25">
      <c r="A3037" s="156" t="s">
        <v>6686</v>
      </c>
      <c r="B3037" s="157">
        <v>45930</v>
      </c>
      <c r="C3037" s="158" t="s">
        <v>842</v>
      </c>
      <c r="D3037" s="159" t="str">
        <f>VLOOKUP(Sales[[#This Row],[Customer ID]],Customer[#All],2,0)</f>
        <v>Priya Gupta</v>
      </c>
      <c r="E3037" s="158" t="s">
        <v>483</v>
      </c>
      <c r="F3037" s="158" t="str">
        <f>VLOOKUP(Sales[[#This Row],[Product ID]],Product[#All],2,0)</f>
        <v>Kingston Ram</v>
      </c>
      <c r="G3037" s="159">
        <v>8</v>
      </c>
      <c r="H3037" s="160">
        <f>VLOOKUP(Sales[[#This Row],[Product ID]],Product[#All],7,0)</f>
        <v>8630</v>
      </c>
      <c r="I3037" s="160">
        <f>Sales[[#This Row],[Selling Rate]]*Sales[[#This Row],[Qty]]</f>
        <v>69040</v>
      </c>
      <c r="J3037" s="43">
        <v>0.15</v>
      </c>
      <c r="K3037" s="44">
        <f>Sales[[#This Row],[Gross Amount]]*Sales[[#This Row],[Disc %]]</f>
        <v>10356</v>
      </c>
      <c r="L3037" s="43">
        <v>0.18</v>
      </c>
      <c r="M3037" s="44">
        <f>(Sales[[#This Row],[Gross Amount]]-Sales[[#This Row],[Disc. Amt.]])*Sales[[#This Row],[GST %]]</f>
        <v>10563.119999999999</v>
      </c>
      <c r="N3037" s="161">
        <f>Sales[[#This Row],[Gross Amount]]-Sales[[#This Row],[Disc. Amt.]]+Sales[[#This Row],[GST Amount]]</f>
        <v>69247.12</v>
      </c>
      <c r="O3037" s="158" t="s">
        <v>3566</v>
      </c>
      <c r="P3037" s="158" t="s">
        <v>3562</v>
      </c>
      <c r="Q3037" s="160">
        <f>IF(Sales[[#This Row],[Status]]="Cancelled",0,Sales[[#This Row],[Qty]])</f>
        <v>8</v>
      </c>
      <c r="R3037" s="161">
        <f>IF(Sales[[#This Row],[Status]]="Cancelled",0,Sales[[#This Row],[Total Amount]])</f>
        <v>69247.12</v>
      </c>
      <c r="S3037" s="162">
        <f>SUM(Sales[Net Amount])</f>
        <v>406839287.73200053</v>
      </c>
    </row>
    <row r="3038" spans="1:19" ht="18.75" x14ac:dyDescent="0.25">
      <c r="A3038" s="163" t="s">
        <v>6687</v>
      </c>
      <c r="B3038" s="164">
        <v>45930</v>
      </c>
      <c r="C3038" s="34" t="s">
        <v>748</v>
      </c>
      <c r="D3038" s="53" t="str">
        <f>VLOOKUP(Sales[[#This Row],[Customer ID]],Customer[#All],2,0)</f>
        <v>Priya Singh</v>
      </c>
      <c r="E3038" s="34" t="s">
        <v>530</v>
      </c>
      <c r="F3038" s="34" t="str">
        <f>VLOOKUP(Sales[[#This Row],[Product ID]],Product[#All],2,0)</f>
        <v>Acer Laptop</v>
      </c>
      <c r="G3038" s="53">
        <v>3</v>
      </c>
      <c r="H3038" s="165">
        <f>VLOOKUP(Sales[[#This Row],[Product ID]],Product[#All],7,0)</f>
        <v>31390</v>
      </c>
      <c r="I3038" s="165">
        <f>Sales[[#This Row],[Selling Rate]]*Sales[[#This Row],[Qty]]</f>
        <v>94170</v>
      </c>
      <c r="J3038" s="45">
        <v>0.1</v>
      </c>
      <c r="K3038" s="46">
        <f>Sales[[#This Row],[Gross Amount]]*Sales[[#This Row],[Disc %]]</f>
        <v>9417</v>
      </c>
      <c r="L3038" s="43">
        <v>0.18</v>
      </c>
      <c r="M3038" s="46">
        <f>(Sales[[#This Row],[Gross Amount]]-Sales[[#This Row],[Disc. Amt.]])*Sales[[#This Row],[GST %]]</f>
        <v>15255.539999999999</v>
      </c>
      <c r="N3038" s="161">
        <f>Sales[[#This Row],[Gross Amount]]-Sales[[#This Row],[Disc. Amt.]]+Sales[[#This Row],[GST Amount]]</f>
        <v>100008.54</v>
      </c>
      <c r="O3038" s="34" t="s">
        <v>3561</v>
      </c>
      <c r="P3038" s="34" t="s">
        <v>3562</v>
      </c>
      <c r="Q3038" s="165">
        <f>IF(Sales[[#This Row],[Status]]="Cancelled",0,Sales[[#This Row],[Qty]])</f>
        <v>3</v>
      </c>
      <c r="R3038" s="166">
        <f>IF(Sales[[#This Row],[Status]]="Cancelled",0,Sales[[#This Row],[Total Amount]])</f>
        <v>100008.54</v>
      </c>
      <c r="S3038" s="162">
        <f>SUM(Sales[Net Amount])</f>
        <v>406839287.73200053</v>
      </c>
    </row>
    <row r="3039" spans="1:19" ht="18.75" x14ac:dyDescent="0.25">
      <c r="A3039" s="156" t="s">
        <v>6688</v>
      </c>
      <c r="B3039" s="157">
        <v>45930</v>
      </c>
      <c r="C3039" s="158" t="s">
        <v>748</v>
      </c>
      <c r="D3039" s="159" t="str">
        <f>VLOOKUP(Sales[[#This Row],[Customer ID]],Customer[#All],2,0)</f>
        <v>Priya Singh</v>
      </c>
      <c r="E3039" s="158" t="s">
        <v>446</v>
      </c>
      <c r="F3039" s="158" t="str">
        <f>VLOOKUP(Sales[[#This Row],[Product ID]],Product[#All],2,0)</f>
        <v>HP Desktop</v>
      </c>
      <c r="G3039" s="159">
        <v>2</v>
      </c>
      <c r="H3039" s="160">
        <f>VLOOKUP(Sales[[#This Row],[Product ID]],Product[#All],7,0)</f>
        <v>48280</v>
      </c>
      <c r="I3039" s="160">
        <f>Sales[[#This Row],[Selling Rate]]*Sales[[#This Row],[Qty]]</f>
        <v>96560</v>
      </c>
      <c r="J3039" s="43">
        <v>0.15</v>
      </c>
      <c r="K3039" s="44">
        <f>Sales[[#This Row],[Gross Amount]]*Sales[[#This Row],[Disc %]]</f>
        <v>14484</v>
      </c>
      <c r="L3039" s="43">
        <v>0.18</v>
      </c>
      <c r="M3039" s="44">
        <f>(Sales[[#This Row],[Gross Amount]]-Sales[[#This Row],[Disc. Amt.]])*Sales[[#This Row],[GST %]]</f>
        <v>14773.68</v>
      </c>
      <c r="N3039" s="161">
        <f>Sales[[#This Row],[Gross Amount]]-Sales[[#This Row],[Disc. Amt.]]+Sales[[#This Row],[GST Amount]]</f>
        <v>96849.68</v>
      </c>
      <c r="O3039" s="158" t="s">
        <v>3569</v>
      </c>
      <c r="P3039" s="158" t="s">
        <v>3562</v>
      </c>
      <c r="Q3039" s="160">
        <f>IF(Sales[[#This Row],[Status]]="Cancelled",0,Sales[[#This Row],[Qty]])</f>
        <v>2</v>
      </c>
      <c r="R3039" s="161">
        <f>IF(Sales[[#This Row],[Status]]="Cancelled",0,Sales[[#This Row],[Total Amount]])</f>
        <v>96849.68</v>
      </c>
      <c r="S3039" s="162">
        <f>SUM(Sales[Net Amount])</f>
        <v>406839287.73200053</v>
      </c>
    </row>
    <row r="3040" spans="1:19" ht="18.75" x14ac:dyDescent="0.25">
      <c r="A3040" s="163" t="s">
        <v>6689</v>
      </c>
      <c r="B3040" s="164">
        <v>45930</v>
      </c>
      <c r="C3040" s="34" t="s">
        <v>799</v>
      </c>
      <c r="D3040" s="53" t="str">
        <f>VLOOKUP(Sales[[#This Row],[Customer ID]],Customer[#All],2,0)</f>
        <v>Rakesh Gupta</v>
      </c>
      <c r="E3040" s="34" t="s">
        <v>263</v>
      </c>
      <c r="F3040" s="34" t="str">
        <f>VLOOKUP(Sales[[#This Row],[Product ID]],Product[#All],2,0)</f>
        <v>Amazon Basics Hdmi Cable</v>
      </c>
      <c r="G3040" s="53">
        <v>1</v>
      </c>
      <c r="H3040" s="165">
        <f>VLOOKUP(Sales[[#This Row],[Product ID]],Product[#All],7,0)</f>
        <v>770</v>
      </c>
      <c r="I3040" s="165">
        <f>Sales[[#This Row],[Selling Rate]]*Sales[[#This Row],[Qty]]</f>
        <v>770</v>
      </c>
      <c r="J3040" s="45">
        <v>0.02</v>
      </c>
      <c r="K3040" s="46">
        <f>Sales[[#This Row],[Gross Amount]]*Sales[[#This Row],[Disc %]]</f>
        <v>15.4</v>
      </c>
      <c r="L3040" s="43">
        <v>0.18</v>
      </c>
      <c r="M3040" s="46">
        <f>(Sales[[#This Row],[Gross Amount]]-Sales[[#This Row],[Disc. Amt.]])*Sales[[#This Row],[GST %]]</f>
        <v>135.828</v>
      </c>
      <c r="N3040" s="161">
        <f>Sales[[#This Row],[Gross Amount]]-Sales[[#This Row],[Disc. Amt.]]+Sales[[#This Row],[GST Amount]]</f>
        <v>890.428</v>
      </c>
      <c r="O3040" s="34" t="s">
        <v>8876</v>
      </c>
      <c r="P3040" s="34" t="s">
        <v>3562</v>
      </c>
      <c r="Q3040" s="165">
        <f>IF(Sales[[#This Row],[Status]]="Cancelled",0,Sales[[#This Row],[Qty]])</f>
        <v>1</v>
      </c>
      <c r="R3040" s="166">
        <f>IF(Sales[[#This Row],[Status]]="Cancelled",0,Sales[[#This Row],[Total Amount]])</f>
        <v>890.428</v>
      </c>
      <c r="S3040" s="162">
        <f>SUM(Sales[Net Amount])</f>
        <v>406839287.73200053</v>
      </c>
    </row>
    <row r="3041" spans="1:19" ht="18.75" x14ac:dyDescent="0.25">
      <c r="A3041" s="156" t="s">
        <v>6690</v>
      </c>
      <c r="B3041" s="157">
        <v>45931</v>
      </c>
      <c r="C3041" s="158" t="s">
        <v>734</v>
      </c>
      <c r="D3041" s="159" t="str">
        <f>VLOOKUP(Sales[[#This Row],[Customer ID]],Customer[#All],2,0)</f>
        <v>Ankit Sharma</v>
      </c>
      <c r="E3041" s="158" t="s">
        <v>105</v>
      </c>
      <c r="F3041" s="158" t="str">
        <f>VLOOKUP(Sales[[#This Row],[Product ID]],Product[#All],2,0)</f>
        <v>HP Power Adapter</v>
      </c>
      <c r="G3041" s="159">
        <v>7</v>
      </c>
      <c r="H3041" s="160">
        <f>VLOOKUP(Sales[[#This Row],[Product ID]],Product[#All],7,0)</f>
        <v>3280</v>
      </c>
      <c r="I3041" s="160">
        <f>Sales[[#This Row],[Selling Rate]]*Sales[[#This Row],[Qty]]</f>
        <v>22960</v>
      </c>
      <c r="J3041" s="43">
        <v>0.02</v>
      </c>
      <c r="K3041" s="44">
        <f>Sales[[#This Row],[Gross Amount]]*Sales[[#This Row],[Disc %]]</f>
        <v>459.2</v>
      </c>
      <c r="L3041" s="43">
        <v>0.18</v>
      </c>
      <c r="M3041" s="44">
        <f>(Sales[[#This Row],[Gross Amount]]-Sales[[#This Row],[Disc. Amt.]])*Sales[[#This Row],[GST %]]</f>
        <v>4050.1439999999998</v>
      </c>
      <c r="N3041" s="161">
        <f>Sales[[#This Row],[Gross Amount]]-Sales[[#This Row],[Disc. Amt.]]+Sales[[#This Row],[GST Amount]]</f>
        <v>26550.944</v>
      </c>
      <c r="O3041" s="158" t="s">
        <v>3561</v>
      </c>
      <c r="P3041" s="158" t="s">
        <v>3562</v>
      </c>
      <c r="Q3041" s="160">
        <f>IF(Sales[[#This Row],[Status]]="Cancelled",0,Sales[[#This Row],[Qty]])</f>
        <v>7</v>
      </c>
      <c r="R3041" s="161">
        <f>IF(Sales[[#This Row],[Status]]="Cancelled",0,Sales[[#This Row],[Total Amount]])</f>
        <v>26550.944</v>
      </c>
      <c r="S3041" s="162">
        <f>SUM(Sales[Net Amount])</f>
        <v>406839287.73200053</v>
      </c>
    </row>
    <row r="3042" spans="1:19" ht="18.75" x14ac:dyDescent="0.25">
      <c r="A3042" s="163" t="s">
        <v>6691</v>
      </c>
      <c r="B3042" s="164">
        <v>45931</v>
      </c>
      <c r="C3042" s="34" t="s">
        <v>783</v>
      </c>
      <c r="D3042" s="53" t="str">
        <f>VLOOKUP(Sales[[#This Row],[Customer ID]],Customer[#All],2,0)</f>
        <v>Neha Singh</v>
      </c>
      <c r="E3042" s="34" t="s">
        <v>483</v>
      </c>
      <c r="F3042" s="34" t="str">
        <f>VLOOKUP(Sales[[#This Row],[Product ID]],Product[#All],2,0)</f>
        <v>Kingston Ram</v>
      </c>
      <c r="G3042" s="53">
        <v>2</v>
      </c>
      <c r="H3042" s="165">
        <f>VLOOKUP(Sales[[#This Row],[Product ID]],Product[#All],7,0)</f>
        <v>8630</v>
      </c>
      <c r="I3042" s="165">
        <f>Sales[[#This Row],[Selling Rate]]*Sales[[#This Row],[Qty]]</f>
        <v>17260</v>
      </c>
      <c r="J3042" s="45">
        <v>0</v>
      </c>
      <c r="K3042" s="46">
        <f>Sales[[#This Row],[Gross Amount]]*Sales[[#This Row],[Disc %]]</f>
        <v>0</v>
      </c>
      <c r="L3042" s="43">
        <v>0.18</v>
      </c>
      <c r="M3042" s="46">
        <f>(Sales[[#This Row],[Gross Amount]]-Sales[[#This Row],[Disc. Amt.]])*Sales[[#This Row],[GST %]]</f>
        <v>3106.7999999999997</v>
      </c>
      <c r="N3042" s="161">
        <f>Sales[[#This Row],[Gross Amount]]-Sales[[#This Row],[Disc. Amt.]]+Sales[[#This Row],[GST Amount]]</f>
        <v>20366.8</v>
      </c>
      <c r="O3042" s="34" t="s">
        <v>3566</v>
      </c>
      <c r="P3042" s="34" t="s">
        <v>3562</v>
      </c>
      <c r="Q3042" s="165">
        <f>IF(Sales[[#This Row],[Status]]="Cancelled",0,Sales[[#This Row],[Qty]])</f>
        <v>2</v>
      </c>
      <c r="R3042" s="166">
        <f>IF(Sales[[#This Row],[Status]]="Cancelled",0,Sales[[#This Row],[Total Amount]])</f>
        <v>20366.8</v>
      </c>
      <c r="S3042" s="162">
        <f>SUM(Sales[Net Amount])</f>
        <v>406839287.73200053</v>
      </c>
    </row>
    <row r="3043" spans="1:19" ht="18.75" x14ac:dyDescent="0.25">
      <c r="A3043" s="156" t="s">
        <v>6692</v>
      </c>
      <c r="B3043" s="157">
        <v>45931</v>
      </c>
      <c r="C3043" s="158" t="s">
        <v>4309</v>
      </c>
      <c r="D3043" s="159" t="str">
        <f>VLOOKUP(Sales[[#This Row],[Customer ID]],Customer[#All],2,0)</f>
        <v>Pooja Verma</v>
      </c>
      <c r="E3043" s="158" t="s">
        <v>383</v>
      </c>
      <c r="F3043" s="158" t="str">
        <f>VLOOKUP(Sales[[#This Row],[Product ID]],Product[#All],2,0)</f>
        <v>Logitech Mouse</v>
      </c>
      <c r="G3043" s="159">
        <v>7</v>
      </c>
      <c r="H3043" s="160">
        <f>VLOOKUP(Sales[[#This Row],[Product ID]],Product[#All],7,0)</f>
        <v>3080</v>
      </c>
      <c r="I3043" s="160">
        <f>Sales[[#This Row],[Selling Rate]]*Sales[[#This Row],[Qty]]</f>
        <v>21560</v>
      </c>
      <c r="J3043" s="43">
        <v>0.12</v>
      </c>
      <c r="K3043" s="44">
        <f>Sales[[#This Row],[Gross Amount]]*Sales[[#This Row],[Disc %]]</f>
        <v>2587.1999999999998</v>
      </c>
      <c r="L3043" s="43">
        <v>0.18</v>
      </c>
      <c r="M3043" s="44">
        <f>(Sales[[#This Row],[Gross Amount]]-Sales[[#This Row],[Disc. Amt.]])*Sales[[#This Row],[GST %]]</f>
        <v>3415.1039999999998</v>
      </c>
      <c r="N3043" s="161">
        <f>Sales[[#This Row],[Gross Amount]]-Sales[[#This Row],[Disc. Amt.]]+Sales[[#This Row],[GST Amount]]</f>
        <v>22387.903999999999</v>
      </c>
      <c r="O3043" s="158" t="s">
        <v>3561</v>
      </c>
      <c r="P3043" s="158" t="s">
        <v>3562</v>
      </c>
      <c r="Q3043" s="160">
        <f>IF(Sales[[#This Row],[Status]]="Cancelled",0,Sales[[#This Row],[Qty]])</f>
        <v>7</v>
      </c>
      <c r="R3043" s="161">
        <f>IF(Sales[[#This Row],[Status]]="Cancelled",0,Sales[[#This Row],[Total Amount]])</f>
        <v>22387.903999999999</v>
      </c>
      <c r="S3043" s="162">
        <f>SUM(Sales[Net Amount])</f>
        <v>406839287.73200053</v>
      </c>
    </row>
    <row r="3044" spans="1:19" ht="18.75" x14ac:dyDescent="0.25">
      <c r="A3044" s="163" t="s">
        <v>6693</v>
      </c>
      <c r="B3044" s="164">
        <v>45931</v>
      </c>
      <c r="C3044" s="34" t="s">
        <v>698</v>
      </c>
      <c r="D3044" s="53" t="str">
        <f>VLOOKUP(Sales[[#This Row],[Customer ID]],Customer[#All],2,0)</f>
        <v>Neha Sharma</v>
      </c>
      <c r="E3044" s="34" t="s">
        <v>263</v>
      </c>
      <c r="F3044" s="34" t="str">
        <f>VLOOKUP(Sales[[#This Row],[Product ID]],Product[#All],2,0)</f>
        <v>Amazon Basics Hdmi Cable</v>
      </c>
      <c r="G3044" s="53">
        <v>5</v>
      </c>
      <c r="H3044" s="165">
        <f>VLOOKUP(Sales[[#This Row],[Product ID]],Product[#All],7,0)</f>
        <v>770</v>
      </c>
      <c r="I3044" s="165">
        <f>Sales[[#This Row],[Selling Rate]]*Sales[[#This Row],[Qty]]</f>
        <v>3850</v>
      </c>
      <c r="J3044" s="45">
        <v>0</v>
      </c>
      <c r="K3044" s="46">
        <f>Sales[[#This Row],[Gross Amount]]*Sales[[#This Row],[Disc %]]</f>
        <v>0</v>
      </c>
      <c r="L3044" s="43">
        <v>0.18</v>
      </c>
      <c r="M3044" s="46">
        <f>(Sales[[#This Row],[Gross Amount]]-Sales[[#This Row],[Disc. Amt.]])*Sales[[#This Row],[GST %]]</f>
        <v>693</v>
      </c>
      <c r="N3044" s="161">
        <f>Sales[[#This Row],[Gross Amount]]-Sales[[#This Row],[Disc. Amt.]]+Sales[[#This Row],[GST Amount]]</f>
        <v>4543</v>
      </c>
      <c r="O3044" s="34" t="s">
        <v>3566</v>
      </c>
      <c r="P3044" s="34" t="s">
        <v>3562</v>
      </c>
      <c r="Q3044" s="165">
        <f>IF(Sales[[#This Row],[Status]]="Cancelled",0,Sales[[#This Row],[Qty]])</f>
        <v>5</v>
      </c>
      <c r="R3044" s="166">
        <f>IF(Sales[[#This Row],[Status]]="Cancelled",0,Sales[[#This Row],[Total Amount]])</f>
        <v>4543</v>
      </c>
      <c r="S3044" s="162">
        <f>SUM(Sales[Net Amount])</f>
        <v>406839287.73200053</v>
      </c>
    </row>
    <row r="3045" spans="1:19" ht="18.75" x14ac:dyDescent="0.25">
      <c r="A3045" s="156" t="s">
        <v>6694</v>
      </c>
      <c r="B3045" s="157">
        <v>45931</v>
      </c>
      <c r="C3045" s="158" t="s">
        <v>942</v>
      </c>
      <c r="D3045" s="159" t="str">
        <f>VLOOKUP(Sales[[#This Row],[Customer ID]],Customer[#All],2,0)</f>
        <v>Sunita Kumar</v>
      </c>
      <c r="E3045" s="158" t="s">
        <v>109</v>
      </c>
      <c r="F3045" s="158" t="str">
        <f>VLOOKUP(Sales[[#This Row],[Product ID]],Product[#All],2,0)</f>
        <v>Kingston Ram</v>
      </c>
      <c r="G3045" s="159">
        <v>8</v>
      </c>
      <c r="H3045" s="160">
        <f>VLOOKUP(Sales[[#This Row],[Product ID]],Product[#All],7,0)</f>
        <v>2290</v>
      </c>
      <c r="I3045" s="160">
        <f>Sales[[#This Row],[Selling Rate]]*Sales[[#This Row],[Qty]]</f>
        <v>18320</v>
      </c>
      <c r="J3045" s="43">
        <v>0</v>
      </c>
      <c r="K3045" s="44">
        <f>Sales[[#This Row],[Gross Amount]]*Sales[[#This Row],[Disc %]]</f>
        <v>0</v>
      </c>
      <c r="L3045" s="43">
        <v>0.18</v>
      </c>
      <c r="M3045" s="44">
        <f>(Sales[[#This Row],[Gross Amount]]-Sales[[#This Row],[Disc. Amt.]])*Sales[[#This Row],[GST %]]</f>
        <v>3297.6</v>
      </c>
      <c r="N3045" s="161">
        <f>Sales[[#This Row],[Gross Amount]]-Sales[[#This Row],[Disc. Amt.]]+Sales[[#This Row],[GST Amount]]</f>
        <v>21617.599999999999</v>
      </c>
      <c r="O3045" s="158" t="s">
        <v>3569</v>
      </c>
      <c r="P3045" s="158" t="s">
        <v>3562</v>
      </c>
      <c r="Q3045" s="160">
        <f>IF(Sales[[#This Row],[Status]]="Cancelled",0,Sales[[#This Row],[Qty]])</f>
        <v>8</v>
      </c>
      <c r="R3045" s="161">
        <f>IF(Sales[[#This Row],[Status]]="Cancelled",0,Sales[[#This Row],[Total Amount]])</f>
        <v>21617.599999999999</v>
      </c>
      <c r="S3045" s="162">
        <f>SUM(Sales[Net Amount])</f>
        <v>406839287.73200053</v>
      </c>
    </row>
    <row r="3046" spans="1:19" ht="18.75" x14ac:dyDescent="0.25">
      <c r="A3046" s="163" t="s">
        <v>6695</v>
      </c>
      <c r="B3046" s="164">
        <v>45931</v>
      </c>
      <c r="C3046" s="34" t="s">
        <v>867</v>
      </c>
      <c r="D3046" s="53" t="str">
        <f>VLOOKUP(Sales[[#This Row],[Customer ID]],Customer[#All],2,0)</f>
        <v>Priya Gupta</v>
      </c>
      <c r="E3046" s="34" t="s">
        <v>51</v>
      </c>
      <c r="F3046" s="34" t="str">
        <f>VLOOKUP(Sales[[#This Row],[Product ID]],Product[#All],2,0)</f>
        <v>Boat Speaker</v>
      </c>
      <c r="G3046" s="53">
        <v>1</v>
      </c>
      <c r="H3046" s="165">
        <f>VLOOKUP(Sales[[#This Row],[Product ID]],Product[#All],7,0)</f>
        <v>4730</v>
      </c>
      <c r="I3046" s="165">
        <f>Sales[[#This Row],[Selling Rate]]*Sales[[#This Row],[Qty]]</f>
        <v>4730</v>
      </c>
      <c r="J3046" s="45">
        <v>0.12</v>
      </c>
      <c r="K3046" s="46">
        <f>Sales[[#This Row],[Gross Amount]]*Sales[[#This Row],[Disc %]]</f>
        <v>567.6</v>
      </c>
      <c r="L3046" s="43">
        <v>0.18</v>
      </c>
      <c r="M3046" s="46">
        <f>(Sales[[#This Row],[Gross Amount]]-Sales[[#This Row],[Disc. Amt.]])*Sales[[#This Row],[GST %]]</f>
        <v>749.23199999999986</v>
      </c>
      <c r="N3046" s="161">
        <f>Sales[[#This Row],[Gross Amount]]-Sales[[#This Row],[Disc. Amt.]]+Sales[[#This Row],[GST Amount]]</f>
        <v>4911.6319999999996</v>
      </c>
      <c r="O3046" s="34" t="s">
        <v>3566</v>
      </c>
      <c r="P3046" s="34" t="s">
        <v>3562</v>
      </c>
      <c r="Q3046" s="165">
        <f>IF(Sales[[#This Row],[Status]]="Cancelled",0,Sales[[#This Row],[Qty]])</f>
        <v>1</v>
      </c>
      <c r="R3046" s="166">
        <f>IF(Sales[[#This Row],[Status]]="Cancelled",0,Sales[[#This Row],[Total Amount]])</f>
        <v>4911.6319999999996</v>
      </c>
      <c r="S3046" s="162">
        <f>SUM(Sales[Net Amount])</f>
        <v>406839287.73200053</v>
      </c>
    </row>
    <row r="3047" spans="1:19" ht="18.75" x14ac:dyDescent="0.25">
      <c r="A3047" s="156" t="s">
        <v>6696</v>
      </c>
      <c r="B3047" s="157">
        <v>45931</v>
      </c>
      <c r="C3047" s="158" t="s">
        <v>780</v>
      </c>
      <c r="D3047" s="159" t="str">
        <f>VLOOKUP(Sales[[#This Row],[Customer ID]],Customer[#All],2,0)</f>
        <v>Sahil Gupta</v>
      </c>
      <c r="E3047" s="158" t="s">
        <v>520</v>
      </c>
      <c r="F3047" s="158" t="str">
        <f>VLOOKUP(Sales[[#This Row],[Product ID]],Product[#All],2,0)</f>
        <v>HP Desktop</v>
      </c>
      <c r="G3047" s="159">
        <v>2</v>
      </c>
      <c r="H3047" s="160">
        <f>VLOOKUP(Sales[[#This Row],[Product ID]],Product[#All],7,0)</f>
        <v>40200</v>
      </c>
      <c r="I3047" s="160">
        <f>Sales[[#This Row],[Selling Rate]]*Sales[[#This Row],[Qty]]</f>
        <v>80400</v>
      </c>
      <c r="J3047" s="43">
        <v>0</v>
      </c>
      <c r="K3047" s="44">
        <f>Sales[[#This Row],[Gross Amount]]*Sales[[#This Row],[Disc %]]</f>
        <v>0</v>
      </c>
      <c r="L3047" s="43">
        <v>0.18</v>
      </c>
      <c r="M3047" s="44">
        <f>(Sales[[#This Row],[Gross Amount]]-Sales[[#This Row],[Disc. Amt.]])*Sales[[#This Row],[GST %]]</f>
        <v>14472</v>
      </c>
      <c r="N3047" s="161">
        <f>Sales[[#This Row],[Gross Amount]]-Sales[[#This Row],[Disc. Amt.]]+Sales[[#This Row],[GST Amount]]</f>
        <v>94872</v>
      </c>
      <c r="O3047" s="158" t="s">
        <v>8876</v>
      </c>
      <c r="P3047" s="158" t="s">
        <v>3562</v>
      </c>
      <c r="Q3047" s="160">
        <f>IF(Sales[[#This Row],[Status]]="Cancelled",0,Sales[[#This Row],[Qty]])</f>
        <v>2</v>
      </c>
      <c r="R3047" s="161">
        <f>IF(Sales[[#This Row],[Status]]="Cancelled",0,Sales[[#This Row],[Total Amount]])</f>
        <v>94872</v>
      </c>
      <c r="S3047" s="162">
        <f>SUM(Sales[Net Amount])</f>
        <v>406839287.73200053</v>
      </c>
    </row>
    <row r="3048" spans="1:19" ht="18.75" x14ac:dyDescent="0.25">
      <c r="A3048" s="163" t="s">
        <v>6697</v>
      </c>
      <c r="B3048" s="164">
        <v>45931</v>
      </c>
      <c r="C3048" s="34" t="s">
        <v>939</v>
      </c>
      <c r="D3048" s="53" t="str">
        <f>VLOOKUP(Sales[[#This Row],[Customer ID]],Customer[#All],2,0)</f>
        <v>Sunita Sharma</v>
      </c>
      <c r="E3048" s="34" t="s">
        <v>469</v>
      </c>
      <c r="F3048" s="34" t="str">
        <f>VLOOKUP(Sales[[#This Row],[Product ID]],Product[#All],2,0)</f>
        <v>WD HDD</v>
      </c>
      <c r="G3048" s="53">
        <v>8</v>
      </c>
      <c r="H3048" s="165">
        <f>VLOOKUP(Sales[[#This Row],[Product ID]],Product[#All],7,0)</f>
        <v>6930</v>
      </c>
      <c r="I3048" s="165">
        <f>Sales[[#This Row],[Selling Rate]]*Sales[[#This Row],[Qty]]</f>
        <v>55440</v>
      </c>
      <c r="J3048" s="45">
        <v>0.12</v>
      </c>
      <c r="K3048" s="46">
        <f>Sales[[#This Row],[Gross Amount]]*Sales[[#This Row],[Disc %]]</f>
        <v>6652.8</v>
      </c>
      <c r="L3048" s="43">
        <v>0.18</v>
      </c>
      <c r="M3048" s="46">
        <f>(Sales[[#This Row],[Gross Amount]]-Sales[[#This Row],[Disc. Amt.]])*Sales[[#This Row],[GST %]]</f>
        <v>8781.6959999999999</v>
      </c>
      <c r="N3048" s="161">
        <f>Sales[[#This Row],[Gross Amount]]-Sales[[#This Row],[Disc. Amt.]]+Sales[[#This Row],[GST Amount]]</f>
        <v>57568.895999999993</v>
      </c>
      <c r="O3048" s="34" t="s">
        <v>3566</v>
      </c>
      <c r="P3048" s="34" t="s">
        <v>3562</v>
      </c>
      <c r="Q3048" s="165">
        <f>IF(Sales[[#This Row],[Status]]="Cancelled",0,Sales[[#This Row],[Qty]])</f>
        <v>8</v>
      </c>
      <c r="R3048" s="166">
        <f>IF(Sales[[#This Row],[Status]]="Cancelled",0,Sales[[#This Row],[Total Amount]])</f>
        <v>57568.895999999993</v>
      </c>
      <c r="S3048" s="162">
        <f>SUM(Sales[Net Amount])</f>
        <v>406839287.73200053</v>
      </c>
    </row>
    <row r="3049" spans="1:19" ht="18.75" x14ac:dyDescent="0.25">
      <c r="A3049" s="156" t="s">
        <v>6698</v>
      </c>
      <c r="B3049" s="157">
        <v>45931</v>
      </c>
      <c r="C3049" s="158" t="s">
        <v>931</v>
      </c>
      <c r="D3049" s="159" t="str">
        <f>VLOOKUP(Sales[[#This Row],[Customer ID]],Customer[#All],2,0)</f>
        <v>Sahil Patel</v>
      </c>
      <c r="E3049" s="158" t="s">
        <v>250</v>
      </c>
      <c r="F3049" s="158" t="str">
        <f>VLOOKUP(Sales[[#This Row],[Product ID]],Product[#All],2,0)</f>
        <v>Corsair Ram</v>
      </c>
      <c r="G3049" s="159">
        <v>5</v>
      </c>
      <c r="H3049" s="160">
        <f>VLOOKUP(Sales[[#This Row],[Product ID]],Product[#All],7,0)</f>
        <v>12160</v>
      </c>
      <c r="I3049" s="160">
        <f>Sales[[#This Row],[Selling Rate]]*Sales[[#This Row],[Qty]]</f>
        <v>60800</v>
      </c>
      <c r="J3049" s="43">
        <v>0.1</v>
      </c>
      <c r="K3049" s="44">
        <f>Sales[[#This Row],[Gross Amount]]*Sales[[#This Row],[Disc %]]</f>
        <v>6080</v>
      </c>
      <c r="L3049" s="43">
        <v>0.18</v>
      </c>
      <c r="M3049" s="44">
        <f>(Sales[[#This Row],[Gross Amount]]-Sales[[#This Row],[Disc. Amt.]])*Sales[[#This Row],[GST %]]</f>
        <v>9849.6</v>
      </c>
      <c r="N3049" s="161">
        <f>Sales[[#This Row],[Gross Amount]]-Sales[[#This Row],[Disc. Amt.]]+Sales[[#This Row],[GST Amount]]</f>
        <v>64569.599999999999</v>
      </c>
      <c r="O3049" s="158" t="s">
        <v>3566</v>
      </c>
      <c r="P3049" s="158" t="s">
        <v>3562</v>
      </c>
      <c r="Q3049" s="160">
        <f>IF(Sales[[#This Row],[Status]]="Cancelled",0,Sales[[#This Row],[Qty]])</f>
        <v>5</v>
      </c>
      <c r="R3049" s="161">
        <f>IF(Sales[[#This Row],[Status]]="Cancelled",0,Sales[[#This Row],[Total Amount]])</f>
        <v>64569.599999999999</v>
      </c>
      <c r="S3049" s="162">
        <f>SUM(Sales[Net Amount])</f>
        <v>406839287.73200053</v>
      </c>
    </row>
    <row r="3050" spans="1:19" ht="18.75" x14ac:dyDescent="0.25">
      <c r="A3050" s="163" t="s">
        <v>6699</v>
      </c>
      <c r="B3050" s="164">
        <v>45931</v>
      </c>
      <c r="C3050" s="34" t="s">
        <v>708</v>
      </c>
      <c r="D3050" s="53" t="str">
        <f>VLOOKUP(Sales[[#This Row],[Customer ID]],Customer[#All],2,0)</f>
        <v>Amit Verma</v>
      </c>
      <c r="E3050" s="34" t="s">
        <v>551</v>
      </c>
      <c r="F3050" s="34" t="str">
        <f>VLOOKUP(Sales[[#This Row],[Product ID]],Product[#All],2,0)</f>
        <v>Epson Printer</v>
      </c>
      <c r="G3050" s="53">
        <v>4</v>
      </c>
      <c r="H3050" s="165">
        <f>VLOOKUP(Sales[[#This Row],[Product ID]],Product[#All],7,0)</f>
        <v>38370</v>
      </c>
      <c r="I3050" s="165">
        <f>Sales[[#This Row],[Selling Rate]]*Sales[[#This Row],[Qty]]</f>
        <v>153480</v>
      </c>
      <c r="J3050" s="45">
        <v>0.05</v>
      </c>
      <c r="K3050" s="46">
        <f>Sales[[#This Row],[Gross Amount]]*Sales[[#This Row],[Disc %]]</f>
        <v>7674</v>
      </c>
      <c r="L3050" s="43">
        <v>0.18</v>
      </c>
      <c r="M3050" s="46">
        <f>(Sales[[#This Row],[Gross Amount]]-Sales[[#This Row],[Disc. Amt.]])*Sales[[#This Row],[GST %]]</f>
        <v>26245.079999999998</v>
      </c>
      <c r="N3050" s="161">
        <f>Sales[[#This Row],[Gross Amount]]-Sales[[#This Row],[Disc. Amt.]]+Sales[[#This Row],[GST Amount]]</f>
        <v>172051.08</v>
      </c>
      <c r="O3050" s="34" t="s">
        <v>3566</v>
      </c>
      <c r="P3050" s="34" t="s">
        <v>3562</v>
      </c>
      <c r="Q3050" s="165">
        <f>IF(Sales[[#This Row],[Status]]="Cancelled",0,Sales[[#This Row],[Qty]])</f>
        <v>4</v>
      </c>
      <c r="R3050" s="166">
        <f>IF(Sales[[#This Row],[Status]]="Cancelled",0,Sales[[#This Row],[Total Amount]])</f>
        <v>172051.08</v>
      </c>
      <c r="S3050" s="162">
        <f>SUM(Sales[Net Amount])</f>
        <v>406839287.73200053</v>
      </c>
    </row>
    <row r="3051" spans="1:19" ht="18.75" x14ac:dyDescent="0.25">
      <c r="A3051" s="156" t="s">
        <v>6700</v>
      </c>
      <c r="B3051" s="157">
        <v>45931</v>
      </c>
      <c r="C3051" s="158" t="s">
        <v>764</v>
      </c>
      <c r="D3051" s="159" t="str">
        <f>VLOOKUP(Sales[[#This Row],[Customer ID]],Customer[#All],2,0)</f>
        <v>Priya Gupta</v>
      </c>
      <c r="E3051" s="158" t="s">
        <v>552</v>
      </c>
      <c r="F3051" s="158" t="str">
        <f>VLOOKUP(Sales[[#This Row],[Product ID]],Product[#All],2,0)</f>
        <v>American TouristerLaptopBag</v>
      </c>
      <c r="G3051" s="159">
        <v>6</v>
      </c>
      <c r="H3051" s="160">
        <f>VLOOKUP(Sales[[#This Row],[Product ID]],Product[#All],7,0)</f>
        <v>5080</v>
      </c>
      <c r="I3051" s="160">
        <f>Sales[[#This Row],[Selling Rate]]*Sales[[#This Row],[Qty]]</f>
        <v>30480</v>
      </c>
      <c r="J3051" s="43">
        <v>0.05</v>
      </c>
      <c r="K3051" s="44">
        <f>Sales[[#This Row],[Gross Amount]]*Sales[[#This Row],[Disc %]]</f>
        <v>1524</v>
      </c>
      <c r="L3051" s="43">
        <v>0.18</v>
      </c>
      <c r="M3051" s="44">
        <f>(Sales[[#This Row],[Gross Amount]]-Sales[[#This Row],[Disc. Amt.]])*Sales[[#This Row],[GST %]]</f>
        <v>5212.08</v>
      </c>
      <c r="N3051" s="161">
        <f>Sales[[#This Row],[Gross Amount]]-Sales[[#This Row],[Disc. Amt.]]+Sales[[#This Row],[GST Amount]]</f>
        <v>34168.080000000002</v>
      </c>
      <c r="O3051" s="158" t="s">
        <v>3561</v>
      </c>
      <c r="P3051" s="158" t="s">
        <v>3562</v>
      </c>
      <c r="Q3051" s="160">
        <f>IF(Sales[[#This Row],[Status]]="Cancelled",0,Sales[[#This Row],[Qty]])</f>
        <v>6</v>
      </c>
      <c r="R3051" s="161">
        <f>IF(Sales[[#This Row],[Status]]="Cancelled",0,Sales[[#This Row],[Total Amount]])</f>
        <v>34168.080000000002</v>
      </c>
      <c r="S3051" s="162">
        <f>SUM(Sales[Net Amount])</f>
        <v>406839287.73200053</v>
      </c>
    </row>
    <row r="3052" spans="1:19" ht="18.75" x14ac:dyDescent="0.25">
      <c r="A3052" s="163" t="s">
        <v>6701</v>
      </c>
      <c r="B3052" s="164">
        <v>45931</v>
      </c>
      <c r="C3052" s="34" t="s">
        <v>692</v>
      </c>
      <c r="D3052" s="53" t="str">
        <f>VLOOKUP(Sales[[#This Row],[Customer ID]],Customer[#All],2,0)</f>
        <v>Rahul Patel</v>
      </c>
      <c r="E3052" s="34" t="s">
        <v>106</v>
      </c>
      <c r="F3052" s="34" t="str">
        <f>VLOOKUP(Sales[[#This Row],[Product ID]],Product[#All],2,0)</f>
        <v>Corsair Ram</v>
      </c>
      <c r="G3052" s="53">
        <v>3</v>
      </c>
      <c r="H3052" s="165">
        <f>VLOOKUP(Sales[[#This Row],[Product ID]],Product[#All],7,0)</f>
        <v>7990</v>
      </c>
      <c r="I3052" s="165">
        <f>Sales[[#This Row],[Selling Rate]]*Sales[[#This Row],[Qty]]</f>
        <v>23970</v>
      </c>
      <c r="J3052" s="45">
        <v>0.15</v>
      </c>
      <c r="K3052" s="46">
        <f>Sales[[#This Row],[Gross Amount]]*Sales[[#This Row],[Disc %]]</f>
        <v>3595.5</v>
      </c>
      <c r="L3052" s="43">
        <v>0.18</v>
      </c>
      <c r="M3052" s="46">
        <f>(Sales[[#This Row],[Gross Amount]]-Sales[[#This Row],[Disc. Amt.]])*Sales[[#This Row],[GST %]]</f>
        <v>3667.41</v>
      </c>
      <c r="N3052" s="161">
        <f>Sales[[#This Row],[Gross Amount]]-Sales[[#This Row],[Disc. Amt.]]+Sales[[#This Row],[GST Amount]]</f>
        <v>24041.91</v>
      </c>
      <c r="O3052" s="34" t="s">
        <v>3561</v>
      </c>
      <c r="P3052" s="34" t="s">
        <v>3562</v>
      </c>
      <c r="Q3052" s="165">
        <f>IF(Sales[[#This Row],[Status]]="Cancelled",0,Sales[[#This Row],[Qty]])</f>
        <v>3</v>
      </c>
      <c r="R3052" s="166">
        <f>IF(Sales[[#This Row],[Status]]="Cancelled",0,Sales[[#This Row],[Total Amount]])</f>
        <v>24041.91</v>
      </c>
      <c r="S3052" s="162">
        <f>SUM(Sales[Net Amount])</f>
        <v>406839287.73200053</v>
      </c>
    </row>
    <row r="3053" spans="1:19" ht="18.75" x14ac:dyDescent="0.25">
      <c r="A3053" s="156" t="s">
        <v>6702</v>
      </c>
      <c r="B3053" s="157">
        <v>45931</v>
      </c>
      <c r="C3053" s="158" t="s">
        <v>724</v>
      </c>
      <c r="D3053" s="159" t="str">
        <f>VLOOKUP(Sales[[#This Row],[Customer ID]],Customer[#All],2,0)</f>
        <v>Sunita Sharma</v>
      </c>
      <c r="E3053" s="158" t="s">
        <v>482</v>
      </c>
      <c r="F3053" s="158" t="str">
        <f>VLOOKUP(Sales[[#This Row],[Product ID]],Product[#All],2,0)</f>
        <v>HP Mouse</v>
      </c>
      <c r="G3053" s="159">
        <v>5</v>
      </c>
      <c r="H3053" s="160">
        <f>VLOOKUP(Sales[[#This Row],[Product ID]],Product[#All],7,0)</f>
        <v>790</v>
      </c>
      <c r="I3053" s="160">
        <f>Sales[[#This Row],[Selling Rate]]*Sales[[#This Row],[Qty]]</f>
        <v>3950</v>
      </c>
      <c r="J3053" s="43">
        <v>0.05</v>
      </c>
      <c r="K3053" s="44">
        <f>Sales[[#This Row],[Gross Amount]]*Sales[[#This Row],[Disc %]]</f>
        <v>197.5</v>
      </c>
      <c r="L3053" s="43">
        <v>0.18</v>
      </c>
      <c r="M3053" s="44">
        <f>(Sales[[#This Row],[Gross Amount]]-Sales[[#This Row],[Disc. Amt.]])*Sales[[#This Row],[GST %]]</f>
        <v>675.44999999999993</v>
      </c>
      <c r="N3053" s="161">
        <f>Sales[[#This Row],[Gross Amount]]-Sales[[#This Row],[Disc. Amt.]]+Sales[[#This Row],[GST Amount]]</f>
        <v>4427.95</v>
      </c>
      <c r="O3053" s="158" t="s">
        <v>8876</v>
      </c>
      <c r="P3053" s="158" t="s">
        <v>3562</v>
      </c>
      <c r="Q3053" s="160">
        <f>IF(Sales[[#This Row],[Status]]="Cancelled",0,Sales[[#This Row],[Qty]])</f>
        <v>5</v>
      </c>
      <c r="R3053" s="161">
        <f>IF(Sales[[#This Row],[Status]]="Cancelled",0,Sales[[#This Row],[Total Amount]])</f>
        <v>4427.95</v>
      </c>
      <c r="S3053" s="162">
        <f>SUM(Sales[Net Amount])</f>
        <v>406839287.73200053</v>
      </c>
    </row>
    <row r="3054" spans="1:19" ht="18.75" x14ac:dyDescent="0.25">
      <c r="A3054" s="163" t="s">
        <v>6703</v>
      </c>
      <c r="B3054" s="164">
        <v>45931</v>
      </c>
      <c r="C3054" s="34" t="s">
        <v>827</v>
      </c>
      <c r="D3054" s="53" t="str">
        <f>VLOOKUP(Sales[[#This Row],[Customer ID]],Customer[#All],2,0)</f>
        <v>Ankit Gupta</v>
      </c>
      <c r="E3054" s="34" t="s">
        <v>303</v>
      </c>
      <c r="F3054" s="34" t="str">
        <f>VLOOKUP(Sales[[#This Row],[Product ID]],Product[#All],2,0)</f>
        <v>Crucial Ssd</v>
      </c>
      <c r="G3054" s="53">
        <v>5</v>
      </c>
      <c r="H3054" s="165">
        <f>VLOOKUP(Sales[[#This Row],[Product ID]],Product[#All],7,0)</f>
        <v>7740</v>
      </c>
      <c r="I3054" s="165">
        <f>Sales[[#This Row],[Selling Rate]]*Sales[[#This Row],[Qty]]</f>
        <v>38700</v>
      </c>
      <c r="J3054" s="45">
        <v>0.05</v>
      </c>
      <c r="K3054" s="46">
        <f>Sales[[#This Row],[Gross Amount]]*Sales[[#This Row],[Disc %]]</f>
        <v>1935</v>
      </c>
      <c r="L3054" s="43">
        <v>0.18</v>
      </c>
      <c r="M3054" s="46">
        <f>(Sales[[#This Row],[Gross Amount]]-Sales[[#This Row],[Disc. Amt.]])*Sales[[#This Row],[GST %]]</f>
        <v>6617.7</v>
      </c>
      <c r="N3054" s="161">
        <f>Sales[[#This Row],[Gross Amount]]-Sales[[#This Row],[Disc. Amt.]]+Sales[[#This Row],[GST Amount]]</f>
        <v>43382.7</v>
      </c>
      <c r="O3054" s="34" t="s">
        <v>3569</v>
      </c>
      <c r="P3054" s="34" t="s">
        <v>3562</v>
      </c>
      <c r="Q3054" s="165">
        <f>IF(Sales[[#This Row],[Status]]="Cancelled",0,Sales[[#This Row],[Qty]])</f>
        <v>5</v>
      </c>
      <c r="R3054" s="166">
        <f>IF(Sales[[#This Row],[Status]]="Cancelled",0,Sales[[#This Row],[Total Amount]])</f>
        <v>43382.7</v>
      </c>
      <c r="S3054" s="162">
        <f>SUM(Sales[Net Amount])</f>
        <v>406839287.73200053</v>
      </c>
    </row>
    <row r="3055" spans="1:19" ht="18.75" x14ac:dyDescent="0.25">
      <c r="A3055" s="156" t="s">
        <v>6704</v>
      </c>
      <c r="B3055" s="157">
        <v>45931</v>
      </c>
      <c r="C3055" s="158" t="s">
        <v>685</v>
      </c>
      <c r="D3055" s="159" t="str">
        <f>VLOOKUP(Sales[[#This Row],[Customer ID]],Customer[#All],2,0)</f>
        <v>Pooja Kumar</v>
      </c>
      <c r="E3055" s="158" t="s">
        <v>392</v>
      </c>
      <c r="F3055" s="158" t="str">
        <f>VLOOKUP(Sales[[#This Row],[Product ID]],Product[#All],2,0)</f>
        <v>Apc UPS</v>
      </c>
      <c r="G3055" s="159">
        <v>2</v>
      </c>
      <c r="H3055" s="160">
        <f>VLOOKUP(Sales[[#This Row],[Product ID]],Product[#All],7,0)</f>
        <v>3320</v>
      </c>
      <c r="I3055" s="160">
        <f>Sales[[#This Row],[Selling Rate]]*Sales[[#This Row],[Qty]]</f>
        <v>6640</v>
      </c>
      <c r="J3055" s="43">
        <v>0.02</v>
      </c>
      <c r="K3055" s="44">
        <f>Sales[[#This Row],[Gross Amount]]*Sales[[#This Row],[Disc %]]</f>
        <v>132.80000000000001</v>
      </c>
      <c r="L3055" s="43">
        <v>0.18</v>
      </c>
      <c r="M3055" s="44">
        <f>(Sales[[#This Row],[Gross Amount]]-Sales[[#This Row],[Disc. Amt.]])*Sales[[#This Row],[GST %]]</f>
        <v>1171.2959999999998</v>
      </c>
      <c r="N3055" s="161">
        <f>Sales[[#This Row],[Gross Amount]]-Sales[[#This Row],[Disc. Amt.]]+Sales[[#This Row],[GST Amount]]</f>
        <v>7678.4959999999992</v>
      </c>
      <c r="O3055" s="158" t="s">
        <v>3561</v>
      </c>
      <c r="P3055" s="158" t="s">
        <v>3562</v>
      </c>
      <c r="Q3055" s="160">
        <f>IF(Sales[[#This Row],[Status]]="Cancelled",0,Sales[[#This Row],[Qty]])</f>
        <v>2</v>
      </c>
      <c r="R3055" s="161">
        <f>IF(Sales[[#This Row],[Status]]="Cancelled",0,Sales[[#This Row],[Total Amount]])</f>
        <v>7678.4959999999992</v>
      </c>
      <c r="S3055" s="162">
        <f>SUM(Sales[Net Amount])</f>
        <v>406839287.73200053</v>
      </c>
    </row>
    <row r="3056" spans="1:19" ht="18.75" x14ac:dyDescent="0.25">
      <c r="A3056" s="163" t="s">
        <v>6705</v>
      </c>
      <c r="B3056" s="164">
        <v>45931</v>
      </c>
      <c r="C3056" s="34" t="s">
        <v>846</v>
      </c>
      <c r="D3056" s="53" t="str">
        <f>VLOOKUP(Sales[[#This Row],[Customer ID]],Customer[#All],2,0)</f>
        <v>Ankit Patel</v>
      </c>
      <c r="E3056" s="34" t="s">
        <v>435</v>
      </c>
      <c r="F3056" s="34" t="str">
        <f>VLOOKUP(Sales[[#This Row],[Product ID]],Product[#All],2,0)</f>
        <v>Corsair Ram</v>
      </c>
      <c r="G3056" s="53">
        <v>7</v>
      </c>
      <c r="H3056" s="165">
        <f>VLOOKUP(Sales[[#This Row],[Product ID]],Product[#All],7,0)</f>
        <v>8060</v>
      </c>
      <c r="I3056" s="165">
        <f>Sales[[#This Row],[Selling Rate]]*Sales[[#This Row],[Qty]]</f>
        <v>56420</v>
      </c>
      <c r="J3056" s="45">
        <v>0</v>
      </c>
      <c r="K3056" s="46">
        <f>Sales[[#This Row],[Gross Amount]]*Sales[[#This Row],[Disc %]]</f>
        <v>0</v>
      </c>
      <c r="L3056" s="43">
        <v>0.18</v>
      </c>
      <c r="M3056" s="46">
        <f>(Sales[[#This Row],[Gross Amount]]-Sales[[#This Row],[Disc. Amt.]])*Sales[[#This Row],[GST %]]</f>
        <v>10155.6</v>
      </c>
      <c r="N3056" s="161">
        <f>Sales[[#This Row],[Gross Amount]]-Sales[[#This Row],[Disc. Amt.]]+Sales[[#This Row],[GST Amount]]</f>
        <v>66575.600000000006</v>
      </c>
      <c r="O3056" s="34" t="s">
        <v>3566</v>
      </c>
      <c r="P3056" s="34" t="s">
        <v>3562</v>
      </c>
      <c r="Q3056" s="165">
        <f>IF(Sales[[#This Row],[Status]]="Cancelled",0,Sales[[#This Row],[Qty]])</f>
        <v>7</v>
      </c>
      <c r="R3056" s="166">
        <f>IF(Sales[[#This Row],[Status]]="Cancelled",0,Sales[[#This Row],[Total Amount]])</f>
        <v>66575.600000000006</v>
      </c>
      <c r="S3056" s="162">
        <f>SUM(Sales[Net Amount])</f>
        <v>406839287.73200053</v>
      </c>
    </row>
    <row r="3057" spans="1:19" ht="18.75" x14ac:dyDescent="0.25">
      <c r="A3057" s="156" t="s">
        <v>6706</v>
      </c>
      <c r="B3057" s="157">
        <v>45931</v>
      </c>
      <c r="C3057" s="158" t="s">
        <v>875</v>
      </c>
      <c r="D3057" s="159" t="str">
        <f>VLOOKUP(Sales[[#This Row],[Customer ID]],Customer[#All],2,0)</f>
        <v>Rahul Verma</v>
      </c>
      <c r="E3057" s="158" t="s">
        <v>391</v>
      </c>
      <c r="F3057" s="158" t="str">
        <f>VLOOKUP(Sales[[#This Row],[Product ID]],Product[#All],2,0)</f>
        <v>Seagate HDD</v>
      </c>
      <c r="G3057" s="159">
        <v>6</v>
      </c>
      <c r="H3057" s="160">
        <f>VLOOKUP(Sales[[#This Row],[Product ID]],Product[#All],7,0)</f>
        <v>10370</v>
      </c>
      <c r="I3057" s="160">
        <f>Sales[[#This Row],[Selling Rate]]*Sales[[#This Row],[Qty]]</f>
        <v>62220</v>
      </c>
      <c r="J3057" s="43">
        <v>0.02</v>
      </c>
      <c r="K3057" s="44">
        <f>Sales[[#This Row],[Gross Amount]]*Sales[[#This Row],[Disc %]]</f>
        <v>1244.4000000000001</v>
      </c>
      <c r="L3057" s="43">
        <v>0.18</v>
      </c>
      <c r="M3057" s="44">
        <f>(Sales[[#This Row],[Gross Amount]]-Sales[[#This Row],[Disc. Amt.]])*Sales[[#This Row],[GST %]]</f>
        <v>10975.608</v>
      </c>
      <c r="N3057" s="161">
        <f>Sales[[#This Row],[Gross Amount]]-Sales[[#This Row],[Disc. Amt.]]+Sales[[#This Row],[GST Amount]]</f>
        <v>71951.207999999999</v>
      </c>
      <c r="O3057" s="158" t="s">
        <v>3561</v>
      </c>
      <c r="P3057" s="158" t="s">
        <v>3562</v>
      </c>
      <c r="Q3057" s="160">
        <f>IF(Sales[[#This Row],[Status]]="Cancelled",0,Sales[[#This Row],[Qty]])</f>
        <v>6</v>
      </c>
      <c r="R3057" s="161">
        <f>IF(Sales[[#This Row],[Status]]="Cancelled",0,Sales[[#This Row],[Total Amount]])</f>
        <v>71951.207999999999</v>
      </c>
      <c r="S3057" s="162">
        <f>SUM(Sales[Net Amount])</f>
        <v>406839287.73200053</v>
      </c>
    </row>
    <row r="3058" spans="1:19" ht="18.75" x14ac:dyDescent="0.25">
      <c r="A3058" s="163" t="s">
        <v>6707</v>
      </c>
      <c r="B3058" s="164">
        <v>45931</v>
      </c>
      <c r="C3058" s="34" t="s">
        <v>853</v>
      </c>
      <c r="D3058" s="53" t="str">
        <f>VLOOKUP(Sales[[#This Row],[Customer ID]],Customer[#All],2,0)</f>
        <v>Amit Singh</v>
      </c>
      <c r="E3058" s="34" t="s">
        <v>357</v>
      </c>
      <c r="F3058" s="34" t="str">
        <f>VLOOKUP(Sales[[#This Row],[Product ID]],Product[#All],2,0)</f>
        <v>Samsung Ssd</v>
      </c>
      <c r="G3058" s="53">
        <v>8</v>
      </c>
      <c r="H3058" s="165">
        <f>VLOOKUP(Sales[[#This Row],[Product ID]],Product[#All],7,0)</f>
        <v>9070</v>
      </c>
      <c r="I3058" s="165">
        <f>Sales[[#This Row],[Selling Rate]]*Sales[[#This Row],[Qty]]</f>
        <v>72560</v>
      </c>
      <c r="J3058" s="45">
        <v>0</v>
      </c>
      <c r="K3058" s="46">
        <f>Sales[[#This Row],[Gross Amount]]*Sales[[#This Row],[Disc %]]</f>
        <v>0</v>
      </c>
      <c r="L3058" s="43">
        <v>0.18</v>
      </c>
      <c r="M3058" s="46">
        <f>(Sales[[#This Row],[Gross Amount]]-Sales[[#This Row],[Disc. Amt.]])*Sales[[#This Row],[GST %]]</f>
        <v>13060.8</v>
      </c>
      <c r="N3058" s="161">
        <f>Sales[[#This Row],[Gross Amount]]-Sales[[#This Row],[Disc. Amt.]]+Sales[[#This Row],[GST Amount]]</f>
        <v>85620.800000000003</v>
      </c>
      <c r="O3058" s="34" t="s">
        <v>3569</v>
      </c>
      <c r="P3058" s="34" t="s">
        <v>3562</v>
      </c>
      <c r="Q3058" s="165">
        <f>IF(Sales[[#This Row],[Status]]="Cancelled",0,Sales[[#This Row],[Qty]])</f>
        <v>8</v>
      </c>
      <c r="R3058" s="166">
        <f>IF(Sales[[#This Row],[Status]]="Cancelled",0,Sales[[#This Row],[Total Amount]])</f>
        <v>85620.800000000003</v>
      </c>
      <c r="S3058" s="162">
        <f>SUM(Sales[Net Amount])</f>
        <v>406839287.73200053</v>
      </c>
    </row>
    <row r="3059" spans="1:19" ht="18.75" x14ac:dyDescent="0.25">
      <c r="A3059" s="156" t="s">
        <v>6708</v>
      </c>
      <c r="B3059" s="157">
        <v>45931</v>
      </c>
      <c r="C3059" s="158" t="s">
        <v>791</v>
      </c>
      <c r="D3059" s="159" t="str">
        <f>VLOOKUP(Sales[[#This Row],[Customer ID]],Customer[#All],2,0)</f>
        <v>Rakesh Sharma</v>
      </c>
      <c r="E3059" s="158" t="s">
        <v>136</v>
      </c>
      <c r="F3059" s="158" t="str">
        <f>VLOOKUP(Sales[[#This Row],[Product ID]],Product[#All],2,0)</f>
        <v>HP Laptop</v>
      </c>
      <c r="G3059" s="159">
        <v>7</v>
      </c>
      <c r="H3059" s="160">
        <f>VLOOKUP(Sales[[#This Row],[Product ID]],Product[#All],7,0)</f>
        <v>33050</v>
      </c>
      <c r="I3059" s="160">
        <f>Sales[[#This Row],[Selling Rate]]*Sales[[#This Row],[Qty]]</f>
        <v>231350</v>
      </c>
      <c r="J3059" s="43">
        <v>0</v>
      </c>
      <c r="K3059" s="44">
        <f>Sales[[#This Row],[Gross Amount]]*Sales[[#This Row],[Disc %]]</f>
        <v>0</v>
      </c>
      <c r="L3059" s="43">
        <v>0.18</v>
      </c>
      <c r="M3059" s="44">
        <f>(Sales[[#This Row],[Gross Amount]]-Sales[[#This Row],[Disc. Amt.]])*Sales[[#This Row],[GST %]]</f>
        <v>41643</v>
      </c>
      <c r="N3059" s="161">
        <f>Sales[[#This Row],[Gross Amount]]-Sales[[#This Row],[Disc. Amt.]]+Sales[[#This Row],[GST Amount]]</f>
        <v>272993</v>
      </c>
      <c r="O3059" s="158" t="s">
        <v>8876</v>
      </c>
      <c r="P3059" s="158" t="s">
        <v>3562</v>
      </c>
      <c r="Q3059" s="160">
        <f>IF(Sales[[#This Row],[Status]]="Cancelled",0,Sales[[#This Row],[Qty]])</f>
        <v>7</v>
      </c>
      <c r="R3059" s="161">
        <f>IF(Sales[[#This Row],[Status]]="Cancelled",0,Sales[[#This Row],[Total Amount]])</f>
        <v>272993</v>
      </c>
      <c r="S3059" s="162">
        <f>SUM(Sales[Net Amount])</f>
        <v>406839287.73200053</v>
      </c>
    </row>
    <row r="3060" spans="1:19" ht="18.75" x14ac:dyDescent="0.25">
      <c r="A3060" s="163" t="s">
        <v>6709</v>
      </c>
      <c r="B3060" s="164">
        <v>45931</v>
      </c>
      <c r="C3060" s="34" t="s">
        <v>918</v>
      </c>
      <c r="D3060" s="53" t="str">
        <f>VLOOKUP(Sales[[#This Row],[Customer ID]],Customer[#All],2,0)</f>
        <v>Pooja Patel</v>
      </c>
      <c r="E3060" s="34" t="s">
        <v>36</v>
      </c>
      <c r="F3060" s="34" t="str">
        <f>VLOOKUP(Sales[[#This Row],[Product ID]],Product[#All],2,0)</f>
        <v>TP-link Wi-Fi Adapter</v>
      </c>
      <c r="G3060" s="53">
        <v>6</v>
      </c>
      <c r="H3060" s="165">
        <f>VLOOKUP(Sales[[#This Row],[Product ID]],Product[#All],7,0)</f>
        <v>2790</v>
      </c>
      <c r="I3060" s="165">
        <f>Sales[[#This Row],[Selling Rate]]*Sales[[#This Row],[Qty]]</f>
        <v>16740</v>
      </c>
      <c r="J3060" s="45">
        <v>0.15</v>
      </c>
      <c r="K3060" s="46">
        <f>Sales[[#This Row],[Gross Amount]]*Sales[[#This Row],[Disc %]]</f>
        <v>2511</v>
      </c>
      <c r="L3060" s="43">
        <v>0.18</v>
      </c>
      <c r="M3060" s="46">
        <f>(Sales[[#This Row],[Gross Amount]]-Sales[[#This Row],[Disc. Amt.]])*Sales[[#This Row],[GST %]]</f>
        <v>2561.2199999999998</v>
      </c>
      <c r="N3060" s="161">
        <f>Sales[[#This Row],[Gross Amount]]-Sales[[#This Row],[Disc. Amt.]]+Sales[[#This Row],[GST Amount]]</f>
        <v>16790.22</v>
      </c>
      <c r="O3060" s="34" t="s">
        <v>3566</v>
      </c>
      <c r="P3060" s="34" t="s">
        <v>3562</v>
      </c>
      <c r="Q3060" s="165">
        <f>IF(Sales[[#This Row],[Status]]="Cancelled",0,Sales[[#This Row],[Qty]])</f>
        <v>6</v>
      </c>
      <c r="R3060" s="166">
        <f>IF(Sales[[#This Row],[Status]]="Cancelled",0,Sales[[#This Row],[Total Amount]])</f>
        <v>16790.22</v>
      </c>
      <c r="S3060" s="162">
        <f>SUM(Sales[Net Amount])</f>
        <v>406839287.73200053</v>
      </c>
    </row>
    <row r="3061" spans="1:19" ht="18.75" x14ac:dyDescent="0.25">
      <c r="A3061" s="156" t="s">
        <v>6710</v>
      </c>
      <c r="B3061" s="157">
        <v>45931</v>
      </c>
      <c r="C3061" s="158" t="s">
        <v>884</v>
      </c>
      <c r="D3061" s="159" t="str">
        <f>VLOOKUP(Sales[[#This Row],[Customer ID]],Customer[#All],2,0)</f>
        <v>Sahil Patel</v>
      </c>
      <c r="E3061" s="158" t="s">
        <v>247</v>
      </c>
      <c r="F3061" s="158" t="str">
        <f>VLOOKUP(Sales[[#This Row],[Product ID]],Product[#All],2,0)</f>
        <v>Acer Laptop</v>
      </c>
      <c r="G3061" s="159">
        <v>6</v>
      </c>
      <c r="H3061" s="160">
        <f>VLOOKUP(Sales[[#This Row],[Product ID]],Product[#All],7,0)</f>
        <v>68460</v>
      </c>
      <c r="I3061" s="160">
        <f>Sales[[#This Row],[Selling Rate]]*Sales[[#This Row],[Qty]]</f>
        <v>410760</v>
      </c>
      <c r="J3061" s="43">
        <v>0</v>
      </c>
      <c r="K3061" s="44">
        <f>Sales[[#This Row],[Gross Amount]]*Sales[[#This Row],[Disc %]]</f>
        <v>0</v>
      </c>
      <c r="L3061" s="43">
        <v>0.18</v>
      </c>
      <c r="M3061" s="44">
        <f>(Sales[[#This Row],[Gross Amount]]-Sales[[#This Row],[Disc. Amt.]])*Sales[[#This Row],[GST %]]</f>
        <v>73936.800000000003</v>
      </c>
      <c r="N3061" s="161">
        <f>Sales[[#This Row],[Gross Amount]]-Sales[[#This Row],[Disc. Amt.]]+Sales[[#This Row],[GST Amount]]</f>
        <v>484696.8</v>
      </c>
      <c r="O3061" s="158" t="s">
        <v>3566</v>
      </c>
      <c r="P3061" s="158" t="s">
        <v>3562</v>
      </c>
      <c r="Q3061" s="160">
        <f>IF(Sales[[#This Row],[Status]]="Cancelled",0,Sales[[#This Row],[Qty]])</f>
        <v>6</v>
      </c>
      <c r="R3061" s="161">
        <f>IF(Sales[[#This Row],[Status]]="Cancelled",0,Sales[[#This Row],[Total Amount]])</f>
        <v>484696.8</v>
      </c>
      <c r="S3061" s="162">
        <f>SUM(Sales[Net Amount])</f>
        <v>406839287.73200053</v>
      </c>
    </row>
    <row r="3062" spans="1:19" ht="18.75" x14ac:dyDescent="0.25">
      <c r="A3062" s="163" t="s">
        <v>6711</v>
      </c>
      <c r="B3062" s="164">
        <v>45932</v>
      </c>
      <c r="C3062" s="34" t="s">
        <v>782</v>
      </c>
      <c r="D3062" s="53" t="str">
        <f>VLOOKUP(Sales[[#This Row],[Customer ID]],Customer[#All],2,0)</f>
        <v>Vikas Singh</v>
      </c>
      <c r="E3062" s="34" t="s">
        <v>367</v>
      </c>
      <c r="F3062" s="34" t="str">
        <f>VLOOKUP(Sales[[#This Row],[Product ID]],Product[#All],2,0)</f>
        <v>Jbl Speaker</v>
      </c>
      <c r="G3062" s="53">
        <v>6</v>
      </c>
      <c r="H3062" s="165">
        <f>VLOOKUP(Sales[[#This Row],[Product ID]],Product[#All],7,0)</f>
        <v>4880</v>
      </c>
      <c r="I3062" s="165">
        <f>Sales[[#This Row],[Selling Rate]]*Sales[[#This Row],[Qty]]</f>
        <v>29280</v>
      </c>
      <c r="J3062" s="45">
        <v>0.1</v>
      </c>
      <c r="K3062" s="46">
        <f>Sales[[#This Row],[Gross Amount]]*Sales[[#This Row],[Disc %]]</f>
        <v>2928</v>
      </c>
      <c r="L3062" s="43">
        <v>0.18</v>
      </c>
      <c r="M3062" s="46">
        <f>(Sales[[#This Row],[Gross Amount]]-Sales[[#This Row],[Disc. Amt.]])*Sales[[#This Row],[GST %]]</f>
        <v>4743.3599999999997</v>
      </c>
      <c r="N3062" s="161">
        <f>Sales[[#This Row],[Gross Amount]]-Sales[[#This Row],[Disc. Amt.]]+Sales[[#This Row],[GST Amount]]</f>
        <v>31095.360000000001</v>
      </c>
      <c r="O3062" s="34" t="s">
        <v>3561</v>
      </c>
      <c r="P3062" s="34" t="s">
        <v>3562</v>
      </c>
      <c r="Q3062" s="165">
        <f>IF(Sales[[#This Row],[Status]]="Cancelled",0,Sales[[#This Row],[Qty]])</f>
        <v>6</v>
      </c>
      <c r="R3062" s="166">
        <f>IF(Sales[[#This Row],[Status]]="Cancelled",0,Sales[[#This Row],[Total Amount]])</f>
        <v>31095.360000000001</v>
      </c>
      <c r="S3062" s="162">
        <f>SUM(Sales[Net Amount])</f>
        <v>406839287.73200053</v>
      </c>
    </row>
    <row r="3063" spans="1:19" ht="18.75" x14ac:dyDescent="0.25">
      <c r="A3063" s="156" t="s">
        <v>6712</v>
      </c>
      <c r="B3063" s="157">
        <v>45932</v>
      </c>
      <c r="C3063" s="158" t="s">
        <v>860</v>
      </c>
      <c r="D3063" s="159" t="str">
        <f>VLOOKUP(Sales[[#This Row],[Customer ID]],Customer[#All],2,0)</f>
        <v>Rakesh Verma</v>
      </c>
      <c r="E3063" s="158" t="s">
        <v>184</v>
      </c>
      <c r="F3063" s="158" t="str">
        <f>VLOOKUP(Sales[[#This Row],[Product ID]],Product[#All],2,0)</f>
        <v>Seagate HDD</v>
      </c>
      <c r="G3063" s="159">
        <v>3</v>
      </c>
      <c r="H3063" s="160">
        <f>VLOOKUP(Sales[[#This Row],[Product ID]],Product[#All],7,0)</f>
        <v>11550</v>
      </c>
      <c r="I3063" s="160">
        <f>Sales[[#This Row],[Selling Rate]]*Sales[[#This Row],[Qty]]</f>
        <v>34650</v>
      </c>
      <c r="J3063" s="43">
        <v>0</v>
      </c>
      <c r="K3063" s="44">
        <f>Sales[[#This Row],[Gross Amount]]*Sales[[#This Row],[Disc %]]</f>
        <v>0</v>
      </c>
      <c r="L3063" s="43">
        <v>0.18</v>
      </c>
      <c r="M3063" s="44">
        <f>(Sales[[#This Row],[Gross Amount]]-Sales[[#This Row],[Disc. Amt.]])*Sales[[#This Row],[GST %]]</f>
        <v>6237</v>
      </c>
      <c r="N3063" s="161">
        <f>Sales[[#This Row],[Gross Amount]]-Sales[[#This Row],[Disc. Amt.]]+Sales[[#This Row],[GST Amount]]</f>
        <v>40887</v>
      </c>
      <c r="O3063" s="158" t="s">
        <v>3561</v>
      </c>
      <c r="P3063" s="158" t="s">
        <v>3562</v>
      </c>
      <c r="Q3063" s="160">
        <f>IF(Sales[[#This Row],[Status]]="Cancelled",0,Sales[[#This Row],[Qty]])</f>
        <v>3</v>
      </c>
      <c r="R3063" s="161">
        <f>IF(Sales[[#This Row],[Status]]="Cancelled",0,Sales[[#This Row],[Total Amount]])</f>
        <v>40887</v>
      </c>
      <c r="S3063" s="162">
        <f>SUM(Sales[Net Amount])</f>
        <v>406839287.73200053</v>
      </c>
    </row>
    <row r="3064" spans="1:19" ht="18.75" x14ac:dyDescent="0.25">
      <c r="A3064" s="163" t="s">
        <v>6713</v>
      </c>
      <c r="B3064" s="164">
        <v>45932</v>
      </c>
      <c r="C3064" s="34" t="s">
        <v>822</v>
      </c>
      <c r="D3064" s="53" t="str">
        <f>VLOOKUP(Sales[[#This Row],[Customer ID]],Customer[#All],2,0)</f>
        <v>Vikas Singh</v>
      </c>
      <c r="E3064" s="34" t="s">
        <v>373</v>
      </c>
      <c r="F3064" s="34" t="str">
        <f>VLOOKUP(Sales[[#This Row],[Product ID]],Product[#All],2,0)</f>
        <v>Epson Printer</v>
      </c>
      <c r="G3064" s="53">
        <v>2</v>
      </c>
      <c r="H3064" s="165">
        <f>VLOOKUP(Sales[[#This Row],[Product ID]],Product[#All],7,0)</f>
        <v>9710</v>
      </c>
      <c r="I3064" s="165">
        <f>Sales[[#This Row],[Selling Rate]]*Sales[[#This Row],[Qty]]</f>
        <v>19420</v>
      </c>
      <c r="J3064" s="45">
        <v>0.1</v>
      </c>
      <c r="K3064" s="46">
        <f>Sales[[#This Row],[Gross Amount]]*Sales[[#This Row],[Disc %]]</f>
        <v>1942</v>
      </c>
      <c r="L3064" s="43">
        <v>0.18</v>
      </c>
      <c r="M3064" s="46">
        <f>(Sales[[#This Row],[Gross Amount]]-Sales[[#This Row],[Disc. Amt.]])*Sales[[#This Row],[GST %]]</f>
        <v>3146.04</v>
      </c>
      <c r="N3064" s="161">
        <f>Sales[[#This Row],[Gross Amount]]-Sales[[#This Row],[Disc. Amt.]]+Sales[[#This Row],[GST Amount]]</f>
        <v>20624.04</v>
      </c>
      <c r="O3064" s="34" t="s">
        <v>8876</v>
      </c>
      <c r="P3064" s="34" t="s">
        <v>3562</v>
      </c>
      <c r="Q3064" s="165">
        <f>IF(Sales[[#This Row],[Status]]="Cancelled",0,Sales[[#This Row],[Qty]])</f>
        <v>2</v>
      </c>
      <c r="R3064" s="166">
        <f>IF(Sales[[#This Row],[Status]]="Cancelled",0,Sales[[#This Row],[Total Amount]])</f>
        <v>20624.04</v>
      </c>
      <c r="S3064" s="162">
        <f>SUM(Sales[Net Amount])</f>
        <v>406839287.73200053</v>
      </c>
    </row>
    <row r="3065" spans="1:19" ht="18.75" x14ac:dyDescent="0.25">
      <c r="A3065" s="156" t="s">
        <v>6714</v>
      </c>
      <c r="B3065" s="157">
        <v>45932</v>
      </c>
      <c r="C3065" s="158" t="s">
        <v>706</v>
      </c>
      <c r="D3065" s="159" t="str">
        <f>VLOOKUP(Sales[[#This Row],[Customer ID]],Customer[#All],2,0)</f>
        <v>Amit Sharma</v>
      </c>
      <c r="E3065" s="158" t="s">
        <v>48</v>
      </c>
      <c r="F3065" s="158" t="str">
        <f>VLOOKUP(Sales[[#This Row],[Product ID]],Product[#All],2,0)</f>
        <v>Jbl Headset</v>
      </c>
      <c r="G3065" s="159">
        <v>3</v>
      </c>
      <c r="H3065" s="160">
        <f>VLOOKUP(Sales[[#This Row],[Product ID]],Product[#All],7,0)</f>
        <v>4610</v>
      </c>
      <c r="I3065" s="160">
        <f>Sales[[#This Row],[Selling Rate]]*Sales[[#This Row],[Qty]]</f>
        <v>13830</v>
      </c>
      <c r="J3065" s="43">
        <v>0.02</v>
      </c>
      <c r="K3065" s="44">
        <f>Sales[[#This Row],[Gross Amount]]*Sales[[#This Row],[Disc %]]</f>
        <v>276.60000000000002</v>
      </c>
      <c r="L3065" s="43">
        <v>0.18</v>
      </c>
      <c r="M3065" s="44">
        <f>(Sales[[#This Row],[Gross Amount]]-Sales[[#This Row],[Disc. Amt.]])*Sales[[#This Row],[GST %]]</f>
        <v>2439.6119999999996</v>
      </c>
      <c r="N3065" s="161">
        <f>Sales[[#This Row],[Gross Amount]]-Sales[[#This Row],[Disc. Amt.]]+Sales[[#This Row],[GST Amount]]</f>
        <v>15993.011999999999</v>
      </c>
      <c r="O3065" s="158" t="s">
        <v>3566</v>
      </c>
      <c r="P3065" s="158" t="s">
        <v>3562</v>
      </c>
      <c r="Q3065" s="160">
        <f>IF(Sales[[#This Row],[Status]]="Cancelled",0,Sales[[#This Row],[Qty]])</f>
        <v>3</v>
      </c>
      <c r="R3065" s="161">
        <f>IF(Sales[[#This Row],[Status]]="Cancelled",0,Sales[[#This Row],[Total Amount]])</f>
        <v>15993.011999999999</v>
      </c>
      <c r="S3065" s="162">
        <f>SUM(Sales[Net Amount])</f>
        <v>406839287.73200053</v>
      </c>
    </row>
    <row r="3066" spans="1:19" ht="18.75" x14ac:dyDescent="0.25">
      <c r="A3066" s="163" t="s">
        <v>6715</v>
      </c>
      <c r="B3066" s="164">
        <v>45932</v>
      </c>
      <c r="C3066" s="34" t="s">
        <v>655</v>
      </c>
      <c r="D3066" s="53" t="str">
        <f>VLOOKUP(Sales[[#This Row],[Customer ID]],Customer[#All],2,0)</f>
        <v>Pooja Singh</v>
      </c>
      <c r="E3066" s="34" t="s">
        <v>170</v>
      </c>
      <c r="F3066" s="34" t="str">
        <f>VLOOKUP(Sales[[#This Row],[Product ID]],Product[#All],2,0)</f>
        <v>Lenovo Laptop</v>
      </c>
      <c r="G3066" s="53">
        <v>5</v>
      </c>
      <c r="H3066" s="165">
        <f>VLOOKUP(Sales[[#This Row],[Product ID]],Product[#All],7,0)</f>
        <v>29710</v>
      </c>
      <c r="I3066" s="165">
        <f>Sales[[#This Row],[Selling Rate]]*Sales[[#This Row],[Qty]]</f>
        <v>148550</v>
      </c>
      <c r="J3066" s="45">
        <v>0.05</v>
      </c>
      <c r="K3066" s="46">
        <f>Sales[[#This Row],[Gross Amount]]*Sales[[#This Row],[Disc %]]</f>
        <v>7427.5</v>
      </c>
      <c r="L3066" s="43">
        <v>0.18</v>
      </c>
      <c r="M3066" s="46">
        <f>(Sales[[#This Row],[Gross Amount]]-Sales[[#This Row],[Disc. Amt.]])*Sales[[#This Row],[GST %]]</f>
        <v>25402.05</v>
      </c>
      <c r="N3066" s="161">
        <f>Sales[[#This Row],[Gross Amount]]-Sales[[#This Row],[Disc. Amt.]]+Sales[[#This Row],[GST Amount]]</f>
        <v>166524.54999999999</v>
      </c>
      <c r="O3066" s="34" t="s">
        <v>8876</v>
      </c>
      <c r="P3066" s="34" t="s">
        <v>3562</v>
      </c>
      <c r="Q3066" s="165">
        <f>IF(Sales[[#This Row],[Status]]="Cancelled",0,Sales[[#This Row],[Qty]])</f>
        <v>5</v>
      </c>
      <c r="R3066" s="166">
        <f>IF(Sales[[#This Row],[Status]]="Cancelled",0,Sales[[#This Row],[Total Amount]])</f>
        <v>166524.54999999999</v>
      </c>
      <c r="S3066" s="162">
        <f>SUM(Sales[Net Amount])</f>
        <v>406839287.73200053</v>
      </c>
    </row>
    <row r="3067" spans="1:19" ht="18.75" x14ac:dyDescent="0.25">
      <c r="A3067" s="156" t="s">
        <v>6716</v>
      </c>
      <c r="B3067" s="157">
        <v>45932</v>
      </c>
      <c r="C3067" s="158" t="s">
        <v>951</v>
      </c>
      <c r="D3067" s="159" t="str">
        <f>VLOOKUP(Sales[[#This Row],[Customer ID]],Customer[#All],2,0)</f>
        <v>Rahul Singh</v>
      </c>
      <c r="E3067" s="158" t="s">
        <v>454</v>
      </c>
      <c r="F3067" s="158" t="str">
        <f>VLOOKUP(Sales[[#This Row],[Product ID]],Product[#All],2,0)</f>
        <v>Dell Monitor</v>
      </c>
      <c r="G3067" s="159">
        <v>3</v>
      </c>
      <c r="H3067" s="160">
        <f>VLOOKUP(Sales[[#This Row],[Product ID]],Product[#All],7,0)</f>
        <v>16760</v>
      </c>
      <c r="I3067" s="160">
        <f>Sales[[#This Row],[Selling Rate]]*Sales[[#This Row],[Qty]]</f>
        <v>50280</v>
      </c>
      <c r="J3067" s="43">
        <v>0.12</v>
      </c>
      <c r="K3067" s="44">
        <f>Sales[[#This Row],[Gross Amount]]*Sales[[#This Row],[Disc %]]</f>
        <v>6033.5999999999995</v>
      </c>
      <c r="L3067" s="43">
        <v>0.18</v>
      </c>
      <c r="M3067" s="44">
        <f>(Sales[[#This Row],[Gross Amount]]-Sales[[#This Row],[Disc. Amt.]])*Sales[[#This Row],[GST %]]</f>
        <v>7964.3519999999999</v>
      </c>
      <c r="N3067" s="161">
        <f>Sales[[#This Row],[Gross Amount]]-Sales[[#This Row],[Disc. Amt.]]+Sales[[#This Row],[GST Amount]]</f>
        <v>52210.752</v>
      </c>
      <c r="O3067" s="158" t="s">
        <v>3569</v>
      </c>
      <c r="P3067" s="158" t="s">
        <v>3562</v>
      </c>
      <c r="Q3067" s="160">
        <f>IF(Sales[[#This Row],[Status]]="Cancelled",0,Sales[[#This Row],[Qty]])</f>
        <v>3</v>
      </c>
      <c r="R3067" s="161">
        <f>IF(Sales[[#This Row],[Status]]="Cancelled",0,Sales[[#This Row],[Total Amount]])</f>
        <v>52210.752</v>
      </c>
      <c r="S3067" s="162">
        <f>SUM(Sales[Net Amount])</f>
        <v>406839287.73200053</v>
      </c>
    </row>
    <row r="3068" spans="1:19" ht="18.75" x14ac:dyDescent="0.25">
      <c r="A3068" s="163" t="s">
        <v>6717</v>
      </c>
      <c r="B3068" s="164">
        <v>45932</v>
      </c>
      <c r="C3068" s="34" t="s">
        <v>925</v>
      </c>
      <c r="D3068" s="53" t="str">
        <f>VLOOKUP(Sales[[#This Row],[Customer ID]],Customer[#All],2,0)</f>
        <v>Neha Singh</v>
      </c>
      <c r="E3068" s="34" t="s">
        <v>448</v>
      </c>
      <c r="F3068" s="34" t="str">
        <f>VLOOKUP(Sales[[#This Row],[Product ID]],Product[#All],2,0)</f>
        <v>Crucial Ssd</v>
      </c>
      <c r="G3068" s="53">
        <v>5</v>
      </c>
      <c r="H3068" s="165">
        <f>VLOOKUP(Sales[[#This Row],[Product ID]],Product[#All],7,0)</f>
        <v>7930</v>
      </c>
      <c r="I3068" s="165">
        <f>Sales[[#This Row],[Selling Rate]]*Sales[[#This Row],[Qty]]</f>
        <v>39650</v>
      </c>
      <c r="J3068" s="45">
        <v>0.15</v>
      </c>
      <c r="K3068" s="46">
        <f>Sales[[#This Row],[Gross Amount]]*Sales[[#This Row],[Disc %]]</f>
        <v>5947.5</v>
      </c>
      <c r="L3068" s="43">
        <v>0.18</v>
      </c>
      <c r="M3068" s="46">
        <f>(Sales[[#This Row],[Gross Amount]]-Sales[[#This Row],[Disc. Amt.]])*Sales[[#This Row],[GST %]]</f>
        <v>6066.45</v>
      </c>
      <c r="N3068" s="161">
        <f>Sales[[#This Row],[Gross Amount]]-Sales[[#This Row],[Disc. Amt.]]+Sales[[#This Row],[GST Amount]]</f>
        <v>39768.949999999997</v>
      </c>
      <c r="O3068" s="34" t="s">
        <v>3566</v>
      </c>
      <c r="P3068" s="34" t="s">
        <v>3562</v>
      </c>
      <c r="Q3068" s="165">
        <f>IF(Sales[[#This Row],[Status]]="Cancelled",0,Sales[[#This Row],[Qty]])</f>
        <v>5</v>
      </c>
      <c r="R3068" s="166">
        <f>IF(Sales[[#This Row],[Status]]="Cancelled",0,Sales[[#This Row],[Total Amount]])</f>
        <v>39768.949999999997</v>
      </c>
      <c r="S3068" s="162">
        <f>SUM(Sales[Net Amount])</f>
        <v>406839287.73200053</v>
      </c>
    </row>
    <row r="3069" spans="1:19" ht="18.75" x14ac:dyDescent="0.25">
      <c r="A3069" s="156" t="s">
        <v>6718</v>
      </c>
      <c r="B3069" s="157">
        <v>45932</v>
      </c>
      <c r="C3069" s="158" t="s">
        <v>815</v>
      </c>
      <c r="D3069" s="159" t="str">
        <f>VLOOKUP(Sales[[#This Row],[Customer ID]],Customer[#All],2,0)</f>
        <v>Priya Gupta</v>
      </c>
      <c r="E3069" s="158" t="s">
        <v>153</v>
      </c>
      <c r="F3069" s="158" t="str">
        <f>VLOOKUP(Sales[[#This Row],[Product ID]],Product[#All],2,0)</f>
        <v>HP Mouse</v>
      </c>
      <c r="G3069" s="159">
        <v>1</v>
      </c>
      <c r="H3069" s="160">
        <f>VLOOKUP(Sales[[#This Row],[Product ID]],Product[#All],7,0)</f>
        <v>1070</v>
      </c>
      <c r="I3069" s="160">
        <f>Sales[[#This Row],[Selling Rate]]*Sales[[#This Row],[Qty]]</f>
        <v>1070</v>
      </c>
      <c r="J3069" s="43">
        <v>0.15</v>
      </c>
      <c r="K3069" s="44">
        <f>Sales[[#This Row],[Gross Amount]]*Sales[[#This Row],[Disc %]]</f>
        <v>160.5</v>
      </c>
      <c r="L3069" s="43">
        <v>0.18</v>
      </c>
      <c r="M3069" s="44">
        <f>(Sales[[#This Row],[Gross Amount]]-Sales[[#This Row],[Disc. Amt.]])*Sales[[#This Row],[GST %]]</f>
        <v>163.71</v>
      </c>
      <c r="N3069" s="161">
        <f>Sales[[#This Row],[Gross Amount]]-Sales[[#This Row],[Disc. Amt.]]+Sales[[#This Row],[GST Amount]]</f>
        <v>1073.21</v>
      </c>
      <c r="O3069" s="158" t="s">
        <v>3561</v>
      </c>
      <c r="P3069" s="158" t="s">
        <v>3562</v>
      </c>
      <c r="Q3069" s="160">
        <f>IF(Sales[[#This Row],[Status]]="Cancelled",0,Sales[[#This Row],[Qty]])</f>
        <v>1</v>
      </c>
      <c r="R3069" s="161">
        <f>IF(Sales[[#This Row],[Status]]="Cancelled",0,Sales[[#This Row],[Total Amount]])</f>
        <v>1073.21</v>
      </c>
      <c r="S3069" s="162">
        <f>SUM(Sales[Net Amount])</f>
        <v>406839287.73200053</v>
      </c>
    </row>
    <row r="3070" spans="1:19" ht="18.75" x14ac:dyDescent="0.25">
      <c r="A3070" s="163" t="s">
        <v>6719</v>
      </c>
      <c r="B3070" s="164">
        <v>45932</v>
      </c>
      <c r="C3070" s="34" t="s">
        <v>789</v>
      </c>
      <c r="D3070" s="53" t="str">
        <f>VLOOKUP(Sales[[#This Row],[Customer ID]],Customer[#All],2,0)</f>
        <v>Ankit Patel</v>
      </c>
      <c r="E3070" s="34" t="s">
        <v>492</v>
      </c>
      <c r="F3070" s="34" t="str">
        <f>VLOOKUP(Sales[[#This Row],[Product ID]],Product[#All],2,0)</f>
        <v>Microtek UPS</v>
      </c>
      <c r="G3070" s="53">
        <v>7</v>
      </c>
      <c r="H3070" s="165">
        <f>VLOOKUP(Sales[[#This Row],[Product ID]],Product[#All],7,0)</f>
        <v>13470</v>
      </c>
      <c r="I3070" s="165">
        <f>Sales[[#This Row],[Selling Rate]]*Sales[[#This Row],[Qty]]</f>
        <v>94290</v>
      </c>
      <c r="J3070" s="45">
        <v>0.12</v>
      </c>
      <c r="K3070" s="46">
        <f>Sales[[#This Row],[Gross Amount]]*Sales[[#This Row],[Disc %]]</f>
        <v>11314.8</v>
      </c>
      <c r="L3070" s="43">
        <v>0.18</v>
      </c>
      <c r="M3070" s="46">
        <f>(Sales[[#This Row],[Gross Amount]]-Sales[[#This Row],[Disc. Amt.]])*Sales[[#This Row],[GST %]]</f>
        <v>14935.535999999998</v>
      </c>
      <c r="N3070" s="161">
        <f>Sales[[#This Row],[Gross Amount]]-Sales[[#This Row],[Disc. Amt.]]+Sales[[#This Row],[GST Amount]]</f>
        <v>97910.73599999999</v>
      </c>
      <c r="O3070" s="34" t="s">
        <v>8876</v>
      </c>
      <c r="P3070" s="34" t="s">
        <v>3562</v>
      </c>
      <c r="Q3070" s="165">
        <f>IF(Sales[[#This Row],[Status]]="Cancelled",0,Sales[[#This Row],[Qty]])</f>
        <v>7</v>
      </c>
      <c r="R3070" s="166">
        <f>IF(Sales[[#This Row],[Status]]="Cancelled",0,Sales[[#This Row],[Total Amount]])</f>
        <v>97910.73599999999</v>
      </c>
      <c r="S3070" s="162">
        <f>SUM(Sales[Net Amount])</f>
        <v>406839287.73200053</v>
      </c>
    </row>
    <row r="3071" spans="1:19" ht="18.75" x14ac:dyDescent="0.25">
      <c r="A3071" s="156" t="s">
        <v>6720</v>
      </c>
      <c r="B3071" s="157">
        <v>45932</v>
      </c>
      <c r="C3071" s="158" t="s">
        <v>915</v>
      </c>
      <c r="D3071" s="159" t="str">
        <f>VLOOKUP(Sales[[#This Row],[Customer ID]],Customer[#All],2,0)</f>
        <v>Sunita Kumar</v>
      </c>
      <c r="E3071" s="158" t="s">
        <v>202</v>
      </c>
      <c r="F3071" s="158" t="str">
        <f>VLOOKUP(Sales[[#This Row],[Product ID]],Product[#All],2,0)</f>
        <v>TP-link Wi-Fi Adapter</v>
      </c>
      <c r="G3071" s="159">
        <v>2</v>
      </c>
      <c r="H3071" s="160">
        <f>VLOOKUP(Sales[[#This Row],[Product ID]],Product[#All],7,0)</f>
        <v>1330</v>
      </c>
      <c r="I3071" s="160">
        <f>Sales[[#This Row],[Selling Rate]]*Sales[[#This Row],[Qty]]</f>
        <v>2660</v>
      </c>
      <c r="J3071" s="43">
        <v>0</v>
      </c>
      <c r="K3071" s="44">
        <f>Sales[[#This Row],[Gross Amount]]*Sales[[#This Row],[Disc %]]</f>
        <v>0</v>
      </c>
      <c r="L3071" s="43">
        <v>0.18</v>
      </c>
      <c r="M3071" s="44">
        <f>(Sales[[#This Row],[Gross Amount]]-Sales[[#This Row],[Disc. Amt.]])*Sales[[#This Row],[GST %]]</f>
        <v>478.79999999999995</v>
      </c>
      <c r="N3071" s="161">
        <f>Sales[[#This Row],[Gross Amount]]-Sales[[#This Row],[Disc. Amt.]]+Sales[[#This Row],[GST Amount]]</f>
        <v>3138.8</v>
      </c>
      <c r="O3071" s="158" t="s">
        <v>8876</v>
      </c>
      <c r="P3071" s="158" t="s">
        <v>3562</v>
      </c>
      <c r="Q3071" s="160">
        <f>IF(Sales[[#This Row],[Status]]="Cancelled",0,Sales[[#This Row],[Qty]])</f>
        <v>2</v>
      </c>
      <c r="R3071" s="161">
        <f>IF(Sales[[#This Row],[Status]]="Cancelled",0,Sales[[#This Row],[Total Amount]])</f>
        <v>3138.8</v>
      </c>
      <c r="S3071" s="162">
        <f>SUM(Sales[Net Amount])</f>
        <v>406839287.73200053</v>
      </c>
    </row>
    <row r="3072" spans="1:19" ht="18.75" x14ac:dyDescent="0.25">
      <c r="A3072" s="163" t="s">
        <v>6721</v>
      </c>
      <c r="B3072" s="164">
        <v>45932</v>
      </c>
      <c r="C3072" s="34" t="s">
        <v>661</v>
      </c>
      <c r="D3072" s="53" t="str">
        <f>VLOOKUP(Sales[[#This Row],[Customer ID]],Customer[#All],2,0)</f>
        <v>Pooja Gupta</v>
      </c>
      <c r="E3072" s="34" t="s">
        <v>200</v>
      </c>
      <c r="F3072" s="34" t="str">
        <f>VLOOKUP(Sales[[#This Row],[Product ID]],Product[#All],2,0)</f>
        <v>Logitech Webcam</v>
      </c>
      <c r="G3072" s="53">
        <v>3</v>
      </c>
      <c r="H3072" s="165">
        <f>VLOOKUP(Sales[[#This Row],[Product ID]],Product[#All],7,0)</f>
        <v>5040</v>
      </c>
      <c r="I3072" s="165">
        <f>Sales[[#This Row],[Selling Rate]]*Sales[[#This Row],[Qty]]</f>
        <v>15120</v>
      </c>
      <c r="J3072" s="45">
        <v>0.12</v>
      </c>
      <c r="K3072" s="46">
        <f>Sales[[#This Row],[Gross Amount]]*Sales[[#This Row],[Disc %]]</f>
        <v>1814.3999999999999</v>
      </c>
      <c r="L3072" s="43">
        <v>0.18</v>
      </c>
      <c r="M3072" s="46">
        <f>(Sales[[#This Row],[Gross Amount]]-Sales[[#This Row],[Disc. Amt.]])*Sales[[#This Row],[GST %]]</f>
        <v>2395.0079999999998</v>
      </c>
      <c r="N3072" s="161">
        <f>Sales[[#This Row],[Gross Amount]]-Sales[[#This Row],[Disc. Amt.]]+Sales[[#This Row],[GST Amount]]</f>
        <v>15700.608</v>
      </c>
      <c r="O3072" s="34" t="s">
        <v>3566</v>
      </c>
      <c r="P3072" s="34" t="s">
        <v>3562</v>
      </c>
      <c r="Q3072" s="165">
        <f>IF(Sales[[#This Row],[Status]]="Cancelled",0,Sales[[#This Row],[Qty]])</f>
        <v>3</v>
      </c>
      <c r="R3072" s="166">
        <f>IF(Sales[[#This Row],[Status]]="Cancelled",0,Sales[[#This Row],[Total Amount]])</f>
        <v>15700.608</v>
      </c>
      <c r="S3072" s="162">
        <f>SUM(Sales[Net Amount])</f>
        <v>406839287.73200053</v>
      </c>
    </row>
    <row r="3073" spans="1:19" ht="18.75" x14ac:dyDescent="0.25">
      <c r="A3073" s="156" t="s">
        <v>6722</v>
      </c>
      <c r="B3073" s="157">
        <v>45932</v>
      </c>
      <c r="C3073" s="158" t="s">
        <v>804</v>
      </c>
      <c r="D3073" s="159" t="str">
        <f>VLOOKUP(Sales[[#This Row],[Customer ID]],Customer[#All],2,0)</f>
        <v>Amit Gupta</v>
      </c>
      <c r="E3073" s="158" t="s">
        <v>377</v>
      </c>
      <c r="F3073" s="158" t="str">
        <f>VLOOKUP(Sales[[#This Row],[Product ID]],Product[#All],2,0)</f>
        <v>Acer Laptop</v>
      </c>
      <c r="G3073" s="159">
        <v>8</v>
      </c>
      <c r="H3073" s="160">
        <f>VLOOKUP(Sales[[#This Row],[Product ID]],Product[#All],7,0)</f>
        <v>68710</v>
      </c>
      <c r="I3073" s="160">
        <f>Sales[[#This Row],[Selling Rate]]*Sales[[#This Row],[Qty]]</f>
        <v>549680</v>
      </c>
      <c r="J3073" s="43">
        <v>0</v>
      </c>
      <c r="K3073" s="44">
        <f>Sales[[#This Row],[Gross Amount]]*Sales[[#This Row],[Disc %]]</f>
        <v>0</v>
      </c>
      <c r="L3073" s="43">
        <v>0.18</v>
      </c>
      <c r="M3073" s="44">
        <f>(Sales[[#This Row],[Gross Amount]]-Sales[[#This Row],[Disc. Amt.]])*Sales[[#This Row],[GST %]]</f>
        <v>98942.399999999994</v>
      </c>
      <c r="N3073" s="161">
        <f>Sales[[#This Row],[Gross Amount]]-Sales[[#This Row],[Disc. Amt.]]+Sales[[#This Row],[GST Amount]]</f>
        <v>648622.4</v>
      </c>
      <c r="O3073" s="158" t="s">
        <v>3569</v>
      </c>
      <c r="P3073" s="158" t="s">
        <v>3562</v>
      </c>
      <c r="Q3073" s="160">
        <f>IF(Sales[[#This Row],[Status]]="Cancelled",0,Sales[[#This Row],[Qty]])</f>
        <v>8</v>
      </c>
      <c r="R3073" s="161">
        <f>IF(Sales[[#This Row],[Status]]="Cancelled",0,Sales[[#This Row],[Total Amount]])</f>
        <v>648622.4</v>
      </c>
      <c r="S3073" s="162">
        <f>SUM(Sales[Net Amount])</f>
        <v>406839287.73200053</v>
      </c>
    </row>
    <row r="3074" spans="1:19" ht="18.75" x14ac:dyDescent="0.25">
      <c r="A3074" s="163" t="s">
        <v>6723</v>
      </c>
      <c r="B3074" s="164">
        <v>45932</v>
      </c>
      <c r="C3074" s="34" t="s">
        <v>840</v>
      </c>
      <c r="D3074" s="53" t="str">
        <f>VLOOKUP(Sales[[#This Row],[Customer ID]],Customer[#All],2,0)</f>
        <v>Rakesh Verma</v>
      </c>
      <c r="E3074" s="34" t="s">
        <v>400</v>
      </c>
      <c r="F3074" s="34" t="str">
        <f>VLOOKUP(Sales[[#This Row],[Product ID]],Product[#All],2,0)</f>
        <v>TP-link Bluetooth Adapter</v>
      </c>
      <c r="G3074" s="53">
        <v>6</v>
      </c>
      <c r="H3074" s="165">
        <f>VLOOKUP(Sales[[#This Row],[Product ID]],Product[#All],7,0)</f>
        <v>1320</v>
      </c>
      <c r="I3074" s="165">
        <f>Sales[[#This Row],[Selling Rate]]*Sales[[#This Row],[Qty]]</f>
        <v>7920</v>
      </c>
      <c r="J3074" s="45">
        <v>0.15</v>
      </c>
      <c r="K3074" s="46">
        <f>Sales[[#This Row],[Gross Amount]]*Sales[[#This Row],[Disc %]]</f>
        <v>1188</v>
      </c>
      <c r="L3074" s="43">
        <v>0.18</v>
      </c>
      <c r="M3074" s="46">
        <f>(Sales[[#This Row],[Gross Amount]]-Sales[[#This Row],[Disc. Amt.]])*Sales[[#This Row],[GST %]]</f>
        <v>1211.76</v>
      </c>
      <c r="N3074" s="161">
        <f>Sales[[#This Row],[Gross Amount]]-Sales[[#This Row],[Disc. Amt.]]+Sales[[#This Row],[GST Amount]]</f>
        <v>7943.76</v>
      </c>
      <c r="O3074" s="34" t="s">
        <v>3569</v>
      </c>
      <c r="P3074" s="34" t="s">
        <v>1040</v>
      </c>
      <c r="Q3074" s="165">
        <f>IF(Sales[[#This Row],[Status]]="Cancelled",0,Sales[[#This Row],[Qty]])</f>
        <v>0</v>
      </c>
      <c r="R3074" s="166">
        <f>IF(Sales[[#This Row],[Status]]="Cancelled",0,Sales[[#This Row],[Total Amount]])</f>
        <v>0</v>
      </c>
      <c r="S3074" s="162">
        <f>SUM(Sales[Net Amount])</f>
        <v>406839287.73200053</v>
      </c>
    </row>
    <row r="3075" spans="1:19" ht="18.75" x14ac:dyDescent="0.25">
      <c r="A3075" s="156" t="s">
        <v>6724</v>
      </c>
      <c r="B3075" s="157">
        <v>45932</v>
      </c>
      <c r="C3075" s="158" t="s">
        <v>952</v>
      </c>
      <c r="D3075" s="159" t="str">
        <f>VLOOKUP(Sales[[#This Row],[Customer ID]],Customer[#All],2,0)</f>
        <v>Pooja Singh</v>
      </c>
      <c r="E3075" s="158" t="s">
        <v>421</v>
      </c>
      <c r="F3075" s="158" t="str">
        <f>VLOOKUP(Sales[[#This Row],[Product ID]],Product[#All],2,0)</f>
        <v>Portronics USB Cable</v>
      </c>
      <c r="G3075" s="159">
        <v>3</v>
      </c>
      <c r="H3075" s="160">
        <f>VLOOKUP(Sales[[#This Row],[Product ID]],Product[#All],7,0)</f>
        <v>270</v>
      </c>
      <c r="I3075" s="160">
        <f>Sales[[#This Row],[Selling Rate]]*Sales[[#This Row],[Qty]]</f>
        <v>810</v>
      </c>
      <c r="J3075" s="43">
        <v>0.02</v>
      </c>
      <c r="K3075" s="44">
        <f>Sales[[#This Row],[Gross Amount]]*Sales[[#This Row],[Disc %]]</f>
        <v>16.2</v>
      </c>
      <c r="L3075" s="43">
        <v>0.18</v>
      </c>
      <c r="M3075" s="44">
        <f>(Sales[[#This Row],[Gross Amount]]-Sales[[#This Row],[Disc. Amt.]])*Sales[[#This Row],[GST %]]</f>
        <v>142.88399999999999</v>
      </c>
      <c r="N3075" s="161">
        <f>Sales[[#This Row],[Gross Amount]]-Sales[[#This Row],[Disc. Amt.]]+Sales[[#This Row],[GST Amount]]</f>
        <v>936.68399999999997</v>
      </c>
      <c r="O3075" s="158" t="s">
        <v>8876</v>
      </c>
      <c r="P3075" s="158" t="s">
        <v>3562</v>
      </c>
      <c r="Q3075" s="160">
        <f>IF(Sales[[#This Row],[Status]]="Cancelled",0,Sales[[#This Row],[Qty]])</f>
        <v>3</v>
      </c>
      <c r="R3075" s="161">
        <f>IF(Sales[[#This Row],[Status]]="Cancelled",0,Sales[[#This Row],[Total Amount]])</f>
        <v>936.68399999999997</v>
      </c>
      <c r="S3075" s="162">
        <f>SUM(Sales[Net Amount])</f>
        <v>406839287.73200053</v>
      </c>
    </row>
    <row r="3076" spans="1:19" ht="18.75" x14ac:dyDescent="0.25">
      <c r="A3076" s="163" t="s">
        <v>6725</v>
      </c>
      <c r="B3076" s="164">
        <v>45932</v>
      </c>
      <c r="C3076" s="34" t="s">
        <v>738</v>
      </c>
      <c r="D3076" s="53" t="str">
        <f>VLOOKUP(Sales[[#This Row],[Customer ID]],Customer[#All],2,0)</f>
        <v>Pooja Patel</v>
      </c>
      <c r="E3076" s="34" t="s">
        <v>453</v>
      </c>
      <c r="F3076" s="34" t="str">
        <f>VLOOKUP(Sales[[#This Row],[Product ID]],Product[#All],2,0)</f>
        <v>American TouristerLaptopBag</v>
      </c>
      <c r="G3076" s="53">
        <v>4</v>
      </c>
      <c r="H3076" s="165">
        <f>VLOOKUP(Sales[[#This Row],[Product ID]],Product[#All],7,0)</f>
        <v>3050</v>
      </c>
      <c r="I3076" s="165">
        <f>Sales[[#This Row],[Selling Rate]]*Sales[[#This Row],[Qty]]</f>
        <v>12200</v>
      </c>
      <c r="J3076" s="45">
        <v>0.05</v>
      </c>
      <c r="K3076" s="46">
        <f>Sales[[#This Row],[Gross Amount]]*Sales[[#This Row],[Disc %]]</f>
        <v>610</v>
      </c>
      <c r="L3076" s="43">
        <v>0.18</v>
      </c>
      <c r="M3076" s="46">
        <f>(Sales[[#This Row],[Gross Amount]]-Sales[[#This Row],[Disc. Amt.]])*Sales[[#This Row],[GST %]]</f>
        <v>2086.1999999999998</v>
      </c>
      <c r="N3076" s="161">
        <f>Sales[[#This Row],[Gross Amount]]-Sales[[#This Row],[Disc. Amt.]]+Sales[[#This Row],[GST Amount]]</f>
        <v>13676.2</v>
      </c>
      <c r="O3076" s="34" t="s">
        <v>8876</v>
      </c>
      <c r="P3076" s="34" t="s">
        <v>3562</v>
      </c>
      <c r="Q3076" s="165">
        <f>IF(Sales[[#This Row],[Status]]="Cancelled",0,Sales[[#This Row],[Qty]])</f>
        <v>4</v>
      </c>
      <c r="R3076" s="166">
        <f>IF(Sales[[#This Row],[Status]]="Cancelled",0,Sales[[#This Row],[Total Amount]])</f>
        <v>13676.2</v>
      </c>
      <c r="S3076" s="162">
        <f>SUM(Sales[Net Amount])</f>
        <v>406839287.73200053</v>
      </c>
    </row>
    <row r="3077" spans="1:19" ht="18.75" x14ac:dyDescent="0.25">
      <c r="A3077" s="156" t="s">
        <v>6726</v>
      </c>
      <c r="B3077" s="157">
        <v>45932</v>
      </c>
      <c r="C3077" s="158" t="s">
        <v>726</v>
      </c>
      <c r="D3077" s="159" t="str">
        <f>VLOOKUP(Sales[[#This Row],[Customer ID]],Customer[#All],2,0)</f>
        <v>Priya Singh</v>
      </c>
      <c r="E3077" s="158" t="s">
        <v>288</v>
      </c>
      <c r="F3077" s="158" t="str">
        <f>VLOOKUP(Sales[[#This Row],[Product ID]],Product[#All],2,0)</f>
        <v>Canon Printer</v>
      </c>
      <c r="G3077" s="159">
        <v>7</v>
      </c>
      <c r="H3077" s="160">
        <f>VLOOKUP(Sales[[#This Row],[Product ID]],Product[#All],7,0)</f>
        <v>41150</v>
      </c>
      <c r="I3077" s="160">
        <f>Sales[[#This Row],[Selling Rate]]*Sales[[#This Row],[Qty]]</f>
        <v>288050</v>
      </c>
      <c r="J3077" s="43">
        <v>0</v>
      </c>
      <c r="K3077" s="44">
        <f>Sales[[#This Row],[Gross Amount]]*Sales[[#This Row],[Disc %]]</f>
        <v>0</v>
      </c>
      <c r="L3077" s="43">
        <v>0.18</v>
      </c>
      <c r="M3077" s="44">
        <f>(Sales[[#This Row],[Gross Amount]]-Sales[[#This Row],[Disc. Amt.]])*Sales[[#This Row],[GST %]]</f>
        <v>51849</v>
      </c>
      <c r="N3077" s="161">
        <f>Sales[[#This Row],[Gross Amount]]-Sales[[#This Row],[Disc. Amt.]]+Sales[[#This Row],[GST Amount]]</f>
        <v>339899</v>
      </c>
      <c r="O3077" s="158" t="s">
        <v>3569</v>
      </c>
      <c r="P3077" s="158" t="s">
        <v>3562</v>
      </c>
      <c r="Q3077" s="160">
        <f>IF(Sales[[#This Row],[Status]]="Cancelled",0,Sales[[#This Row],[Qty]])</f>
        <v>7</v>
      </c>
      <c r="R3077" s="161">
        <f>IF(Sales[[#This Row],[Status]]="Cancelled",0,Sales[[#This Row],[Total Amount]])</f>
        <v>339899</v>
      </c>
      <c r="S3077" s="162">
        <f>SUM(Sales[Net Amount])</f>
        <v>406839287.73200053</v>
      </c>
    </row>
    <row r="3078" spans="1:19" ht="18.75" x14ac:dyDescent="0.25">
      <c r="A3078" s="163" t="s">
        <v>6727</v>
      </c>
      <c r="B3078" s="164">
        <v>45932</v>
      </c>
      <c r="C3078" s="34" t="s">
        <v>813</v>
      </c>
      <c r="D3078" s="53" t="str">
        <f>VLOOKUP(Sales[[#This Row],[Customer ID]],Customer[#All],2,0)</f>
        <v>Neha Verma</v>
      </c>
      <c r="E3078" s="34" t="s">
        <v>450</v>
      </c>
      <c r="F3078" s="34" t="str">
        <f>VLOOKUP(Sales[[#This Row],[Product ID]],Product[#All],2,0)</f>
        <v>TP-link Bluetooth Adapter</v>
      </c>
      <c r="G3078" s="53">
        <v>5</v>
      </c>
      <c r="H3078" s="165">
        <f>VLOOKUP(Sales[[#This Row],[Product ID]],Product[#All],7,0)</f>
        <v>1270</v>
      </c>
      <c r="I3078" s="165">
        <f>Sales[[#This Row],[Selling Rate]]*Sales[[#This Row],[Qty]]</f>
        <v>6350</v>
      </c>
      <c r="J3078" s="45">
        <v>0.02</v>
      </c>
      <c r="K3078" s="46">
        <f>Sales[[#This Row],[Gross Amount]]*Sales[[#This Row],[Disc %]]</f>
        <v>127</v>
      </c>
      <c r="L3078" s="43">
        <v>0.18</v>
      </c>
      <c r="M3078" s="46">
        <f>(Sales[[#This Row],[Gross Amount]]-Sales[[#This Row],[Disc. Amt.]])*Sales[[#This Row],[GST %]]</f>
        <v>1120.1399999999999</v>
      </c>
      <c r="N3078" s="161">
        <f>Sales[[#This Row],[Gross Amount]]-Sales[[#This Row],[Disc. Amt.]]+Sales[[#This Row],[GST Amount]]</f>
        <v>7343.1399999999994</v>
      </c>
      <c r="O3078" s="34" t="s">
        <v>3569</v>
      </c>
      <c r="P3078" s="34" t="s">
        <v>3562</v>
      </c>
      <c r="Q3078" s="165">
        <f>IF(Sales[[#This Row],[Status]]="Cancelled",0,Sales[[#This Row],[Qty]])</f>
        <v>5</v>
      </c>
      <c r="R3078" s="166">
        <f>IF(Sales[[#This Row],[Status]]="Cancelled",0,Sales[[#This Row],[Total Amount]])</f>
        <v>7343.1399999999994</v>
      </c>
      <c r="S3078" s="162">
        <f>SUM(Sales[Net Amount])</f>
        <v>406839287.73200053</v>
      </c>
    </row>
    <row r="3079" spans="1:19" ht="18.75" x14ac:dyDescent="0.25">
      <c r="A3079" s="156" t="s">
        <v>6728</v>
      </c>
      <c r="B3079" s="157">
        <v>45932</v>
      </c>
      <c r="C3079" s="158" t="s">
        <v>661</v>
      </c>
      <c r="D3079" s="159" t="str">
        <f>VLOOKUP(Sales[[#This Row],[Customer ID]],Customer[#All],2,0)</f>
        <v>Pooja Gupta</v>
      </c>
      <c r="E3079" s="158" t="s">
        <v>262</v>
      </c>
      <c r="F3079" s="158" t="str">
        <f>VLOOKUP(Sales[[#This Row],[Product ID]],Product[#All],2,0)</f>
        <v>HP Power Adapter</v>
      </c>
      <c r="G3079" s="159">
        <v>3</v>
      </c>
      <c r="H3079" s="160">
        <f>VLOOKUP(Sales[[#This Row],[Product ID]],Product[#All],7,0)</f>
        <v>3560</v>
      </c>
      <c r="I3079" s="160">
        <f>Sales[[#This Row],[Selling Rate]]*Sales[[#This Row],[Qty]]</f>
        <v>10680</v>
      </c>
      <c r="J3079" s="43">
        <v>0</v>
      </c>
      <c r="K3079" s="44">
        <f>Sales[[#This Row],[Gross Amount]]*Sales[[#This Row],[Disc %]]</f>
        <v>0</v>
      </c>
      <c r="L3079" s="43">
        <v>0.18</v>
      </c>
      <c r="M3079" s="44">
        <f>(Sales[[#This Row],[Gross Amount]]-Sales[[#This Row],[Disc. Amt.]])*Sales[[#This Row],[GST %]]</f>
        <v>1922.3999999999999</v>
      </c>
      <c r="N3079" s="161">
        <f>Sales[[#This Row],[Gross Amount]]-Sales[[#This Row],[Disc. Amt.]]+Sales[[#This Row],[GST Amount]]</f>
        <v>12602.4</v>
      </c>
      <c r="O3079" s="158" t="s">
        <v>3566</v>
      </c>
      <c r="P3079" s="158" t="s">
        <v>3562</v>
      </c>
      <c r="Q3079" s="160">
        <f>IF(Sales[[#This Row],[Status]]="Cancelled",0,Sales[[#This Row],[Qty]])</f>
        <v>3</v>
      </c>
      <c r="R3079" s="161">
        <f>IF(Sales[[#This Row],[Status]]="Cancelled",0,Sales[[#This Row],[Total Amount]])</f>
        <v>12602.4</v>
      </c>
      <c r="S3079" s="162">
        <f>SUM(Sales[Net Amount])</f>
        <v>406839287.73200053</v>
      </c>
    </row>
    <row r="3080" spans="1:19" ht="18.75" x14ac:dyDescent="0.25">
      <c r="A3080" s="163" t="s">
        <v>6729</v>
      </c>
      <c r="B3080" s="164">
        <v>45932</v>
      </c>
      <c r="C3080" s="34" t="s">
        <v>889</v>
      </c>
      <c r="D3080" s="53" t="str">
        <f>VLOOKUP(Sales[[#This Row],[Customer ID]],Customer[#All],2,0)</f>
        <v>Rakesh Sharma</v>
      </c>
      <c r="E3080" s="34" t="s">
        <v>468</v>
      </c>
      <c r="F3080" s="34" t="str">
        <f>VLOOKUP(Sales[[#This Row],[Product ID]],Product[#All],2,0)</f>
        <v>Dell Laptop</v>
      </c>
      <c r="G3080" s="53">
        <v>4</v>
      </c>
      <c r="H3080" s="165">
        <f>VLOOKUP(Sales[[#This Row],[Product ID]],Product[#All],7,0)</f>
        <v>93200</v>
      </c>
      <c r="I3080" s="165">
        <f>Sales[[#This Row],[Selling Rate]]*Sales[[#This Row],[Qty]]</f>
        <v>372800</v>
      </c>
      <c r="J3080" s="45">
        <v>0.02</v>
      </c>
      <c r="K3080" s="46">
        <f>Sales[[#This Row],[Gross Amount]]*Sales[[#This Row],[Disc %]]</f>
        <v>7456</v>
      </c>
      <c r="L3080" s="43">
        <v>0.18</v>
      </c>
      <c r="M3080" s="46">
        <f>(Sales[[#This Row],[Gross Amount]]-Sales[[#This Row],[Disc. Amt.]])*Sales[[#This Row],[GST %]]</f>
        <v>65761.919999999998</v>
      </c>
      <c r="N3080" s="161">
        <f>Sales[[#This Row],[Gross Amount]]-Sales[[#This Row],[Disc. Amt.]]+Sales[[#This Row],[GST Amount]]</f>
        <v>431105.92</v>
      </c>
      <c r="O3080" s="34" t="s">
        <v>8876</v>
      </c>
      <c r="P3080" s="34" t="s">
        <v>3562</v>
      </c>
      <c r="Q3080" s="165">
        <f>IF(Sales[[#This Row],[Status]]="Cancelled",0,Sales[[#This Row],[Qty]])</f>
        <v>4</v>
      </c>
      <c r="R3080" s="166">
        <f>IF(Sales[[#This Row],[Status]]="Cancelled",0,Sales[[#This Row],[Total Amount]])</f>
        <v>431105.92</v>
      </c>
      <c r="S3080" s="162">
        <f>SUM(Sales[Net Amount])</f>
        <v>406839287.73200053</v>
      </c>
    </row>
    <row r="3081" spans="1:19" ht="18.75" x14ac:dyDescent="0.25">
      <c r="A3081" s="156" t="s">
        <v>6730</v>
      </c>
      <c r="B3081" s="157">
        <v>45932</v>
      </c>
      <c r="C3081" s="158" t="s">
        <v>889</v>
      </c>
      <c r="D3081" s="159" t="str">
        <f>VLOOKUP(Sales[[#This Row],[Customer ID]],Customer[#All],2,0)</f>
        <v>Rakesh Sharma</v>
      </c>
      <c r="E3081" s="158" t="s">
        <v>198</v>
      </c>
      <c r="F3081" s="158" t="str">
        <f>VLOOKUP(Sales[[#This Row],[Product ID]],Product[#All],2,0)</f>
        <v>PortronicsLaptopStand</v>
      </c>
      <c r="G3081" s="159">
        <v>5</v>
      </c>
      <c r="H3081" s="160">
        <f>VLOOKUP(Sales[[#This Row],[Product ID]],Product[#All],7,0)</f>
        <v>2240</v>
      </c>
      <c r="I3081" s="160">
        <f>Sales[[#This Row],[Selling Rate]]*Sales[[#This Row],[Qty]]</f>
        <v>11200</v>
      </c>
      <c r="J3081" s="43">
        <v>0.15</v>
      </c>
      <c r="K3081" s="44">
        <f>Sales[[#This Row],[Gross Amount]]*Sales[[#This Row],[Disc %]]</f>
        <v>1680</v>
      </c>
      <c r="L3081" s="43">
        <v>0.18</v>
      </c>
      <c r="M3081" s="44">
        <f>(Sales[[#This Row],[Gross Amount]]-Sales[[#This Row],[Disc. Amt.]])*Sales[[#This Row],[GST %]]</f>
        <v>1713.6</v>
      </c>
      <c r="N3081" s="161">
        <f>Sales[[#This Row],[Gross Amount]]-Sales[[#This Row],[Disc. Amt.]]+Sales[[#This Row],[GST Amount]]</f>
        <v>11233.6</v>
      </c>
      <c r="O3081" s="158" t="s">
        <v>3561</v>
      </c>
      <c r="P3081" s="158" t="s">
        <v>3562</v>
      </c>
      <c r="Q3081" s="160">
        <f>IF(Sales[[#This Row],[Status]]="Cancelled",0,Sales[[#This Row],[Qty]])</f>
        <v>5</v>
      </c>
      <c r="R3081" s="161">
        <f>IF(Sales[[#This Row],[Status]]="Cancelled",0,Sales[[#This Row],[Total Amount]])</f>
        <v>11233.6</v>
      </c>
      <c r="S3081" s="162">
        <f>SUM(Sales[Net Amount])</f>
        <v>406839287.73200053</v>
      </c>
    </row>
    <row r="3082" spans="1:19" ht="18.75" x14ac:dyDescent="0.25">
      <c r="A3082" s="163" t="s">
        <v>6731</v>
      </c>
      <c r="B3082" s="164">
        <v>45932</v>
      </c>
      <c r="C3082" s="34" t="s">
        <v>653</v>
      </c>
      <c r="D3082" s="53" t="str">
        <f>VLOOKUP(Sales[[#This Row],[Customer ID]],Customer[#All],2,0)</f>
        <v>Pooja Patel</v>
      </c>
      <c r="E3082" s="34" t="s">
        <v>195</v>
      </c>
      <c r="F3082" s="34" t="str">
        <f>VLOOKUP(Sales[[#This Row],[Product ID]],Product[#All],2,0)</f>
        <v>Acer Laptop</v>
      </c>
      <c r="G3082" s="53">
        <v>8</v>
      </c>
      <c r="H3082" s="165">
        <f>VLOOKUP(Sales[[#This Row],[Product ID]],Product[#All],7,0)</f>
        <v>46790</v>
      </c>
      <c r="I3082" s="165">
        <f>Sales[[#This Row],[Selling Rate]]*Sales[[#This Row],[Qty]]</f>
        <v>374320</v>
      </c>
      <c r="J3082" s="45">
        <v>0</v>
      </c>
      <c r="K3082" s="46">
        <f>Sales[[#This Row],[Gross Amount]]*Sales[[#This Row],[Disc %]]</f>
        <v>0</v>
      </c>
      <c r="L3082" s="43">
        <v>0.18</v>
      </c>
      <c r="M3082" s="46">
        <f>(Sales[[#This Row],[Gross Amount]]-Sales[[#This Row],[Disc. Amt.]])*Sales[[#This Row],[GST %]]</f>
        <v>67377.599999999991</v>
      </c>
      <c r="N3082" s="161">
        <f>Sales[[#This Row],[Gross Amount]]-Sales[[#This Row],[Disc. Amt.]]+Sales[[#This Row],[GST Amount]]</f>
        <v>441697.6</v>
      </c>
      <c r="O3082" s="34" t="s">
        <v>3566</v>
      </c>
      <c r="P3082" s="34" t="s">
        <v>3562</v>
      </c>
      <c r="Q3082" s="165">
        <f>IF(Sales[[#This Row],[Status]]="Cancelled",0,Sales[[#This Row],[Qty]])</f>
        <v>8</v>
      </c>
      <c r="R3082" s="166">
        <f>IF(Sales[[#This Row],[Status]]="Cancelled",0,Sales[[#This Row],[Total Amount]])</f>
        <v>441697.6</v>
      </c>
      <c r="S3082" s="162">
        <f>SUM(Sales[Net Amount])</f>
        <v>406839287.73200053</v>
      </c>
    </row>
    <row r="3083" spans="1:19" ht="18.75" x14ac:dyDescent="0.25">
      <c r="A3083" s="156" t="s">
        <v>6732</v>
      </c>
      <c r="B3083" s="157">
        <v>45932</v>
      </c>
      <c r="C3083" s="158" t="s">
        <v>655</v>
      </c>
      <c r="D3083" s="159" t="str">
        <f>VLOOKUP(Sales[[#This Row],[Customer ID]],Customer[#All],2,0)</f>
        <v>Pooja Singh</v>
      </c>
      <c r="E3083" s="158" t="s">
        <v>324</v>
      </c>
      <c r="F3083" s="158" t="str">
        <f>VLOOKUP(Sales[[#This Row],[Product ID]],Product[#All],2,0)</f>
        <v>Sandisk Pen Drive</v>
      </c>
      <c r="G3083" s="159">
        <v>2</v>
      </c>
      <c r="H3083" s="160">
        <f>VLOOKUP(Sales[[#This Row],[Product ID]],Product[#All],7,0)</f>
        <v>4150</v>
      </c>
      <c r="I3083" s="160">
        <f>Sales[[#This Row],[Selling Rate]]*Sales[[#This Row],[Qty]]</f>
        <v>8300</v>
      </c>
      <c r="J3083" s="43">
        <v>0.05</v>
      </c>
      <c r="K3083" s="44">
        <f>Sales[[#This Row],[Gross Amount]]*Sales[[#This Row],[Disc %]]</f>
        <v>415</v>
      </c>
      <c r="L3083" s="43">
        <v>0.18</v>
      </c>
      <c r="M3083" s="44">
        <f>(Sales[[#This Row],[Gross Amount]]-Sales[[#This Row],[Disc. Amt.]])*Sales[[#This Row],[GST %]]</f>
        <v>1419.3</v>
      </c>
      <c r="N3083" s="161">
        <f>Sales[[#This Row],[Gross Amount]]-Sales[[#This Row],[Disc. Amt.]]+Sales[[#This Row],[GST Amount]]</f>
        <v>9304.2999999999993</v>
      </c>
      <c r="O3083" s="158" t="s">
        <v>3561</v>
      </c>
      <c r="P3083" s="158" t="s">
        <v>3562</v>
      </c>
      <c r="Q3083" s="160">
        <f>IF(Sales[[#This Row],[Status]]="Cancelled",0,Sales[[#This Row],[Qty]])</f>
        <v>2</v>
      </c>
      <c r="R3083" s="161">
        <f>IF(Sales[[#This Row],[Status]]="Cancelled",0,Sales[[#This Row],[Total Amount]])</f>
        <v>9304.2999999999993</v>
      </c>
      <c r="S3083" s="162">
        <f>SUM(Sales[Net Amount])</f>
        <v>406839287.73200053</v>
      </c>
    </row>
    <row r="3084" spans="1:19" ht="18.75" x14ac:dyDescent="0.25">
      <c r="A3084" s="163" t="s">
        <v>6733</v>
      </c>
      <c r="B3084" s="164">
        <v>45932</v>
      </c>
      <c r="C3084" s="34" t="s">
        <v>795</v>
      </c>
      <c r="D3084" s="53" t="str">
        <f>VLOOKUP(Sales[[#This Row],[Customer ID]],Customer[#All],2,0)</f>
        <v>Sahil Gupta</v>
      </c>
      <c r="E3084" s="34" t="s">
        <v>509</v>
      </c>
      <c r="F3084" s="34" t="str">
        <f>VLOOKUP(Sales[[#This Row],[Product ID]],Product[#All],2,0)</f>
        <v>D-Link Router</v>
      </c>
      <c r="G3084" s="53">
        <v>7</v>
      </c>
      <c r="H3084" s="165">
        <f>VLOOKUP(Sales[[#This Row],[Product ID]],Product[#All],7,0)</f>
        <v>3460</v>
      </c>
      <c r="I3084" s="165">
        <f>Sales[[#This Row],[Selling Rate]]*Sales[[#This Row],[Qty]]</f>
        <v>24220</v>
      </c>
      <c r="J3084" s="45">
        <v>0.02</v>
      </c>
      <c r="K3084" s="46">
        <f>Sales[[#This Row],[Gross Amount]]*Sales[[#This Row],[Disc %]]</f>
        <v>484.40000000000003</v>
      </c>
      <c r="L3084" s="43">
        <v>0.18</v>
      </c>
      <c r="M3084" s="46">
        <f>(Sales[[#This Row],[Gross Amount]]-Sales[[#This Row],[Disc. Amt.]])*Sales[[#This Row],[GST %]]</f>
        <v>4272.4079999999994</v>
      </c>
      <c r="N3084" s="161">
        <f>Sales[[#This Row],[Gross Amount]]-Sales[[#This Row],[Disc. Amt.]]+Sales[[#This Row],[GST Amount]]</f>
        <v>28008.007999999998</v>
      </c>
      <c r="O3084" s="34" t="s">
        <v>3561</v>
      </c>
      <c r="P3084" s="34" t="s">
        <v>3562</v>
      </c>
      <c r="Q3084" s="165">
        <f>IF(Sales[[#This Row],[Status]]="Cancelled",0,Sales[[#This Row],[Qty]])</f>
        <v>7</v>
      </c>
      <c r="R3084" s="166">
        <f>IF(Sales[[#This Row],[Status]]="Cancelled",0,Sales[[#This Row],[Total Amount]])</f>
        <v>28008.007999999998</v>
      </c>
      <c r="S3084" s="162">
        <f>SUM(Sales[Net Amount])</f>
        <v>406839287.73200053</v>
      </c>
    </row>
    <row r="3085" spans="1:19" ht="18.75" x14ac:dyDescent="0.25">
      <c r="A3085" s="156" t="s">
        <v>6734</v>
      </c>
      <c r="B3085" s="157">
        <v>45932</v>
      </c>
      <c r="C3085" s="158" t="s">
        <v>812</v>
      </c>
      <c r="D3085" s="159" t="str">
        <f>VLOOKUP(Sales[[#This Row],[Customer ID]],Customer[#All],2,0)</f>
        <v>Neha Gupta</v>
      </c>
      <c r="E3085" s="158" t="s">
        <v>219</v>
      </c>
      <c r="F3085" s="158" t="str">
        <f>VLOOKUP(Sales[[#This Row],[Product ID]],Product[#All],2,0)</f>
        <v>Samsung Monitor</v>
      </c>
      <c r="G3085" s="159">
        <v>8</v>
      </c>
      <c r="H3085" s="160">
        <f>VLOOKUP(Sales[[#This Row],[Product ID]],Product[#All],7,0)</f>
        <v>22630</v>
      </c>
      <c r="I3085" s="160">
        <f>Sales[[#This Row],[Selling Rate]]*Sales[[#This Row],[Qty]]</f>
        <v>181040</v>
      </c>
      <c r="J3085" s="43">
        <v>0</v>
      </c>
      <c r="K3085" s="44">
        <f>Sales[[#This Row],[Gross Amount]]*Sales[[#This Row],[Disc %]]</f>
        <v>0</v>
      </c>
      <c r="L3085" s="43">
        <v>0.18</v>
      </c>
      <c r="M3085" s="44">
        <f>(Sales[[#This Row],[Gross Amount]]-Sales[[#This Row],[Disc. Amt.]])*Sales[[#This Row],[GST %]]</f>
        <v>32587.199999999997</v>
      </c>
      <c r="N3085" s="161">
        <f>Sales[[#This Row],[Gross Amount]]-Sales[[#This Row],[Disc. Amt.]]+Sales[[#This Row],[GST Amount]]</f>
        <v>213627.2</v>
      </c>
      <c r="O3085" s="158" t="s">
        <v>8876</v>
      </c>
      <c r="P3085" s="158" t="s">
        <v>3562</v>
      </c>
      <c r="Q3085" s="160">
        <f>IF(Sales[[#This Row],[Status]]="Cancelled",0,Sales[[#This Row],[Qty]])</f>
        <v>8</v>
      </c>
      <c r="R3085" s="161">
        <f>IF(Sales[[#This Row],[Status]]="Cancelled",0,Sales[[#This Row],[Total Amount]])</f>
        <v>213627.2</v>
      </c>
      <c r="S3085" s="162">
        <f>SUM(Sales[Net Amount])</f>
        <v>406839287.73200053</v>
      </c>
    </row>
    <row r="3086" spans="1:19" ht="18.75" x14ac:dyDescent="0.25">
      <c r="A3086" s="163" t="s">
        <v>6735</v>
      </c>
      <c r="B3086" s="164">
        <v>45932</v>
      </c>
      <c r="C3086" s="34" t="s">
        <v>797</v>
      </c>
      <c r="D3086" s="53" t="str">
        <f>VLOOKUP(Sales[[#This Row],[Customer ID]],Customer[#All],2,0)</f>
        <v>Ankit Gupta</v>
      </c>
      <c r="E3086" s="34" t="s">
        <v>336</v>
      </c>
      <c r="F3086" s="34" t="str">
        <f>VLOOKUP(Sales[[#This Row],[Product ID]],Product[#All],2,0)</f>
        <v>Boat Headset</v>
      </c>
      <c r="G3086" s="53">
        <v>1</v>
      </c>
      <c r="H3086" s="165">
        <f>VLOOKUP(Sales[[#This Row],[Product ID]],Product[#All],7,0)</f>
        <v>1380</v>
      </c>
      <c r="I3086" s="165">
        <f>Sales[[#This Row],[Selling Rate]]*Sales[[#This Row],[Qty]]</f>
        <v>1380</v>
      </c>
      <c r="J3086" s="45">
        <v>0</v>
      </c>
      <c r="K3086" s="46">
        <f>Sales[[#This Row],[Gross Amount]]*Sales[[#This Row],[Disc %]]</f>
        <v>0</v>
      </c>
      <c r="L3086" s="43">
        <v>0.18</v>
      </c>
      <c r="M3086" s="46">
        <f>(Sales[[#This Row],[Gross Amount]]-Sales[[#This Row],[Disc. Amt.]])*Sales[[#This Row],[GST %]]</f>
        <v>248.39999999999998</v>
      </c>
      <c r="N3086" s="161">
        <f>Sales[[#This Row],[Gross Amount]]-Sales[[#This Row],[Disc. Amt.]]+Sales[[#This Row],[GST Amount]]</f>
        <v>1628.4</v>
      </c>
      <c r="O3086" s="34" t="s">
        <v>3561</v>
      </c>
      <c r="P3086" s="34" t="s">
        <v>3562</v>
      </c>
      <c r="Q3086" s="165">
        <f>IF(Sales[[#This Row],[Status]]="Cancelled",0,Sales[[#This Row],[Qty]])</f>
        <v>1</v>
      </c>
      <c r="R3086" s="166">
        <f>IF(Sales[[#This Row],[Status]]="Cancelled",0,Sales[[#This Row],[Total Amount]])</f>
        <v>1628.4</v>
      </c>
      <c r="S3086" s="162">
        <f>SUM(Sales[Net Amount])</f>
        <v>406839287.73200053</v>
      </c>
    </row>
    <row r="3087" spans="1:19" ht="18.75" x14ac:dyDescent="0.25">
      <c r="A3087" s="156" t="s">
        <v>6736</v>
      </c>
      <c r="B3087" s="157">
        <v>45932</v>
      </c>
      <c r="C3087" s="158" t="s">
        <v>768</v>
      </c>
      <c r="D3087" s="159" t="str">
        <f>VLOOKUP(Sales[[#This Row],[Customer ID]],Customer[#All],2,0)</f>
        <v>Priya Kumar</v>
      </c>
      <c r="E3087" s="158" t="s">
        <v>312</v>
      </c>
      <c r="F3087" s="158" t="str">
        <f>VLOOKUP(Sales[[#This Row],[Product ID]],Product[#All],2,0)</f>
        <v>Dell Desktop</v>
      </c>
      <c r="G3087" s="159">
        <v>2</v>
      </c>
      <c r="H3087" s="160">
        <f>VLOOKUP(Sales[[#This Row],[Product ID]],Product[#All],7,0)</f>
        <v>59050</v>
      </c>
      <c r="I3087" s="160">
        <f>Sales[[#This Row],[Selling Rate]]*Sales[[#This Row],[Qty]]</f>
        <v>118100</v>
      </c>
      <c r="J3087" s="43">
        <v>0.1</v>
      </c>
      <c r="K3087" s="44">
        <f>Sales[[#This Row],[Gross Amount]]*Sales[[#This Row],[Disc %]]</f>
        <v>11810</v>
      </c>
      <c r="L3087" s="43">
        <v>0.18</v>
      </c>
      <c r="M3087" s="44">
        <f>(Sales[[#This Row],[Gross Amount]]-Sales[[#This Row],[Disc. Amt.]])*Sales[[#This Row],[GST %]]</f>
        <v>19132.2</v>
      </c>
      <c r="N3087" s="161">
        <f>Sales[[#This Row],[Gross Amount]]-Sales[[#This Row],[Disc. Amt.]]+Sales[[#This Row],[GST Amount]]</f>
        <v>125422.2</v>
      </c>
      <c r="O3087" s="158" t="s">
        <v>3561</v>
      </c>
      <c r="P3087" s="158" t="s">
        <v>3562</v>
      </c>
      <c r="Q3087" s="160">
        <f>IF(Sales[[#This Row],[Status]]="Cancelled",0,Sales[[#This Row],[Qty]])</f>
        <v>2</v>
      </c>
      <c r="R3087" s="161">
        <f>IF(Sales[[#This Row],[Status]]="Cancelled",0,Sales[[#This Row],[Total Amount]])</f>
        <v>125422.2</v>
      </c>
      <c r="S3087" s="162">
        <f>SUM(Sales[Net Amount])</f>
        <v>406839287.73200053</v>
      </c>
    </row>
    <row r="3088" spans="1:19" ht="18.75" x14ac:dyDescent="0.25">
      <c r="A3088" s="163" t="s">
        <v>6737</v>
      </c>
      <c r="B3088" s="164">
        <v>45932</v>
      </c>
      <c r="C3088" s="34" t="s">
        <v>947</v>
      </c>
      <c r="D3088" s="53" t="str">
        <f>VLOOKUP(Sales[[#This Row],[Customer ID]],Customer[#All],2,0)</f>
        <v>Sunita Singh</v>
      </c>
      <c r="E3088" s="34" t="s">
        <v>375</v>
      </c>
      <c r="F3088" s="34" t="str">
        <f>VLOOKUP(Sales[[#This Row],[Product ID]],Product[#All],2,0)</f>
        <v>American TouristerLaptopBag</v>
      </c>
      <c r="G3088" s="53">
        <v>1</v>
      </c>
      <c r="H3088" s="165">
        <f>VLOOKUP(Sales[[#This Row],[Product ID]],Product[#All],7,0)</f>
        <v>4990</v>
      </c>
      <c r="I3088" s="165">
        <f>Sales[[#This Row],[Selling Rate]]*Sales[[#This Row],[Qty]]</f>
        <v>4990</v>
      </c>
      <c r="J3088" s="45">
        <v>0.02</v>
      </c>
      <c r="K3088" s="46">
        <f>Sales[[#This Row],[Gross Amount]]*Sales[[#This Row],[Disc %]]</f>
        <v>99.8</v>
      </c>
      <c r="L3088" s="43">
        <v>0.18</v>
      </c>
      <c r="M3088" s="46">
        <f>(Sales[[#This Row],[Gross Amount]]-Sales[[#This Row],[Disc. Amt.]])*Sales[[#This Row],[GST %]]</f>
        <v>880.23599999999999</v>
      </c>
      <c r="N3088" s="161">
        <f>Sales[[#This Row],[Gross Amount]]-Sales[[#This Row],[Disc. Amt.]]+Sales[[#This Row],[GST Amount]]</f>
        <v>5770.4359999999997</v>
      </c>
      <c r="O3088" s="34" t="s">
        <v>3561</v>
      </c>
      <c r="P3088" s="34" t="s">
        <v>3562</v>
      </c>
      <c r="Q3088" s="165">
        <f>IF(Sales[[#This Row],[Status]]="Cancelled",0,Sales[[#This Row],[Qty]])</f>
        <v>1</v>
      </c>
      <c r="R3088" s="166">
        <f>IF(Sales[[#This Row],[Status]]="Cancelled",0,Sales[[#This Row],[Total Amount]])</f>
        <v>5770.4359999999997</v>
      </c>
      <c r="S3088" s="162">
        <f>SUM(Sales[Net Amount])</f>
        <v>406839287.73200053</v>
      </c>
    </row>
    <row r="3089" spans="1:19" ht="18.75" x14ac:dyDescent="0.25">
      <c r="A3089" s="156" t="s">
        <v>6738</v>
      </c>
      <c r="B3089" s="157">
        <v>45932</v>
      </c>
      <c r="C3089" s="158" t="s">
        <v>717</v>
      </c>
      <c r="D3089" s="159" t="str">
        <f>VLOOKUP(Sales[[#This Row],[Customer ID]],Customer[#All],2,0)</f>
        <v>Sunita Singh</v>
      </c>
      <c r="E3089" s="158" t="s">
        <v>246</v>
      </c>
      <c r="F3089" s="158" t="str">
        <f>VLOOKUP(Sales[[#This Row],[Product ID]],Product[#All],2,0)</f>
        <v>PortronicsLaptopStand</v>
      </c>
      <c r="G3089" s="159">
        <v>2</v>
      </c>
      <c r="H3089" s="160">
        <f>VLOOKUP(Sales[[#This Row],[Product ID]],Product[#All],7,0)</f>
        <v>1600</v>
      </c>
      <c r="I3089" s="160">
        <f>Sales[[#This Row],[Selling Rate]]*Sales[[#This Row],[Qty]]</f>
        <v>3200</v>
      </c>
      <c r="J3089" s="43">
        <v>0.05</v>
      </c>
      <c r="K3089" s="44">
        <f>Sales[[#This Row],[Gross Amount]]*Sales[[#This Row],[Disc %]]</f>
        <v>160</v>
      </c>
      <c r="L3089" s="43">
        <v>0.18</v>
      </c>
      <c r="M3089" s="44">
        <f>(Sales[[#This Row],[Gross Amount]]-Sales[[#This Row],[Disc. Amt.]])*Sales[[#This Row],[GST %]]</f>
        <v>547.19999999999993</v>
      </c>
      <c r="N3089" s="161">
        <f>Sales[[#This Row],[Gross Amount]]-Sales[[#This Row],[Disc. Amt.]]+Sales[[#This Row],[GST Amount]]</f>
        <v>3587.2</v>
      </c>
      <c r="O3089" s="158" t="s">
        <v>3569</v>
      </c>
      <c r="P3089" s="158" t="s">
        <v>3562</v>
      </c>
      <c r="Q3089" s="160">
        <f>IF(Sales[[#This Row],[Status]]="Cancelled",0,Sales[[#This Row],[Qty]])</f>
        <v>2</v>
      </c>
      <c r="R3089" s="161">
        <f>IF(Sales[[#This Row],[Status]]="Cancelled",0,Sales[[#This Row],[Total Amount]])</f>
        <v>3587.2</v>
      </c>
      <c r="S3089" s="162">
        <f>SUM(Sales[Net Amount])</f>
        <v>406839287.73200053</v>
      </c>
    </row>
    <row r="3090" spans="1:19" ht="18.75" x14ac:dyDescent="0.25">
      <c r="A3090" s="163" t="s">
        <v>6739</v>
      </c>
      <c r="B3090" s="164">
        <v>45932</v>
      </c>
      <c r="C3090" s="34" t="s">
        <v>833</v>
      </c>
      <c r="D3090" s="53" t="str">
        <f>VLOOKUP(Sales[[#This Row],[Customer ID]],Customer[#All],2,0)</f>
        <v>Sunita Kumar</v>
      </c>
      <c r="E3090" s="34" t="s">
        <v>390</v>
      </c>
      <c r="F3090" s="34" t="str">
        <f>VLOOKUP(Sales[[#This Row],[Product ID]],Product[#All],2,0)</f>
        <v>TP-link Router</v>
      </c>
      <c r="G3090" s="53">
        <v>3</v>
      </c>
      <c r="H3090" s="165">
        <f>VLOOKUP(Sales[[#This Row],[Product ID]],Product[#All],7,0)</f>
        <v>4620</v>
      </c>
      <c r="I3090" s="165">
        <f>Sales[[#This Row],[Selling Rate]]*Sales[[#This Row],[Qty]]</f>
        <v>13860</v>
      </c>
      <c r="J3090" s="45">
        <v>0.1</v>
      </c>
      <c r="K3090" s="46">
        <f>Sales[[#This Row],[Gross Amount]]*Sales[[#This Row],[Disc %]]</f>
        <v>1386</v>
      </c>
      <c r="L3090" s="43">
        <v>0.18</v>
      </c>
      <c r="M3090" s="46">
        <f>(Sales[[#This Row],[Gross Amount]]-Sales[[#This Row],[Disc. Amt.]])*Sales[[#This Row],[GST %]]</f>
        <v>2245.3199999999997</v>
      </c>
      <c r="N3090" s="161">
        <f>Sales[[#This Row],[Gross Amount]]-Sales[[#This Row],[Disc. Amt.]]+Sales[[#This Row],[GST Amount]]</f>
        <v>14719.32</v>
      </c>
      <c r="O3090" s="34" t="s">
        <v>8876</v>
      </c>
      <c r="P3090" s="34" t="s">
        <v>3562</v>
      </c>
      <c r="Q3090" s="165">
        <f>IF(Sales[[#This Row],[Status]]="Cancelled",0,Sales[[#This Row],[Qty]])</f>
        <v>3</v>
      </c>
      <c r="R3090" s="166">
        <f>IF(Sales[[#This Row],[Status]]="Cancelled",0,Sales[[#This Row],[Total Amount]])</f>
        <v>14719.32</v>
      </c>
      <c r="S3090" s="162">
        <f>SUM(Sales[Net Amount])</f>
        <v>406839287.73200053</v>
      </c>
    </row>
    <row r="3091" spans="1:19" ht="18.75" x14ac:dyDescent="0.25">
      <c r="A3091" s="156" t="s">
        <v>6740</v>
      </c>
      <c r="B3091" s="157">
        <v>45933</v>
      </c>
      <c r="C3091" s="158" t="s">
        <v>803</v>
      </c>
      <c r="D3091" s="159" t="str">
        <f>VLOOKUP(Sales[[#This Row],[Customer ID]],Customer[#All],2,0)</f>
        <v>Pooja Singh</v>
      </c>
      <c r="E3091" s="158" t="s">
        <v>422</v>
      </c>
      <c r="F3091" s="158" t="str">
        <f>VLOOKUP(Sales[[#This Row],[Product ID]],Product[#All],2,0)</f>
        <v>Microtek UPS</v>
      </c>
      <c r="G3091" s="159">
        <v>5</v>
      </c>
      <c r="H3091" s="160">
        <f>VLOOKUP(Sales[[#This Row],[Product ID]],Product[#All],7,0)</f>
        <v>6450</v>
      </c>
      <c r="I3091" s="160">
        <f>Sales[[#This Row],[Selling Rate]]*Sales[[#This Row],[Qty]]</f>
        <v>32250</v>
      </c>
      <c r="J3091" s="43">
        <v>0</v>
      </c>
      <c r="K3091" s="44">
        <f>Sales[[#This Row],[Gross Amount]]*Sales[[#This Row],[Disc %]]</f>
        <v>0</v>
      </c>
      <c r="L3091" s="43">
        <v>0.18</v>
      </c>
      <c r="M3091" s="44">
        <f>(Sales[[#This Row],[Gross Amount]]-Sales[[#This Row],[Disc. Amt.]])*Sales[[#This Row],[GST %]]</f>
        <v>5805</v>
      </c>
      <c r="N3091" s="161">
        <f>Sales[[#This Row],[Gross Amount]]-Sales[[#This Row],[Disc. Amt.]]+Sales[[#This Row],[GST Amount]]</f>
        <v>38055</v>
      </c>
      <c r="O3091" s="158" t="s">
        <v>3566</v>
      </c>
      <c r="P3091" s="158" t="s">
        <v>3562</v>
      </c>
      <c r="Q3091" s="160">
        <f>IF(Sales[[#This Row],[Status]]="Cancelled",0,Sales[[#This Row],[Qty]])</f>
        <v>5</v>
      </c>
      <c r="R3091" s="161">
        <f>IF(Sales[[#This Row],[Status]]="Cancelled",0,Sales[[#This Row],[Total Amount]])</f>
        <v>38055</v>
      </c>
      <c r="S3091" s="162">
        <f>SUM(Sales[Net Amount])</f>
        <v>406839287.73200053</v>
      </c>
    </row>
    <row r="3092" spans="1:19" ht="18.75" x14ac:dyDescent="0.25">
      <c r="A3092" s="163" t="s">
        <v>6741</v>
      </c>
      <c r="B3092" s="164">
        <v>45933</v>
      </c>
      <c r="C3092" s="34" t="s">
        <v>827</v>
      </c>
      <c r="D3092" s="53" t="str">
        <f>VLOOKUP(Sales[[#This Row],[Customer ID]],Customer[#All],2,0)</f>
        <v>Ankit Gupta</v>
      </c>
      <c r="E3092" s="34" t="s">
        <v>481</v>
      </c>
      <c r="F3092" s="34" t="str">
        <f>VLOOKUP(Sales[[#This Row],[Product ID]],Product[#All],2,0)</f>
        <v>Dell Laptop</v>
      </c>
      <c r="G3092" s="53">
        <v>2</v>
      </c>
      <c r="H3092" s="165">
        <f>VLOOKUP(Sales[[#This Row],[Product ID]],Product[#All],7,0)</f>
        <v>36050</v>
      </c>
      <c r="I3092" s="165">
        <f>Sales[[#This Row],[Selling Rate]]*Sales[[#This Row],[Qty]]</f>
        <v>72100</v>
      </c>
      <c r="J3092" s="45">
        <v>0.15</v>
      </c>
      <c r="K3092" s="46">
        <f>Sales[[#This Row],[Gross Amount]]*Sales[[#This Row],[Disc %]]</f>
        <v>10815</v>
      </c>
      <c r="L3092" s="43">
        <v>0.18</v>
      </c>
      <c r="M3092" s="46">
        <f>(Sales[[#This Row],[Gross Amount]]-Sales[[#This Row],[Disc. Amt.]])*Sales[[#This Row],[GST %]]</f>
        <v>11031.3</v>
      </c>
      <c r="N3092" s="161">
        <f>Sales[[#This Row],[Gross Amount]]-Sales[[#This Row],[Disc. Amt.]]+Sales[[#This Row],[GST Amount]]</f>
        <v>72316.3</v>
      </c>
      <c r="O3092" s="34" t="s">
        <v>3566</v>
      </c>
      <c r="P3092" s="34" t="s">
        <v>3562</v>
      </c>
      <c r="Q3092" s="165">
        <f>IF(Sales[[#This Row],[Status]]="Cancelled",0,Sales[[#This Row],[Qty]])</f>
        <v>2</v>
      </c>
      <c r="R3092" s="166">
        <f>IF(Sales[[#This Row],[Status]]="Cancelled",0,Sales[[#This Row],[Total Amount]])</f>
        <v>72316.3</v>
      </c>
      <c r="S3092" s="162">
        <f>SUM(Sales[Net Amount])</f>
        <v>406839287.73200053</v>
      </c>
    </row>
    <row r="3093" spans="1:19" ht="18.75" x14ac:dyDescent="0.25">
      <c r="A3093" s="156" t="s">
        <v>6742</v>
      </c>
      <c r="B3093" s="157">
        <v>45933</v>
      </c>
      <c r="C3093" s="158" t="s">
        <v>900</v>
      </c>
      <c r="D3093" s="159" t="str">
        <f>VLOOKUP(Sales[[#This Row],[Customer ID]],Customer[#All],2,0)</f>
        <v>Neha Kumar</v>
      </c>
      <c r="E3093" s="158" t="s">
        <v>433</v>
      </c>
      <c r="F3093" s="158" t="str">
        <f>VLOOKUP(Sales[[#This Row],[Product ID]],Product[#All],2,0)</f>
        <v>Seagate HDD</v>
      </c>
      <c r="G3093" s="159">
        <v>4</v>
      </c>
      <c r="H3093" s="160">
        <f>VLOOKUP(Sales[[#This Row],[Product ID]],Product[#All],7,0)</f>
        <v>13910</v>
      </c>
      <c r="I3093" s="160">
        <f>Sales[[#This Row],[Selling Rate]]*Sales[[#This Row],[Qty]]</f>
        <v>55640</v>
      </c>
      <c r="J3093" s="43">
        <v>0.1</v>
      </c>
      <c r="K3093" s="44">
        <f>Sales[[#This Row],[Gross Amount]]*Sales[[#This Row],[Disc %]]</f>
        <v>5564</v>
      </c>
      <c r="L3093" s="43">
        <v>0.18</v>
      </c>
      <c r="M3093" s="44">
        <f>(Sales[[#This Row],[Gross Amount]]-Sales[[#This Row],[Disc. Amt.]])*Sales[[#This Row],[GST %]]</f>
        <v>9013.68</v>
      </c>
      <c r="N3093" s="161">
        <f>Sales[[#This Row],[Gross Amount]]-Sales[[#This Row],[Disc. Amt.]]+Sales[[#This Row],[GST Amount]]</f>
        <v>59089.68</v>
      </c>
      <c r="O3093" s="158" t="s">
        <v>3569</v>
      </c>
      <c r="P3093" s="158" t="s">
        <v>3562</v>
      </c>
      <c r="Q3093" s="160">
        <f>IF(Sales[[#This Row],[Status]]="Cancelled",0,Sales[[#This Row],[Qty]])</f>
        <v>4</v>
      </c>
      <c r="R3093" s="161">
        <f>IF(Sales[[#This Row],[Status]]="Cancelled",0,Sales[[#This Row],[Total Amount]])</f>
        <v>59089.68</v>
      </c>
      <c r="S3093" s="162">
        <f>SUM(Sales[Net Amount])</f>
        <v>406839287.73200053</v>
      </c>
    </row>
    <row r="3094" spans="1:19" ht="18.75" x14ac:dyDescent="0.25">
      <c r="A3094" s="163" t="s">
        <v>6743</v>
      </c>
      <c r="B3094" s="164">
        <v>45933</v>
      </c>
      <c r="C3094" s="34" t="s">
        <v>808</v>
      </c>
      <c r="D3094" s="53" t="str">
        <f>VLOOKUP(Sales[[#This Row],[Customer ID]],Customer[#All],2,0)</f>
        <v>Rahul Singh</v>
      </c>
      <c r="E3094" s="34" t="s">
        <v>322</v>
      </c>
      <c r="F3094" s="34" t="str">
        <f>VLOOKUP(Sales[[#This Row],[Product ID]],Product[#All],2,0)</f>
        <v>Jbl Speaker</v>
      </c>
      <c r="G3094" s="53">
        <v>8</v>
      </c>
      <c r="H3094" s="165">
        <f>VLOOKUP(Sales[[#This Row],[Product ID]],Product[#All],7,0)</f>
        <v>10370</v>
      </c>
      <c r="I3094" s="165">
        <f>Sales[[#This Row],[Selling Rate]]*Sales[[#This Row],[Qty]]</f>
        <v>82960</v>
      </c>
      <c r="J3094" s="45">
        <v>0.05</v>
      </c>
      <c r="K3094" s="46">
        <f>Sales[[#This Row],[Gross Amount]]*Sales[[#This Row],[Disc %]]</f>
        <v>4148</v>
      </c>
      <c r="L3094" s="43">
        <v>0.18</v>
      </c>
      <c r="M3094" s="46">
        <f>(Sales[[#This Row],[Gross Amount]]-Sales[[#This Row],[Disc. Amt.]])*Sales[[#This Row],[GST %]]</f>
        <v>14186.16</v>
      </c>
      <c r="N3094" s="161">
        <f>Sales[[#This Row],[Gross Amount]]-Sales[[#This Row],[Disc. Amt.]]+Sales[[#This Row],[GST Amount]]</f>
        <v>92998.16</v>
      </c>
      <c r="O3094" s="34" t="s">
        <v>3561</v>
      </c>
      <c r="P3094" s="34" t="s">
        <v>3562</v>
      </c>
      <c r="Q3094" s="165">
        <f>IF(Sales[[#This Row],[Status]]="Cancelled",0,Sales[[#This Row],[Qty]])</f>
        <v>8</v>
      </c>
      <c r="R3094" s="166">
        <f>IF(Sales[[#This Row],[Status]]="Cancelled",0,Sales[[#This Row],[Total Amount]])</f>
        <v>92998.16</v>
      </c>
      <c r="S3094" s="162">
        <f>SUM(Sales[Net Amount])</f>
        <v>406839287.73200053</v>
      </c>
    </row>
    <row r="3095" spans="1:19" ht="18.75" x14ac:dyDescent="0.25">
      <c r="A3095" s="156" t="s">
        <v>6744</v>
      </c>
      <c r="B3095" s="157">
        <v>45933</v>
      </c>
      <c r="C3095" s="158" t="s">
        <v>799</v>
      </c>
      <c r="D3095" s="159" t="str">
        <f>VLOOKUP(Sales[[#This Row],[Customer ID]],Customer[#All],2,0)</f>
        <v>Rakesh Gupta</v>
      </c>
      <c r="E3095" s="158" t="s">
        <v>297</v>
      </c>
      <c r="F3095" s="158" t="str">
        <f>VLOOKUP(Sales[[#This Row],[Product ID]],Product[#All],2,0)</f>
        <v>Dell Desktop</v>
      </c>
      <c r="G3095" s="159">
        <v>6</v>
      </c>
      <c r="H3095" s="160">
        <f>VLOOKUP(Sales[[#This Row],[Product ID]],Product[#All],7,0)</f>
        <v>39300</v>
      </c>
      <c r="I3095" s="160">
        <f>Sales[[#This Row],[Selling Rate]]*Sales[[#This Row],[Qty]]</f>
        <v>235800</v>
      </c>
      <c r="J3095" s="43">
        <v>0.05</v>
      </c>
      <c r="K3095" s="44">
        <f>Sales[[#This Row],[Gross Amount]]*Sales[[#This Row],[Disc %]]</f>
        <v>11790</v>
      </c>
      <c r="L3095" s="43">
        <v>0.18</v>
      </c>
      <c r="M3095" s="44">
        <f>(Sales[[#This Row],[Gross Amount]]-Sales[[#This Row],[Disc. Amt.]])*Sales[[#This Row],[GST %]]</f>
        <v>40321.799999999996</v>
      </c>
      <c r="N3095" s="161">
        <f>Sales[[#This Row],[Gross Amount]]-Sales[[#This Row],[Disc. Amt.]]+Sales[[#This Row],[GST Amount]]</f>
        <v>264331.8</v>
      </c>
      <c r="O3095" s="158" t="s">
        <v>3561</v>
      </c>
      <c r="P3095" s="158" t="s">
        <v>3562</v>
      </c>
      <c r="Q3095" s="160">
        <f>IF(Sales[[#This Row],[Status]]="Cancelled",0,Sales[[#This Row],[Qty]])</f>
        <v>6</v>
      </c>
      <c r="R3095" s="161">
        <f>IF(Sales[[#This Row],[Status]]="Cancelled",0,Sales[[#This Row],[Total Amount]])</f>
        <v>264331.8</v>
      </c>
      <c r="S3095" s="162">
        <f>SUM(Sales[Net Amount])</f>
        <v>406839287.73200053</v>
      </c>
    </row>
    <row r="3096" spans="1:19" ht="18.75" x14ac:dyDescent="0.25">
      <c r="A3096" s="163" t="s">
        <v>6745</v>
      </c>
      <c r="B3096" s="164">
        <v>45933</v>
      </c>
      <c r="C3096" s="34" t="s">
        <v>819</v>
      </c>
      <c r="D3096" s="53" t="str">
        <f>VLOOKUP(Sales[[#This Row],[Customer ID]],Customer[#All],2,0)</f>
        <v>Neha Gupta</v>
      </c>
      <c r="E3096" s="34" t="s">
        <v>393</v>
      </c>
      <c r="F3096" s="34" t="str">
        <f>VLOOKUP(Sales[[#This Row],[Product ID]],Product[#All],2,0)</f>
        <v>American TouristerLaptopBag</v>
      </c>
      <c r="G3096" s="53">
        <v>6</v>
      </c>
      <c r="H3096" s="165">
        <f>VLOOKUP(Sales[[#This Row],[Product ID]],Product[#All],7,0)</f>
        <v>3240</v>
      </c>
      <c r="I3096" s="165">
        <f>Sales[[#This Row],[Selling Rate]]*Sales[[#This Row],[Qty]]</f>
        <v>19440</v>
      </c>
      <c r="J3096" s="45">
        <v>0.05</v>
      </c>
      <c r="K3096" s="46">
        <f>Sales[[#This Row],[Gross Amount]]*Sales[[#This Row],[Disc %]]</f>
        <v>972</v>
      </c>
      <c r="L3096" s="43">
        <v>0.18</v>
      </c>
      <c r="M3096" s="46">
        <f>(Sales[[#This Row],[Gross Amount]]-Sales[[#This Row],[Disc. Amt.]])*Sales[[#This Row],[GST %]]</f>
        <v>3324.24</v>
      </c>
      <c r="N3096" s="161">
        <f>Sales[[#This Row],[Gross Amount]]-Sales[[#This Row],[Disc. Amt.]]+Sales[[#This Row],[GST Amount]]</f>
        <v>21792.239999999998</v>
      </c>
      <c r="O3096" s="34" t="s">
        <v>8876</v>
      </c>
      <c r="P3096" s="34" t="s">
        <v>3562</v>
      </c>
      <c r="Q3096" s="165">
        <f>IF(Sales[[#This Row],[Status]]="Cancelled",0,Sales[[#This Row],[Qty]])</f>
        <v>6</v>
      </c>
      <c r="R3096" s="166">
        <f>IF(Sales[[#This Row],[Status]]="Cancelled",0,Sales[[#This Row],[Total Amount]])</f>
        <v>21792.239999999998</v>
      </c>
      <c r="S3096" s="162">
        <f>SUM(Sales[Net Amount])</f>
        <v>406839287.73200053</v>
      </c>
    </row>
    <row r="3097" spans="1:19" ht="18.75" x14ac:dyDescent="0.25">
      <c r="A3097" s="156" t="s">
        <v>6746</v>
      </c>
      <c r="B3097" s="157">
        <v>45933</v>
      </c>
      <c r="C3097" s="158" t="s">
        <v>801</v>
      </c>
      <c r="D3097" s="159" t="str">
        <f>VLOOKUP(Sales[[#This Row],[Customer ID]],Customer[#All],2,0)</f>
        <v>Sunita Verma</v>
      </c>
      <c r="E3097" s="158" t="s">
        <v>506</v>
      </c>
      <c r="F3097" s="158" t="str">
        <f>VLOOKUP(Sales[[#This Row],[Product ID]],Product[#All],2,0)</f>
        <v>Epson Printer</v>
      </c>
      <c r="G3097" s="159">
        <v>8</v>
      </c>
      <c r="H3097" s="160">
        <f>VLOOKUP(Sales[[#This Row],[Product ID]],Product[#All],7,0)</f>
        <v>42690</v>
      </c>
      <c r="I3097" s="160">
        <f>Sales[[#This Row],[Selling Rate]]*Sales[[#This Row],[Qty]]</f>
        <v>341520</v>
      </c>
      <c r="J3097" s="43">
        <v>0</v>
      </c>
      <c r="K3097" s="44">
        <f>Sales[[#This Row],[Gross Amount]]*Sales[[#This Row],[Disc %]]</f>
        <v>0</v>
      </c>
      <c r="L3097" s="43">
        <v>0.18</v>
      </c>
      <c r="M3097" s="44">
        <f>(Sales[[#This Row],[Gross Amount]]-Sales[[#This Row],[Disc. Amt.]])*Sales[[#This Row],[GST %]]</f>
        <v>61473.599999999999</v>
      </c>
      <c r="N3097" s="161">
        <f>Sales[[#This Row],[Gross Amount]]-Sales[[#This Row],[Disc. Amt.]]+Sales[[#This Row],[GST Amount]]</f>
        <v>402993.6</v>
      </c>
      <c r="O3097" s="158" t="s">
        <v>3566</v>
      </c>
      <c r="P3097" s="158" t="s">
        <v>3562</v>
      </c>
      <c r="Q3097" s="160">
        <f>IF(Sales[[#This Row],[Status]]="Cancelled",0,Sales[[#This Row],[Qty]])</f>
        <v>8</v>
      </c>
      <c r="R3097" s="161">
        <f>IF(Sales[[#This Row],[Status]]="Cancelled",0,Sales[[#This Row],[Total Amount]])</f>
        <v>402993.6</v>
      </c>
      <c r="S3097" s="162">
        <f>SUM(Sales[Net Amount])</f>
        <v>406839287.73200053</v>
      </c>
    </row>
    <row r="3098" spans="1:19" ht="18.75" x14ac:dyDescent="0.25">
      <c r="A3098" s="163" t="s">
        <v>6747</v>
      </c>
      <c r="B3098" s="164">
        <v>45933</v>
      </c>
      <c r="C3098" s="34" t="s">
        <v>921</v>
      </c>
      <c r="D3098" s="53" t="str">
        <f>VLOOKUP(Sales[[#This Row],[Customer ID]],Customer[#All],2,0)</f>
        <v>Sahil Gupta</v>
      </c>
      <c r="E3098" s="34" t="s">
        <v>533</v>
      </c>
      <c r="F3098" s="34" t="str">
        <f>VLOOKUP(Sales[[#This Row],[Product ID]],Product[#All],2,0)</f>
        <v>HP Desktop</v>
      </c>
      <c r="G3098" s="53">
        <v>7</v>
      </c>
      <c r="H3098" s="165">
        <f>VLOOKUP(Sales[[#This Row],[Product ID]],Product[#All],7,0)</f>
        <v>72430</v>
      </c>
      <c r="I3098" s="165">
        <f>Sales[[#This Row],[Selling Rate]]*Sales[[#This Row],[Qty]]</f>
        <v>507010</v>
      </c>
      <c r="J3098" s="45">
        <v>0.1</v>
      </c>
      <c r="K3098" s="46">
        <f>Sales[[#This Row],[Gross Amount]]*Sales[[#This Row],[Disc %]]</f>
        <v>50701</v>
      </c>
      <c r="L3098" s="43">
        <v>0.18</v>
      </c>
      <c r="M3098" s="46">
        <f>(Sales[[#This Row],[Gross Amount]]-Sales[[#This Row],[Disc. Amt.]])*Sales[[#This Row],[GST %]]</f>
        <v>82135.62</v>
      </c>
      <c r="N3098" s="161">
        <f>Sales[[#This Row],[Gross Amount]]-Sales[[#This Row],[Disc. Amt.]]+Sales[[#This Row],[GST Amount]]</f>
        <v>538444.62</v>
      </c>
      <c r="O3098" s="34" t="s">
        <v>3566</v>
      </c>
      <c r="P3098" s="34" t="s">
        <v>3562</v>
      </c>
      <c r="Q3098" s="165">
        <f>IF(Sales[[#This Row],[Status]]="Cancelled",0,Sales[[#This Row],[Qty]])</f>
        <v>7</v>
      </c>
      <c r="R3098" s="166">
        <f>IF(Sales[[#This Row],[Status]]="Cancelled",0,Sales[[#This Row],[Total Amount]])</f>
        <v>538444.62</v>
      </c>
      <c r="S3098" s="162">
        <f>SUM(Sales[Net Amount])</f>
        <v>406839287.73200053</v>
      </c>
    </row>
    <row r="3099" spans="1:19" ht="18.75" x14ac:dyDescent="0.25">
      <c r="A3099" s="156" t="s">
        <v>6748</v>
      </c>
      <c r="B3099" s="157">
        <v>45933</v>
      </c>
      <c r="C3099" s="158" t="s">
        <v>885</v>
      </c>
      <c r="D3099" s="159" t="str">
        <f>VLOOKUP(Sales[[#This Row],[Customer ID]],Customer[#All],2,0)</f>
        <v>Pooja Verma</v>
      </c>
      <c r="E3099" s="158" t="s">
        <v>306</v>
      </c>
      <c r="F3099" s="158" t="str">
        <f>VLOOKUP(Sales[[#This Row],[Product ID]],Product[#All],2,0)</f>
        <v>Portronics USB Cable</v>
      </c>
      <c r="G3099" s="159">
        <v>6</v>
      </c>
      <c r="H3099" s="160">
        <f>VLOOKUP(Sales[[#This Row],[Product ID]],Product[#All],7,0)</f>
        <v>200</v>
      </c>
      <c r="I3099" s="160">
        <f>Sales[[#This Row],[Selling Rate]]*Sales[[#This Row],[Qty]]</f>
        <v>1200</v>
      </c>
      <c r="J3099" s="43">
        <v>0</v>
      </c>
      <c r="K3099" s="44">
        <f>Sales[[#This Row],[Gross Amount]]*Sales[[#This Row],[Disc %]]</f>
        <v>0</v>
      </c>
      <c r="L3099" s="43">
        <v>0.18</v>
      </c>
      <c r="M3099" s="44">
        <f>(Sales[[#This Row],[Gross Amount]]-Sales[[#This Row],[Disc. Amt.]])*Sales[[#This Row],[GST %]]</f>
        <v>216</v>
      </c>
      <c r="N3099" s="161">
        <f>Sales[[#This Row],[Gross Amount]]-Sales[[#This Row],[Disc. Amt.]]+Sales[[#This Row],[GST Amount]]</f>
        <v>1416</v>
      </c>
      <c r="O3099" s="158" t="s">
        <v>3561</v>
      </c>
      <c r="P3099" s="158" t="s">
        <v>3562</v>
      </c>
      <c r="Q3099" s="160">
        <f>IF(Sales[[#This Row],[Status]]="Cancelled",0,Sales[[#This Row],[Qty]])</f>
        <v>6</v>
      </c>
      <c r="R3099" s="161">
        <f>IF(Sales[[#This Row],[Status]]="Cancelled",0,Sales[[#This Row],[Total Amount]])</f>
        <v>1416</v>
      </c>
      <c r="S3099" s="162">
        <f>SUM(Sales[Net Amount])</f>
        <v>406839287.73200053</v>
      </c>
    </row>
    <row r="3100" spans="1:19" ht="18.75" x14ac:dyDescent="0.25">
      <c r="A3100" s="163" t="s">
        <v>6749</v>
      </c>
      <c r="B3100" s="164">
        <v>45933</v>
      </c>
      <c r="C3100" s="34" t="s">
        <v>733</v>
      </c>
      <c r="D3100" s="53" t="str">
        <f>VLOOKUP(Sales[[#This Row],[Customer ID]],Customer[#All],2,0)</f>
        <v>Vikas Kumar</v>
      </c>
      <c r="E3100" s="34" t="s">
        <v>67</v>
      </c>
      <c r="F3100" s="34" t="str">
        <f>VLOOKUP(Sales[[#This Row],[Product ID]],Product[#All],2,0)</f>
        <v>TP-link Wi-Fi Adapter</v>
      </c>
      <c r="G3100" s="53">
        <v>6</v>
      </c>
      <c r="H3100" s="165">
        <f>VLOOKUP(Sales[[#This Row],[Product ID]],Product[#All],7,0)</f>
        <v>2990</v>
      </c>
      <c r="I3100" s="165">
        <f>Sales[[#This Row],[Selling Rate]]*Sales[[#This Row],[Qty]]</f>
        <v>17940</v>
      </c>
      <c r="J3100" s="45">
        <v>0.02</v>
      </c>
      <c r="K3100" s="46">
        <f>Sales[[#This Row],[Gross Amount]]*Sales[[#This Row],[Disc %]]</f>
        <v>358.8</v>
      </c>
      <c r="L3100" s="43">
        <v>0.18</v>
      </c>
      <c r="M3100" s="46">
        <f>(Sales[[#This Row],[Gross Amount]]-Sales[[#This Row],[Disc. Amt.]])*Sales[[#This Row],[GST %]]</f>
        <v>3164.616</v>
      </c>
      <c r="N3100" s="161">
        <f>Sales[[#This Row],[Gross Amount]]-Sales[[#This Row],[Disc. Amt.]]+Sales[[#This Row],[GST Amount]]</f>
        <v>20745.815999999999</v>
      </c>
      <c r="O3100" s="34" t="s">
        <v>8876</v>
      </c>
      <c r="P3100" s="34" t="s">
        <v>3562</v>
      </c>
      <c r="Q3100" s="165">
        <f>IF(Sales[[#This Row],[Status]]="Cancelled",0,Sales[[#This Row],[Qty]])</f>
        <v>6</v>
      </c>
      <c r="R3100" s="166">
        <f>IF(Sales[[#This Row],[Status]]="Cancelled",0,Sales[[#This Row],[Total Amount]])</f>
        <v>20745.815999999999</v>
      </c>
      <c r="S3100" s="162">
        <f>SUM(Sales[Net Amount])</f>
        <v>406839287.73200053</v>
      </c>
    </row>
    <row r="3101" spans="1:19" ht="18.75" x14ac:dyDescent="0.25">
      <c r="A3101" s="156" t="s">
        <v>6750</v>
      </c>
      <c r="B3101" s="157">
        <v>45933</v>
      </c>
      <c r="C3101" s="158" t="s">
        <v>875</v>
      </c>
      <c r="D3101" s="159" t="str">
        <f>VLOOKUP(Sales[[#This Row],[Customer ID]],Customer[#All],2,0)</f>
        <v>Rahul Verma</v>
      </c>
      <c r="E3101" s="158" t="s">
        <v>414</v>
      </c>
      <c r="F3101" s="158" t="str">
        <f>VLOOKUP(Sales[[#This Row],[Product ID]],Product[#All],2,0)</f>
        <v>Logitech Keyboard</v>
      </c>
      <c r="G3101" s="159">
        <v>2</v>
      </c>
      <c r="H3101" s="160">
        <f>VLOOKUP(Sales[[#This Row],[Product ID]],Product[#All],7,0)</f>
        <v>2030</v>
      </c>
      <c r="I3101" s="160">
        <f>Sales[[#This Row],[Selling Rate]]*Sales[[#This Row],[Qty]]</f>
        <v>4060</v>
      </c>
      <c r="J3101" s="43">
        <v>0</v>
      </c>
      <c r="K3101" s="44">
        <f>Sales[[#This Row],[Gross Amount]]*Sales[[#This Row],[Disc %]]</f>
        <v>0</v>
      </c>
      <c r="L3101" s="43">
        <v>0.18</v>
      </c>
      <c r="M3101" s="44">
        <f>(Sales[[#This Row],[Gross Amount]]-Sales[[#This Row],[Disc. Amt.]])*Sales[[#This Row],[GST %]]</f>
        <v>730.8</v>
      </c>
      <c r="N3101" s="161">
        <f>Sales[[#This Row],[Gross Amount]]-Sales[[#This Row],[Disc. Amt.]]+Sales[[#This Row],[GST Amount]]</f>
        <v>4790.8</v>
      </c>
      <c r="O3101" s="158" t="s">
        <v>3566</v>
      </c>
      <c r="P3101" s="158" t="s">
        <v>3562</v>
      </c>
      <c r="Q3101" s="160">
        <f>IF(Sales[[#This Row],[Status]]="Cancelled",0,Sales[[#This Row],[Qty]])</f>
        <v>2</v>
      </c>
      <c r="R3101" s="161">
        <f>IF(Sales[[#This Row],[Status]]="Cancelled",0,Sales[[#This Row],[Total Amount]])</f>
        <v>4790.8</v>
      </c>
      <c r="S3101" s="162">
        <f>SUM(Sales[Net Amount])</f>
        <v>406839287.73200053</v>
      </c>
    </row>
    <row r="3102" spans="1:19" ht="18.75" x14ac:dyDescent="0.25">
      <c r="A3102" s="163" t="s">
        <v>6751</v>
      </c>
      <c r="B3102" s="164">
        <v>45933</v>
      </c>
      <c r="C3102" s="34" t="s">
        <v>851</v>
      </c>
      <c r="D3102" s="53" t="str">
        <f>VLOOKUP(Sales[[#This Row],[Customer ID]],Customer[#All],2,0)</f>
        <v>Pooja Singh</v>
      </c>
      <c r="E3102" s="34" t="s">
        <v>109</v>
      </c>
      <c r="F3102" s="34" t="str">
        <f>VLOOKUP(Sales[[#This Row],[Product ID]],Product[#All],2,0)</f>
        <v>Kingston Ram</v>
      </c>
      <c r="G3102" s="53">
        <v>4</v>
      </c>
      <c r="H3102" s="165">
        <f>VLOOKUP(Sales[[#This Row],[Product ID]],Product[#All],7,0)</f>
        <v>2290</v>
      </c>
      <c r="I3102" s="165">
        <f>Sales[[#This Row],[Selling Rate]]*Sales[[#This Row],[Qty]]</f>
        <v>9160</v>
      </c>
      <c r="J3102" s="45">
        <v>0</v>
      </c>
      <c r="K3102" s="46">
        <f>Sales[[#This Row],[Gross Amount]]*Sales[[#This Row],[Disc %]]</f>
        <v>0</v>
      </c>
      <c r="L3102" s="43">
        <v>0.18</v>
      </c>
      <c r="M3102" s="46">
        <f>(Sales[[#This Row],[Gross Amount]]-Sales[[#This Row],[Disc. Amt.]])*Sales[[#This Row],[GST %]]</f>
        <v>1648.8</v>
      </c>
      <c r="N3102" s="161">
        <f>Sales[[#This Row],[Gross Amount]]-Sales[[#This Row],[Disc. Amt.]]+Sales[[#This Row],[GST Amount]]</f>
        <v>10808.8</v>
      </c>
      <c r="O3102" s="34" t="s">
        <v>3561</v>
      </c>
      <c r="P3102" s="34" t="s">
        <v>3562</v>
      </c>
      <c r="Q3102" s="165">
        <f>IF(Sales[[#This Row],[Status]]="Cancelled",0,Sales[[#This Row],[Qty]])</f>
        <v>4</v>
      </c>
      <c r="R3102" s="166">
        <f>IF(Sales[[#This Row],[Status]]="Cancelled",0,Sales[[#This Row],[Total Amount]])</f>
        <v>10808.8</v>
      </c>
      <c r="S3102" s="162">
        <f>SUM(Sales[Net Amount])</f>
        <v>406839287.73200053</v>
      </c>
    </row>
    <row r="3103" spans="1:19" ht="18.75" x14ac:dyDescent="0.25">
      <c r="A3103" s="156" t="s">
        <v>6752</v>
      </c>
      <c r="B3103" s="157">
        <v>45933</v>
      </c>
      <c r="C3103" s="158" t="s">
        <v>700</v>
      </c>
      <c r="D3103" s="159" t="str">
        <f>VLOOKUP(Sales[[#This Row],[Customer ID]],Customer[#All],2,0)</f>
        <v>Ankit Gupta</v>
      </c>
      <c r="E3103" s="158" t="s">
        <v>204</v>
      </c>
      <c r="F3103" s="158" t="str">
        <f>VLOOKUP(Sales[[#This Row],[Product ID]],Product[#All],2,0)</f>
        <v>Lenovo Laptop</v>
      </c>
      <c r="G3103" s="159">
        <v>3</v>
      </c>
      <c r="H3103" s="160">
        <f>VLOOKUP(Sales[[#This Row],[Product ID]],Product[#All],7,0)</f>
        <v>42370</v>
      </c>
      <c r="I3103" s="160">
        <f>Sales[[#This Row],[Selling Rate]]*Sales[[#This Row],[Qty]]</f>
        <v>127110</v>
      </c>
      <c r="J3103" s="43">
        <v>0.1</v>
      </c>
      <c r="K3103" s="44">
        <f>Sales[[#This Row],[Gross Amount]]*Sales[[#This Row],[Disc %]]</f>
        <v>12711</v>
      </c>
      <c r="L3103" s="43">
        <v>0.18</v>
      </c>
      <c r="M3103" s="44">
        <f>(Sales[[#This Row],[Gross Amount]]-Sales[[#This Row],[Disc. Amt.]])*Sales[[#This Row],[GST %]]</f>
        <v>20591.82</v>
      </c>
      <c r="N3103" s="161">
        <f>Sales[[#This Row],[Gross Amount]]-Sales[[#This Row],[Disc. Amt.]]+Sales[[#This Row],[GST Amount]]</f>
        <v>134990.82</v>
      </c>
      <c r="O3103" s="158" t="s">
        <v>3561</v>
      </c>
      <c r="P3103" s="158" t="s">
        <v>3562</v>
      </c>
      <c r="Q3103" s="160">
        <f>IF(Sales[[#This Row],[Status]]="Cancelled",0,Sales[[#This Row],[Qty]])</f>
        <v>3</v>
      </c>
      <c r="R3103" s="161">
        <f>IF(Sales[[#This Row],[Status]]="Cancelled",0,Sales[[#This Row],[Total Amount]])</f>
        <v>134990.82</v>
      </c>
      <c r="S3103" s="162">
        <f>SUM(Sales[Net Amount])</f>
        <v>406839287.73200053</v>
      </c>
    </row>
    <row r="3104" spans="1:19" ht="18.75" x14ac:dyDescent="0.25">
      <c r="A3104" s="163" t="s">
        <v>6753</v>
      </c>
      <c r="B3104" s="164">
        <v>45933</v>
      </c>
      <c r="C3104" s="34" t="s">
        <v>789</v>
      </c>
      <c r="D3104" s="53" t="str">
        <f>VLOOKUP(Sales[[#This Row],[Customer ID]],Customer[#All],2,0)</f>
        <v>Ankit Patel</v>
      </c>
      <c r="E3104" s="34" t="s">
        <v>391</v>
      </c>
      <c r="F3104" s="34" t="str">
        <f>VLOOKUP(Sales[[#This Row],[Product ID]],Product[#All],2,0)</f>
        <v>Seagate HDD</v>
      </c>
      <c r="G3104" s="53">
        <v>6</v>
      </c>
      <c r="H3104" s="165">
        <f>VLOOKUP(Sales[[#This Row],[Product ID]],Product[#All],7,0)</f>
        <v>10370</v>
      </c>
      <c r="I3104" s="165">
        <f>Sales[[#This Row],[Selling Rate]]*Sales[[#This Row],[Qty]]</f>
        <v>62220</v>
      </c>
      <c r="J3104" s="45">
        <v>0.12</v>
      </c>
      <c r="K3104" s="46">
        <f>Sales[[#This Row],[Gross Amount]]*Sales[[#This Row],[Disc %]]</f>
        <v>7466.4</v>
      </c>
      <c r="L3104" s="43">
        <v>0.18</v>
      </c>
      <c r="M3104" s="46">
        <f>(Sales[[#This Row],[Gross Amount]]-Sales[[#This Row],[Disc. Amt.]])*Sales[[#This Row],[GST %]]</f>
        <v>9855.6479999999992</v>
      </c>
      <c r="N3104" s="161">
        <f>Sales[[#This Row],[Gross Amount]]-Sales[[#This Row],[Disc. Amt.]]+Sales[[#This Row],[GST Amount]]</f>
        <v>64609.248</v>
      </c>
      <c r="O3104" s="34" t="s">
        <v>3569</v>
      </c>
      <c r="P3104" s="34" t="s">
        <v>3562</v>
      </c>
      <c r="Q3104" s="165">
        <f>IF(Sales[[#This Row],[Status]]="Cancelled",0,Sales[[#This Row],[Qty]])</f>
        <v>6</v>
      </c>
      <c r="R3104" s="166">
        <f>IF(Sales[[#This Row],[Status]]="Cancelled",0,Sales[[#This Row],[Total Amount]])</f>
        <v>64609.248</v>
      </c>
      <c r="S3104" s="162">
        <f>SUM(Sales[Net Amount])</f>
        <v>406839287.73200053</v>
      </c>
    </row>
    <row r="3105" spans="1:19" ht="18.75" x14ac:dyDescent="0.25">
      <c r="A3105" s="156" t="s">
        <v>6754</v>
      </c>
      <c r="B3105" s="157">
        <v>45933</v>
      </c>
      <c r="C3105" s="158" t="s">
        <v>900</v>
      </c>
      <c r="D3105" s="159" t="str">
        <f>VLOOKUP(Sales[[#This Row],[Customer ID]],Customer[#All],2,0)</f>
        <v>Neha Kumar</v>
      </c>
      <c r="E3105" s="158" t="s">
        <v>407</v>
      </c>
      <c r="F3105" s="158" t="str">
        <f>VLOOKUP(Sales[[#This Row],[Product ID]],Product[#All],2,0)</f>
        <v>Lenovo Laptop</v>
      </c>
      <c r="G3105" s="159">
        <v>8</v>
      </c>
      <c r="H3105" s="160">
        <f>VLOOKUP(Sales[[#This Row],[Product ID]],Product[#All],7,0)</f>
        <v>44700</v>
      </c>
      <c r="I3105" s="160">
        <f>Sales[[#This Row],[Selling Rate]]*Sales[[#This Row],[Qty]]</f>
        <v>357600</v>
      </c>
      <c r="J3105" s="43">
        <v>0.02</v>
      </c>
      <c r="K3105" s="44">
        <f>Sales[[#This Row],[Gross Amount]]*Sales[[#This Row],[Disc %]]</f>
        <v>7152</v>
      </c>
      <c r="L3105" s="43">
        <v>0.18</v>
      </c>
      <c r="M3105" s="44">
        <f>(Sales[[#This Row],[Gross Amount]]-Sales[[#This Row],[Disc. Amt.]])*Sales[[#This Row],[GST %]]</f>
        <v>63080.639999999999</v>
      </c>
      <c r="N3105" s="161">
        <f>Sales[[#This Row],[Gross Amount]]-Sales[[#This Row],[Disc. Amt.]]+Sales[[#This Row],[GST Amount]]</f>
        <v>413528.64</v>
      </c>
      <c r="O3105" s="158" t="s">
        <v>3561</v>
      </c>
      <c r="P3105" s="158" t="s">
        <v>3562</v>
      </c>
      <c r="Q3105" s="160">
        <f>IF(Sales[[#This Row],[Status]]="Cancelled",0,Sales[[#This Row],[Qty]])</f>
        <v>8</v>
      </c>
      <c r="R3105" s="161">
        <f>IF(Sales[[#This Row],[Status]]="Cancelled",0,Sales[[#This Row],[Total Amount]])</f>
        <v>413528.64</v>
      </c>
      <c r="S3105" s="162">
        <f>SUM(Sales[Net Amount])</f>
        <v>406839287.73200053</v>
      </c>
    </row>
    <row r="3106" spans="1:19" ht="18.75" x14ac:dyDescent="0.25">
      <c r="A3106" s="163" t="s">
        <v>6755</v>
      </c>
      <c r="B3106" s="164">
        <v>45933</v>
      </c>
      <c r="C3106" s="34" t="s">
        <v>670</v>
      </c>
      <c r="D3106" s="53" t="str">
        <f>VLOOKUP(Sales[[#This Row],[Customer ID]],Customer[#All],2,0)</f>
        <v>Rakesh Patel</v>
      </c>
      <c r="E3106" s="34" t="s">
        <v>436</v>
      </c>
      <c r="F3106" s="34" t="str">
        <f>VLOOKUP(Sales[[#This Row],[Product ID]],Product[#All],2,0)</f>
        <v>Amazon Basics Hdmi Cable</v>
      </c>
      <c r="G3106" s="53">
        <v>2</v>
      </c>
      <c r="H3106" s="165">
        <f>VLOOKUP(Sales[[#This Row],[Product ID]],Product[#All],7,0)</f>
        <v>860</v>
      </c>
      <c r="I3106" s="165">
        <f>Sales[[#This Row],[Selling Rate]]*Sales[[#This Row],[Qty]]</f>
        <v>1720</v>
      </c>
      <c r="J3106" s="45">
        <v>0.05</v>
      </c>
      <c r="K3106" s="46">
        <f>Sales[[#This Row],[Gross Amount]]*Sales[[#This Row],[Disc %]]</f>
        <v>86</v>
      </c>
      <c r="L3106" s="43">
        <v>0.18</v>
      </c>
      <c r="M3106" s="46">
        <f>(Sales[[#This Row],[Gross Amount]]-Sales[[#This Row],[Disc. Amt.]])*Sales[[#This Row],[GST %]]</f>
        <v>294.12</v>
      </c>
      <c r="N3106" s="161">
        <f>Sales[[#This Row],[Gross Amount]]-Sales[[#This Row],[Disc. Amt.]]+Sales[[#This Row],[GST Amount]]</f>
        <v>1928.12</v>
      </c>
      <c r="O3106" s="34" t="s">
        <v>3561</v>
      </c>
      <c r="P3106" s="34" t="s">
        <v>3562</v>
      </c>
      <c r="Q3106" s="165">
        <f>IF(Sales[[#This Row],[Status]]="Cancelled",0,Sales[[#This Row],[Qty]])</f>
        <v>2</v>
      </c>
      <c r="R3106" s="166">
        <f>IF(Sales[[#This Row],[Status]]="Cancelled",0,Sales[[#This Row],[Total Amount]])</f>
        <v>1928.12</v>
      </c>
      <c r="S3106" s="162">
        <f>SUM(Sales[Net Amount])</f>
        <v>406839287.73200053</v>
      </c>
    </row>
    <row r="3107" spans="1:19" ht="18.75" x14ac:dyDescent="0.25">
      <c r="A3107" s="156" t="s">
        <v>6756</v>
      </c>
      <c r="B3107" s="157">
        <v>45933</v>
      </c>
      <c r="C3107" s="158" t="s">
        <v>823</v>
      </c>
      <c r="D3107" s="159" t="str">
        <f>VLOOKUP(Sales[[#This Row],[Customer ID]],Customer[#All],2,0)</f>
        <v>Pooja Singh</v>
      </c>
      <c r="E3107" s="158" t="s">
        <v>511</v>
      </c>
      <c r="F3107" s="158" t="str">
        <f>VLOOKUP(Sales[[#This Row],[Product ID]],Product[#All],2,0)</f>
        <v>Amazon Basics Hdmi Cable</v>
      </c>
      <c r="G3107" s="159">
        <v>6</v>
      </c>
      <c r="H3107" s="160">
        <f>VLOOKUP(Sales[[#This Row],[Product ID]],Product[#All],7,0)</f>
        <v>1240</v>
      </c>
      <c r="I3107" s="160">
        <f>Sales[[#This Row],[Selling Rate]]*Sales[[#This Row],[Qty]]</f>
        <v>7440</v>
      </c>
      <c r="J3107" s="43">
        <v>0.02</v>
      </c>
      <c r="K3107" s="44">
        <f>Sales[[#This Row],[Gross Amount]]*Sales[[#This Row],[Disc %]]</f>
        <v>148.80000000000001</v>
      </c>
      <c r="L3107" s="43">
        <v>0.18</v>
      </c>
      <c r="M3107" s="44">
        <f>(Sales[[#This Row],[Gross Amount]]-Sales[[#This Row],[Disc. Amt.]])*Sales[[#This Row],[GST %]]</f>
        <v>1312.4159999999999</v>
      </c>
      <c r="N3107" s="161">
        <f>Sales[[#This Row],[Gross Amount]]-Sales[[#This Row],[Disc. Amt.]]+Sales[[#This Row],[GST Amount]]</f>
        <v>8603.616</v>
      </c>
      <c r="O3107" s="158" t="s">
        <v>3566</v>
      </c>
      <c r="P3107" s="158" t="s">
        <v>3562</v>
      </c>
      <c r="Q3107" s="160">
        <f>IF(Sales[[#This Row],[Status]]="Cancelled",0,Sales[[#This Row],[Qty]])</f>
        <v>6</v>
      </c>
      <c r="R3107" s="161">
        <f>IF(Sales[[#This Row],[Status]]="Cancelled",0,Sales[[#This Row],[Total Amount]])</f>
        <v>8603.616</v>
      </c>
      <c r="S3107" s="162">
        <f>SUM(Sales[Net Amount])</f>
        <v>406839287.73200053</v>
      </c>
    </row>
    <row r="3108" spans="1:19" ht="18.75" x14ac:dyDescent="0.25">
      <c r="A3108" s="163" t="s">
        <v>6757</v>
      </c>
      <c r="B3108" s="164">
        <v>45934</v>
      </c>
      <c r="C3108" s="34" t="s">
        <v>904</v>
      </c>
      <c r="D3108" s="53" t="str">
        <f>VLOOKUP(Sales[[#This Row],[Customer ID]],Customer[#All],2,0)</f>
        <v>Sahil Patel</v>
      </c>
      <c r="E3108" s="34" t="s">
        <v>520</v>
      </c>
      <c r="F3108" s="34" t="str">
        <f>VLOOKUP(Sales[[#This Row],[Product ID]],Product[#All],2,0)</f>
        <v>HP Desktop</v>
      </c>
      <c r="G3108" s="53">
        <v>2</v>
      </c>
      <c r="H3108" s="165">
        <f>VLOOKUP(Sales[[#This Row],[Product ID]],Product[#All],7,0)</f>
        <v>40200</v>
      </c>
      <c r="I3108" s="165">
        <f>Sales[[#This Row],[Selling Rate]]*Sales[[#This Row],[Qty]]</f>
        <v>80400</v>
      </c>
      <c r="J3108" s="45">
        <v>0.15</v>
      </c>
      <c r="K3108" s="46">
        <f>Sales[[#This Row],[Gross Amount]]*Sales[[#This Row],[Disc %]]</f>
        <v>12060</v>
      </c>
      <c r="L3108" s="43">
        <v>0.18</v>
      </c>
      <c r="M3108" s="46">
        <f>(Sales[[#This Row],[Gross Amount]]-Sales[[#This Row],[Disc. Amt.]])*Sales[[#This Row],[GST %]]</f>
        <v>12301.199999999999</v>
      </c>
      <c r="N3108" s="161">
        <f>Sales[[#This Row],[Gross Amount]]-Sales[[#This Row],[Disc. Amt.]]+Sales[[#This Row],[GST Amount]]</f>
        <v>80641.2</v>
      </c>
      <c r="O3108" s="34" t="s">
        <v>3566</v>
      </c>
      <c r="P3108" s="34" t="s">
        <v>3562</v>
      </c>
      <c r="Q3108" s="165">
        <f>IF(Sales[[#This Row],[Status]]="Cancelled",0,Sales[[#This Row],[Qty]])</f>
        <v>2</v>
      </c>
      <c r="R3108" s="166">
        <f>IF(Sales[[#This Row],[Status]]="Cancelled",0,Sales[[#This Row],[Total Amount]])</f>
        <v>80641.2</v>
      </c>
      <c r="S3108" s="162">
        <f>SUM(Sales[Net Amount])</f>
        <v>406839287.73200053</v>
      </c>
    </row>
    <row r="3109" spans="1:19" ht="18.75" x14ac:dyDescent="0.25">
      <c r="A3109" s="156" t="s">
        <v>6758</v>
      </c>
      <c r="B3109" s="157">
        <v>45934</v>
      </c>
      <c r="C3109" s="158" t="s">
        <v>725</v>
      </c>
      <c r="D3109" s="159" t="str">
        <f>VLOOKUP(Sales[[#This Row],[Customer ID]],Customer[#All],2,0)</f>
        <v>Ankit Kumar</v>
      </c>
      <c r="E3109" s="158" t="s">
        <v>167</v>
      </c>
      <c r="F3109" s="158" t="str">
        <f>VLOOKUP(Sales[[#This Row],[Product ID]],Product[#All],2,0)</f>
        <v>Logitech Keyboard</v>
      </c>
      <c r="G3109" s="159">
        <v>6</v>
      </c>
      <c r="H3109" s="160">
        <f>VLOOKUP(Sales[[#This Row],[Product ID]],Product[#All],7,0)</f>
        <v>2460</v>
      </c>
      <c r="I3109" s="160">
        <f>Sales[[#This Row],[Selling Rate]]*Sales[[#This Row],[Qty]]</f>
        <v>14760</v>
      </c>
      <c r="J3109" s="43">
        <v>0</v>
      </c>
      <c r="K3109" s="44">
        <f>Sales[[#This Row],[Gross Amount]]*Sales[[#This Row],[Disc %]]</f>
        <v>0</v>
      </c>
      <c r="L3109" s="43">
        <v>0.18</v>
      </c>
      <c r="M3109" s="44">
        <f>(Sales[[#This Row],[Gross Amount]]-Sales[[#This Row],[Disc. Amt.]])*Sales[[#This Row],[GST %]]</f>
        <v>2656.7999999999997</v>
      </c>
      <c r="N3109" s="161">
        <f>Sales[[#This Row],[Gross Amount]]-Sales[[#This Row],[Disc. Amt.]]+Sales[[#This Row],[GST Amount]]</f>
        <v>17416.8</v>
      </c>
      <c r="O3109" s="158" t="s">
        <v>3561</v>
      </c>
      <c r="P3109" s="158" t="s">
        <v>3562</v>
      </c>
      <c r="Q3109" s="160">
        <f>IF(Sales[[#This Row],[Status]]="Cancelled",0,Sales[[#This Row],[Qty]])</f>
        <v>6</v>
      </c>
      <c r="R3109" s="161">
        <f>IF(Sales[[#This Row],[Status]]="Cancelled",0,Sales[[#This Row],[Total Amount]])</f>
        <v>17416.8</v>
      </c>
      <c r="S3109" s="162">
        <f>SUM(Sales[Net Amount])</f>
        <v>406839287.73200053</v>
      </c>
    </row>
    <row r="3110" spans="1:19" ht="18.75" x14ac:dyDescent="0.25">
      <c r="A3110" s="163" t="s">
        <v>6759</v>
      </c>
      <c r="B3110" s="164">
        <v>45934</v>
      </c>
      <c r="C3110" s="34" t="s">
        <v>922</v>
      </c>
      <c r="D3110" s="53" t="str">
        <f>VLOOKUP(Sales[[#This Row],[Customer ID]],Customer[#All],2,0)</f>
        <v>Pooja Patel</v>
      </c>
      <c r="E3110" s="34" t="s">
        <v>420</v>
      </c>
      <c r="F3110" s="34" t="str">
        <f>VLOOKUP(Sales[[#This Row],[Product ID]],Product[#All],2,0)</f>
        <v>Logitech Keyboard</v>
      </c>
      <c r="G3110" s="53">
        <v>3</v>
      </c>
      <c r="H3110" s="165">
        <f>VLOOKUP(Sales[[#This Row],[Product ID]],Product[#All],7,0)</f>
        <v>3430</v>
      </c>
      <c r="I3110" s="165">
        <f>Sales[[#This Row],[Selling Rate]]*Sales[[#This Row],[Qty]]</f>
        <v>10290</v>
      </c>
      <c r="J3110" s="45">
        <v>0.02</v>
      </c>
      <c r="K3110" s="46">
        <f>Sales[[#This Row],[Gross Amount]]*Sales[[#This Row],[Disc %]]</f>
        <v>205.8</v>
      </c>
      <c r="L3110" s="43">
        <v>0.18</v>
      </c>
      <c r="M3110" s="46">
        <f>(Sales[[#This Row],[Gross Amount]]-Sales[[#This Row],[Disc. Amt.]])*Sales[[#This Row],[GST %]]</f>
        <v>1815.1560000000002</v>
      </c>
      <c r="N3110" s="161">
        <f>Sales[[#This Row],[Gross Amount]]-Sales[[#This Row],[Disc. Amt.]]+Sales[[#This Row],[GST Amount]]</f>
        <v>11899.356000000002</v>
      </c>
      <c r="O3110" s="34" t="s">
        <v>3561</v>
      </c>
      <c r="P3110" s="34" t="s">
        <v>3562</v>
      </c>
      <c r="Q3110" s="165">
        <f>IF(Sales[[#This Row],[Status]]="Cancelled",0,Sales[[#This Row],[Qty]])</f>
        <v>3</v>
      </c>
      <c r="R3110" s="166">
        <f>IF(Sales[[#This Row],[Status]]="Cancelled",0,Sales[[#This Row],[Total Amount]])</f>
        <v>11899.356000000002</v>
      </c>
      <c r="S3110" s="162">
        <f>SUM(Sales[Net Amount])</f>
        <v>406839287.73200053</v>
      </c>
    </row>
    <row r="3111" spans="1:19" ht="18.75" x14ac:dyDescent="0.25">
      <c r="A3111" s="156" t="s">
        <v>6760</v>
      </c>
      <c r="B3111" s="157">
        <v>45934</v>
      </c>
      <c r="C3111" s="158" t="s">
        <v>667</v>
      </c>
      <c r="D3111" s="159" t="str">
        <f>VLOOKUP(Sales[[#This Row],[Customer ID]],Customer[#All],2,0)</f>
        <v>Neha Gupta</v>
      </c>
      <c r="E3111" s="158" t="s">
        <v>210</v>
      </c>
      <c r="F3111" s="158" t="str">
        <f>VLOOKUP(Sales[[#This Row],[Product ID]],Product[#All],2,0)</f>
        <v>Jbl Headset</v>
      </c>
      <c r="G3111" s="159">
        <v>1</v>
      </c>
      <c r="H3111" s="160">
        <f>VLOOKUP(Sales[[#This Row],[Product ID]],Product[#All],7,0)</f>
        <v>1130</v>
      </c>
      <c r="I3111" s="160">
        <f>Sales[[#This Row],[Selling Rate]]*Sales[[#This Row],[Qty]]</f>
        <v>1130</v>
      </c>
      <c r="J3111" s="43">
        <v>0</v>
      </c>
      <c r="K3111" s="44">
        <f>Sales[[#This Row],[Gross Amount]]*Sales[[#This Row],[Disc %]]</f>
        <v>0</v>
      </c>
      <c r="L3111" s="43">
        <v>0.18</v>
      </c>
      <c r="M3111" s="44">
        <f>(Sales[[#This Row],[Gross Amount]]-Sales[[#This Row],[Disc. Amt.]])*Sales[[#This Row],[GST %]]</f>
        <v>203.4</v>
      </c>
      <c r="N3111" s="161">
        <f>Sales[[#This Row],[Gross Amount]]-Sales[[#This Row],[Disc. Amt.]]+Sales[[#This Row],[GST Amount]]</f>
        <v>1333.4</v>
      </c>
      <c r="O3111" s="158" t="s">
        <v>8876</v>
      </c>
      <c r="P3111" s="158" t="s">
        <v>3562</v>
      </c>
      <c r="Q3111" s="160">
        <f>IF(Sales[[#This Row],[Status]]="Cancelled",0,Sales[[#This Row],[Qty]])</f>
        <v>1</v>
      </c>
      <c r="R3111" s="161">
        <f>IF(Sales[[#This Row],[Status]]="Cancelled",0,Sales[[#This Row],[Total Amount]])</f>
        <v>1333.4</v>
      </c>
      <c r="S3111" s="162">
        <f>SUM(Sales[Net Amount])</f>
        <v>406839287.73200053</v>
      </c>
    </row>
    <row r="3112" spans="1:19" ht="18.75" x14ac:dyDescent="0.25">
      <c r="A3112" s="163" t="s">
        <v>6761</v>
      </c>
      <c r="B3112" s="164">
        <v>45934</v>
      </c>
      <c r="C3112" s="34" t="s">
        <v>695</v>
      </c>
      <c r="D3112" s="53" t="str">
        <f>VLOOKUP(Sales[[#This Row],[Customer ID]],Customer[#All],2,0)</f>
        <v>Rahul Kumar</v>
      </c>
      <c r="E3112" s="34" t="s">
        <v>212</v>
      </c>
      <c r="F3112" s="34" t="str">
        <f>VLOOKUP(Sales[[#This Row],[Product ID]],Product[#All],2,0)</f>
        <v>Jbl Headset</v>
      </c>
      <c r="G3112" s="53">
        <v>6</v>
      </c>
      <c r="H3112" s="165">
        <f>VLOOKUP(Sales[[#This Row],[Product ID]],Product[#All],7,0)</f>
        <v>1230</v>
      </c>
      <c r="I3112" s="165">
        <f>Sales[[#This Row],[Selling Rate]]*Sales[[#This Row],[Qty]]</f>
        <v>7380</v>
      </c>
      <c r="J3112" s="45">
        <v>0</v>
      </c>
      <c r="K3112" s="46">
        <f>Sales[[#This Row],[Gross Amount]]*Sales[[#This Row],[Disc %]]</f>
        <v>0</v>
      </c>
      <c r="L3112" s="43">
        <v>0.18</v>
      </c>
      <c r="M3112" s="46">
        <f>(Sales[[#This Row],[Gross Amount]]-Sales[[#This Row],[Disc. Amt.]])*Sales[[#This Row],[GST %]]</f>
        <v>1328.3999999999999</v>
      </c>
      <c r="N3112" s="161">
        <f>Sales[[#This Row],[Gross Amount]]-Sales[[#This Row],[Disc. Amt.]]+Sales[[#This Row],[GST Amount]]</f>
        <v>8708.4</v>
      </c>
      <c r="O3112" s="34" t="s">
        <v>3561</v>
      </c>
      <c r="P3112" s="34" t="s">
        <v>3562</v>
      </c>
      <c r="Q3112" s="165">
        <f>IF(Sales[[#This Row],[Status]]="Cancelled",0,Sales[[#This Row],[Qty]])</f>
        <v>6</v>
      </c>
      <c r="R3112" s="166">
        <f>IF(Sales[[#This Row],[Status]]="Cancelled",0,Sales[[#This Row],[Total Amount]])</f>
        <v>8708.4</v>
      </c>
      <c r="S3112" s="162">
        <f>SUM(Sales[Net Amount])</f>
        <v>406839287.73200053</v>
      </c>
    </row>
    <row r="3113" spans="1:19" ht="18.75" x14ac:dyDescent="0.25">
      <c r="A3113" s="156" t="s">
        <v>6762</v>
      </c>
      <c r="B3113" s="157">
        <v>45934</v>
      </c>
      <c r="C3113" s="158" t="s">
        <v>918</v>
      </c>
      <c r="D3113" s="159" t="str">
        <f>VLOOKUP(Sales[[#This Row],[Customer ID]],Customer[#All],2,0)</f>
        <v>Pooja Patel</v>
      </c>
      <c r="E3113" s="158" t="s">
        <v>312</v>
      </c>
      <c r="F3113" s="158" t="str">
        <f>VLOOKUP(Sales[[#This Row],[Product ID]],Product[#All],2,0)</f>
        <v>Dell Desktop</v>
      </c>
      <c r="G3113" s="159">
        <v>7</v>
      </c>
      <c r="H3113" s="160">
        <f>VLOOKUP(Sales[[#This Row],[Product ID]],Product[#All],7,0)</f>
        <v>59050</v>
      </c>
      <c r="I3113" s="160">
        <f>Sales[[#This Row],[Selling Rate]]*Sales[[#This Row],[Qty]]</f>
        <v>413350</v>
      </c>
      <c r="J3113" s="43">
        <v>0</v>
      </c>
      <c r="K3113" s="44">
        <f>Sales[[#This Row],[Gross Amount]]*Sales[[#This Row],[Disc %]]</f>
        <v>0</v>
      </c>
      <c r="L3113" s="43">
        <v>0.18</v>
      </c>
      <c r="M3113" s="44">
        <f>(Sales[[#This Row],[Gross Amount]]-Sales[[#This Row],[Disc. Amt.]])*Sales[[#This Row],[GST %]]</f>
        <v>74403</v>
      </c>
      <c r="N3113" s="161">
        <f>Sales[[#This Row],[Gross Amount]]-Sales[[#This Row],[Disc. Amt.]]+Sales[[#This Row],[GST Amount]]</f>
        <v>487753</v>
      </c>
      <c r="O3113" s="158" t="s">
        <v>3561</v>
      </c>
      <c r="P3113" s="158" t="s">
        <v>3562</v>
      </c>
      <c r="Q3113" s="160">
        <f>IF(Sales[[#This Row],[Status]]="Cancelled",0,Sales[[#This Row],[Qty]])</f>
        <v>7</v>
      </c>
      <c r="R3113" s="161">
        <f>IF(Sales[[#This Row],[Status]]="Cancelled",0,Sales[[#This Row],[Total Amount]])</f>
        <v>487753</v>
      </c>
      <c r="S3113" s="162">
        <f>SUM(Sales[Net Amount])</f>
        <v>406839287.73200053</v>
      </c>
    </row>
    <row r="3114" spans="1:19" ht="18.75" x14ac:dyDescent="0.25">
      <c r="A3114" s="163" t="s">
        <v>6763</v>
      </c>
      <c r="B3114" s="164">
        <v>45934</v>
      </c>
      <c r="C3114" s="34" t="s">
        <v>920</v>
      </c>
      <c r="D3114" s="53" t="str">
        <f>VLOOKUP(Sales[[#This Row],[Customer ID]],Customer[#All],2,0)</f>
        <v>Rakesh Sharma</v>
      </c>
      <c r="E3114" s="34" t="s">
        <v>544</v>
      </c>
      <c r="F3114" s="34" t="str">
        <f>VLOOKUP(Sales[[#This Row],[Product ID]],Product[#All],2,0)</f>
        <v>HP Printer</v>
      </c>
      <c r="G3114" s="53">
        <v>5</v>
      </c>
      <c r="H3114" s="165">
        <f>VLOOKUP(Sales[[#This Row],[Product ID]],Product[#All],7,0)</f>
        <v>18010</v>
      </c>
      <c r="I3114" s="165">
        <f>Sales[[#This Row],[Selling Rate]]*Sales[[#This Row],[Qty]]</f>
        <v>90050</v>
      </c>
      <c r="J3114" s="45">
        <v>0.15</v>
      </c>
      <c r="K3114" s="46">
        <f>Sales[[#This Row],[Gross Amount]]*Sales[[#This Row],[Disc %]]</f>
        <v>13507.5</v>
      </c>
      <c r="L3114" s="43">
        <v>0.18</v>
      </c>
      <c r="M3114" s="46">
        <f>(Sales[[#This Row],[Gross Amount]]-Sales[[#This Row],[Disc. Amt.]])*Sales[[#This Row],[GST %]]</f>
        <v>13777.65</v>
      </c>
      <c r="N3114" s="161">
        <f>Sales[[#This Row],[Gross Amount]]-Sales[[#This Row],[Disc. Amt.]]+Sales[[#This Row],[GST Amount]]</f>
        <v>90320.15</v>
      </c>
      <c r="O3114" s="34" t="s">
        <v>3566</v>
      </c>
      <c r="P3114" s="34" t="s">
        <v>3562</v>
      </c>
      <c r="Q3114" s="165">
        <f>IF(Sales[[#This Row],[Status]]="Cancelled",0,Sales[[#This Row],[Qty]])</f>
        <v>5</v>
      </c>
      <c r="R3114" s="166">
        <f>IF(Sales[[#This Row],[Status]]="Cancelled",0,Sales[[#This Row],[Total Amount]])</f>
        <v>90320.15</v>
      </c>
      <c r="S3114" s="162">
        <f>SUM(Sales[Net Amount])</f>
        <v>406839287.73200053</v>
      </c>
    </row>
    <row r="3115" spans="1:19" ht="18.75" x14ac:dyDescent="0.25">
      <c r="A3115" s="156" t="s">
        <v>6764</v>
      </c>
      <c r="B3115" s="157">
        <v>45934</v>
      </c>
      <c r="C3115" s="158" t="s">
        <v>732</v>
      </c>
      <c r="D3115" s="159" t="str">
        <f>VLOOKUP(Sales[[#This Row],[Customer ID]],Customer[#All],2,0)</f>
        <v>Sunita Gupta</v>
      </c>
      <c r="E3115" s="158" t="s">
        <v>152</v>
      </c>
      <c r="F3115" s="158" t="str">
        <f>VLOOKUP(Sales[[#This Row],[Product ID]],Product[#All],2,0)</f>
        <v>Acer Laptop</v>
      </c>
      <c r="G3115" s="159">
        <v>5</v>
      </c>
      <c r="H3115" s="160">
        <f>VLOOKUP(Sales[[#This Row],[Product ID]],Product[#All],7,0)</f>
        <v>33410</v>
      </c>
      <c r="I3115" s="160">
        <f>Sales[[#This Row],[Selling Rate]]*Sales[[#This Row],[Qty]]</f>
        <v>167050</v>
      </c>
      <c r="J3115" s="43">
        <v>0.12</v>
      </c>
      <c r="K3115" s="44">
        <f>Sales[[#This Row],[Gross Amount]]*Sales[[#This Row],[Disc %]]</f>
        <v>20046</v>
      </c>
      <c r="L3115" s="43">
        <v>0.18</v>
      </c>
      <c r="M3115" s="44">
        <f>(Sales[[#This Row],[Gross Amount]]-Sales[[#This Row],[Disc. Amt.]])*Sales[[#This Row],[GST %]]</f>
        <v>26460.719999999998</v>
      </c>
      <c r="N3115" s="161">
        <f>Sales[[#This Row],[Gross Amount]]-Sales[[#This Row],[Disc. Amt.]]+Sales[[#This Row],[GST Amount]]</f>
        <v>173464.72</v>
      </c>
      <c r="O3115" s="158" t="s">
        <v>8876</v>
      </c>
      <c r="P3115" s="158" t="s">
        <v>3562</v>
      </c>
      <c r="Q3115" s="160">
        <f>IF(Sales[[#This Row],[Status]]="Cancelled",0,Sales[[#This Row],[Qty]])</f>
        <v>5</v>
      </c>
      <c r="R3115" s="161">
        <f>IF(Sales[[#This Row],[Status]]="Cancelled",0,Sales[[#This Row],[Total Amount]])</f>
        <v>173464.72</v>
      </c>
      <c r="S3115" s="162">
        <f>SUM(Sales[Net Amount])</f>
        <v>406839287.73200053</v>
      </c>
    </row>
    <row r="3116" spans="1:19" ht="18.75" x14ac:dyDescent="0.25">
      <c r="A3116" s="163" t="s">
        <v>6765</v>
      </c>
      <c r="B3116" s="164">
        <v>45934</v>
      </c>
      <c r="C3116" s="34" t="s">
        <v>729</v>
      </c>
      <c r="D3116" s="53" t="str">
        <f>VLOOKUP(Sales[[#This Row],[Customer ID]],Customer[#All],2,0)</f>
        <v>Ankit Kumar</v>
      </c>
      <c r="E3116" s="34" t="s">
        <v>298</v>
      </c>
      <c r="F3116" s="34" t="str">
        <f>VLOOKUP(Sales[[#This Row],[Product ID]],Product[#All],2,0)</f>
        <v>Dell Monitor</v>
      </c>
      <c r="G3116" s="53">
        <v>7</v>
      </c>
      <c r="H3116" s="165">
        <f>VLOOKUP(Sales[[#This Row],[Product ID]],Product[#All],7,0)</f>
        <v>25790</v>
      </c>
      <c r="I3116" s="165">
        <f>Sales[[#This Row],[Selling Rate]]*Sales[[#This Row],[Qty]]</f>
        <v>180530</v>
      </c>
      <c r="J3116" s="45">
        <v>0.05</v>
      </c>
      <c r="K3116" s="46">
        <f>Sales[[#This Row],[Gross Amount]]*Sales[[#This Row],[Disc %]]</f>
        <v>9026.5</v>
      </c>
      <c r="L3116" s="43">
        <v>0.18</v>
      </c>
      <c r="M3116" s="46">
        <f>(Sales[[#This Row],[Gross Amount]]-Sales[[#This Row],[Disc. Amt.]])*Sales[[#This Row],[GST %]]</f>
        <v>30870.629999999997</v>
      </c>
      <c r="N3116" s="161">
        <f>Sales[[#This Row],[Gross Amount]]-Sales[[#This Row],[Disc. Amt.]]+Sales[[#This Row],[GST Amount]]</f>
        <v>202374.13</v>
      </c>
      <c r="O3116" s="34" t="s">
        <v>8876</v>
      </c>
      <c r="P3116" s="34" t="s">
        <v>1040</v>
      </c>
      <c r="Q3116" s="165">
        <f>IF(Sales[[#This Row],[Status]]="Cancelled",0,Sales[[#This Row],[Qty]])</f>
        <v>0</v>
      </c>
      <c r="R3116" s="166">
        <f>IF(Sales[[#This Row],[Status]]="Cancelled",0,Sales[[#This Row],[Total Amount]])</f>
        <v>0</v>
      </c>
      <c r="S3116" s="162">
        <f>SUM(Sales[Net Amount])</f>
        <v>406839287.73200053</v>
      </c>
    </row>
    <row r="3117" spans="1:19" ht="18.75" x14ac:dyDescent="0.25">
      <c r="A3117" s="156" t="s">
        <v>6766</v>
      </c>
      <c r="B3117" s="157">
        <v>45934</v>
      </c>
      <c r="C3117" s="158" t="s">
        <v>709</v>
      </c>
      <c r="D3117" s="159" t="str">
        <f>VLOOKUP(Sales[[#This Row],[Customer ID]],Customer[#All],2,0)</f>
        <v>Ankit Kumar</v>
      </c>
      <c r="E3117" s="158" t="s">
        <v>522</v>
      </c>
      <c r="F3117" s="158" t="str">
        <f>VLOOKUP(Sales[[#This Row],[Product ID]],Product[#All],2,0)</f>
        <v>Dell Keyboard</v>
      </c>
      <c r="G3117" s="159">
        <v>2</v>
      </c>
      <c r="H3117" s="160">
        <f>VLOOKUP(Sales[[#This Row],[Product ID]],Product[#All],7,0)</f>
        <v>3020</v>
      </c>
      <c r="I3117" s="160">
        <f>Sales[[#This Row],[Selling Rate]]*Sales[[#This Row],[Qty]]</f>
        <v>6040</v>
      </c>
      <c r="J3117" s="43">
        <v>0.05</v>
      </c>
      <c r="K3117" s="44">
        <f>Sales[[#This Row],[Gross Amount]]*Sales[[#This Row],[Disc %]]</f>
        <v>302</v>
      </c>
      <c r="L3117" s="43">
        <v>0.18</v>
      </c>
      <c r="M3117" s="44">
        <f>(Sales[[#This Row],[Gross Amount]]-Sales[[#This Row],[Disc. Amt.]])*Sales[[#This Row],[GST %]]</f>
        <v>1032.8399999999999</v>
      </c>
      <c r="N3117" s="161">
        <f>Sales[[#This Row],[Gross Amount]]-Sales[[#This Row],[Disc. Amt.]]+Sales[[#This Row],[GST Amount]]</f>
        <v>6770.84</v>
      </c>
      <c r="O3117" s="158" t="s">
        <v>3561</v>
      </c>
      <c r="P3117" s="158" t="s">
        <v>3562</v>
      </c>
      <c r="Q3117" s="160">
        <f>IF(Sales[[#This Row],[Status]]="Cancelled",0,Sales[[#This Row],[Qty]])</f>
        <v>2</v>
      </c>
      <c r="R3117" s="161">
        <f>IF(Sales[[#This Row],[Status]]="Cancelled",0,Sales[[#This Row],[Total Amount]])</f>
        <v>6770.84</v>
      </c>
      <c r="S3117" s="162">
        <f>SUM(Sales[Net Amount])</f>
        <v>406839287.73200053</v>
      </c>
    </row>
    <row r="3118" spans="1:19" ht="18.75" x14ac:dyDescent="0.25">
      <c r="A3118" s="163" t="s">
        <v>6767</v>
      </c>
      <c r="B3118" s="164">
        <v>45934</v>
      </c>
      <c r="C3118" s="34" t="s">
        <v>6768</v>
      </c>
      <c r="D3118" s="53" t="str">
        <f>VLOOKUP(Sales[[#This Row],[Customer ID]],Customer[#All],2,0)</f>
        <v>Pooja Singh</v>
      </c>
      <c r="E3118" s="34" t="s">
        <v>344</v>
      </c>
      <c r="F3118" s="34" t="str">
        <f>VLOOKUP(Sales[[#This Row],[Product ID]],Product[#All],2,0)</f>
        <v>WD HDD</v>
      </c>
      <c r="G3118" s="53">
        <v>7</v>
      </c>
      <c r="H3118" s="165">
        <f>VLOOKUP(Sales[[#This Row],[Product ID]],Product[#All],7,0)</f>
        <v>11260</v>
      </c>
      <c r="I3118" s="165">
        <f>Sales[[#This Row],[Selling Rate]]*Sales[[#This Row],[Qty]]</f>
        <v>78820</v>
      </c>
      <c r="J3118" s="45">
        <v>0.05</v>
      </c>
      <c r="K3118" s="46">
        <f>Sales[[#This Row],[Gross Amount]]*Sales[[#This Row],[Disc %]]</f>
        <v>3941</v>
      </c>
      <c r="L3118" s="43">
        <v>0.18</v>
      </c>
      <c r="M3118" s="46">
        <f>(Sales[[#This Row],[Gross Amount]]-Sales[[#This Row],[Disc. Amt.]])*Sales[[#This Row],[GST %]]</f>
        <v>13478.22</v>
      </c>
      <c r="N3118" s="161">
        <f>Sales[[#This Row],[Gross Amount]]-Sales[[#This Row],[Disc. Amt.]]+Sales[[#This Row],[GST Amount]]</f>
        <v>88357.22</v>
      </c>
      <c r="O3118" s="34" t="s">
        <v>8876</v>
      </c>
      <c r="P3118" s="34" t="s">
        <v>3562</v>
      </c>
      <c r="Q3118" s="165">
        <f>IF(Sales[[#This Row],[Status]]="Cancelled",0,Sales[[#This Row],[Qty]])</f>
        <v>7</v>
      </c>
      <c r="R3118" s="166">
        <f>IF(Sales[[#This Row],[Status]]="Cancelled",0,Sales[[#This Row],[Total Amount]])</f>
        <v>88357.22</v>
      </c>
      <c r="S3118" s="162">
        <f>SUM(Sales[Net Amount])</f>
        <v>406839287.73200053</v>
      </c>
    </row>
    <row r="3119" spans="1:19" ht="18.75" x14ac:dyDescent="0.25">
      <c r="A3119" s="156" t="s">
        <v>6769</v>
      </c>
      <c r="B3119" s="157">
        <v>45934</v>
      </c>
      <c r="C3119" s="158" t="s">
        <v>731</v>
      </c>
      <c r="D3119" s="159" t="str">
        <f>VLOOKUP(Sales[[#This Row],[Customer ID]],Customer[#All],2,0)</f>
        <v>Neha Singh</v>
      </c>
      <c r="E3119" s="158" t="s">
        <v>358</v>
      </c>
      <c r="F3119" s="158" t="str">
        <f>VLOOKUP(Sales[[#This Row],[Product ID]],Product[#All],2,0)</f>
        <v>TP-link Router</v>
      </c>
      <c r="G3119" s="159">
        <v>4</v>
      </c>
      <c r="H3119" s="160">
        <f>VLOOKUP(Sales[[#This Row],[Product ID]],Product[#All],7,0)</f>
        <v>3970</v>
      </c>
      <c r="I3119" s="160">
        <f>Sales[[#This Row],[Selling Rate]]*Sales[[#This Row],[Qty]]</f>
        <v>15880</v>
      </c>
      <c r="J3119" s="43">
        <v>0</v>
      </c>
      <c r="K3119" s="44">
        <f>Sales[[#This Row],[Gross Amount]]*Sales[[#This Row],[Disc %]]</f>
        <v>0</v>
      </c>
      <c r="L3119" s="43">
        <v>0.18</v>
      </c>
      <c r="M3119" s="44">
        <f>(Sales[[#This Row],[Gross Amount]]-Sales[[#This Row],[Disc. Amt.]])*Sales[[#This Row],[GST %]]</f>
        <v>2858.4</v>
      </c>
      <c r="N3119" s="161">
        <f>Sales[[#This Row],[Gross Amount]]-Sales[[#This Row],[Disc. Amt.]]+Sales[[#This Row],[GST Amount]]</f>
        <v>18738.400000000001</v>
      </c>
      <c r="O3119" s="158" t="s">
        <v>3569</v>
      </c>
      <c r="P3119" s="158" t="s">
        <v>3562</v>
      </c>
      <c r="Q3119" s="160">
        <f>IF(Sales[[#This Row],[Status]]="Cancelled",0,Sales[[#This Row],[Qty]])</f>
        <v>4</v>
      </c>
      <c r="R3119" s="161">
        <f>IF(Sales[[#This Row],[Status]]="Cancelled",0,Sales[[#This Row],[Total Amount]])</f>
        <v>18738.400000000001</v>
      </c>
      <c r="S3119" s="162">
        <f>SUM(Sales[Net Amount])</f>
        <v>406839287.73200053</v>
      </c>
    </row>
    <row r="3120" spans="1:19" ht="18.75" x14ac:dyDescent="0.25">
      <c r="A3120" s="163" t="s">
        <v>6770</v>
      </c>
      <c r="B3120" s="164">
        <v>45934</v>
      </c>
      <c r="C3120" s="34" t="s">
        <v>745</v>
      </c>
      <c r="D3120" s="53" t="str">
        <f>VLOOKUP(Sales[[#This Row],[Customer ID]],Customer[#All],2,0)</f>
        <v>Priya Kumar</v>
      </c>
      <c r="E3120" s="34" t="s">
        <v>233</v>
      </c>
      <c r="F3120" s="34" t="str">
        <f>VLOOKUP(Sales[[#This Row],[Product ID]],Product[#All],2,0)</f>
        <v>HP Mouse</v>
      </c>
      <c r="G3120" s="53">
        <v>7</v>
      </c>
      <c r="H3120" s="165">
        <f>VLOOKUP(Sales[[#This Row],[Product ID]],Product[#All],7,0)</f>
        <v>860</v>
      </c>
      <c r="I3120" s="165">
        <f>Sales[[#This Row],[Selling Rate]]*Sales[[#This Row],[Qty]]</f>
        <v>6020</v>
      </c>
      <c r="J3120" s="45">
        <v>0.05</v>
      </c>
      <c r="K3120" s="46">
        <f>Sales[[#This Row],[Gross Amount]]*Sales[[#This Row],[Disc %]]</f>
        <v>301</v>
      </c>
      <c r="L3120" s="43">
        <v>0.18</v>
      </c>
      <c r="M3120" s="46">
        <f>(Sales[[#This Row],[Gross Amount]]-Sales[[#This Row],[Disc. Amt.]])*Sales[[#This Row],[GST %]]</f>
        <v>1029.42</v>
      </c>
      <c r="N3120" s="161">
        <f>Sales[[#This Row],[Gross Amount]]-Sales[[#This Row],[Disc. Amt.]]+Sales[[#This Row],[GST Amount]]</f>
        <v>6748.42</v>
      </c>
      <c r="O3120" s="34" t="s">
        <v>3561</v>
      </c>
      <c r="P3120" s="34" t="s">
        <v>3562</v>
      </c>
      <c r="Q3120" s="165">
        <f>IF(Sales[[#This Row],[Status]]="Cancelled",0,Sales[[#This Row],[Qty]])</f>
        <v>7</v>
      </c>
      <c r="R3120" s="166">
        <f>IF(Sales[[#This Row],[Status]]="Cancelled",0,Sales[[#This Row],[Total Amount]])</f>
        <v>6748.42</v>
      </c>
      <c r="S3120" s="162">
        <f>SUM(Sales[Net Amount])</f>
        <v>406839287.73200053</v>
      </c>
    </row>
    <row r="3121" spans="1:19" ht="18.75" x14ac:dyDescent="0.25">
      <c r="A3121" s="156" t="s">
        <v>6771</v>
      </c>
      <c r="B3121" s="157">
        <v>45934</v>
      </c>
      <c r="C3121" s="158" t="s">
        <v>865</v>
      </c>
      <c r="D3121" s="159" t="str">
        <f>VLOOKUP(Sales[[#This Row],[Customer ID]],Customer[#All],2,0)</f>
        <v>Sunita Gupta</v>
      </c>
      <c r="E3121" s="158" t="s">
        <v>406</v>
      </c>
      <c r="F3121" s="158" t="str">
        <f>VLOOKUP(Sales[[#This Row],[Product ID]],Product[#All],2,0)</f>
        <v>American TouristerLaptopBag</v>
      </c>
      <c r="G3121" s="159">
        <v>4</v>
      </c>
      <c r="H3121" s="160">
        <f>VLOOKUP(Sales[[#This Row],[Product ID]],Product[#All],7,0)</f>
        <v>1710</v>
      </c>
      <c r="I3121" s="160">
        <f>Sales[[#This Row],[Selling Rate]]*Sales[[#This Row],[Qty]]</f>
        <v>6840</v>
      </c>
      <c r="J3121" s="43">
        <v>0.1</v>
      </c>
      <c r="K3121" s="44">
        <f>Sales[[#This Row],[Gross Amount]]*Sales[[#This Row],[Disc %]]</f>
        <v>684</v>
      </c>
      <c r="L3121" s="43">
        <v>0.18</v>
      </c>
      <c r="M3121" s="44">
        <f>(Sales[[#This Row],[Gross Amount]]-Sales[[#This Row],[Disc. Amt.]])*Sales[[#This Row],[GST %]]</f>
        <v>1108.08</v>
      </c>
      <c r="N3121" s="161">
        <f>Sales[[#This Row],[Gross Amount]]-Sales[[#This Row],[Disc. Amt.]]+Sales[[#This Row],[GST Amount]]</f>
        <v>7264.08</v>
      </c>
      <c r="O3121" s="158" t="s">
        <v>3561</v>
      </c>
      <c r="P3121" s="158" t="s">
        <v>3562</v>
      </c>
      <c r="Q3121" s="160">
        <f>IF(Sales[[#This Row],[Status]]="Cancelled",0,Sales[[#This Row],[Qty]])</f>
        <v>4</v>
      </c>
      <c r="R3121" s="161">
        <f>IF(Sales[[#This Row],[Status]]="Cancelled",0,Sales[[#This Row],[Total Amount]])</f>
        <v>7264.08</v>
      </c>
      <c r="S3121" s="162">
        <f>SUM(Sales[Net Amount])</f>
        <v>406839287.73200053</v>
      </c>
    </row>
    <row r="3122" spans="1:19" ht="18.75" x14ac:dyDescent="0.25">
      <c r="A3122" s="163" t="s">
        <v>6772</v>
      </c>
      <c r="B3122" s="164">
        <v>45934</v>
      </c>
      <c r="C3122" s="34" t="s">
        <v>806</v>
      </c>
      <c r="D3122" s="53" t="str">
        <f>VLOOKUP(Sales[[#This Row],[Customer ID]],Customer[#All],2,0)</f>
        <v>Vikas Singh</v>
      </c>
      <c r="E3122" s="34" t="s">
        <v>512</v>
      </c>
      <c r="F3122" s="34" t="str">
        <f>VLOOKUP(Sales[[#This Row],[Product ID]],Product[#All],2,0)</f>
        <v>Logitech Webcam</v>
      </c>
      <c r="G3122" s="53">
        <v>2</v>
      </c>
      <c r="H3122" s="165">
        <f>VLOOKUP(Sales[[#This Row],[Product ID]],Product[#All],7,0)</f>
        <v>5800</v>
      </c>
      <c r="I3122" s="165">
        <f>Sales[[#This Row],[Selling Rate]]*Sales[[#This Row],[Qty]]</f>
        <v>11600</v>
      </c>
      <c r="J3122" s="45">
        <v>0</v>
      </c>
      <c r="K3122" s="46">
        <f>Sales[[#This Row],[Gross Amount]]*Sales[[#This Row],[Disc %]]</f>
        <v>0</v>
      </c>
      <c r="L3122" s="43">
        <v>0.18</v>
      </c>
      <c r="M3122" s="46">
        <f>(Sales[[#This Row],[Gross Amount]]-Sales[[#This Row],[Disc. Amt.]])*Sales[[#This Row],[GST %]]</f>
        <v>2088</v>
      </c>
      <c r="N3122" s="161">
        <f>Sales[[#This Row],[Gross Amount]]-Sales[[#This Row],[Disc. Amt.]]+Sales[[#This Row],[GST Amount]]</f>
        <v>13688</v>
      </c>
      <c r="O3122" s="34" t="s">
        <v>8876</v>
      </c>
      <c r="P3122" s="34" t="s">
        <v>3562</v>
      </c>
      <c r="Q3122" s="165">
        <f>IF(Sales[[#This Row],[Status]]="Cancelled",0,Sales[[#This Row],[Qty]])</f>
        <v>2</v>
      </c>
      <c r="R3122" s="166">
        <f>IF(Sales[[#This Row],[Status]]="Cancelled",0,Sales[[#This Row],[Total Amount]])</f>
        <v>13688</v>
      </c>
      <c r="S3122" s="162">
        <f>SUM(Sales[Net Amount])</f>
        <v>406839287.73200053</v>
      </c>
    </row>
    <row r="3123" spans="1:19" ht="18.75" x14ac:dyDescent="0.25">
      <c r="A3123" s="156" t="s">
        <v>6773</v>
      </c>
      <c r="B3123" s="157">
        <v>45934</v>
      </c>
      <c r="C3123" s="158" t="s">
        <v>820</v>
      </c>
      <c r="D3123" s="159" t="str">
        <f>VLOOKUP(Sales[[#This Row],[Customer ID]],Customer[#All],2,0)</f>
        <v>Sahil Gupta</v>
      </c>
      <c r="E3123" s="158" t="s">
        <v>478</v>
      </c>
      <c r="F3123" s="158" t="str">
        <f>VLOOKUP(Sales[[#This Row],[Product ID]],Product[#All],2,0)</f>
        <v>American TouristerLaptopBag</v>
      </c>
      <c r="G3123" s="159">
        <v>5</v>
      </c>
      <c r="H3123" s="160">
        <f>VLOOKUP(Sales[[#This Row],[Product ID]],Product[#All],7,0)</f>
        <v>6010</v>
      </c>
      <c r="I3123" s="160">
        <f>Sales[[#This Row],[Selling Rate]]*Sales[[#This Row],[Qty]]</f>
        <v>30050</v>
      </c>
      <c r="J3123" s="43">
        <v>0.05</v>
      </c>
      <c r="K3123" s="44">
        <f>Sales[[#This Row],[Gross Amount]]*Sales[[#This Row],[Disc %]]</f>
        <v>1502.5</v>
      </c>
      <c r="L3123" s="43">
        <v>0.18</v>
      </c>
      <c r="M3123" s="44">
        <f>(Sales[[#This Row],[Gross Amount]]-Sales[[#This Row],[Disc. Amt.]])*Sales[[#This Row],[GST %]]</f>
        <v>5138.55</v>
      </c>
      <c r="N3123" s="161">
        <f>Sales[[#This Row],[Gross Amount]]-Sales[[#This Row],[Disc. Amt.]]+Sales[[#This Row],[GST Amount]]</f>
        <v>33686.050000000003</v>
      </c>
      <c r="O3123" s="158" t="s">
        <v>3566</v>
      </c>
      <c r="P3123" s="158" t="s">
        <v>3562</v>
      </c>
      <c r="Q3123" s="160">
        <f>IF(Sales[[#This Row],[Status]]="Cancelled",0,Sales[[#This Row],[Qty]])</f>
        <v>5</v>
      </c>
      <c r="R3123" s="161">
        <f>IF(Sales[[#This Row],[Status]]="Cancelled",0,Sales[[#This Row],[Total Amount]])</f>
        <v>33686.050000000003</v>
      </c>
      <c r="S3123" s="162">
        <f>SUM(Sales[Net Amount])</f>
        <v>406839287.73200053</v>
      </c>
    </row>
    <row r="3124" spans="1:19" ht="18.75" x14ac:dyDescent="0.25">
      <c r="A3124" s="163" t="s">
        <v>6774</v>
      </c>
      <c r="B3124" s="164">
        <v>45934</v>
      </c>
      <c r="C3124" s="34" t="s">
        <v>817</v>
      </c>
      <c r="D3124" s="53" t="str">
        <f>VLOOKUP(Sales[[#This Row],[Customer ID]],Customer[#All],2,0)</f>
        <v>Ankit Patel</v>
      </c>
      <c r="E3124" s="34" t="s">
        <v>360</v>
      </c>
      <c r="F3124" s="34" t="str">
        <f>VLOOKUP(Sales[[#This Row],[Product ID]],Product[#All],2,0)</f>
        <v>Canon Printer</v>
      </c>
      <c r="G3124" s="53">
        <v>8</v>
      </c>
      <c r="H3124" s="165">
        <f>VLOOKUP(Sales[[#This Row],[Product ID]],Product[#All],7,0)</f>
        <v>29670</v>
      </c>
      <c r="I3124" s="165">
        <f>Sales[[#This Row],[Selling Rate]]*Sales[[#This Row],[Qty]]</f>
        <v>237360</v>
      </c>
      <c r="J3124" s="45">
        <v>0.05</v>
      </c>
      <c r="K3124" s="46">
        <f>Sales[[#This Row],[Gross Amount]]*Sales[[#This Row],[Disc %]]</f>
        <v>11868</v>
      </c>
      <c r="L3124" s="43">
        <v>0.18</v>
      </c>
      <c r="M3124" s="46">
        <f>(Sales[[#This Row],[Gross Amount]]-Sales[[#This Row],[Disc. Amt.]])*Sales[[#This Row],[GST %]]</f>
        <v>40588.559999999998</v>
      </c>
      <c r="N3124" s="161">
        <f>Sales[[#This Row],[Gross Amount]]-Sales[[#This Row],[Disc. Amt.]]+Sales[[#This Row],[GST Amount]]</f>
        <v>266080.56</v>
      </c>
      <c r="O3124" s="34" t="s">
        <v>3566</v>
      </c>
      <c r="P3124" s="34" t="s">
        <v>1040</v>
      </c>
      <c r="Q3124" s="165">
        <f>IF(Sales[[#This Row],[Status]]="Cancelled",0,Sales[[#This Row],[Qty]])</f>
        <v>0</v>
      </c>
      <c r="R3124" s="166">
        <f>IF(Sales[[#This Row],[Status]]="Cancelled",0,Sales[[#This Row],[Total Amount]])</f>
        <v>0</v>
      </c>
      <c r="S3124" s="162">
        <f>SUM(Sales[Net Amount])</f>
        <v>406839287.73200053</v>
      </c>
    </row>
    <row r="3125" spans="1:19" ht="18.75" x14ac:dyDescent="0.25">
      <c r="A3125" s="156" t="s">
        <v>6775</v>
      </c>
      <c r="B3125" s="157">
        <v>45934</v>
      </c>
      <c r="C3125" s="158" t="s">
        <v>741</v>
      </c>
      <c r="D3125" s="159" t="str">
        <f>VLOOKUP(Sales[[#This Row],[Customer ID]],Customer[#All],2,0)</f>
        <v>Rahul Patel</v>
      </c>
      <c r="E3125" s="158" t="s">
        <v>93</v>
      </c>
      <c r="F3125" s="158" t="str">
        <f>VLOOKUP(Sales[[#This Row],[Product ID]],Product[#All],2,0)</f>
        <v>PortronicsLaptopStand</v>
      </c>
      <c r="G3125" s="159">
        <v>1</v>
      </c>
      <c r="H3125" s="160">
        <f>VLOOKUP(Sales[[#This Row],[Product ID]],Product[#All],7,0)</f>
        <v>1650</v>
      </c>
      <c r="I3125" s="160">
        <f>Sales[[#This Row],[Selling Rate]]*Sales[[#This Row],[Qty]]</f>
        <v>1650</v>
      </c>
      <c r="J3125" s="43">
        <v>0.12</v>
      </c>
      <c r="K3125" s="44">
        <f>Sales[[#This Row],[Gross Amount]]*Sales[[#This Row],[Disc %]]</f>
        <v>198</v>
      </c>
      <c r="L3125" s="43">
        <v>0.18</v>
      </c>
      <c r="M3125" s="44">
        <f>(Sales[[#This Row],[Gross Amount]]-Sales[[#This Row],[Disc. Amt.]])*Sales[[#This Row],[GST %]]</f>
        <v>261.36</v>
      </c>
      <c r="N3125" s="161">
        <f>Sales[[#This Row],[Gross Amount]]-Sales[[#This Row],[Disc. Amt.]]+Sales[[#This Row],[GST Amount]]</f>
        <v>1713.3600000000001</v>
      </c>
      <c r="O3125" s="158" t="s">
        <v>3566</v>
      </c>
      <c r="P3125" s="158" t="s">
        <v>3562</v>
      </c>
      <c r="Q3125" s="160">
        <f>IF(Sales[[#This Row],[Status]]="Cancelled",0,Sales[[#This Row],[Qty]])</f>
        <v>1</v>
      </c>
      <c r="R3125" s="161">
        <f>IF(Sales[[#This Row],[Status]]="Cancelled",0,Sales[[#This Row],[Total Amount]])</f>
        <v>1713.3600000000001</v>
      </c>
      <c r="S3125" s="162">
        <f>SUM(Sales[Net Amount])</f>
        <v>406839287.73200053</v>
      </c>
    </row>
    <row r="3126" spans="1:19" ht="18.75" x14ac:dyDescent="0.25">
      <c r="A3126" s="163" t="s">
        <v>6776</v>
      </c>
      <c r="B3126" s="164">
        <v>45934</v>
      </c>
      <c r="C3126" s="34" t="s">
        <v>908</v>
      </c>
      <c r="D3126" s="53" t="str">
        <f>VLOOKUP(Sales[[#This Row],[Customer ID]],Customer[#All],2,0)</f>
        <v>Rahul Singh</v>
      </c>
      <c r="E3126" s="34" t="s">
        <v>82</v>
      </c>
      <c r="F3126" s="34" t="str">
        <f>VLOOKUP(Sales[[#This Row],[Product ID]],Product[#All],2,0)</f>
        <v>American TouristerLaptopBag</v>
      </c>
      <c r="G3126" s="53">
        <v>2</v>
      </c>
      <c r="H3126" s="165">
        <f>VLOOKUP(Sales[[#This Row],[Product ID]],Product[#All],7,0)</f>
        <v>5480</v>
      </c>
      <c r="I3126" s="165">
        <f>Sales[[#This Row],[Selling Rate]]*Sales[[#This Row],[Qty]]</f>
        <v>10960</v>
      </c>
      <c r="J3126" s="45">
        <v>0.02</v>
      </c>
      <c r="K3126" s="46">
        <f>Sales[[#This Row],[Gross Amount]]*Sales[[#This Row],[Disc %]]</f>
        <v>219.20000000000002</v>
      </c>
      <c r="L3126" s="43">
        <v>0.18</v>
      </c>
      <c r="M3126" s="46">
        <f>(Sales[[#This Row],[Gross Amount]]-Sales[[#This Row],[Disc. Amt.]])*Sales[[#This Row],[GST %]]</f>
        <v>1933.3439999999998</v>
      </c>
      <c r="N3126" s="161">
        <f>Sales[[#This Row],[Gross Amount]]-Sales[[#This Row],[Disc. Amt.]]+Sales[[#This Row],[GST Amount]]</f>
        <v>12674.143999999998</v>
      </c>
      <c r="O3126" s="34" t="s">
        <v>8876</v>
      </c>
      <c r="P3126" s="34" t="s">
        <v>3562</v>
      </c>
      <c r="Q3126" s="165">
        <f>IF(Sales[[#This Row],[Status]]="Cancelled",0,Sales[[#This Row],[Qty]])</f>
        <v>2</v>
      </c>
      <c r="R3126" s="166">
        <f>IF(Sales[[#This Row],[Status]]="Cancelled",0,Sales[[#This Row],[Total Amount]])</f>
        <v>12674.143999999998</v>
      </c>
      <c r="S3126" s="162">
        <f>SUM(Sales[Net Amount])</f>
        <v>406839287.73200053</v>
      </c>
    </row>
    <row r="3127" spans="1:19" ht="18.75" x14ac:dyDescent="0.25">
      <c r="A3127" s="156" t="s">
        <v>6777</v>
      </c>
      <c r="B3127" s="157">
        <v>45934</v>
      </c>
      <c r="C3127" s="158" t="s">
        <v>691</v>
      </c>
      <c r="D3127" s="159" t="str">
        <f>VLOOKUP(Sales[[#This Row],[Customer ID]],Customer[#All],2,0)</f>
        <v>Pooja Patel</v>
      </c>
      <c r="E3127" s="158" t="s">
        <v>323</v>
      </c>
      <c r="F3127" s="158" t="str">
        <f>VLOOKUP(Sales[[#This Row],[Product ID]],Product[#All],2,0)</f>
        <v>Dell Desktop</v>
      </c>
      <c r="G3127" s="159">
        <v>8</v>
      </c>
      <c r="H3127" s="160">
        <f>VLOOKUP(Sales[[#This Row],[Product ID]],Product[#All],7,0)</f>
        <v>45070</v>
      </c>
      <c r="I3127" s="160">
        <f>Sales[[#This Row],[Selling Rate]]*Sales[[#This Row],[Qty]]</f>
        <v>360560</v>
      </c>
      <c r="J3127" s="43">
        <v>0</v>
      </c>
      <c r="K3127" s="44">
        <f>Sales[[#This Row],[Gross Amount]]*Sales[[#This Row],[Disc %]]</f>
        <v>0</v>
      </c>
      <c r="L3127" s="43">
        <v>0.18</v>
      </c>
      <c r="M3127" s="44">
        <f>(Sales[[#This Row],[Gross Amount]]-Sales[[#This Row],[Disc. Amt.]])*Sales[[#This Row],[GST %]]</f>
        <v>64900.799999999996</v>
      </c>
      <c r="N3127" s="161">
        <f>Sales[[#This Row],[Gross Amount]]-Sales[[#This Row],[Disc. Amt.]]+Sales[[#This Row],[GST Amount]]</f>
        <v>425460.8</v>
      </c>
      <c r="O3127" s="158" t="s">
        <v>8876</v>
      </c>
      <c r="P3127" s="158" t="s">
        <v>3562</v>
      </c>
      <c r="Q3127" s="160">
        <f>IF(Sales[[#This Row],[Status]]="Cancelled",0,Sales[[#This Row],[Qty]])</f>
        <v>8</v>
      </c>
      <c r="R3127" s="161">
        <f>IF(Sales[[#This Row],[Status]]="Cancelled",0,Sales[[#This Row],[Total Amount]])</f>
        <v>425460.8</v>
      </c>
      <c r="S3127" s="162">
        <f>SUM(Sales[Net Amount])</f>
        <v>406839287.73200053</v>
      </c>
    </row>
    <row r="3128" spans="1:19" ht="18.75" x14ac:dyDescent="0.25">
      <c r="A3128" s="163" t="s">
        <v>6778</v>
      </c>
      <c r="B3128" s="164">
        <v>45934</v>
      </c>
      <c r="C3128" s="34" t="s">
        <v>838</v>
      </c>
      <c r="D3128" s="53" t="str">
        <f>VLOOKUP(Sales[[#This Row],[Customer ID]],Customer[#All],2,0)</f>
        <v>Priya Gupta</v>
      </c>
      <c r="E3128" s="34" t="s">
        <v>156</v>
      </c>
      <c r="F3128" s="34" t="str">
        <f>VLOOKUP(Sales[[#This Row],[Product ID]],Product[#All],2,0)</f>
        <v>Boat Speaker</v>
      </c>
      <c r="G3128" s="53">
        <v>4</v>
      </c>
      <c r="H3128" s="165">
        <f>VLOOKUP(Sales[[#This Row],[Product ID]],Product[#All],7,0)</f>
        <v>3240</v>
      </c>
      <c r="I3128" s="165">
        <f>Sales[[#This Row],[Selling Rate]]*Sales[[#This Row],[Qty]]</f>
        <v>12960</v>
      </c>
      <c r="J3128" s="45">
        <v>0.05</v>
      </c>
      <c r="K3128" s="46">
        <f>Sales[[#This Row],[Gross Amount]]*Sales[[#This Row],[Disc %]]</f>
        <v>648</v>
      </c>
      <c r="L3128" s="43">
        <v>0.18</v>
      </c>
      <c r="M3128" s="46">
        <f>(Sales[[#This Row],[Gross Amount]]-Sales[[#This Row],[Disc. Amt.]])*Sales[[#This Row],[GST %]]</f>
        <v>2216.16</v>
      </c>
      <c r="N3128" s="161">
        <f>Sales[[#This Row],[Gross Amount]]-Sales[[#This Row],[Disc. Amt.]]+Sales[[#This Row],[GST Amount]]</f>
        <v>14528.16</v>
      </c>
      <c r="O3128" s="34" t="s">
        <v>3569</v>
      </c>
      <c r="P3128" s="34" t="s">
        <v>3562</v>
      </c>
      <c r="Q3128" s="165">
        <f>IF(Sales[[#This Row],[Status]]="Cancelled",0,Sales[[#This Row],[Qty]])</f>
        <v>4</v>
      </c>
      <c r="R3128" s="166">
        <f>IF(Sales[[#This Row],[Status]]="Cancelled",0,Sales[[#This Row],[Total Amount]])</f>
        <v>14528.16</v>
      </c>
      <c r="S3128" s="162">
        <f>SUM(Sales[Net Amount])</f>
        <v>406839287.73200053</v>
      </c>
    </row>
    <row r="3129" spans="1:19" ht="18.75" x14ac:dyDescent="0.25">
      <c r="A3129" s="156" t="s">
        <v>6779</v>
      </c>
      <c r="B3129" s="157">
        <v>45934</v>
      </c>
      <c r="C3129" s="158" t="s">
        <v>6780</v>
      </c>
      <c r="D3129" s="159" t="str">
        <f>VLOOKUP(Sales[[#This Row],[Customer ID]],Customer[#All],2,0)</f>
        <v>Sunita Sharma</v>
      </c>
      <c r="E3129" s="158" t="s">
        <v>415</v>
      </c>
      <c r="F3129" s="158" t="str">
        <f>VLOOKUP(Sales[[#This Row],[Product ID]],Product[#All],2,0)</f>
        <v>American TouristerLaptopBag</v>
      </c>
      <c r="G3129" s="159">
        <v>8</v>
      </c>
      <c r="H3129" s="160">
        <f>VLOOKUP(Sales[[#This Row],[Product ID]],Product[#All],7,0)</f>
        <v>5180</v>
      </c>
      <c r="I3129" s="160">
        <f>Sales[[#This Row],[Selling Rate]]*Sales[[#This Row],[Qty]]</f>
        <v>41440</v>
      </c>
      <c r="J3129" s="43">
        <v>0</v>
      </c>
      <c r="K3129" s="44">
        <f>Sales[[#This Row],[Gross Amount]]*Sales[[#This Row],[Disc %]]</f>
        <v>0</v>
      </c>
      <c r="L3129" s="43">
        <v>0.18</v>
      </c>
      <c r="M3129" s="44">
        <f>(Sales[[#This Row],[Gross Amount]]-Sales[[#This Row],[Disc. Amt.]])*Sales[[#This Row],[GST %]]</f>
        <v>7459.2</v>
      </c>
      <c r="N3129" s="161">
        <f>Sales[[#This Row],[Gross Amount]]-Sales[[#This Row],[Disc. Amt.]]+Sales[[#This Row],[GST Amount]]</f>
        <v>48899.199999999997</v>
      </c>
      <c r="O3129" s="158" t="s">
        <v>3561</v>
      </c>
      <c r="P3129" s="158" t="s">
        <v>3562</v>
      </c>
      <c r="Q3129" s="160">
        <f>IF(Sales[[#This Row],[Status]]="Cancelled",0,Sales[[#This Row],[Qty]])</f>
        <v>8</v>
      </c>
      <c r="R3129" s="161">
        <f>IF(Sales[[#This Row],[Status]]="Cancelled",0,Sales[[#This Row],[Total Amount]])</f>
        <v>48899.199999999997</v>
      </c>
      <c r="S3129" s="162">
        <f>SUM(Sales[Net Amount])</f>
        <v>406839287.73200053</v>
      </c>
    </row>
    <row r="3130" spans="1:19" ht="18.75" x14ac:dyDescent="0.25">
      <c r="A3130" s="163" t="s">
        <v>6781</v>
      </c>
      <c r="B3130" s="164">
        <v>45934</v>
      </c>
      <c r="C3130" s="34" t="s">
        <v>949</v>
      </c>
      <c r="D3130" s="53" t="str">
        <f>VLOOKUP(Sales[[#This Row],[Customer ID]],Customer[#All],2,0)</f>
        <v>Amit Patel</v>
      </c>
      <c r="E3130" s="34" t="s">
        <v>214</v>
      </c>
      <c r="F3130" s="34" t="str">
        <f>VLOOKUP(Sales[[#This Row],[Product ID]],Product[#All],2,0)</f>
        <v>Microtek UPS</v>
      </c>
      <c r="G3130" s="53">
        <v>2</v>
      </c>
      <c r="H3130" s="165">
        <f>VLOOKUP(Sales[[#This Row],[Product ID]],Product[#All],7,0)</f>
        <v>10710</v>
      </c>
      <c r="I3130" s="165">
        <f>Sales[[#This Row],[Selling Rate]]*Sales[[#This Row],[Qty]]</f>
        <v>21420</v>
      </c>
      <c r="J3130" s="45">
        <v>0.15</v>
      </c>
      <c r="K3130" s="46">
        <f>Sales[[#This Row],[Gross Amount]]*Sales[[#This Row],[Disc %]]</f>
        <v>3213</v>
      </c>
      <c r="L3130" s="43">
        <v>0.18</v>
      </c>
      <c r="M3130" s="46">
        <f>(Sales[[#This Row],[Gross Amount]]-Sales[[#This Row],[Disc. Amt.]])*Sales[[#This Row],[GST %]]</f>
        <v>3277.2599999999998</v>
      </c>
      <c r="N3130" s="161">
        <f>Sales[[#This Row],[Gross Amount]]-Sales[[#This Row],[Disc. Amt.]]+Sales[[#This Row],[GST Amount]]</f>
        <v>21484.26</v>
      </c>
      <c r="O3130" s="34" t="s">
        <v>3566</v>
      </c>
      <c r="P3130" s="34" t="s">
        <v>3562</v>
      </c>
      <c r="Q3130" s="165">
        <f>IF(Sales[[#This Row],[Status]]="Cancelled",0,Sales[[#This Row],[Qty]])</f>
        <v>2</v>
      </c>
      <c r="R3130" s="166">
        <f>IF(Sales[[#This Row],[Status]]="Cancelled",0,Sales[[#This Row],[Total Amount]])</f>
        <v>21484.26</v>
      </c>
      <c r="S3130" s="162">
        <f>SUM(Sales[Net Amount])</f>
        <v>406839287.73200053</v>
      </c>
    </row>
    <row r="3131" spans="1:19" ht="18.75" x14ac:dyDescent="0.25">
      <c r="A3131" s="156" t="s">
        <v>6782</v>
      </c>
      <c r="B3131" s="157">
        <v>45935</v>
      </c>
      <c r="C3131" s="158" t="s">
        <v>939</v>
      </c>
      <c r="D3131" s="159" t="str">
        <f>VLOOKUP(Sales[[#This Row],[Customer ID]],Customer[#All],2,0)</f>
        <v>Sunita Sharma</v>
      </c>
      <c r="E3131" s="158" t="s">
        <v>383</v>
      </c>
      <c r="F3131" s="158" t="str">
        <f>VLOOKUP(Sales[[#This Row],[Product ID]],Product[#All],2,0)</f>
        <v>Logitech Mouse</v>
      </c>
      <c r="G3131" s="159">
        <v>8</v>
      </c>
      <c r="H3131" s="160">
        <f>VLOOKUP(Sales[[#This Row],[Product ID]],Product[#All],7,0)</f>
        <v>3080</v>
      </c>
      <c r="I3131" s="160">
        <f>Sales[[#This Row],[Selling Rate]]*Sales[[#This Row],[Qty]]</f>
        <v>24640</v>
      </c>
      <c r="J3131" s="43">
        <v>0.05</v>
      </c>
      <c r="K3131" s="44">
        <f>Sales[[#This Row],[Gross Amount]]*Sales[[#This Row],[Disc %]]</f>
        <v>1232</v>
      </c>
      <c r="L3131" s="43">
        <v>0.18</v>
      </c>
      <c r="M3131" s="44">
        <f>(Sales[[#This Row],[Gross Amount]]-Sales[[#This Row],[Disc. Amt.]])*Sales[[#This Row],[GST %]]</f>
        <v>4213.4399999999996</v>
      </c>
      <c r="N3131" s="161">
        <f>Sales[[#This Row],[Gross Amount]]-Sales[[#This Row],[Disc. Amt.]]+Sales[[#This Row],[GST Amount]]</f>
        <v>27621.439999999999</v>
      </c>
      <c r="O3131" s="158" t="s">
        <v>3561</v>
      </c>
      <c r="P3131" s="158" t="s">
        <v>3562</v>
      </c>
      <c r="Q3131" s="160">
        <f>IF(Sales[[#This Row],[Status]]="Cancelled",0,Sales[[#This Row],[Qty]])</f>
        <v>8</v>
      </c>
      <c r="R3131" s="161">
        <f>IF(Sales[[#This Row],[Status]]="Cancelled",0,Sales[[#This Row],[Total Amount]])</f>
        <v>27621.439999999999</v>
      </c>
      <c r="S3131" s="162">
        <f>SUM(Sales[Net Amount])</f>
        <v>406839287.73200053</v>
      </c>
    </row>
    <row r="3132" spans="1:19" ht="18.75" x14ac:dyDescent="0.25">
      <c r="A3132" s="163" t="s">
        <v>6783</v>
      </c>
      <c r="B3132" s="164">
        <v>45935</v>
      </c>
      <c r="C3132" s="34" t="s">
        <v>919</v>
      </c>
      <c r="D3132" s="53" t="str">
        <f>VLOOKUP(Sales[[#This Row],[Customer ID]],Customer[#All],2,0)</f>
        <v>Pooja Patel</v>
      </c>
      <c r="E3132" s="34" t="s">
        <v>382</v>
      </c>
      <c r="F3132" s="34" t="str">
        <f>VLOOKUP(Sales[[#This Row],[Product ID]],Product[#All],2,0)</f>
        <v>Canon Printer</v>
      </c>
      <c r="G3132" s="53">
        <v>1</v>
      </c>
      <c r="H3132" s="165">
        <f>VLOOKUP(Sales[[#This Row],[Product ID]],Product[#All],7,0)</f>
        <v>32930</v>
      </c>
      <c r="I3132" s="165">
        <f>Sales[[#This Row],[Selling Rate]]*Sales[[#This Row],[Qty]]</f>
        <v>32930</v>
      </c>
      <c r="J3132" s="45">
        <v>0.1</v>
      </c>
      <c r="K3132" s="46">
        <f>Sales[[#This Row],[Gross Amount]]*Sales[[#This Row],[Disc %]]</f>
        <v>3293</v>
      </c>
      <c r="L3132" s="43">
        <v>0.18</v>
      </c>
      <c r="M3132" s="46">
        <f>(Sales[[#This Row],[Gross Amount]]-Sales[[#This Row],[Disc. Amt.]])*Sales[[#This Row],[GST %]]</f>
        <v>5334.66</v>
      </c>
      <c r="N3132" s="161">
        <f>Sales[[#This Row],[Gross Amount]]-Sales[[#This Row],[Disc. Amt.]]+Sales[[#This Row],[GST Amount]]</f>
        <v>34971.660000000003</v>
      </c>
      <c r="O3132" s="34" t="s">
        <v>3569</v>
      </c>
      <c r="P3132" s="34" t="s">
        <v>3562</v>
      </c>
      <c r="Q3132" s="165">
        <f>IF(Sales[[#This Row],[Status]]="Cancelled",0,Sales[[#This Row],[Qty]])</f>
        <v>1</v>
      </c>
      <c r="R3132" s="166">
        <f>IF(Sales[[#This Row],[Status]]="Cancelled",0,Sales[[#This Row],[Total Amount]])</f>
        <v>34971.660000000003</v>
      </c>
      <c r="S3132" s="162">
        <f>SUM(Sales[Net Amount])</f>
        <v>406839287.73200053</v>
      </c>
    </row>
    <row r="3133" spans="1:19" ht="18.75" x14ac:dyDescent="0.25">
      <c r="A3133" s="156" t="s">
        <v>6784</v>
      </c>
      <c r="B3133" s="157">
        <v>45935</v>
      </c>
      <c r="C3133" s="158" t="s">
        <v>650</v>
      </c>
      <c r="D3133" s="159" t="str">
        <f>VLOOKUP(Sales[[#This Row],[Customer ID]],Customer[#All],2,0)</f>
        <v xml:space="preserve">Pooja Patel </v>
      </c>
      <c r="E3133" s="158" t="s">
        <v>450</v>
      </c>
      <c r="F3133" s="158" t="str">
        <f>VLOOKUP(Sales[[#This Row],[Product ID]],Product[#All],2,0)</f>
        <v>TP-link Bluetooth Adapter</v>
      </c>
      <c r="G3133" s="159">
        <v>3</v>
      </c>
      <c r="H3133" s="160">
        <f>VLOOKUP(Sales[[#This Row],[Product ID]],Product[#All],7,0)</f>
        <v>1270</v>
      </c>
      <c r="I3133" s="160">
        <f>Sales[[#This Row],[Selling Rate]]*Sales[[#This Row],[Qty]]</f>
        <v>3810</v>
      </c>
      <c r="J3133" s="43">
        <v>0.12</v>
      </c>
      <c r="K3133" s="44">
        <f>Sales[[#This Row],[Gross Amount]]*Sales[[#This Row],[Disc %]]</f>
        <v>457.2</v>
      </c>
      <c r="L3133" s="43">
        <v>0.18</v>
      </c>
      <c r="M3133" s="44">
        <f>(Sales[[#This Row],[Gross Amount]]-Sales[[#This Row],[Disc. Amt.]])*Sales[[#This Row],[GST %]]</f>
        <v>603.50400000000002</v>
      </c>
      <c r="N3133" s="161">
        <f>Sales[[#This Row],[Gross Amount]]-Sales[[#This Row],[Disc. Amt.]]+Sales[[#This Row],[GST Amount]]</f>
        <v>3956.3040000000001</v>
      </c>
      <c r="O3133" s="158" t="s">
        <v>3561</v>
      </c>
      <c r="P3133" s="158" t="s">
        <v>3562</v>
      </c>
      <c r="Q3133" s="160">
        <f>IF(Sales[[#This Row],[Status]]="Cancelled",0,Sales[[#This Row],[Qty]])</f>
        <v>3</v>
      </c>
      <c r="R3133" s="161">
        <f>IF(Sales[[#This Row],[Status]]="Cancelled",0,Sales[[#This Row],[Total Amount]])</f>
        <v>3956.3040000000001</v>
      </c>
      <c r="S3133" s="162">
        <f>SUM(Sales[Net Amount])</f>
        <v>406839287.73200053</v>
      </c>
    </row>
    <row r="3134" spans="1:19" ht="18.75" x14ac:dyDescent="0.25">
      <c r="A3134" s="163" t="s">
        <v>6785</v>
      </c>
      <c r="B3134" s="164">
        <v>45935</v>
      </c>
      <c r="C3134" s="34" t="s">
        <v>779</v>
      </c>
      <c r="D3134" s="53" t="str">
        <f>VLOOKUP(Sales[[#This Row],[Customer ID]],Customer[#All],2,0)</f>
        <v>Rakesh Verma</v>
      </c>
      <c r="E3134" s="34" t="s">
        <v>127</v>
      </c>
      <c r="F3134" s="34" t="str">
        <f>VLOOKUP(Sales[[#This Row],[Product ID]],Product[#All],2,0)</f>
        <v>Samsung Ssd</v>
      </c>
      <c r="G3134" s="53">
        <v>5</v>
      </c>
      <c r="H3134" s="165">
        <f>VLOOKUP(Sales[[#This Row],[Product ID]],Product[#All],7,0)</f>
        <v>4570</v>
      </c>
      <c r="I3134" s="165">
        <f>Sales[[#This Row],[Selling Rate]]*Sales[[#This Row],[Qty]]</f>
        <v>22850</v>
      </c>
      <c r="J3134" s="45">
        <v>0.05</v>
      </c>
      <c r="K3134" s="46">
        <f>Sales[[#This Row],[Gross Amount]]*Sales[[#This Row],[Disc %]]</f>
        <v>1142.5</v>
      </c>
      <c r="L3134" s="43">
        <v>0.18</v>
      </c>
      <c r="M3134" s="46">
        <f>(Sales[[#This Row],[Gross Amount]]-Sales[[#This Row],[Disc. Amt.]])*Sales[[#This Row],[GST %]]</f>
        <v>3907.35</v>
      </c>
      <c r="N3134" s="161">
        <f>Sales[[#This Row],[Gross Amount]]-Sales[[#This Row],[Disc. Amt.]]+Sales[[#This Row],[GST Amount]]</f>
        <v>25614.85</v>
      </c>
      <c r="O3134" s="34" t="s">
        <v>8876</v>
      </c>
      <c r="P3134" s="34" t="s">
        <v>3562</v>
      </c>
      <c r="Q3134" s="165">
        <f>IF(Sales[[#This Row],[Status]]="Cancelled",0,Sales[[#This Row],[Qty]])</f>
        <v>5</v>
      </c>
      <c r="R3134" s="166">
        <f>IF(Sales[[#This Row],[Status]]="Cancelled",0,Sales[[#This Row],[Total Amount]])</f>
        <v>25614.85</v>
      </c>
      <c r="S3134" s="162">
        <f>SUM(Sales[Net Amount])</f>
        <v>406839287.73200053</v>
      </c>
    </row>
    <row r="3135" spans="1:19" ht="18.75" x14ac:dyDescent="0.25">
      <c r="A3135" s="156" t="s">
        <v>6786</v>
      </c>
      <c r="B3135" s="157">
        <v>45935</v>
      </c>
      <c r="C3135" s="158" t="s">
        <v>920</v>
      </c>
      <c r="D3135" s="159" t="str">
        <f>VLOOKUP(Sales[[#This Row],[Customer ID]],Customer[#All],2,0)</f>
        <v>Rakesh Sharma</v>
      </c>
      <c r="E3135" s="158" t="s">
        <v>553</v>
      </c>
      <c r="F3135" s="158" t="str">
        <f>VLOOKUP(Sales[[#This Row],[Product ID]],Product[#All],2,0)</f>
        <v>Logitech Webcam</v>
      </c>
      <c r="G3135" s="159">
        <v>2</v>
      </c>
      <c r="H3135" s="160">
        <f>VLOOKUP(Sales[[#This Row],[Product ID]],Product[#All],7,0)</f>
        <v>3820</v>
      </c>
      <c r="I3135" s="160">
        <f>Sales[[#This Row],[Selling Rate]]*Sales[[#This Row],[Qty]]</f>
        <v>7640</v>
      </c>
      <c r="J3135" s="43">
        <v>0</v>
      </c>
      <c r="K3135" s="44">
        <f>Sales[[#This Row],[Gross Amount]]*Sales[[#This Row],[Disc %]]</f>
        <v>0</v>
      </c>
      <c r="L3135" s="43">
        <v>0.18</v>
      </c>
      <c r="M3135" s="44">
        <f>(Sales[[#This Row],[Gross Amount]]-Sales[[#This Row],[Disc. Amt.]])*Sales[[#This Row],[GST %]]</f>
        <v>1375.2</v>
      </c>
      <c r="N3135" s="161">
        <f>Sales[[#This Row],[Gross Amount]]-Sales[[#This Row],[Disc. Amt.]]+Sales[[#This Row],[GST Amount]]</f>
        <v>9015.2000000000007</v>
      </c>
      <c r="O3135" s="158" t="s">
        <v>8876</v>
      </c>
      <c r="P3135" s="158" t="s">
        <v>3562</v>
      </c>
      <c r="Q3135" s="160">
        <f>IF(Sales[[#This Row],[Status]]="Cancelled",0,Sales[[#This Row],[Qty]])</f>
        <v>2</v>
      </c>
      <c r="R3135" s="161">
        <f>IF(Sales[[#This Row],[Status]]="Cancelled",0,Sales[[#This Row],[Total Amount]])</f>
        <v>9015.2000000000007</v>
      </c>
      <c r="S3135" s="162">
        <f>SUM(Sales[Net Amount])</f>
        <v>406839287.73200053</v>
      </c>
    </row>
    <row r="3136" spans="1:19" ht="18.75" x14ac:dyDescent="0.25">
      <c r="A3136" s="163" t="s">
        <v>6787</v>
      </c>
      <c r="B3136" s="164">
        <v>45935</v>
      </c>
      <c r="C3136" s="34" t="s">
        <v>762</v>
      </c>
      <c r="D3136" s="53" t="str">
        <f>VLOOKUP(Sales[[#This Row],[Customer ID]],Customer[#All],2,0)</f>
        <v>Amit Patel</v>
      </c>
      <c r="E3136" s="34" t="s">
        <v>318</v>
      </c>
      <c r="F3136" s="34" t="str">
        <f>VLOOKUP(Sales[[#This Row],[Product ID]],Product[#All],2,0)</f>
        <v>HP Printer</v>
      </c>
      <c r="G3136" s="53">
        <v>1</v>
      </c>
      <c r="H3136" s="165">
        <f>VLOOKUP(Sales[[#This Row],[Product ID]],Product[#All],7,0)</f>
        <v>30590</v>
      </c>
      <c r="I3136" s="165">
        <f>Sales[[#This Row],[Selling Rate]]*Sales[[#This Row],[Qty]]</f>
        <v>30590</v>
      </c>
      <c r="J3136" s="45">
        <v>0.05</v>
      </c>
      <c r="K3136" s="46">
        <f>Sales[[#This Row],[Gross Amount]]*Sales[[#This Row],[Disc %]]</f>
        <v>1529.5</v>
      </c>
      <c r="L3136" s="43">
        <v>0.18</v>
      </c>
      <c r="M3136" s="46">
        <f>(Sales[[#This Row],[Gross Amount]]-Sales[[#This Row],[Disc. Amt.]])*Sales[[#This Row],[GST %]]</f>
        <v>5230.8899999999994</v>
      </c>
      <c r="N3136" s="161">
        <f>Sales[[#This Row],[Gross Amount]]-Sales[[#This Row],[Disc. Amt.]]+Sales[[#This Row],[GST Amount]]</f>
        <v>34291.39</v>
      </c>
      <c r="O3136" s="34" t="s">
        <v>8876</v>
      </c>
      <c r="P3136" s="34" t="s">
        <v>1040</v>
      </c>
      <c r="Q3136" s="165">
        <f>IF(Sales[[#This Row],[Status]]="Cancelled",0,Sales[[#This Row],[Qty]])</f>
        <v>0</v>
      </c>
      <c r="R3136" s="166">
        <f>IF(Sales[[#This Row],[Status]]="Cancelled",0,Sales[[#This Row],[Total Amount]])</f>
        <v>0</v>
      </c>
      <c r="S3136" s="162">
        <f>SUM(Sales[Net Amount])</f>
        <v>406839287.73200053</v>
      </c>
    </row>
    <row r="3137" spans="1:19" ht="18.75" x14ac:dyDescent="0.25">
      <c r="A3137" s="156" t="s">
        <v>6788</v>
      </c>
      <c r="B3137" s="157">
        <v>45935</v>
      </c>
      <c r="C3137" s="158" t="s">
        <v>743</v>
      </c>
      <c r="D3137" s="159" t="str">
        <f>VLOOKUP(Sales[[#This Row],[Customer ID]],Customer[#All],2,0)</f>
        <v>Rahul Gupta</v>
      </c>
      <c r="E3137" s="158" t="s">
        <v>251</v>
      </c>
      <c r="F3137" s="158" t="str">
        <f>VLOOKUP(Sales[[#This Row],[Product ID]],Product[#All],2,0)</f>
        <v>Corsair Ram</v>
      </c>
      <c r="G3137" s="159">
        <v>4</v>
      </c>
      <c r="H3137" s="160">
        <f>VLOOKUP(Sales[[#This Row],[Product ID]],Product[#All],7,0)</f>
        <v>2890</v>
      </c>
      <c r="I3137" s="160">
        <f>Sales[[#This Row],[Selling Rate]]*Sales[[#This Row],[Qty]]</f>
        <v>11560</v>
      </c>
      <c r="J3137" s="43">
        <v>0</v>
      </c>
      <c r="K3137" s="44">
        <f>Sales[[#This Row],[Gross Amount]]*Sales[[#This Row],[Disc %]]</f>
        <v>0</v>
      </c>
      <c r="L3137" s="43">
        <v>0.18</v>
      </c>
      <c r="M3137" s="44">
        <f>(Sales[[#This Row],[Gross Amount]]-Sales[[#This Row],[Disc. Amt.]])*Sales[[#This Row],[GST %]]</f>
        <v>2080.7999999999997</v>
      </c>
      <c r="N3137" s="161">
        <f>Sales[[#This Row],[Gross Amount]]-Sales[[#This Row],[Disc. Amt.]]+Sales[[#This Row],[GST Amount]]</f>
        <v>13640.8</v>
      </c>
      <c r="O3137" s="158" t="s">
        <v>3569</v>
      </c>
      <c r="P3137" s="158" t="s">
        <v>3562</v>
      </c>
      <c r="Q3137" s="160">
        <f>IF(Sales[[#This Row],[Status]]="Cancelled",0,Sales[[#This Row],[Qty]])</f>
        <v>4</v>
      </c>
      <c r="R3137" s="161">
        <f>IF(Sales[[#This Row],[Status]]="Cancelled",0,Sales[[#This Row],[Total Amount]])</f>
        <v>13640.8</v>
      </c>
      <c r="S3137" s="162">
        <f>SUM(Sales[Net Amount])</f>
        <v>406839287.73200053</v>
      </c>
    </row>
    <row r="3138" spans="1:19" ht="18.75" x14ac:dyDescent="0.25">
      <c r="A3138" s="163" t="s">
        <v>6789</v>
      </c>
      <c r="B3138" s="164">
        <v>45935</v>
      </c>
      <c r="C3138" s="34" t="s">
        <v>934</v>
      </c>
      <c r="D3138" s="53" t="str">
        <f>VLOOKUP(Sales[[#This Row],[Customer ID]],Customer[#All],2,0)</f>
        <v>Pooja Singh</v>
      </c>
      <c r="E3138" s="34" t="s">
        <v>91</v>
      </c>
      <c r="F3138" s="34" t="str">
        <f>VLOOKUP(Sales[[#This Row],[Product ID]],Product[#All],2,0)</f>
        <v>Logitech Keyboard</v>
      </c>
      <c r="G3138" s="53">
        <v>2</v>
      </c>
      <c r="H3138" s="165">
        <f>VLOOKUP(Sales[[#This Row],[Product ID]],Product[#All],7,0)</f>
        <v>3950</v>
      </c>
      <c r="I3138" s="165">
        <f>Sales[[#This Row],[Selling Rate]]*Sales[[#This Row],[Qty]]</f>
        <v>7900</v>
      </c>
      <c r="J3138" s="45">
        <v>0.02</v>
      </c>
      <c r="K3138" s="46">
        <f>Sales[[#This Row],[Gross Amount]]*Sales[[#This Row],[Disc %]]</f>
        <v>158</v>
      </c>
      <c r="L3138" s="43">
        <v>0.18</v>
      </c>
      <c r="M3138" s="46">
        <f>(Sales[[#This Row],[Gross Amount]]-Sales[[#This Row],[Disc. Amt.]])*Sales[[#This Row],[GST %]]</f>
        <v>1393.56</v>
      </c>
      <c r="N3138" s="161">
        <f>Sales[[#This Row],[Gross Amount]]-Sales[[#This Row],[Disc. Amt.]]+Sales[[#This Row],[GST Amount]]</f>
        <v>9135.56</v>
      </c>
      <c r="O3138" s="34" t="s">
        <v>3566</v>
      </c>
      <c r="P3138" s="34" t="s">
        <v>3562</v>
      </c>
      <c r="Q3138" s="165">
        <f>IF(Sales[[#This Row],[Status]]="Cancelled",0,Sales[[#This Row],[Qty]])</f>
        <v>2</v>
      </c>
      <c r="R3138" s="166">
        <f>IF(Sales[[#This Row],[Status]]="Cancelled",0,Sales[[#This Row],[Total Amount]])</f>
        <v>9135.56</v>
      </c>
      <c r="S3138" s="162">
        <f>SUM(Sales[Net Amount])</f>
        <v>406839287.73200053</v>
      </c>
    </row>
    <row r="3139" spans="1:19" ht="18.75" x14ac:dyDescent="0.25">
      <c r="A3139" s="156" t="s">
        <v>6790</v>
      </c>
      <c r="B3139" s="157">
        <v>45935</v>
      </c>
      <c r="C3139" s="158" t="s">
        <v>751</v>
      </c>
      <c r="D3139" s="159" t="str">
        <f>VLOOKUP(Sales[[#This Row],[Customer ID]],Customer[#All],2,0)</f>
        <v>Ankit Verma</v>
      </c>
      <c r="E3139" s="158" t="s">
        <v>273</v>
      </c>
      <c r="F3139" s="158" t="str">
        <f>VLOOKUP(Sales[[#This Row],[Product ID]],Product[#All],2,0)</f>
        <v>Boat Headset</v>
      </c>
      <c r="G3139" s="159">
        <v>1</v>
      </c>
      <c r="H3139" s="160">
        <f>VLOOKUP(Sales[[#This Row],[Product ID]],Product[#All],7,0)</f>
        <v>4970</v>
      </c>
      <c r="I3139" s="160">
        <f>Sales[[#This Row],[Selling Rate]]*Sales[[#This Row],[Qty]]</f>
        <v>4970</v>
      </c>
      <c r="J3139" s="43">
        <v>0</v>
      </c>
      <c r="K3139" s="44">
        <f>Sales[[#This Row],[Gross Amount]]*Sales[[#This Row],[Disc %]]</f>
        <v>0</v>
      </c>
      <c r="L3139" s="43">
        <v>0.18</v>
      </c>
      <c r="M3139" s="44">
        <f>(Sales[[#This Row],[Gross Amount]]-Sales[[#This Row],[Disc. Amt.]])*Sales[[#This Row],[GST %]]</f>
        <v>894.6</v>
      </c>
      <c r="N3139" s="161">
        <f>Sales[[#This Row],[Gross Amount]]-Sales[[#This Row],[Disc. Amt.]]+Sales[[#This Row],[GST Amount]]</f>
        <v>5864.6</v>
      </c>
      <c r="O3139" s="158" t="s">
        <v>3566</v>
      </c>
      <c r="P3139" s="158" t="s">
        <v>3562</v>
      </c>
      <c r="Q3139" s="160">
        <f>IF(Sales[[#This Row],[Status]]="Cancelled",0,Sales[[#This Row],[Qty]])</f>
        <v>1</v>
      </c>
      <c r="R3139" s="161">
        <f>IF(Sales[[#This Row],[Status]]="Cancelled",0,Sales[[#This Row],[Total Amount]])</f>
        <v>5864.6</v>
      </c>
      <c r="S3139" s="162">
        <f>SUM(Sales[Net Amount])</f>
        <v>406839287.73200053</v>
      </c>
    </row>
    <row r="3140" spans="1:19" ht="18.75" x14ac:dyDescent="0.25">
      <c r="A3140" s="163" t="s">
        <v>6791</v>
      </c>
      <c r="B3140" s="164">
        <v>45935</v>
      </c>
      <c r="C3140" s="34" t="s">
        <v>775</v>
      </c>
      <c r="D3140" s="53" t="str">
        <f>VLOOKUP(Sales[[#This Row],[Customer ID]],Customer[#All],2,0)</f>
        <v>Ankit Kumar</v>
      </c>
      <c r="E3140" s="34" t="s">
        <v>483</v>
      </c>
      <c r="F3140" s="34" t="str">
        <f>VLOOKUP(Sales[[#This Row],[Product ID]],Product[#All],2,0)</f>
        <v>Kingston Ram</v>
      </c>
      <c r="G3140" s="53">
        <v>8</v>
      </c>
      <c r="H3140" s="165">
        <f>VLOOKUP(Sales[[#This Row],[Product ID]],Product[#All],7,0)</f>
        <v>8630</v>
      </c>
      <c r="I3140" s="165">
        <f>Sales[[#This Row],[Selling Rate]]*Sales[[#This Row],[Qty]]</f>
        <v>69040</v>
      </c>
      <c r="J3140" s="45">
        <v>0.05</v>
      </c>
      <c r="K3140" s="46">
        <f>Sales[[#This Row],[Gross Amount]]*Sales[[#This Row],[Disc %]]</f>
        <v>3452</v>
      </c>
      <c r="L3140" s="43">
        <v>0.18</v>
      </c>
      <c r="M3140" s="46">
        <f>(Sales[[#This Row],[Gross Amount]]-Sales[[#This Row],[Disc. Amt.]])*Sales[[#This Row],[GST %]]</f>
        <v>11805.84</v>
      </c>
      <c r="N3140" s="161">
        <f>Sales[[#This Row],[Gross Amount]]-Sales[[#This Row],[Disc. Amt.]]+Sales[[#This Row],[GST Amount]]</f>
        <v>77393.84</v>
      </c>
      <c r="O3140" s="34" t="s">
        <v>8876</v>
      </c>
      <c r="P3140" s="34" t="s">
        <v>3562</v>
      </c>
      <c r="Q3140" s="165">
        <f>IF(Sales[[#This Row],[Status]]="Cancelled",0,Sales[[#This Row],[Qty]])</f>
        <v>8</v>
      </c>
      <c r="R3140" s="166">
        <f>IF(Sales[[#This Row],[Status]]="Cancelled",0,Sales[[#This Row],[Total Amount]])</f>
        <v>77393.84</v>
      </c>
      <c r="S3140" s="162">
        <f>SUM(Sales[Net Amount])</f>
        <v>406839287.73200053</v>
      </c>
    </row>
    <row r="3141" spans="1:19" ht="18.75" x14ac:dyDescent="0.25">
      <c r="A3141" s="156" t="s">
        <v>6792</v>
      </c>
      <c r="B3141" s="157">
        <v>45935</v>
      </c>
      <c r="C3141" s="158" t="s">
        <v>796</v>
      </c>
      <c r="D3141" s="159" t="str">
        <f>VLOOKUP(Sales[[#This Row],[Customer ID]],Customer[#All],2,0)</f>
        <v>Rahul Verma</v>
      </c>
      <c r="E3141" s="158" t="s">
        <v>276</v>
      </c>
      <c r="F3141" s="158" t="str">
        <f>VLOOKUP(Sales[[#This Row],[Product ID]],Product[#All],2,0)</f>
        <v>Corsair Ram</v>
      </c>
      <c r="G3141" s="159">
        <v>8</v>
      </c>
      <c r="H3141" s="160">
        <f>VLOOKUP(Sales[[#This Row],[Product ID]],Product[#All],7,0)</f>
        <v>7140</v>
      </c>
      <c r="I3141" s="160">
        <f>Sales[[#This Row],[Selling Rate]]*Sales[[#This Row],[Qty]]</f>
        <v>57120</v>
      </c>
      <c r="J3141" s="43">
        <v>0.12</v>
      </c>
      <c r="K3141" s="44">
        <f>Sales[[#This Row],[Gross Amount]]*Sales[[#This Row],[Disc %]]</f>
        <v>6854.4</v>
      </c>
      <c r="L3141" s="43">
        <v>0.18</v>
      </c>
      <c r="M3141" s="44">
        <f>(Sales[[#This Row],[Gross Amount]]-Sales[[#This Row],[Disc. Amt.]])*Sales[[#This Row],[GST %]]</f>
        <v>9047.8079999999991</v>
      </c>
      <c r="N3141" s="161">
        <f>Sales[[#This Row],[Gross Amount]]-Sales[[#This Row],[Disc. Amt.]]+Sales[[#This Row],[GST Amount]]</f>
        <v>59313.407999999996</v>
      </c>
      <c r="O3141" s="158" t="s">
        <v>8876</v>
      </c>
      <c r="P3141" s="158" t="s">
        <v>3562</v>
      </c>
      <c r="Q3141" s="160">
        <f>IF(Sales[[#This Row],[Status]]="Cancelled",0,Sales[[#This Row],[Qty]])</f>
        <v>8</v>
      </c>
      <c r="R3141" s="161">
        <f>IF(Sales[[#This Row],[Status]]="Cancelled",0,Sales[[#This Row],[Total Amount]])</f>
        <v>59313.407999999996</v>
      </c>
      <c r="S3141" s="162">
        <f>SUM(Sales[Net Amount])</f>
        <v>406839287.73200053</v>
      </c>
    </row>
    <row r="3142" spans="1:19" ht="18.75" x14ac:dyDescent="0.25">
      <c r="A3142" s="163" t="s">
        <v>6793</v>
      </c>
      <c r="B3142" s="164">
        <v>45935</v>
      </c>
      <c r="C3142" s="34" t="s">
        <v>734</v>
      </c>
      <c r="D3142" s="53" t="str">
        <f>VLOOKUP(Sales[[#This Row],[Customer ID]],Customer[#All],2,0)</f>
        <v>Ankit Sharma</v>
      </c>
      <c r="E3142" s="34" t="s">
        <v>129</v>
      </c>
      <c r="F3142" s="34" t="str">
        <f>VLOOKUP(Sales[[#This Row],[Product ID]],Product[#All],2,0)</f>
        <v>Logitech Mouse</v>
      </c>
      <c r="G3142" s="53">
        <v>7</v>
      </c>
      <c r="H3142" s="165">
        <f>VLOOKUP(Sales[[#This Row],[Product ID]],Product[#All],7,0)</f>
        <v>2000</v>
      </c>
      <c r="I3142" s="165">
        <f>Sales[[#This Row],[Selling Rate]]*Sales[[#This Row],[Qty]]</f>
        <v>14000</v>
      </c>
      <c r="J3142" s="45">
        <v>0.02</v>
      </c>
      <c r="K3142" s="46">
        <f>Sales[[#This Row],[Gross Amount]]*Sales[[#This Row],[Disc %]]</f>
        <v>280</v>
      </c>
      <c r="L3142" s="43">
        <v>0.18</v>
      </c>
      <c r="M3142" s="46">
        <f>(Sales[[#This Row],[Gross Amount]]-Sales[[#This Row],[Disc. Amt.]])*Sales[[#This Row],[GST %]]</f>
        <v>2469.6</v>
      </c>
      <c r="N3142" s="161">
        <f>Sales[[#This Row],[Gross Amount]]-Sales[[#This Row],[Disc. Amt.]]+Sales[[#This Row],[GST Amount]]</f>
        <v>16189.6</v>
      </c>
      <c r="O3142" s="34" t="s">
        <v>3569</v>
      </c>
      <c r="P3142" s="34" t="s">
        <v>3562</v>
      </c>
      <c r="Q3142" s="165">
        <f>IF(Sales[[#This Row],[Status]]="Cancelled",0,Sales[[#This Row],[Qty]])</f>
        <v>7</v>
      </c>
      <c r="R3142" s="166">
        <f>IF(Sales[[#This Row],[Status]]="Cancelled",0,Sales[[#This Row],[Total Amount]])</f>
        <v>16189.6</v>
      </c>
      <c r="S3142" s="162">
        <f>SUM(Sales[Net Amount])</f>
        <v>406839287.73200053</v>
      </c>
    </row>
    <row r="3143" spans="1:19" ht="18.75" x14ac:dyDescent="0.25">
      <c r="A3143" s="156" t="s">
        <v>6794</v>
      </c>
      <c r="B3143" s="157">
        <v>45935</v>
      </c>
      <c r="C3143" s="158" t="s">
        <v>785</v>
      </c>
      <c r="D3143" s="159" t="str">
        <f>VLOOKUP(Sales[[#This Row],[Customer ID]],Customer[#All],2,0)</f>
        <v>Ankit Gupta</v>
      </c>
      <c r="E3143" s="158" t="s">
        <v>117</v>
      </c>
      <c r="F3143" s="158" t="str">
        <f>VLOOKUP(Sales[[#This Row],[Product ID]],Product[#All],2,0)</f>
        <v>Logitech Mouse</v>
      </c>
      <c r="G3143" s="159">
        <v>4</v>
      </c>
      <c r="H3143" s="160">
        <f>VLOOKUP(Sales[[#This Row],[Product ID]],Product[#All],7,0)</f>
        <v>2960</v>
      </c>
      <c r="I3143" s="160">
        <f>Sales[[#This Row],[Selling Rate]]*Sales[[#This Row],[Qty]]</f>
        <v>11840</v>
      </c>
      <c r="J3143" s="43">
        <v>0</v>
      </c>
      <c r="K3143" s="44">
        <f>Sales[[#This Row],[Gross Amount]]*Sales[[#This Row],[Disc %]]</f>
        <v>0</v>
      </c>
      <c r="L3143" s="43">
        <v>0.18</v>
      </c>
      <c r="M3143" s="44">
        <f>(Sales[[#This Row],[Gross Amount]]-Sales[[#This Row],[Disc. Amt.]])*Sales[[#This Row],[GST %]]</f>
        <v>2131.1999999999998</v>
      </c>
      <c r="N3143" s="161">
        <f>Sales[[#This Row],[Gross Amount]]-Sales[[#This Row],[Disc. Amt.]]+Sales[[#This Row],[GST Amount]]</f>
        <v>13971.2</v>
      </c>
      <c r="O3143" s="158" t="s">
        <v>8876</v>
      </c>
      <c r="P3143" s="158" t="s">
        <v>3562</v>
      </c>
      <c r="Q3143" s="160">
        <f>IF(Sales[[#This Row],[Status]]="Cancelled",0,Sales[[#This Row],[Qty]])</f>
        <v>4</v>
      </c>
      <c r="R3143" s="161">
        <f>IF(Sales[[#This Row],[Status]]="Cancelled",0,Sales[[#This Row],[Total Amount]])</f>
        <v>13971.2</v>
      </c>
      <c r="S3143" s="162">
        <f>SUM(Sales[Net Amount])</f>
        <v>406839287.73200053</v>
      </c>
    </row>
    <row r="3144" spans="1:19" ht="18.75" x14ac:dyDescent="0.25">
      <c r="A3144" s="163" t="s">
        <v>6795</v>
      </c>
      <c r="B3144" s="164">
        <v>45935</v>
      </c>
      <c r="C3144" s="34" t="s">
        <v>651</v>
      </c>
      <c r="D3144" s="53" t="str">
        <f>VLOOKUP(Sales[[#This Row],[Customer ID]],Customer[#All],2,0)</f>
        <v>Sahil Verma</v>
      </c>
      <c r="E3144" s="34" t="s">
        <v>428</v>
      </c>
      <c r="F3144" s="34" t="str">
        <f>VLOOKUP(Sales[[#This Row],[Product ID]],Product[#All],2,0)</f>
        <v>Microtek UPS</v>
      </c>
      <c r="G3144" s="53">
        <v>4</v>
      </c>
      <c r="H3144" s="165">
        <f>VLOOKUP(Sales[[#This Row],[Product ID]],Product[#All],7,0)</f>
        <v>8450</v>
      </c>
      <c r="I3144" s="165">
        <f>Sales[[#This Row],[Selling Rate]]*Sales[[#This Row],[Qty]]</f>
        <v>33800</v>
      </c>
      <c r="J3144" s="45">
        <v>0</v>
      </c>
      <c r="K3144" s="46">
        <f>Sales[[#This Row],[Gross Amount]]*Sales[[#This Row],[Disc %]]</f>
        <v>0</v>
      </c>
      <c r="L3144" s="43">
        <v>0.18</v>
      </c>
      <c r="M3144" s="46">
        <f>(Sales[[#This Row],[Gross Amount]]-Sales[[#This Row],[Disc. Amt.]])*Sales[[#This Row],[GST %]]</f>
        <v>6084</v>
      </c>
      <c r="N3144" s="161">
        <f>Sales[[#This Row],[Gross Amount]]-Sales[[#This Row],[Disc. Amt.]]+Sales[[#This Row],[GST Amount]]</f>
        <v>39884</v>
      </c>
      <c r="O3144" s="34" t="s">
        <v>3569</v>
      </c>
      <c r="P3144" s="34" t="s">
        <v>3562</v>
      </c>
      <c r="Q3144" s="165">
        <f>IF(Sales[[#This Row],[Status]]="Cancelled",0,Sales[[#This Row],[Qty]])</f>
        <v>4</v>
      </c>
      <c r="R3144" s="166">
        <f>IF(Sales[[#This Row],[Status]]="Cancelled",0,Sales[[#This Row],[Total Amount]])</f>
        <v>39884</v>
      </c>
      <c r="S3144" s="162">
        <f>SUM(Sales[Net Amount])</f>
        <v>406839287.73200053</v>
      </c>
    </row>
    <row r="3145" spans="1:19" ht="18.75" x14ac:dyDescent="0.25">
      <c r="A3145" s="156" t="s">
        <v>6796</v>
      </c>
      <c r="B3145" s="157">
        <v>45935</v>
      </c>
      <c r="C3145" s="158" t="s">
        <v>5923</v>
      </c>
      <c r="D3145" s="159" t="str">
        <f>VLOOKUP(Sales[[#This Row],[Customer ID]],Customer[#All],2,0)</f>
        <v>Neha Verma</v>
      </c>
      <c r="E3145" s="158" t="s">
        <v>431</v>
      </c>
      <c r="F3145" s="158" t="str">
        <f>VLOOKUP(Sales[[#This Row],[Product ID]],Product[#All],2,0)</f>
        <v>Canon Printer</v>
      </c>
      <c r="G3145" s="159">
        <v>8</v>
      </c>
      <c r="H3145" s="160">
        <f>VLOOKUP(Sales[[#This Row],[Product ID]],Product[#All],7,0)</f>
        <v>17260</v>
      </c>
      <c r="I3145" s="160">
        <f>Sales[[#This Row],[Selling Rate]]*Sales[[#This Row],[Qty]]</f>
        <v>138080</v>
      </c>
      <c r="J3145" s="43">
        <v>0</v>
      </c>
      <c r="K3145" s="44">
        <f>Sales[[#This Row],[Gross Amount]]*Sales[[#This Row],[Disc %]]</f>
        <v>0</v>
      </c>
      <c r="L3145" s="43">
        <v>0.18</v>
      </c>
      <c r="M3145" s="44">
        <f>(Sales[[#This Row],[Gross Amount]]-Sales[[#This Row],[Disc. Amt.]])*Sales[[#This Row],[GST %]]</f>
        <v>24854.399999999998</v>
      </c>
      <c r="N3145" s="161">
        <f>Sales[[#This Row],[Gross Amount]]-Sales[[#This Row],[Disc. Amt.]]+Sales[[#This Row],[GST Amount]]</f>
        <v>162934.39999999999</v>
      </c>
      <c r="O3145" s="158" t="s">
        <v>8876</v>
      </c>
      <c r="P3145" s="158" t="s">
        <v>3562</v>
      </c>
      <c r="Q3145" s="160">
        <f>IF(Sales[[#This Row],[Status]]="Cancelled",0,Sales[[#This Row],[Qty]])</f>
        <v>8</v>
      </c>
      <c r="R3145" s="161">
        <f>IF(Sales[[#This Row],[Status]]="Cancelled",0,Sales[[#This Row],[Total Amount]])</f>
        <v>162934.39999999999</v>
      </c>
      <c r="S3145" s="162">
        <f>SUM(Sales[Net Amount])</f>
        <v>406839287.73200053</v>
      </c>
    </row>
    <row r="3146" spans="1:19" ht="18.75" x14ac:dyDescent="0.25">
      <c r="A3146" s="163" t="s">
        <v>6797</v>
      </c>
      <c r="B3146" s="164">
        <v>45936</v>
      </c>
      <c r="C3146" s="34" t="s">
        <v>692</v>
      </c>
      <c r="D3146" s="53" t="str">
        <f>VLOOKUP(Sales[[#This Row],[Customer ID]],Customer[#All],2,0)</f>
        <v>Rahul Patel</v>
      </c>
      <c r="E3146" s="34" t="s">
        <v>302</v>
      </c>
      <c r="F3146" s="34" t="str">
        <f>VLOOKUP(Sales[[#This Row],[Product ID]],Product[#All],2,0)</f>
        <v>Sandisk Pen Drive</v>
      </c>
      <c r="G3146" s="53">
        <v>5</v>
      </c>
      <c r="H3146" s="165">
        <f>VLOOKUP(Sales[[#This Row],[Product ID]],Product[#All],7,0)</f>
        <v>2500</v>
      </c>
      <c r="I3146" s="165">
        <f>Sales[[#This Row],[Selling Rate]]*Sales[[#This Row],[Qty]]</f>
        <v>12500</v>
      </c>
      <c r="J3146" s="45">
        <v>0.05</v>
      </c>
      <c r="K3146" s="46">
        <f>Sales[[#This Row],[Gross Amount]]*Sales[[#This Row],[Disc %]]</f>
        <v>625</v>
      </c>
      <c r="L3146" s="43">
        <v>0.18</v>
      </c>
      <c r="M3146" s="46">
        <f>(Sales[[#This Row],[Gross Amount]]-Sales[[#This Row],[Disc. Amt.]])*Sales[[#This Row],[GST %]]</f>
        <v>2137.5</v>
      </c>
      <c r="N3146" s="161">
        <f>Sales[[#This Row],[Gross Amount]]-Sales[[#This Row],[Disc. Amt.]]+Sales[[#This Row],[GST Amount]]</f>
        <v>14012.5</v>
      </c>
      <c r="O3146" s="34" t="s">
        <v>3566</v>
      </c>
      <c r="P3146" s="34" t="s">
        <v>3562</v>
      </c>
      <c r="Q3146" s="165">
        <f>IF(Sales[[#This Row],[Status]]="Cancelled",0,Sales[[#This Row],[Qty]])</f>
        <v>5</v>
      </c>
      <c r="R3146" s="166">
        <f>IF(Sales[[#This Row],[Status]]="Cancelled",0,Sales[[#This Row],[Total Amount]])</f>
        <v>14012.5</v>
      </c>
      <c r="S3146" s="162">
        <f>SUM(Sales[Net Amount])</f>
        <v>406839287.73200053</v>
      </c>
    </row>
    <row r="3147" spans="1:19" ht="18.75" x14ac:dyDescent="0.25">
      <c r="A3147" s="156" t="s">
        <v>6798</v>
      </c>
      <c r="B3147" s="157">
        <v>45936</v>
      </c>
      <c r="C3147" s="158" t="s">
        <v>846</v>
      </c>
      <c r="D3147" s="159" t="str">
        <f>VLOOKUP(Sales[[#This Row],[Customer ID]],Customer[#All],2,0)</f>
        <v>Ankit Patel</v>
      </c>
      <c r="E3147" s="158" t="s">
        <v>266</v>
      </c>
      <c r="F3147" s="158" t="str">
        <f>VLOOKUP(Sales[[#This Row],[Product ID]],Product[#All],2,0)</f>
        <v>American TouristerLaptopBag</v>
      </c>
      <c r="G3147" s="159">
        <v>4</v>
      </c>
      <c r="H3147" s="160">
        <f>VLOOKUP(Sales[[#This Row],[Product ID]],Product[#All],7,0)</f>
        <v>4170</v>
      </c>
      <c r="I3147" s="160">
        <f>Sales[[#This Row],[Selling Rate]]*Sales[[#This Row],[Qty]]</f>
        <v>16680</v>
      </c>
      <c r="J3147" s="43">
        <v>0.12</v>
      </c>
      <c r="K3147" s="44">
        <f>Sales[[#This Row],[Gross Amount]]*Sales[[#This Row],[Disc %]]</f>
        <v>2001.6</v>
      </c>
      <c r="L3147" s="43">
        <v>0.18</v>
      </c>
      <c r="M3147" s="44">
        <f>(Sales[[#This Row],[Gross Amount]]-Sales[[#This Row],[Disc. Amt.]])*Sales[[#This Row],[GST %]]</f>
        <v>2642.1119999999996</v>
      </c>
      <c r="N3147" s="161">
        <f>Sales[[#This Row],[Gross Amount]]-Sales[[#This Row],[Disc. Amt.]]+Sales[[#This Row],[GST Amount]]</f>
        <v>17320.511999999999</v>
      </c>
      <c r="O3147" s="158" t="s">
        <v>3566</v>
      </c>
      <c r="P3147" s="158" t="s">
        <v>3562</v>
      </c>
      <c r="Q3147" s="160">
        <f>IF(Sales[[#This Row],[Status]]="Cancelled",0,Sales[[#This Row],[Qty]])</f>
        <v>4</v>
      </c>
      <c r="R3147" s="161">
        <f>IF(Sales[[#This Row],[Status]]="Cancelled",0,Sales[[#This Row],[Total Amount]])</f>
        <v>17320.511999999999</v>
      </c>
      <c r="S3147" s="162">
        <f>SUM(Sales[Net Amount])</f>
        <v>406839287.73200053</v>
      </c>
    </row>
    <row r="3148" spans="1:19" ht="18.75" x14ac:dyDescent="0.25">
      <c r="A3148" s="163" t="s">
        <v>6799</v>
      </c>
      <c r="B3148" s="164">
        <v>45936</v>
      </c>
      <c r="C3148" s="34" t="s">
        <v>680</v>
      </c>
      <c r="D3148" s="53" t="str">
        <f>VLOOKUP(Sales[[#This Row],[Customer ID]],Customer[#All],2,0)</f>
        <v>Rahul Kumar</v>
      </c>
      <c r="E3148" s="34" t="s">
        <v>293</v>
      </c>
      <c r="F3148" s="34" t="str">
        <f>VLOOKUP(Sales[[#This Row],[Product ID]],Product[#All],2,0)</f>
        <v>Samsung Ssd</v>
      </c>
      <c r="G3148" s="53">
        <v>5</v>
      </c>
      <c r="H3148" s="165">
        <f>VLOOKUP(Sales[[#This Row],[Product ID]],Product[#All],7,0)</f>
        <v>8530</v>
      </c>
      <c r="I3148" s="165">
        <f>Sales[[#This Row],[Selling Rate]]*Sales[[#This Row],[Qty]]</f>
        <v>42650</v>
      </c>
      <c r="J3148" s="45">
        <v>0</v>
      </c>
      <c r="K3148" s="46">
        <f>Sales[[#This Row],[Gross Amount]]*Sales[[#This Row],[Disc %]]</f>
        <v>0</v>
      </c>
      <c r="L3148" s="43">
        <v>0.18</v>
      </c>
      <c r="M3148" s="46">
        <f>(Sales[[#This Row],[Gross Amount]]-Sales[[#This Row],[Disc. Amt.]])*Sales[[#This Row],[GST %]]</f>
        <v>7677</v>
      </c>
      <c r="N3148" s="161">
        <f>Sales[[#This Row],[Gross Amount]]-Sales[[#This Row],[Disc. Amt.]]+Sales[[#This Row],[GST Amount]]</f>
        <v>50327</v>
      </c>
      <c r="O3148" s="34" t="s">
        <v>3561</v>
      </c>
      <c r="P3148" s="34" t="s">
        <v>3562</v>
      </c>
      <c r="Q3148" s="165">
        <f>IF(Sales[[#This Row],[Status]]="Cancelled",0,Sales[[#This Row],[Qty]])</f>
        <v>5</v>
      </c>
      <c r="R3148" s="166">
        <f>IF(Sales[[#This Row],[Status]]="Cancelled",0,Sales[[#This Row],[Total Amount]])</f>
        <v>50327</v>
      </c>
      <c r="S3148" s="162">
        <f>SUM(Sales[Net Amount])</f>
        <v>406839287.73200053</v>
      </c>
    </row>
    <row r="3149" spans="1:19" ht="18.75" x14ac:dyDescent="0.25">
      <c r="A3149" s="156" t="s">
        <v>6800</v>
      </c>
      <c r="B3149" s="157">
        <v>45936</v>
      </c>
      <c r="C3149" s="158" t="s">
        <v>721</v>
      </c>
      <c r="D3149" s="159" t="str">
        <f>VLOOKUP(Sales[[#This Row],[Customer ID]],Customer[#All],2,0)</f>
        <v>Sahil Sharma</v>
      </c>
      <c r="E3149" s="158" t="s">
        <v>489</v>
      </c>
      <c r="F3149" s="158" t="str">
        <f>VLOOKUP(Sales[[#This Row],[Product ID]],Product[#All],2,0)</f>
        <v>Microtek UPS</v>
      </c>
      <c r="G3149" s="159">
        <v>6</v>
      </c>
      <c r="H3149" s="160">
        <f>VLOOKUP(Sales[[#This Row],[Product ID]],Product[#All],7,0)</f>
        <v>8040</v>
      </c>
      <c r="I3149" s="160">
        <f>Sales[[#This Row],[Selling Rate]]*Sales[[#This Row],[Qty]]</f>
        <v>48240</v>
      </c>
      <c r="J3149" s="43">
        <v>0.02</v>
      </c>
      <c r="K3149" s="44">
        <f>Sales[[#This Row],[Gross Amount]]*Sales[[#This Row],[Disc %]]</f>
        <v>964.80000000000007</v>
      </c>
      <c r="L3149" s="43">
        <v>0.18</v>
      </c>
      <c r="M3149" s="44">
        <f>(Sales[[#This Row],[Gross Amount]]-Sales[[#This Row],[Disc. Amt.]])*Sales[[#This Row],[GST %]]</f>
        <v>8509.5360000000001</v>
      </c>
      <c r="N3149" s="161">
        <f>Sales[[#This Row],[Gross Amount]]-Sales[[#This Row],[Disc. Amt.]]+Sales[[#This Row],[GST Amount]]</f>
        <v>55784.735999999997</v>
      </c>
      <c r="O3149" s="158" t="s">
        <v>3566</v>
      </c>
      <c r="P3149" s="158" t="s">
        <v>3562</v>
      </c>
      <c r="Q3149" s="160">
        <f>IF(Sales[[#This Row],[Status]]="Cancelled",0,Sales[[#This Row],[Qty]])</f>
        <v>6</v>
      </c>
      <c r="R3149" s="161">
        <f>IF(Sales[[#This Row],[Status]]="Cancelled",0,Sales[[#This Row],[Total Amount]])</f>
        <v>55784.735999999997</v>
      </c>
      <c r="S3149" s="162">
        <f>SUM(Sales[Net Amount])</f>
        <v>406839287.73200053</v>
      </c>
    </row>
    <row r="3150" spans="1:19" ht="18.75" x14ac:dyDescent="0.25">
      <c r="A3150" s="163" t="s">
        <v>6801</v>
      </c>
      <c r="B3150" s="164">
        <v>45936</v>
      </c>
      <c r="C3150" s="34" t="s">
        <v>938</v>
      </c>
      <c r="D3150" s="53" t="str">
        <f>VLOOKUP(Sales[[#This Row],[Customer ID]],Customer[#All],2,0)</f>
        <v>Sunita Sharma</v>
      </c>
      <c r="E3150" s="34" t="s">
        <v>461</v>
      </c>
      <c r="F3150" s="34" t="str">
        <f>VLOOKUP(Sales[[#This Row],[Product ID]],Product[#All],2,0)</f>
        <v>TP-link Wi-Fi Adapter</v>
      </c>
      <c r="G3150" s="53">
        <v>1</v>
      </c>
      <c r="H3150" s="165">
        <f>VLOOKUP(Sales[[#This Row],[Product ID]],Product[#All],7,0)</f>
        <v>2500</v>
      </c>
      <c r="I3150" s="165">
        <f>Sales[[#This Row],[Selling Rate]]*Sales[[#This Row],[Qty]]</f>
        <v>2500</v>
      </c>
      <c r="J3150" s="45">
        <v>0</v>
      </c>
      <c r="K3150" s="46">
        <f>Sales[[#This Row],[Gross Amount]]*Sales[[#This Row],[Disc %]]</f>
        <v>0</v>
      </c>
      <c r="L3150" s="43">
        <v>0.18</v>
      </c>
      <c r="M3150" s="46">
        <f>(Sales[[#This Row],[Gross Amount]]-Sales[[#This Row],[Disc. Amt.]])*Sales[[#This Row],[GST %]]</f>
        <v>450</v>
      </c>
      <c r="N3150" s="161">
        <f>Sales[[#This Row],[Gross Amount]]-Sales[[#This Row],[Disc. Amt.]]+Sales[[#This Row],[GST Amount]]</f>
        <v>2950</v>
      </c>
      <c r="O3150" s="34" t="s">
        <v>3566</v>
      </c>
      <c r="P3150" s="34" t="s">
        <v>3562</v>
      </c>
      <c r="Q3150" s="165">
        <f>IF(Sales[[#This Row],[Status]]="Cancelled",0,Sales[[#This Row],[Qty]])</f>
        <v>1</v>
      </c>
      <c r="R3150" s="166">
        <f>IF(Sales[[#This Row],[Status]]="Cancelled",0,Sales[[#This Row],[Total Amount]])</f>
        <v>2950</v>
      </c>
      <c r="S3150" s="162">
        <f>SUM(Sales[Net Amount])</f>
        <v>406839287.73200053</v>
      </c>
    </row>
    <row r="3151" spans="1:19" ht="18.75" x14ac:dyDescent="0.25">
      <c r="A3151" s="156" t="s">
        <v>6802</v>
      </c>
      <c r="B3151" s="157">
        <v>45936</v>
      </c>
      <c r="C3151" s="158" t="s">
        <v>814</v>
      </c>
      <c r="D3151" s="159" t="str">
        <f>VLOOKUP(Sales[[#This Row],[Customer ID]],Customer[#All],2,0)</f>
        <v>Amit Kumar</v>
      </c>
      <c r="E3151" s="158" t="s">
        <v>134</v>
      </c>
      <c r="F3151" s="158" t="str">
        <f>VLOOKUP(Sales[[#This Row],[Product ID]],Product[#All],2,0)</f>
        <v>Logitech Keyboard</v>
      </c>
      <c r="G3151" s="159">
        <v>8</v>
      </c>
      <c r="H3151" s="160">
        <f>VLOOKUP(Sales[[#This Row],[Product ID]],Product[#All],7,0)</f>
        <v>4130</v>
      </c>
      <c r="I3151" s="160">
        <f>Sales[[#This Row],[Selling Rate]]*Sales[[#This Row],[Qty]]</f>
        <v>33040</v>
      </c>
      <c r="J3151" s="43">
        <v>0</v>
      </c>
      <c r="K3151" s="44">
        <f>Sales[[#This Row],[Gross Amount]]*Sales[[#This Row],[Disc %]]</f>
        <v>0</v>
      </c>
      <c r="L3151" s="43">
        <v>0.18</v>
      </c>
      <c r="M3151" s="44">
        <f>(Sales[[#This Row],[Gross Amount]]-Sales[[#This Row],[Disc. Amt.]])*Sales[[#This Row],[GST %]]</f>
        <v>5947.2</v>
      </c>
      <c r="N3151" s="161">
        <f>Sales[[#This Row],[Gross Amount]]-Sales[[#This Row],[Disc. Amt.]]+Sales[[#This Row],[GST Amount]]</f>
        <v>38987.199999999997</v>
      </c>
      <c r="O3151" s="158" t="s">
        <v>8876</v>
      </c>
      <c r="P3151" s="158" t="s">
        <v>3562</v>
      </c>
      <c r="Q3151" s="160">
        <f>IF(Sales[[#This Row],[Status]]="Cancelled",0,Sales[[#This Row],[Qty]])</f>
        <v>8</v>
      </c>
      <c r="R3151" s="161">
        <f>IF(Sales[[#This Row],[Status]]="Cancelled",0,Sales[[#This Row],[Total Amount]])</f>
        <v>38987.199999999997</v>
      </c>
      <c r="S3151" s="162">
        <f>SUM(Sales[Net Amount])</f>
        <v>406839287.73200053</v>
      </c>
    </row>
    <row r="3152" spans="1:19" ht="18.75" x14ac:dyDescent="0.25">
      <c r="A3152" s="163" t="s">
        <v>6803</v>
      </c>
      <c r="B3152" s="164">
        <v>45936</v>
      </c>
      <c r="C3152" s="34" t="s">
        <v>730</v>
      </c>
      <c r="D3152" s="53" t="str">
        <f>VLOOKUP(Sales[[#This Row],[Customer ID]],Customer[#All],2,0)</f>
        <v>Neha Verma</v>
      </c>
      <c r="E3152" s="34" t="s">
        <v>91</v>
      </c>
      <c r="F3152" s="34" t="str">
        <f>VLOOKUP(Sales[[#This Row],[Product ID]],Product[#All],2,0)</f>
        <v>Logitech Keyboard</v>
      </c>
      <c r="G3152" s="53">
        <v>4</v>
      </c>
      <c r="H3152" s="165">
        <f>VLOOKUP(Sales[[#This Row],[Product ID]],Product[#All],7,0)</f>
        <v>3950</v>
      </c>
      <c r="I3152" s="165">
        <f>Sales[[#This Row],[Selling Rate]]*Sales[[#This Row],[Qty]]</f>
        <v>15800</v>
      </c>
      <c r="J3152" s="45">
        <v>0.05</v>
      </c>
      <c r="K3152" s="46">
        <f>Sales[[#This Row],[Gross Amount]]*Sales[[#This Row],[Disc %]]</f>
        <v>790</v>
      </c>
      <c r="L3152" s="43">
        <v>0.18</v>
      </c>
      <c r="M3152" s="46">
        <f>(Sales[[#This Row],[Gross Amount]]-Sales[[#This Row],[Disc. Amt.]])*Sales[[#This Row],[GST %]]</f>
        <v>2701.7999999999997</v>
      </c>
      <c r="N3152" s="161">
        <f>Sales[[#This Row],[Gross Amount]]-Sales[[#This Row],[Disc. Amt.]]+Sales[[#This Row],[GST Amount]]</f>
        <v>17711.8</v>
      </c>
      <c r="O3152" s="34" t="s">
        <v>3561</v>
      </c>
      <c r="P3152" s="34" t="s">
        <v>3562</v>
      </c>
      <c r="Q3152" s="165">
        <f>IF(Sales[[#This Row],[Status]]="Cancelled",0,Sales[[#This Row],[Qty]])</f>
        <v>4</v>
      </c>
      <c r="R3152" s="166">
        <f>IF(Sales[[#This Row],[Status]]="Cancelled",0,Sales[[#This Row],[Total Amount]])</f>
        <v>17711.8</v>
      </c>
      <c r="S3152" s="162">
        <f>SUM(Sales[Net Amount])</f>
        <v>406839287.73200053</v>
      </c>
    </row>
    <row r="3153" spans="1:19" ht="18.75" x14ac:dyDescent="0.25">
      <c r="A3153" s="156" t="s">
        <v>6804</v>
      </c>
      <c r="B3153" s="157">
        <v>45936</v>
      </c>
      <c r="C3153" s="158" t="s">
        <v>717</v>
      </c>
      <c r="D3153" s="159" t="str">
        <f>VLOOKUP(Sales[[#This Row],[Customer ID]],Customer[#All],2,0)</f>
        <v>Sunita Singh</v>
      </c>
      <c r="E3153" s="158" t="s">
        <v>365</v>
      </c>
      <c r="F3153" s="158" t="str">
        <f>VLOOKUP(Sales[[#This Row],[Product ID]],Product[#All],2,0)</f>
        <v>TP-link Bluetooth Adapter</v>
      </c>
      <c r="G3153" s="159">
        <v>2</v>
      </c>
      <c r="H3153" s="160">
        <f>VLOOKUP(Sales[[#This Row],[Product ID]],Product[#All],7,0)</f>
        <v>2120</v>
      </c>
      <c r="I3153" s="160">
        <f>Sales[[#This Row],[Selling Rate]]*Sales[[#This Row],[Qty]]</f>
        <v>4240</v>
      </c>
      <c r="J3153" s="43">
        <v>0.05</v>
      </c>
      <c r="K3153" s="44">
        <f>Sales[[#This Row],[Gross Amount]]*Sales[[#This Row],[Disc %]]</f>
        <v>212</v>
      </c>
      <c r="L3153" s="43">
        <v>0.18</v>
      </c>
      <c r="M3153" s="44">
        <f>(Sales[[#This Row],[Gross Amount]]-Sales[[#This Row],[Disc. Amt.]])*Sales[[#This Row],[GST %]]</f>
        <v>725.04</v>
      </c>
      <c r="N3153" s="161">
        <f>Sales[[#This Row],[Gross Amount]]-Sales[[#This Row],[Disc. Amt.]]+Sales[[#This Row],[GST Amount]]</f>
        <v>4753.04</v>
      </c>
      <c r="O3153" s="158" t="s">
        <v>8876</v>
      </c>
      <c r="P3153" s="158" t="s">
        <v>3562</v>
      </c>
      <c r="Q3153" s="160">
        <f>IF(Sales[[#This Row],[Status]]="Cancelled",0,Sales[[#This Row],[Qty]])</f>
        <v>2</v>
      </c>
      <c r="R3153" s="161">
        <f>IF(Sales[[#This Row],[Status]]="Cancelled",0,Sales[[#This Row],[Total Amount]])</f>
        <v>4753.04</v>
      </c>
      <c r="S3153" s="162">
        <f>SUM(Sales[Net Amount])</f>
        <v>406839287.73200053</v>
      </c>
    </row>
    <row r="3154" spans="1:19" ht="18.75" x14ac:dyDescent="0.25">
      <c r="A3154" s="163" t="s">
        <v>6805</v>
      </c>
      <c r="B3154" s="164">
        <v>45936</v>
      </c>
      <c r="C3154" s="34" t="s">
        <v>699</v>
      </c>
      <c r="D3154" s="53" t="str">
        <f>VLOOKUP(Sales[[#This Row],[Customer ID]],Customer[#All],2,0)</f>
        <v>Amit Singh</v>
      </c>
      <c r="E3154" s="34" t="s">
        <v>86</v>
      </c>
      <c r="F3154" s="34" t="str">
        <f>VLOOKUP(Sales[[#This Row],[Product ID]],Product[#All],2,0)</f>
        <v>Lg Monitor</v>
      </c>
      <c r="G3154" s="53">
        <v>7</v>
      </c>
      <c r="H3154" s="165">
        <f>VLOOKUP(Sales[[#This Row],[Product ID]],Product[#All],7,0)</f>
        <v>14730</v>
      </c>
      <c r="I3154" s="165">
        <f>Sales[[#This Row],[Selling Rate]]*Sales[[#This Row],[Qty]]</f>
        <v>103110</v>
      </c>
      <c r="J3154" s="45">
        <v>0.1</v>
      </c>
      <c r="K3154" s="46">
        <f>Sales[[#This Row],[Gross Amount]]*Sales[[#This Row],[Disc %]]</f>
        <v>10311</v>
      </c>
      <c r="L3154" s="43">
        <v>0.18</v>
      </c>
      <c r="M3154" s="46">
        <f>(Sales[[#This Row],[Gross Amount]]-Sales[[#This Row],[Disc. Amt.]])*Sales[[#This Row],[GST %]]</f>
        <v>16703.82</v>
      </c>
      <c r="N3154" s="161">
        <f>Sales[[#This Row],[Gross Amount]]-Sales[[#This Row],[Disc. Amt.]]+Sales[[#This Row],[GST Amount]]</f>
        <v>109502.82</v>
      </c>
      <c r="O3154" s="34" t="s">
        <v>8876</v>
      </c>
      <c r="P3154" s="34" t="s">
        <v>3562</v>
      </c>
      <c r="Q3154" s="165">
        <f>IF(Sales[[#This Row],[Status]]="Cancelled",0,Sales[[#This Row],[Qty]])</f>
        <v>7</v>
      </c>
      <c r="R3154" s="166">
        <f>IF(Sales[[#This Row],[Status]]="Cancelled",0,Sales[[#This Row],[Total Amount]])</f>
        <v>109502.82</v>
      </c>
      <c r="S3154" s="162">
        <f>SUM(Sales[Net Amount])</f>
        <v>406839287.73200053</v>
      </c>
    </row>
    <row r="3155" spans="1:19" ht="18.75" x14ac:dyDescent="0.25">
      <c r="A3155" s="156" t="s">
        <v>6806</v>
      </c>
      <c r="B3155" s="157">
        <v>45936</v>
      </c>
      <c r="C3155" s="158" t="s">
        <v>686</v>
      </c>
      <c r="D3155" s="159" t="str">
        <f>VLOOKUP(Sales[[#This Row],[Customer ID]],Customer[#All],2,0)</f>
        <v>Priya Gupta</v>
      </c>
      <c r="E3155" s="158" t="s">
        <v>92</v>
      </c>
      <c r="F3155" s="158" t="str">
        <f>VLOOKUP(Sales[[#This Row],[Product ID]],Product[#All],2,0)</f>
        <v>Jbl Headset</v>
      </c>
      <c r="G3155" s="159">
        <v>7</v>
      </c>
      <c r="H3155" s="160">
        <f>VLOOKUP(Sales[[#This Row],[Product ID]],Product[#All],7,0)</f>
        <v>6180</v>
      </c>
      <c r="I3155" s="160">
        <f>Sales[[#This Row],[Selling Rate]]*Sales[[#This Row],[Qty]]</f>
        <v>43260</v>
      </c>
      <c r="J3155" s="43">
        <v>0.12</v>
      </c>
      <c r="K3155" s="44">
        <f>Sales[[#This Row],[Gross Amount]]*Sales[[#This Row],[Disc %]]</f>
        <v>5191.2</v>
      </c>
      <c r="L3155" s="43">
        <v>0.18</v>
      </c>
      <c r="M3155" s="44">
        <f>(Sales[[#This Row],[Gross Amount]]-Sales[[#This Row],[Disc. Amt.]])*Sales[[#This Row],[GST %]]</f>
        <v>6852.384</v>
      </c>
      <c r="N3155" s="161">
        <f>Sales[[#This Row],[Gross Amount]]-Sales[[#This Row],[Disc. Amt.]]+Sales[[#This Row],[GST Amount]]</f>
        <v>44921.184000000001</v>
      </c>
      <c r="O3155" s="158" t="s">
        <v>3561</v>
      </c>
      <c r="P3155" s="158" t="s">
        <v>3562</v>
      </c>
      <c r="Q3155" s="160">
        <f>IF(Sales[[#This Row],[Status]]="Cancelled",0,Sales[[#This Row],[Qty]])</f>
        <v>7</v>
      </c>
      <c r="R3155" s="161">
        <f>IF(Sales[[#This Row],[Status]]="Cancelled",0,Sales[[#This Row],[Total Amount]])</f>
        <v>44921.184000000001</v>
      </c>
      <c r="S3155" s="162">
        <f>SUM(Sales[Net Amount])</f>
        <v>406839287.73200053</v>
      </c>
    </row>
    <row r="3156" spans="1:19" ht="18.75" x14ac:dyDescent="0.25">
      <c r="A3156" s="163" t="s">
        <v>6807</v>
      </c>
      <c r="B3156" s="164">
        <v>45936</v>
      </c>
      <c r="C3156" s="34" t="s">
        <v>863</v>
      </c>
      <c r="D3156" s="53" t="str">
        <f>VLOOKUP(Sales[[#This Row],[Customer ID]],Customer[#All],2,0)</f>
        <v>Sahil Sharma</v>
      </c>
      <c r="E3156" s="34" t="s">
        <v>380</v>
      </c>
      <c r="F3156" s="34" t="str">
        <f>VLOOKUP(Sales[[#This Row],[Product ID]],Product[#All],2,0)</f>
        <v>Acer Laptop</v>
      </c>
      <c r="G3156" s="53">
        <v>4</v>
      </c>
      <c r="H3156" s="165">
        <f>VLOOKUP(Sales[[#This Row],[Product ID]],Product[#All],7,0)</f>
        <v>91320</v>
      </c>
      <c r="I3156" s="165">
        <f>Sales[[#This Row],[Selling Rate]]*Sales[[#This Row],[Qty]]</f>
        <v>365280</v>
      </c>
      <c r="J3156" s="45">
        <v>0.02</v>
      </c>
      <c r="K3156" s="46">
        <f>Sales[[#This Row],[Gross Amount]]*Sales[[#This Row],[Disc %]]</f>
        <v>7305.6</v>
      </c>
      <c r="L3156" s="43">
        <v>0.18</v>
      </c>
      <c r="M3156" s="46">
        <f>(Sales[[#This Row],[Gross Amount]]-Sales[[#This Row],[Disc. Amt.]])*Sales[[#This Row],[GST %]]</f>
        <v>64435.392</v>
      </c>
      <c r="N3156" s="161">
        <f>Sales[[#This Row],[Gross Amount]]-Sales[[#This Row],[Disc. Amt.]]+Sales[[#This Row],[GST Amount]]</f>
        <v>422409.79200000002</v>
      </c>
      <c r="O3156" s="34" t="s">
        <v>8876</v>
      </c>
      <c r="P3156" s="34" t="s">
        <v>3562</v>
      </c>
      <c r="Q3156" s="165">
        <f>IF(Sales[[#This Row],[Status]]="Cancelled",0,Sales[[#This Row],[Qty]])</f>
        <v>4</v>
      </c>
      <c r="R3156" s="166">
        <f>IF(Sales[[#This Row],[Status]]="Cancelled",0,Sales[[#This Row],[Total Amount]])</f>
        <v>422409.79200000002</v>
      </c>
      <c r="S3156" s="162">
        <f>SUM(Sales[Net Amount])</f>
        <v>406839287.73200053</v>
      </c>
    </row>
    <row r="3157" spans="1:19" ht="18.75" x14ac:dyDescent="0.25">
      <c r="A3157" s="156" t="s">
        <v>6808</v>
      </c>
      <c r="B3157" s="157">
        <v>45936</v>
      </c>
      <c r="C3157" s="158" t="s">
        <v>697</v>
      </c>
      <c r="D3157" s="159" t="str">
        <f>VLOOKUP(Sales[[#This Row],[Customer ID]],Customer[#All],2,0)</f>
        <v>Priya Kumar</v>
      </c>
      <c r="E3157" s="158" t="s">
        <v>306</v>
      </c>
      <c r="F3157" s="158" t="str">
        <f>VLOOKUP(Sales[[#This Row],[Product ID]],Product[#All],2,0)</f>
        <v>Portronics USB Cable</v>
      </c>
      <c r="G3157" s="159">
        <v>4</v>
      </c>
      <c r="H3157" s="160">
        <f>VLOOKUP(Sales[[#This Row],[Product ID]],Product[#All],7,0)</f>
        <v>200</v>
      </c>
      <c r="I3157" s="160">
        <f>Sales[[#This Row],[Selling Rate]]*Sales[[#This Row],[Qty]]</f>
        <v>800</v>
      </c>
      <c r="J3157" s="43">
        <v>0</v>
      </c>
      <c r="K3157" s="44">
        <f>Sales[[#This Row],[Gross Amount]]*Sales[[#This Row],[Disc %]]</f>
        <v>0</v>
      </c>
      <c r="L3157" s="43">
        <v>0.18</v>
      </c>
      <c r="M3157" s="44">
        <f>(Sales[[#This Row],[Gross Amount]]-Sales[[#This Row],[Disc. Amt.]])*Sales[[#This Row],[GST %]]</f>
        <v>144</v>
      </c>
      <c r="N3157" s="161">
        <f>Sales[[#This Row],[Gross Amount]]-Sales[[#This Row],[Disc. Amt.]]+Sales[[#This Row],[GST Amount]]</f>
        <v>944</v>
      </c>
      <c r="O3157" s="158" t="s">
        <v>3561</v>
      </c>
      <c r="P3157" s="158" t="s">
        <v>3562</v>
      </c>
      <c r="Q3157" s="160">
        <f>IF(Sales[[#This Row],[Status]]="Cancelled",0,Sales[[#This Row],[Qty]])</f>
        <v>4</v>
      </c>
      <c r="R3157" s="161">
        <f>IF(Sales[[#This Row],[Status]]="Cancelled",0,Sales[[#This Row],[Total Amount]])</f>
        <v>944</v>
      </c>
      <c r="S3157" s="162">
        <f>SUM(Sales[Net Amount])</f>
        <v>406839287.73200053</v>
      </c>
    </row>
    <row r="3158" spans="1:19" ht="18.75" x14ac:dyDescent="0.25">
      <c r="A3158" s="163" t="s">
        <v>6809</v>
      </c>
      <c r="B3158" s="164">
        <v>45936</v>
      </c>
      <c r="C3158" s="34" t="s">
        <v>751</v>
      </c>
      <c r="D3158" s="53" t="str">
        <f>VLOOKUP(Sales[[#This Row],[Customer ID]],Customer[#All],2,0)</f>
        <v>Ankit Verma</v>
      </c>
      <c r="E3158" s="34" t="s">
        <v>148</v>
      </c>
      <c r="F3158" s="34" t="str">
        <f>VLOOKUP(Sales[[#This Row],[Product ID]],Product[#All],2,0)</f>
        <v>Dell Monitor</v>
      </c>
      <c r="G3158" s="53">
        <v>2</v>
      </c>
      <c r="H3158" s="165">
        <f>VLOOKUP(Sales[[#This Row],[Product ID]],Product[#All],7,0)</f>
        <v>20170</v>
      </c>
      <c r="I3158" s="165">
        <f>Sales[[#This Row],[Selling Rate]]*Sales[[#This Row],[Qty]]</f>
        <v>40340</v>
      </c>
      <c r="J3158" s="45">
        <v>0.05</v>
      </c>
      <c r="K3158" s="46">
        <f>Sales[[#This Row],[Gross Amount]]*Sales[[#This Row],[Disc %]]</f>
        <v>2017</v>
      </c>
      <c r="L3158" s="43">
        <v>0.18</v>
      </c>
      <c r="M3158" s="46">
        <f>(Sales[[#This Row],[Gross Amount]]-Sales[[#This Row],[Disc. Amt.]])*Sales[[#This Row],[GST %]]</f>
        <v>6898.1399999999994</v>
      </c>
      <c r="N3158" s="161">
        <f>Sales[[#This Row],[Gross Amount]]-Sales[[#This Row],[Disc. Amt.]]+Sales[[#This Row],[GST Amount]]</f>
        <v>45221.14</v>
      </c>
      <c r="O3158" s="34" t="s">
        <v>8876</v>
      </c>
      <c r="P3158" s="34" t="s">
        <v>3562</v>
      </c>
      <c r="Q3158" s="165">
        <f>IF(Sales[[#This Row],[Status]]="Cancelled",0,Sales[[#This Row],[Qty]])</f>
        <v>2</v>
      </c>
      <c r="R3158" s="166">
        <f>IF(Sales[[#This Row],[Status]]="Cancelled",0,Sales[[#This Row],[Total Amount]])</f>
        <v>45221.14</v>
      </c>
      <c r="S3158" s="162">
        <f>SUM(Sales[Net Amount])</f>
        <v>406839287.73200053</v>
      </c>
    </row>
    <row r="3159" spans="1:19" ht="18.75" x14ac:dyDescent="0.25">
      <c r="A3159" s="156" t="s">
        <v>6810</v>
      </c>
      <c r="B3159" s="157">
        <v>45936</v>
      </c>
      <c r="C3159" s="158" t="s">
        <v>926</v>
      </c>
      <c r="D3159" s="159" t="str">
        <f>VLOOKUP(Sales[[#This Row],[Customer ID]],Customer[#All],2,0)</f>
        <v>Pooja Singh</v>
      </c>
      <c r="E3159" s="158" t="s">
        <v>483</v>
      </c>
      <c r="F3159" s="158" t="str">
        <f>VLOOKUP(Sales[[#This Row],[Product ID]],Product[#All],2,0)</f>
        <v>Kingston Ram</v>
      </c>
      <c r="G3159" s="159">
        <v>5</v>
      </c>
      <c r="H3159" s="160">
        <f>VLOOKUP(Sales[[#This Row],[Product ID]],Product[#All],7,0)</f>
        <v>8630</v>
      </c>
      <c r="I3159" s="160">
        <f>Sales[[#This Row],[Selling Rate]]*Sales[[#This Row],[Qty]]</f>
        <v>43150</v>
      </c>
      <c r="J3159" s="43">
        <v>0.1</v>
      </c>
      <c r="K3159" s="44">
        <f>Sales[[#This Row],[Gross Amount]]*Sales[[#This Row],[Disc %]]</f>
        <v>4315</v>
      </c>
      <c r="L3159" s="43">
        <v>0.18</v>
      </c>
      <c r="M3159" s="44">
        <f>(Sales[[#This Row],[Gross Amount]]-Sales[[#This Row],[Disc. Amt.]])*Sales[[#This Row],[GST %]]</f>
        <v>6990.3</v>
      </c>
      <c r="N3159" s="161">
        <f>Sales[[#This Row],[Gross Amount]]-Sales[[#This Row],[Disc. Amt.]]+Sales[[#This Row],[GST Amount]]</f>
        <v>45825.3</v>
      </c>
      <c r="O3159" s="158" t="s">
        <v>8876</v>
      </c>
      <c r="P3159" s="158" t="s">
        <v>3562</v>
      </c>
      <c r="Q3159" s="160">
        <f>IF(Sales[[#This Row],[Status]]="Cancelled",0,Sales[[#This Row],[Qty]])</f>
        <v>5</v>
      </c>
      <c r="R3159" s="161">
        <f>IF(Sales[[#This Row],[Status]]="Cancelled",0,Sales[[#This Row],[Total Amount]])</f>
        <v>45825.3</v>
      </c>
      <c r="S3159" s="162">
        <f>SUM(Sales[Net Amount])</f>
        <v>406839287.73200053</v>
      </c>
    </row>
    <row r="3160" spans="1:19" ht="18.75" x14ac:dyDescent="0.25">
      <c r="A3160" s="163" t="s">
        <v>6811</v>
      </c>
      <c r="B3160" s="164">
        <v>45936</v>
      </c>
      <c r="C3160" s="34" t="s">
        <v>867</v>
      </c>
      <c r="D3160" s="53" t="str">
        <f>VLOOKUP(Sales[[#This Row],[Customer ID]],Customer[#All],2,0)</f>
        <v>Priya Gupta</v>
      </c>
      <c r="E3160" s="34" t="s">
        <v>75</v>
      </c>
      <c r="F3160" s="34" t="str">
        <f>VLOOKUP(Sales[[#This Row],[Product ID]],Product[#All],2,0)</f>
        <v>Samsung Monitor</v>
      </c>
      <c r="G3160" s="53">
        <v>7</v>
      </c>
      <c r="H3160" s="165">
        <f>VLOOKUP(Sales[[#This Row],[Product ID]],Product[#All],7,0)</f>
        <v>30810</v>
      </c>
      <c r="I3160" s="165">
        <f>Sales[[#This Row],[Selling Rate]]*Sales[[#This Row],[Qty]]</f>
        <v>215670</v>
      </c>
      <c r="J3160" s="45">
        <v>0</v>
      </c>
      <c r="K3160" s="46">
        <f>Sales[[#This Row],[Gross Amount]]*Sales[[#This Row],[Disc %]]</f>
        <v>0</v>
      </c>
      <c r="L3160" s="43">
        <v>0.18</v>
      </c>
      <c r="M3160" s="46">
        <f>(Sales[[#This Row],[Gross Amount]]-Sales[[#This Row],[Disc. Amt.]])*Sales[[#This Row],[GST %]]</f>
        <v>38820.6</v>
      </c>
      <c r="N3160" s="161">
        <f>Sales[[#This Row],[Gross Amount]]-Sales[[#This Row],[Disc. Amt.]]+Sales[[#This Row],[GST Amount]]</f>
        <v>254490.6</v>
      </c>
      <c r="O3160" s="34" t="s">
        <v>8876</v>
      </c>
      <c r="P3160" s="34" t="s">
        <v>3562</v>
      </c>
      <c r="Q3160" s="165">
        <f>IF(Sales[[#This Row],[Status]]="Cancelled",0,Sales[[#This Row],[Qty]])</f>
        <v>7</v>
      </c>
      <c r="R3160" s="166">
        <f>IF(Sales[[#This Row],[Status]]="Cancelled",0,Sales[[#This Row],[Total Amount]])</f>
        <v>254490.6</v>
      </c>
      <c r="S3160" s="162">
        <f>SUM(Sales[Net Amount])</f>
        <v>406839287.73200053</v>
      </c>
    </row>
    <row r="3161" spans="1:19" ht="18.75" x14ac:dyDescent="0.25">
      <c r="A3161" s="156" t="s">
        <v>6812</v>
      </c>
      <c r="B3161" s="157">
        <v>45936</v>
      </c>
      <c r="C3161" s="158" t="s">
        <v>718</v>
      </c>
      <c r="D3161" s="159" t="str">
        <f>VLOOKUP(Sales[[#This Row],[Customer ID]],Customer[#All],2,0)</f>
        <v>Rakesh Patel</v>
      </c>
      <c r="E3161" s="158" t="s">
        <v>129</v>
      </c>
      <c r="F3161" s="158" t="str">
        <f>VLOOKUP(Sales[[#This Row],[Product ID]],Product[#All],2,0)</f>
        <v>Logitech Mouse</v>
      </c>
      <c r="G3161" s="159">
        <v>4</v>
      </c>
      <c r="H3161" s="160">
        <f>VLOOKUP(Sales[[#This Row],[Product ID]],Product[#All],7,0)</f>
        <v>2000</v>
      </c>
      <c r="I3161" s="160">
        <f>Sales[[#This Row],[Selling Rate]]*Sales[[#This Row],[Qty]]</f>
        <v>8000</v>
      </c>
      <c r="J3161" s="43">
        <v>0</v>
      </c>
      <c r="K3161" s="44">
        <f>Sales[[#This Row],[Gross Amount]]*Sales[[#This Row],[Disc %]]</f>
        <v>0</v>
      </c>
      <c r="L3161" s="43">
        <v>0.18</v>
      </c>
      <c r="M3161" s="44">
        <f>(Sales[[#This Row],[Gross Amount]]-Sales[[#This Row],[Disc. Amt.]])*Sales[[#This Row],[GST %]]</f>
        <v>1440</v>
      </c>
      <c r="N3161" s="161">
        <f>Sales[[#This Row],[Gross Amount]]-Sales[[#This Row],[Disc. Amt.]]+Sales[[#This Row],[GST Amount]]</f>
        <v>9440</v>
      </c>
      <c r="O3161" s="158" t="s">
        <v>3569</v>
      </c>
      <c r="P3161" s="158" t="s">
        <v>3562</v>
      </c>
      <c r="Q3161" s="160">
        <f>IF(Sales[[#This Row],[Status]]="Cancelled",0,Sales[[#This Row],[Qty]])</f>
        <v>4</v>
      </c>
      <c r="R3161" s="161">
        <f>IF(Sales[[#This Row],[Status]]="Cancelled",0,Sales[[#This Row],[Total Amount]])</f>
        <v>9440</v>
      </c>
      <c r="S3161" s="162">
        <f>SUM(Sales[Net Amount])</f>
        <v>406839287.73200053</v>
      </c>
    </row>
    <row r="3162" spans="1:19" ht="18.75" x14ac:dyDescent="0.25">
      <c r="A3162" s="163" t="s">
        <v>6813</v>
      </c>
      <c r="B3162" s="164">
        <v>45936</v>
      </c>
      <c r="C3162" s="34" t="s">
        <v>730</v>
      </c>
      <c r="D3162" s="53" t="str">
        <f>VLOOKUP(Sales[[#This Row],[Customer ID]],Customer[#All],2,0)</f>
        <v>Neha Verma</v>
      </c>
      <c r="E3162" s="34" t="s">
        <v>283</v>
      </c>
      <c r="F3162" s="34" t="str">
        <f>VLOOKUP(Sales[[#This Row],[Product ID]],Product[#All],2,0)</f>
        <v>Lenovo Laptop</v>
      </c>
      <c r="G3162" s="53">
        <v>3</v>
      </c>
      <c r="H3162" s="165">
        <f>VLOOKUP(Sales[[#This Row],[Product ID]],Product[#All],7,0)</f>
        <v>36480</v>
      </c>
      <c r="I3162" s="165">
        <f>Sales[[#This Row],[Selling Rate]]*Sales[[#This Row],[Qty]]</f>
        <v>109440</v>
      </c>
      <c r="J3162" s="45">
        <v>0.05</v>
      </c>
      <c r="K3162" s="46">
        <f>Sales[[#This Row],[Gross Amount]]*Sales[[#This Row],[Disc %]]</f>
        <v>5472</v>
      </c>
      <c r="L3162" s="43">
        <v>0.18</v>
      </c>
      <c r="M3162" s="46">
        <f>(Sales[[#This Row],[Gross Amount]]-Sales[[#This Row],[Disc. Amt.]])*Sales[[#This Row],[GST %]]</f>
        <v>18714.239999999998</v>
      </c>
      <c r="N3162" s="161">
        <f>Sales[[#This Row],[Gross Amount]]-Sales[[#This Row],[Disc. Amt.]]+Sales[[#This Row],[GST Amount]]</f>
        <v>122682.23999999999</v>
      </c>
      <c r="O3162" s="34" t="s">
        <v>3566</v>
      </c>
      <c r="P3162" s="34" t="s">
        <v>3562</v>
      </c>
      <c r="Q3162" s="165">
        <f>IF(Sales[[#This Row],[Status]]="Cancelled",0,Sales[[#This Row],[Qty]])</f>
        <v>3</v>
      </c>
      <c r="R3162" s="166">
        <f>IF(Sales[[#This Row],[Status]]="Cancelled",0,Sales[[#This Row],[Total Amount]])</f>
        <v>122682.23999999999</v>
      </c>
      <c r="S3162" s="162">
        <f>SUM(Sales[Net Amount])</f>
        <v>406839287.73200053</v>
      </c>
    </row>
    <row r="3163" spans="1:19" ht="18.75" x14ac:dyDescent="0.25">
      <c r="A3163" s="156" t="s">
        <v>6814</v>
      </c>
      <c r="B3163" s="157">
        <v>45936</v>
      </c>
      <c r="C3163" s="158" t="s">
        <v>663</v>
      </c>
      <c r="D3163" s="159" t="str">
        <f>VLOOKUP(Sales[[#This Row],[Customer ID]],Customer[#All],2,0)</f>
        <v>Amit Sharma</v>
      </c>
      <c r="E3163" s="158" t="s">
        <v>405</v>
      </c>
      <c r="F3163" s="158" t="str">
        <f>VLOOKUP(Sales[[#This Row],[Product ID]],Product[#All],2,0)</f>
        <v>TP-link Bluetooth Adapter</v>
      </c>
      <c r="G3163" s="159">
        <v>4</v>
      </c>
      <c r="H3163" s="160">
        <f>VLOOKUP(Sales[[#This Row],[Product ID]],Product[#All],7,0)</f>
        <v>1470</v>
      </c>
      <c r="I3163" s="160">
        <f>Sales[[#This Row],[Selling Rate]]*Sales[[#This Row],[Qty]]</f>
        <v>5880</v>
      </c>
      <c r="J3163" s="43">
        <v>0.05</v>
      </c>
      <c r="K3163" s="44">
        <f>Sales[[#This Row],[Gross Amount]]*Sales[[#This Row],[Disc %]]</f>
        <v>294</v>
      </c>
      <c r="L3163" s="43">
        <v>0.18</v>
      </c>
      <c r="M3163" s="44">
        <f>(Sales[[#This Row],[Gross Amount]]-Sales[[#This Row],[Disc. Amt.]])*Sales[[#This Row],[GST %]]</f>
        <v>1005.48</v>
      </c>
      <c r="N3163" s="161">
        <f>Sales[[#This Row],[Gross Amount]]-Sales[[#This Row],[Disc. Amt.]]+Sales[[#This Row],[GST Amount]]</f>
        <v>6591.48</v>
      </c>
      <c r="O3163" s="158" t="s">
        <v>3566</v>
      </c>
      <c r="P3163" s="158" t="s">
        <v>3562</v>
      </c>
      <c r="Q3163" s="160">
        <f>IF(Sales[[#This Row],[Status]]="Cancelled",0,Sales[[#This Row],[Qty]])</f>
        <v>4</v>
      </c>
      <c r="R3163" s="161">
        <f>IF(Sales[[#This Row],[Status]]="Cancelled",0,Sales[[#This Row],[Total Amount]])</f>
        <v>6591.48</v>
      </c>
      <c r="S3163" s="162">
        <f>SUM(Sales[Net Amount])</f>
        <v>406839287.73200053</v>
      </c>
    </row>
    <row r="3164" spans="1:19" ht="18.75" x14ac:dyDescent="0.25">
      <c r="A3164" s="163" t="s">
        <v>6815</v>
      </c>
      <c r="B3164" s="164">
        <v>45936</v>
      </c>
      <c r="C3164" s="34" t="s">
        <v>940</v>
      </c>
      <c r="D3164" s="53" t="str">
        <f>VLOOKUP(Sales[[#This Row],[Customer ID]],Customer[#All],2,0)</f>
        <v>Rakesh Sharma</v>
      </c>
      <c r="E3164" s="34" t="s">
        <v>313</v>
      </c>
      <c r="F3164" s="34" t="str">
        <f>VLOOKUP(Sales[[#This Row],[Product ID]],Product[#All],2,0)</f>
        <v>Portronics USB Cable</v>
      </c>
      <c r="G3164" s="53">
        <v>5</v>
      </c>
      <c r="H3164" s="165">
        <f>VLOOKUP(Sales[[#This Row],[Product ID]],Product[#All],7,0)</f>
        <v>240</v>
      </c>
      <c r="I3164" s="165">
        <f>Sales[[#This Row],[Selling Rate]]*Sales[[#This Row],[Qty]]</f>
        <v>1200</v>
      </c>
      <c r="J3164" s="45">
        <v>0.1</v>
      </c>
      <c r="K3164" s="46">
        <f>Sales[[#This Row],[Gross Amount]]*Sales[[#This Row],[Disc %]]</f>
        <v>120</v>
      </c>
      <c r="L3164" s="43">
        <v>0.18</v>
      </c>
      <c r="M3164" s="46">
        <f>(Sales[[#This Row],[Gross Amount]]-Sales[[#This Row],[Disc. Amt.]])*Sales[[#This Row],[GST %]]</f>
        <v>194.4</v>
      </c>
      <c r="N3164" s="161">
        <f>Sales[[#This Row],[Gross Amount]]-Sales[[#This Row],[Disc. Amt.]]+Sales[[#This Row],[GST Amount]]</f>
        <v>1274.4000000000001</v>
      </c>
      <c r="O3164" s="34" t="s">
        <v>3569</v>
      </c>
      <c r="P3164" s="34" t="s">
        <v>3562</v>
      </c>
      <c r="Q3164" s="165">
        <f>IF(Sales[[#This Row],[Status]]="Cancelled",0,Sales[[#This Row],[Qty]])</f>
        <v>5</v>
      </c>
      <c r="R3164" s="166">
        <f>IF(Sales[[#This Row],[Status]]="Cancelled",0,Sales[[#This Row],[Total Amount]])</f>
        <v>1274.4000000000001</v>
      </c>
      <c r="S3164" s="162">
        <f>SUM(Sales[Net Amount])</f>
        <v>406839287.73200053</v>
      </c>
    </row>
    <row r="3165" spans="1:19" ht="18.75" x14ac:dyDescent="0.25">
      <c r="A3165" s="156" t="s">
        <v>6816</v>
      </c>
      <c r="B3165" s="157">
        <v>45936</v>
      </c>
      <c r="C3165" s="158" t="s">
        <v>921</v>
      </c>
      <c r="D3165" s="159" t="str">
        <f>VLOOKUP(Sales[[#This Row],[Customer ID]],Customer[#All],2,0)</f>
        <v>Sahil Gupta</v>
      </c>
      <c r="E3165" s="158" t="s">
        <v>253</v>
      </c>
      <c r="F3165" s="158" t="str">
        <f>VLOOKUP(Sales[[#This Row],[Product ID]],Product[#All],2,0)</f>
        <v>Acer Laptop</v>
      </c>
      <c r="G3165" s="159">
        <v>4</v>
      </c>
      <c r="H3165" s="160">
        <f>VLOOKUP(Sales[[#This Row],[Product ID]],Product[#All],7,0)</f>
        <v>40550</v>
      </c>
      <c r="I3165" s="160">
        <f>Sales[[#This Row],[Selling Rate]]*Sales[[#This Row],[Qty]]</f>
        <v>162200</v>
      </c>
      <c r="J3165" s="43">
        <v>0</v>
      </c>
      <c r="K3165" s="44">
        <f>Sales[[#This Row],[Gross Amount]]*Sales[[#This Row],[Disc %]]</f>
        <v>0</v>
      </c>
      <c r="L3165" s="43">
        <v>0.18</v>
      </c>
      <c r="M3165" s="44">
        <f>(Sales[[#This Row],[Gross Amount]]-Sales[[#This Row],[Disc. Amt.]])*Sales[[#This Row],[GST %]]</f>
        <v>29196</v>
      </c>
      <c r="N3165" s="161">
        <f>Sales[[#This Row],[Gross Amount]]-Sales[[#This Row],[Disc. Amt.]]+Sales[[#This Row],[GST Amount]]</f>
        <v>191396</v>
      </c>
      <c r="O3165" s="158" t="s">
        <v>3561</v>
      </c>
      <c r="P3165" s="158" t="s">
        <v>3562</v>
      </c>
      <c r="Q3165" s="160">
        <f>IF(Sales[[#This Row],[Status]]="Cancelled",0,Sales[[#This Row],[Qty]])</f>
        <v>4</v>
      </c>
      <c r="R3165" s="161">
        <f>IF(Sales[[#This Row],[Status]]="Cancelled",0,Sales[[#This Row],[Total Amount]])</f>
        <v>191396</v>
      </c>
      <c r="S3165" s="162">
        <f>SUM(Sales[Net Amount])</f>
        <v>406839287.73200053</v>
      </c>
    </row>
    <row r="3166" spans="1:19" ht="18.75" x14ac:dyDescent="0.25">
      <c r="A3166" s="163" t="s">
        <v>6817</v>
      </c>
      <c r="B3166" s="164">
        <v>45936</v>
      </c>
      <c r="C3166" s="34" t="s">
        <v>729</v>
      </c>
      <c r="D3166" s="53" t="str">
        <f>VLOOKUP(Sales[[#This Row],[Customer ID]],Customer[#All],2,0)</f>
        <v>Ankit Kumar</v>
      </c>
      <c r="E3166" s="34" t="s">
        <v>369</v>
      </c>
      <c r="F3166" s="34" t="str">
        <f>VLOOKUP(Sales[[#This Row],[Product ID]],Product[#All],2,0)</f>
        <v>HP Mouse</v>
      </c>
      <c r="G3166" s="53">
        <v>4</v>
      </c>
      <c r="H3166" s="165">
        <f>VLOOKUP(Sales[[#This Row],[Product ID]],Product[#All],7,0)</f>
        <v>2040</v>
      </c>
      <c r="I3166" s="165">
        <f>Sales[[#This Row],[Selling Rate]]*Sales[[#This Row],[Qty]]</f>
        <v>8160</v>
      </c>
      <c r="J3166" s="45">
        <v>0.1</v>
      </c>
      <c r="K3166" s="46">
        <f>Sales[[#This Row],[Gross Amount]]*Sales[[#This Row],[Disc %]]</f>
        <v>816</v>
      </c>
      <c r="L3166" s="43">
        <v>0.18</v>
      </c>
      <c r="M3166" s="46">
        <f>(Sales[[#This Row],[Gross Amount]]-Sales[[#This Row],[Disc. Amt.]])*Sales[[#This Row],[GST %]]</f>
        <v>1321.9199999999998</v>
      </c>
      <c r="N3166" s="161">
        <f>Sales[[#This Row],[Gross Amount]]-Sales[[#This Row],[Disc. Amt.]]+Sales[[#This Row],[GST Amount]]</f>
        <v>8665.92</v>
      </c>
      <c r="O3166" s="34" t="s">
        <v>3566</v>
      </c>
      <c r="P3166" s="34" t="s">
        <v>3562</v>
      </c>
      <c r="Q3166" s="165">
        <f>IF(Sales[[#This Row],[Status]]="Cancelled",0,Sales[[#This Row],[Qty]])</f>
        <v>4</v>
      </c>
      <c r="R3166" s="166">
        <f>IF(Sales[[#This Row],[Status]]="Cancelled",0,Sales[[#This Row],[Total Amount]])</f>
        <v>8665.92</v>
      </c>
      <c r="S3166" s="162">
        <f>SUM(Sales[Net Amount])</f>
        <v>406839287.73200053</v>
      </c>
    </row>
    <row r="3167" spans="1:19" ht="18.75" x14ac:dyDescent="0.25">
      <c r="A3167" s="156" t="s">
        <v>6818</v>
      </c>
      <c r="B3167" s="157">
        <v>45936</v>
      </c>
      <c r="C3167" s="158" t="s">
        <v>879</v>
      </c>
      <c r="D3167" s="159" t="str">
        <f>VLOOKUP(Sales[[#This Row],[Customer ID]],Customer[#All],2,0)</f>
        <v>Ankit Patel</v>
      </c>
      <c r="E3167" s="158" t="s">
        <v>438</v>
      </c>
      <c r="F3167" s="158" t="str">
        <f>VLOOKUP(Sales[[#This Row],[Product ID]],Product[#All],2,0)</f>
        <v>Jbl Headset</v>
      </c>
      <c r="G3167" s="159">
        <v>3</v>
      </c>
      <c r="H3167" s="160">
        <f>VLOOKUP(Sales[[#This Row],[Product ID]],Product[#All],7,0)</f>
        <v>1670</v>
      </c>
      <c r="I3167" s="160">
        <f>Sales[[#This Row],[Selling Rate]]*Sales[[#This Row],[Qty]]</f>
        <v>5010</v>
      </c>
      <c r="J3167" s="43">
        <v>0.15</v>
      </c>
      <c r="K3167" s="44">
        <f>Sales[[#This Row],[Gross Amount]]*Sales[[#This Row],[Disc %]]</f>
        <v>751.5</v>
      </c>
      <c r="L3167" s="43">
        <v>0.18</v>
      </c>
      <c r="M3167" s="44">
        <f>(Sales[[#This Row],[Gross Amount]]-Sales[[#This Row],[Disc. Amt.]])*Sales[[#This Row],[GST %]]</f>
        <v>766.53</v>
      </c>
      <c r="N3167" s="161">
        <f>Sales[[#This Row],[Gross Amount]]-Sales[[#This Row],[Disc. Amt.]]+Sales[[#This Row],[GST Amount]]</f>
        <v>5025.03</v>
      </c>
      <c r="O3167" s="158" t="s">
        <v>3561</v>
      </c>
      <c r="P3167" s="158" t="s">
        <v>3562</v>
      </c>
      <c r="Q3167" s="160">
        <f>IF(Sales[[#This Row],[Status]]="Cancelled",0,Sales[[#This Row],[Qty]])</f>
        <v>3</v>
      </c>
      <c r="R3167" s="161">
        <f>IF(Sales[[#This Row],[Status]]="Cancelled",0,Sales[[#This Row],[Total Amount]])</f>
        <v>5025.03</v>
      </c>
      <c r="S3167" s="162">
        <f>SUM(Sales[Net Amount])</f>
        <v>406839287.73200053</v>
      </c>
    </row>
    <row r="3168" spans="1:19" ht="18.75" x14ac:dyDescent="0.25">
      <c r="A3168" s="163" t="s">
        <v>6819</v>
      </c>
      <c r="B3168" s="164">
        <v>45936</v>
      </c>
      <c r="C3168" s="34" t="s">
        <v>927</v>
      </c>
      <c r="D3168" s="53" t="str">
        <f>VLOOKUP(Sales[[#This Row],[Customer ID]],Customer[#All],2,0)</f>
        <v>Sunita Patel</v>
      </c>
      <c r="E3168" s="34" t="s">
        <v>208</v>
      </c>
      <c r="F3168" s="34" t="str">
        <f>VLOOKUP(Sales[[#This Row],[Product ID]],Product[#All],2,0)</f>
        <v>Dell Laptop</v>
      </c>
      <c r="G3168" s="53">
        <v>5</v>
      </c>
      <c r="H3168" s="165">
        <f>VLOOKUP(Sales[[#This Row],[Product ID]],Product[#All],7,0)</f>
        <v>67000</v>
      </c>
      <c r="I3168" s="165">
        <f>Sales[[#This Row],[Selling Rate]]*Sales[[#This Row],[Qty]]</f>
        <v>335000</v>
      </c>
      <c r="J3168" s="45">
        <v>0</v>
      </c>
      <c r="K3168" s="46">
        <f>Sales[[#This Row],[Gross Amount]]*Sales[[#This Row],[Disc %]]</f>
        <v>0</v>
      </c>
      <c r="L3168" s="43">
        <v>0.18</v>
      </c>
      <c r="M3168" s="46">
        <f>(Sales[[#This Row],[Gross Amount]]-Sales[[#This Row],[Disc. Amt.]])*Sales[[#This Row],[GST %]]</f>
        <v>60300</v>
      </c>
      <c r="N3168" s="161">
        <f>Sales[[#This Row],[Gross Amount]]-Sales[[#This Row],[Disc. Amt.]]+Sales[[#This Row],[GST Amount]]</f>
        <v>395300</v>
      </c>
      <c r="O3168" s="34" t="s">
        <v>3569</v>
      </c>
      <c r="P3168" s="34" t="s">
        <v>3562</v>
      </c>
      <c r="Q3168" s="165">
        <f>IF(Sales[[#This Row],[Status]]="Cancelled",0,Sales[[#This Row],[Qty]])</f>
        <v>5</v>
      </c>
      <c r="R3168" s="166">
        <f>IF(Sales[[#This Row],[Status]]="Cancelled",0,Sales[[#This Row],[Total Amount]])</f>
        <v>395300</v>
      </c>
      <c r="S3168" s="162">
        <f>SUM(Sales[Net Amount])</f>
        <v>406839287.73200053</v>
      </c>
    </row>
    <row r="3169" spans="1:19" ht="18.75" x14ac:dyDescent="0.25">
      <c r="A3169" s="156" t="s">
        <v>6820</v>
      </c>
      <c r="B3169" s="157">
        <v>45936</v>
      </c>
      <c r="C3169" s="158" t="s">
        <v>781</v>
      </c>
      <c r="D3169" s="159" t="str">
        <f>VLOOKUP(Sales[[#This Row],[Customer ID]],Customer[#All],2,0)</f>
        <v>Vikas Sharma</v>
      </c>
      <c r="E3169" s="158" t="s">
        <v>281</v>
      </c>
      <c r="F3169" s="158" t="str">
        <f>VLOOKUP(Sales[[#This Row],[Product ID]],Product[#All],2,0)</f>
        <v>Canon Printer</v>
      </c>
      <c r="G3169" s="159">
        <v>7</v>
      </c>
      <c r="H3169" s="160">
        <f>VLOOKUP(Sales[[#This Row],[Product ID]],Product[#All],7,0)</f>
        <v>11560</v>
      </c>
      <c r="I3169" s="160">
        <f>Sales[[#This Row],[Selling Rate]]*Sales[[#This Row],[Qty]]</f>
        <v>80920</v>
      </c>
      <c r="J3169" s="43">
        <v>0.05</v>
      </c>
      <c r="K3169" s="44">
        <f>Sales[[#This Row],[Gross Amount]]*Sales[[#This Row],[Disc %]]</f>
        <v>4046</v>
      </c>
      <c r="L3169" s="43">
        <v>0.18</v>
      </c>
      <c r="M3169" s="44">
        <f>(Sales[[#This Row],[Gross Amount]]-Sales[[#This Row],[Disc. Amt.]])*Sales[[#This Row],[GST %]]</f>
        <v>13837.32</v>
      </c>
      <c r="N3169" s="161">
        <f>Sales[[#This Row],[Gross Amount]]-Sales[[#This Row],[Disc. Amt.]]+Sales[[#This Row],[GST Amount]]</f>
        <v>90711.32</v>
      </c>
      <c r="O3169" s="158" t="s">
        <v>3566</v>
      </c>
      <c r="P3169" s="158" t="s">
        <v>3562</v>
      </c>
      <c r="Q3169" s="160">
        <f>IF(Sales[[#This Row],[Status]]="Cancelled",0,Sales[[#This Row],[Qty]])</f>
        <v>7</v>
      </c>
      <c r="R3169" s="161">
        <f>IF(Sales[[#This Row],[Status]]="Cancelled",0,Sales[[#This Row],[Total Amount]])</f>
        <v>90711.32</v>
      </c>
      <c r="S3169" s="162">
        <f>SUM(Sales[Net Amount])</f>
        <v>406839287.73200053</v>
      </c>
    </row>
    <row r="3170" spans="1:19" ht="18.75" x14ac:dyDescent="0.25">
      <c r="A3170" s="163" t="s">
        <v>6821</v>
      </c>
      <c r="B3170" s="164">
        <v>45937</v>
      </c>
      <c r="C3170" s="34" t="s">
        <v>891</v>
      </c>
      <c r="D3170" s="53" t="str">
        <f>VLOOKUP(Sales[[#This Row],[Customer ID]],Customer[#All],2,0)</f>
        <v>Pooja Verma</v>
      </c>
      <c r="E3170" s="34" t="s">
        <v>239</v>
      </c>
      <c r="F3170" s="34" t="str">
        <f>VLOOKUP(Sales[[#This Row],[Product ID]],Product[#All],2,0)</f>
        <v>Microtek UPS</v>
      </c>
      <c r="G3170" s="53">
        <v>6</v>
      </c>
      <c r="H3170" s="165">
        <f>VLOOKUP(Sales[[#This Row],[Product ID]],Product[#All],7,0)</f>
        <v>7570</v>
      </c>
      <c r="I3170" s="165">
        <f>Sales[[#This Row],[Selling Rate]]*Sales[[#This Row],[Qty]]</f>
        <v>45420</v>
      </c>
      <c r="J3170" s="45">
        <v>0.05</v>
      </c>
      <c r="K3170" s="46">
        <f>Sales[[#This Row],[Gross Amount]]*Sales[[#This Row],[Disc %]]</f>
        <v>2271</v>
      </c>
      <c r="L3170" s="43">
        <v>0.18</v>
      </c>
      <c r="M3170" s="46">
        <f>(Sales[[#This Row],[Gross Amount]]-Sales[[#This Row],[Disc. Amt.]])*Sales[[#This Row],[GST %]]</f>
        <v>7766.82</v>
      </c>
      <c r="N3170" s="161">
        <f>Sales[[#This Row],[Gross Amount]]-Sales[[#This Row],[Disc. Amt.]]+Sales[[#This Row],[GST Amount]]</f>
        <v>50915.82</v>
      </c>
      <c r="O3170" s="34" t="s">
        <v>3566</v>
      </c>
      <c r="P3170" s="34" t="s">
        <v>3562</v>
      </c>
      <c r="Q3170" s="165">
        <f>IF(Sales[[#This Row],[Status]]="Cancelled",0,Sales[[#This Row],[Qty]])</f>
        <v>6</v>
      </c>
      <c r="R3170" s="166">
        <f>IF(Sales[[#This Row],[Status]]="Cancelled",0,Sales[[#This Row],[Total Amount]])</f>
        <v>50915.82</v>
      </c>
      <c r="S3170" s="162">
        <f>SUM(Sales[Net Amount])</f>
        <v>406839287.73200053</v>
      </c>
    </row>
    <row r="3171" spans="1:19" ht="18.75" x14ac:dyDescent="0.25">
      <c r="A3171" s="156" t="s">
        <v>6822</v>
      </c>
      <c r="B3171" s="157">
        <v>45937</v>
      </c>
      <c r="C3171" s="158" t="s">
        <v>751</v>
      </c>
      <c r="D3171" s="159" t="str">
        <f>VLOOKUP(Sales[[#This Row],[Customer ID]],Customer[#All],2,0)</f>
        <v>Ankit Verma</v>
      </c>
      <c r="E3171" s="158" t="s">
        <v>163</v>
      </c>
      <c r="F3171" s="158" t="str">
        <f>VLOOKUP(Sales[[#This Row],[Product ID]],Product[#All],2,0)</f>
        <v>Corsair Ram</v>
      </c>
      <c r="G3171" s="159">
        <v>6</v>
      </c>
      <c r="H3171" s="160">
        <f>VLOOKUP(Sales[[#This Row],[Product ID]],Product[#All],7,0)</f>
        <v>16210</v>
      </c>
      <c r="I3171" s="160">
        <f>Sales[[#This Row],[Selling Rate]]*Sales[[#This Row],[Qty]]</f>
        <v>97260</v>
      </c>
      <c r="J3171" s="43">
        <v>0.15</v>
      </c>
      <c r="K3171" s="44">
        <f>Sales[[#This Row],[Gross Amount]]*Sales[[#This Row],[Disc %]]</f>
        <v>14589</v>
      </c>
      <c r="L3171" s="43">
        <v>0.18</v>
      </c>
      <c r="M3171" s="44">
        <f>(Sales[[#This Row],[Gross Amount]]-Sales[[#This Row],[Disc. Amt.]])*Sales[[#This Row],[GST %]]</f>
        <v>14880.779999999999</v>
      </c>
      <c r="N3171" s="161">
        <f>Sales[[#This Row],[Gross Amount]]-Sales[[#This Row],[Disc. Amt.]]+Sales[[#This Row],[GST Amount]]</f>
        <v>97551.78</v>
      </c>
      <c r="O3171" s="158" t="s">
        <v>3569</v>
      </c>
      <c r="P3171" s="158" t="s">
        <v>3562</v>
      </c>
      <c r="Q3171" s="160">
        <f>IF(Sales[[#This Row],[Status]]="Cancelled",0,Sales[[#This Row],[Qty]])</f>
        <v>6</v>
      </c>
      <c r="R3171" s="161">
        <f>IF(Sales[[#This Row],[Status]]="Cancelled",0,Sales[[#This Row],[Total Amount]])</f>
        <v>97551.78</v>
      </c>
      <c r="S3171" s="162">
        <f>SUM(Sales[Net Amount])</f>
        <v>406839287.73200053</v>
      </c>
    </row>
    <row r="3172" spans="1:19" ht="18.75" x14ac:dyDescent="0.25">
      <c r="A3172" s="163" t="s">
        <v>6823</v>
      </c>
      <c r="B3172" s="164">
        <v>45937</v>
      </c>
      <c r="C3172" s="34" t="s">
        <v>711</v>
      </c>
      <c r="D3172" s="53" t="str">
        <f>VLOOKUP(Sales[[#This Row],[Customer ID]],Customer[#All],2,0)</f>
        <v>Priya Verma</v>
      </c>
      <c r="E3172" s="34" t="s">
        <v>368</v>
      </c>
      <c r="F3172" s="34" t="str">
        <f>VLOOKUP(Sales[[#This Row],[Product ID]],Product[#All],2,0)</f>
        <v>Sandisk Pen Drive</v>
      </c>
      <c r="G3172" s="53">
        <v>2</v>
      </c>
      <c r="H3172" s="165">
        <f>VLOOKUP(Sales[[#This Row],[Product ID]],Product[#All],7,0)</f>
        <v>1270</v>
      </c>
      <c r="I3172" s="165">
        <f>Sales[[#This Row],[Selling Rate]]*Sales[[#This Row],[Qty]]</f>
        <v>2540</v>
      </c>
      <c r="J3172" s="45">
        <v>0.02</v>
      </c>
      <c r="K3172" s="46">
        <f>Sales[[#This Row],[Gross Amount]]*Sales[[#This Row],[Disc %]]</f>
        <v>50.800000000000004</v>
      </c>
      <c r="L3172" s="43">
        <v>0.18</v>
      </c>
      <c r="M3172" s="46">
        <f>(Sales[[#This Row],[Gross Amount]]-Sales[[#This Row],[Disc. Amt.]])*Sales[[#This Row],[GST %]]</f>
        <v>448.05599999999993</v>
      </c>
      <c r="N3172" s="161">
        <f>Sales[[#This Row],[Gross Amount]]-Sales[[#This Row],[Disc. Amt.]]+Sales[[#This Row],[GST Amount]]</f>
        <v>2937.2559999999999</v>
      </c>
      <c r="O3172" s="34" t="s">
        <v>8876</v>
      </c>
      <c r="P3172" s="34" t="s">
        <v>3562</v>
      </c>
      <c r="Q3172" s="165">
        <f>IF(Sales[[#This Row],[Status]]="Cancelled",0,Sales[[#This Row],[Qty]])</f>
        <v>2</v>
      </c>
      <c r="R3172" s="166">
        <f>IF(Sales[[#This Row],[Status]]="Cancelled",0,Sales[[#This Row],[Total Amount]])</f>
        <v>2937.2559999999999</v>
      </c>
      <c r="S3172" s="162">
        <f>SUM(Sales[Net Amount])</f>
        <v>406839287.73200053</v>
      </c>
    </row>
    <row r="3173" spans="1:19" ht="18.75" x14ac:dyDescent="0.25">
      <c r="A3173" s="156" t="s">
        <v>6824</v>
      </c>
      <c r="B3173" s="157">
        <v>45937</v>
      </c>
      <c r="C3173" s="158" t="s">
        <v>697</v>
      </c>
      <c r="D3173" s="159" t="str">
        <f>VLOOKUP(Sales[[#This Row],[Customer ID]],Customer[#All],2,0)</f>
        <v>Priya Kumar</v>
      </c>
      <c r="E3173" s="158" t="s">
        <v>177</v>
      </c>
      <c r="F3173" s="158" t="str">
        <f>VLOOKUP(Sales[[#This Row],[Product ID]],Product[#All],2,0)</f>
        <v>Dell Laptop</v>
      </c>
      <c r="G3173" s="159">
        <v>1</v>
      </c>
      <c r="H3173" s="160">
        <f>VLOOKUP(Sales[[#This Row],[Product ID]],Product[#All],7,0)</f>
        <v>56790</v>
      </c>
      <c r="I3173" s="160">
        <f>Sales[[#This Row],[Selling Rate]]*Sales[[#This Row],[Qty]]</f>
        <v>56790</v>
      </c>
      <c r="J3173" s="43">
        <v>0.05</v>
      </c>
      <c r="K3173" s="44">
        <f>Sales[[#This Row],[Gross Amount]]*Sales[[#This Row],[Disc %]]</f>
        <v>2839.5</v>
      </c>
      <c r="L3173" s="43">
        <v>0.18</v>
      </c>
      <c r="M3173" s="44">
        <f>(Sales[[#This Row],[Gross Amount]]-Sales[[#This Row],[Disc. Amt.]])*Sales[[#This Row],[GST %]]</f>
        <v>9711.09</v>
      </c>
      <c r="N3173" s="161">
        <f>Sales[[#This Row],[Gross Amount]]-Sales[[#This Row],[Disc. Amt.]]+Sales[[#This Row],[GST Amount]]</f>
        <v>63661.59</v>
      </c>
      <c r="O3173" s="158" t="s">
        <v>3566</v>
      </c>
      <c r="P3173" s="158" t="s">
        <v>3562</v>
      </c>
      <c r="Q3173" s="160">
        <f>IF(Sales[[#This Row],[Status]]="Cancelled",0,Sales[[#This Row],[Qty]])</f>
        <v>1</v>
      </c>
      <c r="R3173" s="161">
        <f>IF(Sales[[#This Row],[Status]]="Cancelled",0,Sales[[#This Row],[Total Amount]])</f>
        <v>63661.59</v>
      </c>
      <c r="S3173" s="162">
        <f>SUM(Sales[Net Amount])</f>
        <v>406839287.73200053</v>
      </c>
    </row>
    <row r="3174" spans="1:19" ht="18.75" x14ac:dyDescent="0.25">
      <c r="A3174" s="163" t="s">
        <v>6825</v>
      </c>
      <c r="B3174" s="164">
        <v>45937</v>
      </c>
      <c r="C3174" s="34" t="s">
        <v>894</v>
      </c>
      <c r="D3174" s="53" t="str">
        <f>VLOOKUP(Sales[[#This Row],[Customer ID]],Customer[#All],2,0)</f>
        <v>Sunita Patel</v>
      </c>
      <c r="E3174" s="34" t="s">
        <v>314</v>
      </c>
      <c r="F3174" s="34" t="str">
        <f>VLOOKUP(Sales[[#This Row],[Product ID]],Product[#All],2,0)</f>
        <v>Dell Desktop</v>
      </c>
      <c r="G3174" s="53">
        <v>8</v>
      </c>
      <c r="H3174" s="165">
        <f>VLOOKUP(Sales[[#This Row],[Product ID]],Product[#All],7,0)</f>
        <v>59580</v>
      </c>
      <c r="I3174" s="165">
        <f>Sales[[#This Row],[Selling Rate]]*Sales[[#This Row],[Qty]]</f>
        <v>476640</v>
      </c>
      <c r="J3174" s="45">
        <v>0</v>
      </c>
      <c r="K3174" s="46">
        <f>Sales[[#This Row],[Gross Amount]]*Sales[[#This Row],[Disc %]]</f>
        <v>0</v>
      </c>
      <c r="L3174" s="43">
        <v>0.18</v>
      </c>
      <c r="M3174" s="46">
        <f>(Sales[[#This Row],[Gross Amount]]-Sales[[#This Row],[Disc. Amt.]])*Sales[[#This Row],[GST %]]</f>
        <v>85795.199999999997</v>
      </c>
      <c r="N3174" s="161">
        <f>Sales[[#This Row],[Gross Amount]]-Sales[[#This Row],[Disc. Amt.]]+Sales[[#This Row],[GST Amount]]</f>
        <v>562435.19999999995</v>
      </c>
      <c r="O3174" s="34" t="s">
        <v>8876</v>
      </c>
      <c r="P3174" s="34" t="s">
        <v>3562</v>
      </c>
      <c r="Q3174" s="165">
        <f>IF(Sales[[#This Row],[Status]]="Cancelled",0,Sales[[#This Row],[Qty]])</f>
        <v>8</v>
      </c>
      <c r="R3174" s="166">
        <f>IF(Sales[[#This Row],[Status]]="Cancelled",0,Sales[[#This Row],[Total Amount]])</f>
        <v>562435.19999999995</v>
      </c>
      <c r="S3174" s="162">
        <f>SUM(Sales[Net Amount])</f>
        <v>406839287.73200053</v>
      </c>
    </row>
    <row r="3175" spans="1:19" ht="18.75" x14ac:dyDescent="0.25">
      <c r="A3175" s="156" t="s">
        <v>6826</v>
      </c>
      <c r="B3175" s="157">
        <v>45937</v>
      </c>
      <c r="C3175" s="158" t="s">
        <v>776</v>
      </c>
      <c r="D3175" s="159" t="str">
        <f>VLOOKUP(Sales[[#This Row],[Customer ID]],Customer[#All],2,0)</f>
        <v>Sunita Singh</v>
      </c>
      <c r="E3175" s="158" t="s">
        <v>338</v>
      </c>
      <c r="F3175" s="158" t="str">
        <f>VLOOKUP(Sales[[#This Row],[Product ID]],Product[#All],2,0)</f>
        <v>Canon Printer</v>
      </c>
      <c r="G3175" s="159">
        <v>7</v>
      </c>
      <c r="H3175" s="160">
        <f>VLOOKUP(Sales[[#This Row],[Product ID]],Product[#All],7,0)</f>
        <v>13780</v>
      </c>
      <c r="I3175" s="160">
        <f>Sales[[#This Row],[Selling Rate]]*Sales[[#This Row],[Qty]]</f>
        <v>96460</v>
      </c>
      <c r="J3175" s="43">
        <v>0.05</v>
      </c>
      <c r="K3175" s="44">
        <f>Sales[[#This Row],[Gross Amount]]*Sales[[#This Row],[Disc %]]</f>
        <v>4823</v>
      </c>
      <c r="L3175" s="43">
        <v>0.18</v>
      </c>
      <c r="M3175" s="44">
        <f>(Sales[[#This Row],[Gross Amount]]-Sales[[#This Row],[Disc. Amt.]])*Sales[[#This Row],[GST %]]</f>
        <v>16494.66</v>
      </c>
      <c r="N3175" s="161">
        <f>Sales[[#This Row],[Gross Amount]]-Sales[[#This Row],[Disc. Amt.]]+Sales[[#This Row],[GST Amount]]</f>
        <v>108131.66</v>
      </c>
      <c r="O3175" s="158" t="s">
        <v>3569</v>
      </c>
      <c r="P3175" s="158" t="s">
        <v>3562</v>
      </c>
      <c r="Q3175" s="160">
        <f>IF(Sales[[#This Row],[Status]]="Cancelled",0,Sales[[#This Row],[Qty]])</f>
        <v>7</v>
      </c>
      <c r="R3175" s="161">
        <f>IF(Sales[[#This Row],[Status]]="Cancelled",0,Sales[[#This Row],[Total Amount]])</f>
        <v>108131.66</v>
      </c>
      <c r="S3175" s="162">
        <f>SUM(Sales[Net Amount])</f>
        <v>406839287.73200053</v>
      </c>
    </row>
    <row r="3176" spans="1:19" ht="18.75" x14ac:dyDescent="0.25">
      <c r="A3176" s="163" t="s">
        <v>6827</v>
      </c>
      <c r="B3176" s="164">
        <v>45937</v>
      </c>
      <c r="C3176" s="34" t="s">
        <v>841</v>
      </c>
      <c r="D3176" s="53" t="str">
        <f>VLOOKUP(Sales[[#This Row],[Customer ID]],Customer[#All],2,0)</f>
        <v>Pooja Verma</v>
      </c>
      <c r="E3176" s="34" t="s">
        <v>364</v>
      </c>
      <c r="F3176" s="34" t="str">
        <f>VLOOKUP(Sales[[#This Row],[Product ID]],Product[#All],2,0)</f>
        <v>Canon Printer</v>
      </c>
      <c r="G3176" s="53">
        <v>6</v>
      </c>
      <c r="H3176" s="165">
        <f>VLOOKUP(Sales[[#This Row],[Product ID]],Product[#All],7,0)</f>
        <v>41460</v>
      </c>
      <c r="I3176" s="165">
        <f>Sales[[#This Row],[Selling Rate]]*Sales[[#This Row],[Qty]]</f>
        <v>248760</v>
      </c>
      <c r="J3176" s="45">
        <v>0</v>
      </c>
      <c r="K3176" s="46">
        <f>Sales[[#This Row],[Gross Amount]]*Sales[[#This Row],[Disc %]]</f>
        <v>0</v>
      </c>
      <c r="L3176" s="43">
        <v>0.18</v>
      </c>
      <c r="M3176" s="46">
        <f>(Sales[[#This Row],[Gross Amount]]-Sales[[#This Row],[Disc. Amt.]])*Sales[[#This Row],[GST %]]</f>
        <v>44776.799999999996</v>
      </c>
      <c r="N3176" s="161">
        <f>Sales[[#This Row],[Gross Amount]]-Sales[[#This Row],[Disc. Amt.]]+Sales[[#This Row],[GST Amount]]</f>
        <v>293536.8</v>
      </c>
      <c r="O3176" s="34" t="s">
        <v>3569</v>
      </c>
      <c r="P3176" s="34" t="s">
        <v>1040</v>
      </c>
      <c r="Q3176" s="165">
        <f>IF(Sales[[#This Row],[Status]]="Cancelled",0,Sales[[#This Row],[Qty]])</f>
        <v>0</v>
      </c>
      <c r="R3176" s="166">
        <f>IF(Sales[[#This Row],[Status]]="Cancelled",0,Sales[[#This Row],[Total Amount]])</f>
        <v>0</v>
      </c>
      <c r="S3176" s="162">
        <f>SUM(Sales[Net Amount])</f>
        <v>406839287.73200053</v>
      </c>
    </row>
    <row r="3177" spans="1:19" ht="18.75" x14ac:dyDescent="0.25">
      <c r="A3177" s="156" t="s">
        <v>6828</v>
      </c>
      <c r="B3177" s="157">
        <v>45937</v>
      </c>
      <c r="C3177" s="158" t="s">
        <v>726</v>
      </c>
      <c r="D3177" s="159" t="str">
        <f>VLOOKUP(Sales[[#This Row],[Customer ID]],Customer[#All],2,0)</f>
        <v>Priya Singh</v>
      </c>
      <c r="E3177" s="158" t="s">
        <v>484</v>
      </c>
      <c r="F3177" s="158" t="str">
        <f>VLOOKUP(Sales[[#This Row],[Product ID]],Product[#All],2,0)</f>
        <v>Dell Desktop</v>
      </c>
      <c r="G3177" s="159">
        <v>4</v>
      </c>
      <c r="H3177" s="160">
        <f>VLOOKUP(Sales[[#This Row],[Product ID]],Product[#All],7,0)</f>
        <v>68710</v>
      </c>
      <c r="I3177" s="160">
        <f>Sales[[#This Row],[Selling Rate]]*Sales[[#This Row],[Qty]]</f>
        <v>274840</v>
      </c>
      <c r="J3177" s="43">
        <v>0.02</v>
      </c>
      <c r="K3177" s="44">
        <f>Sales[[#This Row],[Gross Amount]]*Sales[[#This Row],[Disc %]]</f>
        <v>5496.8</v>
      </c>
      <c r="L3177" s="43">
        <v>0.18</v>
      </c>
      <c r="M3177" s="44">
        <f>(Sales[[#This Row],[Gross Amount]]-Sales[[#This Row],[Disc. Amt.]])*Sales[[#This Row],[GST %]]</f>
        <v>48481.775999999998</v>
      </c>
      <c r="N3177" s="161">
        <f>Sales[[#This Row],[Gross Amount]]-Sales[[#This Row],[Disc. Amt.]]+Sales[[#This Row],[GST Amount]]</f>
        <v>317824.97600000002</v>
      </c>
      <c r="O3177" s="158" t="s">
        <v>8876</v>
      </c>
      <c r="P3177" s="158" t="s">
        <v>3562</v>
      </c>
      <c r="Q3177" s="160">
        <f>IF(Sales[[#This Row],[Status]]="Cancelled",0,Sales[[#This Row],[Qty]])</f>
        <v>4</v>
      </c>
      <c r="R3177" s="161">
        <f>IF(Sales[[#This Row],[Status]]="Cancelled",0,Sales[[#This Row],[Total Amount]])</f>
        <v>317824.97600000002</v>
      </c>
      <c r="S3177" s="162">
        <f>SUM(Sales[Net Amount])</f>
        <v>406839287.73200053</v>
      </c>
    </row>
    <row r="3178" spans="1:19" ht="18.75" x14ac:dyDescent="0.25">
      <c r="A3178" s="163" t="s">
        <v>6829</v>
      </c>
      <c r="B3178" s="164">
        <v>45937</v>
      </c>
      <c r="C3178" s="34" t="s">
        <v>780</v>
      </c>
      <c r="D3178" s="53" t="str">
        <f>VLOOKUP(Sales[[#This Row],[Customer ID]],Customer[#All],2,0)</f>
        <v>Sahil Gupta</v>
      </c>
      <c r="E3178" s="34" t="s">
        <v>369</v>
      </c>
      <c r="F3178" s="34" t="str">
        <f>VLOOKUP(Sales[[#This Row],[Product ID]],Product[#All],2,0)</f>
        <v>HP Mouse</v>
      </c>
      <c r="G3178" s="53">
        <v>4</v>
      </c>
      <c r="H3178" s="165">
        <f>VLOOKUP(Sales[[#This Row],[Product ID]],Product[#All],7,0)</f>
        <v>2040</v>
      </c>
      <c r="I3178" s="165">
        <f>Sales[[#This Row],[Selling Rate]]*Sales[[#This Row],[Qty]]</f>
        <v>8160</v>
      </c>
      <c r="J3178" s="45">
        <v>0</v>
      </c>
      <c r="K3178" s="46">
        <f>Sales[[#This Row],[Gross Amount]]*Sales[[#This Row],[Disc %]]</f>
        <v>0</v>
      </c>
      <c r="L3178" s="43">
        <v>0.18</v>
      </c>
      <c r="M3178" s="46">
        <f>(Sales[[#This Row],[Gross Amount]]-Sales[[#This Row],[Disc. Amt.]])*Sales[[#This Row],[GST %]]</f>
        <v>1468.8</v>
      </c>
      <c r="N3178" s="161">
        <f>Sales[[#This Row],[Gross Amount]]-Sales[[#This Row],[Disc. Amt.]]+Sales[[#This Row],[GST Amount]]</f>
        <v>9628.7999999999993</v>
      </c>
      <c r="O3178" s="34" t="s">
        <v>3561</v>
      </c>
      <c r="P3178" s="34" t="s">
        <v>3562</v>
      </c>
      <c r="Q3178" s="165">
        <f>IF(Sales[[#This Row],[Status]]="Cancelled",0,Sales[[#This Row],[Qty]])</f>
        <v>4</v>
      </c>
      <c r="R3178" s="166">
        <f>IF(Sales[[#This Row],[Status]]="Cancelled",0,Sales[[#This Row],[Total Amount]])</f>
        <v>9628.7999999999993</v>
      </c>
      <c r="S3178" s="162">
        <f>SUM(Sales[Net Amount])</f>
        <v>406839287.73200053</v>
      </c>
    </row>
    <row r="3179" spans="1:19" ht="18.75" x14ac:dyDescent="0.25">
      <c r="A3179" s="156" t="s">
        <v>6830</v>
      </c>
      <c r="B3179" s="157">
        <v>45937</v>
      </c>
      <c r="C3179" s="158" t="s">
        <v>906</v>
      </c>
      <c r="D3179" s="159" t="str">
        <f>VLOOKUP(Sales[[#This Row],[Customer ID]],Customer[#All],2,0)</f>
        <v>Ankit Sharma</v>
      </c>
      <c r="E3179" s="158" t="s">
        <v>501</v>
      </c>
      <c r="F3179" s="158" t="str">
        <f>VLOOKUP(Sales[[#This Row],[Product ID]],Product[#All],2,0)</f>
        <v>Samsung Ssd</v>
      </c>
      <c r="G3179" s="159">
        <v>5</v>
      </c>
      <c r="H3179" s="160">
        <f>VLOOKUP(Sales[[#This Row],[Product ID]],Product[#All],7,0)</f>
        <v>4260</v>
      </c>
      <c r="I3179" s="160">
        <f>Sales[[#This Row],[Selling Rate]]*Sales[[#This Row],[Qty]]</f>
        <v>21300</v>
      </c>
      <c r="J3179" s="43">
        <v>0.05</v>
      </c>
      <c r="K3179" s="44">
        <f>Sales[[#This Row],[Gross Amount]]*Sales[[#This Row],[Disc %]]</f>
        <v>1065</v>
      </c>
      <c r="L3179" s="43">
        <v>0.18</v>
      </c>
      <c r="M3179" s="44">
        <f>(Sales[[#This Row],[Gross Amount]]-Sales[[#This Row],[Disc. Amt.]])*Sales[[#This Row],[GST %]]</f>
        <v>3642.2999999999997</v>
      </c>
      <c r="N3179" s="161">
        <f>Sales[[#This Row],[Gross Amount]]-Sales[[#This Row],[Disc. Amt.]]+Sales[[#This Row],[GST Amount]]</f>
        <v>23877.3</v>
      </c>
      <c r="O3179" s="158" t="s">
        <v>3566</v>
      </c>
      <c r="P3179" s="158" t="s">
        <v>3562</v>
      </c>
      <c r="Q3179" s="160">
        <f>IF(Sales[[#This Row],[Status]]="Cancelled",0,Sales[[#This Row],[Qty]])</f>
        <v>5</v>
      </c>
      <c r="R3179" s="161">
        <f>IF(Sales[[#This Row],[Status]]="Cancelled",0,Sales[[#This Row],[Total Amount]])</f>
        <v>23877.3</v>
      </c>
      <c r="S3179" s="162">
        <f>SUM(Sales[Net Amount])</f>
        <v>406839287.73200053</v>
      </c>
    </row>
    <row r="3180" spans="1:19" ht="18.75" x14ac:dyDescent="0.25">
      <c r="A3180" s="163" t="s">
        <v>6831</v>
      </c>
      <c r="B3180" s="164">
        <v>45937</v>
      </c>
      <c r="C3180" s="34" t="s">
        <v>825</v>
      </c>
      <c r="D3180" s="53" t="str">
        <f>VLOOKUP(Sales[[#This Row],[Customer ID]],Customer[#All],2,0)</f>
        <v>Rahul Kumar</v>
      </c>
      <c r="E3180" s="34" t="s">
        <v>282</v>
      </c>
      <c r="F3180" s="34" t="str">
        <f>VLOOKUP(Sales[[#This Row],[Product ID]],Product[#All],2,0)</f>
        <v>Amazon Basics Hdmi Cable</v>
      </c>
      <c r="G3180" s="53">
        <v>5</v>
      </c>
      <c r="H3180" s="165">
        <f>VLOOKUP(Sales[[#This Row],[Product ID]],Product[#All],7,0)</f>
        <v>760</v>
      </c>
      <c r="I3180" s="165">
        <f>Sales[[#This Row],[Selling Rate]]*Sales[[#This Row],[Qty]]</f>
        <v>3800</v>
      </c>
      <c r="J3180" s="45">
        <v>0.1</v>
      </c>
      <c r="K3180" s="46">
        <f>Sales[[#This Row],[Gross Amount]]*Sales[[#This Row],[Disc %]]</f>
        <v>380</v>
      </c>
      <c r="L3180" s="43">
        <v>0.18</v>
      </c>
      <c r="M3180" s="46">
        <f>(Sales[[#This Row],[Gross Amount]]-Sales[[#This Row],[Disc. Amt.]])*Sales[[#This Row],[GST %]]</f>
        <v>615.6</v>
      </c>
      <c r="N3180" s="161">
        <f>Sales[[#This Row],[Gross Amount]]-Sales[[#This Row],[Disc. Amt.]]+Sales[[#This Row],[GST Amount]]</f>
        <v>4035.6</v>
      </c>
      <c r="O3180" s="34" t="s">
        <v>3561</v>
      </c>
      <c r="P3180" s="34" t="s">
        <v>3562</v>
      </c>
      <c r="Q3180" s="165">
        <f>IF(Sales[[#This Row],[Status]]="Cancelled",0,Sales[[#This Row],[Qty]])</f>
        <v>5</v>
      </c>
      <c r="R3180" s="166">
        <f>IF(Sales[[#This Row],[Status]]="Cancelled",0,Sales[[#This Row],[Total Amount]])</f>
        <v>4035.6</v>
      </c>
      <c r="S3180" s="162">
        <f>SUM(Sales[Net Amount])</f>
        <v>406839287.73200053</v>
      </c>
    </row>
    <row r="3181" spans="1:19" ht="18.75" x14ac:dyDescent="0.25">
      <c r="A3181" s="156" t="s">
        <v>6832</v>
      </c>
      <c r="B3181" s="157">
        <v>45937</v>
      </c>
      <c r="C3181" s="158" t="s">
        <v>761</v>
      </c>
      <c r="D3181" s="159" t="str">
        <f>VLOOKUP(Sales[[#This Row],[Customer ID]],Customer[#All],2,0)</f>
        <v>Priya Verma</v>
      </c>
      <c r="E3181" s="158" t="s">
        <v>488</v>
      </c>
      <c r="F3181" s="158" t="str">
        <f>VLOOKUP(Sales[[#This Row],[Product ID]],Product[#All],2,0)</f>
        <v>Samsung Monitor</v>
      </c>
      <c r="G3181" s="159">
        <v>6</v>
      </c>
      <c r="H3181" s="160">
        <f>VLOOKUP(Sales[[#This Row],[Product ID]],Product[#All],7,0)</f>
        <v>32720</v>
      </c>
      <c r="I3181" s="160">
        <f>Sales[[#This Row],[Selling Rate]]*Sales[[#This Row],[Qty]]</f>
        <v>196320</v>
      </c>
      <c r="J3181" s="43">
        <v>0.02</v>
      </c>
      <c r="K3181" s="44">
        <f>Sales[[#This Row],[Gross Amount]]*Sales[[#This Row],[Disc %]]</f>
        <v>3926.4</v>
      </c>
      <c r="L3181" s="43">
        <v>0.18</v>
      </c>
      <c r="M3181" s="44">
        <f>(Sales[[#This Row],[Gross Amount]]-Sales[[#This Row],[Disc. Amt.]])*Sales[[#This Row],[GST %]]</f>
        <v>34630.847999999998</v>
      </c>
      <c r="N3181" s="161">
        <f>Sales[[#This Row],[Gross Amount]]-Sales[[#This Row],[Disc. Amt.]]+Sales[[#This Row],[GST Amount]]</f>
        <v>227024.448</v>
      </c>
      <c r="O3181" s="158" t="s">
        <v>8876</v>
      </c>
      <c r="P3181" s="158" t="s">
        <v>3562</v>
      </c>
      <c r="Q3181" s="160">
        <f>IF(Sales[[#This Row],[Status]]="Cancelled",0,Sales[[#This Row],[Qty]])</f>
        <v>6</v>
      </c>
      <c r="R3181" s="161">
        <f>IF(Sales[[#This Row],[Status]]="Cancelled",0,Sales[[#This Row],[Total Amount]])</f>
        <v>227024.448</v>
      </c>
      <c r="S3181" s="162">
        <f>SUM(Sales[Net Amount])</f>
        <v>406839287.73200053</v>
      </c>
    </row>
    <row r="3182" spans="1:19" ht="18.75" x14ac:dyDescent="0.25">
      <c r="A3182" s="163" t="s">
        <v>6833</v>
      </c>
      <c r="B3182" s="164">
        <v>45937</v>
      </c>
      <c r="C3182" s="34" t="s">
        <v>860</v>
      </c>
      <c r="D3182" s="53" t="str">
        <f>VLOOKUP(Sales[[#This Row],[Customer ID]],Customer[#All],2,0)</f>
        <v>Rakesh Verma</v>
      </c>
      <c r="E3182" s="34" t="s">
        <v>474</v>
      </c>
      <c r="F3182" s="34" t="str">
        <f>VLOOKUP(Sales[[#This Row],[Product ID]],Product[#All],2,0)</f>
        <v>Logitech Mouse</v>
      </c>
      <c r="G3182" s="53">
        <v>2</v>
      </c>
      <c r="H3182" s="165">
        <f>VLOOKUP(Sales[[#This Row],[Product ID]],Product[#All],7,0)</f>
        <v>1320</v>
      </c>
      <c r="I3182" s="165">
        <f>Sales[[#This Row],[Selling Rate]]*Sales[[#This Row],[Qty]]</f>
        <v>2640</v>
      </c>
      <c r="J3182" s="45">
        <v>0</v>
      </c>
      <c r="K3182" s="46">
        <f>Sales[[#This Row],[Gross Amount]]*Sales[[#This Row],[Disc %]]</f>
        <v>0</v>
      </c>
      <c r="L3182" s="43">
        <v>0.18</v>
      </c>
      <c r="M3182" s="46">
        <f>(Sales[[#This Row],[Gross Amount]]-Sales[[#This Row],[Disc. Amt.]])*Sales[[#This Row],[GST %]]</f>
        <v>475.2</v>
      </c>
      <c r="N3182" s="161">
        <f>Sales[[#This Row],[Gross Amount]]-Sales[[#This Row],[Disc. Amt.]]+Sales[[#This Row],[GST Amount]]</f>
        <v>3115.2</v>
      </c>
      <c r="O3182" s="34" t="s">
        <v>8876</v>
      </c>
      <c r="P3182" s="34" t="s">
        <v>3562</v>
      </c>
      <c r="Q3182" s="165">
        <f>IF(Sales[[#This Row],[Status]]="Cancelled",0,Sales[[#This Row],[Qty]])</f>
        <v>2</v>
      </c>
      <c r="R3182" s="166">
        <f>IF(Sales[[#This Row],[Status]]="Cancelled",0,Sales[[#This Row],[Total Amount]])</f>
        <v>3115.2</v>
      </c>
      <c r="S3182" s="162">
        <f>SUM(Sales[Net Amount])</f>
        <v>406839287.73200053</v>
      </c>
    </row>
    <row r="3183" spans="1:19" ht="18.75" x14ac:dyDescent="0.25">
      <c r="A3183" s="156" t="s">
        <v>6834</v>
      </c>
      <c r="B3183" s="157">
        <v>45937</v>
      </c>
      <c r="C3183" s="158" t="s">
        <v>754</v>
      </c>
      <c r="D3183" s="159" t="str">
        <f>VLOOKUP(Sales[[#This Row],[Customer ID]],Customer[#All],2,0)</f>
        <v>Rakesh Gupta</v>
      </c>
      <c r="E3183" s="158" t="s">
        <v>228</v>
      </c>
      <c r="F3183" s="158" t="str">
        <f>VLOOKUP(Sales[[#This Row],[Product ID]],Product[#All],2,0)</f>
        <v>Samsung Monitor</v>
      </c>
      <c r="G3183" s="159">
        <v>3</v>
      </c>
      <c r="H3183" s="160">
        <f>VLOOKUP(Sales[[#This Row],[Product ID]],Product[#All],7,0)</f>
        <v>29600</v>
      </c>
      <c r="I3183" s="160">
        <f>Sales[[#This Row],[Selling Rate]]*Sales[[#This Row],[Qty]]</f>
        <v>88800</v>
      </c>
      <c r="J3183" s="43">
        <v>0.15</v>
      </c>
      <c r="K3183" s="44">
        <f>Sales[[#This Row],[Gross Amount]]*Sales[[#This Row],[Disc %]]</f>
        <v>13320</v>
      </c>
      <c r="L3183" s="43">
        <v>0.18</v>
      </c>
      <c r="M3183" s="44">
        <f>(Sales[[#This Row],[Gross Amount]]-Sales[[#This Row],[Disc. Amt.]])*Sales[[#This Row],[GST %]]</f>
        <v>13586.4</v>
      </c>
      <c r="N3183" s="161">
        <f>Sales[[#This Row],[Gross Amount]]-Sales[[#This Row],[Disc. Amt.]]+Sales[[#This Row],[GST Amount]]</f>
        <v>89066.4</v>
      </c>
      <c r="O3183" s="158" t="s">
        <v>8876</v>
      </c>
      <c r="P3183" s="158" t="s">
        <v>3562</v>
      </c>
      <c r="Q3183" s="160">
        <f>IF(Sales[[#This Row],[Status]]="Cancelled",0,Sales[[#This Row],[Qty]])</f>
        <v>3</v>
      </c>
      <c r="R3183" s="161">
        <f>IF(Sales[[#This Row],[Status]]="Cancelled",0,Sales[[#This Row],[Total Amount]])</f>
        <v>89066.4</v>
      </c>
      <c r="S3183" s="162">
        <f>SUM(Sales[Net Amount])</f>
        <v>406839287.73200053</v>
      </c>
    </row>
    <row r="3184" spans="1:19" ht="18.75" x14ac:dyDescent="0.25">
      <c r="A3184" s="163" t="s">
        <v>6835</v>
      </c>
      <c r="B3184" s="164">
        <v>45937</v>
      </c>
      <c r="C3184" s="34" t="s">
        <v>768</v>
      </c>
      <c r="D3184" s="53" t="str">
        <f>VLOOKUP(Sales[[#This Row],[Customer ID]],Customer[#All],2,0)</f>
        <v>Priya Kumar</v>
      </c>
      <c r="E3184" s="34" t="s">
        <v>124</v>
      </c>
      <c r="F3184" s="34" t="str">
        <f>VLOOKUP(Sales[[#This Row],[Product ID]],Product[#All],2,0)</f>
        <v>Crucial Ssd</v>
      </c>
      <c r="G3184" s="53">
        <v>5</v>
      </c>
      <c r="H3184" s="165">
        <f>VLOOKUP(Sales[[#This Row],[Product ID]],Product[#All],7,0)</f>
        <v>14820</v>
      </c>
      <c r="I3184" s="165">
        <f>Sales[[#This Row],[Selling Rate]]*Sales[[#This Row],[Qty]]</f>
        <v>74100</v>
      </c>
      <c r="J3184" s="45">
        <v>0.05</v>
      </c>
      <c r="K3184" s="46">
        <f>Sales[[#This Row],[Gross Amount]]*Sales[[#This Row],[Disc %]]</f>
        <v>3705</v>
      </c>
      <c r="L3184" s="43">
        <v>0.18</v>
      </c>
      <c r="M3184" s="46">
        <f>(Sales[[#This Row],[Gross Amount]]-Sales[[#This Row],[Disc. Amt.]])*Sales[[#This Row],[GST %]]</f>
        <v>12671.1</v>
      </c>
      <c r="N3184" s="161">
        <f>Sales[[#This Row],[Gross Amount]]-Sales[[#This Row],[Disc. Amt.]]+Sales[[#This Row],[GST Amount]]</f>
        <v>83066.100000000006</v>
      </c>
      <c r="O3184" s="34" t="s">
        <v>8876</v>
      </c>
      <c r="P3184" s="34" t="s">
        <v>3562</v>
      </c>
      <c r="Q3184" s="165">
        <f>IF(Sales[[#This Row],[Status]]="Cancelled",0,Sales[[#This Row],[Qty]])</f>
        <v>5</v>
      </c>
      <c r="R3184" s="166">
        <f>IF(Sales[[#This Row],[Status]]="Cancelled",0,Sales[[#This Row],[Total Amount]])</f>
        <v>83066.100000000006</v>
      </c>
      <c r="S3184" s="162">
        <f>SUM(Sales[Net Amount])</f>
        <v>406839287.73200053</v>
      </c>
    </row>
    <row r="3185" spans="1:19" ht="18.75" x14ac:dyDescent="0.25">
      <c r="A3185" s="156" t="s">
        <v>6836</v>
      </c>
      <c r="B3185" s="157">
        <v>45938</v>
      </c>
      <c r="C3185" s="158" t="s">
        <v>822</v>
      </c>
      <c r="D3185" s="159" t="str">
        <f>VLOOKUP(Sales[[#This Row],[Customer ID]],Customer[#All],2,0)</f>
        <v>Vikas Singh</v>
      </c>
      <c r="E3185" s="158" t="s">
        <v>252</v>
      </c>
      <c r="F3185" s="158" t="str">
        <f>VLOOKUP(Sales[[#This Row],[Product ID]],Product[#All],2,0)</f>
        <v>Dell Laptop</v>
      </c>
      <c r="G3185" s="159">
        <v>5</v>
      </c>
      <c r="H3185" s="160">
        <f>VLOOKUP(Sales[[#This Row],[Product ID]],Product[#All],7,0)</f>
        <v>61580</v>
      </c>
      <c r="I3185" s="160">
        <f>Sales[[#This Row],[Selling Rate]]*Sales[[#This Row],[Qty]]</f>
        <v>307900</v>
      </c>
      <c r="J3185" s="43">
        <v>0.02</v>
      </c>
      <c r="K3185" s="44">
        <f>Sales[[#This Row],[Gross Amount]]*Sales[[#This Row],[Disc %]]</f>
        <v>6158</v>
      </c>
      <c r="L3185" s="43">
        <v>0.18</v>
      </c>
      <c r="M3185" s="44">
        <f>(Sales[[#This Row],[Gross Amount]]-Sales[[#This Row],[Disc. Amt.]])*Sales[[#This Row],[GST %]]</f>
        <v>54313.56</v>
      </c>
      <c r="N3185" s="161">
        <f>Sales[[#This Row],[Gross Amount]]-Sales[[#This Row],[Disc. Amt.]]+Sales[[#This Row],[GST Amount]]</f>
        <v>356055.56</v>
      </c>
      <c r="O3185" s="158" t="s">
        <v>3566</v>
      </c>
      <c r="P3185" s="158" t="s">
        <v>3562</v>
      </c>
      <c r="Q3185" s="160">
        <f>IF(Sales[[#This Row],[Status]]="Cancelled",0,Sales[[#This Row],[Qty]])</f>
        <v>5</v>
      </c>
      <c r="R3185" s="161">
        <f>IF(Sales[[#This Row],[Status]]="Cancelled",0,Sales[[#This Row],[Total Amount]])</f>
        <v>356055.56</v>
      </c>
      <c r="S3185" s="162">
        <f>SUM(Sales[Net Amount])</f>
        <v>406839287.73200053</v>
      </c>
    </row>
    <row r="3186" spans="1:19" ht="18.75" x14ac:dyDescent="0.25">
      <c r="A3186" s="163" t="s">
        <v>6837</v>
      </c>
      <c r="B3186" s="164">
        <v>45938</v>
      </c>
      <c r="C3186" s="34" t="s">
        <v>6838</v>
      </c>
      <c r="D3186" s="53" t="str">
        <f>VLOOKUP(Sales[[#This Row],[Customer ID]],Customer[#All],2,0)</f>
        <v>Sunita Verma</v>
      </c>
      <c r="E3186" s="34" t="s">
        <v>428</v>
      </c>
      <c r="F3186" s="34" t="str">
        <f>VLOOKUP(Sales[[#This Row],[Product ID]],Product[#All],2,0)</f>
        <v>Microtek UPS</v>
      </c>
      <c r="G3186" s="53">
        <v>6</v>
      </c>
      <c r="H3186" s="165">
        <f>VLOOKUP(Sales[[#This Row],[Product ID]],Product[#All],7,0)</f>
        <v>8450</v>
      </c>
      <c r="I3186" s="165">
        <f>Sales[[#This Row],[Selling Rate]]*Sales[[#This Row],[Qty]]</f>
        <v>50700</v>
      </c>
      <c r="J3186" s="45">
        <v>0.1</v>
      </c>
      <c r="K3186" s="46">
        <f>Sales[[#This Row],[Gross Amount]]*Sales[[#This Row],[Disc %]]</f>
        <v>5070</v>
      </c>
      <c r="L3186" s="43">
        <v>0.18</v>
      </c>
      <c r="M3186" s="46">
        <f>(Sales[[#This Row],[Gross Amount]]-Sales[[#This Row],[Disc. Amt.]])*Sales[[#This Row],[GST %]]</f>
        <v>8213.4</v>
      </c>
      <c r="N3186" s="161">
        <f>Sales[[#This Row],[Gross Amount]]-Sales[[#This Row],[Disc. Amt.]]+Sales[[#This Row],[GST Amount]]</f>
        <v>53843.4</v>
      </c>
      <c r="O3186" s="34" t="s">
        <v>3566</v>
      </c>
      <c r="P3186" s="34" t="s">
        <v>3562</v>
      </c>
      <c r="Q3186" s="165">
        <f>IF(Sales[[#This Row],[Status]]="Cancelled",0,Sales[[#This Row],[Qty]])</f>
        <v>6</v>
      </c>
      <c r="R3186" s="166">
        <f>IF(Sales[[#This Row],[Status]]="Cancelled",0,Sales[[#This Row],[Total Amount]])</f>
        <v>53843.4</v>
      </c>
      <c r="S3186" s="162">
        <f>SUM(Sales[Net Amount])</f>
        <v>406839287.73200053</v>
      </c>
    </row>
    <row r="3187" spans="1:19" ht="18.75" x14ac:dyDescent="0.25">
      <c r="A3187" s="156" t="s">
        <v>6839</v>
      </c>
      <c r="B3187" s="157">
        <v>45938</v>
      </c>
      <c r="C3187" s="158" t="s">
        <v>841</v>
      </c>
      <c r="D3187" s="159" t="str">
        <f>VLOOKUP(Sales[[#This Row],[Customer ID]],Customer[#All],2,0)</f>
        <v>Pooja Verma</v>
      </c>
      <c r="E3187" s="158" t="s">
        <v>522</v>
      </c>
      <c r="F3187" s="158" t="str">
        <f>VLOOKUP(Sales[[#This Row],[Product ID]],Product[#All],2,0)</f>
        <v>Dell Keyboard</v>
      </c>
      <c r="G3187" s="159">
        <v>7</v>
      </c>
      <c r="H3187" s="160">
        <f>VLOOKUP(Sales[[#This Row],[Product ID]],Product[#All],7,0)</f>
        <v>3020</v>
      </c>
      <c r="I3187" s="160">
        <f>Sales[[#This Row],[Selling Rate]]*Sales[[#This Row],[Qty]]</f>
        <v>21140</v>
      </c>
      <c r="J3187" s="43">
        <v>0.12</v>
      </c>
      <c r="K3187" s="44">
        <f>Sales[[#This Row],[Gross Amount]]*Sales[[#This Row],[Disc %]]</f>
        <v>2536.7999999999997</v>
      </c>
      <c r="L3187" s="43">
        <v>0.18</v>
      </c>
      <c r="M3187" s="44">
        <f>(Sales[[#This Row],[Gross Amount]]-Sales[[#This Row],[Disc. Amt.]])*Sales[[#This Row],[GST %]]</f>
        <v>3348.576</v>
      </c>
      <c r="N3187" s="161">
        <f>Sales[[#This Row],[Gross Amount]]-Sales[[#This Row],[Disc. Amt.]]+Sales[[#This Row],[GST Amount]]</f>
        <v>21951.776000000002</v>
      </c>
      <c r="O3187" s="158" t="s">
        <v>3569</v>
      </c>
      <c r="P3187" s="158" t="s">
        <v>3562</v>
      </c>
      <c r="Q3187" s="160">
        <f>IF(Sales[[#This Row],[Status]]="Cancelled",0,Sales[[#This Row],[Qty]])</f>
        <v>7</v>
      </c>
      <c r="R3187" s="161">
        <f>IF(Sales[[#This Row],[Status]]="Cancelled",0,Sales[[#This Row],[Total Amount]])</f>
        <v>21951.776000000002</v>
      </c>
      <c r="S3187" s="162">
        <f>SUM(Sales[Net Amount])</f>
        <v>406839287.73200053</v>
      </c>
    </row>
    <row r="3188" spans="1:19" ht="18.75" x14ac:dyDescent="0.25">
      <c r="A3188" s="163" t="s">
        <v>6840</v>
      </c>
      <c r="B3188" s="164">
        <v>45938</v>
      </c>
      <c r="C3188" s="34" t="s">
        <v>952</v>
      </c>
      <c r="D3188" s="53" t="str">
        <f>VLOOKUP(Sales[[#This Row],[Customer ID]],Customer[#All],2,0)</f>
        <v>Pooja Singh</v>
      </c>
      <c r="E3188" s="34" t="s">
        <v>107</v>
      </c>
      <c r="F3188" s="34" t="str">
        <f>VLOOKUP(Sales[[#This Row],[Product ID]],Product[#All],2,0)</f>
        <v>Samsung Ssd</v>
      </c>
      <c r="G3188" s="53">
        <v>2</v>
      </c>
      <c r="H3188" s="165">
        <f>VLOOKUP(Sales[[#This Row],[Product ID]],Product[#All],7,0)</f>
        <v>15030</v>
      </c>
      <c r="I3188" s="165">
        <f>Sales[[#This Row],[Selling Rate]]*Sales[[#This Row],[Qty]]</f>
        <v>30060</v>
      </c>
      <c r="J3188" s="45">
        <v>0.15</v>
      </c>
      <c r="K3188" s="46">
        <f>Sales[[#This Row],[Gross Amount]]*Sales[[#This Row],[Disc %]]</f>
        <v>4509</v>
      </c>
      <c r="L3188" s="43">
        <v>0.18</v>
      </c>
      <c r="M3188" s="46">
        <f>(Sales[[#This Row],[Gross Amount]]-Sales[[#This Row],[Disc. Amt.]])*Sales[[#This Row],[GST %]]</f>
        <v>4599.1799999999994</v>
      </c>
      <c r="N3188" s="161">
        <f>Sales[[#This Row],[Gross Amount]]-Sales[[#This Row],[Disc. Amt.]]+Sales[[#This Row],[GST Amount]]</f>
        <v>30150.18</v>
      </c>
      <c r="O3188" s="34" t="s">
        <v>3566</v>
      </c>
      <c r="P3188" s="34" t="s">
        <v>3562</v>
      </c>
      <c r="Q3188" s="165">
        <f>IF(Sales[[#This Row],[Status]]="Cancelled",0,Sales[[#This Row],[Qty]])</f>
        <v>2</v>
      </c>
      <c r="R3188" s="166">
        <f>IF(Sales[[#This Row],[Status]]="Cancelled",0,Sales[[#This Row],[Total Amount]])</f>
        <v>30150.18</v>
      </c>
      <c r="S3188" s="162">
        <f>SUM(Sales[Net Amount])</f>
        <v>406839287.73200053</v>
      </c>
    </row>
    <row r="3189" spans="1:19" ht="18.75" x14ac:dyDescent="0.25">
      <c r="A3189" s="156" t="s">
        <v>6841</v>
      </c>
      <c r="B3189" s="157">
        <v>45938</v>
      </c>
      <c r="C3189" s="158" t="s">
        <v>768</v>
      </c>
      <c r="D3189" s="159" t="str">
        <f>VLOOKUP(Sales[[#This Row],[Customer ID]],Customer[#All],2,0)</f>
        <v>Priya Kumar</v>
      </c>
      <c r="E3189" s="158" t="s">
        <v>287</v>
      </c>
      <c r="F3189" s="158" t="str">
        <f>VLOOKUP(Sales[[#This Row],[Product ID]],Product[#All],2,0)</f>
        <v>HP Power Adapter</v>
      </c>
      <c r="G3189" s="159">
        <v>5</v>
      </c>
      <c r="H3189" s="160">
        <f>VLOOKUP(Sales[[#This Row],[Product ID]],Product[#All],7,0)</f>
        <v>2270</v>
      </c>
      <c r="I3189" s="160">
        <f>Sales[[#This Row],[Selling Rate]]*Sales[[#This Row],[Qty]]</f>
        <v>11350</v>
      </c>
      <c r="J3189" s="43">
        <v>0</v>
      </c>
      <c r="K3189" s="44">
        <f>Sales[[#This Row],[Gross Amount]]*Sales[[#This Row],[Disc %]]</f>
        <v>0</v>
      </c>
      <c r="L3189" s="43">
        <v>0.18</v>
      </c>
      <c r="M3189" s="44">
        <f>(Sales[[#This Row],[Gross Amount]]-Sales[[#This Row],[Disc. Amt.]])*Sales[[#This Row],[GST %]]</f>
        <v>2043</v>
      </c>
      <c r="N3189" s="161">
        <f>Sales[[#This Row],[Gross Amount]]-Sales[[#This Row],[Disc. Amt.]]+Sales[[#This Row],[GST Amount]]</f>
        <v>13393</v>
      </c>
      <c r="O3189" s="158" t="s">
        <v>3561</v>
      </c>
      <c r="P3189" s="158" t="s">
        <v>3562</v>
      </c>
      <c r="Q3189" s="160">
        <f>IF(Sales[[#This Row],[Status]]="Cancelled",0,Sales[[#This Row],[Qty]])</f>
        <v>5</v>
      </c>
      <c r="R3189" s="161">
        <f>IF(Sales[[#This Row],[Status]]="Cancelled",0,Sales[[#This Row],[Total Amount]])</f>
        <v>13393</v>
      </c>
      <c r="S3189" s="162">
        <f>SUM(Sales[Net Amount])</f>
        <v>406839287.73200053</v>
      </c>
    </row>
    <row r="3190" spans="1:19" ht="18.75" x14ac:dyDescent="0.25">
      <c r="A3190" s="163" t="s">
        <v>6842</v>
      </c>
      <c r="B3190" s="164">
        <v>45938</v>
      </c>
      <c r="C3190" s="34" t="s">
        <v>707</v>
      </c>
      <c r="D3190" s="53" t="str">
        <f>VLOOKUP(Sales[[#This Row],[Customer ID]],Customer[#All],2,0)</f>
        <v>Rahul Verma</v>
      </c>
      <c r="E3190" s="34" t="s">
        <v>53</v>
      </c>
      <c r="F3190" s="34" t="str">
        <f>VLOOKUP(Sales[[#This Row],[Product ID]],Product[#All],2,0)</f>
        <v>Microtek UPS</v>
      </c>
      <c r="G3190" s="53">
        <v>3</v>
      </c>
      <c r="H3190" s="165">
        <f>VLOOKUP(Sales[[#This Row],[Product ID]],Product[#All],7,0)</f>
        <v>13040</v>
      </c>
      <c r="I3190" s="165">
        <f>Sales[[#This Row],[Selling Rate]]*Sales[[#This Row],[Qty]]</f>
        <v>39120</v>
      </c>
      <c r="J3190" s="45">
        <v>0.02</v>
      </c>
      <c r="K3190" s="46">
        <f>Sales[[#This Row],[Gross Amount]]*Sales[[#This Row],[Disc %]]</f>
        <v>782.4</v>
      </c>
      <c r="L3190" s="43">
        <v>0.18</v>
      </c>
      <c r="M3190" s="46">
        <f>(Sales[[#This Row],[Gross Amount]]-Sales[[#This Row],[Disc. Amt.]])*Sales[[#This Row],[GST %]]</f>
        <v>6900.7679999999991</v>
      </c>
      <c r="N3190" s="161">
        <f>Sales[[#This Row],[Gross Amount]]-Sales[[#This Row],[Disc. Amt.]]+Sales[[#This Row],[GST Amount]]</f>
        <v>45238.367999999995</v>
      </c>
      <c r="O3190" s="34" t="s">
        <v>3569</v>
      </c>
      <c r="P3190" s="34" t="s">
        <v>3562</v>
      </c>
      <c r="Q3190" s="165">
        <f>IF(Sales[[#This Row],[Status]]="Cancelled",0,Sales[[#This Row],[Qty]])</f>
        <v>3</v>
      </c>
      <c r="R3190" s="166">
        <f>IF(Sales[[#This Row],[Status]]="Cancelled",0,Sales[[#This Row],[Total Amount]])</f>
        <v>45238.367999999995</v>
      </c>
      <c r="S3190" s="162">
        <f>SUM(Sales[Net Amount])</f>
        <v>406839287.73200053</v>
      </c>
    </row>
    <row r="3191" spans="1:19" ht="18.75" x14ac:dyDescent="0.25">
      <c r="A3191" s="156" t="s">
        <v>6843</v>
      </c>
      <c r="B3191" s="157">
        <v>45938</v>
      </c>
      <c r="C3191" s="158" t="s">
        <v>880</v>
      </c>
      <c r="D3191" s="159" t="str">
        <f>VLOOKUP(Sales[[#This Row],[Customer ID]],Customer[#All],2,0)</f>
        <v>Rahul Sharma</v>
      </c>
      <c r="E3191" s="158" t="s">
        <v>463</v>
      </c>
      <c r="F3191" s="158" t="str">
        <f>VLOOKUP(Sales[[#This Row],[Product ID]],Product[#All],2,0)</f>
        <v>Apc UPS</v>
      </c>
      <c r="G3191" s="159">
        <v>1</v>
      </c>
      <c r="H3191" s="160">
        <f>VLOOKUP(Sales[[#This Row],[Product ID]],Product[#All],7,0)</f>
        <v>10050</v>
      </c>
      <c r="I3191" s="160">
        <f>Sales[[#This Row],[Selling Rate]]*Sales[[#This Row],[Qty]]</f>
        <v>10050</v>
      </c>
      <c r="J3191" s="43">
        <v>0.1</v>
      </c>
      <c r="K3191" s="44">
        <f>Sales[[#This Row],[Gross Amount]]*Sales[[#This Row],[Disc %]]</f>
        <v>1005</v>
      </c>
      <c r="L3191" s="43">
        <v>0.18</v>
      </c>
      <c r="M3191" s="44">
        <f>(Sales[[#This Row],[Gross Amount]]-Sales[[#This Row],[Disc. Amt.]])*Sales[[#This Row],[GST %]]</f>
        <v>1628.1</v>
      </c>
      <c r="N3191" s="161">
        <f>Sales[[#This Row],[Gross Amount]]-Sales[[#This Row],[Disc. Amt.]]+Sales[[#This Row],[GST Amount]]</f>
        <v>10673.1</v>
      </c>
      <c r="O3191" s="158" t="s">
        <v>3561</v>
      </c>
      <c r="P3191" s="158" t="s">
        <v>3562</v>
      </c>
      <c r="Q3191" s="160">
        <f>IF(Sales[[#This Row],[Status]]="Cancelled",0,Sales[[#This Row],[Qty]])</f>
        <v>1</v>
      </c>
      <c r="R3191" s="161">
        <f>IF(Sales[[#This Row],[Status]]="Cancelled",0,Sales[[#This Row],[Total Amount]])</f>
        <v>10673.1</v>
      </c>
      <c r="S3191" s="162">
        <f>SUM(Sales[Net Amount])</f>
        <v>406839287.73200053</v>
      </c>
    </row>
    <row r="3192" spans="1:19" ht="18.75" x14ac:dyDescent="0.25">
      <c r="A3192" s="163" t="s">
        <v>6844</v>
      </c>
      <c r="B3192" s="164">
        <v>45938</v>
      </c>
      <c r="C3192" s="34" t="s">
        <v>656</v>
      </c>
      <c r="D3192" s="53" t="str">
        <f>VLOOKUP(Sales[[#This Row],[Customer ID]],Customer[#All],2,0)</f>
        <v>Rahul Kumar</v>
      </c>
      <c r="E3192" s="34" t="s">
        <v>391</v>
      </c>
      <c r="F3192" s="34" t="str">
        <f>VLOOKUP(Sales[[#This Row],[Product ID]],Product[#All],2,0)</f>
        <v>Seagate HDD</v>
      </c>
      <c r="G3192" s="53">
        <v>3</v>
      </c>
      <c r="H3192" s="165">
        <f>VLOOKUP(Sales[[#This Row],[Product ID]],Product[#All],7,0)</f>
        <v>10370</v>
      </c>
      <c r="I3192" s="165">
        <f>Sales[[#This Row],[Selling Rate]]*Sales[[#This Row],[Qty]]</f>
        <v>31110</v>
      </c>
      <c r="J3192" s="45">
        <v>0</v>
      </c>
      <c r="K3192" s="46">
        <f>Sales[[#This Row],[Gross Amount]]*Sales[[#This Row],[Disc %]]</f>
        <v>0</v>
      </c>
      <c r="L3192" s="43">
        <v>0.18</v>
      </c>
      <c r="M3192" s="46">
        <f>(Sales[[#This Row],[Gross Amount]]-Sales[[#This Row],[Disc. Amt.]])*Sales[[#This Row],[GST %]]</f>
        <v>5599.8</v>
      </c>
      <c r="N3192" s="161">
        <f>Sales[[#This Row],[Gross Amount]]-Sales[[#This Row],[Disc. Amt.]]+Sales[[#This Row],[GST Amount]]</f>
        <v>36709.800000000003</v>
      </c>
      <c r="O3192" s="34" t="s">
        <v>8876</v>
      </c>
      <c r="P3192" s="34" t="s">
        <v>3562</v>
      </c>
      <c r="Q3192" s="165">
        <f>IF(Sales[[#This Row],[Status]]="Cancelled",0,Sales[[#This Row],[Qty]])</f>
        <v>3</v>
      </c>
      <c r="R3192" s="166">
        <f>IF(Sales[[#This Row],[Status]]="Cancelled",0,Sales[[#This Row],[Total Amount]])</f>
        <v>36709.800000000003</v>
      </c>
      <c r="S3192" s="162">
        <f>SUM(Sales[Net Amount])</f>
        <v>406839287.73200053</v>
      </c>
    </row>
    <row r="3193" spans="1:19" ht="18.75" x14ac:dyDescent="0.25">
      <c r="A3193" s="156" t="s">
        <v>6845</v>
      </c>
      <c r="B3193" s="157">
        <v>45938</v>
      </c>
      <c r="C3193" s="158" t="s">
        <v>766</v>
      </c>
      <c r="D3193" s="159" t="str">
        <f>VLOOKUP(Sales[[#This Row],[Customer ID]],Customer[#All],2,0)</f>
        <v>Neha Gupta</v>
      </c>
      <c r="E3193" s="158" t="s">
        <v>514</v>
      </c>
      <c r="F3193" s="158" t="str">
        <f>VLOOKUP(Sales[[#This Row],[Product ID]],Product[#All],2,0)</f>
        <v>Apc UPS</v>
      </c>
      <c r="G3193" s="159">
        <v>4</v>
      </c>
      <c r="H3193" s="160">
        <f>VLOOKUP(Sales[[#This Row],[Product ID]],Product[#All],7,0)</f>
        <v>4660</v>
      </c>
      <c r="I3193" s="160">
        <f>Sales[[#This Row],[Selling Rate]]*Sales[[#This Row],[Qty]]</f>
        <v>18640</v>
      </c>
      <c r="J3193" s="43">
        <v>0.1</v>
      </c>
      <c r="K3193" s="44">
        <f>Sales[[#This Row],[Gross Amount]]*Sales[[#This Row],[Disc %]]</f>
        <v>1864</v>
      </c>
      <c r="L3193" s="43">
        <v>0.18</v>
      </c>
      <c r="M3193" s="44">
        <f>(Sales[[#This Row],[Gross Amount]]-Sales[[#This Row],[Disc. Amt.]])*Sales[[#This Row],[GST %]]</f>
        <v>3019.68</v>
      </c>
      <c r="N3193" s="161">
        <f>Sales[[#This Row],[Gross Amount]]-Sales[[#This Row],[Disc. Amt.]]+Sales[[#This Row],[GST Amount]]</f>
        <v>19795.68</v>
      </c>
      <c r="O3193" s="158" t="s">
        <v>8876</v>
      </c>
      <c r="P3193" s="158" t="s">
        <v>3562</v>
      </c>
      <c r="Q3193" s="160">
        <f>IF(Sales[[#This Row],[Status]]="Cancelled",0,Sales[[#This Row],[Qty]])</f>
        <v>4</v>
      </c>
      <c r="R3193" s="161">
        <f>IF(Sales[[#This Row],[Status]]="Cancelled",0,Sales[[#This Row],[Total Amount]])</f>
        <v>19795.68</v>
      </c>
      <c r="S3193" s="162">
        <f>SUM(Sales[Net Amount])</f>
        <v>406839287.73200053</v>
      </c>
    </row>
    <row r="3194" spans="1:19" ht="18.75" x14ac:dyDescent="0.25">
      <c r="A3194" s="163" t="s">
        <v>6846</v>
      </c>
      <c r="B3194" s="164">
        <v>45938</v>
      </c>
      <c r="C3194" s="34" t="s">
        <v>712</v>
      </c>
      <c r="D3194" s="53" t="str">
        <f>VLOOKUP(Sales[[#This Row],[Customer ID]],Customer[#All],2,0)</f>
        <v>Sahil Verma</v>
      </c>
      <c r="E3194" s="34" t="s">
        <v>375</v>
      </c>
      <c r="F3194" s="34" t="str">
        <f>VLOOKUP(Sales[[#This Row],[Product ID]],Product[#All],2,0)</f>
        <v>American TouristerLaptopBag</v>
      </c>
      <c r="G3194" s="53">
        <v>3</v>
      </c>
      <c r="H3194" s="165">
        <f>VLOOKUP(Sales[[#This Row],[Product ID]],Product[#All],7,0)</f>
        <v>4990</v>
      </c>
      <c r="I3194" s="165">
        <f>Sales[[#This Row],[Selling Rate]]*Sales[[#This Row],[Qty]]</f>
        <v>14970</v>
      </c>
      <c r="J3194" s="45">
        <v>0.05</v>
      </c>
      <c r="K3194" s="46">
        <f>Sales[[#This Row],[Gross Amount]]*Sales[[#This Row],[Disc %]]</f>
        <v>748.5</v>
      </c>
      <c r="L3194" s="43">
        <v>0.18</v>
      </c>
      <c r="M3194" s="46">
        <f>(Sales[[#This Row],[Gross Amount]]-Sales[[#This Row],[Disc. Amt.]])*Sales[[#This Row],[GST %]]</f>
        <v>2559.87</v>
      </c>
      <c r="N3194" s="161">
        <f>Sales[[#This Row],[Gross Amount]]-Sales[[#This Row],[Disc. Amt.]]+Sales[[#This Row],[GST Amount]]</f>
        <v>16781.37</v>
      </c>
      <c r="O3194" s="34" t="s">
        <v>3561</v>
      </c>
      <c r="P3194" s="34" t="s">
        <v>3562</v>
      </c>
      <c r="Q3194" s="165">
        <f>IF(Sales[[#This Row],[Status]]="Cancelled",0,Sales[[#This Row],[Qty]])</f>
        <v>3</v>
      </c>
      <c r="R3194" s="166">
        <f>IF(Sales[[#This Row],[Status]]="Cancelled",0,Sales[[#This Row],[Total Amount]])</f>
        <v>16781.37</v>
      </c>
      <c r="S3194" s="162">
        <f>SUM(Sales[Net Amount])</f>
        <v>406839287.73200053</v>
      </c>
    </row>
    <row r="3195" spans="1:19" ht="18.75" x14ac:dyDescent="0.25">
      <c r="A3195" s="156" t="s">
        <v>6847</v>
      </c>
      <c r="B3195" s="157">
        <v>45938</v>
      </c>
      <c r="C3195" s="158" t="s">
        <v>731</v>
      </c>
      <c r="D3195" s="159" t="str">
        <f>VLOOKUP(Sales[[#This Row],[Customer ID]],Customer[#All],2,0)</f>
        <v>Neha Singh</v>
      </c>
      <c r="E3195" s="158" t="s">
        <v>141</v>
      </c>
      <c r="F3195" s="158" t="str">
        <f>VLOOKUP(Sales[[#This Row],[Product ID]],Product[#All],2,0)</f>
        <v>WD HDD</v>
      </c>
      <c r="G3195" s="159">
        <v>1</v>
      </c>
      <c r="H3195" s="160">
        <f>VLOOKUP(Sales[[#This Row],[Product ID]],Product[#All],7,0)</f>
        <v>15230</v>
      </c>
      <c r="I3195" s="160">
        <f>Sales[[#This Row],[Selling Rate]]*Sales[[#This Row],[Qty]]</f>
        <v>15230</v>
      </c>
      <c r="J3195" s="43">
        <v>0.02</v>
      </c>
      <c r="K3195" s="44">
        <f>Sales[[#This Row],[Gross Amount]]*Sales[[#This Row],[Disc %]]</f>
        <v>304.60000000000002</v>
      </c>
      <c r="L3195" s="43">
        <v>0.18</v>
      </c>
      <c r="M3195" s="44">
        <f>(Sales[[#This Row],[Gross Amount]]-Sales[[#This Row],[Disc. Amt.]])*Sales[[#This Row],[GST %]]</f>
        <v>2686.5719999999997</v>
      </c>
      <c r="N3195" s="161">
        <f>Sales[[#This Row],[Gross Amount]]-Sales[[#This Row],[Disc. Amt.]]+Sales[[#This Row],[GST Amount]]</f>
        <v>17611.971999999998</v>
      </c>
      <c r="O3195" s="158" t="s">
        <v>8876</v>
      </c>
      <c r="P3195" s="158" t="s">
        <v>3562</v>
      </c>
      <c r="Q3195" s="160">
        <f>IF(Sales[[#This Row],[Status]]="Cancelled",0,Sales[[#This Row],[Qty]])</f>
        <v>1</v>
      </c>
      <c r="R3195" s="161">
        <f>IF(Sales[[#This Row],[Status]]="Cancelled",0,Sales[[#This Row],[Total Amount]])</f>
        <v>17611.971999999998</v>
      </c>
      <c r="S3195" s="162">
        <f>SUM(Sales[Net Amount])</f>
        <v>406839287.73200053</v>
      </c>
    </row>
    <row r="3196" spans="1:19" ht="18.75" x14ac:dyDescent="0.25">
      <c r="A3196" s="163" t="s">
        <v>6848</v>
      </c>
      <c r="B3196" s="164">
        <v>45938</v>
      </c>
      <c r="C3196" s="34" t="s">
        <v>758</v>
      </c>
      <c r="D3196" s="53" t="str">
        <f>VLOOKUP(Sales[[#This Row],[Customer ID]],Customer[#All],2,0)</f>
        <v>Rahul Verma</v>
      </c>
      <c r="E3196" s="34" t="s">
        <v>105</v>
      </c>
      <c r="F3196" s="34" t="str">
        <f>VLOOKUP(Sales[[#This Row],[Product ID]],Product[#All],2,0)</f>
        <v>HP Power Adapter</v>
      </c>
      <c r="G3196" s="53">
        <v>8</v>
      </c>
      <c r="H3196" s="165">
        <f>VLOOKUP(Sales[[#This Row],[Product ID]],Product[#All],7,0)</f>
        <v>3280</v>
      </c>
      <c r="I3196" s="165">
        <f>Sales[[#This Row],[Selling Rate]]*Sales[[#This Row],[Qty]]</f>
        <v>26240</v>
      </c>
      <c r="J3196" s="45">
        <v>0</v>
      </c>
      <c r="K3196" s="46">
        <f>Sales[[#This Row],[Gross Amount]]*Sales[[#This Row],[Disc %]]</f>
        <v>0</v>
      </c>
      <c r="L3196" s="43">
        <v>0.18</v>
      </c>
      <c r="M3196" s="46">
        <f>(Sales[[#This Row],[Gross Amount]]-Sales[[#This Row],[Disc. Amt.]])*Sales[[#This Row],[GST %]]</f>
        <v>4723.2</v>
      </c>
      <c r="N3196" s="161">
        <f>Sales[[#This Row],[Gross Amount]]-Sales[[#This Row],[Disc. Amt.]]+Sales[[#This Row],[GST Amount]]</f>
        <v>30963.200000000001</v>
      </c>
      <c r="O3196" s="34" t="s">
        <v>3566</v>
      </c>
      <c r="P3196" s="34" t="s">
        <v>1040</v>
      </c>
      <c r="Q3196" s="165">
        <f>IF(Sales[[#This Row],[Status]]="Cancelled",0,Sales[[#This Row],[Qty]])</f>
        <v>0</v>
      </c>
      <c r="R3196" s="166">
        <f>IF(Sales[[#This Row],[Status]]="Cancelled",0,Sales[[#This Row],[Total Amount]])</f>
        <v>0</v>
      </c>
      <c r="S3196" s="162">
        <f>SUM(Sales[Net Amount])</f>
        <v>406839287.73200053</v>
      </c>
    </row>
    <row r="3197" spans="1:19" ht="18.75" x14ac:dyDescent="0.25">
      <c r="A3197" s="156" t="s">
        <v>6849</v>
      </c>
      <c r="B3197" s="157">
        <v>45938</v>
      </c>
      <c r="C3197" s="158" t="s">
        <v>702</v>
      </c>
      <c r="D3197" s="159" t="str">
        <f>VLOOKUP(Sales[[#This Row],[Customer ID]],Customer[#All],2,0)</f>
        <v>Amit Patel</v>
      </c>
      <c r="E3197" s="158" t="s">
        <v>445</v>
      </c>
      <c r="F3197" s="158" t="str">
        <f>VLOOKUP(Sales[[#This Row],[Product ID]],Product[#All],2,0)</f>
        <v>Lenovo Laptop</v>
      </c>
      <c r="G3197" s="159">
        <v>7</v>
      </c>
      <c r="H3197" s="160">
        <f>VLOOKUP(Sales[[#This Row],[Product ID]],Product[#All],7,0)</f>
        <v>37710</v>
      </c>
      <c r="I3197" s="160">
        <f>Sales[[#This Row],[Selling Rate]]*Sales[[#This Row],[Qty]]</f>
        <v>263970</v>
      </c>
      <c r="J3197" s="43">
        <v>0.15</v>
      </c>
      <c r="K3197" s="44">
        <f>Sales[[#This Row],[Gross Amount]]*Sales[[#This Row],[Disc %]]</f>
        <v>39595.5</v>
      </c>
      <c r="L3197" s="43">
        <v>0.18</v>
      </c>
      <c r="M3197" s="44">
        <f>(Sales[[#This Row],[Gross Amount]]-Sales[[#This Row],[Disc. Amt.]])*Sales[[#This Row],[GST %]]</f>
        <v>40387.409999999996</v>
      </c>
      <c r="N3197" s="161">
        <f>Sales[[#This Row],[Gross Amount]]-Sales[[#This Row],[Disc. Amt.]]+Sales[[#This Row],[GST Amount]]</f>
        <v>264761.90999999997</v>
      </c>
      <c r="O3197" s="158" t="s">
        <v>8876</v>
      </c>
      <c r="P3197" s="158" t="s">
        <v>3562</v>
      </c>
      <c r="Q3197" s="160">
        <f>IF(Sales[[#This Row],[Status]]="Cancelled",0,Sales[[#This Row],[Qty]])</f>
        <v>7</v>
      </c>
      <c r="R3197" s="161">
        <f>IF(Sales[[#This Row],[Status]]="Cancelled",0,Sales[[#This Row],[Total Amount]])</f>
        <v>264761.90999999997</v>
      </c>
      <c r="S3197" s="162">
        <f>SUM(Sales[Net Amount])</f>
        <v>406839287.73200053</v>
      </c>
    </row>
    <row r="3198" spans="1:19" ht="18.75" x14ac:dyDescent="0.25">
      <c r="A3198" s="163" t="s">
        <v>6850</v>
      </c>
      <c r="B3198" s="164">
        <v>45938</v>
      </c>
      <c r="C3198" s="34" t="s">
        <v>708</v>
      </c>
      <c r="D3198" s="53" t="str">
        <f>VLOOKUP(Sales[[#This Row],[Customer ID]],Customer[#All],2,0)</f>
        <v>Amit Verma</v>
      </c>
      <c r="E3198" s="34" t="s">
        <v>198</v>
      </c>
      <c r="F3198" s="34" t="str">
        <f>VLOOKUP(Sales[[#This Row],[Product ID]],Product[#All],2,0)</f>
        <v>PortronicsLaptopStand</v>
      </c>
      <c r="G3198" s="53">
        <v>7</v>
      </c>
      <c r="H3198" s="165">
        <f>VLOOKUP(Sales[[#This Row],[Product ID]],Product[#All],7,0)</f>
        <v>2240</v>
      </c>
      <c r="I3198" s="165">
        <f>Sales[[#This Row],[Selling Rate]]*Sales[[#This Row],[Qty]]</f>
        <v>15680</v>
      </c>
      <c r="J3198" s="45">
        <v>0.02</v>
      </c>
      <c r="K3198" s="46">
        <f>Sales[[#This Row],[Gross Amount]]*Sales[[#This Row],[Disc %]]</f>
        <v>313.60000000000002</v>
      </c>
      <c r="L3198" s="43">
        <v>0.18</v>
      </c>
      <c r="M3198" s="46">
        <f>(Sales[[#This Row],[Gross Amount]]-Sales[[#This Row],[Disc. Amt.]])*Sales[[#This Row],[GST %]]</f>
        <v>2765.9519999999998</v>
      </c>
      <c r="N3198" s="161">
        <f>Sales[[#This Row],[Gross Amount]]-Sales[[#This Row],[Disc. Amt.]]+Sales[[#This Row],[GST Amount]]</f>
        <v>18132.351999999999</v>
      </c>
      <c r="O3198" s="34" t="s">
        <v>3561</v>
      </c>
      <c r="P3198" s="34" t="s">
        <v>3562</v>
      </c>
      <c r="Q3198" s="165">
        <f>IF(Sales[[#This Row],[Status]]="Cancelled",0,Sales[[#This Row],[Qty]])</f>
        <v>7</v>
      </c>
      <c r="R3198" s="166">
        <f>IF(Sales[[#This Row],[Status]]="Cancelled",0,Sales[[#This Row],[Total Amount]])</f>
        <v>18132.351999999999</v>
      </c>
      <c r="S3198" s="162">
        <f>SUM(Sales[Net Amount])</f>
        <v>406839287.73200053</v>
      </c>
    </row>
    <row r="3199" spans="1:19" ht="18.75" x14ac:dyDescent="0.25">
      <c r="A3199" s="156" t="s">
        <v>6851</v>
      </c>
      <c r="B3199" s="157">
        <v>45938</v>
      </c>
      <c r="C3199" s="158" t="s">
        <v>661</v>
      </c>
      <c r="D3199" s="159" t="str">
        <f>VLOOKUP(Sales[[#This Row],[Customer ID]],Customer[#All],2,0)</f>
        <v>Pooja Gupta</v>
      </c>
      <c r="E3199" s="158" t="s">
        <v>362</v>
      </c>
      <c r="F3199" s="158" t="str">
        <f>VLOOKUP(Sales[[#This Row],[Product ID]],Product[#All],2,0)</f>
        <v>Dell Power Adapter</v>
      </c>
      <c r="G3199" s="159">
        <v>8</v>
      </c>
      <c r="H3199" s="160">
        <f>VLOOKUP(Sales[[#This Row],[Product ID]],Product[#All],7,0)</f>
        <v>4050</v>
      </c>
      <c r="I3199" s="160">
        <f>Sales[[#This Row],[Selling Rate]]*Sales[[#This Row],[Qty]]</f>
        <v>32400</v>
      </c>
      <c r="J3199" s="43">
        <v>0.05</v>
      </c>
      <c r="K3199" s="44">
        <f>Sales[[#This Row],[Gross Amount]]*Sales[[#This Row],[Disc %]]</f>
        <v>1620</v>
      </c>
      <c r="L3199" s="43">
        <v>0.18</v>
      </c>
      <c r="M3199" s="44">
        <f>(Sales[[#This Row],[Gross Amount]]-Sales[[#This Row],[Disc. Amt.]])*Sales[[#This Row],[GST %]]</f>
        <v>5540.4</v>
      </c>
      <c r="N3199" s="161">
        <f>Sales[[#This Row],[Gross Amount]]-Sales[[#This Row],[Disc. Amt.]]+Sales[[#This Row],[GST Amount]]</f>
        <v>36320.400000000001</v>
      </c>
      <c r="O3199" s="158" t="s">
        <v>3561</v>
      </c>
      <c r="P3199" s="158" t="s">
        <v>3562</v>
      </c>
      <c r="Q3199" s="160">
        <f>IF(Sales[[#This Row],[Status]]="Cancelled",0,Sales[[#This Row],[Qty]])</f>
        <v>8</v>
      </c>
      <c r="R3199" s="161">
        <f>IF(Sales[[#This Row],[Status]]="Cancelled",0,Sales[[#This Row],[Total Amount]])</f>
        <v>36320.400000000001</v>
      </c>
      <c r="S3199" s="162">
        <f>SUM(Sales[Net Amount])</f>
        <v>406839287.73200053</v>
      </c>
    </row>
    <row r="3200" spans="1:19" ht="18.75" x14ac:dyDescent="0.25">
      <c r="A3200" s="163" t="s">
        <v>6852</v>
      </c>
      <c r="B3200" s="164">
        <v>45938</v>
      </c>
      <c r="C3200" s="34" t="s">
        <v>668</v>
      </c>
      <c r="D3200" s="53" t="str">
        <f>VLOOKUP(Sales[[#This Row],[Customer ID]],Customer[#All],2,0)</f>
        <v>Rahul Patel</v>
      </c>
      <c r="E3200" s="34" t="s">
        <v>283</v>
      </c>
      <c r="F3200" s="34" t="str">
        <f>VLOOKUP(Sales[[#This Row],[Product ID]],Product[#All],2,0)</f>
        <v>Lenovo Laptop</v>
      </c>
      <c r="G3200" s="53">
        <v>3</v>
      </c>
      <c r="H3200" s="165">
        <f>VLOOKUP(Sales[[#This Row],[Product ID]],Product[#All],7,0)</f>
        <v>36480</v>
      </c>
      <c r="I3200" s="165">
        <f>Sales[[#This Row],[Selling Rate]]*Sales[[#This Row],[Qty]]</f>
        <v>109440</v>
      </c>
      <c r="J3200" s="45">
        <v>0.12</v>
      </c>
      <c r="K3200" s="46">
        <f>Sales[[#This Row],[Gross Amount]]*Sales[[#This Row],[Disc %]]</f>
        <v>13132.8</v>
      </c>
      <c r="L3200" s="43">
        <v>0.18</v>
      </c>
      <c r="M3200" s="46">
        <f>(Sales[[#This Row],[Gross Amount]]-Sales[[#This Row],[Disc. Amt.]])*Sales[[#This Row],[GST %]]</f>
        <v>17335.295999999998</v>
      </c>
      <c r="N3200" s="161">
        <f>Sales[[#This Row],[Gross Amount]]-Sales[[#This Row],[Disc. Amt.]]+Sales[[#This Row],[GST Amount]]</f>
        <v>113642.496</v>
      </c>
      <c r="O3200" s="34" t="s">
        <v>8876</v>
      </c>
      <c r="P3200" s="34" t="s">
        <v>3562</v>
      </c>
      <c r="Q3200" s="165">
        <f>IF(Sales[[#This Row],[Status]]="Cancelled",0,Sales[[#This Row],[Qty]])</f>
        <v>3</v>
      </c>
      <c r="R3200" s="166">
        <f>IF(Sales[[#This Row],[Status]]="Cancelled",0,Sales[[#This Row],[Total Amount]])</f>
        <v>113642.496</v>
      </c>
      <c r="S3200" s="162">
        <f>SUM(Sales[Net Amount])</f>
        <v>406839287.73200053</v>
      </c>
    </row>
    <row r="3201" spans="1:19" ht="18.75" x14ac:dyDescent="0.25">
      <c r="A3201" s="156" t="s">
        <v>6853</v>
      </c>
      <c r="B3201" s="157">
        <v>45938</v>
      </c>
      <c r="C3201" s="158" t="s">
        <v>941</v>
      </c>
      <c r="D3201" s="159" t="str">
        <f>VLOOKUP(Sales[[#This Row],[Customer ID]],Customer[#All],2,0)</f>
        <v>Sahil Verma</v>
      </c>
      <c r="E3201" s="158" t="s">
        <v>540</v>
      </c>
      <c r="F3201" s="158" t="str">
        <f>VLOOKUP(Sales[[#This Row],[Product ID]],Product[#All],2,0)</f>
        <v>Dell Desktop</v>
      </c>
      <c r="G3201" s="159">
        <v>4</v>
      </c>
      <c r="H3201" s="160">
        <f>VLOOKUP(Sales[[#This Row],[Product ID]],Product[#All],7,0)</f>
        <v>34160</v>
      </c>
      <c r="I3201" s="160">
        <f>Sales[[#This Row],[Selling Rate]]*Sales[[#This Row],[Qty]]</f>
        <v>136640</v>
      </c>
      <c r="J3201" s="43">
        <v>0.15</v>
      </c>
      <c r="K3201" s="44">
        <f>Sales[[#This Row],[Gross Amount]]*Sales[[#This Row],[Disc %]]</f>
        <v>20496</v>
      </c>
      <c r="L3201" s="43">
        <v>0.18</v>
      </c>
      <c r="M3201" s="44">
        <f>(Sales[[#This Row],[Gross Amount]]-Sales[[#This Row],[Disc. Amt.]])*Sales[[#This Row],[GST %]]</f>
        <v>20905.919999999998</v>
      </c>
      <c r="N3201" s="161">
        <f>Sales[[#This Row],[Gross Amount]]-Sales[[#This Row],[Disc. Amt.]]+Sales[[#This Row],[GST Amount]]</f>
        <v>137049.91999999998</v>
      </c>
      <c r="O3201" s="158" t="s">
        <v>3561</v>
      </c>
      <c r="P3201" s="158" t="s">
        <v>3562</v>
      </c>
      <c r="Q3201" s="160">
        <f>IF(Sales[[#This Row],[Status]]="Cancelled",0,Sales[[#This Row],[Qty]])</f>
        <v>4</v>
      </c>
      <c r="R3201" s="161">
        <f>IF(Sales[[#This Row],[Status]]="Cancelled",0,Sales[[#This Row],[Total Amount]])</f>
        <v>137049.91999999998</v>
      </c>
      <c r="S3201" s="162">
        <f>SUM(Sales[Net Amount])</f>
        <v>406839287.73200053</v>
      </c>
    </row>
    <row r="3202" spans="1:19" ht="18.75" x14ac:dyDescent="0.25">
      <c r="A3202" s="163" t="s">
        <v>6854</v>
      </c>
      <c r="B3202" s="164">
        <v>45938</v>
      </c>
      <c r="C3202" s="34" t="s">
        <v>755</v>
      </c>
      <c r="D3202" s="53" t="str">
        <f>VLOOKUP(Sales[[#This Row],[Customer ID]],Customer[#All],2,0)</f>
        <v>Sunita Gupta</v>
      </c>
      <c r="E3202" s="34" t="s">
        <v>49</v>
      </c>
      <c r="F3202" s="34" t="str">
        <f>VLOOKUP(Sales[[#This Row],[Product ID]],Product[#All],2,0)</f>
        <v>Boat Headset</v>
      </c>
      <c r="G3202" s="53">
        <v>2</v>
      </c>
      <c r="H3202" s="165">
        <f>VLOOKUP(Sales[[#This Row],[Product ID]],Product[#All],7,0)</f>
        <v>970</v>
      </c>
      <c r="I3202" s="165">
        <f>Sales[[#This Row],[Selling Rate]]*Sales[[#This Row],[Qty]]</f>
        <v>1940</v>
      </c>
      <c r="J3202" s="45">
        <v>0.1</v>
      </c>
      <c r="K3202" s="46">
        <f>Sales[[#This Row],[Gross Amount]]*Sales[[#This Row],[Disc %]]</f>
        <v>194</v>
      </c>
      <c r="L3202" s="43">
        <v>0.18</v>
      </c>
      <c r="M3202" s="46">
        <f>(Sales[[#This Row],[Gross Amount]]-Sales[[#This Row],[Disc. Amt.]])*Sales[[#This Row],[GST %]]</f>
        <v>314.27999999999997</v>
      </c>
      <c r="N3202" s="161">
        <f>Sales[[#This Row],[Gross Amount]]-Sales[[#This Row],[Disc. Amt.]]+Sales[[#This Row],[GST Amount]]</f>
        <v>2060.2799999999997</v>
      </c>
      <c r="O3202" s="34" t="s">
        <v>8876</v>
      </c>
      <c r="P3202" s="34" t="s">
        <v>3562</v>
      </c>
      <c r="Q3202" s="165">
        <f>IF(Sales[[#This Row],[Status]]="Cancelled",0,Sales[[#This Row],[Qty]])</f>
        <v>2</v>
      </c>
      <c r="R3202" s="166">
        <f>IF(Sales[[#This Row],[Status]]="Cancelled",0,Sales[[#This Row],[Total Amount]])</f>
        <v>2060.2799999999997</v>
      </c>
      <c r="S3202" s="162">
        <f>SUM(Sales[Net Amount])</f>
        <v>406839287.73200053</v>
      </c>
    </row>
    <row r="3203" spans="1:19" ht="18.75" x14ac:dyDescent="0.25">
      <c r="A3203" s="156" t="s">
        <v>6855</v>
      </c>
      <c r="B3203" s="157">
        <v>45938</v>
      </c>
      <c r="C3203" s="158" t="s">
        <v>935</v>
      </c>
      <c r="D3203" s="159" t="str">
        <f>VLOOKUP(Sales[[#This Row],[Customer ID]],Customer[#All],2,0)</f>
        <v>Ankit Kumar</v>
      </c>
      <c r="E3203" s="158" t="s">
        <v>394</v>
      </c>
      <c r="F3203" s="158" t="str">
        <f>VLOOKUP(Sales[[#This Row],[Product ID]],Product[#All],2,0)</f>
        <v>Boat Speaker</v>
      </c>
      <c r="G3203" s="159">
        <v>6</v>
      </c>
      <c r="H3203" s="160">
        <f>VLOOKUP(Sales[[#This Row],[Product ID]],Product[#All],7,0)</f>
        <v>1720</v>
      </c>
      <c r="I3203" s="160">
        <f>Sales[[#This Row],[Selling Rate]]*Sales[[#This Row],[Qty]]</f>
        <v>10320</v>
      </c>
      <c r="J3203" s="43">
        <v>0</v>
      </c>
      <c r="K3203" s="44">
        <f>Sales[[#This Row],[Gross Amount]]*Sales[[#This Row],[Disc %]]</f>
        <v>0</v>
      </c>
      <c r="L3203" s="43">
        <v>0.18</v>
      </c>
      <c r="M3203" s="44">
        <f>(Sales[[#This Row],[Gross Amount]]-Sales[[#This Row],[Disc. Amt.]])*Sales[[#This Row],[GST %]]</f>
        <v>1857.6</v>
      </c>
      <c r="N3203" s="161">
        <f>Sales[[#This Row],[Gross Amount]]-Sales[[#This Row],[Disc. Amt.]]+Sales[[#This Row],[GST Amount]]</f>
        <v>12177.6</v>
      </c>
      <c r="O3203" s="158" t="s">
        <v>3566</v>
      </c>
      <c r="P3203" s="158" t="s">
        <v>3562</v>
      </c>
      <c r="Q3203" s="160">
        <f>IF(Sales[[#This Row],[Status]]="Cancelled",0,Sales[[#This Row],[Qty]])</f>
        <v>6</v>
      </c>
      <c r="R3203" s="161">
        <f>IF(Sales[[#This Row],[Status]]="Cancelled",0,Sales[[#This Row],[Total Amount]])</f>
        <v>12177.6</v>
      </c>
      <c r="S3203" s="162">
        <f>SUM(Sales[Net Amount])</f>
        <v>406839287.73200053</v>
      </c>
    </row>
    <row r="3204" spans="1:19" ht="18.75" x14ac:dyDescent="0.25">
      <c r="A3204" s="163" t="s">
        <v>6856</v>
      </c>
      <c r="B3204" s="164">
        <v>45939</v>
      </c>
      <c r="C3204" s="34" t="s">
        <v>702</v>
      </c>
      <c r="D3204" s="53" t="str">
        <f>VLOOKUP(Sales[[#This Row],[Customer ID]],Customer[#All],2,0)</f>
        <v>Amit Patel</v>
      </c>
      <c r="E3204" s="34" t="s">
        <v>186</v>
      </c>
      <c r="F3204" s="34" t="str">
        <f>VLOOKUP(Sales[[#This Row],[Product ID]],Product[#All],2,0)</f>
        <v>Corsair Ram</v>
      </c>
      <c r="G3204" s="53">
        <v>8</v>
      </c>
      <c r="H3204" s="165">
        <f>VLOOKUP(Sales[[#This Row],[Product ID]],Product[#All],7,0)</f>
        <v>11620</v>
      </c>
      <c r="I3204" s="165">
        <f>Sales[[#This Row],[Selling Rate]]*Sales[[#This Row],[Qty]]</f>
        <v>92960</v>
      </c>
      <c r="J3204" s="45">
        <v>0.02</v>
      </c>
      <c r="K3204" s="46">
        <f>Sales[[#This Row],[Gross Amount]]*Sales[[#This Row],[Disc %]]</f>
        <v>1859.2</v>
      </c>
      <c r="L3204" s="43">
        <v>0.18</v>
      </c>
      <c r="M3204" s="46">
        <f>(Sales[[#This Row],[Gross Amount]]-Sales[[#This Row],[Disc. Amt.]])*Sales[[#This Row],[GST %]]</f>
        <v>16398.144</v>
      </c>
      <c r="N3204" s="161">
        <f>Sales[[#This Row],[Gross Amount]]-Sales[[#This Row],[Disc. Amt.]]+Sales[[#This Row],[GST Amount]]</f>
        <v>107498.944</v>
      </c>
      <c r="O3204" s="34" t="s">
        <v>3569</v>
      </c>
      <c r="P3204" s="34" t="s">
        <v>3562</v>
      </c>
      <c r="Q3204" s="165">
        <f>IF(Sales[[#This Row],[Status]]="Cancelled",0,Sales[[#This Row],[Qty]])</f>
        <v>8</v>
      </c>
      <c r="R3204" s="166">
        <f>IF(Sales[[#This Row],[Status]]="Cancelled",0,Sales[[#This Row],[Total Amount]])</f>
        <v>107498.944</v>
      </c>
      <c r="S3204" s="162">
        <f>SUM(Sales[Net Amount])</f>
        <v>406839287.73200053</v>
      </c>
    </row>
    <row r="3205" spans="1:19" ht="18.75" x14ac:dyDescent="0.25">
      <c r="A3205" s="156" t="s">
        <v>6857</v>
      </c>
      <c r="B3205" s="157">
        <v>45939</v>
      </c>
      <c r="C3205" s="158" t="s">
        <v>661</v>
      </c>
      <c r="D3205" s="159" t="str">
        <f>VLOOKUP(Sales[[#This Row],[Customer ID]],Customer[#All],2,0)</f>
        <v>Pooja Gupta</v>
      </c>
      <c r="E3205" s="158" t="s">
        <v>521</v>
      </c>
      <c r="F3205" s="158" t="str">
        <f>VLOOKUP(Sales[[#This Row],[Product ID]],Product[#All],2,0)</f>
        <v>Sandisk Pen Drive</v>
      </c>
      <c r="G3205" s="159">
        <v>2</v>
      </c>
      <c r="H3205" s="160">
        <f>VLOOKUP(Sales[[#This Row],[Product ID]],Product[#All],7,0)</f>
        <v>2920</v>
      </c>
      <c r="I3205" s="160">
        <f>Sales[[#This Row],[Selling Rate]]*Sales[[#This Row],[Qty]]</f>
        <v>5840</v>
      </c>
      <c r="J3205" s="43">
        <v>0</v>
      </c>
      <c r="K3205" s="44">
        <f>Sales[[#This Row],[Gross Amount]]*Sales[[#This Row],[Disc %]]</f>
        <v>0</v>
      </c>
      <c r="L3205" s="43">
        <v>0.18</v>
      </c>
      <c r="M3205" s="44">
        <f>(Sales[[#This Row],[Gross Amount]]-Sales[[#This Row],[Disc. Amt.]])*Sales[[#This Row],[GST %]]</f>
        <v>1051.2</v>
      </c>
      <c r="N3205" s="161">
        <f>Sales[[#This Row],[Gross Amount]]-Sales[[#This Row],[Disc. Amt.]]+Sales[[#This Row],[GST Amount]]</f>
        <v>6891.2</v>
      </c>
      <c r="O3205" s="158" t="s">
        <v>3561</v>
      </c>
      <c r="P3205" s="158" t="s">
        <v>3562</v>
      </c>
      <c r="Q3205" s="160">
        <f>IF(Sales[[#This Row],[Status]]="Cancelled",0,Sales[[#This Row],[Qty]])</f>
        <v>2</v>
      </c>
      <c r="R3205" s="161">
        <f>IF(Sales[[#This Row],[Status]]="Cancelled",0,Sales[[#This Row],[Total Amount]])</f>
        <v>6891.2</v>
      </c>
      <c r="S3205" s="162">
        <f>SUM(Sales[Net Amount])</f>
        <v>406839287.73200053</v>
      </c>
    </row>
    <row r="3206" spans="1:19" ht="18.75" x14ac:dyDescent="0.25">
      <c r="A3206" s="163" t="s">
        <v>6858</v>
      </c>
      <c r="B3206" s="164">
        <v>45939</v>
      </c>
      <c r="C3206" s="34" t="s">
        <v>730</v>
      </c>
      <c r="D3206" s="53" t="str">
        <f>VLOOKUP(Sales[[#This Row],[Customer ID]],Customer[#All],2,0)</f>
        <v>Neha Verma</v>
      </c>
      <c r="E3206" s="34" t="s">
        <v>237</v>
      </c>
      <c r="F3206" s="34" t="str">
        <f>VLOOKUP(Sales[[#This Row],[Product ID]],Product[#All],2,0)</f>
        <v>Jbl Headset</v>
      </c>
      <c r="G3206" s="53">
        <v>2</v>
      </c>
      <c r="H3206" s="165">
        <f>VLOOKUP(Sales[[#This Row],[Product ID]],Product[#All],7,0)</f>
        <v>5520</v>
      </c>
      <c r="I3206" s="165">
        <f>Sales[[#This Row],[Selling Rate]]*Sales[[#This Row],[Qty]]</f>
        <v>11040</v>
      </c>
      <c r="J3206" s="45">
        <v>0.12</v>
      </c>
      <c r="K3206" s="46">
        <f>Sales[[#This Row],[Gross Amount]]*Sales[[#This Row],[Disc %]]</f>
        <v>1324.8</v>
      </c>
      <c r="L3206" s="43">
        <v>0.18</v>
      </c>
      <c r="M3206" s="46">
        <f>(Sales[[#This Row],[Gross Amount]]-Sales[[#This Row],[Disc. Amt.]])*Sales[[#This Row],[GST %]]</f>
        <v>1748.7360000000001</v>
      </c>
      <c r="N3206" s="161">
        <f>Sales[[#This Row],[Gross Amount]]-Sales[[#This Row],[Disc. Amt.]]+Sales[[#This Row],[GST Amount]]</f>
        <v>11463.936000000002</v>
      </c>
      <c r="O3206" s="34" t="s">
        <v>3561</v>
      </c>
      <c r="P3206" s="34" t="s">
        <v>3562</v>
      </c>
      <c r="Q3206" s="165">
        <f>IF(Sales[[#This Row],[Status]]="Cancelled",0,Sales[[#This Row],[Qty]])</f>
        <v>2</v>
      </c>
      <c r="R3206" s="166">
        <f>IF(Sales[[#This Row],[Status]]="Cancelled",0,Sales[[#This Row],[Total Amount]])</f>
        <v>11463.936000000002</v>
      </c>
      <c r="S3206" s="162">
        <f>SUM(Sales[Net Amount])</f>
        <v>406839287.73200053</v>
      </c>
    </row>
    <row r="3207" spans="1:19" ht="18.75" x14ac:dyDescent="0.25">
      <c r="A3207" s="156" t="s">
        <v>6859</v>
      </c>
      <c r="B3207" s="157">
        <v>45939</v>
      </c>
      <c r="C3207" s="158" t="s">
        <v>853</v>
      </c>
      <c r="D3207" s="159" t="str">
        <f>VLOOKUP(Sales[[#This Row],[Customer ID]],Customer[#All],2,0)</f>
        <v>Amit Singh</v>
      </c>
      <c r="E3207" s="158" t="s">
        <v>546</v>
      </c>
      <c r="F3207" s="158" t="str">
        <f>VLOOKUP(Sales[[#This Row],[Product ID]],Product[#All],2,0)</f>
        <v>Crucial Ssd</v>
      </c>
      <c r="G3207" s="159">
        <v>5</v>
      </c>
      <c r="H3207" s="160">
        <f>VLOOKUP(Sales[[#This Row],[Product ID]],Product[#All],7,0)</f>
        <v>14200</v>
      </c>
      <c r="I3207" s="160">
        <f>Sales[[#This Row],[Selling Rate]]*Sales[[#This Row],[Qty]]</f>
        <v>71000</v>
      </c>
      <c r="J3207" s="43">
        <v>0</v>
      </c>
      <c r="K3207" s="44">
        <f>Sales[[#This Row],[Gross Amount]]*Sales[[#This Row],[Disc %]]</f>
        <v>0</v>
      </c>
      <c r="L3207" s="43">
        <v>0.18</v>
      </c>
      <c r="M3207" s="44">
        <f>(Sales[[#This Row],[Gross Amount]]-Sales[[#This Row],[Disc. Amt.]])*Sales[[#This Row],[GST %]]</f>
        <v>12780</v>
      </c>
      <c r="N3207" s="161">
        <f>Sales[[#This Row],[Gross Amount]]-Sales[[#This Row],[Disc. Amt.]]+Sales[[#This Row],[GST Amount]]</f>
        <v>83780</v>
      </c>
      <c r="O3207" s="158" t="s">
        <v>3566</v>
      </c>
      <c r="P3207" s="158" t="s">
        <v>3562</v>
      </c>
      <c r="Q3207" s="160">
        <f>IF(Sales[[#This Row],[Status]]="Cancelled",0,Sales[[#This Row],[Qty]])</f>
        <v>5</v>
      </c>
      <c r="R3207" s="161">
        <f>IF(Sales[[#This Row],[Status]]="Cancelled",0,Sales[[#This Row],[Total Amount]])</f>
        <v>83780</v>
      </c>
      <c r="S3207" s="162">
        <f>SUM(Sales[Net Amount])</f>
        <v>406839287.73200053</v>
      </c>
    </row>
    <row r="3208" spans="1:19" ht="18.75" x14ac:dyDescent="0.25">
      <c r="A3208" s="163" t="s">
        <v>6860</v>
      </c>
      <c r="B3208" s="164">
        <v>45939</v>
      </c>
      <c r="C3208" s="34" t="s">
        <v>773</v>
      </c>
      <c r="D3208" s="53" t="str">
        <f>VLOOKUP(Sales[[#This Row],[Customer ID]],Customer[#All],2,0)</f>
        <v>Rahul Kumar</v>
      </c>
      <c r="E3208" s="34" t="s">
        <v>450</v>
      </c>
      <c r="F3208" s="34" t="str">
        <f>VLOOKUP(Sales[[#This Row],[Product ID]],Product[#All],2,0)</f>
        <v>TP-link Bluetooth Adapter</v>
      </c>
      <c r="G3208" s="53">
        <v>5</v>
      </c>
      <c r="H3208" s="165">
        <f>VLOOKUP(Sales[[#This Row],[Product ID]],Product[#All],7,0)</f>
        <v>1270</v>
      </c>
      <c r="I3208" s="165">
        <f>Sales[[#This Row],[Selling Rate]]*Sales[[#This Row],[Qty]]</f>
        <v>6350</v>
      </c>
      <c r="J3208" s="45">
        <v>0.02</v>
      </c>
      <c r="K3208" s="46">
        <f>Sales[[#This Row],[Gross Amount]]*Sales[[#This Row],[Disc %]]</f>
        <v>127</v>
      </c>
      <c r="L3208" s="43">
        <v>0.18</v>
      </c>
      <c r="M3208" s="46">
        <f>(Sales[[#This Row],[Gross Amount]]-Sales[[#This Row],[Disc. Amt.]])*Sales[[#This Row],[GST %]]</f>
        <v>1120.1399999999999</v>
      </c>
      <c r="N3208" s="161">
        <f>Sales[[#This Row],[Gross Amount]]-Sales[[#This Row],[Disc. Amt.]]+Sales[[#This Row],[GST Amount]]</f>
        <v>7343.1399999999994</v>
      </c>
      <c r="O3208" s="34" t="s">
        <v>3561</v>
      </c>
      <c r="P3208" s="34" t="s">
        <v>1040</v>
      </c>
      <c r="Q3208" s="165">
        <f>IF(Sales[[#This Row],[Status]]="Cancelled",0,Sales[[#This Row],[Qty]])</f>
        <v>0</v>
      </c>
      <c r="R3208" s="166">
        <f>IF(Sales[[#This Row],[Status]]="Cancelled",0,Sales[[#This Row],[Total Amount]])</f>
        <v>0</v>
      </c>
      <c r="S3208" s="162">
        <f>SUM(Sales[Net Amount])</f>
        <v>406839287.73200053</v>
      </c>
    </row>
    <row r="3209" spans="1:19" ht="18.75" x14ac:dyDescent="0.25">
      <c r="A3209" s="156" t="s">
        <v>6861</v>
      </c>
      <c r="B3209" s="157">
        <v>45939</v>
      </c>
      <c r="C3209" s="158" t="s">
        <v>883</v>
      </c>
      <c r="D3209" s="159" t="str">
        <f>VLOOKUP(Sales[[#This Row],[Customer ID]],Customer[#All],2,0)</f>
        <v>Rahul Verma</v>
      </c>
      <c r="E3209" s="158" t="s">
        <v>473</v>
      </c>
      <c r="F3209" s="158" t="str">
        <f>VLOOKUP(Sales[[#This Row],[Product ID]],Product[#All],2,0)</f>
        <v>Boat Headset</v>
      </c>
      <c r="G3209" s="159">
        <v>3</v>
      </c>
      <c r="H3209" s="160">
        <f>VLOOKUP(Sales[[#This Row],[Product ID]],Product[#All],7,0)</f>
        <v>2840</v>
      </c>
      <c r="I3209" s="160">
        <f>Sales[[#This Row],[Selling Rate]]*Sales[[#This Row],[Qty]]</f>
        <v>8520</v>
      </c>
      <c r="J3209" s="43">
        <v>0</v>
      </c>
      <c r="K3209" s="44">
        <f>Sales[[#This Row],[Gross Amount]]*Sales[[#This Row],[Disc %]]</f>
        <v>0</v>
      </c>
      <c r="L3209" s="43">
        <v>0.18</v>
      </c>
      <c r="M3209" s="44">
        <f>(Sales[[#This Row],[Gross Amount]]-Sales[[#This Row],[Disc. Amt.]])*Sales[[#This Row],[GST %]]</f>
        <v>1533.6</v>
      </c>
      <c r="N3209" s="161">
        <f>Sales[[#This Row],[Gross Amount]]-Sales[[#This Row],[Disc. Amt.]]+Sales[[#This Row],[GST Amount]]</f>
        <v>10053.6</v>
      </c>
      <c r="O3209" s="158" t="s">
        <v>3566</v>
      </c>
      <c r="P3209" s="158" t="s">
        <v>3562</v>
      </c>
      <c r="Q3209" s="160">
        <f>IF(Sales[[#This Row],[Status]]="Cancelled",0,Sales[[#This Row],[Qty]])</f>
        <v>3</v>
      </c>
      <c r="R3209" s="161">
        <f>IF(Sales[[#This Row],[Status]]="Cancelled",0,Sales[[#This Row],[Total Amount]])</f>
        <v>10053.6</v>
      </c>
      <c r="S3209" s="162">
        <f>SUM(Sales[Net Amount])</f>
        <v>406839287.73200053</v>
      </c>
    </row>
    <row r="3210" spans="1:19" ht="18.75" x14ac:dyDescent="0.25">
      <c r="A3210" s="163" t="s">
        <v>6862</v>
      </c>
      <c r="B3210" s="164">
        <v>45939</v>
      </c>
      <c r="C3210" s="34" t="s">
        <v>761</v>
      </c>
      <c r="D3210" s="53" t="str">
        <f>VLOOKUP(Sales[[#This Row],[Customer ID]],Customer[#All],2,0)</f>
        <v>Priya Verma</v>
      </c>
      <c r="E3210" s="34" t="s">
        <v>76</v>
      </c>
      <c r="F3210" s="34" t="str">
        <f>VLOOKUP(Sales[[#This Row],[Product ID]],Product[#All],2,0)</f>
        <v>Dell Keyboard</v>
      </c>
      <c r="G3210" s="53">
        <v>4</v>
      </c>
      <c r="H3210" s="165">
        <f>VLOOKUP(Sales[[#This Row],[Product ID]],Product[#All],7,0)</f>
        <v>1740</v>
      </c>
      <c r="I3210" s="165">
        <f>Sales[[#This Row],[Selling Rate]]*Sales[[#This Row],[Qty]]</f>
        <v>6960</v>
      </c>
      <c r="J3210" s="45">
        <v>0.05</v>
      </c>
      <c r="K3210" s="46">
        <f>Sales[[#This Row],[Gross Amount]]*Sales[[#This Row],[Disc %]]</f>
        <v>348</v>
      </c>
      <c r="L3210" s="43">
        <v>0.18</v>
      </c>
      <c r="M3210" s="46">
        <f>(Sales[[#This Row],[Gross Amount]]-Sales[[#This Row],[Disc. Amt.]])*Sales[[#This Row],[GST %]]</f>
        <v>1190.1599999999999</v>
      </c>
      <c r="N3210" s="161">
        <f>Sales[[#This Row],[Gross Amount]]-Sales[[#This Row],[Disc. Amt.]]+Sales[[#This Row],[GST Amount]]</f>
        <v>7802.16</v>
      </c>
      <c r="O3210" s="34" t="s">
        <v>3569</v>
      </c>
      <c r="P3210" s="34" t="s">
        <v>3562</v>
      </c>
      <c r="Q3210" s="165">
        <f>IF(Sales[[#This Row],[Status]]="Cancelled",0,Sales[[#This Row],[Qty]])</f>
        <v>4</v>
      </c>
      <c r="R3210" s="166">
        <f>IF(Sales[[#This Row],[Status]]="Cancelled",0,Sales[[#This Row],[Total Amount]])</f>
        <v>7802.16</v>
      </c>
      <c r="S3210" s="162">
        <f>SUM(Sales[Net Amount])</f>
        <v>406839287.73200053</v>
      </c>
    </row>
    <row r="3211" spans="1:19" ht="18.75" x14ac:dyDescent="0.25">
      <c r="A3211" s="156" t="s">
        <v>6863</v>
      </c>
      <c r="B3211" s="157">
        <v>45939</v>
      </c>
      <c r="C3211" s="158" t="s">
        <v>919</v>
      </c>
      <c r="D3211" s="159" t="str">
        <f>VLOOKUP(Sales[[#This Row],[Customer ID]],Customer[#All],2,0)</f>
        <v>Pooja Patel</v>
      </c>
      <c r="E3211" s="158" t="s">
        <v>473</v>
      </c>
      <c r="F3211" s="158" t="str">
        <f>VLOOKUP(Sales[[#This Row],[Product ID]],Product[#All],2,0)</f>
        <v>Boat Headset</v>
      </c>
      <c r="G3211" s="159">
        <v>4</v>
      </c>
      <c r="H3211" s="160">
        <f>VLOOKUP(Sales[[#This Row],[Product ID]],Product[#All],7,0)</f>
        <v>2840</v>
      </c>
      <c r="I3211" s="160">
        <f>Sales[[#This Row],[Selling Rate]]*Sales[[#This Row],[Qty]]</f>
        <v>11360</v>
      </c>
      <c r="J3211" s="43">
        <v>0</v>
      </c>
      <c r="K3211" s="44">
        <f>Sales[[#This Row],[Gross Amount]]*Sales[[#This Row],[Disc %]]</f>
        <v>0</v>
      </c>
      <c r="L3211" s="43">
        <v>0.18</v>
      </c>
      <c r="M3211" s="44">
        <f>(Sales[[#This Row],[Gross Amount]]-Sales[[#This Row],[Disc. Amt.]])*Sales[[#This Row],[GST %]]</f>
        <v>2044.8</v>
      </c>
      <c r="N3211" s="161">
        <f>Sales[[#This Row],[Gross Amount]]-Sales[[#This Row],[Disc. Amt.]]+Sales[[#This Row],[GST Amount]]</f>
        <v>13404.8</v>
      </c>
      <c r="O3211" s="158" t="s">
        <v>8876</v>
      </c>
      <c r="P3211" s="158" t="s">
        <v>3562</v>
      </c>
      <c r="Q3211" s="160">
        <f>IF(Sales[[#This Row],[Status]]="Cancelled",0,Sales[[#This Row],[Qty]])</f>
        <v>4</v>
      </c>
      <c r="R3211" s="161">
        <f>IF(Sales[[#This Row],[Status]]="Cancelled",0,Sales[[#This Row],[Total Amount]])</f>
        <v>13404.8</v>
      </c>
      <c r="S3211" s="162">
        <f>SUM(Sales[Net Amount])</f>
        <v>406839287.73200053</v>
      </c>
    </row>
    <row r="3212" spans="1:19" ht="18.75" x14ac:dyDescent="0.25">
      <c r="A3212" s="163" t="s">
        <v>6864</v>
      </c>
      <c r="B3212" s="164">
        <v>45939</v>
      </c>
      <c r="C3212" s="34" t="s">
        <v>799</v>
      </c>
      <c r="D3212" s="53" t="str">
        <f>VLOOKUP(Sales[[#This Row],[Customer ID]],Customer[#All],2,0)</f>
        <v>Rakesh Gupta</v>
      </c>
      <c r="E3212" s="34" t="s">
        <v>473</v>
      </c>
      <c r="F3212" s="34" t="str">
        <f>VLOOKUP(Sales[[#This Row],[Product ID]],Product[#All],2,0)</f>
        <v>Boat Headset</v>
      </c>
      <c r="G3212" s="53">
        <v>7</v>
      </c>
      <c r="H3212" s="165">
        <f>VLOOKUP(Sales[[#This Row],[Product ID]],Product[#All],7,0)</f>
        <v>2840</v>
      </c>
      <c r="I3212" s="165">
        <f>Sales[[#This Row],[Selling Rate]]*Sales[[#This Row],[Qty]]</f>
        <v>19880</v>
      </c>
      <c r="J3212" s="45">
        <v>0</v>
      </c>
      <c r="K3212" s="46">
        <f>Sales[[#This Row],[Gross Amount]]*Sales[[#This Row],[Disc %]]</f>
        <v>0</v>
      </c>
      <c r="L3212" s="43">
        <v>0.18</v>
      </c>
      <c r="M3212" s="46">
        <f>(Sales[[#This Row],[Gross Amount]]-Sales[[#This Row],[Disc. Amt.]])*Sales[[#This Row],[GST %]]</f>
        <v>3578.4</v>
      </c>
      <c r="N3212" s="161">
        <f>Sales[[#This Row],[Gross Amount]]-Sales[[#This Row],[Disc. Amt.]]+Sales[[#This Row],[GST Amount]]</f>
        <v>23458.400000000001</v>
      </c>
      <c r="O3212" s="34" t="s">
        <v>8876</v>
      </c>
      <c r="P3212" s="34" t="s">
        <v>3562</v>
      </c>
      <c r="Q3212" s="165">
        <f>IF(Sales[[#This Row],[Status]]="Cancelled",0,Sales[[#This Row],[Qty]])</f>
        <v>7</v>
      </c>
      <c r="R3212" s="166">
        <f>IF(Sales[[#This Row],[Status]]="Cancelled",0,Sales[[#This Row],[Total Amount]])</f>
        <v>23458.400000000001</v>
      </c>
      <c r="S3212" s="162">
        <f>SUM(Sales[Net Amount])</f>
        <v>406839287.73200053</v>
      </c>
    </row>
    <row r="3213" spans="1:19" ht="18.75" x14ac:dyDescent="0.25">
      <c r="A3213" s="156" t="s">
        <v>6865</v>
      </c>
      <c r="B3213" s="157">
        <v>45939</v>
      </c>
      <c r="C3213" s="158" t="s">
        <v>893</v>
      </c>
      <c r="D3213" s="159" t="str">
        <f>VLOOKUP(Sales[[#This Row],[Customer ID]],Customer[#All],2,0)</f>
        <v>Sunita Sharma</v>
      </c>
      <c r="E3213" s="158" t="s">
        <v>202</v>
      </c>
      <c r="F3213" s="158" t="str">
        <f>VLOOKUP(Sales[[#This Row],[Product ID]],Product[#All],2,0)</f>
        <v>TP-link Wi-Fi Adapter</v>
      </c>
      <c r="G3213" s="159">
        <v>1</v>
      </c>
      <c r="H3213" s="160">
        <f>VLOOKUP(Sales[[#This Row],[Product ID]],Product[#All],7,0)</f>
        <v>1330</v>
      </c>
      <c r="I3213" s="160">
        <f>Sales[[#This Row],[Selling Rate]]*Sales[[#This Row],[Qty]]</f>
        <v>1330</v>
      </c>
      <c r="J3213" s="43">
        <v>0</v>
      </c>
      <c r="K3213" s="44">
        <f>Sales[[#This Row],[Gross Amount]]*Sales[[#This Row],[Disc %]]</f>
        <v>0</v>
      </c>
      <c r="L3213" s="43">
        <v>0.18</v>
      </c>
      <c r="M3213" s="44">
        <f>(Sales[[#This Row],[Gross Amount]]-Sales[[#This Row],[Disc. Amt.]])*Sales[[#This Row],[GST %]]</f>
        <v>239.39999999999998</v>
      </c>
      <c r="N3213" s="161">
        <f>Sales[[#This Row],[Gross Amount]]-Sales[[#This Row],[Disc. Amt.]]+Sales[[#This Row],[GST Amount]]</f>
        <v>1569.4</v>
      </c>
      <c r="O3213" s="158" t="s">
        <v>8876</v>
      </c>
      <c r="P3213" s="158" t="s">
        <v>3562</v>
      </c>
      <c r="Q3213" s="160">
        <f>IF(Sales[[#This Row],[Status]]="Cancelled",0,Sales[[#This Row],[Qty]])</f>
        <v>1</v>
      </c>
      <c r="R3213" s="161">
        <f>IF(Sales[[#This Row],[Status]]="Cancelled",0,Sales[[#This Row],[Total Amount]])</f>
        <v>1569.4</v>
      </c>
      <c r="S3213" s="162">
        <f>SUM(Sales[Net Amount])</f>
        <v>406839287.73200053</v>
      </c>
    </row>
    <row r="3214" spans="1:19" ht="18.75" x14ac:dyDescent="0.25">
      <c r="A3214" s="163" t="s">
        <v>6866</v>
      </c>
      <c r="B3214" s="164">
        <v>45939</v>
      </c>
      <c r="C3214" s="34" t="s">
        <v>685</v>
      </c>
      <c r="D3214" s="53" t="str">
        <f>VLOOKUP(Sales[[#This Row],[Customer ID]],Customer[#All],2,0)</f>
        <v>Pooja Kumar</v>
      </c>
      <c r="E3214" s="34" t="s">
        <v>177</v>
      </c>
      <c r="F3214" s="34" t="str">
        <f>VLOOKUP(Sales[[#This Row],[Product ID]],Product[#All],2,0)</f>
        <v>Dell Laptop</v>
      </c>
      <c r="G3214" s="53">
        <v>7</v>
      </c>
      <c r="H3214" s="165">
        <f>VLOOKUP(Sales[[#This Row],[Product ID]],Product[#All],7,0)</f>
        <v>56790</v>
      </c>
      <c r="I3214" s="165">
        <f>Sales[[#This Row],[Selling Rate]]*Sales[[#This Row],[Qty]]</f>
        <v>397530</v>
      </c>
      <c r="J3214" s="45">
        <v>0.15</v>
      </c>
      <c r="K3214" s="46">
        <f>Sales[[#This Row],[Gross Amount]]*Sales[[#This Row],[Disc %]]</f>
        <v>59629.5</v>
      </c>
      <c r="L3214" s="43">
        <v>0.18</v>
      </c>
      <c r="M3214" s="46">
        <f>(Sales[[#This Row],[Gross Amount]]-Sales[[#This Row],[Disc. Amt.]])*Sales[[#This Row],[GST %]]</f>
        <v>60822.09</v>
      </c>
      <c r="N3214" s="161">
        <f>Sales[[#This Row],[Gross Amount]]-Sales[[#This Row],[Disc. Amt.]]+Sales[[#This Row],[GST Amount]]</f>
        <v>398722.58999999997</v>
      </c>
      <c r="O3214" s="34" t="s">
        <v>3569</v>
      </c>
      <c r="P3214" s="34" t="s">
        <v>1040</v>
      </c>
      <c r="Q3214" s="165">
        <f>IF(Sales[[#This Row],[Status]]="Cancelled",0,Sales[[#This Row],[Qty]])</f>
        <v>0</v>
      </c>
      <c r="R3214" s="166">
        <f>IF(Sales[[#This Row],[Status]]="Cancelled",0,Sales[[#This Row],[Total Amount]])</f>
        <v>0</v>
      </c>
      <c r="S3214" s="162">
        <f>SUM(Sales[Net Amount])</f>
        <v>406839287.73200053</v>
      </c>
    </row>
    <row r="3215" spans="1:19" ht="18.75" x14ac:dyDescent="0.25">
      <c r="A3215" s="156" t="s">
        <v>6867</v>
      </c>
      <c r="B3215" s="157">
        <v>45939</v>
      </c>
      <c r="C3215" s="158" t="s">
        <v>834</v>
      </c>
      <c r="D3215" s="159" t="str">
        <f>VLOOKUP(Sales[[#This Row],[Customer ID]],Customer[#All],2,0)</f>
        <v>Rahul Verma</v>
      </c>
      <c r="E3215" s="158" t="s">
        <v>82</v>
      </c>
      <c r="F3215" s="158" t="str">
        <f>VLOOKUP(Sales[[#This Row],[Product ID]],Product[#All],2,0)</f>
        <v>American TouristerLaptopBag</v>
      </c>
      <c r="G3215" s="159">
        <v>4</v>
      </c>
      <c r="H3215" s="160">
        <f>VLOOKUP(Sales[[#This Row],[Product ID]],Product[#All],7,0)</f>
        <v>5480</v>
      </c>
      <c r="I3215" s="160">
        <f>Sales[[#This Row],[Selling Rate]]*Sales[[#This Row],[Qty]]</f>
        <v>21920</v>
      </c>
      <c r="J3215" s="43">
        <v>0.05</v>
      </c>
      <c r="K3215" s="44">
        <f>Sales[[#This Row],[Gross Amount]]*Sales[[#This Row],[Disc %]]</f>
        <v>1096</v>
      </c>
      <c r="L3215" s="43">
        <v>0.18</v>
      </c>
      <c r="M3215" s="44">
        <f>(Sales[[#This Row],[Gross Amount]]-Sales[[#This Row],[Disc. Amt.]])*Sales[[#This Row],[GST %]]</f>
        <v>3748.3199999999997</v>
      </c>
      <c r="N3215" s="161">
        <f>Sales[[#This Row],[Gross Amount]]-Sales[[#This Row],[Disc. Amt.]]+Sales[[#This Row],[GST Amount]]</f>
        <v>24572.32</v>
      </c>
      <c r="O3215" s="158" t="s">
        <v>8876</v>
      </c>
      <c r="P3215" s="158" t="s">
        <v>3562</v>
      </c>
      <c r="Q3215" s="160">
        <f>IF(Sales[[#This Row],[Status]]="Cancelled",0,Sales[[#This Row],[Qty]])</f>
        <v>4</v>
      </c>
      <c r="R3215" s="161">
        <f>IF(Sales[[#This Row],[Status]]="Cancelled",0,Sales[[#This Row],[Total Amount]])</f>
        <v>24572.32</v>
      </c>
      <c r="S3215" s="162">
        <f>SUM(Sales[Net Amount])</f>
        <v>406839287.73200053</v>
      </c>
    </row>
    <row r="3216" spans="1:19" ht="18.75" x14ac:dyDescent="0.25">
      <c r="A3216" s="163" t="s">
        <v>6868</v>
      </c>
      <c r="B3216" s="164">
        <v>45939</v>
      </c>
      <c r="C3216" s="34" t="s">
        <v>795</v>
      </c>
      <c r="D3216" s="53" t="str">
        <f>VLOOKUP(Sales[[#This Row],[Customer ID]],Customer[#All],2,0)</f>
        <v>Sahil Gupta</v>
      </c>
      <c r="E3216" s="34" t="s">
        <v>405</v>
      </c>
      <c r="F3216" s="34" t="str">
        <f>VLOOKUP(Sales[[#This Row],[Product ID]],Product[#All],2,0)</f>
        <v>TP-link Bluetooth Adapter</v>
      </c>
      <c r="G3216" s="53">
        <v>4</v>
      </c>
      <c r="H3216" s="165">
        <f>VLOOKUP(Sales[[#This Row],[Product ID]],Product[#All],7,0)</f>
        <v>1470</v>
      </c>
      <c r="I3216" s="165">
        <f>Sales[[#This Row],[Selling Rate]]*Sales[[#This Row],[Qty]]</f>
        <v>5880</v>
      </c>
      <c r="J3216" s="45">
        <v>0</v>
      </c>
      <c r="K3216" s="46">
        <f>Sales[[#This Row],[Gross Amount]]*Sales[[#This Row],[Disc %]]</f>
        <v>0</v>
      </c>
      <c r="L3216" s="43">
        <v>0.18</v>
      </c>
      <c r="M3216" s="46">
        <f>(Sales[[#This Row],[Gross Amount]]-Sales[[#This Row],[Disc. Amt.]])*Sales[[#This Row],[GST %]]</f>
        <v>1058.3999999999999</v>
      </c>
      <c r="N3216" s="161">
        <f>Sales[[#This Row],[Gross Amount]]-Sales[[#This Row],[Disc. Amt.]]+Sales[[#This Row],[GST Amount]]</f>
        <v>6938.4</v>
      </c>
      <c r="O3216" s="34" t="s">
        <v>3561</v>
      </c>
      <c r="P3216" s="34" t="s">
        <v>3562</v>
      </c>
      <c r="Q3216" s="165">
        <f>IF(Sales[[#This Row],[Status]]="Cancelled",0,Sales[[#This Row],[Qty]])</f>
        <v>4</v>
      </c>
      <c r="R3216" s="166">
        <f>IF(Sales[[#This Row],[Status]]="Cancelled",0,Sales[[#This Row],[Total Amount]])</f>
        <v>6938.4</v>
      </c>
      <c r="S3216" s="162">
        <f>SUM(Sales[Net Amount])</f>
        <v>406839287.73200053</v>
      </c>
    </row>
    <row r="3217" spans="1:19" ht="18.75" x14ac:dyDescent="0.25">
      <c r="A3217" s="156" t="s">
        <v>6869</v>
      </c>
      <c r="B3217" s="157">
        <v>45939</v>
      </c>
      <c r="C3217" s="158" t="s">
        <v>882</v>
      </c>
      <c r="D3217" s="159" t="str">
        <f>VLOOKUP(Sales[[#This Row],[Customer ID]],Customer[#All],2,0)</f>
        <v>Rahul Sharma</v>
      </c>
      <c r="E3217" s="158" t="s">
        <v>246</v>
      </c>
      <c r="F3217" s="158" t="str">
        <f>VLOOKUP(Sales[[#This Row],[Product ID]],Product[#All],2,0)</f>
        <v>PortronicsLaptopStand</v>
      </c>
      <c r="G3217" s="159">
        <v>8</v>
      </c>
      <c r="H3217" s="160">
        <f>VLOOKUP(Sales[[#This Row],[Product ID]],Product[#All],7,0)</f>
        <v>1600</v>
      </c>
      <c r="I3217" s="160">
        <f>Sales[[#This Row],[Selling Rate]]*Sales[[#This Row],[Qty]]</f>
        <v>12800</v>
      </c>
      <c r="J3217" s="43">
        <v>0.02</v>
      </c>
      <c r="K3217" s="44">
        <f>Sales[[#This Row],[Gross Amount]]*Sales[[#This Row],[Disc %]]</f>
        <v>256</v>
      </c>
      <c r="L3217" s="43">
        <v>0.18</v>
      </c>
      <c r="M3217" s="44">
        <f>(Sales[[#This Row],[Gross Amount]]-Sales[[#This Row],[Disc. Amt.]])*Sales[[#This Row],[GST %]]</f>
        <v>2257.92</v>
      </c>
      <c r="N3217" s="161">
        <f>Sales[[#This Row],[Gross Amount]]-Sales[[#This Row],[Disc. Amt.]]+Sales[[#This Row],[GST Amount]]</f>
        <v>14801.92</v>
      </c>
      <c r="O3217" s="158" t="s">
        <v>8876</v>
      </c>
      <c r="P3217" s="158" t="s">
        <v>3562</v>
      </c>
      <c r="Q3217" s="160">
        <f>IF(Sales[[#This Row],[Status]]="Cancelled",0,Sales[[#This Row],[Qty]])</f>
        <v>8</v>
      </c>
      <c r="R3217" s="161">
        <f>IF(Sales[[#This Row],[Status]]="Cancelled",0,Sales[[#This Row],[Total Amount]])</f>
        <v>14801.92</v>
      </c>
      <c r="S3217" s="162">
        <f>SUM(Sales[Net Amount])</f>
        <v>406839287.73200053</v>
      </c>
    </row>
    <row r="3218" spans="1:19" ht="18.75" x14ac:dyDescent="0.25">
      <c r="A3218" s="163" t="s">
        <v>6870</v>
      </c>
      <c r="B3218" s="164">
        <v>45939</v>
      </c>
      <c r="C3218" s="34" t="s">
        <v>739</v>
      </c>
      <c r="D3218" s="53" t="str">
        <f>VLOOKUP(Sales[[#This Row],[Customer ID]],Customer[#All],2,0)</f>
        <v>Ankit Singh</v>
      </c>
      <c r="E3218" s="34" t="s">
        <v>243</v>
      </c>
      <c r="F3218" s="34" t="str">
        <f>VLOOKUP(Sales[[#This Row],[Product ID]],Product[#All],2,0)</f>
        <v>TP-link Router</v>
      </c>
      <c r="G3218" s="53">
        <v>2</v>
      </c>
      <c r="H3218" s="165">
        <f>VLOOKUP(Sales[[#This Row],[Product ID]],Product[#All],7,0)</f>
        <v>3230</v>
      </c>
      <c r="I3218" s="165">
        <f>Sales[[#This Row],[Selling Rate]]*Sales[[#This Row],[Qty]]</f>
        <v>6460</v>
      </c>
      <c r="J3218" s="45">
        <v>0.05</v>
      </c>
      <c r="K3218" s="46">
        <f>Sales[[#This Row],[Gross Amount]]*Sales[[#This Row],[Disc %]]</f>
        <v>323</v>
      </c>
      <c r="L3218" s="43">
        <v>0.18</v>
      </c>
      <c r="M3218" s="46">
        <f>(Sales[[#This Row],[Gross Amount]]-Sales[[#This Row],[Disc. Amt.]])*Sales[[#This Row],[GST %]]</f>
        <v>1104.6599999999999</v>
      </c>
      <c r="N3218" s="161">
        <f>Sales[[#This Row],[Gross Amount]]-Sales[[#This Row],[Disc. Amt.]]+Sales[[#This Row],[GST Amount]]</f>
        <v>7241.66</v>
      </c>
      <c r="O3218" s="34" t="s">
        <v>3561</v>
      </c>
      <c r="P3218" s="34" t="s">
        <v>3562</v>
      </c>
      <c r="Q3218" s="165">
        <f>IF(Sales[[#This Row],[Status]]="Cancelled",0,Sales[[#This Row],[Qty]])</f>
        <v>2</v>
      </c>
      <c r="R3218" s="166">
        <f>IF(Sales[[#This Row],[Status]]="Cancelled",0,Sales[[#This Row],[Total Amount]])</f>
        <v>7241.66</v>
      </c>
      <c r="S3218" s="162">
        <f>SUM(Sales[Net Amount])</f>
        <v>406839287.73200053</v>
      </c>
    </row>
    <row r="3219" spans="1:19" ht="18.75" x14ac:dyDescent="0.25">
      <c r="A3219" s="156" t="s">
        <v>6871</v>
      </c>
      <c r="B3219" s="157">
        <v>45939</v>
      </c>
      <c r="C3219" s="158" t="s">
        <v>670</v>
      </c>
      <c r="D3219" s="159" t="str">
        <f>VLOOKUP(Sales[[#This Row],[Customer ID]],Customer[#All],2,0)</f>
        <v>Rakesh Patel</v>
      </c>
      <c r="E3219" s="158" t="s">
        <v>447</v>
      </c>
      <c r="F3219" s="158" t="str">
        <f>VLOOKUP(Sales[[#This Row],[Product ID]],Product[#All],2,0)</f>
        <v>PortronicsLaptopStand</v>
      </c>
      <c r="G3219" s="159">
        <v>2</v>
      </c>
      <c r="H3219" s="160">
        <f>VLOOKUP(Sales[[#This Row],[Product ID]],Product[#All],7,0)</f>
        <v>2830</v>
      </c>
      <c r="I3219" s="160">
        <f>Sales[[#This Row],[Selling Rate]]*Sales[[#This Row],[Qty]]</f>
        <v>5660</v>
      </c>
      <c r="J3219" s="43">
        <v>0.05</v>
      </c>
      <c r="K3219" s="44">
        <f>Sales[[#This Row],[Gross Amount]]*Sales[[#This Row],[Disc %]]</f>
        <v>283</v>
      </c>
      <c r="L3219" s="43">
        <v>0.18</v>
      </c>
      <c r="M3219" s="44">
        <f>(Sales[[#This Row],[Gross Amount]]-Sales[[#This Row],[Disc. Amt.]])*Sales[[#This Row],[GST %]]</f>
        <v>967.86</v>
      </c>
      <c r="N3219" s="161">
        <f>Sales[[#This Row],[Gross Amount]]-Sales[[#This Row],[Disc. Amt.]]+Sales[[#This Row],[GST Amount]]</f>
        <v>6344.86</v>
      </c>
      <c r="O3219" s="158" t="s">
        <v>3566</v>
      </c>
      <c r="P3219" s="158" t="s">
        <v>3562</v>
      </c>
      <c r="Q3219" s="160">
        <f>IF(Sales[[#This Row],[Status]]="Cancelled",0,Sales[[#This Row],[Qty]])</f>
        <v>2</v>
      </c>
      <c r="R3219" s="161">
        <f>IF(Sales[[#This Row],[Status]]="Cancelled",0,Sales[[#This Row],[Total Amount]])</f>
        <v>6344.86</v>
      </c>
      <c r="S3219" s="162">
        <f>SUM(Sales[Net Amount])</f>
        <v>406839287.73200053</v>
      </c>
    </row>
    <row r="3220" spans="1:19" ht="18.75" x14ac:dyDescent="0.25">
      <c r="A3220" s="163" t="s">
        <v>6872</v>
      </c>
      <c r="B3220" s="164">
        <v>45939</v>
      </c>
      <c r="C3220" s="34" t="s">
        <v>891</v>
      </c>
      <c r="D3220" s="53" t="str">
        <f>VLOOKUP(Sales[[#This Row],[Customer ID]],Customer[#All],2,0)</f>
        <v>Pooja Verma</v>
      </c>
      <c r="E3220" s="34" t="s">
        <v>354</v>
      </c>
      <c r="F3220" s="34" t="str">
        <f>VLOOKUP(Sales[[#This Row],[Product ID]],Product[#All],2,0)</f>
        <v>Dell Monitor</v>
      </c>
      <c r="G3220" s="53">
        <v>3</v>
      </c>
      <c r="H3220" s="165">
        <f>VLOOKUP(Sales[[#This Row],[Product ID]],Product[#All],7,0)</f>
        <v>12450</v>
      </c>
      <c r="I3220" s="165">
        <f>Sales[[#This Row],[Selling Rate]]*Sales[[#This Row],[Qty]]</f>
        <v>37350</v>
      </c>
      <c r="J3220" s="45">
        <v>0.05</v>
      </c>
      <c r="K3220" s="46">
        <f>Sales[[#This Row],[Gross Amount]]*Sales[[#This Row],[Disc %]]</f>
        <v>1867.5</v>
      </c>
      <c r="L3220" s="43">
        <v>0.18</v>
      </c>
      <c r="M3220" s="46">
        <f>(Sales[[#This Row],[Gross Amount]]-Sales[[#This Row],[Disc. Amt.]])*Sales[[#This Row],[GST %]]</f>
        <v>6386.8499999999995</v>
      </c>
      <c r="N3220" s="161">
        <f>Sales[[#This Row],[Gross Amount]]-Sales[[#This Row],[Disc. Amt.]]+Sales[[#This Row],[GST Amount]]</f>
        <v>41869.35</v>
      </c>
      <c r="O3220" s="34" t="s">
        <v>3569</v>
      </c>
      <c r="P3220" s="34" t="s">
        <v>3562</v>
      </c>
      <c r="Q3220" s="165">
        <f>IF(Sales[[#This Row],[Status]]="Cancelled",0,Sales[[#This Row],[Qty]])</f>
        <v>3</v>
      </c>
      <c r="R3220" s="166">
        <f>IF(Sales[[#This Row],[Status]]="Cancelled",0,Sales[[#This Row],[Total Amount]])</f>
        <v>41869.35</v>
      </c>
      <c r="S3220" s="162">
        <f>SUM(Sales[Net Amount])</f>
        <v>406839287.73200053</v>
      </c>
    </row>
    <row r="3221" spans="1:19" ht="18.75" x14ac:dyDescent="0.25">
      <c r="A3221" s="156" t="s">
        <v>6873</v>
      </c>
      <c r="B3221" s="157">
        <v>45939</v>
      </c>
      <c r="C3221" s="158" t="s">
        <v>897</v>
      </c>
      <c r="D3221" s="159" t="str">
        <f>VLOOKUP(Sales[[#This Row],[Customer ID]],Customer[#All],2,0)</f>
        <v>Amit Patel</v>
      </c>
      <c r="E3221" s="158" t="s">
        <v>445</v>
      </c>
      <c r="F3221" s="158" t="str">
        <f>VLOOKUP(Sales[[#This Row],[Product ID]],Product[#All],2,0)</f>
        <v>Lenovo Laptop</v>
      </c>
      <c r="G3221" s="159">
        <v>8</v>
      </c>
      <c r="H3221" s="160">
        <f>VLOOKUP(Sales[[#This Row],[Product ID]],Product[#All],7,0)</f>
        <v>37710</v>
      </c>
      <c r="I3221" s="160">
        <f>Sales[[#This Row],[Selling Rate]]*Sales[[#This Row],[Qty]]</f>
        <v>301680</v>
      </c>
      <c r="J3221" s="43">
        <v>0</v>
      </c>
      <c r="K3221" s="44">
        <f>Sales[[#This Row],[Gross Amount]]*Sales[[#This Row],[Disc %]]</f>
        <v>0</v>
      </c>
      <c r="L3221" s="43">
        <v>0.18</v>
      </c>
      <c r="M3221" s="44">
        <f>(Sales[[#This Row],[Gross Amount]]-Sales[[#This Row],[Disc. Amt.]])*Sales[[#This Row],[GST %]]</f>
        <v>54302.400000000001</v>
      </c>
      <c r="N3221" s="161">
        <f>Sales[[#This Row],[Gross Amount]]-Sales[[#This Row],[Disc. Amt.]]+Sales[[#This Row],[GST Amount]]</f>
        <v>355982.4</v>
      </c>
      <c r="O3221" s="158" t="s">
        <v>3566</v>
      </c>
      <c r="P3221" s="158" t="s">
        <v>3562</v>
      </c>
      <c r="Q3221" s="160">
        <f>IF(Sales[[#This Row],[Status]]="Cancelled",0,Sales[[#This Row],[Qty]])</f>
        <v>8</v>
      </c>
      <c r="R3221" s="161">
        <f>IF(Sales[[#This Row],[Status]]="Cancelled",0,Sales[[#This Row],[Total Amount]])</f>
        <v>355982.4</v>
      </c>
      <c r="S3221" s="162">
        <f>SUM(Sales[Net Amount])</f>
        <v>406839287.73200053</v>
      </c>
    </row>
    <row r="3222" spans="1:19" ht="18.75" x14ac:dyDescent="0.25">
      <c r="A3222" s="163" t="s">
        <v>6874</v>
      </c>
      <c r="B3222" s="164">
        <v>45939</v>
      </c>
      <c r="C3222" s="34" t="s">
        <v>749</v>
      </c>
      <c r="D3222" s="53" t="str">
        <f>VLOOKUP(Sales[[#This Row],[Customer ID]],Customer[#All],2,0)</f>
        <v>Sahil Patel</v>
      </c>
      <c r="E3222" s="34" t="s">
        <v>340</v>
      </c>
      <c r="F3222" s="34" t="str">
        <f>VLOOKUP(Sales[[#This Row],[Product ID]],Product[#All],2,0)</f>
        <v>Amazon Basics Hdmi Cable</v>
      </c>
      <c r="G3222" s="53">
        <v>1</v>
      </c>
      <c r="H3222" s="165">
        <f>VLOOKUP(Sales[[#This Row],[Product ID]],Product[#All],7,0)</f>
        <v>1150</v>
      </c>
      <c r="I3222" s="165">
        <f>Sales[[#This Row],[Selling Rate]]*Sales[[#This Row],[Qty]]</f>
        <v>1150</v>
      </c>
      <c r="J3222" s="45">
        <v>0</v>
      </c>
      <c r="K3222" s="46">
        <f>Sales[[#This Row],[Gross Amount]]*Sales[[#This Row],[Disc %]]</f>
        <v>0</v>
      </c>
      <c r="L3222" s="43">
        <v>0.18</v>
      </c>
      <c r="M3222" s="46">
        <f>(Sales[[#This Row],[Gross Amount]]-Sales[[#This Row],[Disc. Amt.]])*Sales[[#This Row],[GST %]]</f>
        <v>207</v>
      </c>
      <c r="N3222" s="161">
        <f>Sales[[#This Row],[Gross Amount]]-Sales[[#This Row],[Disc. Amt.]]+Sales[[#This Row],[GST Amount]]</f>
        <v>1357</v>
      </c>
      <c r="O3222" s="34" t="s">
        <v>3561</v>
      </c>
      <c r="P3222" s="34" t="s">
        <v>3562</v>
      </c>
      <c r="Q3222" s="165">
        <f>IF(Sales[[#This Row],[Status]]="Cancelled",0,Sales[[#This Row],[Qty]])</f>
        <v>1</v>
      </c>
      <c r="R3222" s="166">
        <f>IF(Sales[[#This Row],[Status]]="Cancelled",0,Sales[[#This Row],[Total Amount]])</f>
        <v>1357</v>
      </c>
      <c r="S3222" s="162">
        <f>SUM(Sales[Net Amount])</f>
        <v>406839287.73200053</v>
      </c>
    </row>
    <row r="3223" spans="1:19" ht="18.75" x14ac:dyDescent="0.25">
      <c r="A3223" s="156" t="s">
        <v>6875</v>
      </c>
      <c r="B3223" s="157">
        <v>45939</v>
      </c>
      <c r="C3223" s="158" t="s">
        <v>785</v>
      </c>
      <c r="D3223" s="159" t="str">
        <f>VLOOKUP(Sales[[#This Row],[Customer ID]],Customer[#All],2,0)</f>
        <v>Ankit Gupta</v>
      </c>
      <c r="E3223" s="158" t="s">
        <v>189</v>
      </c>
      <c r="F3223" s="158" t="str">
        <f>VLOOKUP(Sales[[#This Row],[Product ID]],Product[#All],2,0)</f>
        <v>Boat Headset</v>
      </c>
      <c r="G3223" s="159">
        <v>4</v>
      </c>
      <c r="H3223" s="160">
        <f>VLOOKUP(Sales[[#This Row],[Product ID]],Product[#All],7,0)</f>
        <v>1610</v>
      </c>
      <c r="I3223" s="160">
        <f>Sales[[#This Row],[Selling Rate]]*Sales[[#This Row],[Qty]]</f>
        <v>6440</v>
      </c>
      <c r="J3223" s="43">
        <v>0</v>
      </c>
      <c r="K3223" s="44">
        <f>Sales[[#This Row],[Gross Amount]]*Sales[[#This Row],[Disc %]]</f>
        <v>0</v>
      </c>
      <c r="L3223" s="43">
        <v>0.18</v>
      </c>
      <c r="M3223" s="44">
        <f>(Sales[[#This Row],[Gross Amount]]-Sales[[#This Row],[Disc. Amt.]])*Sales[[#This Row],[GST %]]</f>
        <v>1159.2</v>
      </c>
      <c r="N3223" s="161">
        <f>Sales[[#This Row],[Gross Amount]]-Sales[[#This Row],[Disc. Amt.]]+Sales[[#This Row],[GST Amount]]</f>
        <v>7599.2</v>
      </c>
      <c r="O3223" s="158" t="s">
        <v>3569</v>
      </c>
      <c r="P3223" s="158" t="s">
        <v>3562</v>
      </c>
      <c r="Q3223" s="160">
        <f>IF(Sales[[#This Row],[Status]]="Cancelled",0,Sales[[#This Row],[Qty]])</f>
        <v>4</v>
      </c>
      <c r="R3223" s="161">
        <f>IF(Sales[[#This Row],[Status]]="Cancelled",0,Sales[[#This Row],[Total Amount]])</f>
        <v>7599.2</v>
      </c>
      <c r="S3223" s="162">
        <f>SUM(Sales[Net Amount])</f>
        <v>406839287.73200053</v>
      </c>
    </row>
    <row r="3224" spans="1:19" ht="18.75" x14ac:dyDescent="0.25">
      <c r="A3224" s="163" t="s">
        <v>6876</v>
      </c>
      <c r="B3224" s="164">
        <v>45939</v>
      </c>
      <c r="C3224" s="34" t="s">
        <v>656</v>
      </c>
      <c r="D3224" s="53" t="str">
        <f>VLOOKUP(Sales[[#This Row],[Customer ID]],Customer[#All],2,0)</f>
        <v>Rahul Kumar</v>
      </c>
      <c r="E3224" s="34" t="s">
        <v>484</v>
      </c>
      <c r="F3224" s="34" t="str">
        <f>VLOOKUP(Sales[[#This Row],[Product ID]],Product[#All],2,0)</f>
        <v>Dell Desktop</v>
      </c>
      <c r="G3224" s="53">
        <v>2</v>
      </c>
      <c r="H3224" s="165">
        <f>VLOOKUP(Sales[[#This Row],[Product ID]],Product[#All],7,0)</f>
        <v>68710</v>
      </c>
      <c r="I3224" s="165">
        <f>Sales[[#This Row],[Selling Rate]]*Sales[[#This Row],[Qty]]</f>
        <v>137420</v>
      </c>
      <c r="J3224" s="45">
        <v>0.02</v>
      </c>
      <c r="K3224" s="46">
        <f>Sales[[#This Row],[Gross Amount]]*Sales[[#This Row],[Disc %]]</f>
        <v>2748.4</v>
      </c>
      <c r="L3224" s="43">
        <v>0.18</v>
      </c>
      <c r="M3224" s="46">
        <f>(Sales[[#This Row],[Gross Amount]]-Sales[[#This Row],[Disc. Amt.]])*Sales[[#This Row],[GST %]]</f>
        <v>24240.887999999999</v>
      </c>
      <c r="N3224" s="161">
        <f>Sales[[#This Row],[Gross Amount]]-Sales[[#This Row],[Disc. Amt.]]+Sales[[#This Row],[GST Amount]]</f>
        <v>158912.48800000001</v>
      </c>
      <c r="O3224" s="34" t="s">
        <v>8876</v>
      </c>
      <c r="P3224" s="34" t="s">
        <v>3562</v>
      </c>
      <c r="Q3224" s="165">
        <f>IF(Sales[[#This Row],[Status]]="Cancelled",0,Sales[[#This Row],[Qty]])</f>
        <v>2</v>
      </c>
      <c r="R3224" s="166">
        <f>IF(Sales[[#This Row],[Status]]="Cancelled",0,Sales[[#This Row],[Total Amount]])</f>
        <v>158912.48800000001</v>
      </c>
      <c r="S3224" s="162">
        <f>SUM(Sales[Net Amount])</f>
        <v>406839287.73200053</v>
      </c>
    </row>
    <row r="3225" spans="1:19" ht="18.75" x14ac:dyDescent="0.25">
      <c r="A3225" s="156" t="s">
        <v>6877</v>
      </c>
      <c r="B3225" s="157">
        <v>45939</v>
      </c>
      <c r="C3225" s="158" t="s">
        <v>675</v>
      </c>
      <c r="D3225" s="159" t="str">
        <f>VLOOKUP(Sales[[#This Row],[Customer ID]],Customer[#All],2,0)</f>
        <v>Rahul Gupta</v>
      </c>
      <c r="E3225" s="158" t="s">
        <v>432</v>
      </c>
      <c r="F3225" s="158" t="str">
        <f>VLOOKUP(Sales[[#This Row],[Product ID]],Product[#All],2,0)</f>
        <v>Boat Speaker</v>
      </c>
      <c r="G3225" s="159">
        <v>3</v>
      </c>
      <c r="H3225" s="160">
        <f>VLOOKUP(Sales[[#This Row],[Product ID]],Product[#All],7,0)</f>
        <v>750</v>
      </c>
      <c r="I3225" s="160">
        <f>Sales[[#This Row],[Selling Rate]]*Sales[[#This Row],[Qty]]</f>
        <v>2250</v>
      </c>
      <c r="J3225" s="43">
        <v>0.15</v>
      </c>
      <c r="K3225" s="44">
        <f>Sales[[#This Row],[Gross Amount]]*Sales[[#This Row],[Disc %]]</f>
        <v>337.5</v>
      </c>
      <c r="L3225" s="43">
        <v>0.18</v>
      </c>
      <c r="M3225" s="44">
        <f>(Sales[[#This Row],[Gross Amount]]-Sales[[#This Row],[Disc. Amt.]])*Sales[[#This Row],[GST %]]</f>
        <v>344.25</v>
      </c>
      <c r="N3225" s="161">
        <f>Sales[[#This Row],[Gross Amount]]-Sales[[#This Row],[Disc. Amt.]]+Sales[[#This Row],[GST Amount]]</f>
        <v>2256.75</v>
      </c>
      <c r="O3225" s="158" t="s">
        <v>3566</v>
      </c>
      <c r="P3225" s="158" t="s">
        <v>3562</v>
      </c>
      <c r="Q3225" s="160">
        <f>IF(Sales[[#This Row],[Status]]="Cancelled",0,Sales[[#This Row],[Qty]])</f>
        <v>3</v>
      </c>
      <c r="R3225" s="161">
        <f>IF(Sales[[#This Row],[Status]]="Cancelled",0,Sales[[#This Row],[Total Amount]])</f>
        <v>2256.75</v>
      </c>
      <c r="S3225" s="162">
        <f>SUM(Sales[Net Amount])</f>
        <v>406839287.73200053</v>
      </c>
    </row>
    <row r="3226" spans="1:19" ht="18.75" x14ac:dyDescent="0.25">
      <c r="A3226" s="163" t="s">
        <v>6878</v>
      </c>
      <c r="B3226" s="164">
        <v>45939</v>
      </c>
      <c r="C3226" s="34" t="s">
        <v>850</v>
      </c>
      <c r="D3226" s="53" t="str">
        <f>VLOOKUP(Sales[[#This Row],[Customer ID]],Customer[#All],2,0)</f>
        <v>Sahil Patel</v>
      </c>
      <c r="E3226" s="34" t="s">
        <v>243</v>
      </c>
      <c r="F3226" s="34" t="str">
        <f>VLOOKUP(Sales[[#This Row],[Product ID]],Product[#All],2,0)</f>
        <v>TP-link Router</v>
      </c>
      <c r="G3226" s="53">
        <v>1</v>
      </c>
      <c r="H3226" s="165">
        <f>VLOOKUP(Sales[[#This Row],[Product ID]],Product[#All],7,0)</f>
        <v>3230</v>
      </c>
      <c r="I3226" s="165">
        <f>Sales[[#This Row],[Selling Rate]]*Sales[[#This Row],[Qty]]</f>
        <v>3230</v>
      </c>
      <c r="J3226" s="45">
        <v>0.05</v>
      </c>
      <c r="K3226" s="46">
        <f>Sales[[#This Row],[Gross Amount]]*Sales[[#This Row],[Disc %]]</f>
        <v>161.5</v>
      </c>
      <c r="L3226" s="43">
        <v>0.18</v>
      </c>
      <c r="M3226" s="46">
        <f>(Sales[[#This Row],[Gross Amount]]-Sales[[#This Row],[Disc. Amt.]])*Sales[[#This Row],[GST %]]</f>
        <v>552.32999999999993</v>
      </c>
      <c r="N3226" s="161">
        <f>Sales[[#This Row],[Gross Amount]]-Sales[[#This Row],[Disc. Amt.]]+Sales[[#This Row],[GST Amount]]</f>
        <v>3620.83</v>
      </c>
      <c r="O3226" s="34" t="s">
        <v>3566</v>
      </c>
      <c r="P3226" s="34" t="s">
        <v>3562</v>
      </c>
      <c r="Q3226" s="165">
        <f>IF(Sales[[#This Row],[Status]]="Cancelled",0,Sales[[#This Row],[Qty]])</f>
        <v>1</v>
      </c>
      <c r="R3226" s="166">
        <f>IF(Sales[[#This Row],[Status]]="Cancelled",0,Sales[[#This Row],[Total Amount]])</f>
        <v>3620.83</v>
      </c>
      <c r="S3226" s="162">
        <f>SUM(Sales[Net Amount])</f>
        <v>406839287.73200053</v>
      </c>
    </row>
    <row r="3227" spans="1:19" ht="18.75" x14ac:dyDescent="0.25">
      <c r="A3227" s="156" t="s">
        <v>6879</v>
      </c>
      <c r="B3227" s="157">
        <v>45939</v>
      </c>
      <c r="C3227" s="158" t="s">
        <v>686</v>
      </c>
      <c r="D3227" s="159" t="str">
        <f>VLOOKUP(Sales[[#This Row],[Customer ID]],Customer[#All],2,0)</f>
        <v>Priya Gupta</v>
      </c>
      <c r="E3227" s="158" t="s">
        <v>361</v>
      </c>
      <c r="F3227" s="158" t="str">
        <f>VLOOKUP(Sales[[#This Row],[Product ID]],Product[#All],2,0)</f>
        <v>Epson Printer</v>
      </c>
      <c r="G3227" s="159">
        <v>7</v>
      </c>
      <c r="H3227" s="160">
        <f>VLOOKUP(Sales[[#This Row],[Product ID]],Product[#All],7,0)</f>
        <v>26570</v>
      </c>
      <c r="I3227" s="160">
        <f>Sales[[#This Row],[Selling Rate]]*Sales[[#This Row],[Qty]]</f>
        <v>185990</v>
      </c>
      <c r="J3227" s="43">
        <v>0.15</v>
      </c>
      <c r="K3227" s="44">
        <f>Sales[[#This Row],[Gross Amount]]*Sales[[#This Row],[Disc %]]</f>
        <v>27898.5</v>
      </c>
      <c r="L3227" s="43">
        <v>0.18</v>
      </c>
      <c r="M3227" s="44">
        <f>(Sales[[#This Row],[Gross Amount]]-Sales[[#This Row],[Disc. Amt.]])*Sales[[#This Row],[GST %]]</f>
        <v>28456.469999999998</v>
      </c>
      <c r="N3227" s="161">
        <f>Sales[[#This Row],[Gross Amount]]-Sales[[#This Row],[Disc. Amt.]]+Sales[[#This Row],[GST Amount]]</f>
        <v>186547.97</v>
      </c>
      <c r="O3227" s="158" t="s">
        <v>3569</v>
      </c>
      <c r="P3227" s="158" t="s">
        <v>3562</v>
      </c>
      <c r="Q3227" s="160">
        <f>IF(Sales[[#This Row],[Status]]="Cancelled",0,Sales[[#This Row],[Qty]])</f>
        <v>7</v>
      </c>
      <c r="R3227" s="161">
        <f>IF(Sales[[#This Row],[Status]]="Cancelled",0,Sales[[#This Row],[Total Amount]])</f>
        <v>186547.97</v>
      </c>
      <c r="S3227" s="162">
        <f>SUM(Sales[Net Amount])</f>
        <v>406839287.73200053</v>
      </c>
    </row>
    <row r="3228" spans="1:19" ht="18.75" x14ac:dyDescent="0.25">
      <c r="A3228" s="163" t="s">
        <v>6880</v>
      </c>
      <c r="B3228" s="164">
        <v>45939</v>
      </c>
      <c r="C3228" s="34" t="s">
        <v>754</v>
      </c>
      <c r="D3228" s="53" t="str">
        <f>VLOOKUP(Sales[[#This Row],[Customer ID]],Customer[#All],2,0)</f>
        <v>Rakesh Gupta</v>
      </c>
      <c r="E3228" s="34" t="s">
        <v>116</v>
      </c>
      <c r="F3228" s="34" t="str">
        <f>VLOOKUP(Sales[[#This Row],[Product ID]],Product[#All],2,0)</f>
        <v>Epson Printer</v>
      </c>
      <c r="G3228" s="53">
        <v>5</v>
      </c>
      <c r="H3228" s="165">
        <f>VLOOKUP(Sales[[#This Row],[Product ID]],Product[#All],7,0)</f>
        <v>38550</v>
      </c>
      <c r="I3228" s="165">
        <f>Sales[[#This Row],[Selling Rate]]*Sales[[#This Row],[Qty]]</f>
        <v>192750</v>
      </c>
      <c r="J3228" s="45">
        <v>0.15</v>
      </c>
      <c r="K3228" s="46">
        <f>Sales[[#This Row],[Gross Amount]]*Sales[[#This Row],[Disc %]]</f>
        <v>28912.5</v>
      </c>
      <c r="L3228" s="43">
        <v>0.18</v>
      </c>
      <c r="M3228" s="46">
        <f>(Sales[[#This Row],[Gross Amount]]-Sales[[#This Row],[Disc. Amt.]])*Sales[[#This Row],[GST %]]</f>
        <v>29490.75</v>
      </c>
      <c r="N3228" s="161">
        <f>Sales[[#This Row],[Gross Amount]]-Sales[[#This Row],[Disc. Amt.]]+Sales[[#This Row],[GST Amount]]</f>
        <v>193328.25</v>
      </c>
      <c r="O3228" s="34" t="s">
        <v>3569</v>
      </c>
      <c r="P3228" s="34" t="s">
        <v>3562</v>
      </c>
      <c r="Q3228" s="165">
        <f>IF(Sales[[#This Row],[Status]]="Cancelled",0,Sales[[#This Row],[Qty]])</f>
        <v>5</v>
      </c>
      <c r="R3228" s="166">
        <f>IF(Sales[[#This Row],[Status]]="Cancelled",0,Sales[[#This Row],[Total Amount]])</f>
        <v>193328.25</v>
      </c>
      <c r="S3228" s="162">
        <f>SUM(Sales[Net Amount])</f>
        <v>406839287.73200053</v>
      </c>
    </row>
    <row r="3229" spans="1:19" ht="18.75" x14ac:dyDescent="0.25">
      <c r="A3229" s="156" t="s">
        <v>6881</v>
      </c>
      <c r="B3229" s="157">
        <v>45939</v>
      </c>
      <c r="C3229" s="158" t="s">
        <v>676</v>
      </c>
      <c r="D3229" s="159" t="str">
        <f>VLOOKUP(Sales[[#This Row],[Customer ID]],Customer[#All],2,0)</f>
        <v>Neha Singh</v>
      </c>
      <c r="E3229" s="158" t="s">
        <v>417</v>
      </c>
      <c r="F3229" s="158" t="str">
        <f>VLOOKUP(Sales[[#This Row],[Product ID]],Product[#All],2,0)</f>
        <v>HP Power Adapter</v>
      </c>
      <c r="G3229" s="159">
        <v>4</v>
      </c>
      <c r="H3229" s="160">
        <f>VLOOKUP(Sales[[#This Row],[Product ID]],Product[#All],7,0)</f>
        <v>4330</v>
      </c>
      <c r="I3229" s="160">
        <f>Sales[[#This Row],[Selling Rate]]*Sales[[#This Row],[Qty]]</f>
        <v>17320</v>
      </c>
      <c r="J3229" s="43">
        <v>0.12</v>
      </c>
      <c r="K3229" s="44">
        <f>Sales[[#This Row],[Gross Amount]]*Sales[[#This Row],[Disc %]]</f>
        <v>2078.4</v>
      </c>
      <c r="L3229" s="43">
        <v>0.18</v>
      </c>
      <c r="M3229" s="44">
        <f>(Sales[[#This Row],[Gross Amount]]-Sales[[#This Row],[Disc. Amt.]])*Sales[[#This Row],[GST %]]</f>
        <v>2743.4879999999998</v>
      </c>
      <c r="N3229" s="161">
        <f>Sales[[#This Row],[Gross Amount]]-Sales[[#This Row],[Disc. Amt.]]+Sales[[#This Row],[GST Amount]]</f>
        <v>17985.088</v>
      </c>
      <c r="O3229" s="158" t="s">
        <v>3569</v>
      </c>
      <c r="P3229" s="158" t="s">
        <v>3562</v>
      </c>
      <c r="Q3229" s="160">
        <f>IF(Sales[[#This Row],[Status]]="Cancelled",0,Sales[[#This Row],[Qty]])</f>
        <v>4</v>
      </c>
      <c r="R3229" s="161">
        <f>IF(Sales[[#This Row],[Status]]="Cancelled",0,Sales[[#This Row],[Total Amount]])</f>
        <v>17985.088</v>
      </c>
      <c r="S3229" s="162">
        <f>SUM(Sales[Net Amount])</f>
        <v>406839287.73200053</v>
      </c>
    </row>
    <row r="3230" spans="1:19" ht="18.75" x14ac:dyDescent="0.25">
      <c r="A3230" s="163" t="s">
        <v>6882</v>
      </c>
      <c r="B3230" s="164">
        <v>45939</v>
      </c>
      <c r="C3230" s="34" t="s">
        <v>717</v>
      </c>
      <c r="D3230" s="53" t="str">
        <f>VLOOKUP(Sales[[#This Row],[Customer ID]],Customer[#All],2,0)</f>
        <v>Sunita Singh</v>
      </c>
      <c r="E3230" s="34" t="s">
        <v>314</v>
      </c>
      <c r="F3230" s="34" t="str">
        <f>VLOOKUP(Sales[[#This Row],[Product ID]],Product[#All],2,0)</f>
        <v>Dell Desktop</v>
      </c>
      <c r="G3230" s="53">
        <v>4</v>
      </c>
      <c r="H3230" s="165">
        <f>VLOOKUP(Sales[[#This Row],[Product ID]],Product[#All],7,0)</f>
        <v>59580</v>
      </c>
      <c r="I3230" s="165">
        <f>Sales[[#This Row],[Selling Rate]]*Sales[[#This Row],[Qty]]</f>
        <v>238320</v>
      </c>
      <c r="J3230" s="45">
        <v>0</v>
      </c>
      <c r="K3230" s="46">
        <f>Sales[[#This Row],[Gross Amount]]*Sales[[#This Row],[Disc %]]</f>
        <v>0</v>
      </c>
      <c r="L3230" s="43">
        <v>0.18</v>
      </c>
      <c r="M3230" s="46">
        <f>(Sales[[#This Row],[Gross Amount]]-Sales[[#This Row],[Disc. Amt.]])*Sales[[#This Row],[GST %]]</f>
        <v>42897.599999999999</v>
      </c>
      <c r="N3230" s="161">
        <f>Sales[[#This Row],[Gross Amount]]-Sales[[#This Row],[Disc. Amt.]]+Sales[[#This Row],[GST Amount]]</f>
        <v>281217.59999999998</v>
      </c>
      <c r="O3230" s="34" t="s">
        <v>3569</v>
      </c>
      <c r="P3230" s="34" t="s">
        <v>3562</v>
      </c>
      <c r="Q3230" s="165">
        <f>IF(Sales[[#This Row],[Status]]="Cancelled",0,Sales[[#This Row],[Qty]])</f>
        <v>4</v>
      </c>
      <c r="R3230" s="166">
        <f>IF(Sales[[#This Row],[Status]]="Cancelled",0,Sales[[#This Row],[Total Amount]])</f>
        <v>281217.59999999998</v>
      </c>
      <c r="S3230" s="162">
        <f>SUM(Sales[Net Amount])</f>
        <v>406839287.73200053</v>
      </c>
    </row>
    <row r="3231" spans="1:19" ht="18.75" x14ac:dyDescent="0.25">
      <c r="A3231" s="156" t="s">
        <v>6883</v>
      </c>
      <c r="B3231" s="157">
        <v>45939</v>
      </c>
      <c r="C3231" s="158" t="s">
        <v>812</v>
      </c>
      <c r="D3231" s="159" t="str">
        <f>VLOOKUP(Sales[[#This Row],[Customer ID]],Customer[#All],2,0)</f>
        <v>Neha Gupta</v>
      </c>
      <c r="E3231" s="158" t="s">
        <v>490</v>
      </c>
      <c r="F3231" s="158" t="str">
        <f>VLOOKUP(Sales[[#This Row],[Product ID]],Product[#All],2,0)</f>
        <v>Acer Laptop</v>
      </c>
      <c r="G3231" s="159">
        <v>3</v>
      </c>
      <c r="H3231" s="160">
        <f>VLOOKUP(Sales[[#This Row],[Product ID]],Product[#All],7,0)</f>
        <v>38490</v>
      </c>
      <c r="I3231" s="160">
        <f>Sales[[#This Row],[Selling Rate]]*Sales[[#This Row],[Qty]]</f>
        <v>115470</v>
      </c>
      <c r="J3231" s="43">
        <v>0.02</v>
      </c>
      <c r="K3231" s="44">
        <f>Sales[[#This Row],[Gross Amount]]*Sales[[#This Row],[Disc %]]</f>
        <v>2309.4</v>
      </c>
      <c r="L3231" s="43">
        <v>0.18</v>
      </c>
      <c r="M3231" s="44">
        <f>(Sales[[#This Row],[Gross Amount]]-Sales[[#This Row],[Disc. Amt.]])*Sales[[#This Row],[GST %]]</f>
        <v>20368.907999999999</v>
      </c>
      <c r="N3231" s="161">
        <f>Sales[[#This Row],[Gross Amount]]-Sales[[#This Row],[Disc. Amt.]]+Sales[[#This Row],[GST Amount]]</f>
        <v>133529.508</v>
      </c>
      <c r="O3231" s="158" t="s">
        <v>3566</v>
      </c>
      <c r="P3231" s="158" t="s">
        <v>3562</v>
      </c>
      <c r="Q3231" s="160">
        <f>IF(Sales[[#This Row],[Status]]="Cancelled",0,Sales[[#This Row],[Qty]])</f>
        <v>3</v>
      </c>
      <c r="R3231" s="161">
        <f>IF(Sales[[#This Row],[Status]]="Cancelled",0,Sales[[#This Row],[Total Amount]])</f>
        <v>133529.508</v>
      </c>
      <c r="S3231" s="162">
        <f>SUM(Sales[Net Amount])</f>
        <v>406839287.73200053</v>
      </c>
    </row>
    <row r="3232" spans="1:19" ht="18.75" x14ac:dyDescent="0.25">
      <c r="A3232" s="163" t="s">
        <v>6884</v>
      </c>
      <c r="B3232" s="164">
        <v>45940</v>
      </c>
      <c r="C3232" s="34" t="s">
        <v>688</v>
      </c>
      <c r="D3232" s="53" t="str">
        <f>VLOOKUP(Sales[[#This Row],[Customer ID]],Customer[#All],2,0)</f>
        <v>Rahul Verma</v>
      </c>
      <c r="E3232" s="34" t="s">
        <v>430</v>
      </c>
      <c r="F3232" s="34" t="str">
        <f>VLOOKUP(Sales[[#This Row],[Product ID]],Product[#All],2,0)</f>
        <v>Jbl Speaker</v>
      </c>
      <c r="G3232" s="53">
        <v>4</v>
      </c>
      <c r="H3232" s="165">
        <f>VLOOKUP(Sales[[#This Row],[Product ID]],Product[#All],7,0)</f>
        <v>6890</v>
      </c>
      <c r="I3232" s="165">
        <f>Sales[[#This Row],[Selling Rate]]*Sales[[#This Row],[Qty]]</f>
        <v>27560</v>
      </c>
      <c r="J3232" s="45">
        <v>0.1</v>
      </c>
      <c r="K3232" s="46">
        <f>Sales[[#This Row],[Gross Amount]]*Sales[[#This Row],[Disc %]]</f>
        <v>2756</v>
      </c>
      <c r="L3232" s="43">
        <v>0.18</v>
      </c>
      <c r="M3232" s="46">
        <f>(Sales[[#This Row],[Gross Amount]]-Sales[[#This Row],[Disc. Amt.]])*Sales[[#This Row],[GST %]]</f>
        <v>4464.72</v>
      </c>
      <c r="N3232" s="161">
        <f>Sales[[#This Row],[Gross Amount]]-Sales[[#This Row],[Disc. Amt.]]+Sales[[#This Row],[GST Amount]]</f>
        <v>29268.720000000001</v>
      </c>
      <c r="O3232" s="34" t="s">
        <v>3566</v>
      </c>
      <c r="P3232" s="34" t="s">
        <v>3562</v>
      </c>
      <c r="Q3232" s="165">
        <f>IF(Sales[[#This Row],[Status]]="Cancelled",0,Sales[[#This Row],[Qty]])</f>
        <v>4</v>
      </c>
      <c r="R3232" s="166">
        <f>IF(Sales[[#This Row],[Status]]="Cancelled",0,Sales[[#This Row],[Total Amount]])</f>
        <v>29268.720000000001</v>
      </c>
      <c r="S3232" s="162">
        <f>SUM(Sales[Net Amount])</f>
        <v>406839287.73200053</v>
      </c>
    </row>
    <row r="3233" spans="1:19" ht="18.75" x14ac:dyDescent="0.25">
      <c r="A3233" s="156" t="s">
        <v>6885</v>
      </c>
      <c r="B3233" s="157">
        <v>45940</v>
      </c>
      <c r="C3233" s="158" t="s">
        <v>4232</v>
      </c>
      <c r="D3233" s="159" t="str">
        <f>VLOOKUP(Sales[[#This Row],[Customer ID]],Customer[#All],2,0)</f>
        <v>Sunita Verma</v>
      </c>
      <c r="E3233" s="158" t="s">
        <v>58</v>
      </c>
      <c r="F3233" s="158" t="str">
        <f>VLOOKUP(Sales[[#This Row],[Product ID]],Product[#All],2,0)</f>
        <v>Lenovo Laptop</v>
      </c>
      <c r="G3233" s="159">
        <v>2</v>
      </c>
      <c r="H3233" s="160">
        <f>VLOOKUP(Sales[[#This Row],[Product ID]],Product[#All],7,0)</f>
        <v>50200</v>
      </c>
      <c r="I3233" s="160">
        <f>Sales[[#This Row],[Selling Rate]]*Sales[[#This Row],[Qty]]</f>
        <v>100400</v>
      </c>
      <c r="J3233" s="43">
        <v>0.12</v>
      </c>
      <c r="K3233" s="44">
        <f>Sales[[#This Row],[Gross Amount]]*Sales[[#This Row],[Disc %]]</f>
        <v>12048</v>
      </c>
      <c r="L3233" s="43">
        <v>0.18</v>
      </c>
      <c r="M3233" s="44">
        <f>(Sales[[#This Row],[Gross Amount]]-Sales[[#This Row],[Disc. Amt.]])*Sales[[#This Row],[GST %]]</f>
        <v>15903.359999999999</v>
      </c>
      <c r="N3233" s="161">
        <f>Sales[[#This Row],[Gross Amount]]-Sales[[#This Row],[Disc. Amt.]]+Sales[[#This Row],[GST Amount]]</f>
        <v>104255.36</v>
      </c>
      <c r="O3233" s="158" t="s">
        <v>3561</v>
      </c>
      <c r="P3233" s="158" t="s">
        <v>3562</v>
      </c>
      <c r="Q3233" s="160">
        <f>IF(Sales[[#This Row],[Status]]="Cancelled",0,Sales[[#This Row],[Qty]])</f>
        <v>2</v>
      </c>
      <c r="R3233" s="161">
        <f>IF(Sales[[#This Row],[Status]]="Cancelled",0,Sales[[#This Row],[Total Amount]])</f>
        <v>104255.36</v>
      </c>
      <c r="S3233" s="162">
        <f>SUM(Sales[Net Amount])</f>
        <v>406839287.73200053</v>
      </c>
    </row>
    <row r="3234" spans="1:19" ht="18.75" x14ac:dyDescent="0.25">
      <c r="A3234" s="163" t="s">
        <v>6886</v>
      </c>
      <c r="B3234" s="164">
        <v>45940</v>
      </c>
      <c r="C3234" s="34" t="s">
        <v>916</v>
      </c>
      <c r="D3234" s="53" t="str">
        <f>VLOOKUP(Sales[[#This Row],[Customer ID]],Customer[#All],2,0)</f>
        <v>Ankit Singh</v>
      </c>
      <c r="E3234" s="34" t="s">
        <v>390</v>
      </c>
      <c r="F3234" s="34" t="str">
        <f>VLOOKUP(Sales[[#This Row],[Product ID]],Product[#All],2,0)</f>
        <v>TP-link Router</v>
      </c>
      <c r="G3234" s="53">
        <v>2</v>
      </c>
      <c r="H3234" s="165">
        <f>VLOOKUP(Sales[[#This Row],[Product ID]],Product[#All],7,0)</f>
        <v>4620</v>
      </c>
      <c r="I3234" s="165">
        <f>Sales[[#This Row],[Selling Rate]]*Sales[[#This Row],[Qty]]</f>
        <v>9240</v>
      </c>
      <c r="J3234" s="45">
        <v>0</v>
      </c>
      <c r="K3234" s="46">
        <f>Sales[[#This Row],[Gross Amount]]*Sales[[#This Row],[Disc %]]</f>
        <v>0</v>
      </c>
      <c r="L3234" s="43">
        <v>0.18</v>
      </c>
      <c r="M3234" s="46">
        <f>(Sales[[#This Row],[Gross Amount]]-Sales[[#This Row],[Disc. Amt.]])*Sales[[#This Row],[GST %]]</f>
        <v>1663.2</v>
      </c>
      <c r="N3234" s="161">
        <f>Sales[[#This Row],[Gross Amount]]-Sales[[#This Row],[Disc. Amt.]]+Sales[[#This Row],[GST Amount]]</f>
        <v>10903.2</v>
      </c>
      <c r="O3234" s="34" t="s">
        <v>3569</v>
      </c>
      <c r="P3234" s="34" t="s">
        <v>3562</v>
      </c>
      <c r="Q3234" s="165">
        <f>IF(Sales[[#This Row],[Status]]="Cancelled",0,Sales[[#This Row],[Qty]])</f>
        <v>2</v>
      </c>
      <c r="R3234" s="166">
        <f>IF(Sales[[#This Row],[Status]]="Cancelled",0,Sales[[#This Row],[Total Amount]])</f>
        <v>10903.2</v>
      </c>
      <c r="S3234" s="162">
        <f>SUM(Sales[Net Amount])</f>
        <v>406839287.73200053</v>
      </c>
    </row>
    <row r="3235" spans="1:19" ht="18.75" x14ac:dyDescent="0.25">
      <c r="A3235" s="156" t="s">
        <v>6887</v>
      </c>
      <c r="B3235" s="157">
        <v>45940</v>
      </c>
      <c r="C3235" s="158" t="s">
        <v>859</v>
      </c>
      <c r="D3235" s="159" t="str">
        <f>VLOOKUP(Sales[[#This Row],[Customer ID]],Customer[#All],2,0)</f>
        <v>Rakesh Kumar</v>
      </c>
      <c r="E3235" s="158" t="s">
        <v>374</v>
      </c>
      <c r="F3235" s="158" t="str">
        <f>VLOOKUP(Sales[[#This Row],[Product ID]],Product[#All],2,0)</f>
        <v>Boat Headset</v>
      </c>
      <c r="G3235" s="159">
        <v>8</v>
      </c>
      <c r="H3235" s="160">
        <f>VLOOKUP(Sales[[#This Row],[Product ID]],Product[#All],7,0)</f>
        <v>3010</v>
      </c>
      <c r="I3235" s="160">
        <f>Sales[[#This Row],[Selling Rate]]*Sales[[#This Row],[Qty]]</f>
        <v>24080</v>
      </c>
      <c r="J3235" s="43">
        <v>0.05</v>
      </c>
      <c r="K3235" s="44">
        <f>Sales[[#This Row],[Gross Amount]]*Sales[[#This Row],[Disc %]]</f>
        <v>1204</v>
      </c>
      <c r="L3235" s="43">
        <v>0.18</v>
      </c>
      <c r="M3235" s="44">
        <f>(Sales[[#This Row],[Gross Amount]]-Sales[[#This Row],[Disc. Amt.]])*Sales[[#This Row],[GST %]]</f>
        <v>4117.68</v>
      </c>
      <c r="N3235" s="161">
        <f>Sales[[#This Row],[Gross Amount]]-Sales[[#This Row],[Disc. Amt.]]+Sales[[#This Row],[GST Amount]]</f>
        <v>26993.68</v>
      </c>
      <c r="O3235" s="158" t="s">
        <v>3566</v>
      </c>
      <c r="P3235" s="158" t="s">
        <v>3562</v>
      </c>
      <c r="Q3235" s="160">
        <f>IF(Sales[[#This Row],[Status]]="Cancelled",0,Sales[[#This Row],[Qty]])</f>
        <v>8</v>
      </c>
      <c r="R3235" s="161">
        <f>IF(Sales[[#This Row],[Status]]="Cancelled",0,Sales[[#This Row],[Total Amount]])</f>
        <v>26993.68</v>
      </c>
      <c r="S3235" s="162">
        <f>SUM(Sales[Net Amount])</f>
        <v>406839287.73200053</v>
      </c>
    </row>
    <row r="3236" spans="1:19" ht="18.75" x14ac:dyDescent="0.25">
      <c r="A3236" s="163" t="s">
        <v>6888</v>
      </c>
      <c r="B3236" s="164">
        <v>45940</v>
      </c>
      <c r="C3236" s="34" t="s">
        <v>788</v>
      </c>
      <c r="D3236" s="53" t="str">
        <f>VLOOKUP(Sales[[#This Row],[Customer ID]],Customer[#All],2,0)</f>
        <v>Vikas Kumar</v>
      </c>
      <c r="E3236" s="34" t="s">
        <v>481</v>
      </c>
      <c r="F3236" s="34" t="str">
        <f>VLOOKUP(Sales[[#This Row],[Product ID]],Product[#All],2,0)</f>
        <v>Dell Laptop</v>
      </c>
      <c r="G3236" s="53">
        <v>7</v>
      </c>
      <c r="H3236" s="165">
        <f>VLOOKUP(Sales[[#This Row],[Product ID]],Product[#All],7,0)</f>
        <v>36050</v>
      </c>
      <c r="I3236" s="165">
        <f>Sales[[#This Row],[Selling Rate]]*Sales[[#This Row],[Qty]]</f>
        <v>252350</v>
      </c>
      <c r="J3236" s="45">
        <v>0.05</v>
      </c>
      <c r="K3236" s="46">
        <f>Sales[[#This Row],[Gross Amount]]*Sales[[#This Row],[Disc %]]</f>
        <v>12617.5</v>
      </c>
      <c r="L3236" s="43">
        <v>0.18</v>
      </c>
      <c r="M3236" s="46">
        <f>(Sales[[#This Row],[Gross Amount]]-Sales[[#This Row],[Disc. Amt.]])*Sales[[#This Row],[GST %]]</f>
        <v>43151.85</v>
      </c>
      <c r="N3236" s="161">
        <f>Sales[[#This Row],[Gross Amount]]-Sales[[#This Row],[Disc. Amt.]]+Sales[[#This Row],[GST Amount]]</f>
        <v>282884.34999999998</v>
      </c>
      <c r="O3236" s="34" t="s">
        <v>3566</v>
      </c>
      <c r="P3236" s="34" t="s">
        <v>3562</v>
      </c>
      <c r="Q3236" s="165">
        <f>IF(Sales[[#This Row],[Status]]="Cancelled",0,Sales[[#This Row],[Qty]])</f>
        <v>7</v>
      </c>
      <c r="R3236" s="166">
        <f>IF(Sales[[#This Row],[Status]]="Cancelled",0,Sales[[#This Row],[Total Amount]])</f>
        <v>282884.34999999998</v>
      </c>
      <c r="S3236" s="162">
        <f>SUM(Sales[Net Amount])</f>
        <v>406839287.73200053</v>
      </c>
    </row>
    <row r="3237" spans="1:19" ht="18.75" x14ac:dyDescent="0.25">
      <c r="A3237" s="156" t="s">
        <v>6889</v>
      </c>
      <c r="B3237" s="157">
        <v>45940</v>
      </c>
      <c r="C3237" s="158" t="s">
        <v>6890</v>
      </c>
      <c r="D3237" s="159" t="str">
        <f>VLOOKUP(Sales[[#This Row],[Customer ID]],Customer[#All],2,0)</f>
        <v>Rahul Kumar</v>
      </c>
      <c r="E3237" s="158" t="s">
        <v>111</v>
      </c>
      <c r="F3237" s="158" t="str">
        <f>VLOOKUP(Sales[[#This Row],[Product ID]],Product[#All],2,0)</f>
        <v>Microtek UPS</v>
      </c>
      <c r="G3237" s="159">
        <v>8</v>
      </c>
      <c r="H3237" s="160">
        <f>VLOOKUP(Sales[[#This Row],[Product ID]],Product[#All],7,0)</f>
        <v>16680</v>
      </c>
      <c r="I3237" s="160">
        <f>Sales[[#This Row],[Selling Rate]]*Sales[[#This Row],[Qty]]</f>
        <v>133440</v>
      </c>
      <c r="J3237" s="43">
        <v>0</v>
      </c>
      <c r="K3237" s="44">
        <f>Sales[[#This Row],[Gross Amount]]*Sales[[#This Row],[Disc %]]</f>
        <v>0</v>
      </c>
      <c r="L3237" s="43">
        <v>0.18</v>
      </c>
      <c r="M3237" s="44">
        <f>(Sales[[#This Row],[Gross Amount]]-Sales[[#This Row],[Disc. Amt.]])*Sales[[#This Row],[GST %]]</f>
        <v>24019.200000000001</v>
      </c>
      <c r="N3237" s="161">
        <f>Sales[[#This Row],[Gross Amount]]-Sales[[#This Row],[Disc. Amt.]]+Sales[[#This Row],[GST Amount]]</f>
        <v>157459.20000000001</v>
      </c>
      <c r="O3237" s="158" t="s">
        <v>3569</v>
      </c>
      <c r="P3237" s="158" t="s">
        <v>3562</v>
      </c>
      <c r="Q3237" s="160">
        <f>IF(Sales[[#This Row],[Status]]="Cancelled",0,Sales[[#This Row],[Qty]])</f>
        <v>8</v>
      </c>
      <c r="R3237" s="161">
        <f>IF(Sales[[#This Row],[Status]]="Cancelled",0,Sales[[#This Row],[Total Amount]])</f>
        <v>157459.20000000001</v>
      </c>
      <c r="S3237" s="162">
        <f>SUM(Sales[Net Amount])</f>
        <v>406839287.73200053</v>
      </c>
    </row>
    <row r="3238" spans="1:19" ht="18.75" x14ac:dyDescent="0.25">
      <c r="A3238" s="163" t="s">
        <v>6891</v>
      </c>
      <c r="B3238" s="164">
        <v>45940</v>
      </c>
      <c r="C3238" s="34" t="s">
        <v>715</v>
      </c>
      <c r="D3238" s="53" t="str">
        <f>VLOOKUP(Sales[[#This Row],[Customer ID]],Customer[#All],2,0)</f>
        <v>Sunita Patel</v>
      </c>
      <c r="E3238" s="34" t="s">
        <v>529</v>
      </c>
      <c r="F3238" s="34" t="str">
        <f>VLOOKUP(Sales[[#This Row],[Product ID]],Product[#All],2,0)</f>
        <v>Logitech Webcam</v>
      </c>
      <c r="G3238" s="53">
        <v>1</v>
      </c>
      <c r="H3238" s="165">
        <f>VLOOKUP(Sales[[#This Row],[Product ID]],Product[#All],7,0)</f>
        <v>3390</v>
      </c>
      <c r="I3238" s="165">
        <f>Sales[[#This Row],[Selling Rate]]*Sales[[#This Row],[Qty]]</f>
        <v>3390</v>
      </c>
      <c r="J3238" s="45">
        <v>0.1</v>
      </c>
      <c r="K3238" s="46">
        <f>Sales[[#This Row],[Gross Amount]]*Sales[[#This Row],[Disc %]]</f>
        <v>339</v>
      </c>
      <c r="L3238" s="43">
        <v>0.18</v>
      </c>
      <c r="M3238" s="46">
        <f>(Sales[[#This Row],[Gross Amount]]-Sales[[#This Row],[Disc. Amt.]])*Sales[[#This Row],[GST %]]</f>
        <v>549.17999999999995</v>
      </c>
      <c r="N3238" s="161">
        <f>Sales[[#This Row],[Gross Amount]]-Sales[[#This Row],[Disc. Amt.]]+Sales[[#This Row],[GST Amount]]</f>
        <v>3600.18</v>
      </c>
      <c r="O3238" s="34" t="s">
        <v>3561</v>
      </c>
      <c r="P3238" s="34" t="s">
        <v>3562</v>
      </c>
      <c r="Q3238" s="165">
        <f>IF(Sales[[#This Row],[Status]]="Cancelled",0,Sales[[#This Row],[Qty]])</f>
        <v>1</v>
      </c>
      <c r="R3238" s="166">
        <f>IF(Sales[[#This Row],[Status]]="Cancelled",0,Sales[[#This Row],[Total Amount]])</f>
        <v>3600.18</v>
      </c>
      <c r="S3238" s="162">
        <f>SUM(Sales[Net Amount])</f>
        <v>406839287.73200053</v>
      </c>
    </row>
    <row r="3239" spans="1:19" ht="18.75" x14ac:dyDescent="0.25">
      <c r="A3239" s="156" t="s">
        <v>6892</v>
      </c>
      <c r="B3239" s="157">
        <v>45940</v>
      </c>
      <c r="C3239" s="158" t="s">
        <v>801</v>
      </c>
      <c r="D3239" s="159" t="str">
        <f>VLOOKUP(Sales[[#This Row],[Customer ID]],Customer[#All],2,0)</f>
        <v>Sunita Verma</v>
      </c>
      <c r="E3239" s="158" t="s">
        <v>302</v>
      </c>
      <c r="F3239" s="158" t="str">
        <f>VLOOKUP(Sales[[#This Row],[Product ID]],Product[#All],2,0)</f>
        <v>Sandisk Pen Drive</v>
      </c>
      <c r="G3239" s="159">
        <v>7</v>
      </c>
      <c r="H3239" s="160">
        <f>VLOOKUP(Sales[[#This Row],[Product ID]],Product[#All],7,0)</f>
        <v>2500</v>
      </c>
      <c r="I3239" s="160">
        <f>Sales[[#This Row],[Selling Rate]]*Sales[[#This Row],[Qty]]</f>
        <v>17500</v>
      </c>
      <c r="J3239" s="43">
        <v>0.12</v>
      </c>
      <c r="K3239" s="44">
        <f>Sales[[#This Row],[Gross Amount]]*Sales[[#This Row],[Disc %]]</f>
        <v>2100</v>
      </c>
      <c r="L3239" s="43">
        <v>0.18</v>
      </c>
      <c r="M3239" s="44">
        <f>(Sales[[#This Row],[Gross Amount]]-Sales[[#This Row],[Disc. Amt.]])*Sales[[#This Row],[GST %]]</f>
        <v>2772</v>
      </c>
      <c r="N3239" s="161">
        <f>Sales[[#This Row],[Gross Amount]]-Sales[[#This Row],[Disc. Amt.]]+Sales[[#This Row],[GST Amount]]</f>
        <v>18172</v>
      </c>
      <c r="O3239" s="158" t="s">
        <v>3569</v>
      </c>
      <c r="P3239" s="158" t="s">
        <v>3562</v>
      </c>
      <c r="Q3239" s="160">
        <f>IF(Sales[[#This Row],[Status]]="Cancelled",0,Sales[[#This Row],[Qty]])</f>
        <v>7</v>
      </c>
      <c r="R3239" s="161">
        <f>IF(Sales[[#This Row],[Status]]="Cancelled",0,Sales[[#This Row],[Total Amount]])</f>
        <v>18172</v>
      </c>
      <c r="S3239" s="162">
        <f>SUM(Sales[Net Amount])</f>
        <v>406839287.73200053</v>
      </c>
    </row>
    <row r="3240" spans="1:19" ht="18.75" x14ac:dyDescent="0.25">
      <c r="A3240" s="163" t="s">
        <v>6893</v>
      </c>
      <c r="B3240" s="164">
        <v>45940</v>
      </c>
      <c r="C3240" s="34" t="s">
        <v>6894</v>
      </c>
      <c r="D3240" s="53" t="str">
        <f>VLOOKUP(Sales[[#This Row],[Customer ID]],Customer[#All],2,0)</f>
        <v>Vikas Gupta</v>
      </c>
      <c r="E3240" s="34" t="s">
        <v>264</v>
      </c>
      <c r="F3240" s="34" t="str">
        <f>VLOOKUP(Sales[[#This Row],[Product ID]],Product[#All],2,0)</f>
        <v>Acer Laptop</v>
      </c>
      <c r="G3240" s="53">
        <v>1</v>
      </c>
      <c r="H3240" s="165">
        <f>VLOOKUP(Sales[[#This Row],[Product ID]],Product[#All],7,0)</f>
        <v>65110</v>
      </c>
      <c r="I3240" s="165">
        <f>Sales[[#This Row],[Selling Rate]]*Sales[[#This Row],[Qty]]</f>
        <v>65110</v>
      </c>
      <c r="J3240" s="45">
        <v>0</v>
      </c>
      <c r="K3240" s="46">
        <f>Sales[[#This Row],[Gross Amount]]*Sales[[#This Row],[Disc %]]</f>
        <v>0</v>
      </c>
      <c r="L3240" s="43">
        <v>0.18</v>
      </c>
      <c r="M3240" s="46">
        <f>(Sales[[#This Row],[Gross Amount]]-Sales[[#This Row],[Disc. Amt.]])*Sales[[#This Row],[GST %]]</f>
        <v>11719.8</v>
      </c>
      <c r="N3240" s="161">
        <f>Sales[[#This Row],[Gross Amount]]-Sales[[#This Row],[Disc. Amt.]]+Sales[[#This Row],[GST Amount]]</f>
        <v>76829.8</v>
      </c>
      <c r="O3240" s="34" t="s">
        <v>3569</v>
      </c>
      <c r="P3240" s="34" t="s">
        <v>3562</v>
      </c>
      <c r="Q3240" s="165">
        <f>IF(Sales[[#This Row],[Status]]="Cancelled",0,Sales[[#This Row],[Qty]])</f>
        <v>1</v>
      </c>
      <c r="R3240" s="166">
        <f>IF(Sales[[#This Row],[Status]]="Cancelled",0,Sales[[#This Row],[Total Amount]])</f>
        <v>76829.8</v>
      </c>
      <c r="S3240" s="162">
        <f>SUM(Sales[Net Amount])</f>
        <v>406839287.73200053</v>
      </c>
    </row>
    <row r="3241" spans="1:19" ht="18.75" x14ac:dyDescent="0.25">
      <c r="A3241" s="156" t="s">
        <v>6895</v>
      </c>
      <c r="B3241" s="157">
        <v>45940</v>
      </c>
      <c r="C3241" s="158" t="s">
        <v>701</v>
      </c>
      <c r="D3241" s="159" t="str">
        <f>VLOOKUP(Sales[[#This Row],[Customer ID]],Customer[#All],2,0)</f>
        <v>Ankit Kumar</v>
      </c>
      <c r="E3241" s="158" t="s">
        <v>364</v>
      </c>
      <c r="F3241" s="158" t="str">
        <f>VLOOKUP(Sales[[#This Row],[Product ID]],Product[#All],2,0)</f>
        <v>Canon Printer</v>
      </c>
      <c r="G3241" s="159">
        <v>7</v>
      </c>
      <c r="H3241" s="160">
        <f>VLOOKUP(Sales[[#This Row],[Product ID]],Product[#All],7,0)</f>
        <v>41460</v>
      </c>
      <c r="I3241" s="160">
        <f>Sales[[#This Row],[Selling Rate]]*Sales[[#This Row],[Qty]]</f>
        <v>290220</v>
      </c>
      <c r="J3241" s="43">
        <v>0.15</v>
      </c>
      <c r="K3241" s="44">
        <f>Sales[[#This Row],[Gross Amount]]*Sales[[#This Row],[Disc %]]</f>
        <v>43533</v>
      </c>
      <c r="L3241" s="43">
        <v>0.18</v>
      </c>
      <c r="M3241" s="44">
        <f>(Sales[[#This Row],[Gross Amount]]-Sales[[#This Row],[Disc. Amt.]])*Sales[[#This Row],[GST %]]</f>
        <v>44403.659999999996</v>
      </c>
      <c r="N3241" s="161">
        <f>Sales[[#This Row],[Gross Amount]]-Sales[[#This Row],[Disc. Amt.]]+Sales[[#This Row],[GST Amount]]</f>
        <v>291090.65999999997</v>
      </c>
      <c r="O3241" s="158" t="s">
        <v>3561</v>
      </c>
      <c r="P3241" s="158" t="s">
        <v>3562</v>
      </c>
      <c r="Q3241" s="160">
        <f>IF(Sales[[#This Row],[Status]]="Cancelled",0,Sales[[#This Row],[Qty]])</f>
        <v>7</v>
      </c>
      <c r="R3241" s="161">
        <f>IF(Sales[[#This Row],[Status]]="Cancelled",0,Sales[[#This Row],[Total Amount]])</f>
        <v>291090.65999999997</v>
      </c>
      <c r="S3241" s="162">
        <f>SUM(Sales[Net Amount])</f>
        <v>406839287.73200053</v>
      </c>
    </row>
    <row r="3242" spans="1:19" ht="18.75" x14ac:dyDescent="0.25">
      <c r="A3242" s="163" t="s">
        <v>6896</v>
      </c>
      <c r="B3242" s="164">
        <v>45940</v>
      </c>
      <c r="C3242" s="34" t="s">
        <v>887</v>
      </c>
      <c r="D3242" s="53" t="str">
        <f>VLOOKUP(Sales[[#This Row],[Customer ID]],Customer[#All],2,0)</f>
        <v>Sahil Verma</v>
      </c>
      <c r="E3242" s="34" t="s">
        <v>425</v>
      </c>
      <c r="F3242" s="34" t="str">
        <f>VLOOKUP(Sales[[#This Row],[Product ID]],Product[#All],2,0)</f>
        <v>WD HDD</v>
      </c>
      <c r="G3242" s="53">
        <v>6</v>
      </c>
      <c r="H3242" s="165">
        <f>VLOOKUP(Sales[[#This Row],[Product ID]],Product[#All],7,0)</f>
        <v>7660</v>
      </c>
      <c r="I3242" s="165">
        <f>Sales[[#This Row],[Selling Rate]]*Sales[[#This Row],[Qty]]</f>
        <v>45960</v>
      </c>
      <c r="J3242" s="45">
        <v>0.1</v>
      </c>
      <c r="K3242" s="46">
        <f>Sales[[#This Row],[Gross Amount]]*Sales[[#This Row],[Disc %]]</f>
        <v>4596</v>
      </c>
      <c r="L3242" s="43">
        <v>0.18</v>
      </c>
      <c r="M3242" s="46">
        <f>(Sales[[#This Row],[Gross Amount]]-Sales[[#This Row],[Disc. Amt.]])*Sales[[#This Row],[GST %]]</f>
        <v>7445.5199999999995</v>
      </c>
      <c r="N3242" s="161">
        <f>Sales[[#This Row],[Gross Amount]]-Sales[[#This Row],[Disc. Amt.]]+Sales[[#This Row],[GST Amount]]</f>
        <v>48809.52</v>
      </c>
      <c r="O3242" s="34" t="s">
        <v>8876</v>
      </c>
      <c r="P3242" s="34" t="s">
        <v>3562</v>
      </c>
      <c r="Q3242" s="165">
        <f>IF(Sales[[#This Row],[Status]]="Cancelled",0,Sales[[#This Row],[Qty]])</f>
        <v>6</v>
      </c>
      <c r="R3242" s="166">
        <f>IF(Sales[[#This Row],[Status]]="Cancelled",0,Sales[[#This Row],[Total Amount]])</f>
        <v>48809.52</v>
      </c>
      <c r="S3242" s="162">
        <f>SUM(Sales[Net Amount])</f>
        <v>406839287.73200053</v>
      </c>
    </row>
    <row r="3243" spans="1:19" ht="18.75" x14ac:dyDescent="0.25">
      <c r="A3243" s="156" t="s">
        <v>6897</v>
      </c>
      <c r="B3243" s="157">
        <v>45940</v>
      </c>
      <c r="C3243" s="158" t="s">
        <v>843</v>
      </c>
      <c r="D3243" s="159" t="str">
        <f>VLOOKUP(Sales[[#This Row],[Customer ID]],Customer[#All],2,0)</f>
        <v>Amit Verma</v>
      </c>
      <c r="E3243" s="158" t="s">
        <v>164</v>
      </c>
      <c r="F3243" s="158" t="str">
        <f>VLOOKUP(Sales[[#This Row],[Product ID]],Product[#All],2,0)</f>
        <v>Jbl Headset</v>
      </c>
      <c r="G3243" s="159">
        <v>6</v>
      </c>
      <c r="H3243" s="160">
        <f>VLOOKUP(Sales[[#This Row],[Product ID]],Product[#All],7,0)</f>
        <v>3360</v>
      </c>
      <c r="I3243" s="160">
        <f>Sales[[#This Row],[Selling Rate]]*Sales[[#This Row],[Qty]]</f>
        <v>20160</v>
      </c>
      <c r="J3243" s="43">
        <v>0.15</v>
      </c>
      <c r="K3243" s="44">
        <f>Sales[[#This Row],[Gross Amount]]*Sales[[#This Row],[Disc %]]</f>
        <v>3024</v>
      </c>
      <c r="L3243" s="43">
        <v>0.18</v>
      </c>
      <c r="M3243" s="44">
        <f>(Sales[[#This Row],[Gross Amount]]-Sales[[#This Row],[Disc. Amt.]])*Sales[[#This Row],[GST %]]</f>
        <v>3084.48</v>
      </c>
      <c r="N3243" s="161">
        <f>Sales[[#This Row],[Gross Amount]]-Sales[[#This Row],[Disc. Amt.]]+Sales[[#This Row],[GST Amount]]</f>
        <v>20220.48</v>
      </c>
      <c r="O3243" s="158" t="s">
        <v>3561</v>
      </c>
      <c r="P3243" s="158" t="s">
        <v>3562</v>
      </c>
      <c r="Q3243" s="160">
        <f>IF(Sales[[#This Row],[Status]]="Cancelled",0,Sales[[#This Row],[Qty]])</f>
        <v>6</v>
      </c>
      <c r="R3243" s="161">
        <f>IF(Sales[[#This Row],[Status]]="Cancelled",0,Sales[[#This Row],[Total Amount]])</f>
        <v>20220.48</v>
      </c>
      <c r="S3243" s="162">
        <f>SUM(Sales[Net Amount])</f>
        <v>406839287.73200053</v>
      </c>
    </row>
    <row r="3244" spans="1:19" ht="18.75" x14ac:dyDescent="0.25">
      <c r="A3244" s="163" t="s">
        <v>6898</v>
      </c>
      <c r="B3244" s="164">
        <v>45940</v>
      </c>
      <c r="C3244" s="34" t="s">
        <v>883</v>
      </c>
      <c r="D3244" s="53" t="str">
        <f>VLOOKUP(Sales[[#This Row],[Customer ID]],Customer[#All],2,0)</f>
        <v>Rahul Verma</v>
      </c>
      <c r="E3244" s="34" t="s">
        <v>272</v>
      </c>
      <c r="F3244" s="34" t="str">
        <f>VLOOKUP(Sales[[#This Row],[Product ID]],Product[#All],2,0)</f>
        <v>Jbl Speaker</v>
      </c>
      <c r="G3244" s="53">
        <v>8</v>
      </c>
      <c r="H3244" s="165">
        <f>VLOOKUP(Sales[[#This Row],[Product ID]],Product[#All],7,0)</f>
        <v>10960</v>
      </c>
      <c r="I3244" s="165">
        <f>Sales[[#This Row],[Selling Rate]]*Sales[[#This Row],[Qty]]</f>
        <v>87680</v>
      </c>
      <c r="J3244" s="45">
        <v>0.12</v>
      </c>
      <c r="K3244" s="46">
        <f>Sales[[#This Row],[Gross Amount]]*Sales[[#This Row],[Disc %]]</f>
        <v>10521.6</v>
      </c>
      <c r="L3244" s="43">
        <v>0.18</v>
      </c>
      <c r="M3244" s="46">
        <f>(Sales[[#This Row],[Gross Amount]]-Sales[[#This Row],[Disc. Amt.]])*Sales[[#This Row],[GST %]]</f>
        <v>13888.511999999999</v>
      </c>
      <c r="N3244" s="161">
        <f>Sales[[#This Row],[Gross Amount]]-Sales[[#This Row],[Disc. Amt.]]+Sales[[#This Row],[GST Amount]]</f>
        <v>91046.911999999997</v>
      </c>
      <c r="O3244" s="34" t="s">
        <v>3561</v>
      </c>
      <c r="P3244" s="34" t="s">
        <v>3562</v>
      </c>
      <c r="Q3244" s="165">
        <f>IF(Sales[[#This Row],[Status]]="Cancelled",0,Sales[[#This Row],[Qty]])</f>
        <v>8</v>
      </c>
      <c r="R3244" s="166">
        <f>IF(Sales[[#This Row],[Status]]="Cancelled",0,Sales[[#This Row],[Total Amount]])</f>
        <v>91046.911999999997</v>
      </c>
      <c r="S3244" s="162">
        <f>SUM(Sales[Net Amount])</f>
        <v>406839287.73200053</v>
      </c>
    </row>
    <row r="3245" spans="1:19" ht="18.75" x14ac:dyDescent="0.25">
      <c r="A3245" s="156" t="s">
        <v>6899</v>
      </c>
      <c r="B3245" s="157">
        <v>45940</v>
      </c>
      <c r="C3245" s="158" t="s">
        <v>933</v>
      </c>
      <c r="D3245" s="159" t="str">
        <f>VLOOKUP(Sales[[#This Row],[Customer ID]],Customer[#All],2,0)</f>
        <v>Vikas Verma</v>
      </c>
      <c r="E3245" s="158" t="s">
        <v>231</v>
      </c>
      <c r="F3245" s="158" t="str">
        <f>VLOOKUP(Sales[[#This Row],[Product ID]],Product[#All],2,0)</f>
        <v>TP-link Wi-Fi Adapter</v>
      </c>
      <c r="G3245" s="159">
        <v>3</v>
      </c>
      <c r="H3245" s="160">
        <f>VLOOKUP(Sales[[#This Row],[Product ID]],Product[#All],7,0)</f>
        <v>2200</v>
      </c>
      <c r="I3245" s="160">
        <f>Sales[[#This Row],[Selling Rate]]*Sales[[#This Row],[Qty]]</f>
        <v>6600</v>
      </c>
      <c r="J3245" s="43">
        <v>0.1</v>
      </c>
      <c r="K3245" s="44">
        <f>Sales[[#This Row],[Gross Amount]]*Sales[[#This Row],[Disc %]]</f>
        <v>660</v>
      </c>
      <c r="L3245" s="43">
        <v>0.18</v>
      </c>
      <c r="M3245" s="44">
        <f>(Sales[[#This Row],[Gross Amount]]-Sales[[#This Row],[Disc. Amt.]])*Sales[[#This Row],[GST %]]</f>
        <v>1069.2</v>
      </c>
      <c r="N3245" s="161">
        <f>Sales[[#This Row],[Gross Amount]]-Sales[[#This Row],[Disc. Amt.]]+Sales[[#This Row],[GST Amount]]</f>
        <v>7009.2</v>
      </c>
      <c r="O3245" s="158" t="s">
        <v>8876</v>
      </c>
      <c r="P3245" s="158" t="s">
        <v>3562</v>
      </c>
      <c r="Q3245" s="160">
        <f>IF(Sales[[#This Row],[Status]]="Cancelled",0,Sales[[#This Row],[Qty]])</f>
        <v>3</v>
      </c>
      <c r="R3245" s="161">
        <f>IF(Sales[[#This Row],[Status]]="Cancelled",0,Sales[[#This Row],[Total Amount]])</f>
        <v>7009.2</v>
      </c>
      <c r="S3245" s="162">
        <f>SUM(Sales[Net Amount])</f>
        <v>406839287.73200053</v>
      </c>
    </row>
    <row r="3246" spans="1:19" ht="18.75" x14ac:dyDescent="0.25">
      <c r="A3246" s="163" t="s">
        <v>6900</v>
      </c>
      <c r="B3246" s="164">
        <v>45940</v>
      </c>
      <c r="C3246" s="34" t="s">
        <v>716</v>
      </c>
      <c r="D3246" s="53" t="str">
        <f>VLOOKUP(Sales[[#This Row],[Customer ID]],Customer[#All],2,0)</f>
        <v>Ankit Kumar</v>
      </c>
      <c r="E3246" s="34" t="s">
        <v>82</v>
      </c>
      <c r="F3246" s="34" t="str">
        <f>VLOOKUP(Sales[[#This Row],[Product ID]],Product[#All],2,0)</f>
        <v>American TouristerLaptopBag</v>
      </c>
      <c r="G3246" s="53">
        <v>8</v>
      </c>
      <c r="H3246" s="165">
        <f>VLOOKUP(Sales[[#This Row],[Product ID]],Product[#All],7,0)</f>
        <v>5480</v>
      </c>
      <c r="I3246" s="165">
        <f>Sales[[#This Row],[Selling Rate]]*Sales[[#This Row],[Qty]]</f>
        <v>43840</v>
      </c>
      <c r="J3246" s="45">
        <v>0.1</v>
      </c>
      <c r="K3246" s="46">
        <f>Sales[[#This Row],[Gross Amount]]*Sales[[#This Row],[Disc %]]</f>
        <v>4384</v>
      </c>
      <c r="L3246" s="43">
        <v>0.18</v>
      </c>
      <c r="M3246" s="46">
        <f>(Sales[[#This Row],[Gross Amount]]-Sales[[#This Row],[Disc. Amt.]])*Sales[[#This Row],[GST %]]</f>
        <v>7102.08</v>
      </c>
      <c r="N3246" s="161">
        <f>Sales[[#This Row],[Gross Amount]]-Sales[[#This Row],[Disc. Amt.]]+Sales[[#This Row],[GST Amount]]</f>
        <v>46558.080000000002</v>
      </c>
      <c r="O3246" s="34" t="s">
        <v>3569</v>
      </c>
      <c r="P3246" s="34" t="s">
        <v>3562</v>
      </c>
      <c r="Q3246" s="165">
        <f>IF(Sales[[#This Row],[Status]]="Cancelled",0,Sales[[#This Row],[Qty]])</f>
        <v>8</v>
      </c>
      <c r="R3246" s="166">
        <f>IF(Sales[[#This Row],[Status]]="Cancelled",0,Sales[[#This Row],[Total Amount]])</f>
        <v>46558.080000000002</v>
      </c>
      <c r="S3246" s="162">
        <f>SUM(Sales[Net Amount])</f>
        <v>406839287.73200053</v>
      </c>
    </row>
    <row r="3247" spans="1:19" ht="18.75" x14ac:dyDescent="0.25">
      <c r="A3247" s="156" t="s">
        <v>6901</v>
      </c>
      <c r="B3247" s="157">
        <v>45940</v>
      </c>
      <c r="C3247" s="158" t="s">
        <v>693</v>
      </c>
      <c r="D3247" s="159" t="str">
        <f>VLOOKUP(Sales[[#This Row],[Customer ID]],Customer[#All],2,0)</f>
        <v>Rahul Gupta</v>
      </c>
      <c r="E3247" s="158" t="s">
        <v>382</v>
      </c>
      <c r="F3247" s="158" t="str">
        <f>VLOOKUP(Sales[[#This Row],[Product ID]],Product[#All],2,0)</f>
        <v>Canon Printer</v>
      </c>
      <c r="G3247" s="159">
        <v>4</v>
      </c>
      <c r="H3247" s="160">
        <f>VLOOKUP(Sales[[#This Row],[Product ID]],Product[#All],7,0)</f>
        <v>32930</v>
      </c>
      <c r="I3247" s="160">
        <f>Sales[[#This Row],[Selling Rate]]*Sales[[#This Row],[Qty]]</f>
        <v>131720</v>
      </c>
      <c r="J3247" s="43">
        <v>0.1</v>
      </c>
      <c r="K3247" s="44">
        <f>Sales[[#This Row],[Gross Amount]]*Sales[[#This Row],[Disc %]]</f>
        <v>13172</v>
      </c>
      <c r="L3247" s="43">
        <v>0.18</v>
      </c>
      <c r="M3247" s="44">
        <f>(Sales[[#This Row],[Gross Amount]]-Sales[[#This Row],[Disc. Amt.]])*Sales[[#This Row],[GST %]]</f>
        <v>21338.639999999999</v>
      </c>
      <c r="N3247" s="161">
        <f>Sales[[#This Row],[Gross Amount]]-Sales[[#This Row],[Disc. Amt.]]+Sales[[#This Row],[GST Amount]]</f>
        <v>139886.64000000001</v>
      </c>
      <c r="O3247" s="158" t="s">
        <v>3566</v>
      </c>
      <c r="P3247" s="158" t="s">
        <v>3562</v>
      </c>
      <c r="Q3247" s="160">
        <f>IF(Sales[[#This Row],[Status]]="Cancelled",0,Sales[[#This Row],[Qty]])</f>
        <v>4</v>
      </c>
      <c r="R3247" s="161">
        <f>IF(Sales[[#This Row],[Status]]="Cancelled",0,Sales[[#This Row],[Total Amount]])</f>
        <v>139886.64000000001</v>
      </c>
      <c r="S3247" s="162">
        <f>SUM(Sales[Net Amount])</f>
        <v>406839287.73200053</v>
      </c>
    </row>
    <row r="3248" spans="1:19" ht="18.75" x14ac:dyDescent="0.25">
      <c r="A3248" s="163" t="s">
        <v>6902</v>
      </c>
      <c r="B3248" s="164">
        <v>45940</v>
      </c>
      <c r="C3248" s="34" t="s">
        <v>950</v>
      </c>
      <c r="D3248" s="53" t="str">
        <f>VLOOKUP(Sales[[#This Row],[Customer ID]],Customer[#All],2,0)</f>
        <v>Sunita Sharma</v>
      </c>
      <c r="E3248" s="34" t="s">
        <v>7</v>
      </c>
      <c r="F3248" s="34" t="str">
        <f>VLOOKUP(Sales[[#This Row],[Product ID]],Product[#All],2,0)</f>
        <v>Dell Desktop</v>
      </c>
      <c r="G3248" s="53">
        <v>3</v>
      </c>
      <c r="H3248" s="165">
        <f>VLOOKUP(Sales[[#This Row],[Product ID]],Product[#All],7,0)</f>
        <v>33010</v>
      </c>
      <c r="I3248" s="165">
        <f>Sales[[#This Row],[Selling Rate]]*Sales[[#This Row],[Qty]]</f>
        <v>99030</v>
      </c>
      <c r="J3248" s="45">
        <v>0</v>
      </c>
      <c r="K3248" s="46">
        <f>Sales[[#This Row],[Gross Amount]]*Sales[[#This Row],[Disc %]]</f>
        <v>0</v>
      </c>
      <c r="L3248" s="43">
        <v>0.18</v>
      </c>
      <c r="M3248" s="46">
        <f>(Sales[[#This Row],[Gross Amount]]-Sales[[#This Row],[Disc. Amt.]])*Sales[[#This Row],[GST %]]</f>
        <v>17825.399999999998</v>
      </c>
      <c r="N3248" s="161">
        <f>Sales[[#This Row],[Gross Amount]]-Sales[[#This Row],[Disc. Amt.]]+Sales[[#This Row],[GST Amount]]</f>
        <v>116855.4</v>
      </c>
      <c r="O3248" s="34" t="s">
        <v>8876</v>
      </c>
      <c r="P3248" s="34" t="s">
        <v>3562</v>
      </c>
      <c r="Q3248" s="165">
        <f>IF(Sales[[#This Row],[Status]]="Cancelled",0,Sales[[#This Row],[Qty]])</f>
        <v>3</v>
      </c>
      <c r="R3248" s="166">
        <f>IF(Sales[[#This Row],[Status]]="Cancelled",0,Sales[[#This Row],[Total Amount]])</f>
        <v>116855.4</v>
      </c>
      <c r="S3248" s="162">
        <f>SUM(Sales[Net Amount])</f>
        <v>406839287.73200053</v>
      </c>
    </row>
    <row r="3249" spans="1:19" ht="18.75" x14ac:dyDescent="0.25">
      <c r="A3249" s="156" t="s">
        <v>6903</v>
      </c>
      <c r="B3249" s="157">
        <v>45940</v>
      </c>
      <c r="C3249" s="158" t="s">
        <v>934</v>
      </c>
      <c r="D3249" s="159" t="str">
        <f>VLOOKUP(Sales[[#This Row],[Customer ID]],Customer[#All],2,0)</f>
        <v>Pooja Singh</v>
      </c>
      <c r="E3249" s="158" t="s">
        <v>441</v>
      </c>
      <c r="F3249" s="158" t="str">
        <f>VLOOKUP(Sales[[#This Row],[Product ID]],Product[#All],2,0)</f>
        <v>Jbl Headset</v>
      </c>
      <c r="G3249" s="159">
        <v>5</v>
      </c>
      <c r="H3249" s="160">
        <f>VLOOKUP(Sales[[#This Row],[Product ID]],Product[#All],7,0)</f>
        <v>3650</v>
      </c>
      <c r="I3249" s="160">
        <f>Sales[[#This Row],[Selling Rate]]*Sales[[#This Row],[Qty]]</f>
        <v>18250</v>
      </c>
      <c r="J3249" s="43">
        <v>0.05</v>
      </c>
      <c r="K3249" s="44">
        <f>Sales[[#This Row],[Gross Amount]]*Sales[[#This Row],[Disc %]]</f>
        <v>912.5</v>
      </c>
      <c r="L3249" s="43">
        <v>0.18</v>
      </c>
      <c r="M3249" s="44">
        <f>(Sales[[#This Row],[Gross Amount]]-Sales[[#This Row],[Disc. Amt.]])*Sales[[#This Row],[GST %]]</f>
        <v>3120.75</v>
      </c>
      <c r="N3249" s="161">
        <f>Sales[[#This Row],[Gross Amount]]-Sales[[#This Row],[Disc. Amt.]]+Sales[[#This Row],[GST Amount]]</f>
        <v>20458.25</v>
      </c>
      <c r="O3249" s="158" t="s">
        <v>3569</v>
      </c>
      <c r="P3249" s="158" t="s">
        <v>3562</v>
      </c>
      <c r="Q3249" s="160">
        <f>IF(Sales[[#This Row],[Status]]="Cancelled",0,Sales[[#This Row],[Qty]])</f>
        <v>5</v>
      </c>
      <c r="R3249" s="161">
        <f>IF(Sales[[#This Row],[Status]]="Cancelled",0,Sales[[#This Row],[Total Amount]])</f>
        <v>20458.25</v>
      </c>
      <c r="S3249" s="162">
        <f>SUM(Sales[Net Amount])</f>
        <v>406839287.73200053</v>
      </c>
    </row>
    <row r="3250" spans="1:19" ht="18.75" x14ac:dyDescent="0.25">
      <c r="A3250" s="163" t="s">
        <v>6904</v>
      </c>
      <c r="B3250" s="164">
        <v>45940</v>
      </c>
      <c r="C3250" s="34" t="s">
        <v>908</v>
      </c>
      <c r="D3250" s="53" t="str">
        <f>VLOOKUP(Sales[[#This Row],[Customer ID]],Customer[#All],2,0)</f>
        <v>Rahul Singh</v>
      </c>
      <c r="E3250" s="34" t="s">
        <v>350</v>
      </c>
      <c r="F3250" s="34" t="str">
        <f>VLOOKUP(Sales[[#This Row],[Product ID]],Product[#All],2,0)</f>
        <v>Apc UPS</v>
      </c>
      <c r="G3250" s="53">
        <v>4</v>
      </c>
      <c r="H3250" s="165">
        <f>VLOOKUP(Sales[[#This Row],[Product ID]],Product[#All],7,0)</f>
        <v>18110</v>
      </c>
      <c r="I3250" s="165">
        <f>Sales[[#This Row],[Selling Rate]]*Sales[[#This Row],[Qty]]</f>
        <v>72440</v>
      </c>
      <c r="J3250" s="45">
        <v>0.05</v>
      </c>
      <c r="K3250" s="46">
        <f>Sales[[#This Row],[Gross Amount]]*Sales[[#This Row],[Disc %]]</f>
        <v>3622</v>
      </c>
      <c r="L3250" s="43">
        <v>0.18</v>
      </c>
      <c r="M3250" s="46">
        <f>(Sales[[#This Row],[Gross Amount]]-Sales[[#This Row],[Disc. Amt.]])*Sales[[#This Row],[GST %]]</f>
        <v>12387.24</v>
      </c>
      <c r="N3250" s="161">
        <f>Sales[[#This Row],[Gross Amount]]-Sales[[#This Row],[Disc. Amt.]]+Sales[[#This Row],[GST Amount]]</f>
        <v>81205.240000000005</v>
      </c>
      <c r="O3250" s="34" t="s">
        <v>3569</v>
      </c>
      <c r="P3250" s="34" t="s">
        <v>3562</v>
      </c>
      <c r="Q3250" s="165">
        <f>IF(Sales[[#This Row],[Status]]="Cancelled",0,Sales[[#This Row],[Qty]])</f>
        <v>4</v>
      </c>
      <c r="R3250" s="166">
        <f>IF(Sales[[#This Row],[Status]]="Cancelled",0,Sales[[#This Row],[Total Amount]])</f>
        <v>81205.240000000005</v>
      </c>
      <c r="S3250" s="162">
        <f>SUM(Sales[Net Amount])</f>
        <v>406839287.73200053</v>
      </c>
    </row>
    <row r="3251" spans="1:19" ht="18.75" x14ac:dyDescent="0.25">
      <c r="A3251" s="156" t="s">
        <v>6905</v>
      </c>
      <c r="B3251" s="157">
        <v>45940</v>
      </c>
      <c r="C3251" s="158" t="s">
        <v>823</v>
      </c>
      <c r="D3251" s="159" t="str">
        <f>VLOOKUP(Sales[[#This Row],[Customer ID]],Customer[#All],2,0)</f>
        <v>Pooja Singh</v>
      </c>
      <c r="E3251" s="158" t="s">
        <v>256</v>
      </c>
      <c r="F3251" s="158" t="str">
        <f>VLOOKUP(Sales[[#This Row],[Product ID]],Product[#All],2,0)</f>
        <v>HP Laptop</v>
      </c>
      <c r="G3251" s="159">
        <v>1</v>
      </c>
      <c r="H3251" s="160">
        <f>VLOOKUP(Sales[[#This Row],[Product ID]],Product[#All],7,0)</f>
        <v>106260</v>
      </c>
      <c r="I3251" s="160">
        <f>Sales[[#This Row],[Selling Rate]]*Sales[[#This Row],[Qty]]</f>
        <v>106260</v>
      </c>
      <c r="J3251" s="43">
        <v>0.05</v>
      </c>
      <c r="K3251" s="44">
        <f>Sales[[#This Row],[Gross Amount]]*Sales[[#This Row],[Disc %]]</f>
        <v>5313</v>
      </c>
      <c r="L3251" s="43">
        <v>0.18</v>
      </c>
      <c r="M3251" s="44">
        <f>(Sales[[#This Row],[Gross Amount]]-Sales[[#This Row],[Disc. Amt.]])*Sales[[#This Row],[GST %]]</f>
        <v>18170.46</v>
      </c>
      <c r="N3251" s="161">
        <f>Sales[[#This Row],[Gross Amount]]-Sales[[#This Row],[Disc. Amt.]]+Sales[[#This Row],[GST Amount]]</f>
        <v>119117.45999999999</v>
      </c>
      <c r="O3251" s="158" t="s">
        <v>8876</v>
      </c>
      <c r="P3251" s="158" t="s">
        <v>3562</v>
      </c>
      <c r="Q3251" s="160">
        <f>IF(Sales[[#This Row],[Status]]="Cancelled",0,Sales[[#This Row],[Qty]])</f>
        <v>1</v>
      </c>
      <c r="R3251" s="161">
        <f>IF(Sales[[#This Row],[Status]]="Cancelled",0,Sales[[#This Row],[Total Amount]])</f>
        <v>119117.45999999999</v>
      </c>
      <c r="S3251" s="162">
        <f>SUM(Sales[Net Amount])</f>
        <v>406839287.73200053</v>
      </c>
    </row>
    <row r="3252" spans="1:19" ht="18.75" x14ac:dyDescent="0.25">
      <c r="A3252" s="163" t="s">
        <v>6906</v>
      </c>
      <c r="B3252" s="164">
        <v>45940</v>
      </c>
      <c r="C3252" s="34" t="s">
        <v>718</v>
      </c>
      <c r="D3252" s="53" t="str">
        <f>VLOOKUP(Sales[[#This Row],[Customer ID]],Customer[#All],2,0)</f>
        <v>Rakesh Patel</v>
      </c>
      <c r="E3252" s="34" t="s">
        <v>483</v>
      </c>
      <c r="F3252" s="34" t="str">
        <f>VLOOKUP(Sales[[#This Row],[Product ID]],Product[#All],2,0)</f>
        <v>Kingston Ram</v>
      </c>
      <c r="G3252" s="53">
        <v>8</v>
      </c>
      <c r="H3252" s="165">
        <f>VLOOKUP(Sales[[#This Row],[Product ID]],Product[#All],7,0)</f>
        <v>8630</v>
      </c>
      <c r="I3252" s="165">
        <f>Sales[[#This Row],[Selling Rate]]*Sales[[#This Row],[Qty]]</f>
        <v>69040</v>
      </c>
      <c r="J3252" s="45">
        <v>0.15</v>
      </c>
      <c r="K3252" s="46">
        <f>Sales[[#This Row],[Gross Amount]]*Sales[[#This Row],[Disc %]]</f>
        <v>10356</v>
      </c>
      <c r="L3252" s="43">
        <v>0.18</v>
      </c>
      <c r="M3252" s="46">
        <f>(Sales[[#This Row],[Gross Amount]]-Sales[[#This Row],[Disc. Amt.]])*Sales[[#This Row],[GST %]]</f>
        <v>10563.119999999999</v>
      </c>
      <c r="N3252" s="161">
        <f>Sales[[#This Row],[Gross Amount]]-Sales[[#This Row],[Disc. Amt.]]+Sales[[#This Row],[GST Amount]]</f>
        <v>69247.12</v>
      </c>
      <c r="O3252" s="34" t="s">
        <v>3561</v>
      </c>
      <c r="P3252" s="34" t="s">
        <v>3562</v>
      </c>
      <c r="Q3252" s="165">
        <f>IF(Sales[[#This Row],[Status]]="Cancelled",0,Sales[[#This Row],[Qty]])</f>
        <v>8</v>
      </c>
      <c r="R3252" s="166">
        <f>IF(Sales[[#This Row],[Status]]="Cancelled",0,Sales[[#This Row],[Total Amount]])</f>
        <v>69247.12</v>
      </c>
      <c r="S3252" s="162">
        <f>SUM(Sales[Net Amount])</f>
        <v>406839287.73200053</v>
      </c>
    </row>
    <row r="3253" spans="1:19" ht="18.75" x14ac:dyDescent="0.25">
      <c r="A3253" s="156" t="s">
        <v>6907</v>
      </c>
      <c r="B3253" s="157">
        <v>45940</v>
      </c>
      <c r="C3253" s="158" t="s">
        <v>728</v>
      </c>
      <c r="D3253" s="159" t="str">
        <f>VLOOKUP(Sales[[#This Row],[Customer ID]],Customer[#All],2,0)</f>
        <v>Rahul Gupta</v>
      </c>
      <c r="E3253" s="158" t="s">
        <v>153</v>
      </c>
      <c r="F3253" s="158" t="str">
        <f>VLOOKUP(Sales[[#This Row],[Product ID]],Product[#All],2,0)</f>
        <v>HP Mouse</v>
      </c>
      <c r="G3253" s="159">
        <v>6</v>
      </c>
      <c r="H3253" s="160">
        <f>VLOOKUP(Sales[[#This Row],[Product ID]],Product[#All],7,0)</f>
        <v>1070</v>
      </c>
      <c r="I3253" s="160">
        <f>Sales[[#This Row],[Selling Rate]]*Sales[[#This Row],[Qty]]</f>
        <v>6420</v>
      </c>
      <c r="J3253" s="43">
        <v>0</v>
      </c>
      <c r="K3253" s="44">
        <f>Sales[[#This Row],[Gross Amount]]*Sales[[#This Row],[Disc %]]</f>
        <v>0</v>
      </c>
      <c r="L3253" s="43">
        <v>0.18</v>
      </c>
      <c r="M3253" s="44">
        <f>(Sales[[#This Row],[Gross Amount]]-Sales[[#This Row],[Disc. Amt.]])*Sales[[#This Row],[GST %]]</f>
        <v>1155.5999999999999</v>
      </c>
      <c r="N3253" s="161">
        <f>Sales[[#This Row],[Gross Amount]]-Sales[[#This Row],[Disc. Amt.]]+Sales[[#This Row],[GST Amount]]</f>
        <v>7575.6</v>
      </c>
      <c r="O3253" s="158" t="s">
        <v>8876</v>
      </c>
      <c r="P3253" s="158" t="s">
        <v>3562</v>
      </c>
      <c r="Q3253" s="160">
        <f>IF(Sales[[#This Row],[Status]]="Cancelled",0,Sales[[#This Row],[Qty]])</f>
        <v>6</v>
      </c>
      <c r="R3253" s="161">
        <f>IF(Sales[[#This Row],[Status]]="Cancelled",0,Sales[[#This Row],[Total Amount]])</f>
        <v>7575.6</v>
      </c>
      <c r="S3253" s="162">
        <f>SUM(Sales[Net Amount])</f>
        <v>406839287.73200053</v>
      </c>
    </row>
    <row r="3254" spans="1:19" ht="18.75" x14ac:dyDescent="0.25">
      <c r="A3254" s="163" t="s">
        <v>6908</v>
      </c>
      <c r="B3254" s="164">
        <v>45941</v>
      </c>
      <c r="C3254" s="34" t="s">
        <v>860</v>
      </c>
      <c r="D3254" s="53" t="str">
        <f>VLOOKUP(Sales[[#This Row],[Customer ID]],Customer[#All],2,0)</f>
        <v>Rakesh Verma</v>
      </c>
      <c r="E3254" s="34" t="s">
        <v>415</v>
      </c>
      <c r="F3254" s="34" t="str">
        <f>VLOOKUP(Sales[[#This Row],[Product ID]],Product[#All],2,0)</f>
        <v>American TouristerLaptopBag</v>
      </c>
      <c r="G3254" s="53">
        <v>6</v>
      </c>
      <c r="H3254" s="165">
        <f>VLOOKUP(Sales[[#This Row],[Product ID]],Product[#All],7,0)</f>
        <v>5180</v>
      </c>
      <c r="I3254" s="165">
        <f>Sales[[#This Row],[Selling Rate]]*Sales[[#This Row],[Qty]]</f>
        <v>31080</v>
      </c>
      <c r="J3254" s="45">
        <v>0</v>
      </c>
      <c r="K3254" s="46">
        <f>Sales[[#This Row],[Gross Amount]]*Sales[[#This Row],[Disc %]]</f>
        <v>0</v>
      </c>
      <c r="L3254" s="43">
        <v>0.18</v>
      </c>
      <c r="M3254" s="46">
        <f>(Sales[[#This Row],[Gross Amount]]-Sales[[#This Row],[Disc. Amt.]])*Sales[[#This Row],[GST %]]</f>
        <v>5594.4</v>
      </c>
      <c r="N3254" s="161">
        <f>Sales[[#This Row],[Gross Amount]]-Sales[[#This Row],[Disc. Amt.]]+Sales[[#This Row],[GST Amount]]</f>
        <v>36674.400000000001</v>
      </c>
      <c r="O3254" s="34" t="s">
        <v>3566</v>
      </c>
      <c r="P3254" s="34" t="s">
        <v>3562</v>
      </c>
      <c r="Q3254" s="165">
        <f>IF(Sales[[#This Row],[Status]]="Cancelled",0,Sales[[#This Row],[Qty]])</f>
        <v>6</v>
      </c>
      <c r="R3254" s="166">
        <f>IF(Sales[[#This Row],[Status]]="Cancelled",0,Sales[[#This Row],[Total Amount]])</f>
        <v>36674.400000000001</v>
      </c>
      <c r="S3254" s="162">
        <f>SUM(Sales[Net Amount])</f>
        <v>406839287.73200053</v>
      </c>
    </row>
    <row r="3255" spans="1:19" ht="18.75" x14ac:dyDescent="0.25">
      <c r="A3255" s="156" t="s">
        <v>6909</v>
      </c>
      <c r="B3255" s="157">
        <v>45941</v>
      </c>
      <c r="C3255" s="158" t="s">
        <v>825</v>
      </c>
      <c r="D3255" s="159" t="str">
        <f>VLOOKUP(Sales[[#This Row],[Customer ID]],Customer[#All],2,0)</f>
        <v>Rahul Kumar</v>
      </c>
      <c r="E3255" s="158" t="s">
        <v>220</v>
      </c>
      <c r="F3255" s="158" t="str">
        <f>VLOOKUP(Sales[[#This Row],[Product ID]],Product[#All],2,0)</f>
        <v>HP Desktop</v>
      </c>
      <c r="G3255" s="159">
        <v>5</v>
      </c>
      <c r="H3255" s="160">
        <f>VLOOKUP(Sales[[#This Row],[Product ID]],Product[#All],7,0)</f>
        <v>40570</v>
      </c>
      <c r="I3255" s="160">
        <f>Sales[[#This Row],[Selling Rate]]*Sales[[#This Row],[Qty]]</f>
        <v>202850</v>
      </c>
      <c r="J3255" s="43">
        <v>0.05</v>
      </c>
      <c r="K3255" s="44">
        <f>Sales[[#This Row],[Gross Amount]]*Sales[[#This Row],[Disc %]]</f>
        <v>10142.5</v>
      </c>
      <c r="L3255" s="43">
        <v>0.18</v>
      </c>
      <c r="M3255" s="44">
        <f>(Sales[[#This Row],[Gross Amount]]-Sales[[#This Row],[Disc. Amt.]])*Sales[[#This Row],[GST %]]</f>
        <v>34687.35</v>
      </c>
      <c r="N3255" s="161">
        <f>Sales[[#This Row],[Gross Amount]]-Sales[[#This Row],[Disc. Amt.]]+Sales[[#This Row],[GST Amount]]</f>
        <v>227394.85</v>
      </c>
      <c r="O3255" s="158" t="s">
        <v>8876</v>
      </c>
      <c r="P3255" s="158" t="s">
        <v>3562</v>
      </c>
      <c r="Q3255" s="160">
        <f>IF(Sales[[#This Row],[Status]]="Cancelled",0,Sales[[#This Row],[Qty]])</f>
        <v>5</v>
      </c>
      <c r="R3255" s="161">
        <f>IF(Sales[[#This Row],[Status]]="Cancelled",0,Sales[[#This Row],[Total Amount]])</f>
        <v>227394.85</v>
      </c>
      <c r="S3255" s="162">
        <f>SUM(Sales[Net Amount])</f>
        <v>406839287.73200053</v>
      </c>
    </row>
    <row r="3256" spans="1:19" ht="18.75" x14ac:dyDescent="0.25">
      <c r="A3256" s="163" t="s">
        <v>6910</v>
      </c>
      <c r="B3256" s="164">
        <v>45941</v>
      </c>
      <c r="C3256" s="34" t="s">
        <v>906</v>
      </c>
      <c r="D3256" s="53" t="str">
        <f>VLOOKUP(Sales[[#This Row],[Customer ID]],Customer[#All],2,0)</f>
        <v>Ankit Sharma</v>
      </c>
      <c r="E3256" s="34" t="s">
        <v>408</v>
      </c>
      <c r="F3256" s="34" t="str">
        <f>VLOOKUP(Sales[[#This Row],[Product ID]],Product[#All],2,0)</f>
        <v>HP Laptop</v>
      </c>
      <c r="G3256" s="53">
        <v>2</v>
      </c>
      <c r="H3256" s="165">
        <f>VLOOKUP(Sales[[#This Row],[Product ID]],Product[#All],7,0)</f>
        <v>93130</v>
      </c>
      <c r="I3256" s="165">
        <f>Sales[[#This Row],[Selling Rate]]*Sales[[#This Row],[Qty]]</f>
        <v>186260</v>
      </c>
      <c r="J3256" s="45">
        <v>0</v>
      </c>
      <c r="K3256" s="46">
        <f>Sales[[#This Row],[Gross Amount]]*Sales[[#This Row],[Disc %]]</f>
        <v>0</v>
      </c>
      <c r="L3256" s="43">
        <v>0.18</v>
      </c>
      <c r="M3256" s="46">
        <f>(Sales[[#This Row],[Gross Amount]]-Sales[[#This Row],[Disc. Amt.]])*Sales[[#This Row],[GST %]]</f>
        <v>33526.799999999996</v>
      </c>
      <c r="N3256" s="161">
        <f>Sales[[#This Row],[Gross Amount]]-Sales[[#This Row],[Disc. Amt.]]+Sales[[#This Row],[GST Amount]]</f>
        <v>219786.8</v>
      </c>
      <c r="O3256" s="34" t="s">
        <v>3561</v>
      </c>
      <c r="P3256" s="34" t="s">
        <v>3562</v>
      </c>
      <c r="Q3256" s="165">
        <f>IF(Sales[[#This Row],[Status]]="Cancelled",0,Sales[[#This Row],[Qty]])</f>
        <v>2</v>
      </c>
      <c r="R3256" s="166">
        <f>IF(Sales[[#This Row],[Status]]="Cancelled",0,Sales[[#This Row],[Total Amount]])</f>
        <v>219786.8</v>
      </c>
      <c r="S3256" s="162">
        <f>SUM(Sales[Net Amount])</f>
        <v>406839287.73200053</v>
      </c>
    </row>
    <row r="3257" spans="1:19" ht="18.75" x14ac:dyDescent="0.25">
      <c r="A3257" s="156" t="s">
        <v>6911</v>
      </c>
      <c r="B3257" s="157">
        <v>45941</v>
      </c>
      <c r="C3257" s="158" t="s">
        <v>827</v>
      </c>
      <c r="D3257" s="159" t="str">
        <f>VLOOKUP(Sales[[#This Row],[Customer ID]],Customer[#All],2,0)</f>
        <v>Ankit Gupta</v>
      </c>
      <c r="E3257" s="158" t="s">
        <v>170</v>
      </c>
      <c r="F3257" s="158" t="str">
        <f>VLOOKUP(Sales[[#This Row],[Product ID]],Product[#All],2,0)</f>
        <v>Lenovo Laptop</v>
      </c>
      <c r="G3257" s="159">
        <v>3</v>
      </c>
      <c r="H3257" s="160">
        <f>VLOOKUP(Sales[[#This Row],[Product ID]],Product[#All],7,0)</f>
        <v>29710</v>
      </c>
      <c r="I3257" s="160">
        <f>Sales[[#This Row],[Selling Rate]]*Sales[[#This Row],[Qty]]</f>
        <v>89130</v>
      </c>
      <c r="J3257" s="43">
        <v>0.02</v>
      </c>
      <c r="K3257" s="44">
        <f>Sales[[#This Row],[Gross Amount]]*Sales[[#This Row],[Disc %]]</f>
        <v>1782.6000000000001</v>
      </c>
      <c r="L3257" s="43">
        <v>0.18</v>
      </c>
      <c r="M3257" s="44">
        <f>(Sales[[#This Row],[Gross Amount]]-Sales[[#This Row],[Disc. Amt.]])*Sales[[#This Row],[GST %]]</f>
        <v>15722.531999999999</v>
      </c>
      <c r="N3257" s="161">
        <f>Sales[[#This Row],[Gross Amount]]-Sales[[#This Row],[Disc. Amt.]]+Sales[[#This Row],[GST Amount]]</f>
        <v>103069.932</v>
      </c>
      <c r="O3257" s="158" t="s">
        <v>3561</v>
      </c>
      <c r="P3257" s="158" t="s">
        <v>3562</v>
      </c>
      <c r="Q3257" s="160">
        <f>IF(Sales[[#This Row],[Status]]="Cancelled",0,Sales[[#This Row],[Qty]])</f>
        <v>3</v>
      </c>
      <c r="R3257" s="161">
        <f>IF(Sales[[#This Row],[Status]]="Cancelled",0,Sales[[#This Row],[Total Amount]])</f>
        <v>103069.932</v>
      </c>
      <c r="S3257" s="162">
        <f>SUM(Sales[Net Amount])</f>
        <v>406839287.73200053</v>
      </c>
    </row>
    <row r="3258" spans="1:19" ht="18.75" x14ac:dyDescent="0.25">
      <c r="A3258" s="163" t="s">
        <v>6912</v>
      </c>
      <c r="B3258" s="164">
        <v>45941</v>
      </c>
      <c r="C3258" s="34" t="s">
        <v>882</v>
      </c>
      <c r="D3258" s="53" t="str">
        <f>VLOOKUP(Sales[[#This Row],[Customer ID]],Customer[#All],2,0)</f>
        <v>Rahul Sharma</v>
      </c>
      <c r="E3258" s="34" t="s">
        <v>232</v>
      </c>
      <c r="F3258" s="34" t="str">
        <f>VLOOKUP(Sales[[#This Row],[Product ID]],Product[#All],2,0)</f>
        <v>HP Printer</v>
      </c>
      <c r="G3258" s="53">
        <v>5</v>
      </c>
      <c r="H3258" s="165">
        <f>VLOOKUP(Sales[[#This Row],[Product ID]],Product[#All],7,0)</f>
        <v>35700</v>
      </c>
      <c r="I3258" s="165">
        <f>Sales[[#This Row],[Selling Rate]]*Sales[[#This Row],[Qty]]</f>
        <v>178500</v>
      </c>
      <c r="J3258" s="45">
        <v>0.05</v>
      </c>
      <c r="K3258" s="46">
        <f>Sales[[#This Row],[Gross Amount]]*Sales[[#This Row],[Disc %]]</f>
        <v>8925</v>
      </c>
      <c r="L3258" s="43">
        <v>0.18</v>
      </c>
      <c r="M3258" s="46">
        <f>(Sales[[#This Row],[Gross Amount]]-Sales[[#This Row],[Disc. Amt.]])*Sales[[#This Row],[GST %]]</f>
        <v>30523.5</v>
      </c>
      <c r="N3258" s="161">
        <f>Sales[[#This Row],[Gross Amount]]-Sales[[#This Row],[Disc. Amt.]]+Sales[[#This Row],[GST Amount]]</f>
        <v>200098.5</v>
      </c>
      <c r="O3258" s="34" t="s">
        <v>3569</v>
      </c>
      <c r="P3258" s="34" t="s">
        <v>3562</v>
      </c>
      <c r="Q3258" s="165">
        <f>IF(Sales[[#This Row],[Status]]="Cancelled",0,Sales[[#This Row],[Qty]])</f>
        <v>5</v>
      </c>
      <c r="R3258" s="166">
        <f>IF(Sales[[#This Row],[Status]]="Cancelled",0,Sales[[#This Row],[Total Amount]])</f>
        <v>200098.5</v>
      </c>
      <c r="S3258" s="162">
        <f>SUM(Sales[Net Amount])</f>
        <v>406839287.73200053</v>
      </c>
    </row>
    <row r="3259" spans="1:19" ht="18.75" x14ac:dyDescent="0.25">
      <c r="A3259" s="156" t="s">
        <v>6913</v>
      </c>
      <c r="B3259" s="157">
        <v>45941</v>
      </c>
      <c r="C3259" s="158" t="s">
        <v>904</v>
      </c>
      <c r="D3259" s="159" t="str">
        <f>VLOOKUP(Sales[[#This Row],[Customer ID]],Customer[#All],2,0)</f>
        <v>Sahil Patel</v>
      </c>
      <c r="E3259" s="158" t="s">
        <v>359</v>
      </c>
      <c r="F3259" s="158" t="str">
        <f>VLOOKUP(Sales[[#This Row],[Product ID]],Product[#All],2,0)</f>
        <v>Sandisk Pen Drive</v>
      </c>
      <c r="G3259" s="159">
        <v>4</v>
      </c>
      <c r="H3259" s="160">
        <f>VLOOKUP(Sales[[#This Row],[Product ID]],Product[#All],7,0)</f>
        <v>1140</v>
      </c>
      <c r="I3259" s="160">
        <f>Sales[[#This Row],[Selling Rate]]*Sales[[#This Row],[Qty]]</f>
        <v>4560</v>
      </c>
      <c r="J3259" s="43">
        <v>0.12</v>
      </c>
      <c r="K3259" s="44">
        <f>Sales[[#This Row],[Gross Amount]]*Sales[[#This Row],[Disc %]]</f>
        <v>547.19999999999993</v>
      </c>
      <c r="L3259" s="43">
        <v>0.18</v>
      </c>
      <c r="M3259" s="44">
        <f>(Sales[[#This Row],[Gross Amount]]-Sales[[#This Row],[Disc. Amt.]])*Sales[[#This Row],[GST %]]</f>
        <v>722.30399999999997</v>
      </c>
      <c r="N3259" s="161">
        <f>Sales[[#This Row],[Gross Amount]]-Sales[[#This Row],[Disc. Amt.]]+Sales[[#This Row],[GST Amount]]</f>
        <v>4735.1040000000003</v>
      </c>
      <c r="O3259" s="158" t="s">
        <v>3561</v>
      </c>
      <c r="P3259" s="158" t="s">
        <v>3562</v>
      </c>
      <c r="Q3259" s="160">
        <f>IF(Sales[[#This Row],[Status]]="Cancelled",0,Sales[[#This Row],[Qty]])</f>
        <v>4</v>
      </c>
      <c r="R3259" s="161">
        <f>IF(Sales[[#This Row],[Status]]="Cancelled",0,Sales[[#This Row],[Total Amount]])</f>
        <v>4735.1040000000003</v>
      </c>
      <c r="S3259" s="162">
        <f>SUM(Sales[Net Amount])</f>
        <v>406839287.73200053</v>
      </c>
    </row>
    <row r="3260" spans="1:19" ht="18.75" x14ac:dyDescent="0.25">
      <c r="A3260" s="163" t="s">
        <v>6914</v>
      </c>
      <c r="B3260" s="164">
        <v>45941</v>
      </c>
      <c r="C3260" s="34" t="s">
        <v>680</v>
      </c>
      <c r="D3260" s="53" t="str">
        <f>VLOOKUP(Sales[[#This Row],[Customer ID]],Customer[#All],2,0)</f>
        <v>Rahul Kumar</v>
      </c>
      <c r="E3260" s="34" t="s">
        <v>276</v>
      </c>
      <c r="F3260" s="34" t="str">
        <f>VLOOKUP(Sales[[#This Row],[Product ID]],Product[#All],2,0)</f>
        <v>Corsair Ram</v>
      </c>
      <c r="G3260" s="53">
        <v>7</v>
      </c>
      <c r="H3260" s="165">
        <f>VLOOKUP(Sales[[#This Row],[Product ID]],Product[#All],7,0)</f>
        <v>7140</v>
      </c>
      <c r="I3260" s="165">
        <f>Sales[[#This Row],[Selling Rate]]*Sales[[#This Row],[Qty]]</f>
        <v>49980</v>
      </c>
      <c r="J3260" s="45">
        <v>0.02</v>
      </c>
      <c r="K3260" s="46">
        <f>Sales[[#This Row],[Gross Amount]]*Sales[[#This Row],[Disc %]]</f>
        <v>999.6</v>
      </c>
      <c r="L3260" s="43">
        <v>0.18</v>
      </c>
      <c r="M3260" s="46">
        <f>(Sales[[#This Row],[Gross Amount]]-Sales[[#This Row],[Disc. Amt.]])*Sales[[#This Row],[GST %]]</f>
        <v>8816.4719999999998</v>
      </c>
      <c r="N3260" s="161">
        <f>Sales[[#This Row],[Gross Amount]]-Sales[[#This Row],[Disc. Amt.]]+Sales[[#This Row],[GST Amount]]</f>
        <v>57796.872000000003</v>
      </c>
      <c r="O3260" s="34" t="s">
        <v>3561</v>
      </c>
      <c r="P3260" s="34" t="s">
        <v>3562</v>
      </c>
      <c r="Q3260" s="165">
        <f>IF(Sales[[#This Row],[Status]]="Cancelled",0,Sales[[#This Row],[Qty]])</f>
        <v>7</v>
      </c>
      <c r="R3260" s="166">
        <f>IF(Sales[[#This Row],[Status]]="Cancelled",0,Sales[[#This Row],[Total Amount]])</f>
        <v>57796.872000000003</v>
      </c>
      <c r="S3260" s="162">
        <f>SUM(Sales[Net Amount])</f>
        <v>406839287.73200053</v>
      </c>
    </row>
    <row r="3261" spans="1:19" ht="18.75" x14ac:dyDescent="0.25">
      <c r="A3261" s="156" t="s">
        <v>6915</v>
      </c>
      <c r="B3261" s="157">
        <v>45941</v>
      </c>
      <c r="C3261" s="158" t="s">
        <v>778</v>
      </c>
      <c r="D3261" s="159" t="str">
        <f>VLOOKUP(Sales[[#This Row],[Customer ID]],Customer[#All],2,0)</f>
        <v>Ankit Gupta</v>
      </c>
      <c r="E3261" s="158" t="s">
        <v>118</v>
      </c>
      <c r="F3261" s="158" t="str">
        <f>VLOOKUP(Sales[[#This Row],[Product ID]],Product[#All],2,0)</f>
        <v>American TouristerLaptopBag</v>
      </c>
      <c r="G3261" s="159">
        <v>7</v>
      </c>
      <c r="H3261" s="160">
        <f>VLOOKUP(Sales[[#This Row],[Product ID]],Product[#All],7,0)</f>
        <v>4160</v>
      </c>
      <c r="I3261" s="160">
        <f>Sales[[#This Row],[Selling Rate]]*Sales[[#This Row],[Qty]]</f>
        <v>29120</v>
      </c>
      <c r="J3261" s="43">
        <v>0.1</v>
      </c>
      <c r="K3261" s="44">
        <f>Sales[[#This Row],[Gross Amount]]*Sales[[#This Row],[Disc %]]</f>
        <v>2912</v>
      </c>
      <c r="L3261" s="43">
        <v>0.18</v>
      </c>
      <c r="M3261" s="44">
        <f>(Sales[[#This Row],[Gross Amount]]-Sales[[#This Row],[Disc. Amt.]])*Sales[[#This Row],[GST %]]</f>
        <v>4717.4399999999996</v>
      </c>
      <c r="N3261" s="161">
        <f>Sales[[#This Row],[Gross Amount]]-Sales[[#This Row],[Disc. Amt.]]+Sales[[#This Row],[GST Amount]]</f>
        <v>30925.439999999999</v>
      </c>
      <c r="O3261" s="158" t="s">
        <v>8876</v>
      </c>
      <c r="P3261" s="158" t="s">
        <v>3562</v>
      </c>
      <c r="Q3261" s="160">
        <f>IF(Sales[[#This Row],[Status]]="Cancelled",0,Sales[[#This Row],[Qty]])</f>
        <v>7</v>
      </c>
      <c r="R3261" s="161">
        <f>IF(Sales[[#This Row],[Status]]="Cancelled",0,Sales[[#This Row],[Total Amount]])</f>
        <v>30925.439999999999</v>
      </c>
      <c r="S3261" s="162">
        <f>SUM(Sales[Net Amount])</f>
        <v>406839287.73200053</v>
      </c>
    </row>
    <row r="3262" spans="1:19" ht="18.75" x14ac:dyDescent="0.25">
      <c r="A3262" s="163" t="s">
        <v>6916</v>
      </c>
      <c r="B3262" s="164">
        <v>45941</v>
      </c>
      <c r="C3262" s="34" t="s">
        <v>749</v>
      </c>
      <c r="D3262" s="53" t="str">
        <f>VLOOKUP(Sales[[#This Row],[Customer ID]],Customer[#All],2,0)</f>
        <v>Sahil Patel</v>
      </c>
      <c r="E3262" s="34" t="s">
        <v>316</v>
      </c>
      <c r="F3262" s="34" t="str">
        <f>VLOOKUP(Sales[[#This Row],[Product ID]],Product[#All],2,0)</f>
        <v>TP-link Router</v>
      </c>
      <c r="G3262" s="53">
        <v>5</v>
      </c>
      <c r="H3262" s="165">
        <f>VLOOKUP(Sales[[#This Row],[Product ID]],Product[#All],7,0)</f>
        <v>3750</v>
      </c>
      <c r="I3262" s="165">
        <f>Sales[[#This Row],[Selling Rate]]*Sales[[#This Row],[Qty]]</f>
        <v>18750</v>
      </c>
      <c r="J3262" s="45">
        <v>0.1</v>
      </c>
      <c r="K3262" s="46">
        <f>Sales[[#This Row],[Gross Amount]]*Sales[[#This Row],[Disc %]]</f>
        <v>1875</v>
      </c>
      <c r="L3262" s="43">
        <v>0.18</v>
      </c>
      <c r="M3262" s="46">
        <f>(Sales[[#This Row],[Gross Amount]]-Sales[[#This Row],[Disc. Amt.]])*Sales[[#This Row],[GST %]]</f>
        <v>3037.5</v>
      </c>
      <c r="N3262" s="161">
        <f>Sales[[#This Row],[Gross Amount]]-Sales[[#This Row],[Disc. Amt.]]+Sales[[#This Row],[GST Amount]]</f>
        <v>19912.5</v>
      </c>
      <c r="O3262" s="34" t="s">
        <v>3561</v>
      </c>
      <c r="P3262" s="34" t="s">
        <v>3562</v>
      </c>
      <c r="Q3262" s="165">
        <f>IF(Sales[[#This Row],[Status]]="Cancelled",0,Sales[[#This Row],[Qty]])</f>
        <v>5</v>
      </c>
      <c r="R3262" s="166">
        <f>IF(Sales[[#This Row],[Status]]="Cancelled",0,Sales[[#This Row],[Total Amount]])</f>
        <v>19912.5</v>
      </c>
      <c r="S3262" s="162">
        <f>SUM(Sales[Net Amount])</f>
        <v>406839287.73200053</v>
      </c>
    </row>
    <row r="3263" spans="1:19" ht="18.75" x14ac:dyDescent="0.25">
      <c r="A3263" s="156" t="s">
        <v>6917</v>
      </c>
      <c r="B3263" s="157">
        <v>45941</v>
      </c>
      <c r="C3263" s="158" t="s">
        <v>910</v>
      </c>
      <c r="D3263" s="159" t="str">
        <f>VLOOKUP(Sales[[#This Row],[Customer ID]],Customer[#All],2,0)</f>
        <v>Sahil Sharma</v>
      </c>
      <c r="E3263" s="158" t="s">
        <v>495</v>
      </c>
      <c r="F3263" s="158" t="str">
        <f>VLOOKUP(Sales[[#This Row],[Product ID]],Product[#All],2,0)</f>
        <v>Dell Laptop</v>
      </c>
      <c r="G3263" s="159">
        <v>2</v>
      </c>
      <c r="H3263" s="160">
        <f>VLOOKUP(Sales[[#This Row],[Product ID]],Product[#All],7,0)</f>
        <v>63410</v>
      </c>
      <c r="I3263" s="160">
        <f>Sales[[#This Row],[Selling Rate]]*Sales[[#This Row],[Qty]]</f>
        <v>126820</v>
      </c>
      <c r="J3263" s="43">
        <v>0.05</v>
      </c>
      <c r="K3263" s="44">
        <f>Sales[[#This Row],[Gross Amount]]*Sales[[#This Row],[Disc %]]</f>
        <v>6341</v>
      </c>
      <c r="L3263" s="43">
        <v>0.18</v>
      </c>
      <c r="M3263" s="44">
        <f>(Sales[[#This Row],[Gross Amount]]-Sales[[#This Row],[Disc. Amt.]])*Sales[[#This Row],[GST %]]</f>
        <v>21686.219999999998</v>
      </c>
      <c r="N3263" s="161">
        <f>Sales[[#This Row],[Gross Amount]]-Sales[[#This Row],[Disc. Amt.]]+Sales[[#This Row],[GST Amount]]</f>
        <v>142165.22</v>
      </c>
      <c r="O3263" s="158" t="s">
        <v>3561</v>
      </c>
      <c r="P3263" s="158" t="s">
        <v>3562</v>
      </c>
      <c r="Q3263" s="160">
        <f>IF(Sales[[#This Row],[Status]]="Cancelled",0,Sales[[#This Row],[Qty]])</f>
        <v>2</v>
      </c>
      <c r="R3263" s="161">
        <f>IF(Sales[[#This Row],[Status]]="Cancelled",0,Sales[[#This Row],[Total Amount]])</f>
        <v>142165.22</v>
      </c>
      <c r="S3263" s="162">
        <f>SUM(Sales[Net Amount])</f>
        <v>406839287.73200053</v>
      </c>
    </row>
    <row r="3264" spans="1:19" ht="18.75" x14ac:dyDescent="0.25">
      <c r="A3264" s="163" t="s">
        <v>6918</v>
      </c>
      <c r="B3264" s="164">
        <v>45941</v>
      </c>
      <c r="C3264" s="34" t="s">
        <v>739</v>
      </c>
      <c r="D3264" s="53" t="str">
        <f>VLOOKUP(Sales[[#This Row],[Customer ID]],Customer[#All],2,0)</f>
        <v>Ankit Singh</v>
      </c>
      <c r="E3264" s="34" t="s">
        <v>471</v>
      </c>
      <c r="F3264" s="34" t="str">
        <f>VLOOKUP(Sales[[#This Row],[Product ID]],Product[#All],2,0)</f>
        <v>Samsung Monitor</v>
      </c>
      <c r="G3264" s="53">
        <v>7</v>
      </c>
      <c r="H3264" s="165">
        <f>VLOOKUP(Sales[[#This Row],[Product ID]],Product[#All],7,0)</f>
        <v>10840</v>
      </c>
      <c r="I3264" s="165">
        <f>Sales[[#This Row],[Selling Rate]]*Sales[[#This Row],[Qty]]</f>
        <v>75880</v>
      </c>
      <c r="J3264" s="45">
        <v>0.05</v>
      </c>
      <c r="K3264" s="46">
        <f>Sales[[#This Row],[Gross Amount]]*Sales[[#This Row],[Disc %]]</f>
        <v>3794</v>
      </c>
      <c r="L3264" s="43">
        <v>0.18</v>
      </c>
      <c r="M3264" s="46">
        <f>(Sales[[#This Row],[Gross Amount]]-Sales[[#This Row],[Disc. Amt.]])*Sales[[#This Row],[GST %]]</f>
        <v>12975.48</v>
      </c>
      <c r="N3264" s="161">
        <f>Sales[[#This Row],[Gross Amount]]-Sales[[#This Row],[Disc. Amt.]]+Sales[[#This Row],[GST Amount]]</f>
        <v>85061.48</v>
      </c>
      <c r="O3264" s="34" t="s">
        <v>3566</v>
      </c>
      <c r="P3264" s="34" t="s">
        <v>3562</v>
      </c>
      <c r="Q3264" s="165">
        <f>IF(Sales[[#This Row],[Status]]="Cancelled",0,Sales[[#This Row],[Qty]])</f>
        <v>7</v>
      </c>
      <c r="R3264" s="166">
        <f>IF(Sales[[#This Row],[Status]]="Cancelled",0,Sales[[#This Row],[Total Amount]])</f>
        <v>85061.48</v>
      </c>
      <c r="S3264" s="162">
        <f>SUM(Sales[Net Amount])</f>
        <v>406839287.73200053</v>
      </c>
    </row>
    <row r="3265" spans="1:19" ht="18.75" x14ac:dyDescent="0.25">
      <c r="A3265" s="156" t="s">
        <v>6919</v>
      </c>
      <c r="B3265" s="157">
        <v>45941</v>
      </c>
      <c r="C3265" s="158" t="s">
        <v>911</v>
      </c>
      <c r="D3265" s="159" t="str">
        <f>VLOOKUP(Sales[[#This Row],[Customer ID]],Customer[#All],2,0)</f>
        <v>Amit Kumar</v>
      </c>
      <c r="E3265" s="158" t="s">
        <v>264</v>
      </c>
      <c r="F3265" s="158" t="str">
        <f>VLOOKUP(Sales[[#This Row],[Product ID]],Product[#All],2,0)</f>
        <v>Acer Laptop</v>
      </c>
      <c r="G3265" s="159">
        <v>8</v>
      </c>
      <c r="H3265" s="160">
        <f>VLOOKUP(Sales[[#This Row],[Product ID]],Product[#All],7,0)</f>
        <v>65110</v>
      </c>
      <c r="I3265" s="160">
        <f>Sales[[#This Row],[Selling Rate]]*Sales[[#This Row],[Qty]]</f>
        <v>520880</v>
      </c>
      <c r="J3265" s="43">
        <v>0.02</v>
      </c>
      <c r="K3265" s="44">
        <f>Sales[[#This Row],[Gross Amount]]*Sales[[#This Row],[Disc %]]</f>
        <v>10417.6</v>
      </c>
      <c r="L3265" s="43">
        <v>0.18</v>
      </c>
      <c r="M3265" s="44">
        <f>(Sales[[#This Row],[Gross Amount]]-Sales[[#This Row],[Disc. Amt.]])*Sales[[#This Row],[GST %]]</f>
        <v>91883.232000000004</v>
      </c>
      <c r="N3265" s="161">
        <f>Sales[[#This Row],[Gross Amount]]-Sales[[#This Row],[Disc. Amt.]]+Sales[[#This Row],[GST Amount]]</f>
        <v>602345.63199999998</v>
      </c>
      <c r="O3265" s="158" t="s">
        <v>3561</v>
      </c>
      <c r="P3265" s="158" t="s">
        <v>3562</v>
      </c>
      <c r="Q3265" s="160">
        <f>IF(Sales[[#This Row],[Status]]="Cancelled",0,Sales[[#This Row],[Qty]])</f>
        <v>8</v>
      </c>
      <c r="R3265" s="161">
        <f>IF(Sales[[#This Row],[Status]]="Cancelled",0,Sales[[#This Row],[Total Amount]])</f>
        <v>602345.63199999998</v>
      </c>
      <c r="S3265" s="162">
        <f>SUM(Sales[Net Amount])</f>
        <v>406839287.73200053</v>
      </c>
    </row>
    <row r="3266" spans="1:19" ht="18.75" x14ac:dyDescent="0.25">
      <c r="A3266" s="163" t="s">
        <v>6920</v>
      </c>
      <c r="B3266" s="164">
        <v>45941</v>
      </c>
      <c r="C3266" s="34" t="s">
        <v>818</v>
      </c>
      <c r="D3266" s="53" t="str">
        <f>VLOOKUP(Sales[[#This Row],[Customer ID]],Customer[#All],2,0)</f>
        <v>Rahul Sharma</v>
      </c>
      <c r="E3266" s="34" t="s">
        <v>173</v>
      </c>
      <c r="F3266" s="34" t="str">
        <f>VLOOKUP(Sales[[#This Row],[Product ID]],Product[#All],2,0)</f>
        <v>HP Desktop</v>
      </c>
      <c r="G3266" s="53">
        <v>7</v>
      </c>
      <c r="H3266" s="165">
        <f>VLOOKUP(Sales[[#This Row],[Product ID]],Product[#All],7,0)</f>
        <v>69180</v>
      </c>
      <c r="I3266" s="165">
        <f>Sales[[#This Row],[Selling Rate]]*Sales[[#This Row],[Qty]]</f>
        <v>484260</v>
      </c>
      <c r="J3266" s="45">
        <v>0.05</v>
      </c>
      <c r="K3266" s="46">
        <f>Sales[[#This Row],[Gross Amount]]*Sales[[#This Row],[Disc %]]</f>
        <v>24213</v>
      </c>
      <c r="L3266" s="43">
        <v>0.18</v>
      </c>
      <c r="M3266" s="46">
        <f>(Sales[[#This Row],[Gross Amount]]-Sales[[#This Row],[Disc. Amt.]])*Sales[[#This Row],[GST %]]</f>
        <v>82808.459999999992</v>
      </c>
      <c r="N3266" s="161">
        <f>Sales[[#This Row],[Gross Amount]]-Sales[[#This Row],[Disc. Amt.]]+Sales[[#This Row],[GST Amount]]</f>
        <v>542855.46</v>
      </c>
      <c r="O3266" s="34" t="s">
        <v>3566</v>
      </c>
      <c r="P3266" s="34" t="s">
        <v>3562</v>
      </c>
      <c r="Q3266" s="165">
        <f>IF(Sales[[#This Row],[Status]]="Cancelled",0,Sales[[#This Row],[Qty]])</f>
        <v>7</v>
      </c>
      <c r="R3266" s="166">
        <f>IF(Sales[[#This Row],[Status]]="Cancelled",0,Sales[[#This Row],[Total Amount]])</f>
        <v>542855.46</v>
      </c>
      <c r="S3266" s="162">
        <f>SUM(Sales[Net Amount])</f>
        <v>406839287.73200053</v>
      </c>
    </row>
    <row r="3267" spans="1:19" ht="18.75" x14ac:dyDescent="0.25">
      <c r="A3267" s="156" t="s">
        <v>6921</v>
      </c>
      <c r="B3267" s="157">
        <v>45941</v>
      </c>
      <c r="C3267" s="158" t="s">
        <v>886</v>
      </c>
      <c r="D3267" s="159" t="str">
        <f>VLOOKUP(Sales[[#This Row],[Customer ID]],Customer[#All],2,0)</f>
        <v>Sunita Gupta</v>
      </c>
      <c r="E3267" s="158" t="s">
        <v>464</v>
      </c>
      <c r="F3267" s="158" t="str">
        <f>VLOOKUP(Sales[[#This Row],[Product ID]],Product[#All],2,0)</f>
        <v>Lg Monitor</v>
      </c>
      <c r="G3267" s="159">
        <v>8</v>
      </c>
      <c r="H3267" s="160">
        <f>VLOOKUP(Sales[[#This Row],[Product ID]],Product[#All],7,0)</f>
        <v>27140</v>
      </c>
      <c r="I3267" s="160">
        <f>Sales[[#This Row],[Selling Rate]]*Sales[[#This Row],[Qty]]</f>
        <v>217120</v>
      </c>
      <c r="J3267" s="43">
        <v>0</v>
      </c>
      <c r="K3267" s="44">
        <f>Sales[[#This Row],[Gross Amount]]*Sales[[#This Row],[Disc %]]</f>
        <v>0</v>
      </c>
      <c r="L3267" s="43">
        <v>0.18</v>
      </c>
      <c r="M3267" s="44">
        <f>(Sales[[#This Row],[Gross Amount]]-Sales[[#This Row],[Disc. Amt.]])*Sales[[#This Row],[GST %]]</f>
        <v>39081.599999999999</v>
      </c>
      <c r="N3267" s="161">
        <f>Sales[[#This Row],[Gross Amount]]-Sales[[#This Row],[Disc. Amt.]]+Sales[[#This Row],[GST Amount]]</f>
        <v>256201.60000000001</v>
      </c>
      <c r="O3267" s="158" t="s">
        <v>8876</v>
      </c>
      <c r="P3267" s="158" t="s">
        <v>3562</v>
      </c>
      <c r="Q3267" s="160">
        <f>IF(Sales[[#This Row],[Status]]="Cancelled",0,Sales[[#This Row],[Qty]])</f>
        <v>8</v>
      </c>
      <c r="R3267" s="161">
        <f>IF(Sales[[#This Row],[Status]]="Cancelled",0,Sales[[#This Row],[Total Amount]])</f>
        <v>256201.60000000001</v>
      </c>
      <c r="S3267" s="162">
        <f>SUM(Sales[Net Amount])</f>
        <v>406839287.73200053</v>
      </c>
    </row>
    <row r="3268" spans="1:19" ht="18.75" x14ac:dyDescent="0.25">
      <c r="A3268" s="163" t="s">
        <v>6922</v>
      </c>
      <c r="B3268" s="164">
        <v>45941</v>
      </c>
      <c r="C3268" s="34" t="s">
        <v>6923</v>
      </c>
      <c r="D3268" s="53" t="str">
        <f>VLOOKUP(Sales[[#This Row],[Customer ID]],Customer[#All],2,0)</f>
        <v>Sahil Sharma</v>
      </c>
      <c r="E3268" s="34" t="s">
        <v>392</v>
      </c>
      <c r="F3268" s="34" t="str">
        <f>VLOOKUP(Sales[[#This Row],[Product ID]],Product[#All],2,0)</f>
        <v>Apc UPS</v>
      </c>
      <c r="G3268" s="53">
        <v>2</v>
      </c>
      <c r="H3268" s="165">
        <f>VLOOKUP(Sales[[#This Row],[Product ID]],Product[#All],7,0)</f>
        <v>3320</v>
      </c>
      <c r="I3268" s="165">
        <f>Sales[[#This Row],[Selling Rate]]*Sales[[#This Row],[Qty]]</f>
        <v>6640</v>
      </c>
      <c r="J3268" s="45">
        <v>0.1</v>
      </c>
      <c r="K3268" s="46">
        <f>Sales[[#This Row],[Gross Amount]]*Sales[[#This Row],[Disc %]]</f>
        <v>664</v>
      </c>
      <c r="L3268" s="43">
        <v>0.18</v>
      </c>
      <c r="M3268" s="46">
        <f>(Sales[[#This Row],[Gross Amount]]-Sales[[#This Row],[Disc. Amt.]])*Sales[[#This Row],[GST %]]</f>
        <v>1075.68</v>
      </c>
      <c r="N3268" s="161">
        <f>Sales[[#This Row],[Gross Amount]]-Sales[[#This Row],[Disc. Amt.]]+Sales[[#This Row],[GST Amount]]</f>
        <v>7051.68</v>
      </c>
      <c r="O3268" s="34" t="s">
        <v>3561</v>
      </c>
      <c r="P3268" s="34" t="s">
        <v>3562</v>
      </c>
      <c r="Q3268" s="165">
        <f>IF(Sales[[#This Row],[Status]]="Cancelled",0,Sales[[#This Row],[Qty]])</f>
        <v>2</v>
      </c>
      <c r="R3268" s="166">
        <f>IF(Sales[[#This Row],[Status]]="Cancelled",0,Sales[[#This Row],[Total Amount]])</f>
        <v>7051.68</v>
      </c>
      <c r="S3268" s="162">
        <f>SUM(Sales[Net Amount])</f>
        <v>406839287.73200053</v>
      </c>
    </row>
    <row r="3269" spans="1:19" ht="18.75" x14ac:dyDescent="0.25">
      <c r="A3269" s="156" t="s">
        <v>6924</v>
      </c>
      <c r="B3269" s="157">
        <v>45941</v>
      </c>
      <c r="C3269" s="158" t="s">
        <v>800</v>
      </c>
      <c r="D3269" s="159" t="str">
        <f>VLOOKUP(Sales[[#This Row],[Customer ID]],Customer[#All],2,0)</f>
        <v>Priya Gupta</v>
      </c>
      <c r="E3269" s="158" t="s">
        <v>178</v>
      </c>
      <c r="F3269" s="158" t="str">
        <f>VLOOKUP(Sales[[#This Row],[Product ID]],Product[#All],2,0)</f>
        <v>Kingston Ram</v>
      </c>
      <c r="G3269" s="159">
        <v>3</v>
      </c>
      <c r="H3269" s="160">
        <f>VLOOKUP(Sales[[#This Row],[Product ID]],Product[#All],7,0)</f>
        <v>9770</v>
      </c>
      <c r="I3269" s="160">
        <f>Sales[[#This Row],[Selling Rate]]*Sales[[#This Row],[Qty]]</f>
        <v>29310</v>
      </c>
      <c r="J3269" s="43">
        <v>0.1</v>
      </c>
      <c r="K3269" s="44">
        <f>Sales[[#This Row],[Gross Amount]]*Sales[[#This Row],[Disc %]]</f>
        <v>2931</v>
      </c>
      <c r="L3269" s="43">
        <v>0.18</v>
      </c>
      <c r="M3269" s="44">
        <f>(Sales[[#This Row],[Gross Amount]]-Sales[[#This Row],[Disc. Amt.]])*Sales[[#This Row],[GST %]]</f>
        <v>4748.22</v>
      </c>
      <c r="N3269" s="161">
        <f>Sales[[#This Row],[Gross Amount]]-Sales[[#This Row],[Disc. Amt.]]+Sales[[#This Row],[GST Amount]]</f>
        <v>31127.22</v>
      </c>
      <c r="O3269" s="158" t="s">
        <v>3569</v>
      </c>
      <c r="P3269" s="158" t="s">
        <v>3562</v>
      </c>
      <c r="Q3269" s="160">
        <f>IF(Sales[[#This Row],[Status]]="Cancelled",0,Sales[[#This Row],[Qty]])</f>
        <v>3</v>
      </c>
      <c r="R3269" s="161">
        <f>IF(Sales[[#This Row],[Status]]="Cancelled",0,Sales[[#This Row],[Total Amount]])</f>
        <v>31127.22</v>
      </c>
      <c r="S3269" s="162">
        <f>SUM(Sales[Net Amount])</f>
        <v>406839287.73200053</v>
      </c>
    </row>
    <row r="3270" spans="1:19" ht="18.75" x14ac:dyDescent="0.25">
      <c r="A3270" s="163" t="s">
        <v>6925</v>
      </c>
      <c r="B3270" s="164">
        <v>45941</v>
      </c>
      <c r="C3270" s="34" t="s">
        <v>849</v>
      </c>
      <c r="D3270" s="53" t="str">
        <f>VLOOKUP(Sales[[#This Row],[Customer ID]],Customer[#All],2,0)</f>
        <v>Sunita Sharma</v>
      </c>
      <c r="E3270" s="34" t="s">
        <v>78</v>
      </c>
      <c r="F3270" s="34" t="str">
        <f>VLOOKUP(Sales[[#This Row],[Product ID]],Product[#All],2,0)</f>
        <v>Lg Monitor</v>
      </c>
      <c r="G3270" s="53">
        <v>7</v>
      </c>
      <c r="H3270" s="165">
        <f>VLOOKUP(Sales[[#This Row],[Product ID]],Product[#All],7,0)</f>
        <v>16690</v>
      </c>
      <c r="I3270" s="165">
        <f>Sales[[#This Row],[Selling Rate]]*Sales[[#This Row],[Qty]]</f>
        <v>116830</v>
      </c>
      <c r="J3270" s="45">
        <v>0.12</v>
      </c>
      <c r="K3270" s="46">
        <f>Sales[[#This Row],[Gross Amount]]*Sales[[#This Row],[Disc %]]</f>
        <v>14019.6</v>
      </c>
      <c r="L3270" s="43">
        <v>0.18</v>
      </c>
      <c r="M3270" s="46">
        <f>(Sales[[#This Row],[Gross Amount]]-Sales[[#This Row],[Disc. Amt.]])*Sales[[#This Row],[GST %]]</f>
        <v>18505.871999999999</v>
      </c>
      <c r="N3270" s="161">
        <f>Sales[[#This Row],[Gross Amount]]-Sales[[#This Row],[Disc. Amt.]]+Sales[[#This Row],[GST Amount]]</f>
        <v>121316.272</v>
      </c>
      <c r="O3270" s="34" t="s">
        <v>8876</v>
      </c>
      <c r="P3270" s="34" t="s">
        <v>3562</v>
      </c>
      <c r="Q3270" s="165">
        <f>IF(Sales[[#This Row],[Status]]="Cancelled",0,Sales[[#This Row],[Qty]])</f>
        <v>7</v>
      </c>
      <c r="R3270" s="166">
        <f>IF(Sales[[#This Row],[Status]]="Cancelled",0,Sales[[#This Row],[Total Amount]])</f>
        <v>121316.272</v>
      </c>
      <c r="S3270" s="162">
        <f>SUM(Sales[Net Amount])</f>
        <v>406839287.73200053</v>
      </c>
    </row>
    <row r="3271" spans="1:19" ht="18.75" x14ac:dyDescent="0.25">
      <c r="A3271" s="156" t="s">
        <v>6926</v>
      </c>
      <c r="B3271" s="157">
        <v>45941</v>
      </c>
      <c r="C3271" s="158" t="s">
        <v>798</v>
      </c>
      <c r="D3271" s="159" t="str">
        <f>VLOOKUP(Sales[[#This Row],[Customer ID]],Customer[#All],2,0)</f>
        <v>Amit Singh</v>
      </c>
      <c r="E3271" s="158" t="s">
        <v>413</v>
      </c>
      <c r="F3271" s="158" t="str">
        <f>VLOOKUP(Sales[[#This Row],[Product ID]],Product[#All],2,0)</f>
        <v>Crucial Ssd</v>
      </c>
      <c r="G3271" s="159">
        <v>5</v>
      </c>
      <c r="H3271" s="160">
        <f>VLOOKUP(Sales[[#This Row],[Product ID]],Product[#All],7,0)</f>
        <v>10780</v>
      </c>
      <c r="I3271" s="160">
        <f>Sales[[#This Row],[Selling Rate]]*Sales[[#This Row],[Qty]]</f>
        <v>53900</v>
      </c>
      <c r="J3271" s="43">
        <v>0.1</v>
      </c>
      <c r="K3271" s="44">
        <f>Sales[[#This Row],[Gross Amount]]*Sales[[#This Row],[Disc %]]</f>
        <v>5390</v>
      </c>
      <c r="L3271" s="43">
        <v>0.18</v>
      </c>
      <c r="M3271" s="44">
        <f>(Sales[[#This Row],[Gross Amount]]-Sales[[#This Row],[Disc. Amt.]])*Sales[[#This Row],[GST %]]</f>
        <v>8731.7999999999993</v>
      </c>
      <c r="N3271" s="161">
        <f>Sales[[#This Row],[Gross Amount]]-Sales[[#This Row],[Disc. Amt.]]+Sales[[#This Row],[GST Amount]]</f>
        <v>57241.8</v>
      </c>
      <c r="O3271" s="158" t="s">
        <v>3569</v>
      </c>
      <c r="P3271" s="158" t="s">
        <v>3562</v>
      </c>
      <c r="Q3271" s="160">
        <f>IF(Sales[[#This Row],[Status]]="Cancelled",0,Sales[[#This Row],[Qty]])</f>
        <v>5</v>
      </c>
      <c r="R3271" s="161">
        <f>IF(Sales[[#This Row],[Status]]="Cancelled",0,Sales[[#This Row],[Total Amount]])</f>
        <v>57241.8</v>
      </c>
      <c r="S3271" s="162">
        <f>SUM(Sales[Net Amount])</f>
        <v>406839287.73200053</v>
      </c>
    </row>
    <row r="3272" spans="1:19" ht="18.75" x14ac:dyDescent="0.25">
      <c r="A3272" s="163" t="s">
        <v>6927</v>
      </c>
      <c r="B3272" s="164">
        <v>45941</v>
      </c>
      <c r="C3272" s="34" t="s">
        <v>776</v>
      </c>
      <c r="D3272" s="53" t="str">
        <f>VLOOKUP(Sales[[#This Row],[Customer ID]],Customer[#All],2,0)</f>
        <v>Sunita Singh</v>
      </c>
      <c r="E3272" s="34" t="s">
        <v>161</v>
      </c>
      <c r="F3272" s="34" t="str">
        <f>VLOOKUP(Sales[[#This Row],[Product ID]],Product[#All],2,0)</f>
        <v>TP-link Router</v>
      </c>
      <c r="G3272" s="53">
        <v>5</v>
      </c>
      <c r="H3272" s="165">
        <f>VLOOKUP(Sales[[#This Row],[Product ID]],Product[#All],7,0)</f>
        <v>1330</v>
      </c>
      <c r="I3272" s="165">
        <f>Sales[[#This Row],[Selling Rate]]*Sales[[#This Row],[Qty]]</f>
        <v>6650</v>
      </c>
      <c r="J3272" s="45">
        <v>0</v>
      </c>
      <c r="K3272" s="46">
        <f>Sales[[#This Row],[Gross Amount]]*Sales[[#This Row],[Disc %]]</f>
        <v>0</v>
      </c>
      <c r="L3272" s="43">
        <v>0.18</v>
      </c>
      <c r="M3272" s="46">
        <f>(Sales[[#This Row],[Gross Amount]]-Sales[[#This Row],[Disc. Amt.]])*Sales[[#This Row],[GST %]]</f>
        <v>1197</v>
      </c>
      <c r="N3272" s="161">
        <f>Sales[[#This Row],[Gross Amount]]-Sales[[#This Row],[Disc. Amt.]]+Sales[[#This Row],[GST Amount]]</f>
        <v>7847</v>
      </c>
      <c r="O3272" s="34" t="s">
        <v>3566</v>
      </c>
      <c r="P3272" s="34" t="s">
        <v>3562</v>
      </c>
      <c r="Q3272" s="165">
        <f>IF(Sales[[#This Row],[Status]]="Cancelled",0,Sales[[#This Row],[Qty]])</f>
        <v>5</v>
      </c>
      <c r="R3272" s="166">
        <f>IF(Sales[[#This Row],[Status]]="Cancelled",0,Sales[[#This Row],[Total Amount]])</f>
        <v>7847</v>
      </c>
      <c r="S3272" s="162">
        <f>SUM(Sales[Net Amount])</f>
        <v>406839287.73200053</v>
      </c>
    </row>
    <row r="3273" spans="1:19" ht="18.75" x14ac:dyDescent="0.25">
      <c r="A3273" s="156" t="s">
        <v>6928</v>
      </c>
      <c r="B3273" s="157">
        <v>45942</v>
      </c>
      <c r="C3273" s="158" t="s">
        <v>862</v>
      </c>
      <c r="D3273" s="159" t="str">
        <f>VLOOKUP(Sales[[#This Row],[Customer ID]],Customer[#All],2,0)</f>
        <v>Rakesh Sharma</v>
      </c>
      <c r="E3273" s="158" t="s">
        <v>285</v>
      </c>
      <c r="F3273" s="158" t="str">
        <f>VLOOKUP(Sales[[#This Row],[Product ID]],Product[#All],2,0)</f>
        <v>HP Power Adapter</v>
      </c>
      <c r="G3273" s="159">
        <v>6</v>
      </c>
      <c r="H3273" s="160">
        <f>VLOOKUP(Sales[[#This Row],[Product ID]],Product[#All],7,0)</f>
        <v>2170</v>
      </c>
      <c r="I3273" s="160">
        <f>Sales[[#This Row],[Selling Rate]]*Sales[[#This Row],[Qty]]</f>
        <v>13020</v>
      </c>
      <c r="J3273" s="43">
        <v>0.05</v>
      </c>
      <c r="K3273" s="44">
        <f>Sales[[#This Row],[Gross Amount]]*Sales[[#This Row],[Disc %]]</f>
        <v>651</v>
      </c>
      <c r="L3273" s="43">
        <v>0.18</v>
      </c>
      <c r="M3273" s="44">
        <f>(Sales[[#This Row],[Gross Amount]]-Sales[[#This Row],[Disc. Amt.]])*Sales[[#This Row],[GST %]]</f>
        <v>2226.42</v>
      </c>
      <c r="N3273" s="161">
        <f>Sales[[#This Row],[Gross Amount]]-Sales[[#This Row],[Disc. Amt.]]+Sales[[#This Row],[GST Amount]]</f>
        <v>14595.42</v>
      </c>
      <c r="O3273" s="158" t="s">
        <v>8876</v>
      </c>
      <c r="P3273" s="158" t="s">
        <v>3562</v>
      </c>
      <c r="Q3273" s="160">
        <f>IF(Sales[[#This Row],[Status]]="Cancelled",0,Sales[[#This Row],[Qty]])</f>
        <v>6</v>
      </c>
      <c r="R3273" s="161">
        <f>IF(Sales[[#This Row],[Status]]="Cancelled",0,Sales[[#This Row],[Total Amount]])</f>
        <v>14595.42</v>
      </c>
      <c r="S3273" s="162">
        <f>SUM(Sales[Net Amount])</f>
        <v>406839287.73200053</v>
      </c>
    </row>
    <row r="3274" spans="1:19" ht="18.75" x14ac:dyDescent="0.25">
      <c r="A3274" s="163" t="s">
        <v>6929</v>
      </c>
      <c r="B3274" s="164">
        <v>45942</v>
      </c>
      <c r="C3274" s="34" t="s">
        <v>949</v>
      </c>
      <c r="D3274" s="53" t="str">
        <f>VLOOKUP(Sales[[#This Row],[Customer ID]],Customer[#All],2,0)</f>
        <v>Amit Patel</v>
      </c>
      <c r="E3274" s="34" t="s">
        <v>100</v>
      </c>
      <c r="F3274" s="34" t="str">
        <f>VLOOKUP(Sales[[#This Row],[Product ID]],Product[#All],2,0)</f>
        <v>Portronics USB Cable</v>
      </c>
      <c r="G3274" s="53">
        <v>8</v>
      </c>
      <c r="H3274" s="165">
        <f>VLOOKUP(Sales[[#This Row],[Product ID]],Product[#All],7,0)</f>
        <v>210</v>
      </c>
      <c r="I3274" s="165">
        <f>Sales[[#This Row],[Selling Rate]]*Sales[[#This Row],[Qty]]</f>
        <v>1680</v>
      </c>
      <c r="J3274" s="45">
        <v>0.12</v>
      </c>
      <c r="K3274" s="46">
        <f>Sales[[#This Row],[Gross Amount]]*Sales[[#This Row],[Disc %]]</f>
        <v>201.6</v>
      </c>
      <c r="L3274" s="43">
        <v>0.18</v>
      </c>
      <c r="M3274" s="46">
        <f>(Sales[[#This Row],[Gross Amount]]-Sales[[#This Row],[Disc. Amt.]])*Sales[[#This Row],[GST %]]</f>
        <v>266.11200000000002</v>
      </c>
      <c r="N3274" s="161">
        <f>Sales[[#This Row],[Gross Amount]]-Sales[[#This Row],[Disc. Amt.]]+Sales[[#This Row],[GST Amount]]</f>
        <v>1744.5120000000002</v>
      </c>
      <c r="O3274" s="34" t="s">
        <v>3566</v>
      </c>
      <c r="P3274" s="34" t="s">
        <v>3562</v>
      </c>
      <c r="Q3274" s="165">
        <f>IF(Sales[[#This Row],[Status]]="Cancelled",0,Sales[[#This Row],[Qty]])</f>
        <v>8</v>
      </c>
      <c r="R3274" s="166">
        <f>IF(Sales[[#This Row],[Status]]="Cancelled",0,Sales[[#This Row],[Total Amount]])</f>
        <v>1744.5120000000002</v>
      </c>
      <c r="S3274" s="162">
        <f>SUM(Sales[Net Amount])</f>
        <v>406839287.73200053</v>
      </c>
    </row>
    <row r="3275" spans="1:19" ht="18.75" x14ac:dyDescent="0.25">
      <c r="A3275" s="156" t="s">
        <v>6930</v>
      </c>
      <c r="B3275" s="157">
        <v>45942</v>
      </c>
      <c r="C3275" s="158" t="s">
        <v>679</v>
      </c>
      <c r="D3275" s="159" t="str">
        <f>VLOOKUP(Sales[[#This Row],[Customer ID]],Customer[#All],2,0)</f>
        <v>Rahul Singh</v>
      </c>
      <c r="E3275" s="158" t="s">
        <v>209</v>
      </c>
      <c r="F3275" s="158" t="str">
        <f>VLOOKUP(Sales[[#This Row],[Product ID]],Product[#All],2,0)</f>
        <v>HP Laptop</v>
      </c>
      <c r="G3275" s="159">
        <v>6</v>
      </c>
      <c r="H3275" s="160">
        <f>VLOOKUP(Sales[[#This Row],[Product ID]],Product[#All],7,0)</f>
        <v>60780</v>
      </c>
      <c r="I3275" s="160">
        <f>Sales[[#This Row],[Selling Rate]]*Sales[[#This Row],[Qty]]</f>
        <v>364680</v>
      </c>
      <c r="J3275" s="43">
        <v>0.12</v>
      </c>
      <c r="K3275" s="44">
        <f>Sales[[#This Row],[Gross Amount]]*Sales[[#This Row],[Disc %]]</f>
        <v>43761.599999999999</v>
      </c>
      <c r="L3275" s="43">
        <v>0.18</v>
      </c>
      <c r="M3275" s="44">
        <f>(Sales[[#This Row],[Gross Amount]]-Sales[[#This Row],[Disc. Amt.]])*Sales[[#This Row],[GST %]]</f>
        <v>57765.312000000005</v>
      </c>
      <c r="N3275" s="161">
        <f>Sales[[#This Row],[Gross Amount]]-Sales[[#This Row],[Disc. Amt.]]+Sales[[#This Row],[GST Amount]]</f>
        <v>378683.71200000006</v>
      </c>
      <c r="O3275" s="158" t="s">
        <v>3569</v>
      </c>
      <c r="P3275" s="158" t="s">
        <v>3562</v>
      </c>
      <c r="Q3275" s="160">
        <f>IF(Sales[[#This Row],[Status]]="Cancelled",0,Sales[[#This Row],[Qty]])</f>
        <v>6</v>
      </c>
      <c r="R3275" s="161">
        <f>IF(Sales[[#This Row],[Status]]="Cancelled",0,Sales[[#This Row],[Total Amount]])</f>
        <v>378683.71200000006</v>
      </c>
      <c r="S3275" s="162">
        <f>SUM(Sales[Net Amount])</f>
        <v>406839287.73200053</v>
      </c>
    </row>
    <row r="3276" spans="1:19" ht="18.75" x14ac:dyDescent="0.25">
      <c r="A3276" s="163" t="s">
        <v>6931</v>
      </c>
      <c r="B3276" s="164">
        <v>45942</v>
      </c>
      <c r="C3276" s="34" t="s">
        <v>679</v>
      </c>
      <c r="D3276" s="53" t="str">
        <f>VLOOKUP(Sales[[#This Row],[Customer ID]],Customer[#All],2,0)</f>
        <v>Rahul Singh</v>
      </c>
      <c r="E3276" s="34" t="s">
        <v>188</v>
      </c>
      <c r="F3276" s="34" t="str">
        <f>VLOOKUP(Sales[[#This Row],[Product ID]],Product[#All],2,0)</f>
        <v>Crucial Ssd</v>
      </c>
      <c r="G3276" s="53">
        <v>1</v>
      </c>
      <c r="H3276" s="165">
        <f>VLOOKUP(Sales[[#This Row],[Product ID]],Product[#All],7,0)</f>
        <v>14390</v>
      </c>
      <c r="I3276" s="165">
        <f>Sales[[#This Row],[Selling Rate]]*Sales[[#This Row],[Qty]]</f>
        <v>14390</v>
      </c>
      <c r="J3276" s="45">
        <v>0.05</v>
      </c>
      <c r="K3276" s="46">
        <f>Sales[[#This Row],[Gross Amount]]*Sales[[#This Row],[Disc %]]</f>
        <v>719.5</v>
      </c>
      <c r="L3276" s="43">
        <v>0.18</v>
      </c>
      <c r="M3276" s="46">
        <f>(Sales[[#This Row],[Gross Amount]]-Sales[[#This Row],[Disc. Amt.]])*Sales[[#This Row],[GST %]]</f>
        <v>2460.69</v>
      </c>
      <c r="N3276" s="161">
        <f>Sales[[#This Row],[Gross Amount]]-Sales[[#This Row],[Disc. Amt.]]+Sales[[#This Row],[GST Amount]]</f>
        <v>16131.19</v>
      </c>
      <c r="O3276" s="34" t="s">
        <v>8876</v>
      </c>
      <c r="P3276" s="34" t="s">
        <v>3562</v>
      </c>
      <c r="Q3276" s="165">
        <f>IF(Sales[[#This Row],[Status]]="Cancelled",0,Sales[[#This Row],[Qty]])</f>
        <v>1</v>
      </c>
      <c r="R3276" s="166">
        <f>IF(Sales[[#This Row],[Status]]="Cancelled",0,Sales[[#This Row],[Total Amount]])</f>
        <v>16131.19</v>
      </c>
      <c r="S3276" s="162">
        <f>SUM(Sales[Net Amount])</f>
        <v>406839287.73200053</v>
      </c>
    </row>
    <row r="3277" spans="1:19" ht="18.75" x14ac:dyDescent="0.25">
      <c r="A3277" s="156" t="s">
        <v>6932</v>
      </c>
      <c r="B3277" s="157">
        <v>45942</v>
      </c>
      <c r="C3277" s="158" t="s">
        <v>929</v>
      </c>
      <c r="D3277" s="159" t="str">
        <f>VLOOKUP(Sales[[#This Row],[Customer ID]],Customer[#All],2,0)</f>
        <v>Sunita Gupta</v>
      </c>
      <c r="E3277" s="158" t="s">
        <v>112</v>
      </c>
      <c r="F3277" s="158" t="str">
        <f>VLOOKUP(Sales[[#This Row],[Product ID]],Product[#All],2,0)</f>
        <v>Logitech Keyboard</v>
      </c>
      <c r="G3277" s="159">
        <v>8</v>
      </c>
      <c r="H3277" s="160">
        <f>VLOOKUP(Sales[[#This Row],[Product ID]],Product[#All],7,0)</f>
        <v>3300</v>
      </c>
      <c r="I3277" s="160">
        <f>Sales[[#This Row],[Selling Rate]]*Sales[[#This Row],[Qty]]</f>
        <v>26400</v>
      </c>
      <c r="J3277" s="43">
        <v>0.12</v>
      </c>
      <c r="K3277" s="44">
        <f>Sales[[#This Row],[Gross Amount]]*Sales[[#This Row],[Disc %]]</f>
        <v>3168</v>
      </c>
      <c r="L3277" s="43">
        <v>0.18</v>
      </c>
      <c r="M3277" s="44">
        <f>(Sales[[#This Row],[Gross Amount]]-Sales[[#This Row],[Disc. Amt.]])*Sales[[#This Row],[GST %]]</f>
        <v>4181.76</v>
      </c>
      <c r="N3277" s="161">
        <f>Sales[[#This Row],[Gross Amount]]-Sales[[#This Row],[Disc. Amt.]]+Sales[[#This Row],[GST Amount]]</f>
        <v>27413.760000000002</v>
      </c>
      <c r="O3277" s="158" t="s">
        <v>3561</v>
      </c>
      <c r="P3277" s="158" t="s">
        <v>3562</v>
      </c>
      <c r="Q3277" s="160">
        <f>IF(Sales[[#This Row],[Status]]="Cancelled",0,Sales[[#This Row],[Qty]])</f>
        <v>8</v>
      </c>
      <c r="R3277" s="161">
        <f>IF(Sales[[#This Row],[Status]]="Cancelled",0,Sales[[#This Row],[Total Amount]])</f>
        <v>27413.760000000002</v>
      </c>
      <c r="S3277" s="162">
        <f>SUM(Sales[Net Amount])</f>
        <v>406839287.73200053</v>
      </c>
    </row>
    <row r="3278" spans="1:19" ht="18.75" x14ac:dyDescent="0.25">
      <c r="A3278" s="163" t="s">
        <v>6933</v>
      </c>
      <c r="B3278" s="164">
        <v>45942</v>
      </c>
      <c r="C3278" s="34" t="s">
        <v>779</v>
      </c>
      <c r="D3278" s="53" t="str">
        <f>VLOOKUP(Sales[[#This Row],[Customer ID]],Customer[#All],2,0)</f>
        <v>Rakesh Verma</v>
      </c>
      <c r="E3278" s="34" t="s">
        <v>159</v>
      </c>
      <c r="F3278" s="34" t="str">
        <f>VLOOKUP(Sales[[#This Row],[Product ID]],Product[#All],2,0)</f>
        <v>HP Laptop</v>
      </c>
      <c r="G3278" s="53">
        <v>2</v>
      </c>
      <c r="H3278" s="165">
        <f>VLOOKUP(Sales[[#This Row],[Product ID]],Product[#All],7,0)</f>
        <v>90020</v>
      </c>
      <c r="I3278" s="165">
        <f>Sales[[#This Row],[Selling Rate]]*Sales[[#This Row],[Qty]]</f>
        <v>180040</v>
      </c>
      <c r="J3278" s="45">
        <v>0.02</v>
      </c>
      <c r="K3278" s="46">
        <f>Sales[[#This Row],[Gross Amount]]*Sales[[#This Row],[Disc %]]</f>
        <v>3600.8</v>
      </c>
      <c r="L3278" s="43">
        <v>0.18</v>
      </c>
      <c r="M3278" s="46">
        <f>(Sales[[#This Row],[Gross Amount]]-Sales[[#This Row],[Disc. Amt.]])*Sales[[#This Row],[GST %]]</f>
        <v>31759.056</v>
      </c>
      <c r="N3278" s="161">
        <f>Sales[[#This Row],[Gross Amount]]-Sales[[#This Row],[Disc. Amt.]]+Sales[[#This Row],[GST Amount]]</f>
        <v>208198.25600000002</v>
      </c>
      <c r="O3278" s="34" t="s">
        <v>3561</v>
      </c>
      <c r="P3278" s="34" t="s">
        <v>3562</v>
      </c>
      <c r="Q3278" s="165">
        <f>IF(Sales[[#This Row],[Status]]="Cancelled",0,Sales[[#This Row],[Qty]])</f>
        <v>2</v>
      </c>
      <c r="R3278" s="166">
        <f>IF(Sales[[#This Row],[Status]]="Cancelled",0,Sales[[#This Row],[Total Amount]])</f>
        <v>208198.25600000002</v>
      </c>
      <c r="S3278" s="162">
        <f>SUM(Sales[Net Amount])</f>
        <v>406839287.73200053</v>
      </c>
    </row>
    <row r="3279" spans="1:19" ht="18.75" x14ac:dyDescent="0.25">
      <c r="A3279" s="156" t="s">
        <v>6934</v>
      </c>
      <c r="B3279" s="157">
        <v>45942</v>
      </c>
      <c r="C3279" s="158" t="s">
        <v>8728</v>
      </c>
      <c r="D3279" s="159" t="str">
        <f>VLOOKUP(Sales[[#This Row],[Customer ID]],Customer[#All],2,0)</f>
        <v>Rakesh Patel</v>
      </c>
      <c r="E3279" s="158" t="s">
        <v>140</v>
      </c>
      <c r="F3279" s="158" t="str">
        <f>VLOOKUP(Sales[[#This Row],[Product ID]],Product[#All],2,0)</f>
        <v>Logitech Mouse</v>
      </c>
      <c r="G3279" s="159">
        <v>6</v>
      </c>
      <c r="H3279" s="160">
        <f>VLOOKUP(Sales[[#This Row],[Product ID]],Product[#All],7,0)</f>
        <v>2760</v>
      </c>
      <c r="I3279" s="160">
        <f>Sales[[#This Row],[Selling Rate]]*Sales[[#This Row],[Qty]]</f>
        <v>16560</v>
      </c>
      <c r="J3279" s="43">
        <v>0.05</v>
      </c>
      <c r="K3279" s="44">
        <f>Sales[[#This Row],[Gross Amount]]*Sales[[#This Row],[Disc %]]</f>
        <v>828</v>
      </c>
      <c r="L3279" s="43">
        <v>0.18</v>
      </c>
      <c r="M3279" s="44">
        <f>(Sales[[#This Row],[Gross Amount]]-Sales[[#This Row],[Disc. Amt.]])*Sales[[#This Row],[GST %]]</f>
        <v>2831.7599999999998</v>
      </c>
      <c r="N3279" s="161">
        <f>Sales[[#This Row],[Gross Amount]]-Sales[[#This Row],[Disc. Amt.]]+Sales[[#This Row],[GST Amount]]</f>
        <v>18563.759999999998</v>
      </c>
      <c r="O3279" s="158" t="s">
        <v>3569</v>
      </c>
      <c r="P3279" s="158" t="s">
        <v>3562</v>
      </c>
      <c r="Q3279" s="160">
        <f>IF(Sales[[#This Row],[Status]]="Cancelled",0,Sales[[#This Row],[Qty]])</f>
        <v>6</v>
      </c>
      <c r="R3279" s="161">
        <f>IF(Sales[[#This Row],[Status]]="Cancelled",0,Sales[[#This Row],[Total Amount]])</f>
        <v>18563.759999999998</v>
      </c>
      <c r="S3279" s="162">
        <f>SUM(Sales[Net Amount])</f>
        <v>406839287.73200053</v>
      </c>
    </row>
    <row r="3280" spans="1:19" ht="18.75" x14ac:dyDescent="0.25">
      <c r="A3280" s="163" t="s">
        <v>6935</v>
      </c>
      <c r="B3280" s="164">
        <v>45942</v>
      </c>
      <c r="C3280" s="34" t="s">
        <v>764</v>
      </c>
      <c r="D3280" s="53" t="str">
        <f>VLOOKUP(Sales[[#This Row],[Customer ID]],Customer[#All],2,0)</f>
        <v>Priya Gupta</v>
      </c>
      <c r="E3280" s="34" t="s">
        <v>553</v>
      </c>
      <c r="F3280" s="34" t="str">
        <f>VLOOKUP(Sales[[#This Row],[Product ID]],Product[#All],2,0)</f>
        <v>Logitech Webcam</v>
      </c>
      <c r="G3280" s="53">
        <v>5</v>
      </c>
      <c r="H3280" s="165">
        <f>VLOOKUP(Sales[[#This Row],[Product ID]],Product[#All],7,0)</f>
        <v>3820</v>
      </c>
      <c r="I3280" s="165">
        <f>Sales[[#This Row],[Selling Rate]]*Sales[[#This Row],[Qty]]</f>
        <v>19100</v>
      </c>
      <c r="J3280" s="45">
        <v>0.15</v>
      </c>
      <c r="K3280" s="46">
        <f>Sales[[#This Row],[Gross Amount]]*Sales[[#This Row],[Disc %]]</f>
        <v>2865</v>
      </c>
      <c r="L3280" s="43">
        <v>0.18</v>
      </c>
      <c r="M3280" s="46">
        <f>(Sales[[#This Row],[Gross Amount]]-Sales[[#This Row],[Disc. Amt.]])*Sales[[#This Row],[GST %]]</f>
        <v>2922.2999999999997</v>
      </c>
      <c r="N3280" s="161">
        <f>Sales[[#This Row],[Gross Amount]]-Sales[[#This Row],[Disc. Amt.]]+Sales[[#This Row],[GST Amount]]</f>
        <v>19157.3</v>
      </c>
      <c r="O3280" s="34" t="s">
        <v>3566</v>
      </c>
      <c r="P3280" s="34" t="s">
        <v>3562</v>
      </c>
      <c r="Q3280" s="165">
        <f>IF(Sales[[#This Row],[Status]]="Cancelled",0,Sales[[#This Row],[Qty]])</f>
        <v>5</v>
      </c>
      <c r="R3280" s="166">
        <f>IF(Sales[[#This Row],[Status]]="Cancelled",0,Sales[[#This Row],[Total Amount]])</f>
        <v>19157.3</v>
      </c>
      <c r="S3280" s="162">
        <f>SUM(Sales[Net Amount])</f>
        <v>406839287.73200053</v>
      </c>
    </row>
    <row r="3281" spans="1:19" ht="18.75" x14ac:dyDescent="0.25">
      <c r="A3281" s="156" t="s">
        <v>6936</v>
      </c>
      <c r="B3281" s="157">
        <v>45942</v>
      </c>
      <c r="C3281" s="158" t="s">
        <v>836</v>
      </c>
      <c r="D3281" s="159" t="str">
        <f>VLOOKUP(Sales[[#This Row],[Customer ID]],Customer[#All],2,0)</f>
        <v>Sunita Patel</v>
      </c>
      <c r="E3281" s="158" t="s">
        <v>279</v>
      </c>
      <c r="F3281" s="158" t="str">
        <f>VLOOKUP(Sales[[#This Row],[Product ID]],Product[#All],2,0)</f>
        <v>HP Printer</v>
      </c>
      <c r="G3281" s="159">
        <v>2</v>
      </c>
      <c r="H3281" s="160">
        <f>VLOOKUP(Sales[[#This Row],[Product ID]],Product[#All],7,0)</f>
        <v>25880</v>
      </c>
      <c r="I3281" s="160">
        <f>Sales[[#This Row],[Selling Rate]]*Sales[[#This Row],[Qty]]</f>
        <v>51760</v>
      </c>
      <c r="J3281" s="43">
        <v>0.15</v>
      </c>
      <c r="K3281" s="44">
        <f>Sales[[#This Row],[Gross Amount]]*Sales[[#This Row],[Disc %]]</f>
        <v>7764</v>
      </c>
      <c r="L3281" s="43">
        <v>0.18</v>
      </c>
      <c r="M3281" s="44">
        <f>(Sales[[#This Row],[Gross Amount]]-Sales[[#This Row],[Disc. Amt.]])*Sales[[#This Row],[GST %]]</f>
        <v>7919.28</v>
      </c>
      <c r="N3281" s="161">
        <f>Sales[[#This Row],[Gross Amount]]-Sales[[#This Row],[Disc. Amt.]]+Sales[[#This Row],[GST Amount]]</f>
        <v>51915.28</v>
      </c>
      <c r="O3281" s="158" t="s">
        <v>3561</v>
      </c>
      <c r="P3281" s="158" t="s">
        <v>3562</v>
      </c>
      <c r="Q3281" s="160">
        <f>IF(Sales[[#This Row],[Status]]="Cancelled",0,Sales[[#This Row],[Qty]])</f>
        <v>2</v>
      </c>
      <c r="R3281" s="161">
        <f>IF(Sales[[#This Row],[Status]]="Cancelled",0,Sales[[#This Row],[Total Amount]])</f>
        <v>51915.28</v>
      </c>
      <c r="S3281" s="162">
        <f>SUM(Sales[Net Amount])</f>
        <v>406839287.73200053</v>
      </c>
    </row>
    <row r="3282" spans="1:19" ht="18.75" x14ac:dyDescent="0.25">
      <c r="A3282" s="163" t="s">
        <v>6937</v>
      </c>
      <c r="B3282" s="164">
        <v>45942</v>
      </c>
      <c r="C3282" s="34" t="s">
        <v>865</v>
      </c>
      <c r="D3282" s="53" t="str">
        <f>VLOOKUP(Sales[[#This Row],[Customer ID]],Customer[#All],2,0)</f>
        <v>Sunita Gupta</v>
      </c>
      <c r="E3282" s="34" t="s">
        <v>224</v>
      </c>
      <c r="F3282" s="34" t="str">
        <f>VLOOKUP(Sales[[#This Row],[Product ID]],Product[#All],2,0)</f>
        <v>Seagate HDD</v>
      </c>
      <c r="G3282" s="53">
        <v>6</v>
      </c>
      <c r="H3282" s="165">
        <f>VLOOKUP(Sales[[#This Row],[Product ID]],Product[#All],7,0)</f>
        <v>8130</v>
      </c>
      <c r="I3282" s="165">
        <f>Sales[[#This Row],[Selling Rate]]*Sales[[#This Row],[Qty]]</f>
        <v>48780</v>
      </c>
      <c r="J3282" s="45">
        <v>0.05</v>
      </c>
      <c r="K3282" s="46">
        <f>Sales[[#This Row],[Gross Amount]]*Sales[[#This Row],[Disc %]]</f>
        <v>2439</v>
      </c>
      <c r="L3282" s="43">
        <v>0.18</v>
      </c>
      <c r="M3282" s="46">
        <f>(Sales[[#This Row],[Gross Amount]]-Sales[[#This Row],[Disc. Amt.]])*Sales[[#This Row],[GST %]]</f>
        <v>8341.3799999999992</v>
      </c>
      <c r="N3282" s="161">
        <f>Sales[[#This Row],[Gross Amount]]-Sales[[#This Row],[Disc. Amt.]]+Sales[[#This Row],[GST Amount]]</f>
        <v>54682.38</v>
      </c>
      <c r="O3282" s="34" t="s">
        <v>3566</v>
      </c>
      <c r="P3282" s="34" t="s">
        <v>3562</v>
      </c>
      <c r="Q3282" s="165">
        <f>IF(Sales[[#This Row],[Status]]="Cancelled",0,Sales[[#This Row],[Qty]])</f>
        <v>6</v>
      </c>
      <c r="R3282" s="166">
        <f>IF(Sales[[#This Row],[Status]]="Cancelled",0,Sales[[#This Row],[Total Amount]])</f>
        <v>54682.38</v>
      </c>
      <c r="S3282" s="162">
        <f>SUM(Sales[Net Amount])</f>
        <v>406839287.73200053</v>
      </c>
    </row>
    <row r="3283" spans="1:19" ht="18.75" x14ac:dyDescent="0.25">
      <c r="A3283" s="156" t="s">
        <v>6938</v>
      </c>
      <c r="B3283" s="157">
        <v>45942</v>
      </c>
      <c r="C3283" s="158" t="s">
        <v>724</v>
      </c>
      <c r="D3283" s="159" t="str">
        <f>VLOOKUP(Sales[[#This Row],[Customer ID]],Customer[#All],2,0)</f>
        <v>Sunita Sharma</v>
      </c>
      <c r="E3283" s="158" t="s">
        <v>47</v>
      </c>
      <c r="F3283" s="158" t="str">
        <f>VLOOKUP(Sales[[#This Row],[Product ID]],Product[#All],2,0)</f>
        <v>Logitech Keyboard</v>
      </c>
      <c r="G3283" s="159">
        <v>8</v>
      </c>
      <c r="H3283" s="160">
        <f>VLOOKUP(Sales[[#This Row],[Product ID]],Product[#All],7,0)</f>
        <v>930</v>
      </c>
      <c r="I3283" s="160">
        <f>Sales[[#This Row],[Selling Rate]]*Sales[[#This Row],[Qty]]</f>
        <v>7440</v>
      </c>
      <c r="J3283" s="43">
        <v>0.05</v>
      </c>
      <c r="K3283" s="44">
        <f>Sales[[#This Row],[Gross Amount]]*Sales[[#This Row],[Disc %]]</f>
        <v>372</v>
      </c>
      <c r="L3283" s="43">
        <v>0.18</v>
      </c>
      <c r="M3283" s="44">
        <f>(Sales[[#This Row],[Gross Amount]]-Sales[[#This Row],[Disc. Amt.]])*Sales[[#This Row],[GST %]]</f>
        <v>1272.24</v>
      </c>
      <c r="N3283" s="161">
        <f>Sales[[#This Row],[Gross Amount]]-Sales[[#This Row],[Disc. Amt.]]+Sales[[#This Row],[GST Amount]]</f>
        <v>8340.24</v>
      </c>
      <c r="O3283" s="158" t="s">
        <v>3569</v>
      </c>
      <c r="P3283" s="158" t="s">
        <v>3562</v>
      </c>
      <c r="Q3283" s="160">
        <f>IF(Sales[[#This Row],[Status]]="Cancelled",0,Sales[[#This Row],[Qty]])</f>
        <v>8</v>
      </c>
      <c r="R3283" s="161">
        <f>IF(Sales[[#This Row],[Status]]="Cancelled",0,Sales[[#This Row],[Total Amount]])</f>
        <v>8340.24</v>
      </c>
      <c r="S3283" s="162">
        <f>SUM(Sales[Net Amount])</f>
        <v>406839287.73200053</v>
      </c>
    </row>
    <row r="3284" spans="1:19" ht="18.75" x14ac:dyDescent="0.25">
      <c r="A3284" s="163" t="s">
        <v>6939</v>
      </c>
      <c r="B3284" s="164">
        <v>45942</v>
      </c>
      <c r="C3284" s="34" t="s">
        <v>799</v>
      </c>
      <c r="D3284" s="53" t="str">
        <f>VLOOKUP(Sales[[#This Row],[Customer ID]],Customer[#All],2,0)</f>
        <v>Rakesh Gupta</v>
      </c>
      <c r="E3284" s="34" t="s">
        <v>110</v>
      </c>
      <c r="F3284" s="34" t="str">
        <f>VLOOKUP(Sales[[#This Row],[Product ID]],Product[#All],2,0)</f>
        <v>Lenovo Laptop</v>
      </c>
      <c r="G3284" s="53">
        <v>1</v>
      </c>
      <c r="H3284" s="165">
        <f>VLOOKUP(Sales[[#This Row],[Product ID]],Product[#All],7,0)</f>
        <v>66670</v>
      </c>
      <c r="I3284" s="165">
        <f>Sales[[#This Row],[Selling Rate]]*Sales[[#This Row],[Qty]]</f>
        <v>66670</v>
      </c>
      <c r="J3284" s="45">
        <v>0.1</v>
      </c>
      <c r="K3284" s="46">
        <f>Sales[[#This Row],[Gross Amount]]*Sales[[#This Row],[Disc %]]</f>
        <v>6667</v>
      </c>
      <c r="L3284" s="43">
        <v>0.18</v>
      </c>
      <c r="M3284" s="46">
        <f>(Sales[[#This Row],[Gross Amount]]-Sales[[#This Row],[Disc. Amt.]])*Sales[[#This Row],[GST %]]</f>
        <v>10800.539999999999</v>
      </c>
      <c r="N3284" s="161">
        <f>Sales[[#This Row],[Gross Amount]]-Sales[[#This Row],[Disc. Amt.]]+Sales[[#This Row],[GST Amount]]</f>
        <v>70803.539999999994</v>
      </c>
      <c r="O3284" s="34" t="s">
        <v>3561</v>
      </c>
      <c r="P3284" s="34" t="s">
        <v>3562</v>
      </c>
      <c r="Q3284" s="165">
        <f>IF(Sales[[#This Row],[Status]]="Cancelled",0,Sales[[#This Row],[Qty]])</f>
        <v>1</v>
      </c>
      <c r="R3284" s="166">
        <f>IF(Sales[[#This Row],[Status]]="Cancelled",0,Sales[[#This Row],[Total Amount]])</f>
        <v>70803.539999999994</v>
      </c>
      <c r="S3284" s="162">
        <f>SUM(Sales[Net Amount])</f>
        <v>406839287.73200053</v>
      </c>
    </row>
    <row r="3285" spans="1:19" ht="18.75" x14ac:dyDescent="0.25">
      <c r="A3285" s="156" t="s">
        <v>6940</v>
      </c>
      <c r="B3285" s="157">
        <v>45942</v>
      </c>
      <c r="C3285" s="158" t="s">
        <v>884</v>
      </c>
      <c r="D3285" s="159" t="str">
        <f>VLOOKUP(Sales[[#This Row],[Customer ID]],Customer[#All],2,0)</f>
        <v>Sahil Patel</v>
      </c>
      <c r="E3285" s="158" t="s">
        <v>12</v>
      </c>
      <c r="F3285" s="158" t="str">
        <f>VLOOKUP(Sales[[#This Row],[Product ID]],Product[#All],2,0)</f>
        <v>Boat Headset</v>
      </c>
      <c r="G3285" s="159">
        <v>8</v>
      </c>
      <c r="H3285" s="160">
        <f>VLOOKUP(Sales[[#This Row],[Product ID]],Product[#All],7,0)</f>
        <v>1990</v>
      </c>
      <c r="I3285" s="160">
        <f>Sales[[#This Row],[Selling Rate]]*Sales[[#This Row],[Qty]]</f>
        <v>15920</v>
      </c>
      <c r="J3285" s="43">
        <v>0</v>
      </c>
      <c r="K3285" s="44">
        <f>Sales[[#This Row],[Gross Amount]]*Sales[[#This Row],[Disc %]]</f>
        <v>0</v>
      </c>
      <c r="L3285" s="43">
        <v>0.18</v>
      </c>
      <c r="M3285" s="44">
        <f>(Sales[[#This Row],[Gross Amount]]-Sales[[#This Row],[Disc. Amt.]])*Sales[[#This Row],[GST %]]</f>
        <v>2865.6</v>
      </c>
      <c r="N3285" s="161">
        <f>Sales[[#This Row],[Gross Amount]]-Sales[[#This Row],[Disc. Amt.]]+Sales[[#This Row],[GST Amount]]</f>
        <v>18785.599999999999</v>
      </c>
      <c r="O3285" s="158" t="s">
        <v>8876</v>
      </c>
      <c r="P3285" s="158" t="s">
        <v>3562</v>
      </c>
      <c r="Q3285" s="160">
        <f>IF(Sales[[#This Row],[Status]]="Cancelled",0,Sales[[#This Row],[Qty]])</f>
        <v>8</v>
      </c>
      <c r="R3285" s="161">
        <f>IF(Sales[[#This Row],[Status]]="Cancelled",0,Sales[[#This Row],[Total Amount]])</f>
        <v>18785.599999999999</v>
      </c>
      <c r="S3285" s="162">
        <f>SUM(Sales[Net Amount])</f>
        <v>406839287.73200053</v>
      </c>
    </row>
    <row r="3286" spans="1:19" ht="18.75" x14ac:dyDescent="0.25">
      <c r="A3286" s="163" t="s">
        <v>6941</v>
      </c>
      <c r="B3286" s="164">
        <v>45942</v>
      </c>
      <c r="C3286" s="34" t="s">
        <v>688</v>
      </c>
      <c r="D3286" s="53" t="str">
        <f>VLOOKUP(Sales[[#This Row],[Customer ID]],Customer[#All],2,0)</f>
        <v>Rahul Verma</v>
      </c>
      <c r="E3286" s="34" t="s">
        <v>300</v>
      </c>
      <c r="F3286" s="34" t="str">
        <f>VLOOKUP(Sales[[#This Row],[Product ID]],Product[#All],2,0)</f>
        <v>Crucial Ssd</v>
      </c>
      <c r="G3286" s="53">
        <v>3</v>
      </c>
      <c r="H3286" s="165">
        <f>VLOOKUP(Sales[[#This Row],[Product ID]],Product[#All],7,0)</f>
        <v>9950</v>
      </c>
      <c r="I3286" s="165">
        <f>Sales[[#This Row],[Selling Rate]]*Sales[[#This Row],[Qty]]</f>
        <v>29850</v>
      </c>
      <c r="J3286" s="45">
        <v>0</v>
      </c>
      <c r="K3286" s="46">
        <f>Sales[[#This Row],[Gross Amount]]*Sales[[#This Row],[Disc %]]</f>
        <v>0</v>
      </c>
      <c r="L3286" s="43">
        <v>0.18</v>
      </c>
      <c r="M3286" s="46">
        <f>(Sales[[#This Row],[Gross Amount]]-Sales[[#This Row],[Disc. Amt.]])*Sales[[#This Row],[GST %]]</f>
        <v>5373</v>
      </c>
      <c r="N3286" s="161">
        <f>Sales[[#This Row],[Gross Amount]]-Sales[[#This Row],[Disc. Amt.]]+Sales[[#This Row],[GST Amount]]</f>
        <v>35223</v>
      </c>
      <c r="O3286" s="34" t="s">
        <v>3561</v>
      </c>
      <c r="P3286" s="34" t="s">
        <v>3562</v>
      </c>
      <c r="Q3286" s="165">
        <f>IF(Sales[[#This Row],[Status]]="Cancelled",0,Sales[[#This Row],[Qty]])</f>
        <v>3</v>
      </c>
      <c r="R3286" s="166">
        <f>IF(Sales[[#This Row],[Status]]="Cancelled",0,Sales[[#This Row],[Total Amount]])</f>
        <v>35223</v>
      </c>
      <c r="S3286" s="162">
        <f>SUM(Sales[Net Amount])</f>
        <v>406839287.73200053</v>
      </c>
    </row>
    <row r="3287" spans="1:19" ht="18.75" x14ac:dyDescent="0.25">
      <c r="A3287" s="156" t="s">
        <v>6942</v>
      </c>
      <c r="B3287" s="157">
        <v>45942</v>
      </c>
      <c r="C3287" s="158" t="s">
        <v>844</v>
      </c>
      <c r="D3287" s="159" t="str">
        <f>VLOOKUP(Sales[[#This Row],[Customer ID]],Customer[#All],2,0)</f>
        <v>Rahul Sharma</v>
      </c>
      <c r="E3287" s="158" t="s">
        <v>51</v>
      </c>
      <c r="F3287" s="158" t="str">
        <f>VLOOKUP(Sales[[#This Row],[Product ID]],Product[#All],2,0)</f>
        <v>Boat Speaker</v>
      </c>
      <c r="G3287" s="159">
        <v>2</v>
      </c>
      <c r="H3287" s="160">
        <f>VLOOKUP(Sales[[#This Row],[Product ID]],Product[#All],7,0)</f>
        <v>4730</v>
      </c>
      <c r="I3287" s="160">
        <f>Sales[[#This Row],[Selling Rate]]*Sales[[#This Row],[Qty]]</f>
        <v>9460</v>
      </c>
      <c r="J3287" s="43">
        <v>0.02</v>
      </c>
      <c r="K3287" s="44">
        <f>Sales[[#This Row],[Gross Amount]]*Sales[[#This Row],[Disc %]]</f>
        <v>189.20000000000002</v>
      </c>
      <c r="L3287" s="43">
        <v>0.18</v>
      </c>
      <c r="M3287" s="44">
        <f>(Sales[[#This Row],[Gross Amount]]-Sales[[#This Row],[Disc. Amt.]])*Sales[[#This Row],[GST %]]</f>
        <v>1668.7439999999999</v>
      </c>
      <c r="N3287" s="161">
        <f>Sales[[#This Row],[Gross Amount]]-Sales[[#This Row],[Disc. Amt.]]+Sales[[#This Row],[GST Amount]]</f>
        <v>10939.544</v>
      </c>
      <c r="O3287" s="158" t="s">
        <v>8876</v>
      </c>
      <c r="P3287" s="158" t="s">
        <v>3562</v>
      </c>
      <c r="Q3287" s="160">
        <f>IF(Sales[[#This Row],[Status]]="Cancelled",0,Sales[[#This Row],[Qty]])</f>
        <v>2</v>
      </c>
      <c r="R3287" s="161">
        <f>IF(Sales[[#This Row],[Status]]="Cancelled",0,Sales[[#This Row],[Total Amount]])</f>
        <v>10939.544</v>
      </c>
      <c r="S3287" s="162">
        <f>SUM(Sales[Net Amount])</f>
        <v>406839287.73200053</v>
      </c>
    </row>
    <row r="3288" spans="1:19" ht="18.75" x14ac:dyDescent="0.25">
      <c r="A3288" s="163" t="s">
        <v>6943</v>
      </c>
      <c r="B3288" s="164">
        <v>45942</v>
      </c>
      <c r="C3288" s="34" t="s">
        <v>685</v>
      </c>
      <c r="D3288" s="53" t="str">
        <f>VLOOKUP(Sales[[#This Row],[Customer ID]],Customer[#All],2,0)</f>
        <v>Pooja Kumar</v>
      </c>
      <c r="E3288" s="34" t="s">
        <v>460</v>
      </c>
      <c r="F3288" s="34" t="str">
        <f>VLOOKUP(Sales[[#This Row],[Product ID]],Product[#All],2,0)</f>
        <v>Logitech Keyboard</v>
      </c>
      <c r="G3288" s="53">
        <v>4</v>
      </c>
      <c r="H3288" s="165">
        <f>VLOOKUP(Sales[[#This Row],[Product ID]],Product[#All],7,0)</f>
        <v>3050</v>
      </c>
      <c r="I3288" s="165">
        <f>Sales[[#This Row],[Selling Rate]]*Sales[[#This Row],[Qty]]</f>
        <v>12200</v>
      </c>
      <c r="J3288" s="45">
        <v>0.12</v>
      </c>
      <c r="K3288" s="46">
        <f>Sales[[#This Row],[Gross Amount]]*Sales[[#This Row],[Disc %]]</f>
        <v>1464</v>
      </c>
      <c r="L3288" s="43">
        <v>0.18</v>
      </c>
      <c r="M3288" s="46">
        <f>(Sales[[#This Row],[Gross Amount]]-Sales[[#This Row],[Disc. Amt.]])*Sales[[#This Row],[GST %]]</f>
        <v>1932.48</v>
      </c>
      <c r="N3288" s="161">
        <f>Sales[[#This Row],[Gross Amount]]-Sales[[#This Row],[Disc. Amt.]]+Sales[[#This Row],[GST Amount]]</f>
        <v>12668.48</v>
      </c>
      <c r="O3288" s="34" t="s">
        <v>3566</v>
      </c>
      <c r="P3288" s="34" t="s">
        <v>3562</v>
      </c>
      <c r="Q3288" s="165">
        <f>IF(Sales[[#This Row],[Status]]="Cancelled",0,Sales[[#This Row],[Qty]])</f>
        <v>4</v>
      </c>
      <c r="R3288" s="166">
        <f>IF(Sales[[#This Row],[Status]]="Cancelled",0,Sales[[#This Row],[Total Amount]])</f>
        <v>12668.48</v>
      </c>
      <c r="S3288" s="162">
        <f>SUM(Sales[Net Amount])</f>
        <v>406839287.73200053</v>
      </c>
    </row>
    <row r="3289" spans="1:19" ht="18.75" x14ac:dyDescent="0.25">
      <c r="A3289" s="156" t="s">
        <v>6944</v>
      </c>
      <c r="B3289" s="157">
        <v>45942</v>
      </c>
      <c r="C3289" s="158" t="s">
        <v>6945</v>
      </c>
      <c r="D3289" s="159" t="str">
        <f>VLOOKUP(Sales[[#This Row],[Customer ID]],Customer[#All],2,0)</f>
        <v>Rakesh Verma</v>
      </c>
      <c r="E3289" s="158" t="s">
        <v>58</v>
      </c>
      <c r="F3289" s="158" t="str">
        <f>VLOOKUP(Sales[[#This Row],[Product ID]],Product[#All],2,0)</f>
        <v>Lenovo Laptop</v>
      </c>
      <c r="G3289" s="159">
        <v>6</v>
      </c>
      <c r="H3289" s="160">
        <f>VLOOKUP(Sales[[#This Row],[Product ID]],Product[#All],7,0)</f>
        <v>50200</v>
      </c>
      <c r="I3289" s="160">
        <f>Sales[[#This Row],[Selling Rate]]*Sales[[#This Row],[Qty]]</f>
        <v>301200</v>
      </c>
      <c r="J3289" s="43">
        <v>0.1</v>
      </c>
      <c r="K3289" s="44">
        <f>Sales[[#This Row],[Gross Amount]]*Sales[[#This Row],[Disc %]]</f>
        <v>30120</v>
      </c>
      <c r="L3289" s="43">
        <v>0.18</v>
      </c>
      <c r="M3289" s="44">
        <f>(Sales[[#This Row],[Gross Amount]]-Sales[[#This Row],[Disc. Amt.]])*Sales[[#This Row],[GST %]]</f>
        <v>48794.400000000001</v>
      </c>
      <c r="N3289" s="161">
        <f>Sales[[#This Row],[Gross Amount]]-Sales[[#This Row],[Disc. Amt.]]+Sales[[#This Row],[GST Amount]]</f>
        <v>319874.40000000002</v>
      </c>
      <c r="O3289" s="158" t="s">
        <v>3566</v>
      </c>
      <c r="P3289" s="158" t="s">
        <v>3562</v>
      </c>
      <c r="Q3289" s="160">
        <f>IF(Sales[[#This Row],[Status]]="Cancelled",0,Sales[[#This Row],[Qty]])</f>
        <v>6</v>
      </c>
      <c r="R3289" s="161">
        <f>IF(Sales[[#This Row],[Status]]="Cancelled",0,Sales[[#This Row],[Total Amount]])</f>
        <v>319874.40000000002</v>
      </c>
      <c r="S3289" s="162">
        <f>SUM(Sales[Net Amount])</f>
        <v>406839287.73200053</v>
      </c>
    </row>
    <row r="3290" spans="1:19" ht="18.75" x14ac:dyDescent="0.25">
      <c r="A3290" s="163" t="s">
        <v>6946</v>
      </c>
      <c r="B3290" s="164">
        <v>45942</v>
      </c>
      <c r="C3290" s="34" t="s">
        <v>758</v>
      </c>
      <c r="D3290" s="53" t="str">
        <f>VLOOKUP(Sales[[#This Row],[Customer ID]],Customer[#All],2,0)</f>
        <v>Rahul Verma</v>
      </c>
      <c r="E3290" s="34" t="s">
        <v>333</v>
      </c>
      <c r="F3290" s="34" t="str">
        <f>VLOOKUP(Sales[[#This Row],[Product ID]],Product[#All],2,0)</f>
        <v>Logitech Keyboard</v>
      </c>
      <c r="G3290" s="53">
        <v>7</v>
      </c>
      <c r="H3290" s="165">
        <f>VLOOKUP(Sales[[#This Row],[Product ID]],Product[#All],7,0)</f>
        <v>3350</v>
      </c>
      <c r="I3290" s="165">
        <f>Sales[[#This Row],[Selling Rate]]*Sales[[#This Row],[Qty]]</f>
        <v>23450</v>
      </c>
      <c r="J3290" s="45">
        <v>0.05</v>
      </c>
      <c r="K3290" s="46">
        <f>Sales[[#This Row],[Gross Amount]]*Sales[[#This Row],[Disc %]]</f>
        <v>1172.5</v>
      </c>
      <c r="L3290" s="43">
        <v>0.18</v>
      </c>
      <c r="M3290" s="46">
        <f>(Sales[[#This Row],[Gross Amount]]-Sales[[#This Row],[Disc. Amt.]])*Sales[[#This Row],[GST %]]</f>
        <v>4009.95</v>
      </c>
      <c r="N3290" s="161">
        <f>Sales[[#This Row],[Gross Amount]]-Sales[[#This Row],[Disc. Amt.]]+Sales[[#This Row],[GST Amount]]</f>
        <v>26287.45</v>
      </c>
      <c r="O3290" s="34" t="s">
        <v>3569</v>
      </c>
      <c r="P3290" s="34" t="s">
        <v>3562</v>
      </c>
      <c r="Q3290" s="165">
        <f>IF(Sales[[#This Row],[Status]]="Cancelled",0,Sales[[#This Row],[Qty]])</f>
        <v>7</v>
      </c>
      <c r="R3290" s="166">
        <f>IF(Sales[[#This Row],[Status]]="Cancelled",0,Sales[[#This Row],[Total Amount]])</f>
        <v>26287.45</v>
      </c>
      <c r="S3290" s="162">
        <f>SUM(Sales[Net Amount])</f>
        <v>406839287.73200053</v>
      </c>
    </row>
    <row r="3291" spans="1:19" ht="18.75" x14ac:dyDescent="0.25">
      <c r="A3291" s="156" t="s">
        <v>6947</v>
      </c>
      <c r="B3291" s="157">
        <v>45942</v>
      </c>
      <c r="C3291" s="158" t="s">
        <v>701</v>
      </c>
      <c r="D3291" s="159" t="str">
        <f>VLOOKUP(Sales[[#This Row],[Customer ID]],Customer[#All],2,0)</f>
        <v>Ankit Kumar</v>
      </c>
      <c r="E3291" s="158" t="s">
        <v>533</v>
      </c>
      <c r="F3291" s="158" t="str">
        <f>VLOOKUP(Sales[[#This Row],[Product ID]],Product[#All],2,0)</f>
        <v>HP Desktop</v>
      </c>
      <c r="G3291" s="159">
        <v>5</v>
      </c>
      <c r="H3291" s="160">
        <f>VLOOKUP(Sales[[#This Row],[Product ID]],Product[#All],7,0)</f>
        <v>72430</v>
      </c>
      <c r="I3291" s="160">
        <f>Sales[[#This Row],[Selling Rate]]*Sales[[#This Row],[Qty]]</f>
        <v>362150</v>
      </c>
      <c r="J3291" s="43">
        <v>0.05</v>
      </c>
      <c r="K3291" s="44">
        <f>Sales[[#This Row],[Gross Amount]]*Sales[[#This Row],[Disc %]]</f>
        <v>18107.5</v>
      </c>
      <c r="L3291" s="43">
        <v>0.18</v>
      </c>
      <c r="M3291" s="44">
        <f>(Sales[[#This Row],[Gross Amount]]-Sales[[#This Row],[Disc. Amt.]])*Sales[[#This Row],[GST %]]</f>
        <v>61927.649999999994</v>
      </c>
      <c r="N3291" s="161">
        <f>Sales[[#This Row],[Gross Amount]]-Sales[[#This Row],[Disc. Amt.]]+Sales[[#This Row],[GST Amount]]</f>
        <v>405970.15</v>
      </c>
      <c r="O3291" s="158" t="s">
        <v>3561</v>
      </c>
      <c r="P3291" s="158" t="s">
        <v>3562</v>
      </c>
      <c r="Q3291" s="160">
        <f>IF(Sales[[#This Row],[Status]]="Cancelled",0,Sales[[#This Row],[Qty]])</f>
        <v>5</v>
      </c>
      <c r="R3291" s="161">
        <f>IF(Sales[[#This Row],[Status]]="Cancelled",0,Sales[[#This Row],[Total Amount]])</f>
        <v>405970.15</v>
      </c>
      <c r="S3291" s="162">
        <f>SUM(Sales[Net Amount])</f>
        <v>406839287.73200053</v>
      </c>
    </row>
    <row r="3292" spans="1:19" ht="18.75" x14ac:dyDescent="0.25">
      <c r="A3292" s="163" t="s">
        <v>6948</v>
      </c>
      <c r="B3292" s="164">
        <v>45942</v>
      </c>
      <c r="C3292" s="34" t="s">
        <v>918</v>
      </c>
      <c r="D3292" s="53" t="str">
        <f>VLOOKUP(Sales[[#This Row],[Customer ID]],Customer[#All],2,0)</f>
        <v>Pooja Patel</v>
      </c>
      <c r="E3292" s="34" t="s">
        <v>512</v>
      </c>
      <c r="F3292" s="34" t="str">
        <f>VLOOKUP(Sales[[#This Row],[Product ID]],Product[#All],2,0)</f>
        <v>Logitech Webcam</v>
      </c>
      <c r="G3292" s="53">
        <v>4</v>
      </c>
      <c r="H3292" s="165">
        <f>VLOOKUP(Sales[[#This Row],[Product ID]],Product[#All],7,0)</f>
        <v>5800</v>
      </c>
      <c r="I3292" s="165">
        <f>Sales[[#This Row],[Selling Rate]]*Sales[[#This Row],[Qty]]</f>
        <v>23200</v>
      </c>
      <c r="J3292" s="45">
        <v>0.02</v>
      </c>
      <c r="K3292" s="46">
        <f>Sales[[#This Row],[Gross Amount]]*Sales[[#This Row],[Disc %]]</f>
        <v>464</v>
      </c>
      <c r="L3292" s="43">
        <v>0.18</v>
      </c>
      <c r="M3292" s="46">
        <f>(Sales[[#This Row],[Gross Amount]]-Sales[[#This Row],[Disc. Amt.]])*Sales[[#This Row],[GST %]]</f>
        <v>4092.48</v>
      </c>
      <c r="N3292" s="161">
        <f>Sales[[#This Row],[Gross Amount]]-Sales[[#This Row],[Disc. Amt.]]+Sales[[#This Row],[GST Amount]]</f>
        <v>26828.48</v>
      </c>
      <c r="O3292" s="34" t="s">
        <v>3566</v>
      </c>
      <c r="P3292" s="34" t="s">
        <v>3562</v>
      </c>
      <c r="Q3292" s="165">
        <f>IF(Sales[[#This Row],[Status]]="Cancelled",0,Sales[[#This Row],[Qty]])</f>
        <v>4</v>
      </c>
      <c r="R3292" s="166">
        <f>IF(Sales[[#This Row],[Status]]="Cancelled",0,Sales[[#This Row],[Total Amount]])</f>
        <v>26828.48</v>
      </c>
      <c r="S3292" s="162">
        <f>SUM(Sales[Net Amount])</f>
        <v>406839287.73200053</v>
      </c>
    </row>
    <row r="3293" spans="1:19" ht="18.75" x14ac:dyDescent="0.25">
      <c r="A3293" s="156" t="s">
        <v>6949</v>
      </c>
      <c r="B3293" s="157">
        <v>45943</v>
      </c>
      <c r="C3293" s="158" t="s">
        <v>687</v>
      </c>
      <c r="D3293" s="159" t="str">
        <f>VLOOKUP(Sales[[#This Row],[Customer ID]],Customer[#All],2,0)</f>
        <v>Rahul Verma</v>
      </c>
      <c r="E3293" s="158" t="s">
        <v>72</v>
      </c>
      <c r="F3293" s="158" t="str">
        <f>VLOOKUP(Sales[[#This Row],[Product ID]],Product[#All],2,0)</f>
        <v>Dell Keyboard</v>
      </c>
      <c r="G3293" s="159">
        <v>8</v>
      </c>
      <c r="H3293" s="160">
        <f>VLOOKUP(Sales[[#This Row],[Product ID]],Product[#All],7,0)</f>
        <v>1250</v>
      </c>
      <c r="I3293" s="160">
        <f>Sales[[#This Row],[Selling Rate]]*Sales[[#This Row],[Qty]]</f>
        <v>10000</v>
      </c>
      <c r="J3293" s="43">
        <v>0.1</v>
      </c>
      <c r="K3293" s="44">
        <f>Sales[[#This Row],[Gross Amount]]*Sales[[#This Row],[Disc %]]</f>
        <v>1000</v>
      </c>
      <c r="L3293" s="43">
        <v>0.18</v>
      </c>
      <c r="M3293" s="44">
        <f>(Sales[[#This Row],[Gross Amount]]-Sales[[#This Row],[Disc. Amt.]])*Sales[[#This Row],[GST %]]</f>
        <v>1620</v>
      </c>
      <c r="N3293" s="161">
        <f>Sales[[#This Row],[Gross Amount]]-Sales[[#This Row],[Disc. Amt.]]+Sales[[#This Row],[GST Amount]]</f>
        <v>10620</v>
      </c>
      <c r="O3293" s="158" t="s">
        <v>3569</v>
      </c>
      <c r="P3293" s="158" t="s">
        <v>3562</v>
      </c>
      <c r="Q3293" s="160">
        <f>IF(Sales[[#This Row],[Status]]="Cancelled",0,Sales[[#This Row],[Qty]])</f>
        <v>8</v>
      </c>
      <c r="R3293" s="161">
        <f>IF(Sales[[#This Row],[Status]]="Cancelled",0,Sales[[#This Row],[Total Amount]])</f>
        <v>10620</v>
      </c>
      <c r="S3293" s="162">
        <f>SUM(Sales[Net Amount])</f>
        <v>406839287.73200053</v>
      </c>
    </row>
    <row r="3294" spans="1:19" ht="18.75" x14ac:dyDescent="0.25">
      <c r="A3294" s="163" t="s">
        <v>6950</v>
      </c>
      <c r="B3294" s="164">
        <v>45943</v>
      </c>
      <c r="C3294" s="34" t="s">
        <v>854</v>
      </c>
      <c r="D3294" s="53" t="str">
        <f>VLOOKUP(Sales[[#This Row],[Customer ID]],Customer[#All],2,0)</f>
        <v>Neha Sharma</v>
      </c>
      <c r="E3294" s="34" t="s">
        <v>98</v>
      </c>
      <c r="F3294" s="34" t="str">
        <f>VLOOKUP(Sales[[#This Row],[Product ID]],Product[#All],2,0)</f>
        <v>TP-link Bluetooth Adapter</v>
      </c>
      <c r="G3294" s="53">
        <v>6</v>
      </c>
      <c r="H3294" s="165">
        <f>VLOOKUP(Sales[[#This Row],[Product ID]],Product[#All],7,0)</f>
        <v>1420</v>
      </c>
      <c r="I3294" s="165">
        <f>Sales[[#This Row],[Selling Rate]]*Sales[[#This Row],[Qty]]</f>
        <v>8520</v>
      </c>
      <c r="J3294" s="45">
        <v>0.12</v>
      </c>
      <c r="K3294" s="46">
        <f>Sales[[#This Row],[Gross Amount]]*Sales[[#This Row],[Disc %]]</f>
        <v>1022.4</v>
      </c>
      <c r="L3294" s="43">
        <v>0.18</v>
      </c>
      <c r="M3294" s="46">
        <f>(Sales[[#This Row],[Gross Amount]]-Sales[[#This Row],[Disc. Amt.]])*Sales[[#This Row],[GST %]]</f>
        <v>1349.568</v>
      </c>
      <c r="N3294" s="161">
        <f>Sales[[#This Row],[Gross Amount]]-Sales[[#This Row],[Disc. Amt.]]+Sales[[#This Row],[GST Amount]]</f>
        <v>8847.1679999999997</v>
      </c>
      <c r="O3294" s="34" t="s">
        <v>3566</v>
      </c>
      <c r="P3294" s="34" t="s">
        <v>3562</v>
      </c>
      <c r="Q3294" s="165">
        <f>IF(Sales[[#This Row],[Status]]="Cancelled",0,Sales[[#This Row],[Qty]])</f>
        <v>6</v>
      </c>
      <c r="R3294" s="166">
        <f>IF(Sales[[#This Row],[Status]]="Cancelled",0,Sales[[#This Row],[Total Amount]])</f>
        <v>8847.1679999999997</v>
      </c>
      <c r="S3294" s="162">
        <f>SUM(Sales[Net Amount])</f>
        <v>406839287.73200053</v>
      </c>
    </row>
    <row r="3295" spans="1:19" ht="18.75" x14ac:dyDescent="0.25">
      <c r="A3295" s="156" t="s">
        <v>6951</v>
      </c>
      <c r="B3295" s="157">
        <v>45943</v>
      </c>
      <c r="C3295" s="158" t="s">
        <v>827</v>
      </c>
      <c r="D3295" s="159" t="str">
        <f>VLOOKUP(Sales[[#This Row],[Customer ID]],Customer[#All],2,0)</f>
        <v>Ankit Gupta</v>
      </c>
      <c r="E3295" s="158" t="s">
        <v>331</v>
      </c>
      <c r="F3295" s="158" t="str">
        <f>VLOOKUP(Sales[[#This Row],[Product ID]],Product[#All],2,0)</f>
        <v>Dell Keyboard</v>
      </c>
      <c r="G3295" s="159">
        <v>7</v>
      </c>
      <c r="H3295" s="160">
        <f>VLOOKUP(Sales[[#This Row],[Product ID]],Product[#All],7,0)</f>
        <v>2070</v>
      </c>
      <c r="I3295" s="160">
        <f>Sales[[#This Row],[Selling Rate]]*Sales[[#This Row],[Qty]]</f>
        <v>14490</v>
      </c>
      <c r="J3295" s="43">
        <v>0.15</v>
      </c>
      <c r="K3295" s="44">
        <f>Sales[[#This Row],[Gross Amount]]*Sales[[#This Row],[Disc %]]</f>
        <v>2173.5</v>
      </c>
      <c r="L3295" s="43">
        <v>0.18</v>
      </c>
      <c r="M3295" s="44">
        <f>(Sales[[#This Row],[Gross Amount]]-Sales[[#This Row],[Disc. Amt.]])*Sales[[#This Row],[GST %]]</f>
        <v>2216.9699999999998</v>
      </c>
      <c r="N3295" s="161">
        <f>Sales[[#This Row],[Gross Amount]]-Sales[[#This Row],[Disc. Amt.]]+Sales[[#This Row],[GST Amount]]</f>
        <v>14533.47</v>
      </c>
      <c r="O3295" s="158" t="s">
        <v>3569</v>
      </c>
      <c r="P3295" s="158" t="s">
        <v>3562</v>
      </c>
      <c r="Q3295" s="160">
        <f>IF(Sales[[#This Row],[Status]]="Cancelled",0,Sales[[#This Row],[Qty]])</f>
        <v>7</v>
      </c>
      <c r="R3295" s="161">
        <f>IF(Sales[[#This Row],[Status]]="Cancelled",0,Sales[[#This Row],[Total Amount]])</f>
        <v>14533.47</v>
      </c>
      <c r="S3295" s="162">
        <f>SUM(Sales[Net Amount])</f>
        <v>406839287.73200053</v>
      </c>
    </row>
    <row r="3296" spans="1:19" ht="18.75" x14ac:dyDescent="0.25">
      <c r="A3296" s="163" t="s">
        <v>6952</v>
      </c>
      <c r="B3296" s="164">
        <v>45943</v>
      </c>
      <c r="C3296" s="34" t="s">
        <v>729</v>
      </c>
      <c r="D3296" s="53" t="str">
        <f>VLOOKUP(Sales[[#This Row],[Customer ID]],Customer[#All],2,0)</f>
        <v>Ankit Kumar</v>
      </c>
      <c r="E3296" s="34" t="s">
        <v>348</v>
      </c>
      <c r="F3296" s="34" t="str">
        <f>VLOOKUP(Sales[[#This Row],[Product ID]],Product[#All],2,0)</f>
        <v>Jbl Speaker</v>
      </c>
      <c r="G3296" s="53">
        <v>6</v>
      </c>
      <c r="H3296" s="165">
        <f>VLOOKUP(Sales[[#This Row],[Product ID]],Product[#All],7,0)</f>
        <v>6700</v>
      </c>
      <c r="I3296" s="165">
        <f>Sales[[#This Row],[Selling Rate]]*Sales[[#This Row],[Qty]]</f>
        <v>40200</v>
      </c>
      <c r="J3296" s="45">
        <v>0.1</v>
      </c>
      <c r="K3296" s="46">
        <f>Sales[[#This Row],[Gross Amount]]*Sales[[#This Row],[Disc %]]</f>
        <v>4020</v>
      </c>
      <c r="L3296" s="43">
        <v>0.18</v>
      </c>
      <c r="M3296" s="46">
        <f>(Sales[[#This Row],[Gross Amount]]-Sales[[#This Row],[Disc. Amt.]])*Sales[[#This Row],[GST %]]</f>
        <v>6512.4</v>
      </c>
      <c r="N3296" s="161">
        <f>Sales[[#This Row],[Gross Amount]]-Sales[[#This Row],[Disc. Amt.]]+Sales[[#This Row],[GST Amount]]</f>
        <v>42692.4</v>
      </c>
      <c r="O3296" s="34" t="s">
        <v>3561</v>
      </c>
      <c r="P3296" s="34" t="s">
        <v>3562</v>
      </c>
      <c r="Q3296" s="165">
        <f>IF(Sales[[#This Row],[Status]]="Cancelled",0,Sales[[#This Row],[Qty]])</f>
        <v>6</v>
      </c>
      <c r="R3296" s="166">
        <f>IF(Sales[[#This Row],[Status]]="Cancelled",0,Sales[[#This Row],[Total Amount]])</f>
        <v>42692.4</v>
      </c>
      <c r="S3296" s="162">
        <f>SUM(Sales[Net Amount])</f>
        <v>406839287.73200053</v>
      </c>
    </row>
    <row r="3297" spans="1:19" ht="18.75" x14ac:dyDescent="0.25">
      <c r="A3297" s="156" t="s">
        <v>6953</v>
      </c>
      <c r="B3297" s="157">
        <v>45943</v>
      </c>
      <c r="C3297" s="158" t="s">
        <v>6954</v>
      </c>
      <c r="D3297" s="159" t="str">
        <f>VLOOKUP(Sales[[#This Row],[Customer ID]],Customer[#All],2,0)</f>
        <v>Priya Gupta</v>
      </c>
      <c r="E3297" s="158" t="s">
        <v>68</v>
      </c>
      <c r="F3297" s="158" t="str">
        <f>VLOOKUP(Sales[[#This Row],[Product ID]],Product[#All],2,0)</f>
        <v>Epson Printer</v>
      </c>
      <c r="G3297" s="159">
        <v>5</v>
      </c>
      <c r="H3297" s="160">
        <f>VLOOKUP(Sales[[#This Row],[Product ID]],Product[#All],7,0)</f>
        <v>21190</v>
      </c>
      <c r="I3297" s="160">
        <f>Sales[[#This Row],[Selling Rate]]*Sales[[#This Row],[Qty]]</f>
        <v>105950</v>
      </c>
      <c r="J3297" s="43">
        <v>0.05</v>
      </c>
      <c r="K3297" s="44">
        <f>Sales[[#This Row],[Gross Amount]]*Sales[[#This Row],[Disc %]]</f>
        <v>5297.5</v>
      </c>
      <c r="L3297" s="43">
        <v>0.18</v>
      </c>
      <c r="M3297" s="44">
        <f>(Sales[[#This Row],[Gross Amount]]-Sales[[#This Row],[Disc. Amt.]])*Sales[[#This Row],[GST %]]</f>
        <v>18117.45</v>
      </c>
      <c r="N3297" s="161">
        <f>Sales[[#This Row],[Gross Amount]]-Sales[[#This Row],[Disc. Amt.]]+Sales[[#This Row],[GST Amount]]</f>
        <v>118769.95</v>
      </c>
      <c r="O3297" s="158" t="s">
        <v>3566</v>
      </c>
      <c r="P3297" s="158" t="s">
        <v>3562</v>
      </c>
      <c r="Q3297" s="160">
        <f>IF(Sales[[#This Row],[Status]]="Cancelled",0,Sales[[#This Row],[Qty]])</f>
        <v>5</v>
      </c>
      <c r="R3297" s="161">
        <f>IF(Sales[[#This Row],[Status]]="Cancelled",0,Sales[[#This Row],[Total Amount]])</f>
        <v>118769.95</v>
      </c>
      <c r="S3297" s="162">
        <f>SUM(Sales[Net Amount])</f>
        <v>406839287.73200053</v>
      </c>
    </row>
    <row r="3298" spans="1:19" ht="18.75" x14ac:dyDescent="0.25">
      <c r="A3298" s="163" t="s">
        <v>6955</v>
      </c>
      <c r="B3298" s="164">
        <v>45943</v>
      </c>
      <c r="C3298" s="34" t="s">
        <v>927</v>
      </c>
      <c r="D3298" s="53" t="str">
        <f>VLOOKUP(Sales[[#This Row],[Customer ID]],Customer[#All],2,0)</f>
        <v>Sunita Patel</v>
      </c>
      <c r="E3298" s="34" t="s">
        <v>240</v>
      </c>
      <c r="F3298" s="34" t="str">
        <f>VLOOKUP(Sales[[#This Row],[Product ID]],Product[#All],2,0)</f>
        <v>Crucial Ssd</v>
      </c>
      <c r="G3298" s="53">
        <v>3</v>
      </c>
      <c r="H3298" s="165">
        <f>VLOOKUP(Sales[[#This Row],[Product ID]],Product[#All],7,0)</f>
        <v>3310</v>
      </c>
      <c r="I3298" s="165">
        <f>Sales[[#This Row],[Selling Rate]]*Sales[[#This Row],[Qty]]</f>
        <v>9930</v>
      </c>
      <c r="J3298" s="45">
        <v>0.12</v>
      </c>
      <c r="K3298" s="46">
        <f>Sales[[#This Row],[Gross Amount]]*Sales[[#This Row],[Disc %]]</f>
        <v>1191.5999999999999</v>
      </c>
      <c r="L3298" s="43">
        <v>0.18</v>
      </c>
      <c r="M3298" s="46">
        <f>(Sales[[#This Row],[Gross Amount]]-Sales[[#This Row],[Disc. Amt.]])*Sales[[#This Row],[GST %]]</f>
        <v>1572.9119999999998</v>
      </c>
      <c r="N3298" s="161">
        <f>Sales[[#This Row],[Gross Amount]]-Sales[[#This Row],[Disc. Amt.]]+Sales[[#This Row],[GST Amount]]</f>
        <v>10311.312</v>
      </c>
      <c r="O3298" s="34" t="s">
        <v>3566</v>
      </c>
      <c r="P3298" s="34" t="s">
        <v>3562</v>
      </c>
      <c r="Q3298" s="165">
        <f>IF(Sales[[#This Row],[Status]]="Cancelled",0,Sales[[#This Row],[Qty]])</f>
        <v>3</v>
      </c>
      <c r="R3298" s="166">
        <f>IF(Sales[[#This Row],[Status]]="Cancelled",0,Sales[[#This Row],[Total Amount]])</f>
        <v>10311.312</v>
      </c>
      <c r="S3298" s="162">
        <f>SUM(Sales[Net Amount])</f>
        <v>406839287.73200053</v>
      </c>
    </row>
    <row r="3299" spans="1:19" ht="18.75" x14ac:dyDescent="0.25">
      <c r="A3299" s="156" t="s">
        <v>6956</v>
      </c>
      <c r="B3299" s="157">
        <v>45943</v>
      </c>
      <c r="C3299" s="158" t="s">
        <v>784</v>
      </c>
      <c r="D3299" s="159" t="str">
        <f>VLOOKUP(Sales[[#This Row],[Customer ID]],Customer[#All],2,0)</f>
        <v>Amit Kumar</v>
      </c>
      <c r="E3299" s="158" t="s">
        <v>483</v>
      </c>
      <c r="F3299" s="158" t="str">
        <f>VLOOKUP(Sales[[#This Row],[Product ID]],Product[#All],2,0)</f>
        <v>Kingston Ram</v>
      </c>
      <c r="G3299" s="159">
        <v>4</v>
      </c>
      <c r="H3299" s="160">
        <f>VLOOKUP(Sales[[#This Row],[Product ID]],Product[#All],7,0)</f>
        <v>8630</v>
      </c>
      <c r="I3299" s="160">
        <f>Sales[[#This Row],[Selling Rate]]*Sales[[#This Row],[Qty]]</f>
        <v>34520</v>
      </c>
      <c r="J3299" s="43">
        <v>0.05</v>
      </c>
      <c r="K3299" s="44">
        <f>Sales[[#This Row],[Gross Amount]]*Sales[[#This Row],[Disc %]]</f>
        <v>1726</v>
      </c>
      <c r="L3299" s="43">
        <v>0.18</v>
      </c>
      <c r="M3299" s="44">
        <f>(Sales[[#This Row],[Gross Amount]]-Sales[[#This Row],[Disc. Amt.]])*Sales[[#This Row],[GST %]]</f>
        <v>5902.92</v>
      </c>
      <c r="N3299" s="161">
        <f>Sales[[#This Row],[Gross Amount]]-Sales[[#This Row],[Disc. Amt.]]+Sales[[#This Row],[GST Amount]]</f>
        <v>38696.92</v>
      </c>
      <c r="O3299" s="158" t="s">
        <v>3569</v>
      </c>
      <c r="P3299" s="158" t="s">
        <v>3562</v>
      </c>
      <c r="Q3299" s="160">
        <f>IF(Sales[[#This Row],[Status]]="Cancelled",0,Sales[[#This Row],[Qty]])</f>
        <v>4</v>
      </c>
      <c r="R3299" s="161">
        <f>IF(Sales[[#This Row],[Status]]="Cancelled",0,Sales[[#This Row],[Total Amount]])</f>
        <v>38696.92</v>
      </c>
      <c r="S3299" s="162">
        <f>SUM(Sales[Net Amount])</f>
        <v>406839287.73200053</v>
      </c>
    </row>
    <row r="3300" spans="1:19" ht="18.75" x14ac:dyDescent="0.25">
      <c r="A3300" s="163" t="s">
        <v>6957</v>
      </c>
      <c r="B3300" s="164">
        <v>45943</v>
      </c>
      <c r="C3300" s="34" t="s">
        <v>676</v>
      </c>
      <c r="D3300" s="53" t="str">
        <f>VLOOKUP(Sales[[#This Row],[Customer ID]],Customer[#All],2,0)</f>
        <v>Neha Singh</v>
      </c>
      <c r="E3300" s="34" t="s">
        <v>294</v>
      </c>
      <c r="F3300" s="34" t="str">
        <f>VLOOKUP(Sales[[#This Row],[Product ID]],Product[#All],2,0)</f>
        <v>Samsung Monitor</v>
      </c>
      <c r="G3300" s="53">
        <v>3</v>
      </c>
      <c r="H3300" s="165">
        <f>VLOOKUP(Sales[[#This Row],[Product ID]],Product[#All],7,0)</f>
        <v>33870</v>
      </c>
      <c r="I3300" s="165">
        <f>Sales[[#This Row],[Selling Rate]]*Sales[[#This Row],[Qty]]</f>
        <v>101610</v>
      </c>
      <c r="J3300" s="45">
        <v>0.05</v>
      </c>
      <c r="K3300" s="46">
        <f>Sales[[#This Row],[Gross Amount]]*Sales[[#This Row],[Disc %]]</f>
        <v>5080.5</v>
      </c>
      <c r="L3300" s="43">
        <v>0.18</v>
      </c>
      <c r="M3300" s="46">
        <f>(Sales[[#This Row],[Gross Amount]]-Sales[[#This Row],[Disc. Amt.]])*Sales[[#This Row],[GST %]]</f>
        <v>17375.309999999998</v>
      </c>
      <c r="N3300" s="161">
        <f>Sales[[#This Row],[Gross Amount]]-Sales[[#This Row],[Disc. Amt.]]+Sales[[#This Row],[GST Amount]]</f>
        <v>113904.81</v>
      </c>
      <c r="O3300" s="34" t="s">
        <v>3569</v>
      </c>
      <c r="P3300" s="34" t="s">
        <v>3562</v>
      </c>
      <c r="Q3300" s="165">
        <f>IF(Sales[[#This Row],[Status]]="Cancelled",0,Sales[[#This Row],[Qty]])</f>
        <v>3</v>
      </c>
      <c r="R3300" s="166">
        <f>IF(Sales[[#This Row],[Status]]="Cancelled",0,Sales[[#This Row],[Total Amount]])</f>
        <v>113904.81</v>
      </c>
      <c r="S3300" s="162">
        <f>SUM(Sales[Net Amount])</f>
        <v>406839287.73200053</v>
      </c>
    </row>
    <row r="3301" spans="1:19" ht="18.75" x14ac:dyDescent="0.25">
      <c r="A3301" s="156" t="s">
        <v>6958</v>
      </c>
      <c r="B3301" s="157">
        <v>45943</v>
      </c>
      <c r="C3301" s="158" t="s">
        <v>788</v>
      </c>
      <c r="D3301" s="159" t="str">
        <f>VLOOKUP(Sales[[#This Row],[Customer ID]],Customer[#All],2,0)</f>
        <v>Vikas Kumar</v>
      </c>
      <c r="E3301" s="158" t="s">
        <v>330</v>
      </c>
      <c r="F3301" s="158" t="str">
        <f>VLOOKUP(Sales[[#This Row],[Product ID]],Product[#All],2,0)</f>
        <v>American TouristerLaptopBag</v>
      </c>
      <c r="G3301" s="159">
        <v>3</v>
      </c>
      <c r="H3301" s="160">
        <f>VLOOKUP(Sales[[#This Row],[Product ID]],Product[#All],7,0)</f>
        <v>4970</v>
      </c>
      <c r="I3301" s="160">
        <f>Sales[[#This Row],[Selling Rate]]*Sales[[#This Row],[Qty]]</f>
        <v>14910</v>
      </c>
      <c r="J3301" s="43">
        <v>0.05</v>
      </c>
      <c r="K3301" s="44">
        <f>Sales[[#This Row],[Gross Amount]]*Sales[[#This Row],[Disc %]]</f>
        <v>745.5</v>
      </c>
      <c r="L3301" s="43">
        <v>0.18</v>
      </c>
      <c r="M3301" s="44">
        <f>(Sales[[#This Row],[Gross Amount]]-Sales[[#This Row],[Disc. Amt.]])*Sales[[#This Row],[GST %]]</f>
        <v>2549.61</v>
      </c>
      <c r="N3301" s="161">
        <f>Sales[[#This Row],[Gross Amount]]-Sales[[#This Row],[Disc. Amt.]]+Sales[[#This Row],[GST Amount]]</f>
        <v>16714.11</v>
      </c>
      <c r="O3301" s="158" t="s">
        <v>8876</v>
      </c>
      <c r="P3301" s="158" t="s">
        <v>3562</v>
      </c>
      <c r="Q3301" s="160">
        <f>IF(Sales[[#This Row],[Status]]="Cancelled",0,Sales[[#This Row],[Qty]])</f>
        <v>3</v>
      </c>
      <c r="R3301" s="161">
        <f>IF(Sales[[#This Row],[Status]]="Cancelled",0,Sales[[#This Row],[Total Amount]])</f>
        <v>16714.11</v>
      </c>
      <c r="S3301" s="162">
        <f>SUM(Sales[Net Amount])</f>
        <v>406839287.73200053</v>
      </c>
    </row>
    <row r="3302" spans="1:19" ht="18.75" x14ac:dyDescent="0.25">
      <c r="A3302" s="163" t="s">
        <v>6959</v>
      </c>
      <c r="B3302" s="164">
        <v>45943</v>
      </c>
      <c r="C3302" s="34" t="s">
        <v>773</v>
      </c>
      <c r="D3302" s="53" t="str">
        <f>VLOOKUP(Sales[[#This Row],[Customer ID]],Customer[#All],2,0)</f>
        <v>Rahul Kumar</v>
      </c>
      <c r="E3302" s="34" t="s">
        <v>15</v>
      </c>
      <c r="F3302" s="34" t="str">
        <f>VLOOKUP(Sales[[#This Row],[Product ID]],Product[#All],2,0)</f>
        <v>Sandisk Pen Drive</v>
      </c>
      <c r="G3302" s="53">
        <v>2</v>
      </c>
      <c r="H3302" s="165">
        <f>VLOOKUP(Sales[[#This Row],[Product ID]],Product[#All],7,0)</f>
        <v>4530</v>
      </c>
      <c r="I3302" s="165">
        <f>Sales[[#This Row],[Selling Rate]]*Sales[[#This Row],[Qty]]</f>
        <v>9060</v>
      </c>
      <c r="J3302" s="45">
        <v>0.05</v>
      </c>
      <c r="K3302" s="46">
        <f>Sales[[#This Row],[Gross Amount]]*Sales[[#This Row],[Disc %]]</f>
        <v>453</v>
      </c>
      <c r="L3302" s="43">
        <v>0.18</v>
      </c>
      <c r="M3302" s="46">
        <f>(Sales[[#This Row],[Gross Amount]]-Sales[[#This Row],[Disc. Amt.]])*Sales[[#This Row],[GST %]]</f>
        <v>1549.26</v>
      </c>
      <c r="N3302" s="161">
        <f>Sales[[#This Row],[Gross Amount]]-Sales[[#This Row],[Disc. Amt.]]+Sales[[#This Row],[GST Amount]]</f>
        <v>10156.26</v>
      </c>
      <c r="O3302" s="34" t="s">
        <v>8876</v>
      </c>
      <c r="P3302" s="34" t="s">
        <v>3562</v>
      </c>
      <c r="Q3302" s="165">
        <f>IF(Sales[[#This Row],[Status]]="Cancelled",0,Sales[[#This Row],[Qty]])</f>
        <v>2</v>
      </c>
      <c r="R3302" s="166">
        <f>IF(Sales[[#This Row],[Status]]="Cancelled",0,Sales[[#This Row],[Total Amount]])</f>
        <v>10156.26</v>
      </c>
      <c r="S3302" s="162">
        <f>SUM(Sales[Net Amount])</f>
        <v>406839287.73200053</v>
      </c>
    </row>
    <row r="3303" spans="1:19" ht="18.75" x14ac:dyDescent="0.25">
      <c r="A3303" s="156" t="s">
        <v>6960</v>
      </c>
      <c r="B3303" s="157">
        <v>45943</v>
      </c>
      <c r="C3303" s="158" t="s">
        <v>6961</v>
      </c>
      <c r="D3303" s="159" t="str">
        <f>VLOOKUP(Sales[[#This Row],[Customer ID]],Customer[#All],2,0)</f>
        <v>Rahul Patel</v>
      </c>
      <c r="E3303" s="158" t="s">
        <v>204</v>
      </c>
      <c r="F3303" s="158" t="str">
        <f>VLOOKUP(Sales[[#This Row],[Product ID]],Product[#All],2,0)</f>
        <v>Lenovo Laptop</v>
      </c>
      <c r="G3303" s="159">
        <v>1</v>
      </c>
      <c r="H3303" s="160">
        <f>VLOOKUP(Sales[[#This Row],[Product ID]],Product[#All],7,0)</f>
        <v>42370</v>
      </c>
      <c r="I3303" s="160">
        <f>Sales[[#This Row],[Selling Rate]]*Sales[[#This Row],[Qty]]</f>
        <v>42370</v>
      </c>
      <c r="J3303" s="43">
        <v>0</v>
      </c>
      <c r="K3303" s="44">
        <f>Sales[[#This Row],[Gross Amount]]*Sales[[#This Row],[Disc %]]</f>
        <v>0</v>
      </c>
      <c r="L3303" s="43">
        <v>0.18</v>
      </c>
      <c r="M3303" s="44">
        <f>(Sales[[#This Row],[Gross Amount]]-Sales[[#This Row],[Disc. Amt.]])*Sales[[#This Row],[GST %]]</f>
        <v>7626.5999999999995</v>
      </c>
      <c r="N3303" s="161">
        <f>Sales[[#This Row],[Gross Amount]]-Sales[[#This Row],[Disc. Amt.]]+Sales[[#This Row],[GST Amount]]</f>
        <v>49996.6</v>
      </c>
      <c r="O3303" s="158" t="s">
        <v>3566</v>
      </c>
      <c r="P3303" s="158" t="s">
        <v>3562</v>
      </c>
      <c r="Q3303" s="160">
        <f>IF(Sales[[#This Row],[Status]]="Cancelled",0,Sales[[#This Row],[Qty]])</f>
        <v>1</v>
      </c>
      <c r="R3303" s="161">
        <f>IF(Sales[[#This Row],[Status]]="Cancelled",0,Sales[[#This Row],[Total Amount]])</f>
        <v>49996.6</v>
      </c>
      <c r="S3303" s="162">
        <f>SUM(Sales[Net Amount])</f>
        <v>406839287.73200053</v>
      </c>
    </row>
    <row r="3304" spans="1:19" ht="18.75" x14ac:dyDescent="0.25">
      <c r="A3304" s="163" t="s">
        <v>6962</v>
      </c>
      <c r="B3304" s="164">
        <v>45943</v>
      </c>
      <c r="C3304" s="34" t="s">
        <v>866</v>
      </c>
      <c r="D3304" s="53" t="str">
        <f>VLOOKUP(Sales[[#This Row],[Customer ID]],Customer[#All],2,0)</f>
        <v>Priya Patel</v>
      </c>
      <c r="E3304" s="34" t="s">
        <v>61</v>
      </c>
      <c r="F3304" s="34" t="str">
        <f>VLOOKUP(Sales[[#This Row],[Product ID]],Product[#All],2,0)</f>
        <v>Boat Headset</v>
      </c>
      <c r="G3304" s="53">
        <v>3</v>
      </c>
      <c r="H3304" s="165">
        <f>VLOOKUP(Sales[[#This Row],[Product ID]],Product[#All],7,0)</f>
        <v>3570</v>
      </c>
      <c r="I3304" s="165">
        <f>Sales[[#This Row],[Selling Rate]]*Sales[[#This Row],[Qty]]</f>
        <v>10710</v>
      </c>
      <c r="J3304" s="45">
        <v>0.1</v>
      </c>
      <c r="K3304" s="46">
        <f>Sales[[#This Row],[Gross Amount]]*Sales[[#This Row],[Disc %]]</f>
        <v>1071</v>
      </c>
      <c r="L3304" s="43">
        <v>0.18</v>
      </c>
      <c r="M3304" s="46">
        <f>(Sales[[#This Row],[Gross Amount]]-Sales[[#This Row],[Disc. Amt.]])*Sales[[#This Row],[GST %]]</f>
        <v>1735.02</v>
      </c>
      <c r="N3304" s="161">
        <f>Sales[[#This Row],[Gross Amount]]-Sales[[#This Row],[Disc. Amt.]]+Sales[[#This Row],[GST Amount]]</f>
        <v>11374.02</v>
      </c>
      <c r="O3304" s="34" t="s">
        <v>8876</v>
      </c>
      <c r="P3304" s="34" t="s">
        <v>3562</v>
      </c>
      <c r="Q3304" s="165">
        <f>IF(Sales[[#This Row],[Status]]="Cancelled",0,Sales[[#This Row],[Qty]])</f>
        <v>3</v>
      </c>
      <c r="R3304" s="166">
        <f>IF(Sales[[#This Row],[Status]]="Cancelled",0,Sales[[#This Row],[Total Amount]])</f>
        <v>11374.02</v>
      </c>
      <c r="S3304" s="162">
        <f>SUM(Sales[Net Amount])</f>
        <v>406839287.73200053</v>
      </c>
    </row>
    <row r="3305" spans="1:19" ht="18.75" x14ac:dyDescent="0.25">
      <c r="A3305" s="156" t="s">
        <v>6963</v>
      </c>
      <c r="B3305" s="157">
        <v>45943</v>
      </c>
      <c r="C3305" s="158" t="s">
        <v>858</v>
      </c>
      <c r="D3305" s="159" t="str">
        <f>VLOOKUP(Sales[[#This Row],[Customer ID]],Customer[#All],2,0)</f>
        <v>Neha Sharma</v>
      </c>
      <c r="E3305" s="158" t="s">
        <v>199</v>
      </c>
      <c r="F3305" s="158" t="str">
        <f>VLOOKUP(Sales[[#This Row],[Product ID]],Product[#All],2,0)</f>
        <v>Lg Monitor</v>
      </c>
      <c r="G3305" s="159">
        <v>3</v>
      </c>
      <c r="H3305" s="160">
        <f>VLOOKUP(Sales[[#This Row],[Product ID]],Product[#All],7,0)</f>
        <v>13160</v>
      </c>
      <c r="I3305" s="160">
        <f>Sales[[#This Row],[Selling Rate]]*Sales[[#This Row],[Qty]]</f>
        <v>39480</v>
      </c>
      <c r="J3305" s="43">
        <v>0.15</v>
      </c>
      <c r="K3305" s="44">
        <f>Sales[[#This Row],[Gross Amount]]*Sales[[#This Row],[Disc %]]</f>
        <v>5922</v>
      </c>
      <c r="L3305" s="43">
        <v>0.18</v>
      </c>
      <c r="M3305" s="44">
        <f>(Sales[[#This Row],[Gross Amount]]-Sales[[#This Row],[Disc. Amt.]])*Sales[[#This Row],[GST %]]</f>
        <v>6040.44</v>
      </c>
      <c r="N3305" s="161">
        <f>Sales[[#This Row],[Gross Amount]]-Sales[[#This Row],[Disc. Amt.]]+Sales[[#This Row],[GST Amount]]</f>
        <v>39598.44</v>
      </c>
      <c r="O3305" s="158" t="s">
        <v>3569</v>
      </c>
      <c r="P3305" s="158" t="s">
        <v>3562</v>
      </c>
      <c r="Q3305" s="160">
        <f>IF(Sales[[#This Row],[Status]]="Cancelled",0,Sales[[#This Row],[Qty]])</f>
        <v>3</v>
      </c>
      <c r="R3305" s="161">
        <f>IF(Sales[[#This Row],[Status]]="Cancelled",0,Sales[[#This Row],[Total Amount]])</f>
        <v>39598.44</v>
      </c>
      <c r="S3305" s="162">
        <f>SUM(Sales[Net Amount])</f>
        <v>406839287.73200053</v>
      </c>
    </row>
    <row r="3306" spans="1:19" ht="18.75" x14ac:dyDescent="0.25">
      <c r="A3306" s="163" t="s">
        <v>6964</v>
      </c>
      <c r="B3306" s="164">
        <v>45943</v>
      </c>
      <c r="C3306" s="34" t="s">
        <v>718</v>
      </c>
      <c r="D3306" s="53" t="str">
        <f>VLOOKUP(Sales[[#This Row],[Customer ID]],Customer[#All],2,0)</f>
        <v>Rakesh Patel</v>
      </c>
      <c r="E3306" s="34" t="s">
        <v>516</v>
      </c>
      <c r="F3306" s="34" t="str">
        <f>VLOOKUP(Sales[[#This Row],[Product ID]],Product[#All],2,0)</f>
        <v>Boat Headset</v>
      </c>
      <c r="G3306" s="53">
        <v>3</v>
      </c>
      <c r="H3306" s="165">
        <f>VLOOKUP(Sales[[#This Row],[Product ID]],Product[#All],7,0)</f>
        <v>2690</v>
      </c>
      <c r="I3306" s="165">
        <f>Sales[[#This Row],[Selling Rate]]*Sales[[#This Row],[Qty]]</f>
        <v>8070</v>
      </c>
      <c r="J3306" s="45">
        <v>0.05</v>
      </c>
      <c r="K3306" s="46">
        <f>Sales[[#This Row],[Gross Amount]]*Sales[[#This Row],[Disc %]]</f>
        <v>403.5</v>
      </c>
      <c r="L3306" s="43">
        <v>0.18</v>
      </c>
      <c r="M3306" s="46">
        <f>(Sales[[#This Row],[Gross Amount]]-Sales[[#This Row],[Disc. Amt.]])*Sales[[#This Row],[GST %]]</f>
        <v>1379.97</v>
      </c>
      <c r="N3306" s="161">
        <f>Sales[[#This Row],[Gross Amount]]-Sales[[#This Row],[Disc. Amt.]]+Sales[[#This Row],[GST Amount]]</f>
        <v>9046.4699999999993</v>
      </c>
      <c r="O3306" s="34" t="s">
        <v>3569</v>
      </c>
      <c r="P3306" s="34" t="s">
        <v>3562</v>
      </c>
      <c r="Q3306" s="165">
        <f>IF(Sales[[#This Row],[Status]]="Cancelled",0,Sales[[#This Row],[Qty]])</f>
        <v>3</v>
      </c>
      <c r="R3306" s="166">
        <f>IF(Sales[[#This Row],[Status]]="Cancelled",0,Sales[[#This Row],[Total Amount]])</f>
        <v>9046.4699999999993</v>
      </c>
      <c r="S3306" s="162">
        <f>SUM(Sales[Net Amount])</f>
        <v>406839287.73200053</v>
      </c>
    </row>
    <row r="3307" spans="1:19" ht="18.75" x14ac:dyDescent="0.25">
      <c r="A3307" s="156" t="s">
        <v>6965</v>
      </c>
      <c r="B3307" s="157">
        <v>45943</v>
      </c>
      <c r="C3307" s="158" t="s">
        <v>685</v>
      </c>
      <c r="D3307" s="159" t="str">
        <f>VLOOKUP(Sales[[#This Row],[Customer ID]],Customer[#All],2,0)</f>
        <v>Pooja Kumar</v>
      </c>
      <c r="E3307" s="158" t="s">
        <v>152</v>
      </c>
      <c r="F3307" s="158" t="str">
        <f>VLOOKUP(Sales[[#This Row],[Product ID]],Product[#All],2,0)</f>
        <v>Acer Laptop</v>
      </c>
      <c r="G3307" s="159">
        <v>6</v>
      </c>
      <c r="H3307" s="160">
        <f>VLOOKUP(Sales[[#This Row],[Product ID]],Product[#All],7,0)</f>
        <v>33410</v>
      </c>
      <c r="I3307" s="160">
        <f>Sales[[#This Row],[Selling Rate]]*Sales[[#This Row],[Qty]]</f>
        <v>200460</v>
      </c>
      <c r="J3307" s="43">
        <v>0</v>
      </c>
      <c r="K3307" s="44">
        <f>Sales[[#This Row],[Gross Amount]]*Sales[[#This Row],[Disc %]]</f>
        <v>0</v>
      </c>
      <c r="L3307" s="43">
        <v>0.18</v>
      </c>
      <c r="M3307" s="44">
        <f>(Sales[[#This Row],[Gross Amount]]-Sales[[#This Row],[Disc. Amt.]])*Sales[[#This Row],[GST %]]</f>
        <v>36082.799999999996</v>
      </c>
      <c r="N3307" s="161">
        <f>Sales[[#This Row],[Gross Amount]]-Sales[[#This Row],[Disc. Amt.]]+Sales[[#This Row],[GST Amount]]</f>
        <v>236542.8</v>
      </c>
      <c r="O3307" s="158" t="s">
        <v>3566</v>
      </c>
      <c r="P3307" s="158" t="s">
        <v>3562</v>
      </c>
      <c r="Q3307" s="160">
        <f>IF(Sales[[#This Row],[Status]]="Cancelled",0,Sales[[#This Row],[Qty]])</f>
        <v>6</v>
      </c>
      <c r="R3307" s="161">
        <f>IF(Sales[[#This Row],[Status]]="Cancelled",0,Sales[[#This Row],[Total Amount]])</f>
        <v>236542.8</v>
      </c>
      <c r="S3307" s="162">
        <f>SUM(Sales[Net Amount])</f>
        <v>406839287.73200053</v>
      </c>
    </row>
    <row r="3308" spans="1:19" ht="18.75" x14ac:dyDescent="0.25">
      <c r="A3308" s="163" t="s">
        <v>6966</v>
      </c>
      <c r="B3308" s="164">
        <v>45943</v>
      </c>
      <c r="C3308" s="34" t="s">
        <v>784</v>
      </c>
      <c r="D3308" s="53" t="str">
        <f>VLOOKUP(Sales[[#This Row],[Customer ID]],Customer[#All],2,0)</f>
        <v>Amit Kumar</v>
      </c>
      <c r="E3308" s="34" t="s">
        <v>389</v>
      </c>
      <c r="F3308" s="34" t="str">
        <f>VLOOKUP(Sales[[#This Row],[Product ID]],Product[#All],2,0)</f>
        <v>WD HDD</v>
      </c>
      <c r="G3308" s="53">
        <v>2</v>
      </c>
      <c r="H3308" s="165">
        <f>VLOOKUP(Sales[[#This Row],[Product ID]],Product[#All],7,0)</f>
        <v>10530</v>
      </c>
      <c r="I3308" s="165">
        <f>Sales[[#This Row],[Selling Rate]]*Sales[[#This Row],[Qty]]</f>
        <v>21060</v>
      </c>
      <c r="J3308" s="45">
        <v>0</v>
      </c>
      <c r="K3308" s="46">
        <f>Sales[[#This Row],[Gross Amount]]*Sales[[#This Row],[Disc %]]</f>
        <v>0</v>
      </c>
      <c r="L3308" s="43">
        <v>0.18</v>
      </c>
      <c r="M3308" s="46">
        <f>(Sales[[#This Row],[Gross Amount]]-Sales[[#This Row],[Disc. Amt.]])*Sales[[#This Row],[GST %]]</f>
        <v>3790.7999999999997</v>
      </c>
      <c r="N3308" s="161">
        <f>Sales[[#This Row],[Gross Amount]]-Sales[[#This Row],[Disc. Amt.]]+Sales[[#This Row],[GST Amount]]</f>
        <v>24850.799999999999</v>
      </c>
      <c r="O3308" s="34" t="s">
        <v>3569</v>
      </c>
      <c r="P3308" s="34" t="s">
        <v>3562</v>
      </c>
      <c r="Q3308" s="165">
        <f>IF(Sales[[#This Row],[Status]]="Cancelled",0,Sales[[#This Row],[Qty]])</f>
        <v>2</v>
      </c>
      <c r="R3308" s="166">
        <f>IF(Sales[[#This Row],[Status]]="Cancelled",0,Sales[[#This Row],[Total Amount]])</f>
        <v>24850.799999999999</v>
      </c>
      <c r="S3308" s="162">
        <f>SUM(Sales[Net Amount])</f>
        <v>406839287.73200053</v>
      </c>
    </row>
    <row r="3309" spans="1:19" ht="18.75" x14ac:dyDescent="0.25">
      <c r="A3309" s="156" t="s">
        <v>6967</v>
      </c>
      <c r="B3309" s="157">
        <v>45943</v>
      </c>
      <c r="C3309" s="158" t="s">
        <v>937</v>
      </c>
      <c r="D3309" s="159" t="str">
        <f>VLOOKUP(Sales[[#This Row],[Customer ID]],Customer[#All],2,0)</f>
        <v>Rahul Singh</v>
      </c>
      <c r="E3309" s="158" t="s">
        <v>306</v>
      </c>
      <c r="F3309" s="158" t="str">
        <f>VLOOKUP(Sales[[#This Row],[Product ID]],Product[#All],2,0)</f>
        <v>Portronics USB Cable</v>
      </c>
      <c r="G3309" s="159">
        <v>7</v>
      </c>
      <c r="H3309" s="160">
        <f>VLOOKUP(Sales[[#This Row],[Product ID]],Product[#All],7,0)</f>
        <v>200</v>
      </c>
      <c r="I3309" s="160">
        <f>Sales[[#This Row],[Selling Rate]]*Sales[[#This Row],[Qty]]</f>
        <v>1400</v>
      </c>
      <c r="J3309" s="43">
        <v>0.15</v>
      </c>
      <c r="K3309" s="44">
        <f>Sales[[#This Row],[Gross Amount]]*Sales[[#This Row],[Disc %]]</f>
        <v>210</v>
      </c>
      <c r="L3309" s="43">
        <v>0.18</v>
      </c>
      <c r="M3309" s="44">
        <f>(Sales[[#This Row],[Gross Amount]]-Sales[[#This Row],[Disc. Amt.]])*Sales[[#This Row],[GST %]]</f>
        <v>214.2</v>
      </c>
      <c r="N3309" s="161">
        <f>Sales[[#This Row],[Gross Amount]]-Sales[[#This Row],[Disc. Amt.]]+Sales[[#This Row],[GST Amount]]</f>
        <v>1404.2</v>
      </c>
      <c r="O3309" s="158" t="s">
        <v>8876</v>
      </c>
      <c r="P3309" s="158" t="s">
        <v>3562</v>
      </c>
      <c r="Q3309" s="160">
        <f>IF(Sales[[#This Row],[Status]]="Cancelled",0,Sales[[#This Row],[Qty]])</f>
        <v>7</v>
      </c>
      <c r="R3309" s="161">
        <f>IF(Sales[[#This Row],[Status]]="Cancelled",0,Sales[[#This Row],[Total Amount]])</f>
        <v>1404.2</v>
      </c>
      <c r="S3309" s="162">
        <f>SUM(Sales[Net Amount])</f>
        <v>406839287.73200053</v>
      </c>
    </row>
    <row r="3310" spans="1:19" ht="18.75" x14ac:dyDescent="0.25">
      <c r="A3310" s="163" t="s">
        <v>6968</v>
      </c>
      <c r="B3310" s="164">
        <v>45943</v>
      </c>
      <c r="C3310" s="34" t="s">
        <v>946</v>
      </c>
      <c r="D3310" s="53" t="str">
        <f>VLOOKUP(Sales[[#This Row],[Customer ID]],Customer[#All],2,0)</f>
        <v>Priya Patel</v>
      </c>
      <c r="E3310" s="34" t="s">
        <v>474</v>
      </c>
      <c r="F3310" s="34" t="str">
        <f>VLOOKUP(Sales[[#This Row],[Product ID]],Product[#All],2,0)</f>
        <v>Logitech Mouse</v>
      </c>
      <c r="G3310" s="53">
        <v>8</v>
      </c>
      <c r="H3310" s="165">
        <f>VLOOKUP(Sales[[#This Row],[Product ID]],Product[#All],7,0)</f>
        <v>1320</v>
      </c>
      <c r="I3310" s="165">
        <f>Sales[[#This Row],[Selling Rate]]*Sales[[#This Row],[Qty]]</f>
        <v>10560</v>
      </c>
      <c r="J3310" s="45">
        <v>0.05</v>
      </c>
      <c r="K3310" s="46">
        <f>Sales[[#This Row],[Gross Amount]]*Sales[[#This Row],[Disc %]]</f>
        <v>528</v>
      </c>
      <c r="L3310" s="43">
        <v>0.18</v>
      </c>
      <c r="M3310" s="46">
        <f>(Sales[[#This Row],[Gross Amount]]-Sales[[#This Row],[Disc. Amt.]])*Sales[[#This Row],[GST %]]</f>
        <v>1805.76</v>
      </c>
      <c r="N3310" s="161">
        <f>Sales[[#This Row],[Gross Amount]]-Sales[[#This Row],[Disc. Amt.]]+Sales[[#This Row],[GST Amount]]</f>
        <v>11837.76</v>
      </c>
      <c r="O3310" s="34" t="s">
        <v>3569</v>
      </c>
      <c r="P3310" s="34" t="s">
        <v>3562</v>
      </c>
      <c r="Q3310" s="165">
        <f>IF(Sales[[#This Row],[Status]]="Cancelled",0,Sales[[#This Row],[Qty]])</f>
        <v>8</v>
      </c>
      <c r="R3310" s="166">
        <f>IF(Sales[[#This Row],[Status]]="Cancelled",0,Sales[[#This Row],[Total Amount]])</f>
        <v>11837.76</v>
      </c>
      <c r="S3310" s="162">
        <f>SUM(Sales[Net Amount])</f>
        <v>406839287.73200053</v>
      </c>
    </row>
    <row r="3311" spans="1:19" ht="18.75" x14ac:dyDescent="0.25">
      <c r="A3311" s="156" t="s">
        <v>6969</v>
      </c>
      <c r="B3311" s="157">
        <v>45943</v>
      </c>
      <c r="C3311" s="158" t="s">
        <v>768</v>
      </c>
      <c r="D3311" s="159" t="str">
        <f>VLOOKUP(Sales[[#This Row],[Customer ID]],Customer[#All],2,0)</f>
        <v>Priya Kumar</v>
      </c>
      <c r="E3311" s="158" t="s">
        <v>324</v>
      </c>
      <c r="F3311" s="158" t="str">
        <f>VLOOKUP(Sales[[#This Row],[Product ID]],Product[#All],2,0)</f>
        <v>Sandisk Pen Drive</v>
      </c>
      <c r="G3311" s="159">
        <v>1</v>
      </c>
      <c r="H3311" s="160">
        <f>VLOOKUP(Sales[[#This Row],[Product ID]],Product[#All],7,0)</f>
        <v>4150</v>
      </c>
      <c r="I3311" s="160">
        <f>Sales[[#This Row],[Selling Rate]]*Sales[[#This Row],[Qty]]</f>
        <v>4150</v>
      </c>
      <c r="J3311" s="43">
        <v>0.05</v>
      </c>
      <c r="K3311" s="44">
        <f>Sales[[#This Row],[Gross Amount]]*Sales[[#This Row],[Disc %]]</f>
        <v>207.5</v>
      </c>
      <c r="L3311" s="43">
        <v>0.18</v>
      </c>
      <c r="M3311" s="44">
        <f>(Sales[[#This Row],[Gross Amount]]-Sales[[#This Row],[Disc. Amt.]])*Sales[[#This Row],[GST %]]</f>
        <v>709.65</v>
      </c>
      <c r="N3311" s="161">
        <f>Sales[[#This Row],[Gross Amount]]-Sales[[#This Row],[Disc. Amt.]]+Sales[[#This Row],[GST Amount]]</f>
        <v>4652.1499999999996</v>
      </c>
      <c r="O3311" s="158" t="s">
        <v>3561</v>
      </c>
      <c r="P3311" s="158" t="s">
        <v>3562</v>
      </c>
      <c r="Q3311" s="160">
        <f>IF(Sales[[#This Row],[Status]]="Cancelled",0,Sales[[#This Row],[Qty]])</f>
        <v>1</v>
      </c>
      <c r="R3311" s="161">
        <f>IF(Sales[[#This Row],[Status]]="Cancelled",0,Sales[[#This Row],[Total Amount]])</f>
        <v>4652.1499999999996</v>
      </c>
      <c r="S3311" s="162">
        <f>SUM(Sales[Net Amount])</f>
        <v>406839287.73200053</v>
      </c>
    </row>
    <row r="3312" spans="1:19" ht="18.75" x14ac:dyDescent="0.25">
      <c r="A3312" s="163" t="s">
        <v>6970</v>
      </c>
      <c r="B3312" s="164">
        <v>45943</v>
      </c>
      <c r="C3312" s="34" t="s">
        <v>3879</v>
      </c>
      <c r="D3312" s="53" t="str">
        <f>VLOOKUP(Sales[[#This Row],[Customer ID]],Customer[#All],2,0)</f>
        <v>Rakesh Kumar</v>
      </c>
      <c r="E3312" s="34" t="s">
        <v>500</v>
      </c>
      <c r="F3312" s="34" t="str">
        <f>VLOOKUP(Sales[[#This Row],[Product ID]],Product[#All],2,0)</f>
        <v>HP Power Adapter</v>
      </c>
      <c r="G3312" s="53">
        <v>1</v>
      </c>
      <c r="H3312" s="165">
        <f>VLOOKUP(Sales[[#This Row],[Product ID]],Product[#All],7,0)</f>
        <v>3160</v>
      </c>
      <c r="I3312" s="165">
        <f>Sales[[#This Row],[Selling Rate]]*Sales[[#This Row],[Qty]]</f>
        <v>3160</v>
      </c>
      <c r="J3312" s="45">
        <v>0.1</v>
      </c>
      <c r="K3312" s="46">
        <f>Sales[[#This Row],[Gross Amount]]*Sales[[#This Row],[Disc %]]</f>
        <v>316</v>
      </c>
      <c r="L3312" s="43">
        <v>0.18</v>
      </c>
      <c r="M3312" s="46">
        <f>(Sales[[#This Row],[Gross Amount]]-Sales[[#This Row],[Disc. Amt.]])*Sales[[#This Row],[GST %]]</f>
        <v>511.91999999999996</v>
      </c>
      <c r="N3312" s="161">
        <f>Sales[[#This Row],[Gross Amount]]-Sales[[#This Row],[Disc. Amt.]]+Sales[[#This Row],[GST Amount]]</f>
        <v>3355.92</v>
      </c>
      <c r="O3312" s="34" t="s">
        <v>3566</v>
      </c>
      <c r="P3312" s="34" t="s">
        <v>3562</v>
      </c>
      <c r="Q3312" s="165">
        <f>IF(Sales[[#This Row],[Status]]="Cancelled",0,Sales[[#This Row],[Qty]])</f>
        <v>1</v>
      </c>
      <c r="R3312" s="166">
        <f>IF(Sales[[#This Row],[Status]]="Cancelled",0,Sales[[#This Row],[Total Amount]])</f>
        <v>3355.92</v>
      </c>
      <c r="S3312" s="162">
        <f>SUM(Sales[Net Amount])</f>
        <v>406839287.73200053</v>
      </c>
    </row>
    <row r="3313" spans="1:19" ht="18.75" x14ac:dyDescent="0.25">
      <c r="A3313" s="156" t="s">
        <v>6971</v>
      </c>
      <c r="B3313" s="157">
        <v>45943</v>
      </c>
      <c r="C3313" s="158" t="s">
        <v>939</v>
      </c>
      <c r="D3313" s="159" t="str">
        <f>VLOOKUP(Sales[[#This Row],[Customer ID]],Customer[#All],2,0)</f>
        <v>Sunita Sharma</v>
      </c>
      <c r="E3313" s="158" t="s">
        <v>102</v>
      </c>
      <c r="F3313" s="158" t="str">
        <f>VLOOKUP(Sales[[#This Row],[Product ID]],Product[#All],2,0)</f>
        <v>Canon Printer</v>
      </c>
      <c r="G3313" s="159">
        <v>1</v>
      </c>
      <c r="H3313" s="160">
        <f>VLOOKUP(Sales[[#This Row],[Product ID]],Product[#All],7,0)</f>
        <v>13010</v>
      </c>
      <c r="I3313" s="160">
        <f>Sales[[#This Row],[Selling Rate]]*Sales[[#This Row],[Qty]]</f>
        <v>13010</v>
      </c>
      <c r="J3313" s="43">
        <v>0.12</v>
      </c>
      <c r="K3313" s="44">
        <f>Sales[[#This Row],[Gross Amount]]*Sales[[#This Row],[Disc %]]</f>
        <v>1561.2</v>
      </c>
      <c r="L3313" s="43">
        <v>0.18</v>
      </c>
      <c r="M3313" s="44">
        <f>(Sales[[#This Row],[Gross Amount]]-Sales[[#This Row],[Disc. Amt.]])*Sales[[#This Row],[GST %]]</f>
        <v>2060.7839999999997</v>
      </c>
      <c r="N3313" s="161">
        <f>Sales[[#This Row],[Gross Amount]]-Sales[[#This Row],[Disc. Amt.]]+Sales[[#This Row],[GST Amount]]</f>
        <v>13509.583999999999</v>
      </c>
      <c r="O3313" s="158" t="s">
        <v>3561</v>
      </c>
      <c r="P3313" s="158" t="s">
        <v>3562</v>
      </c>
      <c r="Q3313" s="160">
        <f>IF(Sales[[#This Row],[Status]]="Cancelled",0,Sales[[#This Row],[Qty]])</f>
        <v>1</v>
      </c>
      <c r="R3313" s="161">
        <f>IF(Sales[[#This Row],[Status]]="Cancelled",0,Sales[[#This Row],[Total Amount]])</f>
        <v>13509.583999999999</v>
      </c>
      <c r="S3313" s="162">
        <f>SUM(Sales[Net Amount])</f>
        <v>406839287.73200053</v>
      </c>
    </row>
    <row r="3314" spans="1:19" ht="18.75" x14ac:dyDescent="0.25">
      <c r="A3314" s="163" t="s">
        <v>6972</v>
      </c>
      <c r="B3314" s="164">
        <v>45943</v>
      </c>
      <c r="C3314" s="34" t="s">
        <v>676</v>
      </c>
      <c r="D3314" s="53" t="str">
        <f>VLOOKUP(Sales[[#This Row],[Customer ID]],Customer[#All],2,0)</f>
        <v>Neha Singh</v>
      </c>
      <c r="E3314" s="34" t="s">
        <v>216</v>
      </c>
      <c r="F3314" s="34" t="str">
        <f>VLOOKUP(Sales[[#This Row],[Product ID]],Product[#All],2,0)</f>
        <v>Amazon Basics Hdmi Cable</v>
      </c>
      <c r="G3314" s="53">
        <v>2</v>
      </c>
      <c r="H3314" s="165">
        <f>VLOOKUP(Sales[[#This Row],[Product ID]],Product[#All],7,0)</f>
        <v>1080</v>
      </c>
      <c r="I3314" s="165">
        <f>Sales[[#This Row],[Selling Rate]]*Sales[[#This Row],[Qty]]</f>
        <v>2160</v>
      </c>
      <c r="J3314" s="45">
        <v>0.1</v>
      </c>
      <c r="K3314" s="46">
        <f>Sales[[#This Row],[Gross Amount]]*Sales[[#This Row],[Disc %]]</f>
        <v>216</v>
      </c>
      <c r="L3314" s="43">
        <v>0.18</v>
      </c>
      <c r="M3314" s="46">
        <f>(Sales[[#This Row],[Gross Amount]]-Sales[[#This Row],[Disc. Amt.]])*Sales[[#This Row],[GST %]]</f>
        <v>349.91999999999996</v>
      </c>
      <c r="N3314" s="161">
        <f>Sales[[#This Row],[Gross Amount]]-Sales[[#This Row],[Disc. Amt.]]+Sales[[#This Row],[GST Amount]]</f>
        <v>2293.92</v>
      </c>
      <c r="O3314" s="34" t="s">
        <v>3561</v>
      </c>
      <c r="P3314" s="34" t="s">
        <v>3562</v>
      </c>
      <c r="Q3314" s="165">
        <f>IF(Sales[[#This Row],[Status]]="Cancelled",0,Sales[[#This Row],[Qty]])</f>
        <v>2</v>
      </c>
      <c r="R3314" s="166">
        <f>IF(Sales[[#This Row],[Status]]="Cancelled",0,Sales[[#This Row],[Total Amount]])</f>
        <v>2293.92</v>
      </c>
      <c r="S3314" s="162">
        <f>SUM(Sales[Net Amount])</f>
        <v>406839287.73200053</v>
      </c>
    </row>
    <row r="3315" spans="1:19" ht="18.75" x14ac:dyDescent="0.25">
      <c r="A3315" s="156" t="s">
        <v>6973</v>
      </c>
      <c r="B3315" s="157">
        <v>45943</v>
      </c>
      <c r="C3315" s="158" t="s">
        <v>688</v>
      </c>
      <c r="D3315" s="159" t="str">
        <f>VLOOKUP(Sales[[#This Row],[Customer ID]],Customer[#All],2,0)</f>
        <v>Rahul Verma</v>
      </c>
      <c r="E3315" s="158" t="s">
        <v>167</v>
      </c>
      <c r="F3315" s="158" t="str">
        <f>VLOOKUP(Sales[[#This Row],[Product ID]],Product[#All],2,0)</f>
        <v>Logitech Keyboard</v>
      </c>
      <c r="G3315" s="159">
        <v>5</v>
      </c>
      <c r="H3315" s="160">
        <f>VLOOKUP(Sales[[#This Row],[Product ID]],Product[#All],7,0)</f>
        <v>2460</v>
      </c>
      <c r="I3315" s="160">
        <f>Sales[[#This Row],[Selling Rate]]*Sales[[#This Row],[Qty]]</f>
        <v>12300</v>
      </c>
      <c r="J3315" s="43">
        <v>0.12</v>
      </c>
      <c r="K3315" s="44">
        <f>Sales[[#This Row],[Gross Amount]]*Sales[[#This Row],[Disc %]]</f>
        <v>1476</v>
      </c>
      <c r="L3315" s="43">
        <v>0.18</v>
      </c>
      <c r="M3315" s="44">
        <f>(Sales[[#This Row],[Gross Amount]]-Sales[[#This Row],[Disc. Amt.]])*Sales[[#This Row],[GST %]]</f>
        <v>1948.32</v>
      </c>
      <c r="N3315" s="161">
        <f>Sales[[#This Row],[Gross Amount]]-Sales[[#This Row],[Disc. Amt.]]+Sales[[#This Row],[GST Amount]]</f>
        <v>12772.32</v>
      </c>
      <c r="O3315" s="158" t="s">
        <v>3561</v>
      </c>
      <c r="P3315" s="158" t="s">
        <v>3562</v>
      </c>
      <c r="Q3315" s="160">
        <f>IF(Sales[[#This Row],[Status]]="Cancelled",0,Sales[[#This Row],[Qty]])</f>
        <v>5</v>
      </c>
      <c r="R3315" s="161">
        <f>IF(Sales[[#This Row],[Status]]="Cancelled",0,Sales[[#This Row],[Total Amount]])</f>
        <v>12772.32</v>
      </c>
      <c r="S3315" s="162">
        <f>SUM(Sales[Net Amount])</f>
        <v>406839287.73200053</v>
      </c>
    </row>
    <row r="3316" spans="1:19" ht="18.75" x14ac:dyDescent="0.25">
      <c r="A3316" s="163" t="s">
        <v>6974</v>
      </c>
      <c r="B3316" s="164">
        <v>45943</v>
      </c>
      <c r="C3316" s="34" t="s">
        <v>815</v>
      </c>
      <c r="D3316" s="53" t="str">
        <f>VLOOKUP(Sales[[#This Row],[Customer ID]],Customer[#All],2,0)</f>
        <v>Priya Gupta</v>
      </c>
      <c r="E3316" s="34" t="s">
        <v>268</v>
      </c>
      <c r="F3316" s="34" t="str">
        <f>VLOOKUP(Sales[[#This Row],[Product ID]],Product[#All],2,0)</f>
        <v>American TouristerLaptopBag</v>
      </c>
      <c r="G3316" s="53">
        <v>2</v>
      </c>
      <c r="H3316" s="165">
        <f>VLOOKUP(Sales[[#This Row],[Product ID]],Product[#All],7,0)</f>
        <v>2080</v>
      </c>
      <c r="I3316" s="165">
        <f>Sales[[#This Row],[Selling Rate]]*Sales[[#This Row],[Qty]]</f>
        <v>4160</v>
      </c>
      <c r="J3316" s="45">
        <v>0</v>
      </c>
      <c r="K3316" s="46">
        <f>Sales[[#This Row],[Gross Amount]]*Sales[[#This Row],[Disc %]]</f>
        <v>0</v>
      </c>
      <c r="L3316" s="43">
        <v>0.18</v>
      </c>
      <c r="M3316" s="46">
        <f>(Sales[[#This Row],[Gross Amount]]-Sales[[#This Row],[Disc. Amt.]])*Sales[[#This Row],[GST %]]</f>
        <v>748.8</v>
      </c>
      <c r="N3316" s="161">
        <f>Sales[[#This Row],[Gross Amount]]-Sales[[#This Row],[Disc. Amt.]]+Sales[[#This Row],[GST Amount]]</f>
        <v>4908.8</v>
      </c>
      <c r="O3316" s="34" t="s">
        <v>3561</v>
      </c>
      <c r="P3316" s="34" t="s">
        <v>3562</v>
      </c>
      <c r="Q3316" s="165">
        <f>IF(Sales[[#This Row],[Status]]="Cancelled",0,Sales[[#This Row],[Qty]])</f>
        <v>2</v>
      </c>
      <c r="R3316" s="166">
        <f>IF(Sales[[#This Row],[Status]]="Cancelled",0,Sales[[#This Row],[Total Amount]])</f>
        <v>4908.8</v>
      </c>
      <c r="S3316" s="162">
        <f>SUM(Sales[Net Amount])</f>
        <v>406839287.73200053</v>
      </c>
    </row>
    <row r="3317" spans="1:19" ht="18.75" x14ac:dyDescent="0.25">
      <c r="A3317" s="156" t="s">
        <v>6975</v>
      </c>
      <c r="B3317" s="157">
        <v>45943</v>
      </c>
      <c r="C3317" s="158" t="s">
        <v>727</v>
      </c>
      <c r="D3317" s="159" t="str">
        <f>VLOOKUP(Sales[[#This Row],[Customer ID]],Customer[#All],2,0)</f>
        <v>Sahil Sharma</v>
      </c>
      <c r="E3317" s="158" t="s">
        <v>491</v>
      </c>
      <c r="F3317" s="158" t="str">
        <f>VLOOKUP(Sales[[#This Row],[Product ID]],Product[#All],2,0)</f>
        <v>Boat Speaker</v>
      </c>
      <c r="G3317" s="159">
        <v>8</v>
      </c>
      <c r="H3317" s="160">
        <f>VLOOKUP(Sales[[#This Row],[Product ID]],Product[#All],7,0)</f>
        <v>2300</v>
      </c>
      <c r="I3317" s="160">
        <f>Sales[[#This Row],[Selling Rate]]*Sales[[#This Row],[Qty]]</f>
        <v>18400</v>
      </c>
      <c r="J3317" s="43">
        <v>0.12</v>
      </c>
      <c r="K3317" s="44">
        <f>Sales[[#This Row],[Gross Amount]]*Sales[[#This Row],[Disc %]]</f>
        <v>2208</v>
      </c>
      <c r="L3317" s="43">
        <v>0.18</v>
      </c>
      <c r="M3317" s="44">
        <f>(Sales[[#This Row],[Gross Amount]]-Sales[[#This Row],[Disc. Amt.]])*Sales[[#This Row],[GST %]]</f>
        <v>2914.56</v>
      </c>
      <c r="N3317" s="161">
        <f>Sales[[#This Row],[Gross Amount]]-Sales[[#This Row],[Disc. Amt.]]+Sales[[#This Row],[GST Amount]]</f>
        <v>19106.560000000001</v>
      </c>
      <c r="O3317" s="158" t="s">
        <v>3566</v>
      </c>
      <c r="P3317" s="158" t="s">
        <v>3562</v>
      </c>
      <c r="Q3317" s="160">
        <f>IF(Sales[[#This Row],[Status]]="Cancelled",0,Sales[[#This Row],[Qty]])</f>
        <v>8</v>
      </c>
      <c r="R3317" s="161">
        <f>IF(Sales[[#This Row],[Status]]="Cancelled",0,Sales[[#This Row],[Total Amount]])</f>
        <v>19106.560000000001</v>
      </c>
      <c r="S3317" s="162">
        <f>SUM(Sales[Net Amount])</f>
        <v>406839287.73200053</v>
      </c>
    </row>
    <row r="3318" spans="1:19" ht="18.75" x14ac:dyDescent="0.25">
      <c r="A3318" s="163" t="s">
        <v>6976</v>
      </c>
      <c r="B3318" s="164">
        <v>45944</v>
      </c>
      <c r="C3318" s="34" t="s">
        <v>818</v>
      </c>
      <c r="D3318" s="53" t="str">
        <f>VLOOKUP(Sales[[#This Row],[Customer ID]],Customer[#All],2,0)</f>
        <v>Rahul Sharma</v>
      </c>
      <c r="E3318" s="34" t="s">
        <v>157</v>
      </c>
      <c r="F3318" s="34" t="str">
        <f>VLOOKUP(Sales[[#This Row],[Product ID]],Product[#All],2,0)</f>
        <v>Epson Printer</v>
      </c>
      <c r="G3318" s="53">
        <v>5</v>
      </c>
      <c r="H3318" s="165">
        <f>VLOOKUP(Sales[[#This Row],[Product ID]],Product[#All],7,0)</f>
        <v>12100</v>
      </c>
      <c r="I3318" s="165">
        <f>Sales[[#This Row],[Selling Rate]]*Sales[[#This Row],[Qty]]</f>
        <v>60500</v>
      </c>
      <c r="J3318" s="45">
        <v>0</v>
      </c>
      <c r="K3318" s="46">
        <f>Sales[[#This Row],[Gross Amount]]*Sales[[#This Row],[Disc %]]</f>
        <v>0</v>
      </c>
      <c r="L3318" s="43">
        <v>0.18</v>
      </c>
      <c r="M3318" s="46">
        <f>(Sales[[#This Row],[Gross Amount]]-Sales[[#This Row],[Disc. Amt.]])*Sales[[#This Row],[GST %]]</f>
        <v>10890</v>
      </c>
      <c r="N3318" s="161">
        <f>Sales[[#This Row],[Gross Amount]]-Sales[[#This Row],[Disc. Amt.]]+Sales[[#This Row],[GST Amount]]</f>
        <v>71390</v>
      </c>
      <c r="O3318" s="34" t="s">
        <v>3569</v>
      </c>
      <c r="P3318" s="34" t="s">
        <v>3562</v>
      </c>
      <c r="Q3318" s="165">
        <f>IF(Sales[[#This Row],[Status]]="Cancelled",0,Sales[[#This Row],[Qty]])</f>
        <v>5</v>
      </c>
      <c r="R3318" s="166">
        <f>IF(Sales[[#This Row],[Status]]="Cancelled",0,Sales[[#This Row],[Total Amount]])</f>
        <v>71390</v>
      </c>
      <c r="S3318" s="162">
        <f>SUM(Sales[Net Amount])</f>
        <v>406839287.73200053</v>
      </c>
    </row>
    <row r="3319" spans="1:19" ht="18.75" x14ac:dyDescent="0.25">
      <c r="A3319" s="156" t="s">
        <v>6977</v>
      </c>
      <c r="B3319" s="157">
        <v>45944</v>
      </c>
      <c r="C3319" s="158" t="s">
        <v>731</v>
      </c>
      <c r="D3319" s="159" t="str">
        <f>VLOOKUP(Sales[[#This Row],[Customer ID]],Customer[#All],2,0)</f>
        <v>Neha Singh</v>
      </c>
      <c r="E3319" s="158" t="s">
        <v>176</v>
      </c>
      <c r="F3319" s="158" t="str">
        <f>VLOOKUP(Sales[[#This Row],[Product ID]],Product[#All],2,0)</f>
        <v>Dell Monitor</v>
      </c>
      <c r="G3319" s="159">
        <v>1</v>
      </c>
      <c r="H3319" s="160">
        <f>VLOOKUP(Sales[[#This Row],[Product ID]],Product[#All],7,0)</f>
        <v>18900</v>
      </c>
      <c r="I3319" s="160">
        <f>Sales[[#This Row],[Selling Rate]]*Sales[[#This Row],[Qty]]</f>
        <v>18900</v>
      </c>
      <c r="J3319" s="43">
        <v>0.05</v>
      </c>
      <c r="K3319" s="44">
        <f>Sales[[#This Row],[Gross Amount]]*Sales[[#This Row],[Disc %]]</f>
        <v>945</v>
      </c>
      <c r="L3319" s="43">
        <v>0.18</v>
      </c>
      <c r="M3319" s="44">
        <f>(Sales[[#This Row],[Gross Amount]]-Sales[[#This Row],[Disc. Amt.]])*Sales[[#This Row],[GST %]]</f>
        <v>3231.9</v>
      </c>
      <c r="N3319" s="161">
        <f>Sales[[#This Row],[Gross Amount]]-Sales[[#This Row],[Disc. Amt.]]+Sales[[#This Row],[GST Amount]]</f>
        <v>21186.9</v>
      </c>
      <c r="O3319" s="158" t="s">
        <v>8876</v>
      </c>
      <c r="P3319" s="158" t="s">
        <v>3562</v>
      </c>
      <c r="Q3319" s="160">
        <f>IF(Sales[[#This Row],[Status]]="Cancelled",0,Sales[[#This Row],[Qty]])</f>
        <v>1</v>
      </c>
      <c r="R3319" s="161">
        <f>IF(Sales[[#This Row],[Status]]="Cancelled",0,Sales[[#This Row],[Total Amount]])</f>
        <v>21186.9</v>
      </c>
      <c r="S3319" s="162">
        <f>SUM(Sales[Net Amount])</f>
        <v>406839287.73200053</v>
      </c>
    </row>
    <row r="3320" spans="1:19" ht="18.75" x14ac:dyDescent="0.25">
      <c r="A3320" s="163" t="s">
        <v>6978</v>
      </c>
      <c r="B3320" s="164">
        <v>45944</v>
      </c>
      <c r="C3320" s="34" t="s">
        <v>809</v>
      </c>
      <c r="D3320" s="53" t="str">
        <f>VLOOKUP(Sales[[#This Row],[Customer ID]],Customer[#All],2,0)</f>
        <v>Priya Patel</v>
      </c>
      <c r="E3320" s="34" t="s">
        <v>56</v>
      </c>
      <c r="F3320" s="34" t="str">
        <f>VLOOKUP(Sales[[#This Row],[Product ID]],Product[#All],2,0)</f>
        <v>Boat Headset</v>
      </c>
      <c r="G3320" s="53">
        <v>8</v>
      </c>
      <c r="H3320" s="165">
        <f>VLOOKUP(Sales[[#This Row],[Product ID]],Product[#All],7,0)</f>
        <v>4140</v>
      </c>
      <c r="I3320" s="165">
        <f>Sales[[#This Row],[Selling Rate]]*Sales[[#This Row],[Qty]]</f>
        <v>33120</v>
      </c>
      <c r="J3320" s="45">
        <v>0.02</v>
      </c>
      <c r="K3320" s="46">
        <f>Sales[[#This Row],[Gross Amount]]*Sales[[#This Row],[Disc %]]</f>
        <v>662.4</v>
      </c>
      <c r="L3320" s="43">
        <v>0.18</v>
      </c>
      <c r="M3320" s="46">
        <f>(Sales[[#This Row],[Gross Amount]]-Sales[[#This Row],[Disc. Amt.]])*Sales[[#This Row],[GST %]]</f>
        <v>5842.3679999999995</v>
      </c>
      <c r="N3320" s="161">
        <f>Sales[[#This Row],[Gross Amount]]-Sales[[#This Row],[Disc. Amt.]]+Sales[[#This Row],[GST Amount]]</f>
        <v>38299.968000000001</v>
      </c>
      <c r="O3320" s="34" t="s">
        <v>3561</v>
      </c>
      <c r="P3320" s="34" t="s">
        <v>3562</v>
      </c>
      <c r="Q3320" s="165">
        <f>IF(Sales[[#This Row],[Status]]="Cancelled",0,Sales[[#This Row],[Qty]])</f>
        <v>8</v>
      </c>
      <c r="R3320" s="166">
        <f>IF(Sales[[#This Row],[Status]]="Cancelled",0,Sales[[#This Row],[Total Amount]])</f>
        <v>38299.968000000001</v>
      </c>
      <c r="S3320" s="162">
        <f>SUM(Sales[Net Amount])</f>
        <v>406839287.73200053</v>
      </c>
    </row>
    <row r="3321" spans="1:19" ht="18.75" x14ac:dyDescent="0.25">
      <c r="A3321" s="156" t="s">
        <v>6979</v>
      </c>
      <c r="B3321" s="157">
        <v>45944</v>
      </c>
      <c r="C3321" s="158" t="s">
        <v>6980</v>
      </c>
      <c r="D3321" s="159" t="str">
        <f>VLOOKUP(Sales[[#This Row],[Customer ID]],Customer[#All],2,0)</f>
        <v>Sunita Singh</v>
      </c>
      <c r="E3321" s="158" t="s">
        <v>214</v>
      </c>
      <c r="F3321" s="158" t="str">
        <f>VLOOKUP(Sales[[#This Row],[Product ID]],Product[#All],2,0)</f>
        <v>Microtek UPS</v>
      </c>
      <c r="G3321" s="159">
        <v>1</v>
      </c>
      <c r="H3321" s="160">
        <f>VLOOKUP(Sales[[#This Row],[Product ID]],Product[#All],7,0)</f>
        <v>10710</v>
      </c>
      <c r="I3321" s="160">
        <f>Sales[[#This Row],[Selling Rate]]*Sales[[#This Row],[Qty]]</f>
        <v>10710</v>
      </c>
      <c r="J3321" s="43">
        <v>0.1</v>
      </c>
      <c r="K3321" s="44">
        <f>Sales[[#This Row],[Gross Amount]]*Sales[[#This Row],[Disc %]]</f>
        <v>1071</v>
      </c>
      <c r="L3321" s="43">
        <v>0.18</v>
      </c>
      <c r="M3321" s="44">
        <f>(Sales[[#This Row],[Gross Amount]]-Sales[[#This Row],[Disc. Amt.]])*Sales[[#This Row],[GST %]]</f>
        <v>1735.02</v>
      </c>
      <c r="N3321" s="161">
        <f>Sales[[#This Row],[Gross Amount]]-Sales[[#This Row],[Disc. Amt.]]+Sales[[#This Row],[GST Amount]]</f>
        <v>11374.02</v>
      </c>
      <c r="O3321" s="158" t="s">
        <v>3561</v>
      </c>
      <c r="P3321" s="158" t="s">
        <v>3562</v>
      </c>
      <c r="Q3321" s="160">
        <f>IF(Sales[[#This Row],[Status]]="Cancelled",0,Sales[[#This Row],[Qty]])</f>
        <v>1</v>
      </c>
      <c r="R3321" s="161">
        <f>IF(Sales[[#This Row],[Status]]="Cancelled",0,Sales[[#This Row],[Total Amount]])</f>
        <v>11374.02</v>
      </c>
      <c r="S3321" s="162">
        <f>SUM(Sales[Net Amount])</f>
        <v>406839287.73200053</v>
      </c>
    </row>
    <row r="3322" spans="1:19" ht="18.75" x14ac:dyDescent="0.25">
      <c r="A3322" s="163" t="s">
        <v>6981</v>
      </c>
      <c r="B3322" s="164">
        <v>45944</v>
      </c>
      <c r="C3322" s="34" t="s">
        <v>831</v>
      </c>
      <c r="D3322" s="53" t="str">
        <f>VLOOKUP(Sales[[#This Row],[Customer ID]],Customer[#All],2,0)</f>
        <v>Vikas Gupta</v>
      </c>
      <c r="E3322" s="34" t="s">
        <v>392</v>
      </c>
      <c r="F3322" s="34" t="str">
        <f>VLOOKUP(Sales[[#This Row],[Product ID]],Product[#All],2,0)</f>
        <v>Apc UPS</v>
      </c>
      <c r="G3322" s="53">
        <v>3</v>
      </c>
      <c r="H3322" s="165">
        <f>VLOOKUP(Sales[[#This Row],[Product ID]],Product[#All],7,0)</f>
        <v>3320</v>
      </c>
      <c r="I3322" s="165">
        <f>Sales[[#This Row],[Selling Rate]]*Sales[[#This Row],[Qty]]</f>
        <v>9960</v>
      </c>
      <c r="J3322" s="45">
        <v>0.05</v>
      </c>
      <c r="K3322" s="46">
        <f>Sales[[#This Row],[Gross Amount]]*Sales[[#This Row],[Disc %]]</f>
        <v>498</v>
      </c>
      <c r="L3322" s="43">
        <v>0.18</v>
      </c>
      <c r="M3322" s="46">
        <f>(Sales[[#This Row],[Gross Amount]]-Sales[[#This Row],[Disc. Amt.]])*Sales[[#This Row],[GST %]]</f>
        <v>1703.1599999999999</v>
      </c>
      <c r="N3322" s="161">
        <f>Sales[[#This Row],[Gross Amount]]-Sales[[#This Row],[Disc. Amt.]]+Sales[[#This Row],[GST Amount]]</f>
        <v>11165.16</v>
      </c>
      <c r="O3322" s="34" t="s">
        <v>3561</v>
      </c>
      <c r="P3322" s="34" t="s">
        <v>3562</v>
      </c>
      <c r="Q3322" s="165">
        <f>IF(Sales[[#This Row],[Status]]="Cancelled",0,Sales[[#This Row],[Qty]])</f>
        <v>3</v>
      </c>
      <c r="R3322" s="166">
        <f>IF(Sales[[#This Row],[Status]]="Cancelled",0,Sales[[#This Row],[Total Amount]])</f>
        <v>11165.16</v>
      </c>
      <c r="S3322" s="162">
        <f>SUM(Sales[Net Amount])</f>
        <v>406839287.73200053</v>
      </c>
    </row>
    <row r="3323" spans="1:19" ht="18.75" x14ac:dyDescent="0.25">
      <c r="A3323" s="156" t="s">
        <v>6982</v>
      </c>
      <c r="B3323" s="157">
        <v>45944</v>
      </c>
      <c r="C3323" s="158" t="s">
        <v>669</v>
      </c>
      <c r="D3323" s="159" t="str">
        <f>VLOOKUP(Sales[[#This Row],[Customer ID]],Customer[#All],2,0)</f>
        <v>Sahil Kumar</v>
      </c>
      <c r="E3323" s="158" t="s">
        <v>272</v>
      </c>
      <c r="F3323" s="158" t="str">
        <f>VLOOKUP(Sales[[#This Row],[Product ID]],Product[#All],2,0)</f>
        <v>Jbl Speaker</v>
      </c>
      <c r="G3323" s="159">
        <v>4</v>
      </c>
      <c r="H3323" s="160">
        <f>VLOOKUP(Sales[[#This Row],[Product ID]],Product[#All],7,0)</f>
        <v>10960</v>
      </c>
      <c r="I3323" s="160">
        <f>Sales[[#This Row],[Selling Rate]]*Sales[[#This Row],[Qty]]</f>
        <v>43840</v>
      </c>
      <c r="J3323" s="43">
        <v>0.05</v>
      </c>
      <c r="K3323" s="44">
        <f>Sales[[#This Row],[Gross Amount]]*Sales[[#This Row],[Disc %]]</f>
        <v>2192</v>
      </c>
      <c r="L3323" s="43">
        <v>0.18</v>
      </c>
      <c r="M3323" s="44">
        <f>(Sales[[#This Row],[Gross Amount]]-Sales[[#This Row],[Disc. Amt.]])*Sales[[#This Row],[GST %]]</f>
        <v>7496.6399999999994</v>
      </c>
      <c r="N3323" s="161">
        <f>Sales[[#This Row],[Gross Amount]]-Sales[[#This Row],[Disc. Amt.]]+Sales[[#This Row],[GST Amount]]</f>
        <v>49144.639999999999</v>
      </c>
      <c r="O3323" s="158" t="s">
        <v>3569</v>
      </c>
      <c r="P3323" s="158" t="s">
        <v>3562</v>
      </c>
      <c r="Q3323" s="160">
        <f>IF(Sales[[#This Row],[Status]]="Cancelled",0,Sales[[#This Row],[Qty]])</f>
        <v>4</v>
      </c>
      <c r="R3323" s="161">
        <f>IF(Sales[[#This Row],[Status]]="Cancelled",0,Sales[[#This Row],[Total Amount]])</f>
        <v>49144.639999999999</v>
      </c>
      <c r="S3323" s="162">
        <f>SUM(Sales[Net Amount])</f>
        <v>406839287.73200053</v>
      </c>
    </row>
    <row r="3324" spans="1:19" ht="18.75" x14ac:dyDescent="0.25">
      <c r="A3324" s="163" t="s">
        <v>6983</v>
      </c>
      <c r="B3324" s="164">
        <v>45944</v>
      </c>
      <c r="C3324" s="34" t="s">
        <v>812</v>
      </c>
      <c r="D3324" s="53" t="str">
        <f>VLOOKUP(Sales[[#This Row],[Customer ID]],Customer[#All],2,0)</f>
        <v>Neha Gupta</v>
      </c>
      <c r="E3324" s="34" t="s">
        <v>89</v>
      </c>
      <c r="F3324" s="34" t="str">
        <f>VLOOKUP(Sales[[#This Row],[Product ID]],Product[#All],2,0)</f>
        <v>Portronics USB Cable</v>
      </c>
      <c r="G3324" s="53">
        <v>7</v>
      </c>
      <c r="H3324" s="165">
        <f>VLOOKUP(Sales[[#This Row],[Product ID]],Product[#All],7,0)</f>
        <v>390</v>
      </c>
      <c r="I3324" s="165">
        <f>Sales[[#This Row],[Selling Rate]]*Sales[[#This Row],[Qty]]</f>
        <v>2730</v>
      </c>
      <c r="J3324" s="45">
        <v>0.05</v>
      </c>
      <c r="K3324" s="46">
        <f>Sales[[#This Row],[Gross Amount]]*Sales[[#This Row],[Disc %]]</f>
        <v>136.5</v>
      </c>
      <c r="L3324" s="43">
        <v>0.18</v>
      </c>
      <c r="M3324" s="46">
        <f>(Sales[[#This Row],[Gross Amount]]-Sales[[#This Row],[Disc. Amt.]])*Sales[[#This Row],[GST %]]</f>
        <v>466.83</v>
      </c>
      <c r="N3324" s="161">
        <f>Sales[[#This Row],[Gross Amount]]-Sales[[#This Row],[Disc. Amt.]]+Sales[[#This Row],[GST Amount]]</f>
        <v>3060.33</v>
      </c>
      <c r="O3324" s="34" t="s">
        <v>3566</v>
      </c>
      <c r="P3324" s="34" t="s">
        <v>3562</v>
      </c>
      <c r="Q3324" s="165">
        <f>IF(Sales[[#This Row],[Status]]="Cancelled",0,Sales[[#This Row],[Qty]])</f>
        <v>7</v>
      </c>
      <c r="R3324" s="166">
        <f>IF(Sales[[#This Row],[Status]]="Cancelled",0,Sales[[#This Row],[Total Amount]])</f>
        <v>3060.33</v>
      </c>
      <c r="S3324" s="162">
        <f>SUM(Sales[Net Amount])</f>
        <v>406839287.73200053</v>
      </c>
    </row>
    <row r="3325" spans="1:19" ht="18.75" x14ac:dyDescent="0.25">
      <c r="A3325" s="156" t="s">
        <v>6984</v>
      </c>
      <c r="B3325" s="157">
        <v>45944</v>
      </c>
      <c r="C3325" s="158" t="s">
        <v>736</v>
      </c>
      <c r="D3325" s="159" t="str">
        <f>VLOOKUP(Sales[[#This Row],[Customer ID]],Customer[#All],2,0)</f>
        <v>Ankit Verma</v>
      </c>
      <c r="E3325" s="158" t="s">
        <v>512</v>
      </c>
      <c r="F3325" s="158" t="str">
        <f>VLOOKUP(Sales[[#This Row],[Product ID]],Product[#All],2,0)</f>
        <v>Logitech Webcam</v>
      </c>
      <c r="G3325" s="159">
        <v>1</v>
      </c>
      <c r="H3325" s="160">
        <f>VLOOKUP(Sales[[#This Row],[Product ID]],Product[#All],7,0)</f>
        <v>5800</v>
      </c>
      <c r="I3325" s="160">
        <f>Sales[[#This Row],[Selling Rate]]*Sales[[#This Row],[Qty]]</f>
        <v>5800</v>
      </c>
      <c r="J3325" s="43">
        <v>0.1</v>
      </c>
      <c r="K3325" s="44">
        <f>Sales[[#This Row],[Gross Amount]]*Sales[[#This Row],[Disc %]]</f>
        <v>580</v>
      </c>
      <c r="L3325" s="43">
        <v>0.18</v>
      </c>
      <c r="M3325" s="44">
        <f>(Sales[[#This Row],[Gross Amount]]-Sales[[#This Row],[Disc. Amt.]])*Sales[[#This Row],[GST %]]</f>
        <v>939.59999999999991</v>
      </c>
      <c r="N3325" s="161">
        <f>Sales[[#This Row],[Gross Amount]]-Sales[[#This Row],[Disc. Amt.]]+Sales[[#This Row],[GST Amount]]</f>
        <v>6159.6</v>
      </c>
      <c r="O3325" s="158" t="s">
        <v>3561</v>
      </c>
      <c r="P3325" s="158" t="s">
        <v>3562</v>
      </c>
      <c r="Q3325" s="160">
        <f>IF(Sales[[#This Row],[Status]]="Cancelled",0,Sales[[#This Row],[Qty]])</f>
        <v>1</v>
      </c>
      <c r="R3325" s="161">
        <f>IF(Sales[[#This Row],[Status]]="Cancelled",0,Sales[[#This Row],[Total Amount]])</f>
        <v>6159.6</v>
      </c>
      <c r="S3325" s="162">
        <f>SUM(Sales[Net Amount])</f>
        <v>406839287.73200053</v>
      </c>
    </row>
    <row r="3326" spans="1:19" ht="18.75" x14ac:dyDescent="0.25">
      <c r="A3326" s="163" t="s">
        <v>6985</v>
      </c>
      <c r="B3326" s="164">
        <v>45944</v>
      </c>
      <c r="C3326" s="34" t="s">
        <v>708</v>
      </c>
      <c r="D3326" s="53" t="str">
        <f>VLOOKUP(Sales[[#This Row],[Customer ID]],Customer[#All],2,0)</f>
        <v>Amit Verma</v>
      </c>
      <c r="E3326" s="34" t="s">
        <v>236</v>
      </c>
      <c r="F3326" s="34" t="str">
        <f>VLOOKUP(Sales[[#This Row],[Product ID]],Product[#All],2,0)</f>
        <v>Dell Desktop</v>
      </c>
      <c r="G3326" s="53">
        <v>6</v>
      </c>
      <c r="H3326" s="165">
        <f>VLOOKUP(Sales[[#This Row],[Product ID]],Product[#All],7,0)</f>
        <v>50050</v>
      </c>
      <c r="I3326" s="165">
        <f>Sales[[#This Row],[Selling Rate]]*Sales[[#This Row],[Qty]]</f>
        <v>300300</v>
      </c>
      <c r="J3326" s="45">
        <v>0</v>
      </c>
      <c r="K3326" s="46">
        <f>Sales[[#This Row],[Gross Amount]]*Sales[[#This Row],[Disc %]]</f>
        <v>0</v>
      </c>
      <c r="L3326" s="43">
        <v>0.18</v>
      </c>
      <c r="M3326" s="46">
        <f>(Sales[[#This Row],[Gross Amount]]-Sales[[#This Row],[Disc. Amt.]])*Sales[[#This Row],[GST %]]</f>
        <v>54054</v>
      </c>
      <c r="N3326" s="161">
        <f>Sales[[#This Row],[Gross Amount]]-Sales[[#This Row],[Disc. Amt.]]+Sales[[#This Row],[GST Amount]]</f>
        <v>354354</v>
      </c>
      <c r="O3326" s="34" t="s">
        <v>3569</v>
      </c>
      <c r="P3326" s="34" t="s">
        <v>3562</v>
      </c>
      <c r="Q3326" s="165">
        <f>IF(Sales[[#This Row],[Status]]="Cancelled",0,Sales[[#This Row],[Qty]])</f>
        <v>6</v>
      </c>
      <c r="R3326" s="166">
        <f>IF(Sales[[#This Row],[Status]]="Cancelled",0,Sales[[#This Row],[Total Amount]])</f>
        <v>354354</v>
      </c>
      <c r="S3326" s="162">
        <f>SUM(Sales[Net Amount])</f>
        <v>406839287.73200053</v>
      </c>
    </row>
    <row r="3327" spans="1:19" ht="18.75" x14ac:dyDescent="0.25">
      <c r="A3327" s="156" t="s">
        <v>6986</v>
      </c>
      <c r="B3327" s="157">
        <v>45944</v>
      </c>
      <c r="C3327" s="158" t="s">
        <v>683</v>
      </c>
      <c r="D3327" s="159" t="str">
        <f>VLOOKUP(Sales[[#This Row],[Customer ID]],Customer[#All],2,0)</f>
        <v>Rahul Kumar</v>
      </c>
      <c r="E3327" s="158" t="s">
        <v>448</v>
      </c>
      <c r="F3327" s="158" t="str">
        <f>VLOOKUP(Sales[[#This Row],[Product ID]],Product[#All],2,0)</f>
        <v>Crucial Ssd</v>
      </c>
      <c r="G3327" s="159">
        <v>3</v>
      </c>
      <c r="H3327" s="160">
        <f>VLOOKUP(Sales[[#This Row],[Product ID]],Product[#All],7,0)</f>
        <v>7930</v>
      </c>
      <c r="I3327" s="160">
        <f>Sales[[#This Row],[Selling Rate]]*Sales[[#This Row],[Qty]]</f>
        <v>23790</v>
      </c>
      <c r="J3327" s="43">
        <v>0.15</v>
      </c>
      <c r="K3327" s="44">
        <f>Sales[[#This Row],[Gross Amount]]*Sales[[#This Row],[Disc %]]</f>
        <v>3568.5</v>
      </c>
      <c r="L3327" s="43">
        <v>0.18</v>
      </c>
      <c r="M3327" s="44">
        <f>(Sales[[#This Row],[Gross Amount]]-Sales[[#This Row],[Disc. Amt.]])*Sales[[#This Row],[GST %]]</f>
        <v>3639.87</v>
      </c>
      <c r="N3327" s="161">
        <f>Sales[[#This Row],[Gross Amount]]-Sales[[#This Row],[Disc. Amt.]]+Sales[[#This Row],[GST Amount]]</f>
        <v>23861.37</v>
      </c>
      <c r="O3327" s="158" t="s">
        <v>3561</v>
      </c>
      <c r="P3327" s="158" t="s">
        <v>3562</v>
      </c>
      <c r="Q3327" s="160">
        <f>IF(Sales[[#This Row],[Status]]="Cancelled",0,Sales[[#This Row],[Qty]])</f>
        <v>3</v>
      </c>
      <c r="R3327" s="161">
        <f>IF(Sales[[#This Row],[Status]]="Cancelled",0,Sales[[#This Row],[Total Amount]])</f>
        <v>23861.37</v>
      </c>
      <c r="S3327" s="162">
        <f>SUM(Sales[Net Amount])</f>
        <v>406839287.73200053</v>
      </c>
    </row>
    <row r="3328" spans="1:19" ht="18.75" x14ac:dyDescent="0.25">
      <c r="A3328" s="163" t="s">
        <v>6987</v>
      </c>
      <c r="B3328" s="164">
        <v>45944</v>
      </c>
      <c r="C3328" s="34" t="s">
        <v>774</v>
      </c>
      <c r="D3328" s="53" t="str">
        <f>VLOOKUP(Sales[[#This Row],[Customer ID]],Customer[#All],2,0)</f>
        <v>Vikas Patel</v>
      </c>
      <c r="E3328" s="34" t="s">
        <v>124</v>
      </c>
      <c r="F3328" s="34" t="str">
        <f>VLOOKUP(Sales[[#This Row],[Product ID]],Product[#All],2,0)</f>
        <v>Crucial Ssd</v>
      </c>
      <c r="G3328" s="53">
        <v>6</v>
      </c>
      <c r="H3328" s="165">
        <f>VLOOKUP(Sales[[#This Row],[Product ID]],Product[#All],7,0)</f>
        <v>14820</v>
      </c>
      <c r="I3328" s="165">
        <f>Sales[[#This Row],[Selling Rate]]*Sales[[#This Row],[Qty]]</f>
        <v>88920</v>
      </c>
      <c r="J3328" s="45">
        <v>0.15</v>
      </c>
      <c r="K3328" s="46">
        <f>Sales[[#This Row],[Gross Amount]]*Sales[[#This Row],[Disc %]]</f>
        <v>13338</v>
      </c>
      <c r="L3328" s="43">
        <v>0.18</v>
      </c>
      <c r="M3328" s="46">
        <f>(Sales[[#This Row],[Gross Amount]]-Sales[[#This Row],[Disc. Amt.]])*Sales[[#This Row],[GST %]]</f>
        <v>13604.76</v>
      </c>
      <c r="N3328" s="161">
        <f>Sales[[#This Row],[Gross Amount]]-Sales[[#This Row],[Disc. Amt.]]+Sales[[#This Row],[GST Amount]]</f>
        <v>89186.76</v>
      </c>
      <c r="O3328" s="34" t="s">
        <v>8876</v>
      </c>
      <c r="P3328" s="34" t="s">
        <v>3562</v>
      </c>
      <c r="Q3328" s="165">
        <f>IF(Sales[[#This Row],[Status]]="Cancelled",0,Sales[[#This Row],[Qty]])</f>
        <v>6</v>
      </c>
      <c r="R3328" s="166">
        <f>IF(Sales[[#This Row],[Status]]="Cancelled",0,Sales[[#This Row],[Total Amount]])</f>
        <v>89186.76</v>
      </c>
      <c r="S3328" s="162">
        <f>SUM(Sales[Net Amount])</f>
        <v>406839287.73200053</v>
      </c>
    </row>
    <row r="3329" spans="1:19" ht="18.75" x14ac:dyDescent="0.25">
      <c r="A3329" s="156" t="s">
        <v>6988</v>
      </c>
      <c r="B3329" s="157">
        <v>45944</v>
      </c>
      <c r="C3329" s="158" t="s">
        <v>829</v>
      </c>
      <c r="D3329" s="159" t="str">
        <f>VLOOKUP(Sales[[#This Row],[Customer ID]],Customer[#All],2,0)</f>
        <v>Pooja Patel</v>
      </c>
      <c r="E3329" s="158" t="s">
        <v>199</v>
      </c>
      <c r="F3329" s="158" t="str">
        <f>VLOOKUP(Sales[[#This Row],[Product ID]],Product[#All],2,0)</f>
        <v>Lg Monitor</v>
      </c>
      <c r="G3329" s="159">
        <v>5</v>
      </c>
      <c r="H3329" s="160">
        <f>VLOOKUP(Sales[[#This Row],[Product ID]],Product[#All],7,0)</f>
        <v>13160</v>
      </c>
      <c r="I3329" s="160">
        <f>Sales[[#This Row],[Selling Rate]]*Sales[[#This Row],[Qty]]</f>
        <v>65800</v>
      </c>
      <c r="J3329" s="43">
        <v>0</v>
      </c>
      <c r="K3329" s="44">
        <f>Sales[[#This Row],[Gross Amount]]*Sales[[#This Row],[Disc %]]</f>
        <v>0</v>
      </c>
      <c r="L3329" s="43">
        <v>0.18</v>
      </c>
      <c r="M3329" s="44">
        <f>(Sales[[#This Row],[Gross Amount]]-Sales[[#This Row],[Disc. Amt.]])*Sales[[#This Row],[GST %]]</f>
        <v>11844</v>
      </c>
      <c r="N3329" s="161">
        <f>Sales[[#This Row],[Gross Amount]]-Sales[[#This Row],[Disc. Amt.]]+Sales[[#This Row],[GST Amount]]</f>
        <v>77644</v>
      </c>
      <c r="O3329" s="158" t="s">
        <v>8876</v>
      </c>
      <c r="P3329" s="158" t="s">
        <v>3562</v>
      </c>
      <c r="Q3329" s="160">
        <f>IF(Sales[[#This Row],[Status]]="Cancelled",0,Sales[[#This Row],[Qty]])</f>
        <v>5</v>
      </c>
      <c r="R3329" s="161">
        <f>IF(Sales[[#This Row],[Status]]="Cancelled",0,Sales[[#This Row],[Total Amount]])</f>
        <v>77644</v>
      </c>
      <c r="S3329" s="162">
        <f>SUM(Sales[Net Amount])</f>
        <v>406839287.73200053</v>
      </c>
    </row>
    <row r="3330" spans="1:19" ht="18.75" x14ac:dyDescent="0.25">
      <c r="A3330" s="163" t="s">
        <v>6989</v>
      </c>
      <c r="B3330" s="164">
        <v>45944</v>
      </c>
      <c r="C3330" s="34" t="s">
        <v>802</v>
      </c>
      <c r="D3330" s="53" t="str">
        <f>VLOOKUP(Sales[[#This Row],[Customer ID]],Customer[#All],2,0)</f>
        <v>Rakesh Patel</v>
      </c>
      <c r="E3330" s="34" t="s">
        <v>129</v>
      </c>
      <c r="F3330" s="34" t="str">
        <f>VLOOKUP(Sales[[#This Row],[Product ID]],Product[#All],2,0)</f>
        <v>Logitech Mouse</v>
      </c>
      <c r="G3330" s="53">
        <v>4</v>
      </c>
      <c r="H3330" s="165">
        <f>VLOOKUP(Sales[[#This Row],[Product ID]],Product[#All],7,0)</f>
        <v>2000</v>
      </c>
      <c r="I3330" s="165">
        <f>Sales[[#This Row],[Selling Rate]]*Sales[[#This Row],[Qty]]</f>
        <v>8000</v>
      </c>
      <c r="J3330" s="45">
        <v>0.12</v>
      </c>
      <c r="K3330" s="46">
        <f>Sales[[#This Row],[Gross Amount]]*Sales[[#This Row],[Disc %]]</f>
        <v>960</v>
      </c>
      <c r="L3330" s="43">
        <v>0.18</v>
      </c>
      <c r="M3330" s="46">
        <f>(Sales[[#This Row],[Gross Amount]]-Sales[[#This Row],[Disc. Amt.]])*Sales[[#This Row],[GST %]]</f>
        <v>1267.2</v>
      </c>
      <c r="N3330" s="161">
        <f>Sales[[#This Row],[Gross Amount]]-Sales[[#This Row],[Disc. Amt.]]+Sales[[#This Row],[GST Amount]]</f>
        <v>8307.2000000000007</v>
      </c>
      <c r="O3330" s="34" t="s">
        <v>8876</v>
      </c>
      <c r="P3330" s="34" t="s">
        <v>3562</v>
      </c>
      <c r="Q3330" s="165">
        <f>IF(Sales[[#This Row],[Status]]="Cancelled",0,Sales[[#This Row],[Qty]])</f>
        <v>4</v>
      </c>
      <c r="R3330" s="166">
        <f>IF(Sales[[#This Row],[Status]]="Cancelled",0,Sales[[#This Row],[Total Amount]])</f>
        <v>8307.2000000000007</v>
      </c>
      <c r="S3330" s="162">
        <f>SUM(Sales[Net Amount])</f>
        <v>406839287.73200053</v>
      </c>
    </row>
    <row r="3331" spans="1:19" ht="18.75" x14ac:dyDescent="0.25">
      <c r="A3331" s="156" t="s">
        <v>6990</v>
      </c>
      <c r="B3331" s="157">
        <v>45944</v>
      </c>
      <c r="C3331" s="158" t="s">
        <v>706</v>
      </c>
      <c r="D3331" s="159" t="str">
        <f>VLOOKUP(Sales[[#This Row],[Customer ID]],Customer[#All],2,0)</f>
        <v>Amit Sharma</v>
      </c>
      <c r="E3331" s="158" t="s">
        <v>244</v>
      </c>
      <c r="F3331" s="158" t="str">
        <f>VLOOKUP(Sales[[#This Row],[Product ID]],Product[#All],2,0)</f>
        <v>TP-link Router</v>
      </c>
      <c r="G3331" s="159">
        <v>2</v>
      </c>
      <c r="H3331" s="160">
        <f>VLOOKUP(Sales[[#This Row],[Product ID]],Product[#All],7,0)</f>
        <v>4220</v>
      </c>
      <c r="I3331" s="160">
        <f>Sales[[#This Row],[Selling Rate]]*Sales[[#This Row],[Qty]]</f>
        <v>8440</v>
      </c>
      <c r="J3331" s="43">
        <v>0.05</v>
      </c>
      <c r="K3331" s="44">
        <f>Sales[[#This Row],[Gross Amount]]*Sales[[#This Row],[Disc %]]</f>
        <v>422</v>
      </c>
      <c r="L3331" s="43">
        <v>0.18</v>
      </c>
      <c r="M3331" s="44">
        <f>(Sales[[#This Row],[Gross Amount]]-Sales[[#This Row],[Disc. Amt.]])*Sales[[#This Row],[GST %]]</f>
        <v>1443.24</v>
      </c>
      <c r="N3331" s="161">
        <f>Sales[[#This Row],[Gross Amount]]-Sales[[#This Row],[Disc. Amt.]]+Sales[[#This Row],[GST Amount]]</f>
        <v>9461.24</v>
      </c>
      <c r="O3331" s="158" t="s">
        <v>3569</v>
      </c>
      <c r="P3331" s="158" t="s">
        <v>3562</v>
      </c>
      <c r="Q3331" s="160">
        <f>IF(Sales[[#This Row],[Status]]="Cancelled",0,Sales[[#This Row],[Qty]])</f>
        <v>2</v>
      </c>
      <c r="R3331" s="161">
        <f>IF(Sales[[#This Row],[Status]]="Cancelled",0,Sales[[#This Row],[Total Amount]])</f>
        <v>9461.24</v>
      </c>
      <c r="S3331" s="162">
        <f>SUM(Sales[Net Amount])</f>
        <v>406839287.73200053</v>
      </c>
    </row>
    <row r="3332" spans="1:19" ht="18.75" x14ac:dyDescent="0.25">
      <c r="A3332" s="163" t="s">
        <v>6991</v>
      </c>
      <c r="B3332" s="164">
        <v>45944</v>
      </c>
      <c r="C3332" s="34" t="s">
        <v>735</v>
      </c>
      <c r="D3332" s="53" t="str">
        <f>VLOOKUP(Sales[[#This Row],[Customer ID]],Customer[#All],2,0)</f>
        <v>Amit Singh</v>
      </c>
      <c r="E3332" s="34" t="s">
        <v>314</v>
      </c>
      <c r="F3332" s="34" t="str">
        <f>VLOOKUP(Sales[[#This Row],[Product ID]],Product[#All],2,0)</f>
        <v>Dell Desktop</v>
      </c>
      <c r="G3332" s="53">
        <v>6</v>
      </c>
      <c r="H3332" s="165">
        <f>VLOOKUP(Sales[[#This Row],[Product ID]],Product[#All],7,0)</f>
        <v>59580</v>
      </c>
      <c r="I3332" s="165">
        <f>Sales[[#This Row],[Selling Rate]]*Sales[[#This Row],[Qty]]</f>
        <v>357480</v>
      </c>
      <c r="J3332" s="45">
        <v>0.12</v>
      </c>
      <c r="K3332" s="46">
        <f>Sales[[#This Row],[Gross Amount]]*Sales[[#This Row],[Disc %]]</f>
        <v>42897.599999999999</v>
      </c>
      <c r="L3332" s="43">
        <v>0.18</v>
      </c>
      <c r="M3332" s="46">
        <f>(Sales[[#This Row],[Gross Amount]]-Sales[[#This Row],[Disc. Amt.]])*Sales[[#This Row],[GST %]]</f>
        <v>56624.832000000002</v>
      </c>
      <c r="N3332" s="161">
        <f>Sales[[#This Row],[Gross Amount]]-Sales[[#This Row],[Disc. Amt.]]+Sales[[#This Row],[GST Amount]]</f>
        <v>371207.23200000002</v>
      </c>
      <c r="O3332" s="34" t="s">
        <v>3561</v>
      </c>
      <c r="P3332" s="34" t="s">
        <v>3562</v>
      </c>
      <c r="Q3332" s="165">
        <f>IF(Sales[[#This Row],[Status]]="Cancelled",0,Sales[[#This Row],[Qty]])</f>
        <v>6</v>
      </c>
      <c r="R3332" s="166">
        <f>IF(Sales[[#This Row],[Status]]="Cancelled",0,Sales[[#This Row],[Total Amount]])</f>
        <v>371207.23200000002</v>
      </c>
      <c r="S3332" s="162">
        <f>SUM(Sales[Net Amount])</f>
        <v>406839287.73200053</v>
      </c>
    </row>
    <row r="3333" spans="1:19" ht="18.75" x14ac:dyDescent="0.25">
      <c r="A3333" s="156" t="s">
        <v>6992</v>
      </c>
      <c r="B3333" s="157">
        <v>45944</v>
      </c>
      <c r="C3333" s="158" t="s">
        <v>6993</v>
      </c>
      <c r="D3333" s="159" t="str">
        <f>VLOOKUP(Sales[[#This Row],[Customer ID]],Customer[#All],2,0)</f>
        <v>Rahul Patel</v>
      </c>
      <c r="E3333" s="158" t="s">
        <v>258</v>
      </c>
      <c r="F3333" s="158" t="str">
        <f>VLOOKUP(Sales[[#This Row],[Product ID]],Product[#All],2,0)</f>
        <v>HP Power Adapter</v>
      </c>
      <c r="G3333" s="159">
        <v>1</v>
      </c>
      <c r="H3333" s="160">
        <f>VLOOKUP(Sales[[#This Row],[Product ID]],Product[#All],7,0)</f>
        <v>2370</v>
      </c>
      <c r="I3333" s="160">
        <f>Sales[[#This Row],[Selling Rate]]*Sales[[#This Row],[Qty]]</f>
        <v>2370</v>
      </c>
      <c r="J3333" s="43">
        <v>0.15</v>
      </c>
      <c r="K3333" s="44">
        <f>Sales[[#This Row],[Gross Amount]]*Sales[[#This Row],[Disc %]]</f>
        <v>355.5</v>
      </c>
      <c r="L3333" s="43">
        <v>0.18</v>
      </c>
      <c r="M3333" s="44">
        <f>(Sales[[#This Row],[Gross Amount]]-Sales[[#This Row],[Disc. Amt.]])*Sales[[#This Row],[GST %]]</f>
        <v>362.61</v>
      </c>
      <c r="N3333" s="161">
        <f>Sales[[#This Row],[Gross Amount]]-Sales[[#This Row],[Disc. Amt.]]+Sales[[#This Row],[GST Amount]]</f>
        <v>2377.11</v>
      </c>
      <c r="O3333" s="158" t="s">
        <v>8876</v>
      </c>
      <c r="P3333" s="158" t="s">
        <v>3562</v>
      </c>
      <c r="Q3333" s="160">
        <f>IF(Sales[[#This Row],[Status]]="Cancelled",0,Sales[[#This Row],[Qty]])</f>
        <v>1</v>
      </c>
      <c r="R3333" s="161">
        <f>IF(Sales[[#This Row],[Status]]="Cancelled",0,Sales[[#This Row],[Total Amount]])</f>
        <v>2377.11</v>
      </c>
      <c r="S3333" s="162">
        <f>SUM(Sales[Net Amount])</f>
        <v>406839287.73200053</v>
      </c>
    </row>
    <row r="3334" spans="1:19" ht="18.75" x14ac:dyDescent="0.25">
      <c r="A3334" s="163" t="s">
        <v>6994</v>
      </c>
      <c r="B3334" s="164">
        <v>45944</v>
      </c>
      <c r="C3334" s="34" t="s">
        <v>909</v>
      </c>
      <c r="D3334" s="53" t="str">
        <f>VLOOKUP(Sales[[#This Row],[Customer ID]],Customer[#All],2,0)</f>
        <v>Priya Sharma</v>
      </c>
      <c r="E3334" s="34" t="s">
        <v>405</v>
      </c>
      <c r="F3334" s="34" t="str">
        <f>VLOOKUP(Sales[[#This Row],[Product ID]],Product[#All],2,0)</f>
        <v>TP-link Bluetooth Adapter</v>
      </c>
      <c r="G3334" s="53">
        <v>6</v>
      </c>
      <c r="H3334" s="165">
        <f>VLOOKUP(Sales[[#This Row],[Product ID]],Product[#All],7,0)</f>
        <v>1470</v>
      </c>
      <c r="I3334" s="165">
        <f>Sales[[#This Row],[Selling Rate]]*Sales[[#This Row],[Qty]]</f>
        <v>8820</v>
      </c>
      <c r="J3334" s="45">
        <v>0.02</v>
      </c>
      <c r="K3334" s="46">
        <f>Sales[[#This Row],[Gross Amount]]*Sales[[#This Row],[Disc %]]</f>
        <v>176.4</v>
      </c>
      <c r="L3334" s="43">
        <v>0.18</v>
      </c>
      <c r="M3334" s="46">
        <f>(Sales[[#This Row],[Gross Amount]]-Sales[[#This Row],[Disc. Amt.]])*Sales[[#This Row],[GST %]]</f>
        <v>1555.848</v>
      </c>
      <c r="N3334" s="161">
        <f>Sales[[#This Row],[Gross Amount]]-Sales[[#This Row],[Disc. Amt.]]+Sales[[#This Row],[GST Amount]]</f>
        <v>10199.448</v>
      </c>
      <c r="O3334" s="34" t="s">
        <v>3566</v>
      </c>
      <c r="P3334" s="34" t="s">
        <v>3562</v>
      </c>
      <c r="Q3334" s="165">
        <f>IF(Sales[[#This Row],[Status]]="Cancelled",0,Sales[[#This Row],[Qty]])</f>
        <v>6</v>
      </c>
      <c r="R3334" s="166">
        <f>IF(Sales[[#This Row],[Status]]="Cancelled",0,Sales[[#This Row],[Total Amount]])</f>
        <v>10199.448</v>
      </c>
      <c r="S3334" s="162">
        <f>SUM(Sales[Net Amount])</f>
        <v>406839287.73200053</v>
      </c>
    </row>
    <row r="3335" spans="1:19" ht="18.75" x14ac:dyDescent="0.25">
      <c r="A3335" s="156" t="s">
        <v>6995</v>
      </c>
      <c r="B3335" s="157">
        <v>45944</v>
      </c>
      <c r="C3335" s="158" t="s">
        <v>784</v>
      </c>
      <c r="D3335" s="159" t="str">
        <f>VLOOKUP(Sales[[#This Row],[Customer ID]],Customer[#All],2,0)</f>
        <v>Amit Kumar</v>
      </c>
      <c r="E3335" s="158" t="s">
        <v>373</v>
      </c>
      <c r="F3335" s="158" t="str">
        <f>VLOOKUP(Sales[[#This Row],[Product ID]],Product[#All],2,0)</f>
        <v>Epson Printer</v>
      </c>
      <c r="G3335" s="159">
        <v>1</v>
      </c>
      <c r="H3335" s="160">
        <f>VLOOKUP(Sales[[#This Row],[Product ID]],Product[#All],7,0)</f>
        <v>9710</v>
      </c>
      <c r="I3335" s="160">
        <f>Sales[[#This Row],[Selling Rate]]*Sales[[#This Row],[Qty]]</f>
        <v>9710</v>
      </c>
      <c r="J3335" s="43">
        <v>0.15</v>
      </c>
      <c r="K3335" s="44">
        <f>Sales[[#This Row],[Gross Amount]]*Sales[[#This Row],[Disc %]]</f>
        <v>1456.5</v>
      </c>
      <c r="L3335" s="43">
        <v>0.18</v>
      </c>
      <c r="M3335" s="44">
        <f>(Sales[[#This Row],[Gross Amount]]-Sales[[#This Row],[Disc. Amt.]])*Sales[[#This Row],[GST %]]</f>
        <v>1485.6299999999999</v>
      </c>
      <c r="N3335" s="161">
        <f>Sales[[#This Row],[Gross Amount]]-Sales[[#This Row],[Disc. Amt.]]+Sales[[#This Row],[GST Amount]]</f>
        <v>9739.1299999999992</v>
      </c>
      <c r="O3335" s="158" t="s">
        <v>3561</v>
      </c>
      <c r="P3335" s="158" t="s">
        <v>3562</v>
      </c>
      <c r="Q3335" s="160">
        <f>IF(Sales[[#This Row],[Status]]="Cancelled",0,Sales[[#This Row],[Qty]])</f>
        <v>1</v>
      </c>
      <c r="R3335" s="161">
        <f>IF(Sales[[#This Row],[Status]]="Cancelled",0,Sales[[#This Row],[Total Amount]])</f>
        <v>9739.1299999999992</v>
      </c>
      <c r="S3335" s="162">
        <f>SUM(Sales[Net Amount])</f>
        <v>406839287.73200053</v>
      </c>
    </row>
    <row r="3336" spans="1:19" ht="18.75" x14ac:dyDescent="0.25">
      <c r="A3336" s="163" t="s">
        <v>6996</v>
      </c>
      <c r="B3336" s="164">
        <v>45944</v>
      </c>
      <c r="C3336" s="34" t="s">
        <v>833</v>
      </c>
      <c r="D3336" s="53" t="str">
        <f>VLOOKUP(Sales[[#This Row],[Customer ID]],Customer[#All],2,0)</f>
        <v>Sunita Kumar</v>
      </c>
      <c r="E3336" s="34" t="s">
        <v>129</v>
      </c>
      <c r="F3336" s="34" t="str">
        <f>VLOOKUP(Sales[[#This Row],[Product ID]],Product[#All],2,0)</f>
        <v>Logitech Mouse</v>
      </c>
      <c r="G3336" s="53">
        <v>6</v>
      </c>
      <c r="H3336" s="165">
        <f>VLOOKUP(Sales[[#This Row],[Product ID]],Product[#All],7,0)</f>
        <v>2000</v>
      </c>
      <c r="I3336" s="165">
        <f>Sales[[#This Row],[Selling Rate]]*Sales[[#This Row],[Qty]]</f>
        <v>12000</v>
      </c>
      <c r="J3336" s="45">
        <v>0.05</v>
      </c>
      <c r="K3336" s="46">
        <f>Sales[[#This Row],[Gross Amount]]*Sales[[#This Row],[Disc %]]</f>
        <v>600</v>
      </c>
      <c r="L3336" s="43">
        <v>0.18</v>
      </c>
      <c r="M3336" s="46">
        <f>(Sales[[#This Row],[Gross Amount]]-Sales[[#This Row],[Disc. Amt.]])*Sales[[#This Row],[GST %]]</f>
        <v>2052</v>
      </c>
      <c r="N3336" s="161">
        <f>Sales[[#This Row],[Gross Amount]]-Sales[[#This Row],[Disc. Amt.]]+Sales[[#This Row],[GST Amount]]</f>
        <v>13452</v>
      </c>
      <c r="O3336" s="34" t="s">
        <v>3561</v>
      </c>
      <c r="P3336" s="34" t="s">
        <v>3562</v>
      </c>
      <c r="Q3336" s="165">
        <f>IF(Sales[[#This Row],[Status]]="Cancelled",0,Sales[[#This Row],[Qty]])</f>
        <v>6</v>
      </c>
      <c r="R3336" s="166">
        <f>IF(Sales[[#This Row],[Status]]="Cancelled",0,Sales[[#This Row],[Total Amount]])</f>
        <v>13452</v>
      </c>
      <c r="S3336" s="162">
        <f>SUM(Sales[Net Amount])</f>
        <v>406839287.73200053</v>
      </c>
    </row>
    <row r="3337" spans="1:19" ht="18.75" x14ac:dyDescent="0.25">
      <c r="A3337" s="156" t="s">
        <v>6997</v>
      </c>
      <c r="B3337" s="157">
        <v>45944</v>
      </c>
      <c r="C3337" s="158" t="s">
        <v>723</v>
      </c>
      <c r="D3337" s="159" t="str">
        <f>VLOOKUP(Sales[[#This Row],[Customer ID]],Customer[#All],2,0)</f>
        <v>Sahil Gupta</v>
      </c>
      <c r="E3337" s="158" t="s">
        <v>522</v>
      </c>
      <c r="F3337" s="158" t="str">
        <f>VLOOKUP(Sales[[#This Row],[Product ID]],Product[#All],2,0)</f>
        <v>Dell Keyboard</v>
      </c>
      <c r="G3337" s="159">
        <v>1</v>
      </c>
      <c r="H3337" s="160">
        <f>VLOOKUP(Sales[[#This Row],[Product ID]],Product[#All],7,0)</f>
        <v>3020</v>
      </c>
      <c r="I3337" s="160">
        <f>Sales[[#This Row],[Selling Rate]]*Sales[[#This Row],[Qty]]</f>
        <v>3020</v>
      </c>
      <c r="J3337" s="43">
        <v>0.1</v>
      </c>
      <c r="K3337" s="44">
        <f>Sales[[#This Row],[Gross Amount]]*Sales[[#This Row],[Disc %]]</f>
        <v>302</v>
      </c>
      <c r="L3337" s="43">
        <v>0.18</v>
      </c>
      <c r="M3337" s="44">
        <f>(Sales[[#This Row],[Gross Amount]]-Sales[[#This Row],[Disc. Amt.]])*Sales[[#This Row],[GST %]]</f>
        <v>489.24</v>
      </c>
      <c r="N3337" s="161">
        <f>Sales[[#This Row],[Gross Amount]]-Sales[[#This Row],[Disc. Amt.]]+Sales[[#This Row],[GST Amount]]</f>
        <v>3207.24</v>
      </c>
      <c r="O3337" s="158" t="s">
        <v>3569</v>
      </c>
      <c r="P3337" s="158" t="s">
        <v>3562</v>
      </c>
      <c r="Q3337" s="160">
        <f>IF(Sales[[#This Row],[Status]]="Cancelled",0,Sales[[#This Row],[Qty]])</f>
        <v>1</v>
      </c>
      <c r="R3337" s="161">
        <f>IF(Sales[[#This Row],[Status]]="Cancelled",0,Sales[[#This Row],[Total Amount]])</f>
        <v>3207.24</v>
      </c>
      <c r="S3337" s="162">
        <f>SUM(Sales[Net Amount])</f>
        <v>406839287.73200053</v>
      </c>
    </row>
    <row r="3338" spans="1:19" ht="18.75" x14ac:dyDescent="0.25">
      <c r="A3338" s="163" t="s">
        <v>6998</v>
      </c>
      <c r="B3338" s="164">
        <v>45944</v>
      </c>
      <c r="C3338" s="34" t="s">
        <v>793</v>
      </c>
      <c r="D3338" s="53" t="str">
        <f>VLOOKUP(Sales[[#This Row],[Customer ID]],Customer[#All],2,0)</f>
        <v>Neha Verma</v>
      </c>
      <c r="E3338" s="34" t="s">
        <v>535</v>
      </c>
      <c r="F3338" s="34" t="str">
        <f>VLOOKUP(Sales[[#This Row],[Product ID]],Product[#All],2,0)</f>
        <v>Logitech Keyboard</v>
      </c>
      <c r="G3338" s="53">
        <v>3</v>
      </c>
      <c r="H3338" s="165">
        <f>VLOOKUP(Sales[[#This Row],[Product ID]],Product[#All],7,0)</f>
        <v>810</v>
      </c>
      <c r="I3338" s="165">
        <f>Sales[[#This Row],[Selling Rate]]*Sales[[#This Row],[Qty]]</f>
        <v>2430</v>
      </c>
      <c r="J3338" s="45">
        <v>0.1</v>
      </c>
      <c r="K3338" s="46">
        <f>Sales[[#This Row],[Gross Amount]]*Sales[[#This Row],[Disc %]]</f>
        <v>243</v>
      </c>
      <c r="L3338" s="43">
        <v>0.18</v>
      </c>
      <c r="M3338" s="46">
        <f>(Sales[[#This Row],[Gross Amount]]-Sales[[#This Row],[Disc. Amt.]])*Sales[[#This Row],[GST %]]</f>
        <v>393.65999999999997</v>
      </c>
      <c r="N3338" s="161">
        <f>Sales[[#This Row],[Gross Amount]]-Sales[[#This Row],[Disc. Amt.]]+Sales[[#This Row],[GST Amount]]</f>
        <v>2580.66</v>
      </c>
      <c r="O3338" s="34" t="s">
        <v>3569</v>
      </c>
      <c r="P3338" s="34" t="s">
        <v>3562</v>
      </c>
      <c r="Q3338" s="165">
        <f>IF(Sales[[#This Row],[Status]]="Cancelled",0,Sales[[#This Row],[Qty]])</f>
        <v>3</v>
      </c>
      <c r="R3338" s="166">
        <f>IF(Sales[[#This Row],[Status]]="Cancelled",0,Sales[[#This Row],[Total Amount]])</f>
        <v>2580.66</v>
      </c>
      <c r="S3338" s="162">
        <f>SUM(Sales[Net Amount])</f>
        <v>406839287.73200053</v>
      </c>
    </row>
    <row r="3339" spans="1:19" ht="18.75" x14ac:dyDescent="0.25">
      <c r="A3339" s="156" t="s">
        <v>6999</v>
      </c>
      <c r="B3339" s="157">
        <v>45944</v>
      </c>
      <c r="C3339" s="158" t="s">
        <v>771</v>
      </c>
      <c r="D3339" s="159" t="str">
        <f>VLOOKUP(Sales[[#This Row],[Customer ID]],Customer[#All],2,0)</f>
        <v>Pooja Sharma</v>
      </c>
      <c r="E3339" s="158" t="s">
        <v>132</v>
      </c>
      <c r="F3339" s="158" t="str">
        <f>VLOOKUP(Sales[[#This Row],[Product ID]],Product[#All],2,0)</f>
        <v>Jbl Headset</v>
      </c>
      <c r="G3339" s="159">
        <v>7</v>
      </c>
      <c r="H3339" s="160">
        <f>VLOOKUP(Sales[[#This Row],[Product ID]],Product[#All],7,0)</f>
        <v>7470</v>
      </c>
      <c r="I3339" s="160">
        <f>Sales[[#This Row],[Selling Rate]]*Sales[[#This Row],[Qty]]</f>
        <v>52290</v>
      </c>
      <c r="J3339" s="43">
        <v>0</v>
      </c>
      <c r="K3339" s="44">
        <f>Sales[[#This Row],[Gross Amount]]*Sales[[#This Row],[Disc %]]</f>
        <v>0</v>
      </c>
      <c r="L3339" s="43">
        <v>0.18</v>
      </c>
      <c r="M3339" s="44">
        <f>(Sales[[#This Row],[Gross Amount]]-Sales[[#This Row],[Disc. Amt.]])*Sales[[#This Row],[GST %]]</f>
        <v>9412.1999999999989</v>
      </c>
      <c r="N3339" s="161">
        <f>Sales[[#This Row],[Gross Amount]]-Sales[[#This Row],[Disc. Amt.]]+Sales[[#This Row],[GST Amount]]</f>
        <v>61702.2</v>
      </c>
      <c r="O3339" s="158" t="s">
        <v>3569</v>
      </c>
      <c r="P3339" s="158" t="s">
        <v>3562</v>
      </c>
      <c r="Q3339" s="160">
        <f>IF(Sales[[#This Row],[Status]]="Cancelled",0,Sales[[#This Row],[Qty]])</f>
        <v>7</v>
      </c>
      <c r="R3339" s="161">
        <f>IF(Sales[[#This Row],[Status]]="Cancelled",0,Sales[[#This Row],[Total Amount]])</f>
        <v>61702.2</v>
      </c>
      <c r="S3339" s="162">
        <f>SUM(Sales[Net Amount])</f>
        <v>406839287.73200053</v>
      </c>
    </row>
    <row r="3340" spans="1:19" ht="18.75" x14ac:dyDescent="0.25">
      <c r="A3340" s="163" t="s">
        <v>7000</v>
      </c>
      <c r="B3340" s="164">
        <v>45944</v>
      </c>
      <c r="C3340" s="34" t="s">
        <v>861</v>
      </c>
      <c r="D3340" s="53" t="str">
        <f>VLOOKUP(Sales[[#This Row],[Customer ID]],Customer[#All],2,0)</f>
        <v>Rakesh Patel</v>
      </c>
      <c r="E3340" s="34" t="s">
        <v>283</v>
      </c>
      <c r="F3340" s="34" t="str">
        <f>VLOOKUP(Sales[[#This Row],[Product ID]],Product[#All],2,0)</f>
        <v>Lenovo Laptop</v>
      </c>
      <c r="G3340" s="53">
        <v>6</v>
      </c>
      <c r="H3340" s="165">
        <f>VLOOKUP(Sales[[#This Row],[Product ID]],Product[#All],7,0)</f>
        <v>36480</v>
      </c>
      <c r="I3340" s="165">
        <f>Sales[[#This Row],[Selling Rate]]*Sales[[#This Row],[Qty]]</f>
        <v>218880</v>
      </c>
      <c r="J3340" s="45">
        <v>0</v>
      </c>
      <c r="K3340" s="46">
        <f>Sales[[#This Row],[Gross Amount]]*Sales[[#This Row],[Disc %]]</f>
        <v>0</v>
      </c>
      <c r="L3340" s="43">
        <v>0.18</v>
      </c>
      <c r="M3340" s="46">
        <f>(Sales[[#This Row],[Gross Amount]]-Sales[[#This Row],[Disc. Amt.]])*Sales[[#This Row],[GST %]]</f>
        <v>39398.400000000001</v>
      </c>
      <c r="N3340" s="161">
        <f>Sales[[#This Row],[Gross Amount]]-Sales[[#This Row],[Disc. Amt.]]+Sales[[#This Row],[GST Amount]]</f>
        <v>258278.39999999999</v>
      </c>
      <c r="O3340" s="34" t="s">
        <v>8876</v>
      </c>
      <c r="P3340" s="34" t="s">
        <v>3562</v>
      </c>
      <c r="Q3340" s="165">
        <f>IF(Sales[[#This Row],[Status]]="Cancelled",0,Sales[[#This Row],[Qty]])</f>
        <v>6</v>
      </c>
      <c r="R3340" s="166">
        <f>IF(Sales[[#This Row],[Status]]="Cancelled",0,Sales[[#This Row],[Total Amount]])</f>
        <v>258278.39999999999</v>
      </c>
      <c r="S3340" s="162">
        <f>SUM(Sales[Net Amount])</f>
        <v>406839287.73200053</v>
      </c>
    </row>
    <row r="3341" spans="1:19" ht="18.75" x14ac:dyDescent="0.25">
      <c r="A3341" s="156" t="s">
        <v>7001</v>
      </c>
      <c r="B3341" s="157">
        <v>45945</v>
      </c>
      <c r="C3341" s="158" t="s">
        <v>675</v>
      </c>
      <c r="D3341" s="159" t="str">
        <f>VLOOKUP(Sales[[#This Row],[Customer ID]],Customer[#All],2,0)</f>
        <v>Rahul Gupta</v>
      </c>
      <c r="E3341" s="158" t="s">
        <v>350</v>
      </c>
      <c r="F3341" s="158" t="str">
        <f>VLOOKUP(Sales[[#This Row],[Product ID]],Product[#All],2,0)</f>
        <v>Apc UPS</v>
      </c>
      <c r="G3341" s="159">
        <v>6</v>
      </c>
      <c r="H3341" s="160">
        <f>VLOOKUP(Sales[[#This Row],[Product ID]],Product[#All],7,0)</f>
        <v>18110</v>
      </c>
      <c r="I3341" s="160">
        <f>Sales[[#This Row],[Selling Rate]]*Sales[[#This Row],[Qty]]</f>
        <v>108660</v>
      </c>
      <c r="J3341" s="43">
        <v>0.05</v>
      </c>
      <c r="K3341" s="44">
        <f>Sales[[#This Row],[Gross Amount]]*Sales[[#This Row],[Disc %]]</f>
        <v>5433</v>
      </c>
      <c r="L3341" s="43">
        <v>0.18</v>
      </c>
      <c r="M3341" s="44">
        <f>(Sales[[#This Row],[Gross Amount]]-Sales[[#This Row],[Disc. Amt.]])*Sales[[#This Row],[GST %]]</f>
        <v>18580.86</v>
      </c>
      <c r="N3341" s="161">
        <f>Sales[[#This Row],[Gross Amount]]-Sales[[#This Row],[Disc. Amt.]]+Sales[[#This Row],[GST Amount]]</f>
        <v>121807.86</v>
      </c>
      <c r="O3341" s="158" t="s">
        <v>3566</v>
      </c>
      <c r="P3341" s="158" t="s">
        <v>3562</v>
      </c>
      <c r="Q3341" s="160">
        <f>IF(Sales[[#This Row],[Status]]="Cancelled",0,Sales[[#This Row],[Qty]])</f>
        <v>6</v>
      </c>
      <c r="R3341" s="161">
        <f>IF(Sales[[#This Row],[Status]]="Cancelled",0,Sales[[#This Row],[Total Amount]])</f>
        <v>121807.86</v>
      </c>
      <c r="S3341" s="162">
        <f>SUM(Sales[Net Amount])</f>
        <v>406839287.73200053</v>
      </c>
    </row>
    <row r="3342" spans="1:19" ht="18.75" x14ac:dyDescent="0.25">
      <c r="A3342" s="163" t="s">
        <v>7002</v>
      </c>
      <c r="B3342" s="164">
        <v>45945</v>
      </c>
      <c r="C3342" s="34" t="s">
        <v>870</v>
      </c>
      <c r="D3342" s="53" t="str">
        <f>VLOOKUP(Sales[[#This Row],[Customer ID]],Customer[#All],2,0)</f>
        <v>Vikas Singh</v>
      </c>
      <c r="E3342" s="34" t="s">
        <v>484</v>
      </c>
      <c r="F3342" s="34" t="str">
        <f>VLOOKUP(Sales[[#This Row],[Product ID]],Product[#All],2,0)</f>
        <v>Dell Desktop</v>
      </c>
      <c r="G3342" s="53">
        <v>6</v>
      </c>
      <c r="H3342" s="165">
        <f>VLOOKUP(Sales[[#This Row],[Product ID]],Product[#All],7,0)</f>
        <v>68710</v>
      </c>
      <c r="I3342" s="165">
        <f>Sales[[#This Row],[Selling Rate]]*Sales[[#This Row],[Qty]]</f>
        <v>412260</v>
      </c>
      <c r="J3342" s="45">
        <v>0.05</v>
      </c>
      <c r="K3342" s="46">
        <f>Sales[[#This Row],[Gross Amount]]*Sales[[#This Row],[Disc %]]</f>
        <v>20613</v>
      </c>
      <c r="L3342" s="43">
        <v>0.18</v>
      </c>
      <c r="M3342" s="46">
        <f>(Sales[[#This Row],[Gross Amount]]-Sales[[#This Row],[Disc. Amt.]])*Sales[[#This Row],[GST %]]</f>
        <v>70496.459999999992</v>
      </c>
      <c r="N3342" s="161">
        <f>Sales[[#This Row],[Gross Amount]]-Sales[[#This Row],[Disc. Amt.]]+Sales[[#This Row],[GST Amount]]</f>
        <v>462143.45999999996</v>
      </c>
      <c r="O3342" s="34" t="s">
        <v>3561</v>
      </c>
      <c r="P3342" s="34" t="s">
        <v>3562</v>
      </c>
      <c r="Q3342" s="165">
        <f>IF(Sales[[#This Row],[Status]]="Cancelled",0,Sales[[#This Row],[Qty]])</f>
        <v>6</v>
      </c>
      <c r="R3342" s="166">
        <f>IF(Sales[[#This Row],[Status]]="Cancelled",0,Sales[[#This Row],[Total Amount]])</f>
        <v>462143.45999999996</v>
      </c>
      <c r="S3342" s="162">
        <f>SUM(Sales[Net Amount])</f>
        <v>406839287.73200053</v>
      </c>
    </row>
    <row r="3343" spans="1:19" ht="18.75" x14ac:dyDescent="0.25">
      <c r="A3343" s="156" t="s">
        <v>7003</v>
      </c>
      <c r="B3343" s="157">
        <v>45945</v>
      </c>
      <c r="C3343" s="158" t="s">
        <v>899</v>
      </c>
      <c r="D3343" s="159" t="str">
        <f>VLOOKUP(Sales[[#This Row],[Customer ID]],Customer[#All],2,0)</f>
        <v>Sunita Verma</v>
      </c>
      <c r="E3343" s="158" t="s">
        <v>517</v>
      </c>
      <c r="F3343" s="158" t="str">
        <f>VLOOKUP(Sales[[#This Row],[Product ID]],Product[#All],2,0)</f>
        <v>Dell Laptop</v>
      </c>
      <c r="G3343" s="159">
        <v>2</v>
      </c>
      <c r="H3343" s="160">
        <f>VLOOKUP(Sales[[#This Row],[Product ID]],Product[#All],7,0)</f>
        <v>81860</v>
      </c>
      <c r="I3343" s="160">
        <f>Sales[[#This Row],[Selling Rate]]*Sales[[#This Row],[Qty]]</f>
        <v>163720</v>
      </c>
      <c r="J3343" s="43">
        <v>0.1</v>
      </c>
      <c r="K3343" s="44">
        <f>Sales[[#This Row],[Gross Amount]]*Sales[[#This Row],[Disc %]]</f>
        <v>16372</v>
      </c>
      <c r="L3343" s="43">
        <v>0.18</v>
      </c>
      <c r="M3343" s="44">
        <f>(Sales[[#This Row],[Gross Amount]]-Sales[[#This Row],[Disc. Amt.]])*Sales[[#This Row],[GST %]]</f>
        <v>26522.639999999999</v>
      </c>
      <c r="N3343" s="161">
        <f>Sales[[#This Row],[Gross Amount]]-Sales[[#This Row],[Disc. Amt.]]+Sales[[#This Row],[GST Amount]]</f>
        <v>173870.64</v>
      </c>
      <c r="O3343" s="158" t="s">
        <v>8876</v>
      </c>
      <c r="P3343" s="158" t="s">
        <v>3562</v>
      </c>
      <c r="Q3343" s="160">
        <f>IF(Sales[[#This Row],[Status]]="Cancelled",0,Sales[[#This Row],[Qty]])</f>
        <v>2</v>
      </c>
      <c r="R3343" s="161">
        <f>IF(Sales[[#This Row],[Status]]="Cancelled",0,Sales[[#This Row],[Total Amount]])</f>
        <v>173870.64</v>
      </c>
      <c r="S3343" s="162">
        <f>SUM(Sales[Net Amount])</f>
        <v>406839287.73200053</v>
      </c>
    </row>
    <row r="3344" spans="1:19" ht="18.75" x14ac:dyDescent="0.25">
      <c r="A3344" s="163" t="s">
        <v>7004</v>
      </c>
      <c r="B3344" s="164">
        <v>45945</v>
      </c>
      <c r="C3344" s="34" t="s">
        <v>926</v>
      </c>
      <c r="D3344" s="53" t="str">
        <f>VLOOKUP(Sales[[#This Row],[Customer ID]],Customer[#All],2,0)</f>
        <v>Pooja Singh</v>
      </c>
      <c r="E3344" s="34" t="s">
        <v>311</v>
      </c>
      <c r="F3344" s="34" t="str">
        <f>VLOOKUP(Sales[[#This Row],[Product ID]],Product[#All],2,0)</f>
        <v>Logitech Keyboard</v>
      </c>
      <c r="G3344" s="53">
        <v>3</v>
      </c>
      <c r="H3344" s="165">
        <f>VLOOKUP(Sales[[#This Row],[Product ID]],Product[#All],7,0)</f>
        <v>530</v>
      </c>
      <c r="I3344" s="165">
        <f>Sales[[#This Row],[Selling Rate]]*Sales[[#This Row],[Qty]]</f>
        <v>1590</v>
      </c>
      <c r="J3344" s="45">
        <v>0.02</v>
      </c>
      <c r="K3344" s="46">
        <f>Sales[[#This Row],[Gross Amount]]*Sales[[#This Row],[Disc %]]</f>
        <v>31.8</v>
      </c>
      <c r="L3344" s="43">
        <v>0.18</v>
      </c>
      <c r="M3344" s="46">
        <f>(Sales[[#This Row],[Gross Amount]]-Sales[[#This Row],[Disc. Amt.]])*Sales[[#This Row],[GST %]]</f>
        <v>280.476</v>
      </c>
      <c r="N3344" s="161">
        <f>Sales[[#This Row],[Gross Amount]]-Sales[[#This Row],[Disc. Amt.]]+Sales[[#This Row],[GST Amount]]</f>
        <v>1838.6759999999999</v>
      </c>
      <c r="O3344" s="34" t="s">
        <v>3569</v>
      </c>
      <c r="P3344" s="34" t="s">
        <v>3562</v>
      </c>
      <c r="Q3344" s="165">
        <f>IF(Sales[[#This Row],[Status]]="Cancelled",0,Sales[[#This Row],[Qty]])</f>
        <v>3</v>
      </c>
      <c r="R3344" s="166">
        <f>IF(Sales[[#This Row],[Status]]="Cancelled",0,Sales[[#This Row],[Total Amount]])</f>
        <v>1838.6759999999999</v>
      </c>
      <c r="S3344" s="162">
        <f>SUM(Sales[Net Amount])</f>
        <v>406839287.73200053</v>
      </c>
    </row>
    <row r="3345" spans="1:19" ht="18.75" x14ac:dyDescent="0.25">
      <c r="A3345" s="156" t="s">
        <v>7005</v>
      </c>
      <c r="B3345" s="157">
        <v>45945</v>
      </c>
      <c r="C3345" s="158" t="s">
        <v>4997</v>
      </c>
      <c r="D3345" s="159" t="str">
        <f>VLOOKUP(Sales[[#This Row],[Customer ID]],Customer[#All],2,0)</f>
        <v>Rahul Gupta</v>
      </c>
      <c r="E3345" s="158" t="s">
        <v>153</v>
      </c>
      <c r="F3345" s="158" t="str">
        <f>VLOOKUP(Sales[[#This Row],[Product ID]],Product[#All],2,0)</f>
        <v>HP Mouse</v>
      </c>
      <c r="G3345" s="159">
        <v>3</v>
      </c>
      <c r="H3345" s="160">
        <f>VLOOKUP(Sales[[#This Row],[Product ID]],Product[#All],7,0)</f>
        <v>1070</v>
      </c>
      <c r="I3345" s="160">
        <f>Sales[[#This Row],[Selling Rate]]*Sales[[#This Row],[Qty]]</f>
        <v>3210</v>
      </c>
      <c r="J3345" s="43">
        <v>0</v>
      </c>
      <c r="K3345" s="44">
        <f>Sales[[#This Row],[Gross Amount]]*Sales[[#This Row],[Disc %]]</f>
        <v>0</v>
      </c>
      <c r="L3345" s="43">
        <v>0.18</v>
      </c>
      <c r="M3345" s="44">
        <f>(Sales[[#This Row],[Gross Amount]]-Sales[[#This Row],[Disc. Amt.]])*Sales[[#This Row],[GST %]]</f>
        <v>577.79999999999995</v>
      </c>
      <c r="N3345" s="161">
        <f>Sales[[#This Row],[Gross Amount]]-Sales[[#This Row],[Disc. Amt.]]+Sales[[#This Row],[GST Amount]]</f>
        <v>3787.8</v>
      </c>
      <c r="O3345" s="158" t="s">
        <v>3566</v>
      </c>
      <c r="P3345" s="158" t="s">
        <v>3562</v>
      </c>
      <c r="Q3345" s="160">
        <f>IF(Sales[[#This Row],[Status]]="Cancelled",0,Sales[[#This Row],[Qty]])</f>
        <v>3</v>
      </c>
      <c r="R3345" s="161">
        <f>IF(Sales[[#This Row],[Status]]="Cancelled",0,Sales[[#This Row],[Total Amount]])</f>
        <v>3787.8</v>
      </c>
      <c r="S3345" s="162">
        <f>SUM(Sales[Net Amount])</f>
        <v>406839287.73200053</v>
      </c>
    </row>
    <row r="3346" spans="1:19" ht="18.75" x14ac:dyDescent="0.25">
      <c r="A3346" s="163" t="s">
        <v>7006</v>
      </c>
      <c r="B3346" s="164">
        <v>45945</v>
      </c>
      <c r="C3346" s="34" t="s">
        <v>939</v>
      </c>
      <c r="D3346" s="53" t="str">
        <f>VLOOKUP(Sales[[#This Row],[Customer ID]],Customer[#All],2,0)</f>
        <v>Sunita Sharma</v>
      </c>
      <c r="E3346" s="34" t="s">
        <v>552</v>
      </c>
      <c r="F3346" s="34" t="str">
        <f>VLOOKUP(Sales[[#This Row],[Product ID]],Product[#All],2,0)</f>
        <v>American TouristerLaptopBag</v>
      </c>
      <c r="G3346" s="53">
        <v>5</v>
      </c>
      <c r="H3346" s="165">
        <f>VLOOKUP(Sales[[#This Row],[Product ID]],Product[#All],7,0)</f>
        <v>5080</v>
      </c>
      <c r="I3346" s="165">
        <f>Sales[[#This Row],[Selling Rate]]*Sales[[#This Row],[Qty]]</f>
        <v>25400</v>
      </c>
      <c r="J3346" s="45">
        <v>0</v>
      </c>
      <c r="K3346" s="46">
        <f>Sales[[#This Row],[Gross Amount]]*Sales[[#This Row],[Disc %]]</f>
        <v>0</v>
      </c>
      <c r="L3346" s="43">
        <v>0.18</v>
      </c>
      <c r="M3346" s="46">
        <f>(Sales[[#This Row],[Gross Amount]]-Sales[[#This Row],[Disc. Amt.]])*Sales[[#This Row],[GST %]]</f>
        <v>4572</v>
      </c>
      <c r="N3346" s="161">
        <f>Sales[[#This Row],[Gross Amount]]-Sales[[#This Row],[Disc. Amt.]]+Sales[[#This Row],[GST Amount]]</f>
        <v>29972</v>
      </c>
      <c r="O3346" s="34" t="s">
        <v>3566</v>
      </c>
      <c r="P3346" s="34" t="s">
        <v>3562</v>
      </c>
      <c r="Q3346" s="165">
        <f>IF(Sales[[#This Row],[Status]]="Cancelled",0,Sales[[#This Row],[Qty]])</f>
        <v>5</v>
      </c>
      <c r="R3346" s="166">
        <f>IF(Sales[[#This Row],[Status]]="Cancelled",0,Sales[[#This Row],[Total Amount]])</f>
        <v>29972</v>
      </c>
      <c r="S3346" s="162">
        <f>SUM(Sales[Net Amount])</f>
        <v>406839287.73200053</v>
      </c>
    </row>
    <row r="3347" spans="1:19" ht="18.75" x14ac:dyDescent="0.25">
      <c r="A3347" s="156" t="s">
        <v>7007</v>
      </c>
      <c r="B3347" s="157">
        <v>45945</v>
      </c>
      <c r="C3347" s="158" t="s">
        <v>918</v>
      </c>
      <c r="D3347" s="159" t="str">
        <f>VLOOKUP(Sales[[#This Row],[Customer ID]],Customer[#All],2,0)</f>
        <v>Pooja Patel</v>
      </c>
      <c r="E3347" s="158" t="s">
        <v>461</v>
      </c>
      <c r="F3347" s="158" t="str">
        <f>VLOOKUP(Sales[[#This Row],[Product ID]],Product[#All],2,0)</f>
        <v>TP-link Wi-Fi Adapter</v>
      </c>
      <c r="G3347" s="159">
        <v>4</v>
      </c>
      <c r="H3347" s="160">
        <f>VLOOKUP(Sales[[#This Row],[Product ID]],Product[#All],7,0)</f>
        <v>2500</v>
      </c>
      <c r="I3347" s="160">
        <f>Sales[[#This Row],[Selling Rate]]*Sales[[#This Row],[Qty]]</f>
        <v>10000</v>
      </c>
      <c r="J3347" s="43">
        <v>0.05</v>
      </c>
      <c r="K3347" s="44">
        <f>Sales[[#This Row],[Gross Amount]]*Sales[[#This Row],[Disc %]]</f>
        <v>500</v>
      </c>
      <c r="L3347" s="43">
        <v>0.18</v>
      </c>
      <c r="M3347" s="44">
        <f>(Sales[[#This Row],[Gross Amount]]-Sales[[#This Row],[Disc. Amt.]])*Sales[[#This Row],[GST %]]</f>
        <v>1710</v>
      </c>
      <c r="N3347" s="161">
        <f>Sales[[#This Row],[Gross Amount]]-Sales[[#This Row],[Disc. Amt.]]+Sales[[#This Row],[GST Amount]]</f>
        <v>11210</v>
      </c>
      <c r="O3347" s="158" t="s">
        <v>8876</v>
      </c>
      <c r="P3347" s="158" t="s">
        <v>3562</v>
      </c>
      <c r="Q3347" s="160">
        <f>IF(Sales[[#This Row],[Status]]="Cancelled",0,Sales[[#This Row],[Qty]])</f>
        <v>4</v>
      </c>
      <c r="R3347" s="161">
        <f>IF(Sales[[#This Row],[Status]]="Cancelled",0,Sales[[#This Row],[Total Amount]])</f>
        <v>11210</v>
      </c>
      <c r="S3347" s="162">
        <f>SUM(Sales[Net Amount])</f>
        <v>406839287.73200053</v>
      </c>
    </row>
    <row r="3348" spans="1:19" ht="18.75" x14ac:dyDescent="0.25">
      <c r="A3348" s="163" t="s">
        <v>7008</v>
      </c>
      <c r="B3348" s="164">
        <v>45945</v>
      </c>
      <c r="C3348" s="34" t="s">
        <v>790</v>
      </c>
      <c r="D3348" s="53" t="str">
        <f>VLOOKUP(Sales[[#This Row],[Customer ID]],Customer[#All],2,0)</f>
        <v>Pooja Gupta</v>
      </c>
      <c r="E3348" s="34" t="s">
        <v>73</v>
      </c>
      <c r="F3348" s="34" t="str">
        <f>VLOOKUP(Sales[[#This Row],[Product ID]],Product[#All],2,0)</f>
        <v>TP-link Router</v>
      </c>
      <c r="G3348" s="53">
        <v>7</v>
      </c>
      <c r="H3348" s="165">
        <f>VLOOKUP(Sales[[#This Row],[Product ID]],Product[#All],7,0)</f>
        <v>1770</v>
      </c>
      <c r="I3348" s="165">
        <f>Sales[[#This Row],[Selling Rate]]*Sales[[#This Row],[Qty]]</f>
        <v>12390</v>
      </c>
      <c r="J3348" s="45">
        <v>0</v>
      </c>
      <c r="K3348" s="46">
        <f>Sales[[#This Row],[Gross Amount]]*Sales[[#This Row],[Disc %]]</f>
        <v>0</v>
      </c>
      <c r="L3348" s="43">
        <v>0.18</v>
      </c>
      <c r="M3348" s="46">
        <f>(Sales[[#This Row],[Gross Amount]]-Sales[[#This Row],[Disc. Amt.]])*Sales[[#This Row],[GST %]]</f>
        <v>2230.1999999999998</v>
      </c>
      <c r="N3348" s="161">
        <f>Sales[[#This Row],[Gross Amount]]-Sales[[#This Row],[Disc. Amt.]]+Sales[[#This Row],[GST Amount]]</f>
        <v>14620.2</v>
      </c>
      <c r="O3348" s="34" t="s">
        <v>3569</v>
      </c>
      <c r="P3348" s="34" t="s">
        <v>3562</v>
      </c>
      <c r="Q3348" s="165">
        <f>IF(Sales[[#This Row],[Status]]="Cancelled",0,Sales[[#This Row],[Qty]])</f>
        <v>7</v>
      </c>
      <c r="R3348" s="166">
        <f>IF(Sales[[#This Row],[Status]]="Cancelled",0,Sales[[#This Row],[Total Amount]])</f>
        <v>14620.2</v>
      </c>
      <c r="S3348" s="162">
        <f>SUM(Sales[Net Amount])</f>
        <v>406839287.73200053</v>
      </c>
    </row>
    <row r="3349" spans="1:19" ht="18.75" x14ac:dyDescent="0.25">
      <c r="A3349" s="156" t="s">
        <v>7009</v>
      </c>
      <c r="B3349" s="157">
        <v>45945</v>
      </c>
      <c r="C3349" s="158" t="s">
        <v>673</v>
      </c>
      <c r="D3349" s="159" t="str">
        <f>VLOOKUP(Sales[[#This Row],[Customer ID]],Customer[#All],2,0)</f>
        <v>Sunita Gupta</v>
      </c>
      <c r="E3349" s="158" t="s">
        <v>114</v>
      </c>
      <c r="F3349" s="158" t="str">
        <f>VLOOKUP(Sales[[#This Row],[Product ID]],Product[#All],2,0)</f>
        <v>Apc UPS</v>
      </c>
      <c r="G3349" s="159">
        <v>3</v>
      </c>
      <c r="H3349" s="160">
        <f>VLOOKUP(Sales[[#This Row],[Product ID]],Product[#All],7,0)</f>
        <v>17310</v>
      </c>
      <c r="I3349" s="160">
        <f>Sales[[#This Row],[Selling Rate]]*Sales[[#This Row],[Qty]]</f>
        <v>51930</v>
      </c>
      <c r="J3349" s="43">
        <v>0.12</v>
      </c>
      <c r="K3349" s="44">
        <f>Sales[[#This Row],[Gross Amount]]*Sales[[#This Row],[Disc %]]</f>
        <v>6231.5999999999995</v>
      </c>
      <c r="L3349" s="43">
        <v>0.18</v>
      </c>
      <c r="M3349" s="44">
        <f>(Sales[[#This Row],[Gross Amount]]-Sales[[#This Row],[Disc. Amt.]])*Sales[[#This Row],[GST %]]</f>
        <v>8225.7119999999995</v>
      </c>
      <c r="N3349" s="161">
        <f>Sales[[#This Row],[Gross Amount]]-Sales[[#This Row],[Disc. Amt.]]+Sales[[#This Row],[GST Amount]]</f>
        <v>53924.112000000001</v>
      </c>
      <c r="O3349" s="158" t="s">
        <v>3566</v>
      </c>
      <c r="P3349" s="158" t="s">
        <v>3562</v>
      </c>
      <c r="Q3349" s="160">
        <f>IF(Sales[[#This Row],[Status]]="Cancelled",0,Sales[[#This Row],[Qty]])</f>
        <v>3</v>
      </c>
      <c r="R3349" s="161">
        <f>IF(Sales[[#This Row],[Status]]="Cancelled",0,Sales[[#This Row],[Total Amount]])</f>
        <v>53924.112000000001</v>
      </c>
      <c r="S3349" s="162">
        <f>SUM(Sales[Net Amount])</f>
        <v>406839287.73200053</v>
      </c>
    </row>
    <row r="3350" spans="1:19" ht="18.75" x14ac:dyDescent="0.25">
      <c r="A3350" s="163" t="s">
        <v>7010</v>
      </c>
      <c r="B3350" s="164">
        <v>45945</v>
      </c>
      <c r="C3350" s="34" t="s">
        <v>834</v>
      </c>
      <c r="D3350" s="53" t="str">
        <f>VLOOKUP(Sales[[#This Row],[Customer ID]],Customer[#All],2,0)</f>
        <v>Rahul Verma</v>
      </c>
      <c r="E3350" s="34" t="s">
        <v>349</v>
      </c>
      <c r="F3350" s="34" t="str">
        <f>VLOOKUP(Sales[[#This Row],[Product ID]],Product[#All],2,0)</f>
        <v>Samsung Monitor</v>
      </c>
      <c r="G3350" s="53">
        <v>6</v>
      </c>
      <c r="H3350" s="165">
        <f>VLOOKUP(Sales[[#This Row],[Product ID]],Product[#All],7,0)</f>
        <v>11070</v>
      </c>
      <c r="I3350" s="165">
        <f>Sales[[#This Row],[Selling Rate]]*Sales[[#This Row],[Qty]]</f>
        <v>66420</v>
      </c>
      <c r="J3350" s="45">
        <v>0</v>
      </c>
      <c r="K3350" s="46">
        <f>Sales[[#This Row],[Gross Amount]]*Sales[[#This Row],[Disc %]]</f>
        <v>0</v>
      </c>
      <c r="L3350" s="43">
        <v>0.18</v>
      </c>
      <c r="M3350" s="46">
        <f>(Sales[[#This Row],[Gross Amount]]-Sales[[#This Row],[Disc. Amt.]])*Sales[[#This Row],[GST %]]</f>
        <v>11955.6</v>
      </c>
      <c r="N3350" s="161">
        <f>Sales[[#This Row],[Gross Amount]]-Sales[[#This Row],[Disc. Amt.]]+Sales[[#This Row],[GST Amount]]</f>
        <v>78375.600000000006</v>
      </c>
      <c r="O3350" s="34" t="s">
        <v>8876</v>
      </c>
      <c r="P3350" s="34" t="s">
        <v>3562</v>
      </c>
      <c r="Q3350" s="165">
        <f>IF(Sales[[#This Row],[Status]]="Cancelled",0,Sales[[#This Row],[Qty]])</f>
        <v>6</v>
      </c>
      <c r="R3350" s="166">
        <f>IF(Sales[[#This Row],[Status]]="Cancelled",0,Sales[[#This Row],[Total Amount]])</f>
        <v>78375.600000000006</v>
      </c>
      <c r="S3350" s="162">
        <f>SUM(Sales[Net Amount])</f>
        <v>406839287.73200053</v>
      </c>
    </row>
    <row r="3351" spans="1:19" ht="18.75" x14ac:dyDescent="0.25">
      <c r="A3351" s="156" t="s">
        <v>7011</v>
      </c>
      <c r="B3351" s="157">
        <v>45945</v>
      </c>
      <c r="C3351" s="158" t="s">
        <v>4332</v>
      </c>
      <c r="D3351" s="159" t="str">
        <f>VLOOKUP(Sales[[#This Row],[Customer ID]],Customer[#All],2,0)</f>
        <v>Sunita Verma</v>
      </c>
      <c r="E3351" s="158" t="s">
        <v>471</v>
      </c>
      <c r="F3351" s="158" t="str">
        <f>VLOOKUP(Sales[[#This Row],[Product ID]],Product[#All],2,0)</f>
        <v>Samsung Monitor</v>
      </c>
      <c r="G3351" s="159">
        <v>7</v>
      </c>
      <c r="H3351" s="160">
        <f>VLOOKUP(Sales[[#This Row],[Product ID]],Product[#All],7,0)</f>
        <v>10840</v>
      </c>
      <c r="I3351" s="160">
        <f>Sales[[#This Row],[Selling Rate]]*Sales[[#This Row],[Qty]]</f>
        <v>75880</v>
      </c>
      <c r="J3351" s="43">
        <v>0.02</v>
      </c>
      <c r="K3351" s="44">
        <f>Sales[[#This Row],[Gross Amount]]*Sales[[#This Row],[Disc %]]</f>
        <v>1517.6000000000001</v>
      </c>
      <c r="L3351" s="43">
        <v>0.18</v>
      </c>
      <c r="M3351" s="44">
        <f>(Sales[[#This Row],[Gross Amount]]-Sales[[#This Row],[Disc. Amt.]])*Sales[[#This Row],[GST %]]</f>
        <v>13385.231999999998</v>
      </c>
      <c r="N3351" s="161">
        <f>Sales[[#This Row],[Gross Amount]]-Sales[[#This Row],[Disc. Amt.]]+Sales[[#This Row],[GST Amount]]</f>
        <v>87747.631999999998</v>
      </c>
      <c r="O3351" s="158" t="s">
        <v>3569</v>
      </c>
      <c r="P3351" s="158" t="s">
        <v>3562</v>
      </c>
      <c r="Q3351" s="160">
        <f>IF(Sales[[#This Row],[Status]]="Cancelled",0,Sales[[#This Row],[Qty]])</f>
        <v>7</v>
      </c>
      <c r="R3351" s="161">
        <f>IF(Sales[[#This Row],[Status]]="Cancelled",0,Sales[[#This Row],[Total Amount]])</f>
        <v>87747.631999999998</v>
      </c>
      <c r="S3351" s="162">
        <f>SUM(Sales[Net Amount])</f>
        <v>406839287.73200053</v>
      </c>
    </row>
    <row r="3352" spans="1:19" ht="18.75" x14ac:dyDescent="0.25">
      <c r="A3352" s="163" t="s">
        <v>7012</v>
      </c>
      <c r="B3352" s="164">
        <v>45945</v>
      </c>
      <c r="C3352" s="34" t="s">
        <v>864</v>
      </c>
      <c r="D3352" s="53" t="str">
        <f>VLOOKUP(Sales[[#This Row],[Customer ID]],Customer[#All],2,0)</f>
        <v>Sahil Sharma</v>
      </c>
      <c r="E3352" s="34" t="s">
        <v>171</v>
      </c>
      <c r="F3352" s="34" t="str">
        <f>VLOOKUP(Sales[[#This Row],[Product ID]],Product[#All],2,0)</f>
        <v>Boat Headset</v>
      </c>
      <c r="G3352" s="53">
        <v>2</v>
      </c>
      <c r="H3352" s="165">
        <f>VLOOKUP(Sales[[#This Row],[Product ID]],Product[#All],7,0)</f>
        <v>4010</v>
      </c>
      <c r="I3352" s="165">
        <f>Sales[[#This Row],[Selling Rate]]*Sales[[#This Row],[Qty]]</f>
        <v>8020</v>
      </c>
      <c r="J3352" s="45">
        <v>0.15</v>
      </c>
      <c r="K3352" s="46">
        <f>Sales[[#This Row],[Gross Amount]]*Sales[[#This Row],[Disc %]]</f>
        <v>1203</v>
      </c>
      <c r="L3352" s="43">
        <v>0.18</v>
      </c>
      <c r="M3352" s="46">
        <f>(Sales[[#This Row],[Gross Amount]]-Sales[[#This Row],[Disc. Amt.]])*Sales[[#This Row],[GST %]]</f>
        <v>1227.06</v>
      </c>
      <c r="N3352" s="161">
        <f>Sales[[#This Row],[Gross Amount]]-Sales[[#This Row],[Disc. Amt.]]+Sales[[#This Row],[GST Amount]]</f>
        <v>8044.0599999999995</v>
      </c>
      <c r="O3352" s="34" t="s">
        <v>3561</v>
      </c>
      <c r="P3352" s="34" t="s">
        <v>3562</v>
      </c>
      <c r="Q3352" s="165">
        <f>IF(Sales[[#This Row],[Status]]="Cancelled",0,Sales[[#This Row],[Qty]])</f>
        <v>2</v>
      </c>
      <c r="R3352" s="166">
        <f>IF(Sales[[#This Row],[Status]]="Cancelled",0,Sales[[#This Row],[Total Amount]])</f>
        <v>8044.0599999999995</v>
      </c>
      <c r="S3352" s="162">
        <f>SUM(Sales[Net Amount])</f>
        <v>406839287.73200053</v>
      </c>
    </row>
    <row r="3353" spans="1:19" ht="18.75" x14ac:dyDescent="0.25">
      <c r="A3353" s="156" t="s">
        <v>7013</v>
      </c>
      <c r="B3353" s="157">
        <v>45945</v>
      </c>
      <c r="C3353" s="158" t="s">
        <v>755</v>
      </c>
      <c r="D3353" s="159" t="str">
        <f>VLOOKUP(Sales[[#This Row],[Customer ID]],Customer[#All],2,0)</f>
        <v>Sunita Gupta</v>
      </c>
      <c r="E3353" s="158" t="s">
        <v>208</v>
      </c>
      <c r="F3353" s="158" t="str">
        <f>VLOOKUP(Sales[[#This Row],[Product ID]],Product[#All],2,0)</f>
        <v>Dell Laptop</v>
      </c>
      <c r="G3353" s="159">
        <v>3</v>
      </c>
      <c r="H3353" s="160">
        <f>VLOOKUP(Sales[[#This Row],[Product ID]],Product[#All],7,0)</f>
        <v>67000</v>
      </c>
      <c r="I3353" s="160">
        <f>Sales[[#This Row],[Selling Rate]]*Sales[[#This Row],[Qty]]</f>
        <v>201000</v>
      </c>
      <c r="J3353" s="43">
        <v>0.15</v>
      </c>
      <c r="K3353" s="44">
        <f>Sales[[#This Row],[Gross Amount]]*Sales[[#This Row],[Disc %]]</f>
        <v>30150</v>
      </c>
      <c r="L3353" s="43">
        <v>0.18</v>
      </c>
      <c r="M3353" s="44">
        <f>(Sales[[#This Row],[Gross Amount]]-Sales[[#This Row],[Disc. Amt.]])*Sales[[#This Row],[GST %]]</f>
        <v>30753</v>
      </c>
      <c r="N3353" s="161">
        <f>Sales[[#This Row],[Gross Amount]]-Sales[[#This Row],[Disc. Amt.]]+Sales[[#This Row],[GST Amount]]</f>
        <v>201603</v>
      </c>
      <c r="O3353" s="158" t="s">
        <v>3569</v>
      </c>
      <c r="P3353" s="158" t="s">
        <v>3562</v>
      </c>
      <c r="Q3353" s="160">
        <f>IF(Sales[[#This Row],[Status]]="Cancelled",0,Sales[[#This Row],[Qty]])</f>
        <v>3</v>
      </c>
      <c r="R3353" s="161">
        <f>IF(Sales[[#This Row],[Status]]="Cancelled",0,Sales[[#This Row],[Total Amount]])</f>
        <v>201603</v>
      </c>
      <c r="S3353" s="162">
        <f>SUM(Sales[Net Amount])</f>
        <v>406839287.73200053</v>
      </c>
    </row>
    <row r="3354" spans="1:19" ht="18.75" x14ac:dyDescent="0.25">
      <c r="A3354" s="163" t="s">
        <v>7014</v>
      </c>
      <c r="B3354" s="164">
        <v>45945</v>
      </c>
      <c r="C3354" s="34" t="s">
        <v>768</v>
      </c>
      <c r="D3354" s="53" t="str">
        <f>VLOOKUP(Sales[[#This Row],[Customer ID]],Customer[#All],2,0)</f>
        <v>Priya Kumar</v>
      </c>
      <c r="E3354" s="34" t="s">
        <v>549</v>
      </c>
      <c r="F3354" s="34" t="str">
        <f>VLOOKUP(Sales[[#This Row],[Product ID]],Product[#All],2,0)</f>
        <v>Boat Headset</v>
      </c>
      <c r="G3354" s="53">
        <v>1</v>
      </c>
      <c r="H3354" s="165">
        <f>VLOOKUP(Sales[[#This Row],[Product ID]],Product[#All],7,0)</f>
        <v>3390</v>
      </c>
      <c r="I3354" s="165">
        <f>Sales[[#This Row],[Selling Rate]]*Sales[[#This Row],[Qty]]</f>
        <v>3390</v>
      </c>
      <c r="J3354" s="45">
        <v>0</v>
      </c>
      <c r="K3354" s="46">
        <f>Sales[[#This Row],[Gross Amount]]*Sales[[#This Row],[Disc %]]</f>
        <v>0</v>
      </c>
      <c r="L3354" s="43">
        <v>0.18</v>
      </c>
      <c r="M3354" s="46">
        <f>(Sales[[#This Row],[Gross Amount]]-Sales[[#This Row],[Disc. Amt.]])*Sales[[#This Row],[GST %]]</f>
        <v>610.19999999999993</v>
      </c>
      <c r="N3354" s="161">
        <f>Sales[[#This Row],[Gross Amount]]-Sales[[#This Row],[Disc. Amt.]]+Sales[[#This Row],[GST Amount]]</f>
        <v>4000.2</v>
      </c>
      <c r="O3354" s="34" t="s">
        <v>8876</v>
      </c>
      <c r="P3354" s="34" t="s">
        <v>3562</v>
      </c>
      <c r="Q3354" s="165">
        <f>IF(Sales[[#This Row],[Status]]="Cancelled",0,Sales[[#This Row],[Qty]])</f>
        <v>1</v>
      </c>
      <c r="R3354" s="166">
        <f>IF(Sales[[#This Row],[Status]]="Cancelled",0,Sales[[#This Row],[Total Amount]])</f>
        <v>4000.2</v>
      </c>
      <c r="S3354" s="162">
        <f>SUM(Sales[Net Amount])</f>
        <v>406839287.73200053</v>
      </c>
    </row>
    <row r="3355" spans="1:19" ht="18.75" x14ac:dyDescent="0.25">
      <c r="A3355" s="156" t="s">
        <v>7015</v>
      </c>
      <c r="B3355" s="157">
        <v>45945</v>
      </c>
      <c r="C3355" s="158" t="s">
        <v>760</v>
      </c>
      <c r="D3355" s="159" t="str">
        <f>VLOOKUP(Sales[[#This Row],[Customer ID]],Customer[#All],2,0)</f>
        <v>Pooja Singh</v>
      </c>
      <c r="E3355" s="158" t="s">
        <v>215</v>
      </c>
      <c r="F3355" s="158" t="str">
        <f>VLOOKUP(Sales[[#This Row],[Product ID]],Product[#All],2,0)</f>
        <v>Apc UPS</v>
      </c>
      <c r="G3355" s="159">
        <v>8</v>
      </c>
      <c r="H3355" s="160">
        <f>VLOOKUP(Sales[[#This Row],[Product ID]],Product[#All],7,0)</f>
        <v>10210</v>
      </c>
      <c r="I3355" s="160">
        <f>Sales[[#This Row],[Selling Rate]]*Sales[[#This Row],[Qty]]</f>
        <v>81680</v>
      </c>
      <c r="J3355" s="43">
        <v>0.02</v>
      </c>
      <c r="K3355" s="44">
        <f>Sales[[#This Row],[Gross Amount]]*Sales[[#This Row],[Disc %]]</f>
        <v>1633.6000000000001</v>
      </c>
      <c r="L3355" s="43">
        <v>0.18</v>
      </c>
      <c r="M3355" s="44">
        <f>(Sales[[#This Row],[Gross Amount]]-Sales[[#This Row],[Disc. Amt.]])*Sales[[#This Row],[GST %]]</f>
        <v>14408.351999999999</v>
      </c>
      <c r="N3355" s="161">
        <f>Sales[[#This Row],[Gross Amount]]-Sales[[#This Row],[Disc. Amt.]]+Sales[[#This Row],[GST Amount]]</f>
        <v>94454.751999999993</v>
      </c>
      <c r="O3355" s="158" t="s">
        <v>8876</v>
      </c>
      <c r="P3355" s="158" t="s">
        <v>3562</v>
      </c>
      <c r="Q3355" s="160">
        <f>IF(Sales[[#This Row],[Status]]="Cancelled",0,Sales[[#This Row],[Qty]])</f>
        <v>8</v>
      </c>
      <c r="R3355" s="161">
        <f>IF(Sales[[#This Row],[Status]]="Cancelled",0,Sales[[#This Row],[Total Amount]])</f>
        <v>94454.751999999993</v>
      </c>
      <c r="S3355" s="162">
        <f>SUM(Sales[Net Amount])</f>
        <v>406839287.73200053</v>
      </c>
    </row>
    <row r="3356" spans="1:19" ht="18.75" x14ac:dyDescent="0.25">
      <c r="A3356" s="163" t="s">
        <v>7016</v>
      </c>
      <c r="B3356" s="164">
        <v>45945</v>
      </c>
      <c r="C3356" s="34" t="s">
        <v>891</v>
      </c>
      <c r="D3356" s="53" t="str">
        <f>VLOOKUP(Sales[[#This Row],[Customer ID]],Customer[#All],2,0)</f>
        <v>Pooja Verma</v>
      </c>
      <c r="E3356" s="34" t="s">
        <v>400</v>
      </c>
      <c r="F3356" s="34" t="str">
        <f>VLOOKUP(Sales[[#This Row],[Product ID]],Product[#All],2,0)</f>
        <v>TP-link Bluetooth Adapter</v>
      </c>
      <c r="G3356" s="53">
        <v>3</v>
      </c>
      <c r="H3356" s="165">
        <f>VLOOKUP(Sales[[#This Row],[Product ID]],Product[#All],7,0)</f>
        <v>1320</v>
      </c>
      <c r="I3356" s="165">
        <f>Sales[[#This Row],[Selling Rate]]*Sales[[#This Row],[Qty]]</f>
        <v>3960</v>
      </c>
      <c r="J3356" s="45">
        <v>0.12</v>
      </c>
      <c r="K3356" s="46">
        <f>Sales[[#This Row],[Gross Amount]]*Sales[[#This Row],[Disc %]]</f>
        <v>475.2</v>
      </c>
      <c r="L3356" s="43">
        <v>0.18</v>
      </c>
      <c r="M3356" s="46">
        <f>(Sales[[#This Row],[Gross Amount]]-Sales[[#This Row],[Disc. Amt.]])*Sales[[#This Row],[GST %]]</f>
        <v>627.26400000000001</v>
      </c>
      <c r="N3356" s="161">
        <f>Sales[[#This Row],[Gross Amount]]-Sales[[#This Row],[Disc. Amt.]]+Sales[[#This Row],[GST Amount]]</f>
        <v>4112.0640000000003</v>
      </c>
      <c r="O3356" s="34" t="s">
        <v>3561</v>
      </c>
      <c r="P3356" s="34" t="s">
        <v>3562</v>
      </c>
      <c r="Q3356" s="165">
        <f>IF(Sales[[#This Row],[Status]]="Cancelled",0,Sales[[#This Row],[Qty]])</f>
        <v>3</v>
      </c>
      <c r="R3356" s="166">
        <f>IF(Sales[[#This Row],[Status]]="Cancelled",0,Sales[[#This Row],[Total Amount]])</f>
        <v>4112.0640000000003</v>
      </c>
      <c r="S3356" s="162">
        <f>SUM(Sales[Net Amount])</f>
        <v>406839287.73200053</v>
      </c>
    </row>
    <row r="3357" spans="1:19" ht="18.75" x14ac:dyDescent="0.25">
      <c r="A3357" s="156" t="s">
        <v>7017</v>
      </c>
      <c r="B3357" s="157">
        <v>45945</v>
      </c>
      <c r="C3357" s="158" t="s">
        <v>727</v>
      </c>
      <c r="D3357" s="159" t="str">
        <f>VLOOKUP(Sales[[#This Row],[Customer ID]],Customer[#All],2,0)</f>
        <v>Sahil Sharma</v>
      </c>
      <c r="E3357" s="158" t="s">
        <v>43</v>
      </c>
      <c r="F3357" s="158" t="str">
        <f>VLOOKUP(Sales[[#This Row],[Product ID]],Product[#All],2,0)</f>
        <v>Jbl Speaker</v>
      </c>
      <c r="G3357" s="159">
        <v>2</v>
      </c>
      <c r="H3357" s="160">
        <f>VLOOKUP(Sales[[#This Row],[Product ID]],Product[#All],7,0)</f>
        <v>11310</v>
      </c>
      <c r="I3357" s="160">
        <f>Sales[[#This Row],[Selling Rate]]*Sales[[#This Row],[Qty]]</f>
        <v>22620</v>
      </c>
      <c r="J3357" s="43">
        <v>0.1</v>
      </c>
      <c r="K3357" s="44">
        <f>Sales[[#This Row],[Gross Amount]]*Sales[[#This Row],[Disc %]]</f>
        <v>2262</v>
      </c>
      <c r="L3357" s="43">
        <v>0.18</v>
      </c>
      <c r="M3357" s="44">
        <f>(Sales[[#This Row],[Gross Amount]]-Sales[[#This Row],[Disc. Amt.]])*Sales[[#This Row],[GST %]]</f>
        <v>3664.44</v>
      </c>
      <c r="N3357" s="161">
        <f>Sales[[#This Row],[Gross Amount]]-Sales[[#This Row],[Disc. Amt.]]+Sales[[#This Row],[GST Amount]]</f>
        <v>24022.44</v>
      </c>
      <c r="O3357" s="158" t="s">
        <v>8876</v>
      </c>
      <c r="P3357" s="158" t="s">
        <v>3562</v>
      </c>
      <c r="Q3357" s="160">
        <f>IF(Sales[[#This Row],[Status]]="Cancelled",0,Sales[[#This Row],[Qty]])</f>
        <v>2</v>
      </c>
      <c r="R3357" s="161">
        <f>IF(Sales[[#This Row],[Status]]="Cancelled",0,Sales[[#This Row],[Total Amount]])</f>
        <v>24022.44</v>
      </c>
      <c r="S3357" s="162">
        <f>SUM(Sales[Net Amount])</f>
        <v>406839287.73200053</v>
      </c>
    </row>
    <row r="3358" spans="1:19" ht="18.75" x14ac:dyDescent="0.25">
      <c r="A3358" s="163" t="s">
        <v>7018</v>
      </c>
      <c r="B3358" s="164">
        <v>45945</v>
      </c>
      <c r="C3358" s="34" t="s">
        <v>880</v>
      </c>
      <c r="D3358" s="53" t="str">
        <f>VLOOKUP(Sales[[#This Row],[Customer ID]],Customer[#All],2,0)</f>
        <v>Rahul Sharma</v>
      </c>
      <c r="E3358" s="34" t="s">
        <v>148</v>
      </c>
      <c r="F3358" s="34" t="str">
        <f>VLOOKUP(Sales[[#This Row],[Product ID]],Product[#All],2,0)</f>
        <v>Dell Monitor</v>
      </c>
      <c r="G3358" s="53">
        <v>2</v>
      </c>
      <c r="H3358" s="165">
        <f>VLOOKUP(Sales[[#This Row],[Product ID]],Product[#All],7,0)</f>
        <v>20170</v>
      </c>
      <c r="I3358" s="165">
        <f>Sales[[#This Row],[Selling Rate]]*Sales[[#This Row],[Qty]]</f>
        <v>40340</v>
      </c>
      <c r="J3358" s="45">
        <v>0</v>
      </c>
      <c r="K3358" s="46">
        <f>Sales[[#This Row],[Gross Amount]]*Sales[[#This Row],[Disc %]]</f>
        <v>0</v>
      </c>
      <c r="L3358" s="43">
        <v>0.18</v>
      </c>
      <c r="M3358" s="46">
        <f>(Sales[[#This Row],[Gross Amount]]-Sales[[#This Row],[Disc. Amt.]])*Sales[[#This Row],[GST %]]</f>
        <v>7261.2</v>
      </c>
      <c r="N3358" s="161">
        <f>Sales[[#This Row],[Gross Amount]]-Sales[[#This Row],[Disc. Amt.]]+Sales[[#This Row],[GST Amount]]</f>
        <v>47601.2</v>
      </c>
      <c r="O3358" s="34" t="s">
        <v>3569</v>
      </c>
      <c r="P3358" s="34" t="s">
        <v>3562</v>
      </c>
      <c r="Q3358" s="165">
        <f>IF(Sales[[#This Row],[Status]]="Cancelled",0,Sales[[#This Row],[Qty]])</f>
        <v>2</v>
      </c>
      <c r="R3358" s="166">
        <f>IF(Sales[[#This Row],[Status]]="Cancelled",0,Sales[[#This Row],[Total Amount]])</f>
        <v>47601.2</v>
      </c>
      <c r="S3358" s="162">
        <f>SUM(Sales[Net Amount])</f>
        <v>406839287.73200053</v>
      </c>
    </row>
    <row r="3359" spans="1:19" ht="18.75" x14ac:dyDescent="0.25">
      <c r="A3359" s="156" t="s">
        <v>7019</v>
      </c>
      <c r="B3359" s="157">
        <v>45945</v>
      </c>
      <c r="C3359" s="158" t="s">
        <v>733</v>
      </c>
      <c r="D3359" s="159" t="str">
        <f>VLOOKUP(Sales[[#This Row],[Customer ID]],Customer[#All],2,0)</f>
        <v>Vikas Kumar</v>
      </c>
      <c r="E3359" s="158" t="s">
        <v>305</v>
      </c>
      <c r="F3359" s="158" t="str">
        <f>VLOOKUP(Sales[[#This Row],[Product ID]],Product[#All],2,0)</f>
        <v>HP Power Adapter</v>
      </c>
      <c r="G3359" s="159">
        <v>4</v>
      </c>
      <c r="H3359" s="160">
        <f>VLOOKUP(Sales[[#This Row],[Product ID]],Product[#All],7,0)</f>
        <v>2640</v>
      </c>
      <c r="I3359" s="160">
        <f>Sales[[#This Row],[Selling Rate]]*Sales[[#This Row],[Qty]]</f>
        <v>10560</v>
      </c>
      <c r="J3359" s="43">
        <v>0.15</v>
      </c>
      <c r="K3359" s="44">
        <f>Sales[[#This Row],[Gross Amount]]*Sales[[#This Row],[Disc %]]</f>
        <v>1584</v>
      </c>
      <c r="L3359" s="43">
        <v>0.18</v>
      </c>
      <c r="M3359" s="44">
        <f>(Sales[[#This Row],[Gross Amount]]-Sales[[#This Row],[Disc. Amt.]])*Sales[[#This Row],[GST %]]</f>
        <v>1615.6799999999998</v>
      </c>
      <c r="N3359" s="161">
        <f>Sales[[#This Row],[Gross Amount]]-Sales[[#This Row],[Disc. Amt.]]+Sales[[#This Row],[GST Amount]]</f>
        <v>10591.68</v>
      </c>
      <c r="O3359" s="158" t="s">
        <v>3566</v>
      </c>
      <c r="P3359" s="158" t="s">
        <v>3562</v>
      </c>
      <c r="Q3359" s="160">
        <f>IF(Sales[[#This Row],[Status]]="Cancelled",0,Sales[[#This Row],[Qty]])</f>
        <v>4</v>
      </c>
      <c r="R3359" s="161">
        <f>IF(Sales[[#This Row],[Status]]="Cancelled",0,Sales[[#This Row],[Total Amount]])</f>
        <v>10591.68</v>
      </c>
      <c r="S3359" s="162">
        <f>SUM(Sales[Net Amount])</f>
        <v>406839287.73200053</v>
      </c>
    </row>
    <row r="3360" spans="1:19" ht="18.75" x14ac:dyDescent="0.25">
      <c r="A3360" s="163" t="s">
        <v>7020</v>
      </c>
      <c r="B3360" s="164">
        <v>45945</v>
      </c>
      <c r="C3360" s="34" t="s">
        <v>653</v>
      </c>
      <c r="D3360" s="53" t="str">
        <f>VLOOKUP(Sales[[#This Row],[Customer ID]],Customer[#All],2,0)</f>
        <v>Pooja Patel</v>
      </c>
      <c r="E3360" s="34" t="s">
        <v>125</v>
      </c>
      <c r="F3360" s="34" t="str">
        <f>VLOOKUP(Sales[[#This Row],[Product ID]],Product[#All],2,0)</f>
        <v>HP Printer</v>
      </c>
      <c r="G3360" s="53">
        <v>6</v>
      </c>
      <c r="H3360" s="165">
        <f>VLOOKUP(Sales[[#This Row],[Product ID]],Product[#All],7,0)</f>
        <v>41620</v>
      </c>
      <c r="I3360" s="165">
        <f>Sales[[#This Row],[Selling Rate]]*Sales[[#This Row],[Qty]]</f>
        <v>249720</v>
      </c>
      <c r="J3360" s="45">
        <v>0.15</v>
      </c>
      <c r="K3360" s="46">
        <f>Sales[[#This Row],[Gross Amount]]*Sales[[#This Row],[Disc %]]</f>
        <v>37458</v>
      </c>
      <c r="L3360" s="43">
        <v>0.18</v>
      </c>
      <c r="M3360" s="46">
        <f>(Sales[[#This Row],[Gross Amount]]-Sales[[#This Row],[Disc. Amt.]])*Sales[[#This Row],[GST %]]</f>
        <v>38207.159999999996</v>
      </c>
      <c r="N3360" s="161">
        <f>Sales[[#This Row],[Gross Amount]]-Sales[[#This Row],[Disc. Amt.]]+Sales[[#This Row],[GST Amount]]</f>
        <v>250469.16</v>
      </c>
      <c r="O3360" s="34" t="s">
        <v>3561</v>
      </c>
      <c r="P3360" s="34" t="s">
        <v>3562</v>
      </c>
      <c r="Q3360" s="165">
        <f>IF(Sales[[#This Row],[Status]]="Cancelled",0,Sales[[#This Row],[Qty]])</f>
        <v>6</v>
      </c>
      <c r="R3360" s="166">
        <f>IF(Sales[[#This Row],[Status]]="Cancelled",0,Sales[[#This Row],[Total Amount]])</f>
        <v>250469.16</v>
      </c>
      <c r="S3360" s="162">
        <f>SUM(Sales[Net Amount])</f>
        <v>406839287.73200053</v>
      </c>
    </row>
    <row r="3361" spans="1:19" ht="18.75" x14ac:dyDescent="0.25">
      <c r="A3361" s="156" t="s">
        <v>7021</v>
      </c>
      <c r="B3361" s="157">
        <v>45946</v>
      </c>
      <c r="C3361" s="158" t="s">
        <v>667</v>
      </c>
      <c r="D3361" s="159" t="str">
        <f>VLOOKUP(Sales[[#This Row],[Customer ID]],Customer[#All],2,0)</f>
        <v>Neha Gupta</v>
      </c>
      <c r="E3361" s="158" t="s">
        <v>183</v>
      </c>
      <c r="F3361" s="158" t="str">
        <f>VLOOKUP(Sales[[#This Row],[Product ID]],Product[#All],2,0)</f>
        <v>Boat Speaker</v>
      </c>
      <c r="G3361" s="159">
        <v>1</v>
      </c>
      <c r="H3361" s="160">
        <f>VLOOKUP(Sales[[#This Row],[Product ID]],Product[#All],7,0)</f>
        <v>1430</v>
      </c>
      <c r="I3361" s="160">
        <f>Sales[[#This Row],[Selling Rate]]*Sales[[#This Row],[Qty]]</f>
        <v>1430</v>
      </c>
      <c r="J3361" s="43">
        <v>0.1</v>
      </c>
      <c r="K3361" s="44">
        <f>Sales[[#This Row],[Gross Amount]]*Sales[[#This Row],[Disc %]]</f>
        <v>143</v>
      </c>
      <c r="L3361" s="43">
        <v>0.18</v>
      </c>
      <c r="M3361" s="44">
        <f>(Sales[[#This Row],[Gross Amount]]-Sales[[#This Row],[Disc. Amt.]])*Sales[[#This Row],[GST %]]</f>
        <v>231.66</v>
      </c>
      <c r="N3361" s="161">
        <f>Sales[[#This Row],[Gross Amount]]-Sales[[#This Row],[Disc. Amt.]]+Sales[[#This Row],[GST Amount]]</f>
        <v>1518.66</v>
      </c>
      <c r="O3361" s="158" t="s">
        <v>3569</v>
      </c>
      <c r="P3361" s="158" t="s">
        <v>3562</v>
      </c>
      <c r="Q3361" s="160">
        <f>IF(Sales[[#This Row],[Status]]="Cancelled",0,Sales[[#This Row],[Qty]])</f>
        <v>1</v>
      </c>
      <c r="R3361" s="161">
        <f>IF(Sales[[#This Row],[Status]]="Cancelled",0,Sales[[#This Row],[Total Amount]])</f>
        <v>1518.66</v>
      </c>
      <c r="S3361" s="162">
        <f>SUM(Sales[Net Amount])</f>
        <v>406839287.73200053</v>
      </c>
    </row>
    <row r="3362" spans="1:19" ht="18.75" x14ac:dyDescent="0.25">
      <c r="A3362" s="163" t="s">
        <v>7022</v>
      </c>
      <c r="B3362" s="164">
        <v>45946</v>
      </c>
      <c r="C3362" s="34" t="s">
        <v>663</v>
      </c>
      <c r="D3362" s="53" t="str">
        <f>VLOOKUP(Sales[[#This Row],[Customer ID]],Customer[#All],2,0)</f>
        <v>Amit Sharma</v>
      </c>
      <c r="E3362" s="34" t="s">
        <v>537</v>
      </c>
      <c r="F3362" s="34" t="str">
        <f>VLOOKUP(Sales[[#This Row],[Product ID]],Product[#All],2,0)</f>
        <v>Dell Laptop</v>
      </c>
      <c r="G3362" s="53">
        <v>6</v>
      </c>
      <c r="H3362" s="165">
        <f>VLOOKUP(Sales[[#This Row],[Product ID]],Product[#All],7,0)</f>
        <v>90420</v>
      </c>
      <c r="I3362" s="165">
        <f>Sales[[#This Row],[Selling Rate]]*Sales[[#This Row],[Qty]]</f>
        <v>542520</v>
      </c>
      <c r="J3362" s="45">
        <v>0.15</v>
      </c>
      <c r="K3362" s="46">
        <f>Sales[[#This Row],[Gross Amount]]*Sales[[#This Row],[Disc %]]</f>
        <v>81378</v>
      </c>
      <c r="L3362" s="43">
        <v>0.18</v>
      </c>
      <c r="M3362" s="46">
        <f>(Sales[[#This Row],[Gross Amount]]-Sales[[#This Row],[Disc. Amt.]])*Sales[[#This Row],[GST %]]</f>
        <v>83005.56</v>
      </c>
      <c r="N3362" s="161">
        <f>Sales[[#This Row],[Gross Amount]]-Sales[[#This Row],[Disc. Amt.]]+Sales[[#This Row],[GST Amount]]</f>
        <v>544147.56000000006</v>
      </c>
      <c r="O3362" s="34" t="s">
        <v>3561</v>
      </c>
      <c r="P3362" s="34" t="s">
        <v>3562</v>
      </c>
      <c r="Q3362" s="165">
        <f>IF(Sales[[#This Row],[Status]]="Cancelled",0,Sales[[#This Row],[Qty]])</f>
        <v>6</v>
      </c>
      <c r="R3362" s="166">
        <f>IF(Sales[[#This Row],[Status]]="Cancelled",0,Sales[[#This Row],[Total Amount]])</f>
        <v>544147.56000000006</v>
      </c>
      <c r="S3362" s="162">
        <f>SUM(Sales[Net Amount])</f>
        <v>406839287.73200053</v>
      </c>
    </row>
    <row r="3363" spans="1:19" ht="18.75" x14ac:dyDescent="0.25">
      <c r="A3363" s="156" t="s">
        <v>7023</v>
      </c>
      <c r="B3363" s="157">
        <v>45946</v>
      </c>
      <c r="C3363" s="158" t="s">
        <v>828</v>
      </c>
      <c r="D3363" s="159" t="str">
        <f>VLOOKUP(Sales[[#This Row],[Customer ID]],Customer[#All],2,0)</f>
        <v>Ankit Verma</v>
      </c>
      <c r="E3363" s="158" t="s">
        <v>544</v>
      </c>
      <c r="F3363" s="158" t="str">
        <f>VLOOKUP(Sales[[#This Row],[Product ID]],Product[#All],2,0)</f>
        <v>HP Printer</v>
      </c>
      <c r="G3363" s="159">
        <v>7</v>
      </c>
      <c r="H3363" s="160">
        <f>VLOOKUP(Sales[[#This Row],[Product ID]],Product[#All],7,0)</f>
        <v>18010</v>
      </c>
      <c r="I3363" s="160">
        <f>Sales[[#This Row],[Selling Rate]]*Sales[[#This Row],[Qty]]</f>
        <v>126070</v>
      </c>
      <c r="J3363" s="43">
        <v>0.02</v>
      </c>
      <c r="K3363" s="44">
        <f>Sales[[#This Row],[Gross Amount]]*Sales[[#This Row],[Disc %]]</f>
        <v>2521.4</v>
      </c>
      <c r="L3363" s="43">
        <v>0.18</v>
      </c>
      <c r="M3363" s="44">
        <f>(Sales[[#This Row],[Gross Amount]]-Sales[[#This Row],[Disc. Amt.]])*Sales[[#This Row],[GST %]]</f>
        <v>22238.748</v>
      </c>
      <c r="N3363" s="161">
        <f>Sales[[#This Row],[Gross Amount]]-Sales[[#This Row],[Disc. Amt.]]+Sales[[#This Row],[GST Amount]]</f>
        <v>145787.348</v>
      </c>
      <c r="O3363" s="158" t="s">
        <v>3566</v>
      </c>
      <c r="P3363" s="158" t="s">
        <v>3562</v>
      </c>
      <c r="Q3363" s="160">
        <f>IF(Sales[[#This Row],[Status]]="Cancelled",0,Sales[[#This Row],[Qty]])</f>
        <v>7</v>
      </c>
      <c r="R3363" s="161">
        <f>IF(Sales[[#This Row],[Status]]="Cancelled",0,Sales[[#This Row],[Total Amount]])</f>
        <v>145787.348</v>
      </c>
      <c r="S3363" s="162">
        <f>SUM(Sales[Net Amount])</f>
        <v>406839287.73200053</v>
      </c>
    </row>
    <row r="3364" spans="1:19" ht="18.75" x14ac:dyDescent="0.25">
      <c r="A3364" s="163" t="s">
        <v>7024</v>
      </c>
      <c r="B3364" s="164">
        <v>45946</v>
      </c>
      <c r="C3364" s="34" t="s">
        <v>935</v>
      </c>
      <c r="D3364" s="53" t="str">
        <f>VLOOKUP(Sales[[#This Row],[Customer ID]],Customer[#All],2,0)</f>
        <v>Ankit Kumar</v>
      </c>
      <c r="E3364" s="34" t="s">
        <v>198</v>
      </c>
      <c r="F3364" s="34" t="str">
        <f>VLOOKUP(Sales[[#This Row],[Product ID]],Product[#All],2,0)</f>
        <v>PortronicsLaptopStand</v>
      </c>
      <c r="G3364" s="53">
        <v>2</v>
      </c>
      <c r="H3364" s="165">
        <f>VLOOKUP(Sales[[#This Row],[Product ID]],Product[#All],7,0)</f>
        <v>2240</v>
      </c>
      <c r="I3364" s="165">
        <f>Sales[[#This Row],[Selling Rate]]*Sales[[#This Row],[Qty]]</f>
        <v>4480</v>
      </c>
      <c r="J3364" s="45">
        <v>0.15</v>
      </c>
      <c r="K3364" s="46">
        <f>Sales[[#This Row],[Gross Amount]]*Sales[[#This Row],[Disc %]]</f>
        <v>672</v>
      </c>
      <c r="L3364" s="43">
        <v>0.18</v>
      </c>
      <c r="M3364" s="46">
        <f>(Sales[[#This Row],[Gross Amount]]-Sales[[#This Row],[Disc. Amt.]])*Sales[[#This Row],[GST %]]</f>
        <v>685.43999999999994</v>
      </c>
      <c r="N3364" s="161">
        <f>Sales[[#This Row],[Gross Amount]]-Sales[[#This Row],[Disc. Amt.]]+Sales[[#This Row],[GST Amount]]</f>
        <v>4493.4399999999996</v>
      </c>
      <c r="O3364" s="34" t="s">
        <v>3561</v>
      </c>
      <c r="P3364" s="34" t="s">
        <v>3562</v>
      </c>
      <c r="Q3364" s="165">
        <f>IF(Sales[[#This Row],[Status]]="Cancelled",0,Sales[[#This Row],[Qty]])</f>
        <v>2</v>
      </c>
      <c r="R3364" s="166">
        <f>IF(Sales[[#This Row],[Status]]="Cancelled",0,Sales[[#This Row],[Total Amount]])</f>
        <v>4493.4399999999996</v>
      </c>
      <c r="S3364" s="162">
        <f>SUM(Sales[Net Amount])</f>
        <v>406839287.73200053</v>
      </c>
    </row>
    <row r="3365" spans="1:19" ht="18.75" x14ac:dyDescent="0.25">
      <c r="A3365" s="156" t="s">
        <v>7025</v>
      </c>
      <c r="B3365" s="157">
        <v>45946</v>
      </c>
      <c r="C3365" s="158" t="s">
        <v>897</v>
      </c>
      <c r="D3365" s="159" t="str">
        <f>VLOOKUP(Sales[[#This Row],[Customer ID]],Customer[#All],2,0)</f>
        <v>Amit Patel</v>
      </c>
      <c r="E3365" s="158" t="s">
        <v>171</v>
      </c>
      <c r="F3365" s="158" t="str">
        <f>VLOOKUP(Sales[[#This Row],[Product ID]],Product[#All],2,0)</f>
        <v>Boat Headset</v>
      </c>
      <c r="G3365" s="159">
        <v>2</v>
      </c>
      <c r="H3365" s="160">
        <f>VLOOKUP(Sales[[#This Row],[Product ID]],Product[#All],7,0)</f>
        <v>4010</v>
      </c>
      <c r="I3365" s="160">
        <f>Sales[[#This Row],[Selling Rate]]*Sales[[#This Row],[Qty]]</f>
        <v>8020</v>
      </c>
      <c r="J3365" s="43">
        <v>0.12</v>
      </c>
      <c r="K3365" s="44">
        <f>Sales[[#This Row],[Gross Amount]]*Sales[[#This Row],[Disc %]]</f>
        <v>962.4</v>
      </c>
      <c r="L3365" s="43">
        <v>0.18</v>
      </c>
      <c r="M3365" s="44">
        <f>(Sales[[#This Row],[Gross Amount]]-Sales[[#This Row],[Disc. Amt.]])*Sales[[#This Row],[GST %]]</f>
        <v>1270.3679999999999</v>
      </c>
      <c r="N3365" s="161">
        <f>Sales[[#This Row],[Gross Amount]]-Sales[[#This Row],[Disc. Amt.]]+Sales[[#This Row],[GST Amount]]</f>
        <v>8327.9680000000008</v>
      </c>
      <c r="O3365" s="158" t="s">
        <v>3569</v>
      </c>
      <c r="P3365" s="158" t="s">
        <v>3562</v>
      </c>
      <c r="Q3365" s="160">
        <f>IF(Sales[[#This Row],[Status]]="Cancelled",0,Sales[[#This Row],[Qty]])</f>
        <v>2</v>
      </c>
      <c r="R3365" s="161">
        <f>IF(Sales[[#This Row],[Status]]="Cancelled",0,Sales[[#This Row],[Total Amount]])</f>
        <v>8327.9680000000008</v>
      </c>
      <c r="S3365" s="162">
        <f>SUM(Sales[Net Amount])</f>
        <v>406839287.73200053</v>
      </c>
    </row>
    <row r="3366" spans="1:19" ht="18.75" x14ac:dyDescent="0.25">
      <c r="A3366" s="163" t="s">
        <v>7026</v>
      </c>
      <c r="B3366" s="164">
        <v>45946</v>
      </c>
      <c r="C3366" s="34" t="s">
        <v>672</v>
      </c>
      <c r="D3366" s="53" t="str">
        <f>VLOOKUP(Sales[[#This Row],[Customer ID]],Customer[#All],2,0)</f>
        <v>Rahul Patel</v>
      </c>
      <c r="E3366" s="34" t="s">
        <v>18</v>
      </c>
      <c r="F3366" s="34" t="str">
        <f>VLOOKUP(Sales[[#This Row],[Product ID]],Product[#All],2,0)</f>
        <v>TP-link Bluetooth Adapter</v>
      </c>
      <c r="G3366" s="53">
        <v>1</v>
      </c>
      <c r="H3366" s="165">
        <f>VLOOKUP(Sales[[#This Row],[Product ID]],Product[#All],7,0)</f>
        <v>870</v>
      </c>
      <c r="I3366" s="165">
        <f>Sales[[#This Row],[Selling Rate]]*Sales[[#This Row],[Qty]]</f>
        <v>870</v>
      </c>
      <c r="J3366" s="45">
        <v>0.05</v>
      </c>
      <c r="K3366" s="46">
        <f>Sales[[#This Row],[Gross Amount]]*Sales[[#This Row],[Disc %]]</f>
        <v>43.5</v>
      </c>
      <c r="L3366" s="43">
        <v>0.18</v>
      </c>
      <c r="M3366" s="46">
        <f>(Sales[[#This Row],[Gross Amount]]-Sales[[#This Row],[Disc. Amt.]])*Sales[[#This Row],[GST %]]</f>
        <v>148.76999999999998</v>
      </c>
      <c r="N3366" s="161">
        <f>Sales[[#This Row],[Gross Amount]]-Sales[[#This Row],[Disc. Amt.]]+Sales[[#This Row],[GST Amount]]</f>
        <v>975.27</v>
      </c>
      <c r="O3366" s="34" t="s">
        <v>3566</v>
      </c>
      <c r="P3366" s="34" t="s">
        <v>3562</v>
      </c>
      <c r="Q3366" s="165">
        <f>IF(Sales[[#This Row],[Status]]="Cancelled",0,Sales[[#This Row],[Qty]])</f>
        <v>1</v>
      </c>
      <c r="R3366" s="166">
        <f>IF(Sales[[#This Row],[Status]]="Cancelled",0,Sales[[#This Row],[Total Amount]])</f>
        <v>975.27</v>
      </c>
      <c r="S3366" s="162">
        <f>SUM(Sales[Net Amount])</f>
        <v>406839287.73200053</v>
      </c>
    </row>
    <row r="3367" spans="1:19" ht="18.75" x14ac:dyDescent="0.25">
      <c r="A3367" s="156" t="s">
        <v>7027</v>
      </c>
      <c r="B3367" s="157">
        <v>45946</v>
      </c>
      <c r="C3367" s="158" t="s">
        <v>763</v>
      </c>
      <c r="D3367" s="159" t="str">
        <f>VLOOKUP(Sales[[#This Row],[Customer ID]],Customer[#All],2,0)</f>
        <v>Pooja Verma</v>
      </c>
      <c r="E3367" s="158" t="s">
        <v>503</v>
      </c>
      <c r="F3367" s="158" t="str">
        <f>VLOOKUP(Sales[[#This Row],[Product ID]],Product[#All],2,0)</f>
        <v>Corsair Ram</v>
      </c>
      <c r="G3367" s="159">
        <v>8</v>
      </c>
      <c r="H3367" s="160">
        <f>VLOOKUP(Sales[[#This Row],[Product ID]],Product[#All],7,0)</f>
        <v>8750</v>
      </c>
      <c r="I3367" s="160">
        <f>Sales[[#This Row],[Selling Rate]]*Sales[[#This Row],[Qty]]</f>
        <v>70000</v>
      </c>
      <c r="J3367" s="43">
        <v>0</v>
      </c>
      <c r="K3367" s="44">
        <f>Sales[[#This Row],[Gross Amount]]*Sales[[#This Row],[Disc %]]</f>
        <v>0</v>
      </c>
      <c r="L3367" s="43">
        <v>0.18</v>
      </c>
      <c r="M3367" s="44">
        <f>(Sales[[#This Row],[Gross Amount]]-Sales[[#This Row],[Disc. Amt.]])*Sales[[#This Row],[GST %]]</f>
        <v>12600</v>
      </c>
      <c r="N3367" s="161">
        <f>Sales[[#This Row],[Gross Amount]]-Sales[[#This Row],[Disc. Amt.]]+Sales[[#This Row],[GST Amount]]</f>
        <v>82600</v>
      </c>
      <c r="O3367" s="158" t="s">
        <v>8876</v>
      </c>
      <c r="P3367" s="158" t="s">
        <v>3562</v>
      </c>
      <c r="Q3367" s="160">
        <f>IF(Sales[[#This Row],[Status]]="Cancelled",0,Sales[[#This Row],[Qty]])</f>
        <v>8</v>
      </c>
      <c r="R3367" s="161">
        <f>IF(Sales[[#This Row],[Status]]="Cancelled",0,Sales[[#This Row],[Total Amount]])</f>
        <v>82600</v>
      </c>
      <c r="S3367" s="162">
        <f>SUM(Sales[Net Amount])</f>
        <v>406839287.73200053</v>
      </c>
    </row>
    <row r="3368" spans="1:19" ht="18.75" x14ac:dyDescent="0.25">
      <c r="A3368" s="163" t="s">
        <v>7028</v>
      </c>
      <c r="B3368" s="164">
        <v>45946</v>
      </c>
      <c r="C3368" s="34" t="s">
        <v>766</v>
      </c>
      <c r="D3368" s="53" t="str">
        <f>VLOOKUP(Sales[[#This Row],[Customer ID]],Customer[#All],2,0)</f>
        <v>Neha Gupta</v>
      </c>
      <c r="E3368" s="34" t="s">
        <v>339</v>
      </c>
      <c r="F3368" s="34" t="str">
        <f>VLOOKUP(Sales[[#This Row],[Product ID]],Product[#All],2,0)</f>
        <v>Microtek UPS</v>
      </c>
      <c r="G3368" s="53">
        <v>4</v>
      </c>
      <c r="H3368" s="165">
        <f>VLOOKUP(Sales[[#This Row],[Product ID]],Product[#All],7,0)</f>
        <v>8400</v>
      </c>
      <c r="I3368" s="165">
        <f>Sales[[#This Row],[Selling Rate]]*Sales[[#This Row],[Qty]]</f>
        <v>33600</v>
      </c>
      <c r="J3368" s="45">
        <v>0.05</v>
      </c>
      <c r="K3368" s="46">
        <f>Sales[[#This Row],[Gross Amount]]*Sales[[#This Row],[Disc %]]</f>
        <v>1680</v>
      </c>
      <c r="L3368" s="43">
        <v>0.18</v>
      </c>
      <c r="M3368" s="46">
        <f>(Sales[[#This Row],[Gross Amount]]-Sales[[#This Row],[Disc. Amt.]])*Sales[[#This Row],[GST %]]</f>
        <v>5745.5999999999995</v>
      </c>
      <c r="N3368" s="161">
        <f>Sales[[#This Row],[Gross Amount]]-Sales[[#This Row],[Disc. Amt.]]+Sales[[#This Row],[GST Amount]]</f>
        <v>37665.599999999999</v>
      </c>
      <c r="O3368" s="34" t="s">
        <v>3561</v>
      </c>
      <c r="P3368" s="34" t="s">
        <v>3562</v>
      </c>
      <c r="Q3368" s="165">
        <f>IF(Sales[[#This Row],[Status]]="Cancelled",0,Sales[[#This Row],[Qty]])</f>
        <v>4</v>
      </c>
      <c r="R3368" s="166">
        <f>IF(Sales[[#This Row],[Status]]="Cancelled",0,Sales[[#This Row],[Total Amount]])</f>
        <v>37665.599999999999</v>
      </c>
      <c r="S3368" s="162">
        <f>SUM(Sales[Net Amount])</f>
        <v>406839287.73200053</v>
      </c>
    </row>
    <row r="3369" spans="1:19" ht="18.75" x14ac:dyDescent="0.25">
      <c r="A3369" s="156" t="s">
        <v>7029</v>
      </c>
      <c r="B3369" s="157">
        <v>45946</v>
      </c>
      <c r="C3369" s="158" t="s">
        <v>719</v>
      </c>
      <c r="D3369" s="159" t="str">
        <f>VLOOKUP(Sales[[#This Row],[Customer ID]],Customer[#All],2,0)</f>
        <v>Priya Verma</v>
      </c>
      <c r="E3369" s="158" t="s">
        <v>59</v>
      </c>
      <c r="F3369" s="158" t="str">
        <f>VLOOKUP(Sales[[#This Row],[Product ID]],Product[#All],2,0)</f>
        <v>Amazon Basics Hdmi Cable</v>
      </c>
      <c r="G3369" s="159">
        <v>2</v>
      </c>
      <c r="H3369" s="160">
        <f>VLOOKUP(Sales[[#This Row],[Product ID]],Product[#All],7,0)</f>
        <v>1160</v>
      </c>
      <c r="I3369" s="160">
        <f>Sales[[#This Row],[Selling Rate]]*Sales[[#This Row],[Qty]]</f>
        <v>2320</v>
      </c>
      <c r="J3369" s="43">
        <v>0</v>
      </c>
      <c r="K3369" s="44">
        <f>Sales[[#This Row],[Gross Amount]]*Sales[[#This Row],[Disc %]]</f>
        <v>0</v>
      </c>
      <c r="L3369" s="43">
        <v>0.18</v>
      </c>
      <c r="M3369" s="44">
        <f>(Sales[[#This Row],[Gross Amount]]-Sales[[#This Row],[Disc. Amt.]])*Sales[[#This Row],[GST %]]</f>
        <v>417.59999999999997</v>
      </c>
      <c r="N3369" s="161">
        <f>Sales[[#This Row],[Gross Amount]]-Sales[[#This Row],[Disc. Amt.]]+Sales[[#This Row],[GST Amount]]</f>
        <v>2737.6</v>
      </c>
      <c r="O3369" s="158" t="s">
        <v>3566</v>
      </c>
      <c r="P3369" s="158" t="s">
        <v>3562</v>
      </c>
      <c r="Q3369" s="160">
        <f>IF(Sales[[#This Row],[Status]]="Cancelled",0,Sales[[#This Row],[Qty]])</f>
        <v>2</v>
      </c>
      <c r="R3369" s="161">
        <f>IF(Sales[[#This Row],[Status]]="Cancelled",0,Sales[[#This Row],[Total Amount]])</f>
        <v>2737.6</v>
      </c>
      <c r="S3369" s="162">
        <f>SUM(Sales[Net Amount])</f>
        <v>406839287.73200053</v>
      </c>
    </row>
    <row r="3370" spans="1:19" ht="18.75" x14ac:dyDescent="0.25">
      <c r="A3370" s="163" t="s">
        <v>7030</v>
      </c>
      <c r="B3370" s="164">
        <v>45946</v>
      </c>
      <c r="C3370" s="34" t="s">
        <v>654</v>
      </c>
      <c r="D3370" s="53" t="str">
        <f>VLOOKUP(Sales[[#This Row],[Customer ID]],Customer[#All],2,0)</f>
        <v>Sunita Verma</v>
      </c>
      <c r="E3370" s="34" t="s">
        <v>505</v>
      </c>
      <c r="F3370" s="34" t="str">
        <f>VLOOKUP(Sales[[#This Row],[Product ID]],Product[#All],2,0)</f>
        <v>Dell Monitor</v>
      </c>
      <c r="G3370" s="53">
        <v>5</v>
      </c>
      <c r="H3370" s="165">
        <f>VLOOKUP(Sales[[#This Row],[Product ID]],Product[#All],7,0)</f>
        <v>12790</v>
      </c>
      <c r="I3370" s="165">
        <f>Sales[[#This Row],[Selling Rate]]*Sales[[#This Row],[Qty]]</f>
        <v>63950</v>
      </c>
      <c r="J3370" s="45">
        <v>0.05</v>
      </c>
      <c r="K3370" s="46">
        <f>Sales[[#This Row],[Gross Amount]]*Sales[[#This Row],[Disc %]]</f>
        <v>3197.5</v>
      </c>
      <c r="L3370" s="43">
        <v>0.18</v>
      </c>
      <c r="M3370" s="46">
        <f>(Sales[[#This Row],[Gross Amount]]-Sales[[#This Row],[Disc. Amt.]])*Sales[[#This Row],[GST %]]</f>
        <v>10935.449999999999</v>
      </c>
      <c r="N3370" s="161">
        <f>Sales[[#This Row],[Gross Amount]]-Sales[[#This Row],[Disc. Amt.]]+Sales[[#This Row],[GST Amount]]</f>
        <v>71687.95</v>
      </c>
      <c r="O3370" s="34" t="s">
        <v>3561</v>
      </c>
      <c r="P3370" s="34" t="s">
        <v>3562</v>
      </c>
      <c r="Q3370" s="165">
        <f>IF(Sales[[#This Row],[Status]]="Cancelled",0,Sales[[#This Row],[Qty]])</f>
        <v>5</v>
      </c>
      <c r="R3370" s="166">
        <f>IF(Sales[[#This Row],[Status]]="Cancelled",0,Sales[[#This Row],[Total Amount]])</f>
        <v>71687.95</v>
      </c>
      <c r="S3370" s="162">
        <f>SUM(Sales[Net Amount])</f>
        <v>406839287.73200053</v>
      </c>
    </row>
    <row r="3371" spans="1:19" ht="18.75" x14ac:dyDescent="0.25">
      <c r="A3371" s="156" t="s">
        <v>7031</v>
      </c>
      <c r="B3371" s="157">
        <v>45946</v>
      </c>
      <c r="C3371" s="158" t="s">
        <v>868</v>
      </c>
      <c r="D3371" s="159" t="str">
        <f>VLOOKUP(Sales[[#This Row],[Customer ID]],Customer[#All],2,0)</f>
        <v>Rahul Verma</v>
      </c>
      <c r="E3371" s="158" t="s">
        <v>489</v>
      </c>
      <c r="F3371" s="158" t="str">
        <f>VLOOKUP(Sales[[#This Row],[Product ID]],Product[#All],2,0)</f>
        <v>Microtek UPS</v>
      </c>
      <c r="G3371" s="159">
        <v>4</v>
      </c>
      <c r="H3371" s="160">
        <f>VLOOKUP(Sales[[#This Row],[Product ID]],Product[#All],7,0)</f>
        <v>8040</v>
      </c>
      <c r="I3371" s="160">
        <f>Sales[[#This Row],[Selling Rate]]*Sales[[#This Row],[Qty]]</f>
        <v>32160</v>
      </c>
      <c r="J3371" s="43">
        <v>0.05</v>
      </c>
      <c r="K3371" s="44">
        <f>Sales[[#This Row],[Gross Amount]]*Sales[[#This Row],[Disc %]]</f>
        <v>1608</v>
      </c>
      <c r="L3371" s="43">
        <v>0.18</v>
      </c>
      <c r="M3371" s="44">
        <f>(Sales[[#This Row],[Gross Amount]]-Sales[[#This Row],[Disc. Amt.]])*Sales[[#This Row],[GST %]]</f>
        <v>5499.36</v>
      </c>
      <c r="N3371" s="161">
        <f>Sales[[#This Row],[Gross Amount]]-Sales[[#This Row],[Disc. Amt.]]+Sales[[#This Row],[GST Amount]]</f>
        <v>36051.360000000001</v>
      </c>
      <c r="O3371" s="158" t="s">
        <v>3566</v>
      </c>
      <c r="P3371" s="158" t="s">
        <v>3562</v>
      </c>
      <c r="Q3371" s="160">
        <f>IF(Sales[[#This Row],[Status]]="Cancelled",0,Sales[[#This Row],[Qty]])</f>
        <v>4</v>
      </c>
      <c r="R3371" s="161">
        <f>IF(Sales[[#This Row],[Status]]="Cancelled",0,Sales[[#This Row],[Total Amount]])</f>
        <v>36051.360000000001</v>
      </c>
      <c r="S3371" s="162">
        <f>SUM(Sales[Net Amount])</f>
        <v>406839287.73200053</v>
      </c>
    </row>
    <row r="3372" spans="1:19" ht="18.75" x14ac:dyDescent="0.25">
      <c r="A3372" s="163" t="s">
        <v>7032</v>
      </c>
      <c r="B3372" s="164">
        <v>45946</v>
      </c>
      <c r="C3372" s="34" t="s">
        <v>912</v>
      </c>
      <c r="D3372" s="53" t="str">
        <f>VLOOKUP(Sales[[#This Row],[Customer ID]],Customer[#All],2,0)</f>
        <v>Sunita Verma</v>
      </c>
      <c r="E3372" s="34" t="s">
        <v>450</v>
      </c>
      <c r="F3372" s="34" t="str">
        <f>VLOOKUP(Sales[[#This Row],[Product ID]],Product[#All],2,0)</f>
        <v>TP-link Bluetooth Adapter</v>
      </c>
      <c r="G3372" s="53">
        <v>6</v>
      </c>
      <c r="H3372" s="165">
        <f>VLOOKUP(Sales[[#This Row],[Product ID]],Product[#All],7,0)</f>
        <v>1270</v>
      </c>
      <c r="I3372" s="165">
        <f>Sales[[#This Row],[Selling Rate]]*Sales[[#This Row],[Qty]]</f>
        <v>7620</v>
      </c>
      <c r="J3372" s="45">
        <v>0.05</v>
      </c>
      <c r="K3372" s="46">
        <f>Sales[[#This Row],[Gross Amount]]*Sales[[#This Row],[Disc %]]</f>
        <v>381</v>
      </c>
      <c r="L3372" s="43">
        <v>0.18</v>
      </c>
      <c r="M3372" s="46">
        <f>(Sales[[#This Row],[Gross Amount]]-Sales[[#This Row],[Disc. Amt.]])*Sales[[#This Row],[GST %]]</f>
        <v>1303.02</v>
      </c>
      <c r="N3372" s="161">
        <f>Sales[[#This Row],[Gross Amount]]-Sales[[#This Row],[Disc. Amt.]]+Sales[[#This Row],[GST Amount]]</f>
        <v>8542.02</v>
      </c>
      <c r="O3372" s="34" t="s">
        <v>3569</v>
      </c>
      <c r="P3372" s="34" t="s">
        <v>3562</v>
      </c>
      <c r="Q3372" s="165">
        <f>IF(Sales[[#This Row],[Status]]="Cancelled",0,Sales[[#This Row],[Qty]])</f>
        <v>6</v>
      </c>
      <c r="R3372" s="166">
        <f>IF(Sales[[#This Row],[Status]]="Cancelled",0,Sales[[#This Row],[Total Amount]])</f>
        <v>8542.02</v>
      </c>
      <c r="S3372" s="162">
        <f>SUM(Sales[Net Amount])</f>
        <v>406839287.73200053</v>
      </c>
    </row>
    <row r="3373" spans="1:19" ht="18.75" x14ac:dyDescent="0.25">
      <c r="A3373" s="156" t="s">
        <v>7033</v>
      </c>
      <c r="B3373" s="157">
        <v>45946</v>
      </c>
      <c r="C3373" s="158" t="s">
        <v>767</v>
      </c>
      <c r="D3373" s="159" t="str">
        <f>VLOOKUP(Sales[[#This Row],[Customer ID]],Customer[#All],2,0)</f>
        <v>Sunita Singh</v>
      </c>
      <c r="E3373" s="158" t="s">
        <v>150</v>
      </c>
      <c r="F3373" s="158" t="str">
        <f>VLOOKUP(Sales[[#This Row],[Product ID]],Product[#All],2,0)</f>
        <v>Dell Monitor</v>
      </c>
      <c r="G3373" s="159">
        <v>4</v>
      </c>
      <c r="H3373" s="160">
        <f>VLOOKUP(Sales[[#This Row],[Product ID]],Product[#All],7,0)</f>
        <v>8400</v>
      </c>
      <c r="I3373" s="160">
        <f>Sales[[#This Row],[Selling Rate]]*Sales[[#This Row],[Qty]]</f>
        <v>33600</v>
      </c>
      <c r="J3373" s="43">
        <v>0.12</v>
      </c>
      <c r="K3373" s="44">
        <f>Sales[[#This Row],[Gross Amount]]*Sales[[#This Row],[Disc %]]</f>
        <v>4032</v>
      </c>
      <c r="L3373" s="43">
        <v>0.18</v>
      </c>
      <c r="M3373" s="44">
        <f>(Sales[[#This Row],[Gross Amount]]-Sales[[#This Row],[Disc. Amt.]])*Sales[[#This Row],[GST %]]</f>
        <v>5322.24</v>
      </c>
      <c r="N3373" s="161">
        <f>Sales[[#This Row],[Gross Amount]]-Sales[[#This Row],[Disc. Amt.]]+Sales[[#This Row],[GST Amount]]</f>
        <v>34890.239999999998</v>
      </c>
      <c r="O3373" s="158" t="s">
        <v>3561</v>
      </c>
      <c r="P3373" s="158" t="s">
        <v>3562</v>
      </c>
      <c r="Q3373" s="160">
        <f>IF(Sales[[#This Row],[Status]]="Cancelled",0,Sales[[#This Row],[Qty]])</f>
        <v>4</v>
      </c>
      <c r="R3373" s="161">
        <f>IF(Sales[[#This Row],[Status]]="Cancelled",0,Sales[[#This Row],[Total Amount]])</f>
        <v>34890.239999999998</v>
      </c>
      <c r="S3373" s="162">
        <f>SUM(Sales[Net Amount])</f>
        <v>406839287.73200053</v>
      </c>
    </row>
    <row r="3374" spans="1:19" ht="18.75" x14ac:dyDescent="0.25">
      <c r="A3374" s="163" t="s">
        <v>7034</v>
      </c>
      <c r="B3374" s="164">
        <v>45946</v>
      </c>
      <c r="C3374" s="34" t="s">
        <v>839</v>
      </c>
      <c r="D3374" s="53" t="str">
        <f>VLOOKUP(Sales[[#This Row],[Customer ID]],Customer[#All],2,0)</f>
        <v>Amit Patel</v>
      </c>
      <c r="E3374" s="34" t="s">
        <v>286</v>
      </c>
      <c r="F3374" s="34" t="str">
        <f>VLOOKUP(Sales[[#This Row],[Product ID]],Product[#All],2,0)</f>
        <v>HP Laptop</v>
      </c>
      <c r="G3374" s="53">
        <v>1</v>
      </c>
      <c r="H3374" s="165">
        <f>VLOOKUP(Sales[[#This Row],[Product ID]],Product[#All],7,0)</f>
        <v>62100</v>
      </c>
      <c r="I3374" s="165">
        <f>Sales[[#This Row],[Selling Rate]]*Sales[[#This Row],[Qty]]</f>
        <v>62100</v>
      </c>
      <c r="J3374" s="45">
        <v>0.05</v>
      </c>
      <c r="K3374" s="46">
        <f>Sales[[#This Row],[Gross Amount]]*Sales[[#This Row],[Disc %]]</f>
        <v>3105</v>
      </c>
      <c r="L3374" s="43">
        <v>0.18</v>
      </c>
      <c r="M3374" s="46">
        <f>(Sales[[#This Row],[Gross Amount]]-Sales[[#This Row],[Disc. Amt.]])*Sales[[#This Row],[GST %]]</f>
        <v>10619.1</v>
      </c>
      <c r="N3374" s="161">
        <f>Sales[[#This Row],[Gross Amount]]-Sales[[#This Row],[Disc. Amt.]]+Sales[[#This Row],[GST Amount]]</f>
        <v>69614.100000000006</v>
      </c>
      <c r="O3374" s="34" t="s">
        <v>3569</v>
      </c>
      <c r="P3374" s="34" t="s">
        <v>3562</v>
      </c>
      <c r="Q3374" s="165">
        <f>IF(Sales[[#This Row],[Status]]="Cancelled",0,Sales[[#This Row],[Qty]])</f>
        <v>1</v>
      </c>
      <c r="R3374" s="166">
        <f>IF(Sales[[#This Row],[Status]]="Cancelled",0,Sales[[#This Row],[Total Amount]])</f>
        <v>69614.100000000006</v>
      </c>
      <c r="S3374" s="162">
        <f>SUM(Sales[Net Amount])</f>
        <v>406839287.73200053</v>
      </c>
    </row>
    <row r="3375" spans="1:19" ht="18.75" x14ac:dyDescent="0.25">
      <c r="A3375" s="156" t="s">
        <v>7035</v>
      </c>
      <c r="B3375" s="157">
        <v>45946</v>
      </c>
      <c r="C3375" s="158" t="s">
        <v>744</v>
      </c>
      <c r="D3375" s="159" t="str">
        <f>VLOOKUP(Sales[[#This Row],[Customer ID]],Customer[#All],2,0)</f>
        <v>Rakesh Patel</v>
      </c>
      <c r="E3375" s="158" t="s">
        <v>470</v>
      </c>
      <c r="F3375" s="158" t="str">
        <f>VLOOKUP(Sales[[#This Row],[Product ID]],Product[#All],2,0)</f>
        <v>HP Desktop</v>
      </c>
      <c r="G3375" s="159">
        <v>4</v>
      </c>
      <c r="H3375" s="160">
        <f>VLOOKUP(Sales[[#This Row],[Product ID]],Product[#All],7,0)</f>
        <v>40330</v>
      </c>
      <c r="I3375" s="160">
        <f>Sales[[#This Row],[Selling Rate]]*Sales[[#This Row],[Qty]]</f>
        <v>161320</v>
      </c>
      <c r="J3375" s="43">
        <v>0.05</v>
      </c>
      <c r="K3375" s="44">
        <f>Sales[[#This Row],[Gross Amount]]*Sales[[#This Row],[Disc %]]</f>
        <v>8066</v>
      </c>
      <c r="L3375" s="43">
        <v>0.18</v>
      </c>
      <c r="M3375" s="44">
        <f>(Sales[[#This Row],[Gross Amount]]-Sales[[#This Row],[Disc. Amt.]])*Sales[[#This Row],[GST %]]</f>
        <v>27585.719999999998</v>
      </c>
      <c r="N3375" s="161">
        <f>Sales[[#This Row],[Gross Amount]]-Sales[[#This Row],[Disc. Amt.]]+Sales[[#This Row],[GST Amount]]</f>
        <v>180839.72</v>
      </c>
      <c r="O3375" s="158" t="s">
        <v>3569</v>
      </c>
      <c r="P3375" s="158" t="s">
        <v>3562</v>
      </c>
      <c r="Q3375" s="160">
        <f>IF(Sales[[#This Row],[Status]]="Cancelled",0,Sales[[#This Row],[Qty]])</f>
        <v>4</v>
      </c>
      <c r="R3375" s="161">
        <f>IF(Sales[[#This Row],[Status]]="Cancelled",0,Sales[[#This Row],[Total Amount]])</f>
        <v>180839.72</v>
      </c>
      <c r="S3375" s="162">
        <f>SUM(Sales[Net Amount])</f>
        <v>406839287.73200053</v>
      </c>
    </row>
    <row r="3376" spans="1:19" ht="18.75" x14ac:dyDescent="0.25">
      <c r="A3376" s="163" t="s">
        <v>7036</v>
      </c>
      <c r="B3376" s="164">
        <v>45946</v>
      </c>
      <c r="C3376" s="34" t="s">
        <v>848</v>
      </c>
      <c r="D3376" s="53" t="str">
        <f>VLOOKUP(Sales[[#This Row],[Customer ID]],Customer[#All],2,0)</f>
        <v>Rakesh Patel</v>
      </c>
      <c r="E3376" s="34" t="s">
        <v>283</v>
      </c>
      <c r="F3376" s="34" t="str">
        <f>VLOOKUP(Sales[[#This Row],[Product ID]],Product[#All],2,0)</f>
        <v>Lenovo Laptop</v>
      </c>
      <c r="G3376" s="53">
        <v>1</v>
      </c>
      <c r="H3376" s="165">
        <f>VLOOKUP(Sales[[#This Row],[Product ID]],Product[#All],7,0)</f>
        <v>36480</v>
      </c>
      <c r="I3376" s="165">
        <f>Sales[[#This Row],[Selling Rate]]*Sales[[#This Row],[Qty]]</f>
        <v>36480</v>
      </c>
      <c r="J3376" s="45">
        <v>0</v>
      </c>
      <c r="K3376" s="46">
        <f>Sales[[#This Row],[Gross Amount]]*Sales[[#This Row],[Disc %]]</f>
        <v>0</v>
      </c>
      <c r="L3376" s="43">
        <v>0.18</v>
      </c>
      <c r="M3376" s="46">
        <f>(Sales[[#This Row],[Gross Amount]]-Sales[[#This Row],[Disc. Amt.]])*Sales[[#This Row],[GST %]]</f>
        <v>6566.4</v>
      </c>
      <c r="N3376" s="161">
        <f>Sales[[#This Row],[Gross Amount]]-Sales[[#This Row],[Disc. Amt.]]+Sales[[#This Row],[GST Amount]]</f>
        <v>43046.400000000001</v>
      </c>
      <c r="O3376" s="34" t="s">
        <v>3566</v>
      </c>
      <c r="P3376" s="34" t="s">
        <v>3562</v>
      </c>
      <c r="Q3376" s="165">
        <f>IF(Sales[[#This Row],[Status]]="Cancelled",0,Sales[[#This Row],[Qty]])</f>
        <v>1</v>
      </c>
      <c r="R3376" s="166">
        <f>IF(Sales[[#This Row],[Status]]="Cancelled",0,Sales[[#This Row],[Total Amount]])</f>
        <v>43046.400000000001</v>
      </c>
      <c r="S3376" s="162">
        <f>SUM(Sales[Net Amount])</f>
        <v>406839287.73200053</v>
      </c>
    </row>
    <row r="3377" spans="1:19" ht="18.75" x14ac:dyDescent="0.25">
      <c r="A3377" s="156" t="s">
        <v>7037</v>
      </c>
      <c r="B3377" s="157">
        <v>45946</v>
      </c>
      <c r="C3377" s="158" t="s">
        <v>712</v>
      </c>
      <c r="D3377" s="159" t="str">
        <f>VLOOKUP(Sales[[#This Row],[Customer ID]],Customer[#All],2,0)</f>
        <v>Sahil Verma</v>
      </c>
      <c r="E3377" s="158" t="s">
        <v>367</v>
      </c>
      <c r="F3377" s="158" t="str">
        <f>VLOOKUP(Sales[[#This Row],[Product ID]],Product[#All],2,0)</f>
        <v>Jbl Speaker</v>
      </c>
      <c r="G3377" s="159">
        <v>1</v>
      </c>
      <c r="H3377" s="160">
        <f>VLOOKUP(Sales[[#This Row],[Product ID]],Product[#All],7,0)</f>
        <v>4880</v>
      </c>
      <c r="I3377" s="160">
        <f>Sales[[#This Row],[Selling Rate]]*Sales[[#This Row],[Qty]]</f>
        <v>4880</v>
      </c>
      <c r="J3377" s="43">
        <v>0.02</v>
      </c>
      <c r="K3377" s="44">
        <f>Sales[[#This Row],[Gross Amount]]*Sales[[#This Row],[Disc %]]</f>
        <v>97.600000000000009</v>
      </c>
      <c r="L3377" s="43">
        <v>0.18</v>
      </c>
      <c r="M3377" s="44">
        <f>(Sales[[#This Row],[Gross Amount]]-Sales[[#This Row],[Disc. Amt.]])*Sales[[#This Row],[GST %]]</f>
        <v>860.83199999999988</v>
      </c>
      <c r="N3377" s="161">
        <f>Sales[[#This Row],[Gross Amount]]-Sales[[#This Row],[Disc. Amt.]]+Sales[[#This Row],[GST Amount]]</f>
        <v>5643.232</v>
      </c>
      <c r="O3377" s="158" t="s">
        <v>3561</v>
      </c>
      <c r="P3377" s="158" t="s">
        <v>3562</v>
      </c>
      <c r="Q3377" s="160">
        <f>IF(Sales[[#This Row],[Status]]="Cancelled",0,Sales[[#This Row],[Qty]])</f>
        <v>1</v>
      </c>
      <c r="R3377" s="161">
        <f>IF(Sales[[#This Row],[Status]]="Cancelled",0,Sales[[#This Row],[Total Amount]])</f>
        <v>5643.232</v>
      </c>
      <c r="S3377" s="162">
        <f>SUM(Sales[Net Amount])</f>
        <v>406839287.73200053</v>
      </c>
    </row>
    <row r="3378" spans="1:19" ht="18.75" x14ac:dyDescent="0.25">
      <c r="A3378" s="163" t="s">
        <v>7038</v>
      </c>
      <c r="B3378" s="164">
        <v>45946</v>
      </c>
      <c r="C3378" s="34" t="s">
        <v>770</v>
      </c>
      <c r="D3378" s="53" t="str">
        <f>VLOOKUP(Sales[[#This Row],[Customer ID]],Customer[#All],2,0)</f>
        <v>Sunita Sharma</v>
      </c>
      <c r="E3378" s="34" t="s">
        <v>241</v>
      </c>
      <c r="F3378" s="34" t="str">
        <f>VLOOKUP(Sales[[#This Row],[Product ID]],Product[#All],2,0)</f>
        <v>Portronics USB Cable</v>
      </c>
      <c r="G3378" s="53">
        <v>1</v>
      </c>
      <c r="H3378" s="165">
        <f>VLOOKUP(Sales[[#This Row],[Product ID]],Product[#All],7,0)</f>
        <v>630</v>
      </c>
      <c r="I3378" s="165">
        <f>Sales[[#This Row],[Selling Rate]]*Sales[[#This Row],[Qty]]</f>
        <v>630</v>
      </c>
      <c r="J3378" s="45">
        <v>0.12</v>
      </c>
      <c r="K3378" s="46">
        <f>Sales[[#This Row],[Gross Amount]]*Sales[[#This Row],[Disc %]]</f>
        <v>75.599999999999994</v>
      </c>
      <c r="L3378" s="43">
        <v>0.18</v>
      </c>
      <c r="M3378" s="46">
        <f>(Sales[[#This Row],[Gross Amount]]-Sales[[#This Row],[Disc. Amt.]])*Sales[[#This Row],[GST %]]</f>
        <v>99.791999999999987</v>
      </c>
      <c r="N3378" s="161">
        <f>Sales[[#This Row],[Gross Amount]]-Sales[[#This Row],[Disc. Amt.]]+Sales[[#This Row],[GST Amount]]</f>
        <v>654.19200000000001</v>
      </c>
      <c r="O3378" s="34" t="s">
        <v>8876</v>
      </c>
      <c r="P3378" s="34" t="s">
        <v>3562</v>
      </c>
      <c r="Q3378" s="165">
        <f>IF(Sales[[#This Row],[Status]]="Cancelled",0,Sales[[#This Row],[Qty]])</f>
        <v>1</v>
      </c>
      <c r="R3378" s="166">
        <f>IF(Sales[[#This Row],[Status]]="Cancelled",0,Sales[[#This Row],[Total Amount]])</f>
        <v>654.19200000000001</v>
      </c>
      <c r="S3378" s="162">
        <f>SUM(Sales[Net Amount])</f>
        <v>406839287.73200053</v>
      </c>
    </row>
    <row r="3379" spans="1:19" ht="18.75" x14ac:dyDescent="0.25">
      <c r="A3379" s="156" t="s">
        <v>7039</v>
      </c>
      <c r="B3379" s="157">
        <v>45946</v>
      </c>
      <c r="C3379" s="158" t="s">
        <v>840</v>
      </c>
      <c r="D3379" s="159" t="str">
        <f>VLOOKUP(Sales[[#This Row],[Customer ID]],Customer[#All],2,0)</f>
        <v>Rakesh Verma</v>
      </c>
      <c r="E3379" s="158" t="s">
        <v>152</v>
      </c>
      <c r="F3379" s="158" t="str">
        <f>VLOOKUP(Sales[[#This Row],[Product ID]],Product[#All],2,0)</f>
        <v>Acer Laptop</v>
      </c>
      <c r="G3379" s="159">
        <v>6</v>
      </c>
      <c r="H3379" s="160">
        <f>VLOOKUP(Sales[[#This Row],[Product ID]],Product[#All],7,0)</f>
        <v>33410</v>
      </c>
      <c r="I3379" s="160">
        <f>Sales[[#This Row],[Selling Rate]]*Sales[[#This Row],[Qty]]</f>
        <v>200460</v>
      </c>
      <c r="J3379" s="43">
        <v>0.05</v>
      </c>
      <c r="K3379" s="44">
        <f>Sales[[#This Row],[Gross Amount]]*Sales[[#This Row],[Disc %]]</f>
        <v>10023</v>
      </c>
      <c r="L3379" s="43">
        <v>0.18</v>
      </c>
      <c r="M3379" s="44">
        <f>(Sales[[#This Row],[Gross Amount]]-Sales[[#This Row],[Disc. Amt.]])*Sales[[#This Row],[GST %]]</f>
        <v>34278.659999999996</v>
      </c>
      <c r="N3379" s="161">
        <f>Sales[[#This Row],[Gross Amount]]-Sales[[#This Row],[Disc. Amt.]]+Sales[[#This Row],[GST Amount]]</f>
        <v>224715.66</v>
      </c>
      <c r="O3379" s="158" t="s">
        <v>3566</v>
      </c>
      <c r="P3379" s="158" t="s">
        <v>3562</v>
      </c>
      <c r="Q3379" s="160">
        <f>IF(Sales[[#This Row],[Status]]="Cancelled",0,Sales[[#This Row],[Qty]])</f>
        <v>6</v>
      </c>
      <c r="R3379" s="161">
        <f>IF(Sales[[#This Row],[Status]]="Cancelled",0,Sales[[#This Row],[Total Amount]])</f>
        <v>224715.66</v>
      </c>
      <c r="S3379" s="162">
        <f>SUM(Sales[Net Amount])</f>
        <v>406839287.73200053</v>
      </c>
    </row>
    <row r="3380" spans="1:19" ht="18.75" x14ac:dyDescent="0.25">
      <c r="A3380" s="163" t="s">
        <v>7040</v>
      </c>
      <c r="B3380" s="164">
        <v>45946</v>
      </c>
      <c r="C3380" s="34" t="s">
        <v>681</v>
      </c>
      <c r="D3380" s="53" t="str">
        <f>VLOOKUP(Sales[[#This Row],[Customer ID]],Customer[#All],2,0)</f>
        <v>Amit Kumar</v>
      </c>
      <c r="E3380" s="34" t="s">
        <v>93</v>
      </c>
      <c r="F3380" s="34" t="str">
        <f>VLOOKUP(Sales[[#This Row],[Product ID]],Product[#All],2,0)</f>
        <v>PortronicsLaptopStand</v>
      </c>
      <c r="G3380" s="53">
        <v>5</v>
      </c>
      <c r="H3380" s="165">
        <f>VLOOKUP(Sales[[#This Row],[Product ID]],Product[#All],7,0)</f>
        <v>1650</v>
      </c>
      <c r="I3380" s="165">
        <f>Sales[[#This Row],[Selling Rate]]*Sales[[#This Row],[Qty]]</f>
        <v>8250</v>
      </c>
      <c r="J3380" s="45">
        <v>0</v>
      </c>
      <c r="K3380" s="46">
        <f>Sales[[#This Row],[Gross Amount]]*Sales[[#This Row],[Disc %]]</f>
        <v>0</v>
      </c>
      <c r="L3380" s="43">
        <v>0.18</v>
      </c>
      <c r="M3380" s="46">
        <f>(Sales[[#This Row],[Gross Amount]]-Sales[[#This Row],[Disc. Amt.]])*Sales[[#This Row],[GST %]]</f>
        <v>1485</v>
      </c>
      <c r="N3380" s="161">
        <f>Sales[[#This Row],[Gross Amount]]-Sales[[#This Row],[Disc. Amt.]]+Sales[[#This Row],[GST Amount]]</f>
        <v>9735</v>
      </c>
      <c r="O3380" s="34" t="s">
        <v>3561</v>
      </c>
      <c r="P3380" s="34" t="s">
        <v>3562</v>
      </c>
      <c r="Q3380" s="165">
        <f>IF(Sales[[#This Row],[Status]]="Cancelled",0,Sales[[#This Row],[Qty]])</f>
        <v>5</v>
      </c>
      <c r="R3380" s="166">
        <f>IF(Sales[[#This Row],[Status]]="Cancelled",0,Sales[[#This Row],[Total Amount]])</f>
        <v>9735</v>
      </c>
      <c r="S3380" s="162">
        <f>SUM(Sales[Net Amount])</f>
        <v>406839287.73200053</v>
      </c>
    </row>
    <row r="3381" spans="1:19" ht="18.75" x14ac:dyDescent="0.25">
      <c r="A3381" s="156" t="s">
        <v>7041</v>
      </c>
      <c r="B3381" s="157">
        <v>45947</v>
      </c>
      <c r="C3381" s="158" t="s">
        <v>902</v>
      </c>
      <c r="D3381" s="159" t="str">
        <f>VLOOKUP(Sales[[#This Row],[Customer ID]],Customer[#All],2,0)</f>
        <v>Sunita Singh</v>
      </c>
      <c r="E3381" s="158" t="s">
        <v>61</v>
      </c>
      <c r="F3381" s="158" t="str">
        <f>VLOOKUP(Sales[[#This Row],[Product ID]],Product[#All],2,0)</f>
        <v>Boat Headset</v>
      </c>
      <c r="G3381" s="159">
        <v>3</v>
      </c>
      <c r="H3381" s="160">
        <f>VLOOKUP(Sales[[#This Row],[Product ID]],Product[#All],7,0)</f>
        <v>3570</v>
      </c>
      <c r="I3381" s="160">
        <f>Sales[[#This Row],[Selling Rate]]*Sales[[#This Row],[Qty]]</f>
        <v>10710</v>
      </c>
      <c r="J3381" s="43">
        <v>0.1</v>
      </c>
      <c r="K3381" s="44">
        <f>Sales[[#This Row],[Gross Amount]]*Sales[[#This Row],[Disc %]]</f>
        <v>1071</v>
      </c>
      <c r="L3381" s="43">
        <v>0.18</v>
      </c>
      <c r="M3381" s="44">
        <f>(Sales[[#This Row],[Gross Amount]]-Sales[[#This Row],[Disc. Amt.]])*Sales[[#This Row],[GST %]]</f>
        <v>1735.02</v>
      </c>
      <c r="N3381" s="161">
        <f>Sales[[#This Row],[Gross Amount]]-Sales[[#This Row],[Disc. Amt.]]+Sales[[#This Row],[GST Amount]]</f>
        <v>11374.02</v>
      </c>
      <c r="O3381" s="158" t="s">
        <v>8876</v>
      </c>
      <c r="P3381" s="158" t="s">
        <v>3562</v>
      </c>
      <c r="Q3381" s="160">
        <f>IF(Sales[[#This Row],[Status]]="Cancelled",0,Sales[[#This Row],[Qty]])</f>
        <v>3</v>
      </c>
      <c r="R3381" s="161">
        <f>IF(Sales[[#This Row],[Status]]="Cancelled",0,Sales[[#This Row],[Total Amount]])</f>
        <v>11374.02</v>
      </c>
      <c r="S3381" s="162">
        <f>SUM(Sales[Net Amount])</f>
        <v>406839287.73200053</v>
      </c>
    </row>
    <row r="3382" spans="1:19" ht="18.75" x14ac:dyDescent="0.25">
      <c r="A3382" s="163" t="s">
        <v>7042</v>
      </c>
      <c r="B3382" s="164">
        <v>45947</v>
      </c>
      <c r="C3382" s="34" t="s">
        <v>764</v>
      </c>
      <c r="D3382" s="53" t="str">
        <f>VLOOKUP(Sales[[#This Row],[Customer ID]],Customer[#All],2,0)</f>
        <v>Priya Gupta</v>
      </c>
      <c r="E3382" s="34" t="s">
        <v>489</v>
      </c>
      <c r="F3382" s="34" t="str">
        <f>VLOOKUP(Sales[[#This Row],[Product ID]],Product[#All],2,0)</f>
        <v>Microtek UPS</v>
      </c>
      <c r="G3382" s="53">
        <v>7</v>
      </c>
      <c r="H3382" s="165">
        <f>VLOOKUP(Sales[[#This Row],[Product ID]],Product[#All],7,0)</f>
        <v>8040</v>
      </c>
      <c r="I3382" s="165">
        <f>Sales[[#This Row],[Selling Rate]]*Sales[[#This Row],[Qty]]</f>
        <v>56280</v>
      </c>
      <c r="J3382" s="45">
        <v>0</v>
      </c>
      <c r="K3382" s="46">
        <f>Sales[[#This Row],[Gross Amount]]*Sales[[#This Row],[Disc %]]</f>
        <v>0</v>
      </c>
      <c r="L3382" s="43">
        <v>0.18</v>
      </c>
      <c r="M3382" s="46">
        <f>(Sales[[#This Row],[Gross Amount]]-Sales[[#This Row],[Disc. Amt.]])*Sales[[#This Row],[GST %]]</f>
        <v>10130.4</v>
      </c>
      <c r="N3382" s="161">
        <f>Sales[[#This Row],[Gross Amount]]-Sales[[#This Row],[Disc. Amt.]]+Sales[[#This Row],[GST Amount]]</f>
        <v>66410.399999999994</v>
      </c>
      <c r="O3382" s="34" t="s">
        <v>3569</v>
      </c>
      <c r="P3382" s="34" t="s">
        <v>3562</v>
      </c>
      <c r="Q3382" s="165">
        <f>IF(Sales[[#This Row],[Status]]="Cancelled",0,Sales[[#This Row],[Qty]])</f>
        <v>7</v>
      </c>
      <c r="R3382" s="166">
        <f>IF(Sales[[#This Row],[Status]]="Cancelled",0,Sales[[#This Row],[Total Amount]])</f>
        <v>66410.399999999994</v>
      </c>
      <c r="S3382" s="162">
        <f>SUM(Sales[Net Amount])</f>
        <v>406839287.73200053</v>
      </c>
    </row>
    <row r="3383" spans="1:19" ht="18.75" x14ac:dyDescent="0.25">
      <c r="A3383" s="156" t="s">
        <v>7043</v>
      </c>
      <c r="B3383" s="157">
        <v>45947</v>
      </c>
      <c r="C3383" s="158" t="s">
        <v>5509</v>
      </c>
      <c r="D3383" s="159" t="str">
        <f>VLOOKUP(Sales[[#This Row],[Customer ID]],Customer[#All],2,0)</f>
        <v>Priya Kumar</v>
      </c>
      <c r="E3383" s="158" t="s">
        <v>527</v>
      </c>
      <c r="F3383" s="158" t="str">
        <f>VLOOKUP(Sales[[#This Row],[Product ID]],Product[#All],2,0)</f>
        <v>Acer Laptop</v>
      </c>
      <c r="G3383" s="159">
        <v>6</v>
      </c>
      <c r="H3383" s="160">
        <f>VLOOKUP(Sales[[#This Row],[Product ID]],Product[#All],7,0)</f>
        <v>29070</v>
      </c>
      <c r="I3383" s="160">
        <f>Sales[[#This Row],[Selling Rate]]*Sales[[#This Row],[Qty]]</f>
        <v>174420</v>
      </c>
      <c r="J3383" s="43">
        <v>0.12</v>
      </c>
      <c r="K3383" s="44">
        <f>Sales[[#This Row],[Gross Amount]]*Sales[[#This Row],[Disc %]]</f>
        <v>20930.399999999998</v>
      </c>
      <c r="L3383" s="43">
        <v>0.18</v>
      </c>
      <c r="M3383" s="44">
        <f>(Sales[[#This Row],[Gross Amount]]-Sales[[#This Row],[Disc. Amt.]])*Sales[[#This Row],[GST %]]</f>
        <v>27628.128000000001</v>
      </c>
      <c r="N3383" s="161">
        <f>Sales[[#This Row],[Gross Amount]]-Sales[[#This Row],[Disc. Amt.]]+Sales[[#This Row],[GST Amount]]</f>
        <v>181117.728</v>
      </c>
      <c r="O3383" s="158" t="s">
        <v>3569</v>
      </c>
      <c r="P3383" s="158" t="s">
        <v>3562</v>
      </c>
      <c r="Q3383" s="160">
        <f>IF(Sales[[#This Row],[Status]]="Cancelled",0,Sales[[#This Row],[Qty]])</f>
        <v>6</v>
      </c>
      <c r="R3383" s="161">
        <f>IF(Sales[[#This Row],[Status]]="Cancelled",0,Sales[[#This Row],[Total Amount]])</f>
        <v>181117.728</v>
      </c>
      <c r="S3383" s="162">
        <f>SUM(Sales[Net Amount])</f>
        <v>406839287.73200053</v>
      </c>
    </row>
    <row r="3384" spans="1:19" ht="18.75" x14ac:dyDescent="0.25">
      <c r="A3384" s="163" t="s">
        <v>7044</v>
      </c>
      <c r="B3384" s="164">
        <v>45947</v>
      </c>
      <c r="C3384" s="34" t="s">
        <v>867</v>
      </c>
      <c r="D3384" s="53" t="str">
        <f>VLOOKUP(Sales[[#This Row],[Customer ID]],Customer[#All],2,0)</f>
        <v>Priya Gupta</v>
      </c>
      <c r="E3384" s="34" t="s">
        <v>388</v>
      </c>
      <c r="F3384" s="34" t="str">
        <f>VLOOKUP(Sales[[#This Row],[Product ID]],Product[#All],2,0)</f>
        <v>Dell Laptop</v>
      </c>
      <c r="G3384" s="53">
        <v>1</v>
      </c>
      <c r="H3384" s="165">
        <f>VLOOKUP(Sales[[#This Row],[Product ID]],Product[#All],7,0)</f>
        <v>68790</v>
      </c>
      <c r="I3384" s="165">
        <f>Sales[[#This Row],[Selling Rate]]*Sales[[#This Row],[Qty]]</f>
        <v>68790</v>
      </c>
      <c r="J3384" s="45">
        <v>0.15</v>
      </c>
      <c r="K3384" s="46">
        <f>Sales[[#This Row],[Gross Amount]]*Sales[[#This Row],[Disc %]]</f>
        <v>10318.5</v>
      </c>
      <c r="L3384" s="43">
        <v>0.18</v>
      </c>
      <c r="M3384" s="46">
        <f>(Sales[[#This Row],[Gross Amount]]-Sales[[#This Row],[Disc. Amt.]])*Sales[[#This Row],[GST %]]</f>
        <v>10524.869999999999</v>
      </c>
      <c r="N3384" s="161">
        <f>Sales[[#This Row],[Gross Amount]]-Sales[[#This Row],[Disc. Amt.]]+Sales[[#This Row],[GST Amount]]</f>
        <v>68996.37</v>
      </c>
      <c r="O3384" s="34" t="s">
        <v>3569</v>
      </c>
      <c r="P3384" s="34" t="s">
        <v>3562</v>
      </c>
      <c r="Q3384" s="165">
        <f>IF(Sales[[#This Row],[Status]]="Cancelled",0,Sales[[#This Row],[Qty]])</f>
        <v>1</v>
      </c>
      <c r="R3384" s="166">
        <f>IF(Sales[[#This Row],[Status]]="Cancelled",0,Sales[[#This Row],[Total Amount]])</f>
        <v>68996.37</v>
      </c>
      <c r="S3384" s="162">
        <f>SUM(Sales[Net Amount])</f>
        <v>406839287.73200053</v>
      </c>
    </row>
    <row r="3385" spans="1:19" ht="18.75" x14ac:dyDescent="0.25">
      <c r="A3385" s="156" t="s">
        <v>7045</v>
      </c>
      <c r="B3385" s="157">
        <v>45947</v>
      </c>
      <c r="C3385" s="158" t="s">
        <v>6954</v>
      </c>
      <c r="D3385" s="159" t="str">
        <f>VLOOKUP(Sales[[#This Row],[Customer ID]],Customer[#All],2,0)</f>
        <v>Priya Gupta</v>
      </c>
      <c r="E3385" s="158" t="s">
        <v>220</v>
      </c>
      <c r="F3385" s="158" t="str">
        <f>VLOOKUP(Sales[[#This Row],[Product ID]],Product[#All],2,0)</f>
        <v>HP Desktop</v>
      </c>
      <c r="G3385" s="159">
        <v>1</v>
      </c>
      <c r="H3385" s="160">
        <f>VLOOKUP(Sales[[#This Row],[Product ID]],Product[#All],7,0)</f>
        <v>40570</v>
      </c>
      <c r="I3385" s="160">
        <f>Sales[[#This Row],[Selling Rate]]*Sales[[#This Row],[Qty]]</f>
        <v>40570</v>
      </c>
      <c r="J3385" s="43">
        <v>0.1</v>
      </c>
      <c r="K3385" s="44">
        <f>Sales[[#This Row],[Gross Amount]]*Sales[[#This Row],[Disc %]]</f>
        <v>4057</v>
      </c>
      <c r="L3385" s="43">
        <v>0.18</v>
      </c>
      <c r="M3385" s="44">
        <f>(Sales[[#This Row],[Gross Amount]]-Sales[[#This Row],[Disc. Amt.]])*Sales[[#This Row],[GST %]]</f>
        <v>6572.34</v>
      </c>
      <c r="N3385" s="161">
        <f>Sales[[#This Row],[Gross Amount]]-Sales[[#This Row],[Disc. Amt.]]+Sales[[#This Row],[GST Amount]]</f>
        <v>43085.34</v>
      </c>
      <c r="O3385" s="158" t="s">
        <v>3566</v>
      </c>
      <c r="P3385" s="158" t="s">
        <v>3562</v>
      </c>
      <c r="Q3385" s="160">
        <f>IF(Sales[[#This Row],[Status]]="Cancelled",0,Sales[[#This Row],[Qty]])</f>
        <v>1</v>
      </c>
      <c r="R3385" s="161">
        <f>IF(Sales[[#This Row],[Status]]="Cancelled",0,Sales[[#This Row],[Total Amount]])</f>
        <v>43085.34</v>
      </c>
      <c r="S3385" s="162">
        <f>SUM(Sales[Net Amount])</f>
        <v>406839287.73200053</v>
      </c>
    </row>
    <row r="3386" spans="1:19" ht="18.75" x14ac:dyDescent="0.25">
      <c r="A3386" s="163" t="s">
        <v>7046</v>
      </c>
      <c r="B3386" s="164">
        <v>45947</v>
      </c>
      <c r="C3386" s="34" t="s">
        <v>883</v>
      </c>
      <c r="D3386" s="53" t="str">
        <f>VLOOKUP(Sales[[#This Row],[Customer ID]],Customer[#All],2,0)</f>
        <v>Rahul Verma</v>
      </c>
      <c r="E3386" s="34" t="s">
        <v>446</v>
      </c>
      <c r="F3386" s="34" t="str">
        <f>VLOOKUP(Sales[[#This Row],[Product ID]],Product[#All],2,0)</f>
        <v>HP Desktop</v>
      </c>
      <c r="G3386" s="53">
        <v>2</v>
      </c>
      <c r="H3386" s="165">
        <f>VLOOKUP(Sales[[#This Row],[Product ID]],Product[#All],7,0)</f>
        <v>48280</v>
      </c>
      <c r="I3386" s="165">
        <f>Sales[[#This Row],[Selling Rate]]*Sales[[#This Row],[Qty]]</f>
        <v>96560</v>
      </c>
      <c r="J3386" s="45">
        <v>0.15</v>
      </c>
      <c r="K3386" s="46">
        <f>Sales[[#This Row],[Gross Amount]]*Sales[[#This Row],[Disc %]]</f>
        <v>14484</v>
      </c>
      <c r="L3386" s="43">
        <v>0.18</v>
      </c>
      <c r="M3386" s="46">
        <f>(Sales[[#This Row],[Gross Amount]]-Sales[[#This Row],[Disc. Amt.]])*Sales[[#This Row],[GST %]]</f>
        <v>14773.68</v>
      </c>
      <c r="N3386" s="161">
        <f>Sales[[#This Row],[Gross Amount]]-Sales[[#This Row],[Disc. Amt.]]+Sales[[#This Row],[GST Amount]]</f>
        <v>96849.68</v>
      </c>
      <c r="O3386" s="34" t="s">
        <v>8876</v>
      </c>
      <c r="P3386" s="34" t="s">
        <v>3562</v>
      </c>
      <c r="Q3386" s="165">
        <f>IF(Sales[[#This Row],[Status]]="Cancelled",0,Sales[[#This Row],[Qty]])</f>
        <v>2</v>
      </c>
      <c r="R3386" s="166">
        <f>IF(Sales[[#This Row],[Status]]="Cancelled",0,Sales[[#This Row],[Total Amount]])</f>
        <v>96849.68</v>
      </c>
      <c r="S3386" s="162">
        <f>SUM(Sales[Net Amount])</f>
        <v>406839287.73200053</v>
      </c>
    </row>
    <row r="3387" spans="1:19" ht="18.75" x14ac:dyDescent="0.25">
      <c r="A3387" s="156" t="s">
        <v>7047</v>
      </c>
      <c r="B3387" s="157">
        <v>45947</v>
      </c>
      <c r="C3387" s="158" t="s">
        <v>926</v>
      </c>
      <c r="D3387" s="159" t="str">
        <f>VLOOKUP(Sales[[#This Row],[Customer ID]],Customer[#All],2,0)</f>
        <v>Pooja Singh</v>
      </c>
      <c r="E3387" s="158" t="s">
        <v>173</v>
      </c>
      <c r="F3387" s="158" t="str">
        <f>VLOOKUP(Sales[[#This Row],[Product ID]],Product[#All],2,0)</f>
        <v>HP Desktop</v>
      </c>
      <c r="G3387" s="159">
        <v>1</v>
      </c>
      <c r="H3387" s="160">
        <f>VLOOKUP(Sales[[#This Row],[Product ID]],Product[#All],7,0)</f>
        <v>69180</v>
      </c>
      <c r="I3387" s="160">
        <f>Sales[[#This Row],[Selling Rate]]*Sales[[#This Row],[Qty]]</f>
        <v>69180</v>
      </c>
      <c r="J3387" s="43">
        <v>0.12</v>
      </c>
      <c r="K3387" s="44">
        <f>Sales[[#This Row],[Gross Amount]]*Sales[[#This Row],[Disc %]]</f>
        <v>8301.6</v>
      </c>
      <c r="L3387" s="43">
        <v>0.18</v>
      </c>
      <c r="M3387" s="44">
        <f>(Sales[[#This Row],[Gross Amount]]-Sales[[#This Row],[Disc. Amt.]])*Sales[[#This Row],[GST %]]</f>
        <v>10958.111999999999</v>
      </c>
      <c r="N3387" s="161">
        <f>Sales[[#This Row],[Gross Amount]]-Sales[[#This Row],[Disc. Amt.]]+Sales[[#This Row],[GST Amount]]</f>
        <v>71836.512000000002</v>
      </c>
      <c r="O3387" s="158" t="s">
        <v>8876</v>
      </c>
      <c r="P3387" s="158" t="s">
        <v>3562</v>
      </c>
      <c r="Q3387" s="160">
        <f>IF(Sales[[#This Row],[Status]]="Cancelled",0,Sales[[#This Row],[Qty]])</f>
        <v>1</v>
      </c>
      <c r="R3387" s="161">
        <f>IF(Sales[[#This Row],[Status]]="Cancelled",0,Sales[[#This Row],[Total Amount]])</f>
        <v>71836.512000000002</v>
      </c>
      <c r="S3387" s="162">
        <f>SUM(Sales[Net Amount])</f>
        <v>406839287.73200053</v>
      </c>
    </row>
    <row r="3388" spans="1:19" ht="18.75" x14ac:dyDescent="0.25">
      <c r="A3388" s="163" t="s">
        <v>7048</v>
      </c>
      <c r="B3388" s="164">
        <v>45947</v>
      </c>
      <c r="C3388" s="34" t="s">
        <v>747</v>
      </c>
      <c r="D3388" s="53" t="str">
        <f>VLOOKUP(Sales[[#This Row],[Customer ID]],Customer[#All],2,0)</f>
        <v>Sunita Gupta</v>
      </c>
      <c r="E3388" s="34" t="s">
        <v>184</v>
      </c>
      <c r="F3388" s="34" t="str">
        <f>VLOOKUP(Sales[[#This Row],[Product ID]],Product[#All],2,0)</f>
        <v>Seagate HDD</v>
      </c>
      <c r="G3388" s="53">
        <v>2</v>
      </c>
      <c r="H3388" s="165">
        <f>VLOOKUP(Sales[[#This Row],[Product ID]],Product[#All],7,0)</f>
        <v>11550</v>
      </c>
      <c r="I3388" s="165">
        <f>Sales[[#This Row],[Selling Rate]]*Sales[[#This Row],[Qty]]</f>
        <v>23100</v>
      </c>
      <c r="J3388" s="45">
        <v>0.12</v>
      </c>
      <c r="K3388" s="46">
        <f>Sales[[#This Row],[Gross Amount]]*Sales[[#This Row],[Disc %]]</f>
        <v>2772</v>
      </c>
      <c r="L3388" s="43">
        <v>0.18</v>
      </c>
      <c r="M3388" s="46">
        <f>(Sales[[#This Row],[Gross Amount]]-Sales[[#This Row],[Disc. Amt.]])*Sales[[#This Row],[GST %]]</f>
        <v>3659.04</v>
      </c>
      <c r="N3388" s="161">
        <f>Sales[[#This Row],[Gross Amount]]-Sales[[#This Row],[Disc. Amt.]]+Sales[[#This Row],[GST Amount]]</f>
        <v>23987.040000000001</v>
      </c>
      <c r="O3388" s="34" t="s">
        <v>3569</v>
      </c>
      <c r="P3388" s="34" t="s">
        <v>3562</v>
      </c>
      <c r="Q3388" s="165">
        <f>IF(Sales[[#This Row],[Status]]="Cancelled",0,Sales[[#This Row],[Qty]])</f>
        <v>2</v>
      </c>
      <c r="R3388" s="166">
        <f>IF(Sales[[#This Row],[Status]]="Cancelled",0,Sales[[#This Row],[Total Amount]])</f>
        <v>23987.040000000001</v>
      </c>
      <c r="S3388" s="162">
        <f>SUM(Sales[Net Amount])</f>
        <v>406839287.73200053</v>
      </c>
    </row>
    <row r="3389" spans="1:19" ht="18.75" x14ac:dyDescent="0.25">
      <c r="A3389" s="156" t="s">
        <v>7049</v>
      </c>
      <c r="B3389" s="157">
        <v>45947</v>
      </c>
      <c r="C3389" s="158" t="s">
        <v>742</v>
      </c>
      <c r="D3389" s="159" t="str">
        <f>VLOOKUP(Sales[[#This Row],[Customer ID]],Customer[#All],2,0)</f>
        <v>Rahul Patel</v>
      </c>
      <c r="E3389" s="158" t="s">
        <v>296</v>
      </c>
      <c r="F3389" s="158" t="str">
        <f>VLOOKUP(Sales[[#This Row],[Product ID]],Product[#All],2,0)</f>
        <v>Logitech Webcam</v>
      </c>
      <c r="G3389" s="159">
        <v>3</v>
      </c>
      <c r="H3389" s="160">
        <f>VLOOKUP(Sales[[#This Row],[Product ID]],Product[#All],7,0)</f>
        <v>6060</v>
      </c>
      <c r="I3389" s="160">
        <f>Sales[[#This Row],[Selling Rate]]*Sales[[#This Row],[Qty]]</f>
        <v>18180</v>
      </c>
      <c r="J3389" s="43">
        <v>0.1</v>
      </c>
      <c r="K3389" s="44">
        <f>Sales[[#This Row],[Gross Amount]]*Sales[[#This Row],[Disc %]]</f>
        <v>1818</v>
      </c>
      <c r="L3389" s="43">
        <v>0.18</v>
      </c>
      <c r="M3389" s="44">
        <f>(Sales[[#This Row],[Gross Amount]]-Sales[[#This Row],[Disc. Amt.]])*Sales[[#This Row],[GST %]]</f>
        <v>2945.16</v>
      </c>
      <c r="N3389" s="161">
        <f>Sales[[#This Row],[Gross Amount]]-Sales[[#This Row],[Disc. Amt.]]+Sales[[#This Row],[GST Amount]]</f>
        <v>19307.16</v>
      </c>
      <c r="O3389" s="158" t="s">
        <v>3561</v>
      </c>
      <c r="P3389" s="158" t="s">
        <v>3562</v>
      </c>
      <c r="Q3389" s="160">
        <f>IF(Sales[[#This Row],[Status]]="Cancelled",0,Sales[[#This Row],[Qty]])</f>
        <v>3</v>
      </c>
      <c r="R3389" s="161">
        <f>IF(Sales[[#This Row],[Status]]="Cancelled",0,Sales[[#This Row],[Total Amount]])</f>
        <v>19307.16</v>
      </c>
      <c r="S3389" s="162">
        <f>SUM(Sales[Net Amount])</f>
        <v>406839287.73200053</v>
      </c>
    </row>
    <row r="3390" spans="1:19" ht="18.75" x14ac:dyDescent="0.25">
      <c r="A3390" s="163" t="s">
        <v>7050</v>
      </c>
      <c r="B3390" s="164">
        <v>45947</v>
      </c>
      <c r="C3390" s="34" t="s">
        <v>655</v>
      </c>
      <c r="D3390" s="53" t="str">
        <f>VLOOKUP(Sales[[#This Row],[Customer ID]],Customer[#All],2,0)</f>
        <v>Pooja Singh</v>
      </c>
      <c r="E3390" s="34" t="s">
        <v>400</v>
      </c>
      <c r="F3390" s="34" t="str">
        <f>VLOOKUP(Sales[[#This Row],[Product ID]],Product[#All],2,0)</f>
        <v>TP-link Bluetooth Adapter</v>
      </c>
      <c r="G3390" s="53">
        <v>8</v>
      </c>
      <c r="H3390" s="165">
        <f>VLOOKUP(Sales[[#This Row],[Product ID]],Product[#All],7,0)</f>
        <v>1320</v>
      </c>
      <c r="I3390" s="165">
        <f>Sales[[#This Row],[Selling Rate]]*Sales[[#This Row],[Qty]]</f>
        <v>10560</v>
      </c>
      <c r="J3390" s="45">
        <v>0.05</v>
      </c>
      <c r="K3390" s="46">
        <f>Sales[[#This Row],[Gross Amount]]*Sales[[#This Row],[Disc %]]</f>
        <v>528</v>
      </c>
      <c r="L3390" s="43">
        <v>0.18</v>
      </c>
      <c r="M3390" s="46">
        <f>(Sales[[#This Row],[Gross Amount]]-Sales[[#This Row],[Disc. Amt.]])*Sales[[#This Row],[GST %]]</f>
        <v>1805.76</v>
      </c>
      <c r="N3390" s="161">
        <f>Sales[[#This Row],[Gross Amount]]-Sales[[#This Row],[Disc. Amt.]]+Sales[[#This Row],[GST Amount]]</f>
        <v>11837.76</v>
      </c>
      <c r="O3390" s="34" t="s">
        <v>3566</v>
      </c>
      <c r="P3390" s="34" t="s">
        <v>3562</v>
      </c>
      <c r="Q3390" s="165">
        <f>IF(Sales[[#This Row],[Status]]="Cancelled",0,Sales[[#This Row],[Qty]])</f>
        <v>8</v>
      </c>
      <c r="R3390" s="166">
        <f>IF(Sales[[#This Row],[Status]]="Cancelled",0,Sales[[#This Row],[Total Amount]])</f>
        <v>11837.76</v>
      </c>
      <c r="S3390" s="162">
        <f>SUM(Sales[Net Amount])</f>
        <v>406839287.73200053</v>
      </c>
    </row>
    <row r="3391" spans="1:19" ht="18.75" x14ac:dyDescent="0.25">
      <c r="A3391" s="156" t="s">
        <v>7051</v>
      </c>
      <c r="B3391" s="157">
        <v>45947</v>
      </c>
      <c r="C3391" s="158" t="s">
        <v>891</v>
      </c>
      <c r="D3391" s="159" t="str">
        <f>VLOOKUP(Sales[[#This Row],[Customer ID]],Customer[#All],2,0)</f>
        <v>Pooja Verma</v>
      </c>
      <c r="E3391" s="158" t="s">
        <v>187</v>
      </c>
      <c r="F3391" s="158" t="str">
        <f>VLOOKUP(Sales[[#This Row],[Product ID]],Product[#All],2,0)</f>
        <v>American TouristerLaptopBag</v>
      </c>
      <c r="G3391" s="159">
        <v>6</v>
      </c>
      <c r="H3391" s="160">
        <f>VLOOKUP(Sales[[#This Row],[Product ID]],Product[#All],7,0)</f>
        <v>840</v>
      </c>
      <c r="I3391" s="160">
        <f>Sales[[#This Row],[Selling Rate]]*Sales[[#This Row],[Qty]]</f>
        <v>5040</v>
      </c>
      <c r="J3391" s="43">
        <v>0.15</v>
      </c>
      <c r="K3391" s="44">
        <f>Sales[[#This Row],[Gross Amount]]*Sales[[#This Row],[Disc %]]</f>
        <v>756</v>
      </c>
      <c r="L3391" s="43">
        <v>0.18</v>
      </c>
      <c r="M3391" s="44">
        <f>(Sales[[#This Row],[Gross Amount]]-Sales[[#This Row],[Disc. Amt.]])*Sales[[#This Row],[GST %]]</f>
        <v>771.12</v>
      </c>
      <c r="N3391" s="161">
        <f>Sales[[#This Row],[Gross Amount]]-Sales[[#This Row],[Disc. Amt.]]+Sales[[#This Row],[GST Amount]]</f>
        <v>5055.12</v>
      </c>
      <c r="O3391" s="158" t="s">
        <v>3569</v>
      </c>
      <c r="P3391" s="158" t="s">
        <v>3562</v>
      </c>
      <c r="Q3391" s="160">
        <f>IF(Sales[[#This Row],[Status]]="Cancelled",0,Sales[[#This Row],[Qty]])</f>
        <v>6</v>
      </c>
      <c r="R3391" s="161">
        <f>IF(Sales[[#This Row],[Status]]="Cancelled",0,Sales[[#This Row],[Total Amount]])</f>
        <v>5055.12</v>
      </c>
      <c r="S3391" s="162">
        <f>SUM(Sales[Net Amount])</f>
        <v>406839287.73200053</v>
      </c>
    </row>
    <row r="3392" spans="1:19" ht="18.75" x14ac:dyDescent="0.25">
      <c r="A3392" s="163" t="s">
        <v>7052</v>
      </c>
      <c r="B3392" s="164">
        <v>45947</v>
      </c>
      <c r="C3392" s="34" t="s">
        <v>856</v>
      </c>
      <c r="D3392" s="53" t="str">
        <f>VLOOKUP(Sales[[#This Row],[Customer ID]],Customer[#All],2,0)</f>
        <v>Sunita Verma</v>
      </c>
      <c r="E3392" s="34" t="s">
        <v>303</v>
      </c>
      <c r="F3392" s="34" t="str">
        <f>VLOOKUP(Sales[[#This Row],[Product ID]],Product[#All],2,0)</f>
        <v>Crucial Ssd</v>
      </c>
      <c r="G3392" s="53">
        <v>5</v>
      </c>
      <c r="H3392" s="165">
        <f>VLOOKUP(Sales[[#This Row],[Product ID]],Product[#All],7,0)</f>
        <v>7740</v>
      </c>
      <c r="I3392" s="165">
        <f>Sales[[#This Row],[Selling Rate]]*Sales[[#This Row],[Qty]]</f>
        <v>38700</v>
      </c>
      <c r="J3392" s="45">
        <v>0.02</v>
      </c>
      <c r="K3392" s="46">
        <f>Sales[[#This Row],[Gross Amount]]*Sales[[#This Row],[Disc %]]</f>
        <v>774</v>
      </c>
      <c r="L3392" s="43">
        <v>0.18</v>
      </c>
      <c r="M3392" s="46">
        <f>(Sales[[#This Row],[Gross Amount]]-Sales[[#This Row],[Disc. Amt.]])*Sales[[#This Row],[GST %]]</f>
        <v>6826.6799999999994</v>
      </c>
      <c r="N3392" s="161">
        <f>Sales[[#This Row],[Gross Amount]]-Sales[[#This Row],[Disc. Amt.]]+Sales[[#This Row],[GST Amount]]</f>
        <v>44752.68</v>
      </c>
      <c r="O3392" s="34" t="s">
        <v>8876</v>
      </c>
      <c r="P3392" s="34" t="s">
        <v>3562</v>
      </c>
      <c r="Q3392" s="165">
        <f>IF(Sales[[#This Row],[Status]]="Cancelled",0,Sales[[#This Row],[Qty]])</f>
        <v>5</v>
      </c>
      <c r="R3392" s="166">
        <f>IF(Sales[[#This Row],[Status]]="Cancelled",0,Sales[[#This Row],[Total Amount]])</f>
        <v>44752.68</v>
      </c>
      <c r="S3392" s="162">
        <f>SUM(Sales[Net Amount])</f>
        <v>406839287.73200053</v>
      </c>
    </row>
    <row r="3393" spans="1:19" ht="18.75" x14ac:dyDescent="0.25">
      <c r="A3393" s="156" t="s">
        <v>7053</v>
      </c>
      <c r="B3393" s="157">
        <v>45947</v>
      </c>
      <c r="C3393" s="158" t="s">
        <v>907</v>
      </c>
      <c r="D3393" s="159" t="str">
        <f>VLOOKUP(Sales[[#This Row],[Customer ID]],Customer[#All],2,0)</f>
        <v>Vikas Verma</v>
      </c>
      <c r="E3393" s="158" t="s">
        <v>517</v>
      </c>
      <c r="F3393" s="158" t="str">
        <f>VLOOKUP(Sales[[#This Row],[Product ID]],Product[#All],2,0)</f>
        <v>Dell Laptop</v>
      </c>
      <c r="G3393" s="159">
        <v>2</v>
      </c>
      <c r="H3393" s="160">
        <f>VLOOKUP(Sales[[#This Row],[Product ID]],Product[#All],7,0)</f>
        <v>81860</v>
      </c>
      <c r="I3393" s="160">
        <f>Sales[[#This Row],[Selling Rate]]*Sales[[#This Row],[Qty]]</f>
        <v>163720</v>
      </c>
      <c r="J3393" s="43">
        <v>0.1</v>
      </c>
      <c r="K3393" s="44">
        <f>Sales[[#This Row],[Gross Amount]]*Sales[[#This Row],[Disc %]]</f>
        <v>16372</v>
      </c>
      <c r="L3393" s="43">
        <v>0.18</v>
      </c>
      <c r="M3393" s="44">
        <f>(Sales[[#This Row],[Gross Amount]]-Sales[[#This Row],[Disc. Amt.]])*Sales[[#This Row],[GST %]]</f>
        <v>26522.639999999999</v>
      </c>
      <c r="N3393" s="161">
        <f>Sales[[#This Row],[Gross Amount]]-Sales[[#This Row],[Disc. Amt.]]+Sales[[#This Row],[GST Amount]]</f>
        <v>173870.64</v>
      </c>
      <c r="O3393" s="158" t="s">
        <v>3561</v>
      </c>
      <c r="P3393" s="158" t="s">
        <v>3562</v>
      </c>
      <c r="Q3393" s="160">
        <f>IF(Sales[[#This Row],[Status]]="Cancelled",0,Sales[[#This Row],[Qty]])</f>
        <v>2</v>
      </c>
      <c r="R3393" s="161">
        <f>IF(Sales[[#This Row],[Status]]="Cancelled",0,Sales[[#This Row],[Total Amount]])</f>
        <v>173870.64</v>
      </c>
      <c r="S3393" s="162">
        <f>SUM(Sales[Net Amount])</f>
        <v>406839287.73200053</v>
      </c>
    </row>
    <row r="3394" spans="1:19" ht="18.75" x14ac:dyDescent="0.25">
      <c r="A3394" s="163" t="s">
        <v>7054</v>
      </c>
      <c r="B3394" s="164">
        <v>45947</v>
      </c>
      <c r="C3394" s="34" t="s">
        <v>795</v>
      </c>
      <c r="D3394" s="53" t="str">
        <f>VLOOKUP(Sales[[#This Row],[Customer ID]],Customer[#All],2,0)</f>
        <v>Sahil Gupta</v>
      </c>
      <c r="E3394" s="34" t="s">
        <v>508</v>
      </c>
      <c r="F3394" s="34" t="str">
        <f>VLOOKUP(Sales[[#This Row],[Product ID]],Product[#All],2,0)</f>
        <v>American TouristerLaptopBag</v>
      </c>
      <c r="G3394" s="53">
        <v>1</v>
      </c>
      <c r="H3394" s="165">
        <f>VLOOKUP(Sales[[#This Row],[Product ID]],Product[#All],7,0)</f>
        <v>2340</v>
      </c>
      <c r="I3394" s="165">
        <f>Sales[[#This Row],[Selling Rate]]*Sales[[#This Row],[Qty]]</f>
        <v>2340</v>
      </c>
      <c r="J3394" s="45">
        <v>0.05</v>
      </c>
      <c r="K3394" s="46">
        <f>Sales[[#This Row],[Gross Amount]]*Sales[[#This Row],[Disc %]]</f>
        <v>117</v>
      </c>
      <c r="L3394" s="43">
        <v>0.18</v>
      </c>
      <c r="M3394" s="46">
        <f>(Sales[[#This Row],[Gross Amount]]-Sales[[#This Row],[Disc. Amt.]])*Sales[[#This Row],[GST %]]</f>
        <v>400.14</v>
      </c>
      <c r="N3394" s="161">
        <f>Sales[[#This Row],[Gross Amount]]-Sales[[#This Row],[Disc. Amt.]]+Sales[[#This Row],[GST Amount]]</f>
        <v>2623.14</v>
      </c>
      <c r="O3394" s="34" t="s">
        <v>3561</v>
      </c>
      <c r="P3394" s="34" t="s">
        <v>3562</v>
      </c>
      <c r="Q3394" s="165">
        <f>IF(Sales[[#This Row],[Status]]="Cancelled",0,Sales[[#This Row],[Qty]])</f>
        <v>1</v>
      </c>
      <c r="R3394" s="166">
        <f>IF(Sales[[#This Row],[Status]]="Cancelled",0,Sales[[#This Row],[Total Amount]])</f>
        <v>2623.14</v>
      </c>
      <c r="S3394" s="162">
        <f>SUM(Sales[Net Amount])</f>
        <v>406839287.73200053</v>
      </c>
    </row>
    <row r="3395" spans="1:19" ht="18.75" x14ac:dyDescent="0.25">
      <c r="A3395" s="156" t="s">
        <v>7055</v>
      </c>
      <c r="B3395" s="157">
        <v>45947</v>
      </c>
      <c r="C3395" s="158" t="s">
        <v>933</v>
      </c>
      <c r="D3395" s="159" t="str">
        <f>VLOOKUP(Sales[[#This Row],[Customer ID]],Customer[#All],2,0)</f>
        <v>Vikas Verma</v>
      </c>
      <c r="E3395" s="158" t="s">
        <v>159</v>
      </c>
      <c r="F3395" s="158" t="str">
        <f>VLOOKUP(Sales[[#This Row],[Product ID]],Product[#All],2,0)</f>
        <v>HP Laptop</v>
      </c>
      <c r="G3395" s="159">
        <v>4</v>
      </c>
      <c r="H3395" s="160">
        <f>VLOOKUP(Sales[[#This Row],[Product ID]],Product[#All],7,0)</f>
        <v>90020</v>
      </c>
      <c r="I3395" s="160">
        <f>Sales[[#This Row],[Selling Rate]]*Sales[[#This Row],[Qty]]</f>
        <v>360080</v>
      </c>
      <c r="J3395" s="43">
        <v>0</v>
      </c>
      <c r="K3395" s="44">
        <f>Sales[[#This Row],[Gross Amount]]*Sales[[#This Row],[Disc %]]</f>
        <v>0</v>
      </c>
      <c r="L3395" s="43">
        <v>0.18</v>
      </c>
      <c r="M3395" s="44">
        <f>(Sales[[#This Row],[Gross Amount]]-Sales[[#This Row],[Disc. Amt.]])*Sales[[#This Row],[GST %]]</f>
        <v>64814.399999999994</v>
      </c>
      <c r="N3395" s="161">
        <f>Sales[[#This Row],[Gross Amount]]-Sales[[#This Row],[Disc. Amt.]]+Sales[[#This Row],[GST Amount]]</f>
        <v>424894.4</v>
      </c>
      <c r="O3395" s="158" t="s">
        <v>3569</v>
      </c>
      <c r="P3395" s="158" t="s">
        <v>3562</v>
      </c>
      <c r="Q3395" s="160">
        <f>IF(Sales[[#This Row],[Status]]="Cancelled",0,Sales[[#This Row],[Qty]])</f>
        <v>4</v>
      </c>
      <c r="R3395" s="161">
        <f>IF(Sales[[#This Row],[Status]]="Cancelled",0,Sales[[#This Row],[Total Amount]])</f>
        <v>424894.4</v>
      </c>
      <c r="S3395" s="162">
        <f>SUM(Sales[Net Amount])</f>
        <v>406839287.73200053</v>
      </c>
    </row>
    <row r="3396" spans="1:19" ht="18.75" x14ac:dyDescent="0.25">
      <c r="A3396" s="163" t="s">
        <v>7056</v>
      </c>
      <c r="B3396" s="164">
        <v>45947</v>
      </c>
      <c r="C3396" s="34" t="s">
        <v>801</v>
      </c>
      <c r="D3396" s="53" t="str">
        <f>VLOOKUP(Sales[[#This Row],[Customer ID]],Customer[#All],2,0)</f>
        <v>Sunita Verma</v>
      </c>
      <c r="E3396" s="34" t="s">
        <v>99</v>
      </c>
      <c r="F3396" s="34" t="str">
        <f>VLOOKUP(Sales[[#This Row],[Product ID]],Product[#All],2,0)</f>
        <v>Dell Laptop</v>
      </c>
      <c r="G3396" s="53">
        <v>7</v>
      </c>
      <c r="H3396" s="165">
        <f>VLOOKUP(Sales[[#This Row],[Product ID]],Product[#All],7,0)</f>
        <v>34870</v>
      </c>
      <c r="I3396" s="165">
        <f>Sales[[#This Row],[Selling Rate]]*Sales[[#This Row],[Qty]]</f>
        <v>244090</v>
      </c>
      <c r="J3396" s="45">
        <v>0.05</v>
      </c>
      <c r="K3396" s="46">
        <f>Sales[[#This Row],[Gross Amount]]*Sales[[#This Row],[Disc %]]</f>
        <v>12204.5</v>
      </c>
      <c r="L3396" s="43">
        <v>0.18</v>
      </c>
      <c r="M3396" s="46">
        <f>(Sales[[#This Row],[Gross Amount]]-Sales[[#This Row],[Disc. Amt.]])*Sales[[#This Row],[GST %]]</f>
        <v>41739.39</v>
      </c>
      <c r="N3396" s="161">
        <f>Sales[[#This Row],[Gross Amount]]-Sales[[#This Row],[Disc. Amt.]]+Sales[[#This Row],[GST Amount]]</f>
        <v>273624.89</v>
      </c>
      <c r="O3396" s="34" t="s">
        <v>3561</v>
      </c>
      <c r="P3396" s="34" t="s">
        <v>3562</v>
      </c>
      <c r="Q3396" s="165">
        <f>IF(Sales[[#This Row],[Status]]="Cancelled",0,Sales[[#This Row],[Qty]])</f>
        <v>7</v>
      </c>
      <c r="R3396" s="166">
        <f>IF(Sales[[#This Row],[Status]]="Cancelled",0,Sales[[#This Row],[Total Amount]])</f>
        <v>273624.89</v>
      </c>
      <c r="S3396" s="162">
        <f>SUM(Sales[Net Amount])</f>
        <v>406839287.73200053</v>
      </c>
    </row>
    <row r="3397" spans="1:19" ht="18.75" x14ac:dyDescent="0.25">
      <c r="A3397" s="156" t="s">
        <v>7057</v>
      </c>
      <c r="B3397" s="157">
        <v>45947</v>
      </c>
      <c r="C3397" s="158" t="s">
        <v>859</v>
      </c>
      <c r="D3397" s="159" t="str">
        <f>VLOOKUP(Sales[[#This Row],[Customer ID]],Customer[#All],2,0)</f>
        <v>Rakesh Kumar</v>
      </c>
      <c r="E3397" s="158" t="s">
        <v>68</v>
      </c>
      <c r="F3397" s="158" t="str">
        <f>VLOOKUP(Sales[[#This Row],[Product ID]],Product[#All],2,0)</f>
        <v>Epson Printer</v>
      </c>
      <c r="G3397" s="159">
        <v>6</v>
      </c>
      <c r="H3397" s="160">
        <f>VLOOKUP(Sales[[#This Row],[Product ID]],Product[#All],7,0)</f>
        <v>21190</v>
      </c>
      <c r="I3397" s="160">
        <f>Sales[[#This Row],[Selling Rate]]*Sales[[#This Row],[Qty]]</f>
        <v>127140</v>
      </c>
      <c r="J3397" s="43">
        <v>0.05</v>
      </c>
      <c r="K3397" s="44">
        <f>Sales[[#This Row],[Gross Amount]]*Sales[[#This Row],[Disc %]]</f>
        <v>6357</v>
      </c>
      <c r="L3397" s="43">
        <v>0.18</v>
      </c>
      <c r="M3397" s="44">
        <f>(Sales[[#This Row],[Gross Amount]]-Sales[[#This Row],[Disc. Amt.]])*Sales[[#This Row],[GST %]]</f>
        <v>21740.94</v>
      </c>
      <c r="N3397" s="161">
        <f>Sales[[#This Row],[Gross Amount]]-Sales[[#This Row],[Disc. Amt.]]+Sales[[#This Row],[GST Amount]]</f>
        <v>142523.94</v>
      </c>
      <c r="O3397" s="158" t="s">
        <v>3569</v>
      </c>
      <c r="P3397" s="158" t="s">
        <v>3562</v>
      </c>
      <c r="Q3397" s="160">
        <f>IF(Sales[[#This Row],[Status]]="Cancelled",0,Sales[[#This Row],[Qty]])</f>
        <v>6</v>
      </c>
      <c r="R3397" s="161">
        <f>IF(Sales[[#This Row],[Status]]="Cancelled",0,Sales[[#This Row],[Total Amount]])</f>
        <v>142523.94</v>
      </c>
      <c r="S3397" s="162">
        <f>SUM(Sales[Net Amount])</f>
        <v>406839287.73200053</v>
      </c>
    </row>
    <row r="3398" spans="1:19" ht="18.75" x14ac:dyDescent="0.25">
      <c r="A3398" s="163" t="s">
        <v>7058</v>
      </c>
      <c r="B3398" s="164">
        <v>45947</v>
      </c>
      <c r="C3398" s="34" t="s">
        <v>787</v>
      </c>
      <c r="D3398" s="53" t="str">
        <f>VLOOKUP(Sales[[#This Row],[Customer ID]],Customer[#All],2,0)</f>
        <v>Amit Singh</v>
      </c>
      <c r="E3398" s="34" t="s">
        <v>201</v>
      </c>
      <c r="F3398" s="34" t="str">
        <f>VLOOKUP(Sales[[#This Row],[Product ID]],Product[#All],2,0)</f>
        <v>Jbl Headset</v>
      </c>
      <c r="G3398" s="53">
        <v>5</v>
      </c>
      <c r="H3398" s="165">
        <f>VLOOKUP(Sales[[#This Row],[Product ID]],Product[#All],7,0)</f>
        <v>2580</v>
      </c>
      <c r="I3398" s="165">
        <f>Sales[[#This Row],[Selling Rate]]*Sales[[#This Row],[Qty]]</f>
        <v>12900</v>
      </c>
      <c r="J3398" s="45">
        <v>0.12</v>
      </c>
      <c r="K3398" s="46">
        <f>Sales[[#This Row],[Gross Amount]]*Sales[[#This Row],[Disc %]]</f>
        <v>1548</v>
      </c>
      <c r="L3398" s="43">
        <v>0.18</v>
      </c>
      <c r="M3398" s="46">
        <f>(Sales[[#This Row],[Gross Amount]]-Sales[[#This Row],[Disc. Amt.]])*Sales[[#This Row],[GST %]]</f>
        <v>2043.36</v>
      </c>
      <c r="N3398" s="161">
        <f>Sales[[#This Row],[Gross Amount]]-Sales[[#This Row],[Disc. Amt.]]+Sales[[#This Row],[GST Amount]]</f>
        <v>13395.36</v>
      </c>
      <c r="O3398" s="34" t="s">
        <v>3569</v>
      </c>
      <c r="P3398" s="34" t="s">
        <v>3562</v>
      </c>
      <c r="Q3398" s="165">
        <f>IF(Sales[[#This Row],[Status]]="Cancelled",0,Sales[[#This Row],[Qty]])</f>
        <v>5</v>
      </c>
      <c r="R3398" s="166">
        <f>IF(Sales[[#This Row],[Status]]="Cancelled",0,Sales[[#This Row],[Total Amount]])</f>
        <v>13395.36</v>
      </c>
      <c r="S3398" s="162">
        <f>SUM(Sales[Net Amount])</f>
        <v>406839287.73200053</v>
      </c>
    </row>
    <row r="3399" spans="1:19" ht="18.75" x14ac:dyDescent="0.25">
      <c r="A3399" s="156" t="s">
        <v>7059</v>
      </c>
      <c r="B3399" s="157">
        <v>45947</v>
      </c>
      <c r="C3399" s="158" t="s">
        <v>784</v>
      </c>
      <c r="D3399" s="159" t="str">
        <f>VLOOKUP(Sales[[#This Row],[Customer ID]],Customer[#All],2,0)</f>
        <v>Amit Kumar</v>
      </c>
      <c r="E3399" s="158" t="s">
        <v>529</v>
      </c>
      <c r="F3399" s="158" t="str">
        <f>VLOOKUP(Sales[[#This Row],[Product ID]],Product[#All],2,0)</f>
        <v>Logitech Webcam</v>
      </c>
      <c r="G3399" s="159">
        <v>3</v>
      </c>
      <c r="H3399" s="160">
        <f>VLOOKUP(Sales[[#This Row],[Product ID]],Product[#All],7,0)</f>
        <v>3390</v>
      </c>
      <c r="I3399" s="160">
        <f>Sales[[#This Row],[Selling Rate]]*Sales[[#This Row],[Qty]]</f>
        <v>10170</v>
      </c>
      <c r="J3399" s="43">
        <v>0.15</v>
      </c>
      <c r="K3399" s="44">
        <f>Sales[[#This Row],[Gross Amount]]*Sales[[#This Row],[Disc %]]</f>
        <v>1525.5</v>
      </c>
      <c r="L3399" s="43">
        <v>0.18</v>
      </c>
      <c r="M3399" s="44">
        <f>(Sales[[#This Row],[Gross Amount]]-Sales[[#This Row],[Disc. Amt.]])*Sales[[#This Row],[GST %]]</f>
        <v>1556.01</v>
      </c>
      <c r="N3399" s="161">
        <f>Sales[[#This Row],[Gross Amount]]-Sales[[#This Row],[Disc. Amt.]]+Sales[[#This Row],[GST Amount]]</f>
        <v>10200.51</v>
      </c>
      <c r="O3399" s="158" t="s">
        <v>3566</v>
      </c>
      <c r="P3399" s="158" t="s">
        <v>3562</v>
      </c>
      <c r="Q3399" s="160">
        <f>IF(Sales[[#This Row],[Status]]="Cancelled",0,Sales[[#This Row],[Qty]])</f>
        <v>3</v>
      </c>
      <c r="R3399" s="161">
        <f>IF(Sales[[#This Row],[Status]]="Cancelled",0,Sales[[#This Row],[Total Amount]])</f>
        <v>10200.51</v>
      </c>
      <c r="S3399" s="162">
        <f>SUM(Sales[Net Amount])</f>
        <v>406839287.73200053</v>
      </c>
    </row>
    <row r="3400" spans="1:19" ht="18.75" x14ac:dyDescent="0.25">
      <c r="A3400" s="163" t="s">
        <v>7060</v>
      </c>
      <c r="B3400" s="164">
        <v>45947</v>
      </c>
      <c r="C3400" s="34" t="s">
        <v>946</v>
      </c>
      <c r="D3400" s="53" t="str">
        <f>VLOOKUP(Sales[[#This Row],[Customer ID]],Customer[#All],2,0)</f>
        <v>Priya Patel</v>
      </c>
      <c r="E3400" s="34" t="s">
        <v>539</v>
      </c>
      <c r="F3400" s="34" t="str">
        <f>VLOOKUP(Sales[[#This Row],[Product ID]],Product[#All],2,0)</f>
        <v>Canon Printer</v>
      </c>
      <c r="G3400" s="53">
        <v>7</v>
      </c>
      <c r="H3400" s="165">
        <f>VLOOKUP(Sales[[#This Row],[Product ID]],Product[#All],7,0)</f>
        <v>25640</v>
      </c>
      <c r="I3400" s="165">
        <f>Sales[[#This Row],[Selling Rate]]*Sales[[#This Row],[Qty]]</f>
        <v>179480</v>
      </c>
      <c r="J3400" s="45">
        <v>0.05</v>
      </c>
      <c r="K3400" s="46">
        <f>Sales[[#This Row],[Gross Amount]]*Sales[[#This Row],[Disc %]]</f>
        <v>8974</v>
      </c>
      <c r="L3400" s="43">
        <v>0.18</v>
      </c>
      <c r="M3400" s="46">
        <f>(Sales[[#This Row],[Gross Amount]]-Sales[[#This Row],[Disc. Amt.]])*Sales[[#This Row],[GST %]]</f>
        <v>30691.079999999998</v>
      </c>
      <c r="N3400" s="161">
        <f>Sales[[#This Row],[Gross Amount]]-Sales[[#This Row],[Disc. Amt.]]+Sales[[#This Row],[GST Amount]]</f>
        <v>201197.08</v>
      </c>
      <c r="O3400" s="34" t="s">
        <v>3569</v>
      </c>
      <c r="P3400" s="34" t="s">
        <v>3562</v>
      </c>
      <c r="Q3400" s="165">
        <f>IF(Sales[[#This Row],[Status]]="Cancelled",0,Sales[[#This Row],[Qty]])</f>
        <v>7</v>
      </c>
      <c r="R3400" s="166">
        <f>IF(Sales[[#This Row],[Status]]="Cancelled",0,Sales[[#This Row],[Total Amount]])</f>
        <v>201197.08</v>
      </c>
      <c r="S3400" s="162">
        <f>SUM(Sales[Net Amount])</f>
        <v>406839287.73200053</v>
      </c>
    </row>
    <row r="3401" spans="1:19" ht="18.75" x14ac:dyDescent="0.25">
      <c r="A3401" s="156" t="s">
        <v>7061</v>
      </c>
      <c r="B3401" s="157">
        <v>45947</v>
      </c>
      <c r="C3401" s="158" t="s">
        <v>939</v>
      </c>
      <c r="D3401" s="159" t="str">
        <f>VLOOKUP(Sales[[#This Row],[Customer ID]],Customer[#All],2,0)</f>
        <v>Sunita Sharma</v>
      </c>
      <c r="E3401" s="158" t="s">
        <v>283</v>
      </c>
      <c r="F3401" s="158" t="str">
        <f>VLOOKUP(Sales[[#This Row],[Product ID]],Product[#All],2,0)</f>
        <v>Lenovo Laptop</v>
      </c>
      <c r="G3401" s="159">
        <v>7</v>
      </c>
      <c r="H3401" s="160">
        <f>VLOOKUP(Sales[[#This Row],[Product ID]],Product[#All],7,0)</f>
        <v>36480</v>
      </c>
      <c r="I3401" s="160">
        <f>Sales[[#This Row],[Selling Rate]]*Sales[[#This Row],[Qty]]</f>
        <v>255360</v>
      </c>
      <c r="J3401" s="43">
        <v>0.05</v>
      </c>
      <c r="K3401" s="44">
        <f>Sales[[#This Row],[Gross Amount]]*Sales[[#This Row],[Disc %]]</f>
        <v>12768</v>
      </c>
      <c r="L3401" s="43">
        <v>0.18</v>
      </c>
      <c r="M3401" s="44">
        <f>(Sales[[#This Row],[Gross Amount]]-Sales[[#This Row],[Disc. Amt.]])*Sales[[#This Row],[GST %]]</f>
        <v>43666.559999999998</v>
      </c>
      <c r="N3401" s="161">
        <f>Sales[[#This Row],[Gross Amount]]-Sales[[#This Row],[Disc. Amt.]]+Sales[[#This Row],[GST Amount]]</f>
        <v>286258.56</v>
      </c>
      <c r="O3401" s="158" t="s">
        <v>8876</v>
      </c>
      <c r="P3401" s="158" t="s">
        <v>3562</v>
      </c>
      <c r="Q3401" s="160">
        <f>IF(Sales[[#This Row],[Status]]="Cancelled",0,Sales[[#This Row],[Qty]])</f>
        <v>7</v>
      </c>
      <c r="R3401" s="161">
        <f>IF(Sales[[#This Row],[Status]]="Cancelled",0,Sales[[#This Row],[Total Amount]])</f>
        <v>286258.56</v>
      </c>
      <c r="S3401" s="162">
        <f>SUM(Sales[Net Amount])</f>
        <v>406839287.73200053</v>
      </c>
    </row>
    <row r="3402" spans="1:19" ht="18.75" x14ac:dyDescent="0.25">
      <c r="A3402" s="163" t="s">
        <v>7062</v>
      </c>
      <c r="B3402" s="164">
        <v>45947</v>
      </c>
      <c r="C3402" s="34" t="s">
        <v>721</v>
      </c>
      <c r="D3402" s="53" t="str">
        <f>VLOOKUP(Sales[[#This Row],[Customer ID]],Customer[#All],2,0)</f>
        <v>Sahil Sharma</v>
      </c>
      <c r="E3402" s="34" t="s">
        <v>383</v>
      </c>
      <c r="F3402" s="34" t="str">
        <f>VLOOKUP(Sales[[#This Row],[Product ID]],Product[#All],2,0)</f>
        <v>Logitech Mouse</v>
      </c>
      <c r="G3402" s="53">
        <v>8</v>
      </c>
      <c r="H3402" s="165">
        <f>VLOOKUP(Sales[[#This Row],[Product ID]],Product[#All],7,0)</f>
        <v>3080</v>
      </c>
      <c r="I3402" s="165">
        <f>Sales[[#This Row],[Selling Rate]]*Sales[[#This Row],[Qty]]</f>
        <v>24640</v>
      </c>
      <c r="J3402" s="45">
        <v>0.12</v>
      </c>
      <c r="K3402" s="46">
        <f>Sales[[#This Row],[Gross Amount]]*Sales[[#This Row],[Disc %]]</f>
        <v>2956.7999999999997</v>
      </c>
      <c r="L3402" s="43">
        <v>0.18</v>
      </c>
      <c r="M3402" s="46">
        <f>(Sales[[#This Row],[Gross Amount]]-Sales[[#This Row],[Disc. Amt.]])*Sales[[#This Row],[GST %]]</f>
        <v>3902.9760000000001</v>
      </c>
      <c r="N3402" s="161">
        <f>Sales[[#This Row],[Gross Amount]]-Sales[[#This Row],[Disc. Amt.]]+Sales[[#This Row],[GST Amount]]</f>
        <v>25586.175999999999</v>
      </c>
      <c r="O3402" s="34" t="s">
        <v>3566</v>
      </c>
      <c r="P3402" s="34" t="s">
        <v>3562</v>
      </c>
      <c r="Q3402" s="165">
        <f>IF(Sales[[#This Row],[Status]]="Cancelled",0,Sales[[#This Row],[Qty]])</f>
        <v>8</v>
      </c>
      <c r="R3402" s="166">
        <f>IF(Sales[[#This Row],[Status]]="Cancelled",0,Sales[[#This Row],[Total Amount]])</f>
        <v>25586.175999999999</v>
      </c>
      <c r="S3402" s="162">
        <f>SUM(Sales[Net Amount])</f>
        <v>406839287.73200053</v>
      </c>
    </row>
    <row r="3403" spans="1:19" ht="18.75" x14ac:dyDescent="0.25">
      <c r="A3403" s="156" t="s">
        <v>7063</v>
      </c>
      <c r="B3403" s="157">
        <v>45947</v>
      </c>
      <c r="C3403" s="158" t="s">
        <v>657</v>
      </c>
      <c r="D3403" s="159" t="str">
        <f>VLOOKUP(Sales[[#This Row],[Customer ID]],Customer[#All],2,0)</f>
        <v>Rahul Verma</v>
      </c>
      <c r="E3403" s="158" t="s">
        <v>330</v>
      </c>
      <c r="F3403" s="158" t="str">
        <f>VLOOKUP(Sales[[#This Row],[Product ID]],Product[#All],2,0)</f>
        <v>American TouristerLaptopBag</v>
      </c>
      <c r="G3403" s="159">
        <v>1</v>
      </c>
      <c r="H3403" s="160">
        <f>VLOOKUP(Sales[[#This Row],[Product ID]],Product[#All],7,0)</f>
        <v>4970</v>
      </c>
      <c r="I3403" s="160">
        <f>Sales[[#This Row],[Selling Rate]]*Sales[[#This Row],[Qty]]</f>
        <v>4970</v>
      </c>
      <c r="J3403" s="43">
        <v>0.02</v>
      </c>
      <c r="K3403" s="44">
        <f>Sales[[#This Row],[Gross Amount]]*Sales[[#This Row],[Disc %]]</f>
        <v>99.4</v>
      </c>
      <c r="L3403" s="43">
        <v>0.18</v>
      </c>
      <c r="M3403" s="44">
        <f>(Sales[[#This Row],[Gross Amount]]-Sales[[#This Row],[Disc. Amt.]])*Sales[[#This Row],[GST %]]</f>
        <v>876.70800000000008</v>
      </c>
      <c r="N3403" s="161">
        <f>Sales[[#This Row],[Gross Amount]]-Sales[[#This Row],[Disc. Amt.]]+Sales[[#This Row],[GST Amount]]</f>
        <v>5747.3080000000009</v>
      </c>
      <c r="O3403" s="158" t="s">
        <v>8876</v>
      </c>
      <c r="P3403" s="158" t="s">
        <v>3562</v>
      </c>
      <c r="Q3403" s="160">
        <f>IF(Sales[[#This Row],[Status]]="Cancelled",0,Sales[[#This Row],[Qty]])</f>
        <v>1</v>
      </c>
      <c r="R3403" s="161">
        <f>IF(Sales[[#This Row],[Status]]="Cancelled",0,Sales[[#This Row],[Total Amount]])</f>
        <v>5747.3080000000009</v>
      </c>
      <c r="S3403" s="162">
        <f>SUM(Sales[Net Amount])</f>
        <v>406839287.73200053</v>
      </c>
    </row>
    <row r="3404" spans="1:19" ht="18.75" x14ac:dyDescent="0.25">
      <c r="A3404" s="163" t="s">
        <v>7064</v>
      </c>
      <c r="B3404" s="164">
        <v>45947</v>
      </c>
      <c r="C3404" s="34" t="s">
        <v>933</v>
      </c>
      <c r="D3404" s="53" t="str">
        <f>VLOOKUP(Sales[[#This Row],[Customer ID]],Customer[#All],2,0)</f>
        <v>Vikas Verma</v>
      </c>
      <c r="E3404" s="34" t="s">
        <v>418</v>
      </c>
      <c r="F3404" s="34" t="str">
        <f>VLOOKUP(Sales[[#This Row],[Product ID]],Product[#All],2,0)</f>
        <v>TP-link Router</v>
      </c>
      <c r="G3404" s="53">
        <v>5</v>
      </c>
      <c r="H3404" s="165">
        <f>VLOOKUP(Sales[[#This Row],[Product ID]],Product[#All],7,0)</f>
        <v>6750</v>
      </c>
      <c r="I3404" s="165">
        <f>Sales[[#This Row],[Selling Rate]]*Sales[[#This Row],[Qty]]</f>
        <v>33750</v>
      </c>
      <c r="J3404" s="45">
        <v>0</v>
      </c>
      <c r="K3404" s="46">
        <f>Sales[[#This Row],[Gross Amount]]*Sales[[#This Row],[Disc %]]</f>
        <v>0</v>
      </c>
      <c r="L3404" s="43">
        <v>0.18</v>
      </c>
      <c r="M3404" s="46">
        <f>(Sales[[#This Row],[Gross Amount]]-Sales[[#This Row],[Disc. Amt.]])*Sales[[#This Row],[GST %]]</f>
        <v>6075</v>
      </c>
      <c r="N3404" s="161">
        <f>Sales[[#This Row],[Gross Amount]]-Sales[[#This Row],[Disc. Amt.]]+Sales[[#This Row],[GST Amount]]</f>
        <v>39825</v>
      </c>
      <c r="O3404" s="34" t="s">
        <v>3566</v>
      </c>
      <c r="P3404" s="34" t="s">
        <v>3562</v>
      </c>
      <c r="Q3404" s="165">
        <f>IF(Sales[[#This Row],[Status]]="Cancelled",0,Sales[[#This Row],[Qty]])</f>
        <v>5</v>
      </c>
      <c r="R3404" s="166">
        <f>IF(Sales[[#This Row],[Status]]="Cancelled",0,Sales[[#This Row],[Total Amount]])</f>
        <v>39825</v>
      </c>
      <c r="S3404" s="162">
        <f>SUM(Sales[Net Amount])</f>
        <v>406839287.73200053</v>
      </c>
    </row>
    <row r="3405" spans="1:19" ht="18.75" x14ac:dyDescent="0.25">
      <c r="A3405" s="156" t="s">
        <v>7065</v>
      </c>
      <c r="B3405" s="157">
        <v>45948</v>
      </c>
      <c r="C3405" s="158" t="s">
        <v>777</v>
      </c>
      <c r="D3405" s="159" t="str">
        <f>VLOOKUP(Sales[[#This Row],[Customer ID]],Customer[#All],2,0)</f>
        <v>Neha Sharma</v>
      </c>
      <c r="E3405" s="158" t="s">
        <v>122</v>
      </c>
      <c r="F3405" s="158" t="str">
        <f>VLOOKUP(Sales[[#This Row],[Product ID]],Product[#All],2,0)</f>
        <v>HP Mouse</v>
      </c>
      <c r="G3405" s="159">
        <v>5</v>
      </c>
      <c r="H3405" s="160">
        <f>VLOOKUP(Sales[[#This Row],[Product ID]],Product[#All],7,0)</f>
        <v>1980</v>
      </c>
      <c r="I3405" s="160">
        <f>Sales[[#This Row],[Selling Rate]]*Sales[[#This Row],[Qty]]</f>
        <v>9900</v>
      </c>
      <c r="J3405" s="43">
        <v>0.15</v>
      </c>
      <c r="K3405" s="44">
        <f>Sales[[#This Row],[Gross Amount]]*Sales[[#This Row],[Disc %]]</f>
        <v>1485</v>
      </c>
      <c r="L3405" s="43">
        <v>0.18</v>
      </c>
      <c r="M3405" s="44">
        <f>(Sales[[#This Row],[Gross Amount]]-Sales[[#This Row],[Disc. Amt.]])*Sales[[#This Row],[GST %]]</f>
        <v>1514.7</v>
      </c>
      <c r="N3405" s="161">
        <f>Sales[[#This Row],[Gross Amount]]-Sales[[#This Row],[Disc. Amt.]]+Sales[[#This Row],[GST Amount]]</f>
        <v>9929.7000000000007</v>
      </c>
      <c r="O3405" s="158" t="s">
        <v>3569</v>
      </c>
      <c r="P3405" s="158" t="s">
        <v>3562</v>
      </c>
      <c r="Q3405" s="160">
        <f>IF(Sales[[#This Row],[Status]]="Cancelled",0,Sales[[#This Row],[Qty]])</f>
        <v>5</v>
      </c>
      <c r="R3405" s="161">
        <f>IF(Sales[[#This Row],[Status]]="Cancelled",0,Sales[[#This Row],[Total Amount]])</f>
        <v>9929.7000000000007</v>
      </c>
      <c r="S3405" s="162">
        <f>SUM(Sales[Net Amount])</f>
        <v>406839287.73200053</v>
      </c>
    </row>
    <row r="3406" spans="1:19" ht="18.75" x14ac:dyDescent="0.25">
      <c r="A3406" s="163" t="s">
        <v>7066</v>
      </c>
      <c r="B3406" s="164">
        <v>45948</v>
      </c>
      <c r="C3406" s="34" t="s">
        <v>700</v>
      </c>
      <c r="D3406" s="53" t="str">
        <f>VLOOKUP(Sales[[#This Row],[Customer ID]],Customer[#All],2,0)</f>
        <v>Ankit Gupta</v>
      </c>
      <c r="E3406" s="34" t="s">
        <v>136</v>
      </c>
      <c r="F3406" s="34" t="str">
        <f>VLOOKUP(Sales[[#This Row],[Product ID]],Product[#All],2,0)</f>
        <v>HP Laptop</v>
      </c>
      <c r="G3406" s="53">
        <v>2</v>
      </c>
      <c r="H3406" s="165">
        <f>VLOOKUP(Sales[[#This Row],[Product ID]],Product[#All],7,0)</f>
        <v>33050</v>
      </c>
      <c r="I3406" s="165">
        <f>Sales[[#This Row],[Selling Rate]]*Sales[[#This Row],[Qty]]</f>
        <v>66100</v>
      </c>
      <c r="J3406" s="45">
        <v>0.12</v>
      </c>
      <c r="K3406" s="46">
        <f>Sales[[#This Row],[Gross Amount]]*Sales[[#This Row],[Disc %]]</f>
        <v>7932</v>
      </c>
      <c r="L3406" s="43">
        <v>0.18</v>
      </c>
      <c r="M3406" s="46">
        <f>(Sales[[#This Row],[Gross Amount]]-Sales[[#This Row],[Disc. Amt.]])*Sales[[#This Row],[GST %]]</f>
        <v>10470.24</v>
      </c>
      <c r="N3406" s="161">
        <f>Sales[[#This Row],[Gross Amount]]-Sales[[#This Row],[Disc. Amt.]]+Sales[[#This Row],[GST Amount]]</f>
        <v>68638.240000000005</v>
      </c>
      <c r="O3406" s="34" t="s">
        <v>8876</v>
      </c>
      <c r="P3406" s="34" t="s">
        <v>3562</v>
      </c>
      <c r="Q3406" s="165">
        <f>IF(Sales[[#This Row],[Status]]="Cancelled",0,Sales[[#This Row],[Qty]])</f>
        <v>2</v>
      </c>
      <c r="R3406" s="166">
        <f>IF(Sales[[#This Row],[Status]]="Cancelled",0,Sales[[#This Row],[Total Amount]])</f>
        <v>68638.240000000005</v>
      </c>
      <c r="S3406" s="162">
        <f>SUM(Sales[Net Amount])</f>
        <v>406839287.73200053</v>
      </c>
    </row>
    <row r="3407" spans="1:19" ht="18.75" x14ac:dyDescent="0.25">
      <c r="A3407" s="156" t="s">
        <v>7067</v>
      </c>
      <c r="B3407" s="157">
        <v>45948</v>
      </c>
      <c r="C3407" s="158" t="s">
        <v>936</v>
      </c>
      <c r="D3407" s="159" t="str">
        <f>VLOOKUP(Sales[[#This Row],[Customer ID]],Customer[#All],2,0)</f>
        <v>Pooja Patel</v>
      </c>
      <c r="E3407" s="158" t="s">
        <v>287</v>
      </c>
      <c r="F3407" s="158" t="str">
        <f>VLOOKUP(Sales[[#This Row],[Product ID]],Product[#All],2,0)</f>
        <v>HP Power Adapter</v>
      </c>
      <c r="G3407" s="159">
        <v>1</v>
      </c>
      <c r="H3407" s="160">
        <f>VLOOKUP(Sales[[#This Row],[Product ID]],Product[#All],7,0)</f>
        <v>2270</v>
      </c>
      <c r="I3407" s="160">
        <f>Sales[[#This Row],[Selling Rate]]*Sales[[#This Row],[Qty]]</f>
        <v>2270</v>
      </c>
      <c r="J3407" s="43">
        <v>0.12</v>
      </c>
      <c r="K3407" s="44">
        <f>Sales[[#This Row],[Gross Amount]]*Sales[[#This Row],[Disc %]]</f>
        <v>272.39999999999998</v>
      </c>
      <c r="L3407" s="43">
        <v>0.18</v>
      </c>
      <c r="M3407" s="44">
        <f>(Sales[[#This Row],[Gross Amount]]-Sales[[#This Row],[Disc. Amt.]])*Sales[[#This Row],[GST %]]</f>
        <v>359.56799999999998</v>
      </c>
      <c r="N3407" s="161">
        <f>Sales[[#This Row],[Gross Amount]]-Sales[[#This Row],[Disc. Amt.]]+Sales[[#This Row],[GST Amount]]</f>
        <v>2357.1679999999997</v>
      </c>
      <c r="O3407" s="158" t="s">
        <v>3561</v>
      </c>
      <c r="P3407" s="158" t="s">
        <v>3562</v>
      </c>
      <c r="Q3407" s="160">
        <f>IF(Sales[[#This Row],[Status]]="Cancelled",0,Sales[[#This Row],[Qty]])</f>
        <v>1</v>
      </c>
      <c r="R3407" s="161">
        <f>IF(Sales[[#This Row],[Status]]="Cancelled",0,Sales[[#This Row],[Total Amount]])</f>
        <v>2357.1679999999997</v>
      </c>
      <c r="S3407" s="162">
        <f>SUM(Sales[Net Amount])</f>
        <v>406839287.73200053</v>
      </c>
    </row>
    <row r="3408" spans="1:19" ht="18.75" x14ac:dyDescent="0.25">
      <c r="A3408" s="163" t="s">
        <v>7068</v>
      </c>
      <c r="B3408" s="164">
        <v>45948</v>
      </c>
      <c r="C3408" s="34" t="s">
        <v>686</v>
      </c>
      <c r="D3408" s="53" t="str">
        <f>VLOOKUP(Sales[[#This Row],[Customer ID]],Customer[#All],2,0)</f>
        <v>Priya Gupta</v>
      </c>
      <c r="E3408" s="34" t="s">
        <v>335</v>
      </c>
      <c r="F3408" s="34" t="str">
        <f>VLOOKUP(Sales[[#This Row],[Product ID]],Product[#All],2,0)</f>
        <v>Corsair Ram</v>
      </c>
      <c r="G3408" s="53">
        <v>7</v>
      </c>
      <c r="H3408" s="165">
        <f>VLOOKUP(Sales[[#This Row],[Product ID]],Product[#All],7,0)</f>
        <v>4450</v>
      </c>
      <c r="I3408" s="165">
        <f>Sales[[#This Row],[Selling Rate]]*Sales[[#This Row],[Qty]]</f>
        <v>31150</v>
      </c>
      <c r="J3408" s="45">
        <v>0</v>
      </c>
      <c r="K3408" s="46">
        <f>Sales[[#This Row],[Gross Amount]]*Sales[[#This Row],[Disc %]]</f>
        <v>0</v>
      </c>
      <c r="L3408" s="43">
        <v>0.18</v>
      </c>
      <c r="M3408" s="46">
        <f>(Sales[[#This Row],[Gross Amount]]-Sales[[#This Row],[Disc. Amt.]])*Sales[[#This Row],[GST %]]</f>
        <v>5607</v>
      </c>
      <c r="N3408" s="161">
        <f>Sales[[#This Row],[Gross Amount]]-Sales[[#This Row],[Disc. Amt.]]+Sales[[#This Row],[GST Amount]]</f>
        <v>36757</v>
      </c>
      <c r="O3408" s="34" t="s">
        <v>3569</v>
      </c>
      <c r="P3408" s="34" t="s">
        <v>3562</v>
      </c>
      <c r="Q3408" s="165">
        <f>IF(Sales[[#This Row],[Status]]="Cancelled",0,Sales[[#This Row],[Qty]])</f>
        <v>7</v>
      </c>
      <c r="R3408" s="166">
        <f>IF(Sales[[#This Row],[Status]]="Cancelled",0,Sales[[#This Row],[Total Amount]])</f>
        <v>36757</v>
      </c>
      <c r="S3408" s="162">
        <f>SUM(Sales[Net Amount])</f>
        <v>406839287.73200053</v>
      </c>
    </row>
    <row r="3409" spans="1:19" ht="18.75" x14ac:dyDescent="0.25">
      <c r="A3409" s="156" t="s">
        <v>7069</v>
      </c>
      <c r="B3409" s="157">
        <v>45948</v>
      </c>
      <c r="C3409" s="158" t="s">
        <v>711</v>
      </c>
      <c r="D3409" s="159" t="str">
        <f>VLOOKUP(Sales[[#This Row],[Customer ID]],Customer[#All],2,0)</f>
        <v>Priya Verma</v>
      </c>
      <c r="E3409" s="158" t="s">
        <v>535</v>
      </c>
      <c r="F3409" s="158" t="str">
        <f>VLOOKUP(Sales[[#This Row],[Product ID]],Product[#All],2,0)</f>
        <v>Logitech Keyboard</v>
      </c>
      <c r="G3409" s="159">
        <v>3</v>
      </c>
      <c r="H3409" s="160">
        <f>VLOOKUP(Sales[[#This Row],[Product ID]],Product[#All],7,0)</f>
        <v>810</v>
      </c>
      <c r="I3409" s="160">
        <f>Sales[[#This Row],[Selling Rate]]*Sales[[#This Row],[Qty]]</f>
        <v>2430</v>
      </c>
      <c r="J3409" s="43">
        <v>0.05</v>
      </c>
      <c r="K3409" s="44">
        <f>Sales[[#This Row],[Gross Amount]]*Sales[[#This Row],[Disc %]]</f>
        <v>121.5</v>
      </c>
      <c r="L3409" s="43">
        <v>0.18</v>
      </c>
      <c r="M3409" s="44">
        <f>(Sales[[#This Row],[Gross Amount]]-Sales[[#This Row],[Disc. Amt.]])*Sales[[#This Row],[GST %]]</f>
        <v>415.53</v>
      </c>
      <c r="N3409" s="161">
        <f>Sales[[#This Row],[Gross Amount]]-Sales[[#This Row],[Disc. Amt.]]+Sales[[#This Row],[GST Amount]]</f>
        <v>2724.0299999999997</v>
      </c>
      <c r="O3409" s="158" t="s">
        <v>3566</v>
      </c>
      <c r="P3409" s="158" t="s">
        <v>3562</v>
      </c>
      <c r="Q3409" s="160">
        <f>IF(Sales[[#This Row],[Status]]="Cancelled",0,Sales[[#This Row],[Qty]])</f>
        <v>3</v>
      </c>
      <c r="R3409" s="161">
        <f>IF(Sales[[#This Row],[Status]]="Cancelled",0,Sales[[#This Row],[Total Amount]])</f>
        <v>2724.0299999999997</v>
      </c>
      <c r="S3409" s="162">
        <f>SUM(Sales[Net Amount])</f>
        <v>406839287.73200053</v>
      </c>
    </row>
    <row r="3410" spans="1:19" ht="18.75" x14ac:dyDescent="0.25">
      <c r="A3410" s="163" t="s">
        <v>7070</v>
      </c>
      <c r="B3410" s="164">
        <v>45948</v>
      </c>
      <c r="C3410" s="34" t="s">
        <v>889</v>
      </c>
      <c r="D3410" s="53" t="str">
        <f>VLOOKUP(Sales[[#This Row],[Customer ID]],Customer[#All],2,0)</f>
        <v>Rakesh Sharma</v>
      </c>
      <c r="E3410" s="34" t="s">
        <v>266</v>
      </c>
      <c r="F3410" s="34" t="str">
        <f>VLOOKUP(Sales[[#This Row],[Product ID]],Product[#All],2,0)</f>
        <v>American TouristerLaptopBag</v>
      </c>
      <c r="G3410" s="53">
        <v>6</v>
      </c>
      <c r="H3410" s="165">
        <f>VLOOKUP(Sales[[#This Row],[Product ID]],Product[#All],7,0)</f>
        <v>4170</v>
      </c>
      <c r="I3410" s="165">
        <f>Sales[[#This Row],[Selling Rate]]*Sales[[#This Row],[Qty]]</f>
        <v>25020</v>
      </c>
      <c r="J3410" s="45">
        <v>0.05</v>
      </c>
      <c r="K3410" s="46">
        <f>Sales[[#This Row],[Gross Amount]]*Sales[[#This Row],[Disc %]]</f>
        <v>1251</v>
      </c>
      <c r="L3410" s="43">
        <v>0.18</v>
      </c>
      <c r="M3410" s="46">
        <f>(Sales[[#This Row],[Gross Amount]]-Sales[[#This Row],[Disc. Amt.]])*Sales[[#This Row],[GST %]]</f>
        <v>4278.42</v>
      </c>
      <c r="N3410" s="161">
        <f>Sales[[#This Row],[Gross Amount]]-Sales[[#This Row],[Disc. Amt.]]+Sales[[#This Row],[GST Amount]]</f>
        <v>28047.42</v>
      </c>
      <c r="O3410" s="34" t="s">
        <v>3569</v>
      </c>
      <c r="P3410" s="34" t="s">
        <v>3562</v>
      </c>
      <c r="Q3410" s="165">
        <f>IF(Sales[[#This Row],[Status]]="Cancelled",0,Sales[[#This Row],[Qty]])</f>
        <v>6</v>
      </c>
      <c r="R3410" s="166">
        <f>IF(Sales[[#This Row],[Status]]="Cancelled",0,Sales[[#This Row],[Total Amount]])</f>
        <v>28047.42</v>
      </c>
      <c r="S3410" s="162">
        <f>SUM(Sales[Net Amount])</f>
        <v>406839287.73200053</v>
      </c>
    </row>
    <row r="3411" spans="1:19" ht="18.75" x14ac:dyDescent="0.25">
      <c r="A3411" s="156" t="s">
        <v>7071</v>
      </c>
      <c r="B3411" s="157">
        <v>45948</v>
      </c>
      <c r="C3411" s="158" t="s">
        <v>852</v>
      </c>
      <c r="D3411" s="159" t="str">
        <f>VLOOKUP(Sales[[#This Row],[Customer ID]],Customer[#All],2,0)</f>
        <v>Neha Singh</v>
      </c>
      <c r="E3411" s="158" t="s">
        <v>347</v>
      </c>
      <c r="F3411" s="158" t="str">
        <f>VLOOKUP(Sales[[#This Row],[Product ID]],Product[#All],2,0)</f>
        <v>Logitech Mouse</v>
      </c>
      <c r="G3411" s="159">
        <v>3</v>
      </c>
      <c r="H3411" s="160">
        <f>VLOOKUP(Sales[[#This Row],[Product ID]],Product[#All],7,0)</f>
        <v>680</v>
      </c>
      <c r="I3411" s="160">
        <f>Sales[[#This Row],[Selling Rate]]*Sales[[#This Row],[Qty]]</f>
        <v>2040</v>
      </c>
      <c r="J3411" s="43">
        <v>0</v>
      </c>
      <c r="K3411" s="44">
        <f>Sales[[#This Row],[Gross Amount]]*Sales[[#This Row],[Disc %]]</f>
        <v>0</v>
      </c>
      <c r="L3411" s="43">
        <v>0.18</v>
      </c>
      <c r="M3411" s="44">
        <f>(Sales[[#This Row],[Gross Amount]]-Sales[[#This Row],[Disc. Amt.]])*Sales[[#This Row],[GST %]]</f>
        <v>367.2</v>
      </c>
      <c r="N3411" s="161">
        <f>Sales[[#This Row],[Gross Amount]]-Sales[[#This Row],[Disc. Amt.]]+Sales[[#This Row],[GST Amount]]</f>
        <v>2407.1999999999998</v>
      </c>
      <c r="O3411" s="158" t="s">
        <v>3561</v>
      </c>
      <c r="P3411" s="158" t="s">
        <v>3562</v>
      </c>
      <c r="Q3411" s="160">
        <f>IF(Sales[[#This Row],[Status]]="Cancelled",0,Sales[[#This Row],[Qty]])</f>
        <v>3</v>
      </c>
      <c r="R3411" s="161">
        <f>IF(Sales[[#This Row],[Status]]="Cancelled",0,Sales[[#This Row],[Total Amount]])</f>
        <v>2407.1999999999998</v>
      </c>
      <c r="S3411" s="162">
        <f>SUM(Sales[Net Amount])</f>
        <v>406839287.73200053</v>
      </c>
    </row>
    <row r="3412" spans="1:19" ht="18.75" x14ac:dyDescent="0.25">
      <c r="A3412" s="163" t="s">
        <v>7072</v>
      </c>
      <c r="B3412" s="164">
        <v>45948</v>
      </c>
      <c r="C3412" s="34" t="s">
        <v>804</v>
      </c>
      <c r="D3412" s="53" t="str">
        <f>VLOOKUP(Sales[[#This Row],[Customer ID]],Customer[#All],2,0)</f>
        <v>Amit Gupta</v>
      </c>
      <c r="E3412" s="34" t="s">
        <v>340</v>
      </c>
      <c r="F3412" s="34" t="str">
        <f>VLOOKUP(Sales[[#This Row],[Product ID]],Product[#All],2,0)</f>
        <v>Amazon Basics Hdmi Cable</v>
      </c>
      <c r="G3412" s="53">
        <v>6</v>
      </c>
      <c r="H3412" s="165">
        <f>VLOOKUP(Sales[[#This Row],[Product ID]],Product[#All],7,0)</f>
        <v>1150</v>
      </c>
      <c r="I3412" s="165">
        <f>Sales[[#This Row],[Selling Rate]]*Sales[[#This Row],[Qty]]</f>
        <v>6900</v>
      </c>
      <c r="J3412" s="45">
        <v>0.05</v>
      </c>
      <c r="K3412" s="46">
        <f>Sales[[#This Row],[Gross Amount]]*Sales[[#This Row],[Disc %]]</f>
        <v>345</v>
      </c>
      <c r="L3412" s="43">
        <v>0.18</v>
      </c>
      <c r="M3412" s="46">
        <f>(Sales[[#This Row],[Gross Amount]]-Sales[[#This Row],[Disc. Amt.]])*Sales[[#This Row],[GST %]]</f>
        <v>1179.8999999999999</v>
      </c>
      <c r="N3412" s="161">
        <f>Sales[[#This Row],[Gross Amount]]-Sales[[#This Row],[Disc. Amt.]]+Sales[[#This Row],[GST Amount]]</f>
        <v>7734.9</v>
      </c>
      <c r="O3412" s="34" t="s">
        <v>3569</v>
      </c>
      <c r="P3412" s="34" t="s">
        <v>3562</v>
      </c>
      <c r="Q3412" s="165">
        <f>IF(Sales[[#This Row],[Status]]="Cancelled",0,Sales[[#This Row],[Qty]])</f>
        <v>6</v>
      </c>
      <c r="R3412" s="166">
        <f>IF(Sales[[#This Row],[Status]]="Cancelled",0,Sales[[#This Row],[Total Amount]])</f>
        <v>7734.9</v>
      </c>
      <c r="S3412" s="162">
        <f>SUM(Sales[Net Amount])</f>
        <v>406839287.73200053</v>
      </c>
    </row>
    <row r="3413" spans="1:19" ht="18.75" x14ac:dyDescent="0.25">
      <c r="A3413" s="156" t="s">
        <v>7073</v>
      </c>
      <c r="B3413" s="157">
        <v>45948</v>
      </c>
      <c r="C3413" s="158" t="s">
        <v>943</v>
      </c>
      <c r="D3413" s="159" t="str">
        <f>VLOOKUP(Sales[[#This Row],[Customer ID]],Customer[#All],2,0)</f>
        <v>Sahil Singh</v>
      </c>
      <c r="E3413" s="158" t="s">
        <v>65</v>
      </c>
      <c r="F3413" s="158" t="str">
        <f>VLOOKUP(Sales[[#This Row],[Product ID]],Product[#All],2,0)</f>
        <v>Dell Power Adapter</v>
      </c>
      <c r="G3413" s="159">
        <v>1</v>
      </c>
      <c r="H3413" s="160">
        <f>VLOOKUP(Sales[[#This Row],[Product ID]],Product[#All],7,0)</f>
        <v>2070</v>
      </c>
      <c r="I3413" s="160">
        <f>Sales[[#This Row],[Selling Rate]]*Sales[[#This Row],[Qty]]</f>
        <v>2070</v>
      </c>
      <c r="J3413" s="43">
        <v>0.02</v>
      </c>
      <c r="K3413" s="44">
        <f>Sales[[#This Row],[Gross Amount]]*Sales[[#This Row],[Disc %]]</f>
        <v>41.4</v>
      </c>
      <c r="L3413" s="43">
        <v>0.18</v>
      </c>
      <c r="M3413" s="44">
        <f>(Sales[[#This Row],[Gross Amount]]-Sales[[#This Row],[Disc. Amt.]])*Sales[[#This Row],[GST %]]</f>
        <v>365.14799999999997</v>
      </c>
      <c r="N3413" s="161">
        <f>Sales[[#This Row],[Gross Amount]]-Sales[[#This Row],[Disc. Amt.]]+Sales[[#This Row],[GST Amount]]</f>
        <v>2393.748</v>
      </c>
      <c r="O3413" s="158" t="s">
        <v>3569</v>
      </c>
      <c r="P3413" s="158" t="s">
        <v>3562</v>
      </c>
      <c r="Q3413" s="160">
        <f>IF(Sales[[#This Row],[Status]]="Cancelled",0,Sales[[#This Row],[Qty]])</f>
        <v>1</v>
      </c>
      <c r="R3413" s="161">
        <f>IF(Sales[[#This Row],[Status]]="Cancelled",0,Sales[[#This Row],[Total Amount]])</f>
        <v>2393.748</v>
      </c>
      <c r="S3413" s="162">
        <f>SUM(Sales[Net Amount])</f>
        <v>406839287.73200053</v>
      </c>
    </row>
    <row r="3414" spans="1:19" ht="18.75" x14ac:dyDescent="0.25">
      <c r="A3414" s="163" t="s">
        <v>7074</v>
      </c>
      <c r="B3414" s="164">
        <v>45948</v>
      </c>
      <c r="C3414" s="34" t="s">
        <v>698</v>
      </c>
      <c r="D3414" s="53" t="str">
        <f>VLOOKUP(Sales[[#This Row],[Customer ID]],Customer[#All],2,0)</f>
        <v>Neha Sharma</v>
      </c>
      <c r="E3414" s="34" t="s">
        <v>511</v>
      </c>
      <c r="F3414" s="34" t="str">
        <f>VLOOKUP(Sales[[#This Row],[Product ID]],Product[#All],2,0)</f>
        <v>Amazon Basics Hdmi Cable</v>
      </c>
      <c r="G3414" s="53">
        <v>7</v>
      </c>
      <c r="H3414" s="165">
        <f>VLOOKUP(Sales[[#This Row],[Product ID]],Product[#All],7,0)</f>
        <v>1240</v>
      </c>
      <c r="I3414" s="165">
        <f>Sales[[#This Row],[Selling Rate]]*Sales[[#This Row],[Qty]]</f>
        <v>8680</v>
      </c>
      <c r="J3414" s="45">
        <v>0.02</v>
      </c>
      <c r="K3414" s="46">
        <f>Sales[[#This Row],[Gross Amount]]*Sales[[#This Row],[Disc %]]</f>
        <v>173.6</v>
      </c>
      <c r="L3414" s="43">
        <v>0.18</v>
      </c>
      <c r="M3414" s="46">
        <f>(Sales[[#This Row],[Gross Amount]]-Sales[[#This Row],[Disc. Amt.]])*Sales[[#This Row],[GST %]]</f>
        <v>1531.1519999999998</v>
      </c>
      <c r="N3414" s="161">
        <f>Sales[[#This Row],[Gross Amount]]-Sales[[#This Row],[Disc. Amt.]]+Sales[[#This Row],[GST Amount]]</f>
        <v>10037.552</v>
      </c>
      <c r="O3414" s="34" t="s">
        <v>3561</v>
      </c>
      <c r="P3414" s="34" t="s">
        <v>3562</v>
      </c>
      <c r="Q3414" s="165">
        <f>IF(Sales[[#This Row],[Status]]="Cancelled",0,Sales[[#This Row],[Qty]])</f>
        <v>7</v>
      </c>
      <c r="R3414" s="166">
        <f>IF(Sales[[#This Row],[Status]]="Cancelled",0,Sales[[#This Row],[Total Amount]])</f>
        <v>10037.552</v>
      </c>
      <c r="S3414" s="162">
        <f>SUM(Sales[Net Amount])</f>
        <v>406839287.73200053</v>
      </c>
    </row>
    <row r="3415" spans="1:19" ht="18.75" x14ac:dyDescent="0.25">
      <c r="A3415" s="156" t="s">
        <v>7075</v>
      </c>
      <c r="B3415" s="157">
        <v>45948</v>
      </c>
      <c r="C3415" s="158" t="s">
        <v>779</v>
      </c>
      <c r="D3415" s="159" t="str">
        <f>VLOOKUP(Sales[[#This Row],[Customer ID]],Customer[#All],2,0)</f>
        <v>Rakesh Verma</v>
      </c>
      <c r="E3415" s="158" t="s">
        <v>412</v>
      </c>
      <c r="F3415" s="158" t="str">
        <f>VLOOKUP(Sales[[#This Row],[Product ID]],Product[#All],2,0)</f>
        <v>Dell Monitor</v>
      </c>
      <c r="G3415" s="159">
        <v>5</v>
      </c>
      <c r="H3415" s="160">
        <f>VLOOKUP(Sales[[#This Row],[Product ID]],Product[#All],7,0)</f>
        <v>30230</v>
      </c>
      <c r="I3415" s="160">
        <f>Sales[[#This Row],[Selling Rate]]*Sales[[#This Row],[Qty]]</f>
        <v>151150</v>
      </c>
      <c r="J3415" s="43">
        <v>0.12</v>
      </c>
      <c r="K3415" s="44">
        <f>Sales[[#This Row],[Gross Amount]]*Sales[[#This Row],[Disc %]]</f>
        <v>18138</v>
      </c>
      <c r="L3415" s="43">
        <v>0.18</v>
      </c>
      <c r="M3415" s="44">
        <f>(Sales[[#This Row],[Gross Amount]]-Sales[[#This Row],[Disc. Amt.]])*Sales[[#This Row],[GST %]]</f>
        <v>23942.16</v>
      </c>
      <c r="N3415" s="161">
        <f>Sales[[#This Row],[Gross Amount]]-Sales[[#This Row],[Disc. Amt.]]+Sales[[#This Row],[GST Amount]]</f>
        <v>156954.16</v>
      </c>
      <c r="O3415" s="158" t="s">
        <v>8876</v>
      </c>
      <c r="P3415" s="158" t="s">
        <v>3562</v>
      </c>
      <c r="Q3415" s="160">
        <f>IF(Sales[[#This Row],[Status]]="Cancelled",0,Sales[[#This Row],[Qty]])</f>
        <v>5</v>
      </c>
      <c r="R3415" s="161">
        <f>IF(Sales[[#This Row],[Status]]="Cancelled",0,Sales[[#This Row],[Total Amount]])</f>
        <v>156954.16</v>
      </c>
      <c r="S3415" s="162">
        <f>SUM(Sales[Net Amount])</f>
        <v>406839287.73200053</v>
      </c>
    </row>
    <row r="3416" spans="1:19" ht="18.75" x14ac:dyDescent="0.25">
      <c r="A3416" s="163" t="s">
        <v>7076</v>
      </c>
      <c r="B3416" s="164">
        <v>45948</v>
      </c>
      <c r="C3416" s="34" t="s">
        <v>698</v>
      </c>
      <c r="D3416" s="53" t="str">
        <f>VLOOKUP(Sales[[#This Row],[Customer ID]],Customer[#All],2,0)</f>
        <v>Neha Sharma</v>
      </c>
      <c r="E3416" s="34" t="s">
        <v>270</v>
      </c>
      <c r="F3416" s="34" t="str">
        <f>VLOOKUP(Sales[[#This Row],[Product ID]],Product[#All],2,0)</f>
        <v>Samsung Ssd</v>
      </c>
      <c r="G3416" s="53">
        <v>5</v>
      </c>
      <c r="H3416" s="165">
        <f>VLOOKUP(Sales[[#This Row],[Product ID]],Product[#All],7,0)</f>
        <v>6090</v>
      </c>
      <c r="I3416" s="165">
        <f>Sales[[#This Row],[Selling Rate]]*Sales[[#This Row],[Qty]]</f>
        <v>30450</v>
      </c>
      <c r="J3416" s="45">
        <v>0</v>
      </c>
      <c r="K3416" s="46">
        <f>Sales[[#This Row],[Gross Amount]]*Sales[[#This Row],[Disc %]]</f>
        <v>0</v>
      </c>
      <c r="L3416" s="43">
        <v>0.18</v>
      </c>
      <c r="M3416" s="46">
        <f>(Sales[[#This Row],[Gross Amount]]-Sales[[#This Row],[Disc. Amt.]])*Sales[[#This Row],[GST %]]</f>
        <v>5481</v>
      </c>
      <c r="N3416" s="161">
        <f>Sales[[#This Row],[Gross Amount]]-Sales[[#This Row],[Disc. Amt.]]+Sales[[#This Row],[GST Amount]]</f>
        <v>35931</v>
      </c>
      <c r="O3416" s="34" t="s">
        <v>3561</v>
      </c>
      <c r="P3416" s="34" t="s">
        <v>3562</v>
      </c>
      <c r="Q3416" s="165">
        <f>IF(Sales[[#This Row],[Status]]="Cancelled",0,Sales[[#This Row],[Qty]])</f>
        <v>5</v>
      </c>
      <c r="R3416" s="166">
        <f>IF(Sales[[#This Row],[Status]]="Cancelled",0,Sales[[#This Row],[Total Amount]])</f>
        <v>35931</v>
      </c>
      <c r="S3416" s="162">
        <f>SUM(Sales[Net Amount])</f>
        <v>406839287.73200053</v>
      </c>
    </row>
    <row r="3417" spans="1:19" ht="18.75" x14ac:dyDescent="0.25">
      <c r="A3417" s="156" t="s">
        <v>7077</v>
      </c>
      <c r="B3417" s="157">
        <v>45948</v>
      </c>
      <c r="C3417" s="158" t="s">
        <v>926</v>
      </c>
      <c r="D3417" s="159" t="str">
        <f>VLOOKUP(Sales[[#This Row],[Customer ID]],Customer[#All],2,0)</f>
        <v>Pooja Singh</v>
      </c>
      <c r="E3417" s="158" t="s">
        <v>516</v>
      </c>
      <c r="F3417" s="158" t="str">
        <f>VLOOKUP(Sales[[#This Row],[Product ID]],Product[#All],2,0)</f>
        <v>Boat Headset</v>
      </c>
      <c r="G3417" s="159">
        <v>2</v>
      </c>
      <c r="H3417" s="160">
        <f>VLOOKUP(Sales[[#This Row],[Product ID]],Product[#All],7,0)</f>
        <v>2690</v>
      </c>
      <c r="I3417" s="160">
        <f>Sales[[#This Row],[Selling Rate]]*Sales[[#This Row],[Qty]]</f>
        <v>5380</v>
      </c>
      <c r="J3417" s="43">
        <v>0</v>
      </c>
      <c r="K3417" s="44">
        <f>Sales[[#This Row],[Gross Amount]]*Sales[[#This Row],[Disc %]]</f>
        <v>0</v>
      </c>
      <c r="L3417" s="43">
        <v>0.18</v>
      </c>
      <c r="M3417" s="44">
        <f>(Sales[[#This Row],[Gross Amount]]-Sales[[#This Row],[Disc. Amt.]])*Sales[[#This Row],[GST %]]</f>
        <v>968.4</v>
      </c>
      <c r="N3417" s="161">
        <f>Sales[[#This Row],[Gross Amount]]-Sales[[#This Row],[Disc. Amt.]]+Sales[[#This Row],[GST Amount]]</f>
        <v>6348.4</v>
      </c>
      <c r="O3417" s="158" t="s">
        <v>3561</v>
      </c>
      <c r="P3417" s="158" t="s">
        <v>3562</v>
      </c>
      <c r="Q3417" s="160">
        <f>IF(Sales[[#This Row],[Status]]="Cancelled",0,Sales[[#This Row],[Qty]])</f>
        <v>2</v>
      </c>
      <c r="R3417" s="161">
        <f>IF(Sales[[#This Row],[Status]]="Cancelled",0,Sales[[#This Row],[Total Amount]])</f>
        <v>6348.4</v>
      </c>
      <c r="S3417" s="162">
        <f>SUM(Sales[Net Amount])</f>
        <v>406839287.73200053</v>
      </c>
    </row>
    <row r="3418" spans="1:19" ht="18.75" x14ac:dyDescent="0.25">
      <c r="A3418" s="163" t="s">
        <v>7078</v>
      </c>
      <c r="B3418" s="164">
        <v>45948</v>
      </c>
      <c r="C3418" s="34" t="s">
        <v>690</v>
      </c>
      <c r="D3418" s="53" t="str">
        <f>VLOOKUP(Sales[[#This Row],[Customer ID]],Customer[#All],2,0)</f>
        <v>Priya Patel</v>
      </c>
      <c r="E3418" s="34" t="s">
        <v>476</v>
      </c>
      <c r="F3418" s="34" t="str">
        <f>VLOOKUP(Sales[[#This Row],[Product ID]],Product[#All],2,0)</f>
        <v>Sandisk Pen Drive</v>
      </c>
      <c r="G3418" s="53">
        <v>3</v>
      </c>
      <c r="H3418" s="165">
        <f>VLOOKUP(Sales[[#This Row],[Product ID]],Product[#All],7,0)</f>
        <v>650</v>
      </c>
      <c r="I3418" s="165">
        <f>Sales[[#This Row],[Selling Rate]]*Sales[[#This Row],[Qty]]</f>
        <v>1950</v>
      </c>
      <c r="J3418" s="45">
        <v>0.12</v>
      </c>
      <c r="K3418" s="46">
        <f>Sales[[#This Row],[Gross Amount]]*Sales[[#This Row],[Disc %]]</f>
        <v>234</v>
      </c>
      <c r="L3418" s="43">
        <v>0.18</v>
      </c>
      <c r="M3418" s="46">
        <f>(Sales[[#This Row],[Gross Amount]]-Sales[[#This Row],[Disc. Amt.]])*Sales[[#This Row],[GST %]]</f>
        <v>308.88</v>
      </c>
      <c r="N3418" s="161">
        <f>Sales[[#This Row],[Gross Amount]]-Sales[[#This Row],[Disc. Amt.]]+Sales[[#This Row],[GST Amount]]</f>
        <v>2024.88</v>
      </c>
      <c r="O3418" s="34" t="s">
        <v>3561</v>
      </c>
      <c r="P3418" s="34" t="s">
        <v>1040</v>
      </c>
      <c r="Q3418" s="165">
        <f>IF(Sales[[#This Row],[Status]]="Cancelled",0,Sales[[#This Row],[Qty]])</f>
        <v>0</v>
      </c>
      <c r="R3418" s="166">
        <f>IF(Sales[[#This Row],[Status]]="Cancelled",0,Sales[[#This Row],[Total Amount]])</f>
        <v>0</v>
      </c>
      <c r="S3418" s="162">
        <f>SUM(Sales[Net Amount])</f>
        <v>406839287.73200053</v>
      </c>
    </row>
    <row r="3419" spans="1:19" ht="18.75" x14ac:dyDescent="0.25">
      <c r="A3419" s="156" t="s">
        <v>7079</v>
      </c>
      <c r="B3419" s="157">
        <v>45948</v>
      </c>
      <c r="C3419" s="158" t="s">
        <v>916</v>
      </c>
      <c r="D3419" s="159" t="str">
        <f>VLOOKUP(Sales[[#This Row],[Customer ID]],Customer[#All],2,0)</f>
        <v>Ankit Singh</v>
      </c>
      <c r="E3419" s="158" t="s">
        <v>506</v>
      </c>
      <c r="F3419" s="158" t="str">
        <f>VLOOKUP(Sales[[#This Row],[Product ID]],Product[#All],2,0)</f>
        <v>Epson Printer</v>
      </c>
      <c r="G3419" s="159">
        <v>5</v>
      </c>
      <c r="H3419" s="160">
        <f>VLOOKUP(Sales[[#This Row],[Product ID]],Product[#All],7,0)</f>
        <v>42690</v>
      </c>
      <c r="I3419" s="160">
        <f>Sales[[#This Row],[Selling Rate]]*Sales[[#This Row],[Qty]]</f>
        <v>213450</v>
      </c>
      <c r="J3419" s="43">
        <v>0.02</v>
      </c>
      <c r="K3419" s="44">
        <f>Sales[[#This Row],[Gross Amount]]*Sales[[#This Row],[Disc %]]</f>
        <v>4269</v>
      </c>
      <c r="L3419" s="43">
        <v>0.18</v>
      </c>
      <c r="M3419" s="44">
        <f>(Sales[[#This Row],[Gross Amount]]-Sales[[#This Row],[Disc. Amt.]])*Sales[[#This Row],[GST %]]</f>
        <v>37652.58</v>
      </c>
      <c r="N3419" s="161">
        <f>Sales[[#This Row],[Gross Amount]]-Sales[[#This Row],[Disc. Amt.]]+Sales[[#This Row],[GST Amount]]</f>
        <v>246833.58000000002</v>
      </c>
      <c r="O3419" s="158" t="s">
        <v>3561</v>
      </c>
      <c r="P3419" s="158" t="s">
        <v>3562</v>
      </c>
      <c r="Q3419" s="160">
        <f>IF(Sales[[#This Row],[Status]]="Cancelled",0,Sales[[#This Row],[Qty]])</f>
        <v>5</v>
      </c>
      <c r="R3419" s="161">
        <f>IF(Sales[[#This Row],[Status]]="Cancelled",0,Sales[[#This Row],[Total Amount]])</f>
        <v>246833.58000000002</v>
      </c>
      <c r="S3419" s="162">
        <f>SUM(Sales[Net Amount])</f>
        <v>406839287.73200053</v>
      </c>
    </row>
    <row r="3420" spans="1:19" ht="18.75" x14ac:dyDescent="0.25">
      <c r="A3420" s="163" t="s">
        <v>7080</v>
      </c>
      <c r="B3420" s="164">
        <v>45949</v>
      </c>
      <c r="C3420" s="34" t="s">
        <v>7081</v>
      </c>
      <c r="D3420" s="53" t="str">
        <f>VLOOKUP(Sales[[#This Row],[Customer ID]],Customer[#All],2,0)</f>
        <v>Rahul Sharma</v>
      </c>
      <c r="E3420" s="34" t="s">
        <v>271</v>
      </c>
      <c r="F3420" s="34" t="str">
        <f>VLOOKUP(Sales[[#This Row],[Product ID]],Product[#All],2,0)</f>
        <v>TP-link Bluetooth Adapter</v>
      </c>
      <c r="G3420" s="53">
        <v>6</v>
      </c>
      <c r="H3420" s="165">
        <f>VLOOKUP(Sales[[#This Row],[Product ID]],Product[#All],7,0)</f>
        <v>410</v>
      </c>
      <c r="I3420" s="165">
        <f>Sales[[#This Row],[Selling Rate]]*Sales[[#This Row],[Qty]]</f>
        <v>2460</v>
      </c>
      <c r="J3420" s="45">
        <v>0.02</v>
      </c>
      <c r="K3420" s="46">
        <f>Sales[[#This Row],[Gross Amount]]*Sales[[#This Row],[Disc %]]</f>
        <v>49.2</v>
      </c>
      <c r="L3420" s="43">
        <v>0.18</v>
      </c>
      <c r="M3420" s="46">
        <f>(Sales[[#This Row],[Gross Amount]]-Sales[[#This Row],[Disc. Amt.]])*Sales[[#This Row],[GST %]]</f>
        <v>433.94400000000002</v>
      </c>
      <c r="N3420" s="161">
        <f>Sales[[#This Row],[Gross Amount]]-Sales[[#This Row],[Disc. Amt.]]+Sales[[#This Row],[GST Amount]]</f>
        <v>2844.7440000000001</v>
      </c>
      <c r="O3420" s="34" t="s">
        <v>8876</v>
      </c>
      <c r="P3420" s="34" t="s">
        <v>3562</v>
      </c>
      <c r="Q3420" s="165">
        <f>IF(Sales[[#This Row],[Status]]="Cancelled",0,Sales[[#This Row],[Qty]])</f>
        <v>6</v>
      </c>
      <c r="R3420" s="166">
        <f>IF(Sales[[#This Row],[Status]]="Cancelled",0,Sales[[#This Row],[Total Amount]])</f>
        <v>2844.7440000000001</v>
      </c>
      <c r="S3420" s="162">
        <f>SUM(Sales[Net Amount])</f>
        <v>406839287.73200053</v>
      </c>
    </row>
    <row r="3421" spans="1:19" ht="18.75" x14ac:dyDescent="0.25">
      <c r="A3421" s="156" t="s">
        <v>7082</v>
      </c>
      <c r="B3421" s="157">
        <v>45949</v>
      </c>
      <c r="C3421" s="158" t="s">
        <v>885</v>
      </c>
      <c r="D3421" s="159" t="str">
        <f>VLOOKUP(Sales[[#This Row],[Customer ID]],Customer[#All],2,0)</f>
        <v>Pooja Verma</v>
      </c>
      <c r="E3421" s="158" t="s">
        <v>313</v>
      </c>
      <c r="F3421" s="158" t="str">
        <f>VLOOKUP(Sales[[#This Row],[Product ID]],Product[#All],2,0)</f>
        <v>Portronics USB Cable</v>
      </c>
      <c r="G3421" s="159">
        <v>8</v>
      </c>
      <c r="H3421" s="160">
        <f>VLOOKUP(Sales[[#This Row],[Product ID]],Product[#All],7,0)</f>
        <v>240</v>
      </c>
      <c r="I3421" s="160">
        <f>Sales[[#This Row],[Selling Rate]]*Sales[[#This Row],[Qty]]</f>
        <v>1920</v>
      </c>
      <c r="J3421" s="43">
        <v>0.12</v>
      </c>
      <c r="K3421" s="44">
        <f>Sales[[#This Row],[Gross Amount]]*Sales[[#This Row],[Disc %]]</f>
        <v>230.39999999999998</v>
      </c>
      <c r="L3421" s="43">
        <v>0.18</v>
      </c>
      <c r="M3421" s="44">
        <f>(Sales[[#This Row],[Gross Amount]]-Sales[[#This Row],[Disc. Amt.]])*Sales[[#This Row],[GST %]]</f>
        <v>304.12799999999999</v>
      </c>
      <c r="N3421" s="161">
        <f>Sales[[#This Row],[Gross Amount]]-Sales[[#This Row],[Disc. Amt.]]+Sales[[#This Row],[GST Amount]]</f>
        <v>1993.7279999999998</v>
      </c>
      <c r="O3421" s="158" t="s">
        <v>3561</v>
      </c>
      <c r="P3421" s="158" t="s">
        <v>3562</v>
      </c>
      <c r="Q3421" s="160">
        <f>IF(Sales[[#This Row],[Status]]="Cancelled",0,Sales[[#This Row],[Qty]])</f>
        <v>8</v>
      </c>
      <c r="R3421" s="161">
        <f>IF(Sales[[#This Row],[Status]]="Cancelled",0,Sales[[#This Row],[Total Amount]])</f>
        <v>1993.7279999999998</v>
      </c>
      <c r="S3421" s="162">
        <f>SUM(Sales[Net Amount])</f>
        <v>406839287.73200053</v>
      </c>
    </row>
    <row r="3422" spans="1:19" ht="18.75" x14ac:dyDescent="0.25">
      <c r="A3422" s="163" t="s">
        <v>7083</v>
      </c>
      <c r="B3422" s="164">
        <v>45949</v>
      </c>
      <c r="C3422" s="34" t="s">
        <v>692</v>
      </c>
      <c r="D3422" s="53" t="str">
        <f>VLOOKUP(Sales[[#This Row],[Customer ID]],Customer[#All],2,0)</f>
        <v>Rahul Patel</v>
      </c>
      <c r="E3422" s="34" t="s">
        <v>185</v>
      </c>
      <c r="F3422" s="34" t="str">
        <f>VLOOKUP(Sales[[#This Row],[Product ID]],Product[#All],2,0)</f>
        <v>HP Power Adapter</v>
      </c>
      <c r="G3422" s="53">
        <v>5</v>
      </c>
      <c r="H3422" s="165">
        <f>VLOOKUP(Sales[[#This Row],[Product ID]],Product[#All],7,0)</f>
        <v>4850</v>
      </c>
      <c r="I3422" s="165">
        <f>Sales[[#This Row],[Selling Rate]]*Sales[[#This Row],[Qty]]</f>
        <v>24250</v>
      </c>
      <c r="J3422" s="45">
        <v>0</v>
      </c>
      <c r="K3422" s="46">
        <f>Sales[[#This Row],[Gross Amount]]*Sales[[#This Row],[Disc %]]</f>
        <v>0</v>
      </c>
      <c r="L3422" s="43">
        <v>0.18</v>
      </c>
      <c r="M3422" s="46">
        <f>(Sales[[#This Row],[Gross Amount]]-Sales[[#This Row],[Disc. Amt.]])*Sales[[#This Row],[GST %]]</f>
        <v>4365</v>
      </c>
      <c r="N3422" s="161">
        <f>Sales[[#This Row],[Gross Amount]]-Sales[[#This Row],[Disc. Amt.]]+Sales[[#This Row],[GST Amount]]</f>
        <v>28615</v>
      </c>
      <c r="O3422" s="34" t="s">
        <v>3566</v>
      </c>
      <c r="P3422" s="34" t="s">
        <v>3562</v>
      </c>
      <c r="Q3422" s="165">
        <f>IF(Sales[[#This Row],[Status]]="Cancelled",0,Sales[[#This Row],[Qty]])</f>
        <v>5</v>
      </c>
      <c r="R3422" s="166">
        <f>IF(Sales[[#This Row],[Status]]="Cancelled",0,Sales[[#This Row],[Total Amount]])</f>
        <v>28615</v>
      </c>
      <c r="S3422" s="162">
        <f>SUM(Sales[Net Amount])</f>
        <v>406839287.73200053</v>
      </c>
    </row>
    <row r="3423" spans="1:19" ht="18.75" x14ac:dyDescent="0.25">
      <c r="A3423" s="156" t="s">
        <v>7084</v>
      </c>
      <c r="B3423" s="157">
        <v>45949</v>
      </c>
      <c r="C3423" s="158" t="s">
        <v>7085</v>
      </c>
      <c r="D3423" s="159" t="str">
        <f>VLOOKUP(Sales[[#This Row],[Customer ID]],Customer[#All],2,0)</f>
        <v>Sahil Singh</v>
      </c>
      <c r="E3423" s="158" t="s">
        <v>88</v>
      </c>
      <c r="F3423" s="158" t="str">
        <f>VLOOKUP(Sales[[#This Row],[Product ID]],Product[#All],2,0)</f>
        <v>Dell Laptop</v>
      </c>
      <c r="G3423" s="159">
        <v>8</v>
      </c>
      <c r="H3423" s="160">
        <f>VLOOKUP(Sales[[#This Row],[Product ID]],Product[#All],7,0)</f>
        <v>43690</v>
      </c>
      <c r="I3423" s="160">
        <f>Sales[[#This Row],[Selling Rate]]*Sales[[#This Row],[Qty]]</f>
        <v>349520</v>
      </c>
      <c r="J3423" s="43">
        <v>0</v>
      </c>
      <c r="K3423" s="44">
        <f>Sales[[#This Row],[Gross Amount]]*Sales[[#This Row],[Disc %]]</f>
        <v>0</v>
      </c>
      <c r="L3423" s="43">
        <v>0.18</v>
      </c>
      <c r="M3423" s="44">
        <f>(Sales[[#This Row],[Gross Amount]]-Sales[[#This Row],[Disc. Amt.]])*Sales[[#This Row],[GST %]]</f>
        <v>62913.599999999999</v>
      </c>
      <c r="N3423" s="161">
        <f>Sales[[#This Row],[Gross Amount]]-Sales[[#This Row],[Disc. Amt.]]+Sales[[#This Row],[GST Amount]]</f>
        <v>412433.6</v>
      </c>
      <c r="O3423" s="158" t="s">
        <v>3569</v>
      </c>
      <c r="P3423" s="158" t="s">
        <v>3562</v>
      </c>
      <c r="Q3423" s="160">
        <f>IF(Sales[[#This Row],[Status]]="Cancelled",0,Sales[[#This Row],[Qty]])</f>
        <v>8</v>
      </c>
      <c r="R3423" s="161">
        <f>IF(Sales[[#This Row],[Status]]="Cancelled",0,Sales[[#This Row],[Total Amount]])</f>
        <v>412433.6</v>
      </c>
      <c r="S3423" s="162">
        <f>SUM(Sales[Net Amount])</f>
        <v>406839287.73200053</v>
      </c>
    </row>
    <row r="3424" spans="1:19" ht="18.75" x14ac:dyDescent="0.25">
      <c r="A3424" s="163" t="s">
        <v>7086</v>
      </c>
      <c r="B3424" s="164">
        <v>45949</v>
      </c>
      <c r="C3424" s="34" t="s">
        <v>727</v>
      </c>
      <c r="D3424" s="53" t="str">
        <f>VLOOKUP(Sales[[#This Row],[Customer ID]],Customer[#All],2,0)</f>
        <v>Sahil Sharma</v>
      </c>
      <c r="E3424" s="34" t="s">
        <v>92</v>
      </c>
      <c r="F3424" s="34" t="str">
        <f>VLOOKUP(Sales[[#This Row],[Product ID]],Product[#All],2,0)</f>
        <v>Jbl Headset</v>
      </c>
      <c r="G3424" s="53">
        <v>5</v>
      </c>
      <c r="H3424" s="165">
        <f>VLOOKUP(Sales[[#This Row],[Product ID]],Product[#All],7,0)</f>
        <v>6180</v>
      </c>
      <c r="I3424" s="165">
        <f>Sales[[#This Row],[Selling Rate]]*Sales[[#This Row],[Qty]]</f>
        <v>30900</v>
      </c>
      <c r="J3424" s="45">
        <v>0.1</v>
      </c>
      <c r="K3424" s="46">
        <f>Sales[[#This Row],[Gross Amount]]*Sales[[#This Row],[Disc %]]</f>
        <v>3090</v>
      </c>
      <c r="L3424" s="43">
        <v>0.18</v>
      </c>
      <c r="M3424" s="46">
        <f>(Sales[[#This Row],[Gross Amount]]-Sales[[#This Row],[Disc. Amt.]])*Sales[[#This Row],[GST %]]</f>
        <v>5005.8</v>
      </c>
      <c r="N3424" s="161">
        <f>Sales[[#This Row],[Gross Amount]]-Sales[[#This Row],[Disc. Amt.]]+Sales[[#This Row],[GST Amount]]</f>
        <v>32815.800000000003</v>
      </c>
      <c r="O3424" s="34" t="s">
        <v>3566</v>
      </c>
      <c r="P3424" s="34" t="s">
        <v>3562</v>
      </c>
      <c r="Q3424" s="165">
        <f>IF(Sales[[#This Row],[Status]]="Cancelled",0,Sales[[#This Row],[Qty]])</f>
        <v>5</v>
      </c>
      <c r="R3424" s="166">
        <f>IF(Sales[[#This Row],[Status]]="Cancelled",0,Sales[[#This Row],[Total Amount]])</f>
        <v>32815.800000000003</v>
      </c>
      <c r="S3424" s="162">
        <f>SUM(Sales[Net Amount])</f>
        <v>406839287.73200053</v>
      </c>
    </row>
    <row r="3425" spans="1:19" ht="18.75" x14ac:dyDescent="0.25">
      <c r="A3425" s="156" t="s">
        <v>7087</v>
      </c>
      <c r="B3425" s="157">
        <v>45949</v>
      </c>
      <c r="C3425" s="158" t="s">
        <v>880</v>
      </c>
      <c r="D3425" s="159" t="str">
        <f>VLOOKUP(Sales[[#This Row],[Customer ID]],Customer[#All],2,0)</f>
        <v>Rahul Sharma</v>
      </c>
      <c r="E3425" s="158" t="s">
        <v>113</v>
      </c>
      <c r="F3425" s="158" t="str">
        <f>VLOOKUP(Sales[[#This Row],[Product ID]],Product[#All],2,0)</f>
        <v>HP Laptop</v>
      </c>
      <c r="G3425" s="159">
        <v>7</v>
      </c>
      <c r="H3425" s="160">
        <f>VLOOKUP(Sales[[#This Row],[Product ID]],Product[#All],7,0)</f>
        <v>92470</v>
      </c>
      <c r="I3425" s="160">
        <f>Sales[[#This Row],[Selling Rate]]*Sales[[#This Row],[Qty]]</f>
        <v>647290</v>
      </c>
      <c r="J3425" s="43">
        <v>0.12</v>
      </c>
      <c r="K3425" s="44">
        <f>Sales[[#This Row],[Gross Amount]]*Sales[[#This Row],[Disc %]]</f>
        <v>77674.8</v>
      </c>
      <c r="L3425" s="43">
        <v>0.18</v>
      </c>
      <c r="M3425" s="44">
        <f>(Sales[[#This Row],[Gross Amount]]-Sales[[#This Row],[Disc. Amt.]])*Sales[[#This Row],[GST %]]</f>
        <v>102530.73599999999</v>
      </c>
      <c r="N3425" s="161">
        <f>Sales[[#This Row],[Gross Amount]]-Sales[[#This Row],[Disc. Amt.]]+Sales[[#This Row],[GST Amount]]</f>
        <v>672145.93599999999</v>
      </c>
      <c r="O3425" s="158" t="s">
        <v>8876</v>
      </c>
      <c r="P3425" s="158" t="s">
        <v>3562</v>
      </c>
      <c r="Q3425" s="160">
        <f>IF(Sales[[#This Row],[Status]]="Cancelled",0,Sales[[#This Row],[Qty]])</f>
        <v>7</v>
      </c>
      <c r="R3425" s="161">
        <f>IF(Sales[[#This Row],[Status]]="Cancelled",0,Sales[[#This Row],[Total Amount]])</f>
        <v>672145.93599999999</v>
      </c>
      <c r="S3425" s="162">
        <f>SUM(Sales[Net Amount])</f>
        <v>406839287.73200053</v>
      </c>
    </row>
    <row r="3426" spans="1:19" ht="18.75" x14ac:dyDescent="0.25">
      <c r="A3426" s="163" t="s">
        <v>7088</v>
      </c>
      <c r="B3426" s="164">
        <v>45949</v>
      </c>
      <c r="C3426" s="34" t="s">
        <v>847</v>
      </c>
      <c r="D3426" s="53" t="str">
        <f>VLOOKUP(Sales[[#This Row],[Customer ID]],Customer[#All],2,0)</f>
        <v>Ankit Gupta</v>
      </c>
      <c r="E3426" s="34" t="s">
        <v>336</v>
      </c>
      <c r="F3426" s="34" t="str">
        <f>VLOOKUP(Sales[[#This Row],[Product ID]],Product[#All],2,0)</f>
        <v>Boat Headset</v>
      </c>
      <c r="G3426" s="53">
        <v>4</v>
      </c>
      <c r="H3426" s="165">
        <f>VLOOKUP(Sales[[#This Row],[Product ID]],Product[#All],7,0)</f>
        <v>1380</v>
      </c>
      <c r="I3426" s="165">
        <f>Sales[[#This Row],[Selling Rate]]*Sales[[#This Row],[Qty]]</f>
        <v>5520</v>
      </c>
      <c r="J3426" s="45">
        <v>0.15</v>
      </c>
      <c r="K3426" s="46">
        <f>Sales[[#This Row],[Gross Amount]]*Sales[[#This Row],[Disc %]]</f>
        <v>828</v>
      </c>
      <c r="L3426" s="43">
        <v>0.18</v>
      </c>
      <c r="M3426" s="46">
        <f>(Sales[[#This Row],[Gross Amount]]-Sales[[#This Row],[Disc. Amt.]])*Sales[[#This Row],[GST %]]</f>
        <v>844.56</v>
      </c>
      <c r="N3426" s="161">
        <f>Sales[[#This Row],[Gross Amount]]-Sales[[#This Row],[Disc. Amt.]]+Sales[[#This Row],[GST Amount]]</f>
        <v>5536.5599999999995</v>
      </c>
      <c r="O3426" s="34" t="s">
        <v>3566</v>
      </c>
      <c r="P3426" s="34" t="s">
        <v>3562</v>
      </c>
      <c r="Q3426" s="165">
        <f>IF(Sales[[#This Row],[Status]]="Cancelled",0,Sales[[#This Row],[Qty]])</f>
        <v>4</v>
      </c>
      <c r="R3426" s="166">
        <f>IF(Sales[[#This Row],[Status]]="Cancelled",0,Sales[[#This Row],[Total Amount]])</f>
        <v>5536.5599999999995</v>
      </c>
      <c r="S3426" s="162">
        <f>SUM(Sales[Net Amount])</f>
        <v>406839287.73200053</v>
      </c>
    </row>
    <row r="3427" spans="1:19" ht="18.75" x14ac:dyDescent="0.25">
      <c r="A3427" s="156" t="s">
        <v>7089</v>
      </c>
      <c r="B3427" s="157">
        <v>45949</v>
      </c>
      <c r="C3427" s="158" t="s">
        <v>7090</v>
      </c>
      <c r="D3427" s="159" t="str">
        <f>VLOOKUP(Sales[[#This Row],[Customer ID]],Customer[#All],2,0)</f>
        <v>Rahul Singh</v>
      </c>
      <c r="E3427" s="158" t="s">
        <v>149</v>
      </c>
      <c r="F3427" s="158" t="str">
        <f>VLOOKUP(Sales[[#This Row],[Product ID]],Product[#All],2,0)</f>
        <v>Jbl Headset</v>
      </c>
      <c r="G3427" s="159">
        <v>6</v>
      </c>
      <c r="H3427" s="160">
        <f>VLOOKUP(Sales[[#This Row],[Product ID]],Product[#All],7,0)</f>
        <v>6520</v>
      </c>
      <c r="I3427" s="160">
        <f>Sales[[#This Row],[Selling Rate]]*Sales[[#This Row],[Qty]]</f>
        <v>39120</v>
      </c>
      <c r="J3427" s="43">
        <v>0.02</v>
      </c>
      <c r="K3427" s="44">
        <f>Sales[[#This Row],[Gross Amount]]*Sales[[#This Row],[Disc %]]</f>
        <v>782.4</v>
      </c>
      <c r="L3427" s="43">
        <v>0.18</v>
      </c>
      <c r="M3427" s="44">
        <f>(Sales[[#This Row],[Gross Amount]]-Sales[[#This Row],[Disc. Amt.]])*Sales[[#This Row],[GST %]]</f>
        <v>6900.7679999999991</v>
      </c>
      <c r="N3427" s="161">
        <f>Sales[[#This Row],[Gross Amount]]-Sales[[#This Row],[Disc. Amt.]]+Sales[[#This Row],[GST Amount]]</f>
        <v>45238.367999999995</v>
      </c>
      <c r="O3427" s="158" t="s">
        <v>3569</v>
      </c>
      <c r="P3427" s="158" t="s">
        <v>3562</v>
      </c>
      <c r="Q3427" s="160">
        <f>IF(Sales[[#This Row],[Status]]="Cancelled",0,Sales[[#This Row],[Qty]])</f>
        <v>6</v>
      </c>
      <c r="R3427" s="161">
        <f>IF(Sales[[#This Row],[Status]]="Cancelled",0,Sales[[#This Row],[Total Amount]])</f>
        <v>45238.367999999995</v>
      </c>
      <c r="S3427" s="162">
        <f>SUM(Sales[Net Amount])</f>
        <v>406839287.73200053</v>
      </c>
    </row>
    <row r="3428" spans="1:19" ht="18.75" x14ac:dyDescent="0.25">
      <c r="A3428" s="163" t="s">
        <v>7091</v>
      </c>
      <c r="B3428" s="164">
        <v>45949</v>
      </c>
      <c r="C3428" s="34" t="s">
        <v>656</v>
      </c>
      <c r="D3428" s="53" t="str">
        <f>VLOOKUP(Sales[[#This Row],[Customer ID]],Customer[#All],2,0)</f>
        <v>Rahul Kumar</v>
      </c>
      <c r="E3428" s="34" t="s">
        <v>272</v>
      </c>
      <c r="F3428" s="34" t="str">
        <f>VLOOKUP(Sales[[#This Row],[Product ID]],Product[#All],2,0)</f>
        <v>Jbl Speaker</v>
      </c>
      <c r="G3428" s="53">
        <v>3</v>
      </c>
      <c r="H3428" s="165">
        <f>VLOOKUP(Sales[[#This Row],[Product ID]],Product[#All],7,0)</f>
        <v>10960</v>
      </c>
      <c r="I3428" s="165">
        <f>Sales[[#This Row],[Selling Rate]]*Sales[[#This Row],[Qty]]</f>
        <v>32880</v>
      </c>
      <c r="J3428" s="45">
        <v>0.15</v>
      </c>
      <c r="K3428" s="46">
        <f>Sales[[#This Row],[Gross Amount]]*Sales[[#This Row],[Disc %]]</f>
        <v>4932</v>
      </c>
      <c r="L3428" s="43">
        <v>0.18</v>
      </c>
      <c r="M3428" s="46">
        <f>(Sales[[#This Row],[Gross Amount]]-Sales[[#This Row],[Disc. Amt.]])*Sales[[#This Row],[GST %]]</f>
        <v>5030.6399999999994</v>
      </c>
      <c r="N3428" s="161">
        <f>Sales[[#This Row],[Gross Amount]]-Sales[[#This Row],[Disc. Amt.]]+Sales[[#This Row],[GST Amount]]</f>
        <v>32978.639999999999</v>
      </c>
      <c r="O3428" s="34" t="s">
        <v>3566</v>
      </c>
      <c r="P3428" s="34" t="s">
        <v>3562</v>
      </c>
      <c r="Q3428" s="165">
        <f>IF(Sales[[#This Row],[Status]]="Cancelled",0,Sales[[#This Row],[Qty]])</f>
        <v>3</v>
      </c>
      <c r="R3428" s="166">
        <f>IF(Sales[[#This Row],[Status]]="Cancelled",0,Sales[[#This Row],[Total Amount]])</f>
        <v>32978.639999999999</v>
      </c>
      <c r="S3428" s="162">
        <f>SUM(Sales[Net Amount])</f>
        <v>406839287.73200053</v>
      </c>
    </row>
    <row r="3429" spans="1:19" ht="18.75" x14ac:dyDescent="0.25">
      <c r="A3429" s="156" t="s">
        <v>7092</v>
      </c>
      <c r="B3429" s="157">
        <v>45949</v>
      </c>
      <c r="C3429" s="158" t="s">
        <v>938</v>
      </c>
      <c r="D3429" s="159" t="str">
        <f>VLOOKUP(Sales[[#This Row],[Customer ID]],Customer[#All],2,0)</f>
        <v>Sunita Sharma</v>
      </c>
      <c r="E3429" s="158" t="s">
        <v>214</v>
      </c>
      <c r="F3429" s="158" t="str">
        <f>VLOOKUP(Sales[[#This Row],[Product ID]],Product[#All],2,0)</f>
        <v>Microtek UPS</v>
      </c>
      <c r="G3429" s="159">
        <v>6</v>
      </c>
      <c r="H3429" s="160">
        <f>VLOOKUP(Sales[[#This Row],[Product ID]],Product[#All],7,0)</f>
        <v>10710</v>
      </c>
      <c r="I3429" s="160">
        <f>Sales[[#This Row],[Selling Rate]]*Sales[[#This Row],[Qty]]</f>
        <v>64260</v>
      </c>
      <c r="J3429" s="43">
        <v>0</v>
      </c>
      <c r="K3429" s="44">
        <f>Sales[[#This Row],[Gross Amount]]*Sales[[#This Row],[Disc %]]</f>
        <v>0</v>
      </c>
      <c r="L3429" s="43">
        <v>0.18</v>
      </c>
      <c r="M3429" s="44">
        <f>(Sales[[#This Row],[Gross Amount]]-Sales[[#This Row],[Disc. Amt.]])*Sales[[#This Row],[GST %]]</f>
        <v>11566.8</v>
      </c>
      <c r="N3429" s="161">
        <f>Sales[[#This Row],[Gross Amount]]-Sales[[#This Row],[Disc. Amt.]]+Sales[[#This Row],[GST Amount]]</f>
        <v>75826.8</v>
      </c>
      <c r="O3429" s="158" t="s">
        <v>3569</v>
      </c>
      <c r="P3429" s="158" t="s">
        <v>3562</v>
      </c>
      <c r="Q3429" s="160">
        <f>IF(Sales[[#This Row],[Status]]="Cancelled",0,Sales[[#This Row],[Qty]])</f>
        <v>6</v>
      </c>
      <c r="R3429" s="161">
        <f>IF(Sales[[#This Row],[Status]]="Cancelled",0,Sales[[#This Row],[Total Amount]])</f>
        <v>75826.8</v>
      </c>
      <c r="S3429" s="162">
        <f>SUM(Sales[Net Amount])</f>
        <v>406839287.73200053</v>
      </c>
    </row>
    <row r="3430" spans="1:19" ht="18.75" x14ac:dyDescent="0.25">
      <c r="A3430" s="163" t="s">
        <v>7093</v>
      </c>
      <c r="B3430" s="164">
        <v>45949</v>
      </c>
      <c r="C3430" s="34" t="s">
        <v>832</v>
      </c>
      <c r="D3430" s="53" t="str">
        <f>VLOOKUP(Sales[[#This Row],[Customer ID]],Customer[#All],2,0)</f>
        <v>Vikas Sharma</v>
      </c>
      <c r="E3430" s="34" t="s">
        <v>320</v>
      </c>
      <c r="F3430" s="34" t="str">
        <f>VLOOKUP(Sales[[#This Row],[Product ID]],Product[#All],2,0)</f>
        <v>Seagate HDD</v>
      </c>
      <c r="G3430" s="53">
        <v>6</v>
      </c>
      <c r="H3430" s="165">
        <f>VLOOKUP(Sales[[#This Row],[Product ID]],Product[#All],7,0)</f>
        <v>12040</v>
      </c>
      <c r="I3430" s="165">
        <f>Sales[[#This Row],[Selling Rate]]*Sales[[#This Row],[Qty]]</f>
        <v>72240</v>
      </c>
      <c r="J3430" s="45">
        <v>0.05</v>
      </c>
      <c r="K3430" s="46">
        <f>Sales[[#This Row],[Gross Amount]]*Sales[[#This Row],[Disc %]]</f>
        <v>3612</v>
      </c>
      <c r="L3430" s="43">
        <v>0.18</v>
      </c>
      <c r="M3430" s="46">
        <f>(Sales[[#This Row],[Gross Amount]]-Sales[[#This Row],[Disc. Amt.]])*Sales[[#This Row],[GST %]]</f>
        <v>12353.039999999999</v>
      </c>
      <c r="N3430" s="161">
        <f>Sales[[#This Row],[Gross Amount]]-Sales[[#This Row],[Disc. Amt.]]+Sales[[#This Row],[GST Amount]]</f>
        <v>80981.039999999994</v>
      </c>
      <c r="O3430" s="34" t="s">
        <v>3566</v>
      </c>
      <c r="P3430" s="34" t="s">
        <v>3562</v>
      </c>
      <c r="Q3430" s="165">
        <f>IF(Sales[[#This Row],[Status]]="Cancelled",0,Sales[[#This Row],[Qty]])</f>
        <v>6</v>
      </c>
      <c r="R3430" s="166">
        <f>IF(Sales[[#This Row],[Status]]="Cancelled",0,Sales[[#This Row],[Total Amount]])</f>
        <v>80981.039999999994</v>
      </c>
      <c r="S3430" s="162">
        <f>SUM(Sales[Net Amount])</f>
        <v>406839287.73200053</v>
      </c>
    </row>
    <row r="3431" spans="1:19" ht="18.75" x14ac:dyDescent="0.25">
      <c r="A3431" s="156" t="s">
        <v>7094</v>
      </c>
      <c r="B3431" s="157">
        <v>45949</v>
      </c>
      <c r="C3431" s="158" t="s">
        <v>838</v>
      </c>
      <c r="D3431" s="159" t="str">
        <f>VLOOKUP(Sales[[#This Row],[Customer ID]],Customer[#All],2,0)</f>
        <v>Priya Gupta</v>
      </c>
      <c r="E3431" s="158" t="s">
        <v>186</v>
      </c>
      <c r="F3431" s="158" t="str">
        <f>VLOOKUP(Sales[[#This Row],[Product ID]],Product[#All],2,0)</f>
        <v>Corsair Ram</v>
      </c>
      <c r="G3431" s="159">
        <v>6</v>
      </c>
      <c r="H3431" s="160">
        <f>VLOOKUP(Sales[[#This Row],[Product ID]],Product[#All],7,0)</f>
        <v>11620</v>
      </c>
      <c r="I3431" s="160">
        <f>Sales[[#This Row],[Selling Rate]]*Sales[[#This Row],[Qty]]</f>
        <v>69720</v>
      </c>
      <c r="J3431" s="43">
        <v>0</v>
      </c>
      <c r="K3431" s="44">
        <f>Sales[[#This Row],[Gross Amount]]*Sales[[#This Row],[Disc %]]</f>
        <v>0</v>
      </c>
      <c r="L3431" s="43">
        <v>0.18</v>
      </c>
      <c r="M3431" s="44">
        <f>(Sales[[#This Row],[Gross Amount]]-Sales[[#This Row],[Disc. Amt.]])*Sales[[#This Row],[GST %]]</f>
        <v>12549.6</v>
      </c>
      <c r="N3431" s="161">
        <f>Sales[[#This Row],[Gross Amount]]-Sales[[#This Row],[Disc. Amt.]]+Sales[[#This Row],[GST Amount]]</f>
        <v>82269.600000000006</v>
      </c>
      <c r="O3431" s="158" t="s">
        <v>3561</v>
      </c>
      <c r="P3431" s="158" t="s">
        <v>3562</v>
      </c>
      <c r="Q3431" s="160">
        <f>IF(Sales[[#This Row],[Status]]="Cancelled",0,Sales[[#This Row],[Qty]])</f>
        <v>6</v>
      </c>
      <c r="R3431" s="161">
        <f>IF(Sales[[#This Row],[Status]]="Cancelled",0,Sales[[#This Row],[Total Amount]])</f>
        <v>82269.600000000006</v>
      </c>
      <c r="S3431" s="162">
        <f>SUM(Sales[Net Amount])</f>
        <v>406839287.73200053</v>
      </c>
    </row>
    <row r="3432" spans="1:19" ht="18.75" x14ac:dyDescent="0.25">
      <c r="A3432" s="163" t="s">
        <v>7095</v>
      </c>
      <c r="B3432" s="164">
        <v>45949</v>
      </c>
      <c r="C3432" s="34" t="s">
        <v>781</v>
      </c>
      <c r="D3432" s="53" t="str">
        <f>VLOOKUP(Sales[[#This Row],[Customer ID]],Customer[#All],2,0)</f>
        <v>Vikas Sharma</v>
      </c>
      <c r="E3432" s="34" t="s">
        <v>304</v>
      </c>
      <c r="F3432" s="34" t="str">
        <f>VLOOKUP(Sales[[#This Row],[Product ID]],Product[#All],2,0)</f>
        <v>TP-link Router</v>
      </c>
      <c r="G3432" s="53">
        <v>5</v>
      </c>
      <c r="H3432" s="165">
        <f>VLOOKUP(Sales[[#This Row],[Product ID]],Product[#All],7,0)</f>
        <v>3320</v>
      </c>
      <c r="I3432" s="165">
        <f>Sales[[#This Row],[Selling Rate]]*Sales[[#This Row],[Qty]]</f>
        <v>16600</v>
      </c>
      <c r="J3432" s="45">
        <v>0.15</v>
      </c>
      <c r="K3432" s="46">
        <f>Sales[[#This Row],[Gross Amount]]*Sales[[#This Row],[Disc %]]</f>
        <v>2490</v>
      </c>
      <c r="L3432" s="43">
        <v>0.18</v>
      </c>
      <c r="M3432" s="46">
        <f>(Sales[[#This Row],[Gross Amount]]-Sales[[#This Row],[Disc. Amt.]])*Sales[[#This Row],[GST %]]</f>
        <v>2539.7999999999997</v>
      </c>
      <c r="N3432" s="161">
        <f>Sales[[#This Row],[Gross Amount]]-Sales[[#This Row],[Disc. Amt.]]+Sales[[#This Row],[GST Amount]]</f>
        <v>16649.8</v>
      </c>
      <c r="O3432" s="34" t="s">
        <v>3566</v>
      </c>
      <c r="P3432" s="34" t="s">
        <v>3562</v>
      </c>
      <c r="Q3432" s="165">
        <f>IF(Sales[[#This Row],[Status]]="Cancelled",0,Sales[[#This Row],[Qty]])</f>
        <v>5</v>
      </c>
      <c r="R3432" s="166">
        <f>IF(Sales[[#This Row],[Status]]="Cancelled",0,Sales[[#This Row],[Total Amount]])</f>
        <v>16649.8</v>
      </c>
      <c r="S3432" s="162">
        <f>SUM(Sales[Net Amount])</f>
        <v>406839287.73200053</v>
      </c>
    </row>
    <row r="3433" spans="1:19" ht="18.75" x14ac:dyDescent="0.25">
      <c r="A3433" s="156" t="s">
        <v>7096</v>
      </c>
      <c r="B3433" s="157">
        <v>45949</v>
      </c>
      <c r="C3433" s="158" t="s">
        <v>791</v>
      </c>
      <c r="D3433" s="159" t="str">
        <f>VLOOKUP(Sales[[#This Row],[Customer ID]],Customer[#All],2,0)</f>
        <v>Rakesh Sharma</v>
      </c>
      <c r="E3433" s="158" t="s">
        <v>289</v>
      </c>
      <c r="F3433" s="158" t="str">
        <f>VLOOKUP(Sales[[#This Row],[Product ID]],Product[#All],2,0)</f>
        <v>HP Mouse</v>
      </c>
      <c r="G3433" s="159">
        <v>5</v>
      </c>
      <c r="H3433" s="160">
        <f>VLOOKUP(Sales[[#This Row],[Product ID]],Product[#All],7,0)</f>
        <v>1200</v>
      </c>
      <c r="I3433" s="160">
        <f>Sales[[#This Row],[Selling Rate]]*Sales[[#This Row],[Qty]]</f>
        <v>6000</v>
      </c>
      <c r="J3433" s="43">
        <v>0</v>
      </c>
      <c r="K3433" s="44">
        <f>Sales[[#This Row],[Gross Amount]]*Sales[[#This Row],[Disc %]]</f>
        <v>0</v>
      </c>
      <c r="L3433" s="43">
        <v>0.18</v>
      </c>
      <c r="M3433" s="44">
        <f>(Sales[[#This Row],[Gross Amount]]-Sales[[#This Row],[Disc. Amt.]])*Sales[[#This Row],[GST %]]</f>
        <v>1080</v>
      </c>
      <c r="N3433" s="161">
        <f>Sales[[#This Row],[Gross Amount]]-Sales[[#This Row],[Disc. Amt.]]+Sales[[#This Row],[GST Amount]]</f>
        <v>7080</v>
      </c>
      <c r="O3433" s="158" t="s">
        <v>8876</v>
      </c>
      <c r="P3433" s="158" t="s">
        <v>3562</v>
      </c>
      <c r="Q3433" s="160">
        <f>IF(Sales[[#This Row],[Status]]="Cancelled",0,Sales[[#This Row],[Qty]])</f>
        <v>5</v>
      </c>
      <c r="R3433" s="161">
        <f>IF(Sales[[#This Row],[Status]]="Cancelled",0,Sales[[#This Row],[Total Amount]])</f>
        <v>7080</v>
      </c>
      <c r="S3433" s="162">
        <f>SUM(Sales[Net Amount])</f>
        <v>406839287.73200053</v>
      </c>
    </row>
    <row r="3434" spans="1:19" ht="18.75" x14ac:dyDescent="0.25">
      <c r="A3434" s="163" t="s">
        <v>7097</v>
      </c>
      <c r="B3434" s="164">
        <v>45949</v>
      </c>
      <c r="C3434" s="34" t="s">
        <v>717</v>
      </c>
      <c r="D3434" s="53" t="str">
        <f>VLOOKUP(Sales[[#This Row],[Customer ID]],Customer[#All],2,0)</f>
        <v>Sunita Singh</v>
      </c>
      <c r="E3434" s="34" t="s">
        <v>459</v>
      </c>
      <c r="F3434" s="34" t="str">
        <f>VLOOKUP(Sales[[#This Row],[Product ID]],Product[#All],2,0)</f>
        <v>Logitech Mouse</v>
      </c>
      <c r="G3434" s="53">
        <v>2</v>
      </c>
      <c r="H3434" s="165">
        <f>VLOOKUP(Sales[[#This Row],[Product ID]],Product[#All],7,0)</f>
        <v>1680</v>
      </c>
      <c r="I3434" s="165">
        <f>Sales[[#This Row],[Selling Rate]]*Sales[[#This Row],[Qty]]</f>
        <v>3360</v>
      </c>
      <c r="J3434" s="45">
        <v>0.05</v>
      </c>
      <c r="K3434" s="46">
        <f>Sales[[#This Row],[Gross Amount]]*Sales[[#This Row],[Disc %]]</f>
        <v>168</v>
      </c>
      <c r="L3434" s="43">
        <v>0.18</v>
      </c>
      <c r="M3434" s="46">
        <f>(Sales[[#This Row],[Gross Amount]]-Sales[[#This Row],[Disc. Amt.]])*Sales[[#This Row],[GST %]]</f>
        <v>574.55999999999995</v>
      </c>
      <c r="N3434" s="161">
        <f>Sales[[#This Row],[Gross Amount]]-Sales[[#This Row],[Disc. Amt.]]+Sales[[#This Row],[GST Amount]]</f>
        <v>3766.56</v>
      </c>
      <c r="O3434" s="34" t="s">
        <v>3561</v>
      </c>
      <c r="P3434" s="34" t="s">
        <v>3562</v>
      </c>
      <c r="Q3434" s="165">
        <f>IF(Sales[[#This Row],[Status]]="Cancelled",0,Sales[[#This Row],[Qty]])</f>
        <v>2</v>
      </c>
      <c r="R3434" s="166">
        <f>IF(Sales[[#This Row],[Status]]="Cancelled",0,Sales[[#This Row],[Total Amount]])</f>
        <v>3766.56</v>
      </c>
      <c r="S3434" s="162">
        <f>SUM(Sales[Net Amount])</f>
        <v>406839287.73200053</v>
      </c>
    </row>
    <row r="3435" spans="1:19" ht="18.75" x14ac:dyDescent="0.25">
      <c r="A3435" s="156" t="s">
        <v>7098</v>
      </c>
      <c r="B3435" s="157">
        <v>45949</v>
      </c>
      <c r="C3435" s="158" t="s">
        <v>767</v>
      </c>
      <c r="D3435" s="159" t="str">
        <f>VLOOKUP(Sales[[#This Row],[Customer ID]],Customer[#All],2,0)</f>
        <v>Sunita Singh</v>
      </c>
      <c r="E3435" s="158" t="s">
        <v>405</v>
      </c>
      <c r="F3435" s="158" t="str">
        <f>VLOOKUP(Sales[[#This Row],[Product ID]],Product[#All],2,0)</f>
        <v>TP-link Bluetooth Adapter</v>
      </c>
      <c r="G3435" s="159">
        <v>4</v>
      </c>
      <c r="H3435" s="160">
        <f>VLOOKUP(Sales[[#This Row],[Product ID]],Product[#All],7,0)</f>
        <v>1470</v>
      </c>
      <c r="I3435" s="160">
        <f>Sales[[#This Row],[Selling Rate]]*Sales[[#This Row],[Qty]]</f>
        <v>5880</v>
      </c>
      <c r="J3435" s="43">
        <v>0.12</v>
      </c>
      <c r="K3435" s="44">
        <f>Sales[[#This Row],[Gross Amount]]*Sales[[#This Row],[Disc %]]</f>
        <v>705.6</v>
      </c>
      <c r="L3435" s="43">
        <v>0.18</v>
      </c>
      <c r="M3435" s="44">
        <f>(Sales[[#This Row],[Gross Amount]]-Sales[[#This Row],[Disc. Amt.]])*Sales[[#This Row],[GST %]]</f>
        <v>931.39199999999994</v>
      </c>
      <c r="N3435" s="161">
        <f>Sales[[#This Row],[Gross Amount]]-Sales[[#This Row],[Disc. Amt.]]+Sales[[#This Row],[GST Amount]]</f>
        <v>6105.7919999999995</v>
      </c>
      <c r="O3435" s="158" t="s">
        <v>3569</v>
      </c>
      <c r="P3435" s="158" t="s">
        <v>3562</v>
      </c>
      <c r="Q3435" s="160">
        <f>IF(Sales[[#This Row],[Status]]="Cancelled",0,Sales[[#This Row],[Qty]])</f>
        <v>4</v>
      </c>
      <c r="R3435" s="161">
        <f>IF(Sales[[#This Row],[Status]]="Cancelled",0,Sales[[#This Row],[Total Amount]])</f>
        <v>6105.7919999999995</v>
      </c>
      <c r="S3435" s="162">
        <f>SUM(Sales[Net Amount])</f>
        <v>406839287.73200053</v>
      </c>
    </row>
    <row r="3436" spans="1:19" ht="18.75" x14ac:dyDescent="0.25">
      <c r="A3436" s="163" t="s">
        <v>7099</v>
      </c>
      <c r="B3436" s="164">
        <v>45949</v>
      </c>
      <c r="C3436" s="34" t="s">
        <v>881</v>
      </c>
      <c r="D3436" s="53" t="str">
        <f>VLOOKUP(Sales[[#This Row],[Customer ID]],Customer[#All],2,0)</f>
        <v>Vikas Verma</v>
      </c>
      <c r="E3436" s="34" t="s">
        <v>118</v>
      </c>
      <c r="F3436" s="34" t="str">
        <f>VLOOKUP(Sales[[#This Row],[Product ID]],Product[#All],2,0)</f>
        <v>American TouristerLaptopBag</v>
      </c>
      <c r="G3436" s="53">
        <v>3</v>
      </c>
      <c r="H3436" s="165">
        <f>VLOOKUP(Sales[[#This Row],[Product ID]],Product[#All],7,0)</f>
        <v>4160</v>
      </c>
      <c r="I3436" s="165">
        <f>Sales[[#This Row],[Selling Rate]]*Sales[[#This Row],[Qty]]</f>
        <v>12480</v>
      </c>
      <c r="J3436" s="45">
        <v>0.02</v>
      </c>
      <c r="K3436" s="46">
        <f>Sales[[#This Row],[Gross Amount]]*Sales[[#This Row],[Disc %]]</f>
        <v>249.6</v>
      </c>
      <c r="L3436" s="43">
        <v>0.18</v>
      </c>
      <c r="M3436" s="46">
        <f>(Sales[[#This Row],[Gross Amount]]-Sales[[#This Row],[Disc. Amt.]])*Sales[[#This Row],[GST %]]</f>
        <v>2201.4719999999998</v>
      </c>
      <c r="N3436" s="161">
        <f>Sales[[#This Row],[Gross Amount]]-Sales[[#This Row],[Disc. Amt.]]+Sales[[#This Row],[GST Amount]]</f>
        <v>14431.871999999999</v>
      </c>
      <c r="O3436" s="34" t="s">
        <v>3561</v>
      </c>
      <c r="P3436" s="34" t="s">
        <v>3562</v>
      </c>
      <c r="Q3436" s="165">
        <f>IF(Sales[[#This Row],[Status]]="Cancelled",0,Sales[[#This Row],[Qty]])</f>
        <v>3</v>
      </c>
      <c r="R3436" s="166">
        <f>IF(Sales[[#This Row],[Status]]="Cancelled",0,Sales[[#This Row],[Total Amount]])</f>
        <v>14431.871999999999</v>
      </c>
      <c r="S3436" s="162">
        <f>SUM(Sales[Net Amount])</f>
        <v>406839287.73200053</v>
      </c>
    </row>
    <row r="3437" spans="1:19" ht="18.75" x14ac:dyDescent="0.25">
      <c r="A3437" s="156" t="s">
        <v>7100</v>
      </c>
      <c r="B3437" s="157">
        <v>45949</v>
      </c>
      <c r="C3437" s="158" t="s">
        <v>749</v>
      </c>
      <c r="D3437" s="159" t="str">
        <f>VLOOKUP(Sales[[#This Row],[Customer ID]],Customer[#All],2,0)</f>
        <v>Sahil Patel</v>
      </c>
      <c r="E3437" s="158" t="s">
        <v>144</v>
      </c>
      <c r="F3437" s="158" t="str">
        <f>VLOOKUP(Sales[[#This Row],[Product ID]],Product[#All],2,0)</f>
        <v>Jbl Speaker</v>
      </c>
      <c r="G3437" s="159">
        <v>3</v>
      </c>
      <c r="H3437" s="160">
        <f>VLOOKUP(Sales[[#This Row],[Product ID]],Product[#All],7,0)</f>
        <v>7630</v>
      </c>
      <c r="I3437" s="160">
        <f>Sales[[#This Row],[Selling Rate]]*Sales[[#This Row],[Qty]]</f>
        <v>22890</v>
      </c>
      <c r="J3437" s="43">
        <v>0.05</v>
      </c>
      <c r="K3437" s="44">
        <f>Sales[[#This Row],[Gross Amount]]*Sales[[#This Row],[Disc %]]</f>
        <v>1144.5</v>
      </c>
      <c r="L3437" s="43">
        <v>0.18</v>
      </c>
      <c r="M3437" s="44">
        <f>(Sales[[#This Row],[Gross Amount]]-Sales[[#This Row],[Disc. Amt.]])*Sales[[#This Row],[GST %]]</f>
        <v>3914.19</v>
      </c>
      <c r="N3437" s="161">
        <f>Sales[[#This Row],[Gross Amount]]-Sales[[#This Row],[Disc. Amt.]]+Sales[[#This Row],[GST Amount]]</f>
        <v>25659.69</v>
      </c>
      <c r="O3437" s="158" t="s">
        <v>3566</v>
      </c>
      <c r="P3437" s="158" t="s">
        <v>3562</v>
      </c>
      <c r="Q3437" s="160">
        <f>IF(Sales[[#This Row],[Status]]="Cancelled",0,Sales[[#This Row],[Qty]])</f>
        <v>3</v>
      </c>
      <c r="R3437" s="161">
        <f>IF(Sales[[#This Row],[Status]]="Cancelled",0,Sales[[#This Row],[Total Amount]])</f>
        <v>25659.69</v>
      </c>
      <c r="S3437" s="162">
        <f>SUM(Sales[Net Amount])</f>
        <v>406839287.73200053</v>
      </c>
    </row>
    <row r="3438" spans="1:19" ht="18.75" x14ac:dyDescent="0.25">
      <c r="A3438" s="163" t="s">
        <v>7101</v>
      </c>
      <c r="B3438" s="164">
        <v>45949</v>
      </c>
      <c r="C3438" s="34" t="s">
        <v>780</v>
      </c>
      <c r="D3438" s="53" t="str">
        <f>VLOOKUP(Sales[[#This Row],[Customer ID]],Customer[#All],2,0)</f>
        <v>Sahil Gupta</v>
      </c>
      <c r="E3438" s="34" t="s">
        <v>148</v>
      </c>
      <c r="F3438" s="34" t="str">
        <f>VLOOKUP(Sales[[#This Row],[Product ID]],Product[#All],2,0)</f>
        <v>Dell Monitor</v>
      </c>
      <c r="G3438" s="53">
        <v>5</v>
      </c>
      <c r="H3438" s="165">
        <f>VLOOKUP(Sales[[#This Row],[Product ID]],Product[#All],7,0)</f>
        <v>20170</v>
      </c>
      <c r="I3438" s="165">
        <f>Sales[[#This Row],[Selling Rate]]*Sales[[#This Row],[Qty]]</f>
        <v>100850</v>
      </c>
      <c r="J3438" s="45">
        <v>0</v>
      </c>
      <c r="K3438" s="46">
        <f>Sales[[#This Row],[Gross Amount]]*Sales[[#This Row],[Disc %]]</f>
        <v>0</v>
      </c>
      <c r="L3438" s="43">
        <v>0.18</v>
      </c>
      <c r="M3438" s="46">
        <f>(Sales[[#This Row],[Gross Amount]]-Sales[[#This Row],[Disc. Amt.]])*Sales[[#This Row],[GST %]]</f>
        <v>18153</v>
      </c>
      <c r="N3438" s="161">
        <f>Sales[[#This Row],[Gross Amount]]-Sales[[#This Row],[Disc. Amt.]]+Sales[[#This Row],[GST Amount]]</f>
        <v>119003</v>
      </c>
      <c r="O3438" s="34" t="s">
        <v>8876</v>
      </c>
      <c r="P3438" s="34" t="s">
        <v>3562</v>
      </c>
      <c r="Q3438" s="165">
        <f>IF(Sales[[#This Row],[Status]]="Cancelled",0,Sales[[#This Row],[Qty]])</f>
        <v>5</v>
      </c>
      <c r="R3438" s="166">
        <f>IF(Sales[[#This Row],[Status]]="Cancelled",0,Sales[[#This Row],[Total Amount]])</f>
        <v>119003</v>
      </c>
      <c r="S3438" s="162">
        <f>SUM(Sales[Net Amount])</f>
        <v>406839287.73200053</v>
      </c>
    </row>
    <row r="3439" spans="1:19" ht="18.75" x14ac:dyDescent="0.25">
      <c r="A3439" s="156" t="s">
        <v>7102</v>
      </c>
      <c r="B3439" s="157">
        <v>45949</v>
      </c>
      <c r="C3439" s="158" t="s">
        <v>735</v>
      </c>
      <c r="D3439" s="159" t="str">
        <f>VLOOKUP(Sales[[#This Row],[Customer ID]],Customer[#All],2,0)</f>
        <v>Amit Singh</v>
      </c>
      <c r="E3439" s="158" t="s">
        <v>210</v>
      </c>
      <c r="F3439" s="158" t="str">
        <f>VLOOKUP(Sales[[#This Row],[Product ID]],Product[#All],2,0)</f>
        <v>Jbl Headset</v>
      </c>
      <c r="G3439" s="159">
        <v>2</v>
      </c>
      <c r="H3439" s="160">
        <f>VLOOKUP(Sales[[#This Row],[Product ID]],Product[#All],7,0)</f>
        <v>1130</v>
      </c>
      <c r="I3439" s="160">
        <f>Sales[[#This Row],[Selling Rate]]*Sales[[#This Row],[Qty]]</f>
        <v>2260</v>
      </c>
      <c r="J3439" s="43">
        <v>0.15</v>
      </c>
      <c r="K3439" s="44">
        <f>Sales[[#This Row],[Gross Amount]]*Sales[[#This Row],[Disc %]]</f>
        <v>339</v>
      </c>
      <c r="L3439" s="43">
        <v>0.18</v>
      </c>
      <c r="M3439" s="44">
        <f>(Sales[[#This Row],[Gross Amount]]-Sales[[#This Row],[Disc. Amt.]])*Sales[[#This Row],[GST %]]</f>
        <v>345.78</v>
      </c>
      <c r="N3439" s="161">
        <f>Sales[[#This Row],[Gross Amount]]-Sales[[#This Row],[Disc. Amt.]]+Sales[[#This Row],[GST Amount]]</f>
        <v>2266.7799999999997</v>
      </c>
      <c r="O3439" s="158" t="s">
        <v>3569</v>
      </c>
      <c r="P3439" s="158" t="s">
        <v>3562</v>
      </c>
      <c r="Q3439" s="160">
        <f>IF(Sales[[#This Row],[Status]]="Cancelled",0,Sales[[#This Row],[Qty]])</f>
        <v>2</v>
      </c>
      <c r="R3439" s="161">
        <f>IF(Sales[[#This Row],[Status]]="Cancelled",0,Sales[[#This Row],[Total Amount]])</f>
        <v>2266.7799999999997</v>
      </c>
      <c r="S3439" s="162">
        <f>SUM(Sales[Net Amount])</f>
        <v>406839287.73200053</v>
      </c>
    </row>
    <row r="3440" spans="1:19" ht="18.75" x14ac:dyDescent="0.25">
      <c r="A3440" s="163" t="s">
        <v>7103</v>
      </c>
      <c r="B3440" s="164">
        <v>45950</v>
      </c>
      <c r="C3440" s="34" t="s">
        <v>882</v>
      </c>
      <c r="D3440" s="53" t="str">
        <f>VLOOKUP(Sales[[#This Row],[Customer ID]],Customer[#All],2,0)</f>
        <v>Rahul Sharma</v>
      </c>
      <c r="E3440" s="34" t="s">
        <v>484</v>
      </c>
      <c r="F3440" s="34" t="str">
        <f>VLOOKUP(Sales[[#This Row],[Product ID]],Product[#All],2,0)</f>
        <v>Dell Desktop</v>
      </c>
      <c r="G3440" s="53">
        <v>2</v>
      </c>
      <c r="H3440" s="165">
        <f>VLOOKUP(Sales[[#This Row],[Product ID]],Product[#All],7,0)</f>
        <v>68710</v>
      </c>
      <c r="I3440" s="165">
        <f>Sales[[#This Row],[Selling Rate]]*Sales[[#This Row],[Qty]]</f>
        <v>137420</v>
      </c>
      <c r="J3440" s="45">
        <v>0.05</v>
      </c>
      <c r="K3440" s="46">
        <f>Sales[[#This Row],[Gross Amount]]*Sales[[#This Row],[Disc %]]</f>
        <v>6871</v>
      </c>
      <c r="L3440" s="43">
        <v>0.18</v>
      </c>
      <c r="M3440" s="46">
        <f>(Sales[[#This Row],[Gross Amount]]-Sales[[#This Row],[Disc. Amt.]])*Sales[[#This Row],[GST %]]</f>
        <v>23498.82</v>
      </c>
      <c r="N3440" s="161">
        <f>Sales[[#This Row],[Gross Amount]]-Sales[[#This Row],[Disc. Amt.]]+Sales[[#This Row],[GST Amount]]</f>
        <v>154047.82</v>
      </c>
      <c r="O3440" s="34" t="s">
        <v>3569</v>
      </c>
      <c r="P3440" s="34" t="s">
        <v>3562</v>
      </c>
      <c r="Q3440" s="165">
        <f>IF(Sales[[#This Row],[Status]]="Cancelled",0,Sales[[#This Row],[Qty]])</f>
        <v>2</v>
      </c>
      <c r="R3440" s="166">
        <f>IF(Sales[[#This Row],[Status]]="Cancelled",0,Sales[[#This Row],[Total Amount]])</f>
        <v>154047.82</v>
      </c>
      <c r="S3440" s="162">
        <f>SUM(Sales[Net Amount])</f>
        <v>406839287.73200053</v>
      </c>
    </row>
    <row r="3441" spans="1:19" ht="18.75" x14ac:dyDescent="0.25">
      <c r="A3441" s="156" t="s">
        <v>7104</v>
      </c>
      <c r="B3441" s="157">
        <v>45950</v>
      </c>
      <c r="C3441" s="158" t="s">
        <v>8729</v>
      </c>
      <c r="D3441" s="159" t="str">
        <f>VLOOKUP(Sales[[#This Row],[Customer ID]],Customer[#All],2,0)</f>
        <v>Sunita Singh</v>
      </c>
      <c r="E3441" s="158" t="s">
        <v>428</v>
      </c>
      <c r="F3441" s="158" t="str">
        <f>VLOOKUP(Sales[[#This Row],[Product ID]],Product[#All],2,0)</f>
        <v>Microtek UPS</v>
      </c>
      <c r="G3441" s="159">
        <v>5</v>
      </c>
      <c r="H3441" s="160">
        <f>VLOOKUP(Sales[[#This Row],[Product ID]],Product[#All],7,0)</f>
        <v>8450</v>
      </c>
      <c r="I3441" s="160">
        <f>Sales[[#This Row],[Selling Rate]]*Sales[[#This Row],[Qty]]</f>
        <v>42250</v>
      </c>
      <c r="J3441" s="43">
        <v>0</v>
      </c>
      <c r="K3441" s="44">
        <f>Sales[[#This Row],[Gross Amount]]*Sales[[#This Row],[Disc %]]</f>
        <v>0</v>
      </c>
      <c r="L3441" s="43">
        <v>0.18</v>
      </c>
      <c r="M3441" s="44">
        <f>(Sales[[#This Row],[Gross Amount]]-Sales[[#This Row],[Disc. Amt.]])*Sales[[#This Row],[GST %]]</f>
        <v>7605</v>
      </c>
      <c r="N3441" s="161">
        <f>Sales[[#This Row],[Gross Amount]]-Sales[[#This Row],[Disc. Amt.]]+Sales[[#This Row],[GST Amount]]</f>
        <v>49855</v>
      </c>
      <c r="O3441" s="158" t="s">
        <v>3561</v>
      </c>
      <c r="P3441" s="158" t="s">
        <v>3562</v>
      </c>
      <c r="Q3441" s="160">
        <f>IF(Sales[[#This Row],[Status]]="Cancelled",0,Sales[[#This Row],[Qty]])</f>
        <v>5</v>
      </c>
      <c r="R3441" s="161">
        <f>IF(Sales[[#This Row],[Status]]="Cancelled",0,Sales[[#This Row],[Total Amount]])</f>
        <v>49855</v>
      </c>
      <c r="S3441" s="162">
        <f>SUM(Sales[Net Amount])</f>
        <v>406839287.73200053</v>
      </c>
    </row>
    <row r="3442" spans="1:19" ht="18.75" x14ac:dyDescent="0.25">
      <c r="A3442" s="163" t="s">
        <v>7105</v>
      </c>
      <c r="B3442" s="164">
        <v>45950</v>
      </c>
      <c r="C3442" s="34" t="s">
        <v>746</v>
      </c>
      <c r="D3442" s="53" t="str">
        <f>VLOOKUP(Sales[[#This Row],[Customer ID]],Customer[#All],2,0)</f>
        <v>Sunita Kumar</v>
      </c>
      <c r="E3442" s="34" t="s">
        <v>30</v>
      </c>
      <c r="F3442" s="34" t="str">
        <f>VLOOKUP(Sales[[#This Row],[Product ID]],Product[#All],2,0)</f>
        <v>Samsung Monitor</v>
      </c>
      <c r="G3442" s="53">
        <v>2</v>
      </c>
      <c r="H3442" s="165">
        <f>VLOOKUP(Sales[[#This Row],[Product ID]],Product[#All],7,0)</f>
        <v>16740</v>
      </c>
      <c r="I3442" s="165">
        <f>Sales[[#This Row],[Selling Rate]]*Sales[[#This Row],[Qty]]</f>
        <v>33480</v>
      </c>
      <c r="J3442" s="45">
        <v>0</v>
      </c>
      <c r="K3442" s="46">
        <f>Sales[[#This Row],[Gross Amount]]*Sales[[#This Row],[Disc %]]</f>
        <v>0</v>
      </c>
      <c r="L3442" s="43">
        <v>0.18</v>
      </c>
      <c r="M3442" s="46">
        <f>(Sales[[#This Row],[Gross Amount]]-Sales[[#This Row],[Disc. Amt.]])*Sales[[#This Row],[GST %]]</f>
        <v>6026.4</v>
      </c>
      <c r="N3442" s="161">
        <f>Sales[[#This Row],[Gross Amount]]-Sales[[#This Row],[Disc. Amt.]]+Sales[[#This Row],[GST Amount]]</f>
        <v>39506.400000000001</v>
      </c>
      <c r="O3442" s="34" t="s">
        <v>3566</v>
      </c>
      <c r="P3442" s="34" t="s">
        <v>3562</v>
      </c>
      <c r="Q3442" s="165">
        <f>IF(Sales[[#This Row],[Status]]="Cancelled",0,Sales[[#This Row],[Qty]])</f>
        <v>2</v>
      </c>
      <c r="R3442" s="166">
        <f>IF(Sales[[#This Row],[Status]]="Cancelled",0,Sales[[#This Row],[Total Amount]])</f>
        <v>39506.400000000001</v>
      </c>
      <c r="S3442" s="162">
        <f>SUM(Sales[Net Amount])</f>
        <v>406839287.73200053</v>
      </c>
    </row>
    <row r="3443" spans="1:19" ht="18.75" x14ac:dyDescent="0.25">
      <c r="A3443" s="156" t="s">
        <v>7106</v>
      </c>
      <c r="B3443" s="157">
        <v>45950</v>
      </c>
      <c r="C3443" s="158" t="s">
        <v>669</v>
      </c>
      <c r="D3443" s="159" t="str">
        <f>VLOOKUP(Sales[[#This Row],[Customer ID]],Customer[#All],2,0)</f>
        <v>Sahil Kumar</v>
      </c>
      <c r="E3443" s="158" t="s">
        <v>137</v>
      </c>
      <c r="F3443" s="158" t="str">
        <f>VLOOKUP(Sales[[#This Row],[Product ID]],Product[#All],2,0)</f>
        <v>Seagate HDD</v>
      </c>
      <c r="G3443" s="159">
        <v>5</v>
      </c>
      <c r="H3443" s="160">
        <f>VLOOKUP(Sales[[#This Row],[Product ID]],Product[#All],7,0)</f>
        <v>7940</v>
      </c>
      <c r="I3443" s="160">
        <f>Sales[[#This Row],[Selling Rate]]*Sales[[#This Row],[Qty]]</f>
        <v>39700</v>
      </c>
      <c r="J3443" s="43">
        <v>0.15</v>
      </c>
      <c r="K3443" s="44">
        <f>Sales[[#This Row],[Gross Amount]]*Sales[[#This Row],[Disc %]]</f>
        <v>5955</v>
      </c>
      <c r="L3443" s="43">
        <v>0.18</v>
      </c>
      <c r="M3443" s="44">
        <f>(Sales[[#This Row],[Gross Amount]]-Sales[[#This Row],[Disc. Amt.]])*Sales[[#This Row],[GST %]]</f>
        <v>6074.0999999999995</v>
      </c>
      <c r="N3443" s="161">
        <f>Sales[[#This Row],[Gross Amount]]-Sales[[#This Row],[Disc. Amt.]]+Sales[[#This Row],[GST Amount]]</f>
        <v>39819.1</v>
      </c>
      <c r="O3443" s="158" t="s">
        <v>3569</v>
      </c>
      <c r="P3443" s="158" t="s">
        <v>3562</v>
      </c>
      <c r="Q3443" s="160">
        <f>IF(Sales[[#This Row],[Status]]="Cancelled",0,Sales[[#This Row],[Qty]])</f>
        <v>5</v>
      </c>
      <c r="R3443" s="161">
        <f>IF(Sales[[#This Row],[Status]]="Cancelled",0,Sales[[#This Row],[Total Amount]])</f>
        <v>39819.1</v>
      </c>
      <c r="S3443" s="162">
        <f>SUM(Sales[Net Amount])</f>
        <v>406839287.73200053</v>
      </c>
    </row>
    <row r="3444" spans="1:19" ht="18.75" x14ac:dyDescent="0.25">
      <c r="A3444" s="163" t="s">
        <v>7107</v>
      </c>
      <c r="B3444" s="164">
        <v>45950</v>
      </c>
      <c r="C3444" s="34" t="s">
        <v>893</v>
      </c>
      <c r="D3444" s="53" t="str">
        <f>VLOOKUP(Sales[[#This Row],[Customer ID]],Customer[#All],2,0)</f>
        <v>Sunita Sharma</v>
      </c>
      <c r="E3444" s="34" t="s">
        <v>214</v>
      </c>
      <c r="F3444" s="34" t="str">
        <f>VLOOKUP(Sales[[#This Row],[Product ID]],Product[#All],2,0)</f>
        <v>Microtek UPS</v>
      </c>
      <c r="G3444" s="53">
        <v>7</v>
      </c>
      <c r="H3444" s="165">
        <f>VLOOKUP(Sales[[#This Row],[Product ID]],Product[#All],7,0)</f>
        <v>10710</v>
      </c>
      <c r="I3444" s="165">
        <f>Sales[[#This Row],[Selling Rate]]*Sales[[#This Row],[Qty]]</f>
        <v>74970</v>
      </c>
      <c r="J3444" s="45">
        <v>0.1</v>
      </c>
      <c r="K3444" s="46">
        <f>Sales[[#This Row],[Gross Amount]]*Sales[[#This Row],[Disc %]]</f>
        <v>7497</v>
      </c>
      <c r="L3444" s="43">
        <v>0.18</v>
      </c>
      <c r="M3444" s="46">
        <f>(Sales[[#This Row],[Gross Amount]]-Sales[[#This Row],[Disc. Amt.]])*Sales[[#This Row],[GST %]]</f>
        <v>12145.14</v>
      </c>
      <c r="N3444" s="161">
        <f>Sales[[#This Row],[Gross Amount]]-Sales[[#This Row],[Disc. Amt.]]+Sales[[#This Row],[GST Amount]]</f>
        <v>79618.14</v>
      </c>
      <c r="O3444" s="34" t="s">
        <v>3569</v>
      </c>
      <c r="P3444" s="34" t="s">
        <v>3562</v>
      </c>
      <c r="Q3444" s="165">
        <f>IF(Sales[[#This Row],[Status]]="Cancelled",0,Sales[[#This Row],[Qty]])</f>
        <v>7</v>
      </c>
      <c r="R3444" s="166">
        <f>IF(Sales[[#This Row],[Status]]="Cancelled",0,Sales[[#This Row],[Total Amount]])</f>
        <v>79618.14</v>
      </c>
      <c r="S3444" s="162">
        <f>SUM(Sales[Net Amount])</f>
        <v>406839287.73200053</v>
      </c>
    </row>
    <row r="3445" spans="1:19" ht="18.75" x14ac:dyDescent="0.25">
      <c r="A3445" s="156" t="s">
        <v>7108</v>
      </c>
      <c r="B3445" s="157">
        <v>45950</v>
      </c>
      <c r="C3445" s="158" t="s">
        <v>927</v>
      </c>
      <c r="D3445" s="159" t="str">
        <f>VLOOKUP(Sales[[#This Row],[Customer ID]],Customer[#All],2,0)</f>
        <v>Sunita Patel</v>
      </c>
      <c r="E3445" s="158" t="s">
        <v>135</v>
      </c>
      <c r="F3445" s="158" t="str">
        <f>VLOOKUP(Sales[[#This Row],[Product ID]],Product[#All],2,0)</f>
        <v>Kingston Ram</v>
      </c>
      <c r="G3445" s="159">
        <v>7</v>
      </c>
      <c r="H3445" s="160">
        <f>VLOOKUP(Sales[[#This Row],[Product ID]],Product[#All],7,0)</f>
        <v>3100</v>
      </c>
      <c r="I3445" s="160">
        <f>Sales[[#This Row],[Selling Rate]]*Sales[[#This Row],[Qty]]</f>
        <v>21700</v>
      </c>
      <c r="J3445" s="43">
        <v>0.05</v>
      </c>
      <c r="K3445" s="44">
        <f>Sales[[#This Row],[Gross Amount]]*Sales[[#This Row],[Disc %]]</f>
        <v>1085</v>
      </c>
      <c r="L3445" s="43">
        <v>0.18</v>
      </c>
      <c r="M3445" s="44">
        <f>(Sales[[#This Row],[Gross Amount]]-Sales[[#This Row],[Disc. Amt.]])*Sales[[#This Row],[GST %]]</f>
        <v>3710.7</v>
      </c>
      <c r="N3445" s="161">
        <f>Sales[[#This Row],[Gross Amount]]-Sales[[#This Row],[Disc. Amt.]]+Sales[[#This Row],[GST Amount]]</f>
        <v>24325.7</v>
      </c>
      <c r="O3445" s="158" t="s">
        <v>3566</v>
      </c>
      <c r="P3445" s="158" t="s">
        <v>3562</v>
      </c>
      <c r="Q3445" s="160">
        <f>IF(Sales[[#This Row],[Status]]="Cancelled",0,Sales[[#This Row],[Qty]])</f>
        <v>7</v>
      </c>
      <c r="R3445" s="161">
        <f>IF(Sales[[#This Row],[Status]]="Cancelled",0,Sales[[#This Row],[Total Amount]])</f>
        <v>24325.7</v>
      </c>
      <c r="S3445" s="162">
        <f>SUM(Sales[Net Amount])</f>
        <v>406839287.73200053</v>
      </c>
    </row>
    <row r="3446" spans="1:19" ht="18.75" x14ac:dyDescent="0.25">
      <c r="A3446" s="163" t="s">
        <v>7109</v>
      </c>
      <c r="B3446" s="164">
        <v>45950</v>
      </c>
      <c r="C3446" s="34" t="s">
        <v>827</v>
      </c>
      <c r="D3446" s="53" t="str">
        <f>VLOOKUP(Sales[[#This Row],[Customer ID]],Customer[#All],2,0)</f>
        <v>Ankit Gupta</v>
      </c>
      <c r="E3446" s="34" t="s">
        <v>361</v>
      </c>
      <c r="F3446" s="34" t="str">
        <f>VLOOKUP(Sales[[#This Row],[Product ID]],Product[#All],2,0)</f>
        <v>Epson Printer</v>
      </c>
      <c r="G3446" s="53">
        <v>3</v>
      </c>
      <c r="H3446" s="165">
        <f>VLOOKUP(Sales[[#This Row],[Product ID]],Product[#All],7,0)</f>
        <v>26570</v>
      </c>
      <c r="I3446" s="165">
        <f>Sales[[#This Row],[Selling Rate]]*Sales[[#This Row],[Qty]]</f>
        <v>79710</v>
      </c>
      <c r="J3446" s="45">
        <v>0.12</v>
      </c>
      <c r="K3446" s="46">
        <f>Sales[[#This Row],[Gross Amount]]*Sales[[#This Row],[Disc %]]</f>
        <v>9565.1999999999989</v>
      </c>
      <c r="L3446" s="43">
        <v>0.18</v>
      </c>
      <c r="M3446" s="46">
        <f>(Sales[[#This Row],[Gross Amount]]-Sales[[#This Row],[Disc. Amt.]])*Sales[[#This Row],[GST %]]</f>
        <v>12626.064</v>
      </c>
      <c r="N3446" s="161">
        <f>Sales[[#This Row],[Gross Amount]]-Sales[[#This Row],[Disc. Amt.]]+Sales[[#This Row],[GST Amount]]</f>
        <v>82770.864000000001</v>
      </c>
      <c r="O3446" s="34" t="s">
        <v>3566</v>
      </c>
      <c r="P3446" s="34" t="s">
        <v>3562</v>
      </c>
      <c r="Q3446" s="165">
        <f>IF(Sales[[#This Row],[Status]]="Cancelled",0,Sales[[#This Row],[Qty]])</f>
        <v>3</v>
      </c>
      <c r="R3446" s="166">
        <f>IF(Sales[[#This Row],[Status]]="Cancelled",0,Sales[[#This Row],[Total Amount]])</f>
        <v>82770.864000000001</v>
      </c>
      <c r="S3446" s="162">
        <f>SUM(Sales[Net Amount])</f>
        <v>406839287.73200053</v>
      </c>
    </row>
    <row r="3447" spans="1:19" ht="18.75" x14ac:dyDescent="0.25">
      <c r="A3447" s="156" t="s">
        <v>7110</v>
      </c>
      <c r="B3447" s="157">
        <v>45950</v>
      </c>
      <c r="C3447" s="158" t="s">
        <v>747</v>
      </c>
      <c r="D3447" s="159" t="str">
        <f>VLOOKUP(Sales[[#This Row],[Customer ID]],Customer[#All],2,0)</f>
        <v>Sunita Gupta</v>
      </c>
      <c r="E3447" s="158" t="s">
        <v>270</v>
      </c>
      <c r="F3447" s="158" t="str">
        <f>VLOOKUP(Sales[[#This Row],[Product ID]],Product[#All],2,0)</f>
        <v>Samsung Ssd</v>
      </c>
      <c r="G3447" s="159">
        <v>4</v>
      </c>
      <c r="H3447" s="160">
        <f>VLOOKUP(Sales[[#This Row],[Product ID]],Product[#All],7,0)</f>
        <v>6090</v>
      </c>
      <c r="I3447" s="160">
        <f>Sales[[#This Row],[Selling Rate]]*Sales[[#This Row],[Qty]]</f>
        <v>24360</v>
      </c>
      <c r="J3447" s="43">
        <v>0.1</v>
      </c>
      <c r="K3447" s="44">
        <f>Sales[[#This Row],[Gross Amount]]*Sales[[#This Row],[Disc %]]</f>
        <v>2436</v>
      </c>
      <c r="L3447" s="43">
        <v>0.18</v>
      </c>
      <c r="M3447" s="44">
        <f>(Sales[[#This Row],[Gross Amount]]-Sales[[#This Row],[Disc. Amt.]])*Sales[[#This Row],[GST %]]</f>
        <v>3946.3199999999997</v>
      </c>
      <c r="N3447" s="161">
        <f>Sales[[#This Row],[Gross Amount]]-Sales[[#This Row],[Disc. Amt.]]+Sales[[#This Row],[GST Amount]]</f>
        <v>25870.32</v>
      </c>
      <c r="O3447" s="158" t="s">
        <v>3566</v>
      </c>
      <c r="P3447" s="158" t="s">
        <v>3562</v>
      </c>
      <c r="Q3447" s="160">
        <f>IF(Sales[[#This Row],[Status]]="Cancelled",0,Sales[[#This Row],[Qty]])</f>
        <v>4</v>
      </c>
      <c r="R3447" s="161">
        <f>IF(Sales[[#This Row],[Status]]="Cancelled",0,Sales[[#This Row],[Total Amount]])</f>
        <v>25870.32</v>
      </c>
      <c r="S3447" s="162">
        <f>SUM(Sales[Net Amount])</f>
        <v>406839287.73200053</v>
      </c>
    </row>
    <row r="3448" spans="1:19" ht="18.75" x14ac:dyDescent="0.25">
      <c r="A3448" s="163" t="s">
        <v>7111</v>
      </c>
      <c r="B3448" s="164">
        <v>45950</v>
      </c>
      <c r="C3448" s="34" t="s">
        <v>898</v>
      </c>
      <c r="D3448" s="53" t="str">
        <f>VLOOKUP(Sales[[#This Row],[Customer ID]],Customer[#All],2,0)</f>
        <v>Rahul Singh</v>
      </c>
      <c r="E3448" s="34" t="s">
        <v>40</v>
      </c>
      <c r="F3448" s="34" t="str">
        <f>VLOOKUP(Sales[[#This Row],[Product ID]],Product[#All],2,0)</f>
        <v>Boat Headset</v>
      </c>
      <c r="G3448" s="53">
        <v>8</v>
      </c>
      <c r="H3448" s="165">
        <f>VLOOKUP(Sales[[#This Row],[Product ID]],Product[#All],7,0)</f>
        <v>3470</v>
      </c>
      <c r="I3448" s="165">
        <f>Sales[[#This Row],[Selling Rate]]*Sales[[#This Row],[Qty]]</f>
        <v>27760</v>
      </c>
      <c r="J3448" s="45">
        <v>0.02</v>
      </c>
      <c r="K3448" s="46">
        <f>Sales[[#This Row],[Gross Amount]]*Sales[[#This Row],[Disc %]]</f>
        <v>555.20000000000005</v>
      </c>
      <c r="L3448" s="43">
        <v>0.18</v>
      </c>
      <c r="M3448" s="46">
        <f>(Sales[[#This Row],[Gross Amount]]-Sales[[#This Row],[Disc. Amt.]])*Sales[[#This Row],[GST %]]</f>
        <v>4896.8639999999996</v>
      </c>
      <c r="N3448" s="161">
        <f>Sales[[#This Row],[Gross Amount]]-Sales[[#This Row],[Disc. Amt.]]+Sales[[#This Row],[GST Amount]]</f>
        <v>32101.663999999997</v>
      </c>
      <c r="O3448" s="34" t="s">
        <v>3569</v>
      </c>
      <c r="P3448" s="34" t="s">
        <v>3562</v>
      </c>
      <c r="Q3448" s="165">
        <f>IF(Sales[[#This Row],[Status]]="Cancelled",0,Sales[[#This Row],[Qty]])</f>
        <v>8</v>
      </c>
      <c r="R3448" s="166">
        <f>IF(Sales[[#This Row],[Status]]="Cancelled",0,Sales[[#This Row],[Total Amount]])</f>
        <v>32101.663999999997</v>
      </c>
      <c r="S3448" s="162">
        <f>SUM(Sales[Net Amount])</f>
        <v>406839287.73200053</v>
      </c>
    </row>
    <row r="3449" spans="1:19" ht="18.75" x14ac:dyDescent="0.25">
      <c r="A3449" s="156" t="s">
        <v>7112</v>
      </c>
      <c r="B3449" s="157">
        <v>45950</v>
      </c>
      <c r="C3449" s="158" t="s">
        <v>918</v>
      </c>
      <c r="D3449" s="159" t="str">
        <f>VLOOKUP(Sales[[#This Row],[Customer ID]],Customer[#All],2,0)</f>
        <v>Pooja Patel</v>
      </c>
      <c r="E3449" s="158" t="s">
        <v>358</v>
      </c>
      <c r="F3449" s="158" t="str">
        <f>VLOOKUP(Sales[[#This Row],[Product ID]],Product[#All],2,0)</f>
        <v>TP-link Router</v>
      </c>
      <c r="G3449" s="159">
        <v>2</v>
      </c>
      <c r="H3449" s="160">
        <f>VLOOKUP(Sales[[#This Row],[Product ID]],Product[#All],7,0)</f>
        <v>3970</v>
      </c>
      <c r="I3449" s="160">
        <f>Sales[[#This Row],[Selling Rate]]*Sales[[#This Row],[Qty]]</f>
        <v>7940</v>
      </c>
      <c r="J3449" s="43">
        <v>0.02</v>
      </c>
      <c r="K3449" s="44">
        <f>Sales[[#This Row],[Gross Amount]]*Sales[[#This Row],[Disc %]]</f>
        <v>158.80000000000001</v>
      </c>
      <c r="L3449" s="43">
        <v>0.18</v>
      </c>
      <c r="M3449" s="44">
        <f>(Sales[[#This Row],[Gross Amount]]-Sales[[#This Row],[Disc. Amt.]])*Sales[[#This Row],[GST %]]</f>
        <v>1400.616</v>
      </c>
      <c r="N3449" s="161">
        <f>Sales[[#This Row],[Gross Amount]]-Sales[[#This Row],[Disc. Amt.]]+Sales[[#This Row],[GST Amount]]</f>
        <v>9181.8159999999989</v>
      </c>
      <c r="O3449" s="158" t="s">
        <v>3561</v>
      </c>
      <c r="P3449" s="158" t="s">
        <v>3562</v>
      </c>
      <c r="Q3449" s="160">
        <f>IF(Sales[[#This Row],[Status]]="Cancelled",0,Sales[[#This Row],[Qty]])</f>
        <v>2</v>
      </c>
      <c r="R3449" s="161">
        <f>IF(Sales[[#This Row],[Status]]="Cancelled",0,Sales[[#This Row],[Total Amount]])</f>
        <v>9181.8159999999989</v>
      </c>
      <c r="S3449" s="162">
        <f>SUM(Sales[Net Amount])</f>
        <v>406839287.73200053</v>
      </c>
    </row>
    <row r="3450" spans="1:19" ht="18.75" x14ac:dyDescent="0.25">
      <c r="A3450" s="163" t="s">
        <v>7113</v>
      </c>
      <c r="B3450" s="164">
        <v>45950</v>
      </c>
      <c r="C3450" s="34" t="s">
        <v>814</v>
      </c>
      <c r="D3450" s="53" t="str">
        <f>VLOOKUP(Sales[[#This Row],[Customer ID]],Customer[#All],2,0)</f>
        <v>Amit Kumar</v>
      </c>
      <c r="E3450" s="34" t="s">
        <v>46</v>
      </c>
      <c r="F3450" s="34" t="str">
        <f>VLOOKUP(Sales[[#This Row],[Product ID]],Product[#All],2,0)</f>
        <v>HP Printer</v>
      </c>
      <c r="G3450" s="53">
        <v>1</v>
      </c>
      <c r="H3450" s="165">
        <f>VLOOKUP(Sales[[#This Row],[Product ID]],Product[#All],7,0)</f>
        <v>35170</v>
      </c>
      <c r="I3450" s="165">
        <f>Sales[[#This Row],[Selling Rate]]*Sales[[#This Row],[Qty]]</f>
        <v>35170</v>
      </c>
      <c r="J3450" s="45">
        <v>0</v>
      </c>
      <c r="K3450" s="46">
        <f>Sales[[#This Row],[Gross Amount]]*Sales[[#This Row],[Disc %]]</f>
        <v>0</v>
      </c>
      <c r="L3450" s="43">
        <v>0.18</v>
      </c>
      <c r="M3450" s="46">
        <f>(Sales[[#This Row],[Gross Amount]]-Sales[[#This Row],[Disc. Amt.]])*Sales[[#This Row],[GST %]]</f>
        <v>6330.5999999999995</v>
      </c>
      <c r="N3450" s="161">
        <f>Sales[[#This Row],[Gross Amount]]-Sales[[#This Row],[Disc. Amt.]]+Sales[[#This Row],[GST Amount]]</f>
        <v>41500.6</v>
      </c>
      <c r="O3450" s="34" t="s">
        <v>3566</v>
      </c>
      <c r="P3450" s="34" t="s">
        <v>3562</v>
      </c>
      <c r="Q3450" s="165">
        <f>IF(Sales[[#This Row],[Status]]="Cancelled",0,Sales[[#This Row],[Qty]])</f>
        <v>1</v>
      </c>
      <c r="R3450" s="166">
        <f>IF(Sales[[#This Row],[Status]]="Cancelled",0,Sales[[#This Row],[Total Amount]])</f>
        <v>41500.6</v>
      </c>
      <c r="S3450" s="162">
        <f>SUM(Sales[Net Amount])</f>
        <v>406839287.73200053</v>
      </c>
    </row>
    <row r="3451" spans="1:19" ht="18.75" x14ac:dyDescent="0.25">
      <c r="A3451" s="156" t="s">
        <v>7114</v>
      </c>
      <c r="B3451" s="157">
        <v>45950</v>
      </c>
      <c r="C3451" s="158" t="s">
        <v>687</v>
      </c>
      <c r="D3451" s="159" t="str">
        <f>VLOOKUP(Sales[[#This Row],[Customer ID]],Customer[#All],2,0)</f>
        <v>Rahul Verma</v>
      </c>
      <c r="E3451" s="158" t="s">
        <v>393</v>
      </c>
      <c r="F3451" s="158" t="str">
        <f>VLOOKUP(Sales[[#This Row],[Product ID]],Product[#All],2,0)</f>
        <v>American TouristerLaptopBag</v>
      </c>
      <c r="G3451" s="159">
        <v>1</v>
      </c>
      <c r="H3451" s="160">
        <f>VLOOKUP(Sales[[#This Row],[Product ID]],Product[#All],7,0)</f>
        <v>3240</v>
      </c>
      <c r="I3451" s="160">
        <f>Sales[[#This Row],[Selling Rate]]*Sales[[#This Row],[Qty]]</f>
        <v>3240</v>
      </c>
      <c r="J3451" s="43">
        <v>0.05</v>
      </c>
      <c r="K3451" s="44">
        <f>Sales[[#This Row],[Gross Amount]]*Sales[[#This Row],[Disc %]]</f>
        <v>162</v>
      </c>
      <c r="L3451" s="43">
        <v>0.18</v>
      </c>
      <c r="M3451" s="44">
        <f>(Sales[[#This Row],[Gross Amount]]-Sales[[#This Row],[Disc. Amt.]])*Sales[[#This Row],[GST %]]</f>
        <v>554.04</v>
      </c>
      <c r="N3451" s="161">
        <f>Sales[[#This Row],[Gross Amount]]-Sales[[#This Row],[Disc. Amt.]]+Sales[[#This Row],[GST Amount]]</f>
        <v>3632.04</v>
      </c>
      <c r="O3451" s="158" t="s">
        <v>3566</v>
      </c>
      <c r="P3451" s="158" t="s">
        <v>3562</v>
      </c>
      <c r="Q3451" s="160">
        <f>IF(Sales[[#This Row],[Status]]="Cancelled",0,Sales[[#This Row],[Qty]])</f>
        <v>1</v>
      </c>
      <c r="R3451" s="161">
        <f>IF(Sales[[#This Row],[Status]]="Cancelled",0,Sales[[#This Row],[Total Amount]])</f>
        <v>3632.04</v>
      </c>
      <c r="S3451" s="162">
        <f>SUM(Sales[Net Amount])</f>
        <v>406839287.73200053</v>
      </c>
    </row>
    <row r="3452" spans="1:19" ht="18.75" x14ac:dyDescent="0.25">
      <c r="A3452" s="163" t="s">
        <v>7115</v>
      </c>
      <c r="B3452" s="164">
        <v>45950</v>
      </c>
      <c r="C3452" s="34" t="s">
        <v>895</v>
      </c>
      <c r="D3452" s="53" t="str">
        <f>VLOOKUP(Sales[[#This Row],[Customer ID]],Customer[#All],2,0)</f>
        <v>Pooja Patel</v>
      </c>
      <c r="E3452" s="34" t="s">
        <v>285</v>
      </c>
      <c r="F3452" s="34" t="str">
        <f>VLOOKUP(Sales[[#This Row],[Product ID]],Product[#All],2,0)</f>
        <v>HP Power Adapter</v>
      </c>
      <c r="G3452" s="53">
        <v>5</v>
      </c>
      <c r="H3452" s="165">
        <f>VLOOKUP(Sales[[#This Row],[Product ID]],Product[#All],7,0)</f>
        <v>2170</v>
      </c>
      <c r="I3452" s="165">
        <f>Sales[[#This Row],[Selling Rate]]*Sales[[#This Row],[Qty]]</f>
        <v>10850</v>
      </c>
      <c r="J3452" s="45">
        <v>0.12</v>
      </c>
      <c r="K3452" s="46">
        <f>Sales[[#This Row],[Gross Amount]]*Sales[[#This Row],[Disc %]]</f>
        <v>1302</v>
      </c>
      <c r="L3452" s="43">
        <v>0.18</v>
      </c>
      <c r="M3452" s="46">
        <f>(Sales[[#This Row],[Gross Amount]]-Sales[[#This Row],[Disc. Amt.]])*Sales[[#This Row],[GST %]]</f>
        <v>1718.6399999999999</v>
      </c>
      <c r="N3452" s="161">
        <f>Sales[[#This Row],[Gross Amount]]-Sales[[#This Row],[Disc. Amt.]]+Sales[[#This Row],[GST Amount]]</f>
        <v>11266.64</v>
      </c>
      <c r="O3452" s="34" t="s">
        <v>3569</v>
      </c>
      <c r="P3452" s="34" t="s">
        <v>3562</v>
      </c>
      <c r="Q3452" s="165">
        <f>IF(Sales[[#This Row],[Status]]="Cancelled",0,Sales[[#This Row],[Qty]])</f>
        <v>5</v>
      </c>
      <c r="R3452" s="166">
        <f>IF(Sales[[#This Row],[Status]]="Cancelled",0,Sales[[#This Row],[Total Amount]])</f>
        <v>11266.64</v>
      </c>
      <c r="S3452" s="162">
        <f>SUM(Sales[Net Amount])</f>
        <v>406839287.73200053</v>
      </c>
    </row>
    <row r="3453" spans="1:19" ht="18.75" x14ac:dyDescent="0.25">
      <c r="A3453" s="156" t="s">
        <v>7116</v>
      </c>
      <c r="B3453" s="157">
        <v>45950</v>
      </c>
      <c r="C3453" s="158" t="s">
        <v>784</v>
      </c>
      <c r="D3453" s="159" t="str">
        <f>VLOOKUP(Sales[[#This Row],[Customer ID]],Customer[#All],2,0)</f>
        <v>Amit Kumar</v>
      </c>
      <c r="E3453" s="158" t="s">
        <v>4</v>
      </c>
      <c r="F3453" s="158" t="str">
        <f>VLOOKUP(Sales[[#This Row],[Product ID]],Product[#All],2,0)</f>
        <v>Epson Printer</v>
      </c>
      <c r="G3453" s="159">
        <v>8</v>
      </c>
      <c r="H3453" s="160">
        <f>VLOOKUP(Sales[[#This Row],[Product ID]],Product[#All],7,0)</f>
        <v>45990</v>
      </c>
      <c r="I3453" s="160">
        <f>Sales[[#This Row],[Selling Rate]]*Sales[[#This Row],[Qty]]</f>
        <v>367920</v>
      </c>
      <c r="J3453" s="43">
        <v>0.15</v>
      </c>
      <c r="K3453" s="44">
        <f>Sales[[#This Row],[Gross Amount]]*Sales[[#This Row],[Disc %]]</f>
        <v>55188</v>
      </c>
      <c r="L3453" s="43">
        <v>0.18</v>
      </c>
      <c r="M3453" s="44">
        <f>(Sales[[#This Row],[Gross Amount]]-Sales[[#This Row],[Disc. Amt.]])*Sales[[#This Row],[GST %]]</f>
        <v>56291.759999999995</v>
      </c>
      <c r="N3453" s="161">
        <f>Sales[[#This Row],[Gross Amount]]-Sales[[#This Row],[Disc. Amt.]]+Sales[[#This Row],[GST Amount]]</f>
        <v>369023.76</v>
      </c>
      <c r="O3453" s="158" t="s">
        <v>3561</v>
      </c>
      <c r="P3453" s="158" t="s">
        <v>3562</v>
      </c>
      <c r="Q3453" s="160">
        <f>IF(Sales[[#This Row],[Status]]="Cancelled",0,Sales[[#This Row],[Qty]])</f>
        <v>8</v>
      </c>
      <c r="R3453" s="161">
        <f>IF(Sales[[#This Row],[Status]]="Cancelled",0,Sales[[#This Row],[Total Amount]])</f>
        <v>369023.76</v>
      </c>
      <c r="S3453" s="162">
        <f>SUM(Sales[Net Amount])</f>
        <v>406839287.73200053</v>
      </c>
    </row>
    <row r="3454" spans="1:19" ht="18.75" x14ac:dyDescent="0.25">
      <c r="A3454" s="163" t="s">
        <v>7117</v>
      </c>
      <c r="B3454" s="164">
        <v>45950</v>
      </c>
      <c r="C3454" s="34" t="s">
        <v>890</v>
      </c>
      <c r="D3454" s="53" t="str">
        <f>VLOOKUP(Sales[[#This Row],[Customer ID]],Customer[#All],2,0)</f>
        <v>Rakesh Patel</v>
      </c>
      <c r="E3454" s="34" t="s">
        <v>350</v>
      </c>
      <c r="F3454" s="34" t="str">
        <f>VLOOKUP(Sales[[#This Row],[Product ID]],Product[#All],2,0)</f>
        <v>Apc UPS</v>
      </c>
      <c r="G3454" s="53">
        <v>3</v>
      </c>
      <c r="H3454" s="165">
        <f>VLOOKUP(Sales[[#This Row],[Product ID]],Product[#All],7,0)</f>
        <v>18110</v>
      </c>
      <c r="I3454" s="165">
        <f>Sales[[#This Row],[Selling Rate]]*Sales[[#This Row],[Qty]]</f>
        <v>54330</v>
      </c>
      <c r="J3454" s="45">
        <v>0.15</v>
      </c>
      <c r="K3454" s="46">
        <f>Sales[[#This Row],[Gross Amount]]*Sales[[#This Row],[Disc %]]</f>
        <v>8149.5</v>
      </c>
      <c r="L3454" s="43">
        <v>0.18</v>
      </c>
      <c r="M3454" s="46">
        <f>(Sales[[#This Row],[Gross Amount]]-Sales[[#This Row],[Disc. Amt.]])*Sales[[#This Row],[GST %]]</f>
        <v>8312.49</v>
      </c>
      <c r="N3454" s="161">
        <f>Sales[[#This Row],[Gross Amount]]-Sales[[#This Row],[Disc. Amt.]]+Sales[[#This Row],[GST Amount]]</f>
        <v>54492.99</v>
      </c>
      <c r="O3454" s="34" t="s">
        <v>8876</v>
      </c>
      <c r="P3454" s="34" t="s">
        <v>1040</v>
      </c>
      <c r="Q3454" s="165">
        <f>IF(Sales[[#This Row],[Status]]="Cancelled",0,Sales[[#This Row],[Qty]])</f>
        <v>0</v>
      </c>
      <c r="R3454" s="166">
        <f>IF(Sales[[#This Row],[Status]]="Cancelled",0,Sales[[#This Row],[Total Amount]])</f>
        <v>0</v>
      </c>
      <c r="S3454" s="162">
        <f>SUM(Sales[Net Amount])</f>
        <v>406839287.73200053</v>
      </c>
    </row>
    <row r="3455" spans="1:19" ht="18.75" x14ac:dyDescent="0.25">
      <c r="A3455" s="156" t="s">
        <v>7118</v>
      </c>
      <c r="B3455" s="157">
        <v>45950</v>
      </c>
      <c r="C3455" s="158" t="s">
        <v>803</v>
      </c>
      <c r="D3455" s="159" t="str">
        <f>VLOOKUP(Sales[[#This Row],[Customer ID]],Customer[#All],2,0)</f>
        <v>Pooja Singh</v>
      </c>
      <c r="E3455" s="158" t="s">
        <v>306</v>
      </c>
      <c r="F3455" s="158" t="str">
        <f>VLOOKUP(Sales[[#This Row],[Product ID]],Product[#All],2,0)</f>
        <v>Portronics USB Cable</v>
      </c>
      <c r="G3455" s="159">
        <v>7</v>
      </c>
      <c r="H3455" s="160">
        <f>VLOOKUP(Sales[[#This Row],[Product ID]],Product[#All],7,0)</f>
        <v>200</v>
      </c>
      <c r="I3455" s="160">
        <f>Sales[[#This Row],[Selling Rate]]*Sales[[#This Row],[Qty]]</f>
        <v>1400</v>
      </c>
      <c r="J3455" s="43">
        <v>0.1</v>
      </c>
      <c r="K3455" s="44">
        <f>Sales[[#This Row],[Gross Amount]]*Sales[[#This Row],[Disc %]]</f>
        <v>140</v>
      </c>
      <c r="L3455" s="43">
        <v>0.18</v>
      </c>
      <c r="M3455" s="44">
        <f>(Sales[[#This Row],[Gross Amount]]-Sales[[#This Row],[Disc. Amt.]])*Sales[[#This Row],[GST %]]</f>
        <v>226.79999999999998</v>
      </c>
      <c r="N3455" s="161">
        <f>Sales[[#This Row],[Gross Amount]]-Sales[[#This Row],[Disc. Amt.]]+Sales[[#This Row],[GST Amount]]</f>
        <v>1486.8</v>
      </c>
      <c r="O3455" s="158" t="s">
        <v>8876</v>
      </c>
      <c r="P3455" s="158" t="s">
        <v>3562</v>
      </c>
      <c r="Q3455" s="160">
        <f>IF(Sales[[#This Row],[Status]]="Cancelled",0,Sales[[#This Row],[Qty]])</f>
        <v>7</v>
      </c>
      <c r="R3455" s="161">
        <f>IF(Sales[[#This Row],[Status]]="Cancelled",0,Sales[[#This Row],[Total Amount]])</f>
        <v>1486.8</v>
      </c>
      <c r="S3455" s="162">
        <f>SUM(Sales[Net Amount])</f>
        <v>406839287.73200053</v>
      </c>
    </row>
    <row r="3456" spans="1:19" ht="18.75" x14ac:dyDescent="0.25">
      <c r="A3456" s="163" t="s">
        <v>7119</v>
      </c>
      <c r="B3456" s="164">
        <v>45950</v>
      </c>
      <c r="C3456" s="34" t="s">
        <v>827</v>
      </c>
      <c r="D3456" s="53" t="str">
        <f>VLOOKUP(Sales[[#This Row],[Customer ID]],Customer[#All],2,0)</f>
        <v>Ankit Gupta</v>
      </c>
      <c r="E3456" s="34" t="s">
        <v>421</v>
      </c>
      <c r="F3456" s="34" t="str">
        <f>VLOOKUP(Sales[[#This Row],[Product ID]],Product[#All],2,0)</f>
        <v>Portronics USB Cable</v>
      </c>
      <c r="G3456" s="53">
        <v>2</v>
      </c>
      <c r="H3456" s="165">
        <f>VLOOKUP(Sales[[#This Row],[Product ID]],Product[#All],7,0)</f>
        <v>270</v>
      </c>
      <c r="I3456" s="165">
        <f>Sales[[#This Row],[Selling Rate]]*Sales[[#This Row],[Qty]]</f>
        <v>540</v>
      </c>
      <c r="J3456" s="45">
        <v>0.05</v>
      </c>
      <c r="K3456" s="46">
        <f>Sales[[#This Row],[Gross Amount]]*Sales[[#This Row],[Disc %]]</f>
        <v>27</v>
      </c>
      <c r="L3456" s="43">
        <v>0.18</v>
      </c>
      <c r="M3456" s="46">
        <f>(Sales[[#This Row],[Gross Amount]]-Sales[[#This Row],[Disc. Amt.]])*Sales[[#This Row],[GST %]]</f>
        <v>92.34</v>
      </c>
      <c r="N3456" s="161">
        <f>Sales[[#This Row],[Gross Amount]]-Sales[[#This Row],[Disc. Amt.]]+Sales[[#This Row],[GST Amount]]</f>
        <v>605.34</v>
      </c>
      <c r="O3456" s="34" t="s">
        <v>8876</v>
      </c>
      <c r="P3456" s="34" t="s">
        <v>3562</v>
      </c>
      <c r="Q3456" s="165">
        <f>IF(Sales[[#This Row],[Status]]="Cancelled",0,Sales[[#This Row],[Qty]])</f>
        <v>2</v>
      </c>
      <c r="R3456" s="166">
        <f>IF(Sales[[#This Row],[Status]]="Cancelled",0,Sales[[#This Row],[Total Amount]])</f>
        <v>605.34</v>
      </c>
      <c r="S3456" s="162">
        <f>SUM(Sales[Net Amount])</f>
        <v>406839287.73200053</v>
      </c>
    </row>
    <row r="3457" spans="1:19" ht="18.75" x14ac:dyDescent="0.25">
      <c r="A3457" s="156" t="s">
        <v>7120</v>
      </c>
      <c r="B3457" s="157">
        <v>45950</v>
      </c>
      <c r="C3457" s="158" t="s">
        <v>705</v>
      </c>
      <c r="D3457" s="159" t="str">
        <f>VLOOKUP(Sales[[#This Row],[Customer ID]],Customer[#All],2,0)</f>
        <v>Priya Verma</v>
      </c>
      <c r="E3457" s="158" t="s">
        <v>96</v>
      </c>
      <c r="F3457" s="158" t="str">
        <f>VLOOKUP(Sales[[#This Row],[Product ID]],Product[#All],2,0)</f>
        <v>Corsair Ram</v>
      </c>
      <c r="G3457" s="159">
        <v>6</v>
      </c>
      <c r="H3457" s="160">
        <f>VLOOKUP(Sales[[#This Row],[Product ID]],Product[#All],7,0)</f>
        <v>4570</v>
      </c>
      <c r="I3457" s="160">
        <f>Sales[[#This Row],[Selling Rate]]*Sales[[#This Row],[Qty]]</f>
        <v>27420</v>
      </c>
      <c r="J3457" s="43">
        <v>0.1</v>
      </c>
      <c r="K3457" s="44">
        <f>Sales[[#This Row],[Gross Amount]]*Sales[[#This Row],[Disc %]]</f>
        <v>2742</v>
      </c>
      <c r="L3457" s="43">
        <v>0.18</v>
      </c>
      <c r="M3457" s="44">
        <f>(Sales[[#This Row],[Gross Amount]]-Sales[[#This Row],[Disc. Amt.]])*Sales[[#This Row],[GST %]]</f>
        <v>4442.04</v>
      </c>
      <c r="N3457" s="161">
        <f>Sales[[#This Row],[Gross Amount]]-Sales[[#This Row],[Disc. Amt.]]+Sales[[#This Row],[GST Amount]]</f>
        <v>29120.04</v>
      </c>
      <c r="O3457" s="158" t="s">
        <v>3566</v>
      </c>
      <c r="P3457" s="158" t="s">
        <v>3562</v>
      </c>
      <c r="Q3457" s="160">
        <f>IF(Sales[[#This Row],[Status]]="Cancelled",0,Sales[[#This Row],[Qty]])</f>
        <v>6</v>
      </c>
      <c r="R3457" s="161">
        <f>IF(Sales[[#This Row],[Status]]="Cancelled",0,Sales[[#This Row],[Total Amount]])</f>
        <v>29120.04</v>
      </c>
      <c r="S3457" s="162">
        <f>SUM(Sales[Net Amount])</f>
        <v>406839287.73200053</v>
      </c>
    </row>
    <row r="3458" spans="1:19" ht="18.75" x14ac:dyDescent="0.25">
      <c r="A3458" s="163" t="s">
        <v>7121</v>
      </c>
      <c r="B3458" s="164">
        <v>45950</v>
      </c>
      <c r="C3458" s="34" t="s">
        <v>753</v>
      </c>
      <c r="D3458" s="53" t="str">
        <f>VLOOKUP(Sales[[#This Row],[Customer ID]],Customer[#All],2,0)</f>
        <v>Sunita Gupta</v>
      </c>
      <c r="E3458" s="34" t="s">
        <v>437</v>
      </c>
      <c r="F3458" s="34" t="str">
        <f>VLOOKUP(Sales[[#This Row],[Product ID]],Product[#All],2,0)</f>
        <v>Boat Headset</v>
      </c>
      <c r="G3458" s="53">
        <v>6</v>
      </c>
      <c r="H3458" s="165">
        <f>VLOOKUP(Sales[[#This Row],[Product ID]],Product[#All],7,0)</f>
        <v>3260</v>
      </c>
      <c r="I3458" s="165">
        <f>Sales[[#This Row],[Selling Rate]]*Sales[[#This Row],[Qty]]</f>
        <v>19560</v>
      </c>
      <c r="J3458" s="45">
        <v>0.1</v>
      </c>
      <c r="K3458" s="46">
        <f>Sales[[#This Row],[Gross Amount]]*Sales[[#This Row],[Disc %]]</f>
        <v>1956</v>
      </c>
      <c r="L3458" s="43">
        <v>0.18</v>
      </c>
      <c r="M3458" s="46">
        <f>(Sales[[#This Row],[Gross Amount]]-Sales[[#This Row],[Disc. Amt.]])*Sales[[#This Row],[GST %]]</f>
        <v>3168.72</v>
      </c>
      <c r="N3458" s="161">
        <f>Sales[[#This Row],[Gross Amount]]-Sales[[#This Row],[Disc. Amt.]]+Sales[[#This Row],[GST Amount]]</f>
        <v>20772.72</v>
      </c>
      <c r="O3458" s="34" t="s">
        <v>3566</v>
      </c>
      <c r="P3458" s="34" t="s">
        <v>3562</v>
      </c>
      <c r="Q3458" s="165">
        <f>IF(Sales[[#This Row],[Status]]="Cancelled",0,Sales[[#This Row],[Qty]])</f>
        <v>6</v>
      </c>
      <c r="R3458" s="166">
        <f>IF(Sales[[#This Row],[Status]]="Cancelled",0,Sales[[#This Row],[Total Amount]])</f>
        <v>20772.72</v>
      </c>
      <c r="S3458" s="162">
        <f>SUM(Sales[Net Amount])</f>
        <v>406839287.73200053</v>
      </c>
    </row>
    <row r="3459" spans="1:19" ht="18.75" x14ac:dyDescent="0.25">
      <c r="A3459" s="156" t="s">
        <v>7122</v>
      </c>
      <c r="B3459" s="157">
        <v>45950</v>
      </c>
      <c r="C3459" s="158" t="s">
        <v>744</v>
      </c>
      <c r="D3459" s="159" t="str">
        <f>VLOOKUP(Sales[[#This Row],[Customer ID]],Customer[#All],2,0)</f>
        <v>Rakesh Patel</v>
      </c>
      <c r="E3459" s="158" t="s">
        <v>361</v>
      </c>
      <c r="F3459" s="158" t="str">
        <f>VLOOKUP(Sales[[#This Row],[Product ID]],Product[#All],2,0)</f>
        <v>Epson Printer</v>
      </c>
      <c r="G3459" s="159">
        <v>7</v>
      </c>
      <c r="H3459" s="160">
        <f>VLOOKUP(Sales[[#This Row],[Product ID]],Product[#All],7,0)</f>
        <v>26570</v>
      </c>
      <c r="I3459" s="160">
        <f>Sales[[#This Row],[Selling Rate]]*Sales[[#This Row],[Qty]]</f>
        <v>185990</v>
      </c>
      <c r="J3459" s="43">
        <v>0.15</v>
      </c>
      <c r="K3459" s="44">
        <f>Sales[[#This Row],[Gross Amount]]*Sales[[#This Row],[Disc %]]</f>
        <v>27898.5</v>
      </c>
      <c r="L3459" s="43">
        <v>0.18</v>
      </c>
      <c r="M3459" s="44">
        <f>(Sales[[#This Row],[Gross Amount]]-Sales[[#This Row],[Disc. Amt.]])*Sales[[#This Row],[GST %]]</f>
        <v>28456.469999999998</v>
      </c>
      <c r="N3459" s="161">
        <f>Sales[[#This Row],[Gross Amount]]-Sales[[#This Row],[Disc. Amt.]]+Sales[[#This Row],[GST Amount]]</f>
        <v>186547.97</v>
      </c>
      <c r="O3459" s="158" t="s">
        <v>3569</v>
      </c>
      <c r="P3459" s="158" t="s">
        <v>3562</v>
      </c>
      <c r="Q3459" s="160">
        <f>IF(Sales[[#This Row],[Status]]="Cancelled",0,Sales[[#This Row],[Qty]])</f>
        <v>7</v>
      </c>
      <c r="R3459" s="161">
        <f>IF(Sales[[#This Row],[Status]]="Cancelled",0,Sales[[#This Row],[Total Amount]])</f>
        <v>186547.97</v>
      </c>
      <c r="S3459" s="162">
        <f>SUM(Sales[Net Amount])</f>
        <v>406839287.73200053</v>
      </c>
    </row>
    <row r="3460" spans="1:19" ht="18.75" x14ac:dyDescent="0.25">
      <c r="A3460" s="163" t="s">
        <v>7123</v>
      </c>
      <c r="B3460" s="164">
        <v>45951</v>
      </c>
      <c r="C3460" s="34" t="s">
        <v>944</v>
      </c>
      <c r="D3460" s="53" t="str">
        <f>VLOOKUP(Sales[[#This Row],[Customer ID]],Customer[#All],2,0)</f>
        <v>Pooja Patel</v>
      </c>
      <c r="E3460" s="34" t="s">
        <v>292</v>
      </c>
      <c r="F3460" s="34" t="str">
        <f>VLOOKUP(Sales[[#This Row],[Product ID]],Product[#All],2,0)</f>
        <v>Microtek UPS</v>
      </c>
      <c r="G3460" s="53">
        <v>8</v>
      </c>
      <c r="H3460" s="165">
        <f>VLOOKUP(Sales[[#This Row],[Product ID]],Product[#All],7,0)</f>
        <v>6260</v>
      </c>
      <c r="I3460" s="165">
        <f>Sales[[#This Row],[Selling Rate]]*Sales[[#This Row],[Qty]]</f>
        <v>50080</v>
      </c>
      <c r="J3460" s="45">
        <v>0.15</v>
      </c>
      <c r="K3460" s="46">
        <f>Sales[[#This Row],[Gross Amount]]*Sales[[#This Row],[Disc %]]</f>
        <v>7512</v>
      </c>
      <c r="L3460" s="43">
        <v>0.18</v>
      </c>
      <c r="M3460" s="46">
        <f>(Sales[[#This Row],[Gross Amount]]-Sales[[#This Row],[Disc. Amt.]])*Sales[[#This Row],[GST %]]</f>
        <v>7662.24</v>
      </c>
      <c r="N3460" s="161">
        <f>Sales[[#This Row],[Gross Amount]]-Sales[[#This Row],[Disc. Amt.]]+Sales[[#This Row],[GST Amount]]</f>
        <v>50230.239999999998</v>
      </c>
      <c r="O3460" s="34" t="s">
        <v>3561</v>
      </c>
      <c r="P3460" s="34" t="s">
        <v>3562</v>
      </c>
      <c r="Q3460" s="165">
        <f>IF(Sales[[#This Row],[Status]]="Cancelled",0,Sales[[#This Row],[Qty]])</f>
        <v>8</v>
      </c>
      <c r="R3460" s="166">
        <f>IF(Sales[[#This Row],[Status]]="Cancelled",0,Sales[[#This Row],[Total Amount]])</f>
        <v>50230.239999999998</v>
      </c>
      <c r="S3460" s="162">
        <f>SUM(Sales[Net Amount])</f>
        <v>406839287.73200053</v>
      </c>
    </row>
    <row r="3461" spans="1:19" ht="18.75" x14ac:dyDescent="0.25">
      <c r="A3461" s="156" t="s">
        <v>7124</v>
      </c>
      <c r="B3461" s="157">
        <v>45951</v>
      </c>
      <c r="C3461" s="158" t="s">
        <v>890</v>
      </c>
      <c r="D3461" s="159" t="str">
        <f>VLOOKUP(Sales[[#This Row],[Customer ID]],Customer[#All],2,0)</f>
        <v>Rakesh Patel</v>
      </c>
      <c r="E3461" s="158" t="s">
        <v>311</v>
      </c>
      <c r="F3461" s="158" t="str">
        <f>VLOOKUP(Sales[[#This Row],[Product ID]],Product[#All],2,0)</f>
        <v>Logitech Keyboard</v>
      </c>
      <c r="G3461" s="159">
        <v>1</v>
      </c>
      <c r="H3461" s="160">
        <f>VLOOKUP(Sales[[#This Row],[Product ID]],Product[#All],7,0)</f>
        <v>530</v>
      </c>
      <c r="I3461" s="160">
        <f>Sales[[#This Row],[Selling Rate]]*Sales[[#This Row],[Qty]]</f>
        <v>530</v>
      </c>
      <c r="J3461" s="43">
        <v>0.02</v>
      </c>
      <c r="K3461" s="44">
        <f>Sales[[#This Row],[Gross Amount]]*Sales[[#This Row],[Disc %]]</f>
        <v>10.6</v>
      </c>
      <c r="L3461" s="43">
        <v>0.18</v>
      </c>
      <c r="M3461" s="44">
        <f>(Sales[[#This Row],[Gross Amount]]-Sales[[#This Row],[Disc. Amt.]])*Sales[[#This Row],[GST %]]</f>
        <v>93.49199999999999</v>
      </c>
      <c r="N3461" s="161">
        <f>Sales[[#This Row],[Gross Amount]]-Sales[[#This Row],[Disc. Amt.]]+Sales[[#This Row],[GST Amount]]</f>
        <v>612.89199999999994</v>
      </c>
      <c r="O3461" s="158" t="s">
        <v>3569</v>
      </c>
      <c r="P3461" s="158" t="s">
        <v>3562</v>
      </c>
      <c r="Q3461" s="160">
        <f>IF(Sales[[#This Row],[Status]]="Cancelled",0,Sales[[#This Row],[Qty]])</f>
        <v>1</v>
      </c>
      <c r="R3461" s="161">
        <f>IF(Sales[[#This Row],[Status]]="Cancelled",0,Sales[[#This Row],[Total Amount]])</f>
        <v>612.89199999999994</v>
      </c>
      <c r="S3461" s="162">
        <f>SUM(Sales[Net Amount])</f>
        <v>406839287.73200053</v>
      </c>
    </row>
    <row r="3462" spans="1:19" ht="18.75" x14ac:dyDescent="0.25">
      <c r="A3462" s="163" t="s">
        <v>7125</v>
      </c>
      <c r="B3462" s="164">
        <v>45951</v>
      </c>
      <c r="C3462" s="34" t="s">
        <v>728</v>
      </c>
      <c r="D3462" s="53" t="str">
        <f>VLOOKUP(Sales[[#This Row],[Customer ID]],Customer[#All],2,0)</f>
        <v>Rahul Gupta</v>
      </c>
      <c r="E3462" s="34" t="s">
        <v>384</v>
      </c>
      <c r="F3462" s="34" t="str">
        <f>VLOOKUP(Sales[[#This Row],[Product ID]],Product[#All],2,0)</f>
        <v>Samsung Ssd</v>
      </c>
      <c r="G3462" s="53">
        <v>5</v>
      </c>
      <c r="H3462" s="165">
        <f>VLOOKUP(Sales[[#This Row],[Product ID]],Product[#All],7,0)</f>
        <v>14770</v>
      </c>
      <c r="I3462" s="165">
        <f>Sales[[#This Row],[Selling Rate]]*Sales[[#This Row],[Qty]]</f>
        <v>73850</v>
      </c>
      <c r="J3462" s="45">
        <v>0</v>
      </c>
      <c r="K3462" s="46">
        <f>Sales[[#This Row],[Gross Amount]]*Sales[[#This Row],[Disc %]]</f>
        <v>0</v>
      </c>
      <c r="L3462" s="43">
        <v>0.18</v>
      </c>
      <c r="M3462" s="46">
        <f>(Sales[[#This Row],[Gross Amount]]-Sales[[#This Row],[Disc. Amt.]])*Sales[[#This Row],[GST %]]</f>
        <v>13293</v>
      </c>
      <c r="N3462" s="161">
        <f>Sales[[#This Row],[Gross Amount]]-Sales[[#This Row],[Disc. Amt.]]+Sales[[#This Row],[GST Amount]]</f>
        <v>87143</v>
      </c>
      <c r="O3462" s="34" t="s">
        <v>3569</v>
      </c>
      <c r="P3462" s="34" t="s">
        <v>3562</v>
      </c>
      <c r="Q3462" s="165">
        <f>IF(Sales[[#This Row],[Status]]="Cancelled",0,Sales[[#This Row],[Qty]])</f>
        <v>5</v>
      </c>
      <c r="R3462" s="166">
        <f>IF(Sales[[#This Row],[Status]]="Cancelled",0,Sales[[#This Row],[Total Amount]])</f>
        <v>87143</v>
      </c>
      <c r="S3462" s="162">
        <f>SUM(Sales[Net Amount])</f>
        <v>406839287.73200053</v>
      </c>
    </row>
    <row r="3463" spans="1:19" ht="18.75" x14ac:dyDescent="0.25">
      <c r="A3463" s="156" t="s">
        <v>7126</v>
      </c>
      <c r="B3463" s="157">
        <v>45951</v>
      </c>
      <c r="C3463" s="158" t="s">
        <v>891</v>
      </c>
      <c r="D3463" s="159" t="str">
        <f>VLOOKUP(Sales[[#This Row],[Customer ID]],Customer[#All],2,0)</f>
        <v>Pooja Verma</v>
      </c>
      <c r="E3463" s="158" t="s">
        <v>75</v>
      </c>
      <c r="F3463" s="158" t="str">
        <f>VLOOKUP(Sales[[#This Row],[Product ID]],Product[#All],2,0)</f>
        <v>Samsung Monitor</v>
      </c>
      <c r="G3463" s="159">
        <v>7</v>
      </c>
      <c r="H3463" s="160">
        <f>VLOOKUP(Sales[[#This Row],[Product ID]],Product[#All],7,0)</f>
        <v>30810</v>
      </c>
      <c r="I3463" s="160">
        <f>Sales[[#This Row],[Selling Rate]]*Sales[[#This Row],[Qty]]</f>
        <v>215670</v>
      </c>
      <c r="J3463" s="43">
        <v>0</v>
      </c>
      <c r="K3463" s="44">
        <f>Sales[[#This Row],[Gross Amount]]*Sales[[#This Row],[Disc %]]</f>
        <v>0</v>
      </c>
      <c r="L3463" s="43">
        <v>0.18</v>
      </c>
      <c r="M3463" s="44">
        <f>(Sales[[#This Row],[Gross Amount]]-Sales[[#This Row],[Disc. Amt.]])*Sales[[#This Row],[GST %]]</f>
        <v>38820.6</v>
      </c>
      <c r="N3463" s="161">
        <f>Sales[[#This Row],[Gross Amount]]-Sales[[#This Row],[Disc. Amt.]]+Sales[[#This Row],[GST Amount]]</f>
        <v>254490.6</v>
      </c>
      <c r="O3463" s="158" t="s">
        <v>3566</v>
      </c>
      <c r="P3463" s="158" t="s">
        <v>3562</v>
      </c>
      <c r="Q3463" s="160">
        <f>IF(Sales[[#This Row],[Status]]="Cancelled",0,Sales[[#This Row],[Qty]])</f>
        <v>7</v>
      </c>
      <c r="R3463" s="161">
        <f>IF(Sales[[#This Row],[Status]]="Cancelled",0,Sales[[#This Row],[Total Amount]])</f>
        <v>254490.6</v>
      </c>
      <c r="S3463" s="162">
        <f>SUM(Sales[Net Amount])</f>
        <v>406839287.73200053</v>
      </c>
    </row>
    <row r="3464" spans="1:19" ht="18.75" x14ac:dyDescent="0.25">
      <c r="A3464" s="163" t="s">
        <v>7127</v>
      </c>
      <c r="B3464" s="164">
        <v>45951</v>
      </c>
      <c r="C3464" s="34" t="s">
        <v>779</v>
      </c>
      <c r="D3464" s="53" t="str">
        <f>VLOOKUP(Sales[[#This Row],[Customer ID]],Customer[#All],2,0)</f>
        <v>Rakesh Verma</v>
      </c>
      <c r="E3464" s="34" t="s">
        <v>543</v>
      </c>
      <c r="F3464" s="34" t="str">
        <f>VLOOKUP(Sales[[#This Row],[Product ID]],Product[#All],2,0)</f>
        <v>Logitech Mouse</v>
      </c>
      <c r="G3464" s="53">
        <v>3</v>
      </c>
      <c r="H3464" s="165">
        <f>VLOOKUP(Sales[[#This Row],[Product ID]],Product[#All],7,0)</f>
        <v>2430</v>
      </c>
      <c r="I3464" s="165">
        <f>Sales[[#This Row],[Selling Rate]]*Sales[[#This Row],[Qty]]</f>
        <v>7290</v>
      </c>
      <c r="J3464" s="45">
        <v>0.05</v>
      </c>
      <c r="K3464" s="46">
        <f>Sales[[#This Row],[Gross Amount]]*Sales[[#This Row],[Disc %]]</f>
        <v>364.5</v>
      </c>
      <c r="L3464" s="43">
        <v>0.18</v>
      </c>
      <c r="M3464" s="46">
        <f>(Sales[[#This Row],[Gross Amount]]-Sales[[#This Row],[Disc. Amt.]])*Sales[[#This Row],[GST %]]</f>
        <v>1246.5899999999999</v>
      </c>
      <c r="N3464" s="161">
        <f>Sales[[#This Row],[Gross Amount]]-Sales[[#This Row],[Disc. Amt.]]+Sales[[#This Row],[GST Amount]]</f>
        <v>8172.09</v>
      </c>
      <c r="O3464" s="34" t="s">
        <v>3569</v>
      </c>
      <c r="P3464" s="34" t="s">
        <v>3562</v>
      </c>
      <c r="Q3464" s="165">
        <f>IF(Sales[[#This Row],[Status]]="Cancelled",0,Sales[[#This Row],[Qty]])</f>
        <v>3</v>
      </c>
      <c r="R3464" s="166">
        <f>IF(Sales[[#This Row],[Status]]="Cancelled",0,Sales[[#This Row],[Total Amount]])</f>
        <v>8172.09</v>
      </c>
      <c r="S3464" s="162">
        <f>SUM(Sales[Net Amount])</f>
        <v>406839287.73200053</v>
      </c>
    </row>
    <row r="3465" spans="1:19" ht="18.75" x14ac:dyDescent="0.25">
      <c r="A3465" s="156" t="s">
        <v>7128</v>
      </c>
      <c r="B3465" s="157">
        <v>45951</v>
      </c>
      <c r="C3465" s="158" t="s">
        <v>718</v>
      </c>
      <c r="D3465" s="159" t="str">
        <f>VLOOKUP(Sales[[#This Row],[Customer ID]],Customer[#All],2,0)</f>
        <v>Rakesh Patel</v>
      </c>
      <c r="E3465" s="158" t="s">
        <v>280</v>
      </c>
      <c r="F3465" s="158" t="str">
        <f>VLOOKUP(Sales[[#This Row],[Product ID]],Product[#All],2,0)</f>
        <v>Epson Printer</v>
      </c>
      <c r="G3465" s="159">
        <v>8</v>
      </c>
      <c r="H3465" s="160">
        <f>VLOOKUP(Sales[[#This Row],[Product ID]],Product[#All],7,0)</f>
        <v>34550</v>
      </c>
      <c r="I3465" s="160">
        <f>Sales[[#This Row],[Selling Rate]]*Sales[[#This Row],[Qty]]</f>
        <v>276400</v>
      </c>
      <c r="J3465" s="43">
        <v>0</v>
      </c>
      <c r="K3465" s="44">
        <f>Sales[[#This Row],[Gross Amount]]*Sales[[#This Row],[Disc %]]</f>
        <v>0</v>
      </c>
      <c r="L3465" s="43">
        <v>0.18</v>
      </c>
      <c r="M3465" s="44">
        <f>(Sales[[#This Row],[Gross Amount]]-Sales[[#This Row],[Disc. Amt.]])*Sales[[#This Row],[GST %]]</f>
        <v>49752</v>
      </c>
      <c r="N3465" s="161">
        <f>Sales[[#This Row],[Gross Amount]]-Sales[[#This Row],[Disc. Amt.]]+Sales[[#This Row],[GST Amount]]</f>
        <v>326152</v>
      </c>
      <c r="O3465" s="158" t="s">
        <v>8876</v>
      </c>
      <c r="P3465" s="158" t="s">
        <v>3562</v>
      </c>
      <c r="Q3465" s="160">
        <f>IF(Sales[[#This Row],[Status]]="Cancelled",0,Sales[[#This Row],[Qty]])</f>
        <v>8</v>
      </c>
      <c r="R3465" s="161">
        <f>IF(Sales[[#This Row],[Status]]="Cancelled",0,Sales[[#This Row],[Total Amount]])</f>
        <v>326152</v>
      </c>
      <c r="S3465" s="162">
        <f>SUM(Sales[Net Amount])</f>
        <v>406839287.73200053</v>
      </c>
    </row>
    <row r="3466" spans="1:19" ht="18.75" x14ac:dyDescent="0.25">
      <c r="A3466" s="163" t="s">
        <v>7129</v>
      </c>
      <c r="B3466" s="164">
        <v>45951</v>
      </c>
      <c r="C3466" s="34" t="s">
        <v>861</v>
      </c>
      <c r="D3466" s="53" t="str">
        <f>VLOOKUP(Sales[[#This Row],[Customer ID]],Customer[#All],2,0)</f>
        <v>Rakesh Patel</v>
      </c>
      <c r="E3466" s="34" t="s">
        <v>84</v>
      </c>
      <c r="F3466" s="34" t="str">
        <f>VLOOKUP(Sales[[#This Row],[Product ID]],Product[#All],2,0)</f>
        <v>HP Mouse</v>
      </c>
      <c r="G3466" s="53">
        <v>1</v>
      </c>
      <c r="H3466" s="165">
        <f>VLOOKUP(Sales[[#This Row],[Product ID]],Product[#All],7,0)</f>
        <v>1240</v>
      </c>
      <c r="I3466" s="165">
        <f>Sales[[#This Row],[Selling Rate]]*Sales[[#This Row],[Qty]]</f>
        <v>1240</v>
      </c>
      <c r="J3466" s="45">
        <v>0</v>
      </c>
      <c r="K3466" s="46">
        <f>Sales[[#This Row],[Gross Amount]]*Sales[[#This Row],[Disc %]]</f>
        <v>0</v>
      </c>
      <c r="L3466" s="43">
        <v>0.18</v>
      </c>
      <c r="M3466" s="46">
        <f>(Sales[[#This Row],[Gross Amount]]-Sales[[#This Row],[Disc. Amt.]])*Sales[[#This Row],[GST %]]</f>
        <v>223.2</v>
      </c>
      <c r="N3466" s="161">
        <f>Sales[[#This Row],[Gross Amount]]-Sales[[#This Row],[Disc. Amt.]]+Sales[[#This Row],[GST Amount]]</f>
        <v>1463.2</v>
      </c>
      <c r="O3466" s="34" t="s">
        <v>3566</v>
      </c>
      <c r="P3466" s="34" t="s">
        <v>3562</v>
      </c>
      <c r="Q3466" s="165">
        <f>IF(Sales[[#This Row],[Status]]="Cancelled",0,Sales[[#This Row],[Qty]])</f>
        <v>1</v>
      </c>
      <c r="R3466" s="166">
        <f>IF(Sales[[#This Row],[Status]]="Cancelled",0,Sales[[#This Row],[Total Amount]])</f>
        <v>1463.2</v>
      </c>
      <c r="S3466" s="162">
        <f>SUM(Sales[Net Amount])</f>
        <v>406839287.73200053</v>
      </c>
    </row>
    <row r="3467" spans="1:19" ht="18.75" x14ac:dyDescent="0.25">
      <c r="A3467" s="156" t="s">
        <v>7130</v>
      </c>
      <c r="B3467" s="157">
        <v>45951</v>
      </c>
      <c r="C3467" s="158" t="s">
        <v>688</v>
      </c>
      <c r="D3467" s="159" t="str">
        <f>VLOOKUP(Sales[[#This Row],[Customer ID]],Customer[#All],2,0)</f>
        <v>Rahul Verma</v>
      </c>
      <c r="E3467" s="158" t="s">
        <v>317</v>
      </c>
      <c r="F3467" s="158" t="str">
        <f>VLOOKUP(Sales[[#This Row],[Product ID]],Product[#All],2,0)</f>
        <v>Amazon Basics Hdmi Cable</v>
      </c>
      <c r="G3467" s="159">
        <v>7</v>
      </c>
      <c r="H3467" s="160">
        <f>VLOOKUP(Sales[[#This Row],[Product ID]],Product[#All],7,0)</f>
        <v>1010</v>
      </c>
      <c r="I3467" s="160">
        <f>Sales[[#This Row],[Selling Rate]]*Sales[[#This Row],[Qty]]</f>
        <v>7070</v>
      </c>
      <c r="J3467" s="43">
        <v>0.15</v>
      </c>
      <c r="K3467" s="44">
        <f>Sales[[#This Row],[Gross Amount]]*Sales[[#This Row],[Disc %]]</f>
        <v>1060.5</v>
      </c>
      <c r="L3467" s="43">
        <v>0.18</v>
      </c>
      <c r="M3467" s="44">
        <f>(Sales[[#This Row],[Gross Amount]]-Sales[[#This Row],[Disc. Amt.]])*Sales[[#This Row],[GST %]]</f>
        <v>1081.71</v>
      </c>
      <c r="N3467" s="161">
        <f>Sales[[#This Row],[Gross Amount]]-Sales[[#This Row],[Disc. Amt.]]+Sales[[#This Row],[GST Amount]]</f>
        <v>7091.21</v>
      </c>
      <c r="O3467" s="158" t="s">
        <v>8876</v>
      </c>
      <c r="P3467" s="158" t="s">
        <v>3562</v>
      </c>
      <c r="Q3467" s="160">
        <f>IF(Sales[[#This Row],[Status]]="Cancelled",0,Sales[[#This Row],[Qty]])</f>
        <v>7</v>
      </c>
      <c r="R3467" s="161">
        <f>IF(Sales[[#This Row],[Status]]="Cancelled",0,Sales[[#This Row],[Total Amount]])</f>
        <v>7091.21</v>
      </c>
      <c r="S3467" s="162">
        <f>SUM(Sales[Net Amount])</f>
        <v>406839287.73200053</v>
      </c>
    </row>
    <row r="3468" spans="1:19" ht="18.75" x14ac:dyDescent="0.25">
      <c r="A3468" s="163" t="s">
        <v>7131</v>
      </c>
      <c r="B3468" s="164">
        <v>45951</v>
      </c>
      <c r="C3468" s="34" t="s">
        <v>937</v>
      </c>
      <c r="D3468" s="53" t="str">
        <f>VLOOKUP(Sales[[#This Row],[Customer ID]],Customer[#All],2,0)</f>
        <v>Rahul Singh</v>
      </c>
      <c r="E3468" s="34" t="s">
        <v>431</v>
      </c>
      <c r="F3468" s="34" t="str">
        <f>VLOOKUP(Sales[[#This Row],[Product ID]],Product[#All],2,0)</f>
        <v>Canon Printer</v>
      </c>
      <c r="G3468" s="53">
        <v>6</v>
      </c>
      <c r="H3468" s="165">
        <f>VLOOKUP(Sales[[#This Row],[Product ID]],Product[#All],7,0)</f>
        <v>17260</v>
      </c>
      <c r="I3468" s="165">
        <f>Sales[[#This Row],[Selling Rate]]*Sales[[#This Row],[Qty]]</f>
        <v>103560</v>
      </c>
      <c r="J3468" s="45">
        <v>0.05</v>
      </c>
      <c r="K3468" s="46">
        <f>Sales[[#This Row],[Gross Amount]]*Sales[[#This Row],[Disc %]]</f>
        <v>5178</v>
      </c>
      <c r="L3468" s="43">
        <v>0.18</v>
      </c>
      <c r="M3468" s="46">
        <f>(Sales[[#This Row],[Gross Amount]]-Sales[[#This Row],[Disc. Amt.]])*Sales[[#This Row],[GST %]]</f>
        <v>17708.759999999998</v>
      </c>
      <c r="N3468" s="161">
        <f>Sales[[#This Row],[Gross Amount]]-Sales[[#This Row],[Disc. Amt.]]+Sales[[#This Row],[GST Amount]]</f>
        <v>116090.76</v>
      </c>
      <c r="O3468" s="34" t="s">
        <v>3561</v>
      </c>
      <c r="P3468" s="34" t="s">
        <v>3562</v>
      </c>
      <c r="Q3468" s="165">
        <f>IF(Sales[[#This Row],[Status]]="Cancelled",0,Sales[[#This Row],[Qty]])</f>
        <v>6</v>
      </c>
      <c r="R3468" s="166">
        <f>IF(Sales[[#This Row],[Status]]="Cancelled",0,Sales[[#This Row],[Total Amount]])</f>
        <v>116090.76</v>
      </c>
      <c r="S3468" s="162">
        <f>SUM(Sales[Net Amount])</f>
        <v>406839287.73200053</v>
      </c>
    </row>
    <row r="3469" spans="1:19" ht="18.75" x14ac:dyDescent="0.25">
      <c r="A3469" s="156" t="s">
        <v>7132</v>
      </c>
      <c r="B3469" s="157">
        <v>45951</v>
      </c>
      <c r="C3469" s="158" t="s">
        <v>790</v>
      </c>
      <c r="D3469" s="159" t="str">
        <f>VLOOKUP(Sales[[#This Row],[Customer ID]],Customer[#All],2,0)</f>
        <v>Pooja Gupta</v>
      </c>
      <c r="E3469" s="158" t="s">
        <v>128</v>
      </c>
      <c r="F3469" s="158" t="str">
        <f>VLOOKUP(Sales[[#This Row],[Product ID]],Product[#All],2,0)</f>
        <v>American TouristerLaptopBag</v>
      </c>
      <c r="G3469" s="159">
        <v>1</v>
      </c>
      <c r="H3469" s="160">
        <f>VLOOKUP(Sales[[#This Row],[Product ID]],Product[#All],7,0)</f>
        <v>2990</v>
      </c>
      <c r="I3469" s="160">
        <f>Sales[[#This Row],[Selling Rate]]*Sales[[#This Row],[Qty]]</f>
        <v>2990</v>
      </c>
      <c r="J3469" s="43">
        <v>0.12</v>
      </c>
      <c r="K3469" s="44">
        <f>Sales[[#This Row],[Gross Amount]]*Sales[[#This Row],[Disc %]]</f>
        <v>358.8</v>
      </c>
      <c r="L3469" s="43">
        <v>0.18</v>
      </c>
      <c r="M3469" s="44">
        <f>(Sales[[#This Row],[Gross Amount]]-Sales[[#This Row],[Disc. Amt.]])*Sales[[#This Row],[GST %]]</f>
        <v>473.61599999999993</v>
      </c>
      <c r="N3469" s="161">
        <f>Sales[[#This Row],[Gross Amount]]-Sales[[#This Row],[Disc. Amt.]]+Sales[[#This Row],[GST Amount]]</f>
        <v>3104.8159999999998</v>
      </c>
      <c r="O3469" s="158" t="s">
        <v>3561</v>
      </c>
      <c r="P3469" s="158" t="s">
        <v>3562</v>
      </c>
      <c r="Q3469" s="160">
        <f>IF(Sales[[#This Row],[Status]]="Cancelled",0,Sales[[#This Row],[Qty]])</f>
        <v>1</v>
      </c>
      <c r="R3469" s="161">
        <f>IF(Sales[[#This Row],[Status]]="Cancelled",0,Sales[[#This Row],[Total Amount]])</f>
        <v>3104.8159999999998</v>
      </c>
      <c r="S3469" s="162">
        <f>SUM(Sales[Net Amount])</f>
        <v>406839287.73200053</v>
      </c>
    </row>
    <row r="3470" spans="1:19" ht="18.75" x14ac:dyDescent="0.25">
      <c r="A3470" s="163" t="s">
        <v>7133</v>
      </c>
      <c r="B3470" s="164">
        <v>45951</v>
      </c>
      <c r="C3470" s="34" t="s">
        <v>861</v>
      </c>
      <c r="D3470" s="53" t="str">
        <f>VLOOKUP(Sales[[#This Row],[Customer ID]],Customer[#All],2,0)</f>
        <v>Rakesh Patel</v>
      </c>
      <c r="E3470" s="34" t="s">
        <v>134</v>
      </c>
      <c r="F3470" s="34" t="str">
        <f>VLOOKUP(Sales[[#This Row],[Product ID]],Product[#All],2,0)</f>
        <v>Logitech Keyboard</v>
      </c>
      <c r="G3470" s="53">
        <v>8</v>
      </c>
      <c r="H3470" s="165">
        <f>VLOOKUP(Sales[[#This Row],[Product ID]],Product[#All],7,0)</f>
        <v>4130</v>
      </c>
      <c r="I3470" s="165">
        <f>Sales[[#This Row],[Selling Rate]]*Sales[[#This Row],[Qty]]</f>
        <v>33040</v>
      </c>
      <c r="J3470" s="45">
        <v>0.1</v>
      </c>
      <c r="K3470" s="46">
        <f>Sales[[#This Row],[Gross Amount]]*Sales[[#This Row],[Disc %]]</f>
        <v>3304</v>
      </c>
      <c r="L3470" s="43">
        <v>0.18</v>
      </c>
      <c r="M3470" s="46">
        <f>(Sales[[#This Row],[Gross Amount]]-Sales[[#This Row],[Disc. Amt.]])*Sales[[#This Row],[GST %]]</f>
        <v>5352.48</v>
      </c>
      <c r="N3470" s="161">
        <f>Sales[[#This Row],[Gross Amount]]-Sales[[#This Row],[Disc. Amt.]]+Sales[[#This Row],[GST Amount]]</f>
        <v>35088.479999999996</v>
      </c>
      <c r="O3470" s="34" t="s">
        <v>3569</v>
      </c>
      <c r="P3470" s="34" t="s">
        <v>3562</v>
      </c>
      <c r="Q3470" s="165">
        <f>IF(Sales[[#This Row],[Status]]="Cancelled",0,Sales[[#This Row],[Qty]])</f>
        <v>8</v>
      </c>
      <c r="R3470" s="166">
        <f>IF(Sales[[#This Row],[Status]]="Cancelled",0,Sales[[#This Row],[Total Amount]])</f>
        <v>35088.479999999996</v>
      </c>
      <c r="S3470" s="162">
        <f>SUM(Sales[Net Amount])</f>
        <v>406839287.73200053</v>
      </c>
    </row>
    <row r="3471" spans="1:19" ht="18.75" x14ac:dyDescent="0.25">
      <c r="A3471" s="156" t="s">
        <v>7134</v>
      </c>
      <c r="B3471" s="157">
        <v>45951</v>
      </c>
      <c r="C3471" s="158" t="s">
        <v>863</v>
      </c>
      <c r="D3471" s="159" t="str">
        <f>VLOOKUP(Sales[[#This Row],[Customer ID]],Customer[#All],2,0)</f>
        <v>Sahil Sharma</v>
      </c>
      <c r="E3471" s="158" t="s">
        <v>444</v>
      </c>
      <c r="F3471" s="158" t="str">
        <f>VLOOKUP(Sales[[#This Row],[Product ID]],Product[#All],2,0)</f>
        <v>Dell Desktop</v>
      </c>
      <c r="G3471" s="159">
        <v>5</v>
      </c>
      <c r="H3471" s="160">
        <f>VLOOKUP(Sales[[#This Row],[Product ID]],Product[#All],7,0)</f>
        <v>55730</v>
      </c>
      <c r="I3471" s="160">
        <f>Sales[[#This Row],[Selling Rate]]*Sales[[#This Row],[Qty]]</f>
        <v>278650</v>
      </c>
      <c r="J3471" s="43">
        <v>0</v>
      </c>
      <c r="K3471" s="44">
        <f>Sales[[#This Row],[Gross Amount]]*Sales[[#This Row],[Disc %]]</f>
        <v>0</v>
      </c>
      <c r="L3471" s="43">
        <v>0.18</v>
      </c>
      <c r="M3471" s="44">
        <f>(Sales[[#This Row],[Gross Amount]]-Sales[[#This Row],[Disc. Amt.]])*Sales[[#This Row],[GST %]]</f>
        <v>50157</v>
      </c>
      <c r="N3471" s="161">
        <f>Sales[[#This Row],[Gross Amount]]-Sales[[#This Row],[Disc. Amt.]]+Sales[[#This Row],[GST Amount]]</f>
        <v>328807</v>
      </c>
      <c r="O3471" s="158" t="s">
        <v>3561</v>
      </c>
      <c r="P3471" s="158" t="s">
        <v>3562</v>
      </c>
      <c r="Q3471" s="160">
        <f>IF(Sales[[#This Row],[Status]]="Cancelled",0,Sales[[#This Row],[Qty]])</f>
        <v>5</v>
      </c>
      <c r="R3471" s="161">
        <f>IF(Sales[[#This Row],[Status]]="Cancelled",0,Sales[[#This Row],[Total Amount]])</f>
        <v>328807</v>
      </c>
      <c r="S3471" s="162">
        <f>SUM(Sales[Net Amount])</f>
        <v>406839287.73200053</v>
      </c>
    </row>
    <row r="3472" spans="1:19" ht="18.75" x14ac:dyDescent="0.25">
      <c r="A3472" s="163" t="s">
        <v>7135</v>
      </c>
      <c r="B3472" s="164">
        <v>45951</v>
      </c>
      <c r="C3472" s="34" t="s">
        <v>801</v>
      </c>
      <c r="D3472" s="53" t="str">
        <f>VLOOKUP(Sales[[#This Row],[Customer ID]],Customer[#All],2,0)</f>
        <v>Sunita Verma</v>
      </c>
      <c r="E3472" s="34" t="s">
        <v>458</v>
      </c>
      <c r="F3472" s="34" t="str">
        <f>VLOOKUP(Sales[[#This Row],[Product ID]],Product[#All],2,0)</f>
        <v>Dell Monitor</v>
      </c>
      <c r="G3472" s="53">
        <v>2</v>
      </c>
      <c r="H3472" s="165">
        <f>VLOOKUP(Sales[[#This Row],[Product ID]],Product[#All],7,0)</f>
        <v>6380</v>
      </c>
      <c r="I3472" s="165">
        <f>Sales[[#This Row],[Selling Rate]]*Sales[[#This Row],[Qty]]</f>
        <v>12760</v>
      </c>
      <c r="J3472" s="45">
        <v>0</v>
      </c>
      <c r="K3472" s="46">
        <f>Sales[[#This Row],[Gross Amount]]*Sales[[#This Row],[Disc %]]</f>
        <v>0</v>
      </c>
      <c r="L3472" s="43">
        <v>0.18</v>
      </c>
      <c r="M3472" s="46">
        <f>(Sales[[#This Row],[Gross Amount]]-Sales[[#This Row],[Disc. Amt.]])*Sales[[#This Row],[GST %]]</f>
        <v>2296.7999999999997</v>
      </c>
      <c r="N3472" s="161">
        <f>Sales[[#This Row],[Gross Amount]]-Sales[[#This Row],[Disc. Amt.]]+Sales[[#This Row],[GST Amount]]</f>
        <v>15056.8</v>
      </c>
      <c r="O3472" s="34" t="s">
        <v>3569</v>
      </c>
      <c r="P3472" s="34" t="s">
        <v>3562</v>
      </c>
      <c r="Q3472" s="165">
        <f>IF(Sales[[#This Row],[Status]]="Cancelled",0,Sales[[#This Row],[Qty]])</f>
        <v>2</v>
      </c>
      <c r="R3472" s="166">
        <f>IF(Sales[[#This Row],[Status]]="Cancelled",0,Sales[[#This Row],[Total Amount]])</f>
        <v>15056.8</v>
      </c>
      <c r="S3472" s="162">
        <f>SUM(Sales[Net Amount])</f>
        <v>406839287.73200053</v>
      </c>
    </row>
    <row r="3473" spans="1:19" ht="18.75" x14ac:dyDescent="0.25">
      <c r="A3473" s="156" t="s">
        <v>7136</v>
      </c>
      <c r="B3473" s="157">
        <v>45951</v>
      </c>
      <c r="C3473" s="158" t="s">
        <v>901</v>
      </c>
      <c r="D3473" s="159" t="str">
        <f>VLOOKUP(Sales[[#This Row],[Customer ID]],Customer[#All],2,0)</f>
        <v>Vikas Kumar</v>
      </c>
      <c r="E3473" s="158" t="s">
        <v>87</v>
      </c>
      <c r="F3473" s="158" t="str">
        <f>VLOOKUP(Sales[[#This Row],[Product ID]],Product[#All],2,0)</f>
        <v>Boat Headset</v>
      </c>
      <c r="G3473" s="159">
        <v>8</v>
      </c>
      <c r="H3473" s="160">
        <f>VLOOKUP(Sales[[#This Row],[Product ID]],Product[#All],7,0)</f>
        <v>1040</v>
      </c>
      <c r="I3473" s="160">
        <f>Sales[[#This Row],[Selling Rate]]*Sales[[#This Row],[Qty]]</f>
        <v>8320</v>
      </c>
      <c r="J3473" s="43">
        <v>0.02</v>
      </c>
      <c r="K3473" s="44">
        <f>Sales[[#This Row],[Gross Amount]]*Sales[[#This Row],[Disc %]]</f>
        <v>166.4</v>
      </c>
      <c r="L3473" s="43">
        <v>0.18</v>
      </c>
      <c r="M3473" s="44">
        <f>(Sales[[#This Row],[Gross Amount]]-Sales[[#This Row],[Disc. Amt.]])*Sales[[#This Row],[GST %]]</f>
        <v>1467.6479999999999</v>
      </c>
      <c r="N3473" s="161">
        <f>Sales[[#This Row],[Gross Amount]]-Sales[[#This Row],[Disc. Amt.]]+Sales[[#This Row],[GST Amount]]</f>
        <v>9621.2479999999996</v>
      </c>
      <c r="O3473" s="158" t="s">
        <v>3561</v>
      </c>
      <c r="P3473" s="158" t="s">
        <v>3562</v>
      </c>
      <c r="Q3473" s="160">
        <f>IF(Sales[[#This Row],[Status]]="Cancelled",0,Sales[[#This Row],[Qty]])</f>
        <v>8</v>
      </c>
      <c r="R3473" s="161">
        <f>IF(Sales[[#This Row],[Status]]="Cancelled",0,Sales[[#This Row],[Total Amount]])</f>
        <v>9621.2479999999996</v>
      </c>
      <c r="S3473" s="162">
        <f>SUM(Sales[Net Amount])</f>
        <v>406839287.73200053</v>
      </c>
    </row>
    <row r="3474" spans="1:19" ht="18.75" x14ac:dyDescent="0.25">
      <c r="A3474" s="163" t="s">
        <v>7137</v>
      </c>
      <c r="B3474" s="164">
        <v>45951</v>
      </c>
      <c r="C3474" s="34" t="s">
        <v>946</v>
      </c>
      <c r="D3474" s="53" t="str">
        <f>VLOOKUP(Sales[[#This Row],[Customer ID]],Customer[#All],2,0)</f>
        <v>Priya Patel</v>
      </c>
      <c r="E3474" s="34" t="s">
        <v>31</v>
      </c>
      <c r="F3474" s="34" t="str">
        <f>VLOOKUP(Sales[[#This Row],[Product ID]],Product[#All],2,0)</f>
        <v>Logitech Mouse</v>
      </c>
      <c r="G3474" s="53">
        <v>7</v>
      </c>
      <c r="H3474" s="165">
        <f>VLOOKUP(Sales[[#This Row],[Product ID]],Product[#All],7,0)</f>
        <v>2660</v>
      </c>
      <c r="I3474" s="165">
        <f>Sales[[#This Row],[Selling Rate]]*Sales[[#This Row],[Qty]]</f>
        <v>18620</v>
      </c>
      <c r="J3474" s="45">
        <v>0.05</v>
      </c>
      <c r="K3474" s="46">
        <f>Sales[[#This Row],[Gross Amount]]*Sales[[#This Row],[Disc %]]</f>
        <v>931</v>
      </c>
      <c r="L3474" s="43">
        <v>0.18</v>
      </c>
      <c r="M3474" s="46">
        <f>(Sales[[#This Row],[Gross Amount]]-Sales[[#This Row],[Disc. Amt.]])*Sales[[#This Row],[GST %]]</f>
        <v>3184.02</v>
      </c>
      <c r="N3474" s="161">
        <f>Sales[[#This Row],[Gross Amount]]-Sales[[#This Row],[Disc. Amt.]]+Sales[[#This Row],[GST Amount]]</f>
        <v>20873.02</v>
      </c>
      <c r="O3474" s="34" t="s">
        <v>3566</v>
      </c>
      <c r="P3474" s="34" t="s">
        <v>3562</v>
      </c>
      <c r="Q3474" s="165">
        <f>IF(Sales[[#This Row],[Status]]="Cancelled",0,Sales[[#This Row],[Qty]])</f>
        <v>7</v>
      </c>
      <c r="R3474" s="166">
        <f>IF(Sales[[#This Row],[Status]]="Cancelled",0,Sales[[#This Row],[Total Amount]])</f>
        <v>20873.02</v>
      </c>
      <c r="S3474" s="162">
        <f>SUM(Sales[Net Amount])</f>
        <v>406839287.73200053</v>
      </c>
    </row>
    <row r="3475" spans="1:19" ht="18.75" x14ac:dyDescent="0.25">
      <c r="A3475" s="156" t="s">
        <v>7138</v>
      </c>
      <c r="B3475" s="157">
        <v>45951</v>
      </c>
      <c r="C3475" s="158" t="s">
        <v>893</v>
      </c>
      <c r="D3475" s="159" t="str">
        <f>VLOOKUP(Sales[[#This Row],[Customer ID]],Customer[#All],2,0)</f>
        <v>Sunita Sharma</v>
      </c>
      <c r="E3475" s="158" t="s">
        <v>226</v>
      </c>
      <c r="F3475" s="158" t="str">
        <f>VLOOKUP(Sales[[#This Row],[Product ID]],Product[#All],2,0)</f>
        <v>Jbl Speaker</v>
      </c>
      <c r="G3475" s="159">
        <v>8</v>
      </c>
      <c r="H3475" s="160">
        <f>VLOOKUP(Sales[[#This Row],[Product ID]],Product[#All],7,0)</f>
        <v>5020</v>
      </c>
      <c r="I3475" s="160">
        <f>Sales[[#This Row],[Selling Rate]]*Sales[[#This Row],[Qty]]</f>
        <v>40160</v>
      </c>
      <c r="J3475" s="43">
        <v>0</v>
      </c>
      <c r="K3475" s="44">
        <f>Sales[[#This Row],[Gross Amount]]*Sales[[#This Row],[Disc %]]</f>
        <v>0</v>
      </c>
      <c r="L3475" s="43">
        <v>0.18</v>
      </c>
      <c r="M3475" s="44">
        <f>(Sales[[#This Row],[Gross Amount]]-Sales[[#This Row],[Disc. Amt.]])*Sales[[#This Row],[GST %]]</f>
        <v>7228.8</v>
      </c>
      <c r="N3475" s="161">
        <f>Sales[[#This Row],[Gross Amount]]-Sales[[#This Row],[Disc. Amt.]]+Sales[[#This Row],[GST Amount]]</f>
        <v>47388.800000000003</v>
      </c>
      <c r="O3475" s="158" t="s">
        <v>3569</v>
      </c>
      <c r="P3475" s="158" t="s">
        <v>3562</v>
      </c>
      <c r="Q3475" s="160">
        <f>IF(Sales[[#This Row],[Status]]="Cancelled",0,Sales[[#This Row],[Qty]])</f>
        <v>8</v>
      </c>
      <c r="R3475" s="161">
        <f>IF(Sales[[#This Row],[Status]]="Cancelled",0,Sales[[#This Row],[Total Amount]])</f>
        <v>47388.800000000003</v>
      </c>
      <c r="S3475" s="162">
        <f>SUM(Sales[Net Amount])</f>
        <v>406839287.73200053</v>
      </c>
    </row>
    <row r="3476" spans="1:19" ht="18.75" x14ac:dyDescent="0.25">
      <c r="A3476" s="163" t="s">
        <v>7139</v>
      </c>
      <c r="B3476" s="164">
        <v>45951</v>
      </c>
      <c r="C3476" s="34" t="s">
        <v>770</v>
      </c>
      <c r="D3476" s="53" t="str">
        <f>VLOOKUP(Sales[[#This Row],[Customer ID]],Customer[#All],2,0)</f>
        <v>Sunita Sharma</v>
      </c>
      <c r="E3476" s="34" t="s">
        <v>67</v>
      </c>
      <c r="F3476" s="34" t="str">
        <f>VLOOKUP(Sales[[#This Row],[Product ID]],Product[#All],2,0)</f>
        <v>TP-link Wi-Fi Adapter</v>
      </c>
      <c r="G3476" s="53">
        <v>5</v>
      </c>
      <c r="H3476" s="165">
        <f>VLOOKUP(Sales[[#This Row],[Product ID]],Product[#All],7,0)</f>
        <v>2990</v>
      </c>
      <c r="I3476" s="165">
        <f>Sales[[#This Row],[Selling Rate]]*Sales[[#This Row],[Qty]]</f>
        <v>14950</v>
      </c>
      <c r="J3476" s="45">
        <v>0.05</v>
      </c>
      <c r="K3476" s="46">
        <f>Sales[[#This Row],[Gross Amount]]*Sales[[#This Row],[Disc %]]</f>
        <v>747.5</v>
      </c>
      <c r="L3476" s="43">
        <v>0.18</v>
      </c>
      <c r="M3476" s="46">
        <f>(Sales[[#This Row],[Gross Amount]]-Sales[[#This Row],[Disc. Amt.]])*Sales[[#This Row],[GST %]]</f>
        <v>2556.4499999999998</v>
      </c>
      <c r="N3476" s="161">
        <f>Sales[[#This Row],[Gross Amount]]-Sales[[#This Row],[Disc. Amt.]]+Sales[[#This Row],[GST Amount]]</f>
        <v>16758.95</v>
      </c>
      <c r="O3476" s="34" t="s">
        <v>3569</v>
      </c>
      <c r="P3476" s="34" t="s">
        <v>3562</v>
      </c>
      <c r="Q3476" s="165">
        <f>IF(Sales[[#This Row],[Status]]="Cancelled",0,Sales[[#This Row],[Qty]])</f>
        <v>5</v>
      </c>
      <c r="R3476" s="166">
        <f>IF(Sales[[#This Row],[Status]]="Cancelled",0,Sales[[#This Row],[Total Amount]])</f>
        <v>16758.95</v>
      </c>
      <c r="S3476" s="162">
        <f>SUM(Sales[Net Amount])</f>
        <v>406839287.73200053</v>
      </c>
    </row>
    <row r="3477" spans="1:19" ht="18.75" x14ac:dyDescent="0.25">
      <c r="A3477" s="156" t="s">
        <v>7140</v>
      </c>
      <c r="B3477" s="157">
        <v>45951</v>
      </c>
      <c r="C3477" s="158" t="s">
        <v>775</v>
      </c>
      <c r="D3477" s="159" t="str">
        <f>VLOOKUP(Sales[[#This Row],[Customer ID]],Customer[#All],2,0)</f>
        <v>Ankit Kumar</v>
      </c>
      <c r="E3477" s="158" t="s">
        <v>41</v>
      </c>
      <c r="F3477" s="158" t="str">
        <f>VLOOKUP(Sales[[#This Row],[Product ID]],Product[#All],2,0)</f>
        <v>HP Laptop</v>
      </c>
      <c r="G3477" s="159">
        <v>6</v>
      </c>
      <c r="H3477" s="160">
        <f>VLOOKUP(Sales[[#This Row],[Product ID]],Product[#All],7,0)</f>
        <v>74700</v>
      </c>
      <c r="I3477" s="160">
        <f>Sales[[#This Row],[Selling Rate]]*Sales[[#This Row],[Qty]]</f>
        <v>448200</v>
      </c>
      <c r="J3477" s="43">
        <v>0.1</v>
      </c>
      <c r="K3477" s="44">
        <f>Sales[[#This Row],[Gross Amount]]*Sales[[#This Row],[Disc %]]</f>
        <v>44820</v>
      </c>
      <c r="L3477" s="43">
        <v>0.18</v>
      </c>
      <c r="M3477" s="44">
        <f>(Sales[[#This Row],[Gross Amount]]-Sales[[#This Row],[Disc. Amt.]])*Sales[[#This Row],[GST %]]</f>
        <v>72608.399999999994</v>
      </c>
      <c r="N3477" s="161">
        <f>Sales[[#This Row],[Gross Amount]]-Sales[[#This Row],[Disc. Amt.]]+Sales[[#This Row],[GST Amount]]</f>
        <v>475988.4</v>
      </c>
      <c r="O3477" s="158" t="s">
        <v>3561</v>
      </c>
      <c r="P3477" s="158" t="s">
        <v>3562</v>
      </c>
      <c r="Q3477" s="160">
        <f>IF(Sales[[#This Row],[Status]]="Cancelled",0,Sales[[#This Row],[Qty]])</f>
        <v>6</v>
      </c>
      <c r="R3477" s="161">
        <f>IF(Sales[[#This Row],[Status]]="Cancelled",0,Sales[[#This Row],[Total Amount]])</f>
        <v>475988.4</v>
      </c>
      <c r="S3477" s="162">
        <f>SUM(Sales[Net Amount])</f>
        <v>406839287.73200053</v>
      </c>
    </row>
    <row r="3478" spans="1:19" ht="18.75" x14ac:dyDescent="0.25">
      <c r="A3478" s="163" t="s">
        <v>7141</v>
      </c>
      <c r="B3478" s="164">
        <v>45951</v>
      </c>
      <c r="C3478" s="34" t="s">
        <v>5607</v>
      </c>
      <c r="D3478" s="53" t="str">
        <f>VLOOKUP(Sales[[#This Row],[Customer ID]],Customer[#All],2,0)</f>
        <v>Sahil Kumar</v>
      </c>
      <c r="E3478" s="34" t="s">
        <v>131</v>
      </c>
      <c r="F3478" s="34" t="str">
        <f>VLOOKUP(Sales[[#This Row],[Product ID]],Product[#All],2,0)</f>
        <v>HP Power Adapter</v>
      </c>
      <c r="G3478" s="53">
        <v>7</v>
      </c>
      <c r="H3478" s="165">
        <f>VLOOKUP(Sales[[#This Row],[Product ID]],Product[#All],7,0)</f>
        <v>2540</v>
      </c>
      <c r="I3478" s="165">
        <f>Sales[[#This Row],[Selling Rate]]*Sales[[#This Row],[Qty]]</f>
        <v>17780</v>
      </c>
      <c r="J3478" s="45">
        <v>0.05</v>
      </c>
      <c r="K3478" s="46">
        <f>Sales[[#This Row],[Gross Amount]]*Sales[[#This Row],[Disc %]]</f>
        <v>889</v>
      </c>
      <c r="L3478" s="43">
        <v>0.18</v>
      </c>
      <c r="M3478" s="46">
        <f>(Sales[[#This Row],[Gross Amount]]-Sales[[#This Row],[Disc. Amt.]])*Sales[[#This Row],[GST %]]</f>
        <v>3040.38</v>
      </c>
      <c r="N3478" s="161">
        <f>Sales[[#This Row],[Gross Amount]]-Sales[[#This Row],[Disc. Amt.]]+Sales[[#This Row],[GST Amount]]</f>
        <v>19931.38</v>
      </c>
      <c r="O3478" s="34" t="s">
        <v>8876</v>
      </c>
      <c r="P3478" s="34" t="s">
        <v>3562</v>
      </c>
      <c r="Q3478" s="165">
        <f>IF(Sales[[#This Row],[Status]]="Cancelled",0,Sales[[#This Row],[Qty]])</f>
        <v>7</v>
      </c>
      <c r="R3478" s="166">
        <f>IF(Sales[[#This Row],[Status]]="Cancelled",0,Sales[[#This Row],[Total Amount]])</f>
        <v>19931.38</v>
      </c>
      <c r="S3478" s="162">
        <f>SUM(Sales[Net Amount])</f>
        <v>406839287.73200053</v>
      </c>
    </row>
    <row r="3479" spans="1:19" ht="18.75" x14ac:dyDescent="0.25">
      <c r="A3479" s="156" t="s">
        <v>7142</v>
      </c>
      <c r="B3479" s="157">
        <v>45951</v>
      </c>
      <c r="C3479" s="158" t="s">
        <v>931</v>
      </c>
      <c r="D3479" s="159" t="str">
        <f>VLOOKUP(Sales[[#This Row],[Customer ID]],Customer[#All],2,0)</f>
        <v>Sahil Patel</v>
      </c>
      <c r="E3479" s="158" t="s">
        <v>224</v>
      </c>
      <c r="F3479" s="158" t="str">
        <f>VLOOKUP(Sales[[#This Row],[Product ID]],Product[#All],2,0)</f>
        <v>Seagate HDD</v>
      </c>
      <c r="G3479" s="159">
        <v>1</v>
      </c>
      <c r="H3479" s="160">
        <f>VLOOKUP(Sales[[#This Row],[Product ID]],Product[#All],7,0)</f>
        <v>8130</v>
      </c>
      <c r="I3479" s="160">
        <f>Sales[[#This Row],[Selling Rate]]*Sales[[#This Row],[Qty]]</f>
        <v>8130</v>
      </c>
      <c r="J3479" s="43">
        <v>0.15</v>
      </c>
      <c r="K3479" s="44">
        <f>Sales[[#This Row],[Gross Amount]]*Sales[[#This Row],[Disc %]]</f>
        <v>1219.5</v>
      </c>
      <c r="L3479" s="43">
        <v>0.18</v>
      </c>
      <c r="M3479" s="44">
        <f>(Sales[[#This Row],[Gross Amount]]-Sales[[#This Row],[Disc. Amt.]])*Sales[[#This Row],[GST %]]</f>
        <v>1243.8899999999999</v>
      </c>
      <c r="N3479" s="161">
        <f>Sales[[#This Row],[Gross Amount]]-Sales[[#This Row],[Disc. Amt.]]+Sales[[#This Row],[GST Amount]]</f>
        <v>8154.3899999999994</v>
      </c>
      <c r="O3479" s="158" t="s">
        <v>3566</v>
      </c>
      <c r="P3479" s="158" t="s">
        <v>3562</v>
      </c>
      <c r="Q3479" s="160">
        <f>IF(Sales[[#This Row],[Status]]="Cancelled",0,Sales[[#This Row],[Qty]])</f>
        <v>1</v>
      </c>
      <c r="R3479" s="161">
        <f>IF(Sales[[#This Row],[Status]]="Cancelled",0,Sales[[#This Row],[Total Amount]])</f>
        <v>8154.3899999999994</v>
      </c>
      <c r="S3479" s="162">
        <f>SUM(Sales[Net Amount])</f>
        <v>406839287.73200053</v>
      </c>
    </row>
    <row r="3480" spans="1:19" ht="18.75" x14ac:dyDescent="0.25">
      <c r="A3480" s="163" t="s">
        <v>7143</v>
      </c>
      <c r="B3480" s="164">
        <v>45951</v>
      </c>
      <c r="C3480" s="34" t="s">
        <v>924</v>
      </c>
      <c r="D3480" s="53" t="str">
        <f>VLOOKUP(Sales[[#This Row],[Customer ID]],Customer[#All],2,0)</f>
        <v>Rakesh Gupta</v>
      </c>
      <c r="E3480" s="34" t="s">
        <v>500</v>
      </c>
      <c r="F3480" s="34" t="str">
        <f>VLOOKUP(Sales[[#This Row],[Product ID]],Product[#All],2,0)</f>
        <v>HP Power Adapter</v>
      </c>
      <c r="G3480" s="53">
        <v>2</v>
      </c>
      <c r="H3480" s="165">
        <f>VLOOKUP(Sales[[#This Row],[Product ID]],Product[#All],7,0)</f>
        <v>3160</v>
      </c>
      <c r="I3480" s="165">
        <f>Sales[[#This Row],[Selling Rate]]*Sales[[#This Row],[Qty]]</f>
        <v>6320</v>
      </c>
      <c r="J3480" s="45">
        <v>0.1</v>
      </c>
      <c r="K3480" s="46">
        <f>Sales[[#This Row],[Gross Amount]]*Sales[[#This Row],[Disc %]]</f>
        <v>632</v>
      </c>
      <c r="L3480" s="43">
        <v>0.18</v>
      </c>
      <c r="M3480" s="46">
        <f>(Sales[[#This Row],[Gross Amount]]-Sales[[#This Row],[Disc. Amt.]])*Sales[[#This Row],[GST %]]</f>
        <v>1023.8399999999999</v>
      </c>
      <c r="N3480" s="161">
        <f>Sales[[#This Row],[Gross Amount]]-Sales[[#This Row],[Disc. Amt.]]+Sales[[#This Row],[GST Amount]]</f>
        <v>6711.84</v>
      </c>
      <c r="O3480" s="34" t="s">
        <v>3561</v>
      </c>
      <c r="P3480" s="34" t="s">
        <v>3562</v>
      </c>
      <c r="Q3480" s="165">
        <f>IF(Sales[[#This Row],[Status]]="Cancelled",0,Sales[[#This Row],[Qty]])</f>
        <v>2</v>
      </c>
      <c r="R3480" s="166">
        <f>IF(Sales[[#This Row],[Status]]="Cancelled",0,Sales[[#This Row],[Total Amount]])</f>
        <v>6711.84</v>
      </c>
      <c r="S3480" s="162">
        <f>SUM(Sales[Net Amount])</f>
        <v>406839287.73200053</v>
      </c>
    </row>
    <row r="3481" spans="1:19" ht="18.75" x14ac:dyDescent="0.25">
      <c r="A3481" s="156" t="s">
        <v>7144</v>
      </c>
      <c r="B3481" s="157">
        <v>45951</v>
      </c>
      <c r="C3481" s="158" t="s">
        <v>815</v>
      </c>
      <c r="D3481" s="159" t="str">
        <f>VLOOKUP(Sales[[#This Row],[Customer ID]],Customer[#All],2,0)</f>
        <v>Priya Gupta</v>
      </c>
      <c r="E3481" s="158" t="s">
        <v>275</v>
      </c>
      <c r="F3481" s="158" t="str">
        <f>VLOOKUP(Sales[[#This Row],[Product ID]],Product[#All],2,0)</f>
        <v>Canon Printer</v>
      </c>
      <c r="G3481" s="159">
        <v>7</v>
      </c>
      <c r="H3481" s="160">
        <f>VLOOKUP(Sales[[#This Row],[Product ID]],Product[#All],7,0)</f>
        <v>36460</v>
      </c>
      <c r="I3481" s="160">
        <f>Sales[[#This Row],[Selling Rate]]*Sales[[#This Row],[Qty]]</f>
        <v>255220</v>
      </c>
      <c r="J3481" s="43">
        <v>0.02</v>
      </c>
      <c r="K3481" s="44">
        <f>Sales[[#This Row],[Gross Amount]]*Sales[[#This Row],[Disc %]]</f>
        <v>5104.4000000000005</v>
      </c>
      <c r="L3481" s="43">
        <v>0.18</v>
      </c>
      <c r="M3481" s="44">
        <f>(Sales[[#This Row],[Gross Amount]]-Sales[[#This Row],[Disc. Amt.]])*Sales[[#This Row],[GST %]]</f>
        <v>45020.807999999997</v>
      </c>
      <c r="N3481" s="161">
        <f>Sales[[#This Row],[Gross Amount]]-Sales[[#This Row],[Disc. Amt.]]+Sales[[#This Row],[GST Amount]]</f>
        <v>295136.408</v>
      </c>
      <c r="O3481" s="158" t="s">
        <v>3569</v>
      </c>
      <c r="P3481" s="158" t="s">
        <v>3562</v>
      </c>
      <c r="Q3481" s="160">
        <f>IF(Sales[[#This Row],[Status]]="Cancelled",0,Sales[[#This Row],[Qty]])</f>
        <v>7</v>
      </c>
      <c r="R3481" s="161">
        <f>IF(Sales[[#This Row],[Status]]="Cancelled",0,Sales[[#This Row],[Total Amount]])</f>
        <v>295136.408</v>
      </c>
      <c r="S3481" s="162">
        <f>SUM(Sales[Net Amount])</f>
        <v>406839287.73200053</v>
      </c>
    </row>
    <row r="3482" spans="1:19" ht="18.75" x14ac:dyDescent="0.25">
      <c r="A3482" s="163" t="s">
        <v>7145</v>
      </c>
      <c r="B3482" s="164">
        <v>45951</v>
      </c>
      <c r="C3482" s="34" t="s">
        <v>913</v>
      </c>
      <c r="D3482" s="53" t="str">
        <f>VLOOKUP(Sales[[#This Row],[Customer ID]],Customer[#All],2,0)</f>
        <v>Pooja Kumar</v>
      </c>
      <c r="E3482" s="34" t="s">
        <v>302</v>
      </c>
      <c r="F3482" s="34" t="str">
        <f>VLOOKUP(Sales[[#This Row],[Product ID]],Product[#All],2,0)</f>
        <v>Sandisk Pen Drive</v>
      </c>
      <c r="G3482" s="53">
        <v>8</v>
      </c>
      <c r="H3482" s="165">
        <f>VLOOKUP(Sales[[#This Row],[Product ID]],Product[#All],7,0)</f>
        <v>2500</v>
      </c>
      <c r="I3482" s="165">
        <f>Sales[[#This Row],[Selling Rate]]*Sales[[#This Row],[Qty]]</f>
        <v>20000</v>
      </c>
      <c r="J3482" s="45">
        <v>0.05</v>
      </c>
      <c r="K3482" s="46">
        <f>Sales[[#This Row],[Gross Amount]]*Sales[[#This Row],[Disc %]]</f>
        <v>1000</v>
      </c>
      <c r="L3482" s="43">
        <v>0.18</v>
      </c>
      <c r="M3482" s="46">
        <f>(Sales[[#This Row],[Gross Amount]]-Sales[[#This Row],[Disc. Amt.]])*Sales[[#This Row],[GST %]]</f>
        <v>3420</v>
      </c>
      <c r="N3482" s="161">
        <f>Sales[[#This Row],[Gross Amount]]-Sales[[#This Row],[Disc. Amt.]]+Sales[[#This Row],[GST Amount]]</f>
        <v>22420</v>
      </c>
      <c r="O3482" s="34" t="s">
        <v>3569</v>
      </c>
      <c r="P3482" s="34" t="s">
        <v>3562</v>
      </c>
      <c r="Q3482" s="165">
        <f>IF(Sales[[#This Row],[Status]]="Cancelled",0,Sales[[#This Row],[Qty]])</f>
        <v>8</v>
      </c>
      <c r="R3482" s="166">
        <f>IF(Sales[[#This Row],[Status]]="Cancelled",0,Sales[[#This Row],[Total Amount]])</f>
        <v>22420</v>
      </c>
      <c r="S3482" s="162">
        <f>SUM(Sales[Net Amount])</f>
        <v>406839287.73200053</v>
      </c>
    </row>
    <row r="3483" spans="1:19" ht="18.75" x14ac:dyDescent="0.25">
      <c r="A3483" s="156" t="s">
        <v>7146</v>
      </c>
      <c r="B3483" s="157">
        <v>45951</v>
      </c>
      <c r="C3483" s="158" t="s">
        <v>735</v>
      </c>
      <c r="D3483" s="159" t="str">
        <f>VLOOKUP(Sales[[#This Row],[Customer ID]],Customer[#All],2,0)</f>
        <v>Amit Singh</v>
      </c>
      <c r="E3483" s="158" t="s">
        <v>444</v>
      </c>
      <c r="F3483" s="158" t="str">
        <f>VLOOKUP(Sales[[#This Row],[Product ID]],Product[#All],2,0)</f>
        <v>Dell Desktop</v>
      </c>
      <c r="G3483" s="159">
        <v>6</v>
      </c>
      <c r="H3483" s="160">
        <f>VLOOKUP(Sales[[#This Row],[Product ID]],Product[#All],7,0)</f>
        <v>55730</v>
      </c>
      <c r="I3483" s="160">
        <f>Sales[[#This Row],[Selling Rate]]*Sales[[#This Row],[Qty]]</f>
        <v>334380</v>
      </c>
      <c r="J3483" s="43">
        <v>0.02</v>
      </c>
      <c r="K3483" s="44">
        <f>Sales[[#This Row],[Gross Amount]]*Sales[[#This Row],[Disc %]]</f>
        <v>6687.6</v>
      </c>
      <c r="L3483" s="43">
        <v>0.18</v>
      </c>
      <c r="M3483" s="44">
        <f>(Sales[[#This Row],[Gross Amount]]-Sales[[#This Row],[Disc. Amt.]])*Sales[[#This Row],[GST %]]</f>
        <v>58984.632000000005</v>
      </c>
      <c r="N3483" s="161">
        <f>Sales[[#This Row],[Gross Amount]]-Sales[[#This Row],[Disc. Amt.]]+Sales[[#This Row],[GST Amount]]</f>
        <v>386677.03200000001</v>
      </c>
      <c r="O3483" s="158" t="s">
        <v>3569</v>
      </c>
      <c r="P3483" s="158" t="s">
        <v>3562</v>
      </c>
      <c r="Q3483" s="160">
        <f>IF(Sales[[#This Row],[Status]]="Cancelled",0,Sales[[#This Row],[Qty]])</f>
        <v>6</v>
      </c>
      <c r="R3483" s="161">
        <f>IF(Sales[[#This Row],[Status]]="Cancelled",0,Sales[[#This Row],[Total Amount]])</f>
        <v>386677.03200000001</v>
      </c>
      <c r="S3483" s="162">
        <f>SUM(Sales[Net Amount])</f>
        <v>406839287.73200053</v>
      </c>
    </row>
    <row r="3484" spans="1:19" ht="18.75" x14ac:dyDescent="0.25">
      <c r="A3484" s="163" t="s">
        <v>7147</v>
      </c>
      <c r="B3484" s="164">
        <v>45951</v>
      </c>
      <c r="C3484" s="34" t="s">
        <v>872</v>
      </c>
      <c r="D3484" s="53" t="str">
        <f>VLOOKUP(Sales[[#This Row],[Customer ID]],Customer[#All],2,0)</f>
        <v>Rahul Verma</v>
      </c>
      <c r="E3484" s="34" t="s">
        <v>540</v>
      </c>
      <c r="F3484" s="34" t="str">
        <f>VLOOKUP(Sales[[#This Row],[Product ID]],Product[#All],2,0)</f>
        <v>Dell Desktop</v>
      </c>
      <c r="G3484" s="53">
        <v>8</v>
      </c>
      <c r="H3484" s="165">
        <f>VLOOKUP(Sales[[#This Row],[Product ID]],Product[#All],7,0)</f>
        <v>34160</v>
      </c>
      <c r="I3484" s="165">
        <f>Sales[[#This Row],[Selling Rate]]*Sales[[#This Row],[Qty]]</f>
        <v>273280</v>
      </c>
      <c r="J3484" s="45">
        <v>0.05</v>
      </c>
      <c r="K3484" s="46">
        <f>Sales[[#This Row],[Gross Amount]]*Sales[[#This Row],[Disc %]]</f>
        <v>13664</v>
      </c>
      <c r="L3484" s="43">
        <v>0.18</v>
      </c>
      <c r="M3484" s="46">
        <f>(Sales[[#This Row],[Gross Amount]]-Sales[[#This Row],[Disc. Amt.]])*Sales[[#This Row],[GST %]]</f>
        <v>46730.879999999997</v>
      </c>
      <c r="N3484" s="161">
        <f>Sales[[#This Row],[Gross Amount]]-Sales[[#This Row],[Disc. Amt.]]+Sales[[#This Row],[GST Amount]]</f>
        <v>306346.88</v>
      </c>
      <c r="O3484" s="34" t="s">
        <v>3569</v>
      </c>
      <c r="P3484" s="34" t="s">
        <v>3562</v>
      </c>
      <c r="Q3484" s="165">
        <f>IF(Sales[[#This Row],[Status]]="Cancelled",0,Sales[[#This Row],[Qty]])</f>
        <v>8</v>
      </c>
      <c r="R3484" s="166">
        <f>IF(Sales[[#This Row],[Status]]="Cancelled",0,Sales[[#This Row],[Total Amount]])</f>
        <v>306346.88</v>
      </c>
      <c r="S3484" s="162">
        <f>SUM(Sales[Net Amount])</f>
        <v>406839287.73200053</v>
      </c>
    </row>
    <row r="3485" spans="1:19" ht="18.75" x14ac:dyDescent="0.25">
      <c r="A3485" s="156" t="s">
        <v>7148</v>
      </c>
      <c r="B3485" s="157">
        <v>45951</v>
      </c>
      <c r="C3485" s="158" t="s">
        <v>754</v>
      </c>
      <c r="D3485" s="159" t="str">
        <f>VLOOKUP(Sales[[#This Row],[Customer ID]],Customer[#All],2,0)</f>
        <v>Rakesh Gupta</v>
      </c>
      <c r="E3485" s="158" t="s">
        <v>217</v>
      </c>
      <c r="F3485" s="158" t="str">
        <f>VLOOKUP(Sales[[#This Row],[Product ID]],Product[#All],2,0)</f>
        <v>Logitech Webcam</v>
      </c>
      <c r="G3485" s="159">
        <v>3</v>
      </c>
      <c r="H3485" s="160">
        <f>VLOOKUP(Sales[[#This Row],[Product ID]],Product[#All],7,0)</f>
        <v>2420</v>
      </c>
      <c r="I3485" s="160">
        <f>Sales[[#This Row],[Selling Rate]]*Sales[[#This Row],[Qty]]</f>
        <v>7260</v>
      </c>
      <c r="J3485" s="43">
        <v>0.05</v>
      </c>
      <c r="K3485" s="44">
        <f>Sales[[#This Row],[Gross Amount]]*Sales[[#This Row],[Disc %]]</f>
        <v>363</v>
      </c>
      <c r="L3485" s="43">
        <v>0.18</v>
      </c>
      <c r="M3485" s="44">
        <f>(Sales[[#This Row],[Gross Amount]]-Sales[[#This Row],[Disc. Amt.]])*Sales[[#This Row],[GST %]]</f>
        <v>1241.46</v>
      </c>
      <c r="N3485" s="161">
        <f>Sales[[#This Row],[Gross Amount]]-Sales[[#This Row],[Disc. Amt.]]+Sales[[#This Row],[GST Amount]]</f>
        <v>8138.46</v>
      </c>
      <c r="O3485" s="158" t="s">
        <v>3569</v>
      </c>
      <c r="P3485" s="158" t="s">
        <v>3562</v>
      </c>
      <c r="Q3485" s="160">
        <f>IF(Sales[[#This Row],[Status]]="Cancelled",0,Sales[[#This Row],[Qty]])</f>
        <v>3</v>
      </c>
      <c r="R3485" s="161">
        <f>IF(Sales[[#This Row],[Status]]="Cancelled",0,Sales[[#This Row],[Total Amount]])</f>
        <v>8138.46</v>
      </c>
      <c r="S3485" s="162">
        <f>SUM(Sales[Net Amount])</f>
        <v>406839287.73200053</v>
      </c>
    </row>
    <row r="3486" spans="1:19" ht="18.75" x14ac:dyDescent="0.25">
      <c r="A3486" s="163" t="s">
        <v>7149</v>
      </c>
      <c r="B3486" s="164">
        <v>45952</v>
      </c>
      <c r="C3486" s="34" t="s">
        <v>883</v>
      </c>
      <c r="D3486" s="53" t="str">
        <f>VLOOKUP(Sales[[#This Row],[Customer ID]],Customer[#All],2,0)</f>
        <v>Rahul Verma</v>
      </c>
      <c r="E3486" s="34" t="s">
        <v>445</v>
      </c>
      <c r="F3486" s="34" t="str">
        <f>VLOOKUP(Sales[[#This Row],[Product ID]],Product[#All],2,0)</f>
        <v>Lenovo Laptop</v>
      </c>
      <c r="G3486" s="53">
        <v>4</v>
      </c>
      <c r="H3486" s="165">
        <f>VLOOKUP(Sales[[#This Row],[Product ID]],Product[#All],7,0)</f>
        <v>37710</v>
      </c>
      <c r="I3486" s="165">
        <f>Sales[[#This Row],[Selling Rate]]*Sales[[#This Row],[Qty]]</f>
        <v>150840</v>
      </c>
      <c r="J3486" s="45">
        <v>0.05</v>
      </c>
      <c r="K3486" s="46">
        <f>Sales[[#This Row],[Gross Amount]]*Sales[[#This Row],[Disc %]]</f>
        <v>7542</v>
      </c>
      <c r="L3486" s="43">
        <v>0.18</v>
      </c>
      <c r="M3486" s="46">
        <f>(Sales[[#This Row],[Gross Amount]]-Sales[[#This Row],[Disc. Amt.]])*Sales[[#This Row],[GST %]]</f>
        <v>25793.64</v>
      </c>
      <c r="N3486" s="161">
        <f>Sales[[#This Row],[Gross Amount]]-Sales[[#This Row],[Disc. Amt.]]+Sales[[#This Row],[GST Amount]]</f>
        <v>169091.64</v>
      </c>
      <c r="O3486" s="34" t="s">
        <v>8876</v>
      </c>
      <c r="P3486" s="34" t="s">
        <v>3562</v>
      </c>
      <c r="Q3486" s="165">
        <f>IF(Sales[[#This Row],[Status]]="Cancelled",0,Sales[[#This Row],[Qty]])</f>
        <v>4</v>
      </c>
      <c r="R3486" s="166">
        <f>IF(Sales[[#This Row],[Status]]="Cancelled",0,Sales[[#This Row],[Total Amount]])</f>
        <v>169091.64</v>
      </c>
      <c r="S3486" s="162">
        <f>SUM(Sales[Net Amount])</f>
        <v>406839287.73200053</v>
      </c>
    </row>
    <row r="3487" spans="1:19" ht="18.75" x14ac:dyDescent="0.25">
      <c r="A3487" s="156" t="s">
        <v>7150</v>
      </c>
      <c r="B3487" s="157">
        <v>45952</v>
      </c>
      <c r="C3487" s="158" t="s">
        <v>776</v>
      </c>
      <c r="D3487" s="159" t="str">
        <f>VLOOKUP(Sales[[#This Row],[Customer ID]],Customer[#All],2,0)</f>
        <v>Sunita Singh</v>
      </c>
      <c r="E3487" s="158" t="s">
        <v>272</v>
      </c>
      <c r="F3487" s="158" t="str">
        <f>VLOOKUP(Sales[[#This Row],[Product ID]],Product[#All],2,0)</f>
        <v>Jbl Speaker</v>
      </c>
      <c r="G3487" s="159">
        <v>3</v>
      </c>
      <c r="H3487" s="160">
        <f>VLOOKUP(Sales[[#This Row],[Product ID]],Product[#All],7,0)</f>
        <v>10960</v>
      </c>
      <c r="I3487" s="160">
        <f>Sales[[#This Row],[Selling Rate]]*Sales[[#This Row],[Qty]]</f>
        <v>32880</v>
      </c>
      <c r="J3487" s="43">
        <v>0.05</v>
      </c>
      <c r="K3487" s="44">
        <f>Sales[[#This Row],[Gross Amount]]*Sales[[#This Row],[Disc %]]</f>
        <v>1644</v>
      </c>
      <c r="L3487" s="43">
        <v>0.18</v>
      </c>
      <c r="M3487" s="44">
        <f>(Sales[[#This Row],[Gross Amount]]-Sales[[#This Row],[Disc. Amt.]])*Sales[[#This Row],[GST %]]</f>
        <v>5622.48</v>
      </c>
      <c r="N3487" s="161">
        <f>Sales[[#This Row],[Gross Amount]]-Sales[[#This Row],[Disc. Amt.]]+Sales[[#This Row],[GST Amount]]</f>
        <v>36858.479999999996</v>
      </c>
      <c r="O3487" s="158" t="s">
        <v>3569</v>
      </c>
      <c r="P3487" s="158" t="s">
        <v>3562</v>
      </c>
      <c r="Q3487" s="160">
        <f>IF(Sales[[#This Row],[Status]]="Cancelled",0,Sales[[#This Row],[Qty]])</f>
        <v>3</v>
      </c>
      <c r="R3487" s="161">
        <f>IF(Sales[[#This Row],[Status]]="Cancelled",0,Sales[[#This Row],[Total Amount]])</f>
        <v>36858.479999999996</v>
      </c>
      <c r="S3487" s="162">
        <f>SUM(Sales[Net Amount])</f>
        <v>406839287.73200053</v>
      </c>
    </row>
    <row r="3488" spans="1:19" ht="18.75" x14ac:dyDescent="0.25">
      <c r="A3488" s="163" t="s">
        <v>7151</v>
      </c>
      <c r="B3488" s="164">
        <v>45952</v>
      </c>
      <c r="C3488" s="34" t="s">
        <v>746</v>
      </c>
      <c r="D3488" s="53" t="str">
        <f>VLOOKUP(Sales[[#This Row],[Customer ID]],Customer[#All],2,0)</f>
        <v>Sunita Kumar</v>
      </c>
      <c r="E3488" s="34" t="s">
        <v>505</v>
      </c>
      <c r="F3488" s="34" t="str">
        <f>VLOOKUP(Sales[[#This Row],[Product ID]],Product[#All],2,0)</f>
        <v>Dell Monitor</v>
      </c>
      <c r="G3488" s="53">
        <v>7</v>
      </c>
      <c r="H3488" s="165">
        <f>VLOOKUP(Sales[[#This Row],[Product ID]],Product[#All],7,0)</f>
        <v>12790</v>
      </c>
      <c r="I3488" s="165">
        <f>Sales[[#This Row],[Selling Rate]]*Sales[[#This Row],[Qty]]</f>
        <v>89530</v>
      </c>
      <c r="J3488" s="45">
        <v>0.1</v>
      </c>
      <c r="K3488" s="46">
        <f>Sales[[#This Row],[Gross Amount]]*Sales[[#This Row],[Disc %]]</f>
        <v>8953</v>
      </c>
      <c r="L3488" s="43">
        <v>0.18</v>
      </c>
      <c r="M3488" s="46">
        <f>(Sales[[#This Row],[Gross Amount]]-Sales[[#This Row],[Disc. Amt.]])*Sales[[#This Row],[GST %]]</f>
        <v>14503.859999999999</v>
      </c>
      <c r="N3488" s="161">
        <f>Sales[[#This Row],[Gross Amount]]-Sales[[#This Row],[Disc. Amt.]]+Sales[[#This Row],[GST Amount]]</f>
        <v>95080.86</v>
      </c>
      <c r="O3488" s="34" t="s">
        <v>8876</v>
      </c>
      <c r="P3488" s="34" t="s">
        <v>3562</v>
      </c>
      <c r="Q3488" s="165">
        <f>IF(Sales[[#This Row],[Status]]="Cancelled",0,Sales[[#This Row],[Qty]])</f>
        <v>7</v>
      </c>
      <c r="R3488" s="166">
        <f>IF(Sales[[#This Row],[Status]]="Cancelled",0,Sales[[#This Row],[Total Amount]])</f>
        <v>95080.86</v>
      </c>
      <c r="S3488" s="162">
        <f>SUM(Sales[Net Amount])</f>
        <v>406839287.73200053</v>
      </c>
    </row>
    <row r="3489" spans="1:19" ht="18.75" x14ac:dyDescent="0.25">
      <c r="A3489" s="156" t="s">
        <v>7152</v>
      </c>
      <c r="B3489" s="157">
        <v>45952</v>
      </c>
      <c r="C3489" s="158" t="s">
        <v>6518</v>
      </c>
      <c r="D3489" s="159" t="str">
        <f>VLOOKUP(Sales[[#This Row],[Customer ID]],Customer[#All],2,0)</f>
        <v>Sunita Gupta</v>
      </c>
      <c r="E3489" s="158" t="s">
        <v>244</v>
      </c>
      <c r="F3489" s="158" t="str">
        <f>VLOOKUP(Sales[[#This Row],[Product ID]],Product[#All],2,0)</f>
        <v>TP-link Router</v>
      </c>
      <c r="G3489" s="159">
        <v>6</v>
      </c>
      <c r="H3489" s="160">
        <f>VLOOKUP(Sales[[#This Row],[Product ID]],Product[#All],7,0)</f>
        <v>4220</v>
      </c>
      <c r="I3489" s="160">
        <f>Sales[[#This Row],[Selling Rate]]*Sales[[#This Row],[Qty]]</f>
        <v>25320</v>
      </c>
      <c r="J3489" s="43">
        <v>0</v>
      </c>
      <c r="K3489" s="44">
        <f>Sales[[#This Row],[Gross Amount]]*Sales[[#This Row],[Disc %]]</f>
        <v>0</v>
      </c>
      <c r="L3489" s="43">
        <v>0.18</v>
      </c>
      <c r="M3489" s="44">
        <f>(Sales[[#This Row],[Gross Amount]]-Sales[[#This Row],[Disc. Amt.]])*Sales[[#This Row],[GST %]]</f>
        <v>4557.5999999999995</v>
      </c>
      <c r="N3489" s="161">
        <f>Sales[[#This Row],[Gross Amount]]-Sales[[#This Row],[Disc. Amt.]]+Sales[[#This Row],[GST Amount]]</f>
        <v>29877.599999999999</v>
      </c>
      <c r="O3489" s="158" t="s">
        <v>3569</v>
      </c>
      <c r="P3489" s="158" t="s">
        <v>3562</v>
      </c>
      <c r="Q3489" s="160">
        <f>IF(Sales[[#This Row],[Status]]="Cancelled",0,Sales[[#This Row],[Qty]])</f>
        <v>6</v>
      </c>
      <c r="R3489" s="161">
        <f>IF(Sales[[#This Row],[Status]]="Cancelled",0,Sales[[#This Row],[Total Amount]])</f>
        <v>29877.599999999999</v>
      </c>
      <c r="S3489" s="162">
        <f>SUM(Sales[Net Amount])</f>
        <v>406839287.73200053</v>
      </c>
    </row>
    <row r="3490" spans="1:19" ht="18.75" x14ac:dyDescent="0.25">
      <c r="A3490" s="163" t="s">
        <v>7153</v>
      </c>
      <c r="B3490" s="164">
        <v>45952</v>
      </c>
      <c r="C3490" s="34" t="s">
        <v>950</v>
      </c>
      <c r="D3490" s="53" t="str">
        <f>VLOOKUP(Sales[[#This Row],[Customer ID]],Customer[#All],2,0)</f>
        <v>Sunita Sharma</v>
      </c>
      <c r="E3490" s="34" t="s">
        <v>217</v>
      </c>
      <c r="F3490" s="34" t="str">
        <f>VLOOKUP(Sales[[#This Row],[Product ID]],Product[#All],2,0)</f>
        <v>Logitech Webcam</v>
      </c>
      <c r="G3490" s="53">
        <v>2</v>
      </c>
      <c r="H3490" s="165">
        <f>VLOOKUP(Sales[[#This Row],[Product ID]],Product[#All],7,0)</f>
        <v>2420</v>
      </c>
      <c r="I3490" s="165">
        <f>Sales[[#This Row],[Selling Rate]]*Sales[[#This Row],[Qty]]</f>
        <v>4840</v>
      </c>
      <c r="J3490" s="45">
        <v>0.1</v>
      </c>
      <c r="K3490" s="46">
        <f>Sales[[#This Row],[Gross Amount]]*Sales[[#This Row],[Disc %]]</f>
        <v>484</v>
      </c>
      <c r="L3490" s="43">
        <v>0.18</v>
      </c>
      <c r="M3490" s="46">
        <f>(Sales[[#This Row],[Gross Amount]]-Sales[[#This Row],[Disc. Amt.]])*Sales[[#This Row],[GST %]]</f>
        <v>784.07999999999993</v>
      </c>
      <c r="N3490" s="161">
        <f>Sales[[#This Row],[Gross Amount]]-Sales[[#This Row],[Disc. Amt.]]+Sales[[#This Row],[GST Amount]]</f>
        <v>5140.08</v>
      </c>
      <c r="O3490" s="34" t="s">
        <v>3561</v>
      </c>
      <c r="P3490" s="34" t="s">
        <v>3562</v>
      </c>
      <c r="Q3490" s="165">
        <f>IF(Sales[[#This Row],[Status]]="Cancelled",0,Sales[[#This Row],[Qty]])</f>
        <v>2</v>
      </c>
      <c r="R3490" s="166">
        <f>IF(Sales[[#This Row],[Status]]="Cancelled",0,Sales[[#This Row],[Total Amount]])</f>
        <v>5140.08</v>
      </c>
      <c r="S3490" s="162">
        <f>SUM(Sales[Net Amount])</f>
        <v>406839287.73200053</v>
      </c>
    </row>
    <row r="3491" spans="1:19" ht="18.75" x14ac:dyDescent="0.25">
      <c r="A3491" s="156" t="s">
        <v>7154</v>
      </c>
      <c r="B3491" s="157">
        <v>45952</v>
      </c>
      <c r="C3491" s="158" t="s">
        <v>789</v>
      </c>
      <c r="D3491" s="159" t="str">
        <f>VLOOKUP(Sales[[#This Row],[Customer ID]],Customer[#All],2,0)</f>
        <v>Ankit Patel</v>
      </c>
      <c r="E3491" s="158" t="s">
        <v>460</v>
      </c>
      <c r="F3491" s="158" t="str">
        <f>VLOOKUP(Sales[[#This Row],[Product ID]],Product[#All],2,0)</f>
        <v>Logitech Keyboard</v>
      </c>
      <c r="G3491" s="159">
        <v>6</v>
      </c>
      <c r="H3491" s="160">
        <f>VLOOKUP(Sales[[#This Row],[Product ID]],Product[#All],7,0)</f>
        <v>3050</v>
      </c>
      <c r="I3491" s="160">
        <f>Sales[[#This Row],[Selling Rate]]*Sales[[#This Row],[Qty]]</f>
        <v>18300</v>
      </c>
      <c r="J3491" s="43">
        <v>0</v>
      </c>
      <c r="K3491" s="44">
        <f>Sales[[#This Row],[Gross Amount]]*Sales[[#This Row],[Disc %]]</f>
        <v>0</v>
      </c>
      <c r="L3491" s="43">
        <v>0.18</v>
      </c>
      <c r="M3491" s="44">
        <f>(Sales[[#This Row],[Gross Amount]]-Sales[[#This Row],[Disc. Amt.]])*Sales[[#This Row],[GST %]]</f>
        <v>3294</v>
      </c>
      <c r="N3491" s="161">
        <f>Sales[[#This Row],[Gross Amount]]-Sales[[#This Row],[Disc. Amt.]]+Sales[[#This Row],[GST Amount]]</f>
        <v>21594</v>
      </c>
      <c r="O3491" s="158" t="s">
        <v>3566</v>
      </c>
      <c r="P3491" s="158" t="s">
        <v>3562</v>
      </c>
      <c r="Q3491" s="160">
        <f>IF(Sales[[#This Row],[Status]]="Cancelled",0,Sales[[#This Row],[Qty]])</f>
        <v>6</v>
      </c>
      <c r="R3491" s="161">
        <f>IF(Sales[[#This Row],[Status]]="Cancelled",0,Sales[[#This Row],[Total Amount]])</f>
        <v>21594</v>
      </c>
      <c r="S3491" s="162">
        <f>SUM(Sales[Net Amount])</f>
        <v>406839287.73200053</v>
      </c>
    </row>
    <row r="3492" spans="1:19" ht="18.75" x14ac:dyDescent="0.25">
      <c r="A3492" s="163" t="s">
        <v>7155</v>
      </c>
      <c r="B3492" s="164">
        <v>45952</v>
      </c>
      <c r="C3492" s="34" t="s">
        <v>907</v>
      </c>
      <c r="D3492" s="53" t="str">
        <f>VLOOKUP(Sales[[#This Row],[Customer ID]],Customer[#All],2,0)</f>
        <v>Vikas Verma</v>
      </c>
      <c r="E3492" s="34" t="s">
        <v>293</v>
      </c>
      <c r="F3492" s="34" t="str">
        <f>VLOOKUP(Sales[[#This Row],[Product ID]],Product[#All],2,0)</f>
        <v>Samsung Ssd</v>
      </c>
      <c r="G3492" s="53">
        <v>4</v>
      </c>
      <c r="H3492" s="165">
        <f>VLOOKUP(Sales[[#This Row],[Product ID]],Product[#All],7,0)</f>
        <v>8530</v>
      </c>
      <c r="I3492" s="165">
        <f>Sales[[#This Row],[Selling Rate]]*Sales[[#This Row],[Qty]]</f>
        <v>34120</v>
      </c>
      <c r="J3492" s="45">
        <v>0.12</v>
      </c>
      <c r="K3492" s="46">
        <f>Sales[[#This Row],[Gross Amount]]*Sales[[#This Row],[Disc %]]</f>
        <v>4094.3999999999996</v>
      </c>
      <c r="L3492" s="43">
        <v>0.18</v>
      </c>
      <c r="M3492" s="46">
        <f>(Sales[[#This Row],[Gross Amount]]-Sales[[#This Row],[Disc. Amt.]])*Sales[[#This Row],[GST %]]</f>
        <v>5404.6079999999993</v>
      </c>
      <c r="N3492" s="161">
        <f>Sales[[#This Row],[Gross Amount]]-Sales[[#This Row],[Disc. Amt.]]+Sales[[#This Row],[GST Amount]]</f>
        <v>35430.207999999999</v>
      </c>
      <c r="O3492" s="34" t="s">
        <v>3561</v>
      </c>
      <c r="P3492" s="34" t="s">
        <v>3562</v>
      </c>
      <c r="Q3492" s="165">
        <f>IF(Sales[[#This Row],[Status]]="Cancelled",0,Sales[[#This Row],[Qty]])</f>
        <v>4</v>
      </c>
      <c r="R3492" s="166">
        <f>IF(Sales[[#This Row],[Status]]="Cancelled",0,Sales[[#This Row],[Total Amount]])</f>
        <v>35430.207999999999</v>
      </c>
      <c r="S3492" s="162">
        <f>SUM(Sales[Net Amount])</f>
        <v>406839287.73200053</v>
      </c>
    </row>
    <row r="3493" spans="1:19" ht="18.75" x14ac:dyDescent="0.25">
      <c r="A3493" s="156" t="s">
        <v>7156</v>
      </c>
      <c r="B3493" s="157">
        <v>45952</v>
      </c>
      <c r="C3493" s="158" t="s">
        <v>752</v>
      </c>
      <c r="D3493" s="159" t="str">
        <f>VLOOKUP(Sales[[#This Row],[Customer ID]],Customer[#All],2,0)</f>
        <v>Pooja Patel</v>
      </c>
      <c r="E3493" s="158" t="s">
        <v>75</v>
      </c>
      <c r="F3493" s="158" t="str">
        <f>VLOOKUP(Sales[[#This Row],[Product ID]],Product[#All],2,0)</f>
        <v>Samsung Monitor</v>
      </c>
      <c r="G3493" s="159">
        <v>1</v>
      </c>
      <c r="H3493" s="160">
        <f>VLOOKUP(Sales[[#This Row],[Product ID]],Product[#All],7,0)</f>
        <v>30810</v>
      </c>
      <c r="I3493" s="160">
        <f>Sales[[#This Row],[Selling Rate]]*Sales[[#This Row],[Qty]]</f>
        <v>30810</v>
      </c>
      <c r="J3493" s="43">
        <v>0.05</v>
      </c>
      <c r="K3493" s="44">
        <f>Sales[[#This Row],[Gross Amount]]*Sales[[#This Row],[Disc %]]</f>
        <v>1540.5</v>
      </c>
      <c r="L3493" s="43">
        <v>0.18</v>
      </c>
      <c r="M3493" s="44">
        <f>(Sales[[#This Row],[Gross Amount]]-Sales[[#This Row],[Disc. Amt.]])*Sales[[#This Row],[GST %]]</f>
        <v>5268.51</v>
      </c>
      <c r="N3493" s="161">
        <f>Sales[[#This Row],[Gross Amount]]-Sales[[#This Row],[Disc. Amt.]]+Sales[[#This Row],[GST Amount]]</f>
        <v>34538.01</v>
      </c>
      <c r="O3493" s="158" t="s">
        <v>3569</v>
      </c>
      <c r="P3493" s="158" t="s">
        <v>3562</v>
      </c>
      <c r="Q3493" s="160">
        <f>IF(Sales[[#This Row],[Status]]="Cancelled",0,Sales[[#This Row],[Qty]])</f>
        <v>1</v>
      </c>
      <c r="R3493" s="161">
        <f>IF(Sales[[#This Row],[Status]]="Cancelled",0,Sales[[#This Row],[Total Amount]])</f>
        <v>34538.01</v>
      </c>
      <c r="S3493" s="162">
        <f>SUM(Sales[Net Amount])</f>
        <v>406839287.73200053</v>
      </c>
    </row>
    <row r="3494" spans="1:19" ht="18.75" x14ac:dyDescent="0.25">
      <c r="A3494" s="163" t="s">
        <v>7157</v>
      </c>
      <c r="B3494" s="164">
        <v>45952</v>
      </c>
      <c r="C3494" s="34" t="s">
        <v>729</v>
      </c>
      <c r="D3494" s="53" t="str">
        <f>VLOOKUP(Sales[[#This Row],[Customer ID]],Customer[#All],2,0)</f>
        <v>Ankit Kumar</v>
      </c>
      <c r="E3494" s="34" t="s">
        <v>312</v>
      </c>
      <c r="F3494" s="34" t="str">
        <f>VLOOKUP(Sales[[#This Row],[Product ID]],Product[#All],2,0)</f>
        <v>Dell Desktop</v>
      </c>
      <c r="G3494" s="53">
        <v>8</v>
      </c>
      <c r="H3494" s="165">
        <f>VLOOKUP(Sales[[#This Row],[Product ID]],Product[#All],7,0)</f>
        <v>59050</v>
      </c>
      <c r="I3494" s="165">
        <f>Sales[[#This Row],[Selling Rate]]*Sales[[#This Row],[Qty]]</f>
        <v>472400</v>
      </c>
      <c r="J3494" s="45">
        <v>0.1</v>
      </c>
      <c r="K3494" s="46">
        <f>Sales[[#This Row],[Gross Amount]]*Sales[[#This Row],[Disc %]]</f>
        <v>47240</v>
      </c>
      <c r="L3494" s="43">
        <v>0.18</v>
      </c>
      <c r="M3494" s="46">
        <f>(Sales[[#This Row],[Gross Amount]]-Sales[[#This Row],[Disc. Amt.]])*Sales[[#This Row],[GST %]]</f>
        <v>76528.800000000003</v>
      </c>
      <c r="N3494" s="161">
        <f>Sales[[#This Row],[Gross Amount]]-Sales[[#This Row],[Disc. Amt.]]+Sales[[#This Row],[GST Amount]]</f>
        <v>501688.8</v>
      </c>
      <c r="O3494" s="34" t="s">
        <v>8876</v>
      </c>
      <c r="P3494" s="34" t="s">
        <v>3562</v>
      </c>
      <c r="Q3494" s="165">
        <f>IF(Sales[[#This Row],[Status]]="Cancelled",0,Sales[[#This Row],[Qty]])</f>
        <v>8</v>
      </c>
      <c r="R3494" s="166">
        <f>IF(Sales[[#This Row],[Status]]="Cancelled",0,Sales[[#This Row],[Total Amount]])</f>
        <v>501688.8</v>
      </c>
      <c r="S3494" s="162">
        <f>SUM(Sales[Net Amount])</f>
        <v>406839287.73200053</v>
      </c>
    </row>
    <row r="3495" spans="1:19" ht="18.75" x14ac:dyDescent="0.25">
      <c r="A3495" s="156" t="s">
        <v>7158</v>
      </c>
      <c r="B3495" s="157">
        <v>45952</v>
      </c>
      <c r="C3495" s="158" t="s">
        <v>769</v>
      </c>
      <c r="D3495" s="159" t="str">
        <f>VLOOKUP(Sales[[#This Row],[Customer ID]],Customer[#All],2,0)</f>
        <v>Sahil Kumar</v>
      </c>
      <c r="E3495" s="158" t="s">
        <v>91</v>
      </c>
      <c r="F3495" s="158" t="str">
        <f>VLOOKUP(Sales[[#This Row],[Product ID]],Product[#All],2,0)</f>
        <v>Logitech Keyboard</v>
      </c>
      <c r="G3495" s="159">
        <v>1</v>
      </c>
      <c r="H3495" s="160">
        <f>VLOOKUP(Sales[[#This Row],[Product ID]],Product[#All],7,0)</f>
        <v>3950</v>
      </c>
      <c r="I3495" s="160">
        <f>Sales[[#This Row],[Selling Rate]]*Sales[[#This Row],[Qty]]</f>
        <v>3950</v>
      </c>
      <c r="J3495" s="43">
        <v>0.15</v>
      </c>
      <c r="K3495" s="44">
        <f>Sales[[#This Row],[Gross Amount]]*Sales[[#This Row],[Disc %]]</f>
        <v>592.5</v>
      </c>
      <c r="L3495" s="43">
        <v>0.18</v>
      </c>
      <c r="M3495" s="44">
        <f>(Sales[[#This Row],[Gross Amount]]-Sales[[#This Row],[Disc. Amt.]])*Sales[[#This Row],[GST %]]</f>
        <v>604.35</v>
      </c>
      <c r="N3495" s="161">
        <f>Sales[[#This Row],[Gross Amount]]-Sales[[#This Row],[Disc. Amt.]]+Sales[[#This Row],[GST Amount]]</f>
        <v>3961.85</v>
      </c>
      <c r="O3495" s="158" t="s">
        <v>3566</v>
      </c>
      <c r="P3495" s="158" t="s">
        <v>3562</v>
      </c>
      <c r="Q3495" s="160">
        <f>IF(Sales[[#This Row],[Status]]="Cancelled",0,Sales[[#This Row],[Qty]])</f>
        <v>1</v>
      </c>
      <c r="R3495" s="161">
        <f>IF(Sales[[#This Row],[Status]]="Cancelled",0,Sales[[#This Row],[Total Amount]])</f>
        <v>3961.85</v>
      </c>
      <c r="S3495" s="162">
        <f>SUM(Sales[Net Amount])</f>
        <v>406839287.73200053</v>
      </c>
    </row>
    <row r="3496" spans="1:19" ht="18.75" x14ac:dyDescent="0.25">
      <c r="A3496" s="163" t="s">
        <v>7159</v>
      </c>
      <c r="B3496" s="164">
        <v>45952</v>
      </c>
      <c r="C3496" s="34" t="s">
        <v>840</v>
      </c>
      <c r="D3496" s="53" t="str">
        <f>VLOOKUP(Sales[[#This Row],[Customer ID]],Customer[#All],2,0)</f>
        <v>Rakesh Verma</v>
      </c>
      <c r="E3496" s="34" t="s">
        <v>134</v>
      </c>
      <c r="F3496" s="34" t="str">
        <f>VLOOKUP(Sales[[#This Row],[Product ID]],Product[#All],2,0)</f>
        <v>Logitech Keyboard</v>
      </c>
      <c r="G3496" s="53">
        <v>6</v>
      </c>
      <c r="H3496" s="165">
        <f>VLOOKUP(Sales[[#This Row],[Product ID]],Product[#All],7,0)</f>
        <v>4130</v>
      </c>
      <c r="I3496" s="165">
        <f>Sales[[#This Row],[Selling Rate]]*Sales[[#This Row],[Qty]]</f>
        <v>24780</v>
      </c>
      <c r="J3496" s="45">
        <v>0.1</v>
      </c>
      <c r="K3496" s="46">
        <f>Sales[[#This Row],[Gross Amount]]*Sales[[#This Row],[Disc %]]</f>
        <v>2478</v>
      </c>
      <c r="L3496" s="43">
        <v>0.18</v>
      </c>
      <c r="M3496" s="46">
        <f>(Sales[[#This Row],[Gross Amount]]-Sales[[#This Row],[Disc. Amt.]])*Sales[[#This Row],[GST %]]</f>
        <v>4014.3599999999997</v>
      </c>
      <c r="N3496" s="161">
        <f>Sales[[#This Row],[Gross Amount]]-Sales[[#This Row],[Disc. Amt.]]+Sales[[#This Row],[GST Amount]]</f>
        <v>26316.36</v>
      </c>
      <c r="O3496" s="34" t="s">
        <v>3561</v>
      </c>
      <c r="P3496" s="34" t="s">
        <v>3562</v>
      </c>
      <c r="Q3496" s="165">
        <f>IF(Sales[[#This Row],[Status]]="Cancelled",0,Sales[[#This Row],[Qty]])</f>
        <v>6</v>
      </c>
      <c r="R3496" s="166">
        <f>IF(Sales[[#This Row],[Status]]="Cancelled",0,Sales[[#This Row],[Total Amount]])</f>
        <v>26316.36</v>
      </c>
      <c r="S3496" s="162">
        <f>SUM(Sales[Net Amount])</f>
        <v>406839287.73200053</v>
      </c>
    </row>
    <row r="3497" spans="1:19" ht="18.75" x14ac:dyDescent="0.25">
      <c r="A3497" s="156" t="s">
        <v>7160</v>
      </c>
      <c r="B3497" s="157">
        <v>45952</v>
      </c>
      <c r="C3497" s="158" t="s">
        <v>666</v>
      </c>
      <c r="D3497" s="159" t="str">
        <f>VLOOKUP(Sales[[#This Row],[Customer ID]],Customer[#All],2,0)</f>
        <v>Sahil Gupta</v>
      </c>
      <c r="E3497" s="158" t="s">
        <v>454</v>
      </c>
      <c r="F3497" s="158" t="str">
        <f>VLOOKUP(Sales[[#This Row],[Product ID]],Product[#All],2,0)</f>
        <v>Dell Monitor</v>
      </c>
      <c r="G3497" s="159">
        <v>8</v>
      </c>
      <c r="H3497" s="160">
        <f>VLOOKUP(Sales[[#This Row],[Product ID]],Product[#All],7,0)</f>
        <v>16760</v>
      </c>
      <c r="I3497" s="160">
        <f>Sales[[#This Row],[Selling Rate]]*Sales[[#This Row],[Qty]]</f>
        <v>134080</v>
      </c>
      <c r="J3497" s="43">
        <v>0.05</v>
      </c>
      <c r="K3497" s="44">
        <f>Sales[[#This Row],[Gross Amount]]*Sales[[#This Row],[Disc %]]</f>
        <v>6704</v>
      </c>
      <c r="L3497" s="43">
        <v>0.18</v>
      </c>
      <c r="M3497" s="44">
        <f>(Sales[[#This Row],[Gross Amount]]-Sales[[#This Row],[Disc. Amt.]])*Sales[[#This Row],[GST %]]</f>
        <v>22927.68</v>
      </c>
      <c r="N3497" s="161">
        <f>Sales[[#This Row],[Gross Amount]]-Sales[[#This Row],[Disc. Amt.]]+Sales[[#This Row],[GST Amount]]</f>
        <v>150303.67999999999</v>
      </c>
      <c r="O3497" s="158" t="s">
        <v>3561</v>
      </c>
      <c r="P3497" s="158" t="s">
        <v>3562</v>
      </c>
      <c r="Q3497" s="160">
        <f>IF(Sales[[#This Row],[Status]]="Cancelled",0,Sales[[#This Row],[Qty]])</f>
        <v>8</v>
      </c>
      <c r="R3497" s="161">
        <f>IF(Sales[[#This Row],[Status]]="Cancelled",0,Sales[[#This Row],[Total Amount]])</f>
        <v>150303.67999999999</v>
      </c>
      <c r="S3497" s="162">
        <f>SUM(Sales[Net Amount])</f>
        <v>406839287.73200053</v>
      </c>
    </row>
    <row r="3498" spans="1:19" ht="18.75" x14ac:dyDescent="0.25">
      <c r="A3498" s="163" t="s">
        <v>7161</v>
      </c>
      <c r="B3498" s="164">
        <v>45952</v>
      </c>
      <c r="C3498" s="34" t="s">
        <v>5000</v>
      </c>
      <c r="D3498" s="53" t="str">
        <f>VLOOKUP(Sales[[#This Row],[Customer ID]],Customer[#All],2,0)</f>
        <v>Sahil Sharma</v>
      </c>
      <c r="E3498" s="34" t="s">
        <v>292</v>
      </c>
      <c r="F3498" s="34" t="str">
        <f>VLOOKUP(Sales[[#This Row],[Product ID]],Product[#All],2,0)</f>
        <v>Microtek UPS</v>
      </c>
      <c r="G3498" s="53">
        <v>1</v>
      </c>
      <c r="H3498" s="165">
        <f>VLOOKUP(Sales[[#This Row],[Product ID]],Product[#All],7,0)</f>
        <v>6260</v>
      </c>
      <c r="I3498" s="165">
        <f>Sales[[#This Row],[Selling Rate]]*Sales[[#This Row],[Qty]]</f>
        <v>6260</v>
      </c>
      <c r="J3498" s="45">
        <v>0.12</v>
      </c>
      <c r="K3498" s="46">
        <f>Sales[[#This Row],[Gross Amount]]*Sales[[#This Row],[Disc %]]</f>
        <v>751.19999999999993</v>
      </c>
      <c r="L3498" s="43">
        <v>0.18</v>
      </c>
      <c r="M3498" s="46">
        <f>(Sales[[#This Row],[Gross Amount]]-Sales[[#This Row],[Disc. Amt.]])*Sales[[#This Row],[GST %]]</f>
        <v>991.58399999999995</v>
      </c>
      <c r="N3498" s="161">
        <f>Sales[[#This Row],[Gross Amount]]-Sales[[#This Row],[Disc. Amt.]]+Sales[[#This Row],[GST Amount]]</f>
        <v>6500.384</v>
      </c>
      <c r="O3498" s="34" t="s">
        <v>8876</v>
      </c>
      <c r="P3498" s="34" t="s">
        <v>3562</v>
      </c>
      <c r="Q3498" s="165">
        <f>IF(Sales[[#This Row],[Status]]="Cancelled",0,Sales[[#This Row],[Qty]])</f>
        <v>1</v>
      </c>
      <c r="R3498" s="166">
        <f>IF(Sales[[#This Row],[Status]]="Cancelled",0,Sales[[#This Row],[Total Amount]])</f>
        <v>6500.384</v>
      </c>
      <c r="S3498" s="162">
        <f>SUM(Sales[Net Amount])</f>
        <v>406839287.73200053</v>
      </c>
    </row>
    <row r="3499" spans="1:19" ht="18.75" x14ac:dyDescent="0.25">
      <c r="A3499" s="156" t="s">
        <v>7162</v>
      </c>
      <c r="B3499" s="157">
        <v>45952</v>
      </c>
      <c r="C3499" s="158" t="s">
        <v>937</v>
      </c>
      <c r="D3499" s="159" t="str">
        <f>VLOOKUP(Sales[[#This Row],[Customer ID]],Customer[#All],2,0)</f>
        <v>Rahul Singh</v>
      </c>
      <c r="E3499" s="158" t="s">
        <v>406</v>
      </c>
      <c r="F3499" s="158" t="str">
        <f>VLOOKUP(Sales[[#This Row],[Product ID]],Product[#All],2,0)</f>
        <v>American TouristerLaptopBag</v>
      </c>
      <c r="G3499" s="159">
        <v>1</v>
      </c>
      <c r="H3499" s="160">
        <f>VLOOKUP(Sales[[#This Row],[Product ID]],Product[#All],7,0)</f>
        <v>1710</v>
      </c>
      <c r="I3499" s="160">
        <f>Sales[[#This Row],[Selling Rate]]*Sales[[#This Row],[Qty]]</f>
        <v>1710</v>
      </c>
      <c r="J3499" s="43">
        <v>0.15</v>
      </c>
      <c r="K3499" s="44">
        <f>Sales[[#This Row],[Gross Amount]]*Sales[[#This Row],[Disc %]]</f>
        <v>256.5</v>
      </c>
      <c r="L3499" s="43">
        <v>0.18</v>
      </c>
      <c r="M3499" s="44">
        <f>(Sales[[#This Row],[Gross Amount]]-Sales[[#This Row],[Disc. Amt.]])*Sales[[#This Row],[GST %]]</f>
        <v>261.63</v>
      </c>
      <c r="N3499" s="161">
        <f>Sales[[#This Row],[Gross Amount]]-Sales[[#This Row],[Disc. Amt.]]+Sales[[#This Row],[GST Amount]]</f>
        <v>1715.13</v>
      </c>
      <c r="O3499" s="158" t="s">
        <v>8876</v>
      </c>
      <c r="P3499" s="158" t="s">
        <v>3562</v>
      </c>
      <c r="Q3499" s="160">
        <f>IF(Sales[[#This Row],[Status]]="Cancelled",0,Sales[[#This Row],[Qty]])</f>
        <v>1</v>
      </c>
      <c r="R3499" s="161">
        <f>IF(Sales[[#This Row],[Status]]="Cancelled",0,Sales[[#This Row],[Total Amount]])</f>
        <v>1715.13</v>
      </c>
      <c r="S3499" s="162">
        <f>SUM(Sales[Net Amount])</f>
        <v>406839287.73200053</v>
      </c>
    </row>
    <row r="3500" spans="1:19" ht="18.75" x14ac:dyDescent="0.25">
      <c r="A3500" s="163" t="s">
        <v>7163</v>
      </c>
      <c r="B3500" s="164">
        <v>45952</v>
      </c>
      <c r="C3500" s="34" t="s">
        <v>788</v>
      </c>
      <c r="D3500" s="53" t="str">
        <f>VLOOKUP(Sales[[#This Row],[Customer ID]],Customer[#All],2,0)</f>
        <v>Vikas Kumar</v>
      </c>
      <c r="E3500" s="34" t="s">
        <v>319</v>
      </c>
      <c r="F3500" s="34" t="str">
        <f>VLOOKUP(Sales[[#This Row],[Product ID]],Product[#All],2,0)</f>
        <v>Seagate HDD</v>
      </c>
      <c r="G3500" s="53">
        <v>7</v>
      </c>
      <c r="H3500" s="165">
        <f>VLOOKUP(Sales[[#This Row],[Product ID]],Product[#All],7,0)</f>
        <v>10650</v>
      </c>
      <c r="I3500" s="165">
        <f>Sales[[#This Row],[Selling Rate]]*Sales[[#This Row],[Qty]]</f>
        <v>74550</v>
      </c>
      <c r="J3500" s="45">
        <v>0.15</v>
      </c>
      <c r="K3500" s="46">
        <f>Sales[[#This Row],[Gross Amount]]*Sales[[#This Row],[Disc %]]</f>
        <v>11182.5</v>
      </c>
      <c r="L3500" s="43">
        <v>0.18</v>
      </c>
      <c r="M3500" s="46">
        <f>(Sales[[#This Row],[Gross Amount]]-Sales[[#This Row],[Disc. Amt.]])*Sales[[#This Row],[GST %]]</f>
        <v>11406.15</v>
      </c>
      <c r="N3500" s="161">
        <f>Sales[[#This Row],[Gross Amount]]-Sales[[#This Row],[Disc. Amt.]]+Sales[[#This Row],[GST Amount]]</f>
        <v>74773.649999999994</v>
      </c>
      <c r="O3500" s="34" t="s">
        <v>8876</v>
      </c>
      <c r="P3500" s="34" t="s">
        <v>3562</v>
      </c>
      <c r="Q3500" s="165">
        <f>IF(Sales[[#This Row],[Status]]="Cancelled",0,Sales[[#This Row],[Qty]])</f>
        <v>7</v>
      </c>
      <c r="R3500" s="166">
        <f>IF(Sales[[#This Row],[Status]]="Cancelled",0,Sales[[#This Row],[Total Amount]])</f>
        <v>74773.649999999994</v>
      </c>
      <c r="S3500" s="162">
        <f>SUM(Sales[Net Amount])</f>
        <v>406839287.73200053</v>
      </c>
    </row>
    <row r="3501" spans="1:19" ht="18.75" x14ac:dyDescent="0.25">
      <c r="A3501" s="156" t="s">
        <v>7164</v>
      </c>
      <c r="B3501" s="157">
        <v>45952</v>
      </c>
      <c r="C3501" s="158" t="s">
        <v>903</v>
      </c>
      <c r="D3501" s="159" t="str">
        <f>VLOOKUP(Sales[[#This Row],[Customer ID]],Customer[#All],2,0)</f>
        <v>Sahil Singh</v>
      </c>
      <c r="E3501" s="158" t="s">
        <v>315</v>
      </c>
      <c r="F3501" s="158" t="str">
        <f>VLOOKUP(Sales[[#This Row],[Product ID]],Product[#All],2,0)</f>
        <v>Jbl Headset</v>
      </c>
      <c r="G3501" s="159">
        <v>1</v>
      </c>
      <c r="H3501" s="160">
        <f>VLOOKUP(Sales[[#This Row],[Product ID]],Product[#All],7,0)</f>
        <v>2630</v>
      </c>
      <c r="I3501" s="160">
        <f>Sales[[#This Row],[Selling Rate]]*Sales[[#This Row],[Qty]]</f>
        <v>2630</v>
      </c>
      <c r="J3501" s="43">
        <v>0.15</v>
      </c>
      <c r="K3501" s="44">
        <f>Sales[[#This Row],[Gross Amount]]*Sales[[#This Row],[Disc %]]</f>
        <v>394.5</v>
      </c>
      <c r="L3501" s="43">
        <v>0.18</v>
      </c>
      <c r="M3501" s="44">
        <f>(Sales[[#This Row],[Gross Amount]]-Sales[[#This Row],[Disc. Amt.]])*Sales[[#This Row],[GST %]]</f>
        <v>402.39</v>
      </c>
      <c r="N3501" s="161">
        <f>Sales[[#This Row],[Gross Amount]]-Sales[[#This Row],[Disc. Amt.]]+Sales[[#This Row],[GST Amount]]</f>
        <v>2637.89</v>
      </c>
      <c r="O3501" s="158" t="s">
        <v>3569</v>
      </c>
      <c r="P3501" s="158" t="s">
        <v>3562</v>
      </c>
      <c r="Q3501" s="160">
        <f>IF(Sales[[#This Row],[Status]]="Cancelled",0,Sales[[#This Row],[Qty]])</f>
        <v>1</v>
      </c>
      <c r="R3501" s="161">
        <f>IF(Sales[[#This Row],[Status]]="Cancelled",0,Sales[[#This Row],[Total Amount]])</f>
        <v>2637.89</v>
      </c>
      <c r="S3501" s="162">
        <f>SUM(Sales[Net Amount])</f>
        <v>406839287.73200053</v>
      </c>
    </row>
    <row r="3502" spans="1:19" ht="18.75" x14ac:dyDescent="0.25">
      <c r="A3502" s="163" t="s">
        <v>7165</v>
      </c>
      <c r="B3502" s="164">
        <v>45952</v>
      </c>
      <c r="C3502" s="34" t="s">
        <v>792</v>
      </c>
      <c r="D3502" s="53" t="str">
        <f>VLOOKUP(Sales[[#This Row],[Customer ID]],Customer[#All],2,0)</f>
        <v>Pooja Sharma</v>
      </c>
      <c r="E3502" s="34" t="s">
        <v>216</v>
      </c>
      <c r="F3502" s="34" t="str">
        <f>VLOOKUP(Sales[[#This Row],[Product ID]],Product[#All],2,0)</f>
        <v>Amazon Basics Hdmi Cable</v>
      </c>
      <c r="G3502" s="53">
        <v>2</v>
      </c>
      <c r="H3502" s="165">
        <f>VLOOKUP(Sales[[#This Row],[Product ID]],Product[#All],7,0)</f>
        <v>1080</v>
      </c>
      <c r="I3502" s="165">
        <f>Sales[[#This Row],[Selling Rate]]*Sales[[#This Row],[Qty]]</f>
        <v>2160</v>
      </c>
      <c r="J3502" s="45">
        <v>0.12</v>
      </c>
      <c r="K3502" s="46">
        <f>Sales[[#This Row],[Gross Amount]]*Sales[[#This Row],[Disc %]]</f>
        <v>259.2</v>
      </c>
      <c r="L3502" s="43">
        <v>0.18</v>
      </c>
      <c r="M3502" s="46">
        <f>(Sales[[#This Row],[Gross Amount]]-Sales[[#This Row],[Disc. Amt.]])*Sales[[#This Row],[GST %]]</f>
        <v>342.14400000000001</v>
      </c>
      <c r="N3502" s="161">
        <f>Sales[[#This Row],[Gross Amount]]-Sales[[#This Row],[Disc. Amt.]]+Sales[[#This Row],[GST Amount]]</f>
        <v>2242.944</v>
      </c>
      <c r="O3502" s="34" t="s">
        <v>3561</v>
      </c>
      <c r="P3502" s="34" t="s">
        <v>3562</v>
      </c>
      <c r="Q3502" s="165">
        <f>IF(Sales[[#This Row],[Status]]="Cancelled",0,Sales[[#This Row],[Qty]])</f>
        <v>2</v>
      </c>
      <c r="R3502" s="166">
        <f>IF(Sales[[#This Row],[Status]]="Cancelled",0,Sales[[#This Row],[Total Amount]])</f>
        <v>2242.944</v>
      </c>
      <c r="S3502" s="162">
        <f>SUM(Sales[Net Amount])</f>
        <v>406839287.73200053</v>
      </c>
    </row>
    <row r="3503" spans="1:19" ht="18.75" x14ac:dyDescent="0.25">
      <c r="A3503" s="156" t="s">
        <v>7166</v>
      </c>
      <c r="B3503" s="157">
        <v>45952</v>
      </c>
      <c r="C3503" s="158" t="s">
        <v>671</v>
      </c>
      <c r="D3503" s="159" t="str">
        <f>VLOOKUP(Sales[[#This Row],[Customer ID]],Customer[#All],2,0)</f>
        <v>Sahil Patel</v>
      </c>
      <c r="E3503" s="158" t="s">
        <v>444</v>
      </c>
      <c r="F3503" s="158" t="str">
        <f>VLOOKUP(Sales[[#This Row],[Product ID]],Product[#All],2,0)</f>
        <v>Dell Desktop</v>
      </c>
      <c r="G3503" s="159">
        <v>7</v>
      </c>
      <c r="H3503" s="160">
        <f>VLOOKUP(Sales[[#This Row],[Product ID]],Product[#All],7,0)</f>
        <v>55730</v>
      </c>
      <c r="I3503" s="160">
        <f>Sales[[#This Row],[Selling Rate]]*Sales[[#This Row],[Qty]]</f>
        <v>390110</v>
      </c>
      <c r="J3503" s="43">
        <v>0</v>
      </c>
      <c r="K3503" s="44">
        <f>Sales[[#This Row],[Gross Amount]]*Sales[[#This Row],[Disc %]]</f>
        <v>0</v>
      </c>
      <c r="L3503" s="43">
        <v>0.18</v>
      </c>
      <c r="M3503" s="44">
        <f>(Sales[[#This Row],[Gross Amount]]-Sales[[#This Row],[Disc. Amt.]])*Sales[[#This Row],[GST %]]</f>
        <v>70219.8</v>
      </c>
      <c r="N3503" s="161">
        <f>Sales[[#This Row],[Gross Amount]]-Sales[[#This Row],[Disc. Amt.]]+Sales[[#This Row],[GST Amount]]</f>
        <v>460329.8</v>
      </c>
      <c r="O3503" s="158" t="s">
        <v>3561</v>
      </c>
      <c r="P3503" s="158" t="s">
        <v>3562</v>
      </c>
      <c r="Q3503" s="160">
        <f>IF(Sales[[#This Row],[Status]]="Cancelled",0,Sales[[#This Row],[Qty]])</f>
        <v>7</v>
      </c>
      <c r="R3503" s="161">
        <f>IF(Sales[[#This Row],[Status]]="Cancelled",0,Sales[[#This Row],[Total Amount]])</f>
        <v>460329.8</v>
      </c>
      <c r="S3503" s="162">
        <f>SUM(Sales[Net Amount])</f>
        <v>406839287.73200053</v>
      </c>
    </row>
    <row r="3504" spans="1:19" ht="18.75" x14ac:dyDescent="0.25">
      <c r="A3504" s="163" t="s">
        <v>7167</v>
      </c>
      <c r="B3504" s="164">
        <v>45952</v>
      </c>
      <c r="C3504" s="34" t="s">
        <v>916</v>
      </c>
      <c r="D3504" s="53" t="str">
        <f>VLOOKUP(Sales[[#This Row],[Customer ID]],Customer[#All],2,0)</f>
        <v>Ankit Singh</v>
      </c>
      <c r="E3504" s="34" t="s">
        <v>204</v>
      </c>
      <c r="F3504" s="34" t="str">
        <f>VLOOKUP(Sales[[#This Row],[Product ID]],Product[#All],2,0)</f>
        <v>Lenovo Laptop</v>
      </c>
      <c r="G3504" s="53">
        <v>8</v>
      </c>
      <c r="H3504" s="165">
        <f>VLOOKUP(Sales[[#This Row],[Product ID]],Product[#All],7,0)</f>
        <v>42370</v>
      </c>
      <c r="I3504" s="165">
        <f>Sales[[#This Row],[Selling Rate]]*Sales[[#This Row],[Qty]]</f>
        <v>338960</v>
      </c>
      <c r="J3504" s="45">
        <v>0.05</v>
      </c>
      <c r="K3504" s="46">
        <f>Sales[[#This Row],[Gross Amount]]*Sales[[#This Row],[Disc %]]</f>
        <v>16948</v>
      </c>
      <c r="L3504" s="43">
        <v>0.18</v>
      </c>
      <c r="M3504" s="46">
        <f>(Sales[[#This Row],[Gross Amount]]-Sales[[#This Row],[Disc. Amt.]])*Sales[[#This Row],[GST %]]</f>
        <v>57962.159999999996</v>
      </c>
      <c r="N3504" s="161">
        <f>Sales[[#This Row],[Gross Amount]]-Sales[[#This Row],[Disc. Amt.]]+Sales[[#This Row],[GST Amount]]</f>
        <v>379974.16</v>
      </c>
      <c r="O3504" s="34" t="s">
        <v>8876</v>
      </c>
      <c r="P3504" s="34" t="s">
        <v>3562</v>
      </c>
      <c r="Q3504" s="165">
        <f>IF(Sales[[#This Row],[Status]]="Cancelled",0,Sales[[#This Row],[Qty]])</f>
        <v>8</v>
      </c>
      <c r="R3504" s="166">
        <f>IF(Sales[[#This Row],[Status]]="Cancelled",0,Sales[[#This Row],[Total Amount]])</f>
        <v>379974.16</v>
      </c>
      <c r="S3504" s="162">
        <f>SUM(Sales[Net Amount])</f>
        <v>406839287.73200053</v>
      </c>
    </row>
    <row r="3505" spans="1:19" ht="18.75" x14ac:dyDescent="0.25">
      <c r="A3505" s="156" t="s">
        <v>7168</v>
      </c>
      <c r="B3505" s="157">
        <v>45952</v>
      </c>
      <c r="C3505" s="158" t="s">
        <v>947</v>
      </c>
      <c r="D3505" s="159" t="str">
        <f>VLOOKUP(Sales[[#This Row],[Customer ID]],Customer[#All],2,0)</f>
        <v>Sunita Singh</v>
      </c>
      <c r="E3505" s="158" t="s">
        <v>188</v>
      </c>
      <c r="F3505" s="158" t="str">
        <f>VLOOKUP(Sales[[#This Row],[Product ID]],Product[#All],2,0)</f>
        <v>Crucial Ssd</v>
      </c>
      <c r="G3505" s="159">
        <v>8</v>
      </c>
      <c r="H3505" s="160">
        <f>VLOOKUP(Sales[[#This Row],[Product ID]],Product[#All],7,0)</f>
        <v>14390</v>
      </c>
      <c r="I3505" s="160">
        <f>Sales[[#This Row],[Selling Rate]]*Sales[[#This Row],[Qty]]</f>
        <v>115120</v>
      </c>
      <c r="J3505" s="43">
        <v>0.1</v>
      </c>
      <c r="K3505" s="44">
        <f>Sales[[#This Row],[Gross Amount]]*Sales[[#This Row],[Disc %]]</f>
        <v>11512</v>
      </c>
      <c r="L3505" s="43">
        <v>0.18</v>
      </c>
      <c r="M3505" s="44">
        <f>(Sales[[#This Row],[Gross Amount]]-Sales[[#This Row],[Disc. Amt.]])*Sales[[#This Row],[GST %]]</f>
        <v>18649.439999999999</v>
      </c>
      <c r="N3505" s="161">
        <f>Sales[[#This Row],[Gross Amount]]-Sales[[#This Row],[Disc. Amt.]]+Sales[[#This Row],[GST Amount]]</f>
        <v>122257.44</v>
      </c>
      <c r="O3505" s="158" t="s">
        <v>8876</v>
      </c>
      <c r="P3505" s="158" t="s">
        <v>3562</v>
      </c>
      <c r="Q3505" s="160">
        <f>IF(Sales[[#This Row],[Status]]="Cancelled",0,Sales[[#This Row],[Qty]])</f>
        <v>8</v>
      </c>
      <c r="R3505" s="161">
        <f>IF(Sales[[#This Row],[Status]]="Cancelled",0,Sales[[#This Row],[Total Amount]])</f>
        <v>122257.44</v>
      </c>
      <c r="S3505" s="162">
        <f>SUM(Sales[Net Amount])</f>
        <v>406839287.73200053</v>
      </c>
    </row>
    <row r="3506" spans="1:19" ht="18.75" x14ac:dyDescent="0.25">
      <c r="A3506" s="163" t="s">
        <v>7169</v>
      </c>
      <c r="B3506" s="164">
        <v>45952</v>
      </c>
      <c r="C3506" s="34" t="s">
        <v>905</v>
      </c>
      <c r="D3506" s="53" t="str">
        <f>VLOOKUP(Sales[[#This Row],[Customer ID]],Customer[#All],2,0)</f>
        <v>Rakesh Gupta</v>
      </c>
      <c r="E3506" s="34" t="s">
        <v>246</v>
      </c>
      <c r="F3506" s="34" t="str">
        <f>VLOOKUP(Sales[[#This Row],[Product ID]],Product[#All],2,0)</f>
        <v>PortronicsLaptopStand</v>
      </c>
      <c r="G3506" s="53">
        <v>3</v>
      </c>
      <c r="H3506" s="165">
        <f>VLOOKUP(Sales[[#This Row],[Product ID]],Product[#All],7,0)</f>
        <v>1600</v>
      </c>
      <c r="I3506" s="165">
        <f>Sales[[#This Row],[Selling Rate]]*Sales[[#This Row],[Qty]]</f>
        <v>4800</v>
      </c>
      <c r="J3506" s="45">
        <v>0.02</v>
      </c>
      <c r="K3506" s="46">
        <f>Sales[[#This Row],[Gross Amount]]*Sales[[#This Row],[Disc %]]</f>
        <v>96</v>
      </c>
      <c r="L3506" s="43">
        <v>0.18</v>
      </c>
      <c r="M3506" s="46">
        <f>(Sales[[#This Row],[Gross Amount]]-Sales[[#This Row],[Disc. Amt.]])*Sales[[#This Row],[GST %]]</f>
        <v>846.71999999999991</v>
      </c>
      <c r="N3506" s="161">
        <f>Sales[[#This Row],[Gross Amount]]-Sales[[#This Row],[Disc. Amt.]]+Sales[[#This Row],[GST Amount]]</f>
        <v>5550.72</v>
      </c>
      <c r="O3506" s="34" t="s">
        <v>8876</v>
      </c>
      <c r="P3506" s="34" t="s">
        <v>3562</v>
      </c>
      <c r="Q3506" s="165">
        <f>IF(Sales[[#This Row],[Status]]="Cancelled",0,Sales[[#This Row],[Qty]])</f>
        <v>3</v>
      </c>
      <c r="R3506" s="166">
        <f>IF(Sales[[#This Row],[Status]]="Cancelled",0,Sales[[#This Row],[Total Amount]])</f>
        <v>5550.72</v>
      </c>
      <c r="S3506" s="162">
        <f>SUM(Sales[Net Amount])</f>
        <v>406839287.73200053</v>
      </c>
    </row>
    <row r="3507" spans="1:19" ht="18.75" x14ac:dyDescent="0.25">
      <c r="A3507" s="156" t="s">
        <v>7170</v>
      </c>
      <c r="B3507" s="157">
        <v>45952</v>
      </c>
      <c r="C3507" s="158" t="s">
        <v>691</v>
      </c>
      <c r="D3507" s="159" t="str">
        <f>VLOOKUP(Sales[[#This Row],[Customer ID]],Customer[#All],2,0)</f>
        <v>Pooja Patel</v>
      </c>
      <c r="E3507" s="158" t="s">
        <v>80</v>
      </c>
      <c r="F3507" s="158" t="str">
        <f>VLOOKUP(Sales[[#This Row],[Product ID]],Product[#All],2,0)</f>
        <v>Epson Printer</v>
      </c>
      <c r="G3507" s="159">
        <v>8</v>
      </c>
      <c r="H3507" s="160">
        <f>VLOOKUP(Sales[[#This Row],[Product ID]],Product[#All],7,0)</f>
        <v>41620</v>
      </c>
      <c r="I3507" s="160">
        <f>Sales[[#This Row],[Selling Rate]]*Sales[[#This Row],[Qty]]</f>
        <v>332960</v>
      </c>
      <c r="J3507" s="43">
        <v>0</v>
      </c>
      <c r="K3507" s="44">
        <f>Sales[[#This Row],[Gross Amount]]*Sales[[#This Row],[Disc %]]</f>
        <v>0</v>
      </c>
      <c r="L3507" s="43">
        <v>0.18</v>
      </c>
      <c r="M3507" s="44">
        <f>(Sales[[#This Row],[Gross Amount]]-Sales[[#This Row],[Disc. Amt.]])*Sales[[#This Row],[GST %]]</f>
        <v>59932.799999999996</v>
      </c>
      <c r="N3507" s="161">
        <f>Sales[[#This Row],[Gross Amount]]-Sales[[#This Row],[Disc. Amt.]]+Sales[[#This Row],[GST Amount]]</f>
        <v>392892.8</v>
      </c>
      <c r="O3507" s="158" t="s">
        <v>8876</v>
      </c>
      <c r="P3507" s="158" t="s">
        <v>3562</v>
      </c>
      <c r="Q3507" s="160">
        <f>IF(Sales[[#This Row],[Status]]="Cancelled",0,Sales[[#This Row],[Qty]])</f>
        <v>8</v>
      </c>
      <c r="R3507" s="161">
        <f>IF(Sales[[#This Row],[Status]]="Cancelled",0,Sales[[#This Row],[Total Amount]])</f>
        <v>392892.8</v>
      </c>
      <c r="S3507" s="162">
        <f>SUM(Sales[Net Amount])</f>
        <v>406839287.73200053</v>
      </c>
    </row>
    <row r="3508" spans="1:19" ht="18.75" x14ac:dyDescent="0.25">
      <c r="A3508" s="163" t="s">
        <v>7171</v>
      </c>
      <c r="B3508" s="164">
        <v>45952</v>
      </c>
      <c r="C3508" s="34" t="s">
        <v>853</v>
      </c>
      <c r="D3508" s="53" t="str">
        <f>VLOOKUP(Sales[[#This Row],[Customer ID]],Customer[#All],2,0)</f>
        <v>Amit Singh</v>
      </c>
      <c r="E3508" s="34" t="s">
        <v>387</v>
      </c>
      <c r="F3508" s="34" t="str">
        <f>VLOOKUP(Sales[[#This Row],[Product ID]],Product[#All],2,0)</f>
        <v>HP Printer</v>
      </c>
      <c r="G3508" s="53">
        <v>2</v>
      </c>
      <c r="H3508" s="165">
        <f>VLOOKUP(Sales[[#This Row],[Product ID]],Product[#All],7,0)</f>
        <v>14390</v>
      </c>
      <c r="I3508" s="165">
        <f>Sales[[#This Row],[Selling Rate]]*Sales[[#This Row],[Qty]]</f>
        <v>28780</v>
      </c>
      <c r="J3508" s="45">
        <v>0.15</v>
      </c>
      <c r="K3508" s="46">
        <f>Sales[[#This Row],[Gross Amount]]*Sales[[#This Row],[Disc %]]</f>
        <v>4317</v>
      </c>
      <c r="L3508" s="43">
        <v>0.18</v>
      </c>
      <c r="M3508" s="46">
        <f>(Sales[[#This Row],[Gross Amount]]-Sales[[#This Row],[Disc. Amt.]])*Sales[[#This Row],[GST %]]</f>
        <v>4403.34</v>
      </c>
      <c r="N3508" s="161">
        <f>Sales[[#This Row],[Gross Amount]]-Sales[[#This Row],[Disc. Amt.]]+Sales[[#This Row],[GST Amount]]</f>
        <v>28866.34</v>
      </c>
      <c r="O3508" s="34" t="s">
        <v>3566</v>
      </c>
      <c r="P3508" s="34" t="s">
        <v>3562</v>
      </c>
      <c r="Q3508" s="165">
        <f>IF(Sales[[#This Row],[Status]]="Cancelled",0,Sales[[#This Row],[Qty]])</f>
        <v>2</v>
      </c>
      <c r="R3508" s="166">
        <f>IF(Sales[[#This Row],[Status]]="Cancelled",0,Sales[[#This Row],[Total Amount]])</f>
        <v>28866.34</v>
      </c>
      <c r="S3508" s="162">
        <f>SUM(Sales[Net Amount])</f>
        <v>406839287.73200053</v>
      </c>
    </row>
    <row r="3509" spans="1:19" ht="18.75" x14ac:dyDescent="0.25">
      <c r="A3509" s="156" t="s">
        <v>7172</v>
      </c>
      <c r="B3509" s="157">
        <v>45952</v>
      </c>
      <c r="C3509" s="158" t="s">
        <v>752</v>
      </c>
      <c r="D3509" s="159" t="str">
        <f>VLOOKUP(Sales[[#This Row],[Customer ID]],Customer[#All],2,0)</f>
        <v>Pooja Patel</v>
      </c>
      <c r="E3509" s="158" t="s">
        <v>206</v>
      </c>
      <c r="F3509" s="158" t="str">
        <f>VLOOKUP(Sales[[#This Row],[Product ID]],Product[#All],2,0)</f>
        <v>Dell Power Adapter</v>
      </c>
      <c r="G3509" s="159">
        <v>4</v>
      </c>
      <c r="H3509" s="160">
        <f>VLOOKUP(Sales[[#This Row],[Product ID]],Product[#All],7,0)</f>
        <v>2490</v>
      </c>
      <c r="I3509" s="160">
        <f>Sales[[#This Row],[Selling Rate]]*Sales[[#This Row],[Qty]]</f>
        <v>9960</v>
      </c>
      <c r="J3509" s="43">
        <v>0.15</v>
      </c>
      <c r="K3509" s="44">
        <f>Sales[[#This Row],[Gross Amount]]*Sales[[#This Row],[Disc %]]</f>
        <v>1494</v>
      </c>
      <c r="L3509" s="43">
        <v>0.18</v>
      </c>
      <c r="M3509" s="44">
        <f>(Sales[[#This Row],[Gross Amount]]-Sales[[#This Row],[Disc. Amt.]])*Sales[[#This Row],[GST %]]</f>
        <v>1523.8799999999999</v>
      </c>
      <c r="N3509" s="161">
        <f>Sales[[#This Row],[Gross Amount]]-Sales[[#This Row],[Disc. Amt.]]+Sales[[#This Row],[GST Amount]]</f>
        <v>9989.8799999999992</v>
      </c>
      <c r="O3509" s="158" t="s">
        <v>8876</v>
      </c>
      <c r="P3509" s="158" t="s">
        <v>3562</v>
      </c>
      <c r="Q3509" s="160">
        <f>IF(Sales[[#This Row],[Status]]="Cancelled",0,Sales[[#This Row],[Qty]])</f>
        <v>4</v>
      </c>
      <c r="R3509" s="161">
        <f>IF(Sales[[#This Row],[Status]]="Cancelled",0,Sales[[#This Row],[Total Amount]])</f>
        <v>9989.8799999999992</v>
      </c>
      <c r="S3509" s="162">
        <f>SUM(Sales[Net Amount])</f>
        <v>406839287.73200053</v>
      </c>
    </row>
    <row r="3510" spans="1:19" ht="18.75" x14ac:dyDescent="0.25">
      <c r="A3510" s="163" t="s">
        <v>7173</v>
      </c>
      <c r="B3510" s="164">
        <v>45952</v>
      </c>
      <c r="C3510" s="34" t="s">
        <v>747</v>
      </c>
      <c r="D3510" s="53" t="str">
        <f>VLOOKUP(Sales[[#This Row],[Customer ID]],Customer[#All],2,0)</f>
        <v>Sunita Gupta</v>
      </c>
      <c r="E3510" s="34" t="s">
        <v>114</v>
      </c>
      <c r="F3510" s="34" t="str">
        <f>VLOOKUP(Sales[[#This Row],[Product ID]],Product[#All],2,0)</f>
        <v>Apc UPS</v>
      </c>
      <c r="G3510" s="53">
        <v>2</v>
      </c>
      <c r="H3510" s="165">
        <f>VLOOKUP(Sales[[#This Row],[Product ID]],Product[#All],7,0)</f>
        <v>17310</v>
      </c>
      <c r="I3510" s="165">
        <f>Sales[[#This Row],[Selling Rate]]*Sales[[#This Row],[Qty]]</f>
        <v>34620</v>
      </c>
      <c r="J3510" s="45">
        <v>0.12</v>
      </c>
      <c r="K3510" s="46">
        <f>Sales[[#This Row],[Gross Amount]]*Sales[[#This Row],[Disc %]]</f>
        <v>4154.3999999999996</v>
      </c>
      <c r="L3510" s="43">
        <v>0.18</v>
      </c>
      <c r="M3510" s="46">
        <f>(Sales[[#This Row],[Gross Amount]]-Sales[[#This Row],[Disc. Amt.]])*Sales[[#This Row],[GST %]]</f>
        <v>5483.8079999999991</v>
      </c>
      <c r="N3510" s="161">
        <f>Sales[[#This Row],[Gross Amount]]-Sales[[#This Row],[Disc. Amt.]]+Sales[[#This Row],[GST Amount]]</f>
        <v>35949.407999999996</v>
      </c>
      <c r="O3510" s="34" t="s">
        <v>3569</v>
      </c>
      <c r="P3510" s="34" t="s">
        <v>3562</v>
      </c>
      <c r="Q3510" s="165">
        <f>IF(Sales[[#This Row],[Status]]="Cancelled",0,Sales[[#This Row],[Qty]])</f>
        <v>2</v>
      </c>
      <c r="R3510" s="166">
        <f>IF(Sales[[#This Row],[Status]]="Cancelled",0,Sales[[#This Row],[Total Amount]])</f>
        <v>35949.407999999996</v>
      </c>
      <c r="S3510" s="162">
        <f>SUM(Sales[Net Amount])</f>
        <v>406839287.73200053</v>
      </c>
    </row>
    <row r="3511" spans="1:19" ht="18.75" x14ac:dyDescent="0.25">
      <c r="A3511" s="156" t="s">
        <v>7174</v>
      </c>
      <c r="B3511" s="157">
        <v>45952</v>
      </c>
      <c r="C3511" s="158" t="s">
        <v>740</v>
      </c>
      <c r="D3511" s="159" t="str">
        <f>VLOOKUP(Sales[[#This Row],[Customer ID]],Customer[#All],2,0)</f>
        <v>Vikas Gupta</v>
      </c>
      <c r="E3511" s="158" t="s">
        <v>102</v>
      </c>
      <c r="F3511" s="158" t="str">
        <f>VLOOKUP(Sales[[#This Row],[Product ID]],Product[#All],2,0)</f>
        <v>Canon Printer</v>
      </c>
      <c r="G3511" s="159">
        <v>1</v>
      </c>
      <c r="H3511" s="160">
        <f>VLOOKUP(Sales[[#This Row],[Product ID]],Product[#All],7,0)</f>
        <v>13010</v>
      </c>
      <c r="I3511" s="160">
        <f>Sales[[#This Row],[Selling Rate]]*Sales[[#This Row],[Qty]]</f>
        <v>13010</v>
      </c>
      <c r="J3511" s="43">
        <v>0.15</v>
      </c>
      <c r="K3511" s="44">
        <f>Sales[[#This Row],[Gross Amount]]*Sales[[#This Row],[Disc %]]</f>
        <v>1951.5</v>
      </c>
      <c r="L3511" s="43">
        <v>0.18</v>
      </c>
      <c r="M3511" s="44">
        <f>(Sales[[#This Row],[Gross Amount]]-Sales[[#This Row],[Disc. Amt.]])*Sales[[#This Row],[GST %]]</f>
        <v>1990.53</v>
      </c>
      <c r="N3511" s="161">
        <f>Sales[[#This Row],[Gross Amount]]-Sales[[#This Row],[Disc. Amt.]]+Sales[[#This Row],[GST Amount]]</f>
        <v>13049.03</v>
      </c>
      <c r="O3511" s="158" t="s">
        <v>3566</v>
      </c>
      <c r="P3511" s="158" t="s">
        <v>3562</v>
      </c>
      <c r="Q3511" s="160">
        <f>IF(Sales[[#This Row],[Status]]="Cancelled",0,Sales[[#This Row],[Qty]])</f>
        <v>1</v>
      </c>
      <c r="R3511" s="161">
        <f>IF(Sales[[#This Row],[Status]]="Cancelled",0,Sales[[#This Row],[Total Amount]])</f>
        <v>13049.03</v>
      </c>
      <c r="S3511" s="162">
        <f>SUM(Sales[Net Amount])</f>
        <v>406839287.73200053</v>
      </c>
    </row>
    <row r="3512" spans="1:19" ht="18.75" x14ac:dyDescent="0.25">
      <c r="A3512" s="163" t="s">
        <v>7175</v>
      </c>
      <c r="B3512" s="164">
        <v>45952</v>
      </c>
      <c r="C3512" s="34" t="s">
        <v>757</v>
      </c>
      <c r="D3512" s="53" t="str">
        <f>VLOOKUP(Sales[[#This Row],[Customer ID]],Customer[#All],2,0)</f>
        <v>Amit Singh</v>
      </c>
      <c r="E3512" s="34" t="s">
        <v>395</v>
      </c>
      <c r="F3512" s="34" t="str">
        <f>VLOOKUP(Sales[[#This Row],[Product ID]],Product[#All],2,0)</f>
        <v>American TouristerLaptopBag</v>
      </c>
      <c r="G3512" s="53">
        <v>6</v>
      </c>
      <c r="H3512" s="165">
        <f>VLOOKUP(Sales[[#This Row],[Product ID]],Product[#All],7,0)</f>
        <v>5010</v>
      </c>
      <c r="I3512" s="165">
        <f>Sales[[#This Row],[Selling Rate]]*Sales[[#This Row],[Qty]]</f>
        <v>30060</v>
      </c>
      <c r="J3512" s="45">
        <v>0.02</v>
      </c>
      <c r="K3512" s="46">
        <f>Sales[[#This Row],[Gross Amount]]*Sales[[#This Row],[Disc %]]</f>
        <v>601.20000000000005</v>
      </c>
      <c r="L3512" s="43">
        <v>0.18</v>
      </c>
      <c r="M3512" s="46">
        <f>(Sales[[#This Row],[Gross Amount]]-Sales[[#This Row],[Disc. Amt.]])*Sales[[#This Row],[GST %]]</f>
        <v>5302.5839999999998</v>
      </c>
      <c r="N3512" s="161">
        <f>Sales[[#This Row],[Gross Amount]]-Sales[[#This Row],[Disc. Amt.]]+Sales[[#This Row],[GST Amount]]</f>
        <v>34761.383999999998</v>
      </c>
      <c r="O3512" s="34" t="s">
        <v>3561</v>
      </c>
      <c r="P3512" s="34" t="s">
        <v>3562</v>
      </c>
      <c r="Q3512" s="165">
        <f>IF(Sales[[#This Row],[Status]]="Cancelled",0,Sales[[#This Row],[Qty]])</f>
        <v>6</v>
      </c>
      <c r="R3512" s="166">
        <f>IF(Sales[[#This Row],[Status]]="Cancelled",0,Sales[[#This Row],[Total Amount]])</f>
        <v>34761.383999999998</v>
      </c>
      <c r="S3512" s="162">
        <f>SUM(Sales[Net Amount])</f>
        <v>406839287.73200053</v>
      </c>
    </row>
    <row r="3513" spans="1:19" ht="18.75" x14ac:dyDescent="0.25">
      <c r="A3513" s="156" t="s">
        <v>7176</v>
      </c>
      <c r="B3513" s="157">
        <v>45952</v>
      </c>
      <c r="C3513" s="158" t="s">
        <v>661</v>
      </c>
      <c r="D3513" s="159" t="str">
        <f>VLOOKUP(Sales[[#This Row],[Customer ID]],Customer[#All],2,0)</f>
        <v>Pooja Gupta</v>
      </c>
      <c r="E3513" s="158" t="s">
        <v>253</v>
      </c>
      <c r="F3513" s="158" t="str">
        <f>VLOOKUP(Sales[[#This Row],[Product ID]],Product[#All],2,0)</f>
        <v>Acer Laptop</v>
      </c>
      <c r="G3513" s="159">
        <v>1</v>
      </c>
      <c r="H3513" s="160">
        <f>VLOOKUP(Sales[[#This Row],[Product ID]],Product[#All],7,0)</f>
        <v>40550</v>
      </c>
      <c r="I3513" s="160">
        <f>Sales[[#This Row],[Selling Rate]]*Sales[[#This Row],[Qty]]</f>
        <v>40550</v>
      </c>
      <c r="J3513" s="43">
        <v>0.05</v>
      </c>
      <c r="K3513" s="44">
        <f>Sales[[#This Row],[Gross Amount]]*Sales[[#This Row],[Disc %]]</f>
        <v>2027.5</v>
      </c>
      <c r="L3513" s="43">
        <v>0.18</v>
      </c>
      <c r="M3513" s="44">
        <f>(Sales[[#This Row],[Gross Amount]]-Sales[[#This Row],[Disc. Amt.]])*Sales[[#This Row],[GST %]]</f>
        <v>6934.05</v>
      </c>
      <c r="N3513" s="161">
        <f>Sales[[#This Row],[Gross Amount]]-Sales[[#This Row],[Disc. Amt.]]+Sales[[#This Row],[GST Amount]]</f>
        <v>45456.55</v>
      </c>
      <c r="O3513" s="158" t="s">
        <v>3566</v>
      </c>
      <c r="P3513" s="158" t="s">
        <v>3562</v>
      </c>
      <c r="Q3513" s="160">
        <f>IF(Sales[[#This Row],[Status]]="Cancelled",0,Sales[[#This Row],[Qty]])</f>
        <v>1</v>
      </c>
      <c r="R3513" s="161">
        <f>IF(Sales[[#This Row],[Status]]="Cancelled",0,Sales[[#This Row],[Total Amount]])</f>
        <v>45456.55</v>
      </c>
      <c r="S3513" s="162">
        <f>SUM(Sales[Net Amount])</f>
        <v>406839287.73200053</v>
      </c>
    </row>
    <row r="3514" spans="1:19" ht="18.75" x14ac:dyDescent="0.25">
      <c r="A3514" s="163" t="s">
        <v>7177</v>
      </c>
      <c r="B3514" s="164">
        <v>45952</v>
      </c>
      <c r="C3514" s="34" t="s">
        <v>777</v>
      </c>
      <c r="D3514" s="53" t="str">
        <f>VLOOKUP(Sales[[#This Row],[Customer ID]],Customer[#All],2,0)</f>
        <v>Neha Sharma</v>
      </c>
      <c r="E3514" s="34" t="s">
        <v>182</v>
      </c>
      <c r="F3514" s="34" t="str">
        <f>VLOOKUP(Sales[[#This Row],[Product ID]],Product[#All],2,0)</f>
        <v>Kingston Ram</v>
      </c>
      <c r="G3514" s="53">
        <v>7</v>
      </c>
      <c r="H3514" s="165">
        <f>VLOOKUP(Sales[[#This Row],[Product ID]],Product[#All],7,0)</f>
        <v>10690</v>
      </c>
      <c r="I3514" s="165">
        <f>Sales[[#This Row],[Selling Rate]]*Sales[[#This Row],[Qty]]</f>
        <v>74830</v>
      </c>
      <c r="J3514" s="45">
        <v>0.1</v>
      </c>
      <c r="K3514" s="46">
        <f>Sales[[#This Row],[Gross Amount]]*Sales[[#This Row],[Disc %]]</f>
        <v>7483</v>
      </c>
      <c r="L3514" s="43">
        <v>0.18</v>
      </c>
      <c r="M3514" s="46">
        <f>(Sales[[#This Row],[Gross Amount]]-Sales[[#This Row],[Disc. Amt.]])*Sales[[#This Row],[GST %]]</f>
        <v>12122.46</v>
      </c>
      <c r="N3514" s="161">
        <f>Sales[[#This Row],[Gross Amount]]-Sales[[#This Row],[Disc. Amt.]]+Sales[[#This Row],[GST Amount]]</f>
        <v>79469.459999999992</v>
      </c>
      <c r="O3514" s="34" t="s">
        <v>3561</v>
      </c>
      <c r="P3514" s="34" t="s">
        <v>3562</v>
      </c>
      <c r="Q3514" s="165">
        <f>IF(Sales[[#This Row],[Status]]="Cancelled",0,Sales[[#This Row],[Qty]])</f>
        <v>7</v>
      </c>
      <c r="R3514" s="166">
        <f>IF(Sales[[#This Row],[Status]]="Cancelled",0,Sales[[#This Row],[Total Amount]])</f>
        <v>79469.459999999992</v>
      </c>
      <c r="S3514" s="162">
        <f>SUM(Sales[Net Amount])</f>
        <v>406839287.73200053</v>
      </c>
    </row>
    <row r="3515" spans="1:19" ht="18.75" x14ac:dyDescent="0.25">
      <c r="A3515" s="156" t="s">
        <v>7178</v>
      </c>
      <c r="B3515" s="157">
        <v>45953</v>
      </c>
      <c r="C3515" s="158" t="s">
        <v>727</v>
      </c>
      <c r="D3515" s="159" t="str">
        <f>VLOOKUP(Sales[[#This Row],[Customer ID]],Customer[#All],2,0)</f>
        <v>Sahil Sharma</v>
      </c>
      <c r="E3515" s="158" t="s">
        <v>516</v>
      </c>
      <c r="F3515" s="158" t="str">
        <f>VLOOKUP(Sales[[#This Row],[Product ID]],Product[#All],2,0)</f>
        <v>Boat Headset</v>
      </c>
      <c r="G3515" s="159">
        <v>5</v>
      </c>
      <c r="H3515" s="160">
        <f>VLOOKUP(Sales[[#This Row],[Product ID]],Product[#All],7,0)</f>
        <v>2690</v>
      </c>
      <c r="I3515" s="160">
        <f>Sales[[#This Row],[Selling Rate]]*Sales[[#This Row],[Qty]]</f>
        <v>13450</v>
      </c>
      <c r="J3515" s="43">
        <v>0</v>
      </c>
      <c r="K3515" s="44">
        <f>Sales[[#This Row],[Gross Amount]]*Sales[[#This Row],[Disc %]]</f>
        <v>0</v>
      </c>
      <c r="L3515" s="43">
        <v>0.18</v>
      </c>
      <c r="M3515" s="44">
        <f>(Sales[[#This Row],[Gross Amount]]-Sales[[#This Row],[Disc. Amt.]])*Sales[[#This Row],[GST %]]</f>
        <v>2421</v>
      </c>
      <c r="N3515" s="161">
        <f>Sales[[#This Row],[Gross Amount]]-Sales[[#This Row],[Disc. Amt.]]+Sales[[#This Row],[GST Amount]]</f>
        <v>15871</v>
      </c>
      <c r="O3515" s="158" t="s">
        <v>3569</v>
      </c>
      <c r="P3515" s="158" t="s">
        <v>3562</v>
      </c>
      <c r="Q3515" s="160">
        <f>IF(Sales[[#This Row],[Status]]="Cancelled",0,Sales[[#This Row],[Qty]])</f>
        <v>5</v>
      </c>
      <c r="R3515" s="161">
        <f>IF(Sales[[#This Row],[Status]]="Cancelled",0,Sales[[#This Row],[Total Amount]])</f>
        <v>15871</v>
      </c>
      <c r="S3515" s="162">
        <f>SUM(Sales[Net Amount])</f>
        <v>406839287.73200053</v>
      </c>
    </row>
    <row r="3516" spans="1:19" ht="18.75" x14ac:dyDescent="0.25">
      <c r="A3516" s="163" t="s">
        <v>7179</v>
      </c>
      <c r="B3516" s="164">
        <v>45953</v>
      </c>
      <c r="C3516" s="34" t="s">
        <v>742</v>
      </c>
      <c r="D3516" s="53" t="str">
        <f>VLOOKUP(Sales[[#This Row],[Customer ID]],Customer[#All],2,0)</f>
        <v>Rahul Patel</v>
      </c>
      <c r="E3516" s="34" t="s">
        <v>87</v>
      </c>
      <c r="F3516" s="34" t="str">
        <f>VLOOKUP(Sales[[#This Row],[Product ID]],Product[#All],2,0)</f>
        <v>Boat Headset</v>
      </c>
      <c r="G3516" s="53">
        <v>2</v>
      </c>
      <c r="H3516" s="165">
        <f>VLOOKUP(Sales[[#This Row],[Product ID]],Product[#All],7,0)</f>
        <v>1040</v>
      </c>
      <c r="I3516" s="165">
        <f>Sales[[#This Row],[Selling Rate]]*Sales[[#This Row],[Qty]]</f>
        <v>2080</v>
      </c>
      <c r="J3516" s="45">
        <v>0.02</v>
      </c>
      <c r="K3516" s="46">
        <f>Sales[[#This Row],[Gross Amount]]*Sales[[#This Row],[Disc %]]</f>
        <v>41.6</v>
      </c>
      <c r="L3516" s="43">
        <v>0.18</v>
      </c>
      <c r="M3516" s="46">
        <f>(Sales[[#This Row],[Gross Amount]]-Sales[[#This Row],[Disc. Amt.]])*Sales[[#This Row],[GST %]]</f>
        <v>366.91199999999998</v>
      </c>
      <c r="N3516" s="161">
        <f>Sales[[#This Row],[Gross Amount]]-Sales[[#This Row],[Disc. Amt.]]+Sales[[#This Row],[GST Amount]]</f>
        <v>2405.3119999999999</v>
      </c>
      <c r="O3516" s="34" t="s">
        <v>3569</v>
      </c>
      <c r="P3516" s="34" t="s">
        <v>3562</v>
      </c>
      <c r="Q3516" s="165">
        <f>IF(Sales[[#This Row],[Status]]="Cancelled",0,Sales[[#This Row],[Qty]])</f>
        <v>2</v>
      </c>
      <c r="R3516" s="166">
        <f>IF(Sales[[#This Row],[Status]]="Cancelled",0,Sales[[#This Row],[Total Amount]])</f>
        <v>2405.3119999999999</v>
      </c>
      <c r="S3516" s="162">
        <f>SUM(Sales[Net Amount])</f>
        <v>406839287.73200053</v>
      </c>
    </row>
    <row r="3517" spans="1:19" ht="18.75" x14ac:dyDescent="0.25">
      <c r="A3517" s="156" t="s">
        <v>7180</v>
      </c>
      <c r="B3517" s="157">
        <v>45953</v>
      </c>
      <c r="C3517" s="158" t="s">
        <v>706</v>
      </c>
      <c r="D3517" s="159" t="str">
        <f>VLOOKUP(Sales[[#This Row],[Customer ID]],Customer[#All],2,0)</f>
        <v>Amit Sharma</v>
      </c>
      <c r="E3517" s="158" t="s">
        <v>351</v>
      </c>
      <c r="F3517" s="158" t="str">
        <f>VLOOKUP(Sales[[#This Row],[Product ID]],Product[#All],2,0)</f>
        <v>Logitech Mouse</v>
      </c>
      <c r="G3517" s="159">
        <v>8</v>
      </c>
      <c r="H3517" s="160">
        <f>VLOOKUP(Sales[[#This Row],[Product ID]],Product[#All],7,0)</f>
        <v>2130</v>
      </c>
      <c r="I3517" s="160">
        <f>Sales[[#This Row],[Selling Rate]]*Sales[[#This Row],[Qty]]</f>
        <v>17040</v>
      </c>
      <c r="J3517" s="43">
        <v>0</v>
      </c>
      <c r="K3517" s="44">
        <f>Sales[[#This Row],[Gross Amount]]*Sales[[#This Row],[Disc %]]</f>
        <v>0</v>
      </c>
      <c r="L3517" s="43">
        <v>0.18</v>
      </c>
      <c r="M3517" s="44">
        <f>(Sales[[#This Row],[Gross Amount]]-Sales[[#This Row],[Disc. Amt.]])*Sales[[#This Row],[GST %]]</f>
        <v>3067.2</v>
      </c>
      <c r="N3517" s="161">
        <f>Sales[[#This Row],[Gross Amount]]-Sales[[#This Row],[Disc. Amt.]]+Sales[[#This Row],[GST Amount]]</f>
        <v>20107.2</v>
      </c>
      <c r="O3517" s="158" t="s">
        <v>8876</v>
      </c>
      <c r="P3517" s="158" t="s">
        <v>3562</v>
      </c>
      <c r="Q3517" s="160">
        <f>IF(Sales[[#This Row],[Status]]="Cancelled",0,Sales[[#This Row],[Qty]])</f>
        <v>8</v>
      </c>
      <c r="R3517" s="161">
        <f>IF(Sales[[#This Row],[Status]]="Cancelled",0,Sales[[#This Row],[Total Amount]])</f>
        <v>20107.2</v>
      </c>
      <c r="S3517" s="162">
        <f>SUM(Sales[Net Amount])</f>
        <v>406839287.73200053</v>
      </c>
    </row>
    <row r="3518" spans="1:19" ht="18.75" x14ac:dyDescent="0.25">
      <c r="A3518" s="163" t="s">
        <v>7181</v>
      </c>
      <c r="B3518" s="164">
        <v>45953</v>
      </c>
      <c r="C3518" s="34" t="s">
        <v>759</v>
      </c>
      <c r="D3518" s="53" t="str">
        <f>VLOOKUP(Sales[[#This Row],[Customer ID]],Customer[#All],2,0)</f>
        <v>Ankit Sharma</v>
      </c>
      <c r="E3518" s="34" t="s">
        <v>127</v>
      </c>
      <c r="F3518" s="34" t="str">
        <f>VLOOKUP(Sales[[#This Row],[Product ID]],Product[#All],2,0)</f>
        <v>Samsung Ssd</v>
      </c>
      <c r="G3518" s="53">
        <v>8</v>
      </c>
      <c r="H3518" s="165">
        <f>VLOOKUP(Sales[[#This Row],[Product ID]],Product[#All],7,0)</f>
        <v>4570</v>
      </c>
      <c r="I3518" s="165">
        <f>Sales[[#This Row],[Selling Rate]]*Sales[[#This Row],[Qty]]</f>
        <v>36560</v>
      </c>
      <c r="J3518" s="45">
        <v>0</v>
      </c>
      <c r="K3518" s="46">
        <f>Sales[[#This Row],[Gross Amount]]*Sales[[#This Row],[Disc %]]</f>
        <v>0</v>
      </c>
      <c r="L3518" s="43">
        <v>0.18</v>
      </c>
      <c r="M3518" s="46">
        <f>(Sales[[#This Row],[Gross Amount]]-Sales[[#This Row],[Disc. Amt.]])*Sales[[#This Row],[GST %]]</f>
        <v>6580.8</v>
      </c>
      <c r="N3518" s="161">
        <f>Sales[[#This Row],[Gross Amount]]-Sales[[#This Row],[Disc. Amt.]]+Sales[[#This Row],[GST Amount]]</f>
        <v>43140.800000000003</v>
      </c>
      <c r="O3518" s="34" t="s">
        <v>3569</v>
      </c>
      <c r="P3518" s="34" t="s">
        <v>3562</v>
      </c>
      <c r="Q3518" s="165">
        <f>IF(Sales[[#This Row],[Status]]="Cancelled",0,Sales[[#This Row],[Qty]])</f>
        <v>8</v>
      </c>
      <c r="R3518" s="166">
        <f>IF(Sales[[#This Row],[Status]]="Cancelled",0,Sales[[#This Row],[Total Amount]])</f>
        <v>43140.800000000003</v>
      </c>
      <c r="S3518" s="162">
        <f>SUM(Sales[Net Amount])</f>
        <v>406839287.73200053</v>
      </c>
    </row>
    <row r="3519" spans="1:19" ht="18.75" x14ac:dyDescent="0.25">
      <c r="A3519" s="156" t="s">
        <v>7182</v>
      </c>
      <c r="B3519" s="157">
        <v>45953</v>
      </c>
      <c r="C3519" s="158" t="s">
        <v>799</v>
      </c>
      <c r="D3519" s="159" t="str">
        <f>VLOOKUP(Sales[[#This Row],[Customer ID]],Customer[#All],2,0)</f>
        <v>Rakesh Gupta</v>
      </c>
      <c r="E3519" s="158" t="s">
        <v>334</v>
      </c>
      <c r="F3519" s="158" t="str">
        <f>VLOOKUP(Sales[[#This Row],[Product ID]],Product[#All],2,0)</f>
        <v>Jbl Headset</v>
      </c>
      <c r="G3519" s="159">
        <v>3</v>
      </c>
      <c r="H3519" s="160">
        <f>VLOOKUP(Sales[[#This Row],[Product ID]],Product[#All],7,0)</f>
        <v>3150</v>
      </c>
      <c r="I3519" s="160">
        <f>Sales[[#This Row],[Selling Rate]]*Sales[[#This Row],[Qty]]</f>
        <v>9450</v>
      </c>
      <c r="J3519" s="43">
        <v>0.1</v>
      </c>
      <c r="K3519" s="44">
        <f>Sales[[#This Row],[Gross Amount]]*Sales[[#This Row],[Disc %]]</f>
        <v>945</v>
      </c>
      <c r="L3519" s="43">
        <v>0.18</v>
      </c>
      <c r="M3519" s="44">
        <f>(Sales[[#This Row],[Gross Amount]]-Sales[[#This Row],[Disc. Amt.]])*Sales[[#This Row],[GST %]]</f>
        <v>1530.8999999999999</v>
      </c>
      <c r="N3519" s="161">
        <f>Sales[[#This Row],[Gross Amount]]-Sales[[#This Row],[Disc. Amt.]]+Sales[[#This Row],[GST Amount]]</f>
        <v>10035.9</v>
      </c>
      <c r="O3519" s="158" t="s">
        <v>3566</v>
      </c>
      <c r="P3519" s="158" t="s">
        <v>3562</v>
      </c>
      <c r="Q3519" s="160">
        <f>IF(Sales[[#This Row],[Status]]="Cancelled",0,Sales[[#This Row],[Qty]])</f>
        <v>3</v>
      </c>
      <c r="R3519" s="161">
        <f>IF(Sales[[#This Row],[Status]]="Cancelled",0,Sales[[#This Row],[Total Amount]])</f>
        <v>10035.9</v>
      </c>
      <c r="S3519" s="162">
        <f>SUM(Sales[Net Amount])</f>
        <v>406839287.73200053</v>
      </c>
    </row>
    <row r="3520" spans="1:19" ht="18.75" x14ac:dyDescent="0.25">
      <c r="A3520" s="163" t="s">
        <v>7183</v>
      </c>
      <c r="B3520" s="164">
        <v>45953</v>
      </c>
      <c r="C3520" s="34" t="s">
        <v>719</v>
      </c>
      <c r="D3520" s="53" t="str">
        <f>VLOOKUP(Sales[[#This Row],[Customer ID]],Customer[#All],2,0)</f>
        <v>Priya Verma</v>
      </c>
      <c r="E3520" s="34" t="s">
        <v>122</v>
      </c>
      <c r="F3520" s="34" t="str">
        <f>VLOOKUP(Sales[[#This Row],[Product ID]],Product[#All],2,0)</f>
        <v>HP Mouse</v>
      </c>
      <c r="G3520" s="53">
        <v>6</v>
      </c>
      <c r="H3520" s="165">
        <f>VLOOKUP(Sales[[#This Row],[Product ID]],Product[#All],7,0)</f>
        <v>1980</v>
      </c>
      <c r="I3520" s="165">
        <f>Sales[[#This Row],[Selling Rate]]*Sales[[#This Row],[Qty]]</f>
        <v>11880</v>
      </c>
      <c r="J3520" s="45">
        <v>0.15</v>
      </c>
      <c r="K3520" s="46">
        <f>Sales[[#This Row],[Gross Amount]]*Sales[[#This Row],[Disc %]]</f>
        <v>1782</v>
      </c>
      <c r="L3520" s="43">
        <v>0.18</v>
      </c>
      <c r="M3520" s="46">
        <f>(Sales[[#This Row],[Gross Amount]]-Sales[[#This Row],[Disc. Amt.]])*Sales[[#This Row],[GST %]]</f>
        <v>1817.6399999999999</v>
      </c>
      <c r="N3520" s="161">
        <f>Sales[[#This Row],[Gross Amount]]-Sales[[#This Row],[Disc. Amt.]]+Sales[[#This Row],[GST Amount]]</f>
        <v>11915.64</v>
      </c>
      <c r="O3520" s="34" t="s">
        <v>3561</v>
      </c>
      <c r="P3520" s="34" t="s">
        <v>3562</v>
      </c>
      <c r="Q3520" s="165">
        <f>IF(Sales[[#This Row],[Status]]="Cancelled",0,Sales[[#This Row],[Qty]])</f>
        <v>6</v>
      </c>
      <c r="R3520" s="166">
        <f>IF(Sales[[#This Row],[Status]]="Cancelled",0,Sales[[#This Row],[Total Amount]])</f>
        <v>11915.64</v>
      </c>
      <c r="S3520" s="162">
        <f>SUM(Sales[Net Amount])</f>
        <v>406839287.73200053</v>
      </c>
    </row>
    <row r="3521" spans="1:19" ht="18.75" x14ac:dyDescent="0.25">
      <c r="A3521" s="156" t="s">
        <v>7184</v>
      </c>
      <c r="B3521" s="157">
        <v>45953</v>
      </c>
      <c r="C3521" s="158" t="s">
        <v>721</v>
      </c>
      <c r="D3521" s="159" t="str">
        <f>VLOOKUP(Sales[[#This Row],[Customer ID]],Customer[#All],2,0)</f>
        <v>Sahil Sharma</v>
      </c>
      <c r="E3521" s="158" t="s">
        <v>325</v>
      </c>
      <c r="F3521" s="158" t="str">
        <f>VLOOKUP(Sales[[#This Row],[Product ID]],Product[#All],2,0)</f>
        <v>Dell Power Adapter</v>
      </c>
      <c r="G3521" s="159">
        <v>3</v>
      </c>
      <c r="H3521" s="160">
        <f>VLOOKUP(Sales[[#This Row],[Product ID]],Product[#All],7,0)</f>
        <v>1630</v>
      </c>
      <c r="I3521" s="160">
        <f>Sales[[#This Row],[Selling Rate]]*Sales[[#This Row],[Qty]]</f>
        <v>4890</v>
      </c>
      <c r="J3521" s="43">
        <v>0</v>
      </c>
      <c r="K3521" s="44">
        <f>Sales[[#This Row],[Gross Amount]]*Sales[[#This Row],[Disc %]]</f>
        <v>0</v>
      </c>
      <c r="L3521" s="43">
        <v>0.18</v>
      </c>
      <c r="M3521" s="44">
        <f>(Sales[[#This Row],[Gross Amount]]-Sales[[#This Row],[Disc. Amt.]])*Sales[[#This Row],[GST %]]</f>
        <v>880.19999999999993</v>
      </c>
      <c r="N3521" s="161">
        <f>Sales[[#This Row],[Gross Amount]]-Sales[[#This Row],[Disc. Amt.]]+Sales[[#This Row],[GST Amount]]</f>
        <v>5770.2</v>
      </c>
      <c r="O3521" s="158" t="s">
        <v>3569</v>
      </c>
      <c r="P3521" s="158" t="s">
        <v>3562</v>
      </c>
      <c r="Q3521" s="160">
        <f>IF(Sales[[#This Row],[Status]]="Cancelled",0,Sales[[#This Row],[Qty]])</f>
        <v>3</v>
      </c>
      <c r="R3521" s="161">
        <f>IF(Sales[[#This Row],[Status]]="Cancelled",0,Sales[[#This Row],[Total Amount]])</f>
        <v>5770.2</v>
      </c>
      <c r="S3521" s="162">
        <f>SUM(Sales[Net Amount])</f>
        <v>406839287.73200053</v>
      </c>
    </row>
    <row r="3522" spans="1:19" ht="18.75" x14ac:dyDescent="0.25">
      <c r="A3522" s="163" t="s">
        <v>7185</v>
      </c>
      <c r="B3522" s="164">
        <v>45953</v>
      </c>
      <c r="C3522" s="34" t="s">
        <v>939</v>
      </c>
      <c r="D3522" s="53" t="str">
        <f>VLOOKUP(Sales[[#This Row],[Customer ID]],Customer[#All],2,0)</f>
        <v>Sunita Sharma</v>
      </c>
      <c r="E3522" s="34" t="s">
        <v>50</v>
      </c>
      <c r="F3522" s="34" t="str">
        <f>VLOOKUP(Sales[[#This Row],[Product ID]],Product[#All],2,0)</f>
        <v>Lg Monitor</v>
      </c>
      <c r="G3522" s="53">
        <v>6</v>
      </c>
      <c r="H3522" s="165">
        <f>VLOOKUP(Sales[[#This Row],[Product ID]],Product[#All],7,0)</f>
        <v>35670</v>
      </c>
      <c r="I3522" s="165">
        <f>Sales[[#This Row],[Selling Rate]]*Sales[[#This Row],[Qty]]</f>
        <v>214020</v>
      </c>
      <c r="J3522" s="45">
        <v>0</v>
      </c>
      <c r="K3522" s="46">
        <f>Sales[[#This Row],[Gross Amount]]*Sales[[#This Row],[Disc %]]</f>
        <v>0</v>
      </c>
      <c r="L3522" s="43">
        <v>0.18</v>
      </c>
      <c r="M3522" s="46">
        <f>(Sales[[#This Row],[Gross Amount]]-Sales[[#This Row],[Disc. Amt.]])*Sales[[#This Row],[GST %]]</f>
        <v>38523.599999999999</v>
      </c>
      <c r="N3522" s="161">
        <f>Sales[[#This Row],[Gross Amount]]-Sales[[#This Row],[Disc. Amt.]]+Sales[[#This Row],[GST Amount]]</f>
        <v>252543.6</v>
      </c>
      <c r="O3522" s="34" t="s">
        <v>8876</v>
      </c>
      <c r="P3522" s="34" t="s">
        <v>3562</v>
      </c>
      <c r="Q3522" s="165">
        <f>IF(Sales[[#This Row],[Status]]="Cancelled",0,Sales[[#This Row],[Qty]])</f>
        <v>6</v>
      </c>
      <c r="R3522" s="166">
        <f>IF(Sales[[#This Row],[Status]]="Cancelled",0,Sales[[#This Row],[Total Amount]])</f>
        <v>252543.6</v>
      </c>
      <c r="S3522" s="162">
        <f>SUM(Sales[Net Amount])</f>
        <v>406839287.73200053</v>
      </c>
    </row>
    <row r="3523" spans="1:19" ht="18.75" x14ac:dyDescent="0.25">
      <c r="A3523" s="156" t="s">
        <v>7186</v>
      </c>
      <c r="B3523" s="157">
        <v>45953</v>
      </c>
      <c r="C3523" s="158" t="s">
        <v>787</v>
      </c>
      <c r="D3523" s="159" t="str">
        <f>VLOOKUP(Sales[[#This Row],[Customer ID]],Customer[#All],2,0)</f>
        <v>Amit Singh</v>
      </c>
      <c r="E3523" s="158" t="s">
        <v>436</v>
      </c>
      <c r="F3523" s="158" t="str">
        <f>VLOOKUP(Sales[[#This Row],[Product ID]],Product[#All],2,0)</f>
        <v>Amazon Basics Hdmi Cable</v>
      </c>
      <c r="G3523" s="159">
        <v>4</v>
      </c>
      <c r="H3523" s="160">
        <f>VLOOKUP(Sales[[#This Row],[Product ID]],Product[#All],7,0)</f>
        <v>860</v>
      </c>
      <c r="I3523" s="160">
        <f>Sales[[#This Row],[Selling Rate]]*Sales[[#This Row],[Qty]]</f>
        <v>3440</v>
      </c>
      <c r="J3523" s="43">
        <v>0.02</v>
      </c>
      <c r="K3523" s="44">
        <f>Sales[[#This Row],[Gross Amount]]*Sales[[#This Row],[Disc %]]</f>
        <v>68.8</v>
      </c>
      <c r="L3523" s="43">
        <v>0.18</v>
      </c>
      <c r="M3523" s="44">
        <f>(Sales[[#This Row],[Gross Amount]]-Sales[[#This Row],[Disc. Amt.]])*Sales[[#This Row],[GST %]]</f>
        <v>606.81599999999992</v>
      </c>
      <c r="N3523" s="161">
        <f>Sales[[#This Row],[Gross Amount]]-Sales[[#This Row],[Disc. Amt.]]+Sales[[#This Row],[GST Amount]]</f>
        <v>3978.0159999999996</v>
      </c>
      <c r="O3523" s="158" t="s">
        <v>3561</v>
      </c>
      <c r="P3523" s="158" t="s">
        <v>3562</v>
      </c>
      <c r="Q3523" s="160">
        <f>IF(Sales[[#This Row],[Status]]="Cancelled",0,Sales[[#This Row],[Qty]])</f>
        <v>4</v>
      </c>
      <c r="R3523" s="161">
        <f>IF(Sales[[#This Row],[Status]]="Cancelled",0,Sales[[#This Row],[Total Amount]])</f>
        <v>3978.0159999999996</v>
      </c>
      <c r="S3523" s="162">
        <f>SUM(Sales[Net Amount])</f>
        <v>406839287.73200053</v>
      </c>
    </row>
    <row r="3524" spans="1:19" ht="18.75" x14ac:dyDescent="0.25">
      <c r="A3524" s="163" t="s">
        <v>7187</v>
      </c>
      <c r="B3524" s="164">
        <v>45953</v>
      </c>
      <c r="C3524" s="34" t="s">
        <v>822</v>
      </c>
      <c r="D3524" s="53" t="str">
        <f>VLOOKUP(Sales[[#This Row],[Customer ID]],Customer[#All],2,0)</f>
        <v>Vikas Singh</v>
      </c>
      <c r="E3524" s="34" t="s">
        <v>270</v>
      </c>
      <c r="F3524" s="34" t="str">
        <f>VLOOKUP(Sales[[#This Row],[Product ID]],Product[#All],2,0)</f>
        <v>Samsung Ssd</v>
      </c>
      <c r="G3524" s="53">
        <v>4</v>
      </c>
      <c r="H3524" s="165">
        <f>VLOOKUP(Sales[[#This Row],[Product ID]],Product[#All],7,0)</f>
        <v>6090</v>
      </c>
      <c r="I3524" s="165">
        <f>Sales[[#This Row],[Selling Rate]]*Sales[[#This Row],[Qty]]</f>
        <v>24360</v>
      </c>
      <c r="J3524" s="45">
        <v>0.05</v>
      </c>
      <c r="K3524" s="46">
        <f>Sales[[#This Row],[Gross Amount]]*Sales[[#This Row],[Disc %]]</f>
        <v>1218</v>
      </c>
      <c r="L3524" s="43">
        <v>0.18</v>
      </c>
      <c r="M3524" s="46">
        <f>(Sales[[#This Row],[Gross Amount]]-Sales[[#This Row],[Disc. Amt.]])*Sales[[#This Row],[GST %]]</f>
        <v>4165.5599999999995</v>
      </c>
      <c r="N3524" s="161">
        <f>Sales[[#This Row],[Gross Amount]]-Sales[[#This Row],[Disc. Amt.]]+Sales[[#This Row],[GST Amount]]</f>
        <v>27307.559999999998</v>
      </c>
      <c r="O3524" s="34" t="s">
        <v>3561</v>
      </c>
      <c r="P3524" s="34" t="s">
        <v>3562</v>
      </c>
      <c r="Q3524" s="165">
        <f>IF(Sales[[#This Row],[Status]]="Cancelled",0,Sales[[#This Row],[Qty]])</f>
        <v>4</v>
      </c>
      <c r="R3524" s="166">
        <f>IF(Sales[[#This Row],[Status]]="Cancelled",0,Sales[[#This Row],[Total Amount]])</f>
        <v>27307.559999999998</v>
      </c>
      <c r="S3524" s="162">
        <f>SUM(Sales[Net Amount])</f>
        <v>406839287.73200053</v>
      </c>
    </row>
    <row r="3525" spans="1:19" ht="18.75" x14ac:dyDescent="0.25">
      <c r="A3525" s="156" t="s">
        <v>7188</v>
      </c>
      <c r="B3525" s="157">
        <v>45953</v>
      </c>
      <c r="C3525" s="158" t="s">
        <v>729</v>
      </c>
      <c r="D3525" s="159" t="str">
        <f>VLOOKUP(Sales[[#This Row],[Customer ID]],Customer[#All],2,0)</f>
        <v>Ankit Kumar</v>
      </c>
      <c r="E3525" s="158" t="s">
        <v>15</v>
      </c>
      <c r="F3525" s="158" t="str">
        <f>VLOOKUP(Sales[[#This Row],[Product ID]],Product[#All],2,0)</f>
        <v>Sandisk Pen Drive</v>
      </c>
      <c r="G3525" s="159">
        <v>6</v>
      </c>
      <c r="H3525" s="160">
        <f>VLOOKUP(Sales[[#This Row],[Product ID]],Product[#All],7,0)</f>
        <v>4530</v>
      </c>
      <c r="I3525" s="160">
        <f>Sales[[#This Row],[Selling Rate]]*Sales[[#This Row],[Qty]]</f>
        <v>27180</v>
      </c>
      <c r="J3525" s="43">
        <v>0.05</v>
      </c>
      <c r="K3525" s="44">
        <f>Sales[[#This Row],[Gross Amount]]*Sales[[#This Row],[Disc %]]</f>
        <v>1359</v>
      </c>
      <c r="L3525" s="43">
        <v>0.18</v>
      </c>
      <c r="M3525" s="44">
        <f>(Sales[[#This Row],[Gross Amount]]-Sales[[#This Row],[Disc. Amt.]])*Sales[[#This Row],[GST %]]</f>
        <v>4647.78</v>
      </c>
      <c r="N3525" s="161">
        <f>Sales[[#This Row],[Gross Amount]]-Sales[[#This Row],[Disc. Amt.]]+Sales[[#This Row],[GST Amount]]</f>
        <v>30468.78</v>
      </c>
      <c r="O3525" s="158" t="s">
        <v>3561</v>
      </c>
      <c r="P3525" s="158" t="s">
        <v>3562</v>
      </c>
      <c r="Q3525" s="160">
        <f>IF(Sales[[#This Row],[Status]]="Cancelled",0,Sales[[#This Row],[Qty]])</f>
        <v>6</v>
      </c>
      <c r="R3525" s="161">
        <f>IF(Sales[[#This Row],[Status]]="Cancelled",0,Sales[[#This Row],[Total Amount]])</f>
        <v>30468.78</v>
      </c>
      <c r="S3525" s="162">
        <f>SUM(Sales[Net Amount])</f>
        <v>406839287.73200053</v>
      </c>
    </row>
    <row r="3526" spans="1:19" ht="18.75" x14ac:dyDescent="0.25">
      <c r="A3526" s="163" t="s">
        <v>7189</v>
      </c>
      <c r="B3526" s="164">
        <v>45953</v>
      </c>
      <c r="C3526" s="34" t="s">
        <v>927</v>
      </c>
      <c r="D3526" s="53" t="str">
        <f>VLOOKUP(Sales[[#This Row],[Customer ID]],Customer[#All],2,0)</f>
        <v>Sunita Patel</v>
      </c>
      <c r="E3526" s="34" t="s">
        <v>137</v>
      </c>
      <c r="F3526" s="34" t="str">
        <f>VLOOKUP(Sales[[#This Row],[Product ID]],Product[#All],2,0)</f>
        <v>Seagate HDD</v>
      </c>
      <c r="G3526" s="53">
        <v>7</v>
      </c>
      <c r="H3526" s="165">
        <f>VLOOKUP(Sales[[#This Row],[Product ID]],Product[#All],7,0)</f>
        <v>7940</v>
      </c>
      <c r="I3526" s="165">
        <f>Sales[[#This Row],[Selling Rate]]*Sales[[#This Row],[Qty]]</f>
        <v>55580</v>
      </c>
      <c r="J3526" s="45">
        <v>0.15</v>
      </c>
      <c r="K3526" s="46">
        <f>Sales[[#This Row],[Gross Amount]]*Sales[[#This Row],[Disc %]]</f>
        <v>8337</v>
      </c>
      <c r="L3526" s="43">
        <v>0.18</v>
      </c>
      <c r="M3526" s="46">
        <f>(Sales[[#This Row],[Gross Amount]]-Sales[[#This Row],[Disc. Amt.]])*Sales[[#This Row],[GST %]]</f>
        <v>8503.74</v>
      </c>
      <c r="N3526" s="161">
        <f>Sales[[#This Row],[Gross Amount]]-Sales[[#This Row],[Disc. Amt.]]+Sales[[#This Row],[GST Amount]]</f>
        <v>55746.74</v>
      </c>
      <c r="O3526" s="34" t="s">
        <v>8876</v>
      </c>
      <c r="P3526" s="34" t="s">
        <v>3562</v>
      </c>
      <c r="Q3526" s="165">
        <f>IF(Sales[[#This Row],[Status]]="Cancelled",0,Sales[[#This Row],[Qty]])</f>
        <v>7</v>
      </c>
      <c r="R3526" s="166">
        <f>IF(Sales[[#This Row],[Status]]="Cancelled",0,Sales[[#This Row],[Total Amount]])</f>
        <v>55746.74</v>
      </c>
      <c r="S3526" s="162">
        <f>SUM(Sales[Net Amount])</f>
        <v>406839287.73200053</v>
      </c>
    </row>
    <row r="3527" spans="1:19" ht="18.75" x14ac:dyDescent="0.25">
      <c r="A3527" s="156" t="s">
        <v>7190</v>
      </c>
      <c r="B3527" s="157">
        <v>45953</v>
      </c>
      <c r="C3527" s="158" t="s">
        <v>739</v>
      </c>
      <c r="D3527" s="159" t="str">
        <f>VLOOKUP(Sales[[#This Row],[Customer ID]],Customer[#All],2,0)</f>
        <v>Ankit Singh</v>
      </c>
      <c r="E3527" s="158" t="s">
        <v>30</v>
      </c>
      <c r="F3527" s="158" t="str">
        <f>VLOOKUP(Sales[[#This Row],[Product ID]],Product[#All],2,0)</f>
        <v>Samsung Monitor</v>
      </c>
      <c r="G3527" s="159">
        <v>3</v>
      </c>
      <c r="H3527" s="160">
        <f>VLOOKUP(Sales[[#This Row],[Product ID]],Product[#All],7,0)</f>
        <v>16740</v>
      </c>
      <c r="I3527" s="160">
        <f>Sales[[#This Row],[Selling Rate]]*Sales[[#This Row],[Qty]]</f>
        <v>50220</v>
      </c>
      <c r="J3527" s="43">
        <v>0.12</v>
      </c>
      <c r="K3527" s="44">
        <f>Sales[[#This Row],[Gross Amount]]*Sales[[#This Row],[Disc %]]</f>
        <v>6026.4</v>
      </c>
      <c r="L3527" s="43">
        <v>0.18</v>
      </c>
      <c r="M3527" s="44">
        <f>(Sales[[#This Row],[Gross Amount]]-Sales[[#This Row],[Disc. Amt.]])*Sales[[#This Row],[GST %]]</f>
        <v>7954.847999999999</v>
      </c>
      <c r="N3527" s="161">
        <f>Sales[[#This Row],[Gross Amount]]-Sales[[#This Row],[Disc. Amt.]]+Sales[[#This Row],[GST Amount]]</f>
        <v>52148.447999999997</v>
      </c>
      <c r="O3527" s="158" t="s">
        <v>3566</v>
      </c>
      <c r="P3527" s="158" t="s">
        <v>3562</v>
      </c>
      <c r="Q3527" s="160">
        <f>IF(Sales[[#This Row],[Status]]="Cancelled",0,Sales[[#This Row],[Qty]])</f>
        <v>3</v>
      </c>
      <c r="R3527" s="161">
        <f>IF(Sales[[#This Row],[Status]]="Cancelled",0,Sales[[#This Row],[Total Amount]])</f>
        <v>52148.447999999997</v>
      </c>
      <c r="S3527" s="162">
        <f>SUM(Sales[Net Amount])</f>
        <v>406839287.73200053</v>
      </c>
    </row>
    <row r="3528" spans="1:19" ht="18.75" x14ac:dyDescent="0.25">
      <c r="A3528" s="163" t="s">
        <v>7191</v>
      </c>
      <c r="B3528" s="164">
        <v>45953</v>
      </c>
      <c r="C3528" s="34" t="s">
        <v>661</v>
      </c>
      <c r="D3528" s="53" t="str">
        <f>VLOOKUP(Sales[[#This Row],[Customer ID]],Customer[#All],2,0)</f>
        <v>Pooja Gupta</v>
      </c>
      <c r="E3528" s="34" t="s">
        <v>403</v>
      </c>
      <c r="F3528" s="34" t="str">
        <f>VLOOKUP(Sales[[#This Row],[Product ID]],Product[#All],2,0)</f>
        <v>Apc UPS</v>
      </c>
      <c r="G3528" s="53">
        <v>3</v>
      </c>
      <c r="H3528" s="165">
        <f>VLOOKUP(Sales[[#This Row],[Product ID]],Product[#All],7,0)</f>
        <v>15810</v>
      </c>
      <c r="I3528" s="165">
        <f>Sales[[#This Row],[Selling Rate]]*Sales[[#This Row],[Qty]]</f>
        <v>47430</v>
      </c>
      <c r="J3528" s="45">
        <v>0.15</v>
      </c>
      <c r="K3528" s="46">
        <f>Sales[[#This Row],[Gross Amount]]*Sales[[#This Row],[Disc %]]</f>
        <v>7114.5</v>
      </c>
      <c r="L3528" s="43">
        <v>0.18</v>
      </c>
      <c r="M3528" s="46">
        <f>(Sales[[#This Row],[Gross Amount]]-Sales[[#This Row],[Disc. Amt.]])*Sales[[#This Row],[GST %]]</f>
        <v>7256.79</v>
      </c>
      <c r="N3528" s="161">
        <f>Sales[[#This Row],[Gross Amount]]-Sales[[#This Row],[Disc. Amt.]]+Sales[[#This Row],[GST Amount]]</f>
        <v>47572.29</v>
      </c>
      <c r="O3528" s="34" t="s">
        <v>3569</v>
      </c>
      <c r="P3528" s="34" t="s">
        <v>3562</v>
      </c>
      <c r="Q3528" s="165">
        <f>IF(Sales[[#This Row],[Status]]="Cancelled",0,Sales[[#This Row],[Qty]])</f>
        <v>3</v>
      </c>
      <c r="R3528" s="166">
        <f>IF(Sales[[#This Row],[Status]]="Cancelled",0,Sales[[#This Row],[Total Amount]])</f>
        <v>47572.29</v>
      </c>
      <c r="S3528" s="162">
        <f>SUM(Sales[Net Amount])</f>
        <v>406839287.73200053</v>
      </c>
    </row>
    <row r="3529" spans="1:19" ht="18.75" x14ac:dyDescent="0.25">
      <c r="A3529" s="156" t="s">
        <v>7192</v>
      </c>
      <c r="B3529" s="157">
        <v>45953</v>
      </c>
      <c r="C3529" s="158" t="s">
        <v>945</v>
      </c>
      <c r="D3529" s="159" t="str">
        <f>VLOOKUP(Sales[[#This Row],[Customer ID]],Customer[#All],2,0)</f>
        <v>Rahul Singh</v>
      </c>
      <c r="E3529" s="158" t="s">
        <v>163</v>
      </c>
      <c r="F3529" s="158" t="str">
        <f>VLOOKUP(Sales[[#This Row],[Product ID]],Product[#All],2,0)</f>
        <v>Corsair Ram</v>
      </c>
      <c r="G3529" s="159">
        <v>7</v>
      </c>
      <c r="H3529" s="160">
        <f>VLOOKUP(Sales[[#This Row],[Product ID]],Product[#All],7,0)</f>
        <v>16210</v>
      </c>
      <c r="I3529" s="160">
        <f>Sales[[#This Row],[Selling Rate]]*Sales[[#This Row],[Qty]]</f>
        <v>113470</v>
      </c>
      <c r="J3529" s="43">
        <v>0.05</v>
      </c>
      <c r="K3529" s="44">
        <f>Sales[[#This Row],[Gross Amount]]*Sales[[#This Row],[Disc %]]</f>
        <v>5673.5</v>
      </c>
      <c r="L3529" s="43">
        <v>0.18</v>
      </c>
      <c r="M3529" s="44">
        <f>(Sales[[#This Row],[Gross Amount]]-Sales[[#This Row],[Disc. Amt.]])*Sales[[#This Row],[GST %]]</f>
        <v>19403.37</v>
      </c>
      <c r="N3529" s="161">
        <f>Sales[[#This Row],[Gross Amount]]-Sales[[#This Row],[Disc. Amt.]]+Sales[[#This Row],[GST Amount]]</f>
        <v>127199.87</v>
      </c>
      <c r="O3529" s="158" t="s">
        <v>3561</v>
      </c>
      <c r="P3529" s="158" t="s">
        <v>3562</v>
      </c>
      <c r="Q3529" s="160">
        <f>IF(Sales[[#This Row],[Status]]="Cancelled",0,Sales[[#This Row],[Qty]])</f>
        <v>7</v>
      </c>
      <c r="R3529" s="161">
        <f>IF(Sales[[#This Row],[Status]]="Cancelled",0,Sales[[#This Row],[Total Amount]])</f>
        <v>127199.87</v>
      </c>
      <c r="S3529" s="162">
        <f>SUM(Sales[Net Amount])</f>
        <v>406839287.73200053</v>
      </c>
    </row>
    <row r="3530" spans="1:19" ht="18.75" x14ac:dyDescent="0.25">
      <c r="A3530" s="163" t="s">
        <v>7193</v>
      </c>
      <c r="B3530" s="164">
        <v>45953</v>
      </c>
      <c r="C3530" s="34" t="s">
        <v>773</v>
      </c>
      <c r="D3530" s="53" t="str">
        <f>VLOOKUP(Sales[[#This Row],[Customer ID]],Customer[#All],2,0)</f>
        <v>Rahul Kumar</v>
      </c>
      <c r="E3530" s="34" t="s">
        <v>554</v>
      </c>
      <c r="F3530" s="34" t="str">
        <f>VLOOKUP(Sales[[#This Row],[Product ID]],Product[#All],2,0)</f>
        <v>TP-link Router</v>
      </c>
      <c r="G3530" s="53">
        <v>5</v>
      </c>
      <c r="H3530" s="165">
        <f>VLOOKUP(Sales[[#This Row],[Product ID]],Product[#All],7,0)</f>
        <v>6320</v>
      </c>
      <c r="I3530" s="165">
        <f>Sales[[#This Row],[Selling Rate]]*Sales[[#This Row],[Qty]]</f>
        <v>31600</v>
      </c>
      <c r="J3530" s="45">
        <v>0.05</v>
      </c>
      <c r="K3530" s="46">
        <f>Sales[[#This Row],[Gross Amount]]*Sales[[#This Row],[Disc %]]</f>
        <v>1580</v>
      </c>
      <c r="L3530" s="43">
        <v>0.18</v>
      </c>
      <c r="M3530" s="46">
        <f>(Sales[[#This Row],[Gross Amount]]-Sales[[#This Row],[Disc. Amt.]])*Sales[[#This Row],[GST %]]</f>
        <v>5403.5999999999995</v>
      </c>
      <c r="N3530" s="161">
        <f>Sales[[#This Row],[Gross Amount]]-Sales[[#This Row],[Disc. Amt.]]+Sales[[#This Row],[GST Amount]]</f>
        <v>35423.599999999999</v>
      </c>
      <c r="O3530" s="34" t="s">
        <v>3566</v>
      </c>
      <c r="P3530" s="34" t="s">
        <v>3562</v>
      </c>
      <c r="Q3530" s="165">
        <f>IF(Sales[[#This Row],[Status]]="Cancelled",0,Sales[[#This Row],[Qty]])</f>
        <v>5</v>
      </c>
      <c r="R3530" s="166">
        <f>IF(Sales[[#This Row],[Status]]="Cancelled",0,Sales[[#This Row],[Total Amount]])</f>
        <v>35423.599999999999</v>
      </c>
      <c r="S3530" s="162">
        <f>SUM(Sales[Net Amount])</f>
        <v>406839287.73200053</v>
      </c>
    </row>
    <row r="3531" spans="1:19" ht="18.75" x14ac:dyDescent="0.25">
      <c r="A3531" s="156" t="s">
        <v>7194</v>
      </c>
      <c r="B3531" s="157">
        <v>45953</v>
      </c>
      <c r="C3531" s="158" t="s">
        <v>872</v>
      </c>
      <c r="D3531" s="159" t="str">
        <f>VLOOKUP(Sales[[#This Row],[Customer ID]],Customer[#All],2,0)</f>
        <v>Rahul Verma</v>
      </c>
      <c r="E3531" s="158" t="s">
        <v>302</v>
      </c>
      <c r="F3531" s="158" t="str">
        <f>VLOOKUP(Sales[[#This Row],[Product ID]],Product[#All],2,0)</f>
        <v>Sandisk Pen Drive</v>
      </c>
      <c r="G3531" s="159">
        <v>3</v>
      </c>
      <c r="H3531" s="160">
        <f>VLOOKUP(Sales[[#This Row],[Product ID]],Product[#All],7,0)</f>
        <v>2500</v>
      </c>
      <c r="I3531" s="160">
        <f>Sales[[#This Row],[Selling Rate]]*Sales[[#This Row],[Qty]]</f>
        <v>7500</v>
      </c>
      <c r="J3531" s="43">
        <v>0.05</v>
      </c>
      <c r="K3531" s="44">
        <f>Sales[[#This Row],[Gross Amount]]*Sales[[#This Row],[Disc %]]</f>
        <v>375</v>
      </c>
      <c r="L3531" s="43">
        <v>0.18</v>
      </c>
      <c r="M3531" s="44">
        <f>(Sales[[#This Row],[Gross Amount]]-Sales[[#This Row],[Disc. Amt.]])*Sales[[#This Row],[GST %]]</f>
        <v>1282.5</v>
      </c>
      <c r="N3531" s="161">
        <f>Sales[[#This Row],[Gross Amount]]-Sales[[#This Row],[Disc. Amt.]]+Sales[[#This Row],[GST Amount]]</f>
        <v>8407.5</v>
      </c>
      <c r="O3531" s="158" t="s">
        <v>3569</v>
      </c>
      <c r="P3531" s="158" t="s">
        <v>3562</v>
      </c>
      <c r="Q3531" s="160">
        <f>IF(Sales[[#This Row],[Status]]="Cancelled",0,Sales[[#This Row],[Qty]])</f>
        <v>3</v>
      </c>
      <c r="R3531" s="161">
        <f>IF(Sales[[#This Row],[Status]]="Cancelled",0,Sales[[#This Row],[Total Amount]])</f>
        <v>8407.5</v>
      </c>
      <c r="S3531" s="162">
        <f>SUM(Sales[Net Amount])</f>
        <v>406839287.73200053</v>
      </c>
    </row>
    <row r="3532" spans="1:19" ht="18.75" x14ac:dyDescent="0.25">
      <c r="A3532" s="163" t="s">
        <v>7195</v>
      </c>
      <c r="B3532" s="164">
        <v>45953</v>
      </c>
      <c r="C3532" s="34" t="s">
        <v>792</v>
      </c>
      <c r="D3532" s="53" t="str">
        <f>VLOOKUP(Sales[[#This Row],[Customer ID]],Customer[#All],2,0)</f>
        <v>Pooja Sharma</v>
      </c>
      <c r="E3532" s="34" t="s">
        <v>86</v>
      </c>
      <c r="F3532" s="34" t="str">
        <f>VLOOKUP(Sales[[#This Row],[Product ID]],Product[#All],2,0)</f>
        <v>Lg Monitor</v>
      </c>
      <c r="G3532" s="53">
        <v>2</v>
      </c>
      <c r="H3532" s="165">
        <f>VLOOKUP(Sales[[#This Row],[Product ID]],Product[#All],7,0)</f>
        <v>14730</v>
      </c>
      <c r="I3532" s="165">
        <f>Sales[[#This Row],[Selling Rate]]*Sales[[#This Row],[Qty]]</f>
        <v>29460</v>
      </c>
      <c r="J3532" s="45">
        <v>0.05</v>
      </c>
      <c r="K3532" s="46">
        <f>Sales[[#This Row],[Gross Amount]]*Sales[[#This Row],[Disc %]]</f>
        <v>1473</v>
      </c>
      <c r="L3532" s="43">
        <v>0.18</v>
      </c>
      <c r="M3532" s="46">
        <f>(Sales[[#This Row],[Gross Amount]]-Sales[[#This Row],[Disc. Amt.]])*Sales[[#This Row],[GST %]]</f>
        <v>5037.66</v>
      </c>
      <c r="N3532" s="161">
        <f>Sales[[#This Row],[Gross Amount]]-Sales[[#This Row],[Disc. Amt.]]+Sales[[#This Row],[GST Amount]]</f>
        <v>33024.660000000003</v>
      </c>
      <c r="O3532" s="34" t="s">
        <v>3569</v>
      </c>
      <c r="P3532" s="34" t="s">
        <v>3562</v>
      </c>
      <c r="Q3532" s="165">
        <f>IF(Sales[[#This Row],[Status]]="Cancelled",0,Sales[[#This Row],[Qty]])</f>
        <v>2</v>
      </c>
      <c r="R3532" s="166">
        <f>IF(Sales[[#This Row],[Status]]="Cancelled",0,Sales[[#This Row],[Total Amount]])</f>
        <v>33024.660000000003</v>
      </c>
      <c r="S3532" s="162">
        <f>SUM(Sales[Net Amount])</f>
        <v>406839287.73200053</v>
      </c>
    </row>
    <row r="3533" spans="1:19" ht="18.75" x14ac:dyDescent="0.25">
      <c r="A3533" s="156" t="s">
        <v>7196</v>
      </c>
      <c r="B3533" s="157">
        <v>45953</v>
      </c>
      <c r="C3533" s="158" t="s">
        <v>777</v>
      </c>
      <c r="D3533" s="159" t="str">
        <f>VLOOKUP(Sales[[#This Row],[Customer ID]],Customer[#All],2,0)</f>
        <v>Neha Sharma</v>
      </c>
      <c r="E3533" s="158" t="s">
        <v>451</v>
      </c>
      <c r="F3533" s="158" t="str">
        <f>VLOOKUP(Sales[[#This Row],[Product ID]],Product[#All],2,0)</f>
        <v>HP Printer</v>
      </c>
      <c r="G3533" s="159">
        <v>2</v>
      </c>
      <c r="H3533" s="160">
        <f>VLOOKUP(Sales[[#This Row],[Product ID]],Product[#All],7,0)</f>
        <v>36160</v>
      </c>
      <c r="I3533" s="160">
        <f>Sales[[#This Row],[Selling Rate]]*Sales[[#This Row],[Qty]]</f>
        <v>72320</v>
      </c>
      <c r="J3533" s="43">
        <v>0.15</v>
      </c>
      <c r="K3533" s="44">
        <f>Sales[[#This Row],[Gross Amount]]*Sales[[#This Row],[Disc %]]</f>
        <v>10848</v>
      </c>
      <c r="L3533" s="43">
        <v>0.18</v>
      </c>
      <c r="M3533" s="44">
        <f>(Sales[[#This Row],[Gross Amount]]-Sales[[#This Row],[Disc. Amt.]])*Sales[[#This Row],[GST %]]</f>
        <v>11064.96</v>
      </c>
      <c r="N3533" s="161">
        <f>Sales[[#This Row],[Gross Amount]]-Sales[[#This Row],[Disc. Amt.]]+Sales[[#This Row],[GST Amount]]</f>
        <v>72536.959999999992</v>
      </c>
      <c r="O3533" s="158" t="s">
        <v>3566</v>
      </c>
      <c r="P3533" s="158" t="s">
        <v>3562</v>
      </c>
      <c r="Q3533" s="160">
        <f>IF(Sales[[#This Row],[Status]]="Cancelled",0,Sales[[#This Row],[Qty]])</f>
        <v>2</v>
      </c>
      <c r="R3533" s="161">
        <f>IF(Sales[[#This Row],[Status]]="Cancelled",0,Sales[[#This Row],[Total Amount]])</f>
        <v>72536.959999999992</v>
      </c>
      <c r="S3533" s="162">
        <f>SUM(Sales[Net Amount])</f>
        <v>406839287.73200053</v>
      </c>
    </row>
    <row r="3534" spans="1:19" ht="18.75" x14ac:dyDescent="0.25">
      <c r="A3534" s="163" t="s">
        <v>7197</v>
      </c>
      <c r="B3534" s="164">
        <v>45953</v>
      </c>
      <c r="C3534" s="34" t="s">
        <v>915</v>
      </c>
      <c r="D3534" s="53" t="str">
        <f>VLOOKUP(Sales[[#This Row],[Customer ID]],Customer[#All],2,0)</f>
        <v>Sunita Kumar</v>
      </c>
      <c r="E3534" s="34" t="s">
        <v>288</v>
      </c>
      <c r="F3534" s="34" t="str">
        <f>VLOOKUP(Sales[[#This Row],[Product ID]],Product[#All],2,0)</f>
        <v>Canon Printer</v>
      </c>
      <c r="G3534" s="53">
        <v>1</v>
      </c>
      <c r="H3534" s="165">
        <f>VLOOKUP(Sales[[#This Row],[Product ID]],Product[#All],7,0)</f>
        <v>41150</v>
      </c>
      <c r="I3534" s="165">
        <f>Sales[[#This Row],[Selling Rate]]*Sales[[#This Row],[Qty]]</f>
        <v>41150</v>
      </c>
      <c r="J3534" s="45">
        <v>0.05</v>
      </c>
      <c r="K3534" s="46">
        <f>Sales[[#This Row],[Gross Amount]]*Sales[[#This Row],[Disc %]]</f>
        <v>2057.5</v>
      </c>
      <c r="L3534" s="43">
        <v>0.18</v>
      </c>
      <c r="M3534" s="46">
        <f>(Sales[[#This Row],[Gross Amount]]-Sales[[#This Row],[Disc. Amt.]])*Sales[[#This Row],[GST %]]</f>
        <v>7036.65</v>
      </c>
      <c r="N3534" s="161">
        <f>Sales[[#This Row],[Gross Amount]]-Sales[[#This Row],[Disc. Amt.]]+Sales[[#This Row],[GST Amount]]</f>
        <v>46129.15</v>
      </c>
      <c r="O3534" s="34" t="s">
        <v>3566</v>
      </c>
      <c r="P3534" s="34" t="s">
        <v>3562</v>
      </c>
      <c r="Q3534" s="165">
        <f>IF(Sales[[#This Row],[Status]]="Cancelled",0,Sales[[#This Row],[Qty]])</f>
        <v>1</v>
      </c>
      <c r="R3534" s="166">
        <f>IF(Sales[[#This Row],[Status]]="Cancelled",0,Sales[[#This Row],[Total Amount]])</f>
        <v>46129.15</v>
      </c>
      <c r="S3534" s="162">
        <f>SUM(Sales[Net Amount])</f>
        <v>406839287.73200053</v>
      </c>
    </row>
    <row r="3535" spans="1:19" ht="18.75" x14ac:dyDescent="0.25">
      <c r="A3535" s="156" t="s">
        <v>7198</v>
      </c>
      <c r="B3535" s="157">
        <v>45953</v>
      </c>
      <c r="C3535" s="158" t="s">
        <v>728</v>
      </c>
      <c r="D3535" s="159" t="str">
        <f>VLOOKUP(Sales[[#This Row],[Customer ID]],Customer[#All],2,0)</f>
        <v>Rahul Gupta</v>
      </c>
      <c r="E3535" s="158" t="s">
        <v>291</v>
      </c>
      <c r="F3535" s="158" t="str">
        <f>VLOOKUP(Sales[[#This Row],[Product ID]],Product[#All],2,0)</f>
        <v>Jbl Speaker</v>
      </c>
      <c r="G3535" s="159">
        <v>7</v>
      </c>
      <c r="H3535" s="160">
        <f>VLOOKUP(Sales[[#This Row],[Product ID]],Product[#All],7,0)</f>
        <v>12040</v>
      </c>
      <c r="I3535" s="160">
        <f>Sales[[#This Row],[Selling Rate]]*Sales[[#This Row],[Qty]]</f>
        <v>84280</v>
      </c>
      <c r="J3535" s="43">
        <v>0</v>
      </c>
      <c r="K3535" s="44">
        <f>Sales[[#This Row],[Gross Amount]]*Sales[[#This Row],[Disc %]]</f>
        <v>0</v>
      </c>
      <c r="L3535" s="43">
        <v>0.18</v>
      </c>
      <c r="M3535" s="44">
        <f>(Sales[[#This Row],[Gross Amount]]-Sales[[#This Row],[Disc. Amt.]])*Sales[[#This Row],[GST %]]</f>
        <v>15170.4</v>
      </c>
      <c r="N3535" s="161">
        <f>Sales[[#This Row],[Gross Amount]]-Sales[[#This Row],[Disc. Amt.]]+Sales[[#This Row],[GST Amount]]</f>
        <v>99450.4</v>
      </c>
      <c r="O3535" s="158" t="s">
        <v>3561</v>
      </c>
      <c r="P3535" s="158" t="s">
        <v>3562</v>
      </c>
      <c r="Q3535" s="160">
        <f>IF(Sales[[#This Row],[Status]]="Cancelled",0,Sales[[#This Row],[Qty]])</f>
        <v>7</v>
      </c>
      <c r="R3535" s="161">
        <f>IF(Sales[[#This Row],[Status]]="Cancelled",0,Sales[[#This Row],[Total Amount]])</f>
        <v>99450.4</v>
      </c>
      <c r="S3535" s="162">
        <f>SUM(Sales[Net Amount])</f>
        <v>406839287.73200053</v>
      </c>
    </row>
    <row r="3536" spans="1:19" ht="18.75" x14ac:dyDescent="0.25">
      <c r="A3536" s="163" t="s">
        <v>7199</v>
      </c>
      <c r="B3536" s="164">
        <v>45953</v>
      </c>
      <c r="C3536" s="34" t="s">
        <v>843</v>
      </c>
      <c r="D3536" s="53" t="str">
        <f>VLOOKUP(Sales[[#This Row],[Customer ID]],Customer[#All],2,0)</f>
        <v>Amit Verma</v>
      </c>
      <c r="E3536" s="34" t="s">
        <v>299</v>
      </c>
      <c r="F3536" s="34" t="str">
        <f>VLOOKUP(Sales[[#This Row],[Product ID]],Product[#All],2,0)</f>
        <v>HP Printer</v>
      </c>
      <c r="G3536" s="53">
        <v>6</v>
      </c>
      <c r="H3536" s="165">
        <f>VLOOKUP(Sales[[#This Row],[Product ID]],Product[#All],7,0)</f>
        <v>15800</v>
      </c>
      <c r="I3536" s="165">
        <f>Sales[[#This Row],[Selling Rate]]*Sales[[#This Row],[Qty]]</f>
        <v>94800</v>
      </c>
      <c r="J3536" s="45">
        <v>0.15</v>
      </c>
      <c r="K3536" s="46">
        <f>Sales[[#This Row],[Gross Amount]]*Sales[[#This Row],[Disc %]]</f>
        <v>14220</v>
      </c>
      <c r="L3536" s="43">
        <v>0.18</v>
      </c>
      <c r="M3536" s="46">
        <f>(Sales[[#This Row],[Gross Amount]]-Sales[[#This Row],[Disc. Amt.]])*Sales[[#This Row],[GST %]]</f>
        <v>14504.4</v>
      </c>
      <c r="N3536" s="161">
        <f>Sales[[#This Row],[Gross Amount]]-Sales[[#This Row],[Disc. Amt.]]+Sales[[#This Row],[GST Amount]]</f>
        <v>95084.4</v>
      </c>
      <c r="O3536" s="34" t="s">
        <v>3561</v>
      </c>
      <c r="P3536" s="34" t="s">
        <v>3562</v>
      </c>
      <c r="Q3536" s="165">
        <f>IF(Sales[[#This Row],[Status]]="Cancelled",0,Sales[[#This Row],[Qty]])</f>
        <v>6</v>
      </c>
      <c r="R3536" s="166">
        <f>IF(Sales[[#This Row],[Status]]="Cancelled",0,Sales[[#This Row],[Total Amount]])</f>
        <v>95084.4</v>
      </c>
      <c r="S3536" s="162">
        <f>SUM(Sales[Net Amount])</f>
        <v>406839287.73200053</v>
      </c>
    </row>
    <row r="3537" spans="1:19" ht="18.75" x14ac:dyDescent="0.25">
      <c r="A3537" s="156" t="s">
        <v>7200</v>
      </c>
      <c r="B3537" s="157">
        <v>45953</v>
      </c>
      <c r="C3537" s="158" t="s">
        <v>866</v>
      </c>
      <c r="D3537" s="159" t="str">
        <f>VLOOKUP(Sales[[#This Row],[Customer ID]],Customer[#All],2,0)</f>
        <v>Priya Patel</v>
      </c>
      <c r="E3537" s="158" t="s">
        <v>310</v>
      </c>
      <c r="F3537" s="158" t="str">
        <f>VLOOKUP(Sales[[#This Row],[Product ID]],Product[#All],2,0)</f>
        <v>TP-link Wi-Fi Adapter</v>
      </c>
      <c r="G3537" s="159">
        <v>1</v>
      </c>
      <c r="H3537" s="160">
        <f>VLOOKUP(Sales[[#This Row],[Product ID]],Product[#All],7,0)</f>
        <v>700</v>
      </c>
      <c r="I3537" s="160">
        <f>Sales[[#This Row],[Selling Rate]]*Sales[[#This Row],[Qty]]</f>
        <v>700</v>
      </c>
      <c r="J3537" s="43">
        <v>0.1</v>
      </c>
      <c r="K3537" s="44">
        <f>Sales[[#This Row],[Gross Amount]]*Sales[[#This Row],[Disc %]]</f>
        <v>70</v>
      </c>
      <c r="L3537" s="43">
        <v>0.18</v>
      </c>
      <c r="M3537" s="44">
        <f>(Sales[[#This Row],[Gross Amount]]-Sales[[#This Row],[Disc. Amt.]])*Sales[[#This Row],[GST %]]</f>
        <v>113.39999999999999</v>
      </c>
      <c r="N3537" s="161">
        <f>Sales[[#This Row],[Gross Amount]]-Sales[[#This Row],[Disc. Amt.]]+Sales[[#This Row],[GST Amount]]</f>
        <v>743.4</v>
      </c>
      <c r="O3537" s="158" t="s">
        <v>3561</v>
      </c>
      <c r="P3537" s="158" t="s">
        <v>3562</v>
      </c>
      <c r="Q3537" s="160">
        <f>IF(Sales[[#This Row],[Status]]="Cancelled",0,Sales[[#This Row],[Qty]])</f>
        <v>1</v>
      </c>
      <c r="R3537" s="161">
        <f>IF(Sales[[#This Row],[Status]]="Cancelled",0,Sales[[#This Row],[Total Amount]])</f>
        <v>743.4</v>
      </c>
      <c r="S3537" s="162">
        <f>SUM(Sales[Net Amount])</f>
        <v>406839287.73200053</v>
      </c>
    </row>
    <row r="3538" spans="1:19" ht="18.75" x14ac:dyDescent="0.25">
      <c r="A3538" s="163" t="s">
        <v>7201</v>
      </c>
      <c r="B3538" s="164">
        <v>45953</v>
      </c>
      <c r="C3538" s="34" t="s">
        <v>719</v>
      </c>
      <c r="D3538" s="53" t="str">
        <f>VLOOKUP(Sales[[#This Row],[Customer ID]],Customer[#All],2,0)</f>
        <v>Priya Verma</v>
      </c>
      <c r="E3538" s="34" t="s">
        <v>533</v>
      </c>
      <c r="F3538" s="34" t="str">
        <f>VLOOKUP(Sales[[#This Row],[Product ID]],Product[#All],2,0)</f>
        <v>HP Desktop</v>
      </c>
      <c r="G3538" s="53">
        <v>3</v>
      </c>
      <c r="H3538" s="165">
        <f>VLOOKUP(Sales[[#This Row],[Product ID]],Product[#All],7,0)</f>
        <v>72430</v>
      </c>
      <c r="I3538" s="165">
        <f>Sales[[#This Row],[Selling Rate]]*Sales[[#This Row],[Qty]]</f>
        <v>217290</v>
      </c>
      <c r="J3538" s="45">
        <v>0.05</v>
      </c>
      <c r="K3538" s="46">
        <f>Sales[[#This Row],[Gross Amount]]*Sales[[#This Row],[Disc %]]</f>
        <v>10864.5</v>
      </c>
      <c r="L3538" s="43">
        <v>0.18</v>
      </c>
      <c r="M3538" s="46">
        <f>(Sales[[#This Row],[Gross Amount]]-Sales[[#This Row],[Disc. Amt.]])*Sales[[#This Row],[GST %]]</f>
        <v>37156.589999999997</v>
      </c>
      <c r="N3538" s="161">
        <f>Sales[[#This Row],[Gross Amount]]-Sales[[#This Row],[Disc. Amt.]]+Sales[[#This Row],[GST Amount]]</f>
        <v>243582.09</v>
      </c>
      <c r="O3538" s="34" t="s">
        <v>3566</v>
      </c>
      <c r="P3538" s="34" t="s">
        <v>3562</v>
      </c>
      <c r="Q3538" s="165">
        <f>IF(Sales[[#This Row],[Status]]="Cancelled",0,Sales[[#This Row],[Qty]])</f>
        <v>3</v>
      </c>
      <c r="R3538" s="166">
        <f>IF(Sales[[#This Row],[Status]]="Cancelled",0,Sales[[#This Row],[Total Amount]])</f>
        <v>243582.09</v>
      </c>
      <c r="S3538" s="162">
        <f>SUM(Sales[Net Amount])</f>
        <v>406839287.73200053</v>
      </c>
    </row>
    <row r="3539" spans="1:19" ht="18.75" x14ac:dyDescent="0.25">
      <c r="A3539" s="156" t="s">
        <v>7202</v>
      </c>
      <c r="B3539" s="157">
        <v>45953</v>
      </c>
      <c r="C3539" s="158" t="s">
        <v>681</v>
      </c>
      <c r="D3539" s="159" t="str">
        <f>VLOOKUP(Sales[[#This Row],[Customer ID]],Customer[#All],2,0)</f>
        <v>Amit Kumar</v>
      </c>
      <c r="E3539" s="158" t="s">
        <v>123</v>
      </c>
      <c r="F3539" s="158" t="str">
        <f>VLOOKUP(Sales[[#This Row],[Product ID]],Product[#All],2,0)</f>
        <v>HP Mouse</v>
      </c>
      <c r="G3539" s="159">
        <v>6</v>
      </c>
      <c r="H3539" s="160">
        <f>VLOOKUP(Sales[[#This Row],[Product ID]],Product[#All],7,0)</f>
        <v>2480</v>
      </c>
      <c r="I3539" s="160">
        <f>Sales[[#This Row],[Selling Rate]]*Sales[[#This Row],[Qty]]</f>
        <v>14880</v>
      </c>
      <c r="J3539" s="43">
        <v>0.15</v>
      </c>
      <c r="K3539" s="44">
        <f>Sales[[#This Row],[Gross Amount]]*Sales[[#This Row],[Disc %]]</f>
        <v>2232</v>
      </c>
      <c r="L3539" s="43">
        <v>0.18</v>
      </c>
      <c r="M3539" s="44">
        <f>(Sales[[#This Row],[Gross Amount]]-Sales[[#This Row],[Disc. Amt.]])*Sales[[#This Row],[GST %]]</f>
        <v>2276.64</v>
      </c>
      <c r="N3539" s="161">
        <f>Sales[[#This Row],[Gross Amount]]-Sales[[#This Row],[Disc. Amt.]]+Sales[[#This Row],[GST Amount]]</f>
        <v>14924.64</v>
      </c>
      <c r="O3539" s="158" t="s">
        <v>3569</v>
      </c>
      <c r="P3539" s="158" t="s">
        <v>3562</v>
      </c>
      <c r="Q3539" s="160">
        <f>IF(Sales[[#This Row],[Status]]="Cancelled",0,Sales[[#This Row],[Qty]])</f>
        <v>6</v>
      </c>
      <c r="R3539" s="161">
        <f>IF(Sales[[#This Row],[Status]]="Cancelled",0,Sales[[#This Row],[Total Amount]])</f>
        <v>14924.64</v>
      </c>
      <c r="S3539" s="162">
        <f>SUM(Sales[Net Amount])</f>
        <v>406839287.73200053</v>
      </c>
    </row>
    <row r="3540" spans="1:19" ht="18.75" x14ac:dyDescent="0.25">
      <c r="A3540" s="163" t="s">
        <v>7203</v>
      </c>
      <c r="B3540" s="164">
        <v>45953</v>
      </c>
      <c r="C3540" s="34" t="s">
        <v>874</v>
      </c>
      <c r="D3540" s="53" t="str">
        <f>VLOOKUP(Sales[[#This Row],[Customer ID]],Customer[#All],2,0)</f>
        <v>Vikas Sharma</v>
      </c>
      <c r="E3540" s="34" t="s">
        <v>365</v>
      </c>
      <c r="F3540" s="34" t="str">
        <f>VLOOKUP(Sales[[#This Row],[Product ID]],Product[#All],2,0)</f>
        <v>TP-link Bluetooth Adapter</v>
      </c>
      <c r="G3540" s="53">
        <v>5</v>
      </c>
      <c r="H3540" s="165">
        <f>VLOOKUP(Sales[[#This Row],[Product ID]],Product[#All],7,0)</f>
        <v>2120</v>
      </c>
      <c r="I3540" s="165">
        <f>Sales[[#This Row],[Selling Rate]]*Sales[[#This Row],[Qty]]</f>
        <v>10600</v>
      </c>
      <c r="J3540" s="45">
        <v>0.1</v>
      </c>
      <c r="K3540" s="46">
        <f>Sales[[#This Row],[Gross Amount]]*Sales[[#This Row],[Disc %]]</f>
        <v>1060</v>
      </c>
      <c r="L3540" s="43">
        <v>0.18</v>
      </c>
      <c r="M3540" s="46">
        <f>(Sales[[#This Row],[Gross Amount]]-Sales[[#This Row],[Disc. Amt.]])*Sales[[#This Row],[GST %]]</f>
        <v>1717.2</v>
      </c>
      <c r="N3540" s="161">
        <f>Sales[[#This Row],[Gross Amount]]-Sales[[#This Row],[Disc. Amt.]]+Sales[[#This Row],[GST Amount]]</f>
        <v>11257.2</v>
      </c>
      <c r="O3540" s="34" t="s">
        <v>3561</v>
      </c>
      <c r="P3540" s="34" t="s">
        <v>3562</v>
      </c>
      <c r="Q3540" s="165">
        <f>IF(Sales[[#This Row],[Status]]="Cancelled",0,Sales[[#This Row],[Qty]])</f>
        <v>5</v>
      </c>
      <c r="R3540" s="166">
        <f>IF(Sales[[#This Row],[Status]]="Cancelled",0,Sales[[#This Row],[Total Amount]])</f>
        <v>11257.2</v>
      </c>
      <c r="S3540" s="162">
        <f>SUM(Sales[Net Amount])</f>
        <v>406839287.73200053</v>
      </c>
    </row>
    <row r="3541" spans="1:19" ht="18.75" x14ac:dyDescent="0.25">
      <c r="A3541" s="156" t="s">
        <v>7204</v>
      </c>
      <c r="B3541" s="157">
        <v>45954</v>
      </c>
      <c r="C3541" s="158" t="s">
        <v>914</v>
      </c>
      <c r="D3541" s="159" t="str">
        <f>VLOOKUP(Sales[[#This Row],[Customer ID]],Customer[#All],2,0)</f>
        <v>Rakesh Patel</v>
      </c>
      <c r="E3541" s="158" t="s">
        <v>223</v>
      </c>
      <c r="F3541" s="158" t="str">
        <f>VLOOKUP(Sales[[#This Row],[Product ID]],Product[#All],2,0)</f>
        <v>Dell Monitor</v>
      </c>
      <c r="G3541" s="159">
        <v>7</v>
      </c>
      <c r="H3541" s="160">
        <f>VLOOKUP(Sales[[#This Row],[Product ID]],Product[#All],7,0)</f>
        <v>9980</v>
      </c>
      <c r="I3541" s="160">
        <f>Sales[[#This Row],[Selling Rate]]*Sales[[#This Row],[Qty]]</f>
        <v>69860</v>
      </c>
      <c r="J3541" s="43">
        <v>0.05</v>
      </c>
      <c r="K3541" s="44">
        <f>Sales[[#This Row],[Gross Amount]]*Sales[[#This Row],[Disc %]]</f>
        <v>3493</v>
      </c>
      <c r="L3541" s="43">
        <v>0.18</v>
      </c>
      <c r="M3541" s="44">
        <f>(Sales[[#This Row],[Gross Amount]]-Sales[[#This Row],[Disc. Amt.]])*Sales[[#This Row],[GST %]]</f>
        <v>11946.06</v>
      </c>
      <c r="N3541" s="161">
        <f>Sales[[#This Row],[Gross Amount]]-Sales[[#This Row],[Disc. Amt.]]+Sales[[#This Row],[GST Amount]]</f>
        <v>78313.06</v>
      </c>
      <c r="O3541" s="158" t="s">
        <v>8876</v>
      </c>
      <c r="P3541" s="158" t="s">
        <v>3562</v>
      </c>
      <c r="Q3541" s="160">
        <f>IF(Sales[[#This Row],[Status]]="Cancelled",0,Sales[[#This Row],[Qty]])</f>
        <v>7</v>
      </c>
      <c r="R3541" s="161">
        <f>IF(Sales[[#This Row],[Status]]="Cancelled",0,Sales[[#This Row],[Total Amount]])</f>
        <v>78313.06</v>
      </c>
      <c r="S3541" s="162">
        <f>SUM(Sales[Net Amount])</f>
        <v>406839287.73200053</v>
      </c>
    </row>
    <row r="3542" spans="1:19" ht="18.75" x14ac:dyDescent="0.25">
      <c r="A3542" s="163" t="s">
        <v>7205</v>
      </c>
      <c r="B3542" s="164">
        <v>45954</v>
      </c>
      <c r="C3542" s="34" t="s">
        <v>667</v>
      </c>
      <c r="D3542" s="53" t="str">
        <f>VLOOKUP(Sales[[#This Row],[Customer ID]],Customer[#All],2,0)</f>
        <v>Neha Gupta</v>
      </c>
      <c r="E3542" s="34" t="s">
        <v>502</v>
      </c>
      <c r="F3542" s="34" t="str">
        <f>VLOOKUP(Sales[[#This Row],[Product ID]],Product[#All],2,0)</f>
        <v>HP Printer</v>
      </c>
      <c r="G3542" s="53">
        <v>3</v>
      </c>
      <c r="H3542" s="165">
        <f>VLOOKUP(Sales[[#This Row],[Product ID]],Product[#All],7,0)</f>
        <v>32100</v>
      </c>
      <c r="I3542" s="165">
        <f>Sales[[#This Row],[Selling Rate]]*Sales[[#This Row],[Qty]]</f>
        <v>96300</v>
      </c>
      <c r="J3542" s="45">
        <v>0.12</v>
      </c>
      <c r="K3542" s="46">
        <f>Sales[[#This Row],[Gross Amount]]*Sales[[#This Row],[Disc %]]</f>
        <v>11556</v>
      </c>
      <c r="L3542" s="43">
        <v>0.18</v>
      </c>
      <c r="M3542" s="46">
        <f>(Sales[[#This Row],[Gross Amount]]-Sales[[#This Row],[Disc. Amt.]])*Sales[[#This Row],[GST %]]</f>
        <v>15253.92</v>
      </c>
      <c r="N3542" s="161">
        <f>Sales[[#This Row],[Gross Amount]]-Sales[[#This Row],[Disc. Amt.]]+Sales[[#This Row],[GST Amount]]</f>
        <v>99997.92</v>
      </c>
      <c r="O3542" s="34" t="s">
        <v>8876</v>
      </c>
      <c r="P3542" s="34" t="s">
        <v>3562</v>
      </c>
      <c r="Q3542" s="165">
        <f>IF(Sales[[#This Row],[Status]]="Cancelled",0,Sales[[#This Row],[Qty]])</f>
        <v>3</v>
      </c>
      <c r="R3542" s="166">
        <f>IF(Sales[[#This Row],[Status]]="Cancelled",0,Sales[[#This Row],[Total Amount]])</f>
        <v>99997.92</v>
      </c>
      <c r="S3542" s="162">
        <f>SUM(Sales[Net Amount])</f>
        <v>406839287.73200053</v>
      </c>
    </row>
    <row r="3543" spans="1:19" ht="18.75" x14ac:dyDescent="0.25">
      <c r="A3543" s="156" t="s">
        <v>7206</v>
      </c>
      <c r="B3543" s="157">
        <v>45954</v>
      </c>
      <c r="C3543" s="158" t="s">
        <v>724</v>
      </c>
      <c r="D3543" s="159" t="str">
        <f>VLOOKUP(Sales[[#This Row],[Customer ID]],Customer[#All],2,0)</f>
        <v>Sunita Sharma</v>
      </c>
      <c r="E3543" s="158" t="s">
        <v>552</v>
      </c>
      <c r="F3543" s="158" t="str">
        <f>VLOOKUP(Sales[[#This Row],[Product ID]],Product[#All],2,0)</f>
        <v>American TouristerLaptopBag</v>
      </c>
      <c r="G3543" s="159">
        <v>2</v>
      </c>
      <c r="H3543" s="160">
        <f>VLOOKUP(Sales[[#This Row],[Product ID]],Product[#All],7,0)</f>
        <v>5080</v>
      </c>
      <c r="I3543" s="160">
        <f>Sales[[#This Row],[Selling Rate]]*Sales[[#This Row],[Qty]]</f>
        <v>10160</v>
      </c>
      <c r="J3543" s="43">
        <v>0.15</v>
      </c>
      <c r="K3543" s="44">
        <f>Sales[[#This Row],[Gross Amount]]*Sales[[#This Row],[Disc %]]</f>
        <v>1524</v>
      </c>
      <c r="L3543" s="43">
        <v>0.18</v>
      </c>
      <c r="M3543" s="44">
        <f>(Sales[[#This Row],[Gross Amount]]-Sales[[#This Row],[Disc. Amt.]])*Sales[[#This Row],[GST %]]</f>
        <v>1554.48</v>
      </c>
      <c r="N3543" s="161">
        <f>Sales[[#This Row],[Gross Amount]]-Sales[[#This Row],[Disc. Amt.]]+Sales[[#This Row],[GST Amount]]</f>
        <v>10190.48</v>
      </c>
      <c r="O3543" s="158" t="s">
        <v>3569</v>
      </c>
      <c r="P3543" s="158" t="s">
        <v>3562</v>
      </c>
      <c r="Q3543" s="160">
        <f>IF(Sales[[#This Row],[Status]]="Cancelled",0,Sales[[#This Row],[Qty]])</f>
        <v>2</v>
      </c>
      <c r="R3543" s="161">
        <f>IF(Sales[[#This Row],[Status]]="Cancelled",0,Sales[[#This Row],[Total Amount]])</f>
        <v>10190.48</v>
      </c>
      <c r="S3543" s="162">
        <f>SUM(Sales[Net Amount])</f>
        <v>406839287.73200053</v>
      </c>
    </row>
    <row r="3544" spans="1:19" ht="18.75" x14ac:dyDescent="0.25">
      <c r="A3544" s="163" t="s">
        <v>7207</v>
      </c>
      <c r="B3544" s="164">
        <v>45954</v>
      </c>
      <c r="C3544" s="34" t="s">
        <v>795</v>
      </c>
      <c r="D3544" s="53" t="str">
        <f>VLOOKUP(Sales[[#This Row],[Customer ID]],Customer[#All],2,0)</f>
        <v>Sahil Gupta</v>
      </c>
      <c r="E3544" s="34" t="s">
        <v>472</v>
      </c>
      <c r="F3544" s="34" t="str">
        <f>VLOOKUP(Sales[[#This Row],[Product ID]],Product[#All],2,0)</f>
        <v>Seagate HDD</v>
      </c>
      <c r="G3544" s="53">
        <v>6</v>
      </c>
      <c r="H3544" s="165">
        <f>VLOOKUP(Sales[[#This Row],[Product ID]],Product[#All],7,0)</f>
        <v>6840</v>
      </c>
      <c r="I3544" s="165">
        <f>Sales[[#This Row],[Selling Rate]]*Sales[[#This Row],[Qty]]</f>
        <v>41040</v>
      </c>
      <c r="J3544" s="45">
        <v>0</v>
      </c>
      <c r="K3544" s="46">
        <f>Sales[[#This Row],[Gross Amount]]*Sales[[#This Row],[Disc %]]</f>
        <v>0</v>
      </c>
      <c r="L3544" s="43">
        <v>0.18</v>
      </c>
      <c r="M3544" s="46">
        <f>(Sales[[#This Row],[Gross Amount]]-Sales[[#This Row],[Disc. Amt.]])*Sales[[#This Row],[GST %]]</f>
        <v>7387.2</v>
      </c>
      <c r="N3544" s="161">
        <f>Sales[[#This Row],[Gross Amount]]-Sales[[#This Row],[Disc. Amt.]]+Sales[[#This Row],[GST Amount]]</f>
        <v>48427.199999999997</v>
      </c>
      <c r="O3544" s="34" t="s">
        <v>8876</v>
      </c>
      <c r="P3544" s="34" t="s">
        <v>3562</v>
      </c>
      <c r="Q3544" s="165">
        <f>IF(Sales[[#This Row],[Status]]="Cancelled",0,Sales[[#This Row],[Qty]])</f>
        <v>6</v>
      </c>
      <c r="R3544" s="166">
        <f>IF(Sales[[#This Row],[Status]]="Cancelled",0,Sales[[#This Row],[Total Amount]])</f>
        <v>48427.199999999997</v>
      </c>
      <c r="S3544" s="162">
        <f>SUM(Sales[Net Amount])</f>
        <v>406839287.73200053</v>
      </c>
    </row>
    <row r="3545" spans="1:19" ht="18.75" x14ac:dyDescent="0.25">
      <c r="A3545" s="156" t="s">
        <v>7208</v>
      </c>
      <c r="B3545" s="157">
        <v>45954</v>
      </c>
      <c r="C3545" s="158" t="s">
        <v>810</v>
      </c>
      <c r="D3545" s="159" t="str">
        <f>VLOOKUP(Sales[[#This Row],[Customer ID]],Customer[#All],2,0)</f>
        <v>Rahul Gupta</v>
      </c>
      <c r="E3545" s="158" t="s">
        <v>72</v>
      </c>
      <c r="F3545" s="158" t="str">
        <f>VLOOKUP(Sales[[#This Row],[Product ID]],Product[#All],2,0)</f>
        <v>Dell Keyboard</v>
      </c>
      <c r="G3545" s="159">
        <v>5</v>
      </c>
      <c r="H3545" s="160">
        <f>VLOOKUP(Sales[[#This Row],[Product ID]],Product[#All],7,0)</f>
        <v>1250</v>
      </c>
      <c r="I3545" s="160">
        <f>Sales[[#This Row],[Selling Rate]]*Sales[[#This Row],[Qty]]</f>
        <v>6250</v>
      </c>
      <c r="J3545" s="43">
        <v>0.15</v>
      </c>
      <c r="K3545" s="44">
        <f>Sales[[#This Row],[Gross Amount]]*Sales[[#This Row],[Disc %]]</f>
        <v>937.5</v>
      </c>
      <c r="L3545" s="43">
        <v>0.18</v>
      </c>
      <c r="M3545" s="44">
        <f>(Sales[[#This Row],[Gross Amount]]-Sales[[#This Row],[Disc. Amt.]])*Sales[[#This Row],[GST %]]</f>
        <v>956.25</v>
      </c>
      <c r="N3545" s="161">
        <f>Sales[[#This Row],[Gross Amount]]-Sales[[#This Row],[Disc. Amt.]]+Sales[[#This Row],[GST Amount]]</f>
        <v>6268.75</v>
      </c>
      <c r="O3545" s="158" t="s">
        <v>3569</v>
      </c>
      <c r="P3545" s="158" t="s">
        <v>3562</v>
      </c>
      <c r="Q3545" s="160">
        <f>IF(Sales[[#This Row],[Status]]="Cancelled",0,Sales[[#This Row],[Qty]])</f>
        <v>5</v>
      </c>
      <c r="R3545" s="161">
        <f>IF(Sales[[#This Row],[Status]]="Cancelled",0,Sales[[#This Row],[Total Amount]])</f>
        <v>6268.75</v>
      </c>
      <c r="S3545" s="162">
        <f>SUM(Sales[Net Amount])</f>
        <v>406839287.73200053</v>
      </c>
    </row>
    <row r="3546" spans="1:19" ht="18.75" x14ac:dyDescent="0.25">
      <c r="A3546" s="163" t="s">
        <v>7209</v>
      </c>
      <c r="B3546" s="164">
        <v>45954</v>
      </c>
      <c r="C3546" s="34" t="s">
        <v>867</v>
      </c>
      <c r="D3546" s="53" t="str">
        <f>VLOOKUP(Sales[[#This Row],[Customer ID]],Customer[#All],2,0)</f>
        <v>Priya Gupta</v>
      </c>
      <c r="E3546" s="34" t="s">
        <v>305</v>
      </c>
      <c r="F3546" s="34" t="str">
        <f>VLOOKUP(Sales[[#This Row],[Product ID]],Product[#All],2,0)</f>
        <v>HP Power Adapter</v>
      </c>
      <c r="G3546" s="53">
        <v>1</v>
      </c>
      <c r="H3546" s="165">
        <f>VLOOKUP(Sales[[#This Row],[Product ID]],Product[#All],7,0)</f>
        <v>2640</v>
      </c>
      <c r="I3546" s="165">
        <f>Sales[[#This Row],[Selling Rate]]*Sales[[#This Row],[Qty]]</f>
        <v>2640</v>
      </c>
      <c r="J3546" s="45">
        <v>0.05</v>
      </c>
      <c r="K3546" s="46">
        <f>Sales[[#This Row],[Gross Amount]]*Sales[[#This Row],[Disc %]]</f>
        <v>132</v>
      </c>
      <c r="L3546" s="43">
        <v>0.18</v>
      </c>
      <c r="M3546" s="46">
        <f>(Sales[[#This Row],[Gross Amount]]-Sales[[#This Row],[Disc. Amt.]])*Sales[[#This Row],[GST %]]</f>
        <v>451.44</v>
      </c>
      <c r="N3546" s="161">
        <f>Sales[[#This Row],[Gross Amount]]-Sales[[#This Row],[Disc. Amt.]]+Sales[[#This Row],[GST Amount]]</f>
        <v>2959.44</v>
      </c>
      <c r="O3546" s="34" t="s">
        <v>3561</v>
      </c>
      <c r="P3546" s="34" t="s">
        <v>3562</v>
      </c>
      <c r="Q3546" s="165">
        <f>IF(Sales[[#This Row],[Status]]="Cancelled",0,Sales[[#This Row],[Qty]])</f>
        <v>1</v>
      </c>
      <c r="R3546" s="166">
        <f>IF(Sales[[#This Row],[Status]]="Cancelled",0,Sales[[#This Row],[Total Amount]])</f>
        <v>2959.44</v>
      </c>
      <c r="S3546" s="162">
        <f>SUM(Sales[Net Amount])</f>
        <v>406839287.73200053</v>
      </c>
    </row>
    <row r="3547" spans="1:19" ht="18.75" x14ac:dyDescent="0.25">
      <c r="A3547" s="156" t="s">
        <v>7210</v>
      </c>
      <c r="B3547" s="157">
        <v>45954</v>
      </c>
      <c r="C3547" s="158" t="s">
        <v>897</v>
      </c>
      <c r="D3547" s="159" t="str">
        <f>VLOOKUP(Sales[[#This Row],[Customer ID]],Customer[#All],2,0)</f>
        <v>Amit Patel</v>
      </c>
      <c r="E3547" s="158" t="s">
        <v>296</v>
      </c>
      <c r="F3547" s="158" t="str">
        <f>VLOOKUP(Sales[[#This Row],[Product ID]],Product[#All],2,0)</f>
        <v>Logitech Webcam</v>
      </c>
      <c r="G3547" s="159">
        <v>4</v>
      </c>
      <c r="H3547" s="160">
        <f>VLOOKUP(Sales[[#This Row],[Product ID]],Product[#All],7,0)</f>
        <v>6060</v>
      </c>
      <c r="I3547" s="160">
        <f>Sales[[#This Row],[Selling Rate]]*Sales[[#This Row],[Qty]]</f>
        <v>24240</v>
      </c>
      <c r="J3547" s="43">
        <v>0.02</v>
      </c>
      <c r="K3547" s="44">
        <f>Sales[[#This Row],[Gross Amount]]*Sales[[#This Row],[Disc %]]</f>
        <v>484.8</v>
      </c>
      <c r="L3547" s="43">
        <v>0.18</v>
      </c>
      <c r="M3547" s="44">
        <f>(Sales[[#This Row],[Gross Amount]]-Sales[[#This Row],[Disc. Amt.]])*Sales[[#This Row],[GST %]]</f>
        <v>4275.9359999999997</v>
      </c>
      <c r="N3547" s="161">
        <f>Sales[[#This Row],[Gross Amount]]-Sales[[#This Row],[Disc. Amt.]]+Sales[[#This Row],[GST Amount]]</f>
        <v>28031.135999999999</v>
      </c>
      <c r="O3547" s="158" t="s">
        <v>8876</v>
      </c>
      <c r="P3547" s="158" t="s">
        <v>3562</v>
      </c>
      <c r="Q3547" s="160">
        <f>IF(Sales[[#This Row],[Status]]="Cancelled",0,Sales[[#This Row],[Qty]])</f>
        <v>4</v>
      </c>
      <c r="R3547" s="161">
        <f>IF(Sales[[#This Row],[Status]]="Cancelled",0,Sales[[#This Row],[Total Amount]])</f>
        <v>28031.135999999999</v>
      </c>
      <c r="S3547" s="162">
        <f>SUM(Sales[Net Amount])</f>
        <v>406839287.73200053</v>
      </c>
    </row>
    <row r="3548" spans="1:19" ht="18.75" x14ac:dyDescent="0.25">
      <c r="A3548" s="163" t="s">
        <v>7211</v>
      </c>
      <c r="B3548" s="164">
        <v>45954</v>
      </c>
      <c r="C3548" s="34" t="s">
        <v>690</v>
      </c>
      <c r="D3548" s="53" t="str">
        <f>VLOOKUP(Sales[[#This Row],[Customer ID]],Customer[#All],2,0)</f>
        <v>Priya Patel</v>
      </c>
      <c r="E3548" s="34" t="s">
        <v>109</v>
      </c>
      <c r="F3548" s="34" t="str">
        <f>VLOOKUP(Sales[[#This Row],[Product ID]],Product[#All],2,0)</f>
        <v>Kingston Ram</v>
      </c>
      <c r="G3548" s="53">
        <v>4</v>
      </c>
      <c r="H3548" s="165">
        <f>VLOOKUP(Sales[[#This Row],[Product ID]],Product[#All],7,0)</f>
        <v>2290</v>
      </c>
      <c r="I3548" s="165">
        <f>Sales[[#This Row],[Selling Rate]]*Sales[[#This Row],[Qty]]</f>
        <v>9160</v>
      </c>
      <c r="J3548" s="45">
        <v>0.1</v>
      </c>
      <c r="K3548" s="46">
        <f>Sales[[#This Row],[Gross Amount]]*Sales[[#This Row],[Disc %]]</f>
        <v>916</v>
      </c>
      <c r="L3548" s="43">
        <v>0.18</v>
      </c>
      <c r="M3548" s="46">
        <f>(Sales[[#This Row],[Gross Amount]]-Sales[[#This Row],[Disc. Amt.]])*Sales[[#This Row],[GST %]]</f>
        <v>1483.9199999999998</v>
      </c>
      <c r="N3548" s="161">
        <f>Sales[[#This Row],[Gross Amount]]-Sales[[#This Row],[Disc. Amt.]]+Sales[[#This Row],[GST Amount]]</f>
        <v>9727.92</v>
      </c>
      <c r="O3548" s="34" t="s">
        <v>3561</v>
      </c>
      <c r="P3548" s="34" t="s">
        <v>3562</v>
      </c>
      <c r="Q3548" s="165">
        <f>IF(Sales[[#This Row],[Status]]="Cancelled",0,Sales[[#This Row],[Qty]])</f>
        <v>4</v>
      </c>
      <c r="R3548" s="166">
        <f>IF(Sales[[#This Row],[Status]]="Cancelled",0,Sales[[#This Row],[Total Amount]])</f>
        <v>9727.92</v>
      </c>
      <c r="S3548" s="162">
        <f>SUM(Sales[Net Amount])</f>
        <v>406839287.73200053</v>
      </c>
    </row>
    <row r="3549" spans="1:19" ht="18.75" x14ac:dyDescent="0.25">
      <c r="A3549" s="156" t="s">
        <v>7212</v>
      </c>
      <c r="B3549" s="157">
        <v>45954</v>
      </c>
      <c r="C3549" s="158" t="s">
        <v>749</v>
      </c>
      <c r="D3549" s="159" t="str">
        <f>VLOOKUP(Sales[[#This Row],[Customer ID]],Customer[#All],2,0)</f>
        <v>Sahil Patel</v>
      </c>
      <c r="E3549" s="158" t="s">
        <v>464</v>
      </c>
      <c r="F3549" s="158" t="str">
        <f>VLOOKUP(Sales[[#This Row],[Product ID]],Product[#All],2,0)</f>
        <v>Lg Monitor</v>
      </c>
      <c r="G3549" s="159">
        <v>8</v>
      </c>
      <c r="H3549" s="160">
        <f>VLOOKUP(Sales[[#This Row],[Product ID]],Product[#All],7,0)</f>
        <v>27140</v>
      </c>
      <c r="I3549" s="160">
        <f>Sales[[#This Row],[Selling Rate]]*Sales[[#This Row],[Qty]]</f>
        <v>217120</v>
      </c>
      <c r="J3549" s="43">
        <v>0</v>
      </c>
      <c r="K3549" s="44">
        <f>Sales[[#This Row],[Gross Amount]]*Sales[[#This Row],[Disc %]]</f>
        <v>0</v>
      </c>
      <c r="L3549" s="43">
        <v>0.18</v>
      </c>
      <c r="M3549" s="44">
        <f>(Sales[[#This Row],[Gross Amount]]-Sales[[#This Row],[Disc. Amt.]])*Sales[[#This Row],[GST %]]</f>
        <v>39081.599999999999</v>
      </c>
      <c r="N3549" s="161">
        <f>Sales[[#This Row],[Gross Amount]]-Sales[[#This Row],[Disc. Amt.]]+Sales[[#This Row],[GST Amount]]</f>
        <v>256201.60000000001</v>
      </c>
      <c r="O3549" s="158" t="s">
        <v>3561</v>
      </c>
      <c r="P3549" s="158" t="s">
        <v>3562</v>
      </c>
      <c r="Q3549" s="160">
        <f>IF(Sales[[#This Row],[Status]]="Cancelled",0,Sales[[#This Row],[Qty]])</f>
        <v>8</v>
      </c>
      <c r="R3549" s="161">
        <f>IF(Sales[[#This Row],[Status]]="Cancelled",0,Sales[[#This Row],[Total Amount]])</f>
        <v>256201.60000000001</v>
      </c>
      <c r="S3549" s="162">
        <f>SUM(Sales[Net Amount])</f>
        <v>406839287.73200053</v>
      </c>
    </row>
    <row r="3550" spans="1:19" ht="18.75" x14ac:dyDescent="0.25">
      <c r="A3550" s="163" t="s">
        <v>7213</v>
      </c>
      <c r="B3550" s="164">
        <v>45954</v>
      </c>
      <c r="C3550" s="34" t="s">
        <v>836</v>
      </c>
      <c r="D3550" s="53" t="str">
        <f>VLOOKUP(Sales[[#This Row],[Customer ID]],Customer[#All],2,0)</f>
        <v>Sunita Patel</v>
      </c>
      <c r="E3550" s="34" t="s">
        <v>132</v>
      </c>
      <c r="F3550" s="34" t="str">
        <f>VLOOKUP(Sales[[#This Row],[Product ID]],Product[#All],2,0)</f>
        <v>Jbl Headset</v>
      </c>
      <c r="G3550" s="53">
        <v>4</v>
      </c>
      <c r="H3550" s="165">
        <f>VLOOKUP(Sales[[#This Row],[Product ID]],Product[#All],7,0)</f>
        <v>7470</v>
      </c>
      <c r="I3550" s="165">
        <f>Sales[[#This Row],[Selling Rate]]*Sales[[#This Row],[Qty]]</f>
        <v>29880</v>
      </c>
      <c r="J3550" s="45">
        <v>0</v>
      </c>
      <c r="K3550" s="46">
        <f>Sales[[#This Row],[Gross Amount]]*Sales[[#This Row],[Disc %]]</f>
        <v>0</v>
      </c>
      <c r="L3550" s="43">
        <v>0.18</v>
      </c>
      <c r="M3550" s="46">
        <f>(Sales[[#This Row],[Gross Amount]]-Sales[[#This Row],[Disc. Amt.]])*Sales[[#This Row],[GST %]]</f>
        <v>5378.4</v>
      </c>
      <c r="N3550" s="161">
        <f>Sales[[#This Row],[Gross Amount]]-Sales[[#This Row],[Disc. Amt.]]+Sales[[#This Row],[GST Amount]]</f>
        <v>35258.400000000001</v>
      </c>
      <c r="O3550" s="34" t="s">
        <v>3566</v>
      </c>
      <c r="P3550" s="34" t="s">
        <v>3562</v>
      </c>
      <c r="Q3550" s="165">
        <f>IF(Sales[[#This Row],[Status]]="Cancelled",0,Sales[[#This Row],[Qty]])</f>
        <v>4</v>
      </c>
      <c r="R3550" s="166">
        <f>IF(Sales[[#This Row],[Status]]="Cancelled",0,Sales[[#This Row],[Total Amount]])</f>
        <v>35258.400000000001</v>
      </c>
      <c r="S3550" s="162">
        <f>SUM(Sales[Net Amount])</f>
        <v>406839287.73200053</v>
      </c>
    </row>
    <row r="3551" spans="1:19" ht="18.75" x14ac:dyDescent="0.25">
      <c r="A3551" s="156" t="s">
        <v>7214</v>
      </c>
      <c r="B3551" s="157">
        <v>45954</v>
      </c>
      <c r="C3551" s="158" t="s">
        <v>669</v>
      </c>
      <c r="D3551" s="159" t="str">
        <f>VLOOKUP(Sales[[#This Row],[Customer ID]],Customer[#All],2,0)</f>
        <v>Sahil Kumar</v>
      </c>
      <c r="E3551" s="158" t="s">
        <v>351</v>
      </c>
      <c r="F3551" s="158" t="str">
        <f>VLOOKUP(Sales[[#This Row],[Product ID]],Product[#All],2,0)</f>
        <v>Logitech Mouse</v>
      </c>
      <c r="G3551" s="159">
        <v>2</v>
      </c>
      <c r="H3551" s="160">
        <f>VLOOKUP(Sales[[#This Row],[Product ID]],Product[#All],7,0)</f>
        <v>2130</v>
      </c>
      <c r="I3551" s="160">
        <f>Sales[[#This Row],[Selling Rate]]*Sales[[#This Row],[Qty]]</f>
        <v>4260</v>
      </c>
      <c r="J3551" s="43">
        <v>0.12</v>
      </c>
      <c r="K3551" s="44">
        <f>Sales[[#This Row],[Gross Amount]]*Sales[[#This Row],[Disc %]]</f>
        <v>511.2</v>
      </c>
      <c r="L3551" s="43">
        <v>0.18</v>
      </c>
      <c r="M3551" s="44">
        <f>(Sales[[#This Row],[Gross Amount]]-Sales[[#This Row],[Disc. Amt.]])*Sales[[#This Row],[GST %]]</f>
        <v>674.78399999999999</v>
      </c>
      <c r="N3551" s="161">
        <f>Sales[[#This Row],[Gross Amount]]-Sales[[#This Row],[Disc. Amt.]]+Sales[[#This Row],[GST Amount]]</f>
        <v>4423.5839999999998</v>
      </c>
      <c r="O3551" s="158" t="s">
        <v>3569</v>
      </c>
      <c r="P3551" s="158" t="s">
        <v>3562</v>
      </c>
      <c r="Q3551" s="160">
        <f>IF(Sales[[#This Row],[Status]]="Cancelled",0,Sales[[#This Row],[Qty]])</f>
        <v>2</v>
      </c>
      <c r="R3551" s="161">
        <f>IF(Sales[[#This Row],[Status]]="Cancelled",0,Sales[[#This Row],[Total Amount]])</f>
        <v>4423.5839999999998</v>
      </c>
      <c r="S3551" s="162">
        <f>SUM(Sales[Net Amount])</f>
        <v>406839287.73200053</v>
      </c>
    </row>
    <row r="3552" spans="1:19" ht="18.75" x14ac:dyDescent="0.25">
      <c r="A3552" s="163" t="s">
        <v>7215</v>
      </c>
      <c r="B3552" s="164">
        <v>45954</v>
      </c>
      <c r="C3552" s="34" t="s">
        <v>834</v>
      </c>
      <c r="D3552" s="53" t="str">
        <f>VLOOKUP(Sales[[#This Row],[Customer ID]],Customer[#All],2,0)</f>
        <v>Rahul Verma</v>
      </c>
      <c r="E3552" s="34" t="s">
        <v>448</v>
      </c>
      <c r="F3552" s="34" t="str">
        <f>VLOOKUP(Sales[[#This Row],[Product ID]],Product[#All],2,0)</f>
        <v>Crucial Ssd</v>
      </c>
      <c r="G3552" s="53">
        <v>3</v>
      </c>
      <c r="H3552" s="165">
        <f>VLOOKUP(Sales[[#This Row],[Product ID]],Product[#All],7,0)</f>
        <v>7930</v>
      </c>
      <c r="I3552" s="165">
        <f>Sales[[#This Row],[Selling Rate]]*Sales[[#This Row],[Qty]]</f>
        <v>23790</v>
      </c>
      <c r="J3552" s="45">
        <v>0.1</v>
      </c>
      <c r="K3552" s="46">
        <f>Sales[[#This Row],[Gross Amount]]*Sales[[#This Row],[Disc %]]</f>
        <v>2379</v>
      </c>
      <c r="L3552" s="43">
        <v>0.18</v>
      </c>
      <c r="M3552" s="46">
        <f>(Sales[[#This Row],[Gross Amount]]-Sales[[#This Row],[Disc. Amt.]])*Sales[[#This Row],[GST %]]</f>
        <v>3853.98</v>
      </c>
      <c r="N3552" s="161">
        <f>Sales[[#This Row],[Gross Amount]]-Sales[[#This Row],[Disc. Amt.]]+Sales[[#This Row],[GST Amount]]</f>
        <v>25264.98</v>
      </c>
      <c r="O3552" s="34" t="s">
        <v>8876</v>
      </c>
      <c r="P3552" s="34" t="s">
        <v>1040</v>
      </c>
      <c r="Q3552" s="165">
        <f>IF(Sales[[#This Row],[Status]]="Cancelled",0,Sales[[#This Row],[Qty]])</f>
        <v>0</v>
      </c>
      <c r="R3552" s="166">
        <f>IF(Sales[[#This Row],[Status]]="Cancelled",0,Sales[[#This Row],[Total Amount]])</f>
        <v>0</v>
      </c>
      <c r="S3552" s="162">
        <f>SUM(Sales[Net Amount])</f>
        <v>406839287.73200053</v>
      </c>
    </row>
    <row r="3553" spans="1:19" ht="18.75" x14ac:dyDescent="0.25">
      <c r="A3553" s="156" t="s">
        <v>7216</v>
      </c>
      <c r="B3553" s="157">
        <v>45954</v>
      </c>
      <c r="C3553" s="158" t="s">
        <v>892</v>
      </c>
      <c r="D3553" s="159" t="str">
        <f>VLOOKUP(Sales[[#This Row],[Customer ID]],Customer[#All],2,0)</f>
        <v>Sahil Verma</v>
      </c>
      <c r="E3553" s="158" t="s">
        <v>238</v>
      </c>
      <c r="F3553" s="158" t="str">
        <f>VLOOKUP(Sales[[#This Row],[Product ID]],Product[#All],2,0)</f>
        <v>Samsung Monitor</v>
      </c>
      <c r="G3553" s="159">
        <v>2</v>
      </c>
      <c r="H3553" s="160">
        <f>VLOOKUP(Sales[[#This Row],[Product ID]],Product[#All],7,0)</f>
        <v>8180</v>
      </c>
      <c r="I3553" s="160">
        <f>Sales[[#This Row],[Selling Rate]]*Sales[[#This Row],[Qty]]</f>
        <v>16360</v>
      </c>
      <c r="J3553" s="43">
        <v>0.02</v>
      </c>
      <c r="K3553" s="44">
        <f>Sales[[#This Row],[Gross Amount]]*Sales[[#This Row],[Disc %]]</f>
        <v>327.2</v>
      </c>
      <c r="L3553" s="43">
        <v>0.18</v>
      </c>
      <c r="M3553" s="44">
        <f>(Sales[[#This Row],[Gross Amount]]-Sales[[#This Row],[Disc. Amt.]])*Sales[[#This Row],[GST %]]</f>
        <v>2885.9039999999995</v>
      </c>
      <c r="N3553" s="161">
        <f>Sales[[#This Row],[Gross Amount]]-Sales[[#This Row],[Disc. Amt.]]+Sales[[#This Row],[GST Amount]]</f>
        <v>18918.703999999998</v>
      </c>
      <c r="O3553" s="158" t="s">
        <v>8876</v>
      </c>
      <c r="P3553" s="158" t="s">
        <v>1040</v>
      </c>
      <c r="Q3553" s="160">
        <f>IF(Sales[[#This Row],[Status]]="Cancelled",0,Sales[[#This Row],[Qty]])</f>
        <v>0</v>
      </c>
      <c r="R3553" s="161">
        <f>IF(Sales[[#This Row],[Status]]="Cancelled",0,Sales[[#This Row],[Total Amount]])</f>
        <v>0</v>
      </c>
      <c r="S3553" s="162">
        <f>SUM(Sales[Net Amount])</f>
        <v>406839287.73200053</v>
      </c>
    </row>
    <row r="3554" spans="1:19" ht="18.75" x14ac:dyDescent="0.25">
      <c r="A3554" s="163" t="s">
        <v>7217</v>
      </c>
      <c r="B3554" s="164">
        <v>45954</v>
      </c>
      <c r="C3554" s="34" t="s">
        <v>668</v>
      </c>
      <c r="D3554" s="53" t="str">
        <f>VLOOKUP(Sales[[#This Row],[Customer ID]],Customer[#All],2,0)</f>
        <v>Rahul Patel</v>
      </c>
      <c r="E3554" s="34" t="s">
        <v>289</v>
      </c>
      <c r="F3554" s="34" t="str">
        <f>VLOOKUP(Sales[[#This Row],[Product ID]],Product[#All],2,0)</f>
        <v>HP Mouse</v>
      </c>
      <c r="G3554" s="53">
        <v>4</v>
      </c>
      <c r="H3554" s="165">
        <f>VLOOKUP(Sales[[#This Row],[Product ID]],Product[#All],7,0)</f>
        <v>1200</v>
      </c>
      <c r="I3554" s="165">
        <f>Sales[[#This Row],[Selling Rate]]*Sales[[#This Row],[Qty]]</f>
        <v>4800</v>
      </c>
      <c r="J3554" s="45">
        <v>0.12</v>
      </c>
      <c r="K3554" s="46">
        <f>Sales[[#This Row],[Gross Amount]]*Sales[[#This Row],[Disc %]]</f>
        <v>576</v>
      </c>
      <c r="L3554" s="43">
        <v>0.18</v>
      </c>
      <c r="M3554" s="46">
        <f>(Sales[[#This Row],[Gross Amount]]-Sales[[#This Row],[Disc. Amt.]])*Sales[[#This Row],[GST %]]</f>
        <v>760.31999999999994</v>
      </c>
      <c r="N3554" s="161">
        <f>Sales[[#This Row],[Gross Amount]]-Sales[[#This Row],[Disc. Amt.]]+Sales[[#This Row],[GST Amount]]</f>
        <v>4984.32</v>
      </c>
      <c r="O3554" s="34" t="s">
        <v>3569</v>
      </c>
      <c r="P3554" s="34" t="s">
        <v>3562</v>
      </c>
      <c r="Q3554" s="165">
        <f>IF(Sales[[#This Row],[Status]]="Cancelled",0,Sales[[#This Row],[Qty]])</f>
        <v>4</v>
      </c>
      <c r="R3554" s="166">
        <f>IF(Sales[[#This Row],[Status]]="Cancelled",0,Sales[[#This Row],[Total Amount]])</f>
        <v>4984.32</v>
      </c>
      <c r="S3554" s="162">
        <f>SUM(Sales[Net Amount])</f>
        <v>406839287.73200053</v>
      </c>
    </row>
    <row r="3555" spans="1:19" ht="18.75" x14ac:dyDescent="0.25">
      <c r="A3555" s="156" t="s">
        <v>7218</v>
      </c>
      <c r="B3555" s="157">
        <v>45954</v>
      </c>
      <c r="C3555" s="158" t="s">
        <v>727</v>
      </c>
      <c r="D3555" s="159" t="str">
        <f>VLOOKUP(Sales[[#This Row],[Customer ID]],Customer[#All],2,0)</f>
        <v>Sahil Sharma</v>
      </c>
      <c r="E3555" s="158" t="s">
        <v>58</v>
      </c>
      <c r="F3555" s="158" t="str">
        <f>VLOOKUP(Sales[[#This Row],[Product ID]],Product[#All],2,0)</f>
        <v>Lenovo Laptop</v>
      </c>
      <c r="G3555" s="159">
        <v>8</v>
      </c>
      <c r="H3555" s="160">
        <f>VLOOKUP(Sales[[#This Row],[Product ID]],Product[#All],7,0)</f>
        <v>50200</v>
      </c>
      <c r="I3555" s="160">
        <f>Sales[[#This Row],[Selling Rate]]*Sales[[#This Row],[Qty]]</f>
        <v>401600</v>
      </c>
      <c r="J3555" s="43">
        <v>0.1</v>
      </c>
      <c r="K3555" s="44">
        <f>Sales[[#This Row],[Gross Amount]]*Sales[[#This Row],[Disc %]]</f>
        <v>40160</v>
      </c>
      <c r="L3555" s="43">
        <v>0.18</v>
      </c>
      <c r="M3555" s="44">
        <f>(Sales[[#This Row],[Gross Amount]]-Sales[[#This Row],[Disc. Amt.]])*Sales[[#This Row],[GST %]]</f>
        <v>65059.199999999997</v>
      </c>
      <c r="N3555" s="161">
        <f>Sales[[#This Row],[Gross Amount]]-Sales[[#This Row],[Disc. Amt.]]+Sales[[#This Row],[GST Amount]]</f>
        <v>426499.2</v>
      </c>
      <c r="O3555" s="158" t="s">
        <v>3561</v>
      </c>
      <c r="P3555" s="158" t="s">
        <v>3562</v>
      </c>
      <c r="Q3555" s="160">
        <f>IF(Sales[[#This Row],[Status]]="Cancelled",0,Sales[[#This Row],[Qty]])</f>
        <v>8</v>
      </c>
      <c r="R3555" s="161">
        <f>IF(Sales[[#This Row],[Status]]="Cancelled",0,Sales[[#This Row],[Total Amount]])</f>
        <v>426499.2</v>
      </c>
      <c r="S3555" s="162">
        <f>SUM(Sales[Net Amount])</f>
        <v>406839287.73200053</v>
      </c>
    </row>
    <row r="3556" spans="1:19" ht="18.75" x14ac:dyDescent="0.25">
      <c r="A3556" s="163" t="s">
        <v>7219</v>
      </c>
      <c r="B3556" s="164">
        <v>45954</v>
      </c>
      <c r="C3556" s="34" t="s">
        <v>913</v>
      </c>
      <c r="D3556" s="53" t="str">
        <f>VLOOKUP(Sales[[#This Row],[Customer ID]],Customer[#All],2,0)</f>
        <v>Pooja Kumar</v>
      </c>
      <c r="E3556" s="34" t="s">
        <v>449</v>
      </c>
      <c r="F3556" s="34" t="str">
        <f>VLOOKUP(Sales[[#This Row],[Product ID]],Product[#All],2,0)</f>
        <v>Dell Monitor</v>
      </c>
      <c r="G3556" s="53">
        <v>8</v>
      </c>
      <c r="H3556" s="165">
        <f>VLOOKUP(Sales[[#This Row],[Product ID]],Product[#All],7,0)</f>
        <v>19520</v>
      </c>
      <c r="I3556" s="165">
        <f>Sales[[#This Row],[Selling Rate]]*Sales[[#This Row],[Qty]]</f>
        <v>156160</v>
      </c>
      <c r="J3556" s="45">
        <v>0.05</v>
      </c>
      <c r="K3556" s="46">
        <f>Sales[[#This Row],[Gross Amount]]*Sales[[#This Row],[Disc %]]</f>
        <v>7808</v>
      </c>
      <c r="L3556" s="43">
        <v>0.18</v>
      </c>
      <c r="M3556" s="46">
        <f>(Sales[[#This Row],[Gross Amount]]-Sales[[#This Row],[Disc. Amt.]])*Sales[[#This Row],[GST %]]</f>
        <v>26703.360000000001</v>
      </c>
      <c r="N3556" s="161">
        <f>Sales[[#This Row],[Gross Amount]]-Sales[[#This Row],[Disc. Amt.]]+Sales[[#This Row],[GST Amount]]</f>
        <v>175055.35999999999</v>
      </c>
      <c r="O3556" s="34" t="s">
        <v>3561</v>
      </c>
      <c r="P3556" s="34" t="s">
        <v>1040</v>
      </c>
      <c r="Q3556" s="165">
        <f>IF(Sales[[#This Row],[Status]]="Cancelled",0,Sales[[#This Row],[Qty]])</f>
        <v>0</v>
      </c>
      <c r="R3556" s="166">
        <f>IF(Sales[[#This Row],[Status]]="Cancelled",0,Sales[[#This Row],[Total Amount]])</f>
        <v>0</v>
      </c>
      <c r="S3556" s="162">
        <f>SUM(Sales[Net Amount])</f>
        <v>406839287.73200053</v>
      </c>
    </row>
    <row r="3557" spans="1:19" ht="18.75" x14ac:dyDescent="0.25">
      <c r="A3557" s="156" t="s">
        <v>7220</v>
      </c>
      <c r="B3557" s="157">
        <v>45954</v>
      </c>
      <c r="C3557" s="158" t="s">
        <v>702</v>
      </c>
      <c r="D3557" s="159" t="str">
        <f>VLOOKUP(Sales[[#This Row],[Customer ID]],Customer[#All],2,0)</f>
        <v>Amit Patel</v>
      </c>
      <c r="E3557" s="158" t="s">
        <v>382</v>
      </c>
      <c r="F3557" s="158" t="str">
        <f>VLOOKUP(Sales[[#This Row],[Product ID]],Product[#All],2,0)</f>
        <v>Canon Printer</v>
      </c>
      <c r="G3557" s="159">
        <v>8</v>
      </c>
      <c r="H3557" s="160">
        <f>VLOOKUP(Sales[[#This Row],[Product ID]],Product[#All],7,0)</f>
        <v>32930</v>
      </c>
      <c r="I3557" s="160">
        <f>Sales[[#This Row],[Selling Rate]]*Sales[[#This Row],[Qty]]</f>
        <v>263440</v>
      </c>
      <c r="J3557" s="43">
        <v>0.05</v>
      </c>
      <c r="K3557" s="44">
        <f>Sales[[#This Row],[Gross Amount]]*Sales[[#This Row],[Disc %]]</f>
        <v>13172</v>
      </c>
      <c r="L3557" s="43">
        <v>0.18</v>
      </c>
      <c r="M3557" s="44">
        <f>(Sales[[#This Row],[Gross Amount]]-Sales[[#This Row],[Disc. Amt.]])*Sales[[#This Row],[GST %]]</f>
        <v>45048.24</v>
      </c>
      <c r="N3557" s="161">
        <f>Sales[[#This Row],[Gross Amount]]-Sales[[#This Row],[Disc. Amt.]]+Sales[[#This Row],[GST Amount]]</f>
        <v>295316.24</v>
      </c>
      <c r="O3557" s="158" t="s">
        <v>3566</v>
      </c>
      <c r="P3557" s="158" t="s">
        <v>3562</v>
      </c>
      <c r="Q3557" s="160">
        <f>IF(Sales[[#This Row],[Status]]="Cancelled",0,Sales[[#This Row],[Qty]])</f>
        <v>8</v>
      </c>
      <c r="R3557" s="161">
        <f>IF(Sales[[#This Row],[Status]]="Cancelled",0,Sales[[#This Row],[Total Amount]])</f>
        <v>295316.24</v>
      </c>
      <c r="S3557" s="162">
        <f>SUM(Sales[Net Amount])</f>
        <v>406839287.73200053</v>
      </c>
    </row>
    <row r="3558" spans="1:19" ht="18.75" x14ac:dyDescent="0.25">
      <c r="A3558" s="163" t="s">
        <v>7221</v>
      </c>
      <c r="B3558" s="164">
        <v>45954</v>
      </c>
      <c r="C3558" s="34" t="s">
        <v>664</v>
      </c>
      <c r="D3558" s="53" t="str">
        <f>VLOOKUP(Sales[[#This Row],[Customer ID]],Customer[#All],2,0)</f>
        <v>Sahil Singh</v>
      </c>
      <c r="E3558" s="34" t="s">
        <v>358</v>
      </c>
      <c r="F3558" s="34" t="str">
        <f>VLOOKUP(Sales[[#This Row],[Product ID]],Product[#All],2,0)</f>
        <v>TP-link Router</v>
      </c>
      <c r="G3558" s="53">
        <v>6</v>
      </c>
      <c r="H3558" s="165">
        <f>VLOOKUP(Sales[[#This Row],[Product ID]],Product[#All],7,0)</f>
        <v>3970</v>
      </c>
      <c r="I3558" s="165">
        <f>Sales[[#This Row],[Selling Rate]]*Sales[[#This Row],[Qty]]</f>
        <v>23820</v>
      </c>
      <c r="J3558" s="45">
        <v>0.12</v>
      </c>
      <c r="K3558" s="46">
        <f>Sales[[#This Row],[Gross Amount]]*Sales[[#This Row],[Disc %]]</f>
        <v>2858.4</v>
      </c>
      <c r="L3558" s="43">
        <v>0.18</v>
      </c>
      <c r="M3558" s="46">
        <f>(Sales[[#This Row],[Gross Amount]]-Sales[[#This Row],[Disc. Amt.]])*Sales[[#This Row],[GST %]]</f>
        <v>3773.0879999999997</v>
      </c>
      <c r="N3558" s="161">
        <f>Sales[[#This Row],[Gross Amount]]-Sales[[#This Row],[Disc. Amt.]]+Sales[[#This Row],[GST Amount]]</f>
        <v>24734.687999999998</v>
      </c>
      <c r="O3558" s="34" t="s">
        <v>3561</v>
      </c>
      <c r="P3558" s="34" t="s">
        <v>3562</v>
      </c>
      <c r="Q3558" s="165">
        <f>IF(Sales[[#This Row],[Status]]="Cancelled",0,Sales[[#This Row],[Qty]])</f>
        <v>6</v>
      </c>
      <c r="R3558" s="166">
        <f>IF(Sales[[#This Row],[Status]]="Cancelled",0,Sales[[#This Row],[Total Amount]])</f>
        <v>24734.687999999998</v>
      </c>
      <c r="S3558" s="162">
        <f>SUM(Sales[Net Amount])</f>
        <v>406839287.73200053</v>
      </c>
    </row>
    <row r="3559" spans="1:19" ht="18.75" x14ac:dyDescent="0.25">
      <c r="A3559" s="156" t="s">
        <v>7222</v>
      </c>
      <c r="B3559" s="157">
        <v>45955</v>
      </c>
      <c r="C3559" s="158" t="s">
        <v>741</v>
      </c>
      <c r="D3559" s="159" t="str">
        <f>VLOOKUP(Sales[[#This Row],[Customer ID]],Customer[#All],2,0)</f>
        <v>Rahul Patel</v>
      </c>
      <c r="E3559" s="158" t="s">
        <v>399</v>
      </c>
      <c r="F3559" s="158" t="str">
        <f>VLOOKUP(Sales[[#This Row],[Product ID]],Product[#All],2,0)</f>
        <v>Dell Desktop</v>
      </c>
      <c r="G3559" s="159">
        <v>6</v>
      </c>
      <c r="H3559" s="160">
        <f>VLOOKUP(Sales[[#This Row],[Product ID]],Product[#All],7,0)</f>
        <v>43510</v>
      </c>
      <c r="I3559" s="160">
        <f>Sales[[#This Row],[Selling Rate]]*Sales[[#This Row],[Qty]]</f>
        <v>261060</v>
      </c>
      <c r="J3559" s="43">
        <v>0.05</v>
      </c>
      <c r="K3559" s="44">
        <f>Sales[[#This Row],[Gross Amount]]*Sales[[#This Row],[Disc %]]</f>
        <v>13053</v>
      </c>
      <c r="L3559" s="43">
        <v>0.18</v>
      </c>
      <c r="M3559" s="44">
        <f>(Sales[[#This Row],[Gross Amount]]-Sales[[#This Row],[Disc. Amt.]])*Sales[[#This Row],[GST %]]</f>
        <v>44641.259999999995</v>
      </c>
      <c r="N3559" s="161">
        <f>Sales[[#This Row],[Gross Amount]]-Sales[[#This Row],[Disc. Amt.]]+Sales[[#This Row],[GST Amount]]</f>
        <v>292648.26</v>
      </c>
      <c r="O3559" s="158" t="s">
        <v>8876</v>
      </c>
      <c r="P3559" s="158" t="s">
        <v>3562</v>
      </c>
      <c r="Q3559" s="160">
        <f>IF(Sales[[#This Row],[Status]]="Cancelled",0,Sales[[#This Row],[Qty]])</f>
        <v>6</v>
      </c>
      <c r="R3559" s="161">
        <f>IF(Sales[[#This Row],[Status]]="Cancelled",0,Sales[[#This Row],[Total Amount]])</f>
        <v>292648.26</v>
      </c>
      <c r="S3559" s="162">
        <f>SUM(Sales[Net Amount])</f>
        <v>406839287.73200053</v>
      </c>
    </row>
    <row r="3560" spans="1:19" ht="18.75" x14ac:dyDescent="0.25">
      <c r="A3560" s="163" t="s">
        <v>7223</v>
      </c>
      <c r="B3560" s="164">
        <v>45955</v>
      </c>
      <c r="C3560" s="34" t="s">
        <v>810</v>
      </c>
      <c r="D3560" s="53" t="str">
        <f>VLOOKUP(Sales[[#This Row],[Customer ID]],Customer[#All],2,0)</f>
        <v>Rahul Gupta</v>
      </c>
      <c r="E3560" s="34" t="s">
        <v>470</v>
      </c>
      <c r="F3560" s="34" t="str">
        <f>VLOOKUP(Sales[[#This Row],[Product ID]],Product[#All],2,0)</f>
        <v>HP Desktop</v>
      </c>
      <c r="G3560" s="53">
        <v>1</v>
      </c>
      <c r="H3560" s="165">
        <f>VLOOKUP(Sales[[#This Row],[Product ID]],Product[#All],7,0)</f>
        <v>40330</v>
      </c>
      <c r="I3560" s="165">
        <f>Sales[[#This Row],[Selling Rate]]*Sales[[#This Row],[Qty]]</f>
        <v>40330</v>
      </c>
      <c r="J3560" s="45">
        <v>0.1</v>
      </c>
      <c r="K3560" s="46">
        <f>Sales[[#This Row],[Gross Amount]]*Sales[[#This Row],[Disc %]]</f>
        <v>4033</v>
      </c>
      <c r="L3560" s="43">
        <v>0.18</v>
      </c>
      <c r="M3560" s="46">
        <f>(Sales[[#This Row],[Gross Amount]]-Sales[[#This Row],[Disc. Amt.]])*Sales[[#This Row],[GST %]]</f>
        <v>6533.46</v>
      </c>
      <c r="N3560" s="161">
        <f>Sales[[#This Row],[Gross Amount]]-Sales[[#This Row],[Disc. Amt.]]+Sales[[#This Row],[GST Amount]]</f>
        <v>42830.46</v>
      </c>
      <c r="O3560" s="34" t="s">
        <v>3569</v>
      </c>
      <c r="P3560" s="34" t="s">
        <v>3562</v>
      </c>
      <c r="Q3560" s="165">
        <f>IF(Sales[[#This Row],[Status]]="Cancelled",0,Sales[[#This Row],[Qty]])</f>
        <v>1</v>
      </c>
      <c r="R3560" s="166">
        <f>IF(Sales[[#This Row],[Status]]="Cancelled",0,Sales[[#This Row],[Total Amount]])</f>
        <v>42830.46</v>
      </c>
      <c r="S3560" s="162">
        <f>SUM(Sales[Net Amount])</f>
        <v>406839287.73200053</v>
      </c>
    </row>
    <row r="3561" spans="1:19" ht="18.75" x14ac:dyDescent="0.25">
      <c r="A3561" s="156" t="s">
        <v>7224</v>
      </c>
      <c r="B3561" s="157">
        <v>45955</v>
      </c>
      <c r="C3561" s="158" t="s">
        <v>823</v>
      </c>
      <c r="D3561" s="159" t="str">
        <f>VLOOKUP(Sales[[#This Row],[Customer ID]],Customer[#All],2,0)</f>
        <v>Pooja Singh</v>
      </c>
      <c r="E3561" s="158" t="s">
        <v>204</v>
      </c>
      <c r="F3561" s="158" t="str">
        <f>VLOOKUP(Sales[[#This Row],[Product ID]],Product[#All],2,0)</f>
        <v>Lenovo Laptop</v>
      </c>
      <c r="G3561" s="159">
        <v>1</v>
      </c>
      <c r="H3561" s="160">
        <f>VLOOKUP(Sales[[#This Row],[Product ID]],Product[#All],7,0)</f>
        <v>42370</v>
      </c>
      <c r="I3561" s="160">
        <f>Sales[[#This Row],[Selling Rate]]*Sales[[#This Row],[Qty]]</f>
        <v>42370</v>
      </c>
      <c r="J3561" s="43">
        <v>0.05</v>
      </c>
      <c r="K3561" s="44">
        <f>Sales[[#This Row],[Gross Amount]]*Sales[[#This Row],[Disc %]]</f>
        <v>2118.5</v>
      </c>
      <c r="L3561" s="43">
        <v>0.18</v>
      </c>
      <c r="M3561" s="44">
        <f>(Sales[[#This Row],[Gross Amount]]-Sales[[#This Row],[Disc. Amt.]])*Sales[[#This Row],[GST %]]</f>
        <v>7245.2699999999995</v>
      </c>
      <c r="N3561" s="161">
        <f>Sales[[#This Row],[Gross Amount]]-Sales[[#This Row],[Disc. Amt.]]+Sales[[#This Row],[GST Amount]]</f>
        <v>47496.77</v>
      </c>
      <c r="O3561" s="158" t="s">
        <v>3569</v>
      </c>
      <c r="P3561" s="158" t="s">
        <v>3562</v>
      </c>
      <c r="Q3561" s="160">
        <f>IF(Sales[[#This Row],[Status]]="Cancelled",0,Sales[[#This Row],[Qty]])</f>
        <v>1</v>
      </c>
      <c r="R3561" s="161">
        <f>IF(Sales[[#This Row],[Status]]="Cancelled",0,Sales[[#This Row],[Total Amount]])</f>
        <v>47496.77</v>
      </c>
      <c r="S3561" s="162">
        <f>SUM(Sales[Net Amount])</f>
        <v>406839287.73200053</v>
      </c>
    </row>
    <row r="3562" spans="1:19" ht="18.75" x14ac:dyDescent="0.25">
      <c r="A3562" s="163" t="s">
        <v>7225</v>
      </c>
      <c r="B3562" s="164">
        <v>45955</v>
      </c>
      <c r="C3562" s="34" t="s">
        <v>737</v>
      </c>
      <c r="D3562" s="53" t="str">
        <f>VLOOKUP(Sales[[#This Row],[Customer ID]],Customer[#All],2,0)</f>
        <v>Pooja Verma</v>
      </c>
      <c r="E3562" s="34" t="s">
        <v>513</v>
      </c>
      <c r="F3562" s="34" t="str">
        <f>VLOOKUP(Sales[[#This Row],[Product ID]],Product[#All],2,0)</f>
        <v>HP Power Adapter</v>
      </c>
      <c r="G3562" s="53">
        <v>2</v>
      </c>
      <c r="H3562" s="165">
        <f>VLOOKUP(Sales[[#This Row],[Product ID]],Product[#All],7,0)</f>
        <v>2470</v>
      </c>
      <c r="I3562" s="165">
        <f>Sales[[#This Row],[Selling Rate]]*Sales[[#This Row],[Qty]]</f>
        <v>4940</v>
      </c>
      <c r="J3562" s="45">
        <v>0.12</v>
      </c>
      <c r="K3562" s="46">
        <f>Sales[[#This Row],[Gross Amount]]*Sales[[#This Row],[Disc %]]</f>
        <v>592.79999999999995</v>
      </c>
      <c r="L3562" s="43">
        <v>0.18</v>
      </c>
      <c r="M3562" s="46">
        <f>(Sales[[#This Row],[Gross Amount]]-Sales[[#This Row],[Disc. Amt.]])*Sales[[#This Row],[GST %]]</f>
        <v>782.49599999999998</v>
      </c>
      <c r="N3562" s="161">
        <f>Sales[[#This Row],[Gross Amount]]-Sales[[#This Row],[Disc. Amt.]]+Sales[[#This Row],[GST Amount]]</f>
        <v>5129.6959999999999</v>
      </c>
      <c r="O3562" s="34" t="s">
        <v>3561</v>
      </c>
      <c r="P3562" s="34" t="s">
        <v>3562</v>
      </c>
      <c r="Q3562" s="165">
        <f>IF(Sales[[#This Row],[Status]]="Cancelled",0,Sales[[#This Row],[Qty]])</f>
        <v>2</v>
      </c>
      <c r="R3562" s="166">
        <f>IF(Sales[[#This Row],[Status]]="Cancelled",0,Sales[[#This Row],[Total Amount]])</f>
        <v>5129.6959999999999</v>
      </c>
      <c r="S3562" s="162">
        <f>SUM(Sales[Net Amount])</f>
        <v>406839287.73200053</v>
      </c>
    </row>
    <row r="3563" spans="1:19" ht="18.75" x14ac:dyDescent="0.25">
      <c r="A3563" s="156" t="s">
        <v>7226</v>
      </c>
      <c r="B3563" s="157">
        <v>45955</v>
      </c>
      <c r="C3563" s="158" t="s">
        <v>821</v>
      </c>
      <c r="D3563" s="159" t="str">
        <f>VLOOKUP(Sales[[#This Row],[Customer ID]],Customer[#All],2,0)</f>
        <v>Rakesh Sharma</v>
      </c>
      <c r="E3563" s="158" t="s">
        <v>198</v>
      </c>
      <c r="F3563" s="158" t="str">
        <f>VLOOKUP(Sales[[#This Row],[Product ID]],Product[#All],2,0)</f>
        <v>PortronicsLaptopStand</v>
      </c>
      <c r="G3563" s="159">
        <v>7</v>
      </c>
      <c r="H3563" s="160">
        <f>VLOOKUP(Sales[[#This Row],[Product ID]],Product[#All],7,0)</f>
        <v>2240</v>
      </c>
      <c r="I3563" s="160">
        <f>Sales[[#This Row],[Selling Rate]]*Sales[[#This Row],[Qty]]</f>
        <v>15680</v>
      </c>
      <c r="J3563" s="43">
        <v>0</v>
      </c>
      <c r="K3563" s="44">
        <f>Sales[[#This Row],[Gross Amount]]*Sales[[#This Row],[Disc %]]</f>
        <v>0</v>
      </c>
      <c r="L3563" s="43">
        <v>0.18</v>
      </c>
      <c r="M3563" s="44">
        <f>(Sales[[#This Row],[Gross Amount]]-Sales[[#This Row],[Disc. Amt.]])*Sales[[#This Row],[GST %]]</f>
        <v>2822.4</v>
      </c>
      <c r="N3563" s="161">
        <f>Sales[[#This Row],[Gross Amount]]-Sales[[#This Row],[Disc. Amt.]]+Sales[[#This Row],[GST Amount]]</f>
        <v>18502.400000000001</v>
      </c>
      <c r="O3563" s="158" t="s">
        <v>8876</v>
      </c>
      <c r="P3563" s="158" t="s">
        <v>3562</v>
      </c>
      <c r="Q3563" s="160">
        <f>IF(Sales[[#This Row],[Status]]="Cancelled",0,Sales[[#This Row],[Qty]])</f>
        <v>7</v>
      </c>
      <c r="R3563" s="161">
        <f>IF(Sales[[#This Row],[Status]]="Cancelled",0,Sales[[#This Row],[Total Amount]])</f>
        <v>18502.400000000001</v>
      </c>
      <c r="S3563" s="162">
        <f>SUM(Sales[Net Amount])</f>
        <v>406839287.73200053</v>
      </c>
    </row>
    <row r="3564" spans="1:19" ht="18.75" x14ac:dyDescent="0.25">
      <c r="A3564" s="163" t="s">
        <v>7227</v>
      </c>
      <c r="B3564" s="164">
        <v>45955</v>
      </c>
      <c r="C3564" s="34" t="s">
        <v>844</v>
      </c>
      <c r="D3564" s="53" t="str">
        <f>VLOOKUP(Sales[[#This Row],[Customer ID]],Customer[#All],2,0)</f>
        <v>Rahul Sharma</v>
      </c>
      <c r="E3564" s="34" t="s">
        <v>424</v>
      </c>
      <c r="F3564" s="34" t="str">
        <f>VLOOKUP(Sales[[#This Row],[Product ID]],Product[#All],2,0)</f>
        <v>TP-link Wi-Fi Adapter</v>
      </c>
      <c r="G3564" s="53">
        <v>2</v>
      </c>
      <c r="H3564" s="165">
        <f>VLOOKUP(Sales[[#This Row],[Product ID]],Product[#All],7,0)</f>
        <v>690</v>
      </c>
      <c r="I3564" s="165">
        <f>Sales[[#This Row],[Selling Rate]]*Sales[[#This Row],[Qty]]</f>
        <v>1380</v>
      </c>
      <c r="J3564" s="45">
        <v>0.05</v>
      </c>
      <c r="K3564" s="46">
        <f>Sales[[#This Row],[Gross Amount]]*Sales[[#This Row],[Disc %]]</f>
        <v>69</v>
      </c>
      <c r="L3564" s="43">
        <v>0.18</v>
      </c>
      <c r="M3564" s="46">
        <f>(Sales[[#This Row],[Gross Amount]]-Sales[[#This Row],[Disc. Amt.]])*Sales[[#This Row],[GST %]]</f>
        <v>235.98</v>
      </c>
      <c r="N3564" s="161">
        <f>Sales[[#This Row],[Gross Amount]]-Sales[[#This Row],[Disc. Amt.]]+Sales[[#This Row],[GST Amount]]</f>
        <v>1546.98</v>
      </c>
      <c r="O3564" s="34" t="s">
        <v>3569</v>
      </c>
      <c r="P3564" s="34" t="s">
        <v>3562</v>
      </c>
      <c r="Q3564" s="165">
        <f>IF(Sales[[#This Row],[Status]]="Cancelled",0,Sales[[#This Row],[Qty]])</f>
        <v>2</v>
      </c>
      <c r="R3564" s="166">
        <f>IF(Sales[[#This Row],[Status]]="Cancelled",0,Sales[[#This Row],[Total Amount]])</f>
        <v>1546.98</v>
      </c>
      <c r="S3564" s="162">
        <f>SUM(Sales[Net Amount])</f>
        <v>406839287.73200053</v>
      </c>
    </row>
    <row r="3565" spans="1:19" ht="18.75" x14ac:dyDescent="0.25">
      <c r="A3565" s="156" t="s">
        <v>7228</v>
      </c>
      <c r="B3565" s="157">
        <v>45955</v>
      </c>
      <c r="C3565" s="158" t="s">
        <v>735</v>
      </c>
      <c r="D3565" s="159" t="str">
        <f>VLOOKUP(Sales[[#This Row],[Customer ID]],Customer[#All],2,0)</f>
        <v>Amit Singh</v>
      </c>
      <c r="E3565" s="158" t="s">
        <v>372</v>
      </c>
      <c r="F3565" s="158" t="str">
        <f>VLOOKUP(Sales[[#This Row],[Product ID]],Product[#All],2,0)</f>
        <v>Sandisk Pen Drive</v>
      </c>
      <c r="G3565" s="159">
        <v>4</v>
      </c>
      <c r="H3565" s="160">
        <f>VLOOKUP(Sales[[#This Row],[Product ID]],Product[#All],7,0)</f>
        <v>580</v>
      </c>
      <c r="I3565" s="160">
        <f>Sales[[#This Row],[Selling Rate]]*Sales[[#This Row],[Qty]]</f>
        <v>2320</v>
      </c>
      <c r="J3565" s="43">
        <v>0.05</v>
      </c>
      <c r="K3565" s="44">
        <f>Sales[[#This Row],[Gross Amount]]*Sales[[#This Row],[Disc %]]</f>
        <v>116</v>
      </c>
      <c r="L3565" s="43">
        <v>0.18</v>
      </c>
      <c r="M3565" s="44">
        <f>(Sales[[#This Row],[Gross Amount]]-Sales[[#This Row],[Disc. Amt.]])*Sales[[#This Row],[GST %]]</f>
        <v>396.71999999999997</v>
      </c>
      <c r="N3565" s="161">
        <f>Sales[[#This Row],[Gross Amount]]-Sales[[#This Row],[Disc. Amt.]]+Sales[[#This Row],[GST Amount]]</f>
        <v>2600.7199999999998</v>
      </c>
      <c r="O3565" s="158" t="s">
        <v>8876</v>
      </c>
      <c r="P3565" s="158" t="s">
        <v>3562</v>
      </c>
      <c r="Q3565" s="160">
        <f>IF(Sales[[#This Row],[Status]]="Cancelled",0,Sales[[#This Row],[Qty]])</f>
        <v>4</v>
      </c>
      <c r="R3565" s="161">
        <f>IF(Sales[[#This Row],[Status]]="Cancelled",0,Sales[[#This Row],[Total Amount]])</f>
        <v>2600.7199999999998</v>
      </c>
      <c r="S3565" s="162">
        <f>SUM(Sales[Net Amount])</f>
        <v>406839287.73200053</v>
      </c>
    </row>
    <row r="3566" spans="1:19" ht="18.75" x14ac:dyDescent="0.25">
      <c r="A3566" s="163" t="s">
        <v>7229</v>
      </c>
      <c r="B3566" s="164">
        <v>45955</v>
      </c>
      <c r="C3566" s="34" t="s">
        <v>796</v>
      </c>
      <c r="D3566" s="53" t="str">
        <f>VLOOKUP(Sales[[#This Row],[Customer ID]],Customer[#All],2,0)</f>
        <v>Rahul Verma</v>
      </c>
      <c r="E3566" s="34" t="s">
        <v>194</v>
      </c>
      <c r="F3566" s="34" t="str">
        <f>VLOOKUP(Sales[[#This Row],[Product ID]],Product[#All],2,0)</f>
        <v>Crucial Ssd</v>
      </c>
      <c r="G3566" s="53">
        <v>2</v>
      </c>
      <c r="H3566" s="165">
        <f>VLOOKUP(Sales[[#This Row],[Product ID]],Product[#All],7,0)</f>
        <v>6290</v>
      </c>
      <c r="I3566" s="165">
        <f>Sales[[#This Row],[Selling Rate]]*Sales[[#This Row],[Qty]]</f>
        <v>12580</v>
      </c>
      <c r="J3566" s="45">
        <v>0.12</v>
      </c>
      <c r="K3566" s="46">
        <f>Sales[[#This Row],[Gross Amount]]*Sales[[#This Row],[Disc %]]</f>
        <v>1509.6</v>
      </c>
      <c r="L3566" s="43">
        <v>0.18</v>
      </c>
      <c r="M3566" s="46">
        <f>(Sales[[#This Row],[Gross Amount]]-Sales[[#This Row],[Disc. Amt.]])*Sales[[#This Row],[GST %]]</f>
        <v>1992.6719999999998</v>
      </c>
      <c r="N3566" s="161">
        <f>Sales[[#This Row],[Gross Amount]]-Sales[[#This Row],[Disc. Amt.]]+Sales[[#This Row],[GST Amount]]</f>
        <v>13063.072</v>
      </c>
      <c r="O3566" s="34" t="s">
        <v>8876</v>
      </c>
      <c r="P3566" s="34" t="s">
        <v>3562</v>
      </c>
      <c r="Q3566" s="165">
        <f>IF(Sales[[#This Row],[Status]]="Cancelled",0,Sales[[#This Row],[Qty]])</f>
        <v>2</v>
      </c>
      <c r="R3566" s="166">
        <f>IF(Sales[[#This Row],[Status]]="Cancelled",0,Sales[[#This Row],[Total Amount]])</f>
        <v>13063.072</v>
      </c>
      <c r="S3566" s="162">
        <f>SUM(Sales[Net Amount])</f>
        <v>406839287.73200053</v>
      </c>
    </row>
    <row r="3567" spans="1:19" ht="18.75" x14ac:dyDescent="0.25">
      <c r="A3567" s="156" t="s">
        <v>7230</v>
      </c>
      <c r="B3567" s="157">
        <v>45955</v>
      </c>
      <c r="C3567" s="158" t="s">
        <v>795</v>
      </c>
      <c r="D3567" s="159" t="str">
        <f>VLOOKUP(Sales[[#This Row],[Customer ID]],Customer[#All],2,0)</f>
        <v>Sahil Gupta</v>
      </c>
      <c r="E3567" s="158" t="s">
        <v>274</v>
      </c>
      <c r="F3567" s="158" t="str">
        <f>VLOOKUP(Sales[[#This Row],[Product ID]],Product[#All],2,0)</f>
        <v>Dell Desktop</v>
      </c>
      <c r="G3567" s="159">
        <v>4</v>
      </c>
      <c r="H3567" s="160">
        <f>VLOOKUP(Sales[[#This Row],[Product ID]],Product[#All],7,0)</f>
        <v>54540</v>
      </c>
      <c r="I3567" s="160">
        <f>Sales[[#This Row],[Selling Rate]]*Sales[[#This Row],[Qty]]</f>
        <v>218160</v>
      </c>
      <c r="J3567" s="43">
        <v>0</v>
      </c>
      <c r="K3567" s="44">
        <f>Sales[[#This Row],[Gross Amount]]*Sales[[#This Row],[Disc %]]</f>
        <v>0</v>
      </c>
      <c r="L3567" s="43">
        <v>0.18</v>
      </c>
      <c r="M3567" s="44">
        <f>(Sales[[#This Row],[Gross Amount]]-Sales[[#This Row],[Disc. Amt.]])*Sales[[#This Row],[GST %]]</f>
        <v>39268.799999999996</v>
      </c>
      <c r="N3567" s="161">
        <f>Sales[[#This Row],[Gross Amount]]-Sales[[#This Row],[Disc. Amt.]]+Sales[[#This Row],[GST Amount]]</f>
        <v>257428.8</v>
      </c>
      <c r="O3567" s="158" t="s">
        <v>3566</v>
      </c>
      <c r="P3567" s="158" t="s">
        <v>3562</v>
      </c>
      <c r="Q3567" s="160">
        <f>IF(Sales[[#This Row],[Status]]="Cancelled",0,Sales[[#This Row],[Qty]])</f>
        <v>4</v>
      </c>
      <c r="R3567" s="161">
        <f>IF(Sales[[#This Row],[Status]]="Cancelled",0,Sales[[#This Row],[Total Amount]])</f>
        <v>257428.8</v>
      </c>
      <c r="S3567" s="162">
        <f>SUM(Sales[Net Amount])</f>
        <v>406839287.73200053</v>
      </c>
    </row>
    <row r="3568" spans="1:19" ht="18.75" x14ac:dyDescent="0.25">
      <c r="A3568" s="163" t="s">
        <v>7231</v>
      </c>
      <c r="B3568" s="164">
        <v>45955</v>
      </c>
      <c r="C3568" s="34" t="s">
        <v>830</v>
      </c>
      <c r="D3568" s="53" t="str">
        <f>VLOOKUP(Sales[[#This Row],[Customer ID]],Customer[#All],2,0)</f>
        <v>Rakesh Singh</v>
      </c>
      <c r="E3568" s="34" t="s">
        <v>464</v>
      </c>
      <c r="F3568" s="34" t="str">
        <f>VLOOKUP(Sales[[#This Row],[Product ID]],Product[#All],2,0)</f>
        <v>Lg Monitor</v>
      </c>
      <c r="G3568" s="53">
        <v>5</v>
      </c>
      <c r="H3568" s="165">
        <f>VLOOKUP(Sales[[#This Row],[Product ID]],Product[#All],7,0)</f>
        <v>27140</v>
      </c>
      <c r="I3568" s="165">
        <f>Sales[[#This Row],[Selling Rate]]*Sales[[#This Row],[Qty]]</f>
        <v>135700</v>
      </c>
      <c r="J3568" s="45">
        <v>0</v>
      </c>
      <c r="K3568" s="46">
        <f>Sales[[#This Row],[Gross Amount]]*Sales[[#This Row],[Disc %]]</f>
        <v>0</v>
      </c>
      <c r="L3568" s="43">
        <v>0.18</v>
      </c>
      <c r="M3568" s="46">
        <f>(Sales[[#This Row],[Gross Amount]]-Sales[[#This Row],[Disc. Amt.]])*Sales[[#This Row],[GST %]]</f>
        <v>24426</v>
      </c>
      <c r="N3568" s="161">
        <f>Sales[[#This Row],[Gross Amount]]-Sales[[#This Row],[Disc. Amt.]]+Sales[[#This Row],[GST Amount]]</f>
        <v>160126</v>
      </c>
      <c r="O3568" s="34" t="s">
        <v>3569</v>
      </c>
      <c r="P3568" s="34" t="s">
        <v>3562</v>
      </c>
      <c r="Q3568" s="165">
        <f>IF(Sales[[#This Row],[Status]]="Cancelled",0,Sales[[#This Row],[Qty]])</f>
        <v>5</v>
      </c>
      <c r="R3568" s="166">
        <f>IF(Sales[[#This Row],[Status]]="Cancelled",0,Sales[[#This Row],[Total Amount]])</f>
        <v>160126</v>
      </c>
      <c r="S3568" s="162">
        <f>SUM(Sales[Net Amount])</f>
        <v>406839287.73200053</v>
      </c>
    </row>
    <row r="3569" spans="1:19" ht="18.75" x14ac:dyDescent="0.25">
      <c r="A3569" s="156" t="s">
        <v>7232</v>
      </c>
      <c r="B3569" s="157">
        <v>45955</v>
      </c>
      <c r="C3569" s="158" t="s">
        <v>833</v>
      </c>
      <c r="D3569" s="159" t="str">
        <f>VLOOKUP(Sales[[#This Row],[Customer ID]],Customer[#All],2,0)</f>
        <v>Sunita Kumar</v>
      </c>
      <c r="E3569" s="158" t="s">
        <v>327</v>
      </c>
      <c r="F3569" s="158" t="str">
        <f>VLOOKUP(Sales[[#This Row],[Product ID]],Product[#All],2,0)</f>
        <v>Samsung Ssd</v>
      </c>
      <c r="G3569" s="159">
        <v>4</v>
      </c>
      <c r="H3569" s="160">
        <f>VLOOKUP(Sales[[#This Row],[Product ID]],Product[#All],7,0)</f>
        <v>16390</v>
      </c>
      <c r="I3569" s="160">
        <f>Sales[[#This Row],[Selling Rate]]*Sales[[#This Row],[Qty]]</f>
        <v>65560</v>
      </c>
      <c r="J3569" s="43">
        <v>0</v>
      </c>
      <c r="K3569" s="44">
        <f>Sales[[#This Row],[Gross Amount]]*Sales[[#This Row],[Disc %]]</f>
        <v>0</v>
      </c>
      <c r="L3569" s="43">
        <v>0.18</v>
      </c>
      <c r="M3569" s="44">
        <f>(Sales[[#This Row],[Gross Amount]]-Sales[[#This Row],[Disc. Amt.]])*Sales[[#This Row],[GST %]]</f>
        <v>11800.8</v>
      </c>
      <c r="N3569" s="161">
        <f>Sales[[#This Row],[Gross Amount]]-Sales[[#This Row],[Disc. Amt.]]+Sales[[#This Row],[GST Amount]]</f>
        <v>77360.800000000003</v>
      </c>
      <c r="O3569" s="158" t="s">
        <v>3569</v>
      </c>
      <c r="P3569" s="158" t="s">
        <v>3562</v>
      </c>
      <c r="Q3569" s="160">
        <f>IF(Sales[[#This Row],[Status]]="Cancelled",0,Sales[[#This Row],[Qty]])</f>
        <v>4</v>
      </c>
      <c r="R3569" s="161">
        <f>IF(Sales[[#This Row],[Status]]="Cancelled",0,Sales[[#This Row],[Total Amount]])</f>
        <v>77360.800000000003</v>
      </c>
      <c r="S3569" s="162">
        <f>SUM(Sales[Net Amount])</f>
        <v>406839287.73200053</v>
      </c>
    </row>
    <row r="3570" spans="1:19" ht="18.75" x14ac:dyDescent="0.25">
      <c r="A3570" s="163" t="s">
        <v>7233</v>
      </c>
      <c r="B3570" s="164">
        <v>45955</v>
      </c>
      <c r="C3570" s="34" t="s">
        <v>808</v>
      </c>
      <c r="D3570" s="53" t="str">
        <f>VLOOKUP(Sales[[#This Row],[Customer ID]],Customer[#All],2,0)</f>
        <v>Rahul Singh</v>
      </c>
      <c r="E3570" s="34" t="s">
        <v>382</v>
      </c>
      <c r="F3570" s="34" t="str">
        <f>VLOOKUP(Sales[[#This Row],[Product ID]],Product[#All],2,0)</f>
        <v>Canon Printer</v>
      </c>
      <c r="G3570" s="53">
        <v>8</v>
      </c>
      <c r="H3570" s="165">
        <f>VLOOKUP(Sales[[#This Row],[Product ID]],Product[#All],7,0)</f>
        <v>32930</v>
      </c>
      <c r="I3570" s="165">
        <f>Sales[[#This Row],[Selling Rate]]*Sales[[#This Row],[Qty]]</f>
        <v>263440</v>
      </c>
      <c r="J3570" s="45">
        <v>0.05</v>
      </c>
      <c r="K3570" s="46">
        <f>Sales[[#This Row],[Gross Amount]]*Sales[[#This Row],[Disc %]]</f>
        <v>13172</v>
      </c>
      <c r="L3570" s="43">
        <v>0.18</v>
      </c>
      <c r="M3570" s="46">
        <f>(Sales[[#This Row],[Gross Amount]]-Sales[[#This Row],[Disc. Amt.]])*Sales[[#This Row],[GST %]]</f>
        <v>45048.24</v>
      </c>
      <c r="N3570" s="161">
        <f>Sales[[#This Row],[Gross Amount]]-Sales[[#This Row],[Disc. Amt.]]+Sales[[#This Row],[GST Amount]]</f>
        <v>295316.24</v>
      </c>
      <c r="O3570" s="34" t="s">
        <v>3561</v>
      </c>
      <c r="P3570" s="34" t="s">
        <v>3562</v>
      </c>
      <c r="Q3570" s="165">
        <f>IF(Sales[[#This Row],[Status]]="Cancelled",0,Sales[[#This Row],[Qty]])</f>
        <v>8</v>
      </c>
      <c r="R3570" s="166">
        <f>IF(Sales[[#This Row],[Status]]="Cancelled",0,Sales[[#This Row],[Total Amount]])</f>
        <v>295316.24</v>
      </c>
      <c r="S3570" s="162">
        <f>SUM(Sales[Net Amount])</f>
        <v>406839287.73200053</v>
      </c>
    </row>
    <row r="3571" spans="1:19" ht="18.75" x14ac:dyDescent="0.25">
      <c r="A3571" s="156" t="s">
        <v>7234</v>
      </c>
      <c r="B3571" s="157">
        <v>45955</v>
      </c>
      <c r="C3571" s="158" t="s">
        <v>895</v>
      </c>
      <c r="D3571" s="159" t="str">
        <f>VLOOKUP(Sales[[#This Row],[Customer ID]],Customer[#All],2,0)</f>
        <v>Pooja Patel</v>
      </c>
      <c r="E3571" s="158" t="s">
        <v>516</v>
      </c>
      <c r="F3571" s="158" t="str">
        <f>VLOOKUP(Sales[[#This Row],[Product ID]],Product[#All],2,0)</f>
        <v>Boat Headset</v>
      </c>
      <c r="G3571" s="159">
        <v>2</v>
      </c>
      <c r="H3571" s="160">
        <f>VLOOKUP(Sales[[#This Row],[Product ID]],Product[#All],7,0)</f>
        <v>2690</v>
      </c>
      <c r="I3571" s="160">
        <f>Sales[[#This Row],[Selling Rate]]*Sales[[#This Row],[Qty]]</f>
        <v>5380</v>
      </c>
      <c r="J3571" s="43">
        <v>0.05</v>
      </c>
      <c r="K3571" s="44">
        <f>Sales[[#This Row],[Gross Amount]]*Sales[[#This Row],[Disc %]]</f>
        <v>269</v>
      </c>
      <c r="L3571" s="43">
        <v>0.18</v>
      </c>
      <c r="M3571" s="44">
        <f>(Sales[[#This Row],[Gross Amount]]-Sales[[#This Row],[Disc. Amt.]])*Sales[[#This Row],[GST %]]</f>
        <v>919.98</v>
      </c>
      <c r="N3571" s="161">
        <f>Sales[[#This Row],[Gross Amount]]-Sales[[#This Row],[Disc. Amt.]]+Sales[[#This Row],[GST Amount]]</f>
        <v>6030.98</v>
      </c>
      <c r="O3571" s="158" t="s">
        <v>3561</v>
      </c>
      <c r="P3571" s="158" t="s">
        <v>3562</v>
      </c>
      <c r="Q3571" s="160">
        <f>IF(Sales[[#This Row],[Status]]="Cancelled",0,Sales[[#This Row],[Qty]])</f>
        <v>2</v>
      </c>
      <c r="R3571" s="161">
        <f>IF(Sales[[#This Row],[Status]]="Cancelled",0,Sales[[#This Row],[Total Amount]])</f>
        <v>6030.98</v>
      </c>
      <c r="S3571" s="162">
        <f>SUM(Sales[Net Amount])</f>
        <v>406839287.73200053</v>
      </c>
    </row>
    <row r="3572" spans="1:19" ht="18.75" x14ac:dyDescent="0.25">
      <c r="A3572" s="163" t="s">
        <v>7235</v>
      </c>
      <c r="B3572" s="164">
        <v>45955</v>
      </c>
      <c r="C3572" s="34" t="s">
        <v>751</v>
      </c>
      <c r="D3572" s="53" t="str">
        <f>VLOOKUP(Sales[[#This Row],[Customer ID]],Customer[#All],2,0)</f>
        <v>Ankit Verma</v>
      </c>
      <c r="E3572" s="34" t="s">
        <v>287</v>
      </c>
      <c r="F3572" s="34" t="str">
        <f>VLOOKUP(Sales[[#This Row],[Product ID]],Product[#All],2,0)</f>
        <v>HP Power Adapter</v>
      </c>
      <c r="G3572" s="53">
        <v>4</v>
      </c>
      <c r="H3572" s="165">
        <f>VLOOKUP(Sales[[#This Row],[Product ID]],Product[#All],7,0)</f>
        <v>2270</v>
      </c>
      <c r="I3572" s="165">
        <f>Sales[[#This Row],[Selling Rate]]*Sales[[#This Row],[Qty]]</f>
        <v>9080</v>
      </c>
      <c r="J3572" s="45">
        <v>0.15</v>
      </c>
      <c r="K3572" s="46">
        <f>Sales[[#This Row],[Gross Amount]]*Sales[[#This Row],[Disc %]]</f>
        <v>1362</v>
      </c>
      <c r="L3572" s="43">
        <v>0.18</v>
      </c>
      <c r="M3572" s="46">
        <f>(Sales[[#This Row],[Gross Amount]]-Sales[[#This Row],[Disc. Amt.]])*Sales[[#This Row],[GST %]]</f>
        <v>1389.24</v>
      </c>
      <c r="N3572" s="161">
        <f>Sales[[#This Row],[Gross Amount]]-Sales[[#This Row],[Disc. Amt.]]+Sales[[#This Row],[GST Amount]]</f>
        <v>9107.24</v>
      </c>
      <c r="O3572" s="34" t="s">
        <v>3561</v>
      </c>
      <c r="P3572" s="34" t="s">
        <v>3562</v>
      </c>
      <c r="Q3572" s="165">
        <f>IF(Sales[[#This Row],[Status]]="Cancelled",0,Sales[[#This Row],[Qty]])</f>
        <v>4</v>
      </c>
      <c r="R3572" s="166">
        <f>IF(Sales[[#This Row],[Status]]="Cancelled",0,Sales[[#This Row],[Total Amount]])</f>
        <v>9107.24</v>
      </c>
      <c r="S3572" s="162">
        <f>SUM(Sales[Net Amount])</f>
        <v>406839287.73200053</v>
      </c>
    </row>
    <row r="3573" spans="1:19" ht="18.75" x14ac:dyDescent="0.25">
      <c r="A3573" s="156" t="s">
        <v>7236</v>
      </c>
      <c r="B3573" s="157">
        <v>45955</v>
      </c>
      <c r="C3573" s="158" t="s">
        <v>5456</v>
      </c>
      <c r="D3573" s="159" t="str">
        <f>VLOOKUP(Sales[[#This Row],[Customer ID]],Customer[#All],2,0)</f>
        <v>Neha Verma</v>
      </c>
      <c r="E3573" s="158" t="s">
        <v>168</v>
      </c>
      <c r="F3573" s="158" t="str">
        <f>VLOOKUP(Sales[[#This Row],[Product ID]],Product[#All],2,0)</f>
        <v>TP-link Wi-Fi Adapter</v>
      </c>
      <c r="G3573" s="159">
        <v>7</v>
      </c>
      <c r="H3573" s="160">
        <f>VLOOKUP(Sales[[#This Row],[Product ID]],Product[#All],7,0)</f>
        <v>1460</v>
      </c>
      <c r="I3573" s="160">
        <f>Sales[[#This Row],[Selling Rate]]*Sales[[#This Row],[Qty]]</f>
        <v>10220</v>
      </c>
      <c r="J3573" s="43">
        <v>0.1</v>
      </c>
      <c r="K3573" s="44">
        <f>Sales[[#This Row],[Gross Amount]]*Sales[[#This Row],[Disc %]]</f>
        <v>1022</v>
      </c>
      <c r="L3573" s="43">
        <v>0.18</v>
      </c>
      <c r="M3573" s="44">
        <f>(Sales[[#This Row],[Gross Amount]]-Sales[[#This Row],[Disc. Amt.]])*Sales[[#This Row],[GST %]]</f>
        <v>1655.6399999999999</v>
      </c>
      <c r="N3573" s="161">
        <f>Sales[[#This Row],[Gross Amount]]-Sales[[#This Row],[Disc. Amt.]]+Sales[[#This Row],[GST Amount]]</f>
        <v>10853.64</v>
      </c>
      <c r="O3573" s="158" t="s">
        <v>3561</v>
      </c>
      <c r="P3573" s="158" t="s">
        <v>3562</v>
      </c>
      <c r="Q3573" s="160">
        <f>IF(Sales[[#This Row],[Status]]="Cancelled",0,Sales[[#This Row],[Qty]])</f>
        <v>7</v>
      </c>
      <c r="R3573" s="161">
        <f>IF(Sales[[#This Row],[Status]]="Cancelled",0,Sales[[#This Row],[Total Amount]])</f>
        <v>10853.64</v>
      </c>
      <c r="S3573" s="162">
        <f>SUM(Sales[Net Amount])</f>
        <v>406839287.73200053</v>
      </c>
    </row>
    <row r="3574" spans="1:19" ht="18.75" x14ac:dyDescent="0.25">
      <c r="A3574" s="163" t="s">
        <v>7237</v>
      </c>
      <c r="B3574" s="164">
        <v>45955</v>
      </c>
      <c r="C3574" s="34" t="s">
        <v>813</v>
      </c>
      <c r="D3574" s="53" t="str">
        <f>VLOOKUP(Sales[[#This Row],[Customer ID]],Customer[#All],2,0)</f>
        <v>Neha Verma</v>
      </c>
      <c r="E3574" s="34" t="s">
        <v>292</v>
      </c>
      <c r="F3574" s="34" t="str">
        <f>VLOOKUP(Sales[[#This Row],[Product ID]],Product[#All],2,0)</f>
        <v>Microtek UPS</v>
      </c>
      <c r="G3574" s="53">
        <v>8</v>
      </c>
      <c r="H3574" s="165">
        <f>VLOOKUP(Sales[[#This Row],[Product ID]],Product[#All],7,0)</f>
        <v>6260</v>
      </c>
      <c r="I3574" s="165">
        <f>Sales[[#This Row],[Selling Rate]]*Sales[[#This Row],[Qty]]</f>
        <v>50080</v>
      </c>
      <c r="J3574" s="45">
        <v>0.12</v>
      </c>
      <c r="K3574" s="46">
        <f>Sales[[#This Row],[Gross Amount]]*Sales[[#This Row],[Disc %]]</f>
        <v>6009.5999999999995</v>
      </c>
      <c r="L3574" s="43">
        <v>0.18</v>
      </c>
      <c r="M3574" s="46">
        <f>(Sales[[#This Row],[Gross Amount]]-Sales[[#This Row],[Disc. Amt.]])*Sales[[#This Row],[GST %]]</f>
        <v>7932.6719999999996</v>
      </c>
      <c r="N3574" s="161">
        <f>Sales[[#This Row],[Gross Amount]]-Sales[[#This Row],[Disc. Amt.]]+Sales[[#This Row],[GST Amount]]</f>
        <v>52003.072</v>
      </c>
      <c r="O3574" s="34" t="s">
        <v>3566</v>
      </c>
      <c r="P3574" s="34" t="s">
        <v>3562</v>
      </c>
      <c r="Q3574" s="165">
        <f>IF(Sales[[#This Row],[Status]]="Cancelled",0,Sales[[#This Row],[Qty]])</f>
        <v>8</v>
      </c>
      <c r="R3574" s="166">
        <f>IF(Sales[[#This Row],[Status]]="Cancelled",0,Sales[[#This Row],[Total Amount]])</f>
        <v>52003.072</v>
      </c>
      <c r="S3574" s="162">
        <f>SUM(Sales[Net Amount])</f>
        <v>406839287.73200053</v>
      </c>
    </row>
    <row r="3575" spans="1:19" ht="18.75" x14ac:dyDescent="0.25">
      <c r="A3575" s="156" t="s">
        <v>7238</v>
      </c>
      <c r="B3575" s="157">
        <v>45955</v>
      </c>
      <c r="C3575" s="158" t="s">
        <v>865</v>
      </c>
      <c r="D3575" s="159" t="str">
        <f>VLOOKUP(Sales[[#This Row],[Customer ID]],Customer[#All],2,0)</f>
        <v>Sunita Gupta</v>
      </c>
      <c r="E3575" s="158" t="s">
        <v>190</v>
      </c>
      <c r="F3575" s="158" t="str">
        <f>VLOOKUP(Sales[[#This Row],[Product ID]],Product[#All],2,0)</f>
        <v>Samsung Monitor</v>
      </c>
      <c r="G3575" s="159">
        <v>8</v>
      </c>
      <c r="H3575" s="160">
        <f>VLOOKUP(Sales[[#This Row],[Product ID]],Product[#All],7,0)</f>
        <v>18190</v>
      </c>
      <c r="I3575" s="160">
        <f>Sales[[#This Row],[Selling Rate]]*Sales[[#This Row],[Qty]]</f>
        <v>145520</v>
      </c>
      <c r="J3575" s="43">
        <v>0.05</v>
      </c>
      <c r="K3575" s="44">
        <f>Sales[[#This Row],[Gross Amount]]*Sales[[#This Row],[Disc %]]</f>
        <v>7276</v>
      </c>
      <c r="L3575" s="43">
        <v>0.18</v>
      </c>
      <c r="M3575" s="44">
        <f>(Sales[[#This Row],[Gross Amount]]-Sales[[#This Row],[Disc. Amt.]])*Sales[[#This Row],[GST %]]</f>
        <v>24883.919999999998</v>
      </c>
      <c r="N3575" s="161">
        <f>Sales[[#This Row],[Gross Amount]]-Sales[[#This Row],[Disc. Amt.]]+Sales[[#This Row],[GST Amount]]</f>
        <v>163127.91999999998</v>
      </c>
      <c r="O3575" s="158" t="s">
        <v>8876</v>
      </c>
      <c r="P3575" s="158" t="s">
        <v>3562</v>
      </c>
      <c r="Q3575" s="160">
        <f>IF(Sales[[#This Row],[Status]]="Cancelled",0,Sales[[#This Row],[Qty]])</f>
        <v>8</v>
      </c>
      <c r="R3575" s="161">
        <f>IF(Sales[[#This Row],[Status]]="Cancelled",0,Sales[[#This Row],[Total Amount]])</f>
        <v>163127.91999999998</v>
      </c>
      <c r="S3575" s="162">
        <f>SUM(Sales[Net Amount])</f>
        <v>406839287.73200053</v>
      </c>
    </row>
    <row r="3576" spans="1:19" ht="18.75" x14ac:dyDescent="0.25">
      <c r="A3576" s="163" t="s">
        <v>7239</v>
      </c>
      <c r="B3576" s="164">
        <v>45955</v>
      </c>
      <c r="C3576" s="34" t="s">
        <v>877</v>
      </c>
      <c r="D3576" s="53" t="str">
        <f>VLOOKUP(Sales[[#This Row],[Customer ID]],Customer[#All],2,0)</f>
        <v>Sahil Patel</v>
      </c>
      <c r="E3576" s="34" t="s">
        <v>460</v>
      </c>
      <c r="F3576" s="34" t="str">
        <f>VLOOKUP(Sales[[#This Row],[Product ID]],Product[#All],2,0)</f>
        <v>Logitech Keyboard</v>
      </c>
      <c r="G3576" s="53">
        <v>7</v>
      </c>
      <c r="H3576" s="165">
        <f>VLOOKUP(Sales[[#This Row],[Product ID]],Product[#All],7,0)</f>
        <v>3050</v>
      </c>
      <c r="I3576" s="165">
        <f>Sales[[#This Row],[Selling Rate]]*Sales[[#This Row],[Qty]]</f>
        <v>21350</v>
      </c>
      <c r="J3576" s="45">
        <v>0.12</v>
      </c>
      <c r="K3576" s="46">
        <f>Sales[[#This Row],[Gross Amount]]*Sales[[#This Row],[Disc %]]</f>
        <v>2562</v>
      </c>
      <c r="L3576" s="43">
        <v>0.18</v>
      </c>
      <c r="M3576" s="46">
        <f>(Sales[[#This Row],[Gross Amount]]-Sales[[#This Row],[Disc. Amt.]])*Sales[[#This Row],[GST %]]</f>
        <v>3381.8399999999997</v>
      </c>
      <c r="N3576" s="161">
        <f>Sales[[#This Row],[Gross Amount]]-Sales[[#This Row],[Disc. Amt.]]+Sales[[#This Row],[GST Amount]]</f>
        <v>22169.84</v>
      </c>
      <c r="O3576" s="34" t="s">
        <v>8876</v>
      </c>
      <c r="P3576" s="34" t="s">
        <v>3562</v>
      </c>
      <c r="Q3576" s="165">
        <f>IF(Sales[[#This Row],[Status]]="Cancelled",0,Sales[[#This Row],[Qty]])</f>
        <v>7</v>
      </c>
      <c r="R3576" s="166">
        <f>IF(Sales[[#This Row],[Status]]="Cancelled",0,Sales[[#This Row],[Total Amount]])</f>
        <v>22169.84</v>
      </c>
      <c r="S3576" s="162">
        <f>SUM(Sales[Net Amount])</f>
        <v>406839287.73200053</v>
      </c>
    </row>
    <row r="3577" spans="1:19" ht="18.75" x14ac:dyDescent="0.25">
      <c r="A3577" s="156" t="s">
        <v>7240</v>
      </c>
      <c r="B3577" s="157">
        <v>45955</v>
      </c>
      <c r="C3577" s="158" t="s">
        <v>878</v>
      </c>
      <c r="D3577" s="159" t="str">
        <f>VLOOKUP(Sales[[#This Row],[Customer ID]],Customer[#All],2,0)</f>
        <v>Rahul Singh</v>
      </c>
      <c r="E3577" s="158" t="s">
        <v>321</v>
      </c>
      <c r="F3577" s="158" t="str">
        <f>VLOOKUP(Sales[[#This Row],[Product ID]],Product[#All],2,0)</f>
        <v>WD HDD</v>
      </c>
      <c r="G3577" s="159">
        <v>3</v>
      </c>
      <c r="H3577" s="160">
        <f>VLOOKUP(Sales[[#This Row],[Product ID]],Product[#All],7,0)</f>
        <v>6810</v>
      </c>
      <c r="I3577" s="160">
        <f>Sales[[#This Row],[Selling Rate]]*Sales[[#This Row],[Qty]]</f>
        <v>20430</v>
      </c>
      <c r="J3577" s="43">
        <v>0.02</v>
      </c>
      <c r="K3577" s="44">
        <f>Sales[[#This Row],[Gross Amount]]*Sales[[#This Row],[Disc %]]</f>
        <v>408.6</v>
      </c>
      <c r="L3577" s="43">
        <v>0.18</v>
      </c>
      <c r="M3577" s="44">
        <f>(Sales[[#This Row],[Gross Amount]]-Sales[[#This Row],[Disc. Amt.]])*Sales[[#This Row],[GST %]]</f>
        <v>3603.8520000000003</v>
      </c>
      <c r="N3577" s="161">
        <f>Sales[[#This Row],[Gross Amount]]-Sales[[#This Row],[Disc. Amt.]]+Sales[[#This Row],[GST Amount]]</f>
        <v>23625.252</v>
      </c>
      <c r="O3577" s="158" t="s">
        <v>3569</v>
      </c>
      <c r="P3577" s="158" t="s">
        <v>3562</v>
      </c>
      <c r="Q3577" s="160">
        <f>IF(Sales[[#This Row],[Status]]="Cancelled",0,Sales[[#This Row],[Qty]])</f>
        <v>3</v>
      </c>
      <c r="R3577" s="161">
        <f>IF(Sales[[#This Row],[Status]]="Cancelled",0,Sales[[#This Row],[Total Amount]])</f>
        <v>23625.252</v>
      </c>
      <c r="S3577" s="162">
        <f>SUM(Sales[Net Amount])</f>
        <v>406839287.73200053</v>
      </c>
    </row>
    <row r="3578" spans="1:19" ht="18.75" x14ac:dyDescent="0.25">
      <c r="A3578" s="163" t="s">
        <v>7241</v>
      </c>
      <c r="B3578" s="164">
        <v>45956</v>
      </c>
      <c r="C3578" s="34" t="s">
        <v>807</v>
      </c>
      <c r="D3578" s="53" t="str">
        <f>VLOOKUP(Sales[[#This Row],[Customer ID]],Customer[#All],2,0)</f>
        <v>Rakesh Patel</v>
      </c>
      <c r="E3578" s="34" t="s">
        <v>124</v>
      </c>
      <c r="F3578" s="34" t="str">
        <f>VLOOKUP(Sales[[#This Row],[Product ID]],Product[#All],2,0)</f>
        <v>Crucial Ssd</v>
      </c>
      <c r="G3578" s="53">
        <v>4</v>
      </c>
      <c r="H3578" s="165">
        <f>VLOOKUP(Sales[[#This Row],[Product ID]],Product[#All],7,0)</f>
        <v>14820</v>
      </c>
      <c r="I3578" s="165">
        <f>Sales[[#This Row],[Selling Rate]]*Sales[[#This Row],[Qty]]</f>
        <v>59280</v>
      </c>
      <c r="J3578" s="45">
        <v>0.05</v>
      </c>
      <c r="K3578" s="46">
        <f>Sales[[#This Row],[Gross Amount]]*Sales[[#This Row],[Disc %]]</f>
        <v>2964</v>
      </c>
      <c r="L3578" s="43">
        <v>0.18</v>
      </c>
      <c r="M3578" s="46">
        <f>(Sales[[#This Row],[Gross Amount]]-Sales[[#This Row],[Disc. Amt.]])*Sales[[#This Row],[GST %]]</f>
        <v>10136.879999999999</v>
      </c>
      <c r="N3578" s="161">
        <f>Sales[[#This Row],[Gross Amount]]-Sales[[#This Row],[Disc. Amt.]]+Sales[[#This Row],[GST Amount]]</f>
        <v>66452.88</v>
      </c>
      <c r="O3578" s="34" t="s">
        <v>3561</v>
      </c>
      <c r="P3578" s="34" t="s">
        <v>3562</v>
      </c>
      <c r="Q3578" s="165">
        <f>IF(Sales[[#This Row],[Status]]="Cancelled",0,Sales[[#This Row],[Qty]])</f>
        <v>4</v>
      </c>
      <c r="R3578" s="166">
        <f>IF(Sales[[#This Row],[Status]]="Cancelled",0,Sales[[#This Row],[Total Amount]])</f>
        <v>66452.88</v>
      </c>
      <c r="S3578" s="162">
        <f>SUM(Sales[Net Amount])</f>
        <v>406839287.73200053</v>
      </c>
    </row>
    <row r="3579" spans="1:19" ht="18.75" x14ac:dyDescent="0.25">
      <c r="A3579" s="156" t="s">
        <v>7242</v>
      </c>
      <c r="B3579" s="157">
        <v>45956</v>
      </c>
      <c r="C3579" s="158" t="s">
        <v>828</v>
      </c>
      <c r="D3579" s="159" t="str">
        <f>VLOOKUP(Sales[[#This Row],[Customer ID]],Customer[#All],2,0)</f>
        <v>Ankit Verma</v>
      </c>
      <c r="E3579" s="158" t="s">
        <v>382</v>
      </c>
      <c r="F3579" s="158" t="str">
        <f>VLOOKUP(Sales[[#This Row],[Product ID]],Product[#All],2,0)</f>
        <v>Canon Printer</v>
      </c>
      <c r="G3579" s="159">
        <v>8</v>
      </c>
      <c r="H3579" s="160">
        <f>VLOOKUP(Sales[[#This Row],[Product ID]],Product[#All],7,0)</f>
        <v>32930</v>
      </c>
      <c r="I3579" s="160">
        <f>Sales[[#This Row],[Selling Rate]]*Sales[[#This Row],[Qty]]</f>
        <v>263440</v>
      </c>
      <c r="J3579" s="43">
        <v>0.15</v>
      </c>
      <c r="K3579" s="44">
        <f>Sales[[#This Row],[Gross Amount]]*Sales[[#This Row],[Disc %]]</f>
        <v>39516</v>
      </c>
      <c r="L3579" s="43">
        <v>0.18</v>
      </c>
      <c r="M3579" s="44">
        <f>(Sales[[#This Row],[Gross Amount]]-Sales[[#This Row],[Disc. Amt.]])*Sales[[#This Row],[GST %]]</f>
        <v>40306.32</v>
      </c>
      <c r="N3579" s="161">
        <f>Sales[[#This Row],[Gross Amount]]-Sales[[#This Row],[Disc. Amt.]]+Sales[[#This Row],[GST Amount]]</f>
        <v>264230.32</v>
      </c>
      <c r="O3579" s="158" t="s">
        <v>8876</v>
      </c>
      <c r="P3579" s="158" t="s">
        <v>3562</v>
      </c>
      <c r="Q3579" s="160">
        <f>IF(Sales[[#This Row],[Status]]="Cancelled",0,Sales[[#This Row],[Qty]])</f>
        <v>8</v>
      </c>
      <c r="R3579" s="161">
        <f>IF(Sales[[#This Row],[Status]]="Cancelled",0,Sales[[#This Row],[Total Amount]])</f>
        <v>264230.32</v>
      </c>
      <c r="S3579" s="162">
        <f>SUM(Sales[Net Amount])</f>
        <v>406839287.73200053</v>
      </c>
    </row>
    <row r="3580" spans="1:19" ht="18.75" x14ac:dyDescent="0.25">
      <c r="A3580" s="163" t="s">
        <v>7243</v>
      </c>
      <c r="B3580" s="164">
        <v>45956</v>
      </c>
      <c r="C3580" s="34" t="s">
        <v>900</v>
      </c>
      <c r="D3580" s="53" t="str">
        <f>VLOOKUP(Sales[[#This Row],[Customer ID]],Customer[#All],2,0)</f>
        <v>Neha Kumar</v>
      </c>
      <c r="E3580" s="34" t="s">
        <v>480</v>
      </c>
      <c r="F3580" s="34" t="str">
        <f>VLOOKUP(Sales[[#This Row],[Product ID]],Product[#All],2,0)</f>
        <v>TP-link Bluetooth Adapter</v>
      </c>
      <c r="G3580" s="53">
        <v>3</v>
      </c>
      <c r="H3580" s="165">
        <f>VLOOKUP(Sales[[#This Row],[Product ID]],Product[#All],7,0)</f>
        <v>1670</v>
      </c>
      <c r="I3580" s="165">
        <f>Sales[[#This Row],[Selling Rate]]*Sales[[#This Row],[Qty]]</f>
        <v>5010</v>
      </c>
      <c r="J3580" s="45">
        <v>0.12</v>
      </c>
      <c r="K3580" s="46">
        <f>Sales[[#This Row],[Gross Amount]]*Sales[[#This Row],[Disc %]]</f>
        <v>601.19999999999993</v>
      </c>
      <c r="L3580" s="43">
        <v>0.18</v>
      </c>
      <c r="M3580" s="46">
        <f>(Sales[[#This Row],[Gross Amount]]-Sales[[#This Row],[Disc. Amt.]])*Sales[[#This Row],[GST %]]</f>
        <v>793.58400000000006</v>
      </c>
      <c r="N3580" s="161">
        <f>Sales[[#This Row],[Gross Amount]]-Sales[[#This Row],[Disc. Amt.]]+Sales[[#This Row],[GST Amount]]</f>
        <v>5202.384</v>
      </c>
      <c r="O3580" s="34" t="s">
        <v>3569</v>
      </c>
      <c r="P3580" s="34" t="s">
        <v>3562</v>
      </c>
      <c r="Q3580" s="165">
        <f>IF(Sales[[#This Row],[Status]]="Cancelled",0,Sales[[#This Row],[Qty]])</f>
        <v>3</v>
      </c>
      <c r="R3580" s="166">
        <f>IF(Sales[[#This Row],[Status]]="Cancelled",0,Sales[[#This Row],[Total Amount]])</f>
        <v>5202.384</v>
      </c>
      <c r="S3580" s="162">
        <f>SUM(Sales[Net Amount])</f>
        <v>406839287.73200053</v>
      </c>
    </row>
    <row r="3581" spans="1:19" ht="18.75" x14ac:dyDescent="0.25">
      <c r="A3581" s="156" t="s">
        <v>7244</v>
      </c>
      <c r="B3581" s="157">
        <v>45956</v>
      </c>
      <c r="C3581" s="158" t="s">
        <v>856</v>
      </c>
      <c r="D3581" s="159" t="str">
        <f>VLOOKUP(Sales[[#This Row],[Customer ID]],Customer[#All],2,0)</f>
        <v>Sunita Verma</v>
      </c>
      <c r="E3581" s="158" t="s">
        <v>464</v>
      </c>
      <c r="F3581" s="158" t="str">
        <f>VLOOKUP(Sales[[#This Row],[Product ID]],Product[#All],2,0)</f>
        <v>Lg Monitor</v>
      </c>
      <c r="G3581" s="159">
        <v>4</v>
      </c>
      <c r="H3581" s="160">
        <f>VLOOKUP(Sales[[#This Row],[Product ID]],Product[#All],7,0)</f>
        <v>27140</v>
      </c>
      <c r="I3581" s="160">
        <f>Sales[[#This Row],[Selling Rate]]*Sales[[#This Row],[Qty]]</f>
        <v>108560</v>
      </c>
      <c r="J3581" s="43">
        <v>0.15</v>
      </c>
      <c r="K3581" s="44">
        <f>Sales[[#This Row],[Gross Amount]]*Sales[[#This Row],[Disc %]]</f>
        <v>16284</v>
      </c>
      <c r="L3581" s="43">
        <v>0.18</v>
      </c>
      <c r="M3581" s="44">
        <f>(Sales[[#This Row],[Gross Amount]]-Sales[[#This Row],[Disc. Amt.]])*Sales[[#This Row],[GST %]]</f>
        <v>16609.68</v>
      </c>
      <c r="N3581" s="161">
        <f>Sales[[#This Row],[Gross Amount]]-Sales[[#This Row],[Disc. Amt.]]+Sales[[#This Row],[GST Amount]]</f>
        <v>108885.68</v>
      </c>
      <c r="O3581" s="158" t="s">
        <v>8876</v>
      </c>
      <c r="P3581" s="158" t="s">
        <v>3562</v>
      </c>
      <c r="Q3581" s="160">
        <f>IF(Sales[[#This Row],[Status]]="Cancelled",0,Sales[[#This Row],[Qty]])</f>
        <v>4</v>
      </c>
      <c r="R3581" s="161">
        <f>IF(Sales[[#This Row],[Status]]="Cancelled",0,Sales[[#This Row],[Total Amount]])</f>
        <v>108885.68</v>
      </c>
      <c r="S3581" s="162">
        <f>SUM(Sales[Net Amount])</f>
        <v>406839287.73200053</v>
      </c>
    </row>
    <row r="3582" spans="1:19" ht="18.75" x14ac:dyDescent="0.25">
      <c r="A3582" s="163" t="s">
        <v>7245</v>
      </c>
      <c r="B3582" s="164">
        <v>45956</v>
      </c>
      <c r="C3582" s="34" t="s">
        <v>765</v>
      </c>
      <c r="D3582" s="53" t="str">
        <f>VLOOKUP(Sales[[#This Row],[Customer ID]],Customer[#All],2,0)</f>
        <v>Neha Gupta</v>
      </c>
      <c r="E3582" s="34" t="s">
        <v>265</v>
      </c>
      <c r="F3582" s="34" t="str">
        <f>VLOOKUP(Sales[[#This Row],[Product ID]],Product[#All],2,0)</f>
        <v>Canon Printer</v>
      </c>
      <c r="G3582" s="53">
        <v>2</v>
      </c>
      <c r="H3582" s="165">
        <f>VLOOKUP(Sales[[#This Row],[Product ID]],Product[#All],7,0)</f>
        <v>33970</v>
      </c>
      <c r="I3582" s="165">
        <f>Sales[[#This Row],[Selling Rate]]*Sales[[#This Row],[Qty]]</f>
        <v>67940</v>
      </c>
      <c r="J3582" s="45">
        <v>0.02</v>
      </c>
      <c r="K3582" s="46">
        <f>Sales[[#This Row],[Gross Amount]]*Sales[[#This Row],[Disc %]]</f>
        <v>1358.8</v>
      </c>
      <c r="L3582" s="43">
        <v>0.18</v>
      </c>
      <c r="M3582" s="46">
        <f>(Sales[[#This Row],[Gross Amount]]-Sales[[#This Row],[Disc. Amt.]])*Sales[[#This Row],[GST %]]</f>
        <v>11984.615999999998</v>
      </c>
      <c r="N3582" s="161">
        <f>Sales[[#This Row],[Gross Amount]]-Sales[[#This Row],[Disc. Amt.]]+Sales[[#This Row],[GST Amount]]</f>
        <v>78565.815999999992</v>
      </c>
      <c r="O3582" s="34" t="s">
        <v>3569</v>
      </c>
      <c r="P3582" s="34" t="s">
        <v>3562</v>
      </c>
      <c r="Q3582" s="165">
        <f>IF(Sales[[#This Row],[Status]]="Cancelled",0,Sales[[#This Row],[Qty]])</f>
        <v>2</v>
      </c>
      <c r="R3582" s="166">
        <f>IF(Sales[[#This Row],[Status]]="Cancelled",0,Sales[[#This Row],[Total Amount]])</f>
        <v>78565.815999999992</v>
      </c>
      <c r="S3582" s="162">
        <f>SUM(Sales[Net Amount])</f>
        <v>406839287.73200053</v>
      </c>
    </row>
    <row r="3583" spans="1:19" ht="18.75" x14ac:dyDescent="0.25">
      <c r="A3583" s="156" t="s">
        <v>7246</v>
      </c>
      <c r="B3583" s="157">
        <v>45956</v>
      </c>
      <c r="C3583" s="158" t="s">
        <v>844</v>
      </c>
      <c r="D3583" s="159" t="str">
        <f>VLOOKUP(Sales[[#This Row],[Customer ID]],Customer[#All],2,0)</f>
        <v>Rahul Sharma</v>
      </c>
      <c r="E3583" s="158" t="s">
        <v>79</v>
      </c>
      <c r="F3583" s="158" t="str">
        <f>VLOOKUP(Sales[[#This Row],[Product ID]],Product[#All],2,0)</f>
        <v>Samsung Monitor</v>
      </c>
      <c r="G3583" s="159">
        <v>8</v>
      </c>
      <c r="H3583" s="160">
        <f>VLOOKUP(Sales[[#This Row],[Product ID]],Product[#All],7,0)</f>
        <v>32480</v>
      </c>
      <c r="I3583" s="160">
        <f>Sales[[#This Row],[Selling Rate]]*Sales[[#This Row],[Qty]]</f>
        <v>259840</v>
      </c>
      <c r="J3583" s="43">
        <v>0.15</v>
      </c>
      <c r="K3583" s="44">
        <f>Sales[[#This Row],[Gross Amount]]*Sales[[#This Row],[Disc %]]</f>
        <v>38976</v>
      </c>
      <c r="L3583" s="43">
        <v>0.18</v>
      </c>
      <c r="M3583" s="44">
        <f>(Sales[[#This Row],[Gross Amount]]-Sales[[#This Row],[Disc. Amt.]])*Sales[[#This Row],[GST %]]</f>
        <v>39755.519999999997</v>
      </c>
      <c r="N3583" s="161">
        <f>Sales[[#This Row],[Gross Amount]]-Sales[[#This Row],[Disc. Amt.]]+Sales[[#This Row],[GST Amount]]</f>
        <v>260619.51999999999</v>
      </c>
      <c r="O3583" s="158" t="s">
        <v>3566</v>
      </c>
      <c r="P3583" s="158" t="s">
        <v>1040</v>
      </c>
      <c r="Q3583" s="160">
        <f>IF(Sales[[#This Row],[Status]]="Cancelled",0,Sales[[#This Row],[Qty]])</f>
        <v>0</v>
      </c>
      <c r="R3583" s="161">
        <f>IF(Sales[[#This Row],[Status]]="Cancelled",0,Sales[[#This Row],[Total Amount]])</f>
        <v>0</v>
      </c>
      <c r="S3583" s="162">
        <f>SUM(Sales[Net Amount])</f>
        <v>406839287.73200053</v>
      </c>
    </row>
    <row r="3584" spans="1:19" ht="18.75" x14ac:dyDescent="0.25">
      <c r="A3584" s="163" t="s">
        <v>7247</v>
      </c>
      <c r="B3584" s="164">
        <v>45956</v>
      </c>
      <c r="C3584" s="34" t="s">
        <v>735</v>
      </c>
      <c r="D3584" s="53" t="str">
        <f>VLOOKUP(Sales[[#This Row],[Customer ID]],Customer[#All],2,0)</f>
        <v>Amit Singh</v>
      </c>
      <c r="E3584" s="34" t="s">
        <v>187</v>
      </c>
      <c r="F3584" s="34" t="str">
        <f>VLOOKUP(Sales[[#This Row],[Product ID]],Product[#All],2,0)</f>
        <v>American TouristerLaptopBag</v>
      </c>
      <c r="G3584" s="53">
        <v>2</v>
      </c>
      <c r="H3584" s="165">
        <f>VLOOKUP(Sales[[#This Row],[Product ID]],Product[#All],7,0)</f>
        <v>840</v>
      </c>
      <c r="I3584" s="165">
        <f>Sales[[#This Row],[Selling Rate]]*Sales[[#This Row],[Qty]]</f>
        <v>1680</v>
      </c>
      <c r="J3584" s="45">
        <v>0.1</v>
      </c>
      <c r="K3584" s="46">
        <f>Sales[[#This Row],[Gross Amount]]*Sales[[#This Row],[Disc %]]</f>
        <v>168</v>
      </c>
      <c r="L3584" s="43">
        <v>0.18</v>
      </c>
      <c r="M3584" s="46">
        <f>(Sales[[#This Row],[Gross Amount]]-Sales[[#This Row],[Disc. Amt.]])*Sales[[#This Row],[GST %]]</f>
        <v>272.15999999999997</v>
      </c>
      <c r="N3584" s="161">
        <f>Sales[[#This Row],[Gross Amount]]-Sales[[#This Row],[Disc. Amt.]]+Sales[[#This Row],[GST Amount]]</f>
        <v>1784.1599999999999</v>
      </c>
      <c r="O3584" s="34" t="s">
        <v>3566</v>
      </c>
      <c r="P3584" s="34" t="s">
        <v>3562</v>
      </c>
      <c r="Q3584" s="165">
        <f>IF(Sales[[#This Row],[Status]]="Cancelled",0,Sales[[#This Row],[Qty]])</f>
        <v>2</v>
      </c>
      <c r="R3584" s="166">
        <f>IF(Sales[[#This Row],[Status]]="Cancelled",0,Sales[[#This Row],[Total Amount]])</f>
        <v>1784.1599999999999</v>
      </c>
      <c r="S3584" s="162">
        <f>SUM(Sales[Net Amount])</f>
        <v>406839287.73200053</v>
      </c>
    </row>
    <row r="3585" spans="1:19" ht="18.75" x14ac:dyDescent="0.25">
      <c r="A3585" s="156" t="s">
        <v>7248</v>
      </c>
      <c r="B3585" s="157">
        <v>45956</v>
      </c>
      <c r="C3585" s="158" t="s">
        <v>745</v>
      </c>
      <c r="D3585" s="159" t="str">
        <f>VLOOKUP(Sales[[#This Row],[Customer ID]],Customer[#All],2,0)</f>
        <v>Priya Kumar</v>
      </c>
      <c r="E3585" s="158" t="s">
        <v>357</v>
      </c>
      <c r="F3585" s="158" t="str">
        <f>VLOOKUP(Sales[[#This Row],[Product ID]],Product[#All],2,0)</f>
        <v>Samsung Ssd</v>
      </c>
      <c r="G3585" s="159">
        <v>3</v>
      </c>
      <c r="H3585" s="160">
        <f>VLOOKUP(Sales[[#This Row],[Product ID]],Product[#All],7,0)</f>
        <v>9070</v>
      </c>
      <c r="I3585" s="160">
        <f>Sales[[#This Row],[Selling Rate]]*Sales[[#This Row],[Qty]]</f>
        <v>27210</v>
      </c>
      <c r="J3585" s="43">
        <v>0.05</v>
      </c>
      <c r="K3585" s="44">
        <f>Sales[[#This Row],[Gross Amount]]*Sales[[#This Row],[Disc %]]</f>
        <v>1360.5</v>
      </c>
      <c r="L3585" s="43">
        <v>0.18</v>
      </c>
      <c r="M3585" s="44">
        <f>(Sales[[#This Row],[Gross Amount]]-Sales[[#This Row],[Disc. Amt.]])*Sales[[#This Row],[GST %]]</f>
        <v>4652.91</v>
      </c>
      <c r="N3585" s="161">
        <f>Sales[[#This Row],[Gross Amount]]-Sales[[#This Row],[Disc. Amt.]]+Sales[[#This Row],[GST Amount]]</f>
        <v>30502.41</v>
      </c>
      <c r="O3585" s="158" t="s">
        <v>3566</v>
      </c>
      <c r="P3585" s="158" t="s">
        <v>3562</v>
      </c>
      <c r="Q3585" s="160">
        <f>IF(Sales[[#This Row],[Status]]="Cancelled",0,Sales[[#This Row],[Qty]])</f>
        <v>3</v>
      </c>
      <c r="R3585" s="161">
        <f>IF(Sales[[#This Row],[Status]]="Cancelled",0,Sales[[#This Row],[Total Amount]])</f>
        <v>30502.41</v>
      </c>
      <c r="S3585" s="162">
        <f>SUM(Sales[Net Amount])</f>
        <v>406839287.73200053</v>
      </c>
    </row>
    <row r="3586" spans="1:19" ht="18.75" x14ac:dyDescent="0.25">
      <c r="A3586" s="163" t="s">
        <v>7249</v>
      </c>
      <c r="B3586" s="164">
        <v>45956</v>
      </c>
      <c r="C3586" s="34" t="s">
        <v>890</v>
      </c>
      <c r="D3586" s="53" t="str">
        <f>VLOOKUP(Sales[[#This Row],[Customer ID]],Customer[#All],2,0)</f>
        <v>Rakesh Patel</v>
      </c>
      <c r="E3586" s="34" t="s">
        <v>339</v>
      </c>
      <c r="F3586" s="34" t="str">
        <f>VLOOKUP(Sales[[#This Row],[Product ID]],Product[#All],2,0)</f>
        <v>Microtek UPS</v>
      </c>
      <c r="G3586" s="53">
        <v>8</v>
      </c>
      <c r="H3586" s="165">
        <f>VLOOKUP(Sales[[#This Row],[Product ID]],Product[#All],7,0)</f>
        <v>8400</v>
      </c>
      <c r="I3586" s="165">
        <f>Sales[[#This Row],[Selling Rate]]*Sales[[#This Row],[Qty]]</f>
        <v>67200</v>
      </c>
      <c r="J3586" s="45">
        <v>0</v>
      </c>
      <c r="K3586" s="46">
        <f>Sales[[#This Row],[Gross Amount]]*Sales[[#This Row],[Disc %]]</f>
        <v>0</v>
      </c>
      <c r="L3586" s="43">
        <v>0.18</v>
      </c>
      <c r="M3586" s="46">
        <f>(Sales[[#This Row],[Gross Amount]]-Sales[[#This Row],[Disc. Amt.]])*Sales[[#This Row],[GST %]]</f>
        <v>12096</v>
      </c>
      <c r="N3586" s="161">
        <f>Sales[[#This Row],[Gross Amount]]-Sales[[#This Row],[Disc. Amt.]]+Sales[[#This Row],[GST Amount]]</f>
        <v>79296</v>
      </c>
      <c r="O3586" s="34" t="s">
        <v>8876</v>
      </c>
      <c r="P3586" s="34" t="s">
        <v>3562</v>
      </c>
      <c r="Q3586" s="165">
        <f>IF(Sales[[#This Row],[Status]]="Cancelled",0,Sales[[#This Row],[Qty]])</f>
        <v>8</v>
      </c>
      <c r="R3586" s="166">
        <f>IF(Sales[[#This Row],[Status]]="Cancelled",0,Sales[[#This Row],[Total Amount]])</f>
        <v>79296</v>
      </c>
      <c r="S3586" s="162">
        <f>SUM(Sales[Net Amount])</f>
        <v>406839287.73200053</v>
      </c>
    </row>
    <row r="3587" spans="1:19" ht="18.75" x14ac:dyDescent="0.25">
      <c r="A3587" s="156" t="s">
        <v>7250</v>
      </c>
      <c r="B3587" s="157">
        <v>45956</v>
      </c>
      <c r="C3587" s="158" t="s">
        <v>895</v>
      </c>
      <c r="D3587" s="159" t="str">
        <f>VLOOKUP(Sales[[#This Row],[Customer ID]],Customer[#All],2,0)</f>
        <v>Pooja Patel</v>
      </c>
      <c r="E3587" s="158" t="s">
        <v>265</v>
      </c>
      <c r="F3587" s="158" t="str">
        <f>VLOOKUP(Sales[[#This Row],[Product ID]],Product[#All],2,0)</f>
        <v>Canon Printer</v>
      </c>
      <c r="G3587" s="159">
        <v>2</v>
      </c>
      <c r="H3587" s="160">
        <f>VLOOKUP(Sales[[#This Row],[Product ID]],Product[#All],7,0)</f>
        <v>33970</v>
      </c>
      <c r="I3587" s="160">
        <f>Sales[[#This Row],[Selling Rate]]*Sales[[#This Row],[Qty]]</f>
        <v>67940</v>
      </c>
      <c r="J3587" s="43">
        <v>0.05</v>
      </c>
      <c r="K3587" s="44">
        <f>Sales[[#This Row],[Gross Amount]]*Sales[[#This Row],[Disc %]]</f>
        <v>3397</v>
      </c>
      <c r="L3587" s="43">
        <v>0.18</v>
      </c>
      <c r="M3587" s="44">
        <f>(Sales[[#This Row],[Gross Amount]]-Sales[[#This Row],[Disc. Amt.]])*Sales[[#This Row],[GST %]]</f>
        <v>11617.74</v>
      </c>
      <c r="N3587" s="161">
        <f>Sales[[#This Row],[Gross Amount]]-Sales[[#This Row],[Disc. Amt.]]+Sales[[#This Row],[GST Amount]]</f>
        <v>76160.740000000005</v>
      </c>
      <c r="O3587" s="158" t="s">
        <v>3569</v>
      </c>
      <c r="P3587" s="158" t="s">
        <v>3562</v>
      </c>
      <c r="Q3587" s="160">
        <f>IF(Sales[[#This Row],[Status]]="Cancelled",0,Sales[[#This Row],[Qty]])</f>
        <v>2</v>
      </c>
      <c r="R3587" s="161">
        <f>IF(Sales[[#This Row],[Status]]="Cancelled",0,Sales[[#This Row],[Total Amount]])</f>
        <v>76160.740000000005</v>
      </c>
      <c r="S3587" s="162">
        <f>SUM(Sales[Net Amount])</f>
        <v>406839287.73200053</v>
      </c>
    </row>
    <row r="3588" spans="1:19" ht="18.75" x14ac:dyDescent="0.25">
      <c r="A3588" s="163" t="s">
        <v>7251</v>
      </c>
      <c r="B3588" s="164">
        <v>45956</v>
      </c>
      <c r="C3588" s="34" t="s">
        <v>725</v>
      </c>
      <c r="D3588" s="53" t="str">
        <f>VLOOKUP(Sales[[#This Row],[Customer ID]],Customer[#All],2,0)</f>
        <v>Ankit Kumar</v>
      </c>
      <c r="E3588" s="34" t="s">
        <v>362</v>
      </c>
      <c r="F3588" s="34" t="str">
        <f>VLOOKUP(Sales[[#This Row],[Product ID]],Product[#All],2,0)</f>
        <v>Dell Power Adapter</v>
      </c>
      <c r="G3588" s="53">
        <v>1</v>
      </c>
      <c r="H3588" s="165">
        <f>VLOOKUP(Sales[[#This Row],[Product ID]],Product[#All],7,0)</f>
        <v>4050</v>
      </c>
      <c r="I3588" s="165">
        <f>Sales[[#This Row],[Selling Rate]]*Sales[[#This Row],[Qty]]</f>
        <v>4050</v>
      </c>
      <c r="J3588" s="45">
        <v>0</v>
      </c>
      <c r="K3588" s="46">
        <f>Sales[[#This Row],[Gross Amount]]*Sales[[#This Row],[Disc %]]</f>
        <v>0</v>
      </c>
      <c r="L3588" s="43">
        <v>0.18</v>
      </c>
      <c r="M3588" s="46">
        <f>(Sales[[#This Row],[Gross Amount]]-Sales[[#This Row],[Disc. Amt.]])*Sales[[#This Row],[GST %]]</f>
        <v>729</v>
      </c>
      <c r="N3588" s="161">
        <f>Sales[[#This Row],[Gross Amount]]-Sales[[#This Row],[Disc. Amt.]]+Sales[[#This Row],[GST Amount]]</f>
        <v>4779</v>
      </c>
      <c r="O3588" s="34" t="s">
        <v>3566</v>
      </c>
      <c r="P3588" s="34" t="s">
        <v>3562</v>
      </c>
      <c r="Q3588" s="165">
        <f>IF(Sales[[#This Row],[Status]]="Cancelled",0,Sales[[#This Row],[Qty]])</f>
        <v>1</v>
      </c>
      <c r="R3588" s="166">
        <f>IF(Sales[[#This Row],[Status]]="Cancelled",0,Sales[[#This Row],[Total Amount]])</f>
        <v>4779</v>
      </c>
      <c r="S3588" s="162">
        <f>SUM(Sales[Net Amount])</f>
        <v>406839287.73200053</v>
      </c>
    </row>
    <row r="3589" spans="1:19" ht="18.75" x14ac:dyDescent="0.25">
      <c r="A3589" s="156" t="s">
        <v>7252</v>
      </c>
      <c r="B3589" s="157">
        <v>45956</v>
      </c>
      <c r="C3589" s="158" t="s">
        <v>937</v>
      </c>
      <c r="D3589" s="159" t="str">
        <f>VLOOKUP(Sales[[#This Row],[Customer ID]],Customer[#All],2,0)</f>
        <v>Rahul Singh</v>
      </c>
      <c r="E3589" s="158" t="s">
        <v>220</v>
      </c>
      <c r="F3589" s="158" t="str">
        <f>VLOOKUP(Sales[[#This Row],[Product ID]],Product[#All],2,0)</f>
        <v>HP Desktop</v>
      </c>
      <c r="G3589" s="159">
        <v>3</v>
      </c>
      <c r="H3589" s="160">
        <f>VLOOKUP(Sales[[#This Row],[Product ID]],Product[#All],7,0)</f>
        <v>40570</v>
      </c>
      <c r="I3589" s="160">
        <f>Sales[[#This Row],[Selling Rate]]*Sales[[#This Row],[Qty]]</f>
        <v>121710</v>
      </c>
      <c r="J3589" s="43">
        <v>0.02</v>
      </c>
      <c r="K3589" s="44">
        <f>Sales[[#This Row],[Gross Amount]]*Sales[[#This Row],[Disc %]]</f>
        <v>2434.2000000000003</v>
      </c>
      <c r="L3589" s="43">
        <v>0.18</v>
      </c>
      <c r="M3589" s="44">
        <f>(Sales[[#This Row],[Gross Amount]]-Sales[[#This Row],[Disc. Amt.]])*Sales[[#This Row],[GST %]]</f>
        <v>21469.644</v>
      </c>
      <c r="N3589" s="161">
        <f>Sales[[#This Row],[Gross Amount]]-Sales[[#This Row],[Disc. Amt.]]+Sales[[#This Row],[GST Amount]]</f>
        <v>140745.44400000002</v>
      </c>
      <c r="O3589" s="158" t="s">
        <v>3569</v>
      </c>
      <c r="P3589" s="158" t="s">
        <v>3562</v>
      </c>
      <c r="Q3589" s="160">
        <f>IF(Sales[[#This Row],[Status]]="Cancelled",0,Sales[[#This Row],[Qty]])</f>
        <v>3</v>
      </c>
      <c r="R3589" s="161">
        <f>IF(Sales[[#This Row],[Status]]="Cancelled",0,Sales[[#This Row],[Total Amount]])</f>
        <v>140745.44400000002</v>
      </c>
      <c r="S3589" s="162">
        <f>SUM(Sales[Net Amount])</f>
        <v>406839287.73200053</v>
      </c>
    </row>
    <row r="3590" spans="1:19" ht="18.75" x14ac:dyDescent="0.25">
      <c r="A3590" s="163" t="s">
        <v>7253</v>
      </c>
      <c r="B3590" s="164">
        <v>45956</v>
      </c>
      <c r="C3590" s="34" t="s">
        <v>793</v>
      </c>
      <c r="D3590" s="53" t="str">
        <f>VLOOKUP(Sales[[#This Row],[Customer ID]],Customer[#All],2,0)</f>
        <v>Neha Verma</v>
      </c>
      <c r="E3590" s="34" t="s">
        <v>48</v>
      </c>
      <c r="F3590" s="34" t="str">
        <f>VLOOKUP(Sales[[#This Row],[Product ID]],Product[#All],2,0)</f>
        <v>Jbl Headset</v>
      </c>
      <c r="G3590" s="53">
        <v>7</v>
      </c>
      <c r="H3590" s="165">
        <f>VLOOKUP(Sales[[#This Row],[Product ID]],Product[#All],7,0)</f>
        <v>4610</v>
      </c>
      <c r="I3590" s="165">
        <f>Sales[[#This Row],[Selling Rate]]*Sales[[#This Row],[Qty]]</f>
        <v>32270</v>
      </c>
      <c r="J3590" s="45">
        <v>0.1</v>
      </c>
      <c r="K3590" s="46">
        <f>Sales[[#This Row],[Gross Amount]]*Sales[[#This Row],[Disc %]]</f>
        <v>3227</v>
      </c>
      <c r="L3590" s="43">
        <v>0.18</v>
      </c>
      <c r="M3590" s="46">
        <f>(Sales[[#This Row],[Gross Amount]]-Sales[[#This Row],[Disc. Amt.]])*Sales[[#This Row],[GST %]]</f>
        <v>5227.74</v>
      </c>
      <c r="N3590" s="161">
        <f>Sales[[#This Row],[Gross Amount]]-Sales[[#This Row],[Disc. Amt.]]+Sales[[#This Row],[GST Amount]]</f>
        <v>34270.74</v>
      </c>
      <c r="O3590" s="34" t="s">
        <v>8876</v>
      </c>
      <c r="P3590" s="34" t="s">
        <v>3562</v>
      </c>
      <c r="Q3590" s="165">
        <f>IF(Sales[[#This Row],[Status]]="Cancelled",0,Sales[[#This Row],[Qty]])</f>
        <v>7</v>
      </c>
      <c r="R3590" s="166">
        <f>IF(Sales[[#This Row],[Status]]="Cancelled",0,Sales[[#This Row],[Total Amount]])</f>
        <v>34270.74</v>
      </c>
      <c r="S3590" s="162">
        <f>SUM(Sales[Net Amount])</f>
        <v>406839287.73200053</v>
      </c>
    </row>
    <row r="3591" spans="1:19" ht="18.75" x14ac:dyDescent="0.25">
      <c r="A3591" s="156" t="s">
        <v>7254</v>
      </c>
      <c r="B3591" s="157">
        <v>45956</v>
      </c>
      <c r="C3591" s="158" t="s">
        <v>702</v>
      </c>
      <c r="D3591" s="159" t="str">
        <f>VLOOKUP(Sales[[#This Row],[Customer ID]],Customer[#All],2,0)</f>
        <v>Amit Patel</v>
      </c>
      <c r="E3591" s="158" t="s">
        <v>145</v>
      </c>
      <c r="F3591" s="158" t="str">
        <f>VLOOKUP(Sales[[#This Row],[Product ID]],Product[#All],2,0)</f>
        <v>Crucial Ssd</v>
      </c>
      <c r="G3591" s="159">
        <v>5</v>
      </c>
      <c r="H3591" s="160">
        <f>VLOOKUP(Sales[[#This Row],[Product ID]],Product[#All],7,0)</f>
        <v>9790</v>
      </c>
      <c r="I3591" s="160">
        <f>Sales[[#This Row],[Selling Rate]]*Sales[[#This Row],[Qty]]</f>
        <v>48950</v>
      </c>
      <c r="J3591" s="43">
        <v>0.12</v>
      </c>
      <c r="K3591" s="44">
        <f>Sales[[#This Row],[Gross Amount]]*Sales[[#This Row],[Disc %]]</f>
        <v>5874</v>
      </c>
      <c r="L3591" s="43">
        <v>0.18</v>
      </c>
      <c r="M3591" s="44">
        <f>(Sales[[#This Row],[Gross Amount]]-Sales[[#This Row],[Disc. Amt.]])*Sales[[#This Row],[GST %]]</f>
        <v>7753.6799999999994</v>
      </c>
      <c r="N3591" s="161">
        <f>Sales[[#This Row],[Gross Amount]]-Sales[[#This Row],[Disc. Amt.]]+Sales[[#This Row],[GST Amount]]</f>
        <v>50829.68</v>
      </c>
      <c r="O3591" s="158" t="s">
        <v>3569</v>
      </c>
      <c r="P3591" s="158" t="s">
        <v>3562</v>
      </c>
      <c r="Q3591" s="160">
        <f>IF(Sales[[#This Row],[Status]]="Cancelled",0,Sales[[#This Row],[Qty]])</f>
        <v>5</v>
      </c>
      <c r="R3591" s="161">
        <f>IF(Sales[[#This Row],[Status]]="Cancelled",0,Sales[[#This Row],[Total Amount]])</f>
        <v>50829.68</v>
      </c>
      <c r="S3591" s="162">
        <f>SUM(Sales[Net Amount])</f>
        <v>406839287.73200053</v>
      </c>
    </row>
    <row r="3592" spans="1:19" ht="18.75" x14ac:dyDescent="0.25">
      <c r="A3592" s="163" t="s">
        <v>7255</v>
      </c>
      <c r="B3592" s="164">
        <v>45956</v>
      </c>
      <c r="C3592" s="34" t="s">
        <v>938</v>
      </c>
      <c r="D3592" s="53" t="str">
        <f>VLOOKUP(Sales[[#This Row],[Customer ID]],Customer[#All],2,0)</f>
        <v>Sunita Sharma</v>
      </c>
      <c r="E3592" s="34" t="s">
        <v>59</v>
      </c>
      <c r="F3592" s="34" t="str">
        <f>VLOOKUP(Sales[[#This Row],[Product ID]],Product[#All],2,0)</f>
        <v>Amazon Basics Hdmi Cable</v>
      </c>
      <c r="G3592" s="53">
        <v>3</v>
      </c>
      <c r="H3592" s="165">
        <f>VLOOKUP(Sales[[#This Row],[Product ID]],Product[#All],7,0)</f>
        <v>1160</v>
      </c>
      <c r="I3592" s="165">
        <f>Sales[[#This Row],[Selling Rate]]*Sales[[#This Row],[Qty]]</f>
        <v>3480</v>
      </c>
      <c r="J3592" s="45">
        <v>0</v>
      </c>
      <c r="K3592" s="46">
        <f>Sales[[#This Row],[Gross Amount]]*Sales[[#This Row],[Disc %]]</f>
        <v>0</v>
      </c>
      <c r="L3592" s="43">
        <v>0.18</v>
      </c>
      <c r="M3592" s="46">
        <f>(Sales[[#This Row],[Gross Amount]]-Sales[[#This Row],[Disc. Amt.]])*Sales[[#This Row],[GST %]]</f>
        <v>626.4</v>
      </c>
      <c r="N3592" s="161">
        <f>Sales[[#This Row],[Gross Amount]]-Sales[[#This Row],[Disc. Amt.]]+Sales[[#This Row],[GST Amount]]</f>
        <v>4106.3999999999996</v>
      </c>
      <c r="O3592" s="34" t="s">
        <v>3569</v>
      </c>
      <c r="P3592" s="34" t="s">
        <v>3562</v>
      </c>
      <c r="Q3592" s="165">
        <f>IF(Sales[[#This Row],[Status]]="Cancelled",0,Sales[[#This Row],[Qty]])</f>
        <v>3</v>
      </c>
      <c r="R3592" s="166">
        <f>IF(Sales[[#This Row],[Status]]="Cancelled",0,Sales[[#This Row],[Total Amount]])</f>
        <v>4106.3999999999996</v>
      </c>
      <c r="S3592" s="162">
        <f>SUM(Sales[Net Amount])</f>
        <v>406839287.73200053</v>
      </c>
    </row>
    <row r="3593" spans="1:19" ht="18.75" x14ac:dyDescent="0.25">
      <c r="A3593" s="156" t="s">
        <v>7256</v>
      </c>
      <c r="B3593" s="157">
        <v>45956</v>
      </c>
      <c r="C3593" s="158" t="s">
        <v>756</v>
      </c>
      <c r="D3593" s="159" t="str">
        <f>VLOOKUP(Sales[[#This Row],[Customer ID]],Customer[#All],2,0)</f>
        <v>Amit Patel</v>
      </c>
      <c r="E3593" s="158" t="s">
        <v>431</v>
      </c>
      <c r="F3593" s="158" t="str">
        <f>VLOOKUP(Sales[[#This Row],[Product ID]],Product[#All],2,0)</f>
        <v>Canon Printer</v>
      </c>
      <c r="G3593" s="159">
        <v>2</v>
      </c>
      <c r="H3593" s="160">
        <f>VLOOKUP(Sales[[#This Row],[Product ID]],Product[#All],7,0)</f>
        <v>17260</v>
      </c>
      <c r="I3593" s="160">
        <f>Sales[[#This Row],[Selling Rate]]*Sales[[#This Row],[Qty]]</f>
        <v>34520</v>
      </c>
      <c r="J3593" s="43">
        <v>0.15</v>
      </c>
      <c r="K3593" s="44">
        <f>Sales[[#This Row],[Gross Amount]]*Sales[[#This Row],[Disc %]]</f>
        <v>5178</v>
      </c>
      <c r="L3593" s="43">
        <v>0.18</v>
      </c>
      <c r="M3593" s="44">
        <f>(Sales[[#This Row],[Gross Amount]]-Sales[[#This Row],[Disc. Amt.]])*Sales[[#This Row],[GST %]]</f>
        <v>5281.5599999999995</v>
      </c>
      <c r="N3593" s="161">
        <f>Sales[[#This Row],[Gross Amount]]-Sales[[#This Row],[Disc. Amt.]]+Sales[[#This Row],[GST Amount]]</f>
        <v>34623.56</v>
      </c>
      <c r="O3593" s="158" t="s">
        <v>8876</v>
      </c>
      <c r="P3593" s="158" t="s">
        <v>3562</v>
      </c>
      <c r="Q3593" s="160">
        <f>IF(Sales[[#This Row],[Status]]="Cancelled",0,Sales[[#This Row],[Qty]])</f>
        <v>2</v>
      </c>
      <c r="R3593" s="161">
        <f>IF(Sales[[#This Row],[Status]]="Cancelled",0,Sales[[#This Row],[Total Amount]])</f>
        <v>34623.56</v>
      </c>
      <c r="S3593" s="162">
        <f>SUM(Sales[Net Amount])</f>
        <v>406839287.73200053</v>
      </c>
    </row>
    <row r="3594" spans="1:19" ht="18.75" x14ac:dyDescent="0.25">
      <c r="A3594" s="163" t="s">
        <v>7257</v>
      </c>
      <c r="B3594" s="164">
        <v>45956</v>
      </c>
      <c r="C3594" s="34" t="s">
        <v>795</v>
      </c>
      <c r="D3594" s="53" t="str">
        <f>VLOOKUP(Sales[[#This Row],[Customer ID]],Customer[#All],2,0)</f>
        <v>Sahil Gupta</v>
      </c>
      <c r="E3594" s="34" t="s">
        <v>551</v>
      </c>
      <c r="F3594" s="34" t="str">
        <f>VLOOKUP(Sales[[#This Row],[Product ID]],Product[#All],2,0)</f>
        <v>Epson Printer</v>
      </c>
      <c r="G3594" s="53">
        <v>1</v>
      </c>
      <c r="H3594" s="165">
        <f>VLOOKUP(Sales[[#This Row],[Product ID]],Product[#All],7,0)</f>
        <v>38370</v>
      </c>
      <c r="I3594" s="165">
        <f>Sales[[#This Row],[Selling Rate]]*Sales[[#This Row],[Qty]]</f>
        <v>38370</v>
      </c>
      <c r="J3594" s="45">
        <v>0.05</v>
      </c>
      <c r="K3594" s="46">
        <f>Sales[[#This Row],[Gross Amount]]*Sales[[#This Row],[Disc %]]</f>
        <v>1918.5</v>
      </c>
      <c r="L3594" s="43">
        <v>0.18</v>
      </c>
      <c r="M3594" s="46">
        <f>(Sales[[#This Row],[Gross Amount]]-Sales[[#This Row],[Disc. Amt.]])*Sales[[#This Row],[GST %]]</f>
        <v>6561.2699999999995</v>
      </c>
      <c r="N3594" s="161">
        <f>Sales[[#This Row],[Gross Amount]]-Sales[[#This Row],[Disc. Amt.]]+Sales[[#This Row],[GST Amount]]</f>
        <v>43012.77</v>
      </c>
      <c r="O3594" s="34" t="s">
        <v>8876</v>
      </c>
      <c r="P3594" s="34" t="s">
        <v>3562</v>
      </c>
      <c r="Q3594" s="165">
        <f>IF(Sales[[#This Row],[Status]]="Cancelled",0,Sales[[#This Row],[Qty]])</f>
        <v>1</v>
      </c>
      <c r="R3594" s="166">
        <f>IF(Sales[[#This Row],[Status]]="Cancelled",0,Sales[[#This Row],[Total Amount]])</f>
        <v>43012.77</v>
      </c>
      <c r="S3594" s="162">
        <f>SUM(Sales[Net Amount])</f>
        <v>406839287.73200053</v>
      </c>
    </row>
    <row r="3595" spans="1:19" ht="18.75" x14ac:dyDescent="0.25">
      <c r="A3595" s="156" t="s">
        <v>7258</v>
      </c>
      <c r="B3595" s="157">
        <v>45956</v>
      </c>
      <c r="C3595" s="158" t="s">
        <v>675</v>
      </c>
      <c r="D3595" s="159" t="str">
        <f>VLOOKUP(Sales[[#This Row],[Customer ID]],Customer[#All],2,0)</f>
        <v>Rahul Gupta</v>
      </c>
      <c r="E3595" s="158" t="s">
        <v>453</v>
      </c>
      <c r="F3595" s="158" t="str">
        <f>VLOOKUP(Sales[[#This Row],[Product ID]],Product[#All],2,0)</f>
        <v>American TouristerLaptopBag</v>
      </c>
      <c r="G3595" s="159">
        <v>5</v>
      </c>
      <c r="H3595" s="160">
        <f>VLOOKUP(Sales[[#This Row],[Product ID]],Product[#All],7,0)</f>
        <v>3050</v>
      </c>
      <c r="I3595" s="160">
        <f>Sales[[#This Row],[Selling Rate]]*Sales[[#This Row],[Qty]]</f>
        <v>15250</v>
      </c>
      <c r="J3595" s="43">
        <v>0.05</v>
      </c>
      <c r="K3595" s="44">
        <f>Sales[[#This Row],[Gross Amount]]*Sales[[#This Row],[Disc %]]</f>
        <v>762.5</v>
      </c>
      <c r="L3595" s="43">
        <v>0.18</v>
      </c>
      <c r="M3595" s="44">
        <f>(Sales[[#This Row],[Gross Amount]]-Sales[[#This Row],[Disc. Amt.]])*Sales[[#This Row],[GST %]]</f>
        <v>2607.75</v>
      </c>
      <c r="N3595" s="161">
        <f>Sales[[#This Row],[Gross Amount]]-Sales[[#This Row],[Disc. Amt.]]+Sales[[#This Row],[GST Amount]]</f>
        <v>17095.25</v>
      </c>
      <c r="O3595" s="158" t="s">
        <v>3561</v>
      </c>
      <c r="P3595" s="158" t="s">
        <v>3562</v>
      </c>
      <c r="Q3595" s="160">
        <f>IF(Sales[[#This Row],[Status]]="Cancelled",0,Sales[[#This Row],[Qty]])</f>
        <v>5</v>
      </c>
      <c r="R3595" s="161">
        <f>IF(Sales[[#This Row],[Status]]="Cancelled",0,Sales[[#This Row],[Total Amount]])</f>
        <v>17095.25</v>
      </c>
      <c r="S3595" s="162">
        <f>SUM(Sales[Net Amount])</f>
        <v>406839287.73200053</v>
      </c>
    </row>
    <row r="3596" spans="1:19" ht="18.75" x14ac:dyDescent="0.25">
      <c r="A3596" s="163" t="s">
        <v>7259</v>
      </c>
      <c r="B3596" s="164">
        <v>45956</v>
      </c>
      <c r="C3596" s="34" t="s">
        <v>919</v>
      </c>
      <c r="D3596" s="53" t="str">
        <f>VLOOKUP(Sales[[#This Row],[Customer ID]],Customer[#All],2,0)</f>
        <v>Pooja Patel</v>
      </c>
      <c r="E3596" s="34" t="s">
        <v>219</v>
      </c>
      <c r="F3596" s="34" t="str">
        <f>VLOOKUP(Sales[[#This Row],[Product ID]],Product[#All],2,0)</f>
        <v>Samsung Monitor</v>
      </c>
      <c r="G3596" s="53">
        <v>4</v>
      </c>
      <c r="H3596" s="165">
        <f>VLOOKUP(Sales[[#This Row],[Product ID]],Product[#All],7,0)</f>
        <v>22630</v>
      </c>
      <c r="I3596" s="165">
        <f>Sales[[#This Row],[Selling Rate]]*Sales[[#This Row],[Qty]]</f>
        <v>90520</v>
      </c>
      <c r="J3596" s="45">
        <v>0.12</v>
      </c>
      <c r="K3596" s="46">
        <f>Sales[[#This Row],[Gross Amount]]*Sales[[#This Row],[Disc %]]</f>
        <v>10862.4</v>
      </c>
      <c r="L3596" s="43">
        <v>0.18</v>
      </c>
      <c r="M3596" s="46">
        <f>(Sales[[#This Row],[Gross Amount]]-Sales[[#This Row],[Disc. Amt.]])*Sales[[#This Row],[GST %]]</f>
        <v>14338.368</v>
      </c>
      <c r="N3596" s="161">
        <f>Sales[[#This Row],[Gross Amount]]-Sales[[#This Row],[Disc. Amt.]]+Sales[[#This Row],[GST Amount]]</f>
        <v>93995.968000000008</v>
      </c>
      <c r="O3596" s="34" t="s">
        <v>3566</v>
      </c>
      <c r="P3596" s="34" t="s">
        <v>3562</v>
      </c>
      <c r="Q3596" s="165">
        <f>IF(Sales[[#This Row],[Status]]="Cancelled",0,Sales[[#This Row],[Qty]])</f>
        <v>4</v>
      </c>
      <c r="R3596" s="166">
        <f>IF(Sales[[#This Row],[Status]]="Cancelled",0,Sales[[#This Row],[Total Amount]])</f>
        <v>93995.968000000008</v>
      </c>
      <c r="S3596" s="162">
        <f>SUM(Sales[Net Amount])</f>
        <v>406839287.73200053</v>
      </c>
    </row>
    <row r="3597" spans="1:19" ht="18.75" x14ac:dyDescent="0.25">
      <c r="A3597" s="156" t="s">
        <v>7260</v>
      </c>
      <c r="B3597" s="157">
        <v>45956</v>
      </c>
      <c r="C3597" s="158" t="s">
        <v>722</v>
      </c>
      <c r="D3597" s="159" t="str">
        <f>VLOOKUP(Sales[[#This Row],[Customer ID]],Customer[#All],2,0)</f>
        <v>Vikas Patel</v>
      </c>
      <c r="E3597" s="158" t="s">
        <v>357</v>
      </c>
      <c r="F3597" s="158" t="str">
        <f>VLOOKUP(Sales[[#This Row],[Product ID]],Product[#All],2,0)</f>
        <v>Samsung Ssd</v>
      </c>
      <c r="G3597" s="159">
        <v>8</v>
      </c>
      <c r="H3597" s="160">
        <f>VLOOKUP(Sales[[#This Row],[Product ID]],Product[#All],7,0)</f>
        <v>9070</v>
      </c>
      <c r="I3597" s="160">
        <f>Sales[[#This Row],[Selling Rate]]*Sales[[#This Row],[Qty]]</f>
        <v>72560</v>
      </c>
      <c r="J3597" s="43">
        <v>0.1</v>
      </c>
      <c r="K3597" s="44">
        <f>Sales[[#This Row],[Gross Amount]]*Sales[[#This Row],[Disc %]]</f>
        <v>7256</v>
      </c>
      <c r="L3597" s="43">
        <v>0.18</v>
      </c>
      <c r="M3597" s="44">
        <f>(Sales[[#This Row],[Gross Amount]]-Sales[[#This Row],[Disc. Amt.]])*Sales[[#This Row],[GST %]]</f>
        <v>11754.72</v>
      </c>
      <c r="N3597" s="161">
        <f>Sales[[#This Row],[Gross Amount]]-Sales[[#This Row],[Disc. Amt.]]+Sales[[#This Row],[GST Amount]]</f>
        <v>77058.720000000001</v>
      </c>
      <c r="O3597" s="158" t="s">
        <v>3569</v>
      </c>
      <c r="P3597" s="158" t="s">
        <v>3562</v>
      </c>
      <c r="Q3597" s="160">
        <f>IF(Sales[[#This Row],[Status]]="Cancelled",0,Sales[[#This Row],[Qty]])</f>
        <v>8</v>
      </c>
      <c r="R3597" s="161">
        <f>IF(Sales[[#This Row],[Status]]="Cancelled",0,Sales[[#This Row],[Total Amount]])</f>
        <v>77058.720000000001</v>
      </c>
      <c r="S3597" s="162">
        <f>SUM(Sales[Net Amount])</f>
        <v>406839287.73200053</v>
      </c>
    </row>
    <row r="3598" spans="1:19" ht="18.75" x14ac:dyDescent="0.25">
      <c r="A3598" s="163" t="s">
        <v>7261</v>
      </c>
      <c r="B3598" s="164">
        <v>45956</v>
      </c>
      <c r="C3598" s="34" t="s">
        <v>930</v>
      </c>
      <c r="D3598" s="53" t="str">
        <f>VLOOKUP(Sales[[#This Row],[Customer ID]],Customer[#All],2,0)</f>
        <v>Rakesh Gupta</v>
      </c>
      <c r="E3598" s="34" t="s">
        <v>518</v>
      </c>
      <c r="F3598" s="34" t="str">
        <f>VLOOKUP(Sales[[#This Row],[Product ID]],Product[#All],2,0)</f>
        <v>Samsung Monitor</v>
      </c>
      <c r="G3598" s="53">
        <v>7</v>
      </c>
      <c r="H3598" s="165">
        <f>VLOOKUP(Sales[[#This Row],[Product ID]],Product[#All],7,0)</f>
        <v>23660</v>
      </c>
      <c r="I3598" s="165">
        <f>Sales[[#This Row],[Selling Rate]]*Sales[[#This Row],[Qty]]</f>
        <v>165620</v>
      </c>
      <c r="J3598" s="45">
        <v>0.12</v>
      </c>
      <c r="K3598" s="46">
        <f>Sales[[#This Row],[Gross Amount]]*Sales[[#This Row],[Disc %]]</f>
        <v>19874.399999999998</v>
      </c>
      <c r="L3598" s="43">
        <v>0.18</v>
      </c>
      <c r="M3598" s="46">
        <f>(Sales[[#This Row],[Gross Amount]]-Sales[[#This Row],[Disc. Amt.]])*Sales[[#This Row],[GST %]]</f>
        <v>26234.207999999999</v>
      </c>
      <c r="N3598" s="161">
        <f>Sales[[#This Row],[Gross Amount]]-Sales[[#This Row],[Disc. Amt.]]+Sales[[#This Row],[GST Amount]]</f>
        <v>171979.80800000002</v>
      </c>
      <c r="O3598" s="34" t="s">
        <v>3566</v>
      </c>
      <c r="P3598" s="34" t="s">
        <v>3562</v>
      </c>
      <c r="Q3598" s="165">
        <f>IF(Sales[[#This Row],[Status]]="Cancelled",0,Sales[[#This Row],[Qty]])</f>
        <v>7</v>
      </c>
      <c r="R3598" s="166">
        <f>IF(Sales[[#This Row],[Status]]="Cancelled",0,Sales[[#This Row],[Total Amount]])</f>
        <v>171979.80800000002</v>
      </c>
      <c r="S3598" s="162">
        <f>SUM(Sales[Net Amount])</f>
        <v>406839287.73200053</v>
      </c>
    </row>
    <row r="3599" spans="1:19" ht="18.75" x14ac:dyDescent="0.25">
      <c r="A3599" s="156" t="s">
        <v>7262</v>
      </c>
      <c r="B3599" s="157">
        <v>45956</v>
      </c>
      <c r="C3599" s="158" t="s">
        <v>753</v>
      </c>
      <c r="D3599" s="159" t="str">
        <f>VLOOKUP(Sales[[#This Row],[Customer ID]],Customer[#All],2,0)</f>
        <v>Sunita Gupta</v>
      </c>
      <c r="E3599" s="158" t="s">
        <v>250</v>
      </c>
      <c r="F3599" s="158" t="str">
        <f>VLOOKUP(Sales[[#This Row],[Product ID]],Product[#All],2,0)</f>
        <v>Corsair Ram</v>
      </c>
      <c r="G3599" s="159">
        <v>7</v>
      </c>
      <c r="H3599" s="160">
        <f>VLOOKUP(Sales[[#This Row],[Product ID]],Product[#All],7,0)</f>
        <v>12160</v>
      </c>
      <c r="I3599" s="160">
        <f>Sales[[#This Row],[Selling Rate]]*Sales[[#This Row],[Qty]]</f>
        <v>85120</v>
      </c>
      <c r="J3599" s="43">
        <v>0.1</v>
      </c>
      <c r="K3599" s="44">
        <f>Sales[[#This Row],[Gross Amount]]*Sales[[#This Row],[Disc %]]</f>
        <v>8512</v>
      </c>
      <c r="L3599" s="43">
        <v>0.18</v>
      </c>
      <c r="M3599" s="44">
        <f>(Sales[[#This Row],[Gross Amount]]-Sales[[#This Row],[Disc. Amt.]])*Sales[[#This Row],[GST %]]</f>
        <v>13789.439999999999</v>
      </c>
      <c r="N3599" s="161">
        <f>Sales[[#This Row],[Gross Amount]]-Sales[[#This Row],[Disc. Amt.]]+Sales[[#This Row],[GST Amount]]</f>
        <v>90397.440000000002</v>
      </c>
      <c r="O3599" s="158" t="s">
        <v>3569</v>
      </c>
      <c r="P3599" s="158" t="s">
        <v>3562</v>
      </c>
      <c r="Q3599" s="160">
        <f>IF(Sales[[#This Row],[Status]]="Cancelled",0,Sales[[#This Row],[Qty]])</f>
        <v>7</v>
      </c>
      <c r="R3599" s="161">
        <f>IF(Sales[[#This Row],[Status]]="Cancelled",0,Sales[[#This Row],[Total Amount]])</f>
        <v>90397.440000000002</v>
      </c>
      <c r="S3599" s="162">
        <f>SUM(Sales[Net Amount])</f>
        <v>406839287.73200053</v>
      </c>
    </row>
    <row r="3600" spans="1:19" ht="18.75" x14ac:dyDescent="0.25">
      <c r="A3600" s="163" t="s">
        <v>7263</v>
      </c>
      <c r="B3600" s="164">
        <v>45956</v>
      </c>
      <c r="C3600" s="34" t="s">
        <v>716</v>
      </c>
      <c r="D3600" s="53" t="str">
        <f>VLOOKUP(Sales[[#This Row],[Customer ID]],Customer[#All],2,0)</f>
        <v>Ankit Kumar</v>
      </c>
      <c r="E3600" s="34" t="s">
        <v>179</v>
      </c>
      <c r="F3600" s="34" t="str">
        <f>VLOOKUP(Sales[[#This Row],[Product ID]],Product[#All],2,0)</f>
        <v>TP-link Wi-Fi Adapter</v>
      </c>
      <c r="G3600" s="53">
        <v>4</v>
      </c>
      <c r="H3600" s="165">
        <f>VLOOKUP(Sales[[#This Row],[Product ID]],Product[#All],7,0)</f>
        <v>1490</v>
      </c>
      <c r="I3600" s="165">
        <f>Sales[[#This Row],[Selling Rate]]*Sales[[#This Row],[Qty]]</f>
        <v>5960</v>
      </c>
      <c r="J3600" s="45">
        <v>0.05</v>
      </c>
      <c r="K3600" s="46">
        <f>Sales[[#This Row],[Gross Amount]]*Sales[[#This Row],[Disc %]]</f>
        <v>298</v>
      </c>
      <c r="L3600" s="43">
        <v>0.18</v>
      </c>
      <c r="M3600" s="46">
        <f>(Sales[[#This Row],[Gross Amount]]-Sales[[#This Row],[Disc. Amt.]])*Sales[[#This Row],[GST %]]</f>
        <v>1019.16</v>
      </c>
      <c r="N3600" s="161">
        <f>Sales[[#This Row],[Gross Amount]]-Sales[[#This Row],[Disc. Amt.]]+Sales[[#This Row],[GST Amount]]</f>
        <v>6681.16</v>
      </c>
      <c r="O3600" s="34" t="s">
        <v>3561</v>
      </c>
      <c r="P3600" s="34" t="s">
        <v>3562</v>
      </c>
      <c r="Q3600" s="165">
        <f>IF(Sales[[#This Row],[Status]]="Cancelled",0,Sales[[#This Row],[Qty]])</f>
        <v>4</v>
      </c>
      <c r="R3600" s="166">
        <f>IF(Sales[[#This Row],[Status]]="Cancelled",0,Sales[[#This Row],[Total Amount]])</f>
        <v>6681.16</v>
      </c>
      <c r="S3600" s="162">
        <f>SUM(Sales[Net Amount])</f>
        <v>406839287.73200053</v>
      </c>
    </row>
    <row r="3601" spans="1:19" ht="18.75" x14ac:dyDescent="0.25">
      <c r="A3601" s="156" t="s">
        <v>7264</v>
      </c>
      <c r="B3601" s="157">
        <v>45956</v>
      </c>
      <c r="C3601" s="158" t="s">
        <v>761</v>
      </c>
      <c r="D3601" s="159" t="str">
        <f>VLOOKUP(Sales[[#This Row],[Customer ID]],Customer[#All],2,0)</f>
        <v>Priya Verma</v>
      </c>
      <c r="E3601" s="158" t="s">
        <v>525</v>
      </c>
      <c r="F3601" s="158" t="str">
        <f>VLOOKUP(Sales[[#This Row],[Product ID]],Product[#All],2,0)</f>
        <v>TP-link Wi-Fi Adapter</v>
      </c>
      <c r="G3601" s="159">
        <v>7</v>
      </c>
      <c r="H3601" s="160">
        <f>VLOOKUP(Sales[[#This Row],[Product ID]],Product[#All],7,0)</f>
        <v>1910</v>
      </c>
      <c r="I3601" s="160">
        <f>Sales[[#This Row],[Selling Rate]]*Sales[[#This Row],[Qty]]</f>
        <v>13370</v>
      </c>
      <c r="J3601" s="43">
        <v>0.05</v>
      </c>
      <c r="K3601" s="44">
        <f>Sales[[#This Row],[Gross Amount]]*Sales[[#This Row],[Disc %]]</f>
        <v>668.5</v>
      </c>
      <c r="L3601" s="43">
        <v>0.18</v>
      </c>
      <c r="M3601" s="44">
        <f>(Sales[[#This Row],[Gross Amount]]-Sales[[#This Row],[Disc. Amt.]])*Sales[[#This Row],[GST %]]</f>
        <v>2286.27</v>
      </c>
      <c r="N3601" s="161">
        <f>Sales[[#This Row],[Gross Amount]]-Sales[[#This Row],[Disc. Amt.]]+Sales[[#This Row],[GST Amount]]</f>
        <v>14987.77</v>
      </c>
      <c r="O3601" s="158" t="s">
        <v>3561</v>
      </c>
      <c r="P3601" s="158" t="s">
        <v>3562</v>
      </c>
      <c r="Q3601" s="160">
        <f>IF(Sales[[#This Row],[Status]]="Cancelled",0,Sales[[#This Row],[Qty]])</f>
        <v>7</v>
      </c>
      <c r="R3601" s="161">
        <f>IF(Sales[[#This Row],[Status]]="Cancelled",0,Sales[[#This Row],[Total Amount]])</f>
        <v>14987.77</v>
      </c>
      <c r="S3601" s="162">
        <f>SUM(Sales[Net Amount])</f>
        <v>406839287.73200053</v>
      </c>
    </row>
    <row r="3602" spans="1:19" ht="18.75" x14ac:dyDescent="0.25">
      <c r="A3602" s="163" t="s">
        <v>7265</v>
      </c>
      <c r="B3602" s="164">
        <v>45956</v>
      </c>
      <c r="C3602" s="34" t="s">
        <v>917</v>
      </c>
      <c r="D3602" s="53" t="str">
        <f>VLOOKUP(Sales[[#This Row],[Customer ID]],Customer[#All],2,0)</f>
        <v>Sahil Gupta</v>
      </c>
      <c r="E3602" s="34" t="s">
        <v>292</v>
      </c>
      <c r="F3602" s="34" t="str">
        <f>VLOOKUP(Sales[[#This Row],[Product ID]],Product[#All],2,0)</f>
        <v>Microtek UPS</v>
      </c>
      <c r="G3602" s="53">
        <v>6</v>
      </c>
      <c r="H3602" s="165">
        <f>VLOOKUP(Sales[[#This Row],[Product ID]],Product[#All],7,0)</f>
        <v>6260</v>
      </c>
      <c r="I3602" s="165">
        <f>Sales[[#This Row],[Selling Rate]]*Sales[[#This Row],[Qty]]</f>
        <v>37560</v>
      </c>
      <c r="J3602" s="45">
        <v>0.05</v>
      </c>
      <c r="K3602" s="46">
        <f>Sales[[#This Row],[Gross Amount]]*Sales[[#This Row],[Disc %]]</f>
        <v>1878</v>
      </c>
      <c r="L3602" s="43">
        <v>0.18</v>
      </c>
      <c r="M3602" s="46">
        <f>(Sales[[#This Row],[Gross Amount]]-Sales[[#This Row],[Disc. Amt.]])*Sales[[#This Row],[GST %]]</f>
        <v>6422.7599999999993</v>
      </c>
      <c r="N3602" s="161">
        <f>Sales[[#This Row],[Gross Amount]]-Sales[[#This Row],[Disc. Amt.]]+Sales[[#This Row],[GST Amount]]</f>
        <v>42104.76</v>
      </c>
      <c r="O3602" s="34" t="s">
        <v>3566</v>
      </c>
      <c r="P3602" s="34" t="s">
        <v>3562</v>
      </c>
      <c r="Q3602" s="165">
        <f>IF(Sales[[#This Row],[Status]]="Cancelled",0,Sales[[#This Row],[Qty]])</f>
        <v>6</v>
      </c>
      <c r="R3602" s="166">
        <f>IF(Sales[[#This Row],[Status]]="Cancelled",0,Sales[[#This Row],[Total Amount]])</f>
        <v>42104.76</v>
      </c>
      <c r="S3602" s="162">
        <f>SUM(Sales[Net Amount])</f>
        <v>406839287.73200053</v>
      </c>
    </row>
    <row r="3603" spans="1:19" ht="18.75" x14ac:dyDescent="0.25">
      <c r="A3603" s="156" t="s">
        <v>7266</v>
      </c>
      <c r="B3603" s="157">
        <v>45956</v>
      </c>
      <c r="C3603" s="158" t="s">
        <v>676</v>
      </c>
      <c r="D3603" s="159" t="str">
        <f>VLOOKUP(Sales[[#This Row],[Customer ID]],Customer[#All],2,0)</f>
        <v>Neha Singh</v>
      </c>
      <c r="E3603" s="158" t="s">
        <v>516</v>
      </c>
      <c r="F3603" s="158" t="str">
        <f>VLOOKUP(Sales[[#This Row],[Product ID]],Product[#All],2,0)</f>
        <v>Boat Headset</v>
      </c>
      <c r="G3603" s="159">
        <v>1</v>
      </c>
      <c r="H3603" s="160">
        <f>VLOOKUP(Sales[[#This Row],[Product ID]],Product[#All],7,0)</f>
        <v>2690</v>
      </c>
      <c r="I3603" s="160">
        <f>Sales[[#This Row],[Selling Rate]]*Sales[[#This Row],[Qty]]</f>
        <v>2690</v>
      </c>
      <c r="J3603" s="43">
        <v>0.1</v>
      </c>
      <c r="K3603" s="44">
        <f>Sales[[#This Row],[Gross Amount]]*Sales[[#This Row],[Disc %]]</f>
        <v>269</v>
      </c>
      <c r="L3603" s="43">
        <v>0.18</v>
      </c>
      <c r="M3603" s="44">
        <f>(Sales[[#This Row],[Gross Amount]]-Sales[[#This Row],[Disc. Amt.]])*Sales[[#This Row],[GST %]]</f>
        <v>435.78</v>
      </c>
      <c r="N3603" s="161">
        <f>Sales[[#This Row],[Gross Amount]]-Sales[[#This Row],[Disc. Amt.]]+Sales[[#This Row],[GST Amount]]</f>
        <v>2856.7799999999997</v>
      </c>
      <c r="O3603" s="158" t="s">
        <v>3569</v>
      </c>
      <c r="P3603" s="158" t="s">
        <v>3562</v>
      </c>
      <c r="Q3603" s="160">
        <f>IF(Sales[[#This Row],[Status]]="Cancelled",0,Sales[[#This Row],[Qty]])</f>
        <v>1</v>
      </c>
      <c r="R3603" s="161">
        <f>IF(Sales[[#This Row],[Status]]="Cancelled",0,Sales[[#This Row],[Total Amount]])</f>
        <v>2856.7799999999997</v>
      </c>
      <c r="S3603" s="162">
        <f>SUM(Sales[Net Amount])</f>
        <v>406839287.73200053</v>
      </c>
    </row>
    <row r="3604" spans="1:19" ht="18.75" x14ac:dyDescent="0.25">
      <c r="A3604" s="163" t="s">
        <v>7267</v>
      </c>
      <c r="B3604" s="164">
        <v>45957</v>
      </c>
      <c r="C3604" s="34" t="s">
        <v>844</v>
      </c>
      <c r="D3604" s="53" t="str">
        <f>VLOOKUP(Sales[[#This Row],[Customer ID]],Customer[#All],2,0)</f>
        <v>Rahul Sharma</v>
      </c>
      <c r="E3604" s="34" t="s">
        <v>176</v>
      </c>
      <c r="F3604" s="34" t="str">
        <f>VLOOKUP(Sales[[#This Row],[Product ID]],Product[#All],2,0)</f>
        <v>Dell Monitor</v>
      </c>
      <c r="G3604" s="53">
        <v>7</v>
      </c>
      <c r="H3604" s="165">
        <f>VLOOKUP(Sales[[#This Row],[Product ID]],Product[#All],7,0)</f>
        <v>18900</v>
      </c>
      <c r="I3604" s="165">
        <f>Sales[[#This Row],[Selling Rate]]*Sales[[#This Row],[Qty]]</f>
        <v>132300</v>
      </c>
      <c r="J3604" s="45">
        <v>0.05</v>
      </c>
      <c r="K3604" s="46">
        <f>Sales[[#This Row],[Gross Amount]]*Sales[[#This Row],[Disc %]]</f>
        <v>6615</v>
      </c>
      <c r="L3604" s="43">
        <v>0.18</v>
      </c>
      <c r="M3604" s="46">
        <f>(Sales[[#This Row],[Gross Amount]]-Sales[[#This Row],[Disc. Amt.]])*Sales[[#This Row],[GST %]]</f>
        <v>22623.3</v>
      </c>
      <c r="N3604" s="161">
        <f>Sales[[#This Row],[Gross Amount]]-Sales[[#This Row],[Disc. Amt.]]+Sales[[#This Row],[GST Amount]]</f>
        <v>148308.29999999999</v>
      </c>
      <c r="O3604" s="34" t="s">
        <v>3566</v>
      </c>
      <c r="P3604" s="34" t="s">
        <v>3562</v>
      </c>
      <c r="Q3604" s="165">
        <f>IF(Sales[[#This Row],[Status]]="Cancelled",0,Sales[[#This Row],[Qty]])</f>
        <v>7</v>
      </c>
      <c r="R3604" s="166">
        <f>IF(Sales[[#This Row],[Status]]="Cancelled",0,Sales[[#This Row],[Total Amount]])</f>
        <v>148308.29999999999</v>
      </c>
      <c r="S3604" s="162">
        <f>SUM(Sales[Net Amount])</f>
        <v>406839287.73200053</v>
      </c>
    </row>
    <row r="3605" spans="1:19" ht="18.75" x14ac:dyDescent="0.25">
      <c r="A3605" s="156" t="s">
        <v>7268</v>
      </c>
      <c r="B3605" s="157">
        <v>45957</v>
      </c>
      <c r="C3605" s="158" t="s">
        <v>824</v>
      </c>
      <c r="D3605" s="159" t="str">
        <f>VLOOKUP(Sales[[#This Row],[Customer ID]],Customer[#All],2,0)</f>
        <v>Sunita Verma</v>
      </c>
      <c r="E3605" s="158" t="s">
        <v>98</v>
      </c>
      <c r="F3605" s="158" t="str">
        <f>VLOOKUP(Sales[[#This Row],[Product ID]],Product[#All],2,0)</f>
        <v>TP-link Bluetooth Adapter</v>
      </c>
      <c r="G3605" s="159">
        <v>6</v>
      </c>
      <c r="H3605" s="160">
        <f>VLOOKUP(Sales[[#This Row],[Product ID]],Product[#All],7,0)</f>
        <v>1420</v>
      </c>
      <c r="I3605" s="160">
        <f>Sales[[#This Row],[Selling Rate]]*Sales[[#This Row],[Qty]]</f>
        <v>8520</v>
      </c>
      <c r="J3605" s="43">
        <v>0.1</v>
      </c>
      <c r="K3605" s="44">
        <f>Sales[[#This Row],[Gross Amount]]*Sales[[#This Row],[Disc %]]</f>
        <v>852</v>
      </c>
      <c r="L3605" s="43">
        <v>0.18</v>
      </c>
      <c r="M3605" s="44">
        <f>(Sales[[#This Row],[Gross Amount]]-Sales[[#This Row],[Disc. Amt.]])*Sales[[#This Row],[GST %]]</f>
        <v>1380.24</v>
      </c>
      <c r="N3605" s="161">
        <f>Sales[[#This Row],[Gross Amount]]-Sales[[#This Row],[Disc. Amt.]]+Sales[[#This Row],[GST Amount]]</f>
        <v>9048.24</v>
      </c>
      <c r="O3605" s="158" t="s">
        <v>3566</v>
      </c>
      <c r="P3605" s="158" t="s">
        <v>3562</v>
      </c>
      <c r="Q3605" s="160">
        <f>IF(Sales[[#This Row],[Status]]="Cancelled",0,Sales[[#This Row],[Qty]])</f>
        <v>6</v>
      </c>
      <c r="R3605" s="161">
        <f>IF(Sales[[#This Row],[Status]]="Cancelled",0,Sales[[#This Row],[Total Amount]])</f>
        <v>9048.24</v>
      </c>
      <c r="S3605" s="162">
        <f>SUM(Sales[Net Amount])</f>
        <v>406839287.73200053</v>
      </c>
    </row>
    <row r="3606" spans="1:19" ht="18.75" x14ac:dyDescent="0.25">
      <c r="A3606" s="163" t="s">
        <v>7269</v>
      </c>
      <c r="B3606" s="164">
        <v>45957</v>
      </c>
      <c r="C3606" s="34" t="s">
        <v>844</v>
      </c>
      <c r="D3606" s="53" t="str">
        <f>VLOOKUP(Sales[[#This Row],[Customer ID]],Customer[#All],2,0)</f>
        <v>Rahul Sharma</v>
      </c>
      <c r="E3606" s="34" t="s">
        <v>280</v>
      </c>
      <c r="F3606" s="34" t="str">
        <f>VLOOKUP(Sales[[#This Row],[Product ID]],Product[#All],2,0)</f>
        <v>Epson Printer</v>
      </c>
      <c r="G3606" s="53">
        <v>8</v>
      </c>
      <c r="H3606" s="165">
        <f>VLOOKUP(Sales[[#This Row],[Product ID]],Product[#All],7,0)</f>
        <v>34550</v>
      </c>
      <c r="I3606" s="165">
        <f>Sales[[#This Row],[Selling Rate]]*Sales[[#This Row],[Qty]]</f>
        <v>276400</v>
      </c>
      <c r="J3606" s="45">
        <v>0.05</v>
      </c>
      <c r="K3606" s="46">
        <f>Sales[[#This Row],[Gross Amount]]*Sales[[#This Row],[Disc %]]</f>
        <v>13820</v>
      </c>
      <c r="L3606" s="43">
        <v>0.18</v>
      </c>
      <c r="M3606" s="46">
        <f>(Sales[[#This Row],[Gross Amount]]-Sales[[#This Row],[Disc. Amt.]])*Sales[[#This Row],[GST %]]</f>
        <v>47264.4</v>
      </c>
      <c r="N3606" s="161">
        <f>Sales[[#This Row],[Gross Amount]]-Sales[[#This Row],[Disc. Amt.]]+Sales[[#This Row],[GST Amount]]</f>
        <v>309844.40000000002</v>
      </c>
      <c r="O3606" s="34" t="s">
        <v>3569</v>
      </c>
      <c r="P3606" s="34" t="s">
        <v>3562</v>
      </c>
      <c r="Q3606" s="165">
        <f>IF(Sales[[#This Row],[Status]]="Cancelled",0,Sales[[#This Row],[Qty]])</f>
        <v>8</v>
      </c>
      <c r="R3606" s="166">
        <f>IF(Sales[[#This Row],[Status]]="Cancelled",0,Sales[[#This Row],[Total Amount]])</f>
        <v>309844.40000000002</v>
      </c>
      <c r="S3606" s="162">
        <f>SUM(Sales[Net Amount])</f>
        <v>406839287.73200053</v>
      </c>
    </row>
    <row r="3607" spans="1:19" ht="18.75" x14ac:dyDescent="0.25">
      <c r="A3607" s="156" t="s">
        <v>7270</v>
      </c>
      <c r="B3607" s="157">
        <v>45957</v>
      </c>
      <c r="C3607" s="158" t="s">
        <v>901</v>
      </c>
      <c r="D3607" s="159" t="str">
        <f>VLOOKUP(Sales[[#This Row],[Customer ID]],Customer[#All],2,0)</f>
        <v>Vikas Kumar</v>
      </c>
      <c r="E3607" s="158" t="s">
        <v>164</v>
      </c>
      <c r="F3607" s="158" t="str">
        <f>VLOOKUP(Sales[[#This Row],[Product ID]],Product[#All],2,0)</f>
        <v>Jbl Headset</v>
      </c>
      <c r="G3607" s="159">
        <v>1</v>
      </c>
      <c r="H3607" s="160">
        <f>VLOOKUP(Sales[[#This Row],[Product ID]],Product[#All],7,0)</f>
        <v>3360</v>
      </c>
      <c r="I3607" s="160">
        <f>Sales[[#This Row],[Selling Rate]]*Sales[[#This Row],[Qty]]</f>
        <v>3360</v>
      </c>
      <c r="J3607" s="43">
        <v>0.1</v>
      </c>
      <c r="K3607" s="44">
        <f>Sales[[#This Row],[Gross Amount]]*Sales[[#This Row],[Disc %]]</f>
        <v>336</v>
      </c>
      <c r="L3607" s="43">
        <v>0.18</v>
      </c>
      <c r="M3607" s="44">
        <f>(Sales[[#This Row],[Gross Amount]]-Sales[[#This Row],[Disc. Amt.]])*Sales[[#This Row],[GST %]]</f>
        <v>544.31999999999994</v>
      </c>
      <c r="N3607" s="161">
        <f>Sales[[#This Row],[Gross Amount]]-Sales[[#This Row],[Disc. Amt.]]+Sales[[#This Row],[GST Amount]]</f>
        <v>3568.3199999999997</v>
      </c>
      <c r="O3607" s="158" t="s">
        <v>3569</v>
      </c>
      <c r="P3607" s="158" t="s">
        <v>3562</v>
      </c>
      <c r="Q3607" s="160">
        <f>IF(Sales[[#This Row],[Status]]="Cancelled",0,Sales[[#This Row],[Qty]])</f>
        <v>1</v>
      </c>
      <c r="R3607" s="161">
        <f>IF(Sales[[#This Row],[Status]]="Cancelled",0,Sales[[#This Row],[Total Amount]])</f>
        <v>3568.3199999999997</v>
      </c>
      <c r="S3607" s="162">
        <f>SUM(Sales[Net Amount])</f>
        <v>406839287.73200053</v>
      </c>
    </row>
    <row r="3608" spans="1:19" ht="18.75" x14ac:dyDescent="0.25">
      <c r="A3608" s="163" t="s">
        <v>7271</v>
      </c>
      <c r="B3608" s="164">
        <v>45957</v>
      </c>
      <c r="C3608" s="34" t="s">
        <v>811</v>
      </c>
      <c r="D3608" s="53" t="str">
        <f>VLOOKUP(Sales[[#This Row],[Customer ID]],Customer[#All],2,0)</f>
        <v>Rahul Sharma</v>
      </c>
      <c r="E3608" s="34" t="s">
        <v>383</v>
      </c>
      <c r="F3608" s="34" t="str">
        <f>VLOOKUP(Sales[[#This Row],[Product ID]],Product[#All],2,0)</f>
        <v>Logitech Mouse</v>
      </c>
      <c r="G3608" s="53">
        <v>8</v>
      </c>
      <c r="H3608" s="165">
        <f>VLOOKUP(Sales[[#This Row],[Product ID]],Product[#All],7,0)</f>
        <v>3080</v>
      </c>
      <c r="I3608" s="165">
        <f>Sales[[#This Row],[Selling Rate]]*Sales[[#This Row],[Qty]]</f>
        <v>24640</v>
      </c>
      <c r="J3608" s="45">
        <v>0.02</v>
      </c>
      <c r="K3608" s="46">
        <f>Sales[[#This Row],[Gross Amount]]*Sales[[#This Row],[Disc %]]</f>
        <v>492.8</v>
      </c>
      <c r="L3608" s="43">
        <v>0.18</v>
      </c>
      <c r="M3608" s="46">
        <f>(Sales[[#This Row],[Gross Amount]]-Sales[[#This Row],[Disc. Amt.]])*Sales[[#This Row],[GST %]]</f>
        <v>4346.4960000000001</v>
      </c>
      <c r="N3608" s="161">
        <f>Sales[[#This Row],[Gross Amount]]-Sales[[#This Row],[Disc. Amt.]]+Sales[[#This Row],[GST Amount]]</f>
        <v>28493.696</v>
      </c>
      <c r="O3608" s="34" t="s">
        <v>3566</v>
      </c>
      <c r="P3608" s="34" t="s">
        <v>3562</v>
      </c>
      <c r="Q3608" s="165">
        <f>IF(Sales[[#This Row],[Status]]="Cancelled",0,Sales[[#This Row],[Qty]])</f>
        <v>8</v>
      </c>
      <c r="R3608" s="166">
        <f>IF(Sales[[#This Row],[Status]]="Cancelled",0,Sales[[#This Row],[Total Amount]])</f>
        <v>28493.696</v>
      </c>
      <c r="S3608" s="162">
        <f>SUM(Sales[Net Amount])</f>
        <v>406839287.73200053</v>
      </c>
    </row>
    <row r="3609" spans="1:19" ht="18.75" x14ac:dyDescent="0.25">
      <c r="A3609" s="156" t="s">
        <v>7272</v>
      </c>
      <c r="B3609" s="157">
        <v>45957</v>
      </c>
      <c r="C3609" s="158" t="s">
        <v>721</v>
      </c>
      <c r="D3609" s="159" t="str">
        <f>VLOOKUP(Sales[[#This Row],[Customer ID]],Customer[#All],2,0)</f>
        <v>Sahil Sharma</v>
      </c>
      <c r="E3609" s="158" t="s">
        <v>360</v>
      </c>
      <c r="F3609" s="158" t="str">
        <f>VLOOKUP(Sales[[#This Row],[Product ID]],Product[#All],2,0)</f>
        <v>Canon Printer</v>
      </c>
      <c r="G3609" s="159">
        <v>4</v>
      </c>
      <c r="H3609" s="160">
        <f>VLOOKUP(Sales[[#This Row],[Product ID]],Product[#All],7,0)</f>
        <v>29670</v>
      </c>
      <c r="I3609" s="160">
        <f>Sales[[#This Row],[Selling Rate]]*Sales[[#This Row],[Qty]]</f>
        <v>118680</v>
      </c>
      <c r="J3609" s="43">
        <v>0.1</v>
      </c>
      <c r="K3609" s="44">
        <f>Sales[[#This Row],[Gross Amount]]*Sales[[#This Row],[Disc %]]</f>
        <v>11868</v>
      </c>
      <c r="L3609" s="43">
        <v>0.18</v>
      </c>
      <c r="M3609" s="44">
        <f>(Sales[[#This Row],[Gross Amount]]-Sales[[#This Row],[Disc. Amt.]])*Sales[[#This Row],[GST %]]</f>
        <v>19226.16</v>
      </c>
      <c r="N3609" s="161">
        <f>Sales[[#This Row],[Gross Amount]]-Sales[[#This Row],[Disc. Amt.]]+Sales[[#This Row],[GST Amount]]</f>
        <v>126038.16</v>
      </c>
      <c r="O3609" s="158" t="s">
        <v>3566</v>
      </c>
      <c r="P3609" s="158" t="s">
        <v>3562</v>
      </c>
      <c r="Q3609" s="160">
        <f>IF(Sales[[#This Row],[Status]]="Cancelled",0,Sales[[#This Row],[Qty]])</f>
        <v>4</v>
      </c>
      <c r="R3609" s="161">
        <f>IF(Sales[[#This Row],[Status]]="Cancelled",0,Sales[[#This Row],[Total Amount]])</f>
        <v>126038.16</v>
      </c>
      <c r="S3609" s="162">
        <f>SUM(Sales[Net Amount])</f>
        <v>406839287.73200053</v>
      </c>
    </row>
    <row r="3610" spans="1:19" ht="18.75" x14ac:dyDescent="0.25">
      <c r="A3610" s="163" t="s">
        <v>7273</v>
      </c>
      <c r="B3610" s="164">
        <v>45957</v>
      </c>
      <c r="C3610" s="34" t="s">
        <v>727</v>
      </c>
      <c r="D3610" s="53" t="str">
        <f>VLOOKUP(Sales[[#This Row],[Customer ID]],Customer[#All],2,0)</f>
        <v>Sahil Sharma</v>
      </c>
      <c r="E3610" s="34" t="s">
        <v>484</v>
      </c>
      <c r="F3610" s="34" t="str">
        <f>VLOOKUP(Sales[[#This Row],[Product ID]],Product[#All],2,0)</f>
        <v>Dell Desktop</v>
      </c>
      <c r="G3610" s="53">
        <v>5</v>
      </c>
      <c r="H3610" s="165">
        <f>VLOOKUP(Sales[[#This Row],[Product ID]],Product[#All],7,0)</f>
        <v>68710</v>
      </c>
      <c r="I3610" s="165">
        <f>Sales[[#This Row],[Selling Rate]]*Sales[[#This Row],[Qty]]</f>
        <v>343550</v>
      </c>
      <c r="J3610" s="45">
        <v>0.05</v>
      </c>
      <c r="K3610" s="46">
        <f>Sales[[#This Row],[Gross Amount]]*Sales[[#This Row],[Disc %]]</f>
        <v>17177.5</v>
      </c>
      <c r="L3610" s="43">
        <v>0.18</v>
      </c>
      <c r="M3610" s="46">
        <f>(Sales[[#This Row],[Gross Amount]]-Sales[[#This Row],[Disc. Amt.]])*Sales[[#This Row],[GST %]]</f>
        <v>58747.049999999996</v>
      </c>
      <c r="N3610" s="161">
        <f>Sales[[#This Row],[Gross Amount]]-Sales[[#This Row],[Disc. Amt.]]+Sales[[#This Row],[GST Amount]]</f>
        <v>385119.55</v>
      </c>
      <c r="O3610" s="34" t="s">
        <v>3566</v>
      </c>
      <c r="P3610" s="34" t="s">
        <v>3562</v>
      </c>
      <c r="Q3610" s="165">
        <f>IF(Sales[[#This Row],[Status]]="Cancelled",0,Sales[[#This Row],[Qty]])</f>
        <v>5</v>
      </c>
      <c r="R3610" s="166">
        <f>IF(Sales[[#This Row],[Status]]="Cancelled",0,Sales[[#This Row],[Total Amount]])</f>
        <v>385119.55</v>
      </c>
      <c r="S3610" s="162">
        <f>SUM(Sales[Net Amount])</f>
        <v>406839287.73200053</v>
      </c>
    </row>
    <row r="3611" spans="1:19" ht="18.75" x14ac:dyDescent="0.25">
      <c r="A3611" s="156" t="s">
        <v>7274</v>
      </c>
      <c r="B3611" s="157">
        <v>45957</v>
      </c>
      <c r="C3611" s="158" t="s">
        <v>904</v>
      </c>
      <c r="D3611" s="159" t="str">
        <f>VLOOKUP(Sales[[#This Row],[Customer ID]],Customer[#All],2,0)</f>
        <v>Sahil Patel</v>
      </c>
      <c r="E3611" s="158" t="s">
        <v>383</v>
      </c>
      <c r="F3611" s="158" t="str">
        <f>VLOOKUP(Sales[[#This Row],[Product ID]],Product[#All],2,0)</f>
        <v>Logitech Mouse</v>
      </c>
      <c r="G3611" s="159">
        <v>6</v>
      </c>
      <c r="H3611" s="160">
        <f>VLOOKUP(Sales[[#This Row],[Product ID]],Product[#All],7,0)</f>
        <v>3080</v>
      </c>
      <c r="I3611" s="160">
        <f>Sales[[#This Row],[Selling Rate]]*Sales[[#This Row],[Qty]]</f>
        <v>18480</v>
      </c>
      <c r="J3611" s="43">
        <v>0.02</v>
      </c>
      <c r="K3611" s="44">
        <f>Sales[[#This Row],[Gross Amount]]*Sales[[#This Row],[Disc %]]</f>
        <v>369.6</v>
      </c>
      <c r="L3611" s="43">
        <v>0.18</v>
      </c>
      <c r="M3611" s="44">
        <f>(Sales[[#This Row],[Gross Amount]]-Sales[[#This Row],[Disc. Amt.]])*Sales[[#This Row],[GST %]]</f>
        <v>3259.8720000000003</v>
      </c>
      <c r="N3611" s="161">
        <f>Sales[[#This Row],[Gross Amount]]-Sales[[#This Row],[Disc. Amt.]]+Sales[[#This Row],[GST Amount]]</f>
        <v>21370.272000000001</v>
      </c>
      <c r="O3611" s="158" t="s">
        <v>3566</v>
      </c>
      <c r="P3611" s="158" t="s">
        <v>3562</v>
      </c>
      <c r="Q3611" s="160">
        <f>IF(Sales[[#This Row],[Status]]="Cancelled",0,Sales[[#This Row],[Qty]])</f>
        <v>6</v>
      </c>
      <c r="R3611" s="161">
        <f>IF(Sales[[#This Row],[Status]]="Cancelled",0,Sales[[#This Row],[Total Amount]])</f>
        <v>21370.272000000001</v>
      </c>
      <c r="S3611" s="162">
        <f>SUM(Sales[Net Amount])</f>
        <v>406839287.73200053</v>
      </c>
    </row>
    <row r="3612" spans="1:19" ht="18.75" x14ac:dyDescent="0.25">
      <c r="A3612" s="163" t="s">
        <v>7275</v>
      </c>
      <c r="B3612" s="164">
        <v>45957</v>
      </c>
      <c r="C3612" s="34" t="s">
        <v>789</v>
      </c>
      <c r="D3612" s="53" t="str">
        <f>VLOOKUP(Sales[[#This Row],[Customer ID]],Customer[#All],2,0)</f>
        <v>Ankit Patel</v>
      </c>
      <c r="E3612" s="34" t="s">
        <v>534</v>
      </c>
      <c r="F3612" s="34" t="str">
        <f>VLOOKUP(Sales[[#This Row],[Product ID]],Product[#All],2,0)</f>
        <v>Dell Laptop</v>
      </c>
      <c r="G3612" s="53">
        <v>8</v>
      </c>
      <c r="H3612" s="165">
        <f>VLOOKUP(Sales[[#This Row],[Product ID]],Product[#All],7,0)</f>
        <v>35560</v>
      </c>
      <c r="I3612" s="165">
        <f>Sales[[#This Row],[Selling Rate]]*Sales[[#This Row],[Qty]]</f>
        <v>284480</v>
      </c>
      <c r="J3612" s="45">
        <v>0</v>
      </c>
      <c r="K3612" s="46">
        <f>Sales[[#This Row],[Gross Amount]]*Sales[[#This Row],[Disc %]]</f>
        <v>0</v>
      </c>
      <c r="L3612" s="43">
        <v>0.18</v>
      </c>
      <c r="M3612" s="46">
        <f>(Sales[[#This Row],[Gross Amount]]-Sales[[#This Row],[Disc. Amt.]])*Sales[[#This Row],[GST %]]</f>
        <v>51206.400000000001</v>
      </c>
      <c r="N3612" s="161">
        <f>Sales[[#This Row],[Gross Amount]]-Sales[[#This Row],[Disc. Amt.]]+Sales[[#This Row],[GST Amount]]</f>
        <v>335686.40000000002</v>
      </c>
      <c r="O3612" s="34" t="s">
        <v>8876</v>
      </c>
      <c r="P3612" s="34" t="s">
        <v>1040</v>
      </c>
      <c r="Q3612" s="165">
        <f>IF(Sales[[#This Row],[Status]]="Cancelled",0,Sales[[#This Row],[Qty]])</f>
        <v>0</v>
      </c>
      <c r="R3612" s="166">
        <f>IF(Sales[[#This Row],[Status]]="Cancelled",0,Sales[[#This Row],[Total Amount]])</f>
        <v>0</v>
      </c>
      <c r="S3612" s="162">
        <f>SUM(Sales[Net Amount])</f>
        <v>406839287.73200053</v>
      </c>
    </row>
    <row r="3613" spans="1:19" ht="18.75" x14ac:dyDescent="0.25">
      <c r="A3613" s="156" t="s">
        <v>7276</v>
      </c>
      <c r="B3613" s="157">
        <v>45957</v>
      </c>
      <c r="C3613" s="158" t="s">
        <v>744</v>
      </c>
      <c r="D3613" s="159" t="str">
        <f>VLOOKUP(Sales[[#This Row],[Customer ID]],Customer[#All],2,0)</f>
        <v>Rakesh Patel</v>
      </c>
      <c r="E3613" s="158" t="s">
        <v>175</v>
      </c>
      <c r="F3613" s="158" t="str">
        <f>VLOOKUP(Sales[[#This Row],[Product ID]],Product[#All],2,0)</f>
        <v>Boat Headset</v>
      </c>
      <c r="G3613" s="159">
        <v>1</v>
      </c>
      <c r="H3613" s="160">
        <f>VLOOKUP(Sales[[#This Row],[Product ID]],Product[#All],7,0)</f>
        <v>2030</v>
      </c>
      <c r="I3613" s="160">
        <f>Sales[[#This Row],[Selling Rate]]*Sales[[#This Row],[Qty]]</f>
        <v>2030</v>
      </c>
      <c r="J3613" s="43">
        <v>0</v>
      </c>
      <c r="K3613" s="44">
        <f>Sales[[#This Row],[Gross Amount]]*Sales[[#This Row],[Disc %]]</f>
        <v>0</v>
      </c>
      <c r="L3613" s="43">
        <v>0.18</v>
      </c>
      <c r="M3613" s="44">
        <f>(Sales[[#This Row],[Gross Amount]]-Sales[[#This Row],[Disc. Amt.]])*Sales[[#This Row],[GST %]]</f>
        <v>365.4</v>
      </c>
      <c r="N3613" s="161">
        <f>Sales[[#This Row],[Gross Amount]]-Sales[[#This Row],[Disc. Amt.]]+Sales[[#This Row],[GST Amount]]</f>
        <v>2395.4</v>
      </c>
      <c r="O3613" s="158" t="s">
        <v>3561</v>
      </c>
      <c r="P3613" s="158" t="s">
        <v>3562</v>
      </c>
      <c r="Q3613" s="160">
        <f>IF(Sales[[#This Row],[Status]]="Cancelled",0,Sales[[#This Row],[Qty]])</f>
        <v>1</v>
      </c>
      <c r="R3613" s="161">
        <f>IF(Sales[[#This Row],[Status]]="Cancelled",0,Sales[[#This Row],[Total Amount]])</f>
        <v>2395.4</v>
      </c>
      <c r="S3613" s="162">
        <f>SUM(Sales[Net Amount])</f>
        <v>406839287.73200053</v>
      </c>
    </row>
    <row r="3614" spans="1:19" ht="18.75" x14ac:dyDescent="0.25">
      <c r="A3614" s="163" t="s">
        <v>7277</v>
      </c>
      <c r="B3614" s="164">
        <v>45957</v>
      </c>
      <c r="C3614" s="34" t="s">
        <v>7278</v>
      </c>
      <c r="D3614" s="53" t="str">
        <f>VLOOKUP(Sales[[#This Row],[Customer ID]],Customer[#All],2,0)</f>
        <v>Priya Patel</v>
      </c>
      <c r="E3614" s="34" t="s">
        <v>121</v>
      </c>
      <c r="F3614" s="34" t="str">
        <f>VLOOKUP(Sales[[#This Row],[Product ID]],Product[#All],2,0)</f>
        <v>Logitech Mouse</v>
      </c>
      <c r="G3614" s="53">
        <v>6</v>
      </c>
      <c r="H3614" s="165">
        <f>VLOOKUP(Sales[[#This Row],[Product ID]],Product[#All],7,0)</f>
        <v>2310</v>
      </c>
      <c r="I3614" s="165">
        <f>Sales[[#This Row],[Selling Rate]]*Sales[[#This Row],[Qty]]</f>
        <v>13860</v>
      </c>
      <c r="J3614" s="45">
        <v>0.1</v>
      </c>
      <c r="K3614" s="46">
        <f>Sales[[#This Row],[Gross Amount]]*Sales[[#This Row],[Disc %]]</f>
        <v>1386</v>
      </c>
      <c r="L3614" s="43">
        <v>0.18</v>
      </c>
      <c r="M3614" s="46">
        <f>(Sales[[#This Row],[Gross Amount]]-Sales[[#This Row],[Disc. Amt.]])*Sales[[#This Row],[GST %]]</f>
        <v>2245.3199999999997</v>
      </c>
      <c r="N3614" s="161">
        <f>Sales[[#This Row],[Gross Amount]]-Sales[[#This Row],[Disc. Amt.]]+Sales[[#This Row],[GST Amount]]</f>
        <v>14719.32</v>
      </c>
      <c r="O3614" s="34" t="s">
        <v>3566</v>
      </c>
      <c r="P3614" s="34" t="s">
        <v>3562</v>
      </c>
      <c r="Q3614" s="165">
        <f>IF(Sales[[#This Row],[Status]]="Cancelled",0,Sales[[#This Row],[Qty]])</f>
        <v>6</v>
      </c>
      <c r="R3614" s="166">
        <f>IF(Sales[[#This Row],[Status]]="Cancelled",0,Sales[[#This Row],[Total Amount]])</f>
        <v>14719.32</v>
      </c>
      <c r="S3614" s="162">
        <f>SUM(Sales[Net Amount])</f>
        <v>406839287.73200053</v>
      </c>
    </row>
    <row r="3615" spans="1:19" ht="18.75" x14ac:dyDescent="0.25">
      <c r="A3615" s="156" t="s">
        <v>7279</v>
      </c>
      <c r="B3615" s="157">
        <v>45957</v>
      </c>
      <c r="C3615" s="158" t="s">
        <v>694</v>
      </c>
      <c r="D3615" s="159" t="str">
        <f>VLOOKUP(Sales[[#This Row],[Customer ID]],Customer[#All],2,0)</f>
        <v>Amit Sharma</v>
      </c>
      <c r="E3615" s="158" t="s">
        <v>427</v>
      </c>
      <c r="F3615" s="158" t="str">
        <f>VLOOKUP(Sales[[#This Row],[Product ID]],Product[#All],2,0)</f>
        <v>Logitech Mouse</v>
      </c>
      <c r="G3615" s="159">
        <v>2</v>
      </c>
      <c r="H3615" s="160">
        <f>VLOOKUP(Sales[[#This Row],[Product ID]],Product[#All],7,0)</f>
        <v>1190</v>
      </c>
      <c r="I3615" s="160">
        <f>Sales[[#This Row],[Selling Rate]]*Sales[[#This Row],[Qty]]</f>
        <v>2380</v>
      </c>
      <c r="J3615" s="43">
        <v>0.15</v>
      </c>
      <c r="K3615" s="44">
        <f>Sales[[#This Row],[Gross Amount]]*Sales[[#This Row],[Disc %]]</f>
        <v>357</v>
      </c>
      <c r="L3615" s="43">
        <v>0.18</v>
      </c>
      <c r="M3615" s="44">
        <f>(Sales[[#This Row],[Gross Amount]]-Sales[[#This Row],[Disc. Amt.]])*Sales[[#This Row],[GST %]]</f>
        <v>364.14</v>
      </c>
      <c r="N3615" s="161">
        <f>Sales[[#This Row],[Gross Amount]]-Sales[[#This Row],[Disc. Amt.]]+Sales[[#This Row],[GST Amount]]</f>
        <v>2387.14</v>
      </c>
      <c r="O3615" s="158" t="s">
        <v>3566</v>
      </c>
      <c r="P3615" s="158" t="s">
        <v>3562</v>
      </c>
      <c r="Q3615" s="160">
        <f>IF(Sales[[#This Row],[Status]]="Cancelled",0,Sales[[#This Row],[Qty]])</f>
        <v>2</v>
      </c>
      <c r="R3615" s="161">
        <f>IF(Sales[[#This Row],[Status]]="Cancelled",0,Sales[[#This Row],[Total Amount]])</f>
        <v>2387.14</v>
      </c>
      <c r="S3615" s="162">
        <f>SUM(Sales[Net Amount])</f>
        <v>406839287.73200053</v>
      </c>
    </row>
    <row r="3616" spans="1:19" ht="18.75" x14ac:dyDescent="0.25">
      <c r="A3616" s="163" t="s">
        <v>7280</v>
      </c>
      <c r="B3616" s="164">
        <v>45957</v>
      </c>
      <c r="C3616" s="34" t="s">
        <v>740</v>
      </c>
      <c r="D3616" s="53" t="str">
        <f>VLOOKUP(Sales[[#This Row],[Customer ID]],Customer[#All],2,0)</f>
        <v>Vikas Gupta</v>
      </c>
      <c r="E3616" s="34" t="s">
        <v>297</v>
      </c>
      <c r="F3616" s="34" t="str">
        <f>VLOOKUP(Sales[[#This Row],[Product ID]],Product[#All],2,0)</f>
        <v>Dell Desktop</v>
      </c>
      <c r="G3616" s="53">
        <v>2</v>
      </c>
      <c r="H3616" s="165">
        <f>VLOOKUP(Sales[[#This Row],[Product ID]],Product[#All],7,0)</f>
        <v>39300</v>
      </c>
      <c r="I3616" s="165">
        <f>Sales[[#This Row],[Selling Rate]]*Sales[[#This Row],[Qty]]</f>
        <v>78600</v>
      </c>
      <c r="J3616" s="45">
        <v>0.1</v>
      </c>
      <c r="K3616" s="46">
        <f>Sales[[#This Row],[Gross Amount]]*Sales[[#This Row],[Disc %]]</f>
        <v>7860</v>
      </c>
      <c r="L3616" s="43">
        <v>0.18</v>
      </c>
      <c r="M3616" s="46">
        <f>(Sales[[#This Row],[Gross Amount]]-Sales[[#This Row],[Disc. Amt.]])*Sales[[#This Row],[GST %]]</f>
        <v>12733.199999999999</v>
      </c>
      <c r="N3616" s="161">
        <f>Sales[[#This Row],[Gross Amount]]-Sales[[#This Row],[Disc. Amt.]]+Sales[[#This Row],[GST Amount]]</f>
        <v>83473.2</v>
      </c>
      <c r="O3616" s="34" t="s">
        <v>3569</v>
      </c>
      <c r="P3616" s="34" t="s">
        <v>3562</v>
      </c>
      <c r="Q3616" s="165">
        <f>IF(Sales[[#This Row],[Status]]="Cancelled",0,Sales[[#This Row],[Qty]])</f>
        <v>2</v>
      </c>
      <c r="R3616" s="166">
        <f>IF(Sales[[#This Row],[Status]]="Cancelled",0,Sales[[#This Row],[Total Amount]])</f>
        <v>83473.2</v>
      </c>
      <c r="S3616" s="162">
        <f>SUM(Sales[Net Amount])</f>
        <v>406839287.73200053</v>
      </c>
    </row>
    <row r="3617" spans="1:19" ht="18.75" x14ac:dyDescent="0.25">
      <c r="A3617" s="156" t="s">
        <v>7281</v>
      </c>
      <c r="B3617" s="157">
        <v>45957</v>
      </c>
      <c r="C3617" s="158" t="s">
        <v>940</v>
      </c>
      <c r="D3617" s="159" t="str">
        <f>VLOOKUP(Sales[[#This Row],[Customer ID]],Customer[#All],2,0)</f>
        <v>Rakesh Sharma</v>
      </c>
      <c r="E3617" s="158" t="s">
        <v>543</v>
      </c>
      <c r="F3617" s="158" t="str">
        <f>VLOOKUP(Sales[[#This Row],[Product ID]],Product[#All],2,0)</f>
        <v>Logitech Mouse</v>
      </c>
      <c r="G3617" s="159">
        <v>3</v>
      </c>
      <c r="H3617" s="160">
        <f>VLOOKUP(Sales[[#This Row],[Product ID]],Product[#All],7,0)</f>
        <v>2430</v>
      </c>
      <c r="I3617" s="160">
        <f>Sales[[#This Row],[Selling Rate]]*Sales[[#This Row],[Qty]]</f>
        <v>7290</v>
      </c>
      <c r="J3617" s="43">
        <v>0</v>
      </c>
      <c r="K3617" s="44">
        <f>Sales[[#This Row],[Gross Amount]]*Sales[[#This Row],[Disc %]]</f>
        <v>0</v>
      </c>
      <c r="L3617" s="43">
        <v>0.18</v>
      </c>
      <c r="M3617" s="44">
        <f>(Sales[[#This Row],[Gross Amount]]-Sales[[#This Row],[Disc. Amt.]])*Sales[[#This Row],[GST %]]</f>
        <v>1312.2</v>
      </c>
      <c r="N3617" s="161">
        <f>Sales[[#This Row],[Gross Amount]]-Sales[[#This Row],[Disc. Amt.]]+Sales[[#This Row],[GST Amount]]</f>
        <v>8602.2000000000007</v>
      </c>
      <c r="O3617" s="158" t="s">
        <v>3561</v>
      </c>
      <c r="P3617" s="158" t="s">
        <v>3562</v>
      </c>
      <c r="Q3617" s="160">
        <f>IF(Sales[[#This Row],[Status]]="Cancelled",0,Sales[[#This Row],[Qty]])</f>
        <v>3</v>
      </c>
      <c r="R3617" s="161">
        <f>IF(Sales[[#This Row],[Status]]="Cancelled",0,Sales[[#This Row],[Total Amount]])</f>
        <v>8602.2000000000007</v>
      </c>
      <c r="S3617" s="162">
        <f>SUM(Sales[Net Amount])</f>
        <v>406839287.73200053</v>
      </c>
    </row>
    <row r="3618" spans="1:19" ht="18.75" x14ac:dyDescent="0.25">
      <c r="A3618" s="163" t="s">
        <v>7282</v>
      </c>
      <c r="B3618" s="164">
        <v>45957</v>
      </c>
      <c r="C3618" s="34" t="s">
        <v>765</v>
      </c>
      <c r="D3618" s="53" t="str">
        <f>VLOOKUP(Sales[[#This Row],[Customer ID]],Customer[#All],2,0)</f>
        <v>Neha Gupta</v>
      </c>
      <c r="E3618" s="34" t="s">
        <v>529</v>
      </c>
      <c r="F3618" s="34" t="str">
        <f>VLOOKUP(Sales[[#This Row],[Product ID]],Product[#All],2,0)</f>
        <v>Logitech Webcam</v>
      </c>
      <c r="G3618" s="53">
        <v>4</v>
      </c>
      <c r="H3618" s="165">
        <f>VLOOKUP(Sales[[#This Row],[Product ID]],Product[#All],7,0)</f>
        <v>3390</v>
      </c>
      <c r="I3618" s="165">
        <f>Sales[[#This Row],[Selling Rate]]*Sales[[#This Row],[Qty]]</f>
        <v>13560</v>
      </c>
      <c r="J3618" s="45">
        <v>0.02</v>
      </c>
      <c r="K3618" s="46">
        <f>Sales[[#This Row],[Gross Amount]]*Sales[[#This Row],[Disc %]]</f>
        <v>271.2</v>
      </c>
      <c r="L3618" s="43">
        <v>0.18</v>
      </c>
      <c r="M3618" s="46">
        <f>(Sales[[#This Row],[Gross Amount]]-Sales[[#This Row],[Disc. Amt.]])*Sales[[#This Row],[GST %]]</f>
        <v>2391.9839999999999</v>
      </c>
      <c r="N3618" s="161">
        <f>Sales[[#This Row],[Gross Amount]]-Sales[[#This Row],[Disc. Amt.]]+Sales[[#This Row],[GST Amount]]</f>
        <v>15680.784</v>
      </c>
      <c r="O3618" s="34" t="s">
        <v>8876</v>
      </c>
      <c r="P3618" s="34" t="s">
        <v>3562</v>
      </c>
      <c r="Q3618" s="165">
        <f>IF(Sales[[#This Row],[Status]]="Cancelled",0,Sales[[#This Row],[Qty]])</f>
        <v>4</v>
      </c>
      <c r="R3618" s="166">
        <f>IF(Sales[[#This Row],[Status]]="Cancelled",0,Sales[[#This Row],[Total Amount]])</f>
        <v>15680.784</v>
      </c>
      <c r="S3618" s="162">
        <f>SUM(Sales[Net Amount])</f>
        <v>406839287.73200053</v>
      </c>
    </row>
    <row r="3619" spans="1:19" ht="18.75" x14ac:dyDescent="0.25">
      <c r="A3619" s="156" t="s">
        <v>7283</v>
      </c>
      <c r="B3619" s="157">
        <v>45957</v>
      </c>
      <c r="C3619" s="158" t="s">
        <v>915</v>
      </c>
      <c r="D3619" s="159" t="str">
        <f>VLOOKUP(Sales[[#This Row],[Customer ID]],Customer[#All],2,0)</f>
        <v>Sunita Kumar</v>
      </c>
      <c r="E3619" s="158" t="s">
        <v>543</v>
      </c>
      <c r="F3619" s="158" t="str">
        <f>VLOOKUP(Sales[[#This Row],[Product ID]],Product[#All],2,0)</f>
        <v>Logitech Mouse</v>
      </c>
      <c r="G3619" s="159">
        <v>6</v>
      </c>
      <c r="H3619" s="160">
        <f>VLOOKUP(Sales[[#This Row],[Product ID]],Product[#All],7,0)</f>
        <v>2430</v>
      </c>
      <c r="I3619" s="160">
        <f>Sales[[#This Row],[Selling Rate]]*Sales[[#This Row],[Qty]]</f>
        <v>14580</v>
      </c>
      <c r="J3619" s="43">
        <v>0.15</v>
      </c>
      <c r="K3619" s="44">
        <f>Sales[[#This Row],[Gross Amount]]*Sales[[#This Row],[Disc %]]</f>
        <v>2187</v>
      </c>
      <c r="L3619" s="43">
        <v>0.18</v>
      </c>
      <c r="M3619" s="44">
        <f>(Sales[[#This Row],[Gross Amount]]-Sales[[#This Row],[Disc. Amt.]])*Sales[[#This Row],[GST %]]</f>
        <v>2230.7399999999998</v>
      </c>
      <c r="N3619" s="161">
        <f>Sales[[#This Row],[Gross Amount]]-Sales[[#This Row],[Disc. Amt.]]+Sales[[#This Row],[GST Amount]]</f>
        <v>14623.74</v>
      </c>
      <c r="O3619" s="158" t="s">
        <v>3566</v>
      </c>
      <c r="P3619" s="158" t="s">
        <v>3562</v>
      </c>
      <c r="Q3619" s="160">
        <f>IF(Sales[[#This Row],[Status]]="Cancelled",0,Sales[[#This Row],[Qty]])</f>
        <v>6</v>
      </c>
      <c r="R3619" s="161">
        <f>IF(Sales[[#This Row],[Status]]="Cancelled",0,Sales[[#This Row],[Total Amount]])</f>
        <v>14623.74</v>
      </c>
      <c r="S3619" s="162">
        <f>SUM(Sales[Net Amount])</f>
        <v>406839287.73200053</v>
      </c>
    </row>
    <row r="3620" spans="1:19" ht="18.75" x14ac:dyDescent="0.25">
      <c r="A3620" s="163" t="s">
        <v>7284</v>
      </c>
      <c r="B3620" s="164">
        <v>45957</v>
      </c>
      <c r="C3620" s="34" t="s">
        <v>847</v>
      </c>
      <c r="D3620" s="53" t="str">
        <f>VLOOKUP(Sales[[#This Row],[Customer ID]],Customer[#All],2,0)</f>
        <v>Ankit Gupta</v>
      </c>
      <c r="E3620" s="34" t="s">
        <v>323</v>
      </c>
      <c r="F3620" s="34" t="str">
        <f>VLOOKUP(Sales[[#This Row],[Product ID]],Product[#All],2,0)</f>
        <v>Dell Desktop</v>
      </c>
      <c r="G3620" s="53">
        <v>6</v>
      </c>
      <c r="H3620" s="165">
        <f>VLOOKUP(Sales[[#This Row],[Product ID]],Product[#All],7,0)</f>
        <v>45070</v>
      </c>
      <c r="I3620" s="165">
        <f>Sales[[#This Row],[Selling Rate]]*Sales[[#This Row],[Qty]]</f>
        <v>270420</v>
      </c>
      <c r="J3620" s="45">
        <v>0.05</v>
      </c>
      <c r="K3620" s="46">
        <f>Sales[[#This Row],[Gross Amount]]*Sales[[#This Row],[Disc %]]</f>
        <v>13521</v>
      </c>
      <c r="L3620" s="43">
        <v>0.18</v>
      </c>
      <c r="M3620" s="46">
        <f>(Sales[[#This Row],[Gross Amount]]-Sales[[#This Row],[Disc. Amt.]])*Sales[[#This Row],[GST %]]</f>
        <v>46241.82</v>
      </c>
      <c r="N3620" s="161">
        <f>Sales[[#This Row],[Gross Amount]]-Sales[[#This Row],[Disc. Amt.]]+Sales[[#This Row],[GST Amount]]</f>
        <v>303140.82</v>
      </c>
      <c r="O3620" s="34" t="s">
        <v>3566</v>
      </c>
      <c r="P3620" s="34" t="s">
        <v>3562</v>
      </c>
      <c r="Q3620" s="165">
        <f>IF(Sales[[#This Row],[Status]]="Cancelled",0,Sales[[#This Row],[Qty]])</f>
        <v>6</v>
      </c>
      <c r="R3620" s="166">
        <f>IF(Sales[[#This Row],[Status]]="Cancelled",0,Sales[[#This Row],[Total Amount]])</f>
        <v>303140.82</v>
      </c>
      <c r="S3620" s="162">
        <f>SUM(Sales[Net Amount])</f>
        <v>406839287.73200053</v>
      </c>
    </row>
    <row r="3621" spans="1:19" ht="18.75" x14ac:dyDescent="0.25">
      <c r="A3621" s="156" t="s">
        <v>7285</v>
      </c>
      <c r="B3621" s="157">
        <v>45957</v>
      </c>
      <c r="C3621" s="158" t="s">
        <v>877</v>
      </c>
      <c r="D3621" s="159" t="str">
        <f>VLOOKUP(Sales[[#This Row],[Customer ID]],Customer[#All],2,0)</f>
        <v>Sahil Patel</v>
      </c>
      <c r="E3621" s="158" t="s">
        <v>178</v>
      </c>
      <c r="F3621" s="158" t="str">
        <f>VLOOKUP(Sales[[#This Row],[Product ID]],Product[#All],2,0)</f>
        <v>Kingston Ram</v>
      </c>
      <c r="G3621" s="159">
        <v>6</v>
      </c>
      <c r="H3621" s="160">
        <f>VLOOKUP(Sales[[#This Row],[Product ID]],Product[#All],7,0)</f>
        <v>9770</v>
      </c>
      <c r="I3621" s="160">
        <f>Sales[[#This Row],[Selling Rate]]*Sales[[#This Row],[Qty]]</f>
        <v>58620</v>
      </c>
      <c r="J3621" s="43">
        <v>0.02</v>
      </c>
      <c r="K3621" s="44">
        <f>Sales[[#This Row],[Gross Amount]]*Sales[[#This Row],[Disc %]]</f>
        <v>1172.4000000000001</v>
      </c>
      <c r="L3621" s="43">
        <v>0.18</v>
      </c>
      <c r="M3621" s="44">
        <f>(Sales[[#This Row],[Gross Amount]]-Sales[[#This Row],[Disc. Amt.]])*Sales[[#This Row],[GST %]]</f>
        <v>10340.567999999999</v>
      </c>
      <c r="N3621" s="161">
        <f>Sales[[#This Row],[Gross Amount]]-Sales[[#This Row],[Disc. Amt.]]+Sales[[#This Row],[GST Amount]]</f>
        <v>67788.168000000005</v>
      </c>
      <c r="O3621" s="158" t="s">
        <v>3566</v>
      </c>
      <c r="P3621" s="158" t="s">
        <v>3562</v>
      </c>
      <c r="Q3621" s="160">
        <f>IF(Sales[[#This Row],[Status]]="Cancelled",0,Sales[[#This Row],[Qty]])</f>
        <v>6</v>
      </c>
      <c r="R3621" s="161">
        <f>IF(Sales[[#This Row],[Status]]="Cancelled",0,Sales[[#This Row],[Total Amount]])</f>
        <v>67788.168000000005</v>
      </c>
      <c r="S3621" s="162">
        <f>SUM(Sales[Net Amount])</f>
        <v>406839287.73200053</v>
      </c>
    </row>
    <row r="3622" spans="1:19" ht="18.75" x14ac:dyDescent="0.25">
      <c r="A3622" s="163" t="s">
        <v>7286</v>
      </c>
      <c r="B3622" s="164">
        <v>45957</v>
      </c>
      <c r="C3622" s="34" t="s">
        <v>935</v>
      </c>
      <c r="D3622" s="53" t="str">
        <f>VLOOKUP(Sales[[#This Row],[Customer ID]],Customer[#All],2,0)</f>
        <v>Ankit Kumar</v>
      </c>
      <c r="E3622" s="34" t="s">
        <v>482</v>
      </c>
      <c r="F3622" s="34" t="str">
        <f>VLOOKUP(Sales[[#This Row],[Product ID]],Product[#All],2,0)</f>
        <v>HP Mouse</v>
      </c>
      <c r="G3622" s="53">
        <v>1</v>
      </c>
      <c r="H3622" s="165">
        <f>VLOOKUP(Sales[[#This Row],[Product ID]],Product[#All],7,0)</f>
        <v>790</v>
      </c>
      <c r="I3622" s="165">
        <f>Sales[[#This Row],[Selling Rate]]*Sales[[#This Row],[Qty]]</f>
        <v>790</v>
      </c>
      <c r="J3622" s="45">
        <v>0.05</v>
      </c>
      <c r="K3622" s="46">
        <f>Sales[[#This Row],[Gross Amount]]*Sales[[#This Row],[Disc %]]</f>
        <v>39.5</v>
      </c>
      <c r="L3622" s="43">
        <v>0.18</v>
      </c>
      <c r="M3622" s="46">
        <f>(Sales[[#This Row],[Gross Amount]]-Sales[[#This Row],[Disc. Amt.]])*Sales[[#This Row],[GST %]]</f>
        <v>135.09</v>
      </c>
      <c r="N3622" s="161">
        <f>Sales[[#This Row],[Gross Amount]]-Sales[[#This Row],[Disc. Amt.]]+Sales[[#This Row],[GST Amount]]</f>
        <v>885.59</v>
      </c>
      <c r="O3622" s="34" t="s">
        <v>3561</v>
      </c>
      <c r="P3622" s="34" t="s">
        <v>3562</v>
      </c>
      <c r="Q3622" s="165">
        <f>IF(Sales[[#This Row],[Status]]="Cancelled",0,Sales[[#This Row],[Qty]])</f>
        <v>1</v>
      </c>
      <c r="R3622" s="166">
        <f>IF(Sales[[#This Row],[Status]]="Cancelled",0,Sales[[#This Row],[Total Amount]])</f>
        <v>885.59</v>
      </c>
      <c r="S3622" s="162">
        <f>SUM(Sales[Net Amount])</f>
        <v>406839287.73200053</v>
      </c>
    </row>
    <row r="3623" spans="1:19" ht="18.75" x14ac:dyDescent="0.25">
      <c r="A3623" s="156" t="s">
        <v>7287</v>
      </c>
      <c r="B3623" s="157">
        <v>45957</v>
      </c>
      <c r="C3623" s="158" t="s">
        <v>4423</v>
      </c>
      <c r="D3623" s="159" t="str">
        <f>VLOOKUP(Sales[[#This Row],[Customer ID]],Customer[#All],2,0)</f>
        <v>Rakesh Sharma</v>
      </c>
      <c r="E3623" s="158" t="s">
        <v>259</v>
      </c>
      <c r="F3623" s="158" t="str">
        <f>VLOOKUP(Sales[[#This Row],[Product ID]],Product[#All],2,0)</f>
        <v>Lg Monitor</v>
      </c>
      <c r="G3623" s="159">
        <v>2</v>
      </c>
      <c r="H3623" s="160">
        <f>VLOOKUP(Sales[[#This Row],[Product ID]],Product[#All],7,0)</f>
        <v>28600</v>
      </c>
      <c r="I3623" s="160">
        <f>Sales[[#This Row],[Selling Rate]]*Sales[[#This Row],[Qty]]</f>
        <v>57200</v>
      </c>
      <c r="J3623" s="43">
        <v>0.15</v>
      </c>
      <c r="K3623" s="44">
        <f>Sales[[#This Row],[Gross Amount]]*Sales[[#This Row],[Disc %]]</f>
        <v>8580</v>
      </c>
      <c r="L3623" s="43">
        <v>0.18</v>
      </c>
      <c r="M3623" s="44">
        <f>(Sales[[#This Row],[Gross Amount]]-Sales[[#This Row],[Disc. Amt.]])*Sales[[#This Row],[GST %]]</f>
        <v>8751.6</v>
      </c>
      <c r="N3623" s="161">
        <f>Sales[[#This Row],[Gross Amount]]-Sales[[#This Row],[Disc. Amt.]]+Sales[[#This Row],[GST Amount]]</f>
        <v>57371.6</v>
      </c>
      <c r="O3623" s="158" t="s">
        <v>3566</v>
      </c>
      <c r="P3623" s="158" t="s">
        <v>3562</v>
      </c>
      <c r="Q3623" s="160">
        <f>IF(Sales[[#This Row],[Status]]="Cancelled",0,Sales[[#This Row],[Qty]])</f>
        <v>2</v>
      </c>
      <c r="R3623" s="161">
        <f>IF(Sales[[#This Row],[Status]]="Cancelled",0,Sales[[#This Row],[Total Amount]])</f>
        <v>57371.6</v>
      </c>
      <c r="S3623" s="162">
        <f>SUM(Sales[Net Amount])</f>
        <v>406839287.73200053</v>
      </c>
    </row>
    <row r="3624" spans="1:19" ht="18.75" x14ac:dyDescent="0.25">
      <c r="A3624" s="163" t="s">
        <v>7288</v>
      </c>
      <c r="B3624" s="164">
        <v>45957</v>
      </c>
      <c r="C3624" s="34" t="s">
        <v>926</v>
      </c>
      <c r="D3624" s="53" t="str">
        <f>VLOOKUP(Sales[[#This Row],[Customer ID]],Customer[#All],2,0)</f>
        <v>Pooja Singh</v>
      </c>
      <c r="E3624" s="34" t="s">
        <v>81</v>
      </c>
      <c r="F3624" s="34" t="str">
        <f>VLOOKUP(Sales[[#This Row],[Product ID]],Product[#All],2,0)</f>
        <v>HP Desktop</v>
      </c>
      <c r="G3624" s="53">
        <v>3</v>
      </c>
      <c r="H3624" s="165">
        <f>VLOOKUP(Sales[[#This Row],[Product ID]],Product[#All],7,0)</f>
        <v>65470</v>
      </c>
      <c r="I3624" s="165">
        <f>Sales[[#This Row],[Selling Rate]]*Sales[[#This Row],[Qty]]</f>
        <v>196410</v>
      </c>
      <c r="J3624" s="45">
        <v>0</v>
      </c>
      <c r="K3624" s="46">
        <f>Sales[[#This Row],[Gross Amount]]*Sales[[#This Row],[Disc %]]</f>
        <v>0</v>
      </c>
      <c r="L3624" s="43">
        <v>0.18</v>
      </c>
      <c r="M3624" s="46">
        <f>(Sales[[#This Row],[Gross Amount]]-Sales[[#This Row],[Disc. Amt.]])*Sales[[#This Row],[GST %]]</f>
        <v>35353.799999999996</v>
      </c>
      <c r="N3624" s="161">
        <f>Sales[[#This Row],[Gross Amount]]-Sales[[#This Row],[Disc. Amt.]]+Sales[[#This Row],[GST Amount]]</f>
        <v>231763.8</v>
      </c>
      <c r="O3624" s="34" t="s">
        <v>3566</v>
      </c>
      <c r="P3624" s="34" t="s">
        <v>3562</v>
      </c>
      <c r="Q3624" s="165">
        <f>IF(Sales[[#This Row],[Status]]="Cancelled",0,Sales[[#This Row],[Qty]])</f>
        <v>3</v>
      </c>
      <c r="R3624" s="166">
        <f>IF(Sales[[#This Row],[Status]]="Cancelled",0,Sales[[#This Row],[Total Amount]])</f>
        <v>231763.8</v>
      </c>
      <c r="S3624" s="162">
        <f>SUM(Sales[Net Amount])</f>
        <v>406839287.73200053</v>
      </c>
    </row>
    <row r="3625" spans="1:19" ht="18.75" x14ac:dyDescent="0.25">
      <c r="A3625" s="156" t="s">
        <v>7289</v>
      </c>
      <c r="B3625" s="157">
        <v>45957</v>
      </c>
      <c r="C3625" s="158" t="s">
        <v>888</v>
      </c>
      <c r="D3625" s="159" t="str">
        <f>VLOOKUP(Sales[[#This Row],[Customer ID]],Customer[#All],2,0)</f>
        <v>Rahul Patel</v>
      </c>
      <c r="E3625" s="158" t="s">
        <v>323</v>
      </c>
      <c r="F3625" s="158" t="str">
        <f>VLOOKUP(Sales[[#This Row],[Product ID]],Product[#All],2,0)</f>
        <v>Dell Desktop</v>
      </c>
      <c r="G3625" s="159">
        <v>4</v>
      </c>
      <c r="H3625" s="160">
        <f>VLOOKUP(Sales[[#This Row],[Product ID]],Product[#All],7,0)</f>
        <v>45070</v>
      </c>
      <c r="I3625" s="160">
        <f>Sales[[#This Row],[Selling Rate]]*Sales[[#This Row],[Qty]]</f>
        <v>180280</v>
      </c>
      <c r="J3625" s="43">
        <v>0.05</v>
      </c>
      <c r="K3625" s="44">
        <f>Sales[[#This Row],[Gross Amount]]*Sales[[#This Row],[Disc %]]</f>
        <v>9014</v>
      </c>
      <c r="L3625" s="43">
        <v>0.18</v>
      </c>
      <c r="M3625" s="44">
        <f>(Sales[[#This Row],[Gross Amount]]-Sales[[#This Row],[Disc. Amt.]])*Sales[[#This Row],[GST %]]</f>
        <v>30827.879999999997</v>
      </c>
      <c r="N3625" s="161">
        <f>Sales[[#This Row],[Gross Amount]]-Sales[[#This Row],[Disc. Amt.]]+Sales[[#This Row],[GST Amount]]</f>
        <v>202093.88</v>
      </c>
      <c r="O3625" s="158" t="s">
        <v>3569</v>
      </c>
      <c r="P3625" s="158" t="s">
        <v>3562</v>
      </c>
      <c r="Q3625" s="160">
        <f>IF(Sales[[#This Row],[Status]]="Cancelled",0,Sales[[#This Row],[Qty]])</f>
        <v>4</v>
      </c>
      <c r="R3625" s="161">
        <f>IF(Sales[[#This Row],[Status]]="Cancelled",0,Sales[[#This Row],[Total Amount]])</f>
        <v>202093.88</v>
      </c>
      <c r="S3625" s="162">
        <f>SUM(Sales[Net Amount])</f>
        <v>406839287.73200053</v>
      </c>
    </row>
    <row r="3626" spans="1:19" ht="18.75" x14ac:dyDescent="0.25">
      <c r="A3626" s="163" t="s">
        <v>7290</v>
      </c>
      <c r="B3626" s="164">
        <v>45958</v>
      </c>
      <c r="C3626" s="34" t="s">
        <v>7291</v>
      </c>
      <c r="D3626" s="53" t="str">
        <f>VLOOKUP(Sales[[#This Row],[Customer ID]],Customer[#All],2,0)</f>
        <v>Sahil Patel</v>
      </c>
      <c r="E3626" s="34" t="s">
        <v>79</v>
      </c>
      <c r="F3626" s="34" t="str">
        <f>VLOOKUP(Sales[[#This Row],[Product ID]],Product[#All],2,0)</f>
        <v>Samsung Monitor</v>
      </c>
      <c r="G3626" s="53">
        <v>8</v>
      </c>
      <c r="H3626" s="165">
        <f>VLOOKUP(Sales[[#This Row],[Product ID]],Product[#All],7,0)</f>
        <v>32480</v>
      </c>
      <c r="I3626" s="165">
        <f>Sales[[#This Row],[Selling Rate]]*Sales[[#This Row],[Qty]]</f>
        <v>259840</v>
      </c>
      <c r="J3626" s="45">
        <v>0</v>
      </c>
      <c r="K3626" s="46">
        <f>Sales[[#This Row],[Gross Amount]]*Sales[[#This Row],[Disc %]]</f>
        <v>0</v>
      </c>
      <c r="L3626" s="43">
        <v>0.18</v>
      </c>
      <c r="M3626" s="46">
        <f>(Sales[[#This Row],[Gross Amount]]-Sales[[#This Row],[Disc. Amt.]])*Sales[[#This Row],[GST %]]</f>
        <v>46771.199999999997</v>
      </c>
      <c r="N3626" s="161">
        <f>Sales[[#This Row],[Gross Amount]]-Sales[[#This Row],[Disc. Amt.]]+Sales[[#This Row],[GST Amount]]</f>
        <v>306611.20000000001</v>
      </c>
      <c r="O3626" s="34" t="s">
        <v>3569</v>
      </c>
      <c r="P3626" s="34" t="s">
        <v>3562</v>
      </c>
      <c r="Q3626" s="165">
        <f>IF(Sales[[#This Row],[Status]]="Cancelled",0,Sales[[#This Row],[Qty]])</f>
        <v>8</v>
      </c>
      <c r="R3626" s="166">
        <f>IF(Sales[[#This Row],[Status]]="Cancelled",0,Sales[[#This Row],[Total Amount]])</f>
        <v>306611.20000000001</v>
      </c>
      <c r="S3626" s="162">
        <f>SUM(Sales[Net Amount])</f>
        <v>406839287.73200053</v>
      </c>
    </row>
    <row r="3627" spans="1:19" ht="18.75" x14ac:dyDescent="0.25">
      <c r="A3627" s="156" t="s">
        <v>7292</v>
      </c>
      <c r="B3627" s="157">
        <v>45958</v>
      </c>
      <c r="C3627" s="158" t="s">
        <v>914</v>
      </c>
      <c r="D3627" s="159" t="str">
        <f>VLOOKUP(Sales[[#This Row],[Customer ID]],Customer[#All],2,0)</f>
        <v>Rakesh Patel</v>
      </c>
      <c r="E3627" s="158" t="s">
        <v>380</v>
      </c>
      <c r="F3627" s="158" t="str">
        <f>VLOOKUP(Sales[[#This Row],[Product ID]],Product[#All],2,0)</f>
        <v>Acer Laptop</v>
      </c>
      <c r="G3627" s="159">
        <v>8</v>
      </c>
      <c r="H3627" s="160">
        <f>VLOOKUP(Sales[[#This Row],[Product ID]],Product[#All],7,0)</f>
        <v>91320</v>
      </c>
      <c r="I3627" s="160">
        <f>Sales[[#This Row],[Selling Rate]]*Sales[[#This Row],[Qty]]</f>
        <v>730560</v>
      </c>
      <c r="J3627" s="43">
        <v>0.12</v>
      </c>
      <c r="K3627" s="44">
        <f>Sales[[#This Row],[Gross Amount]]*Sales[[#This Row],[Disc %]]</f>
        <v>87667.199999999997</v>
      </c>
      <c r="L3627" s="43">
        <v>0.18</v>
      </c>
      <c r="M3627" s="44">
        <f>(Sales[[#This Row],[Gross Amount]]-Sales[[#This Row],[Disc. Amt.]])*Sales[[#This Row],[GST %]]</f>
        <v>115720.704</v>
      </c>
      <c r="N3627" s="161">
        <f>Sales[[#This Row],[Gross Amount]]-Sales[[#This Row],[Disc. Amt.]]+Sales[[#This Row],[GST Amount]]</f>
        <v>758613.50400000007</v>
      </c>
      <c r="O3627" s="158" t="s">
        <v>3566</v>
      </c>
      <c r="P3627" s="158" t="s">
        <v>3562</v>
      </c>
      <c r="Q3627" s="160">
        <f>IF(Sales[[#This Row],[Status]]="Cancelled",0,Sales[[#This Row],[Qty]])</f>
        <v>8</v>
      </c>
      <c r="R3627" s="161">
        <f>IF(Sales[[#This Row],[Status]]="Cancelled",0,Sales[[#This Row],[Total Amount]])</f>
        <v>758613.50400000007</v>
      </c>
      <c r="S3627" s="162">
        <f>SUM(Sales[Net Amount])</f>
        <v>406839287.73200053</v>
      </c>
    </row>
    <row r="3628" spans="1:19" ht="18.75" x14ac:dyDescent="0.25">
      <c r="A3628" s="163" t="s">
        <v>7293</v>
      </c>
      <c r="B3628" s="164">
        <v>45958</v>
      </c>
      <c r="C3628" s="34" t="s">
        <v>849</v>
      </c>
      <c r="D3628" s="53" t="str">
        <f>VLOOKUP(Sales[[#This Row],[Customer ID]],Customer[#All],2,0)</f>
        <v>Sunita Sharma</v>
      </c>
      <c r="E3628" s="34" t="s">
        <v>201</v>
      </c>
      <c r="F3628" s="34" t="str">
        <f>VLOOKUP(Sales[[#This Row],[Product ID]],Product[#All],2,0)</f>
        <v>Jbl Headset</v>
      </c>
      <c r="G3628" s="53">
        <v>6</v>
      </c>
      <c r="H3628" s="165">
        <f>VLOOKUP(Sales[[#This Row],[Product ID]],Product[#All],7,0)</f>
        <v>2580</v>
      </c>
      <c r="I3628" s="165">
        <f>Sales[[#This Row],[Selling Rate]]*Sales[[#This Row],[Qty]]</f>
        <v>15480</v>
      </c>
      <c r="J3628" s="45">
        <v>0</v>
      </c>
      <c r="K3628" s="46">
        <f>Sales[[#This Row],[Gross Amount]]*Sales[[#This Row],[Disc %]]</f>
        <v>0</v>
      </c>
      <c r="L3628" s="43">
        <v>0.18</v>
      </c>
      <c r="M3628" s="46">
        <f>(Sales[[#This Row],[Gross Amount]]-Sales[[#This Row],[Disc. Amt.]])*Sales[[#This Row],[GST %]]</f>
        <v>2786.4</v>
      </c>
      <c r="N3628" s="161">
        <f>Sales[[#This Row],[Gross Amount]]-Sales[[#This Row],[Disc. Amt.]]+Sales[[#This Row],[GST Amount]]</f>
        <v>18266.400000000001</v>
      </c>
      <c r="O3628" s="34" t="s">
        <v>3569</v>
      </c>
      <c r="P3628" s="34" t="s">
        <v>3562</v>
      </c>
      <c r="Q3628" s="165">
        <f>IF(Sales[[#This Row],[Status]]="Cancelled",0,Sales[[#This Row],[Qty]])</f>
        <v>6</v>
      </c>
      <c r="R3628" s="166">
        <f>IF(Sales[[#This Row],[Status]]="Cancelled",0,Sales[[#This Row],[Total Amount]])</f>
        <v>18266.400000000001</v>
      </c>
      <c r="S3628" s="162">
        <f>SUM(Sales[Net Amount])</f>
        <v>406839287.73200053</v>
      </c>
    </row>
    <row r="3629" spans="1:19" ht="18.75" x14ac:dyDescent="0.25">
      <c r="A3629" s="156" t="s">
        <v>7294</v>
      </c>
      <c r="B3629" s="157">
        <v>45958</v>
      </c>
      <c r="C3629" s="158" t="s">
        <v>675</v>
      </c>
      <c r="D3629" s="159" t="str">
        <f>VLOOKUP(Sales[[#This Row],[Customer ID]],Customer[#All],2,0)</f>
        <v>Rahul Gupta</v>
      </c>
      <c r="E3629" s="158" t="s">
        <v>228</v>
      </c>
      <c r="F3629" s="158" t="str">
        <f>VLOOKUP(Sales[[#This Row],[Product ID]],Product[#All],2,0)</f>
        <v>Samsung Monitor</v>
      </c>
      <c r="G3629" s="159">
        <v>1</v>
      </c>
      <c r="H3629" s="160">
        <f>VLOOKUP(Sales[[#This Row],[Product ID]],Product[#All],7,0)</f>
        <v>29600</v>
      </c>
      <c r="I3629" s="160">
        <f>Sales[[#This Row],[Selling Rate]]*Sales[[#This Row],[Qty]]</f>
        <v>29600</v>
      </c>
      <c r="J3629" s="43">
        <v>0.15</v>
      </c>
      <c r="K3629" s="44">
        <f>Sales[[#This Row],[Gross Amount]]*Sales[[#This Row],[Disc %]]</f>
        <v>4440</v>
      </c>
      <c r="L3629" s="43">
        <v>0.18</v>
      </c>
      <c r="M3629" s="44">
        <f>(Sales[[#This Row],[Gross Amount]]-Sales[[#This Row],[Disc. Amt.]])*Sales[[#This Row],[GST %]]</f>
        <v>4528.8</v>
      </c>
      <c r="N3629" s="161">
        <f>Sales[[#This Row],[Gross Amount]]-Sales[[#This Row],[Disc. Amt.]]+Sales[[#This Row],[GST Amount]]</f>
        <v>29688.799999999999</v>
      </c>
      <c r="O3629" s="158" t="s">
        <v>8876</v>
      </c>
      <c r="P3629" s="158" t="s">
        <v>3562</v>
      </c>
      <c r="Q3629" s="160">
        <f>IF(Sales[[#This Row],[Status]]="Cancelled",0,Sales[[#This Row],[Qty]])</f>
        <v>1</v>
      </c>
      <c r="R3629" s="161">
        <f>IF(Sales[[#This Row],[Status]]="Cancelled",0,Sales[[#This Row],[Total Amount]])</f>
        <v>29688.799999999999</v>
      </c>
      <c r="S3629" s="162">
        <f>SUM(Sales[Net Amount])</f>
        <v>406839287.73200053</v>
      </c>
    </row>
    <row r="3630" spans="1:19" ht="18.75" x14ac:dyDescent="0.25">
      <c r="A3630" s="163" t="s">
        <v>7295</v>
      </c>
      <c r="B3630" s="164">
        <v>45958</v>
      </c>
      <c r="C3630" s="34" t="s">
        <v>741</v>
      </c>
      <c r="D3630" s="53" t="str">
        <f>VLOOKUP(Sales[[#This Row],[Customer ID]],Customer[#All],2,0)</f>
        <v>Rahul Patel</v>
      </c>
      <c r="E3630" s="34" t="s">
        <v>442</v>
      </c>
      <c r="F3630" s="34" t="str">
        <f>VLOOKUP(Sales[[#This Row],[Product ID]],Product[#All],2,0)</f>
        <v>D-Link Router</v>
      </c>
      <c r="G3630" s="53">
        <v>6</v>
      </c>
      <c r="H3630" s="165">
        <f>VLOOKUP(Sales[[#This Row],[Product ID]],Product[#All],7,0)</f>
        <v>3750</v>
      </c>
      <c r="I3630" s="165">
        <f>Sales[[#This Row],[Selling Rate]]*Sales[[#This Row],[Qty]]</f>
        <v>22500</v>
      </c>
      <c r="J3630" s="45">
        <v>0</v>
      </c>
      <c r="K3630" s="46">
        <f>Sales[[#This Row],[Gross Amount]]*Sales[[#This Row],[Disc %]]</f>
        <v>0</v>
      </c>
      <c r="L3630" s="43">
        <v>0.18</v>
      </c>
      <c r="M3630" s="46">
        <f>(Sales[[#This Row],[Gross Amount]]-Sales[[#This Row],[Disc. Amt.]])*Sales[[#This Row],[GST %]]</f>
        <v>4050</v>
      </c>
      <c r="N3630" s="161">
        <f>Sales[[#This Row],[Gross Amount]]-Sales[[#This Row],[Disc. Amt.]]+Sales[[#This Row],[GST Amount]]</f>
        <v>26550</v>
      </c>
      <c r="O3630" s="34" t="s">
        <v>3569</v>
      </c>
      <c r="P3630" s="34" t="s">
        <v>3562</v>
      </c>
      <c r="Q3630" s="165">
        <f>IF(Sales[[#This Row],[Status]]="Cancelled",0,Sales[[#This Row],[Qty]])</f>
        <v>6</v>
      </c>
      <c r="R3630" s="166">
        <f>IF(Sales[[#This Row],[Status]]="Cancelled",0,Sales[[#This Row],[Total Amount]])</f>
        <v>26550</v>
      </c>
      <c r="S3630" s="162">
        <f>SUM(Sales[Net Amount])</f>
        <v>406839287.73200053</v>
      </c>
    </row>
    <row r="3631" spans="1:19" ht="18.75" x14ac:dyDescent="0.25">
      <c r="A3631" s="156" t="s">
        <v>7296</v>
      </c>
      <c r="B3631" s="157">
        <v>45958</v>
      </c>
      <c r="C3631" s="158" t="s">
        <v>675</v>
      </c>
      <c r="D3631" s="159" t="str">
        <f>VLOOKUP(Sales[[#This Row],[Customer ID]],Customer[#All],2,0)</f>
        <v>Rahul Gupta</v>
      </c>
      <c r="E3631" s="158" t="s">
        <v>439</v>
      </c>
      <c r="F3631" s="158" t="str">
        <f>VLOOKUP(Sales[[#This Row],[Product ID]],Product[#All],2,0)</f>
        <v>HP Laptop</v>
      </c>
      <c r="G3631" s="159">
        <v>5</v>
      </c>
      <c r="H3631" s="160">
        <f>VLOOKUP(Sales[[#This Row],[Product ID]],Product[#All],7,0)</f>
        <v>83330</v>
      </c>
      <c r="I3631" s="160">
        <f>Sales[[#This Row],[Selling Rate]]*Sales[[#This Row],[Qty]]</f>
        <v>416650</v>
      </c>
      <c r="J3631" s="43">
        <v>0.05</v>
      </c>
      <c r="K3631" s="44">
        <f>Sales[[#This Row],[Gross Amount]]*Sales[[#This Row],[Disc %]]</f>
        <v>20832.5</v>
      </c>
      <c r="L3631" s="43">
        <v>0.18</v>
      </c>
      <c r="M3631" s="44">
        <f>(Sales[[#This Row],[Gross Amount]]-Sales[[#This Row],[Disc. Amt.]])*Sales[[#This Row],[GST %]]</f>
        <v>71247.149999999994</v>
      </c>
      <c r="N3631" s="161">
        <f>Sales[[#This Row],[Gross Amount]]-Sales[[#This Row],[Disc. Amt.]]+Sales[[#This Row],[GST Amount]]</f>
        <v>467064.65</v>
      </c>
      <c r="O3631" s="158" t="s">
        <v>3561</v>
      </c>
      <c r="P3631" s="158" t="s">
        <v>3562</v>
      </c>
      <c r="Q3631" s="160">
        <f>IF(Sales[[#This Row],[Status]]="Cancelled",0,Sales[[#This Row],[Qty]])</f>
        <v>5</v>
      </c>
      <c r="R3631" s="161">
        <f>IF(Sales[[#This Row],[Status]]="Cancelled",0,Sales[[#This Row],[Total Amount]])</f>
        <v>467064.65</v>
      </c>
      <c r="S3631" s="162">
        <f>SUM(Sales[Net Amount])</f>
        <v>406839287.73200053</v>
      </c>
    </row>
    <row r="3632" spans="1:19" ht="18.75" x14ac:dyDescent="0.25">
      <c r="A3632" s="163" t="s">
        <v>7297</v>
      </c>
      <c r="B3632" s="164">
        <v>45958</v>
      </c>
      <c r="C3632" s="34" t="s">
        <v>805</v>
      </c>
      <c r="D3632" s="53" t="str">
        <f>VLOOKUP(Sales[[#This Row],[Customer ID]],Customer[#All],2,0)</f>
        <v>Priya Kumar</v>
      </c>
      <c r="E3632" s="34" t="s">
        <v>160</v>
      </c>
      <c r="F3632" s="34" t="str">
        <f>VLOOKUP(Sales[[#This Row],[Product ID]],Product[#All],2,0)</f>
        <v>Dell Power Adapter</v>
      </c>
      <c r="G3632" s="53">
        <v>2</v>
      </c>
      <c r="H3632" s="165">
        <f>VLOOKUP(Sales[[#This Row],[Product ID]],Product[#All],7,0)</f>
        <v>4330</v>
      </c>
      <c r="I3632" s="165">
        <f>Sales[[#This Row],[Selling Rate]]*Sales[[#This Row],[Qty]]</f>
        <v>8660</v>
      </c>
      <c r="J3632" s="45">
        <v>0.05</v>
      </c>
      <c r="K3632" s="46">
        <f>Sales[[#This Row],[Gross Amount]]*Sales[[#This Row],[Disc %]]</f>
        <v>433</v>
      </c>
      <c r="L3632" s="43">
        <v>0.18</v>
      </c>
      <c r="M3632" s="46">
        <f>(Sales[[#This Row],[Gross Amount]]-Sales[[#This Row],[Disc. Amt.]])*Sales[[#This Row],[GST %]]</f>
        <v>1480.86</v>
      </c>
      <c r="N3632" s="161">
        <f>Sales[[#This Row],[Gross Amount]]-Sales[[#This Row],[Disc. Amt.]]+Sales[[#This Row],[GST Amount]]</f>
        <v>9707.86</v>
      </c>
      <c r="O3632" s="34" t="s">
        <v>8876</v>
      </c>
      <c r="P3632" s="34" t="s">
        <v>3562</v>
      </c>
      <c r="Q3632" s="165">
        <f>IF(Sales[[#This Row],[Status]]="Cancelled",0,Sales[[#This Row],[Qty]])</f>
        <v>2</v>
      </c>
      <c r="R3632" s="166">
        <f>IF(Sales[[#This Row],[Status]]="Cancelled",0,Sales[[#This Row],[Total Amount]])</f>
        <v>9707.86</v>
      </c>
      <c r="S3632" s="162">
        <f>SUM(Sales[Net Amount])</f>
        <v>406839287.73200053</v>
      </c>
    </row>
    <row r="3633" spans="1:19" ht="18.75" x14ac:dyDescent="0.25">
      <c r="A3633" s="156" t="s">
        <v>7298</v>
      </c>
      <c r="B3633" s="157">
        <v>45958</v>
      </c>
      <c r="C3633" s="158" t="s">
        <v>855</v>
      </c>
      <c r="D3633" s="159" t="str">
        <f>VLOOKUP(Sales[[#This Row],[Customer ID]],Customer[#All],2,0)</f>
        <v>Sahil Singh</v>
      </c>
      <c r="E3633" s="158" t="s">
        <v>511</v>
      </c>
      <c r="F3633" s="158" t="str">
        <f>VLOOKUP(Sales[[#This Row],[Product ID]],Product[#All],2,0)</f>
        <v>Amazon Basics Hdmi Cable</v>
      </c>
      <c r="G3633" s="159">
        <v>5</v>
      </c>
      <c r="H3633" s="160">
        <f>VLOOKUP(Sales[[#This Row],[Product ID]],Product[#All],7,0)</f>
        <v>1240</v>
      </c>
      <c r="I3633" s="160">
        <f>Sales[[#This Row],[Selling Rate]]*Sales[[#This Row],[Qty]]</f>
        <v>6200</v>
      </c>
      <c r="J3633" s="43">
        <v>0.15</v>
      </c>
      <c r="K3633" s="44">
        <f>Sales[[#This Row],[Gross Amount]]*Sales[[#This Row],[Disc %]]</f>
        <v>930</v>
      </c>
      <c r="L3633" s="43">
        <v>0.18</v>
      </c>
      <c r="M3633" s="44">
        <f>(Sales[[#This Row],[Gross Amount]]-Sales[[#This Row],[Disc. Amt.]])*Sales[[#This Row],[GST %]]</f>
        <v>948.59999999999991</v>
      </c>
      <c r="N3633" s="161">
        <f>Sales[[#This Row],[Gross Amount]]-Sales[[#This Row],[Disc. Amt.]]+Sales[[#This Row],[GST Amount]]</f>
        <v>6218.6</v>
      </c>
      <c r="O3633" s="158" t="s">
        <v>3569</v>
      </c>
      <c r="P3633" s="158" t="s">
        <v>3562</v>
      </c>
      <c r="Q3633" s="160">
        <f>IF(Sales[[#This Row],[Status]]="Cancelled",0,Sales[[#This Row],[Qty]])</f>
        <v>5</v>
      </c>
      <c r="R3633" s="161">
        <f>IF(Sales[[#This Row],[Status]]="Cancelled",0,Sales[[#This Row],[Total Amount]])</f>
        <v>6218.6</v>
      </c>
      <c r="S3633" s="162">
        <f>SUM(Sales[Net Amount])</f>
        <v>406839287.73200053</v>
      </c>
    </row>
    <row r="3634" spans="1:19" ht="18.75" x14ac:dyDescent="0.25">
      <c r="A3634" s="163" t="s">
        <v>7299</v>
      </c>
      <c r="B3634" s="164">
        <v>45958</v>
      </c>
      <c r="C3634" s="34" t="s">
        <v>703</v>
      </c>
      <c r="D3634" s="53" t="str">
        <f>VLOOKUP(Sales[[#This Row],[Customer ID]],Customer[#All],2,0)</f>
        <v>Rahul Singh</v>
      </c>
      <c r="E3634" s="34" t="s">
        <v>92</v>
      </c>
      <c r="F3634" s="34" t="str">
        <f>VLOOKUP(Sales[[#This Row],[Product ID]],Product[#All],2,0)</f>
        <v>Jbl Headset</v>
      </c>
      <c r="G3634" s="53">
        <v>7</v>
      </c>
      <c r="H3634" s="165">
        <f>VLOOKUP(Sales[[#This Row],[Product ID]],Product[#All],7,0)</f>
        <v>6180</v>
      </c>
      <c r="I3634" s="165">
        <f>Sales[[#This Row],[Selling Rate]]*Sales[[#This Row],[Qty]]</f>
        <v>43260</v>
      </c>
      <c r="J3634" s="45">
        <v>0.05</v>
      </c>
      <c r="K3634" s="46">
        <f>Sales[[#This Row],[Gross Amount]]*Sales[[#This Row],[Disc %]]</f>
        <v>2163</v>
      </c>
      <c r="L3634" s="43">
        <v>0.18</v>
      </c>
      <c r="M3634" s="46">
        <f>(Sales[[#This Row],[Gross Amount]]-Sales[[#This Row],[Disc. Amt.]])*Sales[[#This Row],[GST %]]</f>
        <v>7397.46</v>
      </c>
      <c r="N3634" s="161">
        <f>Sales[[#This Row],[Gross Amount]]-Sales[[#This Row],[Disc. Amt.]]+Sales[[#This Row],[GST Amount]]</f>
        <v>48494.46</v>
      </c>
      <c r="O3634" s="34" t="s">
        <v>3566</v>
      </c>
      <c r="P3634" s="34" t="s">
        <v>3562</v>
      </c>
      <c r="Q3634" s="165">
        <f>IF(Sales[[#This Row],[Status]]="Cancelled",0,Sales[[#This Row],[Qty]])</f>
        <v>7</v>
      </c>
      <c r="R3634" s="166">
        <f>IF(Sales[[#This Row],[Status]]="Cancelled",0,Sales[[#This Row],[Total Amount]])</f>
        <v>48494.46</v>
      </c>
      <c r="S3634" s="162">
        <f>SUM(Sales[Net Amount])</f>
        <v>406839287.73200053</v>
      </c>
    </row>
    <row r="3635" spans="1:19" ht="18.75" x14ac:dyDescent="0.25">
      <c r="A3635" s="156" t="s">
        <v>7300</v>
      </c>
      <c r="B3635" s="157">
        <v>45958</v>
      </c>
      <c r="C3635" s="158" t="s">
        <v>670</v>
      </c>
      <c r="D3635" s="159" t="str">
        <f>VLOOKUP(Sales[[#This Row],[Customer ID]],Customer[#All],2,0)</f>
        <v>Rakesh Patel</v>
      </c>
      <c r="E3635" s="158" t="s">
        <v>62</v>
      </c>
      <c r="F3635" s="158" t="str">
        <f>VLOOKUP(Sales[[#This Row],[Product ID]],Product[#All],2,0)</f>
        <v>Apc UPS</v>
      </c>
      <c r="G3635" s="159">
        <v>3</v>
      </c>
      <c r="H3635" s="160">
        <f>VLOOKUP(Sales[[#This Row],[Product ID]],Product[#All],7,0)</f>
        <v>7270</v>
      </c>
      <c r="I3635" s="160">
        <f>Sales[[#This Row],[Selling Rate]]*Sales[[#This Row],[Qty]]</f>
        <v>21810</v>
      </c>
      <c r="J3635" s="43">
        <v>0.15</v>
      </c>
      <c r="K3635" s="44">
        <f>Sales[[#This Row],[Gross Amount]]*Sales[[#This Row],[Disc %]]</f>
        <v>3271.5</v>
      </c>
      <c r="L3635" s="43">
        <v>0.18</v>
      </c>
      <c r="M3635" s="44">
        <f>(Sales[[#This Row],[Gross Amount]]-Sales[[#This Row],[Disc. Amt.]])*Sales[[#This Row],[GST %]]</f>
        <v>3336.93</v>
      </c>
      <c r="N3635" s="161">
        <f>Sales[[#This Row],[Gross Amount]]-Sales[[#This Row],[Disc. Amt.]]+Sales[[#This Row],[GST Amount]]</f>
        <v>21875.43</v>
      </c>
      <c r="O3635" s="158" t="s">
        <v>8876</v>
      </c>
      <c r="P3635" s="158" t="s">
        <v>3562</v>
      </c>
      <c r="Q3635" s="160">
        <f>IF(Sales[[#This Row],[Status]]="Cancelled",0,Sales[[#This Row],[Qty]])</f>
        <v>3</v>
      </c>
      <c r="R3635" s="161">
        <f>IF(Sales[[#This Row],[Status]]="Cancelled",0,Sales[[#This Row],[Total Amount]])</f>
        <v>21875.43</v>
      </c>
      <c r="S3635" s="162">
        <f>SUM(Sales[Net Amount])</f>
        <v>406839287.73200053</v>
      </c>
    </row>
    <row r="3636" spans="1:19" ht="18.75" x14ac:dyDescent="0.25">
      <c r="A3636" s="163" t="s">
        <v>7301</v>
      </c>
      <c r="B3636" s="164">
        <v>45958</v>
      </c>
      <c r="C3636" s="34" t="s">
        <v>934</v>
      </c>
      <c r="D3636" s="53" t="str">
        <f>VLOOKUP(Sales[[#This Row],[Customer ID]],Customer[#All],2,0)</f>
        <v>Pooja Singh</v>
      </c>
      <c r="E3636" s="34" t="s">
        <v>436</v>
      </c>
      <c r="F3636" s="34" t="str">
        <f>VLOOKUP(Sales[[#This Row],[Product ID]],Product[#All],2,0)</f>
        <v>Amazon Basics Hdmi Cable</v>
      </c>
      <c r="G3636" s="53">
        <v>5</v>
      </c>
      <c r="H3636" s="165">
        <f>VLOOKUP(Sales[[#This Row],[Product ID]],Product[#All],7,0)</f>
        <v>860</v>
      </c>
      <c r="I3636" s="165">
        <f>Sales[[#This Row],[Selling Rate]]*Sales[[#This Row],[Qty]]</f>
        <v>4300</v>
      </c>
      <c r="J3636" s="45">
        <v>0.15</v>
      </c>
      <c r="K3636" s="46">
        <f>Sales[[#This Row],[Gross Amount]]*Sales[[#This Row],[Disc %]]</f>
        <v>645</v>
      </c>
      <c r="L3636" s="43">
        <v>0.18</v>
      </c>
      <c r="M3636" s="46">
        <f>(Sales[[#This Row],[Gross Amount]]-Sales[[#This Row],[Disc. Amt.]])*Sales[[#This Row],[GST %]]</f>
        <v>657.9</v>
      </c>
      <c r="N3636" s="161">
        <f>Sales[[#This Row],[Gross Amount]]-Sales[[#This Row],[Disc. Amt.]]+Sales[[#This Row],[GST Amount]]</f>
        <v>4312.8999999999996</v>
      </c>
      <c r="O3636" s="34" t="s">
        <v>3566</v>
      </c>
      <c r="P3636" s="34" t="s">
        <v>3562</v>
      </c>
      <c r="Q3636" s="165">
        <f>IF(Sales[[#This Row],[Status]]="Cancelled",0,Sales[[#This Row],[Qty]])</f>
        <v>5</v>
      </c>
      <c r="R3636" s="166">
        <f>IF(Sales[[#This Row],[Status]]="Cancelled",0,Sales[[#This Row],[Total Amount]])</f>
        <v>4312.8999999999996</v>
      </c>
      <c r="S3636" s="162">
        <f>SUM(Sales[Net Amount])</f>
        <v>406839287.73200053</v>
      </c>
    </row>
    <row r="3637" spans="1:19" ht="18.75" x14ac:dyDescent="0.25">
      <c r="A3637" s="156" t="s">
        <v>7302</v>
      </c>
      <c r="B3637" s="157">
        <v>45958</v>
      </c>
      <c r="C3637" s="158" t="s">
        <v>656</v>
      </c>
      <c r="D3637" s="159" t="str">
        <f>VLOOKUP(Sales[[#This Row],[Customer ID]],Customer[#All],2,0)</f>
        <v>Rahul Kumar</v>
      </c>
      <c r="E3637" s="158" t="s">
        <v>412</v>
      </c>
      <c r="F3637" s="158" t="str">
        <f>VLOOKUP(Sales[[#This Row],[Product ID]],Product[#All],2,0)</f>
        <v>Dell Monitor</v>
      </c>
      <c r="G3637" s="159">
        <v>6</v>
      </c>
      <c r="H3637" s="160">
        <f>VLOOKUP(Sales[[#This Row],[Product ID]],Product[#All],7,0)</f>
        <v>30230</v>
      </c>
      <c r="I3637" s="160">
        <f>Sales[[#This Row],[Selling Rate]]*Sales[[#This Row],[Qty]]</f>
        <v>181380</v>
      </c>
      <c r="J3637" s="43">
        <v>0.05</v>
      </c>
      <c r="K3637" s="44">
        <f>Sales[[#This Row],[Gross Amount]]*Sales[[#This Row],[Disc %]]</f>
        <v>9069</v>
      </c>
      <c r="L3637" s="43">
        <v>0.18</v>
      </c>
      <c r="M3637" s="44">
        <f>(Sales[[#This Row],[Gross Amount]]-Sales[[#This Row],[Disc. Amt.]])*Sales[[#This Row],[GST %]]</f>
        <v>31015.98</v>
      </c>
      <c r="N3637" s="161">
        <f>Sales[[#This Row],[Gross Amount]]-Sales[[#This Row],[Disc. Amt.]]+Sales[[#This Row],[GST Amount]]</f>
        <v>203326.98</v>
      </c>
      <c r="O3637" s="158" t="s">
        <v>3566</v>
      </c>
      <c r="P3637" s="158" t="s">
        <v>3562</v>
      </c>
      <c r="Q3637" s="160">
        <f>IF(Sales[[#This Row],[Status]]="Cancelled",0,Sales[[#This Row],[Qty]])</f>
        <v>6</v>
      </c>
      <c r="R3637" s="161">
        <f>IF(Sales[[#This Row],[Status]]="Cancelled",0,Sales[[#This Row],[Total Amount]])</f>
        <v>203326.98</v>
      </c>
      <c r="S3637" s="162">
        <f>SUM(Sales[Net Amount])</f>
        <v>406839287.73200053</v>
      </c>
    </row>
    <row r="3638" spans="1:19" ht="18.75" x14ac:dyDescent="0.25">
      <c r="A3638" s="163" t="s">
        <v>7303</v>
      </c>
      <c r="B3638" s="164">
        <v>45958</v>
      </c>
      <c r="C3638" s="34" t="s">
        <v>923</v>
      </c>
      <c r="D3638" s="53" t="str">
        <f>VLOOKUP(Sales[[#This Row],[Customer ID]],Customer[#All],2,0)</f>
        <v>Rahul Gupta</v>
      </c>
      <c r="E3638" s="34" t="s">
        <v>4</v>
      </c>
      <c r="F3638" s="34" t="str">
        <f>VLOOKUP(Sales[[#This Row],[Product ID]],Product[#All],2,0)</f>
        <v>Epson Printer</v>
      </c>
      <c r="G3638" s="53">
        <v>2</v>
      </c>
      <c r="H3638" s="165">
        <f>VLOOKUP(Sales[[#This Row],[Product ID]],Product[#All],7,0)</f>
        <v>45990</v>
      </c>
      <c r="I3638" s="165">
        <f>Sales[[#This Row],[Selling Rate]]*Sales[[#This Row],[Qty]]</f>
        <v>91980</v>
      </c>
      <c r="J3638" s="45">
        <v>0.1</v>
      </c>
      <c r="K3638" s="46">
        <f>Sales[[#This Row],[Gross Amount]]*Sales[[#This Row],[Disc %]]</f>
        <v>9198</v>
      </c>
      <c r="L3638" s="43">
        <v>0.18</v>
      </c>
      <c r="M3638" s="46">
        <f>(Sales[[#This Row],[Gross Amount]]-Sales[[#This Row],[Disc. Amt.]])*Sales[[#This Row],[GST %]]</f>
        <v>14900.76</v>
      </c>
      <c r="N3638" s="161">
        <f>Sales[[#This Row],[Gross Amount]]-Sales[[#This Row],[Disc. Amt.]]+Sales[[#This Row],[GST Amount]]</f>
        <v>97682.76</v>
      </c>
      <c r="O3638" s="34" t="s">
        <v>3566</v>
      </c>
      <c r="P3638" s="34" t="s">
        <v>3562</v>
      </c>
      <c r="Q3638" s="165">
        <f>IF(Sales[[#This Row],[Status]]="Cancelled",0,Sales[[#This Row],[Qty]])</f>
        <v>2</v>
      </c>
      <c r="R3638" s="166">
        <f>IF(Sales[[#This Row],[Status]]="Cancelled",0,Sales[[#This Row],[Total Amount]])</f>
        <v>97682.76</v>
      </c>
      <c r="S3638" s="162">
        <f>SUM(Sales[Net Amount])</f>
        <v>406839287.73200053</v>
      </c>
    </row>
    <row r="3639" spans="1:19" ht="18.75" x14ac:dyDescent="0.25">
      <c r="A3639" s="156" t="s">
        <v>7304</v>
      </c>
      <c r="B3639" s="157">
        <v>45958</v>
      </c>
      <c r="C3639" s="158" t="s">
        <v>777</v>
      </c>
      <c r="D3639" s="159" t="str">
        <f>VLOOKUP(Sales[[#This Row],[Customer ID]],Customer[#All],2,0)</f>
        <v>Neha Sharma</v>
      </c>
      <c r="E3639" s="158" t="s">
        <v>272</v>
      </c>
      <c r="F3639" s="158" t="str">
        <f>VLOOKUP(Sales[[#This Row],[Product ID]],Product[#All],2,0)</f>
        <v>Jbl Speaker</v>
      </c>
      <c r="G3639" s="159">
        <v>2</v>
      </c>
      <c r="H3639" s="160">
        <f>VLOOKUP(Sales[[#This Row],[Product ID]],Product[#All],7,0)</f>
        <v>10960</v>
      </c>
      <c r="I3639" s="160">
        <f>Sales[[#This Row],[Selling Rate]]*Sales[[#This Row],[Qty]]</f>
        <v>21920</v>
      </c>
      <c r="J3639" s="43">
        <v>0.02</v>
      </c>
      <c r="K3639" s="44">
        <f>Sales[[#This Row],[Gross Amount]]*Sales[[#This Row],[Disc %]]</f>
        <v>438.40000000000003</v>
      </c>
      <c r="L3639" s="43">
        <v>0.18</v>
      </c>
      <c r="M3639" s="44">
        <f>(Sales[[#This Row],[Gross Amount]]-Sales[[#This Row],[Disc. Amt.]])*Sales[[#This Row],[GST %]]</f>
        <v>3866.6879999999996</v>
      </c>
      <c r="N3639" s="161">
        <f>Sales[[#This Row],[Gross Amount]]-Sales[[#This Row],[Disc. Amt.]]+Sales[[#This Row],[GST Amount]]</f>
        <v>25348.287999999997</v>
      </c>
      <c r="O3639" s="158" t="s">
        <v>3561</v>
      </c>
      <c r="P3639" s="158" t="s">
        <v>3562</v>
      </c>
      <c r="Q3639" s="160">
        <f>IF(Sales[[#This Row],[Status]]="Cancelled",0,Sales[[#This Row],[Qty]])</f>
        <v>2</v>
      </c>
      <c r="R3639" s="161">
        <f>IF(Sales[[#This Row],[Status]]="Cancelled",0,Sales[[#This Row],[Total Amount]])</f>
        <v>25348.287999999997</v>
      </c>
      <c r="S3639" s="162">
        <f>SUM(Sales[Net Amount])</f>
        <v>406839287.73200053</v>
      </c>
    </row>
    <row r="3640" spans="1:19" ht="18.75" x14ac:dyDescent="0.25">
      <c r="A3640" s="163" t="s">
        <v>7305</v>
      </c>
      <c r="B3640" s="164">
        <v>45958</v>
      </c>
      <c r="C3640" s="34" t="s">
        <v>871</v>
      </c>
      <c r="D3640" s="53" t="str">
        <f>VLOOKUP(Sales[[#This Row],[Customer ID]],Customer[#All],2,0)</f>
        <v>Rakesh Kumar</v>
      </c>
      <c r="E3640" s="34" t="s">
        <v>234</v>
      </c>
      <c r="F3640" s="34" t="str">
        <f>VLOOKUP(Sales[[#This Row],[Product ID]],Product[#All],2,0)</f>
        <v>HP Desktop</v>
      </c>
      <c r="G3640" s="53">
        <v>3</v>
      </c>
      <c r="H3640" s="165">
        <f>VLOOKUP(Sales[[#This Row],[Product ID]],Product[#All],7,0)</f>
        <v>76930</v>
      </c>
      <c r="I3640" s="165">
        <f>Sales[[#This Row],[Selling Rate]]*Sales[[#This Row],[Qty]]</f>
        <v>230790</v>
      </c>
      <c r="J3640" s="45">
        <v>0.02</v>
      </c>
      <c r="K3640" s="46">
        <f>Sales[[#This Row],[Gross Amount]]*Sales[[#This Row],[Disc %]]</f>
        <v>4615.8</v>
      </c>
      <c r="L3640" s="43">
        <v>0.18</v>
      </c>
      <c r="M3640" s="46">
        <f>(Sales[[#This Row],[Gross Amount]]-Sales[[#This Row],[Disc. Amt.]])*Sales[[#This Row],[GST %]]</f>
        <v>40711.356</v>
      </c>
      <c r="N3640" s="161">
        <f>Sales[[#This Row],[Gross Amount]]-Sales[[#This Row],[Disc. Amt.]]+Sales[[#This Row],[GST Amount]]</f>
        <v>266885.55599999998</v>
      </c>
      <c r="O3640" s="34" t="s">
        <v>3569</v>
      </c>
      <c r="P3640" s="34" t="s">
        <v>3562</v>
      </c>
      <c r="Q3640" s="165">
        <f>IF(Sales[[#This Row],[Status]]="Cancelled",0,Sales[[#This Row],[Qty]])</f>
        <v>3</v>
      </c>
      <c r="R3640" s="166">
        <f>IF(Sales[[#This Row],[Status]]="Cancelled",0,Sales[[#This Row],[Total Amount]])</f>
        <v>266885.55599999998</v>
      </c>
      <c r="S3640" s="162">
        <f>SUM(Sales[Net Amount])</f>
        <v>406839287.73200053</v>
      </c>
    </row>
    <row r="3641" spans="1:19" ht="18.75" x14ac:dyDescent="0.25">
      <c r="A3641" s="156" t="s">
        <v>7306</v>
      </c>
      <c r="B3641" s="157">
        <v>45958</v>
      </c>
      <c r="C3641" s="158" t="s">
        <v>952</v>
      </c>
      <c r="D3641" s="159" t="str">
        <f>VLOOKUP(Sales[[#This Row],[Customer ID]],Customer[#All],2,0)</f>
        <v>Pooja Singh</v>
      </c>
      <c r="E3641" s="158" t="s">
        <v>208</v>
      </c>
      <c r="F3641" s="158" t="str">
        <f>VLOOKUP(Sales[[#This Row],[Product ID]],Product[#All],2,0)</f>
        <v>Dell Laptop</v>
      </c>
      <c r="G3641" s="159">
        <v>3</v>
      </c>
      <c r="H3641" s="160">
        <f>VLOOKUP(Sales[[#This Row],[Product ID]],Product[#All],7,0)</f>
        <v>67000</v>
      </c>
      <c r="I3641" s="160">
        <f>Sales[[#This Row],[Selling Rate]]*Sales[[#This Row],[Qty]]</f>
        <v>201000</v>
      </c>
      <c r="J3641" s="43">
        <v>0</v>
      </c>
      <c r="K3641" s="44">
        <f>Sales[[#This Row],[Gross Amount]]*Sales[[#This Row],[Disc %]]</f>
        <v>0</v>
      </c>
      <c r="L3641" s="43">
        <v>0.18</v>
      </c>
      <c r="M3641" s="44">
        <f>(Sales[[#This Row],[Gross Amount]]-Sales[[#This Row],[Disc. Amt.]])*Sales[[#This Row],[GST %]]</f>
        <v>36180</v>
      </c>
      <c r="N3641" s="161">
        <f>Sales[[#This Row],[Gross Amount]]-Sales[[#This Row],[Disc. Amt.]]+Sales[[#This Row],[GST Amount]]</f>
        <v>237180</v>
      </c>
      <c r="O3641" s="158" t="s">
        <v>3561</v>
      </c>
      <c r="P3641" s="158" t="s">
        <v>3562</v>
      </c>
      <c r="Q3641" s="160">
        <f>IF(Sales[[#This Row],[Status]]="Cancelled",0,Sales[[#This Row],[Qty]])</f>
        <v>3</v>
      </c>
      <c r="R3641" s="161">
        <f>IF(Sales[[#This Row],[Status]]="Cancelled",0,Sales[[#This Row],[Total Amount]])</f>
        <v>237180</v>
      </c>
      <c r="S3641" s="162">
        <f>SUM(Sales[Net Amount])</f>
        <v>406839287.73200053</v>
      </c>
    </row>
    <row r="3642" spans="1:19" ht="18.75" x14ac:dyDescent="0.25">
      <c r="A3642" s="163" t="s">
        <v>7307</v>
      </c>
      <c r="B3642" s="164">
        <v>45958</v>
      </c>
      <c r="C3642" s="34" t="s">
        <v>748</v>
      </c>
      <c r="D3642" s="53" t="str">
        <f>VLOOKUP(Sales[[#This Row],[Customer ID]],Customer[#All],2,0)</f>
        <v>Priya Singh</v>
      </c>
      <c r="E3642" s="34" t="s">
        <v>360</v>
      </c>
      <c r="F3642" s="34" t="str">
        <f>VLOOKUP(Sales[[#This Row],[Product ID]],Product[#All],2,0)</f>
        <v>Canon Printer</v>
      </c>
      <c r="G3642" s="53">
        <v>2</v>
      </c>
      <c r="H3642" s="165">
        <f>VLOOKUP(Sales[[#This Row],[Product ID]],Product[#All],7,0)</f>
        <v>29670</v>
      </c>
      <c r="I3642" s="165">
        <f>Sales[[#This Row],[Selling Rate]]*Sales[[#This Row],[Qty]]</f>
        <v>59340</v>
      </c>
      <c r="J3642" s="45">
        <v>0</v>
      </c>
      <c r="K3642" s="46">
        <f>Sales[[#This Row],[Gross Amount]]*Sales[[#This Row],[Disc %]]</f>
        <v>0</v>
      </c>
      <c r="L3642" s="43">
        <v>0.18</v>
      </c>
      <c r="M3642" s="46">
        <f>(Sales[[#This Row],[Gross Amount]]-Sales[[#This Row],[Disc. Amt.]])*Sales[[#This Row],[GST %]]</f>
        <v>10681.199999999999</v>
      </c>
      <c r="N3642" s="161">
        <f>Sales[[#This Row],[Gross Amount]]-Sales[[#This Row],[Disc. Amt.]]+Sales[[#This Row],[GST Amount]]</f>
        <v>70021.2</v>
      </c>
      <c r="O3642" s="34" t="s">
        <v>3561</v>
      </c>
      <c r="P3642" s="34" t="s">
        <v>3562</v>
      </c>
      <c r="Q3642" s="165">
        <f>IF(Sales[[#This Row],[Status]]="Cancelled",0,Sales[[#This Row],[Qty]])</f>
        <v>2</v>
      </c>
      <c r="R3642" s="166">
        <f>IF(Sales[[#This Row],[Status]]="Cancelled",0,Sales[[#This Row],[Total Amount]])</f>
        <v>70021.2</v>
      </c>
      <c r="S3642" s="162">
        <f>SUM(Sales[Net Amount])</f>
        <v>406839287.73200053</v>
      </c>
    </row>
    <row r="3643" spans="1:19" ht="18.75" x14ac:dyDescent="0.25">
      <c r="A3643" s="156" t="s">
        <v>7308</v>
      </c>
      <c r="B3643" s="157">
        <v>45958</v>
      </c>
      <c r="C3643" s="158" t="s">
        <v>919</v>
      </c>
      <c r="D3643" s="159" t="str">
        <f>VLOOKUP(Sales[[#This Row],[Customer ID]],Customer[#All],2,0)</f>
        <v>Pooja Patel</v>
      </c>
      <c r="E3643" s="158" t="s">
        <v>58</v>
      </c>
      <c r="F3643" s="158" t="str">
        <f>VLOOKUP(Sales[[#This Row],[Product ID]],Product[#All],2,0)</f>
        <v>Lenovo Laptop</v>
      </c>
      <c r="G3643" s="159">
        <v>6</v>
      </c>
      <c r="H3643" s="160">
        <f>VLOOKUP(Sales[[#This Row],[Product ID]],Product[#All],7,0)</f>
        <v>50200</v>
      </c>
      <c r="I3643" s="160">
        <f>Sales[[#This Row],[Selling Rate]]*Sales[[#This Row],[Qty]]</f>
        <v>301200</v>
      </c>
      <c r="J3643" s="43">
        <v>0.15</v>
      </c>
      <c r="K3643" s="44">
        <f>Sales[[#This Row],[Gross Amount]]*Sales[[#This Row],[Disc %]]</f>
        <v>45180</v>
      </c>
      <c r="L3643" s="43">
        <v>0.18</v>
      </c>
      <c r="M3643" s="44">
        <f>(Sales[[#This Row],[Gross Amount]]-Sales[[#This Row],[Disc. Amt.]])*Sales[[#This Row],[GST %]]</f>
        <v>46083.6</v>
      </c>
      <c r="N3643" s="161">
        <f>Sales[[#This Row],[Gross Amount]]-Sales[[#This Row],[Disc. Amt.]]+Sales[[#This Row],[GST Amount]]</f>
        <v>302103.59999999998</v>
      </c>
      <c r="O3643" s="158" t="s">
        <v>3566</v>
      </c>
      <c r="P3643" s="158" t="s">
        <v>3562</v>
      </c>
      <c r="Q3643" s="160">
        <f>IF(Sales[[#This Row],[Status]]="Cancelled",0,Sales[[#This Row],[Qty]])</f>
        <v>6</v>
      </c>
      <c r="R3643" s="161">
        <f>IF(Sales[[#This Row],[Status]]="Cancelled",0,Sales[[#This Row],[Total Amount]])</f>
        <v>302103.59999999998</v>
      </c>
      <c r="S3643" s="162">
        <f>SUM(Sales[Net Amount])</f>
        <v>406839287.73200053</v>
      </c>
    </row>
    <row r="3644" spans="1:19" ht="18.75" x14ac:dyDescent="0.25">
      <c r="A3644" s="163" t="s">
        <v>7309</v>
      </c>
      <c r="B3644" s="164">
        <v>45959</v>
      </c>
      <c r="C3644" s="34" t="s">
        <v>797</v>
      </c>
      <c r="D3644" s="53" t="str">
        <f>VLOOKUP(Sales[[#This Row],[Customer ID]],Customer[#All],2,0)</f>
        <v>Ankit Gupta</v>
      </c>
      <c r="E3644" s="34" t="s">
        <v>52</v>
      </c>
      <c r="F3644" s="34" t="str">
        <f>VLOOKUP(Sales[[#This Row],[Product ID]],Product[#All],2,0)</f>
        <v>HP Power Adapter</v>
      </c>
      <c r="G3644" s="53">
        <v>8</v>
      </c>
      <c r="H3644" s="165">
        <f>VLOOKUP(Sales[[#This Row],[Product ID]],Product[#All],7,0)</f>
        <v>4510</v>
      </c>
      <c r="I3644" s="165">
        <f>Sales[[#This Row],[Selling Rate]]*Sales[[#This Row],[Qty]]</f>
        <v>36080</v>
      </c>
      <c r="J3644" s="45">
        <v>0.1</v>
      </c>
      <c r="K3644" s="46">
        <f>Sales[[#This Row],[Gross Amount]]*Sales[[#This Row],[Disc %]]</f>
        <v>3608</v>
      </c>
      <c r="L3644" s="43">
        <v>0.18</v>
      </c>
      <c r="M3644" s="46">
        <f>(Sales[[#This Row],[Gross Amount]]-Sales[[#This Row],[Disc. Amt.]])*Sales[[#This Row],[GST %]]</f>
        <v>5844.96</v>
      </c>
      <c r="N3644" s="161">
        <f>Sales[[#This Row],[Gross Amount]]-Sales[[#This Row],[Disc. Amt.]]+Sales[[#This Row],[GST Amount]]</f>
        <v>38316.959999999999</v>
      </c>
      <c r="O3644" s="34" t="s">
        <v>8876</v>
      </c>
      <c r="P3644" s="34" t="s">
        <v>3562</v>
      </c>
      <c r="Q3644" s="165">
        <f>IF(Sales[[#This Row],[Status]]="Cancelled",0,Sales[[#This Row],[Qty]])</f>
        <v>8</v>
      </c>
      <c r="R3644" s="166">
        <f>IF(Sales[[#This Row],[Status]]="Cancelled",0,Sales[[#This Row],[Total Amount]])</f>
        <v>38316.959999999999</v>
      </c>
      <c r="S3644" s="162">
        <f>SUM(Sales[Net Amount])</f>
        <v>406839287.73200053</v>
      </c>
    </row>
    <row r="3645" spans="1:19" ht="18.75" x14ac:dyDescent="0.25">
      <c r="A3645" s="156" t="s">
        <v>7310</v>
      </c>
      <c r="B3645" s="157">
        <v>45959</v>
      </c>
      <c r="C3645" s="158" t="s">
        <v>680</v>
      </c>
      <c r="D3645" s="159" t="str">
        <f>VLOOKUP(Sales[[#This Row],[Customer ID]],Customer[#All],2,0)</f>
        <v>Rahul Kumar</v>
      </c>
      <c r="E3645" s="158" t="s">
        <v>261</v>
      </c>
      <c r="F3645" s="158" t="str">
        <f>VLOOKUP(Sales[[#This Row],[Product ID]],Product[#All],2,0)</f>
        <v>American TouristerLaptopBag</v>
      </c>
      <c r="G3645" s="159">
        <v>1</v>
      </c>
      <c r="H3645" s="160">
        <f>VLOOKUP(Sales[[#This Row],[Product ID]],Product[#All],7,0)</f>
        <v>1320</v>
      </c>
      <c r="I3645" s="160">
        <f>Sales[[#This Row],[Selling Rate]]*Sales[[#This Row],[Qty]]</f>
        <v>1320</v>
      </c>
      <c r="J3645" s="43">
        <v>0.05</v>
      </c>
      <c r="K3645" s="44">
        <f>Sales[[#This Row],[Gross Amount]]*Sales[[#This Row],[Disc %]]</f>
        <v>66</v>
      </c>
      <c r="L3645" s="43">
        <v>0.18</v>
      </c>
      <c r="M3645" s="44">
        <f>(Sales[[#This Row],[Gross Amount]]-Sales[[#This Row],[Disc. Amt.]])*Sales[[#This Row],[GST %]]</f>
        <v>225.72</v>
      </c>
      <c r="N3645" s="161">
        <f>Sales[[#This Row],[Gross Amount]]-Sales[[#This Row],[Disc. Amt.]]+Sales[[#This Row],[GST Amount]]</f>
        <v>1479.72</v>
      </c>
      <c r="O3645" s="158" t="s">
        <v>8876</v>
      </c>
      <c r="P3645" s="158" t="s">
        <v>3562</v>
      </c>
      <c r="Q3645" s="160">
        <f>IF(Sales[[#This Row],[Status]]="Cancelled",0,Sales[[#This Row],[Qty]])</f>
        <v>1</v>
      </c>
      <c r="R3645" s="161">
        <f>IF(Sales[[#This Row],[Status]]="Cancelled",0,Sales[[#This Row],[Total Amount]])</f>
        <v>1479.72</v>
      </c>
      <c r="S3645" s="162">
        <f>SUM(Sales[Net Amount])</f>
        <v>406839287.73200053</v>
      </c>
    </row>
    <row r="3646" spans="1:19" ht="18.75" x14ac:dyDescent="0.25">
      <c r="A3646" s="163" t="s">
        <v>7311</v>
      </c>
      <c r="B3646" s="164">
        <v>45959</v>
      </c>
      <c r="C3646" s="34" t="s">
        <v>924</v>
      </c>
      <c r="D3646" s="53" t="str">
        <f>VLOOKUP(Sales[[#This Row],[Customer ID]],Customer[#All],2,0)</f>
        <v>Rakesh Gupta</v>
      </c>
      <c r="E3646" s="34" t="s">
        <v>511</v>
      </c>
      <c r="F3646" s="34" t="str">
        <f>VLOOKUP(Sales[[#This Row],[Product ID]],Product[#All],2,0)</f>
        <v>Amazon Basics Hdmi Cable</v>
      </c>
      <c r="G3646" s="53">
        <v>8</v>
      </c>
      <c r="H3646" s="165">
        <f>VLOOKUP(Sales[[#This Row],[Product ID]],Product[#All],7,0)</f>
        <v>1240</v>
      </c>
      <c r="I3646" s="165">
        <f>Sales[[#This Row],[Selling Rate]]*Sales[[#This Row],[Qty]]</f>
        <v>9920</v>
      </c>
      <c r="J3646" s="45">
        <v>0.05</v>
      </c>
      <c r="K3646" s="46">
        <f>Sales[[#This Row],[Gross Amount]]*Sales[[#This Row],[Disc %]]</f>
        <v>496</v>
      </c>
      <c r="L3646" s="43">
        <v>0.18</v>
      </c>
      <c r="M3646" s="46">
        <f>(Sales[[#This Row],[Gross Amount]]-Sales[[#This Row],[Disc. Amt.]])*Sales[[#This Row],[GST %]]</f>
        <v>1696.32</v>
      </c>
      <c r="N3646" s="161">
        <f>Sales[[#This Row],[Gross Amount]]-Sales[[#This Row],[Disc. Amt.]]+Sales[[#This Row],[GST Amount]]</f>
        <v>11120.32</v>
      </c>
      <c r="O3646" s="34" t="s">
        <v>3566</v>
      </c>
      <c r="P3646" s="34" t="s">
        <v>3562</v>
      </c>
      <c r="Q3646" s="165">
        <f>IF(Sales[[#This Row],[Status]]="Cancelled",0,Sales[[#This Row],[Qty]])</f>
        <v>8</v>
      </c>
      <c r="R3646" s="166">
        <f>IF(Sales[[#This Row],[Status]]="Cancelled",0,Sales[[#This Row],[Total Amount]])</f>
        <v>11120.32</v>
      </c>
      <c r="S3646" s="162">
        <f>SUM(Sales[Net Amount])</f>
        <v>406839287.73200053</v>
      </c>
    </row>
    <row r="3647" spans="1:19" ht="18.75" x14ac:dyDescent="0.25">
      <c r="A3647" s="156" t="s">
        <v>7312</v>
      </c>
      <c r="B3647" s="157">
        <v>45959</v>
      </c>
      <c r="C3647" s="158" t="s">
        <v>833</v>
      </c>
      <c r="D3647" s="159" t="str">
        <f>VLOOKUP(Sales[[#This Row],[Customer ID]],Customer[#All],2,0)</f>
        <v>Sunita Kumar</v>
      </c>
      <c r="E3647" s="158" t="s">
        <v>321</v>
      </c>
      <c r="F3647" s="158" t="str">
        <f>VLOOKUP(Sales[[#This Row],[Product ID]],Product[#All],2,0)</f>
        <v>WD HDD</v>
      </c>
      <c r="G3647" s="159">
        <v>3</v>
      </c>
      <c r="H3647" s="160">
        <f>VLOOKUP(Sales[[#This Row],[Product ID]],Product[#All],7,0)</f>
        <v>6810</v>
      </c>
      <c r="I3647" s="160">
        <f>Sales[[#This Row],[Selling Rate]]*Sales[[#This Row],[Qty]]</f>
        <v>20430</v>
      </c>
      <c r="J3647" s="43">
        <v>0.05</v>
      </c>
      <c r="K3647" s="44">
        <f>Sales[[#This Row],[Gross Amount]]*Sales[[#This Row],[Disc %]]</f>
        <v>1021.5</v>
      </c>
      <c r="L3647" s="43">
        <v>0.18</v>
      </c>
      <c r="M3647" s="44">
        <f>(Sales[[#This Row],[Gross Amount]]-Sales[[#This Row],[Disc. Amt.]])*Sales[[#This Row],[GST %]]</f>
        <v>3493.5299999999997</v>
      </c>
      <c r="N3647" s="161">
        <f>Sales[[#This Row],[Gross Amount]]-Sales[[#This Row],[Disc. Amt.]]+Sales[[#This Row],[GST Amount]]</f>
        <v>22902.03</v>
      </c>
      <c r="O3647" s="158" t="s">
        <v>3566</v>
      </c>
      <c r="P3647" s="158" t="s">
        <v>3562</v>
      </c>
      <c r="Q3647" s="160">
        <f>IF(Sales[[#This Row],[Status]]="Cancelled",0,Sales[[#This Row],[Qty]])</f>
        <v>3</v>
      </c>
      <c r="R3647" s="161">
        <f>IF(Sales[[#This Row],[Status]]="Cancelled",0,Sales[[#This Row],[Total Amount]])</f>
        <v>22902.03</v>
      </c>
      <c r="S3647" s="162">
        <f>SUM(Sales[Net Amount])</f>
        <v>406839287.73200053</v>
      </c>
    </row>
    <row r="3648" spans="1:19" ht="18.75" x14ac:dyDescent="0.25">
      <c r="A3648" s="163" t="s">
        <v>7313</v>
      </c>
      <c r="B3648" s="164">
        <v>45959</v>
      </c>
      <c r="C3648" s="34" t="s">
        <v>838</v>
      </c>
      <c r="D3648" s="53" t="str">
        <f>VLOOKUP(Sales[[#This Row],[Customer ID]],Customer[#All],2,0)</f>
        <v>Priya Gupta</v>
      </c>
      <c r="E3648" s="34" t="s">
        <v>309</v>
      </c>
      <c r="F3648" s="34" t="str">
        <f>VLOOKUP(Sales[[#This Row],[Product ID]],Product[#All],2,0)</f>
        <v>D-Link Router</v>
      </c>
      <c r="G3648" s="53">
        <v>5</v>
      </c>
      <c r="H3648" s="165">
        <f>VLOOKUP(Sales[[#This Row],[Product ID]],Product[#All],7,0)</f>
        <v>1260</v>
      </c>
      <c r="I3648" s="165">
        <f>Sales[[#This Row],[Selling Rate]]*Sales[[#This Row],[Qty]]</f>
        <v>6300</v>
      </c>
      <c r="J3648" s="45">
        <v>0.15</v>
      </c>
      <c r="K3648" s="46">
        <f>Sales[[#This Row],[Gross Amount]]*Sales[[#This Row],[Disc %]]</f>
        <v>945</v>
      </c>
      <c r="L3648" s="43">
        <v>0.18</v>
      </c>
      <c r="M3648" s="46">
        <f>(Sales[[#This Row],[Gross Amount]]-Sales[[#This Row],[Disc. Amt.]])*Sales[[#This Row],[GST %]]</f>
        <v>963.9</v>
      </c>
      <c r="N3648" s="161">
        <f>Sales[[#This Row],[Gross Amount]]-Sales[[#This Row],[Disc. Amt.]]+Sales[[#This Row],[GST Amount]]</f>
        <v>6318.9</v>
      </c>
      <c r="O3648" s="34" t="s">
        <v>3566</v>
      </c>
      <c r="P3648" s="34" t="s">
        <v>3562</v>
      </c>
      <c r="Q3648" s="165">
        <f>IF(Sales[[#This Row],[Status]]="Cancelled",0,Sales[[#This Row],[Qty]])</f>
        <v>5</v>
      </c>
      <c r="R3648" s="166">
        <f>IF(Sales[[#This Row],[Status]]="Cancelled",0,Sales[[#This Row],[Total Amount]])</f>
        <v>6318.9</v>
      </c>
      <c r="S3648" s="162">
        <f>SUM(Sales[Net Amount])</f>
        <v>406839287.73200053</v>
      </c>
    </row>
    <row r="3649" spans="1:19" ht="18.75" x14ac:dyDescent="0.25">
      <c r="A3649" s="156" t="s">
        <v>7314</v>
      </c>
      <c r="B3649" s="157">
        <v>45959</v>
      </c>
      <c r="C3649" s="158" t="s">
        <v>697</v>
      </c>
      <c r="D3649" s="159" t="str">
        <f>VLOOKUP(Sales[[#This Row],[Customer ID]],Customer[#All],2,0)</f>
        <v>Priya Kumar</v>
      </c>
      <c r="E3649" s="158" t="s">
        <v>76</v>
      </c>
      <c r="F3649" s="158" t="str">
        <f>VLOOKUP(Sales[[#This Row],[Product ID]],Product[#All],2,0)</f>
        <v>Dell Keyboard</v>
      </c>
      <c r="G3649" s="159">
        <v>4</v>
      </c>
      <c r="H3649" s="160">
        <f>VLOOKUP(Sales[[#This Row],[Product ID]],Product[#All],7,0)</f>
        <v>1740</v>
      </c>
      <c r="I3649" s="160">
        <f>Sales[[#This Row],[Selling Rate]]*Sales[[#This Row],[Qty]]</f>
        <v>6960</v>
      </c>
      <c r="J3649" s="43">
        <v>0.05</v>
      </c>
      <c r="K3649" s="44">
        <f>Sales[[#This Row],[Gross Amount]]*Sales[[#This Row],[Disc %]]</f>
        <v>348</v>
      </c>
      <c r="L3649" s="43">
        <v>0.18</v>
      </c>
      <c r="M3649" s="44">
        <f>(Sales[[#This Row],[Gross Amount]]-Sales[[#This Row],[Disc. Amt.]])*Sales[[#This Row],[GST %]]</f>
        <v>1190.1599999999999</v>
      </c>
      <c r="N3649" s="161">
        <f>Sales[[#This Row],[Gross Amount]]-Sales[[#This Row],[Disc. Amt.]]+Sales[[#This Row],[GST Amount]]</f>
        <v>7802.16</v>
      </c>
      <c r="O3649" s="158" t="s">
        <v>8876</v>
      </c>
      <c r="P3649" s="158" t="s">
        <v>3562</v>
      </c>
      <c r="Q3649" s="160">
        <f>IF(Sales[[#This Row],[Status]]="Cancelled",0,Sales[[#This Row],[Qty]])</f>
        <v>4</v>
      </c>
      <c r="R3649" s="161">
        <f>IF(Sales[[#This Row],[Status]]="Cancelled",0,Sales[[#This Row],[Total Amount]])</f>
        <v>7802.16</v>
      </c>
      <c r="S3649" s="162">
        <f>SUM(Sales[Net Amount])</f>
        <v>406839287.73200053</v>
      </c>
    </row>
    <row r="3650" spans="1:19" ht="18.75" x14ac:dyDescent="0.25">
      <c r="A3650" s="163" t="s">
        <v>7315</v>
      </c>
      <c r="B3650" s="164">
        <v>45959</v>
      </c>
      <c r="C3650" s="34" t="s">
        <v>767</v>
      </c>
      <c r="D3650" s="53" t="str">
        <f>VLOOKUP(Sales[[#This Row],[Customer ID]],Customer[#All],2,0)</f>
        <v>Sunita Singh</v>
      </c>
      <c r="E3650" s="34" t="s">
        <v>209</v>
      </c>
      <c r="F3650" s="34" t="str">
        <f>VLOOKUP(Sales[[#This Row],[Product ID]],Product[#All],2,0)</f>
        <v>HP Laptop</v>
      </c>
      <c r="G3650" s="53">
        <v>6</v>
      </c>
      <c r="H3650" s="165">
        <f>VLOOKUP(Sales[[#This Row],[Product ID]],Product[#All],7,0)</f>
        <v>60780</v>
      </c>
      <c r="I3650" s="165">
        <f>Sales[[#This Row],[Selling Rate]]*Sales[[#This Row],[Qty]]</f>
        <v>364680</v>
      </c>
      <c r="J3650" s="45">
        <v>0.12</v>
      </c>
      <c r="K3650" s="46">
        <f>Sales[[#This Row],[Gross Amount]]*Sales[[#This Row],[Disc %]]</f>
        <v>43761.599999999999</v>
      </c>
      <c r="L3650" s="43">
        <v>0.18</v>
      </c>
      <c r="M3650" s="46">
        <f>(Sales[[#This Row],[Gross Amount]]-Sales[[#This Row],[Disc. Amt.]])*Sales[[#This Row],[GST %]]</f>
        <v>57765.312000000005</v>
      </c>
      <c r="N3650" s="161">
        <f>Sales[[#This Row],[Gross Amount]]-Sales[[#This Row],[Disc. Amt.]]+Sales[[#This Row],[GST Amount]]</f>
        <v>378683.71200000006</v>
      </c>
      <c r="O3650" s="34" t="s">
        <v>3569</v>
      </c>
      <c r="P3650" s="34" t="s">
        <v>3562</v>
      </c>
      <c r="Q3650" s="165">
        <f>IF(Sales[[#This Row],[Status]]="Cancelled",0,Sales[[#This Row],[Qty]])</f>
        <v>6</v>
      </c>
      <c r="R3650" s="166">
        <f>IF(Sales[[#This Row],[Status]]="Cancelled",0,Sales[[#This Row],[Total Amount]])</f>
        <v>378683.71200000006</v>
      </c>
      <c r="S3650" s="162">
        <f>SUM(Sales[Net Amount])</f>
        <v>406839287.73200053</v>
      </c>
    </row>
    <row r="3651" spans="1:19" ht="18.75" x14ac:dyDescent="0.25">
      <c r="A3651" s="156" t="s">
        <v>7316</v>
      </c>
      <c r="B3651" s="157">
        <v>45959</v>
      </c>
      <c r="C3651" s="158" t="s">
        <v>689</v>
      </c>
      <c r="D3651" s="159" t="str">
        <f>VLOOKUP(Sales[[#This Row],[Customer ID]],Customer[#All],2,0)</f>
        <v>Sahil Kumar</v>
      </c>
      <c r="E3651" s="158" t="s">
        <v>510</v>
      </c>
      <c r="F3651" s="158" t="str">
        <f>VLOOKUP(Sales[[#This Row],[Product ID]],Product[#All],2,0)</f>
        <v>American TouristerLaptopBag</v>
      </c>
      <c r="G3651" s="159">
        <v>5</v>
      </c>
      <c r="H3651" s="160">
        <f>VLOOKUP(Sales[[#This Row],[Product ID]],Product[#All],7,0)</f>
        <v>5010</v>
      </c>
      <c r="I3651" s="160">
        <f>Sales[[#This Row],[Selling Rate]]*Sales[[#This Row],[Qty]]</f>
        <v>25050</v>
      </c>
      <c r="J3651" s="43">
        <v>0.1</v>
      </c>
      <c r="K3651" s="44">
        <f>Sales[[#This Row],[Gross Amount]]*Sales[[#This Row],[Disc %]]</f>
        <v>2505</v>
      </c>
      <c r="L3651" s="43">
        <v>0.18</v>
      </c>
      <c r="M3651" s="44">
        <f>(Sales[[#This Row],[Gross Amount]]-Sales[[#This Row],[Disc. Amt.]])*Sales[[#This Row],[GST %]]</f>
        <v>4058.1</v>
      </c>
      <c r="N3651" s="161">
        <f>Sales[[#This Row],[Gross Amount]]-Sales[[#This Row],[Disc. Amt.]]+Sales[[#This Row],[GST Amount]]</f>
        <v>26603.1</v>
      </c>
      <c r="O3651" s="158" t="s">
        <v>8876</v>
      </c>
      <c r="P3651" s="158" t="s">
        <v>3562</v>
      </c>
      <c r="Q3651" s="160">
        <f>IF(Sales[[#This Row],[Status]]="Cancelled",0,Sales[[#This Row],[Qty]])</f>
        <v>5</v>
      </c>
      <c r="R3651" s="161">
        <f>IF(Sales[[#This Row],[Status]]="Cancelled",0,Sales[[#This Row],[Total Amount]])</f>
        <v>26603.1</v>
      </c>
      <c r="S3651" s="162">
        <f>SUM(Sales[Net Amount])</f>
        <v>406839287.73200053</v>
      </c>
    </row>
    <row r="3652" spans="1:19" ht="18.75" x14ac:dyDescent="0.25">
      <c r="A3652" s="163" t="s">
        <v>7317</v>
      </c>
      <c r="B3652" s="164">
        <v>45959</v>
      </c>
      <c r="C3652" s="34" t="s">
        <v>678</v>
      </c>
      <c r="D3652" s="53" t="str">
        <f>VLOOKUP(Sales[[#This Row],[Customer ID]],Customer[#All],2,0)</f>
        <v>Ankit Gupta</v>
      </c>
      <c r="E3652" s="34" t="s">
        <v>335</v>
      </c>
      <c r="F3652" s="34" t="str">
        <f>VLOOKUP(Sales[[#This Row],[Product ID]],Product[#All],2,0)</f>
        <v>Corsair Ram</v>
      </c>
      <c r="G3652" s="53">
        <v>3</v>
      </c>
      <c r="H3652" s="165">
        <f>VLOOKUP(Sales[[#This Row],[Product ID]],Product[#All],7,0)</f>
        <v>4450</v>
      </c>
      <c r="I3652" s="165">
        <f>Sales[[#This Row],[Selling Rate]]*Sales[[#This Row],[Qty]]</f>
        <v>13350</v>
      </c>
      <c r="J3652" s="45">
        <v>0.15</v>
      </c>
      <c r="K3652" s="46">
        <f>Sales[[#This Row],[Gross Amount]]*Sales[[#This Row],[Disc %]]</f>
        <v>2002.5</v>
      </c>
      <c r="L3652" s="43">
        <v>0.18</v>
      </c>
      <c r="M3652" s="46">
        <f>(Sales[[#This Row],[Gross Amount]]-Sales[[#This Row],[Disc. Amt.]])*Sales[[#This Row],[GST %]]</f>
        <v>2042.55</v>
      </c>
      <c r="N3652" s="161">
        <f>Sales[[#This Row],[Gross Amount]]-Sales[[#This Row],[Disc. Amt.]]+Sales[[#This Row],[GST Amount]]</f>
        <v>13390.05</v>
      </c>
      <c r="O3652" s="34" t="s">
        <v>8876</v>
      </c>
      <c r="P3652" s="34" t="s">
        <v>3562</v>
      </c>
      <c r="Q3652" s="165">
        <f>IF(Sales[[#This Row],[Status]]="Cancelled",0,Sales[[#This Row],[Qty]])</f>
        <v>3</v>
      </c>
      <c r="R3652" s="166">
        <f>IF(Sales[[#This Row],[Status]]="Cancelled",0,Sales[[#This Row],[Total Amount]])</f>
        <v>13390.05</v>
      </c>
      <c r="S3652" s="162">
        <f>SUM(Sales[Net Amount])</f>
        <v>406839287.73200053</v>
      </c>
    </row>
    <row r="3653" spans="1:19" ht="18.75" x14ac:dyDescent="0.25">
      <c r="A3653" s="156" t="s">
        <v>7318</v>
      </c>
      <c r="B3653" s="157">
        <v>45959</v>
      </c>
      <c r="C3653" s="158" t="s">
        <v>733</v>
      </c>
      <c r="D3653" s="159" t="str">
        <f>VLOOKUP(Sales[[#This Row],[Customer ID]],Customer[#All],2,0)</f>
        <v>Vikas Kumar</v>
      </c>
      <c r="E3653" s="158" t="s">
        <v>428</v>
      </c>
      <c r="F3653" s="158" t="str">
        <f>VLOOKUP(Sales[[#This Row],[Product ID]],Product[#All],2,0)</f>
        <v>Microtek UPS</v>
      </c>
      <c r="G3653" s="159">
        <v>7</v>
      </c>
      <c r="H3653" s="160">
        <f>VLOOKUP(Sales[[#This Row],[Product ID]],Product[#All],7,0)</f>
        <v>8450</v>
      </c>
      <c r="I3653" s="160">
        <f>Sales[[#This Row],[Selling Rate]]*Sales[[#This Row],[Qty]]</f>
        <v>59150</v>
      </c>
      <c r="J3653" s="43">
        <v>0.05</v>
      </c>
      <c r="K3653" s="44">
        <f>Sales[[#This Row],[Gross Amount]]*Sales[[#This Row],[Disc %]]</f>
        <v>2957.5</v>
      </c>
      <c r="L3653" s="43">
        <v>0.18</v>
      </c>
      <c r="M3653" s="44">
        <f>(Sales[[#This Row],[Gross Amount]]-Sales[[#This Row],[Disc. Amt.]])*Sales[[#This Row],[GST %]]</f>
        <v>10114.65</v>
      </c>
      <c r="N3653" s="161">
        <f>Sales[[#This Row],[Gross Amount]]-Sales[[#This Row],[Disc. Amt.]]+Sales[[#This Row],[GST Amount]]</f>
        <v>66307.149999999994</v>
      </c>
      <c r="O3653" s="158" t="s">
        <v>3566</v>
      </c>
      <c r="P3653" s="158" t="s">
        <v>3562</v>
      </c>
      <c r="Q3653" s="160">
        <f>IF(Sales[[#This Row],[Status]]="Cancelled",0,Sales[[#This Row],[Qty]])</f>
        <v>7</v>
      </c>
      <c r="R3653" s="161">
        <f>IF(Sales[[#This Row],[Status]]="Cancelled",0,Sales[[#This Row],[Total Amount]])</f>
        <v>66307.149999999994</v>
      </c>
      <c r="S3653" s="162">
        <f>SUM(Sales[Net Amount])</f>
        <v>406839287.73200053</v>
      </c>
    </row>
    <row r="3654" spans="1:19" ht="18.75" x14ac:dyDescent="0.25">
      <c r="A3654" s="163" t="s">
        <v>7319</v>
      </c>
      <c r="B3654" s="164">
        <v>45959</v>
      </c>
      <c r="C3654" s="34" t="s">
        <v>698</v>
      </c>
      <c r="D3654" s="53" t="str">
        <f>VLOOKUP(Sales[[#This Row],[Customer ID]],Customer[#All],2,0)</f>
        <v>Neha Sharma</v>
      </c>
      <c r="E3654" s="34" t="s">
        <v>140</v>
      </c>
      <c r="F3654" s="34" t="str">
        <f>VLOOKUP(Sales[[#This Row],[Product ID]],Product[#All],2,0)</f>
        <v>Logitech Mouse</v>
      </c>
      <c r="G3654" s="53">
        <v>6</v>
      </c>
      <c r="H3654" s="165">
        <f>VLOOKUP(Sales[[#This Row],[Product ID]],Product[#All],7,0)</f>
        <v>2760</v>
      </c>
      <c r="I3654" s="165">
        <f>Sales[[#This Row],[Selling Rate]]*Sales[[#This Row],[Qty]]</f>
        <v>16560</v>
      </c>
      <c r="J3654" s="45">
        <v>0.05</v>
      </c>
      <c r="K3654" s="46">
        <f>Sales[[#This Row],[Gross Amount]]*Sales[[#This Row],[Disc %]]</f>
        <v>828</v>
      </c>
      <c r="L3654" s="43">
        <v>0.18</v>
      </c>
      <c r="M3654" s="46">
        <f>(Sales[[#This Row],[Gross Amount]]-Sales[[#This Row],[Disc. Amt.]])*Sales[[#This Row],[GST %]]</f>
        <v>2831.7599999999998</v>
      </c>
      <c r="N3654" s="161">
        <f>Sales[[#This Row],[Gross Amount]]-Sales[[#This Row],[Disc. Amt.]]+Sales[[#This Row],[GST Amount]]</f>
        <v>18563.759999999998</v>
      </c>
      <c r="O3654" s="34" t="s">
        <v>3566</v>
      </c>
      <c r="P3654" s="34" t="s">
        <v>3562</v>
      </c>
      <c r="Q3654" s="165">
        <f>IF(Sales[[#This Row],[Status]]="Cancelled",0,Sales[[#This Row],[Qty]])</f>
        <v>6</v>
      </c>
      <c r="R3654" s="166">
        <f>IF(Sales[[#This Row],[Status]]="Cancelled",0,Sales[[#This Row],[Total Amount]])</f>
        <v>18563.759999999998</v>
      </c>
      <c r="S3654" s="162">
        <f>SUM(Sales[Net Amount])</f>
        <v>406839287.73200053</v>
      </c>
    </row>
    <row r="3655" spans="1:19" ht="18.75" x14ac:dyDescent="0.25">
      <c r="A3655" s="156" t="s">
        <v>7320</v>
      </c>
      <c r="B3655" s="157">
        <v>45959</v>
      </c>
      <c r="C3655" s="158" t="s">
        <v>687</v>
      </c>
      <c r="D3655" s="159" t="str">
        <f>VLOOKUP(Sales[[#This Row],[Customer ID]],Customer[#All],2,0)</f>
        <v>Rahul Verma</v>
      </c>
      <c r="E3655" s="158" t="s">
        <v>263</v>
      </c>
      <c r="F3655" s="158" t="str">
        <f>VLOOKUP(Sales[[#This Row],[Product ID]],Product[#All],2,0)</f>
        <v>Amazon Basics Hdmi Cable</v>
      </c>
      <c r="G3655" s="159">
        <v>3</v>
      </c>
      <c r="H3655" s="160">
        <f>VLOOKUP(Sales[[#This Row],[Product ID]],Product[#All],7,0)</f>
        <v>770</v>
      </c>
      <c r="I3655" s="160">
        <f>Sales[[#This Row],[Selling Rate]]*Sales[[#This Row],[Qty]]</f>
        <v>2310</v>
      </c>
      <c r="J3655" s="43">
        <v>0.12</v>
      </c>
      <c r="K3655" s="44">
        <f>Sales[[#This Row],[Gross Amount]]*Sales[[#This Row],[Disc %]]</f>
        <v>277.2</v>
      </c>
      <c r="L3655" s="43">
        <v>0.18</v>
      </c>
      <c r="M3655" s="44">
        <f>(Sales[[#This Row],[Gross Amount]]-Sales[[#This Row],[Disc. Amt.]])*Sales[[#This Row],[GST %]]</f>
        <v>365.904</v>
      </c>
      <c r="N3655" s="161">
        <f>Sales[[#This Row],[Gross Amount]]-Sales[[#This Row],[Disc. Amt.]]+Sales[[#This Row],[GST Amount]]</f>
        <v>2398.7039999999997</v>
      </c>
      <c r="O3655" s="158" t="s">
        <v>8876</v>
      </c>
      <c r="P3655" s="158" t="s">
        <v>3562</v>
      </c>
      <c r="Q3655" s="160">
        <f>IF(Sales[[#This Row],[Status]]="Cancelled",0,Sales[[#This Row],[Qty]])</f>
        <v>3</v>
      </c>
      <c r="R3655" s="161">
        <f>IF(Sales[[#This Row],[Status]]="Cancelled",0,Sales[[#This Row],[Total Amount]])</f>
        <v>2398.7039999999997</v>
      </c>
      <c r="S3655" s="162">
        <f>SUM(Sales[Net Amount])</f>
        <v>406839287.73200053</v>
      </c>
    </row>
    <row r="3656" spans="1:19" ht="18.75" x14ac:dyDescent="0.25">
      <c r="A3656" s="163" t="s">
        <v>7321</v>
      </c>
      <c r="B3656" s="164">
        <v>45959</v>
      </c>
      <c r="C3656" s="34" t="s">
        <v>777</v>
      </c>
      <c r="D3656" s="53" t="str">
        <f>VLOOKUP(Sales[[#This Row],[Customer ID]],Customer[#All],2,0)</f>
        <v>Neha Sharma</v>
      </c>
      <c r="E3656" s="34" t="s">
        <v>459</v>
      </c>
      <c r="F3656" s="34" t="str">
        <f>VLOOKUP(Sales[[#This Row],[Product ID]],Product[#All],2,0)</f>
        <v>Logitech Mouse</v>
      </c>
      <c r="G3656" s="53">
        <v>6</v>
      </c>
      <c r="H3656" s="165">
        <f>VLOOKUP(Sales[[#This Row],[Product ID]],Product[#All],7,0)</f>
        <v>1680</v>
      </c>
      <c r="I3656" s="165">
        <f>Sales[[#This Row],[Selling Rate]]*Sales[[#This Row],[Qty]]</f>
        <v>10080</v>
      </c>
      <c r="J3656" s="45">
        <v>0.02</v>
      </c>
      <c r="K3656" s="46">
        <f>Sales[[#This Row],[Gross Amount]]*Sales[[#This Row],[Disc %]]</f>
        <v>201.6</v>
      </c>
      <c r="L3656" s="43">
        <v>0.18</v>
      </c>
      <c r="M3656" s="46">
        <f>(Sales[[#This Row],[Gross Amount]]-Sales[[#This Row],[Disc. Amt.]])*Sales[[#This Row],[GST %]]</f>
        <v>1778.1119999999999</v>
      </c>
      <c r="N3656" s="161">
        <f>Sales[[#This Row],[Gross Amount]]-Sales[[#This Row],[Disc. Amt.]]+Sales[[#This Row],[GST Amount]]</f>
        <v>11656.511999999999</v>
      </c>
      <c r="O3656" s="34" t="s">
        <v>3569</v>
      </c>
      <c r="P3656" s="34" t="s">
        <v>3562</v>
      </c>
      <c r="Q3656" s="165">
        <f>IF(Sales[[#This Row],[Status]]="Cancelled",0,Sales[[#This Row],[Qty]])</f>
        <v>6</v>
      </c>
      <c r="R3656" s="166">
        <f>IF(Sales[[#This Row],[Status]]="Cancelled",0,Sales[[#This Row],[Total Amount]])</f>
        <v>11656.511999999999</v>
      </c>
      <c r="S3656" s="162">
        <f>SUM(Sales[Net Amount])</f>
        <v>406839287.73200053</v>
      </c>
    </row>
    <row r="3657" spans="1:19" ht="18.75" x14ac:dyDescent="0.25">
      <c r="A3657" s="156" t="s">
        <v>7322</v>
      </c>
      <c r="B3657" s="157">
        <v>45959</v>
      </c>
      <c r="C3657" s="158" t="s">
        <v>676</v>
      </c>
      <c r="D3657" s="159" t="str">
        <f>VLOOKUP(Sales[[#This Row],[Customer ID]],Customer[#All],2,0)</f>
        <v>Neha Singh</v>
      </c>
      <c r="E3657" s="158" t="s">
        <v>447</v>
      </c>
      <c r="F3657" s="158" t="str">
        <f>VLOOKUP(Sales[[#This Row],[Product ID]],Product[#All],2,0)</f>
        <v>PortronicsLaptopStand</v>
      </c>
      <c r="G3657" s="159">
        <v>7</v>
      </c>
      <c r="H3657" s="160">
        <f>VLOOKUP(Sales[[#This Row],[Product ID]],Product[#All],7,0)</f>
        <v>2830</v>
      </c>
      <c r="I3657" s="160">
        <f>Sales[[#This Row],[Selling Rate]]*Sales[[#This Row],[Qty]]</f>
        <v>19810</v>
      </c>
      <c r="J3657" s="43">
        <v>0.02</v>
      </c>
      <c r="K3657" s="44">
        <f>Sales[[#This Row],[Gross Amount]]*Sales[[#This Row],[Disc %]]</f>
        <v>396.2</v>
      </c>
      <c r="L3657" s="43">
        <v>0.18</v>
      </c>
      <c r="M3657" s="44">
        <f>(Sales[[#This Row],[Gross Amount]]-Sales[[#This Row],[Disc. Amt.]])*Sales[[#This Row],[GST %]]</f>
        <v>3494.4839999999999</v>
      </c>
      <c r="N3657" s="161">
        <f>Sales[[#This Row],[Gross Amount]]-Sales[[#This Row],[Disc. Amt.]]+Sales[[#This Row],[GST Amount]]</f>
        <v>22908.284</v>
      </c>
      <c r="O3657" s="158" t="s">
        <v>3566</v>
      </c>
      <c r="P3657" s="158" t="s">
        <v>3562</v>
      </c>
      <c r="Q3657" s="160">
        <f>IF(Sales[[#This Row],[Status]]="Cancelled",0,Sales[[#This Row],[Qty]])</f>
        <v>7</v>
      </c>
      <c r="R3657" s="161">
        <f>IF(Sales[[#This Row],[Status]]="Cancelled",0,Sales[[#This Row],[Total Amount]])</f>
        <v>22908.284</v>
      </c>
      <c r="S3657" s="162">
        <f>SUM(Sales[Net Amount])</f>
        <v>406839287.73200053</v>
      </c>
    </row>
    <row r="3658" spans="1:19" ht="18.75" x14ac:dyDescent="0.25">
      <c r="A3658" s="163" t="s">
        <v>7323</v>
      </c>
      <c r="B3658" s="164">
        <v>45959</v>
      </c>
      <c r="C3658" s="34" t="s">
        <v>730</v>
      </c>
      <c r="D3658" s="53" t="str">
        <f>VLOOKUP(Sales[[#This Row],[Customer ID]],Customer[#All],2,0)</f>
        <v>Neha Verma</v>
      </c>
      <c r="E3658" s="34" t="s">
        <v>476</v>
      </c>
      <c r="F3658" s="34" t="str">
        <f>VLOOKUP(Sales[[#This Row],[Product ID]],Product[#All],2,0)</f>
        <v>Sandisk Pen Drive</v>
      </c>
      <c r="G3658" s="53">
        <v>1</v>
      </c>
      <c r="H3658" s="165">
        <f>VLOOKUP(Sales[[#This Row],[Product ID]],Product[#All],7,0)</f>
        <v>650</v>
      </c>
      <c r="I3658" s="165">
        <f>Sales[[#This Row],[Selling Rate]]*Sales[[#This Row],[Qty]]</f>
        <v>650</v>
      </c>
      <c r="J3658" s="45">
        <v>0.05</v>
      </c>
      <c r="K3658" s="46">
        <f>Sales[[#This Row],[Gross Amount]]*Sales[[#This Row],[Disc %]]</f>
        <v>32.5</v>
      </c>
      <c r="L3658" s="43">
        <v>0.18</v>
      </c>
      <c r="M3658" s="46">
        <f>(Sales[[#This Row],[Gross Amount]]-Sales[[#This Row],[Disc. Amt.]])*Sales[[#This Row],[GST %]]</f>
        <v>111.14999999999999</v>
      </c>
      <c r="N3658" s="161">
        <f>Sales[[#This Row],[Gross Amount]]-Sales[[#This Row],[Disc. Amt.]]+Sales[[#This Row],[GST Amount]]</f>
        <v>728.65</v>
      </c>
      <c r="O3658" s="34" t="s">
        <v>3569</v>
      </c>
      <c r="P3658" s="34" t="s">
        <v>3562</v>
      </c>
      <c r="Q3658" s="165">
        <f>IF(Sales[[#This Row],[Status]]="Cancelled",0,Sales[[#This Row],[Qty]])</f>
        <v>1</v>
      </c>
      <c r="R3658" s="166">
        <f>IF(Sales[[#This Row],[Status]]="Cancelled",0,Sales[[#This Row],[Total Amount]])</f>
        <v>728.65</v>
      </c>
      <c r="S3658" s="162">
        <f>SUM(Sales[Net Amount])</f>
        <v>406839287.73200053</v>
      </c>
    </row>
    <row r="3659" spans="1:19" ht="18.75" x14ac:dyDescent="0.25">
      <c r="A3659" s="156" t="s">
        <v>7324</v>
      </c>
      <c r="B3659" s="157">
        <v>45959</v>
      </c>
      <c r="C3659" s="158" t="s">
        <v>835</v>
      </c>
      <c r="D3659" s="159" t="str">
        <f>VLOOKUP(Sales[[#This Row],[Customer ID]],Customer[#All],2,0)</f>
        <v>Ankit Kumar</v>
      </c>
      <c r="E3659" s="158" t="s">
        <v>171</v>
      </c>
      <c r="F3659" s="158" t="str">
        <f>VLOOKUP(Sales[[#This Row],[Product ID]],Product[#All],2,0)</f>
        <v>Boat Headset</v>
      </c>
      <c r="G3659" s="159">
        <v>5</v>
      </c>
      <c r="H3659" s="160">
        <f>VLOOKUP(Sales[[#This Row],[Product ID]],Product[#All],7,0)</f>
        <v>4010</v>
      </c>
      <c r="I3659" s="160">
        <f>Sales[[#This Row],[Selling Rate]]*Sales[[#This Row],[Qty]]</f>
        <v>20050</v>
      </c>
      <c r="J3659" s="43">
        <v>0.05</v>
      </c>
      <c r="K3659" s="44">
        <f>Sales[[#This Row],[Gross Amount]]*Sales[[#This Row],[Disc %]]</f>
        <v>1002.5</v>
      </c>
      <c r="L3659" s="43">
        <v>0.18</v>
      </c>
      <c r="M3659" s="44">
        <f>(Sales[[#This Row],[Gross Amount]]-Sales[[#This Row],[Disc. Amt.]])*Sales[[#This Row],[GST %]]</f>
        <v>3428.5499999999997</v>
      </c>
      <c r="N3659" s="161">
        <f>Sales[[#This Row],[Gross Amount]]-Sales[[#This Row],[Disc. Amt.]]+Sales[[#This Row],[GST Amount]]</f>
        <v>22476.05</v>
      </c>
      <c r="O3659" s="158" t="s">
        <v>3561</v>
      </c>
      <c r="P3659" s="158" t="s">
        <v>3562</v>
      </c>
      <c r="Q3659" s="160">
        <f>IF(Sales[[#This Row],[Status]]="Cancelled",0,Sales[[#This Row],[Qty]])</f>
        <v>5</v>
      </c>
      <c r="R3659" s="161">
        <f>IF(Sales[[#This Row],[Status]]="Cancelled",0,Sales[[#This Row],[Total Amount]])</f>
        <v>22476.05</v>
      </c>
      <c r="S3659" s="162">
        <f>SUM(Sales[Net Amount])</f>
        <v>406839287.73200053</v>
      </c>
    </row>
    <row r="3660" spans="1:19" ht="18.75" x14ac:dyDescent="0.25">
      <c r="A3660" s="163" t="s">
        <v>7325</v>
      </c>
      <c r="B3660" s="164">
        <v>45959</v>
      </c>
      <c r="C3660" s="34" t="s">
        <v>789</v>
      </c>
      <c r="D3660" s="53" t="str">
        <f>VLOOKUP(Sales[[#This Row],[Customer ID]],Customer[#All],2,0)</f>
        <v>Ankit Patel</v>
      </c>
      <c r="E3660" s="34" t="s">
        <v>535</v>
      </c>
      <c r="F3660" s="34" t="str">
        <f>VLOOKUP(Sales[[#This Row],[Product ID]],Product[#All],2,0)</f>
        <v>Logitech Keyboard</v>
      </c>
      <c r="G3660" s="53">
        <v>8</v>
      </c>
      <c r="H3660" s="165">
        <f>VLOOKUP(Sales[[#This Row],[Product ID]],Product[#All],7,0)</f>
        <v>810</v>
      </c>
      <c r="I3660" s="165">
        <f>Sales[[#This Row],[Selling Rate]]*Sales[[#This Row],[Qty]]</f>
        <v>6480</v>
      </c>
      <c r="J3660" s="45">
        <v>0.02</v>
      </c>
      <c r="K3660" s="46">
        <f>Sales[[#This Row],[Gross Amount]]*Sales[[#This Row],[Disc %]]</f>
        <v>129.6</v>
      </c>
      <c r="L3660" s="43">
        <v>0.18</v>
      </c>
      <c r="M3660" s="46">
        <f>(Sales[[#This Row],[Gross Amount]]-Sales[[#This Row],[Disc. Amt.]])*Sales[[#This Row],[GST %]]</f>
        <v>1143.0719999999999</v>
      </c>
      <c r="N3660" s="161">
        <f>Sales[[#This Row],[Gross Amount]]-Sales[[#This Row],[Disc. Amt.]]+Sales[[#This Row],[GST Amount]]</f>
        <v>7493.4719999999998</v>
      </c>
      <c r="O3660" s="34" t="s">
        <v>3561</v>
      </c>
      <c r="P3660" s="34" t="s">
        <v>3562</v>
      </c>
      <c r="Q3660" s="165">
        <f>IF(Sales[[#This Row],[Status]]="Cancelled",0,Sales[[#This Row],[Qty]])</f>
        <v>8</v>
      </c>
      <c r="R3660" s="166">
        <f>IF(Sales[[#This Row],[Status]]="Cancelled",0,Sales[[#This Row],[Total Amount]])</f>
        <v>7493.4719999999998</v>
      </c>
      <c r="S3660" s="162">
        <f>SUM(Sales[Net Amount])</f>
        <v>406839287.73200053</v>
      </c>
    </row>
    <row r="3661" spans="1:19" ht="18.75" x14ac:dyDescent="0.25">
      <c r="A3661" s="156" t="s">
        <v>7326</v>
      </c>
      <c r="B3661" s="157">
        <v>45959</v>
      </c>
      <c r="C3661" s="158" t="s">
        <v>687</v>
      </c>
      <c r="D3661" s="159" t="str">
        <f>VLOOKUP(Sales[[#This Row],[Customer ID]],Customer[#All],2,0)</f>
        <v>Rahul Verma</v>
      </c>
      <c r="E3661" s="158" t="s">
        <v>285</v>
      </c>
      <c r="F3661" s="158" t="str">
        <f>VLOOKUP(Sales[[#This Row],[Product ID]],Product[#All],2,0)</f>
        <v>HP Power Adapter</v>
      </c>
      <c r="G3661" s="159">
        <v>4</v>
      </c>
      <c r="H3661" s="160">
        <f>VLOOKUP(Sales[[#This Row],[Product ID]],Product[#All],7,0)</f>
        <v>2170</v>
      </c>
      <c r="I3661" s="160">
        <f>Sales[[#This Row],[Selling Rate]]*Sales[[#This Row],[Qty]]</f>
        <v>8680</v>
      </c>
      <c r="J3661" s="43">
        <v>0.05</v>
      </c>
      <c r="K3661" s="44">
        <f>Sales[[#This Row],[Gross Amount]]*Sales[[#This Row],[Disc %]]</f>
        <v>434</v>
      </c>
      <c r="L3661" s="43">
        <v>0.18</v>
      </c>
      <c r="M3661" s="44">
        <f>(Sales[[#This Row],[Gross Amount]]-Sales[[#This Row],[Disc. Amt.]])*Sales[[#This Row],[GST %]]</f>
        <v>1484.28</v>
      </c>
      <c r="N3661" s="161">
        <f>Sales[[#This Row],[Gross Amount]]-Sales[[#This Row],[Disc. Amt.]]+Sales[[#This Row],[GST Amount]]</f>
        <v>9730.2800000000007</v>
      </c>
      <c r="O3661" s="158" t="s">
        <v>3566</v>
      </c>
      <c r="P3661" s="158" t="s">
        <v>3562</v>
      </c>
      <c r="Q3661" s="160">
        <f>IF(Sales[[#This Row],[Status]]="Cancelled",0,Sales[[#This Row],[Qty]])</f>
        <v>4</v>
      </c>
      <c r="R3661" s="161">
        <f>IF(Sales[[#This Row],[Status]]="Cancelled",0,Sales[[#This Row],[Total Amount]])</f>
        <v>9730.2800000000007</v>
      </c>
      <c r="S3661" s="162">
        <f>SUM(Sales[Net Amount])</f>
        <v>406839287.73200053</v>
      </c>
    </row>
    <row r="3662" spans="1:19" ht="18.75" x14ac:dyDescent="0.25">
      <c r="A3662" s="163" t="s">
        <v>7327</v>
      </c>
      <c r="B3662" s="164">
        <v>45960</v>
      </c>
      <c r="C3662" s="34" t="s">
        <v>666</v>
      </c>
      <c r="D3662" s="53" t="str">
        <f>VLOOKUP(Sales[[#This Row],[Customer ID]],Customer[#All],2,0)</f>
        <v>Sahil Gupta</v>
      </c>
      <c r="E3662" s="34" t="s">
        <v>175</v>
      </c>
      <c r="F3662" s="34" t="str">
        <f>VLOOKUP(Sales[[#This Row],[Product ID]],Product[#All],2,0)</f>
        <v>Boat Headset</v>
      </c>
      <c r="G3662" s="53">
        <v>6</v>
      </c>
      <c r="H3662" s="165">
        <f>VLOOKUP(Sales[[#This Row],[Product ID]],Product[#All],7,0)</f>
        <v>2030</v>
      </c>
      <c r="I3662" s="165">
        <f>Sales[[#This Row],[Selling Rate]]*Sales[[#This Row],[Qty]]</f>
        <v>12180</v>
      </c>
      <c r="J3662" s="45">
        <v>0</v>
      </c>
      <c r="K3662" s="46">
        <f>Sales[[#This Row],[Gross Amount]]*Sales[[#This Row],[Disc %]]</f>
        <v>0</v>
      </c>
      <c r="L3662" s="43">
        <v>0.18</v>
      </c>
      <c r="M3662" s="46">
        <f>(Sales[[#This Row],[Gross Amount]]-Sales[[#This Row],[Disc. Amt.]])*Sales[[#This Row],[GST %]]</f>
        <v>2192.4</v>
      </c>
      <c r="N3662" s="161">
        <f>Sales[[#This Row],[Gross Amount]]-Sales[[#This Row],[Disc. Amt.]]+Sales[[#This Row],[GST Amount]]</f>
        <v>14372.4</v>
      </c>
      <c r="O3662" s="34" t="s">
        <v>3566</v>
      </c>
      <c r="P3662" s="34" t="s">
        <v>3562</v>
      </c>
      <c r="Q3662" s="165">
        <f>IF(Sales[[#This Row],[Status]]="Cancelled",0,Sales[[#This Row],[Qty]])</f>
        <v>6</v>
      </c>
      <c r="R3662" s="166">
        <f>IF(Sales[[#This Row],[Status]]="Cancelled",0,Sales[[#This Row],[Total Amount]])</f>
        <v>14372.4</v>
      </c>
      <c r="S3662" s="162">
        <f>SUM(Sales[Net Amount])</f>
        <v>406839287.73200053</v>
      </c>
    </row>
    <row r="3663" spans="1:19" ht="18.75" x14ac:dyDescent="0.25">
      <c r="A3663" s="156" t="s">
        <v>7328</v>
      </c>
      <c r="B3663" s="157">
        <v>45960</v>
      </c>
      <c r="C3663" s="158" t="s">
        <v>668</v>
      </c>
      <c r="D3663" s="159" t="str">
        <f>VLOOKUP(Sales[[#This Row],[Customer ID]],Customer[#All],2,0)</f>
        <v>Rahul Patel</v>
      </c>
      <c r="E3663" s="158" t="s">
        <v>211</v>
      </c>
      <c r="F3663" s="158" t="str">
        <f>VLOOKUP(Sales[[#This Row],[Product ID]],Product[#All],2,0)</f>
        <v>Samsung Ssd</v>
      </c>
      <c r="G3663" s="159">
        <v>7</v>
      </c>
      <c r="H3663" s="160">
        <f>VLOOKUP(Sales[[#This Row],[Product ID]],Product[#All],7,0)</f>
        <v>16100</v>
      </c>
      <c r="I3663" s="160">
        <f>Sales[[#This Row],[Selling Rate]]*Sales[[#This Row],[Qty]]</f>
        <v>112700</v>
      </c>
      <c r="J3663" s="43">
        <v>0.02</v>
      </c>
      <c r="K3663" s="44">
        <f>Sales[[#This Row],[Gross Amount]]*Sales[[#This Row],[Disc %]]</f>
        <v>2254</v>
      </c>
      <c r="L3663" s="43">
        <v>0.18</v>
      </c>
      <c r="M3663" s="44">
        <f>(Sales[[#This Row],[Gross Amount]]-Sales[[#This Row],[Disc. Amt.]])*Sales[[#This Row],[GST %]]</f>
        <v>19880.28</v>
      </c>
      <c r="N3663" s="161">
        <f>Sales[[#This Row],[Gross Amount]]-Sales[[#This Row],[Disc. Amt.]]+Sales[[#This Row],[GST Amount]]</f>
        <v>130326.28</v>
      </c>
      <c r="O3663" s="158" t="s">
        <v>3561</v>
      </c>
      <c r="P3663" s="158" t="s">
        <v>3562</v>
      </c>
      <c r="Q3663" s="160">
        <f>IF(Sales[[#This Row],[Status]]="Cancelled",0,Sales[[#This Row],[Qty]])</f>
        <v>7</v>
      </c>
      <c r="R3663" s="161">
        <f>IF(Sales[[#This Row],[Status]]="Cancelled",0,Sales[[#This Row],[Total Amount]])</f>
        <v>130326.28</v>
      </c>
      <c r="S3663" s="162">
        <f>SUM(Sales[Net Amount])</f>
        <v>406839287.73200053</v>
      </c>
    </row>
    <row r="3664" spans="1:19" ht="18.75" x14ac:dyDescent="0.25">
      <c r="A3664" s="163" t="s">
        <v>7329</v>
      </c>
      <c r="B3664" s="164">
        <v>45960</v>
      </c>
      <c r="C3664" s="34" t="s">
        <v>798</v>
      </c>
      <c r="D3664" s="53" t="str">
        <f>VLOOKUP(Sales[[#This Row],[Customer ID]],Customer[#All],2,0)</f>
        <v>Amit Singh</v>
      </c>
      <c r="E3664" s="34" t="s">
        <v>502</v>
      </c>
      <c r="F3664" s="34" t="str">
        <f>VLOOKUP(Sales[[#This Row],[Product ID]],Product[#All],2,0)</f>
        <v>HP Printer</v>
      </c>
      <c r="G3664" s="53">
        <v>1</v>
      </c>
      <c r="H3664" s="165">
        <f>VLOOKUP(Sales[[#This Row],[Product ID]],Product[#All],7,0)</f>
        <v>32100</v>
      </c>
      <c r="I3664" s="165">
        <f>Sales[[#This Row],[Selling Rate]]*Sales[[#This Row],[Qty]]</f>
        <v>32100</v>
      </c>
      <c r="J3664" s="45">
        <v>0</v>
      </c>
      <c r="K3664" s="46">
        <f>Sales[[#This Row],[Gross Amount]]*Sales[[#This Row],[Disc %]]</f>
        <v>0</v>
      </c>
      <c r="L3664" s="43">
        <v>0.18</v>
      </c>
      <c r="M3664" s="46">
        <f>(Sales[[#This Row],[Gross Amount]]-Sales[[#This Row],[Disc. Amt.]])*Sales[[#This Row],[GST %]]</f>
        <v>5778</v>
      </c>
      <c r="N3664" s="161">
        <f>Sales[[#This Row],[Gross Amount]]-Sales[[#This Row],[Disc. Amt.]]+Sales[[#This Row],[GST Amount]]</f>
        <v>37878</v>
      </c>
      <c r="O3664" s="34" t="s">
        <v>3561</v>
      </c>
      <c r="P3664" s="34" t="s">
        <v>3562</v>
      </c>
      <c r="Q3664" s="165">
        <f>IF(Sales[[#This Row],[Status]]="Cancelled",0,Sales[[#This Row],[Qty]])</f>
        <v>1</v>
      </c>
      <c r="R3664" s="166">
        <f>IF(Sales[[#This Row],[Status]]="Cancelled",0,Sales[[#This Row],[Total Amount]])</f>
        <v>37878</v>
      </c>
      <c r="S3664" s="162">
        <f>SUM(Sales[Net Amount])</f>
        <v>406839287.73200053</v>
      </c>
    </row>
    <row r="3665" spans="1:19" ht="18.75" x14ac:dyDescent="0.25">
      <c r="A3665" s="156" t="s">
        <v>7330</v>
      </c>
      <c r="B3665" s="157">
        <v>45960</v>
      </c>
      <c r="C3665" s="158" t="s">
        <v>908</v>
      </c>
      <c r="D3665" s="159" t="str">
        <f>VLOOKUP(Sales[[#This Row],[Customer ID]],Customer[#All],2,0)</f>
        <v>Rahul Singh</v>
      </c>
      <c r="E3665" s="158" t="s">
        <v>160</v>
      </c>
      <c r="F3665" s="158" t="str">
        <f>VLOOKUP(Sales[[#This Row],[Product ID]],Product[#All],2,0)</f>
        <v>Dell Power Adapter</v>
      </c>
      <c r="G3665" s="159">
        <v>7</v>
      </c>
      <c r="H3665" s="160">
        <f>VLOOKUP(Sales[[#This Row],[Product ID]],Product[#All],7,0)</f>
        <v>4330</v>
      </c>
      <c r="I3665" s="160">
        <f>Sales[[#This Row],[Selling Rate]]*Sales[[#This Row],[Qty]]</f>
        <v>30310</v>
      </c>
      <c r="J3665" s="43">
        <v>0.12</v>
      </c>
      <c r="K3665" s="44">
        <f>Sales[[#This Row],[Gross Amount]]*Sales[[#This Row],[Disc %]]</f>
        <v>3637.2</v>
      </c>
      <c r="L3665" s="43">
        <v>0.18</v>
      </c>
      <c r="M3665" s="44">
        <f>(Sales[[#This Row],[Gross Amount]]-Sales[[#This Row],[Disc. Amt.]])*Sales[[#This Row],[GST %]]</f>
        <v>4801.1039999999994</v>
      </c>
      <c r="N3665" s="161">
        <f>Sales[[#This Row],[Gross Amount]]-Sales[[#This Row],[Disc. Amt.]]+Sales[[#This Row],[GST Amount]]</f>
        <v>31473.903999999999</v>
      </c>
      <c r="O3665" s="158" t="s">
        <v>3561</v>
      </c>
      <c r="P3665" s="158" t="s">
        <v>3562</v>
      </c>
      <c r="Q3665" s="160">
        <f>IF(Sales[[#This Row],[Status]]="Cancelled",0,Sales[[#This Row],[Qty]])</f>
        <v>7</v>
      </c>
      <c r="R3665" s="161">
        <f>IF(Sales[[#This Row],[Status]]="Cancelled",0,Sales[[#This Row],[Total Amount]])</f>
        <v>31473.903999999999</v>
      </c>
      <c r="S3665" s="162">
        <f>SUM(Sales[Net Amount])</f>
        <v>406839287.73200053</v>
      </c>
    </row>
    <row r="3666" spans="1:19" ht="18.75" x14ac:dyDescent="0.25">
      <c r="A3666" s="163" t="s">
        <v>7331</v>
      </c>
      <c r="B3666" s="164">
        <v>45960</v>
      </c>
      <c r="C3666" s="34" t="s">
        <v>732</v>
      </c>
      <c r="D3666" s="53" t="str">
        <f>VLOOKUP(Sales[[#This Row],[Customer ID]],Customer[#All],2,0)</f>
        <v>Sunita Gupta</v>
      </c>
      <c r="E3666" s="34" t="s">
        <v>57</v>
      </c>
      <c r="F3666" s="34" t="str">
        <f>VLOOKUP(Sales[[#This Row],[Product ID]],Product[#All],2,0)</f>
        <v>Dell Desktop</v>
      </c>
      <c r="G3666" s="53">
        <v>6</v>
      </c>
      <c r="H3666" s="165">
        <f>VLOOKUP(Sales[[#This Row],[Product ID]],Product[#All],7,0)</f>
        <v>56600</v>
      </c>
      <c r="I3666" s="165">
        <f>Sales[[#This Row],[Selling Rate]]*Sales[[#This Row],[Qty]]</f>
        <v>339600</v>
      </c>
      <c r="J3666" s="45">
        <v>0.05</v>
      </c>
      <c r="K3666" s="46">
        <f>Sales[[#This Row],[Gross Amount]]*Sales[[#This Row],[Disc %]]</f>
        <v>16980</v>
      </c>
      <c r="L3666" s="43">
        <v>0.18</v>
      </c>
      <c r="M3666" s="46">
        <f>(Sales[[#This Row],[Gross Amount]]-Sales[[#This Row],[Disc. Amt.]])*Sales[[#This Row],[GST %]]</f>
        <v>58071.6</v>
      </c>
      <c r="N3666" s="161">
        <f>Sales[[#This Row],[Gross Amount]]-Sales[[#This Row],[Disc. Amt.]]+Sales[[#This Row],[GST Amount]]</f>
        <v>380691.6</v>
      </c>
      <c r="O3666" s="34" t="s">
        <v>3566</v>
      </c>
      <c r="P3666" s="34" t="s">
        <v>3562</v>
      </c>
      <c r="Q3666" s="165">
        <f>IF(Sales[[#This Row],[Status]]="Cancelled",0,Sales[[#This Row],[Qty]])</f>
        <v>6</v>
      </c>
      <c r="R3666" s="166">
        <f>IF(Sales[[#This Row],[Status]]="Cancelled",0,Sales[[#This Row],[Total Amount]])</f>
        <v>380691.6</v>
      </c>
      <c r="S3666" s="162">
        <f>SUM(Sales[Net Amount])</f>
        <v>406839287.73200053</v>
      </c>
    </row>
    <row r="3667" spans="1:19" ht="18.75" x14ac:dyDescent="0.25">
      <c r="A3667" s="156" t="s">
        <v>7332</v>
      </c>
      <c r="B3667" s="157">
        <v>45960</v>
      </c>
      <c r="C3667" s="158" t="s">
        <v>858</v>
      </c>
      <c r="D3667" s="159" t="str">
        <f>VLOOKUP(Sales[[#This Row],[Customer ID]],Customer[#All],2,0)</f>
        <v>Neha Sharma</v>
      </c>
      <c r="E3667" s="158" t="s">
        <v>346</v>
      </c>
      <c r="F3667" s="158" t="str">
        <f>VLOOKUP(Sales[[#This Row],[Product ID]],Product[#All],2,0)</f>
        <v>HP Laptop</v>
      </c>
      <c r="G3667" s="159">
        <v>4</v>
      </c>
      <c r="H3667" s="160">
        <f>VLOOKUP(Sales[[#This Row],[Product ID]],Product[#All],7,0)</f>
        <v>88550</v>
      </c>
      <c r="I3667" s="160">
        <f>Sales[[#This Row],[Selling Rate]]*Sales[[#This Row],[Qty]]</f>
        <v>354200</v>
      </c>
      <c r="J3667" s="43">
        <v>0</v>
      </c>
      <c r="K3667" s="44">
        <f>Sales[[#This Row],[Gross Amount]]*Sales[[#This Row],[Disc %]]</f>
        <v>0</v>
      </c>
      <c r="L3667" s="43">
        <v>0.18</v>
      </c>
      <c r="M3667" s="44">
        <f>(Sales[[#This Row],[Gross Amount]]-Sales[[#This Row],[Disc. Amt.]])*Sales[[#This Row],[GST %]]</f>
        <v>63756</v>
      </c>
      <c r="N3667" s="161">
        <f>Sales[[#This Row],[Gross Amount]]-Sales[[#This Row],[Disc. Amt.]]+Sales[[#This Row],[GST Amount]]</f>
        <v>417956</v>
      </c>
      <c r="O3667" s="158" t="s">
        <v>3566</v>
      </c>
      <c r="P3667" s="158" t="s">
        <v>3562</v>
      </c>
      <c r="Q3667" s="160">
        <f>IF(Sales[[#This Row],[Status]]="Cancelled",0,Sales[[#This Row],[Qty]])</f>
        <v>4</v>
      </c>
      <c r="R3667" s="161">
        <f>IF(Sales[[#This Row],[Status]]="Cancelled",0,Sales[[#This Row],[Total Amount]])</f>
        <v>417956</v>
      </c>
      <c r="S3667" s="162">
        <f>SUM(Sales[Net Amount])</f>
        <v>406839287.73200053</v>
      </c>
    </row>
    <row r="3668" spans="1:19" ht="18.75" x14ac:dyDescent="0.25">
      <c r="A3668" s="163" t="s">
        <v>7333</v>
      </c>
      <c r="B3668" s="164">
        <v>45960</v>
      </c>
      <c r="C3668" s="34" t="s">
        <v>729</v>
      </c>
      <c r="D3668" s="53" t="str">
        <f>VLOOKUP(Sales[[#This Row],[Customer ID]],Customer[#All],2,0)</f>
        <v>Ankit Kumar</v>
      </c>
      <c r="E3668" s="34" t="s">
        <v>484</v>
      </c>
      <c r="F3668" s="34" t="str">
        <f>VLOOKUP(Sales[[#This Row],[Product ID]],Product[#All],2,0)</f>
        <v>Dell Desktop</v>
      </c>
      <c r="G3668" s="53">
        <v>4</v>
      </c>
      <c r="H3668" s="165">
        <f>VLOOKUP(Sales[[#This Row],[Product ID]],Product[#All],7,0)</f>
        <v>68710</v>
      </c>
      <c r="I3668" s="165">
        <f>Sales[[#This Row],[Selling Rate]]*Sales[[#This Row],[Qty]]</f>
        <v>274840</v>
      </c>
      <c r="J3668" s="45">
        <v>0.12</v>
      </c>
      <c r="K3668" s="46">
        <f>Sales[[#This Row],[Gross Amount]]*Sales[[#This Row],[Disc %]]</f>
        <v>32980.799999999996</v>
      </c>
      <c r="L3668" s="43">
        <v>0.18</v>
      </c>
      <c r="M3668" s="46">
        <f>(Sales[[#This Row],[Gross Amount]]-Sales[[#This Row],[Disc. Amt.]])*Sales[[#This Row],[GST %]]</f>
        <v>43534.656000000003</v>
      </c>
      <c r="N3668" s="161">
        <f>Sales[[#This Row],[Gross Amount]]-Sales[[#This Row],[Disc. Amt.]]+Sales[[#This Row],[GST Amount]]</f>
        <v>285393.85600000003</v>
      </c>
      <c r="O3668" s="34" t="s">
        <v>3566</v>
      </c>
      <c r="P3668" s="34" t="s">
        <v>3562</v>
      </c>
      <c r="Q3668" s="165">
        <f>IF(Sales[[#This Row],[Status]]="Cancelled",0,Sales[[#This Row],[Qty]])</f>
        <v>4</v>
      </c>
      <c r="R3668" s="166">
        <f>IF(Sales[[#This Row],[Status]]="Cancelled",0,Sales[[#This Row],[Total Amount]])</f>
        <v>285393.85600000003</v>
      </c>
      <c r="S3668" s="162">
        <f>SUM(Sales[Net Amount])</f>
        <v>406839287.73200053</v>
      </c>
    </row>
    <row r="3669" spans="1:19" ht="18.75" x14ac:dyDescent="0.25">
      <c r="A3669" s="156" t="s">
        <v>7334</v>
      </c>
      <c r="B3669" s="157">
        <v>45960</v>
      </c>
      <c r="C3669" s="158" t="s">
        <v>873</v>
      </c>
      <c r="D3669" s="159" t="str">
        <f>VLOOKUP(Sales[[#This Row],[Customer ID]],Customer[#All],2,0)</f>
        <v>Sahil Verma</v>
      </c>
      <c r="E3669" s="158" t="s">
        <v>529</v>
      </c>
      <c r="F3669" s="158" t="str">
        <f>VLOOKUP(Sales[[#This Row],[Product ID]],Product[#All],2,0)</f>
        <v>Logitech Webcam</v>
      </c>
      <c r="G3669" s="159">
        <v>3</v>
      </c>
      <c r="H3669" s="160">
        <f>VLOOKUP(Sales[[#This Row],[Product ID]],Product[#All],7,0)</f>
        <v>3390</v>
      </c>
      <c r="I3669" s="160">
        <f>Sales[[#This Row],[Selling Rate]]*Sales[[#This Row],[Qty]]</f>
        <v>10170</v>
      </c>
      <c r="J3669" s="43">
        <v>0</v>
      </c>
      <c r="K3669" s="44">
        <f>Sales[[#This Row],[Gross Amount]]*Sales[[#This Row],[Disc %]]</f>
        <v>0</v>
      </c>
      <c r="L3669" s="43">
        <v>0.18</v>
      </c>
      <c r="M3669" s="44">
        <f>(Sales[[#This Row],[Gross Amount]]-Sales[[#This Row],[Disc. Amt.]])*Sales[[#This Row],[GST %]]</f>
        <v>1830.6</v>
      </c>
      <c r="N3669" s="161">
        <f>Sales[[#This Row],[Gross Amount]]-Sales[[#This Row],[Disc. Amt.]]+Sales[[#This Row],[GST Amount]]</f>
        <v>12000.6</v>
      </c>
      <c r="O3669" s="158" t="s">
        <v>8876</v>
      </c>
      <c r="P3669" s="158" t="s">
        <v>3562</v>
      </c>
      <c r="Q3669" s="160">
        <f>IF(Sales[[#This Row],[Status]]="Cancelled",0,Sales[[#This Row],[Qty]])</f>
        <v>3</v>
      </c>
      <c r="R3669" s="161">
        <f>IF(Sales[[#This Row],[Status]]="Cancelled",0,Sales[[#This Row],[Total Amount]])</f>
        <v>12000.6</v>
      </c>
      <c r="S3669" s="162">
        <f>SUM(Sales[Net Amount])</f>
        <v>406839287.73200053</v>
      </c>
    </row>
    <row r="3670" spans="1:19" ht="18.75" x14ac:dyDescent="0.25">
      <c r="A3670" s="163" t="s">
        <v>7335</v>
      </c>
      <c r="B3670" s="164">
        <v>45960</v>
      </c>
      <c r="C3670" s="34" t="s">
        <v>5458</v>
      </c>
      <c r="D3670" s="53" t="str">
        <f>VLOOKUP(Sales[[#This Row],[Customer ID]],Customer[#All],2,0)</f>
        <v>Amit Patel</v>
      </c>
      <c r="E3670" s="34" t="s">
        <v>125</v>
      </c>
      <c r="F3670" s="34" t="str">
        <f>VLOOKUP(Sales[[#This Row],[Product ID]],Product[#All],2,0)</f>
        <v>HP Printer</v>
      </c>
      <c r="G3670" s="53">
        <v>3</v>
      </c>
      <c r="H3670" s="165">
        <f>VLOOKUP(Sales[[#This Row],[Product ID]],Product[#All],7,0)</f>
        <v>41620</v>
      </c>
      <c r="I3670" s="165">
        <f>Sales[[#This Row],[Selling Rate]]*Sales[[#This Row],[Qty]]</f>
        <v>124860</v>
      </c>
      <c r="J3670" s="45">
        <v>0.12</v>
      </c>
      <c r="K3670" s="46">
        <f>Sales[[#This Row],[Gross Amount]]*Sales[[#This Row],[Disc %]]</f>
        <v>14983.199999999999</v>
      </c>
      <c r="L3670" s="43">
        <v>0.18</v>
      </c>
      <c r="M3670" s="46">
        <f>(Sales[[#This Row],[Gross Amount]]-Sales[[#This Row],[Disc. Amt.]])*Sales[[#This Row],[GST %]]</f>
        <v>19777.824000000001</v>
      </c>
      <c r="N3670" s="161">
        <f>Sales[[#This Row],[Gross Amount]]-Sales[[#This Row],[Disc. Amt.]]+Sales[[#This Row],[GST Amount]]</f>
        <v>129654.62400000001</v>
      </c>
      <c r="O3670" s="34" t="s">
        <v>3566</v>
      </c>
      <c r="P3670" s="34" t="s">
        <v>3562</v>
      </c>
      <c r="Q3670" s="165">
        <f>IF(Sales[[#This Row],[Status]]="Cancelled",0,Sales[[#This Row],[Qty]])</f>
        <v>3</v>
      </c>
      <c r="R3670" s="166">
        <f>IF(Sales[[#This Row],[Status]]="Cancelled",0,Sales[[#This Row],[Total Amount]])</f>
        <v>129654.62400000001</v>
      </c>
      <c r="S3670" s="162">
        <f>SUM(Sales[Net Amount])</f>
        <v>406839287.73200053</v>
      </c>
    </row>
    <row r="3671" spans="1:19" ht="18.75" x14ac:dyDescent="0.25">
      <c r="A3671" s="156" t="s">
        <v>7336</v>
      </c>
      <c r="B3671" s="157">
        <v>45960</v>
      </c>
      <c r="C3671" s="158" t="s">
        <v>7337</v>
      </c>
      <c r="D3671" s="159" t="str">
        <f>VLOOKUP(Sales[[#This Row],[Customer ID]],Customer[#All],2,0)</f>
        <v>Priya Patel</v>
      </c>
      <c r="E3671" s="158" t="s">
        <v>212</v>
      </c>
      <c r="F3671" s="158" t="str">
        <f>VLOOKUP(Sales[[#This Row],[Product ID]],Product[#All],2,0)</f>
        <v>Jbl Headset</v>
      </c>
      <c r="G3671" s="159">
        <v>7</v>
      </c>
      <c r="H3671" s="160">
        <f>VLOOKUP(Sales[[#This Row],[Product ID]],Product[#All],7,0)</f>
        <v>1230</v>
      </c>
      <c r="I3671" s="160">
        <f>Sales[[#This Row],[Selling Rate]]*Sales[[#This Row],[Qty]]</f>
        <v>8610</v>
      </c>
      <c r="J3671" s="43">
        <v>0.02</v>
      </c>
      <c r="K3671" s="44">
        <f>Sales[[#This Row],[Gross Amount]]*Sales[[#This Row],[Disc %]]</f>
        <v>172.20000000000002</v>
      </c>
      <c r="L3671" s="43">
        <v>0.18</v>
      </c>
      <c r="M3671" s="44">
        <f>(Sales[[#This Row],[Gross Amount]]-Sales[[#This Row],[Disc. Amt.]])*Sales[[#This Row],[GST %]]</f>
        <v>1518.8039999999999</v>
      </c>
      <c r="N3671" s="161">
        <f>Sales[[#This Row],[Gross Amount]]-Sales[[#This Row],[Disc. Amt.]]+Sales[[#This Row],[GST Amount]]</f>
        <v>9956.6039999999994</v>
      </c>
      <c r="O3671" s="158" t="s">
        <v>8876</v>
      </c>
      <c r="P3671" s="158" t="s">
        <v>3562</v>
      </c>
      <c r="Q3671" s="160">
        <f>IF(Sales[[#This Row],[Status]]="Cancelled",0,Sales[[#This Row],[Qty]])</f>
        <v>7</v>
      </c>
      <c r="R3671" s="161">
        <f>IF(Sales[[#This Row],[Status]]="Cancelled",0,Sales[[#This Row],[Total Amount]])</f>
        <v>9956.6039999999994</v>
      </c>
      <c r="S3671" s="162">
        <f>SUM(Sales[Net Amount])</f>
        <v>406839287.73200053</v>
      </c>
    </row>
    <row r="3672" spans="1:19" ht="18.75" x14ac:dyDescent="0.25">
      <c r="A3672" s="163" t="s">
        <v>7338</v>
      </c>
      <c r="B3672" s="164">
        <v>45960</v>
      </c>
      <c r="C3672" s="34" t="s">
        <v>729</v>
      </c>
      <c r="D3672" s="53" t="str">
        <f>VLOOKUP(Sales[[#This Row],[Customer ID]],Customer[#All],2,0)</f>
        <v>Ankit Kumar</v>
      </c>
      <c r="E3672" s="34" t="s">
        <v>425</v>
      </c>
      <c r="F3672" s="34" t="str">
        <f>VLOOKUP(Sales[[#This Row],[Product ID]],Product[#All],2,0)</f>
        <v>WD HDD</v>
      </c>
      <c r="G3672" s="53">
        <v>6</v>
      </c>
      <c r="H3672" s="165">
        <f>VLOOKUP(Sales[[#This Row],[Product ID]],Product[#All],7,0)</f>
        <v>7660</v>
      </c>
      <c r="I3672" s="165">
        <f>Sales[[#This Row],[Selling Rate]]*Sales[[#This Row],[Qty]]</f>
        <v>45960</v>
      </c>
      <c r="J3672" s="45">
        <v>0.15</v>
      </c>
      <c r="K3672" s="46">
        <f>Sales[[#This Row],[Gross Amount]]*Sales[[#This Row],[Disc %]]</f>
        <v>6894</v>
      </c>
      <c r="L3672" s="43">
        <v>0.18</v>
      </c>
      <c r="M3672" s="46">
        <f>(Sales[[#This Row],[Gross Amount]]-Sales[[#This Row],[Disc. Amt.]])*Sales[[#This Row],[GST %]]</f>
        <v>7031.88</v>
      </c>
      <c r="N3672" s="161">
        <f>Sales[[#This Row],[Gross Amount]]-Sales[[#This Row],[Disc. Amt.]]+Sales[[#This Row],[GST Amount]]</f>
        <v>46097.88</v>
      </c>
      <c r="O3672" s="34" t="s">
        <v>3566</v>
      </c>
      <c r="P3672" s="34" t="s">
        <v>3562</v>
      </c>
      <c r="Q3672" s="165">
        <f>IF(Sales[[#This Row],[Status]]="Cancelled",0,Sales[[#This Row],[Qty]])</f>
        <v>6</v>
      </c>
      <c r="R3672" s="166">
        <f>IF(Sales[[#This Row],[Status]]="Cancelled",0,Sales[[#This Row],[Total Amount]])</f>
        <v>46097.88</v>
      </c>
      <c r="S3672" s="162">
        <f>SUM(Sales[Net Amount])</f>
        <v>406839287.73200053</v>
      </c>
    </row>
    <row r="3673" spans="1:19" ht="18.75" x14ac:dyDescent="0.25">
      <c r="A3673" s="156" t="s">
        <v>7339</v>
      </c>
      <c r="B3673" s="157">
        <v>45960</v>
      </c>
      <c r="C3673" s="158" t="s">
        <v>768</v>
      </c>
      <c r="D3673" s="159" t="str">
        <f>VLOOKUP(Sales[[#This Row],[Customer ID]],Customer[#All],2,0)</f>
        <v>Priya Kumar</v>
      </c>
      <c r="E3673" s="158" t="s">
        <v>241</v>
      </c>
      <c r="F3673" s="158" t="str">
        <f>VLOOKUP(Sales[[#This Row],[Product ID]],Product[#All],2,0)</f>
        <v>Portronics USB Cable</v>
      </c>
      <c r="G3673" s="159">
        <v>6</v>
      </c>
      <c r="H3673" s="160">
        <f>VLOOKUP(Sales[[#This Row],[Product ID]],Product[#All],7,0)</f>
        <v>630</v>
      </c>
      <c r="I3673" s="160">
        <f>Sales[[#This Row],[Selling Rate]]*Sales[[#This Row],[Qty]]</f>
        <v>3780</v>
      </c>
      <c r="J3673" s="43">
        <v>0</v>
      </c>
      <c r="K3673" s="44">
        <f>Sales[[#This Row],[Gross Amount]]*Sales[[#This Row],[Disc %]]</f>
        <v>0</v>
      </c>
      <c r="L3673" s="43">
        <v>0.18</v>
      </c>
      <c r="M3673" s="44">
        <f>(Sales[[#This Row],[Gross Amount]]-Sales[[#This Row],[Disc. Amt.]])*Sales[[#This Row],[GST %]]</f>
        <v>680.4</v>
      </c>
      <c r="N3673" s="161">
        <f>Sales[[#This Row],[Gross Amount]]-Sales[[#This Row],[Disc. Amt.]]+Sales[[#This Row],[GST Amount]]</f>
        <v>4460.3999999999996</v>
      </c>
      <c r="O3673" s="158" t="s">
        <v>8876</v>
      </c>
      <c r="P3673" s="158" t="s">
        <v>3562</v>
      </c>
      <c r="Q3673" s="160">
        <f>IF(Sales[[#This Row],[Status]]="Cancelled",0,Sales[[#This Row],[Qty]])</f>
        <v>6</v>
      </c>
      <c r="R3673" s="161">
        <f>IF(Sales[[#This Row],[Status]]="Cancelled",0,Sales[[#This Row],[Total Amount]])</f>
        <v>4460.3999999999996</v>
      </c>
      <c r="S3673" s="162">
        <f>SUM(Sales[Net Amount])</f>
        <v>406839287.73200053</v>
      </c>
    </row>
    <row r="3674" spans="1:19" ht="18.75" x14ac:dyDescent="0.25">
      <c r="A3674" s="163" t="s">
        <v>7340</v>
      </c>
      <c r="B3674" s="164">
        <v>45960</v>
      </c>
      <c r="C3674" s="34" t="s">
        <v>703</v>
      </c>
      <c r="D3674" s="53" t="str">
        <f>VLOOKUP(Sales[[#This Row],[Customer ID]],Customer[#All],2,0)</f>
        <v>Rahul Singh</v>
      </c>
      <c r="E3674" s="34" t="s">
        <v>238</v>
      </c>
      <c r="F3674" s="34" t="str">
        <f>VLOOKUP(Sales[[#This Row],[Product ID]],Product[#All],2,0)</f>
        <v>Samsung Monitor</v>
      </c>
      <c r="G3674" s="53">
        <v>2</v>
      </c>
      <c r="H3674" s="165">
        <f>VLOOKUP(Sales[[#This Row],[Product ID]],Product[#All],7,0)</f>
        <v>8180</v>
      </c>
      <c r="I3674" s="165">
        <f>Sales[[#This Row],[Selling Rate]]*Sales[[#This Row],[Qty]]</f>
        <v>16360</v>
      </c>
      <c r="J3674" s="45">
        <v>0</v>
      </c>
      <c r="K3674" s="46">
        <f>Sales[[#This Row],[Gross Amount]]*Sales[[#This Row],[Disc %]]</f>
        <v>0</v>
      </c>
      <c r="L3674" s="43">
        <v>0.18</v>
      </c>
      <c r="M3674" s="46">
        <f>(Sales[[#This Row],[Gross Amount]]-Sales[[#This Row],[Disc. Amt.]])*Sales[[#This Row],[GST %]]</f>
        <v>2944.7999999999997</v>
      </c>
      <c r="N3674" s="161">
        <f>Sales[[#This Row],[Gross Amount]]-Sales[[#This Row],[Disc. Amt.]]+Sales[[#This Row],[GST Amount]]</f>
        <v>19304.8</v>
      </c>
      <c r="O3674" s="34" t="s">
        <v>3569</v>
      </c>
      <c r="P3674" s="34" t="s">
        <v>3562</v>
      </c>
      <c r="Q3674" s="165">
        <f>IF(Sales[[#This Row],[Status]]="Cancelled",0,Sales[[#This Row],[Qty]])</f>
        <v>2</v>
      </c>
      <c r="R3674" s="166">
        <f>IF(Sales[[#This Row],[Status]]="Cancelled",0,Sales[[#This Row],[Total Amount]])</f>
        <v>19304.8</v>
      </c>
      <c r="S3674" s="162">
        <f>SUM(Sales[Net Amount])</f>
        <v>406839287.73200053</v>
      </c>
    </row>
    <row r="3675" spans="1:19" ht="18.75" x14ac:dyDescent="0.25">
      <c r="A3675" s="156" t="s">
        <v>7341</v>
      </c>
      <c r="B3675" s="157">
        <v>45960</v>
      </c>
      <c r="C3675" s="158" t="s">
        <v>917</v>
      </c>
      <c r="D3675" s="159" t="str">
        <f>VLOOKUP(Sales[[#This Row],[Customer ID]],Customer[#All],2,0)</f>
        <v>Sahil Gupta</v>
      </c>
      <c r="E3675" s="158" t="s">
        <v>460</v>
      </c>
      <c r="F3675" s="158" t="str">
        <f>VLOOKUP(Sales[[#This Row],[Product ID]],Product[#All],2,0)</f>
        <v>Logitech Keyboard</v>
      </c>
      <c r="G3675" s="159">
        <v>1</v>
      </c>
      <c r="H3675" s="160">
        <f>VLOOKUP(Sales[[#This Row],[Product ID]],Product[#All],7,0)</f>
        <v>3050</v>
      </c>
      <c r="I3675" s="160">
        <f>Sales[[#This Row],[Selling Rate]]*Sales[[#This Row],[Qty]]</f>
        <v>3050</v>
      </c>
      <c r="J3675" s="43">
        <v>0.02</v>
      </c>
      <c r="K3675" s="44">
        <f>Sales[[#This Row],[Gross Amount]]*Sales[[#This Row],[Disc %]]</f>
        <v>61</v>
      </c>
      <c r="L3675" s="43">
        <v>0.18</v>
      </c>
      <c r="M3675" s="44">
        <f>(Sales[[#This Row],[Gross Amount]]-Sales[[#This Row],[Disc. Amt.]])*Sales[[#This Row],[GST %]]</f>
        <v>538.02</v>
      </c>
      <c r="N3675" s="161">
        <f>Sales[[#This Row],[Gross Amount]]-Sales[[#This Row],[Disc. Amt.]]+Sales[[#This Row],[GST Amount]]</f>
        <v>3527.02</v>
      </c>
      <c r="O3675" s="158" t="s">
        <v>8876</v>
      </c>
      <c r="P3675" s="158" t="s">
        <v>3562</v>
      </c>
      <c r="Q3675" s="160">
        <f>IF(Sales[[#This Row],[Status]]="Cancelled",0,Sales[[#This Row],[Qty]])</f>
        <v>1</v>
      </c>
      <c r="R3675" s="161">
        <f>IF(Sales[[#This Row],[Status]]="Cancelled",0,Sales[[#This Row],[Total Amount]])</f>
        <v>3527.02</v>
      </c>
      <c r="S3675" s="162">
        <f>SUM(Sales[Net Amount])</f>
        <v>406839287.73200053</v>
      </c>
    </row>
    <row r="3676" spans="1:19" ht="18.75" x14ac:dyDescent="0.25">
      <c r="A3676" s="163" t="s">
        <v>7342</v>
      </c>
      <c r="B3676" s="164">
        <v>45960</v>
      </c>
      <c r="C3676" s="34" t="s">
        <v>868</v>
      </c>
      <c r="D3676" s="53" t="str">
        <f>VLOOKUP(Sales[[#This Row],[Customer ID]],Customer[#All],2,0)</f>
        <v>Rahul Verma</v>
      </c>
      <c r="E3676" s="34" t="s">
        <v>548</v>
      </c>
      <c r="F3676" s="34" t="str">
        <f>VLOOKUP(Sales[[#This Row],[Product ID]],Product[#All],2,0)</f>
        <v>HP Power Adapter</v>
      </c>
      <c r="G3676" s="53">
        <v>6</v>
      </c>
      <c r="H3676" s="165">
        <f>VLOOKUP(Sales[[#This Row],[Product ID]],Product[#All],7,0)</f>
        <v>2470</v>
      </c>
      <c r="I3676" s="165">
        <f>Sales[[#This Row],[Selling Rate]]*Sales[[#This Row],[Qty]]</f>
        <v>14820</v>
      </c>
      <c r="J3676" s="45">
        <v>0</v>
      </c>
      <c r="K3676" s="46">
        <f>Sales[[#This Row],[Gross Amount]]*Sales[[#This Row],[Disc %]]</f>
        <v>0</v>
      </c>
      <c r="L3676" s="43">
        <v>0.18</v>
      </c>
      <c r="M3676" s="46">
        <f>(Sales[[#This Row],[Gross Amount]]-Sales[[#This Row],[Disc. Amt.]])*Sales[[#This Row],[GST %]]</f>
        <v>2667.6</v>
      </c>
      <c r="N3676" s="161">
        <f>Sales[[#This Row],[Gross Amount]]-Sales[[#This Row],[Disc. Amt.]]+Sales[[#This Row],[GST Amount]]</f>
        <v>17487.599999999999</v>
      </c>
      <c r="O3676" s="34" t="s">
        <v>3561</v>
      </c>
      <c r="P3676" s="34" t="s">
        <v>3562</v>
      </c>
      <c r="Q3676" s="165">
        <f>IF(Sales[[#This Row],[Status]]="Cancelled",0,Sales[[#This Row],[Qty]])</f>
        <v>6</v>
      </c>
      <c r="R3676" s="166">
        <f>IF(Sales[[#This Row],[Status]]="Cancelled",0,Sales[[#This Row],[Total Amount]])</f>
        <v>17487.599999999999</v>
      </c>
      <c r="S3676" s="162">
        <f>SUM(Sales[Net Amount])</f>
        <v>406839287.73200053</v>
      </c>
    </row>
    <row r="3677" spans="1:19" ht="18.75" x14ac:dyDescent="0.25">
      <c r="A3677" s="156" t="s">
        <v>7343</v>
      </c>
      <c r="B3677" s="157">
        <v>45960</v>
      </c>
      <c r="C3677" s="158" t="s">
        <v>735</v>
      </c>
      <c r="D3677" s="159" t="str">
        <f>VLOOKUP(Sales[[#This Row],[Customer ID]],Customer[#All],2,0)</f>
        <v>Amit Singh</v>
      </c>
      <c r="E3677" s="158" t="s">
        <v>552</v>
      </c>
      <c r="F3677" s="158" t="str">
        <f>VLOOKUP(Sales[[#This Row],[Product ID]],Product[#All],2,0)</f>
        <v>American TouristerLaptopBag</v>
      </c>
      <c r="G3677" s="159">
        <v>2</v>
      </c>
      <c r="H3677" s="160">
        <f>VLOOKUP(Sales[[#This Row],[Product ID]],Product[#All],7,0)</f>
        <v>5080</v>
      </c>
      <c r="I3677" s="160">
        <f>Sales[[#This Row],[Selling Rate]]*Sales[[#This Row],[Qty]]</f>
        <v>10160</v>
      </c>
      <c r="J3677" s="43">
        <v>0.12</v>
      </c>
      <c r="K3677" s="44">
        <f>Sales[[#This Row],[Gross Amount]]*Sales[[#This Row],[Disc %]]</f>
        <v>1219.2</v>
      </c>
      <c r="L3677" s="43">
        <v>0.18</v>
      </c>
      <c r="M3677" s="44">
        <f>(Sales[[#This Row],[Gross Amount]]-Sales[[#This Row],[Disc. Amt.]])*Sales[[#This Row],[GST %]]</f>
        <v>1609.3439999999998</v>
      </c>
      <c r="N3677" s="161">
        <f>Sales[[#This Row],[Gross Amount]]-Sales[[#This Row],[Disc. Amt.]]+Sales[[#This Row],[GST Amount]]</f>
        <v>10550.143999999998</v>
      </c>
      <c r="O3677" s="158" t="s">
        <v>3561</v>
      </c>
      <c r="P3677" s="158" t="s">
        <v>3562</v>
      </c>
      <c r="Q3677" s="160">
        <f>IF(Sales[[#This Row],[Status]]="Cancelled",0,Sales[[#This Row],[Qty]])</f>
        <v>2</v>
      </c>
      <c r="R3677" s="161">
        <f>IF(Sales[[#This Row],[Status]]="Cancelled",0,Sales[[#This Row],[Total Amount]])</f>
        <v>10550.143999999998</v>
      </c>
      <c r="S3677" s="162">
        <f>SUM(Sales[Net Amount])</f>
        <v>406839287.73200053</v>
      </c>
    </row>
    <row r="3678" spans="1:19" ht="18.75" x14ac:dyDescent="0.25">
      <c r="A3678" s="163" t="s">
        <v>7344</v>
      </c>
      <c r="B3678" s="164">
        <v>45960</v>
      </c>
      <c r="C3678" s="34" t="s">
        <v>851</v>
      </c>
      <c r="D3678" s="53" t="str">
        <f>VLOOKUP(Sales[[#This Row],[Customer ID]],Customer[#All],2,0)</f>
        <v>Pooja Singh</v>
      </c>
      <c r="E3678" s="34" t="s">
        <v>433</v>
      </c>
      <c r="F3678" s="34" t="str">
        <f>VLOOKUP(Sales[[#This Row],[Product ID]],Product[#All],2,0)</f>
        <v>Seagate HDD</v>
      </c>
      <c r="G3678" s="53">
        <v>2</v>
      </c>
      <c r="H3678" s="165">
        <f>VLOOKUP(Sales[[#This Row],[Product ID]],Product[#All],7,0)</f>
        <v>13910</v>
      </c>
      <c r="I3678" s="165">
        <f>Sales[[#This Row],[Selling Rate]]*Sales[[#This Row],[Qty]]</f>
        <v>27820</v>
      </c>
      <c r="J3678" s="45">
        <v>0.12</v>
      </c>
      <c r="K3678" s="46">
        <f>Sales[[#This Row],[Gross Amount]]*Sales[[#This Row],[Disc %]]</f>
        <v>3338.4</v>
      </c>
      <c r="L3678" s="43">
        <v>0.18</v>
      </c>
      <c r="M3678" s="46">
        <f>(Sales[[#This Row],[Gross Amount]]-Sales[[#This Row],[Disc. Amt.]])*Sales[[#This Row],[GST %]]</f>
        <v>4406.6879999999992</v>
      </c>
      <c r="N3678" s="161">
        <f>Sales[[#This Row],[Gross Amount]]-Sales[[#This Row],[Disc. Amt.]]+Sales[[#This Row],[GST Amount]]</f>
        <v>28888.287999999997</v>
      </c>
      <c r="O3678" s="34" t="s">
        <v>8876</v>
      </c>
      <c r="P3678" s="34" t="s">
        <v>3562</v>
      </c>
      <c r="Q3678" s="165">
        <f>IF(Sales[[#This Row],[Status]]="Cancelled",0,Sales[[#This Row],[Qty]])</f>
        <v>2</v>
      </c>
      <c r="R3678" s="166">
        <f>IF(Sales[[#This Row],[Status]]="Cancelled",0,Sales[[#This Row],[Total Amount]])</f>
        <v>28888.287999999997</v>
      </c>
      <c r="S3678" s="162">
        <f>SUM(Sales[Net Amount])</f>
        <v>406839287.73200053</v>
      </c>
    </row>
    <row r="3679" spans="1:19" ht="18.75" x14ac:dyDescent="0.25">
      <c r="A3679" s="156" t="s">
        <v>7345</v>
      </c>
      <c r="B3679" s="157">
        <v>45961</v>
      </c>
      <c r="C3679" s="158" t="s">
        <v>802</v>
      </c>
      <c r="D3679" s="159" t="str">
        <f>VLOOKUP(Sales[[#This Row],[Customer ID]],Customer[#All],2,0)</f>
        <v>Rakesh Patel</v>
      </c>
      <c r="E3679" s="158" t="s">
        <v>288</v>
      </c>
      <c r="F3679" s="158" t="str">
        <f>VLOOKUP(Sales[[#This Row],[Product ID]],Product[#All],2,0)</f>
        <v>Canon Printer</v>
      </c>
      <c r="G3679" s="159">
        <v>2</v>
      </c>
      <c r="H3679" s="160">
        <f>VLOOKUP(Sales[[#This Row],[Product ID]],Product[#All],7,0)</f>
        <v>41150</v>
      </c>
      <c r="I3679" s="160">
        <f>Sales[[#This Row],[Selling Rate]]*Sales[[#This Row],[Qty]]</f>
        <v>82300</v>
      </c>
      <c r="J3679" s="43">
        <v>0.12</v>
      </c>
      <c r="K3679" s="44">
        <f>Sales[[#This Row],[Gross Amount]]*Sales[[#This Row],[Disc %]]</f>
        <v>9876</v>
      </c>
      <c r="L3679" s="43">
        <v>0.18</v>
      </c>
      <c r="M3679" s="44">
        <f>(Sales[[#This Row],[Gross Amount]]-Sales[[#This Row],[Disc. Amt.]])*Sales[[#This Row],[GST %]]</f>
        <v>13036.32</v>
      </c>
      <c r="N3679" s="161">
        <f>Sales[[#This Row],[Gross Amount]]-Sales[[#This Row],[Disc. Amt.]]+Sales[[#This Row],[GST Amount]]</f>
        <v>85460.32</v>
      </c>
      <c r="O3679" s="158" t="s">
        <v>3566</v>
      </c>
      <c r="P3679" s="158" t="s">
        <v>3562</v>
      </c>
      <c r="Q3679" s="160">
        <f>IF(Sales[[#This Row],[Status]]="Cancelled",0,Sales[[#This Row],[Qty]])</f>
        <v>2</v>
      </c>
      <c r="R3679" s="161">
        <f>IF(Sales[[#This Row],[Status]]="Cancelled",0,Sales[[#This Row],[Total Amount]])</f>
        <v>85460.32</v>
      </c>
      <c r="S3679" s="162">
        <f>SUM(Sales[Net Amount])</f>
        <v>406839287.73200053</v>
      </c>
    </row>
    <row r="3680" spans="1:19" ht="18.75" x14ac:dyDescent="0.25">
      <c r="A3680" s="163" t="s">
        <v>7346</v>
      </c>
      <c r="B3680" s="164">
        <v>45961</v>
      </c>
      <c r="C3680" s="34" t="s">
        <v>780</v>
      </c>
      <c r="D3680" s="53" t="str">
        <f>VLOOKUP(Sales[[#This Row],[Customer ID]],Customer[#All],2,0)</f>
        <v>Sahil Gupta</v>
      </c>
      <c r="E3680" s="34" t="s">
        <v>475</v>
      </c>
      <c r="F3680" s="34" t="str">
        <f>VLOOKUP(Sales[[#This Row],[Product ID]],Product[#All],2,0)</f>
        <v>TP-link Bluetooth Adapter</v>
      </c>
      <c r="G3680" s="53">
        <v>3</v>
      </c>
      <c r="H3680" s="165">
        <f>VLOOKUP(Sales[[#This Row],[Product ID]],Product[#All],7,0)</f>
        <v>1430</v>
      </c>
      <c r="I3680" s="165">
        <f>Sales[[#This Row],[Selling Rate]]*Sales[[#This Row],[Qty]]</f>
        <v>4290</v>
      </c>
      <c r="J3680" s="45">
        <v>0.02</v>
      </c>
      <c r="K3680" s="46">
        <f>Sales[[#This Row],[Gross Amount]]*Sales[[#This Row],[Disc %]]</f>
        <v>85.8</v>
      </c>
      <c r="L3680" s="43">
        <v>0.18</v>
      </c>
      <c r="M3680" s="46">
        <f>(Sales[[#This Row],[Gross Amount]]-Sales[[#This Row],[Disc. Amt.]])*Sales[[#This Row],[GST %]]</f>
        <v>756.75599999999997</v>
      </c>
      <c r="N3680" s="161">
        <f>Sales[[#This Row],[Gross Amount]]-Sales[[#This Row],[Disc. Amt.]]+Sales[[#This Row],[GST Amount]]</f>
        <v>4960.9560000000001</v>
      </c>
      <c r="O3680" s="34" t="s">
        <v>3561</v>
      </c>
      <c r="P3680" s="34" t="s">
        <v>3562</v>
      </c>
      <c r="Q3680" s="165">
        <f>IF(Sales[[#This Row],[Status]]="Cancelled",0,Sales[[#This Row],[Qty]])</f>
        <v>3</v>
      </c>
      <c r="R3680" s="166">
        <f>IF(Sales[[#This Row],[Status]]="Cancelled",0,Sales[[#This Row],[Total Amount]])</f>
        <v>4960.9560000000001</v>
      </c>
      <c r="S3680" s="162">
        <f>SUM(Sales[Net Amount])</f>
        <v>406839287.73200053</v>
      </c>
    </row>
    <row r="3681" spans="1:19" ht="18.75" x14ac:dyDescent="0.25">
      <c r="A3681" s="156" t="s">
        <v>7347</v>
      </c>
      <c r="B3681" s="157">
        <v>45961</v>
      </c>
      <c r="C3681" s="158" t="s">
        <v>799</v>
      </c>
      <c r="D3681" s="159" t="str">
        <f>VLOOKUP(Sales[[#This Row],[Customer ID]],Customer[#All],2,0)</f>
        <v>Rakesh Gupta</v>
      </c>
      <c r="E3681" s="158" t="s">
        <v>274</v>
      </c>
      <c r="F3681" s="158" t="str">
        <f>VLOOKUP(Sales[[#This Row],[Product ID]],Product[#All],2,0)</f>
        <v>Dell Desktop</v>
      </c>
      <c r="G3681" s="159">
        <v>7</v>
      </c>
      <c r="H3681" s="160">
        <f>VLOOKUP(Sales[[#This Row],[Product ID]],Product[#All],7,0)</f>
        <v>54540</v>
      </c>
      <c r="I3681" s="160">
        <f>Sales[[#This Row],[Selling Rate]]*Sales[[#This Row],[Qty]]</f>
        <v>381780</v>
      </c>
      <c r="J3681" s="43">
        <v>0</v>
      </c>
      <c r="K3681" s="44">
        <f>Sales[[#This Row],[Gross Amount]]*Sales[[#This Row],[Disc %]]</f>
        <v>0</v>
      </c>
      <c r="L3681" s="43">
        <v>0.18</v>
      </c>
      <c r="M3681" s="44">
        <f>(Sales[[#This Row],[Gross Amount]]-Sales[[#This Row],[Disc. Amt.]])*Sales[[#This Row],[GST %]]</f>
        <v>68720.399999999994</v>
      </c>
      <c r="N3681" s="161">
        <f>Sales[[#This Row],[Gross Amount]]-Sales[[#This Row],[Disc. Amt.]]+Sales[[#This Row],[GST Amount]]</f>
        <v>450500.4</v>
      </c>
      <c r="O3681" s="158" t="s">
        <v>3561</v>
      </c>
      <c r="P3681" s="158" t="s">
        <v>3562</v>
      </c>
      <c r="Q3681" s="160">
        <f>IF(Sales[[#This Row],[Status]]="Cancelled",0,Sales[[#This Row],[Qty]])</f>
        <v>7</v>
      </c>
      <c r="R3681" s="161">
        <f>IF(Sales[[#This Row],[Status]]="Cancelled",0,Sales[[#This Row],[Total Amount]])</f>
        <v>450500.4</v>
      </c>
      <c r="S3681" s="162">
        <f>SUM(Sales[Net Amount])</f>
        <v>406839287.73200053</v>
      </c>
    </row>
    <row r="3682" spans="1:19" ht="18.75" x14ac:dyDescent="0.25">
      <c r="A3682" s="163" t="s">
        <v>7348</v>
      </c>
      <c r="B3682" s="164">
        <v>45961</v>
      </c>
      <c r="C3682" s="34" t="s">
        <v>669</v>
      </c>
      <c r="D3682" s="53" t="str">
        <f>VLOOKUP(Sales[[#This Row],[Customer ID]],Customer[#All],2,0)</f>
        <v>Sahil Kumar</v>
      </c>
      <c r="E3682" s="34" t="s">
        <v>408</v>
      </c>
      <c r="F3682" s="34" t="str">
        <f>VLOOKUP(Sales[[#This Row],[Product ID]],Product[#All],2,0)</f>
        <v>HP Laptop</v>
      </c>
      <c r="G3682" s="53">
        <v>7</v>
      </c>
      <c r="H3682" s="165">
        <f>VLOOKUP(Sales[[#This Row],[Product ID]],Product[#All],7,0)</f>
        <v>93130</v>
      </c>
      <c r="I3682" s="165">
        <f>Sales[[#This Row],[Selling Rate]]*Sales[[#This Row],[Qty]]</f>
        <v>651910</v>
      </c>
      <c r="J3682" s="45">
        <v>0.15</v>
      </c>
      <c r="K3682" s="46">
        <f>Sales[[#This Row],[Gross Amount]]*Sales[[#This Row],[Disc %]]</f>
        <v>97786.5</v>
      </c>
      <c r="L3682" s="43">
        <v>0.18</v>
      </c>
      <c r="M3682" s="46">
        <f>(Sales[[#This Row],[Gross Amount]]-Sales[[#This Row],[Disc. Amt.]])*Sales[[#This Row],[GST %]]</f>
        <v>99742.23</v>
      </c>
      <c r="N3682" s="161">
        <f>Sales[[#This Row],[Gross Amount]]-Sales[[#This Row],[Disc. Amt.]]+Sales[[#This Row],[GST Amount]]</f>
        <v>653865.73</v>
      </c>
      <c r="O3682" s="34" t="s">
        <v>3561</v>
      </c>
      <c r="P3682" s="34" t="s">
        <v>3562</v>
      </c>
      <c r="Q3682" s="165">
        <f>IF(Sales[[#This Row],[Status]]="Cancelled",0,Sales[[#This Row],[Qty]])</f>
        <v>7</v>
      </c>
      <c r="R3682" s="166">
        <f>IF(Sales[[#This Row],[Status]]="Cancelled",0,Sales[[#This Row],[Total Amount]])</f>
        <v>653865.73</v>
      </c>
      <c r="S3682" s="162">
        <f>SUM(Sales[Net Amount])</f>
        <v>406839287.73200053</v>
      </c>
    </row>
    <row r="3683" spans="1:19" ht="18.75" x14ac:dyDescent="0.25">
      <c r="A3683" s="156" t="s">
        <v>7349</v>
      </c>
      <c r="B3683" s="157">
        <v>45961</v>
      </c>
      <c r="C3683" s="158" t="s">
        <v>688</v>
      </c>
      <c r="D3683" s="159" t="str">
        <f>VLOOKUP(Sales[[#This Row],[Customer ID]],Customer[#All],2,0)</f>
        <v>Rahul Verma</v>
      </c>
      <c r="E3683" s="158" t="s">
        <v>206</v>
      </c>
      <c r="F3683" s="158" t="str">
        <f>VLOOKUP(Sales[[#This Row],[Product ID]],Product[#All],2,0)</f>
        <v>Dell Power Adapter</v>
      </c>
      <c r="G3683" s="159">
        <v>2</v>
      </c>
      <c r="H3683" s="160">
        <f>VLOOKUP(Sales[[#This Row],[Product ID]],Product[#All],7,0)</f>
        <v>2490</v>
      </c>
      <c r="I3683" s="160">
        <f>Sales[[#This Row],[Selling Rate]]*Sales[[#This Row],[Qty]]</f>
        <v>4980</v>
      </c>
      <c r="J3683" s="43">
        <v>0.05</v>
      </c>
      <c r="K3683" s="44">
        <f>Sales[[#This Row],[Gross Amount]]*Sales[[#This Row],[Disc %]]</f>
        <v>249</v>
      </c>
      <c r="L3683" s="43">
        <v>0.18</v>
      </c>
      <c r="M3683" s="44">
        <f>(Sales[[#This Row],[Gross Amount]]-Sales[[#This Row],[Disc. Amt.]])*Sales[[#This Row],[GST %]]</f>
        <v>851.57999999999993</v>
      </c>
      <c r="N3683" s="161">
        <f>Sales[[#This Row],[Gross Amount]]-Sales[[#This Row],[Disc. Amt.]]+Sales[[#This Row],[GST Amount]]</f>
        <v>5582.58</v>
      </c>
      <c r="O3683" s="158" t="s">
        <v>3566</v>
      </c>
      <c r="P3683" s="158" t="s">
        <v>3562</v>
      </c>
      <c r="Q3683" s="160">
        <f>IF(Sales[[#This Row],[Status]]="Cancelled",0,Sales[[#This Row],[Qty]])</f>
        <v>2</v>
      </c>
      <c r="R3683" s="161">
        <f>IF(Sales[[#This Row],[Status]]="Cancelled",0,Sales[[#This Row],[Total Amount]])</f>
        <v>5582.58</v>
      </c>
      <c r="S3683" s="162">
        <f>SUM(Sales[Net Amount])</f>
        <v>406839287.73200053</v>
      </c>
    </row>
    <row r="3684" spans="1:19" ht="18.75" x14ac:dyDescent="0.25">
      <c r="A3684" s="163" t="s">
        <v>7350</v>
      </c>
      <c r="B3684" s="164">
        <v>45961</v>
      </c>
      <c r="C3684" s="34" t="s">
        <v>933</v>
      </c>
      <c r="D3684" s="53" t="str">
        <f>VLOOKUP(Sales[[#This Row],[Customer ID]],Customer[#All],2,0)</f>
        <v>Vikas Verma</v>
      </c>
      <c r="E3684" s="34" t="s">
        <v>413</v>
      </c>
      <c r="F3684" s="34" t="str">
        <f>VLOOKUP(Sales[[#This Row],[Product ID]],Product[#All],2,0)</f>
        <v>Crucial Ssd</v>
      </c>
      <c r="G3684" s="53">
        <v>6</v>
      </c>
      <c r="H3684" s="165">
        <f>VLOOKUP(Sales[[#This Row],[Product ID]],Product[#All],7,0)</f>
        <v>10780</v>
      </c>
      <c r="I3684" s="165">
        <f>Sales[[#This Row],[Selling Rate]]*Sales[[#This Row],[Qty]]</f>
        <v>64680</v>
      </c>
      <c r="J3684" s="45">
        <v>0.02</v>
      </c>
      <c r="K3684" s="46">
        <f>Sales[[#This Row],[Gross Amount]]*Sales[[#This Row],[Disc %]]</f>
        <v>1293.6000000000001</v>
      </c>
      <c r="L3684" s="43">
        <v>0.18</v>
      </c>
      <c r="M3684" s="46">
        <f>(Sales[[#This Row],[Gross Amount]]-Sales[[#This Row],[Disc. Amt.]])*Sales[[#This Row],[GST %]]</f>
        <v>11409.552</v>
      </c>
      <c r="N3684" s="161">
        <f>Sales[[#This Row],[Gross Amount]]-Sales[[#This Row],[Disc. Amt.]]+Sales[[#This Row],[GST Amount]]</f>
        <v>74795.952000000005</v>
      </c>
      <c r="O3684" s="34" t="s">
        <v>3566</v>
      </c>
      <c r="P3684" s="34" t="s">
        <v>3562</v>
      </c>
      <c r="Q3684" s="165">
        <f>IF(Sales[[#This Row],[Status]]="Cancelled",0,Sales[[#This Row],[Qty]])</f>
        <v>6</v>
      </c>
      <c r="R3684" s="166">
        <f>IF(Sales[[#This Row],[Status]]="Cancelled",0,Sales[[#This Row],[Total Amount]])</f>
        <v>74795.952000000005</v>
      </c>
      <c r="S3684" s="162">
        <f>SUM(Sales[Net Amount])</f>
        <v>406839287.73200053</v>
      </c>
    </row>
    <row r="3685" spans="1:19" ht="18.75" x14ac:dyDescent="0.25">
      <c r="A3685" s="156" t="s">
        <v>7351</v>
      </c>
      <c r="B3685" s="157">
        <v>45961</v>
      </c>
      <c r="C3685" s="158" t="s">
        <v>723</v>
      </c>
      <c r="D3685" s="159" t="str">
        <f>VLOOKUP(Sales[[#This Row],[Customer ID]],Customer[#All],2,0)</f>
        <v>Sahil Gupta</v>
      </c>
      <c r="E3685" s="158" t="s">
        <v>229</v>
      </c>
      <c r="F3685" s="158" t="str">
        <f>VLOOKUP(Sales[[#This Row],[Product ID]],Product[#All],2,0)</f>
        <v>Jbl Headset</v>
      </c>
      <c r="G3685" s="159">
        <v>3</v>
      </c>
      <c r="H3685" s="160">
        <f>VLOOKUP(Sales[[#This Row],[Product ID]],Product[#All],7,0)</f>
        <v>3170</v>
      </c>
      <c r="I3685" s="160">
        <f>Sales[[#This Row],[Selling Rate]]*Sales[[#This Row],[Qty]]</f>
        <v>9510</v>
      </c>
      <c r="J3685" s="43">
        <v>0</v>
      </c>
      <c r="K3685" s="44">
        <f>Sales[[#This Row],[Gross Amount]]*Sales[[#This Row],[Disc %]]</f>
        <v>0</v>
      </c>
      <c r="L3685" s="43">
        <v>0.18</v>
      </c>
      <c r="M3685" s="44">
        <f>(Sales[[#This Row],[Gross Amount]]-Sales[[#This Row],[Disc. Amt.]])*Sales[[#This Row],[GST %]]</f>
        <v>1711.8</v>
      </c>
      <c r="N3685" s="161">
        <f>Sales[[#This Row],[Gross Amount]]-Sales[[#This Row],[Disc. Amt.]]+Sales[[#This Row],[GST Amount]]</f>
        <v>11221.8</v>
      </c>
      <c r="O3685" s="158" t="s">
        <v>3569</v>
      </c>
      <c r="P3685" s="158" t="s">
        <v>3562</v>
      </c>
      <c r="Q3685" s="160">
        <f>IF(Sales[[#This Row],[Status]]="Cancelled",0,Sales[[#This Row],[Qty]])</f>
        <v>3</v>
      </c>
      <c r="R3685" s="161">
        <f>IF(Sales[[#This Row],[Status]]="Cancelled",0,Sales[[#This Row],[Total Amount]])</f>
        <v>11221.8</v>
      </c>
      <c r="S3685" s="162">
        <f>SUM(Sales[Net Amount])</f>
        <v>406839287.73200053</v>
      </c>
    </row>
    <row r="3686" spans="1:19" ht="18.75" x14ac:dyDescent="0.25">
      <c r="A3686" s="163" t="s">
        <v>7352</v>
      </c>
      <c r="B3686" s="164">
        <v>45961</v>
      </c>
      <c r="C3686" s="34" t="s">
        <v>887</v>
      </c>
      <c r="D3686" s="53" t="str">
        <f>VLOOKUP(Sales[[#This Row],[Customer ID]],Customer[#All],2,0)</f>
        <v>Sahil Verma</v>
      </c>
      <c r="E3686" s="34" t="s">
        <v>344</v>
      </c>
      <c r="F3686" s="34" t="str">
        <f>VLOOKUP(Sales[[#This Row],[Product ID]],Product[#All],2,0)</f>
        <v>WD HDD</v>
      </c>
      <c r="G3686" s="53">
        <v>3</v>
      </c>
      <c r="H3686" s="165">
        <f>VLOOKUP(Sales[[#This Row],[Product ID]],Product[#All],7,0)</f>
        <v>11260</v>
      </c>
      <c r="I3686" s="165">
        <f>Sales[[#This Row],[Selling Rate]]*Sales[[#This Row],[Qty]]</f>
        <v>33780</v>
      </c>
      <c r="J3686" s="45">
        <v>0</v>
      </c>
      <c r="K3686" s="46">
        <f>Sales[[#This Row],[Gross Amount]]*Sales[[#This Row],[Disc %]]</f>
        <v>0</v>
      </c>
      <c r="L3686" s="43">
        <v>0.18</v>
      </c>
      <c r="M3686" s="46">
        <f>(Sales[[#This Row],[Gross Amount]]-Sales[[#This Row],[Disc. Amt.]])*Sales[[#This Row],[GST %]]</f>
        <v>6080.4</v>
      </c>
      <c r="N3686" s="161">
        <f>Sales[[#This Row],[Gross Amount]]-Sales[[#This Row],[Disc. Amt.]]+Sales[[#This Row],[GST Amount]]</f>
        <v>39860.400000000001</v>
      </c>
      <c r="O3686" s="34" t="s">
        <v>8876</v>
      </c>
      <c r="P3686" s="34" t="s">
        <v>3562</v>
      </c>
      <c r="Q3686" s="165">
        <f>IF(Sales[[#This Row],[Status]]="Cancelled",0,Sales[[#This Row],[Qty]])</f>
        <v>3</v>
      </c>
      <c r="R3686" s="166">
        <f>IF(Sales[[#This Row],[Status]]="Cancelled",0,Sales[[#This Row],[Total Amount]])</f>
        <v>39860.400000000001</v>
      </c>
      <c r="S3686" s="162">
        <f>SUM(Sales[Net Amount])</f>
        <v>406839287.73200053</v>
      </c>
    </row>
    <row r="3687" spans="1:19" ht="18.75" x14ac:dyDescent="0.25">
      <c r="A3687" s="156" t="s">
        <v>7353</v>
      </c>
      <c r="B3687" s="157">
        <v>45961</v>
      </c>
      <c r="C3687" s="158" t="s">
        <v>828</v>
      </c>
      <c r="D3687" s="159" t="str">
        <f>VLOOKUP(Sales[[#This Row],[Customer ID]],Customer[#All],2,0)</f>
        <v>Ankit Verma</v>
      </c>
      <c r="E3687" s="158" t="s">
        <v>194</v>
      </c>
      <c r="F3687" s="158" t="str">
        <f>VLOOKUP(Sales[[#This Row],[Product ID]],Product[#All],2,0)</f>
        <v>Crucial Ssd</v>
      </c>
      <c r="G3687" s="159">
        <v>2</v>
      </c>
      <c r="H3687" s="160">
        <f>VLOOKUP(Sales[[#This Row],[Product ID]],Product[#All],7,0)</f>
        <v>6290</v>
      </c>
      <c r="I3687" s="160">
        <f>Sales[[#This Row],[Selling Rate]]*Sales[[#This Row],[Qty]]</f>
        <v>12580</v>
      </c>
      <c r="J3687" s="43">
        <v>0.1</v>
      </c>
      <c r="K3687" s="44">
        <f>Sales[[#This Row],[Gross Amount]]*Sales[[#This Row],[Disc %]]</f>
        <v>1258</v>
      </c>
      <c r="L3687" s="43">
        <v>0.18</v>
      </c>
      <c r="M3687" s="44">
        <f>(Sales[[#This Row],[Gross Amount]]-Sales[[#This Row],[Disc. Amt.]])*Sales[[#This Row],[GST %]]</f>
        <v>2037.96</v>
      </c>
      <c r="N3687" s="161">
        <f>Sales[[#This Row],[Gross Amount]]-Sales[[#This Row],[Disc. Amt.]]+Sales[[#This Row],[GST Amount]]</f>
        <v>13359.96</v>
      </c>
      <c r="O3687" s="158" t="s">
        <v>3561</v>
      </c>
      <c r="P3687" s="158" t="s">
        <v>3562</v>
      </c>
      <c r="Q3687" s="160">
        <f>IF(Sales[[#This Row],[Status]]="Cancelled",0,Sales[[#This Row],[Qty]])</f>
        <v>2</v>
      </c>
      <c r="R3687" s="161">
        <f>IF(Sales[[#This Row],[Status]]="Cancelled",0,Sales[[#This Row],[Total Amount]])</f>
        <v>13359.96</v>
      </c>
      <c r="S3687" s="162">
        <f>SUM(Sales[Net Amount])</f>
        <v>406839287.73200053</v>
      </c>
    </row>
    <row r="3688" spans="1:19" ht="18.75" x14ac:dyDescent="0.25">
      <c r="A3688" s="163" t="s">
        <v>7354</v>
      </c>
      <c r="B3688" s="164">
        <v>45961</v>
      </c>
      <c r="C3688" s="34" t="s">
        <v>661</v>
      </c>
      <c r="D3688" s="53" t="str">
        <f>VLOOKUP(Sales[[#This Row],[Customer ID]],Customer[#All],2,0)</f>
        <v>Pooja Gupta</v>
      </c>
      <c r="E3688" s="34" t="s">
        <v>537</v>
      </c>
      <c r="F3688" s="34" t="str">
        <f>VLOOKUP(Sales[[#This Row],[Product ID]],Product[#All],2,0)</f>
        <v>Dell Laptop</v>
      </c>
      <c r="G3688" s="53">
        <v>6</v>
      </c>
      <c r="H3688" s="165">
        <f>VLOOKUP(Sales[[#This Row],[Product ID]],Product[#All],7,0)</f>
        <v>90420</v>
      </c>
      <c r="I3688" s="165">
        <f>Sales[[#This Row],[Selling Rate]]*Sales[[#This Row],[Qty]]</f>
        <v>542520</v>
      </c>
      <c r="J3688" s="45">
        <v>0.05</v>
      </c>
      <c r="K3688" s="46">
        <f>Sales[[#This Row],[Gross Amount]]*Sales[[#This Row],[Disc %]]</f>
        <v>27126</v>
      </c>
      <c r="L3688" s="43">
        <v>0.18</v>
      </c>
      <c r="M3688" s="46">
        <f>(Sales[[#This Row],[Gross Amount]]-Sales[[#This Row],[Disc. Amt.]])*Sales[[#This Row],[GST %]]</f>
        <v>92770.92</v>
      </c>
      <c r="N3688" s="161">
        <f>Sales[[#This Row],[Gross Amount]]-Sales[[#This Row],[Disc. Amt.]]+Sales[[#This Row],[GST Amount]]</f>
        <v>608164.92000000004</v>
      </c>
      <c r="O3688" s="34" t="s">
        <v>3569</v>
      </c>
      <c r="P3688" s="34" t="s">
        <v>3562</v>
      </c>
      <c r="Q3688" s="165">
        <f>IF(Sales[[#This Row],[Status]]="Cancelled",0,Sales[[#This Row],[Qty]])</f>
        <v>6</v>
      </c>
      <c r="R3688" s="166">
        <f>IF(Sales[[#This Row],[Status]]="Cancelled",0,Sales[[#This Row],[Total Amount]])</f>
        <v>608164.92000000004</v>
      </c>
      <c r="S3688" s="162">
        <f>SUM(Sales[Net Amount])</f>
        <v>406839287.73200053</v>
      </c>
    </row>
    <row r="3689" spans="1:19" ht="18.75" x14ac:dyDescent="0.25">
      <c r="A3689" s="156" t="s">
        <v>7355</v>
      </c>
      <c r="B3689" s="157">
        <v>45961</v>
      </c>
      <c r="C3689" s="158" t="s">
        <v>786</v>
      </c>
      <c r="D3689" s="159" t="str">
        <f>VLOOKUP(Sales[[#This Row],[Customer ID]],Customer[#All],2,0)</f>
        <v>Pooja Kumar</v>
      </c>
      <c r="E3689" s="158" t="s">
        <v>532</v>
      </c>
      <c r="F3689" s="158" t="str">
        <f>VLOOKUP(Sales[[#This Row],[Product ID]],Product[#All],2,0)</f>
        <v>Dell Laptop</v>
      </c>
      <c r="G3689" s="159">
        <v>7</v>
      </c>
      <c r="H3689" s="160">
        <f>VLOOKUP(Sales[[#This Row],[Product ID]],Product[#All],7,0)</f>
        <v>47550</v>
      </c>
      <c r="I3689" s="160">
        <f>Sales[[#This Row],[Selling Rate]]*Sales[[#This Row],[Qty]]</f>
        <v>332850</v>
      </c>
      <c r="J3689" s="43">
        <v>0.02</v>
      </c>
      <c r="K3689" s="44">
        <f>Sales[[#This Row],[Gross Amount]]*Sales[[#This Row],[Disc %]]</f>
        <v>6657</v>
      </c>
      <c r="L3689" s="43">
        <v>0.18</v>
      </c>
      <c r="M3689" s="44">
        <f>(Sales[[#This Row],[Gross Amount]]-Sales[[#This Row],[Disc. Amt.]])*Sales[[#This Row],[GST %]]</f>
        <v>58714.74</v>
      </c>
      <c r="N3689" s="161">
        <f>Sales[[#This Row],[Gross Amount]]-Sales[[#This Row],[Disc. Amt.]]+Sales[[#This Row],[GST Amount]]</f>
        <v>384907.74</v>
      </c>
      <c r="O3689" s="158" t="s">
        <v>3569</v>
      </c>
      <c r="P3689" s="158" t="s">
        <v>3562</v>
      </c>
      <c r="Q3689" s="160">
        <f>IF(Sales[[#This Row],[Status]]="Cancelled",0,Sales[[#This Row],[Qty]])</f>
        <v>7</v>
      </c>
      <c r="R3689" s="161">
        <f>IF(Sales[[#This Row],[Status]]="Cancelled",0,Sales[[#This Row],[Total Amount]])</f>
        <v>384907.74</v>
      </c>
      <c r="S3689" s="162">
        <f>SUM(Sales[Net Amount])</f>
        <v>406839287.73200053</v>
      </c>
    </row>
    <row r="3690" spans="1:19" ht="18.75" x14ac:dyDescent="0.25">
      <c r="A3690" s="163" t="s">
        <v>7356</v>
      </c>
      <c r="B3690" s="164">
        <v>45961</v>
      </c>
      <c r="C3690" s="34" t="s">
        <v>918</v>
      </c>
      <c r="D3690" s="53" t="str">
        <f>VLOOKUP(Sales[[#This Row],[Customer ID]],Customer[#All],2,0)</f>
        <v>Pooja Patel</v>
      </c>
      <c r="E3690" s="34" t="s">
        <v>358</v>
      </c>
      <c r="F3690" s="34" t="str">
        <f>VLOOKUP(Sales[[#This Row],[Product ID]],Product[#All],2,0)</f>
        <v>TP-link Router</v>
      </c>
      <c r="G3690" s="53">
        <v>3</v>
      </c>
      <c r="H3690" s="165">
        <f>VLOOKUP(Sales[[#This Row],[Product ID]],Product[#All],7,0)</f>
        <v>3970</v>
      </c>
      <c r="I3690" s="165">
        <f>Sales[[#This Row],[Selling Rate]]*Sales[[#This Row],[Qty]]</f>
        <v>11910</v>
      </c>
      <c r="J3690" s="45">
        <v>0</v>
      </c>
      <c r="K3690" s="46">
        <f>Sales[[#This Row],[Gross Amount]]*Sales[[#This Row],[Disc %]]</f>
        <v>0</v>
      </c>
      <c r="L3690" s="43">
        <v>0.18</v>
      </c>
      <c r="M3690" s="46">
        <f>(Sales[[#This Row],[Gross Amount]]-Sales[[#This Row],[Disc. Amt.]])*Sales[[#This Row],[GST %]]</f>
        <v>2143.7999999999997</v>
      </c>
      <c r="N3690" s="161">
        <f>Sales[[#This Row],[Gross Amount]]-Sales[[#This Row],[Disc. Amt.]]+Sales[[#This Row],[GST Amount]]</f>
        <v>14053.8</v>
      </c>
      <c r="O3690" s="34" t="s">
        <v>8876</v>
      </c>
      <c r="P3690" s="34" t="s">
        <v>3562</v>
      </c>
      <c r="Q3690" s="165">
        <f>IF(Sales[[#This Row],[Status]]="Cancelled",0,Sales[[#This Row],[Qty]])</f>
        <v>3</v>
      </c>
      <c r="R3690" s="166">
        <f>IF(Sales[[#This Row],[Status]]="Cancelled",0,Sales[[#This Row],[Total Amount]])</f>
        <v>14053.8</v>
      </c>
      <c r="S3690" s="162">
        <f>SUM(Sales[Net Amount])</f>
        <v>406839287.73200053</v>
      </c>
    </row>
    <row r="3691" spans="1:19" ht="18.75" x14ac:dyDescent="0.25">
      <c r="A3691" s="156" t="s">
        <v>7357</v>
      </c>
      <c r="B3691" s="157">
        <v>45961</v>
      </c>
      <c r="C3691" s="158" t="s">
        <v>767</v>
      </c>
      <c r="D3691" s="159" t="str">
        <f>VLOOKUP(Sales[[#This Row],[Customer ID]],Customer[#All],2,0)</f>
        <v>Sunita Singh</v>
      </c>
      <c r="E3691" s="158" t="s">
        <v>543</v>
      </c>
      <c r="F3691" s="158" t="str">
        <f>VLOOKUP(Sales[[#This Row],[Product ID]],Product[#All],2,0)</f>
        <v>Logitech Mouse</v>
      </c>
      <c r="G3691" s="159">
        <v>5</v>
      </c>
      <c r="H3691" s="160">
        <f>VLOOKUP(Sales[[#This Row],[Product ID]],Product[#All],7,0)</f>
        <v>2430</v>
      </c>
      <c r="I3691" s="160">
        <f>Sales[[#This Row],[Selling Rate]]*Sales[[#This Row],[Qty]]</f>
        <v>12150</v>
      </c>
      <c r="J3691" s="43">
        <v>0.1</v>
      </c>
      <c r="K3691" s="44">
        <f>Sales[[#This Row],[Gross Amount]]*Sales[[#This Row],[Disc %]]</f>
        <v>1215</v>
      </c>
      <c r="L3691" s="43">
        <v>0.18</v>
      </c>
      <c r="M3691" s="44">
        <f>(Sales[[#This Row],[Gross Amount]]-Sales[[#This Row],[Disc. Amt.]])*Sales[[#This Row],[GST %]]</f>
        <v>1968.3</v>
      </c>
      <c r="N3691" s="161">
        <f>Sales[[#This Row],[Gross Amount]]-Sales[[#This Row],[Disc. Amt.]]+Sales[[#This Row],[GST Amount]]</f>
        <v>12903.3</v>
      </c>
      <c r="O3691" s="158" t="s">
        <v>8876</v>
      </c>
      <c r="P3691" s="158" t="s">
        <v>3562</v>
      </c>
      <c r="Q3691" s="160">
        <f>IF(Sales[[#This Row],[Status]]="Cancelled",0,Sales[[#This Row],[Qty]])</f>
        <v>5</v>
      </c>
      <c r="R3691" s="161">
        <f>IF(Sales[[#This Row],[Status]]="Cancelled",0,Sales[[#This Row],[Total Amount]])</f>
        <v>12903.3</v>
      </c>
      <c r="S3691" s="162">
        <f>SUM(Sales[Net Amount])</f>
        <v>406839287.73200053</v>
      </c>
    </row>
    <row r="3692" spans="1:19" ht="18.75" x14ac:dyDescent="0.25">
      <c r="A3692" s="163" t="s">
        <v>7358</v>
      </c>
      <c r="B3692" s="164">
        <v>45961</v>
      </c>
      <c r="C3692" s="34" t="s">
        <v>764</v>
      </c>
      <c r="D3692" s="53" t="str">
        <f>VLOOKUP(Sales[[#This Row],[Customer ID]],Customer[#All],2,0)</f>
        <v>Priya Gupta</v>
      </c>
      <c r="E3692" s="34" t="s">
        <v>453</v>
      </c>
      <c r="F3692" s="34" t="str">
        <f>VLOOKUP(Sales[[#This Row],[Product ID]],Product[#All],2,0)</f>
        <v>American TouristerLaptopBag</v>
      </c>
      <c r="G3692" s="53">
        <v>4</v>
      </c>
      <c r="H3692" s="165">
        <f>VLOOKUP(Sales[[#This Row],[Product ID]],Product[#All],7,0)</f>
        <v>3050</v>
      </c>
      <c r="I3692" s="165">
        <f>Sales[[#This Row],[Selling Rate]]*Sales[[#This Row],[Qty]]</f>
        <v>12200</v>
      </c>
      <c r="J3692" s="45">
        <v>0.15</v>
      </c>
      <c r="K3692" s="46">
        <f>Sales[[#This Row],[Gross Amount]]*Sales[[#This Row],[Disc %]]</f>
        <v>1830</v>
      </c>
      <c r="L3692" s="43">
        <v>0.18</v>
      </c>
      <c r="M3692" s="46">
        <f>(Sales[[#This Row],[Gross Amount]]-Sales[[#This Row],[Disc. Amt.]])*Sales[[#This Row],[GST %]]</f>
        <v>1866.6</v>
      </c>
      <c r="N3692" s="161">
        <f>Sales[[#This Row],[Gross Amount]]-Sales[[#This Row],[Disc. Amt.]]+Sales[[#This Row],[GST Amount]]</f>
        <v>12236.6</v>
      </c>
      <c r="O3692" s="34" t="s">
        <v>8876</v>
      </c>
      <c r="P3692" s="34" t="s">
        <v>3562</v>
      </c>
      <c r="Q3692" s="165">
        <f>IF(Sales[[#This Row],[Status]]="Cancelled",0,Sales[[#This Row],[Qty]])</f>
        <v>4</v>
      </c>
      <c r="R3692" s="166">
        <f>IF(Sales[[#This Row],[Status]]="Cancelled",0,Sales[[#This Row],[Total Amount]])</f>
        <v>12236.6</v>
      </c>
      <c r="S3692" s="162">
        <f>SUM(Sales[Net Amount])</f>
        <v>406839287.73200053</v>
      </c>
    </row>
    <row r="3693" spans="1:19" ht="18.75" x14ac:dyDescent="0.25">
      <c r="A3693" s="156" t="s">
        <v>7359</v>
      </c>
      <c r="B3693" s="157">
        <v>45961</v>
      </c>
      <c r="C3693" s="158" t="s">
        <v>762</v>
      </c>
      <c r="D3693" s="159" t="str">
        <f>VLOOKUP(Sales[[#This Row],[Customer ID]],Customer[#All],2,0)</f>
        <v>Amit Patel</v>
      </c>
      <c r="E3693" s="158" t="s">
        <v>391</v>
      </c>
      <c r="F3693" s="158" t="str">
        <f>VLOOKUP(Sales[[#This Row],[Product ID]],Product[#All],2,0)</f>
        <v>Seagate HDD</v>
      </c>
      <c r="G3693" s="159">
        <v>2</v>
      </c>
      <c r="H3693" s="160">
        <f>VLOOKUP(Sales[[#This Row],[Product ID]],Product[#All],7,0)</f>
        <v>10370</v>
      </c>
      <c r="I3693" s="160">
        <f>Sales[[#This Row],[Selling Rate]]*Sales[[#This Row],[Qty]]</f>
        <v>20740</v>
      </c>
      <c r="J3693" s="43">
        <v>0.1</v>
      </c>
      <c r="K3693" s="44">
        <f>Sales[[#This Row],[Gross Amount]]*Sales[[#This Row],[Disc %]]</f>
        <v>2074</v>
      </c>
      <c r="L3693" s="43">
        <v>0.18</v>
      </c>
      <c r="M3693" s="44">
        <f>(Sales[[#This Row],[Gross Amount]]-Sales[[#This Row],[Disc. Amt.]])*Sales[[#This Row],[GST %]]</f>
        <v>3359.8799999999997</v>
      </c>
      <c r="N3693" s="161">
        <f>Sales[[#This Row],[Gross Amount]]-Sales[[#This Row],[Disc. Amt.]]+Sales[[#This Row],[GST Amount]]</f>
        <v>22025.88</v>
      </c>
      <c r="O3693" s="158" t="s">
        <v>3569</v>
      </c>
      <c r="P3693" s="158" t="s">
        <v>3562</v>
      </c>
      <c r="Q3693" s="160">
        <f>IF(Sales[[#This Row],[Status]]="Cancelled",0,Sales[[#This Row],[Qty]])</f>
        <v>2</v>
      </c>
      <c r="R3693" s="161">
        <f>IF(Sales[[#This Row],[Status]]="Cancelled",0,Sales[[#This Row],[Total Amount]])</f>
        <v>22025.88</v>
      </c>
      <c r="S3693" s="162">
        <f>SUM(Sales[Net Amount])</f>
        <v>406839287.73200053</v>
      </c>
    </row>
    <row r="3694" spans="1:19" ht="18.75" x14ac:dyDescent="0.25">
      <c r="A3694" s="163" t="s">
        <v>7360</v>
      </c>
      <c r="B3694" s="164">
        <v>45961</v>
      </c>
      <c r="C3694" s="34" t="s">
        <v>947</v>
      </c>
      <c r="D3694" s="53" t="str">
        <f>VLOOKUP(Sales[[#This Row],[Customer ID]],Customer[#All],2,0)</f>
        <v>Sunita Singh</v>
      </c>
      <c r="E3694" s="34" t="s">
        <v>159</v>
      </c>
      <c r="F3694" s="34" t="str">
        <f>VLOOKUP(Sales[[#This Row],[Product ID]],Product[#All],2,0)</f>
        <v>HP Laptop</v>
      </c>
      <c r="G3694" s="53">
        <v>3</v>
      </c>
      <c r="H3694" s="165">
        <f>VLOOKUP(Sales[[#This Row],[Product ID]],Product[#All],7,0)</f>
        <v>90020</v>
      </c>
      <c r="I3694" s="165">
        <f>Sales[[#This Row],[Selling Rate]]*Sales[[#This Row],[Qty]]</f>
        <v>270060</v>
      </c>
      <c r="J3694" s="45">
        <v>0</v>
      </c>
      <c r="K3694" s="46">
        <f>Sales[[#This Row],[Gross Amount]]*Sales[[#This Row],[Disc %]]</f>
        <v>0</v>
      </c>
      <c r="L3694" s="43">
        <v>0.18</v>
      </c>
      <c r="M3694" s="46">
        <f>(Sales[[#This Row],[Gross Amount]]-Sales[[#This Row],[Disc. Amt.]])*Sales[[#This Row],[GST %]]</f>
        <v>48610.799999999996</v>
      </c>
      <c r="N3694" s="161">
        <f>Sales[[#This Row],[Gross Amount]]-Sales[[#This Row],[Disc. Amt.]]+Sales[[#This Row],[GST Amount]]</f>
        <v>318670.8</v>
      </c>
      <c r="O3694" s="34" t="s">
        <v>8876</v>
      </c>
      <c r="P3694" s="34" t="s">
        <v>3562</v>
      </c>
      <c r="Q3694" s="165">
        <f>IF(Sales[[#This Row],[Status]]="Cancelled",0,Sales[[#This Row],[Qty]])</f>
        <v>3</v>
      </c>
      <c r="R3694" s="166">
        <f>IF(Sales[[#This Row],[Status]]="Cancelled",0,Sales[[#This Row],[Total Amount]])</f>
        <v>318670.8</v>
      </c>
      <c r="S3694" s="162">
        <f>SUM(Sales[Net Amount])</f>
        <v>406839287.73200053</v>
      </c>
    </row>
    <row r="3695" spans="1:19" ht="18.75" x14ac:dyDescent="0.25">
      <c r="A3695" s="156" t="s">
        <v>7361</v>
      </c>
      <c r="B3695" s="157">
        <v>45961</v>
      </c>
      <c r="C3695" s="158" t="s">
        <v>815</v>
      </c>
      <c r="D3695" s="159" t="str">
        <f>VLOOKUP(Sales[[#This Row],[Customer ID]],Customer[#All],2,0)</f>
        <v>Priya Gupta</v>
      </c>
      <c r="E3695" s="158" t="s">
        <v>244</v>
      </c>
      <c r="F3695" s="158" t="str">
        <f>VLOOKUP(Sales[[#This Row],[Product ID]],Product[#All],2,0)</f>
        <v>TP-link Router</v>
      </c>
      <c r="G3695" s="159">
        <v>8</v>
      </c>
      <c r="H3695" s="160">
        <f>VLOOKUP(Sales[[#This Row],[Product ID]],Product[#All],7,0)</f>
        <v>4220</v>
      </c>
      <c r="I3695" s="160">
        <f>Sales[[#This Row],[Selling Rate]]*Sales[[#This Row],[Qty]]</f>
        <v>33760</v>
      </c>
      <c r="J3695" s="43">
        <v>0.02</v>
      </c>
      <c r="K3695" s="44">
        <f>Sales[[#This Row],[Gross Amount]]*Sales[[#This Row],[Disc %]]</f>
        <v>675.2</v>
      </c>
      <c r="L3695" s="43">
        <v>0.18</v>
      </c>
      <c r="M3695" s="44">
        <f>(Sales[[#This Row],[Gross Amount]]-Sales[[#This Row],[Disc. Amt.]])*Sales[[#This Row],[GST %]]</f>
        <v>5955.2640000000001</v>
      </c>
      <c r="N3695" s="161">
        <f>Sales[[#This Row],[Gross Amount]]-Sales[[#This Row],[Disc. Amt.]]+Sales[[#This Row],[GST Amount]]</f>
        <v>39040.064000000006</v>
      </c>
      <c r="O3695" s="158" t="s">
        <v>3569</v>
      </c>
      <c r="P3695" s="158" t="s">
        <v>3562</v>
      </c>
      <c r="Q3695" s="160">
        <f>IF(Sales[[#This Row],[Status]]="Cancelled",0,Sales[[#This Row],[Qty]])</f>
        <v>8</v>
      </c>
      <c r="R3695" s="161">
        <f>IF(Sales[[#This Row],[Status]]="Cancelled",0,Sales[[#This Row],[Total Amount]])</f>
        <v>39040.064000000006</v>
      </c>
      <c r="S3695" s="162">
        <f>SUM(Sales[Net Amount])</f>
        <v>406839287.73200053</v>
      </c>
    </row>
    <row r="3696" spans="1:19" ht="18.75" x14ac:dyDescent="0.25">
      <c r="A3696" s="163" t="s">
        <v>7362</v>
      </c>
      <c r="B3696" s="164">
        <v>45961</v>
      </c>
      <c r="C3696" s="34" t="s">
        <v>895</v>
      </c>
      <c r="D3696" s="53" t="str">
        <f>VLOOKUP(Sales[[#This Row],[Customer ID]],Customer[#All],2,0)</f>
        <v>Pooja Patel</v>
      </c>
      <c r="E3696" s="34" t="s">
        <v>547</v>
      </c>
      <c r="F3696" s="34" t="str">
        <f>VLOOKUP(Sales[[#This Row],[Product ID]],Product[#All],2,0)</f>
        <v>Samsung Monitor</v>
      </c>
      <c r="G3696" s="53">
        <v>3</v>
      </c>
      <c r="H3696" s="165">
        <f>VLOOKUP(Sales[[#This Row],[Product ID]],Product[#All],7,0)</f>
        <v>33340</v>
      </c>
      <c r="I3696" s="165">
        <f>Sales[[#This Row],[Selling Rate]]*Sales[[#This Row],[Qty]]</f>
        <v>100020</v>
      </c>
      <c r="J3696" s="45">
        <v>0</v>
      </c>
      <c r="K3696" s="46">
        <f>Sales[[#This Row],[Gross Amount]]*Sales[[#This Row],[Disc %]]</f>
        <v>0</v>
      </c>
      <c r="L3696" s="43">
        <v>0.18</v>
      </c>
      <c r="M3696" s="46">
        <f>(Sales[[#This Row],[Gross Amount]]-Sales[[#This Row],[Disc. Amt.]])*Sales[[#This Row],[GST %]]</f>
        <v>18003.599999999999</v>
      </c>
      <c r="N3696" s="161">
        <f>Sales[[#This Row],[Gross Amount]]-Sales[[#This Row],[Disc. Amt.]]+Sales[[#This Row],[GST Amount]]</f>
        <v>118023.6</v>
      </c>
      <c r="O3696" s="34" t="s">
        <v>3569</v>
      </c>
      <c r="P3696" s="34" t="s">
        <v>3562</v>
      </c>
      <c r="Q3696" s="165">
        <f>IF(Sales[[#This Row],[Status]]="Cancelled",0,Sales[[#This Row],[Qty]])</f>
        <v>3</v>
      </c>
      <c r="R3696" s="166">
        <f>IF(Sales[[#This Row],[Status]]="Cancelled",0,Sales[[#This Row],[Total Amount]])</f>
        <v>118023.6</v>
      </c>
      <c r="S3696" s="162">
        <f>SUM(Sales[Net Amount])</f>
        <v>406839287.73200053</v>
      </c>
    </row>
    <row r="3697" spans="1:19" ht="18.75" x14ac:dyDescent="0.25">
      <c r="A3697" s="156" t="s">
        <v>7363</v>
      </c>
      <c r="B3697" s="157">
        <v>45961</v>
      </c>
      <c r="C3697" s="158" t="s">
        <v>652</v>
      </c>
      <c r="D3697" s="159" t="str">
        <f>VLOOKUP(Sales[[#This Row],[Customer ID]],Customer[#All],2,0)</f>
        <v>Sahil Kumar</v>
      </c>
      <c r="E3697" s="158" t="s">
        <v>390</v>
      </c>
      <c r="F3697" s="158" t="str">
        <f>VLOOKUP(Sales[[#This Row],[Product ID]],Product[#All],2,0)</f>
        <v>TP-link Router</v>
      </c>
      <c r="G3697" s="159">
        <v>5</v>
      </c>
      <c r="H3697" s="160">
        <f>VLOOKUP(Sales[[#This Row],[Product ID]],Product[#All],7,0)</f>
        <v>4620</v>
      </c>
      <c r="I3697" s="160">
        <f>Sales[[#This Row],[Selling Rate]]*Sales[[#This Row],[Qty]]</f>
        <v>23100</v>
      </c>
      <c r="J3697" s="43">
        <v>0.02</v>
      </c>
      <c r="K3697" s="44">
        <f>Sales[[#This Row],[Gross Amount]]*Sales[[#This Row],[Disc %]]</f>
        <v>462</v>
      </c>
      <c r="L3697" s="43">
        <v>0.18</v>
      </c>
      <c r="M3697" s="44">
        <f>(Sales[[#This Row],[Gross Amount]]-Sales[[#This Row],[Disc. Amt.]])*Sales[[#This Row],[GST %]]</f>
        <v>4074.8399999999997</v>
      </c>
      <c r="N3697" s="161">
        <f>Sales[[#This Row],[Gross Amount]]-Sales[[#This Row],[Disc. Amt.]]+Sales[[#This Row],[GST Amount]]</f>
        <v>26712.84</v>
      </c>
      <c r="O3697" s="158" t="s">
        <v>8876</v>
      </c>
      <c r="P3697" s="158" t="s">
        <v>3562</v>
      </c>
      <c r="Q3697" s="160">
        <f>IF(Sales[[#This Row],[Status]]="Cancelled",0,Sales[[#This Row],[Qty]])</f>
        <v>5</v>
      </c>
      <c r="R3697" s="161">
        <f>IF(Sales[[#This Row],[Status]]="Cancelled",0,Sales[[#This Row],[Total Amount]])</f>
        <v>26712.84</v>
      </c>
      <c r="S3697" s="162">
        <f>SUM(Sales[Net Amount])</f>
        <v>406839287.73200053</v>
      </c>
    </row>
    <row r="3698" spans="1:19" ht="18.75" x14ac:dyDescent="0.25">
      <c r="A3698" s="163" t="s">
        <v>7364</v>
      </c>
      <c r="B3698" s="164">
        <v>45961</v>
      </c>
      <c r="C3698" s="34" t="s">
        <v>794</v>
      </c>
      <c r="D3698" s="53" t="str">
        <f>VLOOKUP(Sales[[#This Row],[Customer ID]],Customer[#All],2,0)</f>
        <v>Sunita Sharma</v>
      </c>
      <c r="E3698" s="34" t="s">
        <v>297</v>
      </c>
      <c r="F3698" s="34" t="str">
        <f>VLOOKUP(Sales[[#This Row],[Product ID]],Product[#All],2,0)</f>
        <v>Dell Desktop</v>
      </c>
      <c r="G3698" s="53">
        <v>3</v>
      </c>
      <c r="H3698" s="165">
        <f>VLOOKUP(Sales[[#This Row],[Product ID]],Product[#All],7,0)</f>
        <v>39300</v>
      </c>
      <c r="I3698" s="165">
        <f>Sales[[#This Row],[Selling Rate]]*Sales[[#This Row],[Qty]]</f>
        <v>117900</v>
      </c>
      <c r="J3698" s="45">
        <v>0.1</v>
      </c>
      <c r="K3698" s="46">
        <f>Sales[[#This Row],[Gross Amount]]*Sales[[#This Row],[Disc %]]</f>
        <v>11790</v>
      </c>
      <c r="L3698" s="43">
        <v>0.18</v>
      </c>
      <c r="M3698" s="46">
        <f>(Sales[[#This Row],[Gross Amount]]-Sales[[#This Row],[Disc. Amt.]])*Sales[[#This Row],[GST %]]</f>
        <v>19099.8</v>
      </c>
      <c r="N3698" s="161">
        <f>Sales[[#This Row],[Gross Amount]]-Sales[[#This Row],[Disc. Amt.]]+Sales[[#This Row],[GST Amount]]</f>
        <v>125209.8</v>
      </c>
      <c r="O3698" s="34" t="s">
        <v>3569</v>
      </c>
      <c r="P3698" s="34" t="s">
        <v>3562</v>
      </c>
      <c r="Q3698" s="165">
        <f>IF(Sales[[#This Row],[Status]]="Cancelled",0,Sales[[#This Row],[Qty]])</f>
        <v>3</v>
      </c>
      <c r="R3698" s="166">
        <f>IF(Sales[[#This Row],[Status]]="Cancelled",0,Sales[[#This Row],[Total Amount]])</f>
        <v>125209.8</v>
      </c>
      <c r="S3698" s="162">
        <f>SUM(Sales[Net Amount])</f>
        <v>406839287.73200053</v>
      </c>
    </row>
    <row r="3699" spans="1:19" ht="18.75" x14ac:dyDescent="0.25">
      <c r="A3699" s="156" t="s">
        <v>7365</v>
      </c>
      <c r="B3699" s="157">
        <v>45961</v>
      </c>
      <c r="C3699" s="158" t="s">
        <v>909</v>
      </c>
      <c r="D3699" s="159" t="str">
        <f>VLOOKUP(Sales[[#This Row],[Customer ID]],Customer[#All],2,0)</f>
        <v>Priya Sharma</v>
      </c>
      <c r="E3699" s="158" t="s">
        <v>358</v>
      </c>
      <c r="F3699" s="158" t="str">
        <f>VLOOKUP(Sales[[#This Row],[Product ID]],Product[#All],2,0)</f>
        <v>TP-link Router</v>
      </c>
      <c r="G3699" s="159">
        <v>8</v>
      </c>
      <c r="H3699" s="160">
        <f>VLOOKUP(Sales[[#This Row],[Product ID]],Product[#All],7,0)</f>
        <v>3970</v>
      </c>
      <c r="I3699" s="160">
        <f>Sales[[#This Row],[Selling Rate]]*Sales[[#This Row],[Qty]]</f>
        <v>31760</v>
      </c>
      <c r="J3699" s="43">
        <v>0.12</v>
      </c>
      <c r="K3699" s="44">
        <f>Sales[[#This Row],[Gross Amount]]*Sales[[#This Row],[Disc %]]</f>
        <v>3811.2</v>
      </c>
      <c r="L3699" s="43">
        <v>0.18</v>
      </c>
      <c r="M3699" s="44">
        <f>(Sales[[#This Row],[Gross Amount]]-Sales[[#This Row],[Disc. Amt.]])*Sales[[#This Row],[GST %]]</f>
        <v>5030.7839999999997</v>
      </c>
      <c r="N3699" s="161">
        <f>Sales[[#This Row],[Gross Amount]]-Sales[[#This Row],[Disc. Amt.]]+Sales[[#This Row],[GST Amount]]</f>
        <v>32979.584000000003</v>
      </c>
      <c r="O3699" s="158" t="s">
        <v>3569</v>
      </c>
      <c r="P3699" s="158" t="s">
        <v>3562</v>
      </c>
      <c r="Q3699" s="160">
        <f>IF(Sales[[#This Row],[Status]]="Cancelled",0,Sales[[#This Row],[Qty]])</f>
        <v>8</v>
      </c>
      <c r="R3699" s="161">
        <f>IF(Sales[[#This Row],[Status]]="Cancelled",0,Sales[[#This Row],[Total Amount]])</f>
        <v>32979.584000000003</v>
      </c>
      <c r="S3699" s="162">
        <f>SUM(Sales[Net Amount])</f>
        <v>406839287.73200053</v>
      </c>
    </row>
    <row r="3700" spans="1:19" ht="18.75" x14ac:dyDescent="0.25">
      <c r="A3700" s="163" t="s">
        <v>7366</v>
      </c>
      <c r="B3700" s="164">
        <v>45961</v>
      </c>
      <c r="C3700" s="34" t="s">
        <v>844</v>
      </c>
      <c r="D3700" s="53" t="str">
        <f>VLOOKUP(Sales[[#This Row],[Customer ID]],Customer[#All],2,0)</f>
        <v>Rahul Sharma</v>
      </c>
      <c r="E3700" s="34" t="s">
        <v>132</v>
      </c>
      <c r="F3700" s="34" t="str">
        <f>VLOOKUP(Sales[[#This Row],[Product ID]],Product[#All],2,0)</f>
        <v>Jbl Headset</v>
      </c>
      <c r="G3700" s="53">
        <v>7</v>
      </c>
      <c r="H3700" s="165">
        <f>VLOOKUP(Sales[[#This Row],[Product ID]],Product[#All],7,0)</f>
        <v>7470</v>
      </c>
      <c r="I3700" s="165">
        <f>Sales[[#This Row],[Selling Rate]]*Sales[[#This Row],[Qty]]</f>
        <v>52290</v>
      </c>
      <c r="J3700" s="45">
        <v>0.15</v>
      </c>
      <c r="K3700" s="46">
        <f>Sales[[#This Row],[Gross Amount]]*Sales[[#This Row],[Disc %]]</f>
        <v>7843.5</v>
      </c>
      <c r="L3700" s="43">
        <v>0.18</v>
      </c>
      <c r="M3700" s="46">
        <f>(Sales[[#This Row],[Gross Amount]]-Sales[[#This Row],[Disc. Amt.]])*Sales[[#This Row],[GST %]]</f>
        <v>8000.37</v>
      </c>
      <c r="N3700" s="161">
        <f>Sales[[#This Row],[Gross Amount]]-Sales[[#This Row],[Disc. Amt.]]+Sales[[#This Row],[GST Amount]]</f>
        <v>52446.87</v>
      </c>
      <c r="O3700" s="34" t="s">
        <v>3569</v>
      </c>
      <c r="P3700" s="34" t="s">
        <v>3562</v>
      </c>
      <c r="Q3700" s="165">
        <f>IF(Sales[[#This Row],[Status]]="Cancelled",0,Sales[[#This Row],[Qty]])</f>
        <v>7</v>
      </c>
      <c r="R3700" s="166">
        <f>IF(Sales[[#This Row],[Status]]="Cancelled",0,Sales[[#This Row],[Total Amount]])</f>
        <v>52446.87</v>
      </c>
      <c r="S3700" s="162">
        <f>SUM(Sales[Net Amount])</f>
        <v>406839287.73200053</v>
      </c>
    </row>
    <row r="3701" spans="1:19" ht="18.75" x14ac:dyDescent="0.25">
      <c r="A3701" s="156" t="s">
        <v>7367</v>
      </c>
      <c r="B3701" s="157">
        <v>45961</v>
      </c>
      <c r="C3701" s="158" t="s">
        <v>807</v>
      </c>
      <c r="D3701" s="159" t="str">
        <f>VLOOKUP(Sales[[#This Row],[Customer ID]],Customer[#All],2,0)</f>
        <v>Rakesh Patel</v>
      </c>
      <c r="E3701" s="158" t="s">
        <v>205</v>
      </c>
      <c r="F3701" s="158" t="str">
        <f>VLOOKUP(Sales[[#This Row],[Product ID]],Product[#All],2,0)</f>
        <v>HP Power Adapter</v>
      </c>
      <c r="G3701" s="159">
        <v>4</v>
      </c>
      <c r="H3701" s="160">
        <f>VLOOKUP(Sales[[#This Row],[Product ID]],Product[#All],7,0)</f>
        <v>4820</v>
      </c>
      <c r="I3701" s="160">
        <f>Sales[[#This Row],[Selling Rate]]*Sales[[#This Row],[Qty]]</f>
        <v>19280</v>
      </c>
      <c r="J3701" s="43">
        <v>0.02</v>
      </c>
      <c r="K3701" s="44">
        <f>Sales[[#This Row],[Gross Amount]]*Sales[[#This Row],[Disc %]]</f>
        <v>385.6</v>
      </c>
      <c r="L3701" s="43">
        <v>0.18</v>
      </c>
      <c r="M3701" s="44">
        <f>(Sales[[#This Row],[Gross Amount]]-Sales[[#This Row],[Disc. Amt.]])*Sales[[#This Row],[GST %]]</f>
        <v>3400.9920000000002</v>
      </c>
      <c r="N3701" s="161">
        <f>Sales[[#This Row],[Gross Amount]]-Sales[[#This Row],[Disc. Amt.]]+Sales[[#This Row],[GST Amount]]</f>
        <v>22295.392</v>
      </c>
      <c r="O3701" s="158" t="s">
        <v>3561</v>
      </c>
      <c r="P3701" s="158" t="s">
        <v>3562</v>
      </c>
      <c r="Q3701" s="160">
        <f>IF(Sales[[#This Row],[Status]]="Cancelled",0,Sales[[#This Row],[Qty]])</f>
        <v>4</v>
      </c>
      <c r="R3701" s="161">
        <f>IF(Sales[[#This Row],[Status]]="Cancelled",0,Sales[[#This Row],[Total Amount]])</f>
        <v>22295.392</v>
      </c>
      <c r="S3701" s="162">
        <f>SUM(Sales[Net Amount])</f>
        <v>406839287.73200053</v>
      </c>
    </row>
    <row r="3702" spans="1:19" ht="18.75" x14ac:dyDescent="0.25">
      <c r="A3702" s="163" t="s">
        <v>7368</v>
      </c>
      <c r="B3702" s="164">
        <v>45962</v>
      </c>
      <c r="C3702" s="34" t="s">
        <v>950</v>
      </c>
      <c r="D3702" s="53" t="str">
        <f>VLOOKUP(Sales[[#This Row],[Customer ID]],Customer[#All],2,0)</f>
        <v>Sunita Sharma</v>
      </c>
      <c r="E3702" s="34" t="s">
        <v>520</v>
      </c>
      <c r="F3702" s="34" t="str">
        <f>VLOOKUP(Sales[[#This Row],[Product ID]],Product[#All],2,0)</f>
        <v>HP Desktop</v>
      </c>
      <c r="G3702" s="53">
        <v>7</v>
      </c>
      <c r="H3702" s="165">
        <f>VLOOKUP(Sales[[#This Row],[Product ID]],Product[#All],7,0)</f>
        <v>40200</v>
      </c>
      <c r="I3702" s="165">
        <f>Sales[[#This Row],[Selling Rate]]*Sales[[#This Row],[Qty]]</f>
        <v>281400</v>
      </c>
      <c r="J3702" s="45">
        <v>0</v>
      </c>
      <c r="K3702" s="46">
        <f>Sales[[#This Row],[Gross Amount]]*Sales[[#This Row],[Disc %]]</f>
        <v>0</v>
      </c>
      <c r="L3702" s="43">
        <v>0.18</v>
      </c>
      <c r="M3702" s="46">
        <f>(Sales[[#This Row],[Gross Amount]]-Sales[[#This Row],[Disc. Amt.]])*Sales[[#This Row],[GST %]]</f>
        <v>50652</v>
      </c>
      <c r="N3702" s="161">
        <f>Sales[[#This Row],[Gross Amount]]-Sales[[#This Row],[Disc. Amt.]]+Sales[[#This Row],[GST Amount]]</f>
        <v>332052</v>
      </c>
      <c r="O3702" s="34" t="s">
        <v>3569</v>
      </c>
      <c r="P3702" s="34" t="s">
        <v>3562</v>
      </c>
      <c r="Q3702" s="165">
        <f>IF(Sales[[#This Row],[Status]]="Cancelled",0,Sales[[#This Row],[Qty]])</f>
        <v>7</v>
      </c>
      <c r="R3702" s="166">
        <f>IF(Sales[[#This Row],[Status]]="Cancelled",0,Sales[[#This Row],[Total Amount]])</f>
        <v>332052</v>
      </c>
      <c r="S3702" s="162">
        <f>SUM(Sales[Net Amount])</f>
        <v>406839287.73200053</v>
      </c>
    </row>
    <row r="3703" spans="1:19" ht="18.75" x14ac:dyDescent="0.25">
      <c r="A3703" s="156" t="s">
        <v>7369</v>
      </c>
      <c r="B3703" s="157">
        <v>45962</v>
      </c>
      <c r="C3703" s="158" t="s">
        <v>656</v>
      </c>
      <c r="D3703" s="159" t="str">
        <f>VLOOKUP(Sales[[#This Row],[Customer ID]],Customer[#All],2,0)</f>
        <v>Rahul Kumar</v>
      </c>
      <c r="E3703" s="158" t="s">
        <v>428</v>
      </c>
      <c r="F3703" s="158" t="str">
        <f>VLOOKUP(Sales[[#This Row],[Product ID]],Product[#All],2,0)</f>
        <v>Microtek UPS</v>
      </c>
      <c r="G3703" s="159">
        <v>2</v>
      </c>
      <c r="H3703" s="160">
        <f>VLOOKUP(Sales[[#This Row],[Product ID]],Product[#All],7,0)</f>
        <v>8450</v>
      </c>
      <c r="I3703" s="160">
        <f>Sales[[#This Row],[Selling Rate]]*Sales[[#This Row],[Qty]]</f>
        <v>16900</v>
      </c>
      <c r="J3703" s="43">
        <v>0</v>
      </c>
      <c r="K3703" s="44">
        <f>Sales[[#This Row],[Gross Amount]]*Sales[[#This Row],[Disc %]]</f>
        <v>0</v>
      </c>
      <c r="L3703" s="43">
        <v>0.18</v>
      </c>
      <c r="M3703" s="44">
        <f>(Sales[[#This Row],[Gross Amount]]-Sales[[#This Row],[Disc. Amt.]])*Sales[[#This Row],[GST %]]</f>
        <v>3042</v>
      </c>
      <c r="N3703" s="161">
        <f>Sales[[#This Row],[Gross Amount]]-Sales[[#This Row],[Disc. Amt.]]+Sales[[#This Row],[GST Amount]]</f>
        <v>19942</v>
      </c>
      <c r="O3703" s="158" t="s">
        <v>8876</v>
      </c>
      <c r="P3703" s="158" t="s">
        <v>3562</v>
      </c>
      <c r="Q3703" s="160">
        <f>IF(Sales[[#This Row],[Status]]="Cancelled",0,Sales[[#This Row],[Qty]])</f>
        <v>2</v>
      </c>
      <c r="R3703" s="161">
        <f>IF(Sales[[#This Row],[Status]]="Cancelled",0,Sales[[#This Row],[Total Amount]])</f>
        <v>19942</v>
      </c>
      <c r="S3703" s="162">
        <f>SUM(Sales[Net Amount])</f>
        <v>406839287.73200053</v>
      </c>
    </row>
    <row r="3704" spans="1:19" ht="18.75" x14ac:dyDescent="0.25">
      <c r="A3704" s="163" t="s">
        <v>7370</v>
      </c>
      <c r="B3704" s="164">
        <v>45962</v>
      </c>
      <c r="C3704" s="34" t="s">
        <v>924</v>
      </c>
      <c r="D3704" s="53" t="str">
        <f>VLOOKUP(Sales[[#This Row],[Customer ID]],Customer[#All],2,0)</f>
        <v>Rakesh Gupta</v>
      </c>
      <c r="E3704" s="34" t="s">
        <v>239</v>
      </c>
      <c r="F3704" s="34" t="str">
        <f>VLOOKUP(Sales[[#This Row],[Product ID]],Product[#All],2,0)</f>
        <v>Microtek UPS</v>
      </c>
      <c r="G3704" s="53">
        <v>3</v>
      </c>
      <c r="H3704" s="165">
        <f>VLOOKUP(Sales[[#This Row],[Product ID]],Product[#All],7,0)</f>
        <v>7570</v>
      </c>
      <c r="I3704" s="165">
        <f>Sales[[#This Row],[Selling Rate]]*Sales[[#This Row],[Qty]]</f>
        <v>22710</v>
      </c>
      <c r="J3704" s="45">
        <v>0</v>
      </c>
      <c r="K3704" s="46">
        <f>Sales[[#This Row],[Gross Amount]]*Sales[[#This Row],[Disc %]]</f>
        <v>0</v>
      </c>
      <c r="L3704" s="43">
        <v>0.18</v>
      </c>
      <c r="M3704" s="46">
        <f>(Sales[[#This Row],[Gross Amount]]-Sales[[#This Row],[Disc. Amt.]])*Sales[[#This Row],[GST %]]</f>
        <v>4087.7999999999997</v>
      </c>
      <c r="N3704" s="161">
        <f>Sales[[#This Row],[Gross Amount]]-Sales[[#This Row],[Disc. Amt.]]+Sales[[#This Row],[GST Amount]]</f>
        <v>26797.8</v>
      </c>
      <c r="O3704" s="34" t="s">
        <v>3569</v>
      </c>
      <c r="P3704" s="34" t="s">
        <v>3562</v>
      </c>
      <c r="Q3704" s="165">
        <f>IF(Sales[[#This Row],[Status]]="Cancelled",0,Sales[[#This Row],[Qty]])</f>
        <v>3</v>
      </c>
      <c r="R3704" s="166">
        <f>IF(Sales[[#This Row],[Status]]="Cancelled",0,Sales[[#This Row],[Total Amount]])</f>
        <v>26797.8</v>
      </c>
      <c r="S3704" s="162">
        <f>SUM(Sales[Net Amount])</f>
        <v>406839287.73200053</v>
      </c>
    </row>
    <row r="3705" spans="1:19" ht="18.75" x14ac:dyDescent="0.25">
      <c r="A3705" s="156" t="s">
        <v>7371</v>
      </c>
      <c r="B3705" s="157">
        <v>45962</v>
      </c>
      <c r="C3705" s="158" t="s">
        <v>931</v>
      </c>
      <c r="D3705" s="159" t="str">
        <f>VLOOKUP(Sales[[#This Row],[Customer ID]],Customer[#All],2,0)</f>
        <v>Sahil Patel</v>
      </c>
      <c r="E3705" s="158" t="s">
        <v>352</v>
      </c>
      <c r="F3705" s="158" t="str">
        <f>VLOOKUP(Sales[[#This Row],[Product ID]],Product[#All],2,0)</f>
        <v>Seagate HDD</v>
      </c>
      <c r="G3705" s="159">
        <v>3</v>
      </c>
      <c r="H3705" s="160">
        <f>VLOOKUP(Sales[[#This Row],[Product ID]],Product[#All],7,0)</f>
        <v>13350</v>
      </c>
      <c r="I3705" s="160">
        <f>Sales[[#This Row],[Selling Rate]]*Sales[[#This Row],[Qty]]</f>
        <v>40050</v>
      </c>
      <c r="J3705" s="43">
        <v>0.05</v>
      </c>
      <c r="K3705" s="44">
        <f>Sales[[#This Row],[Gross Amount]]*Sales[[#This Row],[Disc %]]</f>
        <v>2002.5</v>
      </c>
      <c r="L3705" s="43">
        <v>0.18</v>
      </c>
      <c r="M3705" s="44">
        <f>(Sales[[#This Row],[Gross Amount]]-Sales[[#This Row],[Disc. Amt.]])*Sales[[#This Row],[GST %]]</f>
        <v>6848.55</v>
      </c>
      <c r="N3705" s="161">
        <f>Sales[[#This Row],[Gross Amount]]-Sales[[#This Row],[Disc. Amt.]]+Sales[[#This Row],[GST Amount]]</f>
        <v>44896.05</v>
      </c>
      <c r="O3705" s="158" t="s">
        <v>3561</v>
      </c>
      <c r="P3705" s="158" t="s">
        <v>3562</v>
      </c>
      <c r="Q3705" s="160">
        <f>IF(Sales[[#This Row],[Status]]="Cancelled",0,Sales[[#This Row],[Qty]])</f>
        <v>3</v>
      </c>
      <c r="R3705" s="161">
        <f>IF(Sales[[#This Row],[Status]]="Cancelled",0,Sales[[#This Row],[Total Amount]])</f>
        <v>44896.05</v>
      </c>
      <c r="S3705" s="162">
        <f>SUM(Sales[Net Amount])</f>
        <v>406839287.73200053</v>
      </c>
    </row>
    <row r="3706" spans="1:19" ht="18.75" x14ac:dyDescent="0.25">
      <c r="A3706" s="163" t="s">
        <v>7372</v>
      </c>
      <c r="B3706" s="164">
        <v>45962</v>
      </c>
      <c r="C3706" s="34" t="s">
        <v>7373</v>
      </c>
      <c r="D3706" s="53" t="str">
        <f>VLOOKUP(Sales[[#This Row],[Customer ID]],Customer[#All],2,0)</f>
        <v>Pooja Patel</v>
      </c>
      <c r="E3706" s="34" t="s">
        <v>257</v>
      </c>
      <c r="F3706" s="34" t="str">
        <f>VLOOKUP(Sales[[#This Row],[Product ID]],Product[#All],2,0)</f>
        <v>Epson Printer</v>
      </c>
      <c r="G3706" s="53">
        <v>5</v>
      </c>
      <c r="H3706" s="165">
        <f>VLOOKUP(Sales[[#This Row],[Product ID]],Product[#All],7,0)</f>
        <v>15720</v>
      </c>
      <c r="I3706" s="165">
        <f>Sales[[#This Row],[Selling Rate]]*Sales[[#This Row],[Qty]]</f>
        <v>78600</v>
      </c>
      <c r="J3706" s="45">
        <v>0.15</v>
      </c>
      <c r="K3706" s="46">
        <f>Sales[[#This Row],[Gross Amount]]*Sales[[#This Row],[Disc %]]</f>
        <v>11790</v>
      </c>
      <c r="L3706" s="43">
        <v>0.18</v>
      </c>
      <c r="M3706" s="46">
        <f>(Sales[[#This Row],[Gross Amount]]-Sales[[#This Row],[Disc. Amt.]])*Sales[[#This Row],[GST %]]</f>
        <v>12025.8</v>
      </c>
      <c r="N3706" s="161">
        <f>Sales[[#This Row],[Gross Amount]]-Sales[[#This Row],[Disc. Amt.]]+Sales[[#This Row],[GST Amount]]</f>
        <v>78835.8</v>
      </c>
      <c r="O3706" s="34" t="s">
        <v>3569</v>
      </c>
      <c r="P3706" s="34" t="s">
        <v>3562</v>
      </c>
      <c r="Q3706" s="165">
        <f>IF(Sales[[#This Row],[Status]]="Cancelled",0,Sales[[#This Row],[Qty]])</f>
        <v>5</v>
      </c>
      <c r="R3706" s="166">
        <f>IF(Sales[[#This Row],[Status]]="Cancelled",0,Sales[[#This Row],[Total Amount]])</f>
        <v>78835.8</v>
      </c>
      <c r="S3706" s="162">
        <f>SUM(Sales[Net Amount])</f>
        <v>406839287.73200053</v>
      </c>
    </row>
    <row r="3707" spans="1:19" ht="18.75" x14ac:dyDescent="0.25">
      <c r="A3707" s="156" t="s">
        <v>7374</v>
      </c>
      <c r="B3707" s="157">
        <v>45962</v>
      </c>
      <c r="C3707" s="158" t="s">
        <v>7375</v>
      </c>
      <c r="D3707" s="159" t="str">
        <f>VLOOKUP(Sales[[#This Row],[Customer ID]],Customer[#All],2,0)</f>
        <v>Neha Sharma</v>
      </c>
      <c r="E3707" s="158" t="s">
        <v>114</v>
      </c>
      <c r="F3707" s="158" t="str">
        <f>VLOOKUP(Sales[[#This Row],[Product ID]],Product[#All],2,0)</f>
        <v>Apc UPS</v>
      </c>
      <c r="G3707" s="159">
        <v>4</v>
      </c>
      <c r="H3707" s="160">
        <f>VLOOKUP(Sales[[#This Row],[Product ID]],Product[#All],7,0)</f>
        <v>17310</v>
      </c>
      <c r="I3707" s="160">
        <f>Sales[[#This Row],[Selling Rate]]*Sales[[#This Row],[Qty]]</f>
        <v>69240</v>
      </c>
      <c r="J3707" s="43">
        <v>0</v>
      </c>
      <c r="K3707" s="44">
        <f>Sales[[#This Row],[Gross Amount]]*Sales[[#This Row],[Disc %]]</f>
        <v>0</v>
      </c>
      <c r="L3707" s="43">
        <v>0.18</v>
      </c>
      <c r="M3707" s="44">
        <f>(Sales[[#This Row],[Gross Amount]]-Sales[[#This Row],[Disc. Amt.]])*Sales[[#This Row],[GST %]]</f>
        <v>12463.199999999999</v>
      </c>
      <c r="N3707" s="161">
        <f>Sales[[#This Row],[Gross Amount]]-Sales[[#This Row],[Disc. Amt.]]+Sales[[#This Row],[GST Amount]]</f>
        <v>81703.199999999997</v>
      </c>
      <c r="O3707" s="158" t="s">
        <v>3561</v>
      </c>
      <c r="P3707" s="158" t="s">
        <v>3562</v>
      </c>
      <c r="Q3707" s="160">
        <f>IF(Sales[[#This Row],[Status]]="Cancelled",0,Sales[[#This Row],[Qty]])</f>
        <v>4</v>
      </c>
      <c r="R3707" s="161">
        <f>IF(Sales[[#This Row],[Status]]="Cancelled",0,Sales[[#This Row],[Total Amount]])</f>
        <v>81703.199999999997</v>
      </c>
      <c r="S3707" s="162">
        <f>SUM(Sales[Net Amount])</f>
        <v>406839287.73200053</v>
      </c>
    </row>
    <row r="3708" spans="1:19" ht="18.75" x14ac:dyDescent="0.25">
      <c r="A3708" s="163" t="s">
        <v>7376</v>
      </c>
      <c r="B3708" s="164">
        <v>45962</v>
      </c>
      <c r="C3708" s="34" t="s">
        <v>857</v>
      </c>
      <c r="D3708" s="53" t="str">
        <f>VLOOKUP(Sales[[#This Row],[Customer ID]],Customer[#All],2,0)</f>
        <v>Pooja Singh</v>
      </c>
      <c r="E3708" s="34" t="s">
        <v>168</v>
      </c>
      <c r="F3708" s="34" t="str">
        <f>VLOOKUP(Sales[[#This Row],[Product ID]],Product[#All],2,0)</f>
        <v>TP-link Wi-Fi Adapter</v>
      </c>
      <c r="G3708" s="53">
        <v>5</v>
      </c>
      <c r="H3708" s="165">
        <f>VLOOKUP(Sales[[#This Row],[Product ID]],Product[#All],7,0)</f>
        <v>1460</v>
      </c>
      <c r="I3708" s="165">
        <f>Sales[[#This Row],[Selling Rate]]*Sales[[#This Row],[Qty]]</f>
        <v>7300</v>
      </c>
      <c r="J3708" s="45">
        <v>0.15</v>
      </c>
      <c r="K3708" s="46">
        <f>Sales[[#This Row],[Gross Amount]]*Sales[[#This Row],[Disc %]]</f>
        <v>1095</v>
      </c>
      <c r="L3708" s="43">
        <v>0.18</v>
      </c>
      <c r="M3708" s="46">
        <f>(Sales[[#This Row],[Gross Amount]]-Sales[[#This Row],[Disc. Amt.]])*Sales[[#This Row],[GST %]]</f>
        <v>1116.8999999999999</v>
      </c>
      <c r="N3708" s="161">
        <f>Sales[[#This Row],[Gross Amount]]-Sales[[#This Row],[Disc. Amt.]]+Sales[[#This Row],[GST Amount]]</f>
        <v>7321.9</v>
      </c>
      <c r="O3708" s="34" t="s">
        <v>3569</v>
      </c>
      <c r="P3708" s="34" t="s">
        <v>3562</v>
      </c>
      <c r="Q3708" s="165">
        <f>IF(Sales[[#This Row],[Status]]="Cancelled",0,Sales[[#This Row],[Qty]])</f>
        <v>5</v>
      </c>
      <c r="R3708" s="166">
        <f>IF(Sales[[#This Row],[Status]]="Cancelled",0,Sales[[#This Row],[Total Amount]])</f>
        <v>7321.9</v>
      </c>
      <c r="S3708" s="162">
        <f>SUM(Sales[Net Amount])</f>
        <v>406839287.73200053</v>
      </c>
    </row>
    <row r="3709" spans="1:19" ht="18.75" x14ac:dyDescent="0.25">
      <c r="A3709" s="156" t="s">
        <v>7377</v>
      </c>
      <c r="B3709" s="157">
        <v>45962</v>
      </c>
      <c r="C3709" s="158" t="s">
        <v>904</v>
      </c>
      <c r="D3709" s="159" t="str">
        <f>VLOOKUP(Sales[[#This Row],[Customer ID]],Customer[#All],2,0)</f>
        <v>Sahil Patel</v>
      </c>
      <c r="E3709" s="158" t="s">
        <v>190</v>
      </c>
      <c r="F3709" s="158" t="str">
        <f>VLOOKUP(Sales[[#This Row],[Product ID]],Product[#All],2,0)</f>
        <v>Samsung Monitor</v>
      </c>
      <c r="G3709" s="159">
        <v>8</v>
      </c>
      <c r="H3709" s="160">
        <f>VLOOKUP(Sales[[#This Row],[Product ID]],Product[#All],7,0)</f>
        <v>18190</v>
      </c>
      <c r="I3709" s="160">
        <f>Sales[[#This Row],[Selling Rate]]*Sales[[#This Row],[Qty]]</f>
        <v>145520</v>
      </c>
      <c r="J3709" s="43">
        <v>0.05</v>
      </c>
      <c r="K3709" s="44">
        <f>Sales[[#This Row],[Gross Amount]]*Sales[[#This Row],[Disc %]]</f>
        <v>7276</v>
      </c>
      <c r="L3709" s="43">
        <v>0.18</v>
      </c>
      <c r="M3709" s="44">
        <f>(Sales[[#This Row],[Gross Amount]]-Sales[[#This Row],[Disc. Amt.]])*Sales[[#This Row],[GST %]]</f>
        <v>24883.919999999998</v>
      </c>
      <c r="N3709" s="161">
        <f>Sales[[#This Row],[Gross Amount]]-Sales[[#This Row],[Disc. Amt.]]+Sales[[#This Row],[GST Amount]]</f>
        <v>163127.91999999998</v>
      </c>
      <c r="O3709" s="158" t="s">
        <v>3569</v>
      </c>
      <c r="P3709" s="158" t="s">
        <v>3562</v>
      </c>
      <c r="Q3709" s="160">
        <f>IF(Sales[[#This Row],[Status]]="Cancelled",0,Sales[[#This Row],[Qty]])</f>
        <v>8</v>
      </c>
      <c r="R3709" s="161">
        <f>IF(Sales[[#This Row],[Status]]="Cancelled",0,Sales[[#This Row],[Total Amount]])</f>
        <v>163127.91999999998</v>
      </c>
      <c r="S3709" s="162">
        <f>SUM(Sales[Net Amount])</f>
        <v>406839287.73200053</v>
      </c>
    </row>
    <row r="3710" spans="1:19" ht="18.75" x14ac:dyDescent="0.25">
      <c r="A3710" s="163" t="s">
        <v>7378</v>
      </c>
      <c r="B3710" s="164">
        <v>45962</v>
      </c>
      <c r="C3710" s="34" t="s">
        <v>926</v>
      </c>
      <c r="D3710" s="53" t="str">
        <f>VLOOKUP(Sales[[#This Row],[Customer ID]],Customer[#All],2,0)</f>
        <v>Pooja Singh</v>
      </c>
      <c r="E3710" s="34" t="s">
        <v>308</v>
      </c>
      <c r="F3710" s="34" t="str">
        <f>VLOOKUP(Sales[[#This Row],[Product ID]],Product[#All],2,0)</f>
        <v>Kingston Ram</v>
      </c>
      <c r="G3710" s="53">
        <v>6</v>
      </c>
      <c r="H3710" s="165">
        <f>VLOOKUP(Sales[[#This Row],[Product ID]],Product[#All],7,0)</f>
        <v>3980</v>
      </c>
      <c r="I3710" s="165">
        <f>Sales[[#This Row],[Selling Rate]]*Sales[[#This Row],[Qty]]</f>
        <v>23880</v>
      </c>
      <c r="J3710" s="45">
        <v>0.1</v>
      </c>
      <c r="K3710" s="46">
        <f>Sales[[#This Row],[Gross Amount]]*Sales[[#This Row],[Disc %]]</f>
        <v>2388</v>
      </c>
      <c r="L3710" s="43">
        <v>0.18</v>
      </c>
      <c r="M3710" s="46">
        <f>(Sales[[#This Row],[Gross Amount]]-Sales[[#This Row],[Disc. Amt.]])*Sales[[#This Row],[GST %]]</f>
        <v>3868.56</v>
      </c>
      <c r="N3710" s="161">
        <f>Sales[[#This Row],[Gross Amount]]-Sales[[#This Row],[Disc. Amt.]]+Sales[[#This Row],[GST Amount]]</f>
        <v>25360.560000000001</v>
      </c>
      <c r="O3710" s="34" t="s">
        <v>3566</v>
      </c>
      <c r="P3710" s="34" t="s">
        <v>3562</v>
      </c>
      <c r="Q3710" s="165">
        <f>IF(Sales[[#This Row],[Status]]="Cancelled",0,Sales[[#This Row],[Qty]])</f>
        <v>6</v>
      </c>
      <c r="R3710" s="166">
        <f>IF(Sales[[#This Row],[Status]]="Cancelled",0,Sales[[#This Row],[Total Amount]])</f>
        <v>25360.560000000001</v>
      </c>
      <c r="S3710" s="162">
        <f>SUM(Sales[Net Amount])</f>
        <v>406839287.73200053</v>
      </c>
    </row>
    <row r="3711" spans="1:19" ht="18.75" x14ac:dyDescent="0.25">
      <c r="A3711" s="156" t="s">
        <v>7379</v>
      </c>
      <c r="B3711" s="157">
        <v>45962</v>
      </c>
      <c r="C3711" s="158" t="s">
        <v>7380</v>
      </c>
      <c r="D3711" s="159" t="str">
        <f>VLOOKUP(Sales[[#This Row],[Customer ID]],Customer[#All],2,0)</f>
        <v>Pooja Sharma</v>
      </c>
      <c r="E3711" s="158" t="s">
        <v>360</v>
      </c>
      <c r="F3711" s="158" t="str">
        <f>VLOOKUP(Sales[[#This Row],[Product ID]],Product[#All],2,0)</f>
        <v>Canon Printer</v>
      </c>
      <c r="G3711" s="159">
        <v>4</v>
      </c>
      <c r="H3711" s="160">
        <f>VLOOKUP(Sales[[#This Row],[Product ID]],Product[#All],7,0)</f>
        <v>29670</v>
      </c>
      <c r="I3711" s="160">
        <f>Sales[[#This Row],[Selling Rate]]*Sales[[#This Row],[Qty]]</f>
        <v>118680</v>
      </c>
      <c r="J3711" s="43">
        <v>0.15</v>
      </c>
      <c r="K3711" s="44">
        <f>Sales[[#This Row],[Gross Amount]]*Sales[[#This Row],[Disc %]]</f>
        <v>17802</v>
      </c>
      <c r="L3711" s="43">
        <v>0.18</v>
      </c>
      <c r="M3711" s="44">
        <f>(Sales[[#This Row],[Gross Amount]]-Sales[[#This Row],[Disc. Amt.]])*Sales[[#This Row],[GST %]]</f>
        <v>18158.04</v>
      </c>
      <c r="N3711" s="161">
        <f>Sales[[#This Row],[Gross Amount]]-Sales[[#This Row],[Disc. Amt.]]+Sales[[#This Row],[GST Amount]]</f>
        <v>119036.04000000001</v>
      </c>
      <c r="O3711" s="158" t="s">
        <v>3569</v>
      </c>
      <c r="P3711" s="158" t="s">
        <v>3562</v>
      </c>
      <c r="Q3711" s="160">
        <f>IF(Sales[[#This Row],[Status]]="Cancelled",0,Sales[[#This Row],[Qty]])</f>
        <v>4</v>
      </c>
      <c r="R3711" s="161">
        <f>IF(Sales[[#This Row],[Status]]="Cancelled",0,Sales[[#This Row],[Total Amount]])</f>
        <v>119036.04000000001</v>
      </c>
      <c r="S3711" s="162">
        <f>SUM(Sales[Net Amount])</f>
        <v>406839287.73200053</v>
      </c>
    </row>
    <row r="3712" spans="1:19" ht="18.75" x14ac:dyDescent="0.25">
      <c r="A3712" s="163" t="s">
        <v>7381</v>
      </c>
      <c r="B3712" s="164">
        <v>45962</v>
      </c>
      <c r="C3712" s="34" t="s">
        <v>941</v>
      </c>
      <c r="D3712" s="53" t="str">
        <f>VLOOKUP(Sales[[#This Row],[Customer ID]],Customer[#All],2,0)</f>
        <v>Sahil Verma</v>
      </c>
      <c r="E3712" s="34" t="s">
        <v>348</v>
      </c>
      <c r="F3712" s="34" t="str">
        <f>VLOOKUP(Sales[[#This Row],[Product ID]],Product[#All],2,0)</f>
        <v>Jbl Speaker</v>
      </c>
      <c r="G3712" s="53">
        <v>2</v>
      </c>
      <c r="H3712" s="165">
        <f>VLOOKUP(Sales[[#This Row],[Product ID]],Product[#All],7,0)</f>
        <v>6700</v>
      </c>
      <c r="I3712" s="165">
        <f>Sales[[#This Row],[Selling Rate]]*Sales[[#This Row],[Qty]]</f>
        <v>13400</v>
      </c>
      <c r="J3712" s="45">
        <v>0.1</v>
      </c>
      <c r="K3712" s="46">
        <f>Sales[[#This Row],[Gross Amount]]*Sales[[#This Row],[Disc %]]</f>
        <v>1340</v>
      </c>
      <c r="L3712" s="43">
        <v>0.18</v>
      </c>
      <c r="M3712" s="46">
        <f>(Sales[[#This Row],[Gross Amount]]-Sales[[#This Row],[Disc. Amt.]])*Sales[[#This Row],[GST %]]</f>
        <v>2170.7999999999997</v>
      </c>
      <c r="N3712" s="161">
        <f>Sales[[#This Row],[Gross Amount]]-Sales[[#This Row],[Disc. Amt.]]+Sales[[#This Row],[GST Amount]]</f>
        <v>14230.8</v>
      </c>
      <c r="O3712" s="34" t="s">
        <v>3569</v>
      </c>
      <c r="P3712" s="34" t="s">
        <v>3562</v>
      </c>
      <c r="Q3712" s="165">
        <f>IF(Sales[[#This Row],[Status]]="Cancelled",0,Sales[[#This Row],[Qty]])</f>
        <v>2</v>
      </c>
      <c r="R3712" s="166">
        <f>IF(Sales[[#This Row],[Status]]="Cancelled",0,Sales[[#This Row],[Total Amount]])</f>
        <v>14230.8</v>
      </c>
      <c r="S3712" s="162">
        <f>SUM(Sales[Net Amount])</f>
        <v>406839287.73200053</v>
      </c>
    </row>
    <row r="3713" spans="1:19" ht="18.75" x14ac:dyDescent="0.25">
      <c r="A3713" s="156" t="s">
        <v>7382</v>
      </c>
      <c r="B3713" s="157">
        <v>45962</v>
      </c>
      <c r="C3713" s="158" t="s">
        <v>689</v>
      </c>
      <c r="D3713" s="159" t="str">
        <f>VLOOKUP(Sales[[#This Row],[Customer ID]],Customer[#All],2,0)</f>
        <v>Sahil Kumar</v>
      </c>
      <c r="E3713" s="158" t="s">
        <v>398</v>
      </c>
      <c r="F3713" s="158" t="str">
        <f>VLOOKUP(Sales[[#This Row],[Product ID]],Product[#All],2,0)</f>
        <v>D-Link Router</v>
      </c>
      <c r="G3713" s="159">
        <v>3</v>
      </c>
      <c r="H3713" s="160">
        <f>VLOOKUP(Sales[[#This Row],[Product ID]],Product[#All],7,0)</f>
        <v>5420</v>
      </c>
      <c r="I3713" s="160">
        <f>Sales[[#This Row],[Selling Rate]]*Sales[[#This Row],[Qty]]</f>
        <v>16260</v>
      </c>
      <c r="J3713" s="43">
        <v>0.05</v>
      </c>
      <c r="K3713" s="44">
        <f>Sales[[#This Row],[Gross Amount]]*Sales[[#This Row],[Disc %]]</f>
        <v>813</v>
      </c>
      <c r="L3713" s="43">
        <v>0.18</v>
      </c>
      <c r="M3713" s="44">
        <f>(Sales[[#This Row],[Gross Amount]]-Sales[[#This Row],[Disc. Amt.]])*Sales[[#This Row],[GST %]]</f>
        <v>2780.46</v>
      </c>
      <c r="N3713" s="161">
        <f>Sales[[#This Row],[Gross Amount]]-Sales[[#This Row],[Disc. Amt.]]+Sales[[#This Row],[GST Amount]]</f>
        <v>18227.46</v>
      </c>
      <c r="O3713" s="158" t="s">
        <v>3566</v>
      </c>
      <c r="P3713" s="158" t="s">
        <v>3562</v>
      </c>
      <c r="Q3713" s="160">
        <f>IF(Sales[[#This Row],[Status]]="Cancelled",0,Sales[[#This Row],[Qty]])</f>
        <v>3</v>
      </c>
      <c r="R3713" s="161">
        <f>IF(Sales[[#This Row],[Status]]="Cancelled",0,Sales[[#This Row],[Total Amount]])</f>
        <v>18227.46</v>
      </c>
      <c r="S3713" s="162">
        <f>SUM(Sales[Net Amount])</f>
        <v>406839287.73200053</v>
      </c>
    </row>
    <row r="3714" spans="1:19" ht="18.75" x14ac:dyDescent="0.25">
      <c r="A3714" s="163" t="s">
        <v>7383</v>
      </c>
      <c r="B3714" s="164">
        <v>45962</v>
      </c>
      <c r="C3714" s="34" t="s">
        <v>725</v>
      </c>
      <c r="D3714" s="53" t="str">
        <f>VLOOKUP(Sales[[#This Row],[Customer ID]],Customer[#All],2,0)</f>
        <v>Ankit Kumar</v>
      </c>
      <c r="E3714" s="34" t="s">
        <v>247</v>
      </c>
      <c r="F3714" s="34" t="str">
        <f>VLOOKUP(Sales[[#This Row],[Product ID]],Product[#All],2,0)</f>
        <v>Acer Laptop</v>
      </c>
      <c r="G3714" s="53">
        <v>7</v>
      </c>
      <c r="H3714" s="165">
        <f>VLOOKUP(Sales[[#This Row],[Product ID]],Product[#All],7,0)</f>
        <v>68460</v>
      </c>
      <c r="I3714" s="165">
        <f>Sales[[#This Row],[Selling Rate]]*Sales[[#This Row],[Qty]]</f>
        <v>479220</v>
      </c>
      <c r="J3714" s="45">
        <v>0</v>
      </c>
      <c r="K3714" s="46">
        <f>Sales[[#This Row],[Gross Amount]]*Sales[[#This Row],[Disc %]]</f>
        <v>0</v>
      </c>
      <c r="L3714" s="43">
        <v>0.18</v>
      </c>
      <c r="M3714" s="46">
        <f>(Sales[[#This Row],[Gross Amount]]-Sales[[#This Row],[Disc. Amt.]])*Sales[[#This Row],[GST %]]</f>
        <v>86259.599999999991</v>
      </c>
      <c r="N3714" s="161">
        <f>Sales[[#This Row],[Gross Amount]]-Sales[[#This Row],[Disc. Amt.]]+Sales[[#This Row],[GST Amount]]</f>
        <v>565479.6</v>
      </c>
      <c r="O3714" s="34" t="s">
        <v>8876</v>
      </c>
      <c r="P3714" s="34" t="s">
        <v>3562</v>
      </c>
      <c r="Q3714" s="165">
        <f>IF(Sales[[#This Row],[Status]]="Cancelled",0,Sales[[#This Row],[Qty]])</f>
        <v>7</v>
      </c>
      <c r="R3714" s="166">
        <f>IF(Sales[[#This Row],[Status]]="Cancelled",0,Sales[[#This Row],[Total Amount]])</f>
        <v>565479.6</v>
      </c>
      <c r="S3714" s="162">
        <f>SUM(Sales[Net Amount])</f>
        <v>406839287.73200053</v>
      </c>
    </row>
    <row r="3715" spans="1:19" ht="18.75" x14ac:dyDescent="0.25">
      <c r="A3715" s="156" t="s">
        <v>7384</v>
      </c>
      <c r="B3715" s="157">
        <v>45962</v>
      </c>
      <c r="C3715" s="158" t="s">
        <v>755</v>
      </c>
      <c r="D3715" s="159" t="str">
        <f>VLOOKUP(Sales[[#This Row],[Customer ID]],Customer[#All],2,0)</f>
        <v>Sunita Gupta</v>
      </c>
      <c r="E3715" s="158" t="s">
        <v>469</v>
      </c>
      <c r="F3715" s="158" t="str">
        <f>VLOOKUP(Sales[[#This Row],[Product ID]],Product[#All],2,0)</f>
        <v>WD HDD</v>
      </c>
      <c r="G3715" s="159">
        <v>7</v>
      </c>
      <c r="H3715" s="160">
        <f>VLOOKUP(Sales[[#This Row],[Product ID]],Product[#All],7,0)</f>
        <v>6930</v>
      </c>
      <c r="I3715" s="160">
        <f>Sales[[#This Row],[Selling Rate]]*Sales[[#This Row],[Qty]]</f>
        <v>48510</v>
      </c>
      <c r="J3715" s="43">
        <v>0.15</v>
      </c>
      <c r="K3715" s="44">
        <f>Sales[[#This Row],[Gross Amount]]*Sales[[#This Row],[Disc %]]</f>
        <v>7276.5</v>
      </c>
      <c r="L3715" s="43">
        <v>0.18</v>
      </c>
      <c r="M3715" s="44">
        <f>(Sales[[#This Row],[Gross Amount]]-Sales[[#This Row],[Disc. Amt.]])*Sales[[#This Row],[GST %]]</f>
        <v>7422.03</v>
      </c>
      <c r="N3715" s="161">
        <f>Sales[[#This Row],[Gross Amount]]-Sales[[#This Row],[Disc. Amt.]]+Sales[[#This Row],[GST Amount]]</f>
        <v>48655.53</v>
      </c>
      <c r="O3715" s="158" t="s">
        <v>3566</v>
      </c>
      <c r="P3715" s="158" t="s">
        <v>3562</v>
      </c>
      <c r="Q3715" s="160">
        <f>IF(Sales[[#This Row],[Status]]="Cancelled",0,Sales[[#This Row],[Qty]])</f>
        <v>7</v>
      </c>
      <c r="R3715" s="161">
        <f>IF(Sales[[#This Row],[Status]]="Cancelled",0,Sales[[#This Row],[Total Amount]])</f>
        <v>48655.53</v>
      </c>
      <c r="S3715" s="162">
        <f>SUM(Sales[Net Amount])</f>
        <v>406839287.73200053</v>
      </c>
    </row>
    <row r="3716" spans="1:19" ht="18.75" x14ac:dyDescent="0.25">
      <c r="A3716" s="163" t="s">
        <v>7385</v>
      </c>
      <c r="B3716" s="164">
        <v>45962</v>
      </c>
      <c r="C3716" s="34" t="s">
        <v>937</v>
      </c>
      <c r="D3716" s="53" t="str">
        <f>VLOOKUP(Sales[[#This Row],[Customer ID]],Customer[#All],2,0)</f>
        <v>Rahul Singh</v>
      </c>
      <c r="E3716" s="34" t="s">
        <v>227</v>
      </c>
      <c r="F3716" s="34" t="str">
        <f>VLOOKUP(Sales[[#This Row],[Product ID]],Product[#All],2,0)</f>
        <v>Corsair Ram</v>
      </c>
      <c r="G3716" s="53">
        <v>3</v>
      </c>
      <c r="H3716" s="165">
        <f>VLOOKUP(Sales[[#This Row],[Product ID]],Product[#All],7,0)</f>
        <v>14420</v>
      </c>
      <c r="I3716" s="165">
        <f>Sales[[#This Row],[Selling Rate]]*Sales[[#This Row],[Qty]]</f>
        <v>43260</v>
      </c>
      <c r="J3716" s="45">
        <v>0</v>
      </c>
      <c r="K3716" s="46">
        <f>Sales[[#This Row],[Gross Amount]]*Sales[[#This Row],[Disc %]]</f>
        <v>0</v>
      </c>
      <c r="L3716" s="43">
        <v>0.18</v>
      </c>
      <c r="M3716" s="46">
        <f>(Sales[[#This Row],[Gross Amount]]-Sales[[#This Row],[Disc. Amt.]])*Sales[[#This Row],[GST %]]</f>
        <v>7786.7999999999993</v>
      </c>
      <c r="N3716" s="161">
        <f>Sales[[#This Row],[Gross Amount]]-Sales[[#This Row],[Disc. Amt.]]+Sales[[#This Row],[GST Amount]]</f>
        <v>51046.8</v>
      </c>
      <c r="O3716" s="34" t="s">
        <v>3566</v>
      </c>
      <c r="P3716" s="34" t="s">
        <v>3562</v>
      </c>
      <c r="Q3716" s="165">
        <f>IF(Sales[[#This Row],[Status]]="Cancelled",0,Sales[[#This Row],[Qty]])</f>
        <v>3</v>
      </c>
      <c r="R3716" s="166">
        <f>IF(Sales[[#This Row],[Status]]="Cancelled",0,Sales[[#This Row],[Total Amount]])</f>
        <v>51046.8</v>
      </c>
      <c r="S3716" s="162">
        <f>SUM(Sales[Net Amount])</f>
        <v>406839287.73200053</v>
      </c>
    </row>
    <row r="3717" spans="1:19" ht="18.75" x14ac:dyDescent="0.25">
      <c r="A3717" s="156" t="s">
        <v>7386</v>
      </c>
      <c r="B3717" s="157">
        <v>45962</v>
      </c>
      <c r="C3717" s="158" t="s">
        <v>902</v>
      </c>
      <c r="D3717" s="159" t="str">
        <f>VLOOKUP(Sales[[#This Row],[Customer ID]],Customer[#All],2,0)</f>
        <v>Sunita Singh</v>
      </c>
      <c r="E3717" s="158" t="s">
        <v>410</v>
      </c>
      <c r="F3717" s="158" t="str">
        <f>VLOOKUP(Sales[[#This Row],[Product ID]],Product[#All],2,0)</f>
        <v>Microtek UPS</v>
      </c>
      <c r="G3717" s="159">
        <v>3</v>
      </c>
      <c r="H3717" s="160">
        <f>VLOOKUP(Sales[[#This Row],[Product ID]],Product[#All],7,0)</f>
        <v>12250</v>
      </c>
      <c r="I3717" s="160">
        <f>Sales[[#This Row],[Selling Rate]]*Sales[[#This Row],[Qty]]</f>
        <v>36750</v>
      </c>
      <c r="J3717" s="43">
        <v>0.15</v>
      </c>
      <c r="K3717" s="44">
        <f>Sales[[#This Row],[Gross Amount]]*Sales[[#This Row],[Disc %]]</f>
        <v>5512.5</v>
      </c>
      <c r="L3717" s="43">
        <v>0.18</v>
      </c>
      <c r="M3717" s="44">
        <f>(Sales[[#This Row],[Gross Amount]]-Sales[[#This Row],[Disc. Amt.]])*Sales[[#This Row],[GST %]]</f>
        <v>5622.75</v>
      </c>
      <c r="N3717" s="161">
        <f>Sales[[#This Row],[Gross Amount]]-Sales[[#This Row],[Disc. Amt.]]+Sales[[#This Row],[GST Amount]]</f>
        <v>36860.25</v>
      </c>
      <c r="O3717" s="158" t="s">
        <v>8876</v>
      </c>
      <c r="P3717" s="158" t="s">
        <v>3562</v>
      </c>
      <c r="Q3717" s="160">
        <f>IF(Sales[[#This Row],[Status]]="Cancelled",0,Sales[[#This Row],[Qty]])</f>
        <v>3</v>
      </c>
      <c r="R3717" s="161">
        <f>IF(Sales[[#This Row],[Status]]="Cancelled",0,Sales[[#This Row],[Total Amount]])</f>
        <v>36860.25</v>
      </c>
      <c r="S3717" s="162">
        <f>SUM(Sales[Net Amount])</f>
        <v>406839287.73200053</v>
      </c>
    </row>
    <row r="3718" spans="1:19" ht="18.75" x14ac:dyDescent="0.25">
      <c r="A3718" s="163" t="s">
        <v>7387</v>
      </c>
      <c r="B3718" s="164">
        <v>45962</v>
      </c>
      <c r="C3718" s="34" t="s">
        <v>833</v>
      </c>
      <c r="D3718" s="53" t="str">
        <f>VLOOKUP(Sales[[#This Row],[Customer ID]],Customer[#All],2,0)</f>
        <v>Sunita Kumar</v>
      </c>
      <c r="E3718" s="34" t="s">
        <v>446</v>
      </c>
      <c r="F3718" s="34" t="str">
        <f>VLOOKUP(Sales[[#This Row],[Product ID]],Product[#All],2,0)</f>
        <v>HP Desktop</v>
      </c>
      <c r="G3718" s="53">
        <v>8</v>
      </c>
      <c r="H3718" s="165">
        <f>VLOOKUP(Sales[[#This Row],[Product ID]],Product[#All],7,0)</f>
        <v>48280</v>
      </c>
      <c r="I3718" s="165">
        <f>Sales[[#This Row],[Selling Rate]]*Sales[[#This Row],[Qty]]</f>
        <v>386240</v>
      </c>
      <c r="J3718" s="45">
        <v>0.05</v>
      </c>
      <c r="K3718" s="46">
        <f>Sales[[#This Row],[Gross Amount]]*Sales[[#This Row],[Disc %]]</f>
        <v>19312</v>
      </c>
      <c r="L3718" s="43">
        <v>0.18</v>
      </c>
      <c r="M3718" s="46">
        <f>(Sales[[#This Row],[Gross Amount]]-Sales[[#This Row],[Disc. Amt.]])*Sales[[#This Row],[GST %]]</f>
        <v>66047.039999999994</v>
      </c>
      <c r="N3718" s="161">
        <f>Sales[[#This Row],[Gross Amount]]-Sales[[#This Row],[Disc. Amt.]]+Sales[[#This Row],[GST Amount]]</f>
        <v>432975.04</v>
      </c>
      <c r="O3718" s="34" t="s">
        <v>3569</v>
      </c>
      <c r="P3718" s="34" t="s">
        <v>3562</v>
      </c>
      <c r="Q3718" s="165">
        <f>IF(Sales[[#This Row],[Status]]="Cancelled",0,Sales[[#This Row],[Qty]])</f>
        <v>8</v>
      </c>
      <c r="R3718" s="166">
        <f>IF(Sales[[#This Row],[Status]]="Cancelled",0,Sales[[#This Row],[Total Amount]])</f>
        <v>432975.04</v>
      </c>
      <c r="S3718" s="162">
        <f>SUM(Sales[Net Amount])</f>
        <v>406839287.73200053</v>
      </c>
    </row>
    <row r="3719" spans="1:19" ht="18.75" x14ac:dyDescent="0.25">
      <c r="A3719" s="156" t="s">
        <v>7388</v>
      </c>
      <c r="B3719" s="157">
        <v>45962</v>
      </c>
      <c r="C3719" s="158" t="s">
        <v>929</v>
      </c>
      <c r="D3719" s="159" t="str">
        <f>VLOOKUP(Sales[[#This Row],[Customer ID]],Customer[#All],2,0)</f>
        <v>Sunita Gupta</v>
      </c>
      <c r="E3719" s="158" t="s">
        <v>381</v>
      </c>
      <c r="F3719" s="158" t="str">
        <f>VLOOKUP(Sales[[#This Row],[Product ID]],Product[#All],2,0)</f>
        <v>HP Power Adapter</v>
      </c>
      <c r="G3719" s="159">
        <v>8</v>
      </c>
      <c r="H3719" s="160">
        <f>VLOOKUP(Sales[[#This Row],[Product ID]],Product[#All],7,0)</f>
        <v>990</v>
      </c>
      <c r="I3719" s="160">
        <f>Sales[[#This Row],[Selling Rate]]*Sales[[#This Row],[Qty]]</f>
        <v>7920</v>
      </c>
      <c r="J3719" s="43">
        <v>0.05</v>
      </c>
      <c r="K3719" s="44">
        <f>Sales[[#This Row],[Gross Amount]]*Sales[[#This Row],[Disc %]]</f>
        <v>396</v>
      </c>
      <c r="L3719" s="43">
        <v>0.18</v>
      </c>
      <c r="M3719" s="44">
        <f>(Sales[[#This Row],[Gross Amount]]-Sales[[#This Row],[Disc. Amt.]])*Sales[[#This Row],[GST %]]</f>
        <v>1354.32</v>
      </c>
      <c r="N3719" s="161">
        <f>Sales[[#This Row],[Gross Amount]]-Sales[[#This Row],[Disc. Amt.]]+Sales[[#This Row],[GST Amount]]</f>
        <v>8878.32</v>
      </c>
      <c r="O3719" s="158" t="s">
        <v>3569</v>
      </c>
      <c r="P3719" s="158" t="s">
        <v>3562</v>
      </c>
      <c r="Q3719" s="160">
        <f>IF(Sales[[#This Row],[Status]]="Cancelled",0,Sales[[#This Row],[Qty]])</f>
        <v>8</v>
      </c>
      <c r="R3719" s="161">
        <f>IF(Sales[[#This Row],[Status]]="Cancelled",0,Sales[[#This Row],[Total Amount]])</f>
        <v>8878.32</v>
      </c>
      <c r="S3719" s="162">
        <f>SUM(Sales[Net Amount])</f>
        <v>406839287.73200053</v>
      </c>
    </row>
    <row r="3720" spans="1:19" ht="18.75" x14ac:dyDescent="0.25">
      <c r="A3720" s="163" t="s">
        <v>7389</v>
      </c>
      <c r="B3720" s="164">
        <v>45962</v>
      </c>
      <c r="C3720" s="34" t="s">
        <v>781</v>
      </c>
      <c r="D3720" s="53" t="str">
        <f>VLOOKUP(Sales[[#This Row],[Customer ID]],Customer[#All],2,0)</f>
        <v>Vikas Sharma</v>
      </c>
      <c r="E3720" s="34" t="s">
        <v>384</v>
      </c>
      <c r="F3720" s="34" t="str">
        <f>VLOOKUP(Sales[[#This Row],[Product ID]],Product[#All],2,0)</f>
        <v>Samsung Ssd</v>
      </c>
      <c r="G3720" s="53">
        <v>7</v>
      </c>
      <c r="H3720" s="165">
        <f>VLOOKUP(Sales[[#This Row],[Product ID]],Product[#All],7,0)</f>
        <v>14770</v>
      </c>
      <c r="I3720" s="165">
        <f>Sales[[#This Row],[Selling Rate]]*Sales[[#This Row],[Qty]]</f>
        <v>103390</v>
      </c>
      <c r="J3720" s="45">
        <v>0</v>
      </c>
      <c r="K3720" s="46">
        <f>Sales[[#This Row],[Gross Amount]]*Sales[[#This Row],[Disc %]]</f>
        <v>0</v>
      </c>
      <c r="L3720" s="43">
        <v>0.18</v>
      </c>
      <c r="M3720" s="46">
        <f>(Sales[[#This Row],[Gross Amount]]-Sales[[#This Row],[Disc. Amt.]])*Sales[[#This Row],[GST %]]</f>
        <v>18610.2</v>
      </c>
      <c r="N3720" s="161">
        <f>Sales[[#This Row],[Gross Amount]]-Sales[[#This Row],[Disc. Amt.]]+Sales[[#This Row],[GST Amount]]</f>
        <v>122000.2</v>
      </c>
      <c r="O3720" s="34" t="s">
        <v>3561</v>
      </c>
      <c r="P3720" s="34" t="s">
        <v>3562</v>
      </c>
      <c r="Q3720" s="165">
        <f>IF(Sales[[#This Row],[Status]]="Cancelled",0,Sales[[#This Row],[Qty]])</f>
        <v>7</v>
      </c>
      <c r="R3720" s="166">
        <f>IF(Sales[[#This Row],[Status]]="Cancelled",0,Sales[[#This Row],[Total Amount]])</f>
        <v>122000.2</v>
      </c>
      <c r="S3720" s="162">
        <f>SUM(Sales[Net Amount])</f>
        <v>406839287.73200053</v>
      </c>
    </row>
    <row r="3721" spans="1:19" ht="18.75" x14ac:dyDescent="0.25">
      <c r="A3721" s="156" t="s">
        <v>7390</v>
      </c>
      <c r="B3721" s="157">
        <v>45962</v>
      </c>
      <c r="C3721" s="158" t="s">
        <v>850</v>
      </c>
      <c r="D3721" s="159" t="str">
        <f>VLOOKUP(Sales[[#This Row],[Customer ID]],Customer[#All],2,0)</f>
        <v>Sahil Patel</v>
      </c>
      <c r="E3721" s="158" t="s">
        <v>322</v>
      </c>
      <c r="F3721" s="158" t="str">
        <f>VLOOKUP(Sales[[#This Row],[Product ID]],Product[#All],2,0)</f>
        <v>Jbl Speaker</v>
      </c>
      <c r="G3721" s="159">
        <v>2</v>
      </c>
      <c r="H3721" s="160">
        <f>VLOOKUP(Sales[[#This Row],[Product ID]],Product[#All],7,0)</f>
        <v>10370</v>
      </c>
      <c r="I3721" s="160">
        <f>Sales[[#This Row],[Selling Rate]]*Sales[[#This Row],[Qty]]</f>
        <v>20740</v>
      </c>
      <c r="J3721" s="43">
        <v>0</v>
      </c>
      <c r="K3721" s="44">
        <f>Sales[[#This Row],[Gross Amount]]*Sales[[#This Row],[Disc %]]</f>
        <v>0</v>
      </c>
      <c r="L3721" s="43">
        <v>0.18</v>
      </c>
      <c r="M3721" s="44">
        <f>(Sales[[#This Row],[Gross Amount]]-Sales[[#This Row],[Disc. Amt.]])*Sales[[#This Row],[GST %]]</f>
        <v>3733.2</v>
      </c>
      <c r="N3721" s="161">
        <f>Sales[[#This Row],[Gross Amount]]-Sales[[#This Row],[Disc. Amt.]]+Sales[[#This Row],[GST Amount]]</f>
        <v>24473.200000000001</v>
      </c>
      <c r="O3721" s="158" t="s">
        <v>3569</v>
      </c>
      <c r="P3721" s="158" t="s">
        <v>3562</v>
      </c>
      <c r="Q3721" s="160">
        <f>IF(Sales[[#This Row],[Status]]="Cancelled",0,Sales[[#This Row],[Qty]])</f>
        <v>2</v>
      </c>
      <c r="R3721" s="161">
        <f>IF(Sales[[#This Row],[Status]]="Cancelled",0,Sales[[#This Row],[Total Amount]])</f>
        <v>24473.200000000001</v>
      </c>
      <c r="S3721" s="162">
        <f>SUM(Sales[Net Amount])</f>
        <v>406839287.73200053</v>
      </c>
    </row>
    <row r="3722" spans="1:19" ht="18.75" x14ac:dyDescent="0.25">
      <c r="A3722" s="163" t="s">
        <v>7391</v>
      </c>
      <c r="B3722" s="164">
        <v>45962</v>
      </c>
      <c r="C3722" s="34" t="s">
        <v>933</v>
      </c>
      <c r="D3722" s="53" t="str">
        <f>VLOOKUP(Sales[[#This Row],[Customer ID]],Customer[#All],2,0)</f>
        <v>Vikas Verma</v>
      </c>
      <c r="E3722" s="34" t="s">
        <v>222</v>
      </c>
      <c r="F3722" s="34" t="str">
        <f>VLOOKUP(Sales[[#This Row],[Product ID]],Product[#All],2,0)</f>
        <v>Jbl Headset</v>
      </c>
      <c r="G3722" s="53">
        <v>5</v>
      </c>
      <c r="H3722" s="165">
        <f>VLOOKUP(Sales[[#This Row],[Product ID]],Product[#All],7,0)</f>
        <v>8550</v>
      </c>
      <c r="I3722" s="165">
        <f>Sales[[#This Row],[Selling Rate]]*Sales[[#This Row],[Qty]]</f>
        <v>42750</v>
      </c>
      <c r="J3722" s="45">
        <v>0.02</v>
      </c>
      <c r="K3722" s="46">
        <f>Sales[[#This Row],[Gross Amount]]*Sales[[#This Row],[Disc %]]</f>
        <v>855</v>
      </c>
      <c r="L3722" s="43">
        <v>0.18</v>
      </c>
      <c r="M3722" s="46">
        <f>(Sales[[#This Row],[Gross Amount]]-Sales[[#This Row],[Disc. Amt.]])*Sales[[#This Row],[GST %]]</f>
        <v>7541.0999999999995</v>
      </c>
      <c r="N3722" s="161">
        <f>Sales[[#This Row],[Gross Amount]]-Sales[[#This Row],[Disc. Amt.]]+Sales[[#This Row],[GST Amount]]</f>
        <v>49436.1</v>
      </c>
      <c r="O3722" s="34" t="s">
        <v>3569</v>
      </c>
      <c r="P3722" s="34" t="s">
        <v>3562</v>
      </c>
      <c r="Q3722" s="165">
        <f>IF(Sales[[#This Row],[Status]]="Cancelled",0,Sales[[#This Row],[Qty]])</f>
        <v>5</v>
      </c>
      <c r="R3722" s="166">
        <f>IF(Sales[[#This Row],[Status]]="Cancelled",0,Sales[[#This Row],[Total Amount]])</f>
        <v>49436.1</v>
      </c>
      <c r="S3722" s="162">
        <f>SUM(Sales[Net Amount])</f>
        <v>406839287.73200053</v>
      </c>
    </row>
    <row r="3723" spans="1:19" ht="18.75" x14ac:dyDescent="0.25">
      <c r="A3723" s="156" t="s">
        <v>7392</v>
      </c>
      <c r="B3723" s="157">
        <v>45962</v>
      </c>
      <c r="C3723" s="158" t="s">
        <v>821</v>
      </c>
      <c r="D3723" s="159" t="str">
        <f>VLOOKUP(Sales[[#This Row],[Customer ID]],Customer[#All],2,0)</f>
        <v>Rakesh Sharma</v>
      </c>
      <c r="E3723" s="158" t="s">
        <v>28</v>
      </c>
      <c r="F3723" s="158" t="str">
        <f>VLOOKUP(Sales[[#This Row],[Product ID]],Product[#All],2,0)</f>
        <v>Lenovo Laptop</v>
      </c>
      <c r="G3723" s="159">
        <v>6</v>
      </c>
      <c r="H3723" s="160">
        <f>VLOOKUP(Sales[[#This Row],[Product ID]],Product[#All],7,0)</f>
        <v>86330</v>
      </c>
      <c r="I3723" s="160">
        <f>Sales[[#This Row],[Selling Rate]]*Sales[[#This Row],[Qty]]</f>
        <v>517980</v>
      </c>
      <c r="J3723" s="43">
        <v>0.1</v>
      </c>
      <c r="K3723" s="44">
        <f>Sales[[#This Row],[Gross Amount]]*Sales[[#This Row],[Disc %]]</f>
        <v>51798</v>
      </c>
      <c r="L3723" s="43">
        <v>0.18</v>
      </c>
      <c r="M3723" s="44">
        <f>(Sales[[#This Row],[Gross Amount]]-Sales[[#This Row],[Disc. Amt.]])*Sales[[#This Row],[GST %]]</f>
        <v>83912.76</v>
      </c>
      <c r="N3723" s="161">
        <f>Sales[[#This Row],[Gross Amount]]-Sales[[#This Row],[Disc. Amt.]]+Sales[[#This Row],[GST Amount]]</f>
        <v>550094.76</v>
      </c>
      <c r="O3723" s="158" t="s">
        <v>3569</v>
      </c>
      <c r="P3723" s="158" t="s">
        <v>3562</v>
      </c>
      <c r="Q3723" s="160">
        <f>IF(Sales[[#This Row],[Status]]="Cancelled",0,Sales[[#This Row],[Qty]])</f>
        <v>6</v>
      </c>
      <c r="R3723" s="161">
        <f>IF(Sales[[#This Row],[Status]]="Cancelled",0,Sales[[#This Row],[Total Amount]])</f>
        <v>550094.76</v>
      </c>
      <c r="S3723" s="162">
        <f>SUM(Sales[Net Amount])</f>
        <v>406839287.73200053</v>
      </c>
    </row>
    <row r="3724" spans="1:19" ht="18.75" x14ac:dyDescent="0.25">
      <c r="A3724" s="163" t="s">
        <v>7393</v>
      </c>
      <c r="B3724" s="164">
        <v>45962</v>
      </c>
      <c r="C3724" s="34" t="s">
        <v>806</v>
      </c>
      <c r="D3724" s="53" t="str">
        <f>VLOOKUP(Sales[[#This Row],[Customer ID]],Customer[#All],2,0)</f>
        <v>Vikas Singh</v>
      </c>
      <c r="E3724" s="34" t="s">
        <v>253</v>
      </c>
      <c r="F3724" s="34" t="str">
        <f>VLOOKUP(Sales[[#This Row],[Product ID]],Product[#All],2,0)</f>
        <v>Acer Laptop</v>
      </c>
      <c r="G3724" s="53">
        <v>6</v>
      </c>
      <c r="H3724" s="165">
        <f>VLOOKUP(Sales[[#This Row],[Product ID]],Product[#All],7,0)</f>
        <v>40550</v>
      </c>
      <c r="I3724" s="165">
        <f>Sales[[#This Row],[Selling Rate]]*Sales[[#This Row],[Qty]]</f>
        <v>243300</v>
      </c>
      <c r="J3724" s="45">
        <v>0</v>
      </c>
      <c r="K3724" s="46">
        <f>Sales[[#This Row],[Gross Amount]]*Sales[[#This Row],[Disc %]]</f>
        <v>0</v>
      </c>
      <c r="L3724" s="43">
        <v>0.18</v>
      </c>
      <c r="M3724" s="46">
        <f>(Sales[[#This Row],[Gross Amount]]-Sales[[#This Row],[Disc. Amt.]])*Sales[[#This Row],[GST %]]</f>
        <v>43794</v>
      </c>
      <c r="N3724" s="161">
        <f>Sales[[#This Row],[Gross Amount]]-Sales[[#This Row],[Disc. Amt.]]+Sales[[#This Row],[GST Amount]]</f>
        <v>287094</v>
      </c>
      <c r="O3724" s="34" t="s">
        <v>3569</v>
      </c>
      <c r="P3724" s="34" t="s">
        <v>3562</v>
      </c>
      <c r="Q3724" s="165">
        <f>IF(Sales[[#This Row],[Status]]="Cancelled",0,Sales[[#This Row],[Qty]])</f>
        <v>6</v>
      </c>
      <c r="R3724" s="166">
        <f>IF(Sales[[#This Row],[Status]]="Cancelled",0,Sales[[#This Row],[Total Amount]])</f>
        <v>287094</v>
      </c>
      <c r="S3724" s="162">
        <f>SUM(Sales[Net Amount])</f>
        <v>406839287.73200053</v>
      </c>
    </row>
    <row r="3725" spans="1:19" ht="18.75" x14ac:dyDescent="0.25">
      <c r="A3725" s="156" t="s">
        <v>7394</v>
      </c>
      <c r="B3725" s="157">
        <v>45962</v>
      </c>
      <c r="C3725" s="158" t="s">
        <v>877</v>
      </c>
      <c r="D3725" s="159" t="str">
        <f>VLOOKUP(Sales[[#This Row],[Customer ID]],Customer[#All],2,0)</f>
        <v>Sahil Patel</v>
      </c>
      <c r="E3725" s="158" t="s">
        <v>176</v>
      </c>
      <c r="F3725" s="158" t="str">
        <f>VLOOKUP(Sales[[#This Row],[Product ID]],Product[#All],2,0)</f>
        <v>Dell Monitor</v>
      </c>
      <c r="G3725" s="159">
        <v>8</v>
      </c>
      <c r="H3725" s="160">
        <f>VLOOKUP(Sales[[#This Row],[Product ID]],Product[#All],7,0)</f>
        <v>18900</v>
      </c>
      <c r="I3725" s="160">
        <f>Sales[[#This Row],[Selling Rate]]*Sales[[#This Row],[Qty]]</f>
        <v>151200</v>
      </c>
      <c r="J3725" s="43">
        <v>0.15</v>
      </c>
      <c r="K3725" s="44">
        <f>Sales[[#This Row],[Gross Amount]]*Sales[[#This Row],[Disc %]]</f>
        <v>22680</v>
      </c>
      <c r="L3725" s="43">
        <v>0.18</v>
      </c>
      <c r="M3725" s="44">
        <f>(Sales[[#This Row],[Gross Amount]]-Sales[[#This Row],[Disc. Amt.]])*Sales[[#This Row],[GST %]]</f>
        <v>23133.599999999999</v>
      </c>
      <c r="N3725" s="161">
        <f>Sales[[#This Row],[Gross Amount]]-Sales[[#This Row],[Disc. Amt.]]+Sales[[#This Row],[GST Amount]]</f>
        <v>151653.6</v>
      </c>
      <c r="O3725" s="158" t="s">
        <v>3561</v>
      </c>
      <c r="P3725" s="158" t="s">
        <v>1040</v>
      </c>
      <c r="Q3725" s="160">
        <f>IF(Sales[[#This Row],[Status]]="Cancelled",0,Sales[[#This Row],[Qty]])</f>
        <v>0</v>
      </c>
      <c r="R3725" s="161">
        <f>IF(Sales[[#This Row],[Status]]="Cancelled",0,Sales[[#This Row],[Total Amount]])</f>
        <v>0</v>
      </c>
      <c r="S3725" s="162">
        <f>SUM(Sales[Net Amount])</f>
        <v>406839287.73200053</v>
      </c>
    </row>
    <row r="3726" spans="1:19" ht="18.75" x14ac:dyDescent="0.25">
      <c r="A3726" s="163" t="s">
        <v>7395</v>
      </c>
      <c r="B3726" s="164">
        <v>45962</v>
      </c>
      <c r="C3726" s="34" t="s">
        <v>897</v>
      </c>
      <c r="D3726" s="53" t="str">
        <f>VLOOKUP(Sales[[#This Row],[Customer ID]],Customer[#All],2,0)</f>
        <v>Amit Patel</v>
      </c>
      <c r="E3726" s="34" t="s">
        <v>428</v>
      </c>
      <c r="F3726" s="34" t="str">
        <f>VLOOKUP(Sales[[#This Row],[Product ID]],Product[#All],2,0)</f>
        <v>Microtek UPS</v>
      </c>
      <c r="G3726" s="53">
        <v>7</v>
      </c>
      <c r="H3726" s="165">
        <f>VLOOKUP(Sales[[#This Row],[Product ID]],Product[#All],7,0)</f>
        <v>8450</v>
      </c>
      <c r="I3726" s="165">
        <f>Sales[[#This Row],[Selling Rate]]*Sales[[#This Row],[Qty]]</f>
        <v>59150</v>
      </c>
      <c r="J3726" s="45">
        <v>0.1</v>
      </c>
      <c r="K3726" s="46">
        <f>Sales[[#This Row],[Gross Amount]]*Sales[[#This Row],[Disc %]]</f>
        <v>5915</v>
      </c>
      <c r="L3726" s="43">
        <v>0.18</v>
      </c>
      <c r="M3726" s="46">
        <f>(Sales[[#This Row],[Gross Amount]]-Sales[[#This Row],[Disc. Amt.]])*Sales[[#This Row],[GST %]]</f>
        <v>9582.2999999999993</v>
      </c>
      <c r="N3726" s="161">
        <f>Sales[[#This Row],[Gross Amount]]-Sales[[#This Row],[Disc. Amt.]]+Sales[[#This Row],[GST Amount]]</f>
        <v>62817.3</v>
      </c>
      <c r="O3726" s="34" t="s">
        <v>3561</v>
      </c>
      <c r="P3726" s="34" t="s">
        <v>3562</v>
      </c>
      <c r="Q3726" s="165">
        <f>IF(Sales[[#This Row],[Status]]="Cancelled",0,Sales[[#This Row],[Qty]])</f>
        <v>7</v>
      </c>
      <c r="R3726" s="166">
        <f>IF(Sales[[#This Row],[Status]]="Cancelled",0,Sales[[#This Row],[Total Amount]])</f>
        <v>62817.3</v>
      </c>
      <c r="S3726" s="162">
        <f>SUM(Sales[Net Amount])</f>
        <v>406839287.73200053</v>
      </c>
    </row>
    <row r="3727" spans="1:19" ht="18.75" x14ac:dyDescent="0.25">
      <c r="A3727" s="156" t="s">
        <v>7396</v>
      </c>
      <c r="B3727" s="157">
        <v>45962</v>
      </c>
      <c r="C3727" s="158" t="s">
        <v>820</v>
      </c>
      <c r="D3727" s="159" t="str">
        <f>VLOOKUP(Sales[[#This Row],[Customer ID]],Customer[#All],2,0)</f>
        <v>Sahil Gupta</v>
      </c>
      <c r="E3727" s="158" t="s">
        <v>147</v>
      </c>
      <c r="F3727" s="158" t="str">
        <f>VLOOKUP(Sales[[#This Row],[Product ID]],Product[#All],2,0)</f>
        <v>HP Power Adapter</v>
      </c>
      <c r="G3727" s="159">
        <v>8</v>
      </c>
      <c r="H3727" s="160">
        <f>VLOOKUP(Sales[[#This Row],[Product ID]],Product[#All],7,0)</f>
        <v>4680</v>
      </c>
      <c r="I3727" s="160">
        <f>Sales[[#This Row],[Selling Rate]]*Sales[[#This Row],[Qty]]</f>
        <v>37440</v>
      </c>
      <c r="J3727" s="43">
        <v>0</v>
      </c>
      <c r="K3727" s="44">
        <f>Sales[[#This Row],[Gross Amount]]*Sales[[#This Row],[Disc %]]</f>
        <v>0</v>
      </c>
      <c r="L3727" s="43">
        <v>0.18</v>
      </c>
      <c r="M3727" s="44">
        <f>(Sales[[#This Row],[Gross Amount]]-Sales[[#This Row],[Disc. Amt.]])*Sales[[#This Row],[GST %]]</f>
        <v>6739.2</v>
      </c>
      <c r="N3727" s="161">
        <f>Sales[[#This Row],[Gross Amount]]-Sales[[#This Row],[Disc. Amt.]]+Sales[[#This Row],[GST Amount]]</f>
        <v>44179.199999999997</v>
      </c>
      <c r="O3727" s="158" t="s">
        <v>3561</v>
      </c>
      <c r="P3727" s="158" t="s">
        <v>3562</v>
      </c>
      <c r="Q3727" s="160">
        <f>IF(Sales[[#This Row],[Status]]="Cancelled",0,Sales[[#This Row],[Qty]])</f>
        <v>8</v>
      </c>
      <c r="R3727" s="161">
        <f>IF(Sales[[#This Row],[Status]]="Cancelled",0,Sales[[#This Row],[Total Amount]])</f>
        <v>44179.199999999997</v>
      </c>
      <c r="S3727" s="162">
        <f>SUM(Sales[Net Amount])</f>
        <v>406839287.73200053</v>
      </c>
    </row>
    <row r="3728" spans="1:19" ht="18.75" x14ac:dyDescent="0.25">
      <c r="A3728" s="163" t="s">
        <v>7397</v>
      </c>
      <c r="B3728" s="164">
        <v>45962</v>
      </c>
      <c r="C3728" s="34" t="s">
        <v>902</v>
      </c>
      <c r="D3728" s="53" t="str">
        <f>VLOOKUP(Sales[[#This Row],[Customer ID]],Customer[#All],2,0)</f>
        <v>Sunita Singh</v>
      </c>
      <c r="E3728" s="34" t="s">
        <v>111</v>
      </c>
      <c r="F3728" s="34" t="str">
        <f>VLOOKUP(Sales[[#This Row],[Product ID]],Product[#All],2,0)</f>
        <v>Microtek UPS</v>
      </c>
      <c r="G3728" s="53">
        <v>3</v>
      </c>
      <c r="H3728" s="165">
        <f>VLOOKUP(Sales[[#This Row],[Product ID]],Product[#All],7,0)</f>
        <v>16680</v>
      </c>
      <c r="I3728" s="165">
        <f>Sales[[#This Row],[Selling Rate]]*Sales[[#This Row],[Qty]]</f>
        <v>50040</v>
      </c>
      <c r="J3728" s="45">
        <v>0.05</v>
      </c>
      <c r="K3728" s="46">
        <f>Sales[[#This Row],[Gross Amount]]*Sales[[#This Row],[Disc %]]</f>
        <v>2502</v>
      </c>
      <c r="L3728" s="43">
        <v>0.18</v>
      </c>
      <c r="M3728" s="46">
        <f>(Sales[[#This Row],[Gross Amount]]-Sales[[#This Row],[Disc. Amt.]])*Sales[[#This Row],[GST %]]</f>
        <v>8556.84</v>
      </c>
      <c r="N3728" s="161">
        <f>Sales[[#This Row],[Gross Amount]]-Sales[[#This Row],[Disc. Amt.]]+Sales[[#This Row],[GST Amount]]</f>
        <v>56094.84</v>
      </c>
      <c r="O3728" s="34" t="s">
        <v>3566</v>
      </c>
      <c r="P3728" s="34" t="s">
        <v>3562</v>
      </c>
      <c r="Q3728" s="165">
        <f>IF(Sales[[#This Row],[Status]]="Cancelled",0,Sales[[#This Row],[Qty]])</f>
        <v>3</v>
      </c>
      <c r="R3728" s="166">
        <f>IF(Sales[[#This Row],[Status]]="Cancelled",0,Sales[[#This Row],[Total Amount]])</f>
        <v>56094.84</v>
      </c>
      <c r="S3728" s="162">
        <f>SUM(Sales[Net Amount])</f>
        <v>406839287.73200053</v>
      </c>
    </row>
    <row r="3729" spans="1:19" ht="18.75" x14ac:dyDescent="0.25">
      <c r="A3729" s="156" t="s">
        <v>7398</v>
      </c>
      <c r="B3729" s="157">
        <v>45963</v>
      </c>
      <c r="C3729" s="158" t="s">
        <v>651</v>
      </c>
      <c r="D3729" s="159" t="str">
        <f>VLOOKUP(Sales[[#This Row],[Customer ID]],Customer[#All],2,0)</f>
        <v>Sahil Verma</v>
      </c>
      <c r="E3729" s="158" t="s">
        <v>430</v>
      </c>
      <c r="F3729" s="158" t="str">
        <f>VLOOKUP(Sales[[#This Row],[Product ID]],Product[#All],2,0)</f>
        <v>Jbl Speaker</v>
      </c>
      <c r="G3729" s="159">
        <v>1</v>
      </c>
      <c r="H3729" s="160">
        <f>VLOOKUP(Sales[[#This Row],[Product ID]],Product[#All],7,0)</f>
        <v>6890</v>
      </c>
      <c r="I3729" s="160">
        <f>Sales[[#This Row],[Selling Rate]]*Sales[[#This Row],[Qty]]</f>
        <v>6890</v>
      </c>
      <c r="J3729" s="43">
        <v>0.05</v>
      </c>
      <c r="K3729" s="44">
        <f>Sales[[#This Row],[Gross Amount]]*Sales[[#This Row],[Disc %]]</f>
        <v>344.5</v>
      </c>
      <c r="L3729" s="43">
        <v>0.18</v>
      </c>
      <c r="M3729" s="44">
        <f>(Sales[[#This Row],[Gross Amount]]-Sales[[#This Row],[Disc. Amt.]])*Sales[[#This Row],[GST %]]</f>
        <v>1178.19</v>
      </c>
      <c r="N3729" s="161">
        <f>Sales[[#This Row],[Gross Amount]]-Sales[[#This Row],[Disc. Amt.]]+Sales[[#This Row],[GST Amount]]</f>
        <v>7723.6900000000005</v>
      </c>
      <c r="O3729" s="158" t="s">
        <v>3569</v>
      </c>
      <c r="P3729" s="158" t="s">
        <v>3562</v>
      </c>
      <c r="Q3729" s="160">
        <f>IF(Sales[[#This Row],[Status]]="Cancelled",0,Sales[[#This Row],[Qty]])</f>
        <v>1</v>
      </c>
      <c r="R3729" s="161">
        <f>IF(Sales[[#This Row],[Status]]="Cancelled",0,Sales[[#This Row],[Total Amount]])</f>
        <v>7723.6900000000005</v>
      </c>
      <c r="S3729" s="162">
        <f>SUM(Sales[Net Amount])</f>
        <v>406839287.73200053</v>
      </c>
    </row>
    <row r="3730" spans="1:19" ht="18.75" x14ac:dyDescent="0.25">
      <c r="A3730" s="163" t="s">
        <v>7399</v>
      </c>
      <c r="B3730" s="164">
        <v>45963</v>
      </c>
      <c r="C3730" s="34" t="s">
        <v>689</v>
      </c>
      <c r="D3730" s="53" t="str">
        <f>VLOOKUP(Sales[[#This Row],[Customer ID]],Customer[#All],2,0)</f>
        <v>Sahil Kumar</v>
      </c>
      <c r="E3730" s="34" t="s">
        <v>51</v>
      </c>
      <c r="F3730" s="34" t="str">
        <f>VLOOKUP(Sales[[#This Row],[Product ID]],Product[#All],2,0)</f>
        <v>Boat Speaker</v>
      </c>
      <c r="G3730" s="53">
        <v>1</v>
      </c>
      <c r="H3730" s="165">
        <f>VLOOKUP(Sales[[#This Row],[Product ID]],Product[#All],7,0)</f>
        <v>4730</v>
      </c>
      <c r="I3730" s="165">
        <f>Sales[[#This Row],[Selling Rate]]*Sales[[#This Row],[Qty]]</f>
        <v>4730</v>
      </c>
      <c r="J3730" s="45">
        <v>0.1</v>
      </c>
      <c r="K3730" s="46">
        <f>Sales[[#This Row],[Gross Amount]]*Sales[[#This Row],[Disc %]]</f>
        <v>473</v>
      </c>
      <c r="L3730" s="43">
        <v>0.18</v>
      </c>
      <c r="M3730" s="46">
        <f>(Sales[[#This Row],[Gross Amount]]-Sales[[#This Row],[Disc. Amt.]])*Sales[[#This Row],[GST %]]</f>
        <v>766.26</v>
      </c>
      <c r="N3730" s="161">
        <f>Sales[[#This Row],[Gross Amount]]-Sales[[#This Row],[Disc. Amt.]]+Sales[[#This Row],[GST Amount]]</f>
        <v>5023.26</v>
      </c>
      <c r="O3730" s="34" t="s">
        <v>3566</v>
      </c>
      <c r="P3730" s="34" t="s">
        <v>3562</v>
      </c>
      <c r="Q3730" s="165">
        <f>IF(Sales[[#This Row],[Status]]="Cancelled",0,Sales[[#This Row],[Qty]])</f>
        <v>1</v>
      </c>
      <c r="R3730" s="166">
        <f>IF(Sales[[#This Row],[Status]]="Cancelled",0,Sales[[#This Row],[Total Amount]])</f>
        <v>5023.26</v>
      </c>
      <c r="S3730" s="162">
        <f>SUM(Sales[Net Amount])</f>
        <v>406839287.73200053</v>
      </c>
    </row>
    <row r="3731" spans="1:19" ht="18.75" x14ac:dyDescent="0.25">
      <c r="A3731" s="156" t="s">
        <v>7400</v>
      </c>
      <c r="B3731" s="157">
        <v>45963</v>
      </c>
      <c r="C3731" s="158" t="s">
        <v>766</v>
      </c>
      <c r="D3731" s="159" t="str">
        <f>VLOOKUP(Sales[[#This Row],[Customer ID]],Customer[#All],2,0)</f>
        <v>Neha Gupta</v>
      </c>
      <c r="E3731" s="158" t="s">
        <v>439</v>
      </c>
      <c r="F3731" s="158" t="str">
        <f>VLOOKUP(Sales[[#This Row],[Product ID]],Product[#All],2,0)</f>
        <v>HP Laptop</v>
      </c>
      <c r="G3731" s="159">
        <v>5</v>
      </c>
      <c r="H3731" s="160">
        <f>VLOOKUP(Sales[[#This Row],[Product ID]],Product[#All],7,0)</f>
        <v>83330</v>
      </c>
      <c r="I3731" s="160">
        <f>Sales[[#This Row],[Selling Rate]]*Sales[[#This Row],[Qty]]</f>
        <v>416650</v>
      </c>
      <c r="J3731" s="43">
        <v>0</v>
      </c>
      <c r="K3731" s="44">
        <f>Sales[[#This Row],[Gross Amount]]*Sales[[#This Row],[Disc %]]</f>
        <v>0</v>
      </c>
      <c r="L3731" s="43">
        <v>0.18</v>
      </c>
      <c r="M3731" s="44">
        <f>(Sales[[#This Row],[Gross Amount]]-Sales[[#This Row],[Disc. Amt.]])*Sales[[#This Row],[GST %]]</f>
        <v>74997</v>
      </c>
      <c r="N3731" s="161">
        <f>Sales[[#This Row],[Gross Amount]]-Sales[[#This Row],[Disc. Amt.]]+Sales[[#This Row],[GST Amount]]</f>
        <v>491647</v>
      </c>
      <c r="O3731" s="158" t="s">
        <v>8876</v>
      </c>
      <c r="P3731" s="158" t="s">
        <v>3562</v>
      </c>
      <c r="Q3731" s="160">
        <f>IF(Sales[[#This Row],[Status]]="Cancelled",0,Sales[[#This Row],[Qty]])</f>
        <v>5</v>
      </c>
      <c r="R3731" s="161">
        <f>IF(Sales[[#This Row],[Status]]="Cancelled",0,Sales[[#This Row],[Total Amount]])</f>
        <v>491647</v>
      </c>
      <c r="S3731" s="162">
        <f>SUM(Sales[Net Amount])</f>
        <v>406839287.73200053</v>
      </c>
    </row>
    <row r="3732" spans="1:19" ht="18.75" x14ac:dyDescent="0.25">
      <c r="A3732" s="163" t="s">
        <v>7401</v>
      </c>
      <c r="B3732" s="164">
        <v>45963</v>
      </c>
      <c r="C3732" s="34" t="s">
        <v>819</v>
      </c>
      <c r="D3732" s="53" t="str">
        <f>VLOOKUP(Sales[[#This Row],[Customer ID]],Customer[#All],2,0)</f>
        <v>Neha Gupta</v>
      </c>
      <c r="E3732" s="34" t="s">
        <v>56</v>
      </c>
      <c r="F3732" s="34" t="str">
        <f>VLOOKUP(Sales[[#This Row],[Product ID]],Product[#All],2,0)</f>
        <v>Boat Headset</v>
      </c>
      <c r="G3732" s="53">
        <v>8</v>
      </c>
      <c r="H3732" s="165">
        <f>VLOOKUP(Sales[[#This Row],[Product ID]],Product[#All],7,0)</f>
        <v>4140</v>
      </c>
      <c r="I3732" s="165">
        <f>Sales[[#This Row],[Selling Rate]]*Sales[[#This Row],[Qty]]</f>
        <v>33120</v>
      </c>
      <c r="J3732" s="45">
        <v>0.1</v>
      </c>
      <c r="K3732" s="46">
        <f>Sales[[#This Row],[Gross Amount]]*Sales[[#This Row],[Disc %]]</f>
        <v>3312</v>
      </c>
      <c r="L3732" s="43">
        <v>0.18</v>
      </c>
      <c r="M3732" s="46">
        <f>(Sales[[#This Row],[Gross Amount]]-Sales[[#This Row],[Disc. Amt.]])*Sales[[#This Row],[GST %]]</f>
        <v>5365.44</v>
      </c>
      <c r="N3732" s="161">
        <f>Sales[[#This Row],[Gross Amount]]-Sales[[#This Row],[Disc. Amt.]]+Sales[[#This Row],[GST Amount]]</f>
        <v>35173.440000000002</v>
      </c>
      <c r="O3732" s="34" t="s">
        <v>3566</v>
      </c>
      <c r="P3732" s="34" t="s">
        <v>3562</v>
      </c>
      <c r="Q3732" s="165">
        <f>IF(Sales[[#This Row],[Status]]="Cancelled",0,Sales[[#This Row],[Qty]])</f>
        <v>8</v>
      </c>
      <c r="R3732" s="166">
        <f>IF(Sales[[#This Row],[Status]]="Cancelled",0,Sales[[#This Row],[Total Amount]])</f>
        <v>35173.440000000002</v>
      </c>
      <c r="S3732" s="162">
        <f>SUM(Sales[Net Amount])</f>
        <v>406839287.73200053</v>
      </c>
    </row>
    <row r="3733" spans="1:19" ht="18.75" x14ac:dyDescent="0.25">
      <c r="A3733" s="156" t="s">
        <v>7402</v>
      </c>
      <c r="B3733" s="157">
        <v>45963</v>
      </c>
      <c r="C3733" s="158" t="s">
        <v>943</v>
      </c>
      <c r="D3733" s="159" t="str">
        <f>VLOOKUP(Sales[[#This Row],[Customer ID]],Customer[#All],2,0)</f>
        <v>Sahil Singh</v>
      </c>
      <c r="E3733" s="158" t="s">
        <v>394</v>
      </c>
      <c r="F3733" s="158" t="str">
        <f>VLOOKUP(Sales[[#This Row],[Product ID]],Product[#All],2,0)</f>
        <v>Boat Speaker</v>
      </c>
      <c r="G3733" s="159">
        <v>8</v>
      </c>
      <c r="H3733" s="160">
        <f>VLOOKUP(Sales[[#This Row],[Product ID]],Product[#All],7,0)</f>
        <v>1720</v>
      </c>
      <c r="I3733" s="160">
        <f>Sales[[#This Row],[Selling Rate]]*Sales[[#This Row],[Qty]]</f>
        <v>13760</v>
      </c>
      <c r="J3733" s="43">
        <v>0.12</v>
      </c>
      <c r="K3733" s="44">
        <f>Sales[[#This Row],[Gross Amount]]*Sales[[#This Row],[Disc %]]</f>
        <v>1651.2</v>
      </c>
      <c r="L3733" s="43">
        <v>0.18</v>
      </c>
      <c r="M3733" s="44">
        <f>(Sales[[#This Row],[Gross Amount]]-Sales[[#This Row],[Disc. Amt.]])*Sales[[#This Row],[GST %]]</f>
        <v>2179.5839999999998</v>
      </c>
      <c r="N3733" s="161">
        <f>Sales[[#This Row],[Gross Amount]]-Sales[[#This Row],[Disc. Amt.]]+Sales[[#This Row],[GST Amount]]</f>
        <v>14288.383999999998</v>
      </c>
      <c r="O3733" s="158" t="s">
        <v>8876</v>
      </c>
      <c r="P3733" s="158" t="s">
        <v>3562</v>
      </c>
      <c r="Q3733" s="160">
        <f>IF(Sales[[#This Row],[Status]]="Cancelled",0,Sales[[#This Row],[Qty]])</f>
        <v>8</v>
      </c>
      <c r="R3733" s="161">
        <f>IF(Sales[[#This Row],[Status]]="Cancelled",0,Sales[[#This Row],[Total Amount]])</f>
        <v>14288.383999999998</v>
      </c>
      <c r="S3733" s="162">
        <f>SUM(Sales[Net Amount])</f>
        <v>406839287.73200053</v>
      </c>
    </row>
    <row r="3734" spans="1:19" ht="18.75" x14ac:dyDescent="0.25">
      <c r="A3734" s="163" t="s">
        <v>7403</v>
      </c>
      <c r="B3734" s="164">
        <v>45963</v>
      </c>
      <c r="C3734" s="34" t="s">
        <v>670</v>
      </c>
      <c r="D3734" s="53" t="str">
        <f>VLOOKUP(Sales[[#This Row],[Customer ID]],Customer[#All],2,0)</f>
        <v>Rakesh Patel</v>
      </c>
      <c r="E3734" s="34" t="s">
        <v>348</v>
      </c>
      <c r="F3734" s="34" t="str">
        <f>VLOOKUP(Sales[[#This Row],[Product ID]],Product[#All],2,0)</f>
        <v>Jbl Speaker</v>
      </c>
      <c r="G3734" s="53">
        <v>5</v>
      </c>
      <c r="H3734" s="165">
        <f>VLOOKUP(Sales[[#This Row],[Product ID]],Product[#All],7,0)</f>
        <v>6700</v>
      </c>
      <c r="I3734" s="165">
        <f>Sales[[#This Row],[Selling Rate]]*Sales[[#This Row],[Qty]]</f>
        <v>33500</v>
      </c>
      <c r="J3734" s="45">
        <v>0</v>
      </c>
      <c r="K3734" s="46">
        <f>Sales[[#This Row],[Gross Amount]]*Sales[[#This Row],[Disc %]]</f>
        <v>0</v>
      </c>
      <c r="L3734" s="43">
        <v>0.18</v>
      </c>
      <c r="M3734" s="46">
        <f>(Sales[[#This Row],[Gross Amount]]-Sales[[#This Row],[Disc. Amt.]])*Sales[[#This Row],[GST %]]</f>
        <v>6030</v>
      </c>
      <c r="N3734" s="161">
        <f>Sales[[#This Row],[Gross Amount]]-Sales[[#This Row],[Disc. Amt.]]+Sales[[#This Row],[GST Amount]]</f>
        <v>39530</v>
      </c>
      <c r="O3734" s="34" t="s">
        <v>3569</v>
      </c>
      <c r="P3734" s="34" t="s">
        <v>3562</v>
      </c>
      <c r="Q3734" s="165">
        <f>IF(Sales[[#This Row],[Status]]="Cancelled",0,Sales[[#This Row],[Qty]])</f>
        <v>5</v>
      </c>
      <c r="R3734" s="166">
        <f>IF(Sales[[#This Row],[Status]]="Cancelled",0,Sales[[#This Row],[Total Amount]])</f>
        <v>39530</v>
      </c>
      <c r="S3734" s="162">
        <f>SUM(Sales[Net Amount])</f>
        <v>406839287.73200053</v>
      </c>
    </row>
    <row r="3735" spans="1:19" ht="18.75" x14ac:dyDescent="0.25">
      <c r="A3735" s="156" t="s">
        <v>7404</v>
      </c>
      <c r="B3735" s="157">
        <v>45963</v>
      </c>
      <c r="C3735" s="158" t="s">
        <v>730</v>
      </c>
      <c r="D3735" s="159" t="str">
        <f>VLOOKUP(Sales[[#This Row],[Customer ID]],Customer[#All],2,0)</f>
        <v>Neha Verma</v>
      </c>
      <c r="E3735" s="158" t="s">
        <v>310</v>
      </c>
      <c r="F3735" s="158" t="str">
        <f>VLOOKUP(Sales[[#This Row],[Product ID]],Product[#All],2,0)</f>
        <v>TP-link Wi-Fi Adapter</v>
      </c>
      <c r="G3735" s="159">
        <v>5</v>
      </c>
      <c r="H3735" s="160">
        <f>VLOOKUP(Sales[[#This Row],[Product ID]],Product[#All],7,0)</f>
        <v>700</v>
      </c>
      <c r="I3735" s="160">
        <f>Sales[[#This Row],[Selling Rate]]*Sales[[#This Row],[Qty]]</f>
        <v>3500</v>
      </c>
      <c r="J3735" s="43">
        <v>0.05</v>
      </c>
      <c r="K3735" s="44">
        <f>Sales[[#This Row],[Gross Amount]]*Sales[[#This Row],[Disc %]]</f>
        <v>175</v>
      </c>
      <c r="L3735" s="43">
        <v>0.18</v>
      </c>
      <c r="M3735" s="44">
        <f>(Sales[[#This Row],[Gross Amount]]-Sales[[#This Row],[Disc. Amt.]])*Sales[[#This Row],[GST %]]</f>
        <v>598.5</v>
      </c>
      <c r="N3735" s="161">
        <f>Sales[[#This Row],[Gross Amount]]-Sales[[#This Row],[Disc. Amt.]]+Sales[[#This Row],[GST Amount]]</f>
        <v>3923.5</v>
      </c>
      <c r="O3735" s="158" t="s">
        <v>8876</v>
      </c>
      <c r="P3735" s="158" t="s">
        <v>3562</v>
      </c>
      <c r="Q3735" s="160">
        <f>IF(Sales[[#This Row],[Status]]="Cancelled",0,Sales[[#This Row],[Qty]])</f>
        <v>5</v>
      </c>
      <c r="R3735" s="161">
        <f>IF(Sales[[#This Row],[Status]]="Cancelled",0,Sales[[#This Row],[Total Amount]])</f>
        <v>3923.5</v>
      </c>
      <c r="S3735" s="162">
        <f>SUM(Sales[Net Amount])</f>
        <v>406839287.73200053</v>
      </c>
    </row>
    <row r="3736" spans="1:19" ht="18.75" x14ac:dyDescent="0.25">
      <c r="A3736" s="163" t="s">
        <v>7405</v>
      </c>
      <c r="B3736" s="164">
        <v>45963</v>
      </c>
      <c r="C3736" s="34" t="s">
        <v>866</v>
      </c>
      <c r="D3736" s="53" t="str">
        <f>VLOOKUP(Sales[[#This Row],[Customer ID]],Customer[#All],2,0)</f>
        <v>Priya Patel</v>
      </c>
      <c r="E3736" s="34" t="s">
        <v>429</v>
      </c>
      <c r="F3736" s="34" t="str">
        <f>VLOOKUP(Sales[[#This Row],[Product ID]],Product[#All],2,0)</f>
        <v>Sandisk Pen Drive</v>
      </c>
      <c r="G3736" s="53">
        <v>3</v>
      </c>
      <c r="H3736" s="165">
        <f>VLOOKUP(Sales[[#This Row],[Product ID]],Product[#All],7,0)</f>
        <v>2290</v>
      </c>
      <c r="I3736" s="165">
        <f>Sales[[#This Row],[Selling Rate]]*Sales[[#This Row],[Qty]]</f>
        <v>6870</v>
      </c>
      <c r="J3736" s="45">
        <v>0.1</v>
      </c>
      <c r="K3736" s="46">
        <f>Sales[[#This Row],[Gross Amount]]*Sales[[#This Row],[Disc %]]</f>
        <v>687</v>
      </c>
      <c r="L3736" s="43">
        <v>0.18</v>
      </c>
      <c r="M3736" s="46">
        <f>(Sales[[#This Row],[Gross Amount]]-Sales[[#This Row],[Disc. Amt.]])*Sales[[#This Row],[GST %]]</f>
        <v>1112.94</v>
      </c>
      <c r="N3736" s="161">
        <f>Sales[[#This Row],[Gross Amount]]-Sales[[#This Row],[Disc. Amt.]]+Sales[[#This Row],[GST Amount]]</f>
        <v>7295.9400000000005</v>
      </c>
      <c r="O3736" s="34" t="s">
        <v>3561</v>
      </c>
      <c r="P3736" s="34" t="s">
        <v>3562</v>
      </c>
      <c r="Q3736" s="165">
        <f>IF(Sales[[#This Row],[Status]]="Cancelled",0,Sales[[#This Row],[Qty]])</f>
        <v>3</v>
      </c>
      <c r="R3736" s="166">
        <f>IF(Sales[[#This Row],[Status]]="Cancelled",0,Sales[[#This Row],[Total Amount]])</f>
        <v>7295.9400000000005</v>
      </c>
      <c r="S3736" s="162">
        <f>SUM(Sales[Net Amount])</f>
        <v>406839287.73200053</v>
      </c>
    </row>
    <row r="3737" spans="1:19" ht="18.75" x14ac:dyDescent="0.25">
      <c r="A3737" s="156" t="s">
        <v>7406</v>
      </c>
      <c r="B3737" s="157">
        <v>45963</v>
      </c>
      <c r="C3737" s="158" t="s">
        <v>703</v>
      </c>
      <c r="D3737" s="159" t="str">
        <f>VLOOKUP(Sales[[#This Row],[Customer ID]],Customer[#All],2,0)</f>
        <v>Rahul Singh</v>
      </c>
      <c r="E3737" s="158" t="s">
        <v>317</v>
      </c>
      <c r="F3737" s="158" t="str">
        <f>VLOOKUP(Sales[[#This Row],[Product ID]],Product[#All],2,0)</f>
        <v>Amazon Basics Hdmi Cable</v>
      </c>
      <c r="G3737" s="159">
        <v>2</v>
      </c>
      <c r="H3737" s="160">
        <f>VLOOKUP(Sales[[#This Row],[Product ID]],Product[#All],7,0)</f>
        <v>1010</v>
      </c>
      <c r="I3737" s="160">
        <f>Sales[[#This Row],[Selling Rate]]*Sales[[#This Row],[Qty]]</f>
        <v>2020</v>
      </c>
      <c r="J3737" s="43">
        <v>0</v>
      </c>
      <c r="K3737" s="44">
        <f>Sales[[#This Row],[Gross Amount]]*Sales[[#This Row],[Disc %]]</f>
        <v>0</v>
      </c>
      <c r="L3737" s="43">
        <v>0.18</v>
      </c>
      <c r="M3737" s="44">
        <f>(Sales[[#This Row],[Gross Amount]]-Sales[[#This Row],[Disc. Amt.]])*Sales[[#This Row],[GST %]]</f>
        <v>363.59999999999997</v>
      </c>
      <c r="N3737" s="161">
        <f>Sales[[#This Row],[Gross Amount]]-Sales[[#This Row],[Disc. Amt.]]+Sales[[#This Row],[GST Amount]]</f>
        <v>2383.6</v>
      </c>
      <c r="O3737" s="158" t="s">
        <v>3569</v>
      </c>
      <c r="P3737" s="158" t="s">
        <v>3562</v>
      </c>
      <c r="Q3737" s="160">
        <f>IF(Sales[[#This Row],[Status]]="Cancelled",0,Sales[[#This Row],[Qty]])</f>
        <v>2</v>
      </c>
      <c r="R3737" s="161">
        <f>IF(Sales[[#This Row],[Status]]="Cancelled",0,Sales[[#This Row],[Total Amount]])</f>
        <v>2383.6</v>
      </c>
      <c r="S3737" s="162">
        <f>SUM(Sales[Net Amount])</f>
        <v>406839287.73200053</v>
      </c>
    </row>
    <row r="3738" spans="1:19" ht="18.75" x14ac:dyDescent="0.25">
      <c r="A3738" s="163" t="s">
        <v>7407</v>
      </c>
      <c r="B3738" s="164">
        <v>45963</v>
      </c>
      <c r="C3738" s="34" t="s">
        <v>930</v>
      </c>
      <c r="D3738" s="53" t="str">
        <f>VLOOKUP(Sales[[#This Row],[Customer ID]],Customer[#All],2,0)</f>
        <v>Rakesh Gupta</v>
      </c>
      <c r="E3738" s="34" t="s">
        <v>18</v>
      </c>
      <c r="F3738" s="34" t="str">
        <f>VLOOKUP(Sales[[#This Row],[Product ID]],Product[#All],2,0)</f>
        <v>TP-link Bluetooth Adapter</v>
      </c>
      <c r="G3738" s="53">
        <v>4</v>
      </c>
      <c r="H3738" s="165">
        <f>VLOOKUP(Sales[[#This Row],[Product ID]],Product[#All],7,0)</f>
        <v>870</v>
      </c>
      <c r="I3738" s="165">
        <f>Sales[[#This Row],[Selling Rate]]*Sales[[#This Row],[Qty]]</f>
        <v>3480</v>
      </c>
      <c r="J3738" s="45">
        <v>0.15</v>
      </c>
      <c r="K3738" s="46">
        <f>Sales[[#This Row],[Gross Amount]]*Sales[[#This Row],[Disc %]]</f>
        <v>522</v>
      </c>
      <c r="L3738" s="43">
        <v>0.18</v>
      </c>
      <c r="M3738" s="46">
        <f>(Sales[[#This Row],[Gross Amount]]-Sales[[#This Row],[Disc. Amt.]])*Sales[[#This Row],[GST %]]</f>
        <v>532.43999999999994</v>
      </c>
      <c r="N3738" s="161">
        <f>Sales[[#This Row],[Gross Amount]]-Sales[[#This Row],[Disc. Amt.]]+Sales[[#This Row],[GST Amount]]</f>
        <v>3490.44</v>
      </c>
      <c r="O3738" s="34" t="s">
        <v>3561</v>
      </c>
      <c r="P3738" s="34" t="s">
        <v>3562</v>
      </c>
      <c r="Q3738" s="165">
        <f>IF(Sales[[#This Row],[Status]]="Cancelled",0,Sales[[#This Row],[Qty]])</f>
        <v>4</v>
      </c>
      <c r="R3738" s="166">
        <f>IF(Sales[[#This Row],[Status]]="Cancelled",0,Sales[[#This Row],[Total Amount]])</f>
        <v>3490.44</v>
      </c>
      <c r="S3738" s="162">
        <f>SUM(Sales[Net Amount])</f>
        <v>406839287.73200053</v>
      </c>
    </row>
    <row r="3739" spans="1:19" ht="18.75" x14ac:dyDescent="0.25">
      <c r="A3739" s="156" t="s">
        <v>7408</v>
      </c>
      <c r="B3739" s="157">
        <v>45963</v>
      </c>
      <c r="C3739" s="158" t="s">
        <v>746</v>
      </c>
      <c r="D3739" s="159" t="str">
        <f>VLOOKUP(Sales[[#This Row],[Customer ID]],Customer[#All],2,0)</f>
        <v>Sunita Kumar</v>
      </c>
      <c r="E3739" s="158" t="s">
        <v>371</v>
      </c>
      <c r="F3739" s="158" t="str">
        <f>VLOOKUP(Sales[[#This Row],[Product ID]],Product[#All],2,0)</f>
        <v>Portronics USB Cable</v>
      </c>
      <c r="G3739" s="159">
        <v>3</v>
      </c>
      <c r="H3739" s="160">
        <f>VLOOKUP(Sales[[#This Row],[Product ID]],Product[#All],7,0)</f>
        <v>440</v>
      </c>
      <c r="I3739" s="160">
        <f>Sales[[#This Row],[Selling Rate]]*Sales[[#This Row],[Qty]]</f>
        <v>1320</v>
      </c>
      <c r="J3739" s="43">
        <v>0.12</v>
      </c>
      <c r="K3739" s="44">
        <f>Sales[[#This Row],[Gross Amount]]*Sales[[#This Row],[Disc %]]</f>
        <v>158.4</v>
      </c>
      <c r="L3739" s="43">
        <v>0.18</v>
      </c>
      <c r="M3739" s="44">
        <f>(Sales[[#This Row],[Gross Amount]]-Sales[[#This Row],[Disc. Amt.]])*Sales[[#This Row],[GST %]]</f>
        <v>209.08799999999997</v>
      </c>
      <c r="N3739" s="161">
        <f>Sales[[#This Row],[Gross Amount]]-Sales[[#This Row],[Disc. Amt.]]+Sales[[#This Row],[GST Amount]]</f>
        <v>1370.6879999999999</v>
      </c>
      <c r="O3739" s="158" t="s">
        <v>3569</v>
      </c>
      <c r="P3739" s="158" t="s">
        <v>3562</v>
      </c>
      <c r="Q3739" s="160">
        <f>IF(Sales[[#This Row],[Status]]="Cancelled",0,Sales[[#This Row],[Qty]])</f>
        <v>3</v>
      </c>
      <c r="R3739" s="161">
        <f>IF(Sales[[#This Row],[Status]]="Cancelled",0,Sales[[#This Row],[Total Amount]])</f>
        <v>1370.6879999999999</v>
      </c>
      <c r="S3739" s="162">
        <f>SUM(Sales[Net Amount])</f>
        <v>406839287.73200053</v>
      </c>
    </row>
    <row r="3740" spans="1:19" ht="18.75" x14ac:dyDescent="0.25">
      <c r="A3740" s="163" t="s">
        <v>7409</v>
      </c>
      <c r="B3740" s="164">
        <v>45963</v>
      </c>
      <c r="C3740" s="34" t="s">
        <v>742</v>
      </c>
      <c r="D3740" s="53" t="str">
        <f>VLOOKUP(Sales[[#This Row],[Customer ID]],Customer[#All],2,0)</f>
        <v>Rahul Patel</v>
      </c>
      <c r="E3740" s="34" t="s">
        <v>126</v>
      </c>
      <c r="F3740" s="34" t="str">
        <f>VLOOKUP(Sales[[#This Row],[Product ID]],Product[#All],2,0)</f>
        <v>Epson Printer</v>
      </c>
      <c r="G3740" s="53">
        <v>3</v>
      </c>
      <c r="H3740" s="165">
        <f>VLOOKUP(Sales[[#This Row],[Product ID]],Product[#All],7,0)</f>
        <v>23980</v>
      </c>
      <c r="I3740" s="165">
        <f>Sales[[#This Row],[Selling Rate]]*Sales[[#This Row],[Qty]]</f>
        <v>71940</v>
      </c>
      <c r="J3740" s="45">
        <v>0.15</v>
      </c>
      <c r="K3740" s="46">
        <f>Sales[[#This Row],[Gross Amount]]*Sales[[#This Row],[Disc %]]</f>
        <v>10791</v>
      </c>
      <c r="L3740" s="43">
        <v>0.18</v>
      </c>
      <c r="M3740" s="46">
        <f>(Sales[[#This Row],[Gross Amount]]-Sales[[#This Row],[Disc. Amt.]])*Sales[[#This Row],[GST %]]</f>
        <v>11006.82</v>
      </c>
      <c r="N3740" s="161">
        <f>Sales[[#This Row],[Gross Amount]]-Sales[[#This Row],[Disc. Amt.]]+Sales[[#This Row],[GST Amount]]</f>
        <v>72155.820000000007</v>
      </c>
      <c r="O3740" s="34" t="s">
        <v>3569</v>
      </c>
      <c r="P3740" s="34" t="s">
        <v>3562</v>
      </c>
      <c r="Q3740" s="165">
        <f>IF(Sales[[#This Row],[Status]]="Cancelled",0,Sales[[#This Row],[Qty]])</f>
        <v>3</v>
      </c>
      <c r="R3740" s="166">
        <f>IF(Sales[[#This Row],[Status]]="Cancelled",0,Sales[[#This Row],[Total Amount]])</f>
        <v>72155.820000000007</v>
      </c>
      <c r="S3740" s="162">
        <f>SUM(Sales[Net Amount])</f>
        <v>406839287.73200053</v>
      </c>
    </row>
    <row r="3741" spans="1:19" ht="18.75" x14ac:dyDescent="0.25">
      <c r="A3741" s="156" t="s">
        <v>7410</v>
      </c>
      <c r="B3741" s="157">
        <v>45963</v>
      </c>
      <c r="C3741" s="158" t="s">
        <v>797</v>
      </c>
      <c r="D3741" s="159" t="str">
        <f>VLOOKUP(Sales[[#This Row],[Customer ID]],Customer[#All],2,0)</f>
        <v>Ankit Gupta</v>
      </c>
      <c r="E3741" s="158" t="s">
        <v>75</v>
      </c>
      <c r="F3741" s="158" t="str">
        <f>VLOOKUP(Sales[[#This Row],[Product ID]],Product[#All],2,0)</f>
        <v>Samsung Monitor</v>
      </c>
      <c r="G3741" s="159">
        <v>3</v>
      </c>
      <c r="H3741" s="160">
        <f>VLOOKUP(Sales[[#This Row],[Product ID]],Product[#All],7,0)</f>
        <v>30810</v>
      </c>
      <c r="I3741" s="160">
        <f>Sales[[#This Row],[Selling Rate]]*Sales[[#This Row],[Qty]]</f>
        <v>92430</v>
      </c>
      <c r="J3741" s="43">
        <v>0.15</v>
      </c>
      <c r="K3741" s="44">
        <f>Sales[[#This Row],[Gross Amount]]*Sales[[#This Row],[Disc %]]</f>
        <v>13864.5</v>
      </c>
      <c r="L3741" s="43">
        <v>0.18</v>
      </c>
      <c r="M3741" s="44">
        <f>(Sales[[#This Row],[Gross Amount]]-Sales[[#This Row],[Disc. Amt.]])*Sales[[#This Row],[GST %]]</f>
        <v>14141.789999999999</v>
      </c>
      <c r="N3741" s="161">
        <f>Sales[[#This Row],[Gross Amount]]-Sales[[#This Row],[Disc. Amt.]]+Sales[[#This Row],[GST Amount]]</f>
        <v>92707.29</v>
      </c>
      <c r="O3741" s="158" t="s">
        <v>3569</v>
      </c>
      <c r="P3741" s="158" t="s">
        <v>3562</v>
      </c>
      <c r="Q3741" s="160">
        <f>IF(Sales[[#This Row],[Status]]="Cancelled",0,Sales[[#This Row],[Qty]])</f>
        <v>3</v>
      </c>
      <c r="R3741" s="161">
        <f>IF(Sales[[#This Row],[Status]]="Cancelled",0,Sales[[#This Row],[Total Amount]])</f>
        <v>92707.29</v>
      </c>
      <c r="S3741" s="162">
        <f>SUM(Sales[Net Amount])</f>
        <v>406839287.73200053</v>
      </c>
    </row>
    <row r="3742" spans="1:19" ht="18.75" x14ac:dyDescent="0.25">
      <c r="A3742" s="163" t="s">
        <v>7411</v>
      </c>
      <c r="B3742" s="164">
        <v>45963</v>
      </c>
      <c r="C3742" s="34" t="s">
        <v>692</v>
      </c>
      <c r="D3742" s="53" t="str">
        <f>VLOOKUP(Sales[[#This Row],[Customer ID]],Customer[#All],2,0)</f>
        <v>Rahul Patel</v>
      </c>
      <c r="E3742" s="34" t="s">
        <v>64</v>
      </c>
      <c r="F3742" s="34" t="str">
        <f>VLOOKUP(Sales[[#This Row],[Product ID]],Product[#All],2,0)</f>
        <v>Jbl Headset</v>
      </c>
      <c r="G3742" s="53">
        <v>3</v>
      </c>
      <c r="H3742" s="165">
        <f>VLOOKUP(Sales[[#This Row],[Product ID]],Product[#All],7,0)</f>
        <v>930</v>
      </c>
      <c r="I3742" s="165">
        <f>Sales[[#This Row],[Selling Rate]]*Sales[[#This Row],[Qty]]</f>
        <v>2790</v>
      </c>
      <c r="J3742" s="45">
        <v>0.05</v>
      </c>
      <c r="K3742" s="46">
        <f>Sales[[#This Row],[Gross Amount]]*Sales[[#This Row],[Disc %]]</f>
        <v>139.5</v>
      </c>
      <c r="L3742" s="43">
        <v>0.18</v>
      </c>
      <c r="M3742" s="46">
        <f>(Sales[[#This Row],[Gross Amount]]-Sales[[#This Row],[Disc. Amt.]])*Sales[[#This Row],[GST %]]</f>
        <v>477.09</v>
      </c>
      <c r="N3742" s="161">
        <f>Sales[[#This Row],[Gross Amount]]-Sales[[#This Row],[Disc. Amt.]]+Sales[[#This Row],[GST Amount]]</f>
        <v>3127.59</v>
      </c>
      <c r="O3742" s="34" t="s">
        <v>3561</v>
      </c>
      <c r="P3742" s="34" t="s">
        <v>3562</v>
      </c>
      <c r="Q3742" s="165">
        <f>IF(Sales[[#This Row],[Status]]="Cancelled",0,Sales[[#This Row],[Qty]])</f>
        <v>3</v>
      </c>
      <c r="R3742" s="166">
        <f>IF(Sales[[#This Row],[Status]]="Cancelled",0,Sales[[#This Row],[Total Amount]])</f>
        <v>3127.59</v>
      </c>
      <c r="S3742" s="162">
        <f>SUM(Sales[Net Amount])</f>
        <v>406839287.73200053</v>
      </c>
    </row>
    <row r="3743" spans="1:19" ht="18.75" x14ac:dyDescent="0.25">
      <c r="A3743" s="156" t="s">
        <v>7412</v>
      </c>
      <c r="B3743" s="157">
        <v>45963</v>
      </c>
      <c r="C3743" s="158" t="s">
        <v>929</v>
      </c>
      <c r="D3743" s="159" t="str">
        <f>VLOOKUP(Sales[[#This Row],[Customer ID]],Customer[#All],2,0)</f>
        <v>Sunita Gupta</v>
      </c>
      <c r="E3743" s="158" t="s">
        <v>492</v>
      </c>
      <c r="F3743" s="158" t="str">
        <f>VLOOKUP(Sales[[#This Row],[Product ID]],Product[#All],2,0)</f>
        <v>Microtek UPS</v>
      </c>
      <c r="G3743" s="159">
        <v>8</v>
      </c>
      <c r="H3743" s="160">
        <f>VLOOKUP(Sales[[#This Row],[Product ID]],Product[#All],7,0)</f>
        <v>13470</v>
      </c>
      <c r="I3743" s="160">
        <f>Sales[[#This Row],[Selling Rate]]*Sales[[#This Row],[Qty]]</f>
        <v>107760</v>
      </c>
      <c r="J3743" s="43">
        <v>0.15</v>
      </c>
      <c r="K3743" s="44">
        <f>Sales[[#This Row],[Gross Amount]]*Sales[[#This Row],[Disc %]]</f>
        <v>16164</v>
      </c>
      <c r="L3743" s="43">
        <v>0.18</v>
      </c>
      <c r="M3743" s="44">
        <f>(Sales[[#This Row],[Gross Amount]]-Sales[[#This Row],[Disc. Amt.]])*Sales[[#This Row],[GST %]]</f>
        <v>16487.28</v>
      </c>
      <c r="N3743" s="161">
        <f>Sales[[#This Row],[Gross Amount]]-Sales[[#This Row],[Disc. Amt.]]+Sales[[#This Row],[GST Amount]]</f>
        <v>108083.28</v>
      </c>
      <c r="O3743" s="158" t="s">
        <v>3566</v>
      </c>
      <c r="P3743" s="158" t="s">
        <v>3562</v>
      </c>
      <c r="Q3743" s="160">
        <f>IF(Sales[[#This Row],[Status]]="Cancelled",0,Sales[[#This Row],[Qty]])</f>
        <v>8</v>
      </c>
      <c r="R3743" s="161">
        <f>IF(Sales[[#This Row],[Status]]="Cancelled",0,Sales[[#This Row],[Total Amount]])</f>
        <v>108083.28</v>
      </c>
      <c r="S3743" s="162">
        <f>SUM(Sales[Net Amount])</f>
        <v>406839287.73200053</v>
      </c>
    </row>
    <row r="3744" spans="1:19" ht="18.75" x14ac:dyDescent="0.25">
      <c r="A3744" s="163" t="s">
        <v>7413</v>
      </c>
      <c r="B3744" s="164">
        <v>45963</v>
      </c>
      <c r="C3744" s="34" t="s">
        <v>839</v>
      </c>
      <c r="D3744" s="53" t="str">
        <f>VLOOKUP(Sales[[#This Row],[Customer ID]],Customer[#All],2,0)</f>
        <v>Amit Patel</v>
      </c>
      <c r="E3744" s="34" t="s">
        <v>288</v>
      </c>
      <c r="F3744" s="34" t="str">
        <f>VLOOKUP(Sales[[#This Row],[Product ID]],Product[#All],2,0)</f>
        <v>Canon Printer</v>
      </c>
      <c r="G3744" s="53">
        <v>6</v>
      </c>
      <c r="H3744" s="165">
        <f>VLOOKUP(Sales[[#This Row],[Product ID]],Product[#All],7,0)</f>
        <v>41150</v>
      </c>
      <c r="I3744" s="165">
        <f>Sales[[#This Row],[Selling Rate]]*Sales[[#This Row],[Qty]]</f>
        <v>246900</v>
      </c>
      <c r="J3744" s="45">
        <v>0.12</v>
      </c>
      <c r="K3744" s="46">
        <f>Sales[[#This Row],[Gross Amount]]*Sales[[#This Row],[Disc %]]</f>
        <v>29628</v>
      </c>
      <c r="L3744" s="43">
        <v>0.18</v>
      </c>
      <c r="M3744" s="46">
        <f>(Sales[[#This Row],[Gross Amount]]-Sales[[#This Row],[Disc. Amt.]])*Sales[[#This Row],[GST %]]</f>
        <v>39108.959999999999</v>
      </c>
      <c r="N3744" s="161">
        <f>Sales[[#This Row],[Gross Amount]]-Sales[[#This Row],[Disc. Amt.]]+Sales[[#This Row],[GST Amount]]</f>
        <v>256380.96</v>
      </c>
      <c r="O3744" s="34" t="s">
        <v>3561</v>
      </c>
      <c r="P3744" s="34" t="s">
        <v>3562</v>
      </c>
      <c r="Q3744" s="165">
        <f>IF(Sales[[#This Row],[Status]]="Cancelled",0,Sales[[#This Row],[Qty]])</f>
        <v>6</v>
      </c>
      <c r="R3744" s="166">
        <f>IF(Sales[[#This Row],[Status]]="Cancelled",0,Sales[[#This Row],[Total Amount]])</f>
        <v>256380.96</v>
      </c>
      <c r="S3744" s="162">
        <f>SUM(Sales[Net Amount])</f>
        <v>406839287.73200053</v>
      </c>
    </row>
    <row r="3745" spans="1:19" ht="18.75" x14ac:dyDescent="0.25">
      <c r="A3745" s="156" t="s">
        <v>7414</v>
      </c>
      <c r="B3745" s="157">
        <v>45963</v>
      </c>
      <c r="C3745" s="158" t="s">
        <v>776</v>
      </c>
      <c r="D3745" s="159" t="str">
        <f>VLOOKUP(Sales[[#This Row],[Customer ID]],Customer[#All],2,0)</f>
        <v>Sunita Singh</v>
      </c>
      <c r="E3745" s="158" t="s">
        <v>439</v>
      </c>
      <c r="F3745" s="158" t="str">
        <f>VLOOKUP(Sales[[#This Row],[Product ID]],Product[#All],2,0)</f>
        <v>HP Laptop</v>
      </c>
      <c r="G3745" s="159">
        <v>2</v>
      </c>
      <c r="H3745" s="160">
        <f>VLOOKUP(Sales[[#This Row],[Product ID]],Product[#All],7,0)</f>
        <v>83330</v>
      </c>
      <c r="I3745" s="160">
        <f>Sales[[#This Row],[Selling Rate]]*Sales[[#This Row],[Qty]]</f>
        <v>166660</v>
      </c>
      <c r="J3745" s="43">
        <v>0.05</v>
      </c>
      <c r="K3745" s="44">
        <f>Sales[[#This Row],[Gross Amount]]*Sales[[#This Row],[Disc %]]</f>
        <v>8333</v>
      </c>
      <c r="L3745" s="43">
        <v>0.18</v>
      </c>
      <c r="M3745" s="44">
        <f>(Sales[[#This Row],[Gross Amount]]-Sales[[#This Row],[Disc. Amt.]])*Sales[[#This Row],[GST %]]</f>
        <v>28498.86</v>
      </c>
      <c r="N3745" s="161">
        <f>Sales[[#This Row],[Gross Amount]]-Sales[[#This Row],[Disc. Amt.]]+Sales[[#This Row],[GST Amount]]</f>
        <v>186825.86</v>
      </c>
      <c r="O3745" s="158" t="s">
        <v>3561</v>
      </c>
      <c r="P3745" s="158" t="s">
        <v>3562</v>
      </c>
      <c r="Q3745" s="160">
        <f>IF(Sales[[#This Row],[Status]]="Cancelled",0,Sales[[#This Row],[Qty]])</f>
        <v>2</v>
      </c>
      <c r="R3745" s="161">
        <f>IF(Sales[[#This Row],[Status]]="Cancelled",0,Sales[[#This Row],[Total Amount]])</f>
        <v>186825.86</v>
      </c>
      <c r="S3745" s="162">
        <f>SUM(Sales[Net Amount])</f>
        <v>406839287.73200053</v>
      </c>
    </row>
    <row r="3746" spans="1:19" ht="18.75" x14ac:dyDescent="0.25">
      <c r="A3746" s="163" t="s">
        <v>7415</v>
      </c>
      <c r="B3746" s="164">
        <v>45963</v>
      </c>
      <c r="C3746" s="34" t="s">
        <v>766</v>
      </c>
      <c r="D3746" s="53" t="str">
        <f>VLOOKUP(Sales[[#This Row],[Customer ID]],Customer[#All],2,0)</f>
        <v>Neha Gupta</v>
      </c>
      <c r="E3746" s="34" t="s">
        <v>244</v>
      </c>
      <c r="F3746" s="34" t="str">
        <f>VLOOKUP(Sales[[#This Row],[Product ID]],Product[#All],2,0)</f>
        <v>TP-link Router</v>
      </c>
      <c r="G3746" s="53">
        <v>7</v>
      </c>
      <c r="H3746" s="165">
        <f>VLOOKUP(Sales[[#This Row],[Product ID]],Product[#All],7,0)</f>
        <v>4220</v>
      </c>
      <c r="I3746" s="165">
        <f>Sales[[#This Row],[Selling Rate]]*Sales[[#This Row],[Qty]]</f>
        <v>29540</v>
      </c>
      <c r="J3746" s="45">
        <v>0.05</v>
      </c>
      <c r="K3746" s="46">
        <f>Sales[[#This Row],[Gross Amount]]*Sales[[#This Row],[Disc %]]</f>
        <v>1477</v>
      </c>
      <c r="L3746" s="43">
        <v>0.18</v>
      </c>
      <c r="M3746" s="46">
        <f>(Sales[[#This Row],[Gross Amount]]-Sales[[#This Row],[Disc. Amt.]])*Sales[[#This Row],[GST %]]</f>
        <v>5051.34</v>
      </c>
      <c r="N3746" s="161">
        <f>Sales[[#This Row],[Gross Amount]]-Sales[[#This Row],[Disc. Amt.]]+Sales[[#This Row],[GST Amount]]</f>
        <v>33114.339999999997</v>
      </c>
      <c r="O3746" s="34" t="s">
        <v>3566</v>
      </c>
      <c r="P3746" s="34" t="s">
        <v>3562</v>
      </c>
      <c r="Q3746" s="165">
        <f>IF(Sales[[#This Row],[Status]]="Cancelled",0,Sales[[#This Row],[Qty]])</f>
        <v>7</v>
      </c>
      <c r="R3746" s="166">
        <f>IF(Sales[[#This Row],[Status]]="Cancelled",0,Sales[[#This Row],[Total Amount]])</f>
        <v>33114.339999999997</v>
      </c>
      <c r="S3746" s="162">
        <f>SUM(Sales[Net Amount])</f>
        <v>406839287.73200053</v>
      </c>
    </row>
    <row r="3747" spans="1:19" ht="18.75" x14ac:dyDescent="0.25">
      <c r="A3747" s="156" t="s">
        <v>7416</v>
      </c>
      <c r="B3747" s="157">
        <v>45963</v>
      </c>
      <c r="C3747" s="158" t="s">
        <v>727</v>
      </c>
      <c r="D3747" s="159" t="str">
        <f>VLOOKUP(Sales[[#This Row],[Customer ID]],Customer[#All],2,0)</f>
        <v>Sahil Sharma</v>
      </c>
      <c r="E3747" s="158" t="s">
        <v>492</v>
      </c>
      <c r="F3747" s="158" t="str">
        <f>VLOOKUP(Sales[[#This Row],[Product ID]],Product[#All],2,0)</f>
        <v>Microtek UPS</v>
      </c>
      <c r="G3747" s="159">
        <v>4</v>
      </c>
      <c r="H3747" s="160">
        <f>VLOOKUP(Sales[[#This Row],[Product ID]],Product[#All],7,0)</f>
        <v>13470</v>
      </c>
      <c r="I3747" s="160">
        <f>Sales[[#This Row],[Selling Rate]]*Sales[[#This Row],[Qty]]</f>
        <v>53880</v>
      </c>
      <c r="J3747" s="43">
        <v>0.02</v>
      </c>
      <c r="K3747" s="44">
        <f>Sales[[#This Row],[Gross Amount]]*Sales[[#This Row],[Disc %]]</f>
        <v>1077.5999999999999</v>
      </c>
      <c r="L3747" s="43">
        <v>0.18</v>
      </c>
      <c r="M3747" s="44">
        <f>(Sales[[#This Row],[Gross Amount]]-Sales[[#This Row],[Disc. Amt.]])*Sales[[#This Row],[GST %]]</f>
        <v>9504.4320000000007</v>
      </c>
      <c r="N3747" s="161">
        <f>Sales[[#This Row],[Gross Amount]]-Sales[[#This Row],[Disc. Amt.]]+Sales[[#This Row],[GST Amount]]</f>
        <v>62306.832000000002</v>
      </c>
      <c r="O3747" s="158" t="s">
        <v>3569</v>
      </c>
      <c r="P3747" s="158" t="s">
        <v>3562</v>
      </c>
      <c r="Q3747" s="160">
        <f>IF(Sales[[#This Row],[Status]]="Cancelled",0,Sales[[#This Row],[Qty]])</f>
        <v>4</v>
      </c>
      <c r="R3747" s="161">
        <f>IF(Sales[[#This Row],[Status]]="Cancelled",0,Sales[[#This Row],[Total Amount]])</f>
        <v>62306.832000000002</v>
      </c>
      <c r="S3747" s="162">
        <f>SUM(Sales[Net Amount])</f>
        <v>406839287.73200053</v>
      </c>
    </row>
    <row r="3748" spans="1:19" ht="18.75" x14ac:dyDescent="0.25">
      <c r="A3748" s="163" t="s">
        <v>7417</v>
      </c>
      <c r="B3748" s="164">
        <v>45963</v>
      </c>
      <c r="C3748" s="34" t="s">
        <v>888</v>
      </c>
      <c r="D3748" s="53" t="str">
        <f>VLOOKUP(Sales[[#This Row],[Customer ID]],Customer[#All],2,0)</f>
        <v>Rahul Patel</v>
      </c>
      <c r="E3748" s="34" t="s">
        <v>460</v>
      </c>
      <c r="F3748" s="34" t="str">
        <f>VLOOKUP(Sales[[#This Row],[Product ID]],Product[#All],2,0)</f>
        <v>Logitech Keyboard</v>
      </c>
      <c r="G3748" s="53">
        <v>2</v>
      </c>
      <c r="H3748" s="165">
        <f>VLOOKUP(Sales[[#This Row],[Product ID]],Product[#All],7,0)</f>
        <v>3050</v>
      </c>
      <c r="I3748" s="165">
        <f>Sales[[#This Row],[Selling Rate]]*Sales[[#This Row],[Qty]]</f>
        <v>6100</v>
      </c>
      <c r="J3748" s="45">
        <v>0.12</v>
      </c>
      <c r="K3748" s="46">
        <f>Sales[[#This Row],[Gross Amount]]*Sales[[#This Row],[Disc %]]</f>
        <v>732</v>
      </c>
      <c r="L3748" s="43">
        <v>0.18</v>
      </c>
      <c r="M3748" s="46">
        <f>(Sales[[#This Row],[Gross Amount]]-Sales[[#This Row],[Disc. Amt.]])*Sales[[#This Row],[GST %]]</f>
        <v>966.24</v>
      </c>
      <c r="N3748" s="161">
        <f>Sales[[#This Row],[Gross Amount]]-Sales[[#This Row],[Disc. Amt.]]+Sales[[#This Row],[GST Amount]]</f>
        <v>6334.24</v>
      </c>
      <c r="O3748" s="34" t="s">
        <v>3566</v>
      </c>
      <c r="P3748" s="34" t="s">
        <v>3562</v>
      </c>
      <c r="Q3748" s="165">
        <f>IF(Sales[[#This Row],[Status]]="Cancelled",0,Sales[[#This Row],[Qty]])</f>
        <v>2</v>
      </c>
      <c r="R3748" s="166">
        <f>IF(Sales[[#This Row],[Status]]="Cancelled",0,Sales[[#This Row],[Total Amount]])</f>
        <v>6334.24</v>
      </c>
      <c r="S3748" s="162">
        <f>SUM(Sales[Net Amount])</f>
        <v>406839287.73200053</v>
      </c>
    </row>
    <row r="3749" spans="1:19" ht="18.75" x14ac:dyDescent="0.25">
      <c r="A3749" s="156" t="s">
        <v>7418</v>
      </c>
      <c r="B3749" s="157">
        <v>45963</v>
      </c>
      <c r="C3749" s="158" t="s">
        <v>859</v>
      </c>
      <c r="D3749" s="159" t="str">
        <f>VLOOKUP(Sales[[#This Row],[Customer ID]],Customer[#All],2,0)</f>
        <v>Rakesh Kumar</v>
      </c>
      <c r="E3749" s="158" t="s">
        <v>445</v>
      </c>
      <c r="F3749" s="158" t="str">
        <f>VLOOKUP(Sales[[#This Row],[Product ID]],Product[#All],2,0)</f>
        <v>Lenovo Laptop</v>
      </c>
      <c r="G3749" s="159">
        <v>1</v>
      </c>
      <c r="H3749" s="160">
        <f>VLOOKUP(Sales[[#This Row],[Product ID]],Product[#All],7,0)</f>
        <v>37710</v>
      </c>
      <c r="I3749" s="160">
        <f>Sales[[#This Row],[Selling Rate]]*Sales[[#This Row],[Qty]]</f>
        <v>37710</v>
      </c>
      <c r="J3749" s="43">
        <v>0.05</v>
      </c>
      <c r="K3749" s="44">
        <f>Sales[[#This Row],[Gross Amount]]*Sales[[#This Row],[Disc %]]</f>
        <v>1885.5</v>
      </c>
      <c r="L3749" s="43">
        <v>0.18</v>
      </c>
      <c r="M3749" s="44">
        <f>(Sales[[#This Row],[Gross Amount]]-Sales[[#This Row],[Disc. Amt.]])*Sales[[#This Row],[GST %]]</f>
        <v>6448.41</v>
      </c>
      <c r="N3749" s="161">
        <f>Sales[[#This Row],[Gross Amount]]-Sales[[#This Row],[Disc. Amt.]]+Sales[[#This Row],[GST Amount]]</f>
        <v>42272.91</v>
      </c>
      <c r="O3749" s="158" t="s">
        <v>3561</v>
      </c>
      <c r="P3749" s="158" t="s">
        <v>3562</v>
      </c>
      <c r="Q3749" s="160">
        <f>IF(Sales[[#This Row],[Status]]="Cancelled",0,Sales[[#This Row],[Qty]])</f>
        <v>1</v>
      </c>
      <c r="R3749" s="161">
        <f>IF(Sales[[#This Row],[Status]]="Cancelled",0,Sales[[#This Row],[Total Amount]])</f>
        <v>42272.91</v>
      </c>
      <c r="S3749" s="162">
        <f>SUM(Sales[Net Amount])</f>
        <v>406839287.73200053</v>
      </c>
    </row>
    <row r="3750" spans="1:19" ht="18.75" x14ac:dyDescent="0.25">
      <c r="A3750" s="163" t="s">
        <v>7419</v>
      </c>
      <c r="B3750" s="164">
        <v>45963</v>
      </c>
      <c r="C3750" s="34" t="s">
        <v>837</v>
      </c>
      <c r="D3750" s="53" t="str">
        <f>VLOOKUP(Sales[[#This Row],[Customer ID]],Customer[#All],2,0)</f>
        <v>Sahil Patel</v>
      </c>
      <c r="E3750" s="34" t="s">
        <v>527</v>
      </c>
      <c r="F3750" s="34" t="str">
        <f>VLOOKUP(Sales[[#This Row],[Product ID]],Product[#All],2,0)</f>
        <v>Acer Laptop</v>
      </c>
      <c r="G3750" s="53">
        <v>5</v>
      </c>
      <c r="H3750" s="165">
        <f>VLOOKUP(Sales[[#This Row],[Product ID]],Product[#All],7,0)</f>
        <v>29070</v>
      </c>
      <c r="I3750" s="165">
        <f>Sales[[#This Row],[Selling Rate]]*Sales[[#This Row],[Qty]]</f>
        <v>145350</v>
      </c>
      <c r="J3750" s="45">
        <v>0.02</v>
      </c>
      <c r="K3750" s="46">
        <f>Sales[[#This Row],[Gross Amount]]*Sales[[#This Row],[Disc %]]</f>
        <v>2907</v>
      </c>
      <c r="L3750" s="43">
        <v>0.18</v>
      </c>
      <c r="M3750" s="46">
        <f>(Sales[[#This Row],[Gross Amount]]-Sales[[#This Row],[Disc. Amt.]])*Sales[[#This Row],[GST %]]</f>
        <v>25639.739999999998</v>
      </c>
      <c r="N3750" s="161">
        <f>Sales[[#This Row],[Gross Amount]]-Sales[[#This Row],[Disc. Amt.]]+Sales[[#This Row],[GST Amount]]</f>
        <v>168082.74</v>
      </c>
      <c r="O3750" s="34" t="s">
        <v>3566</v>
      </c>
      <c r="P3750" s="34" t="s">
        <v>3562</v>
      </c>
      <c r="Q3750" s="165">
        <f>IF(Sales[[#This Row],[Status]]="Cancelled",0,Sales[[#This Row],[Qty]])</f>
        <v>5</v>
      </c>
      <c r="R3750" s="166">
        <f>IF(Sales[[#This Row],[Status]]="Cancelled",0,Sales[[#This Row],[Total Amount]])</f>
        <v>168082.74</v>
      </c>
      <c r="S3750" s="162">
        <f>SUM(Sales[Net Amount])</f>
        <v>406839287.73200053</v>
      </c>
    </row>
    <row r="3751" spans="1:19" ht="18.75" x14ac:dyDescent="0.25">
      <c r="A3751" s="156" t="s">
        <v>7420</v>
      </c>
      <c r="B3751" s="157">
        <v>45964</v>
      </c>
      <c r="C3751" s="158" t="s">
        <v>902</v>
      </c>
      <c r="D3751" s="159" t="str">
        <f>VLOOKUP(Sales[[#This Row],[Customer ID]],Customer[#All],2,0)</f>
        <v>Sunita Singh</v>
      </c>
      <c r="E3751" s="158" t="s">
        <v>507</v>
      </c>
      <c r="F3751" s="158" t="str">
        <f>VLOOKUP(Sales[[#This Row],[Product ID]],Product[#All],2,0)</f>
        <v>American TouristerLaptopBag</v>
      </c>
      <c r="G3751" s="159">
        <v>7</v>
      </c>
      <c r="H3751" s="160">
        <f>VLOOKUP(Sales[[#This Row],[Product ID]],Product[#All],7,0)</f>
        <v>2030</v>
      </c>
      <c r="I3751" s="160">
        <f>Sales[[#This Row],[Selling Rate]]*Sales[[#This Row],[Qty]]</f>
        <v>14210</v>
      </c>
      <c r="J3751" s="43">
        <v>0.05</v>
      </c>
      <c r="K3751" s="44">
        <f>Sales[[#This Row],[Gross Amount]]*Sales[[#This Row],[Disc %]]</f>
        <v>710.5</v>
      </c>
      <c r="L3751" s="43">
        <v>0.18</v>
      </c>
      <c r="M3751" s="44">
        <f>(Sales[[#This Row],[Gross Amount]]-Sales[[#This Row],[Disc. Amt.]])*Sales[[#This Row],[GST %]]</f>
        <v>2429.91</v>
      </c>
      <c r="N3751" s="161">
        <f>Sales[[#This Row],[Gross Amount]]-Sales[[#This Row],[Disc. Amt.]]+Sales[[#This Row],[GST Amount]]</f>
        <v>15929.41</v>
      </c>
      <c r="O3751" s="158" t="s">
        <v>3569</v>
      </c>
      <c r="P3751" s="158" t="s">
        <v>3562</v>
      </c>
      <c r="Q3751" s="160">
        <f>IF(Sales[[#This Row],[Status]]="Cancelled",0,Sales[[#This Row],[Qty]])</f>
        <v>7</v>
      </c>
      <c r="R3751" s="161">
        <f>IF(Sales[[#This Row],[Status]]="Cancelled",0,Sales[[#This Row],[Total Amount]])</f>
        <v>15929.41</v>
      </c>
      <c r="S3751" s="162">
        <f>SUM(Sales[Net Amount])</f>
        <v>406839287.73200053</v>
      </c>
    </row>
    <row r="3752" spans="1:19" ht="18.75" x14ac:dyDescent="0.25">
      <c r="A3752" s="163" t="s">
        <v>7421</v>
      </c>
      <c r="B3752" s="164">
        <v>45964</v>
      </c>
      <c r="C3752" s="34" t="s">
        <v>825</v>
      </c>
      <c r="D3752" s="53" t="str">
        <f>VLOOKUP(Sales[[#This Row],[Customer ID]],Customer[#All],2,0)</f>
        <v>Rahul Kumar</v>
      </c>
      <c r="E3752" s="34" t="s">
        <v>180</v>
      </c>
      <c r="F3752" s="34" t="str">
        <f>VLOOKUP(Sales[[#This Row],[Product ID]],Product[#All],2,0)</f>
        <v>Kingston Ram</v>
      </c>
      <c r="G3752" s="53">
        <v>8</v>
      </c>
      <c r="H3752" s="165">
        <f>VLOOKUP(Sales[[#This Row],[Product ID]],Product[#All],7,0)</f>
        <v>11780</v>
      </c>
      <c r="I3752" s="165">
        <f>Sales[[#This Row],[Selling Rate]]*Sales[[#This Row],[Qty]]</f>
        <v>94240</v>
      </c>
      <c r="J3752" s="45">
        <v>0.1</v>
      </c>
      <c r="K3752" s="46">
        <f>Sales[[#This Row],[Gross Amount]]*Sales[[#This Row],[Disc %]]</f>
        <v>9424</v>
      </c>
      <c r="L3752" s="43">
        <v>0.18</v>
      </c>
      <c r="M3752" s="46">
        <f>(Sales[[#This Row],[Gross Amount]]-Sales[[#This Row],[Disc. Amt.]])*Sales[[#This Row],[GST %]]</f>
        <v>15266.88</v>
      </c>
      <c r="N3752" s="161">
        <f>Sales[[#This Row],[Gross Amount]]-Sales[[#This Row],[Disc. Amt.]]+Sales[[#This Row],[GST Amount]]</f>
        <v>100082.88</v>
      </c>
      <c r="O3752" s="34" t="s">
        <v>3569</v>
      </c>
      <c r="P3752" s="34" t="s">
        <v>3562</v>
      </c>
      <c r="Q3752" s="165">
        <f>IF(Sales[[#This Row],[Status]]="Cancelled",0,Sales[[#This Row],[Qty]])</f>
        <v>8</v>
      </c>
      <c r="R3752" s="166">
        <f>IF(Sales[[#This Row],[Status]]="Cancelled",0,Sales[[#This Row],[Total Amount]])</f>
        <v>100082.88</v>
      </c>
      <c r="S3752" s="162">
        <f>SUM(Sales[Net Amount])</f>
        <v>406839287.73200053</v>
      </c>
    </row>
    <row r="3753" spans="1:19" ht="18.75" x14ac:dyDescent="0.25">
      <c r="A3753" s="156" t="s">
        <v>7422</v>
      </c>
      <c r="B3753" s="157">
        <v>45964</v>
      </c>
      <c r="C3753" s="158" t="s">
        <v>667</v>
      </c>
      <c r="D3753" s="159" t="str">
        <f>VLOOKUP(Sales[[#This Row],[Customer ID]],Customer[#All],2,0)</f>
        <v>Neha Gupta</v>
      </c>
      <c r="E3753" s="158" t="s">
        <v>450</v>
      </c>
      <c r="F3753" s="158" t="str">
        <f>VLOOKUP(Sales[[#This Row],[Product ID]],Product[#All],2,0)</f>
        <v>TP-link Bluetooth Adapter</v>
      </c>
      <c r="G3753" s="159">
        <v>8</v>
      </c>
      <c r="H3753" s="160">
        <f>VLOOKUP(Sales[[#This Row],[Product ID]],Product[#All],7,0)</f>
        <v>1270</v>
      </c>
      <c r="I3753" s="160">
        <f>Sales[[#This Row],[Selling Rate]]*Sales[[#This Row],[Qty]]</f>
        <v>10160</v>
      </c>
      <c r="J3753" s="43">
        <v>0</v>
      </c>
      <c r="K3753" s="44">
        <f>Sales[[#This Row],[Gross Amount]]*Sales[[#This Row],[Disc %]]</f>
        <v>0</v>
      </c>
      <c r="L3753" s="43">
        <v>0.18</v>
      </c>
      <c r="M3753" s="44">
        <f>(Sales[[#This Row],[Gross Amount]]-Sales[[#This Row],[Disc. Amt.]])*Sales[[#This Row],[GST %]]</f>
        <v>1828.8</v>
      </c>
      <c r="N3753" s="161">
        <f>Sales[[#This Row],[Gross Amount]]-Sales[[#This Row],[Disc. Amt.]]+Sales[[#This Row],[GST Amount]]</f>
        <v>11988.8</v>
      </c>
      <c r="O3753" s="158" t="s">
        <v>8876</v>
      </c>
      <c r="P3753" s="158" t="s">
        <v>3562</v>
      </c>
      <c r="Q3753" s="160">
        <f>IF(Sales[[#This Row],[Status]]="Cancelled",0,Sales[[#This Row],[Qty]])</f>
        <v>8</v>
      </c>
      <c r="R3753" s="161">
        <f>IF(Sales[[#This Row],[Status]]="Cancelled",0,Sales[[#This Row],[Total Amount]])</f>
        <v>11988.8</v>
      </c>
      <c r="S3753" s="162">
        <f>SUM(Sales[Net Amount])</f>
        <v>406839287.73200053</v>
      </c>
    </row>
    <row r="3754" spans="1:19" ht="18.75" x14ac:dyDescent="0.25">
      <c r="A3754" s="163" t="s">
        <v>7423</v>
      </c>
      <c r="B3754" s="164">
        <v>45964</v>
      </c>
      <c r="C3754" s="34" t="s">
        <v>821</v>
      </c>
      <c r="D3754" s="53" t="str">
        <f>VLOOKUP(Sales[[#This Row],[Customer ID]],Customer[#All],2,0)</f>
        <v>Rakesh Sharma</v>
      </c>
      <c r="E3754" s="34" t="s">
        <v>273</v>
      </c>
      <c r="F3754" s="34" t="str">
        <f>VLOOKUP(Sales[[#This Row],[Product ID]],Product[#All],2,0)</f>
        <v>Boat Headset</v>
      </c>
      <c r="G3754" s="53">
        <v>1</v>
      </c>
      <c r="H3754" s="165">
        <f>VLOOKUP(Sales[[#This Row],[Product ID]],Product[#All],7,0)</f>
        <v>4970</v>
      </c>
      <c r="I3754" s="165">
        <f>Sales[[#This Row],[Selling Rate]]*Sales[[#This Row],[Qty]]</f>
        <v>4970</v>
      </c>
      <c r="J3754" s="45">
        <v>0.05</v>
      </c>
      <c r="K3754" s="46">
        <f>Sales[[#This Row],[Gross Amount]]*Sales[[#This Row],[Disc %]]</f>
        <v>248.5</v>
      </c>
      <c r="L3754" s="43">
        <v>0.18</v>
      </c>
      <c r="M3754" s="46">
        <f>(Sales[[#This Row],[Gross Amount]]-Sales[[#This Row],[Disc. Amt.]])*Sales[[#This Row],[GST %]]</f>
        <v>849.87</v>
      </c>
      <c r="N3754" s="161">
        <f>Sales[[#This Row],[Gross Amount]]-Sales[[#This Row],[Disc. Amt.]]+Sales[[#This Row],[GST Amount]]</f>
        <v>5571.37</v>
      </c>
      <c r="O3754" s="34" t="s">
        <v>8876</v>
      </c>
      <c r="P3754" s="34" t="s">
        <v>3562</v>
      </c>
      <c r="Q3754" s="165">
        <f>IF(Sales[[#This Row],[Status]]="Cancelled",0,Sales[[#This Row],[Qty]])</f>
        <v>1</v>
      </c>
      <c r="R3754" s="166">
        <f>IF(Sales[[#This Row],[Status]]="Cancelled",0,Sales[[#This Row],[Total Amount]])</f>
        <v>5571.37</v>
      </c>
      <c r="S3754" s="162">
        <f>SUM(Sales[Net Amount])</f>
        <v>406839287.73200053</v>
      </c>
    </row>
    <row r="3755" spans="1:19" ht="18.75" x14ac:dyDescent="0.25">
      <c r="A3755" s="156" t="s">
        <v>7424</v>
      </c>
      <c r="B3755" s="157">
        <v>45964</v>
      </c>
      <c r="C3755" s="158" t="s">
        <v>830</v>
      </c>
      <c r="D3755" s="159" t="str">
        <f>VLOOKUP(Sales[[#This Row],[Customer ID]],Customer[#All],2,0)</f>
        <v>Rakesh Singh</v>
      </c>
      <c r="E3755" s="158" t="s">
        <v>156</v>
      </c>
      <c r="F3755" s="158" t="str">
        <f>VLOOKUP(Sales[[#This Row],[Product ID]],Product[#All],2,0)</f>
        <v>Boat Speaker</v>
      </c>
      <c r="G3755" s="159">
        <v>6</v>
      </c>
      <c r="H3755" s="160">
        <f>VLOOKUP(Sales[[#This Row],[Product ID]],Product[#All],7,0)</f>
        <v>3240</v>
      </c>
      <c r="I3755" s="160">
        <f>Sales[[#This Row],[Selling Rate]]*Sales[[#This Row],[Qty]]</f>
        <v>19440</v>
      </c>
      <c r="J3755" s="43">
        <v>0</v>
      </c>
      <c r="K3755" s="44">
        <f>Sales[[#This Row],[Gross Amount]]*Sales[[#This Row],[Disc %]]</f>
        <v>0</v>
      </c>
      <c r="L3755" s="43">
        <v>0.18</v>
      </c>
      <c r="M3755" s="44">
        <f>(Sales[[#This Row],[Gross Amount]]-Sales[[#This Row],[Disc. Amt.]])*Sales[[#This Row],[GST %]]</f>
        <v>3499.2</v>
      </c>
      <c r="N3755" s="161">
        <f>Sales[[#This Row],[Gross Amount]]-Sales[[#This Row],[Disc. Amt.]]+Sales[[#This Row],[GST Amount]]</f>
        <v>22939.200000000001</v>
      </c>
      <c r="O3755" s="158" t="s">
        <v>8876</v>
      </c>
      <c r="P3755" s="158" t="s">
        <v>3562</v>
      </c>
      <c r="Q3755" s="160">
        <f>IF(Sales[[#This Row],[Status]]="Cancelled",0,Sales[[#This Row],[Qty]])</f>
        <v>6</v>
      </c>
      <c r="R3755" s="161">
        <f>IF(Sales[[#This Row],[Status]]="Cancelled",0,Sales[[#This Row],[Total Amount]])</f>
        <v>22939.200000000001</v>
      </c>
      <c r="S3755" s="162">
        <f>SUM(Sales[Net Amount])</f>
        <v>406839287.73200053</v>
      </c>
    </row>
    <row r="3756" spans="1:19" ht="18.75" x14ac:dyDescent="0.25">
      <c r="A3756" s="163" t="s">
        <v>7425</v>
      </c>
      <c r="B3756" s="164">
        <v>45964</v>
      </c>
      <c r="C3756" s="34" t="s">
        <v>941</v>
      </c>
      <c r="D3756" s="53" t="str">
        <f>VLOOKUP(Sales[[#This Row],[Customer ID]],Customer[#All],2,0)</f>
        <v>Sahil Verma</v>
      </c>
      <c r="E3756" s="34" t="s">
        <v>519</v>
      </c>
      <c r="F3756" s="34" t="str">
        <f>VLOOKUP(Sales[[#This Row],[Product ID]],Product[#All],2,0)</f>
        <v>WD HDD</v>
      </c>
      <c r="G3756" s="53">
        <v>4</v>
      </c>
      <c r="H3756" s="165">
        <f>VLOOKUP(Sales[[#This Row],[Product ID]],Product[#All],7,0)</f>
        <v>8730</v>
      </c>
      <c r="I3756" s="165">
        <f>Sales[[#This Row],[Selling Rate]]*Sales[[#This Row],[Qty]]</f>
        <v>34920</v>
      </c>
      <c r="J3756" s="45">
        <v>0.1</v>
      </c>
      <c r="K3756" s="46">
        <f>Sales[[#This Row],[Gross Amount]]*Sales[[#This Row],[Disc %]]</f>
        <v>3492</v>
      </c>
      <c r="L3756" s="43">
        <v>0.18</v>
      </c>
      <c r="M3756" s="46">
        <f>(Sales[[#This Row],[Gross Amount]]-Sales[[#This Row],[Disc. Amt.]])*Sales[[#This Row],[GST %]]</f>
        <v>5657.04</v>
      </c>
      <c r="N3756" s="161">
        <f>Sales[[#This Row],[Gross Amount]]-Sales[[#This Row],[Disc. Amt.]]+Sales[[#This Row],[GST Amount]]</f>
        <v>37085.040000000001</v>
      </c>
      <c r="O3756" s="34" t="s">
        <v>3566</v>
      </c>
      <c r="P3756" s="34" t="s">
        <v>1040</v>
      </c>
      <c r="Q3756" s="165">
        <f>IF(Sales[[#This Row],[Status]]="Cancelled",0,Sales[[#This Row],[Qty]])</f>
        <v>0</v>
      </c>
      <c r="R3756" s="166">
        <f>IF(Sales[[#This Row],[Status]]="Cancelled",0,Sales[[#This Row],[Total Amount]])</f>
        <v>0</v>
      </c>
      <c r="S3756" s="162">
        <f>SUM(Sales[Net Amount])</f>
        <v>406839287.73200053</v>
      </c>
    </row>
    <row r="3757" spans="1:19" ht="18.75" x14ac:dyDescent="0.25">
      <c r="A3757" s="156" t="s">
        <v>7426</v>
      </c>
      <c r="B3757" s="157">
        <v>45964</v>
      </c>
      <c r="C3757" s="158" t="s">
        <v>840</v>
      </c>
      <c r="D3757" s="159" t="str">
        <f>VLOOKUP(Sales[[#This Row],[Customer ID]],Customer[#All],2,0)</f>
        <v>Rakesh Verma</v>
      </c>
      <c r="E3757" s="158" t="s">
        <v>482</v>
      </c>
      <c r="F3757" s="158" t="str">
        <f>VLOOKUP(Sales[[#This Row],[Product ID]],Product[#All],2,0)</f>
        <v>HP Mouse</v>
      </c>
      <c r="G3757" s="159">
        <v>8</v>
      </c>
      <c r="H3757" s="160">
        <f>VLOOKUP(Sales[[#This Row],[Product ID]],Product[#All],7,0)</f>
        <v>790</v>
      </c>
      <c r="I3757" s="160">
        <f>Sales[[#This Row],[Selling Rate]]*Sales[[#This Row],[Qty]]</f>
        <v>6320</v>
      </c>
      <c r="J3757" s="43">
        <v>0.15</v>
      </c>
      <c r="K3757" s="44">
        <f>Sales[[#This Row],[Gross Amount]]*Sales[[#This Row],[Disc %]]</f>
        <v>948</v>
      </c>
      <c r="L3757" s="43">
        <v>0.18</v>
      </c>
      <c r="M3757" s="44">
        <f>(Sales[[#This Row],[Gross Amount]]-Sales[[#This Row],[Disc. Amt.]])*Sales[[#This Row],[GST %]]</f>
        <v>966.95999999999992</v>
      </c>
      <c r="N3757" s="161">
        <f>Sales[[#This Row],[Gross Amount]]-Sales[[#This Row],[Disc. Amt.]]+Sales[[#This Row],[GST Amount]]</f>
        <v>6338.96</v>
      </c>
      <c r="O3757" s="158" t="s">
        <v>3561</v>
      </c>
      <c r="P3757" s="158" t="s">
        <v>3562</v>
      </c>
      <c r="Q3757" s="160">
        <f>IF(Sales[[#This Row],[Status]]="Cancelled",0,Sales[[#This Row],[Qty]])</f>
        <v>8</v>
      </c>
      <c r="R3757" s="161">
        <f>IF(Sales[[#This Row],[Status]]="Cancelled",0,Sales[[#This Row],[Total Amount]])</f>
        <v>6338.96</v>
      </c>
      <c r="S3757" s="162">
        <f>SUM(Sales[Net Amount])</f>
        <v>406839287.73200053</v>
      </c>
    </row>
    <row r="3758" spans="1:19" ht="18.75" x14ac:dyDescent="0.25">
      <c r="A3758" s="163" t="s">
        <v>7427</v>
      </c>
      <c r="B3758" s="164">
        <v>45964</v>
      </c>
      <c r="C3758" s="34" t="s">
        <v>717</v>
      </c>
      <c r="D3758" s="53" t="str">
        <f>VLOOKUP(Sales[[#This Row],[Customer ID]],Customer[#All],2,0)</f>
        <v>Sunita Singh</v>
      </c>
      <c r="E3758" s="34" t="s">
        <v>217</v>
      </c>
      <c r="F3758" s="34" t="str">
        <f>VLOOKUP(Sales[[#This Row],[Product ID]],Product[#All],2,0)</f>
        <v>Logitech Webcam</v>
      </c>
      <c r="G3758" s="53">
        <v>8</v>
      </c>
      <c r="H3758" s="165">
        <f>VLOOKUP(Sales[[#This Row],[Product ID]],Product[#All],7,0)</f>
        <v>2420</v>
      </c>
      <c r="I3758" s="165">
        <f>Sales[[#This Row],[Selling Rate]]*Sales[[#This Row],[Qty]]</f>
        <v>19360</v>
      </c>
      <c r="J3758" s="45">
        <v>0.15</v>
      </c>
      <c r="K3758" s="46">
        <f>Sales[[#This Row],[Gross Amount]]*Sales[[#This Row],[Disc %]]</f>
        <v>2904</v>
      </c>
      <c r="L3758" s="43">
        <v>0.18</v>
      </c>
      <c r="M3758" s="46">
        <f>(Sales[[#This Row],[Gross Amount]]-Sales[[#This Row],[Disc. Amt.]])*Sales[[#This Row],[GST %]]</f>
        <v>2962.08</v>
      </c>
      <c r="N3758" s="161">
        <f>Sales[[#This Row],[Gross Amount]]-Sales[[#This Row],[Disc. Amt.]]+Sales[[#This Row],[GST Amount]]</f>
        <v>19418.080000000002</v>
      </c>
      <c r="O3758" s="34" t="s">
        <v>8876</v>
      </c>
      <c r="P3758" s="34" t="s">
        <v>3562</v>
      </c>
      <c r="Q3758" s="165">
        <f>IF(Sales[[#This Row],[Status]]="Cancelled",0,Sales[[#This Row],[Qty]])</f>
        <v>8</v>
      </c>
      <c r="R3758" s="166">
        <f>IF(Sales[[#This Row],[Status]]="Cancelled",0,Sales[[#This Row],[Total Amount]])</f>
        <v>19418.080000000002</v>
      </c>
      <c r="S3758" s="162">
        <f>SUM(Sales[Net Amount])</f>
        <v>406839287.73200053</v>
      </c>
    </row>
    <row r="3759" spans="1:19" ht="18.75" x14ac:dyDescent="0.25">
      <c r="A3759" s="156" t="s">
        <v>7428</v>
      </c>
      <c r="B3759" s="157">
        <v>45964</v>
      </c>
      <c r="C3759" s="158" t="s">
        <v>758</v>
      </c>
      <c r="D3759" s="159" t="str">
        <f>VLOOKUP(Sales[[#This Row],[Customer ID]],Customer[#All],2,0)</f>
        <v>Rahul Verma</v>
      </c>
      <c r="E3759" s="158" t="s">
        <v>162</v>
      </c>
      <c r="F3759" s="158" t="str">
        <f>VLOOKUP(Sales[[#This Row],[Product ID]],Product[#All],2,0)</f>
        <v>Amazon Basics Hdmi Cable</v>
      </c>
      <c r="G3759" s="159">
        <v>8</v>
      </c>
      <c r="H3759" s="160">
        <f>VLOOKUP(Sales[[#This Row],[Product ID]],Product[#All],7,0)</f>
        <v>820</v>
      </c>
      <c r="I3759" s="160">
        <f>Sales[[#This Row],[Selling Rate]]*Sales[[#This Row],[Qty]]</f>
        <v>6560</v>
      </c>
      <c r="J3759" s="43">
        <v>0</v>
      </c>
      <c r="K3759" s="44">
        <f>Sales[[#This Row],[Gross Amount]]*Sales[[#This Row],[Disc %]]</f>
        <v>0</v>
      </c>
      <c r="L3759" s="43">
        <v>0.18</v>
      </c>
      <c r="M3759" s="44">
        <f>(Sales[[#This Row],[Gross Amount]]-Sales[[#This Row],[Disc. Amt.]])*Sales[[#This Row],[GST %]]</f>
        <v>1180.8</v>
      </c>
      <c r="N3759" s="161">
        <f>Sales[[#This Row],[Gross Amount]]-Sales[[#This Row],[Disc. Amt.]]+Sales[[#This Row],[GST Amount]]</f>
        <v>7740.8</v>
      </c>
      <c r="O3759" s="158" t="s">
        <v>3566</v>
      </c>
      <c r="P3759" s="158" t="s">
        <v>3562</v>
      </c>
      <c r="Q3759" s="160">
        <f>IF(Sales[[#This Row],[Status]]="Cancelled",0,Sales[[#This Row],[Qty]])</f>
        <v>8</v>
      </c>
      <c r="R3759" s="161">
        <f>IF(Sales[[#This Row],[Status]]="Cancelled",0,Sales[[#This Row],[Total Amount]])</f>
        <v>7740.8</v>
      </c>
      <c r="S3759" s="162">
        <f>SUM(Sales[Net Amount])</f>
        <v>406839287.73200053</v>
      </c>
    </row>
    <row r="3760" spans="1:19" ht="18.75" x14ac:dyDescent="0.25">
      <c r="A3760" s="163" t="s">
        <v>7429</v>
      </c>
      <c r="B3760" s="164">
        <v>45964</v>
      </c>
      <c r="C3760" s="34" t="s">
        <v>763</v>
      </c>
      <c r="D3760" s="53" t="str">
        <f>VLOOKUP(Sales[[#This Row],[Customer ID]],Customer[#All],2,0)</f>
        <v>Pooja Verma</v>
      </c>
      <c r="E3760" s="34" t="s">
        <v>80</v>
      </c>
      <c r="F3760" s="34" t="str">
        <f>VLOOKUP(Sales[[#This Row],[Product ID]],Product[#All],2,0)</f>
        <v>Epson Printer</v>
      </c>
      <c r="G3760" s="53">
        <v>5</v>
      </c>
      <c r="H3760" s="165">
        <f>VLOOKUP(Sales[[#This Row],[Product ID]],Product[#All],7,0)</f>
        <v>41620</v>
      </c>
      <c r="I3760" s="165">
        <f>Sales[[#This Row],[Selling Rate]]*Sales[[#This Row],[Qty]]</f>
        <v>208100</v>
      </c>
      <c r="J3760" s="45">
        <v>0</v>
      </c>
      <c r="K3760" s="46">
        <f>Sales[[#This Row],[Gross Amount]]*Sales[[#This Row],[Disc %]]</f>
        <v>0</v>
      </c>
      <c r="L3760" s="43">
        <v>0.18</v>
      </c>
      <c r="M3760" s="46">
        <f>(Sales[[#This Row],[Gross Amount]]-Sales[[#This Row],[Disc. Amt.]])*Sales[[#This Row],[GST %]]</f>
        <v>37458</v>
      </c>
      <c r="N3760" s="161">
        <f>Sales[[#This Row],[Gross Amount]]-Sales[[#This Row],[Disc. Amt.]]+Sales[[#This Row],[GST Amount]]</f>
        <v>245558</v>
      </c>
      <c r="O3760" s="34" t="s">
        <v>3561</v>
      </c>
      <c r="P3760" s="34" t="s">
        <v>3562</v>
      </c>
      <c r="Q3760" s="165">
        <f>IF(Sales[[#This Row],[Status]]="Cancelled",0,Sales[[#This Row],[Qty]])</f>
        <v>5</v>
      </c>
      <c r="R3760" s="166">
        <f>IF(Sales[[#This Row],[Status]]="Cancelled",0,Sales[[#This Row],[Total Amount]])</f>
        <v>245558</v>
      </c>
      <c r="S3760" s="162">
        <f>SUM(Sales[Net Amount])</f>
        <v>406839287.73200053</v>
      </c>
    </row>
    <row r="3761" spans="1:19" ht="18.75" x14ac:dyDescent="0.25">
      <c r="A3761" s="156" t="s">
        <v>7430</v>
      </c>
      <c r="B3761" s="157">
        <v>45964</v>
      </c>
      <c r="C3761" s="158" t="s">
        <v>844</v>
      </c>
      <c r="D3761" s="159" t="str">
        <f>VLOOKUP(Sales[[#This Row],[Customer ID]],Customer[#All],2,0)</f>
        <v>Rahul Sharma</v>
      </c>
      <c r="E3761" s="158" t="s">
        <v>86</v>
      </c>
      <c r="F3761" s="158" t="str">
        <f>VLOOKUP(Sales[[#This Row],[Product ID]],Product[#All],2,0)</f>
        <v>Lg Monitor</v>
      </c>
      <c r="G3761" s="159">
        <v>3</v>
      </c>
      <c r="H3761" s="160">
        <f>VLOOKUP(Sales[[#This Row],[Product ID]],Product[#All],7,0)</f>
        <v>14730</v>
      </c>
      <c r="I3761" s="160">
        <f>Sales[[#This Row],[Selling Rate]]*Sales[[#This Row],[Qty]]</f>
        <v>44190</v>
      </c>
      <c r="J3761" s="43">
        <v>0</v>
      </c>
      <c r="K3761" s="44">
        <f>Sales[[#This Row],[Gross Amount]]*Sales[[#This Row],[Disc %]]</f>
        <v>0</v>
      </c>
      <c r="L3761" s="43">
        <v>0.18</v>
      </c>
      <c r="M3761" s="44">
        <f>(Sales[[#This Row],[Gross Amount]]-Sales[[#This Row],[Disc. Amt.]])*Sales[[#This Row],[GST %]]</f>
        <v>7954.2</v>
      </c>
      <c r="N3761" s="161">
        <f>Sales[[#This Row],[Gross Amount]]-Sales[[#This Row],[Disc. Amt.]]+Sales[[#This Row],[GST Amount]]</f>
        <v>52144.2</v>
      </c>
      <c r="O3761" s="158" t="s">
        <v>8876</v>
      </c>
      <c r="P3761" s="158" t="s">
        <v>3562</v>
      </c>
      <c r="Q3761" s="160">
        <f>IF(Sales[[#This Row],[Status]]="Cancelled",0,Sales[[#This Row],[Qty]])</f>
        <v>3</v>
      </c>
      <c r="R3761" s="161">
        <f>IF(Sales[[#This Row],[Status]]="Cancelled",0,Sales[[#This Row],[Total Amount]])</f>
        <v>52144.2</v>
      </c>
      <c r="S3761" s="162">
        <f>SUM(Sales[Net Amount])</f>
        <v>406839287.73200053</v>
      </c>
    </row>
    <row r="3762" spans="1:19" ht="18.75" x14ac:dyDescent="0.25">
      <c r="A3762" s="163" t="s">
        <v>7431</v>
      </c>
      <c r="B3762" s="164">
        <v>45964</v>
      </c>
      <c r="C3762" s="34" t="s">
        <v>681</v>
      </c>
      <c r="D3762" s="53" t="str">
        <f>VLOOKUP(Sales[[#This Row],[Customer ID]],Customer[#All],2,0)</f>
        <v>Amit Kumar</v>
      </c>
      <c r="E3762" s="34" t="s">
        <v>291</v>
      </c>
      <c r="F3762" s="34" t="str">
        <f>VLOOKUP(Sales[[#This Row],[Product ID]],Product[#All],2,0)</f>
        <v>Jbl Speaker</v>
      </c>
      <c r="G3762" s="53">
        <v>5</v>
      </c>
      <c r="H3762" s="165">
        <f>VLOOKUP(Sales[[#This Row],[Product ID]],Product[#All],7,0)</f>
        <v>12040</v>
      </c>
      <c r="I3762" s="165">
        <f>Sales[[#This Row],[Selling Rate]]*Sales[[#This Row],[Qty]]</f>
        <v>60200</v>
      </c>
      <c r="J3762" s="45">
        <v>0.05</v>
      </c>
      <c r="K3762" s="46">
        <f>Sales[[#This Row],[Gross Amount]]*Sales[[#This Row],[Disc %]]</f>
        <v>3010</v>
      </c>
      <c r="L3762" s="43">
        <v>0.18</v>
      </c>
      <c r="M3762" s="46">
        <f>(Sales[[#This Row],[Gross Amount]]-Sales[[#This Row],[Disc. Amt.]])*Sales[[#This Row],[GST %]]</f>
        <v>10294.199999999999</v>
      </c>
      <c r="N3762" s="161">
        <f>Sales[[#This Row],[Gross Amount]]-Sales[[#This Row],[Disc. Amt.]]+Sales[[#This Row],[GST Amount]]</f>
        <v>67484.2</v>
      </c>
      <c r="O3762" s="34" t="s">
        <v>8876</v>
      </c>
      <c r="P3762" s="34" t="s">
        <v>3562</v>
      </c>
      <c r="Q3762" s="165">
        <f>IF(Sales[[#This Row],[Status]]="Cancelled",0,Sales[[#This Row],[Qty]])</f>
        <v>5</v>
      </c>
      <c r="R3762" s="166">
        <f>IF(Sales[[#This Row],[Status]]="Cancelled",0,Sales[[#This Row],[Total Amount]])</f>
        <v>67484.2</v>
      </c>
      <c r="S3762" s="162">
        <f>SUM(Sales[Net Amount])</f>
        <v>406839287.73200053</v>
      </c>
    </row>
    <row r="3763" spans="1:19" ht="18.75" x14ac:dyDescent="0.25">
      <c r="A3763" s="156" t="s">
        <v>7432</v>
      </c>
      <c r="B3763" s="157">
        <v>45964</v>
      </c>
      <c r="C3763" s="158" t="s">
        <v>799</v>
      </c>
      <c r="D3763" s="159" t="str">
        <f>VLOOKUP(Sales[[#This Row],[Customer ID]],Customer[#All],2,0)</f>
        <v>Rakesh Gupta</v>
      </c>
      <c r="E3763" s="158" t="s">
        <v>294</v>
      </c>
      <c r="F3763" s="158" t="str">
        <f>VLOOKUP(Sales[[#This Row],[Product ID]],Product[#All],2,0)</f>
        <v>Samsung Monitor</v>
      </c>
      <c r="G3763" s="159">
        <v>8</v>
      </c>
      <c r="H3763" s="160">
        <f>VLOOKUP(Sales[[#This Row],[Product ID]],Product[#All],7,0)</f>
        <v>33870</v>
      </c>
      <c r="I3763" s="160">
        <f>Sales[[#This Row],[Selling Rate]]*Sales[[#This Row],[Qty]]</f>
        <v>270960</v>
      </c>
      <c r="J3763" s="43">
        <v>0</v>
      </c>
      <c r="K3763" s="44">
        <f>Sales[[#This Row],[Gross Amount]]*Sales[[#This Row],[Disc %]]</f>
        <v>0</v>
      </c>
      <c r="L3763" s="43">
        <v>0.18</v>
      </c>
      <c r="M3763" s="44">
        <f>(Sales[[#This Row],[Gross Amount]]-Sales[[#This Row],[Disc. Amt.]])*Sales[[#This Row],[GST %]]</f>
        <v>48772.799999999996</v>
      </c>
      <c r="N3763" s="161">
        <f>Sales[[#This Row],[Gross Amount]]-Sales[[#This Row],[Disc. Amt.]]+Sales[[#This Row],[GST Amount]]</f>
        <v>319732.8</v>
      </c>
      <c r="O3763" s="158" t="s">
        <v>8876</v>
      </c>
      <c r="P3763" s="158" t="s">
        <v>3562</v>
      </c>
      <c r="Q3763" s="160">
        <f>IF(Sales[[#This Row],[Status]]="Cancelled",0,Sales[[#This Row],[Qty]])</f>
        <v>8</v>
      </c>
      <c r="R3763" s="161">
        <f>IF(Sales[[#This Row],[Status]]="Cancelled",0,Sales[[#This Row],[Total Amount]])</f>
        <v>319732.8</v>
      </c>
      <c r="S3763" s="162">
        <f>SUM(Sales[Net Amount])</f>
        <v>406839287.73200053</v>
      </c>
    </row>
    <row r="3764" spans="1:19" ht="18.75" x14ac:dyDescent="0.25">
      <c r="A3764" s="163" t="s">
        <v>7433</v>
      </c>
      <c r="B3764" s="164">
        <v>45964</v>
      </c>
      <c r="C3764" s="34" t="s">
        <v>4617</v>
      </c>
      <c r="D3764" s="53" t="str">
        <f>VLOOKUP(Sales[[#This Row],[Customer ID]],Customer[#All],2,0)</f>
        <v>Sahil Kumar</v>
      </c>
      <c r="E3764" s="34" t="s">
        <v>491</v>
      </c>
      <c r="F3764" s="34" t="str">
        <f>VLOOKUP(Sales[[#This Row],[Product ID]],Product[#All],2,0)</f>
        <v>Boat Speaker</v>
      </c>
      <c r="G3764" s="53">
        <v>2</v>
      </c>
      <c r="H3764" s="165">
        <f>VLOOKUP(Sales[[#This Row],[Product ID]],Product[#All],7,0)</f>
        <v>2300</v>
      </c>
      <c r="I3764" s="165">
        <f>Sales[[#This Row],[Selling Rate]]*Sales[[#This Row],[Qty]]</f>
        <v>4600</v>
      </c>
      <c r="J3764" s="45">
        <v>0.05</v>
      </c>
      <c r="K3764" s="46">
        <f>Sales[[#This Row],[Gross Amount]]*Sales[[#This Row],[Disc %]]</f>
        <v>230</v>
      </c>
      <c r="L3764" s="43">
        <v>0.18</v>
      </c>
      <c r="M3764" s="46">
        <f>(Sales[[#This Row],[Gross Amount]]-Sales[[#This Row],[Disc. Amt.]])*Sales[[#This Row],[GST %]]</f>
        <v>786.6</v>
      </c>
      <c r="N3764" s="161">
        <f>Sales[[#This Row],[Gross Amount]]-Sales[[#This Row],[Disc. Amt.]]+Sales[[#This Row],[GST Amount]]</f>
        <v>5156.6000000000004</v>
      </c>
      <c r="O3764" s="34" t="s">
        <v>3561</v>
      </c>
      <c r="P3764" s="34" t="s">
        <v>3562</v>
      </c>
      <c r="Q3764" s="165">
        <f>IF(Sales[[#This Row],[Status]]="Cancelled",0,Sales[[#This Row],[Qty]])</f>
        <v>2</v>
      </c>
      <c r="R3764" s="166">
        <f>IF(Sales[[#This Row],[Status]]="Cancelled",0,Sales[[#This Row],[Total Amount]])</f>
        <v>5156.6000000000004</v>
      </c>
      <c r="S3764" s="162">
        <f>SUM(Sales[Net Amount])</f>
        <v>406839287.73200053</v>
      </c>
    </row>
    <row r="3765" spans="1:19" ht="18.75" x14ac:dyDescent="0.25">
      <c r="A3765" s="156" t="s">
        <v>7434</v>
      </c>
      <c r="B3765" s="157">
        <v>45965</v>
      </c>
      <c r="C3765" s="158" t="s">
        <v>746</v>
      </c>
      <c r="D3765" s="159" t="str">
        <f>VLOOKUP(Sales[[#This Row],[Customer ID]],Customer[#All],2,0)</f>
        <v>Sunita Kumar</v>
      </c>
      <c r="E3765" s="158" t="s">
        <v>507</v>
      </c>
      <c r="F3765" s="158" t="str">
        <f>VLOOKUP(Sales[[#This Row],[Product ID]],Product[#All],2,0)</f>
        <v>American TouristerLaptopBag</v>
      </c>
      <c r="G3765" s="159">
        <v>6</v>
      </c>
      <c r="H3765" s="160">
        <f>VLOOKUP(Sales[[#This Row],[Product ID]],Product[#All],7,0)</f>
        <v>2030</v>
      </c>
      <c r="I3765" s="160">
        <f>Sales[[#This Row],[Selling Rate]]*Sales[[#This Row],[Qty]]</f>
        <v>12180</v>
      </c>
      <c r="J3765" s="43">
        <v>0.05</v>
      </c>
      <c r="K3765" s="44">
        <f>Sales[[#This Row],[Gross Amount]]*Sales[[#This Row],[Disc %]]</f>
        <v>609</v>
      </c>
      <c r="L3765" s="43">
        <v>0.18</v>
      </c>
      <c r="M3765" s="44">
        <f>(Sales[[#This Row],[Gross Amount]]-Sales[[#This Row],[Disc. Amt.]])*Sales[[#This Row],[GST %]]</f>
        <v>2082.7799999999997</v>
      </c>
      <c r="N3765" s="161">
        <f>Sales[[#This Row],[Gross Amount]]-Sales[[#This Row],[Disc. Amt.]]+Sales[[#This Row],[GST Amount]]</f>
        <v>13653.779999999999</v>
      </c>
      <c r="O3765" s="158" t="s">
        <v>3569</v>
      </c>
      <c r="P3765" s="158" t="s">
        <v>3562</v>
      </c>
      <c r="Q3765" s="160">
        <f>IF(Sales[[#This Row],[Status]]="Cancelled",0,Sales[[#This Row],[Qty]])</f>
        <v>6</v>
      </c>
      <c r="R3765" s="161">
        <f>IF(Sales[[#This Row],[Status]]="Cancelled",0,Sales[[#This Row],[Total Amount]])</f>
        <v>13653.779999999999</v>
      </c>
      <c r="S3765" s="162">
        <f>SUM(Sales[Net Amount])</f>
        <v>406839287.73200053</v>
      </c>
    </row>
    <row r="3766" spans="1:19" ht="18.75" x14ac:dyDescent="0.25">
      <c r="A3766" s="163" t="s">
        <v>7435</v>
      </c>
      <c r="B3766" s="164">
        <v>45965</v>
      </c>
      <c r="C3766" s="34" t="s">
        <v>689</v>
      </c>
      <c r="D3766" s="53" t="str">
        <f>VLOOKUP(Sales[[#This Row],[Customer ID]],Customer[#All],2,0)</f>
        <v>Sahil Kumar</v>
      </c>
      <c r="E3766" s="34" t="s">
        <v>186</v>
      </c>
      <c r="F3766" s="34" t="str">
        <f>VLOOKUP(Sales[[#This Row],[Product ID]],Product[#All],2,0)</f>
        <v>Corsair Ram</v>
      </c>
      <c r="G3766" s="53">
        <v>5</v>
      </c>
      <c r="H3766" s="165">
        <f>VLOOKUP(Sales[[#This Row],[Product ID]],Product[#All],7,0)</f>
        <v>11620</v>
      </c>
      <c r="I3766" s="165">
        <f>Sales[[#This Row],[Selling Rate]]*Sales[[#This Row],[Qty]]</f>
        <v>58100</v>
      </c>
      <c r="J3766" s="45">
        <v>0.1</v>
      </c>
      <c r="K3766" s="46">
        <f>Sales[[#This Row],[Gross Amount]]*Sales[[#This Row],[Disc %]]</f>
        <v>5810</v>
      </c>
      <c r="L3766" s="43">
        <v>0.18</v>
      </c>
      <c r="M3766" s="46">
        <f>(Sales[[#This Row],[Gross Amount]]-Sales[[#This Row],[Disc. Amt.]])*Sales[[#This Row],[GST %]]</f>
        <v>9412.1999999999989</v>
      </c>
      <c r="N3766" s="161">
        <f>Sales[[#This Row],[Gross Amount]]-Sales[[#This Row],[Disc. Amt.]]+Sales[[#This Row],[GST Amount]]</f>
        <v>61702.2</v>
      </c>
      <c r="O3766" s="34" t="s">
        <v>3566</v>
      </c>
      <c r="P3766" s="34" t="s">
        <v>3562</v>
      </c>
      <c r="Q3766" s="165">
        <f>IF(Sales[[#This Row],[Status]]="Cancelled",0,Sales[[#This Row],[Qty]])</f>
        <v>5</v>
      </c>
      <c r="R3766" s="166">
        <f>IF(Sales[[#This Row],[Status]]="Cancelled",0,Sales[[#This Row],[Total Amount]])</f>
        <v>61702.2</v>
      </c>
      <c r="S3766" s="162">
        <f>SUM(Sales[Net Amount])</f>
        <v>406839287.73200053</v>
      </c>
    </row>
    <row r="3767" spans="1:19" ht="18.75" x14ac:dyDescent="0.25">
      <c r="A3767" s="156" t="s">
        <v>7436</v>
      </c>
      <c r="B3767" s="157">
        <v>45965</v>
      </c>
      <c r="C3767" s="158" t="s">
        <v>692</v>
      </c>
      <c r="D3767" s="159" t="str">
        <f>VLOOKUP(Sales[[#This Row],[Customer ID]],Customer[#All],2,0)</f>
        <v>Rahul Patel</v>
      </c>
      <c r="E3767" s="158" t="s">
        <v>228</v>
      </c>
      <c r="F3767" s="158" t="str">
        <f>VLOOKUP(Sales[[#This Row],[Product ID]],Product[#All],2,0)</f>
        <v>Samsung Monitor</v>
      </c>
      <c r="G3767" s="159">
        <v>4</v>
      </c>
      <c r="H3767" s="160">
        <f>VLOOKUP(Sales[[#This Row],[Product ID]],Product[#All],7,0)</f>
        <v>29600</v>
      </c>
      <c r="I3767" s="160">
        <f>Sales[[#This Row],[Selling Rate]]*Sales[[#This Row],[Qty]]</f>
        <v>118400</v>
      </c>
      <c r="J3767" s="43">
        <v>0.02</v>
      </c>
      <c r="K3767" s="44">
        <f>Sales[[#This Row],[Gross Amount]]*Sales[[#This Row],[Disc %]]</f>
        <v>2368</v>
      </c>
      <c r="L3767" s="43">
        <v>0.18</v>
      </c>
      <c r="M3767" s="44">
        <f>(Sales[[#This Row],[Gross Amount]]-Sales[[#This Row],[Disc. Amt.]])*Sales[[#This Row],[GST %]]</f>
        <v>20885.759999999998</v>
      </c>
      <c r="N3767" s="161">
        <f>Sales[[#This Row],[Gross Amount]]-Sales[[#This Row],[Disc. Amt.]]+Sales[[#This Row],[GST Amount]]</f>
        <v>136917.76000000001</v>
      </c>
      <c r="O3767" s="158" t="s">
        <v>3566</v>
      </c>
      <c r="P3767" s="158" t="s">
        <v>3562</v>
      </c>
      <c r="Q3767" s="160">
        <f>IF(Sales[[#This Row],[Status]]="Cancelled",0,Sales[[#This Row],[Qty]])</f>
        <v>4</v>
      </c>
      <c r="R3767" s="161">
        <f>IF(Sales[[#This Row],[Status]]="Cancelled",0,Sales[[#This Row],[Total Amount]])</f>
        <v>136917.76000000001</v>
      </c>
      <c r="S3767" s="162">
        <f>SUM(Sales[Net Amount])</f>
        <v>406839287.73200053</v>
      </c>
    </row>
    <row r="3768" spans="1:19" ht="18.75" x14ac:dyDescent="0.25">
      <c r="A3768" s="163" t="s">
        <v>7437</v>
      </c>
      <c r="B3768" s="164">
        <v>45965</v>
      </c>
      <c r="C3768" s="34" t="s">
        <v>735</v>
      </c>
      <c r="D3768" s="53" t="str">
        <f>VLOOKUP(Sales[[#This Row],[Customer ID]],Customer[#All],2,0)</f>
        <v>Amit Singh</v>
      </c>
      <c r="E3768" s="34" t="s">
        <v>161</v>
      </c>
      <c r="F3768" s="34" t="str">
        <f>VLOOKUP(Sales[[#This Row],[Product ID]],Product[#All],2,0)</f>
        <v>TP-link Router</v>
      </c>
      <c r="G3768" s="53">
        <v>3</v>
      </c>
      <c r="H3768" s="165">
        <f>VLOOKUP(Sales[[#This Row],[Product ID]],Product[#All],7,0)</f>
        <v>1330</v>
      </c>
      <c r="I3768" s="165">
        <f>Sales[[#This Row],[Selling Rate]]*Sales[[#This Row],[Qty]]</f>
        <v>3990</v>
      </c>
      <c r="J3768" s="45">
        <v>0.1</v>
      </c>
      <c r="K3768" s="46">
        <f>Sales[[#This Row],[Gross Amount]]*Sales[[#This Row],[Disc %]]</f>
        <v>399</v>
      </c>
      <c r="L3768" s="43">
        <v>0.18</v>
      </c>
      <c r="M3768" s="46">
        <f>(Sales[[#This Row],[Gross Amount]]-Sales[[#This Row],[Disc. Amt.]])*Sales[[#This Row],[GST %]]</f>
        <v>646.38</v>
      </c>
      <c r="N3768" s="161">
        <f>Sales[[#This Row],[Gross Amount]]-Sales[[#This Row],[Disc. Amt.]]+Sales[[#This Row],[GST Amount]]</f>
        <v>4237.38</v>
      </c>
      <c r="O3768" s="34" t="s">
        <v>3569</v>
      </c>
      <c r="P3768" s="34" t="s">
        <v>3562</v>
      </c>
      <c r="Q3768" s="165">
        <f>IF(Sales[[#This Row],[Status]]="Cancelled",0,Sales[[#This Row],[Qty]])</f>
        <v>3</v>
      </c>
      <c r="R3768" s="166">
        <f>IF(Sales[[#This Row],[Status]]="Cancelled",0,Sales[[#This Row],[Total Amount]])</f>
        <v>4237.38</v>
      </c>
      <c r="S3768" s="162">
        <f>SUM(Sales[Net Amount])</f>
        <v>406839287.73200053</v>
      </c>
    </row>
    <row r="3769" spans="1:19" ht="18.75" x14ac:dyDescent="0.25">
      <c r="A3769" s="156" t="s">
        <v>7438</v>
      </c>
      <c r="B3769" s="157">
        <v>45965</v>
      </c>
      <c r="C3769" s="158" t="s">
        <v>813</v>
      </c>
      <c r="D3769" s="159" t="str">
        <f>VLOOKUP(Sales[[#This Row],[Customer ID]],Customer[#All],2,0)</f>
        <v>Neha Verma</v>
      </c>
      <c r="E3769" s="158" t="s">
        <v>164</v>
      </c>
      <c r="F3769" s="158" t="str">
        <f>VLOOKUP(Sales[[#This Row],[Product ID]],Product[#All],2,0)</f>
        <v>Jbl Headset</v>
      </c>
      <c r="G3769" s="159">
        <v>3</v>
      </c>
      <c r="H3769" s="160">
        <f>VLOOKUP(Sales[[#This Row],[Product ID]],Product[#All],7,0)</f>
        <v>3360</v>
      </c>
      <c r="I3769" s="160">
        <f>Sales[[#This Row],[Selling Rate]]*Sales[[#This Row],[Qty]]</f>
        <v>10080</v>
      </c>
      <c r="J3769" s="43">
        <v>0</v>
      </c>
      <c r="K3769" s="44">
        <f>Sales[[#This Row],[Gross Amount]]*Sales[[#This Row],[Disc %]]</f>
        <v>0</v>
      </c>
      <c r="L3769" s="43">
        <v>0.18</v>
      </c>
      <c r="M3769" s="44">
        <f>(Sales[[#This Row],[Gross Amount]]-Sales[[#This Row],[Disc. Amt.]])*Sales[[#This Row],[GST %]]</f>
        <v>1814.3999999999999</v>
      </c>
      <c r="N3769" s="161">
        <f>Sales[[#This Row],[Gross Amount]]-Sales[[#This Row],[Disc. Amt.]]+Sales[[#This Row],[GST Amount]]</f>
        <v>11894.4</v>
      </c>
      <c r="O3769" s="158" t="s">
        <v>3566</v>
      </c>
      <c r="P3769" s="158" t="s">
        <v>3562</v>
      </c>
      <c r="Q3769" s="160">
        <f>IF(Sales[[#This Row],[Status]]="Cancelled",0,Sales[[#This Row],[Qty]])</f>
        <v>3</v>
      </c>
      <c r="R3769" s="161">
        <f>IF(Sales[[#This Row],[Status]]="Cancelled",0,Sales[[#This Row],[Total Amount]])</f>
        <v>11894.4</v>
      </c>
      <c r="S3769" s="162">
        <f>SUM(Sales[Net Amount])</f>
        <v>406839287.73200053</v>
      </c>
    </row>
    <row r="3770" spans="1:19" ht="18.75" x14ac:dyDescent="0.25">
      <c r="A3770" s="163" t="s">
        <v>7439</v>
      </c>
      <c r="B3770" s="164">
        <v>45965</v>
      </c>
      <c r="C3770" s="34" t="s">
        <v>7440</v>
      </c>
      <c r="D3770" s="53" t="str">
        <f>VLOOKUP(Sales[[#This Row],[Customer ID]],Customer[#All],2,0)</f>
        <v>Amit Patel</v>
      </c>
      <c r="E3770" s="34" t="s">
        <v>154</v>
      </c>
      <c r="F3770" s="34" t="str">
        <f>VLOOKUP(Sales[[#This Row],[Product ID]],Product[#All],2,0)</f>
        <v>Epson Printer</v>
      </c>
      <c r="G3770" s="53">
        <v>4</v>
      </c>
      <c r="H3770" s="165">
        <f>VLOOKUP(Sales[[#This Row],[Product ID]],Product[#All],7,0)</f>
        <v>46220</v>
      </c>
      <c r="I3770" s="165">
        <f>Sales[[#This Row],[Selling Rate]]*Sales[[#This Row],[Qty]]</f>
        <v>184880</v>
      </c>
      <c r="J3770" s="45">
        <v>0.02</v>
      </c>
      <c r="K3770" s="46">
        <f>Sales[[#This Row],[Gross Amount]]*Sales[[#This Row],[Disc %]]</f>
        <v>3697.6</v>
      </c>
      <c r="L3770" s="43">
        <v>0.18</v>
      </c>
      <c r="M3770" s="46">
        <f>(Sales[[#This Row],[Gross Amount]]-Sales[[#This Row],[Disc. Amt.]])*Sales[[#This Row],[GST %]]</f>
        <v>32612.831999999999</v>
      </c>
      <c r="N3770" s="161">
        <f>Sales[[#This Row],[Gross Amount]]-Sales[[#This Row],[Disc. Amt.]]+Sales[[#This Row],[GST Amount]]</f>
        <v>213795.23199999999</v>
      </c>
      <c r="O3770" s="34" t="s">
        <v>3561</v>
      </c>
      <c r="P3770" s="34" t="s">
        <v>3562</v>
      </c>
      <c r="Q3770" s="165">
        <f>IF(Sales[[#This Row],[Status]]="Cancelled",0,Sales[[#This Row],[Qty]])</f>
        <v>4</v>
      </c>
      <c r="R3770" s="166">
        <f>IF(Sales[[#This Row],[Status]]="Cancelled",0,Sales[[#This Row],[Total Amount]])</f>
        <v>213795.23199999999</v>
      </c>
      <c r="S3770" s="162">
        <f>SUM(Sales[Net Amount])</f>
        <v>406839287.73200053</v>
      </c>
    </row>
    <row r="3771" spans="1:19" ht="18.75" x14ac:dyDescent="0.25">
      <c r="A3771" s="156" t="s">
        <v>7441</v>
      </c>
      <c r="B3771" s="157">
        <v>45965</v>
      </c>
      <c r="C3771" s="158" t="s">
        <v>951</v>
      </c>
      <c r="D3771" s="159" t="str">
        <f>VLOOKUP(Sales[[#This Row],[Customer ID]],Customer[#All],2,0)</f>
        <v>Rahul Singh</v>
      </c>
      <c r="E3771" s="158" t="s">
        <v>523</v>
      </c>
      <c r="F3771" s="158" t="str">
        <f>VLOOKUP(Sales[[#This Row],[Product ID]],Product[#All],2,0)</f>
        <v>Logitech Mouse</v>
      </c>
      <c r="G3771" s="159">
        <v>7</v>
      </c>
      <c r="H3771" s="160">
        <f>VLOOKUP(Sales[[#This Row],[Product ID]],Product[#All],7,0)</f>
        <v>1300</v>
      </c>
      <c r="I3771" s="160">
        <f>Sales[[#This Row],[Selling Rate]]*Sales[[#This Row],[Qty]]</f>
        <v>9100</v>
      </c>
      <c r="J3771" s="43">
        <v>0.05</v>
      </c>
      <c r="K3771" s="44">
        <f>Sales[[#This Row],[Gross Amount]]*Sales[[#This Row],[Disc %]]</f>
        <v>455</v>
      </c>
      <c r="L3771" s="43">
        <v>0.18</v>
      </c>
      <c r="M3771" s="44">
        <f>(Sales[[#This Row],[Gross Amount]]-Sales[[#This Row],[Disc. Amt.]])*Sales[[#This Row],[GST %]]</f>
        <v>1556.1</v>
      </c>
      <c r="N3771" s="161">
        <f>Sales[[#This Row],[Gross Amount]]-Sales[[#This Row],[Disc. Amt.]]+Sales[[#This Row],[GST Amount]]</f>
        <v>10201.1</v>
      </c>
      <c r="O3771" s="158" t="s">
        <v>3569</v>
      </c>
      <c r="P3771" s="158" t="s">
        <v>3562</v>
      </c>
      <c r="Q3771" s="160">
        <f>IF(Sales[[#This Row],[Status]]="Cancelled",0,Sales[[#This Row],[Qty]])</f>
        <v>7</v>
      </c>
      <c r="R3771" s="161">
        <f>IF(Sales[[#This Row],[Status]]="Cancelled",0,Sales[[#This Row],[Total Amount]])</f>
        <v>10201.1</v>
      </c>
      <c r="S3771" s="162">
        <f>SUM(Sales[Net Amount])</f>
        <v>406839287.73200053</v>
      </c>
    </row>
    <row r="3772" spans="1:19" ht="18.75" x14ac:dyDescent="0.25">
      <c r="A3772" s="163" t="s">
        <v>7442</v>
      </c>
      <c r="B3772" s="164">
        <v>45965</v>
      </c>
      <c r="C3772" s="34" t="s">
        <v>716</v>
      </c>
      <c r="D3772" s="53" t="str">
        <f>VLOOKUP(Sales[[#This Row],[Customer ID]],Customer[#All],2,0)</f>
        <v>Ankit Kumar</v>
      </c>
      <c r="E3772" s="34" t="s">
        <v>186</v>
      </c>
      <c r="F3772" s="34" t="str">
        <f>VLOOKUP(Sales[[#This Row],[Product ID]],Product[#All],2,0)</f>
        <v>Corsair Ram</v>
      </c>
      <c r="G3772" s="53">
        <v>7</v>
      </c>
      <c r="H3772" s="165">
        <f>VLOOKUP(Sales[[#This Row],[Product ID]],Product[#All],7,0)</f>
        <v>11620</v>
      </c>
      <c r="I3772" s="165">
        <f>Sales[[#This Row],[Selling Rate]]*Sales[[#This Row],[Qty]]</f>
        <v>81340</v>
      </c>
      <c r="J3772" s="45">
        <v>0</v>
      </c>
      <c r="K3772" s="46">
        <f>Sales[[#This Row],[Gross Amount]]*Sales[[#This Row],[Disc %]]</f>
        <v>0</v>
      </c>
      <c r="L3772" s="43">
        <v>0.18</v>
      </c>
      <c r="M3772" s="46">
        <f>(Sales[[#This Row],[Gross Amount]]-Sales[[#This Row],[Disc. Amt.]])*Sales[[#This Row],[GST %]]</f>
        <v>14641.199999999999</v>
      </c>
      <c r="N3772" s="161">
        <f>Sales[[#This Row],[Gross Amount]]-Sales[[#This Row],[Disc. Amt.]]+Sales[[#This Row],[GST Amount]]</f>
        <v>95981.2</v>
      </c>
      <c r="O3772" s="34" t="s">
        <v>8876</v>
      </c>
      <c r="P3772" s="34" t="s">
        <v>3562</v>
      </c>
      <c r="Q3772" s="165">
        <f>IF(Sales[[#This Row],[Status]]="Cancelled",0,Sales[[#This Row],[Qty]])</f>
        <v>7</v>
      </c>
      <c r="R3772" s="166">
        <f>IF(Sales[[#This Row],[Status]]="Cancelled",0,Sales[[#This Row],[Total Amount]])</f>
        <v>95981.2</v>
      </c>
      <c r="S3772" s="162">
        <f>SUM(Sales[Net Amount])</f>
        <v>406839287.73200053</v>
      </c>
    </row>
    <row r="3773" spans="1:19" ht="18.75" x14ac:dyDescent="0.25">
      <c r="A3773" s="156" t="s">
        <v>7443</v>
      </c>
      <c r="B3773" s="157">
        <v>45965</v>
      </c>
      <c r="C3773" s="158" t="s">
        <v>899</v>
      </c>
      <c r="D3773" s="159" t="str">
        <f>VLOOKUP(Sales[[#This Row],[Customer ID]],Customer[#All],2,0)</f>
        <v>Sunita Verma</v>
      </c>
      <c r="E3773" s="158" t="s">
        <v>191</v>
      </c>
      <c r="F3773" s="158" t="str">
        <f>VLOOKUP(Sales[[#This Row],[Product ID]],Product[#All],2,0)</f>
        <v>Logitech Keyboard</v>
      </c>
      <c r="G3773" s="159">
        <v>3</v>
      </c>
      <c r="H3773" s="160">
        <f>VLOOKUP(Sales[[#This Row],[Product ID]],Product[#All],7,0)</f>
        <v>2000</v>
      </c>
      <c r="I3773" s="160">
        <f>Sales[[#This Row],[Selling Rate]]*Sales[[#This Row],[Qty]]</f>
        <v>6000</v>
      </c>
      <c r="J3773" s="43">
        <v>0.12</v>
      </c>
      <c r="K3773" s="44">
        <f>Sales[[#This Row],[Gross Amount]]*Sales[[#This Row],[Disc %]]</f>
        <v>720</v>
      </c>
      <c r="L3773" s="43">
        <v>0.18</v>
      </c>
      <c r="M3773" s="44">
        <f>(Sales[[#This Row],[Gross Amount]]-Sales[[#This Row],[Disc. Amt.]])*Sales[[#This Row],[GST %]]</f>
        <v>950.4</v>
      </c>
      <c r="N3773" s="161">
        <f>Sales[[#This Row],[Gross Amount]]-Sales[[#This Row],[Disc. Amt.]]+Sales[[#This Row],[GST Amount]]</f>
        <v>6230.4</v>
      </c>
      <c r="O3773" s="158" t="s">
        <v>3569</v>
      </c>
      <c r="P3773" s="158" t="s">
        <v>3562</v>
      </c>
      <c r="Q3773" s="160">
        <f>IF(Sales[[#This Row],[Status]]="Cancelled",0,Sales[[#This Row],[Qty]])</f>
        <v>3</v>
      </c>
      <c r="R3773" s="161">
        <f>IF(Sales[[#This Row],[Status]]="Cancelled",0,Sales[[#This Row],[Total Amount]])</f>
        <v>6230.4</v>
      </c>
      <c r="S3773" s="162">
        <f>SUM(Sales[Net Amount])</f>
        <v>406839287.73200053</v>
      </c>
    </row>
    <row r="3774" spans="1:19" ht="18.75" x14ac:dyDescent="0.25">
      <c r="A3774" s="163" t="s">
        <v>7444</v>
      </c>
      <c r="B3774" s="164">
        <v>45965</v>
      </c>
      <c r="C3774" s="34" t="s">
        <v>741</v>
      </c>
      <c r="D3774" s="53" t="str">
        <f>VLOOKUP(Sales[[#This Row],[Customer ID]],Customer[#All],2,0)</f>
        <v>Rahul Patel</v>
      </c>
      <c r="E3774" s="34" t="s">
        <v>509</v>
      </c>
      <c r="F3774" s="34" t="str">
        <f>VLOOKUP(Sales[[#This Row],[Product ID]],Product[#All],2,0)</f>
        <v>D-Link Router</v>
      </c>
      <c r="G3774" s="53">
        <v>1</v>
      </c>
      <c r="H3774" s="165">
        <f>VLOOKUP(Sales[[#This Row],[Product ID]],Product[#All],7,0)</f>
        <v>3460</v>
      </c>
      <c r="I3774" s="165">
        <f>Sales[[#This Row],[Selling Rate]]*Sales[[#This Row],[Qty]]</f>
        <v>3460</v>
      </c>
      <c r="J3774" s="45">
        <v>0.12</v>
      </c>
      <c r="K3774" s="46">
        <f>Sales[[#This Row],[Gross Amount]]*Sales[[#This Row],[Disc %]]</f>
        <v>415.2</v>
      </c>
      <c r="L3774" s="43">
        <v>0.18</v>
      </c>
      <c r="M3774" s="46">
        <f>(Sales[[#This Row],[Gross Amount]]-Sales[[#This Row],[Disc. Amt.]])*Sales[[#This Row],[GST %]]</f>
        <v>548.06399999999996</v>
      </c>
      <c r="N3774" s="161">
        <f>Sales[[#This Row],[Gross Amount]]-Sales[[#This Row],[Disc. Amt.]]+Sales[[#This Row],[GST Amount]]</f>
        <v>3592.864</v>
      </c>
      <c r="O3774" s="34" t="s">
        <v>3561</v>
      </c>
      <c r="P3774" s="34" t="s">
        <v>3562</v>
      </c>
      <c r="Q3774" s="165">
        <f>IF(Sales[[#This Row],[Status]]="Cancelled",0,Sales[[#This Row],[Qty]])</f>
        <v>1</v>
      </c>
      <c r="R3774" s="166">
        <f>IF(Sales[[#This Row],[Status]]="Cancelled",0,Sales[[#This Row],[Total Amount]])</f>
        <v>3592.864</v>
      </c>
      <c r="S3774" s="162">
        <f>SUM(Sales[Net Amount])</f>
        <v>406839287.73200053</v>
      </c>
    </row>
    <row r="3775" spans="1:19" ht="18.75" x14ac:dyDescent="0.25">
      <c r="A3775" s="156" t="s">
        <v>7445</v>
      </c>
      <c r="B3775" s="157">
        <v>45965</v>
      </c>
      <c r="C3775" s="158" t="s">
        <v>760</v>
      </c>
      <c r="D3775" s="159" t="str">
        <f>VLOOKUP(Sales[[#This Row],[Customer ID]],Customer[#All],2,0)</f>
        <v>Pooja Singh</v>
      </c>
      <c r="E3775" s="158" t="s">
        <v>140</v>
      </c>
      <c r="F3775" s="158" t="str">
        <f>VLOOKUP(Sales[[#This Row],[Product ID]],Product[#All],2,0)</f>
        <v>Logitech Mouse</v>
      </c>
      <c r="G3775" s="159">
        <v>7</v>
      </c>
      <c r="H3775" s="160">
        <f>VLOOKUP(Sales[[#This Row],[Product ID]],Product[#All],7,0)</f>
        <v>2760</v>
      </c>
      <c r="I3775" s="160">
        <f>Sales[[#This Row],[Selling Rate]]*Sales[[#This Row],[Qty]]</f>
        <v>19320</v>
      </c>
      <c r="J3775" s="43">
        <v>0.05</v>
      </c>
      <c r="K3775" s="44">
        <f>Sales[[#This Row],[Gross Amount]]*Sales[[#This Row],[Disc %]]</f>
        <v>966</v>
      </c>
      <c r="L3775" s="43">
        <v>0.18</v>
      </c>
      <c r="M3775" s="44">
        <f>(Sales[[#This Row],[Gross Amount]]-Sales[[#This Row],[Disc. Amt.]])*Sales[[#This Row],[GST %]]</f>
        <v>3303.72</v>
      </c>
      <c r="N3775" s="161">
        <f>Sales[[#This Row],[Gross Amount]]-Sales[[#This Row],[Disc. Amt.]]+Sales[[#This Row],[GST Amount]]</f>
        <v>21657.72</v>
      </c>
      <c r="O3775" s="158" t="s">
        <v>8876</v>
      </c>
      <c r="P3775" s="158" t="s">
        <v>3562</v>
      </c>
      <c r="Q3775" s="160">
        <f>IF(Sales[[#This Row],[Status]]="Cancelled",0,Sales[[#This Row],[Qty]])</f>
        <v>7</v>
      </c>
      <c r="R3775" s="161">
        <f>IF(Sales[[#This Row],[Status]]="Cancelled",0,Sales[[#This Row],[Total Amount]])</f>
        <v>21657.72</v>
      </c>
      <c r="S3775" s="162">
        <f>SUM(Sales[Net Amount])</f>
        <v>406839287.73200053</v>
      </c>
    </row>
    <row r="3776" spans="1:19" ht="18.75" x14ac:dyDescent="0.25">
      <c r="A3776" s="163" t="s">
        <v>7446</v>
      </c>
      <c r="B3776" s="164">
        <v>45965</v>
      </c>
      <c r="C3776" s="34" t="s">
        <v>717</v>
      </c>
      <c r="D3776" s="53" t="str">
        <f>VLOOKUP(Sales[[#This Row],[Customer ID]],Customer[#All],2,0)</f>
        <v>Sunita Singh</v>
      </c>
      <c r="E3776" s="34" t="s">
        <v>443</v>
      </c>
      <c r="F3776" s="34" t="str">
        <f>VLOOKUP(Sales[[#This Row],[Product ID]],Product[#All],2,0)</f>
        <v>HP Power Adapter</v>
      </c>
      <c r="G3776" s="53">
        <v>4</v>
      </c>
      <c r="H3776" s="165">
        <f>VLOOKUP(Sales[[#This Row],[Product ID]],Product[#All],7,0)</f>
        <v>3850</v>
      </c>
      <c r="I3776" s="165">
        <f>Sales[[#This Row],[Selling Rate]]*Sales[[#This Row],[Qty]]</f>
        <v>15400</v>
      </c>
      <c r="J3776" s="45">
        <v>0.1</v>
      </c>
      <c r="K3776" s="46">
        <f>Sales[[#This Row],[Gross Amount]]*Sales[[#This Row],[Disc %]]</f>
        <v>1540</v>
      </c>
      <c r="L3776" s="43">
        <v>0.18</v>
      </c>
      <c r="M3776" s="46">
        <f>(Sales[[#This Row],[Gross Amount]]-Sales[[#This Row],[Disc. Amt.]])*Sales[[#This Row],[GST %]]</f>
        <v>2494.7999999999997</v>
      </c>
      <c r="N3776" s="161">
        <f>Sales[[#This Row],[Gross Amount]]-Sales[[#This Row],[Disc. Amt.]]+Sales[[#This Row],[GST Amount]]</f>
        <v>16354.8</v>
      </c>
      <c r="O3776" s="34" t="s">
        <v>8876</v>
      </c>
      <c r="P3776" s="34" t="s">
        <v>3562</v>
      </c>
      <c r="Q3776" s="165">
        <f>IF(Sales[[#This Row],[Status]]="Cancelled",0,Sales[[#This Row],[Qty]])</f>
        <v>4</v>
      </c>
      <c r="R3776" s="166">
        <f>IF(Sales[[#This Row],[Status]]="Cancelled",0,Sales[[#This Row],[Total Amount]])</f>
        <v>16354.8</v>
      </c>
      <c r="S3776" s="162">
        <f>SUM(Sales[Net Amount])</f>
        <v>406839287.73200053</v>
      </c>
    </row>
    <row r="3777" spans="1:19" ht="18.75" x14ac:dyDescent="0.25">
      <c r="A3777" s="156" t="s">
        <v>7447</v>
      </c>
      <c r="B3777" s="157">
        <v>45965</v>
      </c>
      <c r="C3777" s="158" t="s">
        <v>787</v>
      </c>
      <c r="D3777" s="159" t="str">
        <f>VLOOKUP(Sales[[#This Row],[Customer ID]],Customer[#All],2,0)</f>
        <v>Amit Singh</v>
      </c>
      <c r="E3777" s="158" t="s">
        <v>259</v>
      </c>
      <c r="F3777" s="158" t="str">
        <f>VLOOKUP(Sales[[#This Row],[Product ID]],Product[#All],2,0)</f>
        <v>Lg Monitor</v>
      </c>
      <c r="G3777" s="159">
        <v>5</v>
      </c>
      <c r="H3777" s="160">
        <f>VLOOKUP(Sales[[#This Row],[Product ID]],Product[#All],7,0)</f>
        <v>28600</v>
      </c>
      <c r="I3777" s="160">
        <f>Sales[[#This Row],[Selling Rate]]*Sales[[#This Row],[Qty]]</f>
        <v>143000</v>
      </c>
      <c r="J3777" s="43">
        <v>0.1</v>
      </c>
      <c r="K3777" s="44">
        <f>Sales[[#This Row],[Gross Amount]]*Sales[[#This Row],[Disc %]]</f>
        <v>14300</v>
      </c>
      <c r="L3777" s="43">
        <v>0.18</v>
      </c>
      <c r="M3777" s="44">
        <f>(Sales[[#This Row],[Gross Amount]]-Sales[[#This Row],[Disc. Amt.]])*Sales[[#This Row],[GST %]]</f>
        <v>23166</v>
      </c>
      <c r="N3777" s="161">
        <f>Sales[[#This Row],[Gross Amount]]-Sales[[#This Row],[Disc. Amt.]]+Sales[[#This Row],[GST Amount]]</f>
        <v>151866</v>
      </c>
      <c r="O3777" s="158" t="s">
        <v>3566</v>
      </c>
      <c r="P3777" s="158" t="s">
        <v>3562</v>
      </c>
      <c r="Q3777" s="160">
        <f>IF(Sales[[#This Row],[Status]]="Cancelled",0,Sales[[#This Row],[Qty]])</f>
        <v>5</v>
      </c>
      <c r="R3777" s="161">
        <f>IF(Sales[[#This Row],[Status]]="Cancelled",0,Sales[[#This Row],[Total Amount]])</f>
        <v>151866</v>
      </c>
      <c r="S3777" s="162">
        <f>SUM(Sales[Net Amount])</f>
        <v>406839287.73200053</v>
      </c>
    </row>
    <row r="3778" spans="1:19" ht="18.75" x14ac:dyDescent="0.25">
      <c r="A3778" s="163" t="s">
        <v>7448</v>
      </c>
      <c r="B3778" s="164">
        <v>45965</v>
      </c>
      <c r="C3778" s="34" t="s">
        <v>701</v>
      </c>
      <c r="D3778" s="53" t="str">
        <f>VLOOKUP(Sales[[#This Row],[Customer ID]],Customer[#All],2,0)</f>
        <v>Ankit Kumar</v>
      </c>
      <c r="E3778" s="34" t="s">
        <v>483</v>
      </c>
      <c r="F3778" s="34" t="str">
        <f>VLOOKUP(Sales[[#This Row],[Product ID]],Product[#All],2,0)</f>
        <v>Kingston Ram</v>
      </c>
      <c r="G3778" s="53">
        <v>5</v>
      </c>
      <c r="H3778" s="165">
        <f>VLOOKUP(Sales[[#This Row],[Product ID]],Product[#All],7,0)</f>
        <v>8630</v>
      </c>
      <c r="I3778" s="165">
        <f>Sales[[#This Row],[Selling Rate]]*Sales[[#This Row],[Qty]]</f>
        <v>43150</v>
      </c>
      <c r="J3778" s="45">
        <v>0</v>
      </c>
      <c r="K3778" s="46">
        <f>Sales[[#This Row],[Gross Amount]]*Sales[[#This Row],[Disc %]]</f>
        <v>0</v>
      </c>
      <c r="L3778" s="43">
        <v>0.18</v>
      </c>
      <c r="M3778" s="46">
        <f>(Sales[[#This Row],[Gross Amount]]-Sales[[#This Row],[Disc. Amt.]])*Sales[[#This Row],[GST %]]</f>
        <v>7767</v>
      </c>
      <c r="N3778" s="161">
        <f>Sales[[#This Row],[Gross Amount]]-Sales[[#This Row],[Disc. Amt.]]+Sales[[#This Row],[GST Amount]]</f>
        <v>50917</v>
      </c>
      <c r="O3778" s="34" t="s">
        <v>3569</v>
      </c>
      <c r="P3778" s="34" t="s">
        <v>3562</v>
      </c>
      <c r="Q3778" s="165">
        <f>IF(Sales[[#This Row],[Status]]="Cancelled",0,Sales[[#This Row],[Qty]])</f>
        <v>5</v>
      </c>
      <c r="R3778" s="166">
        <f>IF(Sales[[#This Row],[Status]]="Cancelled",0,Sales[[#This Row],[Total Amount]])</f>
        <v>50917</v>
      </c>
      <c r="S3778" s="162">
        <f>SUM(Sales[Net Amount])</f>
        <v>406839287.73200053</v>
      </c>
    </row>
    <row r="3779" spans="1:19" ht="18.75" x14ac:dyDescent="0.25">
      <c r="A3779" s="156" t="s">
        <v>7449</v>
      </c>
      <c r="B3779" s="157">
        <v>45965</v>
      </c>
      <c r="C3779" s="158" t="s">
        <v>701</v>
      </c>
      <c r="D3779" s="159" t="str">
        <f>VLOOKUP(Sales[[#This Row],[Customer ID]],Customer[#All],2,0)</f>
        <v>Ankit Kumar</v>
      </c>
      <c r="E3779" s="158" t="s">
        <v>199</v>
      </c>
      <c r="F3779" s="158" t="str">
        <f>VLOOKUP(Sales[[#This Row],[Product ID]],Product[#All],2,0)</f>
        <v>Lg Monitor</v>
      </c>
      <c r="G3779" s="159">
        <v>6</v>
      </c>
      <c r="H3779" s="160">
        <f>VLOOKUP(Sales[[#This Row],[Product ID]],Product[#All],7,0)</f>
        <v>13160</v>
      </c>
      <c r="I3779" s="160">
        <f>Sales[[#This Row],[Selling Rate]]*Sales[[#This Row],[Qty]]</f>
        <v>78960</v>
      </c>
      <c r="J3779" s="43">
        <v>0.12</v>
      </c>
      <c r="K3779" s="44">
        <f>Sales[[#This Row],[Gross Amount]]*Sales[[#This Row],[Disc %]]</f>
        <v>9475.1999999999989</v>
      </c>
      <c r="L3779" s="43">
        <v>0.18</v>
      </c>
      <c r="M3779" s="44">
        <f>(Sales[[#This Row],[Gross Amount]]-Sales[[#This Row],[Disc. Amt.]])*Sales[[#This Row],[GST %]]</f>
        <v>12507.263999999999</v>
      </c>
      <c r="N3779" s="161">
        <f>Sales[[#This Row],[Gross Amount]]-Sales[[#This Row],[Disc. Amt.]]+Sales[[#This Row],[GST Amount]]</f>
        <v>81992.063999999998</v>
      </c>
      <c r="O3779" s="158" t="s">
        <v>3561</v>
      </c>
      <c r="P3779" s="158" t="s">
        <v>3562</v>
      </c>
      <c r="Q3779" s="160">
        <f>IF(Sales[[#This Row],[Status]]="Cancelled",0,Sales[[#This Row],[Qty]])</f>
        <v>6</v>
      </c>
      <c r="R3779" s="161">
        <f>IF(Sales[[#This Row],[Status]]="Cancelled",0,Sales[[#This Row],[Total Amount]])</f>
        <v>81992.063999999998</v>
      </c>
      <c r="S3779" s="162">
        <f>SUM(Sales[Net Amount])</f>
        <v>406839287.73200053</v>
      </c>
    </row>
    <row r="3780" spans="1:19" ht="18.75" x14ac:dyDescent="0.25">
      <c r="A3780" s="163" t="s">
        <v>7450</v>
      </c>
      <c r="B3780" s="164">
        <v>45965</v>
      </c>
      <c r="C3780" s="34" t="s">
        <v>896</v>
      </c>
      <c r="D3780" s="53" t="str">
        <f>VLOOKUP(Sales[[#This Row],[Customer ID]],Customer[#All],2,0)</f>
        <v>Amit Gupta</v>
      </c>
      <c r="E3780" s="34" t="s">
        <v>192</v>
      </c>
      <c r="F3780" s="34" t="str">
        <f>VLOOKUP(Sales[[#This Row],[Product ID]],Product[#All],2,0)</f>
        <v>HP Laptop</v>
      </c>
      <c r="G3780" s="53">
        <v>1</v>
      </c>
      <c r="H3780" s="165">
        <f>VLOOKUP(Sales[[#This Row],[Product ID]],Product[#All],7,0)</f>
        <v>59870</v>
      </c>
      <c r="I3780" s="165">
        <f>Sales[[#This Row],[Selling Rate]]*Sales[[#This Row],[Qty]]</f>
        <v>59870</v>
      </c>
      <c r="J3780" s="45">
        <v>0.05</v>
      </c>
      <c r="K3780" s="46">
        <f>Sales[[#This Row],[Gross Amount]]*Sales[[#This Row],[Disc %]]</f>
        <v>2993.5</v>
      </c>
      <c r="L3780" s="43">
        <v>0.18</v>
      </c>
      <c r="M3780" s="46">
        <f>(Sales[[#This Row],[Gross Amount]]-Sales[[#This Row],[Disc. Amt.]])*Sales[[#This Row],[GST %]]</f>
        <v>10237.77</v>
      </c>
      <c r="N3780" s="161">
        <f>Sales[[#This Row],[Gross Amount]]-Sales[[#This Row],[Disc. Amt.]]+Sales[[#This Row],[GST Amount]]</f>
        <v>67114.27</v>
      </c>
      <c r="O3780" s="34" t="s">
        <v>3569</v>
      </c>
      <c r="P3780" s="34" t="s">
        <v>3562</v>
      </c>
      <c r="Q3780" s="165">
        <f>IF(Sales[[#This Row],[Status]]="Cancelled",0,Sales[[#This Row],[Qty]])</f>
        <v>1</v>
      </c>
      <c r="R3780" s="166">
        <f>IF(Sales[[#This Row],[Status]]="Cancelled",0,Sales[[#This Row],[Total Amount]])</f>
        <v>67114.27</v>
      </c>
      <c r="S3780" s="162">
        <f>SUM(Sales[Net Amount])</f>
        <v>406839287.73200053</v>
      </c>
    </row>
    <row r="3781" spans="1:19" ht="18.75" x14ac:dyDescent="0.25">
      <c r="A3781" s="156" t="s">
        <v>7451</v>
      </c>
      <c r="B3781" s="157">
        <v>45965</v>
      </c>
      <c r="C3781" s="158" t="s">
        <v>742</v>
      </c>
      <c r="D3781" s="159" t="str">
        <f>VLOOKUP(Sales[[#This Row],[Customer ID]],Customer[#All],2,0)</f>
        <v>Rahul Patel</v>
      </c>
      <c r="E3781" s="158" t="s">
        <v>544</v>
      </c>
      <c r="F3781" s="158" t="str">
        <f>VLOOKUP(Sales[[#This Row],[Product ID]],Product[#All],2,0)</f>
        <v>HP Printer</v>
      </c>
      <c r="G3781" s="159">
        <v>2</v>
      </c>
      <c r="H3781" s="160">
        <f>VLOOKUP(Sales[[#This Row],[Product ID]],Product[#All],7,0)</f>
        <v>18010</v>
      </c>
      <c r="I3781" s="160">
        <f>Sales[[#This Row],[Selling Rate]]*Sales[[#This Row],[Qty]]</f>
        <v>36020</v>
      </c>
      <c r="J3781" s="43">
        <v>0.02</v>
      </c>
      <c r="K3781" s="44">
        <f>Sales[[#This Row],[Gross Amount]]*Sales[[#This Row],[Disc %]]</f>
        <v>720.4</v>
      </c>
      <c r="L3781" s="43">
        <v>0.18</v>
      </c>
      <c r="M3781" s="44">
        <f>(Sales[[#This Row],[Gross Amount]]-Sales[[#This Row],[Disc. Amt.]])*Sales[[#This Row],[GST %]]</f>
        <v>6353.9279999999999</v>
      </c>
      <c r="N3781" s="161">
        <f>Sales[[#This Row],[Gross Amount]]-Sales[[#This Row],[Disc. Amt.]]+Sales[[#This Row],[GST Amount]]</f>
        <v>41653.527999999998</v>
      </c>
      <c r="O3781" s="158" t="s">
        <v>3569</v>
      </c>
      <c r="P3781" s="158" t="s">
        <v>3562</v>
      </c>
      <c r="Q3781" s="160">
        <f>IF(Sales[[#This Row],[Status]]="Cancelled",0,Sales[[#This Row],[Qty]])</f>
        <v>2</v>
      </c>
      <c r="R3781" s="161">
        <f>IF(Sales[[#This Row],[Status]]="Cancelled",0,Sales[[#This Row],[Total Amount]])</f>
        <v>41653.527999999998</v>
      </c>
      <c r="S3781" s="162">
        <f>SUM(Sales[Net Amount])</f>
        <v>406839287.73200053</v>
      </c>
    </row>
    <row r="3782" spans="1:19" ht="18.75" x14ac:dyDescent="0.25">
      <c r="A3782" s="163" t="s">
        <v>7452</v>
      </c>
      <c r="B3782" s="164">
        <v>45965</v>
      </c>
      <c r="C3782" s="34" t="s">
        <v>846</v>
      </c>
      <c r="D3782" s="53" t="str">
        <f>VLOOKUP(Sales[[#This Row],[Customer ID]],Customer[#All],2,0)</f>
        <v>Ankit Patel</v>
      </c>
      <c r="E3782" s="34" t="s">
        <v>57</v>
      </c>
      <c r="F3782" s="34" t="str">
        <f>VLOOKUP(Sales[[#This Row],[Product ID]],Product[#All],2,0)</f>
        <v>Dell Desktop</v>
      </c>
      <c r="G3782" s="53">
        <v>4</v>
      </c>
      <c r="H3782" s="165">
        <f>VLOOKUP(Sales[[#This Row],[Product ID]],Product[#All],7,0)</f>
        <v>56600</v>
      </c>
      <c r="I3782" s="165">
        <f>Sales[[#This Row],[Selling Rate]]*Sales[[#This Row],[Qty]]</f>
        <v>226400</v>
      </c>
      <c r="J3782" s="45">
        <v>0</v>
      </c>
      <c r="K3782" s="46">
        <f>Sales[[#This Row],[Gross Amount]]*Sales[[#This Row],[Disc %]]</f>
        <v>0</v>
      </c>
      <c r="L3782" s="43">
        <v>0.18</v>
      </c>
      <c r="M3782" s="46">
        <f>(Sales[[#This Row],[Gross Amount]]-Sales[[#This Row],[Disc. Amt.]])*Sales[[#This Row],[GST %]]</f>
        <v>40752</v>
      </c>
      <c r="N3782" s="161">
        <f>Sales[[#This Row],[Gross Amount]]-Sales[[#This Row],[Disc. Amt.]]+Sales[[#This Row],[GST Amount]]</f>
        <v>267152</v>
      </c>
      <c r="O3782" s="34" t="s">
        <v>8876</v>
      </c>
      <c r="P3782" s="34" t="s">
        <v>3562</v>
      </c>
      <c r="Q3782" s="165">
        <f>IF(Sales[[#This Row],[Status]]="Cancelled",0,Sales[[#This Row],[Qty]])</f>
        <v>4</v>
      </c>
      <c r="R3782" s="166">
        <f>IF(Sales[[#This Row],[Status]]="Cancelled",0,Sales[[#This Row],[Total Amount]])</f>
        <v>267152</v>
      </c>
      <c r="S3782" s="162">
        <f>SUM(Sales[Net Amount])</f>
        <v>406839287.73200053</v>
      </c>
    </row>
    <row r="3783" spans="1:19" ht="18.75" x14ac:dyDescent="0.25">
      <c r="A3783" s="156" t="s">
        <v>7453</v>
      </c>
      <c r="B3783" s="157">
        <v>45965</v>
      </c>
      <c r="C3783" s="158" t="s">
        <v>816</v>
      </c>
      <c r="D3783" s="159" t="str">
        <f>VLOOKUP(Sales[[#This Row],[Customer ID]],Customer[#All],2,0)</f>
        <v>Amit Patel</v>
      </c>
      <c r="E3783" s="158" t="s">
        <v>425</v>
      </c>
      <c r="F3783" s="158" t="str">
        <f>VLOOKUP(Sales[[#This Row],[Product ID]],Product[#All],2,0)</f>
        <v>WD HDD</v>
      </c>
      <c r="G3783" s="159">
        <v>7</v>
      </c>
      <c r="H3783" s="160">
        <f>VLOOKUP(Sales[[#This Row],[Product ID]],Product[#All],7,0)</f>
        <v>7660</v>
      </c>
      <c r="I3783" s="160">
        <f>Sales[[#This Row],[Selling Rate]]*Sales[[#This Row],[Qty]]</f>
        <v>53620</v>
      </c>
      <c r="J3783" s="43">
        <v>0.05</v>
      </c>
      <c r="K3783" s="44">
        <f>Sales[[#This Row],[Gross Amount]]*Sales[[#This Row],[Disc %]]</f>
        <v>2681</v>
      </c>
      <c r="L3783" s="43">
        <v>0.18</v>
      </c>
      <c r="M3783" s="44">
        <f>(Sales[[#This Row],[Gross Amount]]-Sales[[#This Row],[Disc. Amt.]])*Sales[[#This Row],[GST %]]</f>
        <v>9169.02</v>
      </c>
      <c r="N3783" s="161">
        <f>Sales[[#This Row],[Gross Amount]]-Sales[[#This Row],[Disc. Amt.]]+Sales[[#This Row],[GST Amount]]</f>
        <v>60108.020000000004</v>
      </c>
      <c r="O3783" s="158" t="s">
        <v>8876</v>
      </c>
      <c r="P3783" s="158" t="s">
        <v>3562</v>
      </c>
      <c r="Q3783" s="160">
        <f>IF(Sales[[#This Row],[Status]]="Cancelled",0,Sales[[#This Row],[Qty]])</f>
        <v>7</v>
      </c>
      <c r="R3783" s="161">
        <f>IF(Sales[[#This Row],[Status]]="Cancelled",0,Sales[[#This Row],[Total Amount]])</f>
        <v>60108.020000000004</v>
      </c>
      <c r="S3783" s="162">
        <f>SUM(Sales[Net Amount])</f>
        <v>406839287.73200053</v>
      </c>
    </row>
    <row r="3784" spans="1:19" ht="18.75" x14ac:dyDescent="0.25">
      <c r="A3784" s="163" t="s">
        <v>7454</v>
      </c>
      <c r="B3784" s="164">
        <v>45965</v>
      </c>
      <c r="C3784" s="34" t="s">
        <v>761</v>
      </c>
      <c r="D3784" s="53" t="str">
        <f>VLOOKUP(Sales[[#This Row],[Customer ID]],Customer[#All],2,0)</f>
        <v>Priya Verma</v>
      </c>
      <c r="E3784" s="34" t="s">
        <v>550</v>
      </c>
      <c r="F3784" s="34" t="str">
        <f>VLOOKUP(Sales[[#This Row],[Product ID]],Product[#All],2,0)</f>
        <v>TP-link Wi-Fi Adapter</v>
      </c>
      <c r="G3784" s="53">
        <v>8</v>
      </c>
      <c r="H3784" s="165">
        <f>VLOOKUP(Sales[[#This Row],[Product ID]],Product[#All],7,0)</f>
        <v>1300</v>
      </c>
      <c r="I3784" s="165">
        <f>Sales[[#This Row],[Selling Rate]]*Sales[[#This Row],[Qty]]</f>
        <v>10400</v>
      </c>
      <c r="J3784" s="45">
        <v>0.15</v>
      </c>
      <c r="K3784" s="46">
        <f>Sales[[#This Row],[Gross Amount]]*Sales[[#This Row],[Disc %]]</f>
        <v>1560</v>
      </c>
      <c r="L3784" s="43">
        <v>0.18</v>
      </c>
      <c r="M3784" s="46">
        <f>(Sales[[#This Row],[Gross Amount]]-Sales[[#This Row],[Disc. Amt.]])*Sales[[#This Row],[GST %]]</f>
        <v>1591.2</v>
      </c>
      <c r="N3784" s="161">
        <f>Sales[[#This Row],[Gross Amount]]-Sales[[#This Row],[Disc. Amt.]]+Sales[[#This Row],[GST Amount]]</f>
        <v>10431.200000000001</v>
      </c>
      <c r="O3784" s="34" t="s">
        <v>8876</v>
      </c>
      <c r="P3784" s="34" t="s">
        <v>3562</v>
      </c>
      <c r="Q3784" s="165">
        <f>IF(Sales[[#This Row],[Status]]="Cancelled",0,Sales[[#This Row],[Qty]])</f>
        <v>8</v>
      </c>
      <c r="R3784" s="166">
        <f>IF(Sales[[#This Row],[Status]]="Cancelled",0,Sales[[#This Row],[Total Amount]])</f>
        <v>10431.200000000001</v>
      </c>
      <c r="S3784" s="162">
        <f>SUM(Sales[Net Amount])</f>
        <v>406839287.73200053</v>
      </c>
    </row>
    <row r="3785" spans="1:19" ht="18.75" x14ac:dyDescent="0.25">
      <c r="A3785" s="156" t="s">
        <v>7455</v>
      </c>
      <c r="B3785" s="157">
        <v>45965</v>
      </c>
      <c r="C3785" s="158" t="s">
        <v>925</v>
      </c>
      <c r="D3785" s="159" t="str">
        <f>VLOOKUP(Sales[[#This Row],[Customer ID]],Customer[#All],2,0)</f>
        <v>Neha Singh</v>
      </c>
      <c r="E3785" s="158" t="s">
        <v>436</v>
      </c>
      <c r="F3785" s="158" t="str">
        <f>VLOOKUP(Sales[[#This Row],[Product ID]],Product[#All],2,0)</f>
        <v>Amazon Basics Hdmi Cable</v>
      </c>
      <c r="G3785" s="159">
        <v>7</v>
      </c>
      <c r="H3785" s="160">
        <f>VLOOKUP(Sales[[#This Row],[Product ID]],Product[#All],7,0)</f>
        <v>860</v>
      </c>
      <c r="I3785" s="160">
        <f>Sales[[#This Row],[Selling Rate]]*Sales[[#This Row],[Qty]]</f>
        <v>6020</v>
      </c>
      <c r="J3785" s="43">
        <v>0.1</v>
      </c>
      <c r="K3785" s="44">
        <f>Sales[[#This Row],[Gross Amount]]*Sales[[#This Row],[Disc %]]</f>
        <v>602</v>
      </c>
      <c r="L3785" s="43">
        <v>0.18</v>
      </c>
      <c r="M3785" s="44">
        <f>(Sales[[#This Row],[Gross Amount]]-Sales[[#This Row],[Disc. Amt.]])*Sales[[#This Row],[GST %]]</f>
        <v>975.24</v>
      </c>
      <c r="N3785" s="161">
        <f>Sales[[#This Row],[Gross Amount]]-Sales[[#This Row],[Disc. Amt.]]+Sales[[#This Row],[GST Amount]]</f>
        <v>6393.24</v>
      </c>
      <c r="O3785" s="158" t="s">
        <v>3561</v>
      </c>
      <c r="P3785" s="158" t="s">
        <v>3562</v>
      </c>
      <c r="Q3785" s="160">
        <f>IF(Sales[[#This Row],[Status]]="Cancelled",0,Sales[[#This Row],[Qty]])</f>
        <v>7</v>
      </c>
      <c r="R3785" s="161">
        <f>IF(Sales[[#This Row],[Status]]="Cancelled",0,Sales[[#This Row],[Total Amount]])</f>
        <v>6393.24</v>
      </c>
      <c r="S3785" s="162">
        <f>SUM(Sales[Net Amount])</f>
        <v>406839287.73200053</v>
      </c>
    </row>
    <row r="3786" spans="1:19" ht="18.75" x14ac:dyDescent="0.25">
      <c r="A3786" s="163" t="s">
        <v>7456</v>
      </c>
      <c r="B3786" s="164">
        <v>45965</v>
      </c>
      <c r="C3786" s="34" t="s">
        <v>815</v>
      </c>
      <c r="D3786" s="53" t="str">
        <f>VLOOKUP(Sales[[#This Row],[Customer ID]],Customer[#All],2,0)</f>
        <v>Priya Gupta</v>
      </c>
      <c r="E3786" s="34" t="s">
        <v>402</v>
      </c>
      <c r="F3786" s="34" t="str">
        <f>VLOOKUP(Sales[[#This Row],[Product ID]],Product[#All],2,0)</f>
        <v>Logitech Keyboard</v>
      </c>
      <c r="G3786" s="53">
        <v>6</v>
      </c>
      <c r="H3786" s="165">
        <f>VLOOKUP(Sales[[#This Row],[Product ID]],Product[#All],7,0)</f>
        <v>3500</v>
      </c>
      <c r="I3786" s="165">
        <f>Sales[[#This Row],[Selling Rate]]*Sales[[#This Row],[Qty]]</f>
        <v>21000</v>
      </c>
      <c r="J3786" s="45">
        <v>0.15</v>
      </c>
      <c r="K3786" s="46">
        <f>Sales[[#This Row],[Gross Amount]]*Sales[[#This Row],[Disc %]]</f>
        <v>3150</v>
      </c>
      <c r="L3786" s="43">
        <v>0.18</v>
      </c>
      <c r="M3786" s="46">
        <f>(Sales[[#This Row],[Gross Amount]]-Sales[[#This Row],[Disc. Amt.]])*Sales[[#This Row],[GST %]]</f>
        <v>3213</v>
      </c>
      <c r="N3786" s="161">
        <f>Sales[[#This Row],[Gross Amount]]-Sales[[#This Row],[Disc. Amt.]]+Sales[[#This Row],[GST Amount]]</f>
        <v>21063</v>
      </c>
      <c r="O3786" s="34" t="s">
        <v>3566</v>
      </c>
      <c r="P3786" s="34" t="s">
        <v>3562</v>
      </c>
      <c r="Q3786" s="165">
        <f>IF(Sales[[#This Row],[Status]]="Cancelled",0,Sales[[#This Row],[Qty]])</f>
        <v>6</v>
      </c>
      <c r="R3786" s="166">
        <f>IF(Sales[[#This Row],[Status]]="Cancelled",0,Sales[[#This Row],[Total Amount]])</f>
        <v>21063</v>
      </c>
      <c r="S3786" s="162">
        <f>SUM(Sales[Net Amount])</f>
        <v>406839287.73200053</v>
      </c>
    </row>
    <row r="3787" spans="1:19" ht="18.75" x14ac:dyDescent="0.25">
      <c r="A3787" s="156" t="s">
        <v>7457</v>
      </c>
      <c r="B3787" s="157">
        <v>45965</v>
      </c>
      <c r="C3787" s="158" t="s">
        <v>7458</v>
      </c>
      <c r="D3787" s="159" t="str">
        <f>VLOOKUP(Sales[[#This Row],[Customer ID]],Customer[#All],2,0)</f>
        <v>Rahul Patel</v>
      </c>
      <c r="E3787" s="158" t="s">
        <v>20</v>
      </c>
      <c r="F3787" s="158" t="str">
        <f>VLOOKUP(Sales[[#This Row],[Product ID]],Product[#All],2,0)</f>
        <v>Logitech Keyboard</v>
      </c>
      <c r="G3787" s="159">
        <v>4</v>
      </c>
      <c r="H3787" s="160">
        <f>VLOOKUP(Sales[[#This Row],[Product ID]],Product[#All],7,0)</f>
        <v>3290</v>
      </c>
      <c r="I3787" s="160">
        <f>Sales[[#This Row],[Selling Rate]]*Sales[[#This Row],[Qty]]</f>
        <v>13160</v>
      </c>
      <c r="J3787" s="43">
        <v>0.15</v>
      </c>
      <c r="K3787" s="44">
        <f>Sales[[#This Row],[Gross Amount]]*Sales[[#This Row],[Disc %]]</f>
        <v>1974</v>
      </c>
      <c r="L3787" s="43">
        <v>0.18</v>
      </c>
      <c r="M3787" s="44">
        <f>(Sales[[#This Row],[Gross Amount]]-Sales[[#This Row],[Disc. Amt.]])*Sales[[#This Row],[GST %]]</f>
        <v>2013.48</v>
      </c>
      <c r="N3787" s="161">
        <f>Sales[[#This Row],[Gross Amount]]-Sales[[#This Row],[Disc. Amt.]]+Sales[[#This Row],[GST Amount]]</f>
        <v>13199.48</v>
      </c>
      <c r="O3787" s="158" t="s">
        <v>8876</v>
      </c>
      <c r="P3787" s="158" t="s">
        <v>3562</v>
      </c>
      <c r="Q3787" s="160">
        <f>IF(Sales[[#This Row],[Status]]="Cancelled",0,Sales[[#This Row],[Qty]])</f>
        <v>4</v>
      </c>
      <c r="R3787" s="161">
        <f>IF(Sales[[#This Row],[Status]]="Cancelled",0,Sales[[#This Row],[Total Amount]])</f>
        <v>13199.48</v>
      </c>
      <c r="S3787" s="162">
        <f>SUM(Sales[Net Amount])</f>
        <v>406839287.73200053</v>
      </c>
    </row>
    <row r="3788" spans="1:19" ht="18.75" x14ac:dyDescent="0.25">
      <c r="A3788" s="163" t="s">
        <v>7459</v>
      </c>
      <c r="B3788" s="164">
        <v>45965</v>
      </c>
      <c r="C3788" s="34" t="s">
        <v>945</v>
      </c>
      <c r="D3788" s="53" t="str">
        <f>VLOOKUP(Sales[[#This Row],[Customer ID]],Customer[#All],2,0)</f>
        <v>Rahul Singh</v>
      </c>
      <c r="E3788" s="34" t="s">
        <v>389</v>
      </c>
      <c r="F3788" s="34" t="str">
        <f>VLOOKUP(Sales[[#This Row],[Product ID]],Product[#All],2,0)</f>
        <v>WD HDD</v>
      </c>
      <c r="G3788" s="53">
        <v>8</v>
      </c>
      <c r="H3788" s="165">
        <f>VLOOKUP(Sales[[#This Row],[Product ID]],Product[#All],7,0)</f>
        <v>10530</v>
      </c>
      <c r="I3788" s="165">
        <f>Sales[[#This Row],[Selling Rate]]*Sales[[#This Row],[Qty]]</f>
        <v>84240</v>
      </c>
      <c r="J3788" s="45">
        <v>0.02</v>
      </c>
      <c r="K3788" s="46">
        <f>Sales[[#This Row],[Gross Amount]]*Sales[[#This Row],[Disc %]]</f>
        <v>1684.8</v>
      </c>
      <c r="L3788" s="43">
        <v>0.18</v>
      </c>
      <c r="M3788" s="46">
        <f>(Sales[[#This Row],[Gross Amount]]-Sales[[#This Row],[Disc. Amt.]])*Sales[[#This Row],[GST %]]</f>
        <v>14859.936</v>
      </c>
      <c r="N3788" s="161">
        <f>Sales[[#This Row],[Gross Amount]]-Sales[[#This Row],[Disc. Amt.]]+Sales[[#This Row],[GST Amount]]</f>
        <v>97415.135999999999</v>
      </c>
      <c r="O3788" s="34" t="s">
        <v>3569</v>
      </c>
      <c r="P3788" s="34" t="s">
        <v>3562</v>
      </c>
      <c r="Q3788" s="165">
        <f>IF(Sales[[#This Row],[Status]]="Cancelled",0,Sales[[#This Row],[Qty]])</f>
        <v>8</v>
      </c>
      <c r="R3788" s="166">
        <f>IF(Sales[[#This Row],[Status]]="Cancelled",0,Sales[[#This Row],[Total Amount]])</f>
        <v>97415.135999999999</v>
      </c>
      <c r="S3788" s="162">
        <f>SUM(Sales[Net Amount])</f>
        <v>406839287.73200053</v>
      </c>
    </row>
    <row r="3789" spans="1:19" ht="18.75" x14ac:dyDescent="0.25">
      <c r="A3789" s="156" t="s">
        <v>7460</v>
      </c>
      <c r="B3789" s="157">
        <v>45965</v>
      </c>
      <c r="C3789" s="158" t="s">
        <v>771</v>
      </c>
      <c r="D3789" s="159" t="str">
        <f>VLOOKUP(Sales[[#This Row],[Customer ID]],Customer[#All],2,0)</f>
        <v>Pooja Sharma</v>
      </c>
      <c r="E3789" s="158" t="s">
        <v>445</v>
      </c>
      <c r="F3789" s="158" t="str">
        <f>VLOOKUP(Sales[[#This Row],[Product ID]],Product[#All],2,0)</f>
        <v>Lenovo Laptop</v>
      </c>
      <c r="G3789" s="159">
        <v>1</v>
      </c>
      <c r="H3789" s="160">
        <f>VLOOKUP(Sales[[#This Row],[Product ID]],Product[#All],7,0)</f>
        <v>37710</v>
      </c>
      <c r="I3789" s="160">
        <f>Sales[[#This Row],[Selling Rate]]*Sales[[#This Row],[Qty]]</f>
        <v>37710</v>
      </c>
      <c r="J3789" s="43">
        <v>0.1</v>
      </c>
      <c r="K3789" s="44">
        <f>Sales[[#This Row],[Gross Amount]]*Sales[[#This Row],[Disc %]]</f>
        <v>3771</v>
      </c>
      <c r="L3789" s="43">
        <v>0.18</v>
      </c>
      <c r="M3789" s="44">
        <f>(Sales[[#This Row],[Gross Amount]]-Sales[[#This Row],[Disc. Amt.]])*Sales[[#This Row],[GST %]]</f>
        <v>6109.0199999999995</v>
      </c>
      <c r="N3789" s="161">
        <f>Sales[[#This Row],[Gross Amount]]-Sales[[#This Row],[Disc. Amt.]]+Sales[[#This Row],[GST Amount]]</f>
        <v>40048.019999999997</v>
      </c>
      <c r="O3789" s="158" t="s">
        <v>3566</v>
      </c>
      <c r="P3789" s="158" t="s">
        <v>3562</v>
      </c>
      <c r="Q3789" s="160">
        <f>IF(Sales[[#This Row],[Status]]="Cancelled",0,Sales[[#This Row],[Qty]])</f>
        <v>1</v>
      </c>
      <c r="R3789" s="161">
        <f>IF(Sales[[#This Row],[Status]]="Cancelled",0,Sales[[#This Row],[Total Amount]])</f>
        <v>40048.019999999997</v>
      </c>
      <c r="S3789" s="162">
        <f>SUM(Sales[Net Amount])</f>
        <v>406839287.73200053</v>
      </c>
    </row>
    <row r="3790" spans="1:19" ht="18.75" x14ac:dyDescent="0.25">
      <c r="A3790" s="163" t="s">
        <v>7461</v>
      </c>
      <c r="B3790" s="164">
        <v>45966</v>
      </c>
      <c r="C3790" s="34" t="s">
        <v>889</v>
      </c>
      <c r="D3790" s="53" t="str">
        <f>VLOOKUP(Sales[[#This Row],[Customer ID]],Customer[#All],2,0)</f>
        <v>Rakesh Sharma</v>
      </c>
      <c r="E3790" s="34" t="s">
        <v>385</v>
      </c>
      <c r="F3790" s="34" t="str">
        <f>VLOOKUP(Sales[[#This Row],[Product ID]],Product[#All],2,0)</f>
        <v>Boat Headset</v>
      </c>
      <c r="G3790" s="53">
        <v>3</v>
      </c>
      <c r="H3790" s="165">
        <f>VLOOKUP(Sales[[#This Row],[Product ID]],Product[#All],7,0)</f>
        <v>1280</v>
      </c>
      <c r="I3790" s="165">
        <f>Sales[[#This Row],[Selling Rate]]*Sales[[#This Row],[Qty]]</f>
        <v>3840</v>
      </c>
      <c r="J3790" s="45">
        <v>0</v>
      </c>
      <c r="K3790" s="46">
        <f>Sales[[#This Row],[Gross Amount]]*Sales[[#This Row],[Disc %]]</f>
        <v>0</v>
      </c>
      <c r="L3790" s="43">
        <v>0.18</v>
      </c>
      <c r="M3790" s="46">
        <f>(Sales[[#This Row],[Gross Amount]]-Sales[[#This Row],[Disc. Amt.]])*Sales[[#This Row],[GST %]]</f>
        <v>691.19999999999993</v>
      </c>
      <c r="N3790" s="161">
        <f>Sales[[#This Row],[Gross Amount]]-Sales[[#This Row],[Disc. Amt.]]+Sales[[#This Row],[GST Amount]]</f>
        <v>4531.2</v>
      </c>
      <c r="O3790" s="34" t="s">
        <v>3566</v>
      </c>
      <c r="P3790" s="34" t="s">
        <v>3562</v>
      </c>
      <c r="Q3790" s="165">
        <f>IF(Sales[[#This Row],[Status]]="Cancelled",0,Sales[[#This Row],[Qty]])</f>
        <v>3</v>
      </c>
      <c r="R3790" s="166">
        <f>IF(Sales[[#This Row],[Status]]="Cancelled",0,Sales[[#This Row],[Total Amount]])</f>
        <v>4531.2</v>
      </c>
      <c r="S3790" s="162">
        <f>SUM(Sales[Net Amount])</f>
        <v>406839287.73200053</v>
      </c>
    </row>
    <row r="3791" spans="1:19" ht="18.75" x14ac:dyDescent="0.25">
      <c r="A3791" s="156" t="s">
        <v>7462</v>
      </c>
      <c r="B3791" s="157">
        <v>45966</v>
      </c>
      <c r="C3791" s="158" t="s">
        <v>793</v>
      </c>
      <c r="D3791" s="159" t="str">
        <f>VLOOKUP(Sales[[#This Row],[Customer ID]],Customer[#All],2,0)</f>
        <v>Neha Verma</v>
      </c>
      <c r="E3791" s="158" t="s">
        <v>367</v>
      </c>
      <c r="F3791" s="158" t="str">
        <f>VLOOKUP(Sales[[#This Row],[Product ID]],Product[#All],2,0)</f>
        <v>Jbl Speaker</v>
      </c>
      <c r="G3791" s="159">
        <v>3</v>
      </c>
      <c r="H3791" s="160">
        <f>VLOOKUP(Sales[[#This Row],[Product ID]],Product[#All],7,0)</f>
        <v>4880</v>
      </c>
      <c r="I3791" s="160">
        <f>Sales[[#This Row],[Selling Rate]]*Sales[[#This Row],[Qty]]</f>
        <v>14640</v>
      </c>
      <c r="J3791" s="43">
        <v>0</v>
      </c>
      <c r="K3791" s="44">
        <f>Sales[[#This Row],[Gross Amount]]*Sales[[#This Row],[Disc %]]</f>
        <v>0</v>
      </c>
      <c r="L3791" s="43">
        <v>0.18</v>
      </c>
      <c r="M3791" s="44">
        <f>(Sales[[#This Row],[Gross Amount]]-Sales[[#This Row],[Disc. Amt.]])*Sales[[#This Row],[GST %]]</f>
        <v>2635.2</v>
      </c>
      <c r="N3791" s="161">
        <f>Sales[[#This Row],[Gross Amount]]-Sales[[#This Row],[Disc. Amt.]]+Sales[[#This Row],[GST Amount]]</f>
        <v>17275.2</v>
      </c>
      <c r="O3791" s="158" t="s">
        <v>8876</v>
      </c>
      <c r="P3791" s="158" t="s">
        <v>3562</v>
      </c>
      <c r="Q3791" s="160">
        <f>IF(Sales[[#This Row],[Status]]="Cancelled",0,Sales[[#This Row],[Qty]])</f>
        <v>3</v>
      </c>
      <c r="R3791" s="161">
        <f>IF(Sales[[#This Row],[Status]]="Cancelled",0,Sales[[#This Row],[Total Amount]])</f>
        <v>17275.2</v>
      </c>
      <c r="S3791" s="162">
        <f>SUM(Sales[Net Amount])</f>
        <v>406839287.73200053</v>
      </c>
    </row>
    <row r="3792" spans="1:19" ht="18.75" x14ac:dyDescent="0.25">
      <c r="A3792" s="163" t="s">
        <v>7463</v>
      </c>
      <c r="B3792" s="164">
        <v>45966</v>
      </c>
      <c r="C3792" s="34" t="s">
        <v>805</v>
      </c>
      <c r="D3792" s="53" t="str">
        <f>VLOOKUP(Sales[[#This Row],[Customer ID]],Customer[#All],2,0)</f>
        <v>Priya Kumar</v>
      </c>
      <c r="E3792" s="34" t="s">
        <v>295</v>
      </c>
      <c r="F3792" s="34" t="str">
        <f>VLOOKUP(Sales[[#This Row],[Product ID]],Product[#All],2,0)</f>
        <v>Samsung Monitor</v>
      </c>
      <c r="G3792" s="53">
        <v>8</v>
      </c>
      <c r="H3792" s="165">
        <f>VLOOKUP(Sales[[#This Row],[Product ID]],Product[#All],7,0)</f>
        <v>7630</v>
      </c>
      <c r="I3792" s="165">
        <f>Sales[[#This Row],[Selling Rate]]*Sales[[#This Row],[Qty]]</f>
        <v>61040</v>
      </c>
      <c r="J3792" s="45">
        <v>0.05</v>
      </c>
      <c r="K3792" s="46">
        <f>Sales[[#This Row],[Gross Amount]]*Sales[[#This Row],[Disc %]]</f>
        <v>3052</v>
      </c>
      <c r="L3792" s="43">
        <v>0.18</v>
      </c>
      <c r="M3792" s="46">
        <f>(Sales[[#This Row],[Gross Amount]]-Sales[[#This Row],[Disc. Amt.]])*Sales[[#This Row],[GST %]]</f>
        <v>10437.84</v>
      </c>
      <c r="N3792" s="161">
        <f>Sales[[#This Row],[Gross Amount]]-Sales[[#This Row],[Disc. Amt.]]+Sales[[#This Row],[GST Amount]]</f>
        <v>68425.84</v>
      </c>
      <c r="O3792" s="34" t="s">
        <v>8876</v>
      </c>
      <c r="P3792" s="34" t="s">
        <v>3562</v>
      </c>
      <c r="Q3792" s="165">
        <f>IF(Sales[[#This Row],[Status]]="Cancelled",0,Sales[[#This Row],[Qty]])</f>
        <v>8</v>
      </c>
      <c r="R3792" s="166">
        <f>IF(Sales[[#This Row],[Status]]="Cancelled",0,Sales[[#This Row],[Total Amount]])</f>
        <v>68425.84</v>
      </c>
      <c r="S3792" s="162">
        <f>SUM(Sales[Net Amount])</f>
        <v>406839287.73200053</v>
      </c>
    </row>
    <row r="3793" spans="1:19" ht="18.75" x14ac:dyDescent="0.25">
      <c r="A3793" s="156" t="s">
        <v>7464</v>
      </c>
      <c r="B3793" s="157">
        <v>45966</v>
      </c>
      <c r="C3793" s="158" t="s">
        <v>742</v>
      </c>
      <c r="D3793" s="159" t="str">
        <f>VLOOKUP(Sales[[#This Row],[Customer ID]],Customer[#All],2,0)</f>
        <v>Rahul Patel</v>
      </c>
      <c r="E3793" s="158" t="s">
        <v>75</v>
      </c>
      <c r="F3793" s="158" t="str">
        <f>VLOOKUP(Sales[[#This Row],[Product ID]],Product[#All],2,0)</f>
        <v>Samsung Monitor</v>
      </c>
      <c r="G3793" s="159">
        <v>4</v>
      </c>
      <c r="H3793" s="160">
        <f>VLOOKUP(Sales[[#This Row],[Product ID]],Product[#All],7,0)</f>
        <v>30810</v>
      </c>
      <c r="I3793" s="160">
        <f>Sales[[#This Row],[Selling Rate]]*Sales[[#This Row],[Qty]]</f>
        <v>123240</v>
      </c>
      <c r="J3793" s="43">
        <v>0.05</v>
      </c>
      <c r="K3793" s="44">
        <f>Sales[[#This Row],[Gross Amount]]*Sales[[#This Row],[Disc %]]</f>
        <v>6162</v>
      </c>
      <c r="L3793" s="43">
        <v>0.18</v>
      </c>
      <c r="M3793" s="44">
        <f>(Sales[[#This Row],[Gross Amount]]-Sales[[#This Row],[Disc. Amt.]])*Sales[[#This Row],[GST %]]</f>
        <v>21074.04</v>
      </c>
      <c r="N3793" s="161">
        <f>Sales[[#This Row],[Gross Amount]]-Sales[[#This Row],[Disc. Amt.]]+Sales[[#This Row],[GST Amount]]</f>
        <v>138152.04</v>
      </c>
      <c r="O3793" s="158" t="s">
        <v>3566</v>
      </c>
      <c r="P3793" s="158" t="s">
        <v>3562</v>
      </c>
      <c r="Q3793" s="160">
        <f>IF(Sales[[#This Row],[Status]]="Cancelled",0,Sales[[#This Row],[Qty]])</f>
        <v>4</v>
      </c>
      <c r="R3793" s="161">
        <f>IF(Sales[[#This Row],[Status]]="Cancelled",0,Sales[[#This Row],[Total Amount]])</f>
        <v>138152.04</v>
      </c>
      <c r="S3793" s="162">
        <f>SUM(Sales[Net Amount])</f>
        <v>406839287.73200053</v>
      </c>
    </row>
    <row r="3794" spans="1:19" ht="18.75" x14ac:dyDescent="0.25">
      <c r="A3794" s="163" t="s">
        <v>7465</v>
      </c>
      <c r="B3794" s="164">
        <v>45966</v>
      </c>
      <c r="C3794" s="34" t="s">
        <v>692</v>
      </c>
      <c r="D3794" s="53" t="str">
        <f>VLOOKUP(Sales[[#This Row],[Customer ID]],Customer[#All],2,0)</f>
        <v>Rahul Patel</v>
      </c>
      <c r="E3794" s="34" t="s">
        <v>91</v>
      </c>
      <c r="F3794" s="34" t="str">
        <f>VLOOKUP(Sales[[#This Row],[Product ID]],Product[#All],2,0)</f>
        <v>Logitech Keyboard</v>
      </c>
      <c r="G3794" s="53">
        <v>7</v>
      </c>
      <c r="H3794" s="165">
        <f>VLOOKUP(Sales[[#This Row],[Product ID]],Product[#All],7,0)</f>
        <v>3950</v>
      </c>
      <c r="I3794" s="165">
        <f>Sales[[#This Row],[Selling Rate]]*Sales[[#This Row],[Qty]]</f>
        <v>27650</v>
      </c>
      <c r="J3794" s="45">
        <v>0.1</v>
      </c>
      <c r="K3794" s="46">
        <f>Sales[[#This Row],[Gross Amount]]*Sales[[#This Row],[Disc %]]</f>
        <v>2765</v>
      </c>
      <c r="L3794" s="43">
        <v>0.18</v>
      </c>
      <c r="M3794" s="46">
        <f>(Sales[[#This Row],[Gross Amount]]-Sales[[#This Row],[Disc. Amt.]])*Sales[[#This Row],[GST %]]</f>
        <v>4479.3</v>
      </c>
      <c r="N3794" s="161">
        <f>Sales[[#This Row],[Gross Amount]]-Sales[[#This Row],[Disc. Amt.]]+Sales[[#This Row],[GST Amount]]</f>
        <v>29364.3</v>
      </c>
      <c r="O3794" s="34" t="s">
        <v>3569</v>
      </c>
      <c r="P3794" s="34" t="s">
        <v>3562</v>
      </c>
      <c r="Q3794" s="165">
        <f>IF(Sales[[#This Row],[Status]]="Cancelled",0,Sales[[#This Row],[Qty]])</f>
        <v>7</v>
      </c>
      <c r="R3794" s="166">
        <f>IF(Sales[[#This Row],[Status]]="Cancelled",0,Sales[[#This Row],[Total Amount]])</f>
        <v>29364.3</v>
      </c>
      <c r="S3794" s="162">
        <f>SUM(Sales[Net Amount])</f>
        <v>406839287.73200053</v>
      </c>
    </row>
    <row r="3795" spans="1:19" ht="18.75" x14ac:dyDescent="0.25">
      <c r="A3795" s="156" t="s">
        <v>7466</v>
      </c>
      <c r="B3795" s="157">
        <v>45966</v>
      </c>
      <c r="C3795" s="158" t="s">
        <v>762</v>
      </c>
      <c r="D3795" s="159" t="str">
        <f>VLOOKUP(Sales[[#This Row],[Customer ID]],Customer[#All],2,0)</f>
        <v>Amit Patel</v>
      </c>
      <c r="E3795" s="158" t="s">
        <v>107</v>
      </c>
      <c r="F3795" s="158" t="str">
        <f>VLOOKUP(Sales[[#This Row],[Product ID]],Product[#All],2,0)</f>
        <v>Samsung Ssd</v>
      </c>
      <c r="G3795" s="159">
        <v>5</v>
      </c>
      <c r="H3795" s="160">
        <f>VLOOKUP(Sales[[#This Row],[Product ID]],Product[#All],7,0)</f>
        <v>15030</v>
      </c>
      <c r="I3795" s="160">
        <f>Sales[[#This Row],[Selling Rate]]*Sales[[#This Row],[Qty]]</f>
        <v>75150</v>
      </c>
      <c r="J3795" s="43">
        <v>0.12</v>
      </c>
      <c r="K3795" s="44">
        <f>Sales[[#This Row],[Gross Amount]]*Sales[[#This Row],[Disc %]]</f>
        <v>9018</v>
      </c>
      <c r="L3795" s="43">
        <v>0.18</v>
      </c>
      <c r="M3795" s="44">
        <f>(Sales[[#This Row],[Gross Amount]]-Sales[[#This Row],[Disc. Amt.]])*Sales[[#This Row],[GST %]]</f>
        <v>11903.76</v>
      </c>
      <c r="N3795" s="161">
        <f>Sales[[#This Row],[Gross Amount]]-Sales[[#This Row],[Disc. Amt.]]+Sales[[#This Row],[GST Amount]]</f>
        <v>78035.759999999995</v>
      </c>
      <c r="O3795" s="158" t="s">
        <v>3569</v>
      </c>
      <c r="P3795" s="158" t="s">
        <v>3562</v>
      </c>
      <c r="Q3795" s="160">
        <f>IF(Sales[[#This Row],[Status]]="Cancelled",0,Sales[[#This Row],[Qty]])</f>
        <v>5</v>
      </c>
      <c r="R3795" s="161">
        <f>IF(Sales[[#This Row],[Status]]="Cancelled",0,Sales[[#This Row],[Total Amount]])</f>
        <v>78035.759999999995</v>
      </c>
      <c r="S3795" s="162">
        <f>SUM(Sales[Net Amount])</f>
        <v>406839287.73200053</v>
      </c>
    </row>
    <row r="3796" spans="1:19" ht="18.75" x14ac:dyDescent="0.25">
      <c r="A3796" s="163" t="s">
        <v>7467</v>
      </c>
      <c r="B3796" s="164">
        <v>45966</v>
      </c>
      <c r="C3796" s="34" t="s">
        <v>825</v>
      </c>
      <c r="D3796" s="53" t="str">
        <f>VLOOKUP(Sales[[#This Row],[Customer ID]],Customer[#All],2,0)</f>
        <v>Rahul Kumar</v>
      </c>
      <c r="E3796" s="34" t="s">
        <v>505</v>
      </c>
      <c r="F3796" s="34" t="str">
        <f>VLOOKUP(Sales[[#This Row],[Product ID]],Product[#All],2,0)</f>
        <v>Dell Monitor</v>
      </c>
      <c r="G3796" s="53">
        <v>8</v>
      </c>
      <c r="H3796" s="165">
        <f>VLOOKUP(Sales[[#This Row],[Product ID]],Product[#All],7,0)</f>
        <v>12790</v>
      </c>
      <c r="I3796" s="165">
        <f>Sales[[#This Row],[Selling Rate]]*Sales[[#This Row],[Qty]]</f>
        <v>102320</v>
      </c>
      <c r="J3796" s="45">
        <v>0.12</v>
      </c>
      <c r="K3796" s="46">
        <f>Sales[[#This Row],[Gross Amount]]*Sales[[#This Row],[Disc %]]</f>
        <v>12278.4</v>
      </c>
      <c r="L3796" s="43">
        <v>0.18</v>
      </c>
      <c r="M3796" s="46">
        <f>(Sales[[#This Row],[Gross Amount]]-Sales[[#This Row],[Disc. Amt.]])*Sales[[#This Row],[GST %]]</f>
        <v>16207.488000000001</v>
      </c>
      <c r="N3796" s="161">
        <f>Sales[[#This Row],[Gross Amount]]-Sales[[#This Row],[Disc. Amt.]]+Sales[[#This Row],[GST Amount]]</f>
        <v>106249.088</v>
      </c>
      <c r="O3796" s="34" t="s">
        <v>3569</v>
      </c>
      <c r="P3796" s="34" t="s">
        <v>3562</v>
      </c>
      <c r="Q3796" s="165">
        <f>IF(Sales[[#This Row],[Status]]="Cancelled",0,Sales[[#This Row],[Qty]])</f>
        <v>8</v>
      </c>
      <c r="R3796" s="166">
        <f>IF(Sales[[#This Row],[Status]]="Cancelled",0,Sales[[#This Row],[Total Amount]])</f>
        <v>106249.088</v>
      </c>
      <c r="S3796" s="162">
        <f>SUM(Sales[Net Amount])</f>
        <v>406839287.73200053</v>
      </c>
    </row>
    <row r="3797" spans="1:19" ht="18.75" x14ac:dyDescent="0.25">
      <c r="A3797" s="156" t="s">
        <v>7468</v>
      </c>
      <c r="B3797" s="157">
        <v>45966</v>
      </c>
      <c r="C3797" s="158" t="s">
        <v>727</v>
      </c>
      <c r="D3797" s="159" t="str">
        <f>VLOOKUP(Sales[[#This Row],[Customer ID]],Customer[#All],2,0)</f>
        <v>Sahil Sharma</v>
      </c>
      <c r="E3797" s="158" t="s">
        <v>327</v>
      </c>
      <c r="F3797" s="158" t="str">
        <f>VLOOKUP(Sales[[#This Row],[Product ID]],Product[#All],2,0)</f>
        <v>Samsung Ssd</v>
      </c>
      <c r="G3797" s="159">
        <v>7</v>
      </c>
      <c r="H3797" s="160">
        <f>VLOOKUP(Sales[[#This Row],[Product ID]],Product[#All],7,0)</f>
        <v>16390</v>
      </c>
      <c r="I3797" s="160">
        <f>Sales[[#This Row],[Selling Rate]]*Sales[[#This Row],[Qty]]</f>
        <v>114730</v>
      </c>
      <c r="J3797" s="43">
        <v>0.05</v>
      </c>
      <c r="K3797" s="44">
        <f>Sales[[#This Row],[Gross Amount]]*Sales[[#This Row],[Disc %]]</f>
        <v>5736.5</v>
      </c>
      <c r="L3797" s="43">
        <v>0.18</v>
      </c>
      <c r="M3797" s="44">
        <f>(Sales[[#This Row],[Gross Amount]]-Sales[[#This Row],[Disc. Amt.]])*Sales[[#This Row],[GST %]]</f>
        <v>19618.829999999998</v>
      </c>
      <c r="N3797" s="161">
        <f>Sales[[#This Row],[Gross Amount]]-Sales[[#This Row],[Disc. Amt.]]+Sales[[#This Row],[GST Amount]]</f>
        <v>128612.33</v>
      </c>
      <c r="O3797" s="158" t="s">
        <v>3561</v>
      </c>
      <c r="P3797" s="158" t="s">
        <v>3562</v>
      </c>
      <c r="Q3797" s="160">
        <f>IF(Sales[[#This Row],[Status]]="Cancelled",0,Sales[[#This Row],[Qty]])</f>
        <v>7</v>
      </c>
      <c r="R3797" s="161">
        <f>IF(Sales[[#This Row],[Status]]="Cancelled",0,Sales[[#This Row],[Total Amount]])</f>
        <v>128612.33</v>
      </c>
      <c r="S3797" s="162">
        <f>SUM(Sales[Net Amount])</f>
        <v>406839287.73200053</v>
      </c>
    </row>
    <row r="3798" spans="1:19" ht="18.75" x14ac:dyDescent="0.25">
      <c r="A3798" s="163" t="s">
        <v>7469</v>
      </c>
      <c r="B3798" s="164">
        <v>45966</v>
      </c>
      <c r="C3798" s="34" t="s">
        <v>821</v>
      </c>
      <c r="D3798" s="53" t="str">
        <f>VLOOKUP(Sales[[#This Row],[Customer ID]],Customer[#All],2,0)</f>
        <v>Rakesh Sharma</v>
      </c>
      <c r="E3798" s="34" t="s">
        <v>102</v>
      </c>
      <c r="F3798" s="34" t="str">
        <f>VLOOKUP(Sales[[#This Row],[Product ID]],Product[#All],2,0)</f>
        <v>Canon Printer</v>
      </c>
      <c r="G3798" s="53">
        <v>7</v>
      </c>
      <c r="H3798" s="165">
        <f>VLOOKUP(Sales[[#This Row],[Product ID]],Product[#All],7,0)</f>
        <v>13010</v>
      </c>
      <c r="I3798" s="165">
        <f>Sales[[#This Row],[Selling Rate]]*Sales[[#This Row],[Qty]]</f>
        <v>91070</v>
      </c>
      <c r="J3798" s="45">
        <v>0</v>
      </c>
      <c r="K3798" s="46">
        <f>Sales[[#This Row],[Gross Amount]]*Sales[[#This Row],[Disc %]]</f>
        <v>0</v>
      </c>
      <c r="L3798" s="43">
        <v>0.18</v>
      </c>
      <c r="M3798" s="46">
        <f>(Sales[[#This Row],[Gross Amount]]-Sales[[#This Row],[Disc. Amt.]])*Sales[[#This Row],[GST %]]</f>
        <v>16392.599999999999</v>
      </c>
      <c r="N3798" s="161">
        <f>Sales[[#This Row],[Gross Amount]]-Sales[[#This Row],[Disc. Amt.]]+Sales[[#This Row],[GST Amount]]</f>
        <v>107462.6</v>
      </c>
      <c r="O3798" s="34" t="s">
        <v>3561</v>
      </c>
      <c r="P3798" s="34" t="s">
        <v>3562</v>
      </c>
      <c r="Q3798" s="165">
        <f>IF(Sales[[#This Row],[Status]]="Cancelled",0,Sales[[#This Row],[Qty]])</f>
        <v>7</v>
      </c>
      <c r="R3798" s="166">
        <f>IF(Sales[[#This Row],[Status]]="Cancelled",0,Sales[[#This Row],[Total Amount]])</f>
        <v>107462.6</v>
      </c>
      <c r="S3798" s="162">
        <f>SUM(Sales[Net Amount])</f>
        <v>406839287.73200053</v>
      </c>
    </row>
    <row r="3799" spans="1:19" ht="18.75" x14ac:dyDescent="0.25">
      <c r="A3799" s="156" t="s">
        <v>7470</v>
      </c>
      <c r="B3799" s="157">
        <v>45966</v>
      </c>
      <c r="C3799" s="158" t="s">
        <v>841</v>
      </c>
      <c r="D3799" s="159" t="str">
        <f>VLOOKUP(Sales[[#This Row],[Customer ID]],Customer[#All],2,0)</f>
        <v>Pooja Verma</v>
      </c>
      <c r="E3799" s="158" t="s">
        <v>494</v>
      </c>
      <c r="F3799" s="158" t="str">
        <f>VLOOKUP(Sales[[#This Row],[Product ID]],Product[#All],2,0)</f>
        <v>Logitech Mouse</v>
      </c>
      <c r="G3799" s="159">
        <v>3</v>
      </c>
      <c r="H3799" s="160">
        <f>VLOOKUP(Sales[[#This Row],[Product ID]],Product[#All],7,0)</f>
        <v>660</v>
      </c>
      <c r="I3799" s="160">
        <f>Sales[[#This Row],[Selling Rate]]*Sales[[#This Row],[Qty]]</f>
        <v>1980</v>
      </c>
      <c r="J3799" s="43">
        <v>0</v>
      </c>
      <c r="K3799" s="44">
        <f>Sales[[#This Row],[Gross Amount]]*Sales[[#This Row],[Disc %]]</f>
        <v>0</v>
      </c>
      <c r="L3799" s="43">
        <v>0.18</v>
      </c>
      <c r="M3799" s="44">
        <f>(Sales[[#This Row],[Gross Amount]]-Sales[[#This Row],[Disc. Amt.]])*Sales[[#This Row],[GST %]]</f>
        <v>356.4</v>
      </c>
      <c r="N3799" s="161">
        <f>Sales[[#This Row],[Gross Amount]]-Sales[[#This Row],[Disc. Amt.]]+Sales[[#This Row],[GST Amount]]</f>
        <v>2336.4</v>
      </c>
      <c r="O3799" s="158" t="s">
        <v>3561</v>
      </c>
      <c r="P3799" s="158" t="s">
        <v>3562</v>
      </c>
      <c r="Q3799" s="160">
        <f>IF(Sales[[#This Row],[Status]]="Cancelled",0,Sales[[#This Row],[Qty]])</f>
        <v>3</v>
      </c>
      <c r="R3799" s="161">
        <f>IF(Sales[[#This Row],[Status]]="Cancelled",0,Sales[[#This Row],[Total Amount]])</f>
        <v>2336.4</v>
      </c>
      <c r="S3799" s="162">
        <f>SUM(Sales[Net Amount])</f>
        <v>406839287.73200053</v>
      </c>
    </row>
    <row r="3800" spans="1:19" ht="18.75" x14ac:dyDescent="0.25">
      <c r="A3800" s="163" t="s">
        <v>7471</v>
      </c>
      <c r="B3800" s="164">
        <v>45966</v>
      </c>
      <c r="C3800" s="34" t="s">
        <v>886</v>
      </c>
      <c r="D3800" s="53" t="str">
        <f>VLOOKUP(Sales[[#This Row],[Customer ID]],Customer[#All],2,0)</f>
        <v>Sunita Gupta</v>
      </c>
      <c r="E3800" s="34" t="s">
        <v>96</v>
      </c>
      <c r="F3800" s="34" t="str">
        <f>VLOOKUP(Sales[[#This Row],[Product ID]],Product[#All],2,0)</f>
        <v>Corsair Ram</v>
      </c>
      <c r="G3800" s="53">
        <v>3</v>
      </c>
      <c r="H3800" s="165">
        <f>VLOOKUP(Sales[[#This Row],[Product ID]],Product[#All],7,0)</f>
        <v>4570</v>
      </c>
      <c r="I3800" s="165">
        <f>Sales[[#This Row],[Selling Rate]]*Sales[[#This Row],[Qty]]</f>
        <v>13710</v>
      </c>
      <c r="J3800" s="45">
        <v>0.12</v>
      </c>
      <c r="K3800" s="46">
        <f>Sales[[#This Row],[Gross Amount]]*Sales[[#This Row],[Disc %]]</f>
        <v>1645.2</v>
      </c>
      <c r="L3800" s="43">
        <v>0.18</v>
      </c>
      <c r="M3800" s="46">
        <f>(Sales[[#This Row],[Gross Amount]]-Sales[[#This Row],[Disc. Amt.]])*Sales[[#This Row],[GST %]]</f>
        <v>2171.6639999999998</v>
      </c>
      <c r="N3800" s="161">
        <f>Sales[[#This Row],[Gross Amount]]-Sales[[#This Row],[Disc. Amt.]]+Sales[[#This Row],[GST Amount]]</f>
        <v>14236.464</v>
      </c>
      <c r="O3800" s="34" t="s">
        <v>8876</v>
      </c>
      <c r="P3800" s="34" t="s">
        <v>3562</v>
      </c>
      <c r="Q3800" s="165">
        <f>IF(Sales[[#This Row],[Status]]="Cancelled",0,Sales[[#This Row],[Qty]])</f>
        <v>3</v>
      </c>
      <c r="R3800" s="166">
        <f>IF(Sales[[#This Row],[Status]]="Cancelled",0,Sales[[#This Row],[Total Amount]])</f>
        <v>14236.464</v>
      </c>
      <c r="S3800" s="162">
        <f>SUM(Sales[Net Amount])</f>
        <v>406839287.73200053</v>
      </c>
    </row>
    <row r="3801" spans="1:19" ht="18.75" x14ac:dyDescent="0.25">
      <c r="A3801" s="156" t="s">
        <v>7472</v>
      </c>
      <c r="B3801" s="157">
        <v>45966</v>
      </c>
      <c r="C3801" s="158" t="s">
        <v>825</v>
      </c>
      <c r="D3801" s="159" t="str">
        <f>VLOOKUP(Sales[[#This Row],[Customer ID]],Customer[#All],2,0)</f>
        <v>Rahul Kumar</v>
      </c>
      <c r="E3801" s="158" t="s">
        <v>533</v>
      </c>
      <c r="F3801" s="158" t="str">
        <f>VLOOKUP(Sales[[#This Row],[Product ID]],Product[#All],2,0)</f>
        <v>HP Desktop</v>
      </c>
      <c r="G3801" s="159">
        <v>2</v>
      </c>
      <c r="H3801" s="160">
        <f>VLOOKUP(Sales[[#This Row],[Product ID]],Product[#All],7,0)</f>
        <v>72430</v>
      </c>
      <c r="I3801" s="160">
        <f>Sales[[#This Row],[Selling Rate]]*Sales[[#This Row],[Qty]]</f>
        <v>144860</v>
      </c>
      <c r="J3801" s="43">
        <v>0</v>
      </c>
      <c r="K3801" s="44">
        <f>Sales[[#This Row],[Gross Amount]]*Sales[[#This Row],[Disc %]]</f>
        <v>0</v>
      </c>
      <c r="L3801" s="43">
        <v>0.18</v>
      </c>
      <c r="M3801" s="44">
        <f>(Sales[[#This Row],[Gross Amount]]-Sales[[#This Row],[Disc. Amt.]])*Sales[[#This Row],[GST %]]</f>
        <v>26074.799999999999</v>
      </c>
      <c r="N3801" s="161">
        <f>Sales[[#This Row],[Gross Amount]]-Sales[[#This Row],[Disc. Amt.]]+Sales[[#This Row],[GST Amount]]</f>
        <v>170934.8</v>
      </c>
      <c r="O3801" s="158" t="s">
        <v>8876</v>
      </c>
      <c r="P3801" s="158" t="s">
        <v>3562</v>
      </c>
      <c r="Q3801" s="160">
        <f>IF(Sales[[#This Row],[Status]]="Cancelled",0,Sales[[#This Row],[Qty]])</f>
        <v>2</v>
      </c>
      <c r="R3801" s="161">
        <f>IF(Sales[[#This Row],[Status]]="Cancelled",0,Sales[[#This Row],[Total Amount]])</f>
        <v>170934.8</v>
      </c>
      <c r="S3801" s="162">
        <f>SUM(Sales[Net Amount])</f>
        <v>406839287.73200053</v>
      </c>
    </row>
    <row r="3802" spans="1:19" ht="18.75" x14ac:dyDescent="0.25">
      <c r="A3802" s="163" t="s">
        <v>7473</v>
      </c>
      <c r="B3802" s="164">
        <v>45966</v>
      </c>
      <c r="C3802" s="34" t="s">
        <v>728</v>
      </c>
      <c r="D3802" s="53" t="str">
        <f>VLOOKUP(Sales[[#This Row],[Customer ID]],Customer[#All],2,0)</f>
        <v>Rahul Gupta</v>
      </c>
      <c r="E3802" s="34" t="s">
        <v>224</v>
      </c>
      <c r="F3802" s="34" t="str">
        <f>VLOOKUP(Sales[[#This Row],[Product ID]],Product[#All],2,0)</f>
        <v>Seagate HDD</v>
      </c>
      <c r="G3802" s="53">
        <v>8</v>
      </c>
      <c r="H3802" s="165">
        <f>VLOOKUP(Sales[[#This Row],[Product ID]],Product[#All],7,0)</f>
        <v>8130</v>
      </c>
      <c r="I3802" s="165">
        <f>Sales[[#This Row],[Selling Rate]]*Sales[[#This Row],[Qty]]</f>
        <v>65040</v>
      </c>
      <c r="J3802" s="45">
        <v>0.02</v>
      </c>
      <c r="K3802" s="46">
        <f>Sales[[#This Row],[Gross Amount]]*Sales[[#This Row],[Disc %]]</f>
        <v>1300.8</v>
      </c>
      <c r="L3802" s="43">
        <v>0.18</v>
      </c>
      <c r="M3802" s="46">
        <f>(Sales[[#This Row],[Gross Amount]]-Sales[[#This Row],[Disc. Amt.]])*Sales[[#This Row],[GST %]]</f>
        <v>11473.055999999999</v>
      </c>
      <c r="N3802" s="161">
        <f>Sales[[#This Row],[Gross Amount]]-Sales[[#This Row],[Disc. Amt.]]+Sales[[#This Row],[GST Amount]]</f>
        <v>75212.255999999994</v>
      </c>
      <c r="O3802" s="34" t="s">
        <v>8876</v>
      </c>
      <c r="P3802" s="34" t="s">
        <v>3562</v>
      </c>
      <c r="Q3802" s="165">
        <f>IF(Sales[[#This Row],[Status]]="Cancelled",0,Sales[[#This Row],[Qty]])</f>
        <v>8</v>
      </c>
      <c r="R3802" s="166">
        <f>IF(Sales[[#This Row],[Status]]="Cancelled",0,Sales[[#This Row],[Total Amount]])</f>
        <v>75212.255999999994</v>
      </c>
      <c r="S3802" s="162">
        <f>SUM(Sales[Net Amount])</f>
        <v>406839287.73200053</v>
      </c>
    </row>
    <row r="3803" spans="1:19" ht="18.75" x14ac:dyDescent="0.25">
      <c r="A3803" s="156" t="s">
        <v>7474</v>
      </c>
      <c r="B3803" s="157">
        <v>45966</v>
      </c>
      <c r="C3803" s="158" t="s">
        <v>940</v>
      </c>
      <c r="D3803" s="159" t="str">
        <f>VLOOKUP(Sales[[#This Row],[Customer ID]],Customer[#All],2,0)</f>
        <v>Rakesh Sharma</v>
      </c>
      <c r="E3803" s="158" t="s">
        <v>116</v>
      </c>
      <c r="F3803" s="158" t="str">
        <f>VLOOKUP(Sales[[#This Row],[Product ID]],Product[#All],2,0)</f>
        <v>Epson Printer</v>
      </c>
      <c r="G3803" s="159">
        <v>5</v>
      </c>
      <c r="H3803" s="160">
        <f>VLOOKUP(Sales[[#This Row],[Product ID]],Product[#All],7,0)</f>
        <v>38550</v>
      </c>
      <c r="I3803" s="160">
        <f>Sales[[#This Row],[Selling Rate]]*Sales[[#This Row],[Qty]]</f>
        <v>192750</v>
      </c>
      <c r="J3803" s="43">
        <v>0</v>
      </c>
      <c r="K3803" s="44">
        <f>Sales[[#This Row],[Gross Amount]]*Sales[[#This Row],[Disc %]]</f>
        <v>0</v>
      </c>
      <c r="L3803" s="43">
        <v>0.18</v>
      </c>
      <c r="M3803" s="44">
        <f>(Sales[[#This Row],[Gross Amount]]-Sales[[#This Row],[Disc. Amt.]])*Sales[[#This Row],[GST %]]</f>
        <v>34695</v>
      </c>
      <c r="N3803" s="161">
        <f>Sales[[#This Row],[Gross Amount]]-Sales[[#This Row],[Disc. Amt.]]+Sales[[#This Row],[GST Amount]]</f>
        <v>227445</v>
      </c>
      <c r="O3803" s="158" t="s">
        <v>3566</v>
      </c>
      <c r="P3803" s="158" t="s">
        <v>3562</v>
      </c>
      <c r="Q3803" s="160">
        <f>IF(Sales[[#This Row],[Status]]="Cancelled",0,Sales[[#This Row],[Qty]])</f>
        <v>5</v>
      </c>
      <c r="R3803" s="161">
        <f>IF(Sales[[#This Row],[Status]]="Cancelled",0,Sales[[#This Row],[Total Amount]])</f>
        <v>227445</v>
      </c>
      <c r="S3803" s="162">
        <f>SUM(Sales[Net Amount])</f>
        <v>406839287.73200053</v>
      </c>
    </row>
    <row r="3804" spans="1:19" ht="18.75" x14ac:dyDescent="0.25">
      <c r="A3804" s="163" t="s">
        <v>7475</v>
      </c>
      <c r="B3804" s="164">
        <v>45966</v>
      </c>
      <c r="C3804" s="34" t="s">
        <v>678</v>
      </c>
      <c r="D3804" s="53" t="str">
        <f>VLOOKUP(Sales[[#This Row],[Customer ID]],Customer[#All],2,0)</f>
        <v>Ankit Gupta</v>
      </c>
      <c r="E3804" s="34" t="s">
        <v>317</v>
      </c>
      <c r="F3804" s="34" t="str">
        <f>VLOOKUP(Sales[[#This Row],[Product ID]],Product[#All],2,0)</f>
        <v>Amazon Basics Hdmi Cable</v>
      </c>
      <c r="G3804" s="53">
        <v>8</v>
      </c>
      <c r="H3804" s="165">
        <f>VLOOKUP(Sales[[#This Row],[Product ID]],Product[#All],7,0)</f>
        <v>1010</v>
      </c>
      <c r="I3804" s="165">
        <f>Sales[[#This Row],[Selling Rate]]*Sales[[#This Row],[Qty]]</f>
        <v>8080</v>
      </c>
      <c r="J3804" s="45">
        <v>0.05</v>
      </c>
      <c r="K3804" s="46">
        <f>Sales[[#This Row],[Gross Amount]]*Sales[[#This Row],[Disc %]]</f>
        <v>404</v>
      </c>
      <c r="L3804" s="43">
        <v>0.18</v>
      </c>
      <c r="M3804" s="46">
        <f>(Sales[[#This Row],[Gross Amount]]-Sales[[#This Row],[Disc. Amt.]])*Sales[[#This Row],[GST %]]</f>
        <v>1381.6799999999998</v>
      </c>
      <c r="N3804" s="161">
        <f>Sales[[#This Row],[Gross Amount]]-Sales[[#This Row],[Disc. Amt.]]+Sales[[#This Row],[GST Amount]]</f>
        <v>9057.68</v>
      </c>
      <c r="O3804" s="34" t="s">
        <v>3569</v>
      </c>
      <c r="P3804" s="34" t="s">
        <v>3562</v>
      </c>
      <c r="Q3804" s="165">
        <f>IF(Sales[[#This Row],[Status]]="Cancelled",0,Sales[[#This Row],[Qty]])</f>
        <v>8</v>
      </c>
      <c r="R3804" s="166">
        <f>IF(Sales[[#This Row],[Status]]="Cancelled",0,Sales[[#This Row],[Total Amount]])</f>
        <v>9057.68</v>
      </c>
      <c r="S3804" s="162">
        <f>SUM(Sales[Net Amount])</f>
        <v>406839287.73200053</v>
      </c>
    </row>
    <row r="3805" spans="1:19" ht="18.75" x14ac:dyDescent="0.25">
      <c r="A3805" s="156" t="s">
        <v>7476</v>
      </c>
      <c r="B3805" s="157">
        <v>45966</v>
      </c>
      <c r="C3805" s="158" t="s">
        <v>785</v>
      </c>
      <c r="D3805" s="159" t="str">
        <f>VLOOKUP(Sales[[#This Row],[Customer ID]],Customer[#All],2,0)</f>
        <v>Ankit Gupta</v>
      </c>
      <c r="E3805" s="158" t="s">
        <v>326</v>
      </c>
      <c r="F3805" s="158" t="str">
        <f>VLOOKUP(Sales[[#This Row],[Product ID]],Product[#All],2,0)</f>
        <v>Samsung Ssd</v>
      </c>
      <c r="G3805" s="159">
        <v>8</v>
      </c>
      <c r="H3805" s="160">
        <f>VLOOKUP(Sales[[#This Row],[Product ID]],Product[#All],7,0)</f>
        <v>8670</v>
      </c>
      <c r="I3805" s="160">
        <f>Sales[[#This Row],[Selling Rate]]*Sales[[#This Row],[Qty]]</f>
        <v>69360</v>
      </c>
      <c r="J3805" s="43">
        <v>0</v>
      </c>
      <c r="K3805" s="44">
        <f>Sales[[#This Row],[Gross Amount]]*Sales[[#This Row],[Disc %]]</f>
        <v>0</v>
      </c>
      <c r="L3805" s="43">
        <v>0.18</v>
      </c>
      <c r="M3805" s="44">
        <f>(Sales[[#This Row],[Gross Amount]]-Sales[[#This Row],[Disc. Amt.]])*Sales[[#This Row],[GST %]]</f>
        <v>12484.8</v>
      </c>
      <c r="N3805" s="161">
        <f>Sales[[#This Row],[Gross Amount]]-Sales[[#This Row],[Disc. Amt.]]+Sales[[#This Row],[GST Amount]]</f>
        <v>81844.800000000003</v>
      </c>
      <c r="O3805" s="158" t="s">
        <v>3561</v>
      </c>
      <c r="P3805" s="158" t="s">
        <v>3562</v>
      </c>
      <c r="Q3805" s="160">
        <f>IF(Sales[[#This Row],[Status]]="Cancelled",0,Sales[[#This Row],[Qty]])</f>
        <v>8</v>
      </c>
      <c r="R3805" s="161">
        <f>IF(Sales[[#This Row],[Status]]="Cancelled",0,Sales[[#This Row],[Total Amount]])</f>
        <v>81844.800000000003</v>
      </c>
      <c r="S3805" s="162">
        <f>SUM(Sales[Net Amount])</f>
        <v>406839287.73200053</v>
      </c>
    </row>
    <row r="3806" spans="1:19" ht="18.75" x14ac:dyDescent="0.25">
      <c r="A3806" s="163" t="s">
        <v>7477</v>
      </c>
      <c r="B3806" s="164">
        <v>45966</v>
      </c>
      <c r="C3806" s="34" t="s">
        <v>680</v>
      </c>
      <c r="D3806" s="53" t="str">
        <f>VLOOKUP(Sales[[#This Row],[Customer ID]],Customer[#All],2,0)</f>
        <v>Rahul Kumar</v>
      </c>
      <c r="E3806" s="34" t="s">
        <v>88</v>
      </c>
      <c r="F3806" s="34" t="str">
        <f>VLOOKUP(Sales[[#This Row],[Product ID]],Product[#All],2,0)</f>
        <v>Dell Laptop</v>
      </c>
      <c r="G3806" s="53">
        <v>4</v>
      </c>
      <c r="H3806" s="165">
        <f>VLOOKUP(Sales[[#This Row],[Product ID]],Product[#All],7,0)</f>
        <v>43690</v>
      </c>
      <c r="I3806" s="165">
        <f>Sales[[#This Row],[Selling Rate]]*Sales[[#This Row],[Qty]]</f>
        <v>174760</v>
      </c>
      <c r="J3806" s="45">
        <v>0.15</v>
      </c>
      <c r="K3806" s="46">
        <f>Sales[[#This Row],[Gross Amount]]*Sales[[#This Row],[Disc %]]</f>
        <v>26214</v>
      </c>
      <c r="L3806" s="43">
        <v>0.18</v>
      </c>
      <c r="M3806" s="46">
        <f>(Sales[[#This Row],[Gross Amount]]-Sales[[#This Row],[Disc. Amt.]])*Sales[[#This Row],[GST %]]</f>
        <v>26738.28</v>
      </c>
      <c r="N3806" s="161">
        <f>Sales[[#This Row],[Gross Amount]]-Sales[[#This Row],[Disc. Amt.]]+Sales[[#This Row],[GST Amount]]</f>
        <v>175284.28</v>
      </c>
      <c r="O3806" s="34" t="s">
        <v>3566</v>
      </c>
      <c r="P3806" s="34" t="s">
        <v>3562</v>
      </c>
      <c r="Q3806" s="165">
        <f>IF(Sales[[#This Row],[Status]]="Cancelled",0,Sales[[#This Row],[Qty]])</f>
        <v>4</v>
      </c>
      <c r="R3806" s="166">
        <f>IF(Sales[[#This Row],[Status]]="Cancelled",0,Sales[[#This Row],[Total Amount]])</f>
        <v>175284.28</v>
      </c>
      <c r="S3806" s="162">
        <f>SUM(Sales[Net Amount])</f>
        <v>406839287.73200053</v>
      </c>
    </row>
    <row r="3807" spans="1:19" ht="18.75" x14ac:dyDescent="0.25">
      <c r="A3807" s="156" t="s">
        <v>7478</v>
      </c>
      <c r="B3807" s="157">
        <v>45966</v>
      </c>
      <c r="C3807" s="158" t="s">
        <v>770</v>
      </c>
      <c r="D3807" s="159" t="str">
        <f>VLOOKUP(Sales[[#This Row],[Customer ID]],Customer[#All],2,0)</f>
        <v>Sunita Sharma</v>
      </c>
      <c r="E3807" s="158" t="s">
        <v>47</v>
      </c>
      <c r="F3807" s="158" t="str">
        <f>VLOOKUP(Sales[[#This Row],[Product ID]],Product[#All],2,0)</f>
        <v>Logitech Keyboard</v>
      </c>
      <c r="G3807" s="159">
        <v>4</v>
      </c>
      <c r="H3807" s="160">
        <f>VLOOKUP(Sales[[#This Row],[Product ID]],Product[#All],7,0)</f>
        <v>930</v>
      </c>
      <c r="I3807" s="160">
        <f>Sales[[#This Row],[Selling Rate]]*Sales[[#This Row],[Qty]]</f>
        <v>3720</v>
      </c>
      <c r="J3807" s="43">
        <v>0.15</v>
      </c>
      <c r="K3807" s="44">
        <f>Sales[[#This Row],[Gross Amount]]*Sales[[#This Row],[Disc %]]</f>
        <v>558</v>
      </c>
      <c r="L3807" s="43">
        <v>0.18</v>
      </c>
      <c r="M3807" s="44">
        <f>(Sales[[#This Row],[Gross Amount]]-Sales[[#This Row],[Disc. Amt.]])*Sales[[#This Row],[GST %]]</f>
        <v>569.16</v>
      </c>
      <c r="N3807" s="161">
        <f>Sales[[#This Row],[Gross Amount]]-Sales[[#This Row],[Disc. Amt.]]+Sales[[#This Row],[GST Amount]]</f>
        <v>3731.16</v>
      </c>
      <c r="O3807" s="158" t="s">
        <v>3569</v>
      </c>
      <c r="P3807" s="158" t="s">
        <v>3562</v>
      </c>
      <c r="Q3807" s="160">
        <f>IF(Sales[[#This Row],[Status]]="Cancelled",0,Sales[[#This Row],[Qty]])</f>
        <v>4</v>
      </c>
      <c r="R3807" s="161">
        <f>IF(Sales[[#This Row],[Status]]="Cancelled",0,Sales[[#This Row],[Total Amount]])</f>
        <v>3731.16</v>
      </c>
      <c r="S3807" s="162">
        <f>SUM(Sales[Net Amount])</f>
        <v>406839287.73200053</v>
      </c>
    </row>
    <row r="3808" spans="1:19" ht="18.75" x14ac:dyDescent="0.25">
      <c r="A3808" s="163" t="s">
        <v>7479</v>
      </c>
      <c r="B3808" s="164">
        <v>45966</v>
      </c>
      <c r="C3808" s="34" t="s">
        <v>745</v>
      </c>
      <c r="D3808" s="53" t="str">
        <f>VLOOKUP(Sales[[#This Row],[Customer ID]],Customer[#All],2,0)</f>
        <v>Priya Kumar</v>
      </c>
      <c r="E3808" s="34" t="s">
        <v>59</v>
      </c>
      <c r="F3808" s="34" t="str">
        <f>VLOOKUP(Sales[[#This Row],[Product ID]],Product[#All],2,0)</f>
        <v>Amazon Basics Hdmi Cable</v>
      </c>
      <c r="G3808" s="53">
        <v>2</v>
      </c>
      <c r="H3808" s="165">
        <f>VLOOKUP(Sales[[#This Row],[Product ID]],Product[#All],7,0)</f>
        <v>1160</v>
      </c>
      <c r="I3808" s="165">
        <f>Sales[[#This Row],[Selling Rate]]*Sales[[#This Row],[Qty]]</f>
        <v>2320</v>
      </c>
      <c r="J3808" s="45">
        <v>0.12</v>
      </c>
      <c r="K3808" s="46">
        <f>Sales[[#This Row],[Gross Amount]]*Sales[[#This Row],[Disc %]]</f>
        <v>278.39999999999998</v>
      </c>
      <c r="L3808" s="43">
        <v>0.18</v>
      </c>
      <c r="M3808" s="46">
        <f>(Sales[[#This Row],[Gross Amount]]-Sales[[#This Row],[Disc. Amt.]])*Sales[[#This Row],[GST %]]</f>
        <v>367.48799999999994</v>
      </c>
      <c r="N3808" s="161">
        <f>Sales[[#This Row],[Gross Amount]]-Sales[[#This Row],[Disc. Amt.]]+Sales[[#This Row],[GST Amount]]</f>
        <v>2409.0879999999997</v>
      </c>
      <c r="O3808" s="34" t="s">
        <v>3566</v>
      </c>
      <c r="P3808" s="34" t="s">
        <v>3562</v>
      </c>
      <c r="Q3808" s="165">
        <f>IF(Sales[[#This Row],[Status]]="Cancelled",0,Sales[[#This Row],[Qty]])</f>
        <v>2</v>
      </c>
      <c r="R3808" s="166">
        <f>IF(Sales[[#This Row],[Status]]="Cancelled",0,Sales[[#This Row],[Total Amount]])</f>
        <v>2409.0879999999997</v>
      </c>
      <c r="S3808" s="162">
        <f>SUM(Sales[Net Amount])</f>
        <v>406839287.73200053</v>
      </c>
    </row>
    <row r="3809" spans="1:19" ht="18.75" x14ac:dyDescent="0.25">
      <c r="A3809" s="156" t="s">
        <v>7480</v>
      </c>
      <c r="B3809" s="157">
        <v>45966</v>
      </c>
      <c r="C3809" s="158" t="s">
        <v>776</v>
      </c>
      <c r="D3809" s="159" t="str">
        <f>VLOOKUP(Sales[[#This Row],[Customer ID]],Customer[#All],2,0)</f>
        <v>Sunita Singh</v>
      </c>
      <c r="E3809" s="158" t="s">
        <v>362</v>
      </c>
      <c r="F3809" s="158" t="str">
        <f>VLOOKUP(Sales[[#This Row],[Product ID]],Product[#All],2,0)</f>
        <v>Dell Power Adapter</v>
      </c>
      <c r="G3809" s="159">
        <v>6</v>
      </c>
      <c r="H3809" s="160">
        <f>VLOOKUP(Sales[[#This Row],[Product ID]],Product[#All],7,0)</f>
        <v>4050</v>
      </c>
      <c r="I3809" s="160">
        <f>Sales[[#This Row],[Selling Rate]]*Sales[[#This Row],[Qty]]</f>
        <v>24300</v>
      </c>
      <c r="J3809" s="43">
        <v>0</v>
      </c>
      <c r="K3809" s="44">
        <f>Sales[[#This Row],[Gross Amount]]*Sales[[#This Row],[Disc %]]</f>
        <v>0</v>
      </c>
      <c r="L3809" s="43">
        <v>0.18</v>
      </c>
      <c r="M3809" s="44">
        <f>(Sales[[#This Row],[Gross Amount]]-Sales[[#This Row],[Disc. Amt.]])*Sales[[#This Row],[GST %]]</f>
        <v>4374</v>
      </c>
      <c r="N3809" s="161">
        <f>Sales[[#This Row],[Gross Amount]]-Sales[[#This Row],[Disc. Amt.]]+Sales[[#This Row],[GST Amount]]</f>
        <v>28674</v>
      </c>
      <c r="O3809" s="158" t="s">
        <v>3566</v>
      </c>
      <c r="P3809" s="158" t="s">
        <v>3562</v>
      </c>
      <c r="Q3809" s="160">
        <f>IF(Sales[[#This Row],[Status]]="Cancelled",0,Sales[[#This Row],[Qty]])</f>
        <v>6</v>
      </c>
      <c r="R3809" s="161">
        <f>IF(Sales[[#This Row],[Status]]="Cancelled",0,Sales[[#This Row],[Total Amount]])</f>
        <v>28674</v>
      </c>
      <c r="S3809" s="162">
        <f>SUM(Sales[Net Amount])</f>
        <v>406839287.73200053</v>
      </c>
    </row>
    <row r="3810" spans="1:19" ht="18.75" x14ac:dyDescent="0.25">
      <c r="A3810" s="163" t="s">
        <v>7481</v>
      </c>
      <c r="B3810" s="164">
        <v>45966</v>
      </c>
      <c r="C3810" s="34" t="s">
        <v>924</v>
      </c>
      <c r="D3810" s="53" t="str">
        <f>VLOOKUP(Sales[[#This Row],[Customer ID]],Customer[#All],2,0)</f>
        <v>Rakesh Gupta</v>
      </c>
      <c r="E3810" s="34" t="s">
        <v>359</v>
      </c>
      <c r="F3810" s="34" t="str">
        <f>VLOOKUP(Sales[[#This Row],[Product ID]],Product[#All],2,0)</f>
        <v>Sandisk Pen Drive</v>
      </c>
      <c r="G3810" s="53">
        <v>7</v>
      </c>
      <c r="H3810" s="165">
        <f>VLOOKUP(Sales[[#This Row],[Product ID]],Product[#All],7,0)</f>
        <v>1140</v>
      </c>
      <c r="I3810" s="165">
        <f>Sales[[#This Row],[Selling Rate]]*Sales[[#This Row],[Qty]]</f>
        <v>7980</v>
      </c>
      <c r="J3810" s="45">
        <v>0.12</v>
      </c>
      <c r="K3810" s="46">
        <f>Sales[[#This Row],[Gross Amount]]*Sales[[#This Row],[Disc %]]</f>
        <v>957.59999999999991</v>
      </c>
      <c r="L3810" s="43">
        <v>0.18</v>
      </c>
      <c r="M3810" s="46">
        <f>(Sales[[#This Row],[Gross Amount]]-Sales[[#This Row],[Disc. Amt.]])*Sales[[#This Row],[GST %]]</f>
        <v>1264.0319999999999</v>
      </c>
      <c r="N3810" s="161">
        <f>Sales[[#This Row],[Gross Amount]]-Sales[[#This Row],[Disc. Amt.]]+Sales[[#This Row],[GST Amount]]</f>
        <v>8286.4319999999989</v>
      </c>
      <c r="O3810" s="34" t="s">
        <v>3569</v>
      </c>
      <c r="P3810" s="34" t="s">
        <v>3562</v>
      </c>
      <c r="Q3810" s="165">
        <f>IF(Sales[[#This Row],[Status]]="Cancelled",0,Sales[[#This Row],[Qty]])</f>
        <v>7</v>
      </c>
      <c r="R3810" s="166">
        <f>IF(Sales[[#This Row],[Status]]="Cancelled",0,Sales[[#This Row],[Total Amount]])</f>
        <v>8286.4319999999989</v>
      </c>
      <c r="S3810" s="162">
        <f>SUM(Sales[Net Amount])</f>
        <v>406839287.73200053</v>
      </c>
    </row>
    <row r="3811" spans="1:19" ht="18.75" x14ac:dyDescent="0.25">
      <c r="A3811" s="156" t="s">
        <v>7482</v>
      </c>
      <c r="B3811" s="157">
        <v>45966</v>
      </c>
      <c r="C3811" s="158" t="s">
        <v>653</v>
      </c>
      <c r="D3811" s="159" t="str">
        <f>VLOOKUP(Sales[[#This Row],[Customer ID]],Customer[#All],2,0)</f>
        <v>Pooja Patel</v>
      </c>
      <c r="E3811" s="158" t="s">
        <v>109</v>
      </c>
      <c r="F3811" s="158" t="str">
        <f>VLOOKUP(Sales[[#This Row],[Product ID]],Product[#All],2,0)</f>
        <v>Kingston Ram</v>
      </c>
      <c r="G3811" s="159">
        <v>6</v>
      </c>
      <c r="H3811" s="160">
        <f>VLOOKUP(Sales[[#This Row],[Product ID]],Product[#All],7,0)</f>
        <v>2290</v>
      </c>
      <c r="I3811" s="160">
        <f>Sales[[#This Row],[Selling Rate]]*Sales[[#This Row],[Qty]]</f>
        <v>13740</v>
      </c>
      <c r="J3811" s="43">
        <v>0</v>
      </c>
      <c r="K3811" s="44">
        <f>Sales[[#This Row],[Gross Amount]]*Sales[[#This Row],[Disc %]]</f>
        <v>0</v>
      </c>
      <c r="L3811" s="43">
        <v>0.18</v>
      </c>
      <c r="M3811" s="44">
        <f>(Sales[[#This Row],[Gross Amount]]-Sales[[#This Row],[Disc. Amt.]])*Sales[[#This Row],[GST %]]</f>
        <v>2473.1999999999998</v>
      </c>
      <c r="N3811" s="161">
        <f>Sales[[#This Row],[Gross Amount]]-Sales[[#This Row],[Disc. Amt.]]+Sales[[#This Row],[GST Amount]]</f>
        <v>16213.2</v>
      </c>
      <c r="O3811" s="158" t="s">
        <v>3561</v>
      </c>
      <c r="P3811" s="158" t="s">
        <v>3562</v>
      </c>
      <c r="Q3811" s="160">
        <f>IF(Sales[[#This Row],[Status]]="Cancelled",0,Sales[[#This Row],[Qty]])</f>
        <v>6</v>
      </c>
      <c r="R3811" s="161">
        <f>IF(Sales[[#This Row],[Status]]="Cancelled",0,Sales[[#This Row],[Total Amount]])</f>
        <v>16213.2</v>
      </c>
      <c r="S3811" s="162">
        <f>SUM(Sales[Net Amount])</f>
        <v>406839287.73200053</v>
      </c>
    </row>
    <row r="3812" spans="1:19" ht="18.75" x14ac:dyDescent="0.25">
      <c r="A3812" s="163" t="s">
        <v>7483</v>
      </c>
      <c r="B3812" s="164">
        <v>45966</v>
      </c>
      <c r="C3812" s="34" t="s">
        <v>724</v>
      </c>
      <c r="D3812" s="53" t="str">
        <f>VLOOKUP(Sales[[#This Row],[Customer ID]],Customer[#All],2,0)</f>
        <v>Sunita Sharma</v>
      </c>
      <c r="E3812" s="34" t="s">
        <v>186</v>
      </c>
      <c r="F3812" s="34" t="str">
        <f>VLOOKUP(Sales[[#This Row],[Product ID]],Product[#All],2,0)</f>
        <v>Corsair Ram</v>
      </c>
      <c r="G3812" s="53">
        <v>1</v>
      </c>
      <c r="H3812" s="165">
        <f>VLOOKUP(Sales[[#This Row],[Product ID]],Product[#All],7,0)</f>
        <v>11620</v>
      </c>
      <c r="I3812" s="165">
        <f>Sales[[#This Row],[Selling Rate]]*Sales[[#This Row],[Qty]]</f>
        <v>11620</v>
      </c>
      <c r="J3812" s="45">
        <v>0.1</v>
      </c>
      <c r="K3812" s="46">
        <f>Sales[[#This Row],[Gross Amount]]*Sales[[#This Row],[Disc %]]</f>
        <v>1162</v>
      </c>
      <c r="L3812" s="43">
        <v>0.18</v>
      </c>
      <c r="M3812" s="46">
        <f>(Sales[[#This Row],[Gross Amount]]-Sales[[#This Row],[Disc. Amt.]])*Sales[[#This Row],[GST %]]</f>
        <v>1882.4399999999998</v>
      </c>
      <c r="N3812" s="161">
        <f>Sales[[#This Row],[Gross Amount]]-Sales[[#This Row],[Disc. Amt.]]+Sales[[#This Row],[GST Amount]]</f>
        <v>12340.44</v>
      </c>
      <c r="O3812" s="34" t="s">
        <v>3569</v>
      </c>
      <c r="P3812" s="34" t="s">
        <v>3562</v>
      </c>
      <c r="Q3812" s="165">
        <f>IF(Sales[[#This Row],[Status]]="Cancelled",0,Sales[[#This Row],[Qty]])</f>
        <v>1</v>
      </c>
      <c r="R3812" s="166">
        <f>IF(Sales[[#This Row],[Status]]="Cancelled",0,Sales[[#This Row],[Total Amount]])</f>
        <v>12340.44</v>
      </c>
      <c r="S3812" s="162">
        <f>SUM(Sales[Net Amount])</f>
        <v>406839287.73200053</v>
      </c>
    </row>
    <row r="3813" spans="1:19" ht="18.75" x14ac:dyDescent="0.25">
      <c r="A3813" s="156" t="s">
        <v>7484</v>
      </c>
      <c r="B3813" s="157">
        <v>45966</v>
      </c>
      <c r="C3813" s="158" t="s">
        <v>672</v>
      </c>
      <c r="D3813" s="159" t="str">
        <f>VLOOKUP(Sales[[#This Row],[Customer ID]],Customer[#All],2,0)</f>
        <v>Rahul Patel</v>
      </c>
      <c r="E3813" s="158" t="s">
        <v>239</v>
      </c>
      <c r="F3813" s="158" t="str">
        <f>VLOOKUP(Sales[[#This Row],[Product ID]],Product[#All],2,0)</f>
        <v>Microtek UPS</v>
      </c>
      <c r="G3813" s="159">
        <v>4</v>
      </c>
      <c r="H3813" s="160">
        <f>VLOOKUP(Sales[[#This Row],[Product ID]],Product[#All],7,0)</f>
        <v>7570</v>
      </c>
      <c r="I3813" s="160">
        <f>Sales[[#This Row],[Selling Rate]]*Sales[[#This Row],[Qty]]</f>
        <v>30280</v>
      </c>
      <c r="J3813" s="43">
        <v>0.1</v>
      </c>
      <c r="K3813" s="44">
        <f>Sales[[#This Row],[Gross Amount]]*Sales[[#This Row],[Disc %]]</f>
        <v>3028</v>
      </c>
      <c r="L3813" s="43">
        <v>0.18</v>
      </c>
      <c r="M3813" s="44">
        <f>(Sales[[#This Row],[Gross Amount]]-Sales[[#This Row],[Disc. Amt.]])*Sales[[#This Row],[GST %]]</f>
        <v>4905.3599999999997</v>
      </c>
      <c r="N3813" s="161">
        <f>Sales[[#This Row],[Gross Amount]]-Sales[[#This Row],[Disc. Amt.]]+Sales[[#This Row],[GST Amount]]</f>
        <v>32157.360000000001</v>
      </c>
      <c r="O3813" s="158" t="s">
        <v>8876</v>
      </c>
      <c r="P3813" s="158" t="s">
        <v>3562</v>
      </c>
      <c r="Q3813" s="160">
        <f>IF(Sales[[#This Row],[Status]]="Cancelled",0,Sales[[#This Row],[Qty]])</f>
        <v>4</v>
      </c>
      <c r="R3813" s="161">
        <f>IF(Sales[[#This Row],[Status]]="Cancelled",0,Sales[[#This Row],[Total Amount]])</f>
        <v>32157.360000000001</v>
      </c>
      <c r="S3813" s="162">
        <f>SUM(Sales[Net Amount])</f>
        <v>406839287.73200053</v>
      </c>
    </row>
    <row r="3814" spans="1:19" ht="18.75" x14ac:dyDescent="0.25">
      <c r="A3814" s="163" t="s">
        <v>7485</v>
      </c>
      <c r="B3814" s="164">
        <v>45967</v>
      </c>
      <c r="C3814" s="34" t="s">
        <v>896</v>
      </c>
      <c r="D3814" s="53" t="str">
        <f>VLOOKUP(Sales[[#This Row],[Customer ID]],Customer[#All],2,0)</f>
        <v>Amit Gupta</v>
      </c>
      <c r="E3814" s="34" t="s">
        <v>482</v>
      </c>
      <c r="F3814" s="34" t="str">
        <f>VLOOKUP(Sales[[#This Row],[Product ID]],Product[#All],2,0)</f>
        <v>HP Mouse</v>
      </c>
      <c r="G3814" s="53">
        <v>3</v>
      </c>
      <c r="H3814" s="165">
        <f>VLOOKUP(Sales[[#This Row],[Product ID]],Product[#All],7,0)</f>
        <v>790</v>
      </c>
      <c r="I3814" s="165">
        <f>Sales[[#This Row],[Selling Rate]]*Sales[[#This Row],[Qty]]</f>
        <v>2370</v>
      </c>
      <c r="J3814" s="45">
        <v>0.1</v>
      </c>
      <c r="K3814" s="46">
        <f>Sales[[#This Row],[Gross Amount]]*Sales[[#This Row],[Disc %]]</f>
        <v>237</v>
      </c>
      <c r="L3814" s="43">
        <v>0.18</v>
      </c>
      <c r="M3814" s="46">
        <f>(Sales[[#This Row],[Gross Amount]]-Sales[[#This Row],[Disc. Amt.]])*Sales[[#This Row],[GST %]]</f>
        <v>383.94</v>
      </c>
      <c r="N3814" s="161">
        <f>Sales[[#This Row],[Gross Amount]]-Sales[[#This Row],[Disc. Amt.]]+Sales[[#This Row],[GST Amount]]</f>
        <v>2516.94</v>
      </c>
      <c r="O3814" s="34" t="s">
        <v>8876</v>
      </c>
      <c r="P3814" s="34" t="s">
        <v>3562</v>
      </c>
      <c r="Q3814" s="165">
        <f>IF(Sales[[#This Row],[Status]]="Cancelled",0,Sales[[#This Row],[Qty]])</f>
        <v>3</v>
      </c>
      <c r="R3814" s="166">
        <f>IF(Sales[[#This Row],[Status]]="Cancelled",0,Sales[[#This Row],[Total Amount]])</f>
        <v>2516.94</v>
      </c>
      <c r="S3814" s="162">
        <f>SUM(Sales[Net Amount])</f>
        <v>406839287.73200053</v>
      </c>
    </row>
    <row r="3815" spans="1:19" ht="18.75" x14ac:dyDescent="0.25">
      <c r="A3815" s="156" t="s">
        <v>7486</v>
      </c>
      <c r="B3815" s="157">
        <v>45967</v>
      </c>
      <c r="C3815" s="158" t="s">
        <v>856</v>
      </c>
      <c r="D3815" s="159" t="str">
        <f>VLOOKUP(Sales[[#This Row],[Customer ID]],Customer[#All],2,0)</f>
        <v>Sunita Verma</v>
      </c>
      <c r="E3815" s="158" t="s">
        <v>269</v>
      </c>
      <c r="F3815" s="158" t="str">
        <f>VLOOKUP(Sales[[#This Row],[Product ID]],Product[#All],2,0)</f>
        <v>Dell Monitor</v>
      </c>
      <c r="G3815" s="159">
        <v>7</v>
      </c>
      <c r="H3815" s="160">
        <f>VLOOKUP(Sales[[#This Row],[Product ID]],Product[#All],7,0)</f>
        <v>11390</v>
      </c>
      <c r="I3815" s="160">
        <f>Sales[[#This Row],[Selling Rate]]*Sales[[#This Row],[Qty]]</f>
        <v>79730</v>
      </c>
      <c r="J3815" s="43">
        <v>0.1</v>
      </c>
      <c r="K3815" s="44">
        <f>Sales[[#This Row],[Gross Amount]]*Sales[[#This Row],[Disc %]]</f>
        <v>7973</v>
      </c>
      <c r="L3815" s="43">
        <v>0.18</v>
      </c>
      <c r="M3815" s="44">
        <f>(Sales[[#This Row],[Gross Amount]]-Sales[[#This Row],[Disc. Amt.]])*Sales[[#This Row],[GST %]]</f>
        <v>12916.26</v>
      </c>
      <c r="N3815" s="161">
        <f>Sales[[#This Row],[Gross Amount]]-Sales[[#This Row],[Disc. Amt.]]+Sales[[#This Row],[GST Amount]]</f>
        <v>84673.26</v>
      </c>
      <c r="O3815" s="158" t="s">
        <v>3566</v>
      </c>
      <c r="P3815" s="158" t="s">
        <v>3562</v>
      </c>
      <c r="Q3815" s="160">
        <f>IF(Sales[[#This Row],[Status]]="Cancelled",0,Sales[[#This Row],[Qty]])</f>
        <v>7</v>
      </c>
      <c r="R3815" s="161">
        <f>IF(Sales[[#This Row],[Status]]="Cancelled",0,Sales[[#This Row],[Total Amount]])</f>
        <v>84673.26</v>
      </c>
      <c r="S3815" s="162">
        <f>SUM(Sales[Net Amount])</f>
        <v>406839287.73200053</v>
      </c>
    </row>
    <row r="3816" spans="1:19" ht="18.75" x14ac:dyDescent="0.25">
      <c r="A3816" s="163" t="s">
        <v>7487</v>
      </c>
      <c r="B3816" s="164">
        <v>45967</v>
      </c>
      <c r="C3816" s="34" t="s">
        <v>677</v>
      </c>
      <c r="D3816" s="53" t="str">
        <f>VLOOKUP(Sales[[#This Row],[Customer ID]],Customer[#All],2,0)</f>
        <v>Sahil Verma</v>
      </c>
      <c r="E3816" s="34" t="s">
        <v>185</v>
      </c>
      <c r="F3816" s="34" t="str">
        <f>VLOOKUP(Sales[[#This Row],[Product ID]],Product[#All],2,0)</f>
        <v>HP Power Adapter</v>
      </c>
      <c r="G3816" s="53">
        <v>2</v>
      </c>
      <c r="H3816" s="165">
        <f>VLOOKUP(Sales[[#This Row],[Product ID]],Product[#All],7,0)</f>
        <v>4850</v>
      </c>
      <c r="I3816" s="165">
        <f>Sales[[#This Row],[Selling Rate]]*Sales[[#This Row],[Qty]]</f>
        <v>9700</v>
      </c>
      <c r="J3816" s="45">
        <v>0.02</v>
      </c>
      <c r="K3816" s="46">
        <f>Sales[[#This Row],[Gross Amount]]*Sales[[#This Row],[Disc %]]</f>
        <v>194</v>
      </c>
      <c r="L3816" s="43">
        <v>0.18</v>
      </c>
      <c r="M3816" s="46">
        <f>(Sales[[#This Row],[Gross Amount]]-Sales[[#This Row],[Disc. Amt.]])*Sales[[#This Row],[GST %]]</f>
        <v>1711.08</v>
      </c>
      <c r="N3816" s="161">
        <f>Sales[[#This Row],[Gross Amount]]-Sales[[#This Row],[Disc. Amt.]]+Sales[[#This Row],[GST Amount]]</f>
        <v>11217.08</v>
      </c>
      <c r="O3816" s="34" t="s">
        <v>8876</v>
      </c>
      <c r="P3816" s="34" t="s">
        <v>3562</v>
      </c>
      <c r="Q3816" s="165">
        <f>IF(Sales[[#This Row],[Status]]="Cancelled",0,Sales[[#This Row],[Qty]])</f>
        <v>2</v>
      </c>
      <c r="R3816" s="166">
        <f>IF(Sales[[#This Row],[Status]]="Cancelled",0,Sales[[#This Row],[Total Amount]])</f>
        <v>11217.08</v>
      </c>
      <c r="S3816" s="162">
        <f>SUM(Sales[Net Amount])</f>
        <v>406839287.73200053</v>
      </c>
    </row>
    <row r="3817" spans="1:19" ht="18.75" x14ac:dyDescent="0.25">
      <c r="A3817" s="156" t="s">
        <v>7488</v>
      </c>
      <c r="B3817" s="157">
        <v>45967</v>
      </c>
      <c r="C3817" s="158" t="s">
        <v>7489</v>
      </c>
      <c r="D3817" s="159" t="str">
        <f>VLOOKUP(Sales[[#This Row],[Customer ID]],Customer[#All],2,0)</f>
        <v>Rahul Gupta</v>
      </c>
      <c r="E3817" s="158" t="s">
        <v>258</v>
      </c>
      <c r="F3817" s="158" t="str">
        <f>VLOOKUP(Sales[[#This Row],[Product ID]],Product[#All],2,0)</f>
        <v>HP Power Adapter</v>
      </c>
      <c r="G3817" s="159">
        <v>6</v>
      </c>
      <c r="H3817" s="160">
        <f>VLOOKUP(Sales[[#This Row],[Product ID]],Product[#All],7,0)</f>
        <v>2370</v>
      </c>
      <c r="I3817" s="160">
        <f>Sales[[#This Row],[Selling Rate]]*Sales[[#This Row],[Qty]]</f>
        <v>14220</v>
      </c>
      <c r="J3817" s="43">
        <v>0</v>
      </c>
      <c r="K3817" s="44">
        <f>Sales[[#This Row],[Gross Amount]]*Sales[[#This Row],[Disc %]]</f>
        <v>0</v>
      </c>
      <c r="L3817" s="43">
        <v>0.18</v>
      </c>
      <c r="M3817" s="44">
        <f>(Sales[[#This Row],[Gross Amount]]-Sales[[#This Row],[Disc. Amt.]])*Sales[[#This Row],[GST %]]</f>
        <v>2559.6</v>
      </c>
      <c r="N3817" s="161">
        <f>Sales[[#This Row],[Gross Amount]]-Sales[[#This Row],[Disc. Amt.]]+Sales[[#This Row],[GST Amount]]</f>
        <v>16779.599999999999</v>
      </c>
      <c r="O3817" s="158" t="s">
        <v>3566</v>
      </c>
      <c r="P3817" s="158" t="s">
        <v>3562</v>
      </c>
      <c r="Q3817" s="160">
        <f>IF(Sales[[#This Row],[Status]]="Cancelled",0,Sales[[#This Row],[Qty]])</f>
        <v>6</v>
      </c>
      <c r="R3817" s="161">
        <f>IF(Sales[[#This Row],[Status]]="Cancelled",0,Sales[[#This Row],[Total Amount]])</f>
        <v>16779.599999999999</v>
      </c>
      <c r="S3817" s="162">
        <f>SUM(Sales[Net Amount])</f>
        <v>406839287.73200053</v>
      </c>
    </row>
    <row r="3818" spans="1:19" ht="18.75" x14ac:dyDescent="0.25">
      <c r="A3818" s="163" t="s">
        <v>7490</v>
      </c>
      <c r="B3818" s="164">
        <v>45967</v>
      </c>
      <c r="C3818" s="34" t="s">
        <v>934</v>
      </c>
      <c r="D3818" s="53" t="str">
        <f>VLOOKUP(Sales[[#This Row],[Customer ID]],Customer[#All],2,0)</f>
        <v>Pooja Singh</v>
      </c>
      <c r="E3818" s="34" t="s">
        <v>454</v>
      </c>
      <c r="F3818" s="34" t="str">
        <f>VLOOKUP(Sales[[#This Row],[Product ID]],Product[#All],2,0)</f>
        <v>Dell Monitor</v>
      </c>
      <c r="G3818" s="53">
        <v>7</v>
      </c>
      <c r="H3818" s="165">
        <f>VLOOKUP(Sales[[#This Row],[Product ID]],Product[#All],7,0)</f>
        <v>16760</v>
      </c>
      <c r="I3818" s="165">
        <f>Sales[[#This Row],[Selling Rate]]*Sales[[#This Row],[Qty]]</f>
        <v>117320</v>
      </c>
      <c r="J3818" s="45">
        <v>0.05</v>
      </c>
      <c r="K3818" s="46">
        <f>Sales[[#This Row],[Gross Amount]]*Sales[[#This Row],[Disc %]]</f>
        <v>5866</v>
      </c>
      <c r="L3818" s="43">
        <v>0.18</v>
      </c>
      <c r="M3818" s="46">
        <f>(Sales[[#This Row],[Gross Amount]]-Sales[[#This Row],[Disc. Amt.]])*Sales[[#This Row],[GST %]]</f>
        <v>20061.719999999998</v>
      </c>
      <c r="N3818" s="161">
        <f>Sales[[#This Row],[Gross Amount]]-Sales[[#This Row],[Disc. Amt.]]+Sales[[#This Row],[GST Amount]]</f>
        <v>131515.72</v>
      </c>
      <c r="O3818" s="34" t="s">
        <v>8876</v>
      </c>
      <c r="P3818" s="34" t="s">
        <v>3562</v>
      </c>
      <c r="Q3818" s="165">
        <f>IF(Sales[[#This Row],[Status]]="Cancelled",0,Sales[[#This Row],[Qty]])</f>
        <v>7</v>
      </c>
      <c r="R3818" s="166">
        <f>IF(Sales[[#This Row],[Status]]="Cancelled",0,Sales[[#This Row],[Total Amount]])</f>
        <v>131515.72</v>
      </c>
      <c r="S3818" s="162">
        <f>SUM(Sales[Net Amount])</f>
        <v>406839287.73200053</v>
      </c>
    </row>
    <row r="3819" spans="1:19" ht="18.75" x14ac:dyDescent="0.25">
      <c r="A3819" s="156" t="s">
        <v>7491</v>
      </c>
      <c r="B3819" s="157">
        <v>45967</v>
      </c>
      <c r="C3819" s="158" t="s">
        <v>667</v>
      </c>
      <c r="D3819" s="159" t="str">
        <f>VLOOKUP(Sales[[#This Row],[Customer ID]],Customer[#All],2,0)</f>
        <v>Neha Gupta</v>
      </c>
      <c r="E3819" s="158" t="s">
        <v>231</v>
      </c>
      <c r="F3819" s="158" t="str">
        <f>VLOOKUP(Sales[[#This Row],[Product ID]],Product[#All],2,0)</f>
        <v>TP-link Wi-Fi Adapter</v>
      </c>
      <c r="G3819" s="159">
        <v>8</v>
      </c>
      <c r="H3819" s="160">
        <f>VLOOKUP(Sales[[#This Row],[Product ID]],Product[#All],7,0)</f>
        <v>2200</v>
      </c>
      <c r="I3819" s="160">
        <f>Sales[[#This Row],[Selling Rate]]*Sales[[#This Row],[Qty]]</f>
        <v>17600</v>
      </c>
      <c r="J3819" s="43">
        <v>0.1</v>
      </c>
      <c r="K3819" s="44">
        <f>Sales[[#This Row],[Gross Amount]]*Sales[[#This Row],[Disc %]]</f>
        <v>1760</v>
      </c>
      <c r="L3819" s="43">
        <v>0.18</v>
      </c>
      <c r="M3819" s="44">
        <f>(Sales[[#This Row],[Gross Amount]]-Sales[[#This Row],[Disc. Amt.]])*Sales[[#This Row],[GST %]]</f>
        <v>2851.2</v>
      </c>
      <c r="N3819" s="161">
        <f>Sales[[#This Row],[Gross Amount]]-Sales[[#This Row],[Disc. Amt.]]+Sales[[#This Row],[GST Amount]]</f>
        <v>18691.2</v>
      </c>
      <c r="O3819" s="158" t="s">
        <v>3566</v>
      </c>
      <c r="P3819" s="158" t="s">
        <v>3562</v>
      </c>
      <c r="Q3819" s="160">
        <f>IF(Sales[[#This Row],[Status]]="Cancelled",0,Sales[[#This Row],[Qty]])</f>
        <v>8</v>
      </c>
      <c r="R3819" s="161">
        <f>IF(Sales[[#This Row],[Status]]="Cancelled",0,Sales[[#This Row],[Total Amount]])</f>
        <v>18691.2</v>
      </c>
      <c r="S3819" s="162">
        <f>SUM(Sales[Net Amount])</f>
        <v>406839287.73200053</v>
      </c>
    </row>
    <row r="3820" spans="1:19" ht="18.75" x14ac:dyDescent="0.25">
      <c r="A3820" s="163" t="s">
        <v>7492</v>
      </c>
      <c r="B3820" s="164">
        <v>45967</v>
      </c>
      <c r="C3820" s="34" t="s">
        <v>755</v>
      </c>
      <c r="D3820" s="53" t="str">
        <f>VLOOKUP(Sales[[#This Row],[Customer ID]],Customer[#All],2,0)</f>
        <v>Sunita Gupta</v>
      </c>
      <c r="E3820" s="34" t="s">
        <v>402</v>
      </c>
      <c r="F3820" s="34" t="str">
        <f>VLOOKUP(Sales[[#This Row],[Product ID]],Product[#All],2,0)</f>
        <v>Logitech Keyboard</v>
      </c>
      <c r="G3820" s="53">
        <v>2</v>
      </c>
      <c r="H3820" s="165">
        <f>VLOOKUP(Sales[[#This Row],[Product ID]],Product[#All],7,0)</f>
        <v>3500</v>
      </c>
      <c r="I3820" s="165">
        <f>Sales[[#This Row],[Selling Rate]]*Sales[[#This Row],[Qty]]</f>
        <v>7000</v>
      </c>
      <c r="J3820" s="45">
        <v>0.05</v>
      </c>
      <c r="K3820" s="46">
        <f>Sales[[#This Row],[Gross Amount]]*Sales[[#This Row],[Disc %]]</f>
        <v>350</v>
      </c>
      <c r="L3820" s="43">
        <v>0.18</v>
      </c>
      <c r="M3820" s="46">
        <f>(Sales[[#This Row],[Gross Amount]]-Sales[[#This Row],[Disc. Amt.]])*Sales[[#This Row],[GST %]]</f>
        <v>1197</v>
      </c>
      <c r="N3820" s="161">
        <f>Sales[[#This Row],[Gross Amount]]-Sales[[#This Row],[Disc. Amt.]]+Sales[[#This Row],[GST Amount]]</f>
        <v>7847</v>
      </c>
      <c r="O3820" s="34" t="s">
        <v>3569</v>
      </c>
      <c r="P3820" s="34" t="s">
        <v>3562</v>
      </c>
      <c r="Q3820" s="165">
        <f>IF(Sales[[#This Row],[Status]]="Cancelled",0,Sales[[#This Row],[Qty]])</f>
        <v>2</v>
      </c>
      <c r="R3820" s="166">
        <f>IF(Sales[[#This Row],[Status]]="Cancelled",0,Sales[[#This Row],[Total Amount]])</f>
        <v>7847</v>
      </c>
      <c r="S3820" s="162">
        <f>SUM(Sales[Net Amount])</f>
        <v>406839287.73200053</v>
      </c>
    </row>
    <row r="3821" spans="1:19" ht="18.75" x14ac:dyDescent="0.25">
      <c r="A3821" s="156" t="s">
        <v>7493</v>
      </c>
      <c r="B3821" s="157">
        <v>45967</v>
      </c>
      <c r="C3821" s="158" t="s">
        <v>833</v>
      </c>
      <c r="D3821" s="159" t="str">
        <f>VLOOKUP(Sales[[#This Row],[Customer ID]],Customer[#All],2,0)</f>
        <v>Sunita Kumar</v>
      </c>
      <c r="E3821" s="158" t="s">
        <v>488</v>
      </c>
      <c r="F3821" s="158" t="str">
        <f>VLOOKUP(Sales[[#This Row],[Product ID]],Product[#All],2,0)</f>
        <v>Samsung Monitor</v>
      </c>
      <c r="G3821" s="159">
        <v>1</v>
      </c>
      <c r="H3821" s="160">
        <f>VLOOKUP(Sales[[#This Row],[Product ID]],Product[#All],7,0)</f>
        <v>32720</v>
      </c>
      <c r="I3821" s="160">
        <f>Sales[[#This Row],[Selling Rate]]*Sales[[#This Row],[Qty]]</f>
        <v>32720</v>
      </c>
      <c r="J3821" s="43">
        <v>0.05</v>
      </c>
      <c r="K3821" s="44">
        <f>Sales[[#This Row],[Gross Amount]]*Sales[[#This Row],[Disc %]]</f>
        <v>1636</v>
      </c>
      <c r="L3821" s="43">
        <v>0.18</v>
      </c>
      <c r="M3821" s="44">
        <f>(Sales[[#This Row],[Gross Amount]]-Sales[[#This Row],[Disc. Amt.]])*Sales[[#This Row],[GST %]]</f>
        <v>5595.12</v>
      </c>
      <c r="N3821" s="161">
        <f>Sales[[#This Row],[Gross Amount]]-Sales[[#This Row],[Disc. Amt.]]+Sales[[#This Row],[GST Amount]]</f>
        <v>36679.120000000003</v>
      </c>
      <c r="O3821" s="158" t="s">
        <v>8876</v>
      </c>
      <c r="P3821" s="158" t="s">
        <v>3562</v>
      </c>
      <c r="Q3821" s="160">
        <f>IF(Sales[[#This Row],[Status]]="Cancelled",0,Sales[[#This Row],[Qty]])</f>
        <v>1</v>
      </c>
      <c r="R3821" s="161">
        <f>IF(Sales[[#This Row],[Status]]="Cancelled",0,Sales[[#This Row],[Total Amount]])</f>
        <v>36679.120000000003</v>
      </c>
      <c r="S3821" s="162">
        <f>SUM(Sales[Net Amount])</f>
        <v>406839287.73200053</v>
      </c>
    </row>
    <row r="3822" spans="1:19" ht="18.75" x14ac:dyDescent="0.25">
      <c r="A3822" s="163" t="s">
        <v>7494</v>
      </c>
      <c r="B3822" s="164">
        <v>45967</v>
      </c>
      <c r="C3822" s="34" t="s">
        <v>707</v>
      </c>
      <c r="D3822" s="53" t="str">
        <f>VLOOKUP(Sales[[#This Row],[Customer ID]],Customer[#All],2,0)</f>
        <v>Rahul Verma</v>
      </c>
      <c r="E3822" s="34" t="s">
        <v>195</v>
      </c>
      <c r="F3822" s="34" t="str">
        <f>VLOOKUP(Sales[[#This Row],[Product ID]],Product[#All],2,0)</f>
        <v>Acer Laptop</v>
      </c>
      <c r="G3822" s="53">
        <v>2</v>
      </c>
      <c r="H3822" s="165">
        <f>VLOOKUP(Sales[[#This Row],[Product ID]],Product[#All],7,0)</f>
        <v>46790</v>
      </c>
      <c r="I3822" s="165">
        <f>Sales[[#This Row],[Selling Rate]]*Sales[[#This Row],[Qty]]</f>
        <v>93580</v>
      </c>
      <c r="J3822" s="45">
        <v>0.05</v>
      </c>
      <c r="K3822" s="46">
        <f>Sales[[#This Row],[Gross Amount]]*Sales[[#This Row],[Disc %]]</f>
        <v>4679</v>
      </c>
      <c r="L3822" s="43">
        <v>0.18</v>
      </c>
      <c r="M3822" s="46">
        <f>(Sales[[#This Row],[Gross Amount]]-Sales[[#This Row],[Disc. Amt.]])*Sales[[#This Row],[GST %]]</f>
        <v>16002.18</v>
      </c>
      <c r="N3822" s="161">
        <f>Sales[[#This Row],[Gross Amount]]-Sales[[#This Row],[Disc. Amt.]]+Sales[[#This Row],[GST Amount]]</f>
        <v>104903.18</v>
      </c>
      <c r="O3822" s="34" t="s">
        <v>3566</v>
      </c>
      <c r="P3822" s="34" t="s">
        <v>3562</v>
      </c>
      <c r="Q3822" s="165">
        <f>IF(Sales[[#This Row],[Status]]="Cancelled",0,Sales[[#This Row],[Qty]])</f>
        <v>2</v>
      </c>
      <c r="R3822" s="166">
        <f>IF(Sales[[#This Row],[Status]]="Cancelled",0,Sales[[#This Row],[Total Amount]])</f>
        <v>104903.18</v>
      </c>
      <c r="S3822" s="162">
        <f>SUM(Sales[Net Amount])</f>
        <v>406839287.73200053</v>
      </c>
    </row>
    <row r="3823" spans="1:19" ht="18.75" x14ac:dyDescent="0.25">
      <c r="A3823" s="156" t="s">
        <v>7495</v>
      </c>
      <c r="B3823" s="157">
        <v>45967</v>
      </c>
      <c r="C3823" s="158" t="s">
        <v>947</v>
      </c>
      <c r="D3823" s="159" t="str">
        <f>VLOOKUP(Sales[[#This Row],[Customer ID]],Customer[#All],2,0)</f>
        <v>Sunita Singh</v>
      </c>
      <c r="E3823" s="158" t="s">
        <v>427</v>
      </c>
      <c r="F3823" s="158" t="str">
        <f>VLOOKUP(Sales[[#This Row],[Product ID]],Product[#All],2,0)</f>
        <v>Logitech Mouse</v>
      </c>
      <c r="G3823" s="159">
        <v>5</v>
      </c>
      <c r="H3823" s="160">
        <f>VLOOKUP(Sales[[#This Row],[Product ID]],Product[#All],7,0)</f>
        <v>1190</v>
      </c>
      <c r="I3823" s="160">
        <f>Sales[[#This Row],[Selling Rate]]*Sales[[#This Row],[Qty]]</f>
        <v>5950</v>
      </c>
      <c r="J3823" s="43">
        <v>0</v>
      </c>
      <c r="K3823" s="44">
        <f>Sales[[#This Row],[Gross Amount]]*Sales[[#This Row],[Disc %]]</f>
        <v>0</v>
      </c>
      <c r="L3823" s="43">
        <v>0.18</v>
      </c>
      <c r="M3823" s="44">
        <f>(Sales[[#This Row],[Gross Amount]]-Sales[[#This Row],[Disc. Amt.]])*Sales[[#This Row],[GST %]]</f>
        <v>1071</v>
      </c>
      <c r="N3823" s="161">
        <f>Sales[[#This Row],[Gross Amount]]-Sales[[#This Row],[Disc. Amt.]]+Sales[[#This Row],[GST Amount]]</f>
        <v>7021</v>
      </c>
      <c r="O3823" s="158" t="s">
        <v>8876</v>
      </c>
      <c r="P3823" s="158" t="s">
        <v>3562</v>
      </c>
      <c r="Q3823" s="160">
        <f>IF(Sales[[#This Row],[Status]]="Cancelled",0,Sales[[#This Row],[Qty]])</f>
        <v>5</v>
      </c>
      <c r="R3823" s="161">
        <f>IF(Sales[[#This Row],[Status]]="Cancelled",0,Sales[[#This Row],[Total Amount]])</f>
        <v>7021</v>
      </c>
      <c r="S3823" s="162">
        <f>SUM(Sales[Net Amount])</f>
        <v>406839287.73200053</v>
      </c>
    </row>
    <row r="3824" spans="1:19" ht="18.75" x14ac:dyDescent="0.25">
      <c r="A3824" s="163" t="s">
        <v>7496</v>
      </c>
      <c r="B3824" s="164">
        <v>45967</v>
      </c>
      <c r="C3824" s="34" t="s">
        <v>663</v>
      </c>
      <c r="D3824" s="53" t="str">
        <f>VLOOKUP(Sales[[#This Row],[Customer ID]],Customer[#All],2,0)</f>
        <v>Amit Sharma</v>
      </c>
      <c r="E3824" s="34" t="s">
        <v>307</v>
      </c>
      <c r="F3824" s="34" t="str">
        <f>VLOOKUP(Sales[[#This Row],[Product ID]],Product[#All],2,0)</f>
        <v>Dell Laptop</v>
      </c>
      <c r="G3824" s="53">
        <v>5</v>
      </c>
      <c r="H3824" s="165">
        <f>VLOOKUP(Sales[[#This Row],[Product ID]],Product[#All],7,0)</f>
        <v>45060</v>
      </c>
      <c r="I3824" s="165">
        <f>Sales[[#This Row],[Selling Rate]]*Sales[[#This Row],[Qty]]</f>
        <v>225300</v>
      </c>
      <c r="J3824" s="45">
        <v>0.1</v>
      </c>
      <c r="K3824" s="46">
        <f>Sales[[#This Row],[Gross Amount]]*Sales[[#This Row],[Disc %]]</f>
        <v>22530</v>
      </c>
      <c r="L3824" s="43">
        <v>0.18</v>
      </c>
      <c r="M3824" s="46">
        <f>(Sales[[#This Row],[Gross Amount]]-Sales[[#This Row],[Disc. Amt.]])*Sales[[#This Row],[GST %]]</f>
        <v>36498.6</v>
      </c>
      <c r="N3824" s="161">
        <f>Sales[[#This Row],[Gross Amount]]-Sales[[#This Row],[Disc. Amt.]]+Sales[[#This Row],[GST Amount]]</f>
        <v>239268.6</v>
      </c>
      <c r="O3824" s="34" t="s">
        <v>3569</v>
      </c>
      <c r="P3824" s="34" t="s">
        <v>3562</v>
      </c>
      <c r="Q3824" s="165">
        <f>IF(Sales[[#This Row],[Status]]="Cancelled",0,Sales[[#This Row],[Qty]])</f>
        <v>5</v>
      </c>
      <c r="R3824" s="166">
        <f>IF(Sales[[#This Row],[Status]]="Cancelled",0,Sales[[#This Row],[Total Amount]])</f>
        <v>239268.6</v>
      </c>
      <c r="S3824" s="162">
        <f>SUM(Sales[Net Amount])</f>
        <v>406839287.73200053</v>
      </c>
    </row>
    <row r="3825" spans="1:19" ht="18.75" x14ac:dyDescent="0.25">
      <c r="A3825" s="156" t="s">
        <v>7497</v>
      </c>
      <c r="B3825" s="157">
        <v>45967</v>
      </c>
      <c r="C3825" s="158" t="s">
        <v>951</v>
      </c>
      <c r="D3825" s="159" t="str">
        <f>VLOOKUP(Sales[[#This Row],[Customer ID]],Customer[#All],2,0)</f>
        <v>Rahul Singh</v>
      </c>
      <c r="E3825" s="158" t="s">
        <v>543</v>
      </c>
      <c r="F3825" s="158" t="str">
        <f>VLOOKUP(Sales[[#This Row],[Product ID]],Product[#All],2,0)</f>
        <v>Logitech Mouse</v>
      </c>
      <c r="G3825" s="159">
        <v>1</v>
      </c>
      <c r="H3825" s="160">
        <f>VLOOKUP(Sales[[#This Row],[Product ID]],Product[#All],7,0)</f>
        <v>2430</v>
      </c>
      <c r="I3825" s="160">
        <f>Sales[[#This Row],[Selling Rate]]*Sales[[#This Row],[Qty]]</f>
        <v>2430</v>
      </c>
      <c r="J3825" s="43">
        <v>0.1</v>
      </c>
      <c r="K3825" s="44">
        <f>Sales[[#This Row],[Gross Amount]]*Sales[[#This Row],[Disc %]]</f>
        <v>243</v>
      </c>
      <c r="L3825" s="43">
        <v>0.18</v>
      </c>
      <c r="M3825" s="44">
        <f>(Sales[[#This Row],[Gross Amount]]-Sales[[#This Row],[Disc. Amt.]])*Sales[[#This Row],[GST %]]</f>
        <v>393.65999999999997</v>
      </c>
      <c r="N3825" s="161">
        <f>Sales[[#This Row],[Gross Amount]]-Sales[[#This Row],[Disc. Amt.]]+Sales[[#This Row],[GST Amount]]</f>
        <v>2580.66</v>
      </c>
      <c r="O3825" s="158" t="s">
        <v>3561</v>
      </c>
      <c r="P3825" s="158" t="s">
        <v>3562</v>
      </c>
      <c r="Q3825" s="160">
        <f>IF(Sales[[#This Row],[Status]]="Cancelled",0,Sales[[#This Row],[Qty]])</f>
        <v>1</v>
      </c>
      <c r="R3825" s="161">
        <f>IF(Sales[[#This Row],[Status]]="Cancelled",0,Sales[[#This Row],[Total Amount]])</f>
        <v>2580.66</v>
      </c>
      <c r="S3825" s="162">
        <f>SUM(Sales[Net Amount])</f>
        <v>406839287.73200053</v>
      </c>
    </row>
    <row r="3826" spans="1:19" ht="18.75" x14ac:dyDescent="0.25">
      <c r="A3826" s="163" t="s">
        <v>7498</v>
      </c>
      <c r="B3826" s="164">
        <v>45967</v>
      </c>
      <c r="C3826" s="34" t="s">
        <v>946</v>
      </c>
      <c r="D3826" s="53" t="str">
        <f>VLOOKUP(Sales[[#This Row],[Customer ID]],Customer[#All],2,0)</f>
        <v>Priya Patel</v>
      </c>
      <c r="E3826" s="34" t="s">
        <v>290</v>
      </c>
      <c r="F3826" s="34" t="str">
        <f>VLOOKUP(Sales[[#This Row],[Product ID]],Product[#All],2,0)</f>
        <v>Crucial Ssd</v>
      </c>
      <c r="G3826" s="53">
        <v>6</v>
      </c>
      <c r="H3826" s="165">
        <f>VLOOKUP(Sales[[#This Row],[Product ID]],Product[#All],7,0)</f>
        <v>7650</v>
      </c>
      <c r="I3826" s="165">
        <f>Sales[[#This Row],[Selling Rate]]*Sales[[#This Row],[Qty]]</f>
        <v>45900</v>
      </c>
      <c r="J3826" s="45">
        <v>0.02</v>
      </c>
      <c r="K3826" s="46">
        <f>Sales[[#This Row],[Gross Amount]]*Sales[[#This Row],[Disc %]]</f>
        <v>918</v>
      </c>
      <c r="L3826" s="43">
        <v>0.18</v>
      </c>
      <c r="M3826" s="46">
        <f>(Sales[[#This Row],[Gross Amount]]-Sales[[#This Row],[Disc. Amt.]])*Sales[[#This Row],[GST %]]</f>
        <v>8096.7599999999993</v>
      </c>
      <c r="N3826" s="161">
        <f>Sales[[#This Row],[Gross Amount]]-Sales[[#This Row],[Disc. Amt.]]+Sales[[#This Row],[GST Amount]]</f>
        <v>53078.76</v>
      </c>
      <c r="O3826" s="34" t="s">
        <v>3569</v>
      </c>
      <c r="P3826" s="34" t="s">
        <v>1040</v>
      </c>
      <c r="Q3826" s="165">
        <f>IF(Sales[[#This Row],[Status]]="Cancelled",0,Sales[[#This Row],[Qty]])</f>
        <v>0</v>
      </c>
      <c r="R3826" s="166">
        <f>IF(Sales[[#This Row],[Status]]="Cancelled",0,Sales[[#This Row],[Total Amount]])</f>
        <v>0</v>
      </c>
      <c r="S3826" s="162">
        <f>SUM(Sales[Net Amount])</f>
        <v>406839287.73200053</v>
      </c>
    </row>
    <row r="3827" spans="1:19" ht="18.75" x14ac:dyDescent="0.25">
      <c r="A3827" s="156" t="s">
        <v>7499</v>
      </c>
      <c r="B3827" s="157">
        <v>45967</v>
      </c>
      <c r="C3827" s="158" t="s">
        <v>847</v>
      </c>
      <c r="D3827" s="159" t="str">
        <f>VLOOKUP(Sales[[#This Row],[Customer ID]],Customer[#All],2,0)</f>
        <v>Ankit Gupta</v>
      </c>
      <c r="E3827" s="158" t="s">
        <v>255</v>
      </c>
      <c r="F3827" s="158" t="str">
        <f>VLOOKUP(Sales[[#This Row],[Product ID]],Product[#All],2,0)</f>
        <v>Acer Laptop</v>
      </c>
      <c r="G3827" s="159">
        <v>4</v>
      </c>
      <c r="H3827" s="160">
        <f>VLOOKUP(Sales[[#This Row],[Product ID]],Product[#All],7,0)</f>
        <v>62430</v>
      </c>
      <c r="I3827" s="160">
        <f>Sales[[#This Row],[Selling Rate]]*Sales[[#This Row],[Qty]]</f>
        <v>249720</v>
      </c>
      <c r="J3827" s="43">
        <v>0.15</v>
      </c>
      <c r="K3827" s="44">
        <f>Sales[[#This Row],[Gross Amount]]*Sales[[#This Row],[Disc %]]</f>
        <v>37458</v>
      </c>
      <c r="L3827" s="43">
        <v>0.18</v>
      </c>
      <c r="M3827" s="44">
        <f>(Sales[[#This Row],[Gross Amount]]-Sales[[#This Row],[Disc. Amt.]])*Sales[[#This Row],[GST %]]</f>
        <v>38207.159999999996</v>
      </c>
      <c r="N3827" s="161">
        <f>Sales[[#This Row],[Gross Amount]]-Sales[[#This Row],[Disc. Amt.]]+Sales[[#This Row],[GST Amount]]</f>
        <v>250469.16</v>
      </c>
      <c r="O3827" s="158" t="s">
        <v>3566</v>
      </c>
      <c r="P3827" s="158" t="s">
        <v>3562</v>
      </c>
      <c r="Q3827" s="160">
        <f>IF(Sales[[#This Row],[Status]]="Cancelled",0,Sales[[#This Row],[Qty]])</f>
        <v>4</v>
      </c>
      <c r="R3827" s="161">
        <f>IF(Sales[[#This Row],[Status]]="Cancelled",0,Sales[[#This Row],[Total Amount]])</f>
        <v>250469.16</v>
      </c>
      <c r="S3827" s="162">
        <f>SUM(Sales[Net Amount])</f>
        <v>406839287.73200053</v>
      </c>
    </row>
    <row r="3828" spans="1:19" ht="18.75" x14ac:dyDescent="0.25">
      <c r="A3828" s="163" t="s">
        <v>7500</v>
      </c>
      <c r="B3828" s="164">
        <v>45967</v>
      </c>
      <c r="C3828" s="34" t="s">
        <v>779</v>
      </c>
      <c r="D3828" s="53" t="str">
        <f>VLOOKUP(Sales[[#This Row],[Customer ID]],Customer[#All],2,0)</f>
        <v>Rakesh Verma</v>
      </c>
      <c r="E3828" s="34" t="s">
        <v>432</v>
      </c>
      <c r="F3828" s="34" t="str">
        <f>VLOOKUP(Sales[[#This Row],[Product ID]],Product[#All],2,0)</f>
        <v>Boat Speaker</v>
      </c>
      <c r="G3828" s="53">
        <v>5</v>
      </c>
      <c r="H3828" s="165">
        <f>VLOOKUP(Sales[[#This Row],[Product ID]],Product[#All],7,0)</f>
        <v>750</v>
      </c>
      <c r="I3828" s="165">
        <f>Sales[[#This Row],[Selling Rate]]*Sales[[#This Row],[Qty]]</f>
        <v>3750</v>
      </c>
      <c r="J3828" s="45">
        <v>0.05</v>
      </c>
      <c r="K3828" s="46">
        <f>Sales[[#This Row],[Gross Amount]]*Sales[[#This Row],[Disc %]]</f>
        <v>187.5</v>
      </c>
      <c r="L3828" s="43">
        <v>0.18</v>
      </c>
      <c r="M3828" s="46">
        <f>(Sales[[#This Row],[Gross Amount]]-Sales[[#This Row],[Disc. Amt.]])*Sales[[#This Row],[GST %]]</f>
        <v>641.25</v>
      </c>
      <c r="N3828" s="161">
        <f>Sales[[#This Row],[Gross Amount]]-Sales[[#This Row],[Disc. Amt.]]+Sales[[#This Row],[GST Amount]]</f>
        <v>4203.75</v>
      </c>
      <c r="O3828" s="34" t="s">
        <v>3561</v>
      </c>
      <c r="P3828" s="34" t="s">
        <v>3562</v>
      </c>
      <c r="Q3828" s="165">
        <f>IF(Sales[[#This Row],[Status]]="Cancelled",0,Sales[[#This Row],[Qty]])</f>
        <v>5</v>
      </c>
      <c r="R3828" s="166">
        <f>IF(Sales[[#This Row],[Status]]="Cancelled",0,Sales[[#This Row],[Total Amount]])</f>
        <v>4203.75</v>
      </c>
      <c r="S3828" s="162">
        <f>SUM(Sales[Net Amount])</f>
        <v>406839287.73200053</v>
      </c>
    </row>
    <row r="3829" spans="1:19" ht="18.75" x14ac:dyDescent="0.25">
      <c r="A3829" s="156" t="s">
        <v>7501</v>
      </c>
      <c r="B3829" s="157">
        <v>45967</v>
      </c>
      <c r="C3829" s="158" t="s">
        <v>712</v>
      </c>
      <c r="D3829" s="159" t="str">
        <f>VLOOKUP(Sales[[#This Row],[Customer ID]],Customer[#All],2,0)</f>
        <v>Sahil Verma</v>
      </c>
      <c r="E3829" s="158" t="s">
        <v>213</v>
      </c>
      <c r="F3829" s="158" t="str">
        <f>VLOOKUP(Sales[[#This Row],[Product ID]],Product[#All],2,0)</f>
        <v>Dell Power Adapter</v>
      </c>
      <c r="G3829" s="159">
        <v>8</v>
      </c>
      <c r="H3829" s="160">
        <f>VLOOKUP(Sales[[#This Row],[Product ID]],Product[#All],7,0)</f>
        <v>3740</v>
      </c>
      <c r="I3829" s="160">
        <f>Sales[[#This Row],[Selling Rate]]*Sales[[#This Row],[Qty]]</f>
        <v>29920</v>
      </c>
      <c r="J3829" s="43">
        <v>0.15</v>
      </c>
      <c r="K3829" s="44">
        <f>Sales[[#This Row],[Gross Amount]]*Sales[[#This Row],[Disc %]]</f>
        <v>4488</v>
      </c>
      <c r="L3829" s="43">
        <v>0.18</v>
      </c>
      <c r="M3829" s="44">
        <f>(Sales[[#This Row],[Gross Amount]]-Sales[[#This Row],[Disc. Amt.]])*Sales[[#This Row],[GST %]]</f>
        <v>4577.76</v>
      </c>
      <c r="N3829" s="161">
        <f>Sales[[#This Row],[Gross Amount]]-Sales[[#This Row],[Disc. Amt.]]+Sales[[#This Row],[GST Amount]]</f>
        <v>30009.760000000002</v>
      </c>
      <c r="O3829" s="158" t="s">
        <v>8876</v>
      </c>
      <c r="P3829" s="158" t="s">
        <v>3562</v>
      </c>
      <c r="Q3829" s="160">
        <f>IF(Sales[[#This Row],[Status]]="Cancelled",0,Sales[[#This Row],[Qty]])</f>
        <v>8</v>
      </c>
      <c r="R3829" s="161">
        <f>IF(Sales[[#This Row],[Status]]="Cancelled",0,Sales[[#This Row],[Total Amount]])</f>
        <v>30009.760000000002</v>
      </c>
      <c r="S3829" s="162">
        <f>SUM(Sales[Net Amount])</f>
        <v>406839287.73200053</v>
      </c>
    </row>
    <row r="3830" spans="1:19" ht="18.75" x14ac:dyDescent="0.25">
      <c r="A3830" s="163" t="s">
        <v>7502</v>
      </c>
      <c r="B3830" s="164">
        <v>45967</v>
      </c>
      <c r="C3830" s="34" t="s">
        <v>770</v>
      </c>
      <c r="D3830" s="53" t="str">
        <f>VLOOKUP(Sales[[#This Row],[Customer ID]],Customer[#All],2,0)</f>
        <v>Sunita Sharma</v>
      </c>
      <c r="E3830" s="34" t="s">
        <v>437</v>
      </c>
      <c r="F3830" s="34" t="str">
        <f>VLOOKUP(Sales[[#This Row],[Product ID]],Product[#All],2,0)</f>
        <v>Boat Headset</v>
      </c>
      <c r="G3830" s="53">
        <v>8</v>
      </c>
      <c r="H3830" s="165">
        <f>VLOOKUP(Sales[[#This Row],[Product ID]],Product[#All],7,0)</f>
        <v>3260</v>
      </c>
      <c r="I3830" s="165">
        <f>Sales[[#This Row],[Selling Rate]]*Sales[[#This Row],[Qty]]</f>
        <v>26080</v>
      </c>
      <c r="J3830" s="45">
        <v>0.12</v>
      </c>
      <c r="K3830" s="46">
        <f>Sales[[#This Row],[Gross Amount]]*Sales[[#This Row],[Disc %]]</f>
        <v>3129.6</v>
      </c>
      <c r="L3830" s="43">
        <v>0.18</v>
      </c>
      <c r="M3830" s="46">
        <f>(Sales[[#This Row],[Gross Amount]]-Sales[[#This Row],[Disc. Amt.]])*Sales[[#This Row],[GST %]]</f>
        <v>4131.0720000000001</v>
      </c>
      <c r="N3830" s="161">
        <f>Sales[[#This Row],[Gross Amount]]-Sales[[#This Row],[Disc. Amt.]]+Sales[[#This Row],[GST Amount]]</f>
        <v>27081.472000000002</v>
      </c>
      <c r="O3830" s="34" t="s">
        <v>3569</v>
      </c>
      <c r="P3830" s="34" t="s">
        <v>3562</v>
      </c>
      <c r="Q3830" s="165">
        <f>IF(Sales[[#This Row],[Status]]="Cancelled",0,Sales[[#This Row],[Qty]])</f>
        <v>8</v>
      </c>
      <c r="R3830" s="166">
        <f>IF(Sales[[#This Row],[Status]]="Cancelled",0,Sales[[#This Row],[Total Amount]])</f>
        <v>27081.472000000002</v>
      </c>
      <c r="S3830" s="162">
        <f>SUM(Sales[Net Amount])</f>
        <v>406839287.73200053</v>
      </c>
    </row>
    <row r="3831" spans="1:19" ht="18.75" x14ac:dyDescent="0.25">
      <c r="A3831" s="156" t="s">
        <v>7503</v>
      </c>
      <c r="B3831" s="157">
        <v>45967</v>
      </c>
      <c r="C3831" s="158" t="s">
        <v>728</v>
      </c>
      <c r="D3831" s="159" t="str">
        <f>VLOOKUP(Sales[[#This Row],[Customer ID]],Customer[#All],2,0)</f>
        <v>Rahul Gupta</v>
      </c>
      <c r="E3831" s="158" t="s">
        <v>248</v>
      </c>
      <c r="F3831" s="158" t="str">
        <f>VLOOKUP(Sales[[#This Row],[Product ID]],Product[#All],2,0)</f>
        <v>Amazon Basics Hdmi Cable</v>
      </c>
      <c r="G3831" s="159">
        <v>8</v>
      </c>
      <c r="H3831" s="160">
        <f>VLOOKUP(Sales[[#This Row],[Product ID]],Product[#All],7,0)</f>
        <v>980</v>
      </c>
      <c r="I3831" s="160">
        <f>Sales[[#This Row],[Selling Rate]]*Sales[[#This Row],[Qty]]</f>
        <v>7840</v>
      </c>
      <c r="J3831" s="43">
        <v>0.12</v>
      </c>
      <c r="K3831" s="44">
        <f>Sales[[#This Row],[Gross Amount]]*Sales[[#This Row],[Disc %]]</f>
        <v>940.8</v>
      </c>
      <c r="L3831" s="43">
        <v>0.18</v>
      </c>
      <c r="M3831" s="44">
        <f>(Sales[[#This Row],[Gross Amount]]-Sales[[#This Row],[Disc. Amt.]])*Sales[[#This Row],[GST %]]</f>
        <v>1241.856</v>
      </c>
      <c r="N3831" s="161">
        <f>Sales[[#This Row],[Gross Amount]]-Sales[[#This Row],[Disc. Amt.]]+Sales[[#This Row],[GST Amount]]</f>
        <v>8141.0559999999996</v>
      </c>
      <c r="O3831" s="158" t="s">
        <v>3561</v>
      </c>
      <c r="P3831" s="158" t="s">
        <v>3562</v>
      </c>
      <c r="Q3831" s="160">
        <f>IF(Sales[[#This Row],[Status]]="Cancelled",0,Sales[[#This Row],[Qty]])</f>
        <v>8</v>
      </c>
      <c r="R3831" s="161">
        <f>IF(Sales[[#This Row],[Status]]="Cancelled",0,Sales[[#This Row],[Total Amount]])</f>
        <v>8141.0559999999996</v>
      </c>
      <c r="S3831" s="162">
        <f>SUM(Sales[Net Amount])</f>
        <v>406839287.73200053</v>
      </c>
    </row>
    <row r="3832" spans="1:19" ht="18.75" x14ac:dyDescent="0.25">
      <c r="A3832" s="163" t="s">
        <v>7504</v>
      </c>
      <c r="B3832" s="164">
        <v>45967</v>
      </c>
      <c r="C3832" s="34" t="s">
        <v>902</v>
      </c>
      <c r="D3832" s="53" t="str">
        <f>VLOOKUP(Sales[[#This Row],[Customer ID]],Customer[#All],2,0)</f>
        <v>Sunita Singh</v>
      </c>
      <c r="E3832" s="34" t="s">
        <v>504</v>
      </c>
      <c r="F3832" s="34" t="str">
        <f>VLOOKUP(Sales[[#This Row],[Product ID]],Product[#All],2,0)</f>
        <v>Logitech Keyboard</v>
      </c>
      <c r="G3832" s="53">
        <v>7</v>
      </c>
      <c r="H3832" s="165">
        <f>VLOOKUP(Sales[[#This Row],[Product ID]],Product[#All],7,0)</f>
        <v>3930</v>
      </c>
      <c r="I3832" s="165">
        <f>Sales[[#This Row],[Selling Rate]]*Sales[[#This Row],[Qty]]</f>
        <v>27510</v>
      </c>
      <c r="J3832" s="45">
        <v>0.12</v>
      </c>
      <c r="K3832" s="46">
        <f>Sales[[#This Row],[Gross Amount]]*Sales[[#This Row],[Disc %]]</f>
        <v>3301.2</v>
      </c>
      <c r="L3832" s="43">
        <v>0.18</v>
      </c>
      <c r="M3832" s="46">
        <f>(Sales[[#This Row],[Gross Amount]]-Sales[[#This Row],[Disc. Amt.]])*Sales[[#This Row],[GST %]]</f>
        <v>4357.5839999999998</v>
      </c>
      <c r="N3832" s="161">
        <f>Sales[[#This Row],[Gross Amount]]-Sales[[#This Row],[Disc. Amt.]]+Sales[[#This Row],[GST Amount]]</f>
        <v>28566.383999999998</v>
      </c>
      <c r="O3832" s="34" t="s">
        <v>3561</v>
      </c>
      <c r="P3832" s="34" t="s">
        <v>3562</v>
      </c>
      <c r="Q3832" s="165">
        <f>IF(Sales[[#This Row],[Status]]="Cancelled",0,Sales[[#This Row],[Qty]])</f>
        <v>7</v>
      </c>
      <c r="R3832" s="166">
        <f>IF(Sales[[#This Row],[Status]]="Cancelled",0,Sales[[#This Row],[Total Amount]])</f>
        <v>28566.383999999998</v>
      </c>
      <c r="S3832" s="162">
        <f>SUM(Sales[Net Amount])</f>
        <v>406839287.73200053</v>
      </c>
    </row>
    <row r="3833" spans="1:19" ht="18.75" x14ac:dyDescent="0.25">
      <c r="A3833" s="156" t="s">
        <v>7505</v>
      </c>
      <c r="B3833" s="157">
        <v>45967</v>
      </c>
      <c r="C3833" s="158" t="s">
        <v>790</v>
      </c>
      <c r="D3833" s="159" t="str">
        <f>VLOOKUP(Sales[[#This Row],[Customer ID]],Customer[#All],2,0)</f>
        <v>Pooja Gupta</v>
      </c>
      <c r="E3833" s="158" t="s">
        <v>282</v>
      </c>
      <c r="F3833" s="158" t="str">
        <f>VLOOKUP(Sales[[#This Row],[Product ID]],Product[#All],2,0)</f>
        <v>Amazon Basics Hdmi Cable</v>
      </c>
      <c r="G3833" s="159">
        <v>8</v>
      </c>
      <c r="H3833" s="160">
        <f>VLOOKUP(Sales[[#This Row],[Product ID]],Product[#All],7,0)</f>
        <v>760</v>
      </c>
      <c r="I3833" s="160">
        <f>Sales[[#This Row],[Selling Rate]]*Sales[[#This Row],[Qty]]</f>
        <v>6080</v>
      </c>
      <c r="J3833" s="43">
        <v>0.02</v>
      </c>
      <c r="K3833" s="44">
        <f>Sales[[#This Row],[Gross Amount]]*Sales[[#This Row],[Disc %]]</f>
        <v>121.60000000000001</v>
      </c>
      <c r="L3833" s="43">
        <v>0.18</v>
      </c>
      <c r="M3833" s="44">
        <f>(Sales[[#This Row],[Gross Amount]]-Sales[[#This Row],[Disc. Amt.]])*Sales[[#This Row],[GST %]]</f>
        <v>1072.5119999999999</v>
      </c>
      <c r="N3833" s="161">
        <f>Sales[[#This Row],[Gross Amount]]-Sales[[#This Row],[Disc. Amt.]]+Sales[[#This Row],[GST Amount]]</f>
        <v>7030.9119999999994</v>
      </c>
      <c r="O3833" s="158" t="s">
        <v>8876</v>
      </c>
      <c r="P3833" s="158" t="s">
        <v>3562</v>
      </c>
      <c r="Q3833" s="160">
        <f>IF(Sales[[#This Row],[Status]]="Cancelled",0,Sales[[#This Row],[Qty]])</f>
        <v>8</v>
      </c>
      <c r="R3833" s="161">
        <f>IF(Sales[[#This Row],[Status]]="Cancelled",0,Sales[[#This Row],[Total Amount]])</f>
        <v>7030.9119999999994</v>
      </c>
      <c r="S3833" s="162">
        <f>SUM(Sales[Net Amount])</f>
        <v>406839287.73200053</v>
      </c>
    </row>
    <row r="3834" spans="1:19" ht="18.75" x14ac:dyDescent="0.25">
      <c r="A3834" s="163" t="s">
        <v>7506</v>
      </c>
      <c r="B3834" s="164">
        <v>45967</v>
      </c>
      <c r="C3834" s="34" t="s">
        <v>863</v>
      </c>
      <c r="D3834" s="53" t="str">
        <f>VLOOKUP(Sales[[#This Row],[Customer ID]],Customer[#All],2,0)</f>
        <v>Sahil Sharma</v>
      </c>
      <c r="E3834" s="34" t="s">
        <v>360</v>
      </c>
      <c r="F3834" s="34" t="str">
        <f>VLOOKUP(Sales[[#This Row],[Product ID]],Product[#All],2,0)</f>
        <v>Canon Printer</v>
      </c>
      <c r="G3834" s="53">
        <v>2</v>
      </c>
      <c r="H3834" s="165">
        <f>VLOOKUP(Sales[[#This Row],[Product ID]],Product[#All],7,0)</f>
        <v>29670</v>
      </c>
      <c r="I3834" s="165">
        <f>Sales[[#This Row],[Selling Rate]]*Sales[[#This Row],[Qty]]</f>
        <v>59340</v>
      </c>
      <c r="J3834" s="45">
        <v>0.12</v>
      </c>
      <c r="K3834" s="46">
        <f>Sales[[#This Row],[Gross Amount]]*Sales[[#This Row],[Disc %]]</f>
        <v>7120.8</v>
      </c>
      <c r="L3834" s="43">
        <v>0.18</v>
      </c>
      <c r="M3834" s="46">
        <f>(Sales[[#This Row],[Gross Amount]]-Sales[[#This Row],[Disc. Amt.]])*Sales[[#This Row],[GST %]]</f>
        <v>9399.4559999999983</v>
      </c>
      <c r="N3834" s="161">
        <f>Sales[[#This Row],[Gross Amount]]-Sales[[#This Row],[Disc. Amt.]]+Sales[[#This Row],[GST Amount]]</f>
        <v>61618.655999999995</v>
      </c>
      <c r="O3834" s="34" t="s">
        <v>3566</v>
      </c>
      <c r="P3834" s="34" t="s">
        <v>3562</v>
      </c>
      <c r="Q3834" s="165">
        <f>IF(Sales[[#This Row],[Status]]="Cancelled",0,Sales[[#This Row],[Qty]])</f>
        <v>2</v>
      </c>
      <c r="R3834" s="166">
        <f>IF(Sales[[#This Row],[Status]]="Cancelled",0,Sales[[#This Row],[Total Amount]])</f>
        <v>61618.655999999995</v>
      </c>
      <c r="S3834" s="162">
        <f>SUM(Sales[Net Amount])</f>
        <v>406839287.73200053</v>
      </c>
    </row>
    <row r="3835" spans="1:19" ht="18.75" x14ac:dyDescent="0.25">
      <c r="A3835" s="156" t="s">
        <v>7507</v>
      </c>
      <c r="B3835" s="157">
        <v>45967</v>
      </c>
      <c r="C3835" s="158" t="s">
        <v>931</v>
      </c>
      <c r="D3835" s="159" t="str">
        <f>VLOOKUP(Sales[[#This Row],[Customer ID]],Customer[#All],2,0)</f>
        <v>Sahil Patel</v>
      </c>
      <c r="E3835" s="158" t="s">
        <v>124</v>
      </c>
      <c r="F3835" s="158" t="str">
        <f>VLOOKUP(Sales[[#This Row],[Product ID]],Product[#All],2,0)</f>
        <v>Crucial Ssd</v>
      </c>
      <c r="G3835" s="159">
        <v>5</v>
      </c>
      <c r="H3835" s="160">
        <f>VLOOKUP(Sales[[#This Row],[Product ID]],Product[#All],7,0)</f>
        <v>14820</v>
      </c>
      <c r="I3835" s="160">
        <f>Sales[[#This Row],[Selling Rate]]*Sales[[#This Row],[Qty]]</f>
        <v>74100</v>
      </c>
      <c r="J3835" s="43">
        <v>0</v>
      </c>
      <c r="K3835" s="44">
        <f>Sales[[#This Row],[Gross Amount]]*Sales[[#This Row],[Disc %]]</f>
        <v>0</v>
      </c>
      <c r="L3835" s="43">
        <v>0.18</v>
      </c>
      <c r="M3835" s="44">
        <f>(Sales[[#This Row],[Gross Amount]]-Sales[[#This Row],[Disc. Amt.]])*Sales[[#This Row],[GST %]]</f>
        <v>13338</v>
      </c>
      <c r="N3835" s="161">
        <f>Sales[[#This Row],[Gross Amount]]-Sales[[#This Row],[Disc. Amt.]]+Sales[[#This Row],[GST Amount]]</f>
        <v>87438</v>
      </c>
      <c r="O3835" s="158" t="s">
        <v>3566</v>
      </c>
      <c r="P3835" s="158" t="s">
        <v>3562</v>
      </c>
      <c r="Q3835" s="160">
        <f>IF(Sales[[#This Row],[Status]]="Cancelled",0,Sales[[#This Row],[Qty]])</f>
        <v>5</v>
      </c>
      <c r="R3835" s="161">
        <f>IF(Sales[[#This Row],[Status]]="Cancelled",0,Sales[[#This Row],[Total Amount]])</f>
        <v>87438</v>
      </c>
      <c r="S3835" s="162">
        <f>SUM(Sales[Net Amount])</f>
        <v>406839287.73200053</v>
      </c>
    </row>
    <row r="3836" spans="1:19" ht="18.75" x14ac:dyDescent="0.25">
      <c r="A3836" s="163" t="s">
        <v>7508</v>
      </c>
      <c r="B3836" s="164">
        <v>45967</v>
      </c>
      <c r="C3836" s="34" t="s">
        <v>894</v>
      </c>
      <c r="D3836" s="53" t="str">
        <f>VLOOKUP(Sales[[#This Row],[Customer ID]],Customer[#All],2,0)</f>
        <v>Sunita Patel</v>
      </c>
      <c r="E3836" s="34" t="s">
        <v>41</v>
      </c>
      <c r="F3836" s="34" t="str">
        <f>VLOOKUP(Sales[[#This Row],[Product ID]],Product[#All],2,0)</f>
        <v>HP Laptop</v>
      </c>
      <c r="G3836" s="53">
        <v>5</v>
      </c>
      <c r="H3836" s="165">
        <f>VLOOKUP(Sales[[#This Row],[Product ID]],Product[#All],7,0)</f>
        <v>74700</v>
      </c>
      <c r="I3836" s="165">
        <f>Sales[[#This Row],[Selling Rate]]*Sales[[#This Row],[Qty]]</f>
        <v>373500</v>
      </c>
      <c r="J3836" s="45">
        <v>0.05</v>
      </c>
      <c r="K3836" s="46">
        <f>Sales[[#This Row],[Gross Amount]]*Sales[[#This Row],[Disc %]]</f>
        <v>18675</v>
      </c>
      <c r="L3836" s="43">
        <v>0.18</v>
      </c>
      <c r="M3836" s="46">
        <f>(Sales[[#This Row],[Gross Amount]]-Sales[[#This Row],[Disc. Amt.]])*Sales[[#This Row],[GST %]]</f>
        <v>63868.5</v>
      </c>
      <c r="N3836" s="161">
        <f>Sales[[#This Row],[Gross Amount]]-Sales[[#This Row],[Disc. Amt.]]+Sales[[#This Row],[GST Amount]]</f>
        <v>418693.5</v>
      </c>
      <c r="O3836" s="34" t="s">
        <v>3561</v>
      </c>
      <c r="P3836" s="34" t="s">
        <v>3562</v>
      </c>
      <c r="Q3836" s="165">
        <f>IF(Sales[[#This Row],[Status]]="Cancelled",0,Sales[[#This Row],[Qty]])</f>
        <v>5</v>
      </c>
      <c r="R3836" s="166">
        <f>IF(Sales[[#This Row],[Status]]="Cancelled",0,Sales[[#This Row],[Total Amount]])</f>
        <v>418693.5</v>
      </c>
      <c r="S3836" s="162">
        <f>SUM(Sales[Net Amount])</f>
        <v>406839287.73200053</v>
      </c>
    </row>
    <row r="3837" spans="1:19" ht="18.75" x14ac:dyDescent="0.25">
      <c r="A3837" s="156" t="s">
        <v>7509</v>
      </c>
      <c r="B3837" s="157">
        <v>45967</v>
      </c>
      <c r="C3837" s="158" t="s">
        <v>782</v>
      </c>
      <c r="D3837" s="159" t="str">
        <f>VLOOKUP(Sales[[#This Row],[Customer ID]],Customer[#All],2,0)</f>
        <v>Vikas Singh</v>
      </c>
      <c r="E3837" s="158" t="s">
        <v>188</v>
      </c>
      <c r="F3837" s="158" t="str">
        <f>VLOOKUP(Sales[[#This Row],[Product ID]],Product[#All],2,0)</f>
        <v>Crucial Ssd</v>
      </c>
      <c r="G3837" s="159">
        <v>5</v>
      </c>
      <c r="H3837" s="160">
        <f>VLOOKUP(Sales[[#This Row],[Product ID]],Product[#All],7,0)</f>
        <v>14390</v>
      </c>
      <c r="I3837" s="160">
        <f>Sales[[#This Row],[Selling Rate]]*Sales[[#This Row],[Qty]]</f>
        <v>71950</v>
      </c>
      <c r="J3837" s="43">
        <v>0.1</v>
      </c>
      <c r="K3837" s="44">
        <f>Sales[[#This Row],[Gross Amount]]*Sales[[#This Row],[Disc %]]</f>
        <v>7195</v>
      </c>
      <c r="L3837" s="43">
        <v>0.18</v>
      </c>
      <c r="M3837" s="44">
        <f>(Sales[[#This Row],[Gross Amount]]-Sales[[#This Row],[Disc. Amt.]])*Sales[[#This Row],[GST %]]</f>
        <v>11655.9</v>
      </c>
      <c r="N3837" s="161">
        <f>Sales[[#This Row],[Gross Amount]]-Sales[[#This Row],[Disc. Amt.]]+Sales[[#This Row],[GST Amount]]</f>
        <v>76410.899999999994</v>
      </c>
      <c r="O3837" s="158" t="s">
        <v>3569</v>
      </c>
      <c r="P3837" s="158" t="s">
        <v>3562</v>
      </c>
      <c r="Q3837" s="160">
        <f>IF(Sales[[#This Row],[Status]]="Cancelled",0,Sales[[#This Row],[Qty]])</f>
        <v>5</v>
      </c>
      <c r="R3837" s="161">
        <f>IF(Sales[[#This Row],[Status]]="Cancelled",0,Sales[[#This Row],[Total Amount]])</f>
        <v>76410.899999999994</v>
      </c>
      <c r="S3837" s="162">
        <f>SUM(Sales[Net Amount])</f>
        <v>406839287.73200053</v>
      </c>
    </row>
    <row r="3838" spans="1:19" ht="18.75" x14ac:dyDescent="0.25">
      <c r="A3838" s="163" t="s">
        <v>7510</v>
      </c>
      <c r="B3838" s="164">
        <v>45968</v>
      </c>
      <c r="C3838" s="34" t="s">
        <v>758</v>
      </c>
      <c r="D3838" s="53" t="str">
        <f>VLOOKUP(Sales[[#This Row],[Customer ID]],Customer[#All],2,0)</f>
        <v>Rahul Verma</v>
      </c>
      <c r="E3838" s="34" t="s">
        <v>10</v>
      </c>
      <c r="F3838" s="34" t="str">
        <f>VLOOKUP(Sales[[#This Row],[Product ID]],Product[#All],2,0)</f>
        <v>Dell Monitor</v>
      </c>
      <c r="G3838" s="53">
        <v>7</v>
      </c>
      <c r="H3838" s="165">
        <f>VLOOKUP(Sales[[#This Row],[Product ID]],Product[#All],7,0)</f>
        <v>17230</v>
      </c>
      <c r="I3838" s="165">
        <f>Sales[[#This Row],[Selling Rate]]*Sales[[#This Row],[Qty]]</f>
        <v>120610</v>
      </c>
      <c r="J3838" s="45">
        <v>0.12</v>
      </c>
      <c r="K3838" s="46">
        <f>Sales[[#This Row],[Gross Amount]]*Sales[[#This Row],[Disc %]]</f>
        <v>14473.199999999999</v>
      </c>
      <c r="L3838" s="43">
        <v>0.18</v>
      </c>
      <c r="M3838" s="46">
        <f>(Sales[[#This Row],[Gross Amount]]-Sales[[#This Row],[Disc. Amt.]])*Sales[[#This Row],[GST %]]</f>
        <v>19104.624</v>
      </c>
      <c r="N3838" s="161">
        <f>Sales[[#This Row],[Gross Amount]]-Sales[[#This Row],[Disc. Amt.]]+Sales[[#This Row],[GST Amount]]</f>
        <v>125241.424</v>
      </c>
      <c r="O3838" s="34" t="s">
        <v>8876</v>
      </c>
      <c r="P3838" s="34" t="s">
        <v>3562</v>
      </c>
      <c r="Q3838" s="165">
        <f>IF(Sales[[#This Row],[Status]]="Cancelled",0,Sales[[#This Row],[Qty]])</f>
        <v>7</v>
      </c>
      <c r="R3838" s="166">
        <f>IF(Sales[[#This Row],[Status]]="Cancelled",0,Sales[[#This Row],[Total Amount]])</f>
        <v>125241.424</v>
      </c>
      <c r="S3838" s="162">
        <f>SUM(Sales[Net Amount])</f>
        <v>406839287.73200053</v>
      </c>
    </row>
    <row r="3839" spans="1:19" ht="18.75" x14ac:dyDescent="0.25">
      <c r="A3839" s="156" t="s">
        <v>7511</v>
      </c>
      <c r="B3839" s="157">
        <v>45968</v>
      </c>
      <c r="C3839" s="158" t="s">
        <v>917</v>
      </c>
      <c r="D3839" s="159" t="str">
        <f>VLOOKUP(Sales[[#This Row],[Customer ID]],Customer[#All],2,0)</f>
        <v>Sahil Gupta</v>
      </c>
      <c r="E3839" s="158" t="s">
        <v>361</v>
      </c>
      <c r="F3839" s="158" t="str">
        <f>VLOOKUP(Sales[[#This Row],[Product ID]],Product[#All],2,0)</f>
        <v>Epson Printer</v>
      </c>
      <c r="G3839" s="159">
        <v>3</v>
      </c>
      <c r="H3839" s="160">
        <f>VLOOKUP(Sales[[#This Row],[Product ID]],Product[#All],7,0)</f>
        <v>26570</v>
      </c>
      <c r="I3839" s="160">
        <f>Sales[[#This Row],[Selling Rate]]*Sales[[#This Row],[Qty]]</f>
        <v>79710</v>
      </c>
      <c r="J3839" s="43">
        <v>0.12</v>
      </c>
      <c r="K3839" s="44">
        <f>Sales[[#This Row],[Gross Amount]]*Sales[[#This Row],[Disc %]]</f>
        <v>9565.1999999999989</v>
      </c>
      <c r="L3839" s="43">
        <v>0.18</v>
      </c>
      <c r="M3839" s="44">
        <f>(Sales[[#This Row],[Gross Amount]]-Sales[[#This Row],[Disc. Amt.]])*Sales[[#This Row],[GST %]]</f>
        <v>12626.064</v>
      </c>
      <c r="N3839" s="161">
        <f>Sales[[#This Row],[Gross Amount]]-Sales[[#This Row],[Disc. Amt.]]+Sales[[#This Row],[GST Amount]]</f>
        <v>82770.864000000001</v>
      </c>
      <c r="O3839" s="158" t="s">
        <v>3566</v>
      </c>
      <c r="P3839" s="158" t="s">
        <v>3562</v>
      </c>
      <c r="Q3839" s="160">
        <f>IF(Sales[[#This Row],[Status]]="Cancelled",0,Sales[[#This Row],[Qty]])</f>
        <v>3</v>
      </c>
      <c r="R3839" s="161">
        <f>IF(Sales[[#This Row],[Status]]="Cancelled",0,Sales[[#This Row],[Total Amount]])</f>
        <v>82770.864000000001</v>
      </c>
      <c r="S3839" s="162">
        <f>SUM(Sales[Net Amount])</f>
        <v>406839287.73200053</v>
      </c>
    </row>
    <row r="3840" spans="1:19" ht="18.75" x14ac:dyDescent="0.25">
      <c r="A3840" s="163" t="s">
        <v>7512</v>
      </c>
      <c r="B3840" s="164">
        <v>45968</v>
      </c>
      <c r="C3840" s="34" t="s">
        <v>874</v>
      </c>
      <c r="D3840" s="53" t="str">
        <f>VLOOKUP(Sales[[#This Row],[Customer ID]],Customer[#All],2,0)</f>
        <v>Vikas Sharma</v>
      </c>
      <c r="E3840" s="34" t="s">
        <v>120</v>
      </c>
      <c r="F3840" s="34" t="str">
        <f>VLOOKUP(Sales[[#This Row],[Product ID]],Product[#All],2,0)</f>
        <v>Boat Speaker</v>
      </c>
      <c r="G3840" s="53">
        <v>7</v>
      </c>
      <c r="H3840" s="165">
        <f>VLOOKUP(Sales[[#This Row],[Product ID]],Product[#All],7,0)</f>
        <v>6610</v>
      </c>
      <c r="I3840" s="165">
        <f>Sales[[#This Row],[Selling Rate]]*Sales[[#This Row],[Qty]]</f>
        <v>46270</v>
      </c>
      <c r="J3840" s="45">
        <v>0.15</v>
      </c>
      <c r="K3840" s="46">
        <f>Sales[[#This Row],[Gross Amount]]*Sales[[#This Row],[Disc %]]</f>
        <v>6940.5</v>
      </c>
      <c r="L3840" s="43">
        <v>0.18</v>
      </c>
      <c r="M3840" s="46">
        <f>(Sales[[#This Row],[Gross Amount]]-Sales[[#This Row],[Disc. Amt.]])*Sales[[#This Row],[GST %]]</f>
        <v>7079.3099999999995</v>
      </c>
      <c r="N3840" s="161">
        <f>Sales[[#This Row],[Gross Amount]]-Sales[[#This Row],[Disc. Amt.]]+Sales[[#This Row],[GST Amount]]</f>
        <v>46408.81</v>
      </c>
      <c r="O3840" s="34" t="s">
        <v>8876</v>
      </c>
      <c r="P3840" s="34" t="s">
        <v>3562</v>
      </c>
      <c r="Q3840" s="165">
        <f>IF(Sales[[#This Row],[Status]]="Cancelled",0,Sales[[#This Row],[Qty]])</f>
        <v>7</v>
      </c>
      <c r="R3840" s="166">
        <f>IF(Sales[[#This Row],[Status]]="Cancelled",0,Sales[[#This Row],[Total Amount]])</f>
        <v>46408.81</v>
      </c>
      <c r="S3840" s="162">
        <f>SUM(Sales[Net Amount])</f>
        <v>406839287.73200053</v>
      </c>
    </row>
    <row r="3841" spans="1:19" ht="18.75" x14ac:dyDescent="0.25">
      <c r="A3841" s="156" t="s">
        <v>7513</v>
      </c>
      <c r="B3841" s="157">
        <v>45968</v>
      </c>
      <c r="C3841" s="158" t="s">
        <v>812</v>
      </c>
      <c r="D3841" s="159" t="str">
        <f>VLOOKUP(Sales[[#This Row],[Customer ID]],Customer[#All],2,0)</f>
        <v>Neha Gupta</v>
      </c>
      <c r="E3841" s="158" t="s">
        <v>325</v>
      </c>
      <c r="F3841" s="158" t="str">
        <f>VLOOKUP(Sales[[#This Row],[Product ID]],Product[#All],2,0)</f>
        <v>Dell Power Adapter</v>
      </c>
      <c r="G3841" s="159">
        <v>3</v>
      </c>
      <c r="H3841" s="160">
        <f>VLOOKUP(Sales[[#This Row],[Product ID]],Product[#All],7,0)</f>
        <v>1630</v>
      </c>
      <c r="I3841" s="160">
        <f>Sales[[#This Row],[Selling Rate]]*Sales[[#This Row],[Qty]]</f>
        <v>4890</v>
      </c>
      <c r="J3841" s="43">
        <v>0.1</v>
      </c>
      <c r="K3841" s="44">
        <f>Sales[[#This Row],[Gross Amount]]*Sales[[#This Row],[Disc %]]</f>
        <v>489</v>
      </c>
      <c r="L3841" s="43">
        <v>0.18</v>
      </c>
      <c r="M3841" s="44">
        <f>(Sales[[#This Row],[Gross Amount]]-Sales[[#This Row],[Disc. Amt.]])*Sales[[#This Row],[GST %]]</f>
        <v>792.18</v>
      </c>
      <c r="N3841" s="161">
        <f>Sales[[#This Row],[Gross Amount]]-Sales[[#This Row],[Disc. Amt.]]+Sales[[#This Row],[GST Amount]]</f>
        <v>5193.18</v>
      </c>
      <c r="O3841" s="158" t="s">
        <v>8876</v>
      </c>
      <c r="P3841" s="158" t="s">
        <v>3562</v>
      </c>
      <c r="Q3841" s="160">
        <f>IF(Sales[[#This Row],[Status]]="Cancelled",0,Sales[[#This Row],[Qty]])</f>
        <v>3</v>
      </c>
      <c r="R3841" s="161">
        <f>IF(Sales[[#This Row],[Status]]="Cancelled",0,Sales[[#This Row],[Total Amount]])</f>
        <v>5193.18</v>
      </c>
      <c r="S3841" s="162">
        <f>SUM(Sales[Net Amount])</f>
        <v>406839287.73200053</v>
      </c>
    </row>
    <row r="3842" spans="1:19" ht="18.75" x14ac:dyDescent="0.25">
      <c r="A3842" s="163" t="s">
        <v>7514</v>
      </c>
      <c r="B3842" s="164">
        <v>45968</v>
      </c>
      <c r="C3842" s="34" t="s">
        <v>797</v>
      </c>
      <c r="D3842" s="53" t="str">
        <f>VLOOKUP(Sales[[#This Row],[Customer ID]],Customer[#All],2,0)</f>
        <v>Ankit Gupta</v>
      </c>
      <c r="E3842" s="34" t="s">
        <v>485</v>
      </c>
      <c r="F3842" s="34" t="str">
        <f>VLOOKUP(Sales[[#This Row],[Product ID]],Product[#All],2,0)</f>
        <v>Lenovo Laptop</v>
      </c>
      <c r="G3842" s="53">
        <v>5</v>
      </c>
      <c r="H3842" s="165">
        <f>VLOOKUP(Sales[[#This Row],[Product ID]],Product[#All],7,0)</f>
        <v>55360</v>
      </c>
      <c r="I3842" s="165">
        <f>Sales[[#This Row],[Selling Rate]]*Sales[[#This Row],[Qty]]</f>
        <v>276800</v>
      </c>
      <c r="J3842" s="45">
        <v>0.05</v>
      </c>
      <c r="K3842" s="46">
        <f>Sales[[#This Row],[Gross Amount]]*Sales[[#This Row],[Disc %]]</f>
        <v>13840</v>
      </c>
      <c r="L3842" s="43">
        <v>0.18</v>
      </c>
      <c r="M3842" s="46">
        <f>(Sales[[#This Row],[Gross Amount]]-Sales[[#This Row],[Disc. Amt.]])*Sales[[#This Row],[GST %]]</f>
        <v>47332.799999999996</v>
      </c>
      <c r="N3842" s="161">
        <f>Sales[[#This Row],[Gross Amount]]-Sales[[#This Row],[Disc. Amt.]]+Sales[[#This Row],[GST Amount]]</f>
        <v>310292.8</v>
      </c>
      <c r="O3842" s="34" t="s">
        <v>3569</v>
      </c>
      <c r="P3842" s="34" t="s">
        <v>3562</v>
      </c>
      <c r="Q3842" s="165">
        <f>IF(Sales[[#This Row],[Status]]="Cancelled",0,Sales[[#This Row],[Qty]])</f>
        <v>5</v>
      </c>
      <c r="R3842" s="166">
        <f>IF(Sales[[#This Row],[Status]]="Cancelled",0,Sales[[#This Row],[Total Amount]])</f>
        <v>310292.8</v>
      </c>
      <c r="S3842" s="162">
        <f>SUM(Sales[Net Amount])</f>
        <v>406839287.73200053</v>
      </c>
    </row>
    <row r="3843" spans="1:19" ht="18.75" x14ac:dyDescent="0.25">
      <c r="A3843" s="156" t="s">
        <v>7515</v>
      </c>
      <c r="B3843" s="157">
        <v>45968</v>
      </c>
      <c r="C3843" s="158" t="s">
        <v>664</v>
      </c>
      <c r="D3843" s="159" t="str">
        <f>VLOOKUP(Sales[[#This Row],[Customer ID]],Customer[#All],2,0)</f>
        <v>Sahil Singh</v>
      </c>
      <c r="E3843" s="158" t="s">
        <v>156</v>
      </c>
      <c r="F3843" s="158" t="str">
        <f>VLOOKUP(Sales[[#This Row],[Product ID]],Product[#All],2,0)</f>
        <v>Boat Speaker</v>
      </c>
      <c r="G3843" s="159">
        <v>2</v>
      </c>
      <c r="H3843" s="160">
        <f>VLOOKUP(Sales[[#This Row],[Product ID]],Product[#All],7,0)</f>
        <v>3240</v>
      </c>
      <c r="I3843" s="160">
        <f>Sales[[#This Row],[Selling Rate]]*Sales[[#This Row],[Qty]]</f>
        <v>6480</v>
      </c>
      <c r="J3843" s="43">
        <v>0</v>
      </c>
      <c r="K3843" s="44">
        <f>Sales[[#This Row],[Gross Amount]]*Sales[[#This Row],[Disc %]]</f>
        <v>0</v>
      </c>
      <c r="L3843" s="43">
        <v>0.18</v>
      </c>
      <c r="M3843" s="44">
        <f>(Sales[[#This Row],[Gross Amount]]-Sales[[#This Row],[Disc. Amt.]])*Sales[[#This Row],[GST %]]</f>
        <v>1166.3999999999999</v>
      </c>
      <c r="N3843" s="161">
        <f>Sales[[#This Row],[Gross Amount]]-Sales[[#This Row],[Disc. Amt.]]+Sales[[#This Row],[GST Amount]]</f>
        <v>7646.4</v>
      </c>
      <c r="O3843" s="158" t="s">
        <v>3569</v>
      </c>
      <c r="P3843" s="158" t="s">
        <v>3562</v>
      </c>
      <c r="Q3843" s="160">
        <f>IF(Sales[[#This Row],[Status]]="Cancelled",0,Sales[[#This Row],[Qty]])</f>
        <v>2</v>
      </c>
      <c r="R3843" s="161">
        <f>IF(Sales[[#This Row],[Status]]="Cancelled",0,Sales[[#This Row],[Total Amount]])</f>
        <v>7646.4</v>
      </c>
      <c r="S3843" s="162">
        <f>SUM(Sales[Net Amount])</f>
        <v>406839287.73200053</v>
      </c>
    </row>
    <row r="3844" spans="1:19" ht="18.75" x14ac:dyDescent="0.25">
      <c r="A3844" s="163" t="s">
        <v>7516</v>
      </c>
      <c r="B3844" s="164">
        <v>45968</v>
      </c>
      <c r="C3844" s="34" t="s">
        <v>759</v>
      </c>
      <c r="D3844" s="53" t="str">
        <f>VLOOKUP(Sales[[#This Row],[Customer ID]],Customer[#All],2,0)</f>
        <v>Ankit Sharma</v>
      </c>
      <c r="E3844" s="34" t="s">
        <v>168</v>
      </c>
      <c r="F3844" s="34" t="str">
        <f>VLOOKUP(Sales[[#This Row],[Product ID]],Product[#All],2,0)</f>
        <v>TP-link Wi-Fi Adapter</v>
      </c>
      <c r="G3844" s="53">
        <v>2</v>
      </c>
      <c r="H3844" s="165">
        <f>VLOOKUP(Sales[[#This Row],[Product ID]],Product[#All],7,0)</f>
        <v>1460</v>
      </c>
      <c r="I3844" s="165">
        <f>Sales[[#This Row],[Selling Rate]]*Sales[[#This Row],[Qty]]</f>
        <v>2920</v>
      </c>
      <c r="J3844" s="45">
        <v>0</v>
      </c>
      <c r="K3844" s="46">
        <f>Sales[[#This Row],[Gross Amount]]*Sales[[#This Row],[Disc %]]</f>
        <v>0</v>
      </c>
      <c r="L3844" s="43">
        <v>0.18</v>
      </c>
      <c r="M3844" s="46">
        <f>(Sales[[#This Row],[Gross Amount]]-Sales[[#This Row],[Disc. Amt.]])*Sales[[#This Row],[GST %]]</f>
        <v>525.6</v>
      </c>
      <c r="N3844" s="161">
        <f>Sales[[#This Row],[Gross Amount]]-Sales[[#This Row],[Disc. Amt.]]+Sales[[#This Row],[GST Amount]]</f>
        <v>3445.6</v>
      </c>
      <c r="O3844" s="34" t="s">
        <v>3566</v>
      </c>
      <c r="P3844" s="34" t="s">
        <v>3562</v>
      </c>
      <c r="Q3844" s="165">
        <f>IF(Sales[[#This Row],[Status]]="Cancelled",0,Sales[[#This Row],[Qty]])</f>
        <v>2</v>
      </c>
      <c r="R3844" s="166">
        <f>IF(Sales[[#This Row],[Status]]="Cancelled",0,Sales[[#This Row],[Total Amount]])</f>
        <v>3445.6</v>
      </c>
      <c r="S3844" s="162">
        <f>SUM(Sales[Net Amount])</f>
        <v>406839287.73200053</v>
      </c>
    </row>
    <row r="3845" spans="1:19" ht="18.75" x14ac:dyDescent="0.25">
      <c r="A3845" s="156" t="s">
        <v>7517</v>
      </c>
      <c r="B3845" s="157">
        <v>45968</v>
      </c>
      <c r="C3845" s="158" t="s">
        <v>941</v>
      </c>
      <c r="D3845" s="159" t="str">
        <f>VLOOKUP(Sales[[#This Row],[Customer ID]],Customer[#All],2,0)</f>
        <v>Sahil Verma</v>
      </c>
      <c r="E3845" s="158" t="s">
        <v>454</v>
      </c>
      <c r="F3845" s="158" t="str">
        <f>VLOOKUP(Sales[[#This Row],[Product ID]],Product[#All],2,0)</f>
        <v>Dell Monitor</v>
      </c>
      <c r="G3845" s="159">
        <v>4</v>
      </c>
      <c r="H3845" s="160">
        <f>VLOOKUP(Sales[[#This Row],[Product ID]],Product[#All],7,0)</f>
        <v>16760</v>
      </c>
      <c r="I3845" s="160">
        <f>Sales[[#This Row],[Selling Rate]]*Sales[[#This Row],[Qty]]</f>
        <v>67040</v>
      </c>
      <c r="J3845" s="43">
        <v>0</v>
      </c>
      <c r="K3845" s="44">
        <f>Sales[[#This Row],[Gross Amount]]*Sales[[#This Row],[Disc %]]</f>
        <v>0</v>
      </c>
      <c r="L3845" s="43">
        <v>0.18</v>
      </c>
      <c r="M3845" s="44">
        <f>(Sales[[#This Row],[Gross Amount]]-Sales[[#This Row],[Disc. Amt.]])*Sales[[#This Row],[GST %]]</f>
        <v>12067.199999999999</v>
      </c>
      <c r="N3845" s="161">
        <f>Sales[[#This Row],[Gross Amount]]-Sales[[#This Row],[Disc. Amt.]]+Sales[[#This Row],[GST Amount]]</f>
        <v>79107.199999999997</v>
      </c>
      <c r="O3845" s="158" t="s">
        <v>3561</v>
      </c>
      <c r="P3845" s="158" t="s">
        <v>3562</v>
      </c>
      <c r="Q3845" s="160">
        <f>IF(Sales[[#This Row],[Status]]="Cancelled",0,Sales[[#This Row],[Qty]])</f>
        <v>4</v>
      </c>
      <c r="R3845" s="161">
        <f>IF(Sales[[#This Row],[Status]]="Cancelled",0,Sales[[#This Row],[Total Amount]])</f>
        <v>79107.199999999997</v>
      </c>
      <c r="S3845" s="162">
        <f>SUM(Sales[Net Amount])</f>
        <v>406839287.73200053</v>
      </c>
    </row>
    <row r="3846" spans="1:19" ht="18.75" x14ac:dyDescent="0.25">
      <c r="A3846" s="163" t="s">
        <v>7518</v>
      </c>
      <c r="B3846" s="164">
        <v>45968</v>
      </c>
      <c r="C3846" s="34" t="s">
        <v>844</v>
      </c>
      <c r="D3846" s="53" t="str">
        <f>VLOOKUP(Sales[[#This Row],[Customer ID]],Customer[#All],2,0)</f>
        <v>Rahul Sharma</v>
      </c>
      <c r="E3846" s="34" t="s">
        <v>482</v>
      </c>
      <c r="F3846" s="34" t="str">
        <f>VLOOKUP(Sales[[#This Row],[Product ID]],Product[#All],2,0)</f>
        <v>HP Mouse</v>
      </c>
      <c r="G3846" s="53">
        <v>2</v>
      </c>
      <c r="H3846" s="165">
        <f>VLOOKUP(Sales[[#This Row],[Product ID]],Product[#All],7,0)</f>
        <v>790</v>
      </c>
      <c r="I3846" s="165">
        <f>Sales[[#This Row],[Selling Rate]]*Sales[[#This Row],[Qty]]</f>
        <v>1580</v>
      </c>
      <c r="J3846" s="45">
        <v>0.05</v>
      </c>
      <c r="K3846" s="46">
        <f>Sales[[#This Row],[Gross Amount]]*Sales[[#This Row],[Disc %]]</f>
        <v>79</v>
      </c>
      <c r="L3846" s="43">
        <v>0.18</v>
      </c>
      <c r="M3846" s="46">
        <f>(Sales[[#This Row],[Gross Amount]]-Sales[[#This Row],[Disc. Amt.]])*Sales[[#This Row],[GST %]]</f>
        <v>270.18</v>
      </c>
      <c r="N3846" s="161">
        <f>Sales[[#This Row],[Gross Amount]]-Sales[[#This Row],[Disc. Amt.]]+Sales[[#This Row],[GST Amount]]</f>
        <v>1771.18</v>
      </c>
      <c r="O3846" s="34" t="s">
        <v>3569</v>
      </c>
      <c r="P3846" s="34" t="s">
        <v>1040</v>
      </c>
      <c r="Q3846" s="165">
        <f>IF(Sales[[#This Row],[Status]]="Cancelled",0,Sales[[#This Row],[Qty]])</f>
        <v>0</v>
      </c>
      <c r="R3846" s="166">
        <f>IF(Sales[[#This Row],[Status]]="Cancelled",0,Sales[[#This Row],[Total Amount]])</f>
        <v>0</v>
      </c>
      <c r="S3846" s="162">
        <f>SUM(Sales[Net Amount])</f>
        <v>406839287.73200053</v>
      </c>
    </row>
    <row r="3847" spans="1:19" ht="18.75" x14ac:dyDescent="0.25">
      <c r="A3847" s="156" t="s">
        <v>7519</v>
      </c>
      <c r="B3847" s="157">
        <v>45968</v>
      </c>
      <c r="C3847" s="158" t="s">
        <v>885</v>
      </c>
      <c r="D3847" s="159" t="str">
        <f>VLOOKUP(Sales[[#This Row],[Customer ID]],Customer[#All],2,0)</f>
        <v>Pooja Verma</v>
      </c>
      <c r="E3847" s="158" t="s">
        <v>478</v>
      </c>
      <c r="F3847" s="158" t="str">
        <f>VLOOKUP(Sales[[#This Row],[Product ID]],Product[#All],2,0)</f>
        <v>American TouristerLaptopBag</v>
      </c>
      <c r="G3847" s="159">
        <v>7</v>
      </c>
      <c r="H3847" s="160">
        <f>VLOOKUP(Sales[[#This Row],[Product ID]],Product[#All],7,0)</f>
        <v>6010</v>
      </c>
      <c r="I3847" s="160">
        <f>Sales[[#This Row],[Selling Rate]]*Sales[[#This Row],[Qty]]</f>
        <v>42070</v>
      </c>
      <c r="J3847" s="43">
        <v>0.05</v>
      </c>
      <c r="K3847" s="44">
        <f>Sales[[#This Row],[Gross Amount]]*Sales[[#This Row],[Disc %]]</f>
        <v>2103.5</v>
      </c>
      <c r="L3847" s="43">
        <v>0.18</v>
      </c>
      <c r="M3847" s="44">
        <f>(Sales[[#This Row],[Gross Amount]]-Sales[[#This Row],[Disc. Amt.]])*Sales[[#This Row],[GST %]]</f>
        <v>7193.9699999999993</v>
      </c>
      <c r="N3847" s="161">
        <f>Sales[[#This Row],[Gross Amount]]-Sales[[#This Row],[Disc. Amt.]]+Sales[[#This Row],[GST Amount]]</f>
        <v>47160.47</v>
      </c>
      <c r="O3847" s="158" t="s">
        <v>3569</v>
      </c>
      <c r="P3847" s="158" t="s">
        <v>3562</v>
      </c>
      <c r="Q3847" s="160">
        <f>IF(Sales[[#This Row],[Status]]="Cancelled",0,Sales[[#This Row],[Qty]])</f>
        <v>7</v>
      </c>
      <c r="R3847" s="161">
        <f>IF(Sales[[#This Row],[Status]]="Cancelled",0,Sales[[#This Row],[Total Amount]])</f>
        <v>47160.47</v>
      </c>
      <c r="S3847" s="162">
        <f>SUM(Sales[Net Amount])</f>
        <v>406839287.73200053</v>
      </c>
    </row>
    <row r="3848" spans="1:19" ht="18.75" x14ac:dyDescent="0.25">
      <c r="A3848" s="163" t="s">
        <v>7520</v>
      </c>
      <c r="B3848" s="164">
        <v>45968</v>
      </c>
      <c r="C3848" s="34" t="s">
        <v>724</v>
      </c>
      <c r="D3848" s="53" t="str">
        <f>VLOOKUP(Sales[[#This Row],[Customer ID]],Customer[#All],2,0)</f>
        <v>Sunita Sharma</v>
      </c>
      <c r="E3848" s="34" t="s">
        <v>238</v>
      </c>
      <c r="F3848" s="34" t="str">
        <f>VLOOKUP(Sales[[#This Row],[Product ID]],Product[#All],2,0)</f>
        <v>Samsung Monitor</v>
      </c>
      <c r="G3848" s="53">
        <v>4</v>
      </c>
      <c r="H3848" s="165">
        <f>VLOOKUP(Sales[[#This Row],[Product ID]],Product[#All],7,0)</f>
        <v>8180</v>
      </c>
      <c r="I3848" s="165">
        <f>Sales[[#This Row],[Selling Rate]]*Sales[[#This Row],[Qty]]</f>
        <v>32720</v>
      </c>
      <c r="J3848" s="45">
        <v>0.02</v>
      </c>
      <c r="K3848" s="46">
        <f>Sales[[#This Row],[Gross Amount]]*Sales[[#This Row],[Disc %]]</f>
        <v>654.4</v>
      </c>
      <c r="L3848" s="43">
        <v>0.18</v>
      </c>
      <c r="M3848" s="46">
        <f>(Sales[[#This Row],[Gross Amount]]-Sales[[#This Row],[Disc. Amt.]])*Sales[[#This Row],[GST %]]</f>
        <v>5771.8079999999991</v>
      </c>
      <c r="N3848" s="161">
        <f>Sales[[#This Row],[Gross Amount]]-Sales[[#This Row],[Disc. Amt.]]+Sales[[#This Row],[GST Amount]]</f>
        <v>37837.407999999996</v>
      </c>
      <c r="O3848" s="34" t="s">
        <v>3566</v>
      </c>
      <c r="P3848" s="34" t="s">
        <v>3562</v>
      </c>
      <c r="Q3848" s="165">
        <f>IF(Sales[[#This Row],[Status]]="Cancelled",0,Sales[[#This Row],[Qty]])</f>
        <v>4</v>
      </c>
      <c r="R3848" s="166">
        <f>IF(Sales[[#This Row],[Status]]="Cancelled",0,Sales[[#This Row],[Total Amount]])</f>
        <v>37837.407999999996</v>
      </c>
      <c r="S3848" s="162">
        <f>SUM(Sales[Net Amount])</f>
        <v>406839287.73200053</v>
      </c>
    </row>
    <row r="3849" spans="1:19" ht="18.75" x14ac:dyDescent="0.25">
      <c r="A3849" s="156" t="s">
        <v>7521</v>
      </c>
      <c r="B3849" s="157">
        <v>45968</v>
      </c>
      <c r="C3849" s="158" t="s">
        <v>821</v>
      </c>
      <c r="D3849" s="159" t="str">
        <f>VLOOKUP(Sales[[#This Row],[Customer ID]],Customer[#All],2,0)</f>
        <v>Rakesh Sharma</v>
      </c>
      <c r="E3849" s="158" t="s">
        <v>549</v>
      </c>
      <c r="F3849" s="158" t="str">
        <f>VLOOKUP(Sales[[#This Row],[Product ID]],Product[#All],2,0)</f>
        <v>Boat Headset</v>
      </c>
      <c r="G3849" s="159">
        <v>7</v>
      </c>
      <c r="H3849" s="160">
        <f>VLOOKUP(Sales[[#This Row],[Product ID]],Product[#All],7,0)</f>
        <v>3390</v>
      </c>
      <c r="I3849" s="160">
        <f>Sales[[#This Row],[Selling Rate]]*Sales[[#This Row],[Qty]]</f>
        <v>23730</v>
      </c>
      <c r="J3849" s="43">
        <v>0.05</v>
      </c>
      <c r="K3849" s="44">
        <f>Sales[[#This Row],[Gross Amount]]*Sales[[#This Row],[Disc %]]</f>
        <v>1186.5</v>
      </c>
      <c r="L3849" s="43">
        <v>0.18</v>
      </c>
      <c r="M3849" s="44">
        <f>(Sales[[#This Row],[Gross Amount]]-Sales[[#This Row],[Disc. Amt.]])*Sales[[#This Row],[GST %]]</f>
        <v>4057.83</v>
      </c>
      <c r="N3849" s="161">
        <f>Sales[[#This Row],[Gross Amount]]-Sales[[#This Row],[Disc. Amt.]]+Sales[[#This Row],[GST Amount]]</f>
        <v>26601.33</v>
      </c>
      <c r="O3849" s="158" t="s">
        <v>3561</v>
      </c>
      <c r="P3849" s="158" t="s">
        <v>3562</v>
      </c>
      <c r="Q3849" s="160">
        <f>IF(Sales[[#This Row],[Status]]="Cancelled",0,Sales[[#This Row],[Qty]])</f>
        <v>7</v>
      </c>
      <c r="R3849" s="161">
        <f>IF(Sales[[#This Row],[Status]]="Cancelled",0,Sales[[#This Row],[Total Amount]])</f>
        <v>26601.33</v>
      </c>
      <c r="S3849" s="162">
        <f>SUM(Sales[Net Amount])</f>
        <v>406839287.73200053</v>
      </c>
    </row>
    <row r="3850" spans="1:19" ht="18.75" x14ac:dyDescent="0.25">
      <c r="A3850" s="163" t="s">
        <v>7522</v>
      </c>
      <c r="B3850" s="164">
        <v>45968</v>
      </c>
      <c r="C3850" s="34" t="s">
        <v>917</v>
      </c>
      <c r="D3850" s="53" t="str">
        <f>VLOOKUP(Sales[[#This Row],[Customer ID]],Customer[#All],2,0)</f>
        <v>Sahil Gupta</v>
      </c>
      <c r="E3850" s="34" t="s">
        <v>373</v>
      </c>
      <c r="F3850" s="34" t="str">
        <f>VLOOKUP(Sales[[#This Row],[Product ID]],Product[#All],2,0)</f>
        <v>Epson Printer</v>
      </c>
      <c r="G3850" s="53">
        <v>2</v>
      </c>
      <c r="H3850" s="165">
        <f>VLOOKUP(Sales[[#This Row],[Product ID]],Product[#All],7,0)</f>
        <v>9710</v>
      </c>
      <c r="I3850" s="165">
        <f>Sales[[#This Row],[Selling Rate]]*Sales[[#This Row],[Qty]]</f>
        <v>19420</v>
      </c>
      <c r="J3850" s="45">
        <v>0.12</v>
      </c>
      <c r="K3850" s="46">
        <f>Sales[[#This Row],[Gross Amount]]*Sales[[#This Row],[Disc %]]</f>
        <v>2330.4</v>
      </c>
      <c r="L3850" s="43">
        <v>0.18</v>
      </c>
      <c r="M3850" s="46">
        <f>(Sales[[#This Row],[Gross Amount]]-Sales[[#This Row],[Disc. Amt.]])*Sales[[#This Row],[GST %]]</f>
        <v>3076.1279999999997</v>
      </c>
      <c r="N3850" s="161">
        <f>Sales[[#This Row],[Gross Amount]]-Sales[[#This Row],[Disc. Amt.]]+Sales[[#This Row],[GST Amount]]</f>
        <v>20165.727999999999</v>
      </c>
      <c r="O3850" s="34" t="s">
        <v>3569</v>
      </c>
      <c r="P3850" s="34" t="s">
        <v>3562</v>
      </c>
      <c r="Q3850" s="165">
        <f>IF(Sales[[#This Row],[Status]]="Cancelled",0,Sales[[#This Row],[Qty]])</f>
        <v>2</v>
      </c>
      <c r="R3850" s="166">
        <f>IF(Sales[[#This Row],[Status]]="Cancelled",0,Sales[[#This Row],[Total Amount]])</f>
        <v>20165.727999999999</v>
      </c>
      <c r="S3850" s="162">
        <f>SUM(Sales[Net Amount])</f>
        <v>406839287.73200053</v>
      </c>
    </row>
    <row r="3851" spans="1:19" ht="18.75" x14ac:dyDescent="0.25">
      <c r="A3851" s="156" t="s">
        <v>7523</v>
      </c>
      <c r="B3851" s="157">
        <v>45968</v>
      </c>
      <c r="C3851" s="158" t="s">
        <v>799</v>
      </c>
      <c r="D3851" s="159" t="str">
        <f>VLOOKUP(Sales[[#This Row],[Customer ID]],Customer[#All],2,0)</f>
        <v>Rakesh Gupta</v>
      </c>
      <c r="E3851" s="158" t="s">
        <v>306</v>
      </c>
      <c r="F3851" s="158" t="str">
        <f>VLOOKUP(Sales[[#This Row],[Product ID]],Product[#All],2,0)</f>
        <v>Portronics USB Cable</v>
      </c>
      <c r="G3851" s="159">
        <v>8</v>
      </c>
      <c r="H3851" s="160">
        <f>VLOOKUP(Sales[[#This Row],[Product ID]],Product[#All],7,0)</f>
        <v>200</v>
      </c>
      <c r="I3851" s="160">
        <f>Sales[[#This Row],[Selling Rate]]*Sales[[#This Row],[Qty]]</f>
        <v>1600</v>
      </c>
      <c r="J3851" s="43">
        <v>0.15</v>
      </c>
      <c r="K3851" s="44">
        <f>Sales[[#This Row],[Gross Amount]]*Sales[[#This Row],[Disc %]]</f>
        <v>240</v>
      </c>
      <c r="L3851" s="43">
        <v>0.18</v>
      </c>
      <c r="M3851" s="44">
        <f>(Sales[[#This Row],[Gross Amount]]-Sales[[#This Row],[Disc. Amt.]])*Sales[[#This Row],[GST %]]</f>
        <v>244.79999999999998</v>
      </c>
      <c r="N3851" s="161">
        <f>Sales[[#This Row],[Gross Amount]]-Sales[[#This Row],[Disc. Amt.]]+Sales[[#This Row],[GST Amount]]</f>
        <v>1604.8</v>
      </c>
      <c r="O3851" s="158" t="s">
        <v>3569</v>
      </c>
      <c r="P3851" s="158" t="s">
        <v>3562</v>
      </c>
      <c r="Q3851" s="160">
        <f>IF(Sales[[#This Row],[Status]]="Cancelled",0,Sales[[#This Row],[Qty]])</f>
        <v>8</v>
      </c>
      <c r="R3851" s="161">
        <f>IF(Sales[[#This Row],[Status]]="Cancelled",0,Sales[[#This Row],[Total Amount]])</f>
        <v>1604.8</v>
      </c>
      <c r="S3851" s="162">
        <f>SUM(Sales[Net Amount])</f>
        <v>406839287.73200053</v>
      </c>
    </row>
    <row r="3852" spans="1:19" ht="18.75" x14ac:dyDescent="0.25">
      <c r="A3852" s="163" t="s">
        <v>7524</v>
      </c>
      <c r="B3852" s="164">
        <v>45968</v>
      </c>
      <c r="C3852" s="34" t="s">
        <v>716</v>
      </c>
      <c r="D3852" s="53" t="str">
        <f>VLOOKUP(Sales[[#This Row],[Customer ID]],Customer[#All],2,0)</f>
        <v>Ankit Kumar</v>
      </c>
      <c r="E3852" s="34" t="s">
        <v>291</v>
      </c>
      <c r="F3852" s="34" t="str">
        <f>VLOOKUP(Sales[[#This Row],[Product ID]],Product[#All],2,0)</f>
        <v>Jbl Speaker</v>
      </c>
      <c r="G3852" s="53">
        <v>1</v>
      </c>
      <c r="H3852" s="165">
        <f>VLOOKUP(Sales[[#This Row],[Product ID]],Product[#All],7,0)</f>
        <v>12040</v>
      </c>
      <c r="I3852" s="165">
        <f>Sales[[#This Row],[Selling Rate]]*Sales[[#This Row],[Qty]]</f>
        <v>12040</v>
      </c>
      <c r="J3852" s="45">
        <v>0.12</v>
      </c>
      <c r="K3852" s="46">
        <f>Sales[[#This Row],[Gross Amount]]*Sales[[#This Row],[Disc %]]</f>
        <v>1444.8</v>
      </c>
      <c r="L3852" s="43">
        <v>0.18</v>
      </c>
      <c r="M3852" s="46">
        <f>(Sales[[#This Row],[Gross Amount]]-Sales[[#This Row],[Disc. Amt.]])*Sales[[#This Row],[GST %]]</f>
        <v>1907.136</v>
      </c>
      <c r="N3852" s="161">
        <f>Sales[[#This Row],[Gross Amount]]-Sales[[#This Row],[Disc. Amt.]]+Sales[[#This Row],[GST Amount]]</f>
        <v>12502.336000000001</v>
      </c>
      <c r="O3852" s="34" t="s">
        <v>3561</v>
      </c>
      <c r="P3852" s="34" t="s">
        <v>3562</v>
      </c>
      <c r="Q3852" s="165">
        <f>IF(Sales[[#This Row],[Status]]="Cancelled",0,Sales[[#This Row],[Qty]])</f>
        <v>1</v>
      </c>
      <c r="R3852" s="166">
        <f>IF(Sales[[#This Row],[Status]]="Cancelled",0,Sales[[#This Row],[Total Amount]])</f>
        <v>12502.336000000001</v>
      </c>
      <c r="S3852" s="162">
        <f>SUM(Sales[Net Amount])</f>
        <v>406839287.73200053</v>
      </c>
    </row>
    <row r="3853" spans="1:19" ht="18.75" x14ac:dyDescent="0.25">
      <c r="A3853" s="156" t="s">
        <v>7525</v>
      </c>
      <c r="B3853" s="157">
        <v>45968</v>
      </c>
      <c r="C3853" s="158" t="s">
        <v>938</v>
      </c>
      <c r="D3853" s="159" t="str">
        <f>VLOOKUP(Sales[[#This Row],[Customer ID]],Customer[#All],2,0)</f>
        <v>Sunita Sharma</v>
      </c>
      <c r="E3853" s="158" t="s">
        <v>133</v>
      </c>
      <c r="F3853" s="158" t="str">
        <f>VLOOKUP(Sales[[#This Row],[Product ID]],Product[#All],2,0)</f>
        <v>HP Laptop</v>
      </c>
      <c r="G3853" s="159">
        <v>4</v>
      </c>
      <c r="H3853" s="160">
        <f>VLOOKUP(Sales[[#This Row],[Product ID]],Product[#All],7,0)</f>
        <v>44790</v>
      </c>
      <c r="I3853" s="160">
        <f>Sales[[#This Row],[Selling Rate]]*Sales[[#This Row],[Qty]]</f>
        <v>179160</v>
      </c>
      <c r="J3853" s="43">
        <v>0.05</v>
      </c>
      <c r="K3853" s="44">
        <f>Sales[[#This Row],[Gross Amount]]*Sales[[#This Row],[Disc %]]</f>
        <v>8958</v>
      </c>
      <c r="L3853" s="43">
        <v>0.18</v>
      </c>
      <c r="M3853" s="44">
        <f>(Sales[[#This Row],[Gross Amount]]-Sales[[#This Row],[Disc. Amt.]])*Sales[[#This Row],[GST %]]</f>
        <v>30636.36</v>
      </c>
      <c r="N3853" s="161">
        <f>Sales[[#This Row],[Gross Amount]]-Sales[[#This Row],[Disc. Amt.]]+Sales[[#This Row],[GST Amount]]</f>
        <v>200838.36</v>
      </c>
      <c r="O3853" s="158" t="s">
        <v>3569</v>
      </c>
      <c r="P3853" s="158" t="s">
        <v>3562</v>
      </c>
      <c r="Q3853" s="160">
        <f>IF(Sales[[#This Row],[Status]]="Cancelled",0,Sales[[#This Row],[Qty]])</f>
        <v>4</v>
      </c>
      <c r="R3853" s="161">
        <f>IF(Sales[[#This Row],[Status]]="Cancelled",0,Sales[[#This Row],[Total Amount]])</f>
        <v>200838.36</v>
      </c>
      <c r="S3853" s="162">
        <f>SUM(Sales[Net Amount])</f>
        <v>406839287.73200053</v>
      </c>
    </row>
    <row r="3854" spans="1:19" ht="18.75" x14ac:dyDescent="0.25">
      <c r="A3854" s="163" t="s">
        <v>7526</v>
      </c>
      <c r="B3854" s="164">
        <v>45968</v>
      </c>
      <c r="C3854" s="34" t="s">
        <v>892</v>
      </c>
      <c r="D3854" s="53" t="str">
        <f>VLOOKUP(Sales[[#This Row],[Customer ID]],Customer[#All],2,0)</f>
        <v>Sahil Verma</v>
      </c>
      <c r="E3854" s="34" t="s">
        <v>488</v>
      </c>
      <c r="F3854" s="34" t="str">
        <f>VLOOKUP(Sales[[#This Row],[Product ID]],Product[#All],2,0)</f>
        <v>Samsung Monitor</v>
      </c>
      <c r="G3854" s="53">
        <v>3</v>
      </c>
      <c r="H3854" s="165">
        <f>VLOOKUP(Sales[[#This Row],[Product ID]],Product[#All],7,0)</f>
        <v>32720</v>
      </c>
      <c r="I3854" s="165">
        <f>Sales[[#This Row],[Selling Rate]]*Sales[[#This Row],[Qty]]</f>
        <v>98160</v>
      </c>
      <c r="J3854" s="45">
        <v>0.02</v>
      </c>
      <c r="K3854" s="46">
        <f>Sales[[#This Row],[Gross Amount]]*Sales[[#This Row],[Disc %]]</f>
        <v>1963.2</v>
      </c>
      <c r="L3854" s="43">
        <v>0.18</v>
      </c>
      <c r="M3854" s="46">
        <f>(Sales[[#This Row],[Gross Amount]]-Sales[[#This Row],[Disc. Amt.]])*Sales[[#This Row],[GST %]]</f>
        <v>17315.423999999999</v>
      </c>
      <c r="N3854" s="161">
        <f>Sales[[#This Row],[Gross Amount]]-Sales[[#This Row],[Disc. Amt.]]+Sales[[#This Row],[GST Amount]]</f>
        <v>113512.224</v>
      </c>
      <c r="O3854" s="34" t="s">
        <v>3566</v>
      </c>
      <c r="P3854" s="34" t="s">
        <v>3562</v>
      </c>
      <c r="Q3854" s="165">
        <f>IF(Sales[[#This Row],[Status]]="Cancelled",0,Sales[[#This Row],[Qty]])</f>
        <v>3</v>
      </c>
      <c r="R3854" s="166">
        <f>IF(Sales[[#This Row],[Status]]="Cancelled",0,Sales[[#This Row],[Total Amount]])</f>
        <v>113512.224</v>
      </c>
      <c r="S3854" s="162">
        <f>SUM(Sales[Net Amount])</f>
        <v>406839287.73200053</v>
      </c>
    </row>
    <row r="3855" spans="1:19" ht="18.75" x14ac:dyDescent="0.25">
      <c r="A3855" s="156" t="s">
        <v>7527</v>
      </c>
      <c r="B3855" s="157">
        <v>45968</v>
      </c>
      <c r="C3855" s="158" t="s">
        <v>659</v>
      </c>
      <c r="D3855" s="159" t="str">
        <f>VLOOKUP(Sales[[#This Row],[Customer ID]],Customer[#All],2,0)</f>
        <v>Rakesh Sharma</v>
      </c>
      <c r="E3855" s="158" t="s">
        <v>26</v>
      </c>
      <c r="F3855" s="158" t="str">
        <f>VLOOKUP(Sales[[#This Row],[Product ID]],Product[#All],2,0)</f>
        <v>Lg Monitor</v>
      </c>
      <c r="G3855" s="159">
        <v>1</v>
      </c>
      <c r="H3855" s="160">
        <f>VLOOKUP(Sales[[#This Row],[Product ID]],Product[#All],7,0)</f>
        <v>21600</v>
      </c>
      <c r="I3855" s="160">
        <f>Sales[[#This Row],[Selling Rate]]*Sales[[#This Row],[Qty]]</f>
        <v>21600</v>
      </c>
      <c r="J3855" s="43">
        <v>0</v>
      </c>
      <c r="K3855" s="44">
        <f>Sales[[#This Row],[Gross Amount]]*Sales[[#This Row],[Disc %]]</f>
        <v>0</v>
      </c>
      <c r="L3855" s="43">
        <v>0.18</v>
      </c>
      <c r="M3855" s="44">
        <f>(Sales[[#This Row],[Gross Amount]]-Sales[[#This Row],[Disc. Amt.]])*Sales[[#This Row],[GST %]]</f>
        <v>3888</v>
      </c>
      <c r="N3855" s="161">
        <f>Sales[[#This Row],[Gross Amount]]-Sales[[#This Row],[Disc. Amt.]]+Sales[[#This Row],[GST Amount]]</f>
        <v>25488</v>
      </c>
      <c r="O3855" s="158" t="s">
        <v>8876</v>
      </c>
      <c r="P3855" s="158" t="s">
        <v>3562</v>
      </c>
      <c r="Q3855" s="160">
        <f>IF(Sales[[#This Row],[Status]]="Cancelled",0,Sales[[#This Row],[Qty]])</f>
        <v>1</v>
      </c>
      <c r="R3855" s="161">
        <f>IF(Sales[[#This Row],[Status]]="Cancelled",0,Sales[[#This Row],[Total Amount]])</f>
        <v>25488</v>
      </c>
      <c r="S3855" s="162">
        <f>SUM(Sales[Net Amount])</f>
        <v>406839287.73200053</v>
      </c>
    </row>
    <row r="3856" spans="1:19" ht="18.75" x14ac:dyDescent="0.25">
      <c r="A3856" s="163" t="s">
        <v>7528</v>
      </c>
      <c r="B3856" s="164">
        <v>45969</v>
      </c>
      <c r="C3856" s="34" t="s">
        <v>770</v>
      </c>
      <c r="D3856" s="53" t="str">
        <f>VLOOKUP(Sales[[#This Row],[Customer ID]],Customer[#All],2,0)</f>
        <v>Sunita Sharma</v>
      </c>
      <c r="E3856" s="34" t="s">
        <v>410</v>
      </c>
      <c r="F3856" s="34" t="str">
        <f>VLOOKUP(Sales[[#This Row],[Product ID]],Product[#All],2,0)</f>
        <v>Microtek UPS</v>
      </c>
      <c r="G3856" s="53">
        <v>4</v>
      </c>
      <c r="H3856" s="165">
        <f>VLOOKUP(Sales[[#This Row],[Product ID]],Product[#All],7,0)</f>
        <v>12250</v>
      </c>
      <c r="I3856" s="165">
        <f>Sales[[#This Row],[Selling Rate]]*Sales[[#This Row],[Qty]]</f>
        <v>49000</v>
      </c>
      <c r="J3856" s="45">
        <v>0.1</v>
      </c>
      <c r="K3856" s="46">
        <f>Sales[[#This Row],[Gross Amount]]*Sales[[#This Row],[Disc %]]</f>
        <v>4900</v>
      </c>
      <c r="L3856" s="43">
        <v>0.18</v>
      </c>
      <c r="M3856" s="46">
        <f>(Sales[[#This Row],[Gross Amount]]-Sales[[#This Row],[Disc. Amt.]])*Sales[[#This Row],[GST %]]</f>
        <v>7938</v>
      </c>
      <c r="N3856" s="161">
        <f>Sales[[#This Row],[Gross Amount]]-Sales[[#This Row],[Disc. Amt.]]+Sales[[#This Row],[GST Amount]]</f>
        <v>52038</v>
      </c>
      <c r="O3856" s="34" t="s">
        <v>3566</v>
      </c>
      <c r="P3856" s="34" t="s">
        <v>3562</v>
      </c>
      <c r="Q3856" s="165">
        <f>IF(Sales[[#This Row],[Status]]="Cancelled",0,Sales[[#This Row],[Qty]])</f>
        <v>4</v>
      </c>
      <c r="R3856" s="166">
        <f>IF(Sales[[#This Row],[Status]]="Cancelled",0,Sales[[#This Row],[Total Amount]])</f>
        <v>52038</v>
      </c>
      <c r="S3856" s="162">
        <f>SUM(Sales[Net Amount])</f>
        <v>406839287.73200053</v>
      </c>
    </row>
    <row r="3857" spans="1:19" ht="18.75" x14ac:dyDescent="0.25">
      <c r="A3857" s="156" t="s">
        <v>7529</v>
      </c>
      <c r="B3857" s="157">
        <v>45969</v>
      </c>
      <c r="C3857" s="158" t="s">
        <v>669</v>
      </c>
      <c r="D3857" s="159" t="str">
        <f>VLOOKUP(Sales[[#This Row],[Customer ID]],Customer[#All],2,0)</f>
        <v>Sahil Kumar</v>
      </c>
      <c r="E3857" s="158" t="s">
        <v>262</v>
      </c>
      <c r="F3857" s="158" t="str">
        <f>VLOOKUP(Sales[[#This Row],[Product ID]],Product[#All],2,0)</f>
        <v>HP Power Adapter</v>
      </c>
      <c r="G3857" s="159">
        <v>8</v>
      </c>
      <c r="H3857" s="160">
        <f>VLOOKUP(Sales[[#This Row],[Product ID]],Product[#All],7,0)</f>
        <v>3560</v>
      </c>
      <c r="I3857" s="160">
        <f>Sales[[#This Row],[Selling Rate]]*Sales[[#This Row],[Qty]]</f>
        <v>28480</v>
      </c>
      <c r="J3857" s="43">
        <v>0.05</v>
      </c>
      <c r="K3857" s="44">
        <f>Sales[[#This Row],[Gross Amount]]*Sales[[#This Row],[Disc %]]</f>
        <v>1424</v>
      </c>
      <c r="L3857" s="43">
        <v>0.18</v>
      </c>
      <c r="M3857" s="44">
        <f>(Sales[[#This Row],[Gross Amount]]-Sales[[#This Row],[Disc. Amt.]])*Sales[[#This Row],[GST %]]</f>
        <v>4870.08</v>
      </c>
      <c r="N3857" s="161">
        <f>Sales[[#This Row],[Gross Amount]]-Sales[[#This Row],[Disc. Amt.]]+Sales[[#This Row],[GST Amount]]</f>
        <v>31926.080000000002</v>
      </c>
      <c r="O3857" s="158" t="s">
        <v>3561</v>
      </c>
      <c r="P3857" s="158" t="s">
        <v>3562</v>
      </c>
      <c r="Q3857" s="160">
        <f>IF(Sales[[#This Row],[Status]]="Cancelled",0,Sales[[#This Row],[Qty]])</f>
        <v>8</v>
      </c>
      <c r="R3857" s="161">
        <f>IF(Sales[[#This Row],[Status]]="Cancelled",0,Sales[[#This Row],[Total Amount]])</f>
        <v>31926.080000000002</v>
      </c>
      <c r="S3857" s="162">
        <f>SUM(Sales[Net Amount])</f>
        <v>406839287.73200053</v>
      </c>
    </row>
    <row r="3858" spans="1:19" ht="18.75" x14ac:dyDescent="0.25">
      <c r="A3858" s="163" t="s">
        <v>7530</v>
      </c>
      <c r="B3858" s="164">
        <v>45969</v>
      </c>
      <c r="C3858" s="34" t="s">
        <v>907</v>
      </c>
      <c r="D3858" s="53" t="str">
        <f>VLOOKUP(Sales[[#This Row],[Customer ID]],Customer[#All],2,0)</f>
        <v>Vikas Verma</v>
      </c>
      <c r="E3858" s="34" t="s">
        <v>459</v>
      </c>
      <c r="F3858" s="34" t="str">
        <f>VLOOKUP(Sales[[#This Row],[Product ID]],Product[#All],2,0)</f>
        <v>Logitech Mouse</v>
      </c>
      <c r="G3858" s="53">
        <v>5</v>
      </c>
      <c r="H3858" s="165">
        <f>VLOOKUP(Sales[[#This Row],[Product ID]],Product[#All],7,0)</f>
        <v>1680</v>
      </c>
      <c r="I3858" s="165">
        <f>Sales[[#This Row],[Selling Rate]]*Sales[[#This Row],[Qty]]</f>
        <v>8400</v>
      </c>
      <c r="J3858" s="45">
        <v>0.05</v>
      </c>
      <c r="K3858" s="46">
        <f>Sales[[#This Row],[Gross Amount]]*Sales[[#This Row],[Disc %]]</f>
        <v>420</v>
      </c>
      <c r="L3858" s="43">
        <v>0.18</v>
      </c>
      <c r="M3858" s="46">
        <f>(Sales[[#This Row],[Gross Amount]]-Sales[[#This Row],[Disc. Amt.]])*Sales[[#This Row],[GST %]]</f>
        <v>1436.3999999999999</v>
      </c>
      <c r="N3858" s="161">
        <f>Sales[[#This Row],[Gross Amount]]-Sales[[#This Row],[Disc. Amt.]]+Sales[[#This Row],[GST Amount]]</f>
        <v>9416.4</v>
      </c>
      <c r="O3858" s="34" t="s">
        <v>3561</v>
      </c>
      <c r="P3858" s="34" t="s">
        <v>3562</v>
      </c>
      <c r="Q3858" s="165">
        <f>IF(Sales[[#This Row],[Status]]="Cancelled",0,Sales[[#This Row],[Qty]])</f>
        <v>5</v>
      </c>
      <c r="R3858" s="166">
        <f>IF(Sales[[#This Row],[Status]]="Cancelled",0,Sales[[#This Row],[Total Amount]])</f>
        <v>9416.4</v>
      </c>
      <c r="S3858" s="162">
        <f>SUM(Sales[Net Amount])</f>
        <v>406839287.73200053</v>
      </c>
    </row>
    <row r="3859" spans="1:19" ht="18.75" x14ac:dyDescent="0.25">
      <c r="A3859" s="156" t="s">
        <v>7531</v>
      </c>
      <c r="B3859" s="157">
        <v>45969</v>
      </c>
      <c r="C3859" s="158" t="s">
        <v>831</v>
      </c>
      <c r="D3859" s="159" t="str">
        <f>VLOOKUP(Sales[[#This Row],[Customer ID]],Customer[#All],2,0)</f>
        <v>Vikas Gupta</v>
      </c>
      <c r="E3859" s="158" t="s">
        <v>444</v>
      </c>
      <c r="F3859" s="158" t="str">
        <f>VLOOKUP(Sales[[#This Row],[Product ID]],Product[#All],2,0)</f>
        <v>Dell Desktop</v>
      </c>
      <c r="G3859" s="159">
        <v>3</v>
      </c>
      <c r="H3859" s="160">
        <f>VLOOKUP(Sales[[#This Row],[Product ID]],Product[#All],7,0)</f>
        <v>55730</v>
      </c>
      <c r="I3859" s="160">
        <f>Sales[[#This Row],[Selling Rate]]*Sales[[#This Row],[Qty]]</f>
        <v>167190</v>
      </c>
      <c r="J3859" s="43">
        <v>0.02</v>
      </c>
      <c r="K3859" s="44">
        <f>Sales[[#This Row],[Gross Amount]]*Sales[[#This Row],[Disc %]]</f>
        <v>3343.8</v>
      </c>
      <c r="L3859" s="43">
        <v>0.18</v>
      </c>
      <c r="M3859" s="44">
        <f>(Sales[[#This Row],[Gross Amount]]-Sales[[#This Row],[Disc. Amt.]])*Sales[[#This Row],[GST %]]</f>
        <v>29492.316000000003</v>
      </c>
      <c r="N3859" s="161">
        <f>Sales[[#This Row],[Gross Amount]]-Sales[[#This Row],[Disc. Amt.]]+Sales[[#This Row],[GST Amount]]</f>
        <v>193338.516</v>
      </c>
      <c r="O3859" s="158" t="s">
        <v>8876</v>
      </c>
      <c r="P3859" s="158" t="s">
        <v>3562</v>
      </c>
      <c r="Q3859" s="160">
        <f>IF(Sales[[#This Row],[Status]]="Cancelled",0,Sales[[#This Row],[Qty]])</f>
        <v>3</v>
      </c>
      <c r="R3859" s="161">
        <f>IF(Sales[[#This Row],[Status]]="Cancelled",0,Sales[[#This Row],[Total Amount]])</f>
        <v>193338.516</v>
      </c>
      <c r="S3859" s="162">
        <f>SUM(Sales[Net Amount])</f>
        <v>406839287.73200053</v>
      </c>
    </row>
    <row r="3860" spans="1:19" ht="18.75" x14ac:dyDescent="0.25">
      <c r="A3860" s="163" t="s">
        <v>7532</v>
      </c>
      <c r="B3860" s="164">
        <v>45969</v>
      </c>
      <c r="C3860" s="34" t="s">
        <v>912</v>
      </c>
      <c r="D3860" s="53" t="str">
        <f>VLOOKUP(Sales[[#This Row],[Customer ID]],Customer[#All],2,0)</f>
        <v>Sunita Verma</v>
      </c>
      <c r="E3860" s="34" t="s">
        <v>284</v>
      </c>
      <c r="F3860" s="34" t="str">
        <f>VLOOKUP(Sales[[#This Row],[Product ID]],Product[#All],2,0)</f>
        <v>TP-link Bluetooth Adapter</v>
      </c>
      <c r="G3860" s="53">
        <v>7</v>
      </c>
      <c r="H3860" s="165">
        <f>VLOOKUP(Sales[[#This Row],[Product ID]],Product[#All],7,0)</f>
        <v>1750</v>
      </c>
      <c r="I3860" s="165">
        <f>Sales[[#This Row],[Selling Rate]]*Sales[[#This Row],[Qty]]</f>
        <v>12250</v>
      </c>
      <c r="J3860" s="45">
        <v>0</v>
      </c>
      <c r="K3860" s="46">
        <f>Sales[[#This Row],[Gross Amount]]*Sales[[#This Row],[Disc %]]</f>
        <v>0</v>
      </c>
      <c r="L3860" s="43">
        <v>0.18</v>
      </c>
      <c r="M3860" s="46">
        <f>(Sales[[#This Row],[Gross Amount]]-Sales[[#This Row],[Disc. Amt.]])*Sales[[#This Row],[GST %]]</f>
        <v>2205</v>
      </c>
      <c r="N3860" s="161">
        <f>Sales[[#This Row],[Gross Amount]]-Sales[[#This Row],[Disc. Amt.]]+Sales[[#This Row],[GST Amount]]</f>
        <v>14455</v>
      </c>
      <c r="O3860" s="34" t="s">
        <v>3569</v>
      </c>
      <c r="P3860" s="34" t="s">
        <v>3562</v>
      </c>
      <c r="Q3860" s="165">
        <f>IF(Sales[[#This Row],[Status]]="Cancelled",0,Sales[[#This Row],[Qty]])</f>
        <v>7</v>
      </c>
      <c r="R3860" s="166">
        <f>IF(Sales[[#This Row],[Status]]="Cancelled",0,Sales[[#This Row],[Total Amount]])</f>
        <v>14455</v>
      </c>
      <c r="S3860" s="162">
        <f>SUM(Sales[Net Amount])</f>
        <v>406839287.73200053</v>
      </c>
    </row>
    <row r="3861" spans="1:19" ht="18.75" x14ac:dyDescent="0.25">
      <c r="A3861" s="156" t="s">
        <v>7533</v>
      </c>
      <c r="B3861" s="157">
        <v>45969</v>
      </c>
      <c r="C3861" s="158" t="s">
        <v>778</v>
      </c>
      <c r="D3861" s="159" t="str">
        <f>VLOOKUP(Sales[[#This Row],[Customer ID]],Customer[#All],2,0)</f>
        <v>Ankit Gupta</v>
      </c>
      <c r="E3861" s="158" t="s">
        <v>340</v>
      </c>
      <c r="F3861" s="158" t="str">
        <f>VLOOKUP(Sales[[#This Row],[Product ID]],Product[#All],2,0)</f>
        <v>Amazon Basics Hdmi Cable</v>
      </c>
      <c r="G3861" s="159">
        <v>2</v>
      </c>
      <c r="H3861" s="160">
        <f>VLOOKUP(Sales[[#This Row],[Product ID]],Product[#All],7,0)</f>
        <v>1150</v>
      </c>
      <c r="I3861" s="160">
        <f>Sales[[#This Row],[Selling Rate]]*Sales[[#This Row],[Qty]]</f>
        <v>2300</v>
      </c>
      <c r="J3861" s="43">
        <v>0.02</v>
      </c>
      <c r="K3861" s="44">
        <f>Sales[[#This Row],[Gross Amount]]*Sales[[#This Row],[Disc %]]</f>
        <v>46</v>
      </c>
      <c r="L3861" s="43">
        <v>0.18</v>
      </c>
      <c r="M3861" s="44">
        <f>(Sales[[#This Row],[Gross Amount]]-Sales[[#This Row],[Disc. Amt.]])*Sales[[#This Row],[GST %]]</f>
        <v>405.71999999999997</v>
      </c>
      <c r="N3861" s="161">
        <f>Sales[[#This Row],[Gross Amount]]-Sales[[#This Row],[Disc. Amt.]]+Sales[[#This Row],[GST Amount]]</f>
        <v>2659.72</v>
      </c>
      <c r="O3861" s="158" t="s">
        <v>3566</v>
      </c>
      <c r="P3861" s="158" t="s">
        <v>3562</v>
      </c>
      <c r="Q3861" s="160">
        <f>IF(Sales[[#This Row],[Status]]="Cancelled",0,Sales[[#This Row],[Qty]])</f>
        <v>2</v>
      </c>
      <c r="R3861" s="161">
        <f>IF(Sales[[#This Row],[Status]]="Cancelled",0,Sales[[#This Row],[Total Amount]])</f>
        <v>2659.72</v>
      </c>
      <c r="S3861" s="162">
        <f>SUM(Sales[Net Amount])</f>
        <v>406839287.73200053</v>
      </c>
    </row>
    <row r="3862" spans="1:19" ht="18.75" x14ac:dyDescent="0.25">
      <c r="A3862" s="163" t="s">
        <v>7534</v>
      </c>
      <c r="B3862" s="164">
        <v>45969</v>
      </c>
      <c r="C3862" s="34" t="s">
        <v>781</v>
      </c>
      <c r="D3862" s="53" t="str">
        <f>VLOOKUP(Sales[[#This Row],[Customer ID]],Customer[#All],2,0)</f>
        <v>Vikas Sharma</v>
      </c>
      <c r="E3862" s="34" t="s">
        <v>26</v>
      </c>
      <c r="F3862" s="34" t="str">
        <f>VLOOKUP(Sales[[#This Row],[Product ID]],Product[#All],2,0)</f>
        <v>Lg Monitor</v>
      </c>
      <c r="G3862" s="53">
        <v>3</v>
      </c>
      <c r="H3862" s="165">
        <f>VLOOKUP(Sales[[#This Row],[Product ID]],Product[#All],7,0)</f>
        <v>21600</v>
      </c>
      <c r="I3862" s="165">
        <f>Sales[[#This Row],[Selling Rate]]*Sales[[#This Row],[Qty]]</f>
        <v>64800</v>
      </c>
      <c r="J3862" s="45">
        <v>0.12</v>
      </c>
      <c r="K3862" s="46">
        <f>Sales[[#This Row],[Gross Amount]]*Sales[[#This Row],[Disc %]]</f>
        <v>7776</v>
      </c>
      <c r="L3862" s="43">
        <v>0.18</v>
      </c>
      <c r="M3862" s="46">
        <f>(Sales[[#This Row],[Gross Amount]]-Sales[[#This Row],[Disc. Amt.]])*Sales[[#This Row],[GST %]]</f>
        <v>10264.32</v>
      </c>
      <c r="N3862" s="161">
        <f>Sales[[#This Row],[Gross Amount]]-Sales[[#This Row],[Disc. Amt.]]+Sales[[#This Row],[GST Amount]]</f>
        <v>67288.320000000007</v>
      </c>
      <c r="O3862" s="34" t="s">
        <v>3569</v>
      </c>
      <c r="P3862" s="34" t="s">
        <v>3562</v>
      </c>
      <c r="Q3862" s="165">
        <f>IF(Sales[[#This Row],[Status]]="Cancelled",0,Sales[[#This Row],[Qty]])</f>
        <v>3</v>
      </c>
      <c r="R3862" s="166">
        <f>IF(Sales[[#This Row],[Status]]="Cancelled",0,Sales[[#This Row],[Total Amount]])</f>
        <v>67288.320000000007</v>
      </c>
      <c r="S3862" s="162">
        <f>SUM(Sales[Net Amount])</f>
        <v>406839287.73200053</v>
      </c>
    </row>
    <row r="3863" spans="1:19" ht="18.75" x14ac:dyDescent="0.25">
      <c r="A3863" s="156" t="s">
        <v>7535</v>
      </c>
      <c r="B3863" s="157">
        <v>45969</v>
      </c>
      <c r="C3863" s="158" t="s">
        <v>696</v>
      </c>
      <c r="D3863" s="159" t="str">
        <f>VLOOKUP(Sales[[#This Row],[Customer ID]],Customer[#All],2,0)</f>
        <v>Sunita Verma</v>
      </c>
      <c r="E3863" s="158" t="s">
        <v>28</v>
      </c>
      <c r="F3863" s="158" t="str">
        <f>VLOOKUP(Sales[[#This Row],[Product ID]],Product[#All],2,0)</f>
        <v>Lenovo Laptop</v>
      </c>
      <c r="G3863" s="159">
        <v>5</v>
      </c>
      <c r="H3863" s="160">
        <f>VLOOKUP(Sales[[#This Row],[Product ID]],Product[#All],7,0)</f>
        <v>86330</v>
      </c>
      <c r="I3863" s="160">
        <f>Sales[[#This Row],[Selling Rate]]*Sales[[#This Row],[Qty]]</f>
        <v>431650</v>
      </c>
      <c r="J3863" s="43">
        <v>0.05</v>
      </c>
      <c r="K3863" s="44">
        <f>Sales[[#This Row],[Gross Amount]]*Sales[[#This Row],[Disc %]]</f>
        <v>21582.5</v>
      </c>
      <c r="L3863" s="43">
        <v>0.18</v>
      </c>
      <c r="M3863" s="44">
        <f>(Sales[[#This Row],[Gross Amount]]-Sales[[#This Row],[Disc. Amt.]])*Sales[[#This Row],[GST %]]</f>
        <v>73812.149999999994</v>
      </c>
      <c r="N3863" s="161">
        <f>Sales[[#This Row],[Gross Amount]]-Sales[[#This Row],[Disc. Amt.]]+Sales[[#This Row],[GST Amount]]</f>
        <v>483879.65</v>
      </c>
      <c r="O3863" s="158" t="s">
        <v>3566</v>
      </c>
      <c r="P3863" s="158" t="s">
        <v>3562</v>
      </c>
      <c r="Q3863" s="160">
        <f>IF(Sales[[#This Row],[Status]]="Cancelled",0,Sales[[#This Row],[Qty]])</f>
        <v>5</v>
      </c>
      <c r="R3863" s="161">
        <f>IF(Sales[[#This Row],[Status]]="Cancelled",0,Sales[[#This Row],[Total Amount]])</f>
        <v>483879.65</v>
      </c>
      <c r="S3863" s="162">
        <f>SUM(Sales[Net Amount])</f>
        <v>406839287.73200053</v>
      </c>
    </row>
    <row r="3864" spans="1:19" ht="18.75" x14ac:dyDescent="0.25">
      <c r="A3864" s="163" t="s">
        <v>7536</v>
      </c>
      <c r="B3864" s="164">
        <v>45969</v>
      </c>
      <c r="C3864" s="34" t="s">
        <v>807</v>
      </c>
      <c r="D3864" s="53" t="str">
        <f>VLOOKUP(Sales[[#This Row],[Customer ID]],Customer[#All],2,0)</f>
        <v>Rakesh Patel</v>
      </c>
      <c r="E3864" s="34" t="s">
        <v>206</v>
      </c>
      <c r="F3864" s="34" t="str">
        <f>VLOOKUP(Sales[[#This Row],[Product ID]],Product[#All],2,0)</f>
        <v>Dell Power Adapter</v>
      </c>
      <c r="G3864" s="53">
        <v>2</v>
      </c>
      <c r="H3864" s="165">
        <f>VLOOKUP(Sales[[#This Row],[Product ID]],Product[#All],7,0)</f>
        <v>2490</v>
      </c>
      <c r="I3864" s="165">
        <f>Sales[[#This Row],[Selling Rate]]*Sales[[#This Row],[Qty]]</f>
        <v>4980</v>
      </c>
      <c r="J3864" s="45">
        <v>0.12</v>
      </c>
      <c r="K3864" s="46">
        <f>Sales[[#This Row],[Gross Amount]]*Sales[[#This Row],[Disc %]]</f>
        <v>597.6</v>
      </c>
      <c r="L3864" s="43">
        <v>0.18</v>
      </c>
      <c r="M3864" s="46">
        <f>(Sales[[#This Row],[Gross Amount]]-Sales[[#This Row],[Disc. Amt.]])*Sales[[#This Row],[GST %]]</f>
        <v>788.83199999999988</v>
      </c>
      <c r="N3864" s="161">
        <f>Sales[[#This Row],[Gross Amount]]-Sales[[#This Row],[Disc. Amt.]]+Sales[[#This Row],[GST Amount]]</f>
        <v>5171.232</v>
      </c>
      <c r="O3864" s="34" t="s">
        <v>3566</v>
      </c>
      <c r="P3864" s="34" t="s">
        <v>3562</v>
      </c>
      <c r="Q3864" s="165">
        <f>IF(Sales[[#This Row],[Status]]="Cancelled",0,Sales[[#This Row],[Qty]])</f>
        <v>2</v>
      </c>
      <c r="R3864" s="166">
        <f>IF(Sales[[#This Row],[Status]]="Cancelled",0,Sales[[#This Row],[Total Amount]])</f>
        <v>5171.232</v>
      </c>
      <c r="S3864" s="162">
        <f>SUM(Sales[Net Amount])</f>
        <v>406839287.73200053</v>
      </c>
    </row>
    <row r="3865" spans="1:19" ht="18.75" x14ac:dyDescent="0.25">
      <c r="A3865" s="156" t="s">
        <v>7537</v>
      </c>
      <c r="B3865" s="157">
        <v>45969</v>
      </c>
      <c r="C3865" s="158" t="s">
        <v>883</v>
      </c>
      <c r="D3865" s="159" t="str">
        <f>VLOOKUP(Sales[[#This Row],[Customer ID]],Customer[#All],2,0)</f>
        <v>Rahul Verma</v>
      </c>
      <c r="E3865" s="158" t="s">
        <v>426</v>
      </c>
      <c r="F3865" s="158" t="str">
        <f>VLOOKUP(Sales[[#This Row],[Product ID]],Product[#All],2,0)</f>
        <v>Jbl Speaker</v>
      </c>
      <c r="G3865" s="159">
        <v>1</v>
      </c>
      <c r="H3865" s="160">
        <f>VLOOKUP(Sales[[#This Row],[Product ID]],Product[#All],7,0)</f>
        <v>5260</v>
      </c>
      <c r="I3865" s="160">
        <f>Sales[[#This Row],[Selling Rate]]*Sales[[#This Row],[Qty]]</f>
        <v>5260</v>
      </c>
      <c r="J3865" s="43">
        <v>0.05</v>
      </c>
      <c r="K3865" s="44">
        <f>Sales[[#This Row],[Gross Amount]]*Sales[[#This Row],[Disc %]]</f>
        <v>263</v>
      </c>
      <c r="L3865" s="43">
        <v>0.18</v>
      </c>
      <c r="M3865" s="44">
        <f>(Sales[[#This Row],[Gross Amount]]-Sales[[#This Row],[Disc. Amt.]])*Sales[[#This Row],[GST %]]</f>
        <v>899.45999999999992</v>
      </c>
      <c r="N3865" s="161">
        <f>Sales[[#This Row],[Gross Amount]]-Sales[[#This Row],[Disc. Amt.]]+Sales[[#This Row],[GST Amount]]</f>
        <v>5896.46</v>
      </c>
      <c r="O3865" s="158" t="s">
        <v>8876</v>
      </c>
      <c r="P3865" s="158" t="s">
        <v>3562</v>
      </c>
      <c r="Q3865" s="160">
        <f>IF(Sales[[#This Row],[Status]]="Cancelled",0,Sales[[#This Row],[Qty]])</f>
        <v>1</v>
      </c>
      <c r="R3865" s="161">
        <f>IF(Sales[[#This Row],[Status]]="Cancelled",0,Sales[[#This Row],[Total Amount]])</f>
        <v>5896.46</v>
      </c>
      <c r="S3865" s="162">
        <f>SUM(Sales[Net Amount])</f>
        <v>406839287.73200053</v>
      </c>
    </row>
    <row r="3866" spans="1:19" ht="18.75" x14ac:dyDescent="0.25">
      <c r="A3866" s="163" t="s">
        <v>7538</v>
      </c>
      <c r="B3866" s="164">
        <v>45969</v>
      </c>
      <c r="C3866" s="34" t="s">
        <v>794</v>
      </c>
      <c r="D3866" s="53" t="str">
        <f>VLOOKUP(Sales[[#This Row],[Customer ID]],Customer[#All],2,0)</f>
        <v>Sunita Sharma</v>
      </c>
      <c r="E3866" s="34" t="s">
        <v>463</v>
      </c>
      <c r="F3866" s="34" t="str">
        <f>VLOOKUP(Sales[[#This Row],[Product ID]],Product[#All],2,0)</f>
        <v>Apc UPS</v>
      </c>
      <c r="G3866" s="53">
        <v>8</v>
      </c>
      <c r="H3866" s="165">
        <f>VLOOKUP(Sales[[#This Row],[Product ID]],Product[#All],7,0)</f>
        <v>10050</v>
      </c>
      <c r="I3866" s="165">
        <f>Sales[[#This Row],[Selling Rate]]*Sales[[#This Row],[Qty]]</f>
        <v>80400</v>
      </c>
      <c r="J3866" s="45">
        <v>0</v>
      </c>
      <c r="K3866" s="46">
        <f>Sales[[#This Row],[Gross Amount]]*Sales[[#This Row],[Disc %]]</f>
        <v>0</v>
      </c>
      <c r="L3866" s="43">
        <v>0.18</v>
      </c>
      <c r="M3866" s="46">
        <f>(Sales[[#This Row],[Gross Amount]]-Sales[[#This Row],[Disc. Amt.]])*Sales[[#This Row],[GST %]]</f>
        <v>14472</v>
      </c>
      <c r="N3866" s="161">
        <f>Sales[[#This Row],[Gross Amount]]-Sales[[#This Row],[Disc. Amt.]]+Sales[[#This Row],[GST Amount]]</f>
        <v>94872</v>
      </c>
      <c r="O3866" s="34" t="s">
        <v>3569</v>
      </c>
      <c r="P3866" s="34" t="s">
        <v>3562</v>
      </c>
      <c r="Q3866" s="165">
        <f>IF(Sales[[#This Row],[Status]]="Cancelled",0,Sales[[#This Row],[Qty]])</f>
        <v>8</v>
      </c>
      <c r="R3866" s="166">
        <f>IF(Sales[[#This Row],[Status]]="Cancelled",0,Sales[[#This Row],[Total Amount]])</f>
        <v>94872</v>
      </c>
      <c r="S3866" s="162">
        <f>SUM(Sales[Net Amount])</f>
        <v>406839287.73200053</v>
      </c>
    </row>
    <row r="3867" spans="1:19" ht="18.75" x14ac:dyDescent="0.25">
      <c r="A3867" s="156" t="s">
        <v>7539</v>
      </c>
      <c r="B3867" s="157">
        <v>45969</v>
      </c>
      <c r="C3867" s="158" t="s">
        <v>940</v>
      </c>
      <c r="D3867" s="159" t="str">
        <f>VLOOKUP(Sales[[#This Row],[Customer ID]],Customer[#All],2,0)</f>
        <v>Rakesh Sharma</v>
      </c>
      <c r="E3867" s="158" t="s">
        <v>148</v>
      </c>
      <c r="F3867" s="158" t="str">
        <f>VLOOKUP(Sales[[#This Row],[Product ID]],Product[#All],2,0)</f>
        <v>Dell Monitor</v>
      </c>
      <c r="G3867" s="159">
        <v>6</v>
      </c>
      <c r="H3867" s="160">
        <f>VLOOKUP(Sales[[#This Row],[Product ID]],Product[#All],7,0)</f>
        <v>20170</v>
      </c>
      <c r="I3867" s="160">
        <f>Sales[[#This Row],[Selling Rate]]*Sales[[#This Row],[Qty]]</f>
        <v>121020</v>
      </c>
      <c r="J3867" s="43">
        <v>0</v>
      </c>
      <c r="K3867" s="44">
        <f>Sales[[#This Row],[Gross Amount]]*Sales[[#This Row],[Disc %]]</f>
        <v>0</v>
      </c>
      <c r="L3867" s="43">
        <v>0.18</v>
      </c>
      <c r="M3867" s="44">
        <f>(Sales[[#This Row],[Gross Amount]]-Sales[[#This Row],[Disc. Amt.]])*Sales[[#This Row],[GST %]]</f>
        <v>21783.599999999999</v>
      </c>
      <c r="N3867" s="161">
        <f>Sales[[#This Row],[Gross Amount]]-Sales[[#This Row],[Disc. Amt.]]+Sales[[#This Row],[GST Amount]]</f>
        <v>142803.6</v>
      </c>
      <c r="O3867" s="158" t="s">
        <v>3569</v>
      </c>
      <c r="P3867" s="158" t="s">
        <v>3562</v>
      </c>
      <c r="Q3867" s="160">
        <f>IF(Sales[[#This Row],[Status]]="Cancelled",0,Sales[[#This Row],[Qty]])</f>
        <v>6</v>
      </c>
      <c r="R3867" s="161">
        <f>IF(Sales[[#This Row],[Status]]="Cancelled",0,Sales[[#This Row],[Total Amount]])</f>
        <v>142803.6</v>
      </c>
      <c r="S3867" s="162">
        <f>SUM(Sales[Net Amount])</f>
        <v>406839287.73200053</v>
      </c>
    </row>
    <row r="3868" spans="1:19" ht="18.75" x14ac:dyDescent="0.25">
      <c r="A3868" s="163" t="s">
        <v>7540</v>
      </c>
      <c r="B3868" s="164">
        <v>45969</v>
      </c>
      <c r="C3868" s="34" t="s">
        <v>730</v>
      </c>
      <c r="D3868" s="53" t="str">
        <f>VLOOKUP(Sales[[#This Row],[Customer ID]],Customer[#All],2,0)</f>
        <v>Neha Verma</v>
      </c>
      <c r="E3868" s="34" t="s">
        <v>465</v>
      </c>
      <c r="F3868" s="34" t="str">
        <f>VLOOKUP(Sales[[#This Row],[Product ID]],Product[#All],2,0)</f>
        <v>Logitech Keyboard</v>
      </c>
      <c r="G3868" s="53">
        <v>4</v>
      </c>
      <c r="H3868" s="165">
        <f>VLOOKUP(Sales[[#This Row],[Product ID]],Product[#All],7,0)</f>
        <v>2230</v>
      </c>
      <c r="I3868" s="165">
        <f>Sales[[#This Row],[Selling Rate]]*Sales[[#This Row],[Qty]]</f>
        <v>8920</v>
      </c>
      <c r="J3868" s="45">
        <v>0.02</v>
      </c>
      <c r="K3868" s="46">
        <f>Sales[[#This Row],[Gross Amount]]*Sales[[#This Row],[Disc %]]</f>
        <v>178.4</v>
      </c>
      <c r="L3868" s="43">
        <v>0.18</v>
      </c>
      <c r="M3868" s="46">
        <f>(Sales[[#This Row],[Gross Amount]]-Sales[[#This Row],[Disc. Amt.]])*Sales[[#This Row],[GST %]]</f>
        <v>1573.4880000000001</v>
      </c>
      <c r="N3868" s="161">
        <f>Sales[[#This Row],[Gross Amount]]-Sales[[#This Row],[Disc. Amt.]]+Sales[[#This Row],[GST Amount]]</f>
        <v>10315.088</v>
      </c>
      <c r="O3868" s="34" t="s">
        <v>3561</v>
      </c>
      <c r="P3868" s="34" t="s">
        <v>3562</v>
      </c>
      <c r="Q3868" s="165">
        <f>IF(Sales[[#This Row],[Status]]="Cancelled",0,Sales[[#This Row],[Qty]])</f>
        <v>4</v>
      </c>
      <c r="R3868" s="166">
        <f>IF(Sales[[#This Row],[Status]]="Cancelled",0,Sales[[#This Row],[Total Amount]])</f>
        <v>10315.088</v>
      </c>
      <c r="S3868" s="162">
        <f>SUM(Sales[Net Amount])</f>
        <v>406839287.73200053</v>
      </c>
    </row>
    <row r="3869" spans="1:19" ht="18.75" x14ac:dyDescent="0.25">
      <c r="A3869" s="156" t="s">
        <v>7541</v>
      </c>
      <c r="B3869" s="157">
        <v>45969</v>
      </c>
      <c r="C3869" s="158" t="s">
        <v>835</v>
      </c>
      <c r="D3869" s="159" t="str">
        <f>VLOOKUP(Sales[[#This Row],[Customer ID]],Customer[#All],2,0)</f>
        <v>Ankit Kumar</v>
      </c>
      <c r="E3869" s="158" t="s">
        <v>228</v>
      </c>
      <c r="F3869" s="158" t="str">
        <f>VLOOKUP(Sales[[#This Row],[Product ID]],Product[#All],2,0)</f>
        <v>Samsung Monitor</v>
      </c>
      <c r="G3869" s="159">
        <v>2</v>
      </c>
      <c r="H3869" s="160">
        <f>VLOOKUP(Sales[[#This Row],[Product ID]],Product[#All],7,0)</f>
        <v>29600</v>
      </c>
      <c r="I3869" s="160">
        <f>Sales[[#This Row],[Selling Rate]]*Sales[[#This Row],[Qty]]</f>
        <v>59200</v>
      </c>
      <c r="J3869" s="43">
        <v>0.02</v>
      </c>
      <c r="K3869" s="44">
        <f>Sales[[#This Row],[Gross Amount]]*Sales[[#This Row],[Disc %]]</f>
        <v>1184</v>
      </c>
      <c r="L3869" s="43">
        <v>0.18</v>
      </c>
      <c r="M3869" s="44">
        <f>(Sales[[#This Row],[Gross Amount]]-Sales[[#This Row],[Disc. Amt.]])*Sales[[#This Row],[GST %]]</f>
        <v>10442.879999999999</v>
      </c>
      <c r="N3869" s="161">
        <f>Sales[[#This Row],[Gross Amount]]-Sales[[#This Row],[Disc. Amt.]]+Sales[[#This Row],[GST Amount]]</f>
        <v>68458.880000000005</v>
      </c>
      <c r="O3869" s="158" t="s">
        <v>8876</v>
      </c>
      <c r="P3869" s="158" t="s">
        <v>3562</v>
      </c>
      <c r="Q3869" s="160">
        <f>IF(Sales[[#This Row],[Status]]="Cancelled",0,Sales[[#This Row],[Qty]])</f>
        <v>2</v>
      </c>
      <c r="R3869" s="161">
        <f>IF(Sales[[#This Row],[Status]]="Cancelled",0,Sales[[#This Row],[Total Amount]])</f>
        <v>68458.880000000005</v>
      </c>
      <c r="S3869" s="162">
        <f>SUM(Sales[Net Amount])</f>
        <v>406839287.73200053</v>
      </c>
    </row>
    <row r="3870" spans="1:19" ht="18.75" x14ac:dyDescent="0.25">
      <c r="A3870" s="163" t="s">
        <v>7542</v>
      </c>
      <c r="B3870" s="164">
        <v>45969</v>
      </c>
      <c r="C3870" s="34" t="s">
        <v>810</v>
      </c>
      <c r="D3870" s="53" t="str">
        <f>VLOOKUP(Sales[[#This Row],[Customer ID]],Customer[#All],2,0)</f>
        <v>Rahul Gupta</v>
      </c>
      <c r="E3870" s="34" t="s">
        <v>226</v>
      </c>
      <c r="F3870" s="34" t="str">
        <f>VLOOKUP(Sales[[#This Row],[Product ID]],Product[#All],2,0)</f>
        <v>Jbl Speaker</v>
      </c>
      <c r="G3870" s="53">
        <v>3</v>
      </c>
      <c r="H3870" s="165">
        <f>VLOOKUP(Sales[[#This Row],[Product ID]],Product[#All],7,0)</f>
        <v>5020</v>
      </c>
      <c r="I3870" s="165">
        <f>Sales[[#This Row],[Selling Rate]]*Sales[[#This Row],[Qty]]</f>
        <v>15060</v>
      </c>
      <c r="J3870" s="45">
        <v>0.1</v>
      </c>
      <c r="K3870" s="46">
        <f>Sales[[#This Row],[Gross Amount]]*Sales[[#This Row],[Disc %]]</f>
        <v>1506</v>
      </c>
      <c r="L3870" s="43">
        <v>0.18</v>
      </c>
      <c r="M3870" s="46">
        <f>(Sales[[#This Row],[Gross Amount]]-Sales[[#This Row],[Disc. Amt.]])*Sales[[#This Row],[GST %]]</f>
        <v>2439.7199999999998</v>
      </c>
      <c r="N3870" s="161">
        <f>Sales[[#This Row],[Gross Amount]]-Sales[[#This Row],[Disc. Amt.]]+Sales[[#This Row],[GST Amount]]</f>
        <v>15993.72</v>
      </c>
      <c r="O3870" s="34" t="s">
        <v>3569</v>
      </c>
      <c r="P3870" s="34" t="s">
        <v>3562</v>
      </c>
      <c r="Q3870" s="165">
        <f>IF(Sales[[#This Row],[Status]]="Cancelled",0,Sales[[#This Row],[Qty]])</f>
        <v>3</v>
      </c>
      <c r="R3870" s="166">
        <f>IF(Sales[[#This Row],[Status]]="Cancelled",0,Sales[[#This Row],[Total Amount]])</f>
        <v>15993.72</v>
      </c>
      <c r="S3870" s="162">
        <f>SUM(Sales[Net Amount])</f>
        <v>406839287.73200053</v>
      </c>
    </row>
    <row r="3871" spans="1:19" ht="18.75" x14ac:dyDescent="0.25">
      <c r="A3871" s="156" t="s">
        <v>7543</v>
      </c>
      <c r="B3871" s="157">
        <v>45969</v>
      </c>
      <c r="C3871" s="158" t="s">
        <v>777</v>
      </c>
      <c r="D3871" s="159" t="str">
        <f>VLOOKUP(Sales[[#This Row],[Customer ID]],Customer[#All],2,0)</f>
        <v>Neha Sharma</v>
      </c>
      <c r="E3871" s="158" t="s">
        <v>33</v>
      </c>
      <c r="F3871" s="158" t="str">
        <f>VLOOKUP(Sales[[#This Row],[Product ID]],Product[#All],2,0)</f>
        <v>Samsung Monitor</v>
      </c>
      <c r="G3871" s="159">
        <v>8</v>
      </c>
      <c r="H3871" s="160">
        <f>VLOOKUP(Sales[[#This Row],[Product ID]],Product[#All],7,0)</f>
        <v>9840</v>
      </c>
      <c r="I3871" s="160">
        <f>Sales[[#This Row],[Selling Rate]]*Sales[[#This Row],[Qty]]</f>
        <v>78720</v>
      </c>
      <c r="J3871" s="43">
        <v>0.02</v>
      </c>
      <c r="K3871" s="44">
        <f>Sales[[#This Row],[Gross Amount]]*Sales[[#This Row],[Disc %]]</f>
        <v>1574.4</v>
      </c>
      <c r="L3871" s="43">
        <v>0.18</v>
      </c>
      <c r="M3871" s="44">
        <f>(Sales[[#This Row],[Gross Amount]]-Sales[[#This Row],[Disc. Amt.]])*Sales[[#This Row],[GST %]]</f>
        <v>13886.208000000001</v>
      </c>
      <c r="N3871" s="161">
        <f>Sales[[#This Row],[Gross Amount]]-Sales[[#This Row],[Disc. Amt.]]+Sales[[#This Row],[GST Amount]]</f>
        <v>91031.808000000005</v>
      </c>
      <c r="O3871" s="158" t="s">
        <v>3569</v>
      </c>
      <c r="P3871" s="158" t="s">
        <v>3562</v>
      </c>
      <c r="Q3871" s="160">
        <f>IF(Sales[[#This Row],[Status]]="Cancelled",0,Sales[[#This Row],[Qty]])</f>
        <v>8</v>
      </c>
      <c r="R3871" s="161">
        <f>IF(Sales[[#This Row],[Status]]="Cancelled",0,Sales[[#This Row],[Total Amount]])</f>
        <v>91031.808000000005</v>
      </c>
      <c r="S3871" s="162">
        <f>SUM(Sales[Net Amount])</f>
        <v>406839287.73200053</v>
      </c>
    </row>
    <row r="3872" spans="1:19" ht="18.75" x14ac:dyDescent="0.25">
      <c r="A3872" s="163" t="s">
        <v>7544</v>
      </c>
      <c r="B3872" s="164">
        <v>45969</v>
      </c>
      <c r="C3872" s="34" t="s">
        <v>693</v>
      </c>
      <c r="D3872" s="53" t="str">
        <f>VLOOKUP(Sales[[#This Row],[Customer ID]],Customer[#All],2,0)</f>
        <v>Rahul Gupta</v>
      </c>
      <c r="E3872" s="34" t="s">
        <v>178</v>
      </c>
      <c r="F3872" s="34" t="str">
        <f>VLOOKUP(Sales[[#This Row],[Product ID]],Product[#All],2,0)</f>
        <v>Kingston Ram</v>
      </c>
      <c r="G3872" s="53">
        <v>7</v>
      </c>
      <c r="H3872" s="165">
        <f>VLOOKUP(Sales[[#This Row],[Product ID]],Product[#All],7,0)</f>
        <v>9770</v>
      </c>
      <c r="I3872" s="165">
        <f>Sales[[#This Row],[Selling Rate]]*Sales[[#This Row],[Qty]]</f>
        <v>68390</v>
      </c>
      <c r="J3872" s="45">
        <v>0</v>
      </c>
      <c r="K3872" s="46">
        <f>Sales[[#This Row],[Gross Amount]]*Sales[[#This Row],[Disc %]]</f>
        <v>0</v>
      </c>
      <c r="L3872" s="43">
        <v>0.18</v>
      </c>
      <c r="M3872" s="46">
        <f>(Sales[[#This Row],[Gross Amount]]-Sales[[#This Row],[Disc. Amt.]])*Sales[[#This Row],[GST %]]</f>
        <v>12310.199999999999</v>
      </c>
      <c r="N3872" s="161">
        <f>Sales[[#This Row],[Gross Amount]]-Sales[[#This Row],[Disc. Amt.]]+Sales[[#This Row],[GST Amount]]</f>
        <v>80700.2</v>
      </c>
      <c r="O3872" s="34" t="s">
        <v>3561</v>
      </c>
      <c r="P3872" s="34" t="s">
        <v>3562</v>
      </c>
      <c r="Q3872" s="165">
        <f>IF(Sales[[#This Row],[Status]]="Cancelled",0,Sales[[#This Row],[Qty]])</f>
        <v>7</v>
      </c>
      <c r="R3872" s="166">
        <f>IF(Sales[[#This Row],[Status]]="Cancelled",0,Sales[[#This Row],[Total Amount]])</f>
        <v>80700.2</v>
      </c>
      <c r="S3872" s="162">
        <f>SUM(Sales[Net Amount])</f>
        <v>406839287.73200053</v>
      </c>
    </row>
    <row r="3873" spans="1:19" ht="18.75" x14ac:dyDescent="0.25">
      <c r="A3873" s="156" t="s">
        <v>7545</v>
      </c>
      <c r="B3873" s="157">
        <v>45969</v>
      </c>
      <c r="C3873" s="158" t="s">
        <v>744</v>
      </c>
      <c r="D3873" s="159" t="str">
        <f>VLOOKUP(Sales[[#This Row],[Customer ID]],Customer[#All],2,0)</f>
        <v>Rakesh Patel</v>
      </c>
      <c r="E3873" s="158" t="s">
        <v>238</v>
      </c>
      <c r="F3873" s="158" t="str">
        <f>VLOOKUP(Sales[[#This Row],[Product ID]],Product[#All],2,0)</f>
        <v>Samsung Monitor</v>
      </c>
      <c r="G3873" s="159">
        <v>6</v>
      </c>
      <c r="H3873" s="160">
        <f>VLOOKUP(Sales[[#This Row],[Product ID]],Product[#All],7,0)</f>
        <v>8180</v>
      </c>
      <c r="I3873" s="160">
        <f>Sales[[#This Row],[Selling Rate]]*Sales[[#This Row],[Qty]]</f>
        <v>49080</v>
      </c>
      <c r="J3873" s="43">
        <v>0.12</v>
      </c>
      <c r="K3873" s="44">
        <f>Sales[[#This Row],[Gross Amount]]*Sales[[#This Row],[Disc %]]</f>
        <v>5889.5999999999995</v>
      </c>
      <c r="L3873" s="43">
        <v>0.18</v>
      </c>
      <c r="M3873" s="44">
        <f>(Sales[[#This Row],[Gross Amount]]-Sales[[#This Row],[Disc. Amt.]])*Sales[[#This Row],[GST %]]</f>
        <v>7774.2719999999999</v>
      </c>
      <c r="N3873" s="161">
        <f>Sales[[#This Row],[Gross Amount]]-Sales[[#This Row],[Disc. Amt.]]+Sales[[#This Row],[GST Amount]]</f>
        <v>50964.671999999999</v>
      </c>
      <c r="O3873" s="158" t="s">
        <v>8876</v>
      </c>
      <c r="P3873" s="158" t="s">
        <v>3562</v>
      </c>
      <c r="Q3873" s="160">
        <f>IF(Sales[[#This Row],[Status]]="Cancelled",0,Sales[[#This Row],[Qty]])</f>
        <v>6</v>
      </c>
      <c r="R3873" s="161">
        <f>IF(Sales[[#This Row],[Status]]="Cancelled",0,Sales[[#This Row],[Total Amount]])</f>
        <v>50964.671999999999</v>
      </c>
      <c r="S3873" s="162">
        <f>SUM(Sales[Net Amount])</f>
        <v>406839287.73200053</v>
      </c>
    </row>
    <row r="3874" spans="1:19" ht="18.75" x14ac:dyDescent="0.25">
      <c r="A3874" s="163" t="s">
        <v>7546</v>
      </c>
      <c r="B3874" s="164">
        <v>45969</v>
      </c>
      <c r="C3874" s="34" t="s">
        <v>714</v>
      </c>
      <c r="D3874" s="53" t="str">
        <f>VLOOKUP(Sales[[#This Row],[Customer ID]],Customer[#All],2,0)</f>
        <v>Rakesh Kumar</v>
      </c>
      <c r="E3874" s="34" t="s">
        <v>421</v>
      </c>
      <c r="F3874" s="34" t="str">
        <f>VLOOKUP(Sales[[#This Row],[Product ID]],Product[#All],2,0)</f>
        <v>Portronics USB Cable</v>
      </c>
      <c r="G3874" s="53">
        <v>7</v>
      </c>
      <c r="H3874" s="165">
        <f>VLOOKUP(Sales[[#This Row],[Product ID]],Product[#All],7,0)</f>
        <v>270</v>
      </c>
      <c r="I3874" s="165">
        <f>Sales[[#This Row],[Selling Rate]]*Sales[[#This Row],[Qty]]</f>
        <v>1890</v>
      </c>
      <c r="J3874" s="45">
        <v>0</v>
      </c>
      <c r="K3874" s="46">
        <f>Sales[[#This Row],[Gross Amount]]*Sales[[#This Row],[Disc %]]</f>
        <v>0</v>
      </c>
      <c r="L3874" s="43">
        <v>0.18</v>
      </c>
      <c r="M3874" s="46">
        <f>(Sales[[#This Row],[Gross Amount]]-Sales[[#This Row],[Disc. Amt.]])*Sales[[#This Row],[GST %]]</f>
        <v>340.2</v>
      </c>
      <c r="N3874" s="161">
        <f>Sales[[#This Row],[Gross Amount]]-Sales[[#This Row],[Disc. Amt.]]+Sales[[#This Row],[GST Amount]]</f>
        <v>2230.1999999999998</v>
      </c>
      <c r="O3874" s="34" t="s">
        <v>8876</v>
      </c>
      <c r="P3874" s="34" t="s">
        <v>3562</v>
      </c>
      <c r="Q3874" s="165">
        <f>IF(Sales[[#This Row],[Status]]="Cancelled",0,Sales[[#This Row],[Qty]])</f>
        <v>7</v>
      </c>
      <c r="R3874" s="166">
        <f>IF(Sales[[#This Row],[Status]]="Cancelled",0,Sales[[#This Row],[Total Amount]])</f>
        <v>2230.1999999999998</v>
      </c>
      <c r="S3874" s="162">
        <f>SUM(Sales[Net Amount])</f>
        <v>406839287.73200053</v>
      </c>
    </row>
    <row r="3875" spans="1:19" ht="18.75" x14ac:dyDescent="0.25">
      <c r="A3875" s="156" t="s">
        <v>7547</v>
      </c>
      <c r="B3875" s="157">
        <v>45969</v>
      </c>
      <c r="C3875" s="158" t="s">
        <v>7548</v>
      </c>
      <c r="D3875" s="159" t="str">
        <f>VLOOKUP(Sales[[#This Row],[Customer ID]],Customer[#All],2,0)</f>
        <v>Sunita Gupta</v>
      </c>
      <c r="E3875" s="158" t="s">
        <v>210</v>
      </c>
      <c r="F3875" s="158" t="str">
        <f>VLOOKUP(Sales[[#This Row],[Product ID]],Product[#All],2,0)</f>
        <v>Jbl Headset</v>
      </c>
      <c r="G3875" s="159">
        <v>8</v>
      </c>
      <c r="H3875" s="160">
        <f>VLOOKUP(Sales[[#This Row],[Product ID]],Product[#All],7,0)</f>
        <v>1130</v>
      </c>
      <c r="I3875" s="160">
        <f>Sales[[#This Row],[Selling Rate]]*Sales[[#This Row],[Qty]]</f>
        <v>9040</v>
      </c>
      <c r="J3875" s="43">
        <v>0.1</v>
      </c>
      <c r="K3875" s="44">
        <f>Sales[[#This Row],[Gross Amount]]*Sales[[#This Row],[Disc %]]</f>
        <v>904</v>
      </c>
      <c r="L3875" s="43">
        <v>0.18</v>
      </c>
      <c r="M3875" s="44">
        <f>(Sales[[#This Row],[Gross Amount]]-Sales[[#This Row],[Disc. Amt.]])*Sales[[#This Row],[GST %]]</f>
        <v>1464.48</v>
      </c>
      <c r="N3875" s="161">
        <f>Sales[[#This Row],[Gross Amount]]-Sales[[#This Row],[Disc. Amt.]]+Sales[[#This Row],[GST Amount]]</f>
        <v>9600.48</v>
      </c>
      <c r="O3875" s="158" t="s">
        <v>3569</v>
      </c>
      <c r="P3875" s="158" t="s">
        <v>3562</v>
      </c>
      <c r="Q3875" s="160">
        <f>IF(Sales[[#This Row],[Status]]="Cancelled",0,Sales[[#This Row],[Qty]])</f>
        <v>8</v>
      </c>
      <c r="R3875" s="161">
        <f>IF(Sales[[#This Row],[Status]]="Cancelled",0,Sales[[#This Row],[Total Amount]])</f>
        <v>9600.48</v>
      </c>
      <c r="S3875" s="162">
        <f>SUM(Sales[Net Amount])</f>
        <v>406839287.73200053</v>
      </c>
    </row>
    <row r="3876" spans="1:19" ht="18.75" x14ac:dyDescent="0.25">
      <c r="A3876" s="163" t="s">
        <v>7549</v>
      </c>
      <c r="B3876" s="164">
        <v>45969</v>
      </c>
      <c r="C3876" s="34" t="s">
        <v>831</v>
      </c>
      <c r="D3876" s="53" t="str">
        <f>VLOOKUP(Sales[[#This Row],[Customer ID]],Customer[#All],2,0)</f>
        <v>Vikas Gupta</v>
      </c>
      <c r="E3876" s="34" t="s">
        <v>131</v>
      </c>
      <c r="F3876" s="34" t="str">
        <f>VLOOKUP(Sales[[#This Row],[Product ID]],Product[#All],2,0)</f>
        <v>HP Power Adapter</v>
      </c>
      <c r="G3876" s="53">
        <v>3</v>
      </c>
      <c r="H3876" s="165">
        <f>VLOOKUP(Sales[[#This Row],[Product ID]],Product[#All],7,0)</f>
        <v>2540</v>
      </c>
      <c r="I3876" s="165">
        <f>Sales[[#This Row],[Selling Rate]]*Sales[[#This Row],[Qty]]</f>
        <v>7620</v>
      </c>
      <c r="J3876" s="45">
        <v>0.02</v>
      </c>
      <c r="K3876" s="46">
        <f>Sales[[#This Row],[Gross Amount]]*Sales[[#This Row],[Disc %]]</f>
        <v>152.4</v>
      </c>
      <c r="L3876" s="43">
        <v>0.18</v>
      </c>
      <c r="M3876" s="46">
        <f>(Sales[[#This Row],[Gross Amount]]-Sales[[#This Row],[Disc. Amt.]])*Sales[[#This Row],[GST %]]</f>
        <v>1344.1680000000001</v>
      </c>
      <c r="N3876" s="161">
        <f>Sales[[#This Row],[Gross Amount]]-Sales[[#This Row],[Disc. Amt.]]+Sales[[#This Row],[GST Amount]]</f>
        <v>8811.768</v>
      </c>
      <c r="O3876" s="34" t="s">
        <v>3561</v>
      </c>
      <c r="P3876" s="34" t="s">
        <v>3562</v>
      </c>
      <c r="Q3876" s="165">
        <f>IF(Sales[[#This Row],[Status]]="Cancelled",0,Sales[[#This Row],[Qty]])</f>
        <v>3</v>
      </c>
      <c r="R3876" s="166">
        <f>IF(Sales[[#This Row],[Status]]="Cancelled",0,Sales[[#This Row],[Total Amount]])</f>
        <v>8811.768</v>
      </c>
      <c r="S3876" s="162">
        <f>SUM(Sales[Net Amount])</f>
        <v>406839287.73200053</v>
      </c>
    </row>
    <row r="3877" spans="1:19" ht="18.75" x14ac:dyDescent="0.25">
      <c r="A3877" s="156" t="s">
        <v>7550</v>
      </c>
      <c r="B3877" s="157">
        <v>45969</v>
      </c>
      <c r="C3877" s="158" t="s">
        <v>820</v>
      </c>
      <c r="D3877" s="159" t="str">
        <f>VLOOKUP(Sales[[#This Row],[Customer ID]],Customer[#All],2,0)</f>
        <v>Sahil Gupta</v>
      </c>
      <c r="E3877" s="158" t="s">
        <v>164</v>
      </c>
      <c r="F3877" s="158" t="str">
        <f>VLOOKUP(Sales[[#This Row],[Product ID]],Product[#All],2,0)</f>
        <v>Jbl Headset</v>
      </c>
      <c r="G3877" s="159">
        <v>1</v>
      </c>
      <c r="H3877" s="160">
        <f>VLOOKUP(Sales[[#This Row],[Product ID]],Product[#All],7,0)</f>
        <v>3360</v>
      </c>
      <c r="I3877" s="160">
        <f>Sales[[#This Row],[Selling Rate]]*Sales[[#This Row],[Qty]]</f>
        <v>3360</v>
      </c>
      <c r="J3877" s="43">
        <v>0.12</v>
      </c>
      <c r="K3877" s="44">
        <f>Sales[[#This Row],[Gross Amount]]*Sales[[#This Row],[Disc %]]</f>
        <v>403.2</v>
      </c>
      <c r="L3877" s="43">
        <v>0.18</v>
      </c>
      <c r="M3877" s="44">
        <f>(Sales[[#This Row],[Gross Amount]]-Sales[[#This Row],[Disc. Amt.]])*Sales[[#This Row],[GST %]]</f>
        <v>532.22400000000005</v>
      </c>
      <c r="N3877" s="161">
        <f>Sales[[#This Row],[Gross Amount]]-Sales[[#This Row],[Disc. Amt.]]+Sales[[#This Row],[GST Amount]]</f>
        <v>3489.0240000000003</v>
      </c>
      <c r="O3877" s="158" t="s">
        <v>3569</v>
      </c>
      <c r="P3877" s="158" t="s">
        <v>3562</v>
      </c>
      <c r="Q3877" s="160">
        <f>IF(Sales[[#This Row],[Status]]="Cancelled",0,Sales[[#This Row],[Qty]])</f>
        <v>1</v>
      </c>
      <c r="R3877" s="161">
        <f>IF(Sales[[#This Row],[Status]]="Cancelled",0,Sales[[#This Row],[Total Amount]])</f>
        <v>3489.0240000000003</v>
      </c>
      <c r="S3877" s="162">
        <f>SUM(Sales[Net Amount])</f>
        <v>406839287.73200053</v>
      </c>
    </row>
    <row r="3878" spans="1:19" ht="18.75" x14ac:dyDescent="0.25">
      <c r="A3878" s="163" t="s">
        <v>7551</v>
      </c>
      <c r="B3878" s="164">
        <v>45969</v>
      </c>
      <c r="C3878" s="34" t="s">
        <v>768</v>
      </c>
      <c r="D3878" s="53" t="str">
        <f>VLOOKUP(Sales[[#This Row],[Customer ID]],Customer[#All],2,0)</f>
        <v>Priya Kumar</v>
      </c>
      <c r="E3878" s="34" t="s">
        <v>449</v>
      </c>
      <c r="F3878" s="34" t="str">
        <f>VLOOKUP(Sales[[#This Row],[Product ID]],Product[#All],2,0)</f>
        <v>Dell Monitor</v>
      </c>
      <c r="G3878" s="53">
        <v>1</v>
      </c>
      <c r="H3878" s="165">
        <f>VLOOKUP(Sales[[#This Row],[Product ID]],Product[#All],7,0)</f>
        <v>19520</v>
      </c>
      <c r="I3878" s="165">
        <f>Sales[[#This Row],[Selling Rate]]*Sales[[#This Row],[Qty]]</f>
        <v>19520</v>
      </c>
      <c r="J3878" s="45">
        <v>0.02</v>
      </c>
      <c r="K3878" s="46">
        <f>Sales[[#This Row],[Gross Amount]]*Sales[[#This Row],[Disc %]]</f>
        <v>390.40000000000003</v>
      </c>
      <c r="L3878" s="43">
        <v>0.18</v>
      </c>
      <c r="M3878" s="46">
        <f>(Sales[[#This Row],[Gross Amount]]-Sales[[#This Row],[Disc. Amt.]])*Sales[[#This Row],[GST %]]</f>
        <v>3443.3279999999995</v>
      </c>
      <c r="N3878" s="161">
        <f>Sales[[#This Row],[Gross Amount]]-Sales[[#This Row],[Disc. Amt.]]+Sales[[#This Row],[GST Amount]]</f>
        <v>22572.928</v>
      </c>
      <c r="O3878" s="34" t="s">
        <v>3569</v>
      </c>
      <c r="P3878" s="34" t="s">
        <v>3562</v>
      </c>
      <c r="Q3878" s="165">
        <f>IF(Sales[[#This Row],[Status]]="Cancelled",0,Sales[[#This Row],[Qty]])</f>
        <v>1</v>
      </c>
      <c r="R3878" s="166">
        <f>IF(Sales[[#This Row],[Status]]="Cancelled",0,Sales[[#This Row],[Total Amount]])</f>
        <v>22572.928</v>
      </c>
      <c r="S3878" s="162">
        <f>SUM(Sales[Net Amount])</f>
        <v>406839287.73200053</v>
      </c>
    </row>
    <row r="3879" spans="1:19" ht="18.75" x14ac:dyDescent="0.25">
      <c r="A3879" s="156" t="s">
        <v>7552</v>
      </c>
      <c r="B3879" s="157">
        <v>45970</v>
      </c>
      <c r="C3879" s="158" t="s">
        <v>780</v>
      </c>
      <c r="D3879" s="159" t="str">
        <f>VLOOKUP(Sales[[#This Row],[Customer ID]],Customer[#All],2,0)</f>
        <v>Sahil Gupta</v>
      </c>
      <c r="E3879" s="158" t="s">
        <v>497</v>
      </c>
      <c r="F3879" s="158" t="str">
        <f>VLOOKUP(Sales[[#This Row],[Product ID]],Product[#All],2,0)</f>
        <v>Boat Headset</v>
      </c>
      <c r="G3879" s="159">
        <v>4</v>
      </c>
      <c r="H3879" s="160">
        <f>VLOOKUP(Sales[[#This Row],[Product ID]],Product[#All],7,0)</f>
        <v>4930</v>
      </c>
      <c r="I3879" s="160">
        <f>Sales[[#This Row],[Selling Rate]]*Sales[[#This Row],[Qty]]</f>
        <v>19720</v>
      </c>
      <c r="J3879" s="43">
        <v>0.15</v>
      </c>
      <c r="K3879" s="44">
        <f>Sales[[#This Row],[Gross Amount]]*Sales[[#This Row],[Disc %]]</f>
        <v>2958</v>
      </c>
      <c r="L3879" s="43">
        <v>0.18</v>
      </c>
      <c r="M3879" s="44">
        <f>(Sales[[#This Row],[Gross Amount]]-Sales[[#This Row],[Disc. Amt.]])*Sales[[#This Row],[GST %]]</f>
        <v>3017.16</v>
      </c>
      <c r="N3879" s="161">
        <f>Sales[[#This Row],[Gross Amount]]-Sales[[#This Row],[Disc. Amt.]]+Sales[[#This Row],[GST Amount]]</f>
        <v>19779.16</v>
      </c>
      <c r="O3879" s="158" t="s">
        <v>3569</v>
      </c>
      <c r="P3879" s="158" t="s">
        <v>1040</v>
      </c>
      <c r="Q3879" s="160">
        <f>IF(Sales[[#This Row],[Status]]="Cancelled",0,Sales[[#This Row],[Qty]])</f>
        <v>0</v>
      </c>
      <c r="R3879" s="161">
        <f>IF(Sales[[#This Row],[Status]]="Cancelled",0,Sales[[#This Row],[Total Amount]])</f>
        <v>0</v>
      </c>
      <c r="S3879" s="162">
        <f>SUM(Sales[Net Amount])</f>
        <v>406839287.73200053</v>
      </c>
    </row>
    <row r="3880" spans="1:19" ht="18.75" x14ac:dyDescent="0.25">
      <c r="A3880" s="163" t="s">
        <v>7553</v>
      </c>
      <c r="B3880" s="164">
        <v>45970</v>
      </c>
      <c r="C3880" s="34" t="s">
        <v>688</v>
      </c>
      <c r="D3880" s="53" t="str">
        <f>VLOOKUP(Sales[[#This Row],[Customer ID]],Customer[#All],2,0)</f>
        <v>Rahul Verma</v>
      </c>
      <c r="E3880" s="34" t="s">
        <v>391</v>
      </c>
      <c r="F3880" s="34" t="str">
        <f>VLOOKUP(Sales[[#This Row],[Product ID]],Product[#All],2,0)</f>
        <v>Seagate HDD</v>
      </c>
      <c r="G3880" s="53">
        <v>2</v>
      </c>
      <c r="H3880" s="165">
        <f>VLOOKUP(Sales[[#This Row],[Product ID]],Product[#All],7,0)</f>
        <v>10370</v>
      </c>
      <c r="I3880" s="165">
        <f>Sales[[#This Row],[Selling Rate]]*Sales[[#This Row],[Qty]]</f>
        <v>20740</v>
      </c>
      <c r="J3880" s="45">
        <v>0.02</v>
      </c>
      <c r="K3880" s="46">
        <f>Sales[[#This Row],[Gross Amount]]*Sales[[#This Row],[Disc %]]</f>
        <v>414.8</v>
      </c>
      <c r="L3880" s="43">
        <v>0.18</v>
      </c>
      <c r="M3880" s="46">
        <f>(Sales[[#This Row],[Gross Amount]]-Sales[[#This Row],[Disc. Amt.]])*Sales[[#This Row],[GST %]]</f>
        <v>3658.5360000000001</v>
      </c>
      <c r="N3880" s="161">
        <f>Sales[[#This Row],[Gross Amount]]-Sales[[#This Row],[Disc. Amt.]]+Sales[[#This Row],[GST Amount]]</f>
        <v>23983.736000000001</v>
      </c>
      <c r="O3880" s="34" t="s">
        <v>3566</v>
      </c>
      <c r="P3880" s="34" t="s">
        <v>3562</v>
      </c>
      <c r="Q3880" s="165">
        <f>IF(Sales[[#This Row],[Status]]="Cancelled",0,Sales[[#This Row],[Qty]])</f>
        <v>2</v>
      </c>
      <c r="R3880" s="166">
        <f>IF(Sales[[#This Row],[Status]]="Cancelled",0,Sales[[#This Row],[Total Amount]])</f>
        <v>23983.736000000001</v>
      </c>
      <c r="S3880" s="162">
        <f>SUM(Sales[Net Amount])</f>
        <v>406839287.73200053</v>
      </c>
    </row>
    <row r="3881" spans="1:19" ht="18.75" x14ac:dyDescent="0.25">
      <c r="A3881" s="156" t="s">
        <v>7554</v>
      </c>
      <c r="B3881" s="157">
        <v>45970</v>
      </c>
      <c r="C3881" s="158" t="s">
        <v>863</v>
      </c>
      <c r="D3881" s="159" t="str">
        <f>VLOOKUP(Sales[[#This Row],[Customer ID]],Customer[#All],2,0)</f>
        <v>Sahil Sharma</v>
      </c>
      <c r="E3881" s="158" t="s">
        <v>12</v>
      </c>
      <c r="F3881" s="158" t="str">
        <f>VLOOKUP(Sales[[#This Row],[Product ID]],Product[#All],2,0)</f>
        <v>Boat Headset</v>
      </c>
      <c r="G3881" s="159">
        <v>2</v>
      </c>
      <c r="H3881" s="160">
        <f>VLOOKUP(Sales[[#This Row],[Product ID]],Product[#All],7,0)</f>
        <v>1990</v>
      </c>
      <c r="I3881" s="160">
        <f>Sales[[#This Row],[Selling Rate]]*Sales[[#This Row],[Qty]]</f>
        <v>3980</v>
      </c>
      <c r="J3881" s="43">
        <v>0.05</v>
      </c>
      <c r="K3881" s="44">
        <f>Sales[[#This Row],[Gross Amount]]*Sales[[#This Row],[Disc %]]</f>
        <v>199</v>
      </c>
      <c r="L3881" s="43">
        <v>0.18</v>
      </c>
      <c r="M3881" s="44">
        <f>(Sales[[#This Row],[Gross Amount]]-Sales[[#This Row],[Disc. Amt.]])*Sales[[#This Row],[GST %]]</f>
        <v>680.57999999999993</v>
      </c>
      <c r="N3881" s="161">
        <f>Sales[[#This Row],[Gross Amount]]-Sales[[#This Row],[Disc. Amt.]]+Sales[[#This Row],[GST Amount]]</f>
        <v>4461.58</v>
      </c>
      <c r="O3881" s="158" t="s">
        <v>3569</v>
      </c>
      <c r="P3881" s="158" t="s">
        <v>3562</v>
      </c>
      <c r="Q3881" s="160">
        <f>IF(Sales[[#This Row],[Status]]="Cancelled",0,Sales[[#This Row],[Qty]])</f>
        <v>2</v>
      </c>
      <c r="R3881" s="161">
        <f>IF(Sales[[#This Row],[Status]]="Cancelled",0,Sales[[#This Row],[Total Amount]])</f>
        <v>4461.58</v>
      </c>
      <c r="S3881" s="162">
        <f>SUM(Sales[Net Amount])</f>
        <v>406839287.73200053</v>
      </c>
    </row>
    <row r="3882" spans="1:19" ht="18.75" x14ac:dyDescent="0.25">
      <c r="A3882" s="163" t="s">
        <v>7555</v>
      </c>
      <c r="B3882" s="164">
        <v>45970</v>
      </c>
      <c r="C3882" s="34" t="s">
        <v>882</v>
      </c>
      <c r="D3882" s="53" t="str">
        <f>VLOOKUP(Sales[[#This Row],[Customer ID]],Customer[#All],2,0)</f>
        <v>Rahul Sharma</v>
      </c>
      <c r="E3882" s="34" t="s">
        <v>204</v>
      </c>
      <c r="F3882" s="34" t="str">
        <f>VLOOKUP(Sales[[#This Row],[Product ID]],Product[#All],2,0)</f>
        <v>Lenovo Laptop</v>
      </c>
      <c r="G3882" s="53">
        <v>3</v>
      </c>
      <c r="H3882" s="165">
        <f>VLOOKUP(Sales[[#This Row],[Product ID]],Product[#All],7,0)</f>
        <v>42370</v>
      </c>
      <c r="I3882" s="165">
        <f>Sales[[#This Row],[Selling Rate]]*Sales[[#This Row],[Qty]]</f>
        <v>127110</v>
      </c>
      <c r="J3882" s="45">
        <v>0.02</v>
      </c>
      <c r="K3882" s="46">
        <f>Sales[[#This Row],[Gross Amount]]*Sales[[#This Row],[Disc %]]</f>
        <v>2542.2000000000003</v>
      </c>
      <c r="L3882" s="43">
        <v>0.18</v>
      </c>
      <c r="M3882" s="46">
        <f>(Sales[[#This Row],[Gross Amount]]-Sales[[#This Row],[Disc. Amt.]])*Sales[[#This Row],[GST %]]</f>
        <v>22422.203999999998</v>
      </c>
      <c r="N3882" s="161">
        <f>Sales[[#This Row],[Gross Amount]]-Sales[[#This Row],[Disc. Amt.]]+Sales[[#This Row],[GST Amount]]</f>
        <v>146990.00400000002</v>
      </c>
      <c r="O3882" s="34" t="s">
        <v>3561</v>
      </c>
      <c r="P3882" s="34" t="s">
        <v>3562</v>
      </c>
      <c r="Q3882" s="165">
        <f>IF(Sales[[#This Row],[Status]]="Cancelled",0,Sales[[#This Row],[Qty]])</f>
        <v>3</v>
      </c>
      <c r="R3882" s="166">
        <f>IF(Sales[[#This Row],[Status]]="Cancelled",0,Sales[[#This Row],[Total Amount]])</f>
        <v>146990.00400000002</v>
      </c>
      <c r="S3882" s="162">
        <f>SUM(Sales[Net Amount])</f>
        <v>406839287.73200053</v>
      </c>
    </row>
    <row r="3883" spans="1:19" ht="18.75" x14ac:dyDescent="0.25">
      <c r="A3883" s="156" t="s">
        <v>7556</v>
      </c>
      <c r="B3883" s="157">
        <v>45970</v>
      </c>
      <c r="C3883" s="158" t="s">
        <v>871</v>
      </c>
      <c r="D3883" s="159" t="str">
        <f>VLOOKUP(Sales[[#This Row],[Customer ID]],Customer[#All],2,0)</f>
        <v>Rakesh Kumar</v>
      </c>
      <c r="E3883" s="158" t="s">
        <v>166</v>
      </c>
      <c r="F3883" s="158" t="str">
        <f>VLOOKUP(Sales[[#This Row],[Product ID]],Product[#All],2,0)</f>
        <v>Canon Printer</v>
      </c>
      <c r="G3883" s="159">
        <v>6</v>
      </c>
      <c r="H3883" s="160">
        <f>VLOOKUP(Sales[[#This Row],[Product ID]],Product[#All],7,0)</f>
        <v>36680</v>
      </c>
      <c r="I3883" s="160">
        <f>Sales[[#This Row],[Selling Rate]]*Sales[[#This Row],[Qty]]</f>
        <v>220080</v>
      </c>
      <c r="J3883" s="43">
        <v>0.05</v>
      </c>
      <c r="K3883" s="44">
        <f>Sales[[#This Row],[Gross Amount]]*Sales[[#This Row],[Disc %]]</f>
        <v>11004</v>
      </c>
      <c r="L3883" s="43">
        <v>0.18</v>
      </c>
      <c r="M3883" s="44">
        <f>(Sales[[#This Row],[Gross Amount]]-Sales[[#This Row],[Disc. Amt.]])*Sales[[#This Row],[GST %]]</f>
        <v>37633.68</v>
      </c>
      <c r="N3883" s="161">
        <f>Sales[[#This Row],[Gross Amount]]-Sales[[#This Row],[Disc. Amt.]]+Sales[[#This Row],[GST Amount]]</f>
        <v>246709.68</v>
      </c>
      <c r="O3883" s="158" t="s">
        <v>8876</v>
      </c>
      <c r="P3883" s="158" t="s">
        <v>3562</v>
      </c>
      <c r="Q3883" s="160">
        <f>IF(Sales[[#This Row],[Status]]="Cancelled",0,Sales[[#This Row],[Qty]])</f>
        <v>6</v>
      </c>
      <c r="R3883" s="161">
        <f>IF(Sales[[#This Row],[Status]]="Cancelled",0,Sales[[#This Row],[Total Amount]])</f>
        <v>246709.68</v>
      </c>
      <c r="S3883" s="162">
        <f>SUM(Sales[Net Amount])</f>
        <v>406839287.73200053</v>
      </c>
    </row>
    <row r="3884" spans="1:19" ht="18.75" x14ac:dyDescent="0.25">
      <c r="A3884" s="163" t="s">
        <v>7557</v>
      </c>
      <c r="B3884" s="164">
        <v>45970</v>
      </c>
      <c r="C3884" s="34" t="s">
        <v>807</v>
      </c>
      <c r="D3884" s="53" t="str">
        <f>VLOOKUP(Sales[[#This Row],[Customer ID]],Customer[#All],2,0)</f>
        <v>Rakesh Patel</v>
      </c>
      <c r="E3884" s="34" t="s">
        <v>330</v>
      </c>
      <c r="F3884" s="34" t="str">
        <f>VLOOKUP(Sales[[#This Row],[Product ID]],Product[#All],2,0)</f>
        <v>American TouristerLaptopBag</v>
      </c>
      <c r="G3884" s="53">
        <v>3</v>
      </c>
      <c r="H3884" s="165">
        <f>VLOOKUP(Sales[[#This Row],[Product ID]],Product[#All],7,0)</f>
        <v>4970</v>
      </c>
      <c r="I3884" s="165">
        <f>Sales[[#This Row],[Selling Rate]]*Sales[[#This Row],[Qty]]</f>
        <v>14910</v>
      </c>
      <c r="J3884" s="45">
        <v>0.1</v>
      </c>
      <c r="K3884" s="46">
        <f>Sales[[#This Row],[Gross Amount]]*Sales[[#This Row],[Disc %]]</f>
        <v>1491</v>
      </c>
      <c r="L3884" s="43">
        <v>0.18</v>
      </c>
      <c r="M3884" s="46">
        <f>(Sales[[#This Row],[Gross Amount]]-Sales[[#This Row],[Disc. Amt.]])*Sales[[#This Row],[GST %]]</f>
        <v>2415.42</v>
      </c>
      <c r="N3884" s="161">
        <f>Sales[[#This Row],[Gross Amount]]-Sales[[#This Row],[Disc. Amt.]]+Sales[[#This Row],[GST Amount]]</f>
        <v>15834.42</v>
      </c>
      <c r="O3884" s="34" t="s">
        <v>3569</v>
      </c>
      <c r="P3884" s="34" t="s">
        <v>3562</v>
      </c>
      <c r="Q3884" s="165">
        <f>IF(Sales[[#This Row],[Status]]="Cancelled",0,Sales[[#This Row],[Qty]])</f>
        <v>3</v>
      </c>
      <c r="R3884" s="166">
        <f>IF(Sales[[#This Row],[Status]]="Cancelled",0,Sales[[#This Row],[Total Amount]])</f>
        <v>15834.42</v>
      </c>
      <c r="S3884" s="162">
        <f>SUM(Sales[Net Amount])</f>
        <v>406839287.73200053</v>
      </c>
    </row>
    <row r="3885" spans="1:19" ht="18.75" x14ac:dyDescent="0.25">
      <c r="A3885" s="156" t="s">
        <v>7558</v>
      </c>
      <c r="B3885" s="157">
        <v>45970</v>
      </c>
      <c r="C3885" s="158" t="s">
        <v>877</v>
      </c>
      <c r="D3885" s="159" t="str">
        <f>VLOOKUP(Sales[[#This Row],[Customer ID]],Customer[#All],2,0)</f>
        <v>Sahil Patel</v>
      </c>
      <c r="E3885" s="158" t="s">
        <v>365</v>
      </c>
      <c r="F3885" s="158" t="str">
        <f>VLOOKUP(Sales[[#This Row],[Product ID]],Product[#All],2,0)</f>
        <v>TP-link Bluetooth Adapter</v>
      </c>
      <c r="G3885" s="159">
        <v>5</v>
      </c>
      <c r="H3885" s="160">
        <f>VLOOKUP(Sales[[#This Row],[Product ID]],Product[#All],7,0)</f>
        <v>2120</v>
      </c>
      <c r="I3885" s="160">
        <f>Sales[[#This Row],[Selling Rate]]*Sales[[#This Row],[Qty]]</f>
        <v>10600</v>
      </c>
      <c r="J3885" s="43">
        <v>0</v>
      </c>
      <c r="K3885" s="44">
        <f>Sales[[#This Row],[Gross Amount]]*Sales[[#This Row],[Disc %]]</f>
        <v>0</v>
      </c>
      <c r="L3885" s="43">
        <v>0.18</v>
      </c>
      <c r="M3885" s="44">
        <f>(Sales[[#This Row],[Gross Amount]]-Sales[[#This Row],[Disc. Amt.]])*Sales[[#This Row],[GST %]]</f>
        <v>1908</v>
      </c>
      <c r="N3885" s="161">
        <f>Sales[[#This Row],[Gross Amount]]-Sales[[#This Row],[Disc. Amt.]]+Sales[[#This Row],[GST Amount]]</f>
        <v>12508</v>
      </c>
      <c r="O3885" s="158" t="s">
        <v>3569</v>
      </c>
      <c r="P3885" s="158" t="s">
        <v>3562</v>
      </c>
      <c r="Q3885" s="160">
        <f>IF(Sales[[#This Row],[Status]]="Cancelled",0,Sales[[#This Row],[Qty]])</f>
        <v>5</v>
      </c>
      <c r="R3885" s="161">
        <f>IF(Sales[[#This Row],[Status]]="Cancelled",0,Sales[[#This Row],[Total Amount]])</f>
        <v>12508</v>
      </c>
      <c r="S3885" s="162">
        <f>SUM(Sales[Net Amount])</f>
        <v>406839287.73200053</v>
      </c>
    </row>
    <row r="3886" spans="1:19" ht="18.75" x14ac:dyDescent="0.25">
      <c r="A3886" s="163" t="s">
        <v>7559</v>
      </c>
      <c r="B3886" s="164">
        <v>45970</v>
      </c>
      <c r="C3886" s="34" t="s">
        <v>753</v>
      </c>
      <c r="D3886" s="53" t="str">
        <f>VLOOKUP(Sales[[#This Row],[Customer ID]],Customer[#All],2,0)</f>
        <v>Sunita Gupta</v>
      </c>
      <c r="E3886" s="34" t="s">
        <v>179</v>
      </c>
      <c r="F3886" s="34" t="str">
        <f>VLOOKUP(Sales[[#This Row],[Product ID]],Product[#All],2,0)</f>
        <v>TP-link Wi-Fi Adapter</v>
      </c>
      <c r="G3886" s="53">
        <v>5</v>
      </c>
      <c r="H3886" s="165">
        <f>VLOOKUP(Sales[[#This Row],[Product ID]],Product[#All],7,0)</f>
        <v>1490</v>
      </c>
      <c r="I3886" s="165">
        <f>Sales[[#This Row],[Selling Rate]]*Sales[[#This Row],[Qty]]</f>
        <v>7450</v>
      </c>
      <c r="J3886" s="45">
        <v>0</v>
      </c>
      <c r="K3886" s="46">
        <f>Sales[[#This Row],[Gross Amount]]*Sales[[#This Row],[Disc %]]</f>
        <v>0</v>
      </c>
      <c r="L3886" s="43">
        <v>0.18</v>
      </c>
      <c r="M3886" s="46">
        <f>(Sales[[#This Row],[Gross Amount]]-Sales[[#This Row],[Disc. Amt.]])*Sales[[#This Row],[GST %]]</f>
        <v>1341</v>
      </c>
      <c r="N3886" s="161">
        <f>Sales[[#This Row],[Gross Amount]]-Sales[[#This Row],[Disc. Amt.]]+Sales[[#This Row],[GST Amount]]</f>
        <v>8791</v>
      </c>
      <c r="O3886" s="34" t="s">
        <v>3561</v>
      </c>
      <c r="P3886" s="34" t="s">
        <v>3562</v>
      </c>
      <c r="Q3886" s="165">
        <f>IF(Sales[[#This Row],[Status]]="Cancelled",0,Sales[[#This Row],[Qty]])</f>
        <v>5</v>
      </c>
      <c r="R3886" s="166">
        <f>IF(Sales[[#This Row],[Status]]="Cancelled",0,Sales[[#This Row],[Total Amount]])</f>
        <v>8791</v>
      </c>
      <c r="S3886" s="162">
        <f>SUM(Sales[Net Amount])</f>
        <v>406839287.73200053</v>
      </c>
    </row>
    <row r="3887" spans="1:19" ht="18.75" x14ac:dyDescent="0.25">
      <c r="A3887" s="156" t="s">
        <v>7560</v>
      </c>
      <c r="B3887" s="157">
        <v>45970</v>
      </c>
      <c r="C3887" s="158" t="s">
        <v>708</v>
      </c>
      <c r="D3887" s="159" t="str">
        <f>VLOOKUP(Sales[[#This Row],[Customer ID]],Customer[#All],2,0)</f>
        <v>Amit Verma</v>
      </c>
      <c r="E3887" s="158" t="s">
        <v>444</v>
      </c>
      <c r="F3887" s="158" t="str">
        <f>VLOOKUP(Sales[[#This Row],[Product ID]],Product[#All],2,0)</f>
        <v>Dell Desktop</v>
      </c>
      <c r="G3887" s="159">
        <v>7</v>
      </c>
      <c r="H3887" s="160">
        <f>VLOOKUP(Sales[[#This Row],[Product ID]],Product[#All],7,0)</f>
        <v>55730</v>
      </c>
      <c r="I3887" s="160">
        <f>Sales[[#This Row],[Selling Rate]]*Sales[[#This Row],[Qty]]</f>
        <v>390110</v>
      </c>
      <c r="J3887" s="43">
        <v>0.05</v>
      </c>
      <c r="K3887" s="44">
        <f>Sales[[#This Row],[Gross Amount]]*Sales[[#This Row],[Disc %]]</f>
        <v>19505.5</v>
      </c>
      <c r="L3887" s="43">
        <v>0.18</v>
      </c>
      <c r="M3887" s="44">
        <f>(Sales[[#This Row],[Gross Amount]]-Sales[[#This Row],[Disc. Amt.]])*Sales[[#This Row],[GST %]]</f>
        <v>66708.81</v>
      </c>
      <c r="N3887" s="161">
        <f>Sales[[#This Row],[Gross Amount]]-Sales[[#This Row],[Disc. Amt.]]+Sales[[#This Row],[GST Amount]]</f>
        <v>437313.31</v>
      </c>
      <c r="O3887" s="158" t="s">
        <v>8876</v>
      </c>
      <c r="P3887" s="158" t="s">
        <v>3562</v>
      </c>
      <c r="Q3887" s="160">
        <f>IF(Sales[[#This Row],[Status]]="Cancelled",0,Sales[[#This Row],[Qty]])</f>
        <v>7</v>
      </c>
      <c r="R3887" s="161">
        <f>IF(Sales[[#This Row],[Status]]="Cancelled",0,Sales[[#This Row],[Total Amount]])</f>
        <v>437313.31</v>
      </c>
      <c r="S3887" s="162">
        <f>SUM(Sales[Net Amount])</f>
        <v>406839287.73200053</v>
      </c>
    </row>
    <row r="3888" spans="1:19" ht="18.75" x14ac:dyDescent="0.25">
      <c r="A3888" s="163" t="s">
        <v>7561</v>
      </c>
      <c r="B3888" s="164">
        <v>45970</v>
      </c>
      <c r="C3888" s="34" t="s">
        <v>880</v>
      </c>
      <c r="D3888" s="53" t="str">
        <f>VLOOKUP(Sales[[#This Row],[Customer ID]],Customer[#All],2,0)</f>
        <v>Rahul Sharma</v>
      </c>
      <c r="E3888" s="34" t="s">
        <v>20</v>
      </c>
      <c r="F3888" s="34" t="str">
        <f>VLOOKUP(Sales[[#This Row],[Product ID]],Product[#All],2,0)</f>
        <v>Logitech Keyboard</v>
      </c>
      <c r="G3888" s="53">
        <v>6</v>
      </c>
      <c r="H3888" s="165">
        <f>VLOOKUP(Sales[[#This Row],[Product ID]],Product[#All],7,0)</f>
        <v>3290</v>
      </c>
      <c r="I3888" s="165">
        <f>Sales[[#This Row],[Selling Rate]]*Sales[[#This Row],[Qty]]</f>
        <v>19740</v>
      </c>
      <c r="J3888" s="45">
        <v>0.1</v>
      </c>
      <c r="K3888" s="46">
        <f>Sales[[#This Row],[Gross Amount]]*Sales[[#This Row],[Disc %]]</f>
        <v>1974</v>
      </c>
      <c r="L3888" s="43">
        <v>0.18</v>
      </c>
      <c r="M3888" s="46">
        <f>(Sales[[#This Row],[Gross Amount]]-Sales[[#This Row],[Disc. Amt.]])*Sales[[#This Row],[GST %]]</f>
        <v>3197.88</v>
      </c>
      <c r="N3888" s="161">
        <f>Sales[[#This Row],[Gross Amount]]-Sales[[#This Row],[Disc. Amt.]]+Sales[[#This Row],[GST Amount]]</f>
        <v>20963.88</v>
      </c>
      <c r="O3888" s="34" t="s">
        <v>3569</v>
      </c>
      <c r="P3888" s="34" t="s">
        <v>3562</v>
      </c>
      <c r="Q3888" s="165">
        <f>IF(Sales[[#This Row],[Status]]="Cancelled",0,Sales[[#This Row],[Qty]])</f>
        <v>6</v>
      </c>
      <c r="R3888" s="166">
        <f>IF(Sales[[#This Row],[Status]]="Cancelled",0,Sales[[#This Row],[Total Amount]])</f>
        <v>20963.88</v>
      </c>
      <c r="S3888" s="162">
        <f>SUM(Sales[Net Amount])</f>
        <v>406839287.73200053</v>
      </c>
    </row>
    <row r="3889" spans="1:19" ht="18.75" x14ac:dyDescent="0.25">
      <c r="A3889" s="156" t="s">
        <v>7562</v>
      </c>
      <c r="B3889" s="157">
        <v>45970</v>
      </c>
      <c r="C3889" s="158" t="s">
        <v>835</v>
      </c>
      <c r="D3889" s="159" t="str">
        <f>VLOOKUP(Sales[[#This Row],[Customer ID]],Customer[#All],2,0)</f>
        <v>Ankit Kumar</v>
      </c>
      <c r="E3889" s="158" t="s">
        <v>494</v>
      </c>
      <c r="F3889" s="158" t="str">
        <f>VLOOKUP(Sales[[#This Row],[Product ID]],Product[#All],2,0)</f>
        <v>Logitech Mouse</v>
      </c>
      <c r="G3889" s="159">
        <v>6</v>
      </c>
      <c r="H3889" s="160">
        <f>VLOOKUP(Sales[[#This Row],[Product ID]],Product[#All],7,0)</f>
        <v>660</v>
      </c>
      <c r="I3889" s="160">
        <f>Sales[[#This Row],[Selling Rate]]*Sales[[#This Row],[Qty]]</f>
        <v>3960</v>
      </c>
      <c r="J3889" s="43">
        <v>0.05</v>
      </c>
      <c r="K3889" s="44">
        <f>Sales[[#This Row],[Gross Amount]]*Sales[[#This Row],[Disc %]]</f>
        <v>198</v>
      </c>
      <c r="L3889" s="43">
        <v>0.18</v>
      </c>
      <c r="M3889" s="44">
        <f>(Sales[[#This Row],[Gross Amount]]-Sales[[#This Row],[Disc. Amt.]])*Sales[[#This Row],[GST %]]</f>
        <v>677.16</v>
      </c>
      <c r="N3889" s="161">
        <f>Sales[[#This Row],[Gross Amount]]-Sales[[#This Row],[Disc. Amt.]]+Sales[[#This Row],[GST Amount]]</f>
        <v>4439.16</v>
      </c>
      <c r="O3889" s="158" t="s">
        <v>3561</v>
      </c>
      <c r="P3889" s="158" t="s">
        <v>3562</v>
      </c>
      <c r="Q3889" s="160">
        <f>IF(Sales[[#This Row],[Status]]="Cancelled",0,Sales[[#This Row],[Qty]])</f>
        <v>6</v>
      </c>
      <c r="R3889" s="161">
        <f>IF(Sales[[#This Row],[Status]]="Cancelled",0,Sales[[#This Row],[Total Amount]])</f>
        <v>4439.16</v>
      </c>
      <c r="S3889" s="162">
        <f>SUM(Sales[Net Amount])</f>
        <v>406839287.73200053</v>
      </c>
    </row>
    <row r="3890" spans="1:19" ht="18.75" x14ac:dyDescent="0.25">
      <c r="A3890" s="163" t="s">
        <v>7563</v>
      </c>
      <c r="B3890" s="164">
        <v>45970</v>
      </c>
      <c r="C3890" s="34" t="s">
        <v>758</v>
      </c>
      <c r="D3890" s="53" t="str">
        <f>VLOOKUP(Sales[[#This Row],[Customer ID]],Customer[#All],2,0)</f>
        <v>Rahul Verma</v>
      </c>
      <c r="E3890" s="34" t="s">
        <v>474</v>
      </c>
      <c r="F3890" s="34" t="str">
        <f>VLOOKUP(Sales[[#This Row],[Product ID]],Product[#All],2,0)</f>
        <v>Logitech Mouse</v>
      </c>
      <c r="G3890" s="53">
        <v>8</v>
      </c>
      <c r="H3890" s="165">
        <f>VLOOKUP(Sales[[#This Row],[Product ID]],Product[#All],7,0)</f>
        <v>1320</v>
      </c>
      <c r="I3890" s="165">
        <f>Sales[[#This Row],[Selling Rate]]*Sales[[#This Row],[Qty]]</f>
        <v>10560</v>
      </c>
      <c r="J3890" s="45">
        <v>0.15</v>
      </c>
      <c r="K3890" s="46">
        <f>Sales[[#This Row],[Gross Amount]]*Sales[[#This Row],[Disc %]]</f>
        <v>1584</v>
      </c>
      <c r="L3890" s="43">
        <v>0.18</v>
      </c>
      <c r="M3890" s="46">
        <f>(Sales[[#This Row],[Gross Amount]]-Sales[[#This Row],[Disc. Amt.]])*Sales[[#This Row],[GST %]]</f>
        <v>1615.6799999999998</v>
      </c>
      <c r="N3890" s="161">
        <f>Sales[[#This Row],[Gross Amount]]-Sales[[#This Row],[Disc. Amt.]]+Sales[[#This Row],[GST Amount]]</f>
        <v>10591.68</v>
      </c>
      <c r="O3890" s="34" t="s">
        <v>3566</v>
      </c>
      <c r="P3890" s="34" t="s">
        <v>3562</v>
      </c>
      <c r="Q3890" s="165">
        <f>IF(Sales[[#This Row],[Status]]="Cancelled",0,Sales[[#This Row],[Qty]])</f>
        <v>8</v>
      </c>
      <c r="R3890" s="166">
        <f>IF(Sales[[#This Row],[Status]]="Cancelled",0,Sales[[#This Row],[Total Amount]])</f>
        <v>10591.68</v>
      </c>
      <c r="S3890" s="162">
        <f>SUM(Sales[Net Amount])</f>
        <v>406839287.73200053</v>
      </c>
    </row>
    <row r="3891" spans="1:19" ht="18.75" x14ac:dyDescent="0.25">
      <c r="A3891" s="156" t="s">
        <v>7564</v>
      </c>
      <c r="B3891" s="157">
        <v>45970</v>
      </c>
      <c r="C3891" s="158" t="s">
        <v>696</v>
      </c>
      <c r="D3891" s="159" t="str">
        <f>VLOOKUP(Sales[[#This Row],[Customer ID]],Customer[#All],2,0)</f>
        <v>Sunita Verma</v>
      </c>
      <c r="E3891" s="158" t="s">
        <v>68</v>
      </c>
      <c r="F3891" s="158" t="str">
        <f>VLOOKUP(Sales[[#This Row],[Product ID]],Product[#All],2,0)</f>
        <v>Epson Printer</v>
      </c>
      <c r="G3891" s="159">
        <v>5</v>
      </c>
      <c r="H3891" s="160">
        <f>VLOOKUP(Sales[[#This Row],[Product ID]],Product[#All],7,0)</f>
        <v>21190</v>
      </c>
      <c r="I3891" s="160">
        <f>Sales[[#This Row],[Selling Rate]]*Sales[[#This Row],[Qty]]</f>
        <v>105950</v>
      </c>
      <c r="J3891" s="43">
        <v>0</v>
      </c>
      <c r="K3891" s="44">
        <f>Sales[[#This Row],[Gross Amount]]*Sales[[#This Row],[Disc %]]</f>
        <v>0</v>
      </c>
      <c r="L3891" s="43">
        <v>0.18</v>
      </c>
      <c r="M3891" s="44">
        <f>(Sales[[#This Row],[Gross Amount]]-Sales[[#This Row],[Disc. Amt.]])*Sales[[#This Row],[GST %]]</f>
        <v>19071</v>
      </c>
      <c r="N3891" s="161">
        <f>Sales[[#This Row],[Gross Amount]]-Sales[[#This Row],[Disc. Amt.]]+Sales[[#This Row],[GST Amount]]</f>
        <v>125021</v>
      </c>
      <c r="O3891" s="158" t="s">
        <v>3566</v>
      </c>
      <c r="P3891" s="158" t="s">
        <v>3562</v>
      </c>
      <c r="Q3891" s="160">
        <f>IF(Sales[[#This Row],[Status]]="Cancelled",0,Sales[[#This Row],[Qty]])</f>
        <v>5</v>
      </c>
      <c r="R3891" s="161">
        <f>IF(Sales[[#This Row],[Status]]="Cancelled",0,Sales[[#This Row],[Total Amount]])</f>
        <v>125021</v>
      </c>
      <c r="S3891" s="162">
        <f>SUM(Sales[Net Amount])</f>
        <v>406839287.73200053</v>
      </c>
    </row>
    <row r="3892" spans="1:19" ht="18.75" x14ac:dyDescent="0.25">
      <c r="A3892" s="163" t="s">
        <v>7565</v>
      </c>
      <c r="B3892" s="164">
        <v>45970</v>
      </c>
      <c r="C3892" s="34" t="s">
        <v>733</v>
      </c>
      <c r="D3892" s="53" t="str">
        <f>VLOOKUP(Sales[[#This Row],[Customer ID]],Customer[#All],2,0)</f>
        <v>Vikas Kumar</v>
      </c>
      <c r="E3892" s="34" t="s">
        <v>176</v>
      </c>
      <c r="F3892" s="34" t="str">
        <f>VLOOKUP(Sales[[#This Row],[Product ID]],Product[#All],2,0)</f>
        <v>Dell Monitor</v>
      </c>
      <c r="G3892" s="53">
        <v>3</v>
      </c>
      <c r="H3892" s="165">
        <f>VLOOKUP(Sales[[#This Row],[Product ID]],Product[#All],7,0)</f>
        <v>18900</v>
      </c>
      <c r="I3892" s="165">
        <f>Sales[[#This Row],[Selling Rate]]*Sales[[#This Row],[Qty]]</f>
        <v>56700</v>
      </c>
      <c r="J3892" s="45">
        <v>0.15</v>
      </c>
      <c r="K3892" s="46">
        <f>Sales[[#This Row],[Gross Amount]]*Sales[[#This Row],[Disc %]]</f>
        <v>8505</v>
      </c>
      <c r="L3892" s="43">
        <v>0.18</v>
      </c>
      <c r="M3892" s="46">
        <f>(Sales[[#This Row],[Gross Amount]]-Sales[[#This Row],[Disc. Amt.]])*Sales[[#This Row],[GST %]]</f>
        <v>8675.1</v>
      </c>
      <c r="N3892" s="161">
        <f>Sales[[#This Row],[Gross Amount]]-Sales[[#This Row],[Disc. Amt.]]+Sales[[#This Row],[GST Amount]]</f>
        <v>56870.1</v>
      </c>
      <c r="O3892" s="34" t="s">
        <v>3566</v>
      </c>
      <c r="P3892" s="34" t="s">
        <v>3562</v>
      </c>
      <c r="Q3892" s="165">
        <f>IF(Sales[[#This Row],[Status]]="Cancelled",0,Sales[[#This Row],[Qty]])</f>
        <v>3</v>
      </c>
      <c r="R3892" s="166">
        <f>IF(Sales[[#This Row],[Status]]="Cancelled",0,Sales[[#This Row],[Total Amount]])</f>
        <v>56870.1</v>
      </c>
      <c r="S3892" s="162">
        <f>SUM(Sales[Net Amount])</f>
        <v>406839287.73200053</v>
      </c>
    </row>
    <row r="3893" spans="1:19" ht="18.75" x14ac:dyDescent="0.25">
      <c r="A3893" s="156" t="s">
        <v>7566</v>
      </c>
      <c r="B3893" s="157">
        <v>45970</v>
      </c>
      <c r="C3893" s="158" t="s">
        <v>886</v>
      </c>
      <c r="D3893" s="159" t="str">
        <f>VLOOKUP(Sales[[#This Row],[Customer ID]],Customer[#All],2,0)</f>
        <v>Sunita Gupta</v>
      </c>
      <c r="E3893" s="158" t="s">
        <v>454</v>
      </c>
      <c r="F3893" s="158" t="str">
        <f>VLOOKUP(Sales[[#This Row],[Product ID]],Product[#All],2,0)</f>
        <v>Dell Monitor</v>
      </c>
      <c r="G3893" s="159">
        <v>8</v>
      </c>
      <c r="H3893" s="160">
        <f>VLOOKUP(Sales[[#This Row],[Product ID]],Product[#All],7,0)</f>
        <v>16760</v>
      </c>
      <c r="I3893" s="160">
        <f>Sales[[#This Row],[Selling Rate]]*Sales[[#This Row],[Qty]]</f>
        <v>134080</v>
      </c>
      <c r="J3893" s="43">
        <v>0.05</v>
      </c>
      <c r="K3893" s="44">
        <f>Sales[[#This Row],[Gross Amount]]*Sales[[#This Row],[Disc %]]</f>
        <v>6704</v>
      </c>
      <c r="L3893" s="43">
        <v>0.18</v>
      </c>
      <c r="M3893" s="44">
        <f>(Sales[[#This Row],[Gross Amount]]-Sales[[#This Row],[Disc. Amt.]])*Sales[[#This Row],[GST %]]</f>
        <v>22927.68</v>
      </c>
      <c r="N3893" s="161">
        <f>Sales[[#This Row],[Gross Amount]]-Sales[[#This Row],[Disc. Amt.]]+Sales[[#This Row],[GST Amount]]</f>
        <v>150303.67999999999</v>
      </c>
      <c r="O3893" s="158" t="s">
        <v>8876</v>
      </c>
      <c r="P3893" s="158" t="s">
        <v>3562</v>
      </c>
      <c r="Q3893" s="160">
        <f>IF(Sales[[#This Row],[Status]]="Cancelled",0,Sales[[#This Row],[Qty]])</f>
        <v>8</v>
      </c>
      <c r="R3893" s="161">
        <f>IF(Sales[[#This Row],[Status]]="Cancelled",0,Sales[[#This Row],[Total Amount]])</f>
        <v>150303.67999999999</v>
      </c>
      <c r="S3893" s="162">
        <f>SUM(Sales[Net Amount])</f>
        <v>406839287.73200053</v>
      </c>
    </row>
    <row r="3894" spans="1:19" ht="18.75" x14ac:dyDescent="0.25">
      <c r="A3894" s="163" t="s">
        <v>7567</v>
      </c>
      <c r="B3894" s="164">
        <v>45970</v>
      </c>
      <c r="C3894" s="34" t="s">
        <v>686</v>
      </c>
      <c r="D3894" s="53" t="str">
        <f>VLOOKUP(Sales[[#This Row],[Customer ID]],Customer[#All],2,0)</f>
        <v>Priya Gupta</v>
      </c>
      <c r="E3894" s="34" t="s">
        <v>398</v>
      </c>
      <c r="F3894" s="34" t="str">
        <f>VLOOKUP(Sales[[#This Row],[Product ID]],Product[#All],2,0)</f>
        <v>D-Link Router</v>
      </c>
      <c r="G3894" s="53">
        <v>4</v>
      </c>
      <c r="H3894" s="165">
        <f>VLOOKUP(Sales[[#This Row],[Product ID]],Product[#All],7,0)</f>
        <v>5420</v>
      </c>
      <c r="I3894" s="165">
        <f>Sales[[#This Row],[Selling Rate]]*Sales[[#This Row],[Qty]]</f>
        <v>21680</v>
      </c>
      <c r="J3894" s="45">
        <v>0.1</v>
      </c>
      <c r="K3894" s="46">
        <f>Sales[[#This Row],[Gross Amount]]*Sales[[#This Row],[Disc %]]</f>
        <v>2168</v>
      </c>
      <c r="L3894" s="43">
        <v>0.18</v>
      </c>
      <c r="M3894" s="46">
        <f>(Sales[[#This Row],[Gross Amount]]-Sales[[#This Row],[Disc. Amt.]])*Sales[[#This Row],[GST %]]</f>
        <v>3512.16</v>
      </c>
      <c r="N3894" s="161">
        <f>Sales[[#This Row],[Gross Amount]]-Sales[[#This Row],[Disc. Amt.]]+Sales[[#This Row],[GST Amount]]</f>
        <v>23024.16</v>
      </c>
      <c r="O3894" s="34" t="s">
        <v>3566</v>
      </c>
      <c r="P3894" s="34" t="s">
        <v>3562</v>
      </c>
      <c r="Q3894" s="165">
        <f>IF(Sales[[#This Row],[Status]]="Cancelled",0,Sales[[#This Row],[Qty]])</f>
        <v>4</v>
      </c>
      <c r="R3894" s="166">
        <f>IF(Sales[[#This Row],[Status]]="Cancelled",0,Sales[[#This Row],[Total Amount]])</f>
        <v>23024.16</v>
      </c>
      <c r="S3894" s="162">
        <f>SUM(Sales[Net Amount])</f>
        <v>406839287.73200053</v>
      </c>
    </row>
    <row r="3895" spans="1:19" ht="18.75" x14ac:dyDescent="0.25">
      <c r="A3895" s="156" t="s">
        <v>7568</v>
      </c>
      <c r="B3895" s="157">
        <v>45970</v>
      </c>
      <c r="C3895" s="158" t="s">
        <v>4997</v>
      </c>
      <c r="D3895" s="159" t="str">
        <f>VLOOKUP(Sales[[#This Row],[Customer ID]],Customer[#All],2,0)</f>
        <v>Rahul Gupta</v>
      </c>
      <c r="E3895" s="158" t="s">
        <v>352</v>
      </c>
      <c r="F3895" s="158" t="str">
        <f>VLOOKUP(Sales[[#This Row],[Product ID]],Product[#All],2,0)</f>
        <v>Seagate HDD</v>
      </c>
      <c r="G3895" s="159">
        <v>4</v>
      </c>
      <c r="H3895" s="160">
        <f>VLOOKUP(Sales[[#This Row],[Product ID]],Product[#All],7,0)</f>
        <v>13350</v>
      </c>
      <c r="I3895" s="160">
        <f>Sales[[#This Row],[Selling Rate]]*Sales[[#This Row],[Qty]]</f>
        <v>53400</v>
      </c>
      <c r="J3895" s="43">
        <v>0</v>
      </c>
      <c r="K3895" s="44">
        <f>Sales[[#This Row],[Gross Amount]]*Sales[[#This Row],[Disc %]]</f>
        <v>0</v>
      </c>
      <c r="L3895" s="43">
        <v>0.18</v>
      </c>
      <c r="M3895" s="44">
        <f>(Sales[[#This Row],[Gross Amount]]-Sales[[#This Row],[Disc. Amt.]])*Sales[[#This Row],[GST %]]</f>
        <v>9612</v>
      </c>
      <c r="N3895" s="161">
        <f>Sales[[#This Row],[Gross Amount]]-Sales[[#This Row],[Disc. Amt.]]+Sales[[#This Row],[GST Amount]]</f>
        <v>63012</v>
      </c>
      <c r="O3895" s="158" t="s">
        <v>8876</v>
      </c>
      <c r="P3895" s="158" t="s">
        <v>3562</v>
      </c>
      <c r="Q3895" s="160">
        <f>IF(Sales[[#This Row],[Status]]="Cancelled",0,Sales[[#This Row],[Qty]])</f>
        <v>4</v>
      </c>
      <c r="R3895" s="161">
        <f>IF(Sales[[#This Row],[Status]]="Cancelled",0,Sales[[#This Row],[Total Amount]])</f>
        <v>63012</v>
      </c>
      <c r="S3895" s="162">
        <f>SUM(Sales[Net Amount])</f>
        <v>406839287.73200053</v>
      </c>
    </row>
    <row r="3896" spans="1:19" ht="18.75" x14ac:dyDescent="0.25">
      <c r="A3896" s="163" t="s">
        <v>7569</v>
      </c>
      <c r="B3896" s="164">
        <v>45970</v>
      </c>
      <c r="C3896" s="34" t="s">
        <v>3679</v>
      </c>
      <c r="D3896" s="53" t="str">
        <f>VLOOKUP(Sales[[#This Row],[Customer ID]],Customer[#All],2,0)</f>
        <v>Rahul Verma</v>
      </c>
      <c r="E3896" s="34" t="s">
        <v>314</v>
      </c>
      <c r="F3896" s="34" t="str">
        <f>VLOOKUP(Sales[[#This Row],[Product ID]],Product[#All],2,0)</f>
        <v>Dell Desktop</v>
      </c>
      <c r="G3896" s="53">
        <v>1</v>
      </c>
      <c r="H3896" s="165">
        <f>VLOOKUP(Sales[[#This Row],[Product ID]],Product[#All],7,0)</f>
        <v>59580</v>
      </c>
      <c r="I3896" s="165">
        <f>Sales[[#This Row],[Selling Rate]]*Sales[[#This Row],[Qty]]</f>
        <v>59580</v>
      </c>
      <c r="J3896" s="45">
        <v>0.12</v>
      </c>
      <c r="K3896" s="46">
        <f>Sales[[#This Row],[Gross Amount]]*Sales[[#This Row],[Disc %]]</f>
        <v>7149.5999999999995</v>
      </c>
      <c r="L3896" s="43">
        <v>0.18</v>
      </c>
      <c r="M3896" s="46">
        <f>(Sales[[#This Row],[Gross Amount]]-Sales[[#This Row],[Disc. Amt.]])*Sales[[#This Row],[GST %]]</f>
        <v>9437.4719999999998</v>
      </c>
      <c r="N3896" s="161">
        <f>Sales[[#This Row],[Gross Amount]]-Sales[[#This Row],[Disc. Amt.]]+Sales[[#This Row],[GST Amount]]</f>
        <v>61867.872000000003</v>
      </c>
      <c r="O3896" s="34" t="s">
        <v>3566</v>
      </c>
      <c r="P3896" s="34" t="s">
        <v>3562</v>
      </c>
      <c r="Q3896" s="165">
        <f>IF(Sales[[#This Row],[Status]]="Cancelled",0,Sales[[#This Row],[Qty]])</f>
        <v>1</v>
      </c>
      <c r="R3896" s="166">
        <f>IF(Sales[[#This Row],[Status]]="Cancelled",0,Sales[[#This Row],[Total Amount]])</f>
        <v>61867.872000000003</v>
      </c>
      <c r="S3896" s="162">
        <f>SUM(Sales[Net Amount])</f>
        <v>406839287.73200053</v>
      </c>
    </row>
    <row r="3897" spans="1:19" ht="18.75" x14ac:dyDescent="0.25">
      <c r="A3897" s="156" t="s">
        <v>7570</v>
      </c>
      <c r="B3897" s="157">
        <v>45970</v>
      </c>
      <c r="C3897" s="158" t="s">
        <v>754</v>
      </c>
      <c r="D3897" s="159" t="str">
        <f>VLOOKUP(Sales[[#This Row],[Customer ID]],Customer[#All],2,0)</f>
        <v>Rakesh Gupta</v>
      </c>
      <c r="E3897" s="158" t="s">
        <v>211</v>
      </c>
      <c r="F3897" s="158" t="str">
        <f>VLOOKUP(Sales[[#This Row],[Product ID]],Product[#All],2,0)</f>
        <v>Samsung Ssd</v>
      </c>
      <c r="G3897" s="159">
        <v>1</v>
      </c>
      <c r="H3897" s="160">
        <f>VLOOKUP(Sales[[#This Row],[Product ID]],Product[#All],7,0)</f>
        <v>16100</v>
      </c>
      <c r="I3897" s="160">
        <f>Sales[[#This Row],[Selling Rate]]*Sales[[#This Row],[Qty]]</f>
        <v>16100</v>
      </c>
      <c r="J3897" s="43">
        <v>0</v>
      </c>
      <c r="K3897" s="44">
        <f>Sales[[#This Row],[Gross Amount]]*Sales[[#This Row],[Disc %]]</f>
        <v>0</v>
      </c>
      <c r="L3897" s="43">
        <v>0.18</v>
      </c>
      <c r="M3897" s="44">
        <f>(Sales[[#This Row],[Gross Amount]]-Sales[[#This Row],[Disc. Amt.]])*Sales[[#This Row],[GST %]]</f>
        <v>2898</v>
      </c>
      <c r="N3897" s="161">
        <f>Sales[[#This Row],[Gross Amount]]-Sales[[#This Row],[Disc. Amt.]]+Sales[[#This Row],[GST Amount]]</f>
        <v>18998</v>
      </c>
      <c r="O3897" s="158" t="s">
        <v>8876</v>
      </c>
      <c r="P3897" s="158" t="s">
        <v>3562</v>
      </c>
      <c r="Q3897" s="160">
        <f>IF(Sales[[#This Row],[Status]]="Cancelled",0,Sales[[#This Row],[Qty]])</f>
        <v>1</v>
      </c>
      <c r="R3897" s="161">
        <f>IF(Sales[[#This Row],[Status]]="Cancelled",0,Sales[[#This Row],[Total Amount]])</f>
        <v>18998</v>
      </c>
      <c r="S3897" s="162">
        <f>SUM(Sales[Net Amount])</f>
        <v>406839287.73200053</v>
      </c>
    </row>
    <row r="3898" spans="1:19" ht="18.75" x14ac:dyDescent="0.25">
      <c r="A3898" s="163" t="s">
        <v>7571</v>
      </c>
      <c r="B3898" s="164">
        <v>45971</v>
      </c>
      <c r="C3898" s="34" t="s">
        <v>715</v>
      </c>
      <c r="D3898" s="53" t="str">
        <f>VLOOKUP(Sales[[#This Row],[Customer ID]],Customer[#All],2,0)</f>
        <v>Sunita Patel</v>
      </c>
      <c r="E3898" s="34" t="s">
        <v>460</v>
      </c>
      <c r="F3898" s="34" t="str">
        <f>VLOOKUP(Sales[[#This Row],[Product ID]],Product[#All],2,0)</f>
        <v>Logitech Keyboard</v>
      </c>
      <c r="G3898" s="53">
        <v>7</v>
      </c>
      <c r="H3898" s="165">
        <f>VLOOKUP(Sales[[#This Row],[Product ID]],Product[#All],7,0)</f>
        <v>3050</v>
      </c>
      <c r="I3898" s="165">
        <f>Sales[[#This Row],[Selling Rate]]*Sales[[#This Row],[Qty]]</f>
        <v>21350</v>
      </c>
      <c r="J3898" s="45">
        <v>0.1</v>
      </c>
      <c r="K3898" s="46">
        <f>Sales[[#This Row],[Gross Amount]]*Sales[[#This Row],[Disc %]]</f>
        <v>2135</v>
      </c>
      <c r="L3898" s="43">
        <v>0.18</v>
      </c>
      <c r="M3898" s="46">
        <f>(Sales[[#This Row],[Gross Amount]]-Sales[[#This Row],[Disc. Amt.]])*Sales[[#This Row],[GST %]]</f>
        <v>3458.7</v>
      </c>
      <c r="N3898" s="161">
        <f>Sales[[#This Row],[Gross Amount]]-Sales[[#This Row],[Disc. Amt.]]+Sales[[#This Row],[GST Amount]]</f>
        <v>22673.7</v>
      </c>
      <c r="O3898" s="34" t="s">
        <v>3561</v>
      </c>
      <c r="P3898" s="34" t="s">
        <v>3562</v>
      </c>
      <c r="Q3898" s="165">
        <f>IF(Sales[[#This Row],[Status]]="Cancelled",0,Sales[[#This Row],[Qty]])</f>
        <v>7</v>
      </c>
      <c r="R3898" s="166">
        <f>IF(Sales[[#This Row],[Status]]="Cancelled",0,Sales[[#This Row],[Total Amount]])</f>
        <v>22673.7</v>
      </c>
      <c r="S3898" s="162">
        <f>SUM(Sales[Net Amount])</f>
        <v>406839287.73200053</v>
      </c>
    </row>
    <row r="3899" spans="1:19" ht="18.75" x14ac:dyDescent="0.25">
      <c r="A3899" s="156" t="s">
        <v>7572</v>
      </c>
      <c r="B3899" s="157">
        <v>45971</v>
      </c>
      <c r="C3899" s="158" t="s">
        <v>921</v>
      </c>
      <c r="D3899" s="159" t="str">
        <f>VLOOKUP(Sales[[#This Row],[Customer ID]],Customer[#All],2,0)</f>
        <v>Sahil Gupta</v>
      </c>
      <c r="E3899" s="158" t="s">
        <v>382</v>
      </c>
      <c r="F3899" s="158" t="str">
        <f>VLOOKUP(Sales[[#This Row],[Product ID]],Product[#All],2,0)</f>
        <v>Canon Printer</v>
      </c>
      <c r="G3899" s="159">
        <v>7</v>
      </c>
      <c r="H3899" s="160">
        <f>VLOOKUP(Sales[[#This Row],[Product ID]],Product[#All],7,0)</f>
        <v>32930</v>
      </c>
      <c r="I3899" s="160">
        <f>Sales[[#This Row],[Selling Rate]]*Sales[[#This Row],[Qty]]</f>
        <v>230510</v>
      </c>
      <c r="J3899" s="43">
        <v>0</v>
      </c>
      <c r="K3899" s="44">
        <f>Sales[[#This Row],[Gross Amount]]*Sales[[#This Row],[Disc %]]</f>
        <v>0</v>
      </c>
      <c r="L3899" s="43">
        <v>0.18</v>
      </c>
      <c r="M3899" s="44">
        <f>(Sales[[#This Row],[Gross Amount]]-Sales[[#This Row],[Disc. Amt.]])*Sales[[#This Row],[GST %]]</f>
        <v>41491.799999999996</v>
      </c>
      <c r="N3899" s="161">
        <f>Sales[[#This Row],[Gross Amount]]-Sales[[#This Row],[Disc. Amt.]]+Sales[[#This Row],[GST Amount]]</f>
        <v>272001.8</v>
      </c>
      <c r="O3899" s="158" t="s">
        <v>8876</v>
      </c>
      <c r="P3899" s="158" t="s">
        <v>3562</v>
      </c>
      <c r="Q3899" s="160">
        <f>IF(Sales[[#This Row],[Status]]="Cancelled",0,Sales[[#This Row],[Qty]])</f>
        <v>7</v>
      </c>
      <c r="R3899" s="161">
        <f>IF(Sales[[#This Row],[Status]]="Cancelled",0,Sales[[#This Row],[Total Amount]])</f>
        <v>272001.8</v>
      </c>
      <c r="S3899" s="162">
        <f>SUM(Sales[Net Amount])</f>
        <v>406839287.73200053</v>
      </c>
    </row>
    <row r="3900" spans="1:19" ht="18.75" x14ac:dyDescent="0.25">
      <c r="A3900" s="163" t="s">
        <v>7573</v>
      </c>
      <c r="B3900" s="164">
        <v>45971</v>
      </c>
      <c r="C3900" s="34" t="s">
        <v>781</v>
      </c>
      <c r="D3900" s="53" t="str">
        <f>VLOOKUP(Sales[[#This Row],[Customer ID]],Customer[#All],2,0)</f>
        <v>Vikas Sharma</v>
      </c>
      <c r="E3900" s="34" t="s">
        <v>172</v>
      </c>
      <c r="F3900" s="34" t="str">
        <f>VLOOKUP(Sales[[#This Row],[Product ID]],Product[#All],2,0)</f>
        <v>Jbl Headset</v>
      </c>
      <c r="G3900" s="53">
        <v>1</v>
      </c>
      <c r="H3900" s="165">
        <f>VLOOKUP(Sales[[#This Row],[Product ID]],Product[#All],7,0)</f>
        <v>7300</v>
      </c>
      <c r="I3900" s="165">
        <f>Sales[[#This Row],[Selling Rate]]*Sales[[#This Row],[Qty]]</f>
        <v>7300</v>
      </c>
      <c r="J3900" s="45">
        <v>0.02</v>
      </c>
      <c r="K3900" s="46">
        <f>Sales[[#This Row],[Gross Amount]]*Sales[[#This Row],[Disc %]]</f>
        <v>146</v>
      </c>
      <c r="L3900" s="43">
        <v>0.18</v>
      </c>
      <c r="M3900" s="46">
        <f>(Sales[[#This Row],[Gross Amount]]-Sales[[#This Row],[Disc. Amt.]])*Sales[[#This Row],[GST %]]</f>
        <v>1287.72</v>
      </c>
      <c r="N3900" s="161">
        <f>Sales[[#This Row],[Gross Amount]]-Sales[[#This Row],[Disc. Amt.]]+Sales[[#This Row],[GST Amount]]</f>
        <v>8441.7199999999993</v>
      </c>
      <c r="O3900" s="34" t="s">
        <v>3561</v>
      </c>
      <c r="P3900" s="34" t="s">
        <v>1040</v>
      </c>
      <c r="Q3900" s="165">
        <f>IF(Sales[[#This Row],[Status]]="Cancelled",0,Sales[[#This Row],[Qty]])</f>
        <v>0</v>
      </c>
      <c r="R3900" s="166">
        <f>IF(Sales[[#This Row],[Status]]="Cancelled",0,Sales[[#This Row],[Total Amount]])</f>
        <v>0</v>
      </c>
      <c r="S3900" s="162">
        <f>SUM(Sales[Net Amount])</f>
        <v>406839287.73200053</v>
      </c>
    </row>
    <row r="3901" spans="1:19" ht="18.75" x14ac:dyDescent="0.25">
      <c r="A3901" s="156" t="s">
        <v>7574</v>
      </c>
      <c r="B3901" s="157">
        <v>45971</v>
      </c>
      <c r="C3901" s="158" t="s">
        <v>853</v>
      </c>
      <c r="D3901" s="159" t="str">
        <f>VLOOKUP(Sales[[#This Row],[Customer ID]],Customer[#All],2,0)</f>
        <v>Amit Singh</v>
      </c>
      <c r="E3901" s="158" t="s">
        <v>291</v>
      </c>
      <c r="F3901" s="158" t="str">
        <f>VLOOKUP(Sales[[#This Row],[Product ID]],Product[#All],2,0)</f>
        <v>Jbl Speaker</v>
      </c>
      <c r="G3901" s="159">
        <v>6</v>
      </c>
      <c r="H3901" s="160">
        <f>VLOOKUP(Sales[[#This Row],[Product ID]],Product[#All],7,0)</f>
        <v>12040</v>
      </c>
      <c r="I3901" s="160">
        <f>Sales[[#This Row],[Selling Rate]]*Sales[[#This Row],[Qty]]</f>
        <v>72240</v>
      </c>
      <c r="J3901" s="43">
        <v>0.02</v>
      </c>
      <c r="K3901" s="44">
        <f>Sales[[#This Row],[Gross Amount]]*Sales[[#This Row],[Disc %]]</f>
        <v>1444.8</v>
      </c>
      <c r="L3901" s="43">
        <v>0.18</v>
      </c>
      <c r="M3901" s="44">
        <f>(Sales[[#This Row],[Gross Amount]]-Sales[[#This Row],[Disc. Amt.]])*Sales[[#This Row],[GST %]]</f>
        <v>12743.135999999999</v>
      </c>
      <c r="N3901" s="161">
        <f>Sales[[#This Row],[Gross Amount]]-Sales[[#This Row],[Disc. Amt.]]+Sales[[#This Row],[GST Amount]]</f>
        <v>83538.335999999996</v>
      </c>
      <c r="O3901" s="158" t="s">
        <v>3566</v>
      </c>
      <c r="P3901" s="158" t="s">
        <v>3562</v>
      </c>
      <c r="Q3901" s="160">
        <f>IF(Sales[[#This Row],[Status]]="Cancelled",0,Sales[[#This Row],[Qty]])</f>
        <v>6</v>
      </c>
      <c r="R3901" s="161">
        <f>IF(Sales[[#This Row],[Status]]="Cancelled",0,Sales[[#This Row],[Total Amount]])</f>
        <v>83538.335999999996</v>
      </c>
      <c r="S3901" s="162">
        <f>SUM(Sales[Net Amount])</f>
        <v>406839287.73200053</v>
      </c>
    </row>
    <row r="3902" spans="1:19" ht="18.75" x14ac:dyDescent="0.25">
      <c r="A3902" s="163" t="s">
        <v>7575</v>
      </c>
      <c r="B3902" s="164">
        <v>45971</v>
      </c>
      <c r="C3902" s="34" t="s">
        <v>724</v>
      </c>
      <c r="D3902" s="53" t="str">
        <f>VLOOKUP(Sales[[#This Row],[Customer ID]],Customer[#All],2,0)</f>
        <v>Sunita Sharma</v>
      </c>
      <c r="E3902" s="34" t="s">
        <v>353</v>
      </c>
      <c r="F3902" s="34" t="str">
        <f>VLOOKUP(Sales[[#This Row],[Product ID]],Product[#All],2,0)</f>
        <v>HP Desktop</v>
      </c>
      <c r="G3902" s="53">
        <v>4</v>
      </c>
      <c r="H3902" s="165">
        <f>VLOOKUP(Sales[[#This Row],[Product ID]],Product[#All],7,0)</f>
        <v>60910</v>
      </c>
      <c r="I3902" s="165">
        <f>Sales[[#This Row],[Selling Rate]]*Sales[[#This Row],[Qty]]</f>
        <v>243640</v>
      </c>
      <c r="J3902" s="45">
        <v>0.02</v>
      </c>
      <c r="K3902" s="46">
        <f>Sales[[#This Row],[Gross Amount]]*Sales[[#This Row],[Disc %]]</f>
        <v>4872.8</v>
      </c>
      <c r="L3902" s="43">
        <v>0.18</v>
      </c>
      <c r="M3902" s="46">
        <f>(Sales[[#This Row],[Gross Amount]]-Sales[[#This Row],[Disc. Amt.]])*Sales[[#This Row],[GST %]]</f>
        <v>42978.095999999998</v>
      </c>
      <c r="N3902" s="161">
        <f>Sales[[#This Row],[Gross Amount]]-Sales[[#This Row],[Disc. Amt.]]+Sales[[#This Row],[GST Amount]]</f>
        <v>281745.29600000003</v>
      </c>
      <c r="O3902" s="34" t="s">
        <v>3569</v>
      </c>
      <c r="P3902" s="34" t="s">
        <v>3562</v>
      </c>
      <c r="Q3902" s="165">
        <f>IF(Sales[[#This Row],[Status]]="Cancelled",0,Sales[[#This Row],[Qty]])</f>
        <v>4</v>
      </c>
      <c r="R3902" s="166">
        <f>IF(Sales[[#This Row],[Status]]="Cancelled",0,Sales[[#This Row],[Total Amount]])</f>
        <v>281745.29600000003</v>
      </c>
      <c r="S3902" s="162">
        <f>SUM(Sales[Net Amount])</f>
        <v>406839287.73200053</v>
      </c>
    </row>
    <row r="3903" spans="1:19" ht="18.75" x14ac:dyDescent="0.25">
      <c r="A3903" s="156" t="s">
        <v>7576</v>
      </c>
      <c r="B3903" s="157">
        <v>45971</v>
      </c>
      <c r="C3903" s="158" t="s">
        <v>5923</v>
      </c>
      <c r="D3903" s="159" t="str">
        <f>VLOOKUP(Sales[[#This Row],[Customer ID]],Customer[#All],2,0)</f>
        <v>Neha Verma</v>
      </c>
      <c r="E3903" s="158" t="s">
        <v>199</v>
      </c>
      <c r="F3903" s="158" t="str">
        <f>VLOOKUP(Sales[[#This Row],[Product ID]],Product[#All],2,0)</f>
        <v>Lg Monitor</v>
      </c>
      <c r="G3903" s="159">
        <v>6</v>
      </c>
      <c r="H3903" s="160">
        <f>VLOOKUP(Sales[[#This Row],[Product ID]],Product[#All],7,0)</f>
        <v>13160</v>
      </c>
      <c r="I3903" s="160">
        <f>Sales[[#This Row],[Selling Rate]]*Sales[[#This Row],[Qty]]</f>
        <v>78960</v>
      </c>
      <c r="J3903" s="43">
        <v>0.15</v>
      </c>
      <c r="K3903" s="44">
        <f>Sales[[#This Row],[Gross Amount]]*Sales[[#This Row],[Disc %]]</f>
        <v>11844</v>
      </c>
      <c r="L3903" s="43">
        <v>0.18</v>
      </c>
      <c r="M3903" s="44">
        <f>(Sales[[#This Row],[Gross Amount]]-Sales[[#This Row],[Disc. Amt.]])*Sales[[#This Row],[GST %]]</f>
        <v>12080.88</v>
      </c>
      <c r="N3903" s="161">
        <f>Sales[[#This Row],[Gross Amount]]-Sales[[#This Row],[Disc. Amt.]]+Sales[[#This Row],[GST Amount]]</f>
        <v>79196.88</v>
      </c>
      <c r="O3903" s="158" t="s">
        <v>3561</v>
      </c>
      <c r="P3903" s="158" t="s">
        <v>3562</v>
      </c>
      <c r="Q3903" s="160">
        <f>IF(Sales[[#This Row],[Status]]="Cancelled",0,Sales[[#This Row],[Qty]])</f>
        <v>6</v>
      </c>
      <c r="R3903" s="161">
        <f>IF(Sales[[#This Row],[Status]]="Cancelled",0,Sales[[#This Row],[Total Amount]])</f>
        <v>79196.88</v>
      </c>
      <c r="S3903" s="162">
        <f>SUM(Sales[Net Amount])</f>
        <v>406839287.73200053</v>
      </c>
    </row>
    <row r="3904" spans="1:19" ht="18.75" x14ac:dyDescent="0.25">
      <c r="A3904" s="163" t="s">
        <v>7577</v>
      </c>
      <c r="B3904" s="164">
        <v>45971</v>
      </c>
      <c r="C3904" s="34" t="s">
        <v>785</v>
      </c>
      <c r="D3904" s="53" t="str">
        <f>VLOOKUP(Sales[[#This Row],[Customer ID]],Customer[#All],2,0)</f>
        <v>Ankit Gupta</v>
      </c>
      <c r="E3904" s="34" t="s">
        <v>359</v>
      </c>
      <c r="F3904" s="34" t="str">
        <f>VLOOKUP(Sales[[#This Row],[Product ID]],Product[#All],2,0)</f>
        <v>Sandisk Pen Drive</v>
      </c>
      <c r="G3904" s="53">
        <v>6</v>
      </c>
      <c r="H3904" s="165">
        <f>VLOOKUP(Sales[[#This Row],[Product ID]],Product[#All],7,0)</f>
        <v>1140</v>
      </c>
      <c r="I3904" s="165">
        <f>Sales[[#This Row],[Selling Rate]]*Sales[[#This Row],[Qty]]</f>
        <v>6840</v>
      </c>
      <c r="J3904" s="45">
        <v>0</v>
      </c>
      <c r="K3904" s="46">
        <f>Sales[[#This Row],[Gross Amount]]*Sales[[#This Row],[Disc %]]</f>
        <v>0</v>
      </c>
      <c r="L3904" s="43">
        <v>0.18</v>
      </c>
      <c r="M3904" s="46">
        <f>(Sales[[#This Row],[Gross Amount]]-Sales[[#This Row],[Disc. Amt.]])*Sales[[#This Row],[GST %]]</f>
        <v>1231.2</v>
      </c>
      <c r="N3904" s="161">
        <f>Sales[[#This Row],[Gross Amount]]-Sales[[#This Row],[Disc. Amt.]]+Sales[[#This Row],[GST Amount]]</f>
        <v>8071.2</v>
      </c>
      <c r="O3904" s="34" t="s">
        <v>3569</v>
      </c>
      <c r="P3904" s="34" t="s">
        <v>3562</v>
      </c>
      <c r="Q3904" s="165">
        <f>IF(Sales[[#This Row],[Status]]="Cancelled",0,Sales[[#This Row],[Qty]])</f>
        <v>6</v>
      </c>
      <c r="R3904" s="166">
        <f>IF(Sales[[#This Row],[Status]]="Cancelled",0,Sales[[#This Row],[Total Amount]])</f>
        <v>8071.2</v>
      </c>
      <c r="S3904" s="162">
        <f>SUM(Sales[Net Amount])</f>
        <v>406839287.73200053</v>
      </c>
    </row>
    <row r="3905" spans="1:19" ht="18.75" x14ac:dyDescent="0.25">
      <c r="A3905" s="156" t="s">
        <v>7578</v>
      </c>
      <c r="B3905" s="157">
        <v>45971</v>
      </c>
      <c r="C3905" s="158" t="s">
        <v>864</v>
      </c>
      <c r="D3905" s="159" t="str">
        <f>VLOOKUP(Sales[[#This Row],[Customer ID]],Customer[#All],2,0)</f>
        <v>Sahil Sharma</v>
      </c>
      <c r="E3905" s="158" t="s">
        <v>85</v>
      </c>
      <c r="F3905" s="158" t="str">
        <f>VLOOKUP(Sales[[#This Row],[Product ID]],Product[#All],2,0)</f>
        <v>Apc UPS</v>
      </c>
      <c r="G3905" s="159">
        <v>6</v>
      </c>
      <c r="H3905" s="160">
        <f>VLOOKUP(Sales[[#This Row],[Product ID]],Product[#All],7,0)</f>
        <v>8770</v>
      </c>
      <c r="I3905" s="160">
        <f>Sales[[#This Row],[Selling Rate]]*Sales[[#This Row],[Qty]]</f>
        <v>52620</v>
      </c>
      <c r="J3905" s="43">
        <v>0.12</v>
      </c>
      <c r="K3905" s="44">
        <f>Sales[[#This Row],[Gross Amount]]*Sales[[#This Row],[Disc %]]</f>
        <v>6314.4</v>
      </c>
      <c r="L3905" s="43">
        <v>0.18</v>
      </c>
      <c r="M3905" s="44">
        <f>(Sales[[#This Row],[Gross Amount]]-Sales[[#This Row],[Disc. Amt.]])*Sales[[#This Row],[GST %]]</f>
        <v>8335.0079999999998</v>
      </c>
      <c r="N3905" s="161">
        <f>Sales[[#This Row],[Gross Amount]]-Sales[[#This Row],[Disc. Amt.]]+Sales[[#This Row],[GST Amount]]</f>
        <v>54640.608</v>
      </c>
      <c r="O3905" s="158" t="s">
        <v>3569</v>
      </c>
      <c r="P3905" s="158" t="s">
        <v>3562</v>
      </c>
      <c r="Q3905" s="160">
        <f>IF(Sales[[#This Row],[Status]]="Cancelled",0,Sales[[#This Row],[Qty]])</f>
        <v>6</v>
      </c>
      <c r="R3905" s="161">
        <f>IF(Sales[[#This Row],[Status]]="Cancelled",0,Sales[[#This Row],[Total Amount]])</f>
        <v>54640.608</v>
      </c>
      <c r="S3905" s="162">
        <f>SUM(Sales[Net Amount])</f>
        <v>406839287.73200053</v>
      </c>
    </row>
    <row r="3906" spans="1:19" ht="18.75" x14ac:dyDescent="0.25">
      <c r="A3906" s="163" t="s">
        <v>7579</v>
      </c>
      <c r="B3906" s="164">
        <v>45971</v>
      </c>
      <c r="C3906" s="34" t="s">
        <v>707</v>
      </c>
      <c r="D3906" s="53" t="str">
        <f>VLOOKUP(Sales[[#This Row],[Customer ID]],Customer[#All],2,0)</f>
        <v>Rahul Verma</v>
      </c>
      <c r="E3906" s="34" t="s">
        <v>133</v>
      </c>
      <c r="F3906" s="34" t="str">
        <f>VLOOKUP(Sales[[#This Row],[Product ID]],Product[#All],2,0)</f>
        <v>HP Laptop</v>
      </c>
      <c r="G3906" s="53">
        <v>3</v>
      </c>
      <c r="H3906" s="165">
        <f>VLOOKUP(Sales[[#This Row],[Product ID]],Product[#All],7,0)</f>
        <v>44790</v>
      </c>
      <c r="I3906" s="165">
        <f>Sales[[#This Row],[Selling Rate]]*Sales[[#This Row],[Qty]]</f>
        <v>134370</v>
      </c>
      <c r="J3906" s="45">
        <v>0.05</v>
      </c>
      <c r="K3906" s="46">
        <f>Sales[[#This Row],[Gross Amount]]*Sales[[#This Row],[Disc %]]</f>
        <v>6718.5</v>
      </c>
      <c r="L3906" s="43">
        <v>0.18</v>
      </c>
      <c r="M3906" s="46">
        <f>(Sales[[#This Row],[Gross Amount]]-Sales[[#This Row],[Disc. Amt.]])*Sales[[#This Row],[GST %]]</f>
        <v>22977.27</v>
      </c>
      <c r="N3906" s="161">
        <f>Sales[[#This Row],[Gross Amount]]-Sales[[#This Row],[Disc. Amt.]]+Sales[[#This Row],[GST Amount]]</f>
        <v>150628.76999999999</v>
      </c>
      <c r="O3906" s="34" t="s">
        <v>8876</v>
      </c>
      <c r="P3906" s="34" t="s">
        <v>3562</v>
      </c>
      <c r="Q3906" s="165">
        <f>IF(Sales[[#This Row],[Status]]="Cancelled",0,Sales[[#This Row],[Qty]])</f>
        <v>3</v>
      </c>
      <c r="R3906" s="166">
        <f>IF(Sales[[#This Row],[Status]]="Cancelled",0,Sales[[#This Row],[Total Amount]])</f>
        <v>150628.76999999999</v>
      </c>
      <c r="S3906" s="162">
        <f>SUM(Sales[Net Amount])</f>
        <v>406839287.73200053</v>
      </c>
    </row>
    <row r="3907" spans="1:19" ht="18.75" x14ac:dyDescent="0.25">
      <c r="A3907" s="156" t="s">
        <v>7580</v>
      </c>
      <c r="B3907" s="157">
        <v>45971</v>
      </c>
      <c r="C3907" s="158" t="s">
        <v>735</v>
      </c>
      <c r="D3907" s="159" t="str">
        <f>VLOOKUP(Sales[[#This Row],[Customer ID]],Customer[#All],2,0)</f>
        <v>Amit Singh</v>
      </c>
      <c r="E3907" s="158" t="s">
        <v>189</v>
      </c>
      <c r="F3907" s="158" t="str">
        <f>VLOOKUP(Sales[[#This Row],[Product ID]],Product[#All],2,0)</f>
        <v>Boat Headset</v>
      </c>
      <c r="G3907" s="159">
        <v>2</v>
      </c>
      <c r="H3907" s="160">
        <f>VLOOKUP(Sales[[#This Row],[Product ID]],Product[#All],7,0)</f>
        <v>1610</v>
      </c>
      <c r="I3907" s="160">
        <f>Sales[[#This Row],[Selling Rate]]*Sales[[#This Row],[Qty]]</f>
        <v>3220</v>
      </c>
      <c r="J3907" s="43">
        <v>0</v>
      </c>
      <c r="K3907" s="44">
        <f>Sales[[#This Row],[Gross Amount]]*Sales[[#This Row],[Disc %]]</f>
        <v>0</v>
      </c>
      <c r="L3907" s="43">
        <v>0.18</v>
      </c>
      <c r="M3907" s="44">
        <f>(Sales[[#This Row],[Gross Amount]]-Sales[[#This Row],[Disc. Amt.]])*Sales[[#This Row],[GST %]]</f>
        <v>579.6</v>
      </c>
      <c r="N3907" s="161">
        <f>Sales[[#This Row],[Gross Amount]]-Sales[[#This Row],[Disc. Amt.]]+Sales[[#This Row],[GST Amount]]</f>
        <v>3799.6</v>
      </c>
      <c r="O3907" s="158" t="s">
        <v>3561</v>
      </c>
      <c r="P3907" s="158" t="s">
        <v>3562</v>
      </c>
      <c r="Q3907" s="160">
        <f>IF(Sales[[#This Row],[Status]]="Cancelled",0,Sales[[#This Row],[Qty]])</f>
        <v>2</v>
      </c>
      <c r="R3907" s="161">
        <f>IF(Sales[[#This Row],[Status]]="Cancelled",0,Sales[[#This Row],[Total Amount]])</f>
        <v>3799.6</v>
      </c>
      <c r="S3907" s="162">
        <f>SUM(Sales[Net Amount])</f>
        <v>406839287.73200053</v>
      </c>
    </row>
    <row r="3908" spans="1:19" ht="18.75" x14ac:dyDescent="0.25">
      <c r="A3908" s="163" t="s">
        <v>7581</v>
      </c>
      <c r="B3908" s="164">
        <v>45971</v>
      </c>
      <c r="C3908" s="34" t="s">
        <v>728</v>
      </c>
      <c r="D3908" s="53" t="str">
        <f>VLOOKUP(Sales[[#This Row],[Customer ID]],Customer[#All],2,0)</f>
        <v>Rahul Gupta</v>
      </c>
      <c r="E3908" s="34" t="s">
        <v>243</v>
      </c>
      <c r="F3908" s="34" t="str">
        <f>VLOOKUP(Sales[[#This Row],[Product ID]],Product[#All],2,0)</f>
        <v>TP-link Router</v>
      </c>
      <c r="G3908" s="53">
        <v>7</v>
      </c>
      <c r="H3908" s="165">
        <f>VLOOKUP(Sales[[#This Row],[Product ID]],Product[#All],7,0)</f>
        <v>3230</v>
      </c>
      <c r="I3908" s="165">
        <f>Sales[[#This Row],[Selling Rate]]*Sales[[#This Row],[Qty]]</f>
        <v>22610</v>
      </c>
      <c r="J3908" s="45">
        <v>0.02</v>
      </c>
      <c r="K3908" s="46">
        <f>Sales[[#This Row],[Gross Amount]]*Sales[[#This Row],[Disc %]]</f>
        <v>452.2</v>
      </c>
      <c r="L3908" s="43">
        <v>0.18</v>
      </c>
      <c r="M3908" s="46">
        <f>(Sales[[#This Row],[Gross Amount]]-Sales[[#This Row],[Disc. Amt.]])*Sales[[#This Row],[GST %]]</f>
        <v>3988.4039999999995</v>
      </c>
      <c r="N3908" s="161">
        <f>Sales[[#This Row],[Gross Amount]]-Sales[[#This Row],[Disc. Amt.]]+Sales[[#This Row],[GST Amount]]</f>
        <v>26146.203999999998</v>
      </c>
      <c r="O3908" s="34" t="s">
        <v>3561</v>
      </c>
      <c r="P3908" s="34" t="s">
        <v>3562</v>
      </c>
      <c r="Q3908" s="165">
        <f>IF(Sales[[#This Row],[Status]]="Cancelled",0,Sales[[#This Row],[Qty]])</f>
        <v>7</v>
      </c>
      <c r="R3908" s="166">
        <f>IF(Sales[[#This Row],[Status]]="Cancelled",0,Sales[[#This Row],[Total Amount]])</f>
        <v>26146.203999999998</v>
      </c>
      <c r="S3908" s="162">
        <f>SUM(Sales[Net Amount])</f>
        <v>406839287.73200053</v>
      </c>
    </row>
    <row r="3909" spans="1:19" ht="18.75" x14ac:dyDescent="0.25">
      <c r="A3909" s="156" t="s">
        <v>7582</v>
      </c>
      <c r="B3909" s="157">
        <v>45971</v>
      </c>
      <c r="C3909" s="158" t="s">
        <v>854</v>
      </c>
      <c r="D3909" s="159" t="str">
        <f>VLOOKUP(Sales[[#This Row],[Customer ID]],Customer[#All],2,0)</f>
        <v>Neha Sharma</v>
      </c>
      <c r="E3909" s="158" t="s">
        <v>53</v>
      </c>
      <c r="F3909" s="158" t="str">
        <f>VLOOKUP(Sales[[#This Row],[Product ID]],Product[#All],2,0)</f>
        <v>Microtek UPS</v>
      </c>
      <c r="G3909" s="159">
        <v>8</v>
      </c>
      <c r="H3909" s="160">
        <f>VLOOKUP(Sales[[#This Row],[Product ID]],Product[#All],7,0)</f>
        <v>13040</v>
      </c>
      <c r="I3909" s="160">
        <f>Sales[[#This Row],[Selling Rate]]*Sales[[#This Row],[Qty]]</f>
        <v>104320</v>
      </c>
      <c r="J3909" s="43">
        <v>0.02</v>
      </c>
      <c r="K3909" s="44">
        <f>Sales[[#This Row],[Gross Amount]]*Sales[[#This Row],[Disc %]]</f>
        <v>2086.4</v>
      </c>
      <c r="L3909" s="43">
        <v>0.18</v>
      </c>
      <c r="M3909" s="44">
        <f>(Sales[[#This Row],[Gross Amount]]-Sales[[#This Row],[Disc. Amt.]])*Sales[[#This Row],[GST %]]</f>
        <v>18402.047999999999</v>
      </c>
      <c r="N3909" s="161">
        <f>Sales[[#This Row],[Gross Amount]]-Sales[[#This Row],[Disc. Amt.]]+Sales[[#This Row],[GST Amount]]</f>
        <v>120635.648</v>
      </c>
      <c r="O3909" s="158" t="s">
        <v>3561</v>
      </c>
      <c r="P3909" s="158" t="s">
        <v>3562</v>
      </c>
      <c r="Q3909" s="160">
        <f>IF(Sales[[#This Row],[Status]]="Cancelled",0,Sales[[#This Row],[Qty]])</f>
        <v>8</v>
      </c>
      <c r="R3909" s="161">
        <f>IF(Sales[[#This Row],[Status]]="Cancelled",0,Sales[[#This Row],[Total Amount]])</f>
        <v>120635.648</v>
      </c>
      <c r="S3909" s="162">
        <f>SUM(Sales[Net Amount])</f>
        <v>406839287.73200053</v>
      </c>
    </row>
    <row r="3910" spans="1:19" ht="18.75" x14ac:dyDescent="0.25">
      <c r="A3910" s="163" t="s">
        <v>7583</v>
      </c>
      <c r="B3910" s="164">
        <v>45971</v>
      </c>
      <c r="C3910" s="34" t="s">
        <v>832</v>
      </c>
      <c r="D3910" s="53" t="str">
        <f>VLOOKUP(Sales[[#This Row],[Customer ID]],Customer[#All],2,0)</f>
        <v>Vikas Sharma</v>
      </c>
      <c r="E3910" s="34" t="s">
        <v>444</v>
      </c>
      <c r="F3910" s="34" t="str">
        <f>VLOOKUP(Sales[[#This Row],[Product ID]],Product[#All],2,0)</f>
        <v>Dell Desktop</v>
      </c>
      <c r="G3910" s="53">
        <v>5</v>
      </c>
      <c r="H3910" s="165">
        <f>VLOOKUP(Sales[[#This Row],[Product ID]],Product[#All],7,0)</f>
        <v>55730</v>
      </c>
      <c r="I3910" s="165">
        <f>Sales[[#This Row],[Selling Rate]]*Sales[[#This Row],[Qty]]</f>
        <v>278650</v>
      </c>
      <c r="J3910" s="45">
        <v>0</v>
      </c>
      <c r="K3910" s="46">
        <f>Sales[[#This Row],[Gross Amount]]*Sales[[#This Row],[Disc %]]</f>
        <v>0</v>
      </c>
      <c r="L3910" s="43">
        <v>0.18</v>
      </c>
      <c r="M3910" s="46">
        <f>(Sales[[#This Row],[Gross Amount]]-Sales[[#This Row],[Disc. Amt.]])*Sales[[#This Row],[GST %]]</f>
        <v>50157</v>
      </c>
      <c r="N3910" s="161">
        <f>Sales[[#This Row],[Gross Amount]]-Sales[[#This Row],[Disc. Amt.]]+Sales[[#This Row],[GST Amount]]</f>
        <v>328807</v>
      </c>
      <c r="O3910" s="34" t="s">
        <v>3561</v>
      </c>
      <c r="P3910" s="34" t="s">
        <v>3562</v>
      </c>
      <c r="Q3910" s="165">
        <f>IF(Sales[[#This Row],[Status]]="Cancelled",0,Sales[[#This Row],[Qty]])</f>
        <v>5</v>
      </c>
      <c r="R3910" s="166">
        <f>IF(Sales[[#This Row],[Status]]="Cancelled",0,Sales[[#This Row],[Total Amount]])</f>
        <v>328807</v>
      </c>
      <c r="S3910" s="162">
        <f>SUM(Sales[Net Amount])</f>
        <v>406839287.73200053</v>
      </c>
    </row>
    <row r="3911" spans="1:19" ht="18.75" x14ac:dyDescent="0.25">
      <c r="A3911" s="156" t="s">
        <v>7584</v>
      </c>
      <c r="B3911" s="157">
        <v>45971</v>
      </c>
      <c r="C3911" s="158" t="s">
        <v>678</v>
      </c>
      <c r="D3911" s="159" t="str">
        <f>VLOOKUP(Sales[[#This Row],[Customer ID]],Customer[#All],2,0)</f>
        <v>Ankit Gupta</v>
      </c>
      <c r="E3911" s="158" t="s">
        <v>362</v>
      </c>
      <c r="F3911" s="158" t="str">
        <f>VLOOKUP(Sales[[#This Row],[Product ID]],Product[#All],2,0)</f>
        <v>Dell Power Adapter</v>
      </c>
      <c r="G3911" s="159">
        <v>5</v>
      </c>
      <c r="H3911" s="160">
        <f>VLOOKUP(Sales[[#This Row],[Product ID]],Product[#All],7,0)</f>
        <v>4050</v>
      </c>
      <c r="I3911" s="160">
        <f>Sales[[#This Row],[Selling Rate]]*Sales[[#This Row],[Qty]]</f>
        <v>20250</v>
      </c>
      <c r="J3911" s="43">
        <v>0</v>
      </c>
      <c r="K3911" s="44">
        <f>Sales[[#This Row],[Gross Amount]]*Sales[[#This Row],[Disc %]]</f>
        <v>0</v>
      </c>
      <c r="L3911" s="43">
        <v>0.18</v>
      </c>
      <c r="M3911" s="44">
        <f>(Sales[[#This Row],[Gross Amount]]-Sales[[#This Row],[Disc. Amt.]])*Sales[[#This Row],[GST %]]</f>
        <v>3645</v>
      </c>
      <c r="N3911" s="161">
        <f>Sales[[#This Row],[Gross Amount]]-Sales[[#This Row],[Disc. Amt.]]+Sales[[#This Row],[GST Amount]]</f>
        <v>23895</v>
      </c>
      <c r="O3911" s="158" t="s">
        <v>3566</v>
      </c>
      <c r="P3911" s="158" t="s">
        <v>3562</v>
      </c>
      <c r="Q3911" s="160">
        <f>IF(Sales[[#This Row],[Status]]="Cancelled",0,Sales[[#This Row],[Qty]])</f>
        <v>5</v>
      </c>
      <c r="R3911" s="161">
        <f>IF(Sales[[#This Row],[Status]]="Cancelled",0,Sales[[#This Row],[Total Amount]])</f>
        <v>23895</v>
      </c>
      <c r="S3911" s="162">
        <f>SUM(Sales[Net Amount])</f>
        <v>406839287.73200053</v>
      </c>
    </row>
    <row r="3912" spans="1:19" ht="18.75" x14ac:dyDescent="0.25">
      <c r="A3912" s="163" t="s">
        <v>7585</v>
      </c>
      <c r="B3912" s="164">
        <v>45971</v>
      </c>
      <c r="C3912" s="34" t="s">
        <v>652</v>
      </c>
      <c r="D3912" s="53" t="str">
        <f>VLOOKUP(Sales[[#This Row],[Customer ID]],Customer[#All],2,0)</f>
        <v>Sahil Kumar</v>
      </c>
      <c r="E3912" s="34" t="s">
        <v>226</v>
      </c>
      <c r="F3912" s="34" t="str">
        <f>VLOOKUP(Sales[[#This Row],[Product ID]],Product[#All],2,0)</f>
        <v>Jbl Speaker</v>
      </c>
      <c r="G3912" s="53">
        <v>2</v>
      </c>
      <c r="H3912" s="165">
        <f>VLOOKUP(Sales[[#This Row],[Product ID]],Product[#All],7,0)</f>
        <v>5020</v>
      </c>
      <c r="I3912" s="165">
        <f>Sales[[#This Row],[Selling Rate]]*Sales[[#This Row],[Qty]]</f>
        <v>10040</v>
      </c>
      <c r="J3912" s="45">
        <v>0.05</v>
      </c>
      <c r="K3912" s="46">
        <f>Sales[[#This Row],[Gross Amount]]*Sales[[#This Row],[Disc %]]</f>
        <v>502</v>
      </c>
      <c r="L3912" s="43">
        <v>0.18</v>
      </c>
      <c r="M3912" s="46">
        <f>(Sales[[#This Row],[Gross Amount]]-Sales[[#This Row],[Disc. Amt.]])*Sales[[#This Row],[GST %]]</f>
        <v>1716.84</v>
      </c>
      <c r="N3912" s="161">
        <f>Sales[[#This Row],[Gross Amount]]-Sales[[#This Row],[Disc. Amt.]]+Sales[[#This Row],[GST Amount]]</f>
        <v>11254.84</v>
      </c>
      <c r="O3912" s="34" t="s">
        <v>3569</v>
      </c>
      <c r="P3912" s="34" t="s">
        <v>3562</v>
      </c>
      <c r="Q3912" s="165">
        <f>IF(Sales[[#This Row],[Status]]="Cancelled",0,Sales[[#This Row],[Qty]])</f>
        <v>2</v>
      </c>
      <c r="R3912" s="166">
        <f>IF(Sales[[#This Row],[Status]]="Cancelled",0,Sales[[#This Row],[Total Amount]])</f>
        <v>11254.84</v>
      </c>
      <c r="S3912" s="162">
        <f>SUM(Sales[Net Amount])</f>
        <v>406839287.73200053</v>
      </c>
    </row>
    <row r="3913" spans="1:19" ht="18.75" x14ac:dyDescent="0.25">
      <c r="A3913" s="156" t="s">
        <v>7586</v>
      </c>
      <c r="B3913" s="157">
        <v>45971</v>
      </c>
      <c r="C3913" s="158" t="s">
        <v>682</v>
      </c>
      <c r="D3913" s="159" t="str">
        <f>VLOOKUP(Sales[[#This Row],[Customer ID]],Customer[#All],2,0)</f>
        <v>Rahul Sharma</v>
      </c>
      <c r="E3913" s="158" t="s">
        <v>343</v>
      </c>
      <c r="F3913" s="158" t="str">
        <f>VLOOKUP(Sales[[#This Row],[Product ID]],Product[#All],2,0)</f>
        <v>Portronics USB Cable</v>
      </c>
      <c r="G3913" s="159">
        <v>7</v>
      </c>
      <c r="H3913" s="160">
        <f>VLOOKUP(Sales[[#This Row],[Product ID]],Product[#All],7,0)</f>
        <v>780</v>
      </c>
      <c r="I3913" s="160">
        <f>Sales[[#This Row],[Selling Rate]]*Sales[[#This Row],[Qty]]</f>
        <v>5460</v>
      </c>
      <c r="J3913" s="43">
        <v>0.02</v>
      </c>
      <c r="K3913" s="44">
        <f>Sales[[#This Row],[Gross Amount]]*Sales[[#This Row],[Disc %]]</f>
        <v>109.2</v>
      </c>
      <c r="L3913" s="43">
        <v>0.18</v>
      </c>
      <c r="M3913" s="44">
        <f>(Sales[[#This Row],[Gross Amount]]-Sales[[#This Row],[Disc. Amt.]])*Sales[[#This Row],[GST %]]</f>
        <v>963.14400000000001</v>
      </c>
      <c r="N3913" s="161">
        <f>Sales[[#This Row],[Gross Amount]]-Sales[[#This Row],[Disc. Amt.]]+Sales[[#This Row],[GST Amount]]</f>
        <v>6313.9440000000004</v>
      </c>
      <c r="O3913" s="158" t="s">
        <v>3566</v>
      </c>
      <c r="P3913" s="158" t="s">
        <v>3562</v>
      </c>
      <c r="Q3913" s="160">
        <f>IF(Sales[[#This Row],[Status]]="Cancelled",0,Sales[[#This Row],[Qty]])</f>
        <v>7</v>
      </c>
      <c r="R3913" s="161">
        <f>IF(Sales[[#This Row],[Status]]="Cancelled",0,Sales[[#This Row],[Total Amount]])</f>
        <v>6313.9440000000004</v>
      </c>
      <c r="S3913" s="162">
        <f>SUM(Sales[Net Amount])</f>
        <v>406839287.73200053</v>
      </c>
    </row>
    <row r="3914" spans="1:19" ht="18.75" x14ac:dyDescent="0.25">
      <c r="A3914" s="163" t="s">
        <v>7587</v>
      </c>
      <c r="B3914" s="164">
        <v>45971</v>
      </c>
      <c r="C3914" s="34" t="s">
        <v>802</v>
      </c>
      <c r="D3914" s="53" t="str">
        <f>VLOOKUP(Sales[[#This Row],[Customer ID]],Customer[#All],2,0)</f>
        <v>Rakesh Patel</v>
      </c>
      <c r="E3914" s="34" t="s">
        <v>432</v>
      </c>
      <c r="F3914" s="34" t="str">
        <f>VLOOKUP(Sales[[#This Row],[Product ID]],Product[#All],2,0)</f>
        <v>Boat Speaker</v>
      </c>
      <c r="G3914" s="53">
        <v>3</v>
      </c>
      <c r="H3914" s="165">
        <f>VLOOKUP(Sales[[#This Row],[Product ID]],Product[#All],7,0)</f>
        <v>750</v>
      </c>
      <c r="I3914" s="165">
        <f>Sales[[#This Row],[Selling Rate]]*Sales[[#This Row],[Qty]]</f>
        <v>2250</v>
      </c>
      <c r="J3914" s="45">
        <v>0</v>
      </c>
      <c r="K3914" s="46">
        <f>Sales[[#This Row],[Gross Amount]]*Sales[[#This Row],[Disc %]]</f>
        <v>0</v>
      </c>
      <c r="L3914" s="43">
        <v>0.18</v>
      </c>
      <c r="M3914" s="46">
        <f>(Sales[[#This Row],[Gross Amount]]-Sales[[#This Row],[Disc. Amt.]])*Sales[[#This Row],[GST %]]</f>
        <v>405</v>
      </c>
      <c r="N3914" s="161">
        <f>Sales[[#This Row],[Gross Amount]]-Sales[[#This Row],[Disc. Amt.]]+Sales[[#This Row],[GST Amount]]</f>
        <v>2655</v>
      </c>
      <c r="O3914" s="34" t="s">
        <v>3566</v>
      </c>
      <c r="P3914" s="34" t="s">
        <v>3562</v>
      </c>
      <c r="Q3914" s="165">
        <f>IF(Sales[[#This Row],[Status]]="Cancelled",0,Sales[[#This Row],[Qty]])</f>
        <v>3</v>
      </c>
      <c r="R3914" s="166">
        <f>IF(Sales[[#This Row],[Status]]="Cancelled",0,Sales[[#This Row],[Total Amount]])</f>
        <v>2655</v>
      </c>
      <c r="S3914" s="162">
        <f>SUM(Sales[Net Amount])</f>
        <v>406839287.73200053</v>
      </c>
    </row>
    <row r="3915" spans="1:19" ht="18.75" x14ac:dyDescent="0.25">
      <c r="A3915" s="156" t="s">
        <v>7588</v>
      </c>
      <c r="B3915" s="157">
        <v>45971</v>
      </c>
      <c r="C3915" s="158" t="s">
        <v>726</v>
      </c>
      <c r="D3915" s="159" t="str">
        <f>VLOOKUP(Sales[[#This Row],[Customer ID]],Customer[#All],2,0)</f>
        <v>Priya Singh</v>
      </c>
      <c r="E3915" s="158" t="s">
        <v>281</v>
      </c>
      <c r="F3915" s="158" t="str">
        <f>VLOOKUP(Sales[[#This Row],[Product ID]],Product[#All],2,0)</f>
        <v>Canon Printer</v>
      </c>
      <c r="G3915" s="159">
        <v>3</v>
      </c>
      <c r="H3915" s="160">
        <f>VLOOKUP(Sales[[#This Row],[Product ID]],Product[#All],7,0)</f>
        <v>11560</v>
      </c>
      <c r="I3915" s="160">
        <f>Sales[[#This Row],[Selling Rate]]*Sales[[#This Row],[Qty]]</f>
        <v>34680</v>
      </c>
      <c r="J3915" s="43">
        <v>0.15</v>
      </c>
      <c r="K3915" s="44">
        <f>Sales[[#This Row],[Gross Amount]]*Sales[[#This Row],[Disc %]]</f>
        <v>5202</v>
      </c>
      <c r="L3915" s="43">
        <v>0.18</v>
      </c>
      <c r="M3915" s="44">
        <f>(Sales[[#This Row],[Gross Amount]]-Sales[[#This Row],[Disc. Amt.]])*Sales[[#This Row],[GST %]]</f>
        <v>5306.04</v>
      </c>
      <c r="N3915" s="161">
        <f>Sales[[#This Row],[Gross Amount]]-Sales[[#This Row],[Disc. Amt.]]+Sales[[#This Row],[GST Amount]]</f>
        <v>34784.04</v>
      </c>
      <c r="O3915" s="158" t="s">
        <v>8876</v>
      </c>
      <c r="P3915" s="158" t="s">
        <v>3562</v>
      </c>
      <c r="Q3915" s="160">
        <f>IF(Sales[[#This Row],[Status]]="Cancelled",0,Sales[[#This Row],[Qty]])</f>
        <v>3</v>
      </c>
      <c r="R3915" s="161">
        <f>IF(Sales[[#This Row],[Status]]="Cancelled",0,Sales[[#This Row],[Total Amount]])</f>
        <v>34784.04</v>
      </c>
      <c r="S3915" s="162">
        <f>SUM(Sales[Net Amount])</f>
        <v>406839287.73200053</v>
      </c>
    </row>
    <row r="3916" spans="1:19" ht="18.75" x14ac:dyDescent="0.25">
      <c r="A3916" s="163" t="s">
        <v>7589</v>
      </c>
      <c r="B3916" s="164">
        <v>45971</v>
      </c>
      <c r="C3916" s="34" t="s">
        <v>733</v>
      </c>
      <c r="D3916" s="53" t="str">
        <f>VLOOKUP(Sales[[#This Row],[Customer ID]],Customer[#All],2,0)</f>
        <v>Vikas Kumar</v>
      </c>
      <c r="E3916" s="34" t="s">
        <v>59</v>
      </c>
      <c r="F3916" s="34" t="str">
        <f>VLOOKUP(Sales[[#This Row],[Product ID]],Product[#All],2,0)</f>
        <v>Amazon Basics Hdmi Cable</v>
      </c>
      <c r="G3916" s="53">
        <v>4</v>
      </c>
      <c r="H3916" s="165">
        <f>VLOOKUP(Sales[[#This Row],[Product ID]],Product[#All],7,0)</f>
        <v>1160</v>
      </c>
      <c r="I3916" s="165">
        <f>Sales[[#This Row],[Selling Rate]]*Sales[[#This Row],[Qty]]</f>
        <v>4640</v>
      </c>
      <c r="J3916" s="45">
        <v>0.15</v>
      </c>
      <c r="K3916" s="46">
        <f>Sales[[#This Row],[Gross Amount]]*Sales[[#This Row],[Disc %]]</f>
        <v>696</v>
      </c>
      <c r="L3916" s="43">
        <v>0.18</v>
      </c>
      <c r="M3916" s="46">
        <f>(Sales[[#This Row],[Gross Amount]]-Sales[[#This Row],[Disc. Amt.]])*Sales[[#This Row],[GST %]]</f>
        <v>709.92</v>
      </c>
      <c r="N3916" s="161">
        <f>Sales[[#This Row],[Gross Amount]]-Sales[[#This Row],[Disc. Amt.]]+Sales[[#This Row],[GST Amount]]</f>
        <v>4653.92</v>
      </c>
      <c r="O3916" s="34" t="s">
        <v>3561</v>
      </c>
      <c r="P3916" s="34" t="s">
        <v>3562</v>
      </c>
      <c r="Q3916" s="165">
        <f>IF(Sales[[#This Row],[Status]]="Cancelled",0,Sales[[#This Row],[Qty]])</f>
        <v>4</v>
      </c>
      <c r="R3916" s="166">
        <f>IF(Sales[[#This Row],[Status]]="Cancelled",0,Sales[[#This Row],[Total Amount]])</f>
        <v>4653.92</v>
      </c>
      <c r="S3916" s="162">
        <f>SUM(Sales[Net Amount])</f>
        <v>406839287.73200053</v>
      </c>
    </row>
    <row r="3917" spans="1:19" ht="18.75" x14ac:dyDescent="0.25">
      <c r="A3917" s="156" t="s">
        <v>7590</v>
      </c>
      <c r="B3917" s="157">
        <v>45971</v>
      </c>
      <c r="C3917" s="158" t="s">
        <v>890</v>
      </c>
      <c r="D3917" s="159" t="str">
        <f>VLOOKUP(Sales[[#This Row],[Customer ID]],Customer[#All],2,0)</f>
        <v>Rakesh Patel</v>
      </c>
      <c r="E3917" s="158" t="s">
        <v>166</v>
      </c>
      <c r="F3917" s="158" t="str">
        <f>VLOOKUP(Sales[[#This Row],[Product ID]],Product[#All],2,0)</f>
        <v>Canon Printer</v>
      </c>
      <c r="G3917" s="159">
        <v>3</v>
      </c>
      <c r="H3917" s="160">
        <f>VLOOKUP(Sales[[#This Row],[Product ID]],Product[#All],7,0)</f>
        <v>36680</v>
      </c>
      <c r="I3917" s="160">
        <f>Sales[[#This Row],[Selling Rate]]*Sales[[#This Row],[Qty]]</f>
        <v>110040</v>
      </c>
      <c r="J3917" s="43">
        <v>0.1</v>
      </c>
      <c r="K3917" s="44">
        <f>Sales[[#This Row],[Gross Amount]]*Sales[[#This Row],[Disc %]]</f>
        <v>11004</v>
      </c>
      <c r="L3917" s="43">
        <v>0.18</v>
      </c>
      <c r="M3917" s="44">
        <f>(Sales[[#This Row],[Gross Amount]]-Sales[[#This Row],[Disc. Amt.]])*Sales[[#This Row],[GST %]]</f>
        <v>17826.48</v>
      </c>
      <c r="N3917" s="161">
        <f>Sales[[#This Row],[Gross Amount]]-Sales[[#This Row],[Disc. Amt.]]+Sales[[#This Row],[GST Amount]]</f>
        <v>116862.48</v>
      </c>
      <c r="O3917" s="158" t="s">
        <v>3561</v>
      </c>
      <c r="P3917" s="158" t="s">
        <v>3562</v>
      </c>
      <c r="Q3917" s="160">
        <f>IF(Sales[[#This Row],[Status]]="Cancelled",0,Sales[[#This Row],[Qty]])</f>
        <v>3</v>
      </c>
      <c r="R3917" s="161">
        <f>IF(Sales[[#This Row],[Status]]="Cancelled",0,Sales[[#This Row],[Total Amount]])</f>
        <v>116862.48</v>
      </c>
      <c r="S3917" s="162">
        <f>SUM(Sales[Net Amount])</f>
        <v>406839287.73200053</v>
      </c>
    </row>
    <row r="3918" spans="1:19" ht="18.75" x14ac:dyDescent="0.25">
      <c r="A3918" s="163" t="s">
        <v>7591</v>
      </c>
      <c r="B3918" s="164">
        <v>45971</v>
      </c>
      <c r="C3918" s="34" t="s">
        <v>7592</v>
      </c>
      <c r="D3918" s="53" t="str">
        <f>VLOOKUP(Sales[[#This Row],[Customer ID]],Customer[#All],2,0)</f>
        <v>Rakesh Kumar</v>
      </c>
      <c r="E3918" s="34" t="s">
        <v>100</v>
      </c>
      <c r="F3918" s="34" t="str">
        <f>VLOOKUP(Sales[[#This Row],[Product ID]],Product[#All],2,0)</f>
        <v>Portronics USB Cable</v>
      </c>
      <c r="G3918" s="53">
        <v>7</v>
      </c>
      <c r="H3918" s="165">
        <f>VLOOKUP(Sales[[#This Row],[Product ID]],Product[#All],7,0)</f>
        <v>210</v>
      </c>
      <c r="I3918" s="165">
        <f>Sales[[#This Row],[Selling Rate]]*Sales[[#This Row],[Qty]]</f>
        <v>1470</v>
      </c>
      <c r="J3918" s="45">
        <v>0.02</v>
      </c>
      <c r="K3918" s="46">
        <f>Sales[[#This Row],[Gross Amount]]*Sales[[#This Row],[Disc %]]</f>
        <v>29.400000000000002</v>
      </c>
      <c r="L3918" s="43">
        <v>0.18</v>
      </c>
      <c r="M3918" s="46">
        <f>(Sales[[#This Row],[Gross Amount]]-Sales[[#This Row],[Disc. Amt.]])*Sales[[#This Row],[GST %]]</f>
        <v>259.30799999999999</v>
      </c>
      <c r="N3918" s="161">
        <f>Sales[[#This Row],[Gross Amount]]-Sales[[#This Row],[Disc. Amt.]]+Sales[[#This Row],[GST Amount]]</f>
        <v>1699.9079999999999</v>
      </c>
      <c r="O3918" s="34" t="s">
        <v>3566</v>
      </c>
      <c r="P3918" s="34" t="s">
        <v>3562</v>
      </c>
      <c r="Q3918" s="165">
        <f>IF(Sales[[#This Row],[Status]]="Cancelled",0,Sales[[#This Row],[Qty]])</f>
        <v>7</v>
      </c>
      <c r="R3918" s="166">
        <f>IF(Sales[[#This Row],[Status]]="Cancelled",0,Sales[[#This Row],[Total Amount]])</f>
        <v>1699.9079999999999</v>
      </c>
      <c r="S3918" s="162">
        <f>SUM(Sales[Net Amount])</f>
        <v>406839287.73200053</v>
      </c>
    </row>
    <row r="3919" spans="1:19" ht="18.75" x14ac:dyDescent="0.25">
      <c r="A3919" s="156" t="s">
        <v>7593</v>
      </c>
      <c r="B3919" s="157">
        <v>45971</v>
      </c>
      <c r="C3919" s="158" t="s">
        <v>829</v>
      </c>
      <c r="D3919" s="159" t="str">
        <f>VLOOKUP(Sales[[#This Row],[Customer ID]],Customer[#All],2,0)</f>
        <v>Pooja Patel</v>
      </c>
      <c r="E3919" s="158" t="s">
        <v>104</v>
      </c>
      <c r="F3919" s="158" t="str">
        <f>VLOOKUP(Sales[[#This Row],[Product ID]],Product[#All],2,0)</f>
        <v>Canon Printer</v>
      </c>
      <c r="G3919" s="159">
        <v>7</v>
      </c>
      <c r="H3919" s="160">
        <f>VLOOKUP(Sales[[#This Row],[Product ID]],Product[#All],7,0)</f>
        <v>49170</v>
      </c>
      <c r="I3919" s="160">
        <f>Sales[[#This Row],[Selling Rate]]*Sales[[#This Row],[Qty]]</f>
        <v>344190</v>
      </c>
      <c r="J3919" s="43">
        <v>0</v>
      </c>
      <c r="K3919" s="44">
        <f>Sales[[#This Row],[Gross Amount]]*Sales[[#This Row],[Disc %]]</f>
        <v>0</v>
      </c>
      <c r="L3919" s="43">
        <v>0.18</v>
      </c>
      <c r="M3919" s="44">
        <f>(Sales[[#This Row],[Gross Amount]]-Sales[[#This Row],[Disc. Amt.]])*Sales[[#This Row],[GST %]]</f>
        <v>61954.2</v>
      </c>
      <c r="N3919" s="161">
        <f>Sales[[#This Row],[Gross Amount]]-Sales[[#This Row],[Disc. Amt.]]+Sales[[#This Row],[GST Amount]]</f>
        <v>406144.2</v>
      </c>
      <c r="O3919" s="158" t="s">
        <v>3561</v>
      </c>
      <c r="P3919" s="158" t="s">
        <v>3562</v>
      </c>
      <c r="Q3919" s="160">
        <f>IF(Sales[[#This Row],[Status]]="Cancelled",0,Sales[[#This Row],[Qty]])</f>
        <v>7</v>
      </c>
      <c r="R3919" s="161">
        <f>IF(Sales[[#This Row],[Status]]="Cancelled",0,Sales[[#This Row],[Total Amount]])</f>
        <v>406144.2</v>
      </c>
      <c r="S3919" s="162">
        <f>SUM(Sales[Net Amount])</f>
        <v>406839287.73200053</v>
      </c>
    </row>
    <row r="3920" spans="1:19" ht="18.75" x14ac:dyDescent="0.25">
      <c r="A3920" s="163" t="s">
        <v>7594</v>
      </c>
      <c r="B3920" s="164">
        <v>45971</v>
      </c>
      <c r="C3920" s="34" t="s">
        <v>948</v>
      </c>
      <c r="D3920" s="53" t="str">
        <f>VLOOKUP(Sales[[#This Row],[Customer ID]],Customer[#All],2,0)</f>
        <v>Pooja Patel</v>
      </c>
      <c r="E3920" s="34" t="s">
        <v>152</v>
      </c>
      <c r="F3920" s="34" t="str">
        <f>VLOOKUP(Sales[[#This Row],[Product ID]],Product[#All],2,0)</f>
        <v>Acer Laptop</v>
      </c>
      <c r="G3920" s="53">
        <v>7</v>
      </c>
      <c r="H3920" s="165">
        <f>VLOOKUP(Sales[[#This Row],[Product ID]],Product[#All],7,0)</f>
        <v>33410</v>
      </c>
      <c r="I3920" s="165">
        <f>Sales[[#This Row],[Selling Rate]]*Sales[[#This Row],[Qty]]</f>
        <v>233870</v>
      </c>
      <c r="J3920" s="45">
        <v>0</v>
      </c>
      <c r="K3920" s="46">
        <f>Sales[[#This Row],[Gross Amount]]*Sales[[#This Row],[Disc %]]</f>
        <v>0</v>
      </c>
      <c r="L3920" s="43">
        <v>0.18</v>
      </c>
      <c r="M3920" s="46">
        <f>(Sales[[#This Row],[Gross Amount]]-Sales[[#This Row],[Disc. Amt.]])*Sales[[#This Row],[GST %]]</f>
        <v>42096.6</v>
      </c>
      <c r="N3920" s="161">
        <f>Sales[[#This Row],[Gross Amount]]-Sales[[#This Row],[Disc. Amt.]]+Sales[[#This Row],[GST Amount]]</f>
        <v>275966.59999999998</v>
      </c>
      <c r="O3920" s="34" t="s">
        <v>3569</v>
      </c>
      <c r="P3920" s="34" t="s">
        <v>3562</v>
      </c>
      <c r="Q3920" s="165">
        <f>IF(Sales[[#This Row],[Status]]="Cancelled",0,Sales[[#This Row],[Qty]])</f>
        <v>7</v>
      </c>
      <c r="R3920" s="166">
        <f>IF(Sales[[#This Row],[Status]]="Cancelled",0,Sales[[#This Row],[Total Amount]])</f>
        <v>275966.59999999998</v>
      </c>
      <c r="S3920" s="162">
        <f>SUM(Sales[Net Amount])</f>
        <v>406839287.73200053</v>
      </c>
    </row>
    <row r="3921" spans="1:19" ht="18.75" x14ac:dyDescent="0.25">
      <c r="A3921" s="156" t="s">
        <v>7595</v>
      </c>
      <c r="B3921" s="157">
        <v>45971</v>
      </c>
      <c r="C3921" s="158" t="s">
        <v>703</v>
      </c>
      <c r="D3921" s="159" t="str">
        <f>VLOOKUP(Sales[[#This Row],[Customer ID]],Customer[#All],2,0)</f>
        <v>Rahul Singh</v>
      </c>
      <c r="E3921" s="158" t="s">
        <v>85</v>
      </c>
      <c r="F3921" s="158" t="str">
        <f>VLOOKUP(Sales[[#This Row],[Product ID]],Product[#All],2,0)</f>
        <v>Apc UPS</v>
      </c>
      <c r="G3921" s="159">
        <v>8</v>
      </c>
      <c r="H3921" s="160">
        <f>VLOOKUP(Sales[[#This Row],[Product ID]],Product[#All],7,0)</f>
        <v>8770</v>
      </c>
      <c r="I3921" s="160">
        <f>Sales[[#This Row],[Selling Rate]]*Sales[[#This Row],[Qty]]</f>
        <v>70160</v>
      </c>
      <c r="J3921" s="43">
        <v>0.12</v>
      </c>
      <c r="K3921" s="44">
        <f>Sales[[#This Row],[Gross Amount]]*Sales[[#This Row],[Disc %]]</f>
        <v>8419.1999999999989</v>
      </c>
      <c r="L3921" s="43">
        <v>0.18</v>
      </c>
      <c r="M3921" s="44">
        <f>(Sales[[#This Row],[Gross Amount]]-Sales[[#This Row],[Disc. Amt.]])*Sales[[#This Row],[GST %]]</f>
        <v>11113.344000000001</v>
      </c>
      <c r="N3921" s="161">
        <f>Sales[[#This Row],[Gross Amount]]-Sales[[#This Row],[Disc. Amt.]]+Sales[[#This Row],[GST Amount]]</f>
        <v>72854.144</v>
      </c>
      <c r="O3921" s="158" t="s">
        <v>3569</v>
      </c>
      <c r="P3921" s="158" t="s">
        <v>3562</v>
      </c>
      <c r="Q3921" s="160">
        <f>IF(Sales[[#This Row],[Status]]="Cancelled",0,Sales[[#This Row],[Qty]])</f>
        <v>8</v>
      </c>
      <c r="R3921" s="161">
        <f>IF(Sales[[#This Row],[Status]]="Cancelled",0,Sales[[#This Row],[Total Amount]])</f>
        <v>72854.144</v>
      </c>
      <c r="S3921" s="162">
        <f>SUM(Sales[Net Amount])</f>
        <v>406839287.73200053</v>
      </c>
    </row>
    <row r="3922" spans="1:19" ht="18.75" x14ac:dyDescent="0.25">
      <c r="A3922" s="163" t="s">
        <v>7596</v>
      </c>
      <c r="B3922" s="164">
        <v>45972</v>
      </c>
      <c r="C3922" s="34" t="s">
        <v>747</v>
      </c>
      <c r="D3922" s="53" t="str">
        <f>VLOOKUP(Sales[[#This Row],[Customer ID]],Customer[#All],2,0)</f>
        <v>Sunita Gupta</v>
      </c>
      <c r="E3922" s="34" t="s">
        <v>223</v>
      </c>
      <c r="F3922" s="34" t="str">
        <f>VLOOKUP(Sales[[#This Row],[Product ID]],Product[#All],2,0)</f>
        <v>Dell Monitor</v>
      </c>
      <c r="G3922" s="53">
        <v>1</v>
      </c>
      <c r="H3922" s="165">
        <f>VLOOKUP(Sales[[#This Row],[Product ID]],Product[#All],7,0)</f>
        <v>9980</v>
      </c>
      <c r="I3922" s="165">
        <f>Sales[[#This Row],[Selling Rate]]*Sales[[#This Row],[Qty]]</f>
        <v>9980</v>
      </c>
      <c r="J3922" s="45">
        <v>0.15</v>
      </c>
      <c r="K3922" s="46">
        <f>Sales[[#This Row],[Gross Amount]]*Sales[[#This Row],[Disc %]]</f>
        <v>1497</v>
      </c>
      <c r="L3922" s="43">
        <v>0.18</v>
      </c>
      <c r="M3922" s="46">
        <f>(Sales[[#This Row],[Gross Amount]]-Sales[[#This Row],[Disc. Amt.]])*Sales[[#This Row],[GST %]]</f>
        <v>1526.94</v>
      </c>
      <c r="N3922" s="161">
        <f>Sales[[#This Row],[Gross Amount]]-Sales[[#This Row],[Disc. Amt.]]+Sales[[#This Row],[GST Amount]]</f>
        <v>10009.94</v>
      </c>
      <c r="O3922" s="34" t="s">
        <v>8876</v>
      </c>
      <c r="P3922" s="34" t="s">
        <v>3562</v>
      </c>
      <c r="Q3922" s="165">
        <f>IF(Sales[[#This Row],[Status]]="Cancelled",0,Sales[[#This Row],[Qty]])</f>
        <v>1</v>
      </c>
      <c r="R3922" s="166">
        <f>IF(Sales[[#This Row],[Status]]="Cancelled",0,Sales[[#This Row],[Total Amount]])</f>
        <v>10009.94</v>
      </c>
      <c r="S3922" s="162">
        <f>SUM(Sales[Net Amount])</f>
        <v>406839287.73200053</v>
      </c>
    </row>
    <row r="3923" spans="1:19" ht="18.75" x14ac:dyDescent="0.25">
      <c r="A3923" s="156" t="s">
        <v>7597</v>
      </c>
      <c r="B3923" s="157">
        <v>45972</v>
      </c>
      <c r="C3923" s="158" t="s">
        <v>933</v>
      </c>
      <c r="D3923" s="159" t="str">
        <f>VLOOKUP(Sales[[#This Row],[Customer ID]],Customer[#All],2,0)</f>
        <v>Vikas Verma</v>
      </c>
      <c r="E3923" s="158" t="s">
        <v>122</v>
      </c>
      <c r="F3923" s="158" t="str">
        <f>VLOOKUP(Sales[[#This Row],[Product ID]],Product[#All],2,0)</f>
        <v>HP Mouse</v>
      </c>
      <c r="G3923" s="159">
        <v>8</v>
      </c>
      <c r="H3923" s="160">
        <f>VLOOKUP(Sales[[#This Row],[Product ID]],Product[#All],7,0)</f>
        <v>1980</v>
      </c>
      <c r="I3923" s="160">
        <f>Sales[[#This Row],[Selling Rate]]*Sales[[#This Row],[Qty]]</f>
        <v>15840</v>
      </c>
      <c r="J3923" s="43">
        <v>0.05</v>
      </c>
      <c r="K3923" s="44">
        <f>Sales[[#This Row],[Gross Amount]]*Sales[[#This Row],[Disc %]]</f>
        <v>792</v>
      </c>
      <c r="L3923" s="43">
        <v>0.18</v>
      </c>
      <c r="M3923" s="44">
        <f>(Sales[[#This Row],[Gross Amount]]-Sales[[#This Row],[Disc. Amt.]])*Sales[[#This Row],[GST %]]</f>
        <v>2708.64</v>
      </c>
      <c r="N3923" s="161">
        <f>Sales[[#This Row],[Gross Amount]]-Sales[[#This Row],[Disc. Amt.]]+Sales[[#This Row],[GST Amount]]</f>
        <v>17756.64</v>
      </c>
      <c r="O3923" s="158" t="s">
        <v>3566</v>
      </c>
      <c r="P3923" s="158" t="s">
        <v>3562</v>
      </c>
      <c r="Q3923" s="160">
        <f>IF(Sales[[#This Row],[Status]]="Cancelled",0,Sales[[#This Row],[Qty]])</f>
        <v>8</v>
      </c>
      <c r="R3923" s="161">
        <f>IF(Sales[[#This Row],[Status]]="Cancelled",0,Sales[[#This Row],[Total Amount]])</f>
        <v>17756.64</v>
      </c>
      <c r="S3923" s="162">
        <f>SUM(Sales[Net Amount])</f>
        <v>406839287.73200053</v>
      </c>
    </row>
    <row r="3924" spans="1:19" ht="18.75" x14ac:dyDescent="0.25">
      <c r="A3924" s="163" t="s">
        <v>7598</v>
      </c>
      <c r="B3924" s="164">
        <v>45972</v>
      </c>
      <c r="C3924" s="34" t="s">
        <v>7599</v>
      </c>
      <c r="D3924" s="53" t="str">
        <f>VLOOKUP(Sales[[#This Row],[Customer ID]],Customer[#All],2,0)</f>
        <v>Pooja Verma</v>
      </c>
      <c r="E3924" s="34" t="s">
        <v>532</v>
      </c>
      <c r="F3924" s="34" t="str">
        <f>VLOOKUP(Sales[[#This Row],[Product ID]],Product[#All],2,0)</f>
        <v>Dell Laptop</v>
      </c>
      <c r="G3924" s="53">
        <v>7</v>
      </c>
      <c r="H3924" s="165">
        <f>VLOOKUP(Sales[[#This Row],[Product ID]],Product[#All],7,0)</f>
        <v>47550</v>
      </c>
      <c r="I3924" s="165">
        <f>Sales[[#This Row],[Selling Rate]]*Sales[[#This Row],[Qty]]</f>
        <v>332850</v>
      </c>
      <c r="J3924" s="45">
        <v>0.05</v>
      </c>
      <c r="K3924" s="46">
        <f>Sales[[#This Row],[Gross Amount]]*Sales[[#This Row],[Disc %]]</f>
        <v>16642.5</v>
      </c>
      <c r="L3924" s="43">
        <v>0.18</v>
      </c>
      <c r="M3924" s="46">
        <f>(Sales[[#This Row],[Gross Amount]]-Sales[[#This Row],[Disc. Amt.]])*Sales[[#This Row],[GST %]]</f>
        <v>56917.35</v>
      </c>
      <c r="N3924" s="161">
        <f>Sales[[#This Row],[Gross Amount]]-Sales[[#This Row],[Disc. Amt.]]+Sales[[#This Row],[GST Amount]]</f>
        <v>373124.85</v>
      </c>
      <c r="O3924" s="34" t="s">
        <v>3561</v>
      </c>
      <c r="P3924" s="34" t="s">
        <v>3562</v>
      </c>
      <c r="Q3924" s="165">
        <f>IF(Sales[[#This Row],[Status]]="Cancelled",0,Sales[[#This Row],[Qty]])</f>
        <v>7</v>
      </c>
      <c r="R3924" s="166">
        <f>IF(Sales[[#This Row],[Status]]="Cancelled",0,Sales[[#This Row],[Total Amount]])</f>
        <v>373124.85</v>
      </c>
      <c r="S3924" s="162">
        <f>SUM(Sales[Net Amount])</f>
        <v>406839287.73200053</v>
      </c>
    </row>
    <row r="3925" spans="1:19" ht="18.75" x14ac:dyDescent="0.25">
      <c r="A3925" s="156" t="s">
        <v>7600</v>
      </c>
      <c r="B3925" s="157">
        <v>45972</v>
      </c>
      <c r="C3925" s="158" t="s">
        <v>750</v>
      </c>
      <c r="D3925" s="159" t="str">
        <f>VLOOKUP(Sales[[#This Row],[Customer ID]],Customer[#All],2,0)</f>
        <v>Rakesh Verma</v>
      </c>
      <c r="E3925" s="158" t="s">
        <v>95</v>
      </c>
      <c r="F3925" s="158" t="str">
        <f>VLOOKUP(Sales[[#This Row],[Product ID]],Product[#All],2,0)</f>
        <v>TP-link Router</v>
      </c>
      <c r="G3925" s="159">
        <v>5</v>
      </c>
      <c r="H3925" s="160">
        <f>VLOOKUP(Sales[[#This Row],[Product ID]],Product[#All],7,0)</f>
        <v>7170</v>
      </c>
      <c r="I3925" s="160">
        <f>Sales[[#This Row],[Selling Rate]]*Sales[[#This Row],[Qty]]</f>
        <v>35850</v>
      </c>
      <c r="J3925" s="43">
        <v>0.12</v>
      </c>
      <c r="K3925" s="44">
        <f>Sales[[#This Row],[Gross Amount]]*Sales[[#This Row],[Disc %]]</f>
        <v>4302</v>
      </c>
      <c r="L3925" s="43">
        <v>0.18</v>
      </c>
      <c r="M3925" s="44">
        <f>(Sales[[#This Row],[Gross Amount]]-Sales[[#This Row],[Disc. Amt.]])*Sales[[#This Row],[GST %]]</f>
        <v>5678.6399999999994</v>
      </c>
      <c r="N3925" s="161">
        <f>Sales[[#This Row],[Gross Amount]]-Sales[[#This Row],[Disc. Amt.]]+Sales[[#This Row],[GST Amount]]</f>
        <v>37226.639999999999</v>
      </c>
      <c r="O3925" s="158" t="s">
        <v>3566</v>
      </c>
      <c r="P3925" s="158" t="s">
        <v>3562</v>
      </c>
      <c r="Q3925" s="160">
        <f>IF(Sales[[#This Row],[Status]]="Cancelled",0,Sales[[#This Row],[Qty]])</f>
        <v>5</v>
      </c>
      <c r="R3925" s="161">
        <f>IF(Sales[[#This Row],[Status]]="Cancelled",0,Sales[[#This Row],[Total Amount]])</f>
        <v>37226.639999999999</v>
      </c>
      <c r="S3925" s="162">
        <f>SUM(Sales[Net Amount])</f>
        <v>406839287.73200053</v>
      </c>
    </row>
    <row r="3926" spans="1:19" ht="18.75" x14ac:dyDescent="0.25">
      <c r="A3926" s="163" t="s">
        <v>7601</v>
      </c>
      <c r="B3926" s="164">
        <v>45972</v>
      </c>
      <c r="C3926" s="34" t="s">
        <v>799</v>
      </c>
      <c r="D3926" s="53" t="str">
        <f>VLOOKUP(Sales[[#This Row],[Customer ID]],Customer[#All],2,0)</f>
        <v>Rakesh Gupta</v>
      </c>
      <c r="E3926" s="34" t="s">
        <v>169</v>
      </c>
      <c r="F3926" s="34" t="str">
        <f>VLOOKUP(Sales[[#This Row],[Product ID]],Product[#All],2,0)</f>
        <v>Dell Monitor</v>
      </c>
      <c r="G3926" s="53">
        <v>5</v>
      </c>
      <c r="H3926" s="165">
        <f>VLOOKUP(Sales[[#This Row],[Product ID]],Product[#All],7,0)</f>
        <v>22680</v>
      </c>
      <c r="I3926" s="165">
        <f>Sales[[#This Row],[Selling Rate]]*Sales[[#This Row],[Qty]]</f>
        <v>113400</v>
      </c>
      <c r="J3926" s="45">
        <v>0.05</v>
      </c>
      <c r="K3926" s="46">
        <f>Sales[[#This Row],[Gross Amount]]*Sales[[#This Row],[Disc %]]</f>
        <v>5670</v>
      </c>
      <c r="L3926" s="43">
        <v>0.18</v>
      </c>
      <c r="M3926" s="46">
        <f>(Sales[[#This Row],[Gross Amount]]-Sales[[#This Row],[Disc. Amt.]])*Sales[[#This Row],[GST %]]</f>
        <v>19391.399999999998</v>
      </c>
      <c r="N3926" s="161">
        <f>Sales[[#This Row],[Gross Amount]]-Sales[[#This Row],[Disc. Amt.]]+Sales[[#This Row],[GST Amount]]</f>
        <v>127121.4</v>
      </c>
      <c r="O3926" s="34" t="s">
        <v>3566</v>
      </c>
      <c r="P3926" s="34" t="s">
        <v>3562</v>
      </c>
      <c r="Q3926" s="165">
        <f>IF(Sales[[#This Row],[Status]]="Cancelled",0,Sales[[#This Row],[Qty]])</f>
        <v>5</v>
      </c>
      <c r="R3926" s="166">
        <f>IF(Sales[[#This Row],[Status]]="Cancelled",0,Sales[[#This Row],[Total Amount]])</f>
        <v>127121.4</v>
      </c>
      <c r="S3926" s="162">
        <f>SUM(Sales[Net Amount])</f>
        <v>406839287.73200053</v>
      </c>
    </row>
    <row r="3927" spans="1:19" ht="18.75" x14ac:dyDescent="0.25">
      <c r="A3927" s="156" t="s">
        <v>7602</v>
      </c>
      <c r="B3927" s="157">
        <v>45972</v>
      </c>
      <c r="C3927" s="158" t="s">
        <v>738</v>
      </c>
      <c r="D3927" s="159" t="str">
        <f>VLOOKUP(Sales[[#This Row],[Customer ID]],Customer[#All],2,0)</f>
        <v>Pooja Patel</v>
      </c>
      <c r="E3927" s="158" t="s">
        <v>102</v>
      </c>
      <c r="F3927" s="158" t="str">
        <f>VLOOKUP(Sales[[#This Row],[Product ID]],Product[#All],2,0)</f>
        <v>Canon Printer</v>
      </c>
      <c r="G3927" s="159">
        <v>8</v>
      </c>
      <c r="H3927" s="160">
        <f>VLOOKUP(Sales[[#This Row],[Product ID]],Product[#All],7,0)</f>
        <v>13010</v>
      </c>
      <c r="I3927" s="160">
        <f>Sales[[#This Row],[Selling Rate]]*Sales[[#This Row],[Qty]]</f>
        <v>104080</v>
      </c>
      <c r="J3927" s="43">
        <v>0.05</v>
      </c>
      <c r="K3927" s="44">
        <f>Sales[[#This Row],[Gross Amount]]*Sales[[#This Row],[Disc %]]</f>
        <v>5204</v>
      </c>
      <c r="L3927" s="43">
        <v>0.18</v>
      </c>
      <c r="M3927" s="44">
        <f>(Sales[[#This Row],[Gross Amount]]-Sales[[#This Row],[Disc. Amt.]])*Sales[[#This Row],[GST %]]</f>
        <v>17797.68</v>
      </c>
      <c r="N3927" s="161">
        <f>Sales[[#This Row],[Gross Amount]]-Sales[[#This Row],[Disc. Amt.]]+Sales[[#This Row],[GST Amount]]</f>
        <v>116673.68</v>
      </c>
      <c r="O3927" s="158" t="s">
        <v>8876</v>
      </c>
      <c r="P3927" s="158" t="s">
        <v>3562</v>
      </c>
      <c r="Q3927" s="160">
        <f>IF(Sales[[#This Row],[Status]]="Cancelled",0,Sales[[#This Row],[Qty]])</f>
        <v>8</v>
      </c>
      <c r="R3927" s="161">
        <f>IF(Sales[[#This Row],[Status]]="Cancelled",0,Sales[[#This Row],[Total Amount]])</f>
        <v>116673.68</v>
      </c>
      <c r="S3927" s="162">
        <f>SUM(Sales[Net Amount])</f>
        <v>406839287.73200053</v>
      </c>
    </row>
    <row r="3928" spans="1:19" ht="18.75" x14ac:dyDescent="0.25">
      <c r="A3928" s="163" t="s">
        <v>7603</v>
      </c>
      <c r="B3928" s="164">
        <v>45972</v>
      </c>
      <c r="C3928" s="34" t="s">
        <v>882</v>
      </c>
      <c r="D3928" s="53" t="str">
        <f>VLOOKUP(Sales[[#This Row],[Customer ID]],Customer[#All],2,0)</f>
        <v>Rahul Sharma</v>
      </c>
      <c r="E3928" s="34" t="s">
        <v>28</v>
      </c>
      <c r="F3928" s="34" t="str">
        <f>VLOOKUP(Sales[[#This Row],[Product ID]],Product[#All],2,0)</f>
        <v>Lenovo Laptop</v>
      </c>
      <c r="G3928" s="53">
        <v>6</v>
      </c>
      <c r="H3928" s="165">
        <f>VLOOKUP(Sales[[#This Row],[Product ID]],Product[#All],7,0)</f>
        <v>86330</v>
      </c>
      <c r="I3928" s="165">
        <f>Sales[[#This Row],[Selling Rate]]*Sales[[#This Row],[Qty]]</f>
        <v>517980</v>
      </c>
      <c r="J3928" s="45">
        <v>0.15</v>
      </c>
      <c r="K3928" s="46">
        <f>Sales[[#This Row],[Gross Amount]]*Sales[[#This Row],[Disc %]]</f>
        <v>77697</v>
      </c>
      <c r="L3928" s="43">
        <v>0.18</v>
      </c>
      <c r="M3928" s="46">
        <f>(Sales[[#This Row],[Gross Amount]]-Sales[[#This Row],[Disc. Amt.]])*Sales[[#This Row],[GST %]]</f>
        <v>79250.94</v>
      </c>
      <c r="N3928" s="161">
        <f>Sales[[#This Row],[Gross Amount]]-Sales[[#This Row],[Disc. Amt.]]+Sales[[#This Row],[GST Amount]]</f>
        <v>519533.94</v>
      </c>
      <c r="O3928" s="34" t="s">
        <v>8876</v>
      </c>
      <c r="P3928" s="34" t="s">
        <v>3562</v>
      </c>
      <c r="Q3928" s="165">
        <f>IF(Sales[[#This Row],[Status]]="Cancelled",0,Sales[[#This Row],[Qty]])</f>
        <v>6</v>
      </c>
      <c r="R3928" s="166">
        <f>IF(Sales[[#This Row],[Status]]="Cancelled",0,Sales[[#This Row],[Total Amount]])</f>
        <v>519533.94</v>
      </c>
      <c r="S3928" s="162">
        <f>SUM(Sales[Net Amount])</f>
        <v>406839287.73200053</v>
      </c>
    </row>
    <row r="3929" spans="1:19" ht="18.75" x14ac:dyDescent="0.25">
      <c r="A3929" s="156" t="s">
        <v>7604</v>
      </c>
      <c r="B3929" s="157">
        <v>45972</v>
      </c>
      <c r="C3929" s="158" t="s">
        <v>815</v>
      </c>
      <c r="D3929" s="159" t="str">
        <f>VLOOKUP(Sales[[#This Row],[Customer ID]],Customer[#All],2,0)</f>
        <v>Priya Gupta</v>
      </c>
      <c r="E3929" s="158" t="s">
        <v>277</v>
      </c>
      <c r="F3929" s="158" t="str">
        <f>VLOOKUP(Sales[[#This Row],[Product ID]],Product[#All],2,0)</f>
        <v>D-Link Router</v>
      </c>
      <c r="G3929" s="159">
        <v>2</v>
      </c>
      <c r="H3929" s="160">
        <f>VLOOKUP(Sales[[#This Row],[Product ID]],Product[#All],7,0)</f>
        <v>4630</v>
      </c>
      <c r="I3929" s="160">
        <f>Sales[[#This Row],[Selling Rate]]*Sales[[#This Row],[Qty]]</f>
        <v>9260</v>
      </c>
      <c r="J3929" s="43">
        <v>0.1</v>
      </c>
      <c r="K3929" s="44">
        <f>Sales[[#This Row],[Gross Amount]]*Sales[[#This Row],[Disc %]]</f>
        <v>926</v>
      </c>
      <c r="L3929" s="43">
        <v>0.18</v>
      </c>
      <c r="M3929" s="44">
        <f>(Sales[[#This Row],[Gross Amount]]-Sales[[#This Row],[Disc. Amt.]])*Sales[[#This Row],[GST %]]</f>
        <v>1500.12</v>
      </c>
      <c r="N3929" s="161">
        <f>Sales[[#This Row],[Gross Amount]]-Sales[[#This Row],[Disc. Amt.]]+Sales[[#This Row],[GST Amount]]</f>
        <v>9834.119999999999</v>
      </c>
      <c r="O3929" s="158" t="s">
        <v>3561</v>
      </c>
      <c r="P3929" s="158" t="s">
        <v>3562</v>
      </c>
      <c r="Q3929" s="160">
        <f>IF(Sales[[#This Row],[Status]]="Cancelled",0,Sales[[#This Row],[Qty]])</f>
        <v>2</v>
      </c>
      <c r="R3929" s="161">
        <f>IF(Sales[[#This Row],[Status]]="Cancelled",0,Sales[[#This Row],[Total Amount]])</f>
        <v>9834.119999999999</v>
      </c>
      <c r="S3929" s="162">
        <f>SUM(Sales[Net Amount])</f>
        <v>406839287.73200053</v>
      </c>
    </row>
    <row r="3930" spans="1:19" ht="18.75" x14ac:dyDescent="0.25">
      <c r="A3930" s="163" t="s">
        <v>7605</v>
      </c>
      <c r="B3930" s="164">
        <v>45972</v>
      </c>
      <c r="C3930" s="34" t="s">
        <v>888</v>
      </c>
      <c r="D3930" s="53" t="str">
        <f>VLOOKUP(Sales[[#This Row],[Customer ID]],Customer[#All],2,0)</f>
        <v>Rahul Patel</v>
      </c>
      <c r="E3930" s="34" t="s">
        <v>333</v>
      </c>
      <c r="F3930" s="34" t="str">
        <f>VLOOKUP(Sales[[#This Row],[Product ID]],Product[#All],2,0)</f>
        <v>Logitech Keyboard</v>
      </c>
      <c r="G3930" s="53">
        <v>8</v>
      </c>
      <c r="H3930" s="165">
        <f>VLOOKUP(Sales[[#This Row],[Product ID]],Product[#All],7,0)</f>
        <v>3350</v>
      </c>
      <c r="I3930" s="165">
        <f>Sales[[#This Row],[Selling Rate]]*Sales[[#This Row],[Qty]]</f>
        <v>26800</v>
      </c>
      <c r="J3930" s="45">
        <v>0.05</v>
      </c>
      <c r="K3930" s="46">
        <f>Sales[[#This Row],[Gross Amount]]*Sales[[#This Row],[Disc %]]</f>
        <v>1340</v>
      </c>
      <c r="L3930" s="43">
        <v>0.18</v>
      </c>
      <c r="M3930" s="46">
        <f>(Sales[[#This Row],[Gross Amount]]-Sales[[#This Row],[Disc. Amt.]])*Sales[[#This Row],[GST %]]</f>
        <v>4582.8</v>
      </c>
      <c r="N3930" s="161">
        <f>Sales[[#This Row],[Gross Amount]]-Sales[[#This Row],[Disc. Amt.]]+Sales[[#This Row],[GST Amount]]</f>
        <v>30042.799999999999</v>
      </c>
      <c r="O3930" s="34" t="s">
        <v>3561</v>
      </c>
      <c r="P3930" s="34" t="s">
        <v>3562</v>
      </c>
      <c r="Q3930" s="165">
        <f>IF(Sales[[#This Row],[Status]]="Cancelled",0,Sales[[#This Row],[Qty]])</f>
        <v>8</v>
      </c>
      <c r="R3930" s="166">
        <f>IF(Sales[[#This Row],[Status]]="Cancelled",0,Sales[[#This Row],[Total Amount]])</f>
        <v>30042.799999999999</v>
      </c>
      <c r="S3930" s="162">
        <f>SUM(Sales[Net Amount])</f>
        <v>406839287.73200053</v>
      </c>
    </row>
    <row r="3931" spans="1:19" ht="18.75" x14ac:dyDescent="0.25">
      <c r="A3931" s="156" t="s">
        <v>7606</v>
      </c>
      <c r="B3931" s="157">
        <v>45972</v>
      </c>
      <c r="C3931" s="158" t="s">
        <v>858</v>
      </c>
      <c r="D3931" s="159" t="str">
        <f>VLOOKUP(Sales[[#This Row],[Customer ID]],Customer[#All],2,0)</f>
        <v>Neha Sharma</v>
      </c>
      <c r="E3931" s="158" t="s">
        <v>247</v>
      </c>
      <c r="F3931" s="158" t="str">
        <f>VLOOKUP(Sales[[#This Row],[Product ID]],Product[#All],2,0)</f>
        <v>Acer Laptop</v>
      </c>
      <c r="G3931" s="159">
        <v>2</v>
      </c>
      <c r="H3931" s="160">
        <f>VLOOKUP(Sales[[#This Row],[Product ID]],Product[#All],7,0)</f>
        <v>68460</v>
      </c>
      <c r="I3931" s="160">
        <f>Sales[[#This Row],[Selling Rate]]*Sales[[#This Row],[Qty]]</f>
        <v>136920</v>
      </c>
      <c r="J3931" s="43">
        <v>0</v>
      </c>
      <c r="K3931" s="44">
        <f>Sales[[#This Row],[Gross Amount]]*Sales[[#This Row],[Disc %]]</f>
        <v>0</v>
      </c>
      <c r="L3931" s="43">
        <v>0.18</v>
      </c>
      <c r="M3931" s="44">
        <f>(Sales[[#This Row],[Gross Amount]]-Sales[[#This Row],[Disc. Amt.]])*Sales[[#This Row],[GST %]]</f>
        <v>24645.599999999999</v>
      </c>
      <c r="N3931" s="161">
        <f>Sales[[#This Row],[Gross Amount]]-Sales[[#This Row],[Disc. Amt.]]+Sales[[#This Row],[GST Amount]]</f>
        <v>161565.6</v>
      </c>
      <c r="O3931" s="158" t="s">
        <v>3569</v>
      </c>
      <c r="P3931" s="158" t="s">
        <v>3562</v>
      </c>
      <c r="Q3931" s="160">
        <f>IF(Sales[[#This Row],[Status]]="Cancelled",0,Sales[[#This Row],[Qty]])</f>
        <v>2</v>
      </c>
      <c r="R3931" s="161">
        <f>IF(Sales[[#This Row],[Status]]="Cancelled",0,Sales[[#This Row],[Total Amount]])</f>
        <v>161565.6</v>
      </c>
      <c r="S3931" s="162">
        <f>SUM(Sales[Net Amount])</f>
        <v>406839287.73200053</v>
      </c>
    </row>
    <row r="3932" spans="1:19" ht="18.75" x14ac:dyDescent="0.25">
      <c r="A3932" s="163" t="s">
        <v>7607</v>
      </c>
      <c r="B3932" s="164">
        <v>45972</v>
      </c>
      <c r="C3932" s="34" t="s">
        <v>810</v>
      </c>
      <c r="D3932" s="53" t="str">
        <f>VLOOKUP(Sales[[#This Row],[Customer ID]],Customer[#All],2,0)</f>
        <v>Rahul Gupta</v>
      </c>
      <c r="E3932" s="34" t="s">
        <v>40</v>
      </c>
      <c r="F3932" s="34" t="str">
        <f>VLOOKUP(Sales[[#This Row],[Product ID]],Product[#All],2,0)</f>
        <v>Boat Headset</v>
      </c>
      <c r="G3932" s="53">
        <v>3</v>
      </c>
      <c r="H3932" s="165">
        <f>VLOOKUP(Sales[[#This Row],[Product ID]],Product[#All],7,0)</f>
        <v>3470</v>
      </c>
      <c r="I3932" s="165">
        <f>Sales[[#This Row],[Selling Rate]]*Sales[[#This Row],[Qty]]</f>
        <v>10410</v>
      </c>
      <c r="J3932" s="45">
        <v>0.12</v>
      </c>
      <c r="K3932" s="46">
        <f>Sales[[#This Row],[Gross Amount]]*Sales[[#This Row],[Disc %]]</f>
        <v>1249.2</v>
      </c>
      <c r="L3932" s="43">
        <v>0.18</v>
      </c>
      <c r="M3932" s="46">
        <f>(Sales[[#This Row],[Gross Amount]]-Sales[[#This Row],[Disc. Amt.]])*Sales[[#This Row],[GST %]]</f>
        <v>1648.9439999999997</v>
      </c>
      <c r="N3932" s="161">
        <f>Sales[[#This Row],[Gross Amount]]-Sales[[#This Row],[Disc. Amt.]]+Sales[[#This Row],[GST Amount]]</f>
        <v>10809.743999999999</v>
      </c>
      <c r="O3932" s="34" t="s">
        <v>3569</v>
      </c>
      <c r="P3932" s="34" t="s">
        <v>3562</v>
      </c>
      <c r="Q3932" s="165">
        <f>IF(Sales[[#This Row],[Status]]="Cancelled",0,Sales[[#This Row],[Qty]])</f>
        <v>3</v>
      </c>
      <c r="R3932" s="166">
        <f>IF(Sales[[#This Row],[Status]]="Cancelled",0,Sales[[#This Row],[Total Amount]])</f>
        <v>10809.743999999999</v>
      </c>
      <c r="S3932" s="162">
        <f>SUM(Sales[Net Amount])</f>
        <v>406839287.73200053</v>
      </c>
    </row>
    <row r="3933" spans="1:19" ht="18.75" x14ac:dyDescent="0.25">
      <c r="A3933" s="156" t="s">
        <v>7608</v>
      </c>
      <c r="B3933" s="157">
        <v>45972</v>
      </c>
      <c r="C3933" s="158" t="s">
        <v>743</v>
      </c>
      <c r="D3933" s="159" t="str">
        <f>VLOOKUP(Sales[[#This Row],[Customer ID]],Customer[#All],2,0)</f>
        <v>Rahul Gupta</v>
      </c>
      <c r="E3933" s="158" t="s">
        <v>425</v>
      </c>
      <c r="F3933" s="158" t="str">
        <f>VLOOKUP(Sales[[#This Row],[Product ID]],Product[#All],2,0)</f>
        <v>WD HDD</v>
      </c>
      <c r="G3933" s="159">
        <v>5</v>
      </c>
      <c r="H3933" s="160">
        <f>VLOOKUP(Sales[[#This Row],[Product ID]],Product[#All],7,0)</f>
        <v>7660</v>
      </c>
      <c r="I3933" s="160">
        <f>Sales[[#This Row],[Selling Rate]]*Sales[[#This Row],[Qty]]</f>
        <v>38300</v>
      </c>
      <c r="J3933" s="43">
        <v>0</v>
      </c>
      <c r="K3933" s="44">
        <f>Sales[[#This Row],[Gross Amount]]*Sales[[#This Row],[Disc %]]</f>
        <v>0</v>
      </c>
      <c r="L3933" s="43">
        <v>0.18</v>
      </c>
      <c r="M3933" s="44">
        <f>(Sales[[#This Row],[Gross Amount]]-Sales[[#This Row],[Disc. Amt.]])*Sales[[#This Row],[GST %]]</f>
        <v>6894</v>
      </c>
      <c r="N3933" s="161">
        <f>Sales[[#This Row],[Gross Amount]]-Sales[[#This Row],[Disc. Amt.]]+Sales[[#This Row],[GST Amount]]</f>
        <v>45194</v>
      </c>
      <c r="O3933" s="158" t="s">
        <v>3561</v>
      </c>
      <c r="P3933" s="158" t="s">
        <v>3562</v>
      </c>
      <c r="Q3933" s="160">
        <f>IF(Sales[[#This Row],[Status]]="Cancelled",0,Sales[[#This Row],[Qty]])</f>
        <v>5</v>
      </c>
      <c r="R3933" s="161">
        <f>IF(Sales[[#This Row],[Status]]="Cancelled",0,Sales[[#This Row],[Total Amount]])</f>
        <v>45194</v>
      </c>
      <c r="S3933" s="162">
        <f>SUM(Sales[Net Amount])</f>
        <v>406839287.73200053</v>
      </c>
    </row>
    <row r="3934" spans="1:19" ht="18.75" x14ac:dyDescent="0.25">
      <c r="A3934" s="163" t="s">
        <v>7609</v>
      </c>
      <c r="B3934" s="164">
        <v>45972</v>
      </c>
      <c r="C3934" s="34" t="s">
        <v>783</v>
      </c>
      <c r="D3934" s="53" t="str">
        <f>VLOOKUP(Sales[[#This Row],[Customer ID]],Customer[#All],2,0)</f>
        <v>Neha Singh</v>
      </c>
      <c r="E3934" s="34" t="s">
        <v>132</v>
      </c>
      <c r="F3934" s="34" t="str">
        <f>VLOOKUP(Sales[[#This Row],[Product ID]],Product[#All],2,0)</f>
        <v>Jbl Headset</v>
      </c>
      <c r="G3934" s="53">
        <v>1</v>
      </c>
      <c r="H3934" s="165">
        <f>VLOOKUP(Sales[[#This Row],[Product ID]],Product[#All],7,0)</f>
        <v>7470</v>
      </c>
      <c r="I3934" s="165">
        <f>Sales[[#This Row],[Selling Rate]]*Sales[[#This Row],[Qty]]</f>
        <v>7470</v>
      </c>
      <c r="J3934" s="45">
        <v>0.05</v>
      </c>
      <c r="K3934" s="46">
        <f>Sales[[#This Row],[Gross Amount]]*Sales[[#This Row],[Disc %]]</f>
        <v>373.5</v>
      </c>
      <c r="L3934" s="43">
        <v>0.18</v>
      </c>
      <c r="M3934" s="46">
        <f>(Sales[[#This Row],[Gross Amount]]-Sales[[#This Row],[Disc. Amt.]])*Sales[[#This Row],[GST %]]</f>
        <v>1277.3699999999999</v>
      </c>
      <c r="N3934" s="161">
        <f>Sales[[#This Row],[Gross Amount]]-Sales[[#This Row],[Disc. Amt.]]+Sales[[#This Row],[GST Amount]]</f>
        <v>8373.869999999999</v>
      </c>
      <c r="O3934" s="34" t="s">
        <v>3561</v>
      </c>
      <c r="P3934" s="34" t="s">
        <v>3562</v>
      </c>
      <c r="Q3934" s="165">
        <f>IF(Sales[[#This Row],[Status]]="Cancelled",0,Sales[[#This Row],[Qty]])</f>
        <v>1</v>
      </c>
      <c r="R3934" s="166">
        <f>IF(Sales[[#This Row],[Status]]="Cancelled",0,Sales[[#This Row],[Total Amount]])</f>
        <v>8373.869999999999</v>
      </c>
      <c r="S3934" s="162">
        <f>SUM(Sales[Net Amount])</f>
        <v>406839287.73200053</v>
      </c>
    </row>
    <row r="3935" spans="1:19" ht="18.75" x14ac:dyDescent="0.25">
      <c r="A3935" s="156" t="s">
        <v>7610</v>
      </c>
      <c r="B3935" s="157">
        <v>45972</v>
      </c>
      <c r="C3935" s="158" t="s">
        <v>666</v>
      </c>
      <c r="D3935" s="159" t="str">
        <f>VLOOKUP(Sales[[#This Row],[Customer ID]],Customer[#All],2,0)</f>
        <v>Sahil Gupta</v>
      </c>
      <c r="E3935" s="158" t="s">
        <v>214</v>
      </c>
      <c r="F3935" s="158" t="str">
        <f>VLOOKUP(Sales[[#This Row],[Product ID]],Product[#All],2,0)</f>
        <v>Microtek UPS</v>
      </c>
      <c r="G3935" s="159">
        <v>7</v>
      </c>
      <c r="H3935" s="160">
        <f>VLOOKUP(Sales[[#This Row],[Product ID]],Product[#All],7,0)</f>
        <v>10710</v>
      </c>
      <c r="I3935" s="160">
        <f>Sales[[#This Row],[Selling Rate]]*Sales[[#This Row],[Qty]]</f>
        <v>74970</v>
      </c>
      <c r="J3935" s="43">
        <v>0.12</v>
      </c>
      <c r="K3935" s="44">
        <f>Sales[[#This Row],[Gross Amount]]*Sales[[#This Row],[Disc %]]</f>
        <v>8996.4</v>
      </c>
      <c r="L3935" s="43">
        <v>0.18</v>
      </c>
      <c r="M3935" s="44">
        <f>(Sales[[#This Row],[Gross Amount]]-Sales[[#This Row],[Disc. Amt.]])*Sales[[#This Row],[GST %]]</f>
        <v>11875.248000000001</v>
      </c>
      <c r="N3935" s="161">
        <f>Sales[[#This Row],[Gross Amount]]-Sales[[#This Row],[Disc. Amt.]]+Sales[[#This Row],[GST Amount]]</f>
        <v>77848.848000000013</v>
      </c>
      <c r="O3935" s="158" t="s">
        <v>3561</v>
      </c>
      <c r="P3935" s="158" t="s">
        <v>3562</v>
      </c>
      <c r="Q3935" s="160">
        <f>IF(Sales[[#This Row],[Status]]="Cancelled",0,Sales[[#This Row],[Qty]])</f>
        <v>7</v>
      </c>
      <c r="R3935" s="161">
        <f>IF(Sales[[#This Row],[Status]]="Cancelled",0,Sales[[#This Row],[Total Amount]])</f>
        <v>77848.848000000013</v>
      </c>
      <c r="S3935" s="162">
        <f>SUM(Sales[Net Amount])</f>
        <v>406839287.73200053</v>
      </c>
    </row>
    <row r="3936" spans="1:19" ht="18.75" x14ac:dyDescent="0.25">
      <c r="A3936" s="163" t="s">
        <v>7611</v>
      </c>
      <c r="B3936" s="164">
        <v>45972</v>
      </c>
      <c r="C3936" s="34" t="s">
        <v>853</v>
      </c>
      <c r="D3936" s="53" t="str">
        <f>VLOOKUP(Sales[[#This Row],[Customer ID]],Customer[#All],2,0)</f>
        <v>Amit Singh</v>
      </c>
      <c r="E3936" s="34" t="s">
        <v>264</v>
      </c>
      <c r="F3936" s="34" t="str">
        <f>VLOOKUP(Sales[[#This Row],[Product ID]],Product[#All],2,0)</f>
        <v>Acer Laptop</v>
      </c>
      <c r="G3936" s="53">
        <v>7</v>
      </c>
      <c r="H3936" s="165">
        <f>VLOOKUP(Sales[[#This Row],[Product ID]],Product[#All],7,0)</f>
        <v>65110</v>
      </c>
      <c r="I3936" s="165">
        <f>Sales[[#This Row],[Selling Rate]]*Sales[[#This Row],[Qty]]</f>
        <v>455770</v>
      </c>
      <c r="J3936" s="45">
        <v>0.05</v>
      </c>
      <c r="K3936" s="46">
        <f>Sales[[#This Row],[Gross Amount]]*Sales[[#This Row],[Disc %]]</f>
        <v>22788.5</v>
      </c>
      <c r="L3936" s="43">
        <v>0.18</v>
      </c>
      <c r="M3936" s="46">
        <f>(Sales[[#This Row],[Gross Amount]]-Sales[[#This Row],[Disc. Amt.]])*Sales[[#This Row],[GST %]]</f>
        <v>77936.67</v>
      </c>
      <c r="N3936" s="161">
        <f>Sales[[#This Row],[Gross Amount]]-Sales[[#This Row],[Disc. Amt.]]+Sales[[#This Row],[GST Amount]]</f>
        <v>510918.17</v>
      </c>
      <c r="O3936" s="34" t="s">
        <v>3569</v>
      </c>
      <c r="P3936" s="34" t="s">
        <v>3562</v>
      </c>
      <c r="Q3936" s="165">
        <f>IF(Sales[[#This Row],[Status]]="Cancelled",0,Sales[[#This Row],[Qty]])</f>
        <v>7</v>
      </c>
      <c r="R3936" s="166">
        <f>IF(Sales[[#This Row],[Status]]="Cancelled",0,Sales[[#This Row],[Total Amount]])</f>
        <v>510918.17</v>
      </c>
      <c r="S3936" s="162">
        <f>SUM(Sales[Net Amount])</f>
        <v>406839287.73200053</v>
      </c>
    </row>
    <row r="3937" spans="1:19" ht="18.75" x14ac:dyDescent="0.25">
      <c r="A3937" s="156" t="s">
        <v>7612</v>
      </c>
      <c r="B3937" s="157">
        <v>45972</v>
      </c>
      <c r="C3937" s="158" t="s">
        <v>830</v>
      </c>
      <c r="D3937" s="159" t="str">
        <f>VLOOKUP(Sales[[#This Row],[Customer ID]],Customer[#All],2,0)</f>
        <v>Rakesh Singh</v>
      </c>
      <c r="E3937" s="158" t="s">
        <v>539</v>
      </c>
      <c r="F3937" s="158" t="str">
        <f>VLOOKUP(Sales[[#This Row],[Product ID]],Product[#All],2,0)</f>
        <v>Canon Printer</v>
      </c>
      <c r="G3937" s="159">
        <v>5</v>
      </c>
      <c r="H3937" s="160">
        <f>VLOOKUP(Sales[[#This Row],[Product ID]],Product[#All],7,0)</f>
        <v>25640</v>
      </c>
      <c r="I3937" s="160">
        <f>Sales[[#This Row],[Selling Rate]]*Sales[[#This Row],[Qty]]</f>
        <v>128200</v>
      </c>
      <c r="J3937" s="43">
        <v>0.1</v>
      </c>
      <c r="K3937" s="44">
        <f>Sales[[#This Row],[Gross Amount]]*Sales[[#This Row],[Disc %]]</f>
        <v>12820</v>
      </c>
      <c r="L3937" s="43">
        <v>0.18</v>
      </c>
      <c r="M3937" s="44">
        <f>(Sales[[#This Row],[Gross Amount]]-Sales[[#This Row],[Disc. Amt.]])*Sales[[#This Row],[GST %]]</f>
        <v>20768.399999999998</v>
      </c>
      <c r="N3937" s="161">
        <f>Sales[[#This Row],[Gross Amount]]-Sales[[#This Row],[Disc. Amt.]]+Sales[[#This Row],[GST Amount]]</f>
        <v>136148.4</v>
      </c>
      <c r="O3937" s="158" t="s">
        <v>3566</v>
      </c>
      <c r="P3937" s="158" t="s">
        <v>3562</v>
      </c>
      <c r="Q3937" s="160">
        <f>IF(Sales[[#This Row],[Status]]="Cancelled",0,Sales[[#This Row],[Qty]])</f>
        <v>5</v>
      </c>
      <c r="R3937" s="161">
        <f>IF(Sales[[#This Row],[Status]]="Cancelled",0,Sales[[#This Row],[Total Amount]])</f>
        <v>136148.4</v>
      </c>
      <c r="S3937" s="162">
        <f>SUM(Sales[Net Amount])</f>
        <v>406839287.73200053</v>
      </c>
    </row>
    <row r="3938" spans="1:19" ht="18.75" x14ac:dyDescent="0.25">
      <c r="A3938" s="163" t="s">
        <v>7613</v>
      </c>
      <c r="B3938" s="164">
        <v>45972</v>
      </c>
      <c r="C3938" s="34" t="s">
        <v>738</v>
      </c>
      <c r="D3938" s="53" t="str">
        <f>VLOOKUP(Sales[[#This Row],[Customer ID]],Customer[#All],2,0)</f>
        <v>Pooja Patel</v>
      </c>
      <c r="E3938" s="34" t="s">
        <v>479</v>
      </c>
      <c r="F3938" s="34" t="str">
        <f>VLOOKUP(Sales[[#This Row],[Product ID]],Product[#All],2,0)</f>
        <v>TP-link Router</v>
      </c>
      <c r="G3938" s="53">
        <v>7</v>
      </c>
      <c r="H3938" s="165">
        <f>VLOOKUP(Sales[[#This Row],[Product ID]],Product[#All],7,0)</f>
        <v>5740</v>
      </c>
      <c r="I3938" s="165">
        <f>Sales[[#This Row],[Selling Rate]]*Sales[[#This Row],[Qty]]</f>
        <v>40180</v>
      </c>
      <c r="J3938" s="45">
        <v>0.02</v>
      </c>
      <c r="K3938" s="46">
        <f>Sales[[#This Row],[Gross Amount]]*Sales[[#This Row],[Disc %]]</f>
        <v>803.6</v>
      </c>
      <c r="L3938" s="43">
        <v>0.18</v>
      </c>
      <c r="M3938" s="46">
        <f>(Sales[[#This Row],[Gross Amount]]-Sales[[#This Row],[Disc. Amt.]])*Sales[[#This Row],[GST %]]</f>
        <v>7087.7520000000004</v>
      </c>
      <c r="N3938" s="161">
        <f>Sales[[#This Row],[Gross Amount]]-Sales[[#This Row],[Disc. Amt.]]+Sales[[#This Row],[GST Amount]]</f>
        <v>46464.152000000002</v>
      </c>
      <c r="O3938" s="34" t="s">
        <v>3569</v>
      </c>
      <c r="P3938" s="34" t="s">
        <v>3562</v>
      </c>
      <c r="Q3938" s="165">
        <f>IF(Sales[[#This Row],[Status]]="Cancelled",0,Sales[[#This Row],[Qty]])</f>
        <v>7</v>
      </c>
      <c r="R3938" s="166">
        <f>IF(Sales[[#This Row],[Status]]="Cancelled",0,Sales[[#This Row],[Total Amount]])</f>
        <v>46464.152000000002</v>
      </c>
      <c r="S3938" s="162">
        <f>SUM(Sales[Net Amount])</f>
        <v>406839287.73200053</v>
      </c>
    </row>
    <row r="3939" spans="1:19" ht="18.75" x14ac:dyDescent="0.25">
      <c r="A3939" s="156" t="s">
        <v>7614</v>
      </c>
      <c r="B3939" s="157">
        <v>45972</v>
      </c>
      <c r="C3939" s="158" t="s">
        <v>776</v>
      </c>
      <c r="D3939" s="159" t="str">
        <f>VLOOKUP(Sales[[#This Row],[Customer ID]],Customer[#All],2,0)</f>
        <v>Sunita Singh</v>
      </c>
      <c r="E3939" s="158" t="s">
        <v>412</v>
      </c>
      <c r="F3939" s="158" t="str">
        <f>VLOOKUP(Sales[[#This Row],[Product ID]],Product[#All],2,0)</f>
        <v>Dell Monitor</v>
      </c>
      <c r="G3939" s="159">
        <v>2</v>
      </c>
      <c r="H3939" s="160">
        <f>VLOOKUP(Sales[[#This Row],[Product ID]],Product[#All],7,0)</f>
        <v>30230</v>
      </c>
      <c r="I3939" s="160">
        <f>Sales[[#This Row],[Selling Rate]]*Sales[[#This Row],[Qty]]</f>
        <v>60460</v>
      </c>
      <c r="J3939" s="43">
        <v>0</v>
      </c>
      <c r="K3939" s="44">
        <f>Sales[[#This Row],[Gross Amount]]*Sales[[#This Row],[Disc %]]</f>
        <v>0</v>
      </c>
      <c r="L3939" s="43">
        <v>0.18</v>
      </c>
      <c r="M3939" s="44">
        <f>(Sales[[#This Row],[Gross Amount]]-Sales[[#This Row],[Disc. Amt.]])*Sales[[#This Row],[GST %]]</f>
        <v>10882.8</v>
      </c>
      <c r="N3939" s="161">
        <f>Sales[[#This Row],[Gross Amount]]-Sales[[#This Row],[Disc. Amt.]]+Sales[[#This Row],[GST Amount]]</f>
        <v>71342.8</v>
      </c>
      <c r="O3939" s="158" t="s">
        <v>3561</v>
      </c>
      <c r="P3939" s="158" t="s">
        <v>3562</v>
      </c>
      <c r="Q3939" s="160">
        <f>IF(Sales[[#This Row],[Status]]="Cancelled",0,Sales[[#This Row],[Qty]])</f>
        <v>2</v>
      </c>
      <c r="R3939" s="161">
        <f>IF(Sales[[#This Row],[Status]]="Cancelled",0,Sales[[#This Row],[Total Amount]])</f>
        <v>71342.8</v>
      </c>
      <c r="S3939" s="162">
        <f>SUM(Sales[Net Amount])</f>
        <v>406839287.73200053</v>
      </c>
    </row>
    <row r="3940" spans="1:19" ht="18.75" x14ac:dyDescent="0.25">
      <c r="A3940" s="163" t="s">
        <v>7615</v>
      </c>
      <c r="B3940" s="164">
        <v>45972</v>
      </c>
      <c r="C3940" s="34" t="s">
        <v>816</v>
      </c>
      <c r="D3940" s="53" t="str">
        <f>VLOOKUP(Sales[[#This Row],[Customer ID]],Customer[#All],2,0)</f>
        <v>Amit Patel</v>
      </c>
      <c r="E3940" s="34" t="s">
        <v>459</v>
      </c>
      <c r="F3940" s="34" t="str">
        <f>VLOOKUP(Sales[[#This Row],[Product ID]],Product[#All],2,0)</f>
        <v>Logitech Mouse</v>
      </c>
      <c r="G3940" s="53">
        <v>7</v>
      </c>
      <c r="H3940" s="165">
        <f>VLOOKUP(Sales[[#This Row],[Product ID]],Product[#All],7,0)</f>
        <v>1680</v>
      </c>
      <c r="I3940" s="165">
        <f>Sales[[#This Row],[Selling Rate]]*Sales[[#This Row],[Qty]]</f>
        <v>11760</v>
      </c>
      <c r="J3940" s="45">
        <v>0.02</v>
      </c>
      <c r="K3940" s="46">
        <f>Sales[[#This Row],[Gross Amount]]*Sales[[#This Row],[Disc %]]</f>
        <v>235.20000000000002</v>
      </c>
      <c r="L3940" s="43">
        <v>0.18</v>
      </c>
      <c r="M3940" s="46">
        <f>(Sales[[#This Row],[Gross Amount]]-Sales[[#This Row],[Disc. Amt.]])*Sales[[#This Row],[GST %]]</f>
        <v>2074.4639999999999</v>
      </c>
      <c r="N3940" s="161">
        <f>Sales[[#This Row],[Gross Amount]]-Sales[[#This Row],[Disc. Amt.]]+Sales[[#This Row],[GST Amount]]</f>
        <v>13599.263999999999</v>
      </c>
      <c r="O3940" s="34" t="s">
        <v>3561</v>
      </c>
      <c r="P3940" s="34" t="s">
        <v>3562</v>
      </c>
      <c r="Q3940" s="165">
        <f>IF(Sales[[#This Row],[Status]]="Cancelled",0,Sales[[#This Row],[Qty]])</f>
        <v>7</v>
      </c>
      <c r="R3940" s="166">
        <f>IF(Sales[[#This Row],[Status]]="Cancelled",0,Sales[[#This Row],[Total Amount]])</f>
        <v>13599.263999999999</v>
      </c>
      <c r="S3940" s="162">
        <f>SUM(Sales[Net Amount])</f>
        <v>406839287.73200053</v>
      </c>
    </row>
    <row r="3941" spans="1:19" ht="18.75" x14ac:dyDescent="0.25">
      <c r="A3941" s="156" t="s">
        <v>7616</v>
      </c>
      <c r="B3941" s="157">
        <v>45972</v>
      </c>
      <c r="C3941" s="158" t="s">
        <v>757</v>
      </c>
      <c r="D3941" s="159" t="str">
        <f>VLOOKUP(Sales[[#This Row],[Customer ID]],Customer[#All],2,0)</f>
        <v>Amit Singh</v>
      </c>
      <c r="E3941" s="158" t="s">
        <v>67</v>
      </c>
      <c r="F3941" s="158" t="str">
        <f>VLOOKUP(Sales[[#This Row],[Product ID]],Product[#All],2,0)</f>
        <v>TP-link Wi-Fi Adapter</v>
      </c>
      <c r="G3941" s="159">
        <v>4</v>
      </c>
      <c r="H3941" s="160">
        <f>VLOOKUP(Sales[[#This Row],[Product ID]],Product[#All],7,0)</f>
        <v>2990</v>
      </c>
      <c r="I3941" s="160">
        <f>Sales[[#This Row],[Selling Rate]]*Sales[[#This Row],[Qty]]</f>
        <v>11960</v>
      </c>
      <c r="J3941" s="43">
        <v>0.12</v>
      </c>
      <c r="K3941" s="44">
        <f>Sales[[#This Row],[Gross Amount]]*Sales[[#This Row],[Disc %]]</f>
        <v>1435.2</v>
      </c>
      <c r="L3941" s="43">
        <v>0.18</v>
      </c>
      <c r="M3941" s="44">
        <f>(Sales[[#This Row],[Gross Amount]]-Sales[[#This Row],[Disc. Amt.]])*Sales[[#This Row],[GST %]]</f>
        <v>1894.4639999999997</v>
      </c>
      <c r="N3941" s="161">
        <f>Sales[[#This Row],[Gross Amount]]-Sales[[#This Row],[Disc. Amt.]]+Sales[[#This Row],[GST Amount]]</f>
        <v>12419.263999999999</v>
      </c>
      <c r="O3941" s="158" t="s">
        <v>8876</v>
      </c>
      <c r="P3941" s="158" t="s">
        <v>3562</v>
      </c>
      <c r="Q3941" s="160">
        <f>IF(Sales[[#This Row],[Status]]="Cancelled",0,Sales[[#This Row],[Qty]])</f>
        <v>4</v>
      </c>
      <c r="R3941" s="161">
        <f>IF(Sales[[#This Row],[Status]]="Cancelled",0,Sales[[#This Row],[Total Amount]])</f>
        <v>12419.263999999999</v>
      </c>
      <c r="S3941" s="162">
        <f>SUM(Sales[Net Amount])</f>
        <v>406839287.73200053</v>
      </c>
    </row>
    <row r="3942" spans="1:19" ht="18.75" x14ac:dyDescent="0.25">
      <c r="A3942" s="163" t="s">
        <v>7617</v>
      </c>
      <c r="B3942" s="164">
        <v>45972</v>
      </c>
      <c r="C3942" s="34" t="s">
        <v>731</v>
      </c>
      <c r="D3942" s="53" t="str">
        <f>VLOOKUP(Sales[[#This Row],[Customer ID]],Customer[#All],2,0)</f>
        <v>Neha Singh</v>
      </c>
      <c r="E3942" s="34" t="s">
        <v>519</v>
      </c>
      <c r="F3942" s="34" t="str">
        <f>VLOOKUP(Sales[[#This Row],[Product ID]],Product[#All],2,0)</f>
        <v>WD HDD</v>
      </c>
      <c r="G3942" s="53">
        <v>3</v>
      </c>
      <c r="H3942" s="165">
        <f>VLOOKUP(Sales[[#This Row],[Product ID]],Product[#All],7,0)</f>
        <v>8730</v>
      </c>
      <c r="I3942" s="165">
        <f>Sales[[#This Row],[Selling Rate]]*Sales[[#This Row],[Qty]]</f>
        <v>26190</v>
      </c>
      <c r="J3942" s="45">
        <v>0.15</v>
      </c>
      <c r="K3942" s="46">
        <f>Sales[[#This Row],[Gross Amount]]*Sales[[#This Row],[Disc %]]</f>
        <v>3928.5</v>
      </c>
      <c r="L3942" s="43">
        <v>0.18</v>
      </c>
      <c r="M3942" s="46">
        <f>(Sales[[#This Row],[Gross Amount]]-Sales[[#This Row],[Disc. Amt.]])*Sales[[#This Row],[GST %]]</f>
        <v>4007.0699999999997</v>
      </c>
      <c r="N3942" s="161">
        <f>Sales[[#This Row],[Gross Amount]]-Sales[[#This Row],[Disc. Amt.]]+Sales[[#This Row],[GST Amount]]</f>
        <v>26268.57</v>
      </c>
      <c r="O3942" s="34" t="s">
        <v>8876</v>
      </c>
      <c r="P3942" s="34" t="s">
        <v>3562</v>
      </c>
      <c r="Q3942" s="165">
        <f>IF(Sales[[#This Row],[Status]]="Cancelled",0,Sales[[#This Row],[Qty]])</f>
        <v>3</v>
      </c>
      <c r="R3942" s="166">
        <f>IF(Sales[[#This Row],[Status]]="Cancelled",0,Sales[[#This Row],[Total Amount]])</f>
        <v>26268.57</v>
      </c>
      <c r="S3942" s="162">
        <f>SUM(Sales[Net Amount])</f>
        <v>406839287.73200053</v>
      </c>
    </row>
    <row r="3943" spans="1:19" ht="18.75" x14ac:dyDescent="0.25">
      <c r="A3943" s="156" t="s">
        <v>7618</v>
      </c>
      <c r="B3943" s="157">
        <v>45972</v>
      </c>
      <c r="C3943" s="158" t="s">
        <v>818</v>
      </c>
      <c r="D3943" s="159" t="str">
        <f>VLOOKUP(Sales[[#This Row],[Customer ID]],Customer[#All],2,0)</f>
        <v>Rahul Sharma</v>
      </c>
      <c r="E3943" s="158" t="s">
        <v>150</v>
      </c>
      <c r="F3943" s="158" t="str">
        <f>VLOOKUP(Sales[[#This Row],[Product ID]],Product[#All],2,0)</f>
        <v>Dell Monitor</v>
      </c>
      <c r="G3943" s="159">
        <v>4</v>
      </c>
      <c r="H3943" s="160">
        <f>VLOOKUP(Sales[[#This Row],[Product ID]],Product[#All],7,0)</f>
        <v>8400</v>
      </c>
      <c r="I3943" s="160">
        <f>Sales[[#This Row],[Selling Rate]]*Sales[[#This Row],[Qty]]</f>
        <v>33600</v>
      </c>
      <c r="J3943" s="43">
        <v>0.15</v>
      </c>
      <c r="K3943" s="44">
        <f>Sales[[#This Row],[Gross Amount]]*Sales[[#This Row],[Disc %]]</f>
        <v>5040</v>
      </c>
      <c r="L3943" s="43">
        <v>0.18</v>
      </c>
      <c r="M3943" s="44">
        <f>(Sales[[#This Row],[Gross Amount]]-Sales[[#This Row],[Disc. Amt.]])*Sales[[#This Row],[GST %]]</f>
        <v>5140.8</v>
      </c>
      <c r="N3943" s="161">
        <f>Sales[[#This Row],[Gross Amount]]-Sales[[#This Row],[Disc. Amt.]]+Sales[[#This Row],[GST Amount]]</f>
        <v>33700.800000000003</v>
      </c>
      <c r="O3943" s="158" t="s">
        <v>3561</v>
      </c>
      <c r="P3943" s="158" t="s">
        <v>3562</v>
      </c>
      <c r="Q3943" s="160">
        <f>IF(Sales[[#This Row],[Status]]="Cancelled",0,Sales[[#This Row],[Qty]])</f>
        <v>4</v>
      </c>
      <c r="R3943" s="161">
        <f>IF(Sales[[#This Row],[Status]]="Cancelled",0,Sales[[#This Row],[Total Amount]])</f>
        <v>33700.800000000003</v>
      </c>
      <c r="S3943" s="162">
        <f>SUM(Sales[Net Amount])</f>
        <v>406839287.73200053</v>
      </c>
    </row>
    <row r="3944" spans="1:19" ht="18.75" x14ac:dyDescent="0.25">
      <c r="A3944" s="163" t="s">
        <v>7619</v>
      </c>
      <c r="B3944" s="164">
        <v>45973</v>
      </c>
      <c r="C3944" s="34" t="s">
        <v>862</v>
      </c>
      <c r="D3944" s="53" t="str">
        <f>VLOOKUP(Sales[[#This Row],[Customer ID]],Customer[#All],2,0)</f>
        <v>Rakesh Sharma</v>
      </c>
      <c r="E3944" s="34" t="s">
        <v>265</v>
      </c>
      <c r="F3944" s="34" t="str">
        <f>VLOOKUP(Sales[[#This Row],[Product ID]],Product[#All],2,0)</f>
        <v>Canon Printer</v>
      </c>
      <c r="G3944" s="53">
        <v>2</v>
      </c>
      <c r="H3944" s="165">
        <f>VLOOKUP(Sales[[#This Row],[Product ID]],Product[#All],7,0)</f>
        <v>33970</v>
      </c>
      <c r="I3944" s="165">
        <f>Sales[[#This Row],[Selling Rate]]*Sales[[#This Row],[Qty]]</f>
        <v>67940</v>
      </c>
      <c r="J3944" s="45">
        <v>0</v>
      </c>
      <c r="K3944" s="46">
        <f>Sales[[#This Row],[Gross Amount]]*Sales[[#This Row],[Disc %]]</f>
        <v>0</v>
      </c>
      <c r="L3944" s="43">
        <v>0.18</v>
      </c>
      <c r="M3944" s="46">
        <f>(Sales[[#This Row],[Gross Amount]]-Sales[[#This Row],[Disc. Amt.]])*Sales[[#This Row],[GST %]]</f>
        <v>12229.199999999999</v>
      </c>
      <c r="N3944" s="161">
        <f>Sales[[#This Row],[Gross Amount]]-Sales[[#This Row],[Disc. Amt.]]+Sales[[#This Row],[GST Amount]]</f>
        <v>80169.2</v>
      </c>
      <c r="O3944" s="34" t="s">
        <v>3566</v>
      </c>
      <c r="P3944" s="34" t="s">
        <v>3562</v>
      </c>
      <c r="Q3944" s="165">
        <f>IF(Sales[[#This Row],[Status]]="Cancelled",0,Sales[[#This Row],[Qty]])</f>
        <v>2</v>
      </c>
      <c r="R3944" s="166">
        <f>IF(Sales[[#This Row],[Status]]="Cancelled",0,Sales[[#This Row],[Total Amount]])</f>
        <v>80169.2</v>
      </c>
      <c r="S3944" s="162">
        <f>SUM(Sales[Net Amount])</f>
        <v>406839287.73200053</v>
      </c>
    </row>
    <row r="3945" spans="1:19" ht="18.75" x14ac:dyDescent="0.25">
      <c r="A3945" s="156" t="s">
        <v>7620</v>
      </c>
      <c r="B3945" s="157">
        <v>45973</v>
      </c>
      <c r="C3945" s="158" t="s">
        <v>935</v>
      </c>
      <c r="D3945" s="159" t="str">
        <f>VLOOKUP(Sales[[#This Row],[Customer ID]],Customer[#All],2,0)</f>
        <v>Ankit Kumar</v>
      </c>
      <c r="E3945" s="158" t="s">
        <v>89</v>
      </c>
      <c r="F3945" s="158" t="str">
        <f>VLOOKUP(Sales[[#This Row],[Product ID]],Product[#All],2,0)</f>
        <v>Portronics USB Cable</v>
      </c>
      <c r="G3945" s="159">
        <v>1</v>
      </c>
      <c r="H3945" s="160">
        <f>VLOOKUP(Sales[[#This Row],[Product ID]],Product[#All],7,0)</f>
        <v>390</v>
      </c>
      <c r="I3945" s="160">
        <f>Sales[[#This Row],[Selling Rate]]*Sales[[#This Row],[Qty]]</f>
        <v>390</v>
      </c>
      <c r="J3945" s="43">
        <v>0.05</v>
      </c>
      <c r="K3945" s="44">
        <f>Sales[[#This Row],[Gross Amount]]*Sales[[#This Row],[Disc %]]</f>
        <v>19.5</v>
      </c>
      <c r="L3945" s="43">
        <v>0.18</v>
      </c>
      <c r="M3945" s="44">
        <f>(Sales[[#This Row],[Gross Amount]]-Sales[[#This Row],[Disc. Amt.]])*Sales[[#This Row],[GST %]]</f>
        <v>66.69</v>
      </c>
      <c r="N3945" s="161">
        <f>Sales[[#This Row],[Gross Amount]]-Sales[[#This Row],[Disc. Amt.]]+Sales[[#This Row],[GST Amount]]</f>
        <v>437.19</v>
      </c>
      <c r="O3945" s="158" t="s">
        <v>3569</v>
      </c>
      <c r="P3945" s="158" t="s">
        <v>3562</v>
      </c>
      <c r="Q3945" s="160">
        <f>IF(Sales[[#This Row],[Status]]="Cancelled",0,Sales[[#This Row],[Qty]])</f>
        <v>1</v>
      </c>
      <c r="R3945" s="161">
        <f>IF(Sales[[#This Row],[Status]]="Cancelled",0,Sales[[#This Row],[Total Amount]])</f>
        <v>437.19</v>
      </c>
      <c r="S3945" s="162">
        <f>SUM(Sales[Net Amount])</f>
        <v>406839287.73200053</v>
      </c>
    </row>
    <row r="3946" spans="1:19" ht="18.75" x14ac:dyDescent="0.25">
      <c r="A3946" s="163" t="s">
        <v>7621</v>
      </c>
      <c r="B3946" s="164">
        <v>45973</v>
      </c>
      <c r="C3946" s="34" t="s">
        <v>812</v>
      </c>
      <c r="D3946" s="53" t="str">
        <f>VLOOKUP(Sales[[#This Row],[Customer ID]],Customer[#All],2,0)</f>
        <v>Neha Gupta</v>
      </c>
      <c r="E3946" s="34" t="s">
        <v>493</v>
      </c>
      <c r="F3946" s="34" t="str">
        <f>VLOOKUP(Sales[[#This Row],[Product ID]],Product[#All],2,0)</f>
        <v>Logitech Keyboard</v>
      </c>
      <c r="G3946" s="53">
        <v>3</v>
      </c>
      <c r="H3946" s="165">
        <f>VLOOKUP(Sales[[#This Row],[Product ID]],Product[#All],7,0)</f>
        <v>3040</v>
      </c>
      <c r="I3946" s="165">
        <f>Sales[[#This Row],[Selling Rate]]*Sales[[#This Row],[Qty]]</f>
        <v>9120</v>
      </c>
      <c r="J3946" s="45">
        <v>0.1</v>
      </c>
      <c r="K3946" s="46">
        <f>Sales[[#This Row],[Gross Amount]]*Sales[[#This Row],[Disc %]]</f>
        <v>912</v>
      </c>
      <c r="L3946" s="43">
        <v>0.18</v>
      </c>
      <c r="M3946" s="46">
        <f>(Sales[[#This Row],[Gross Amount]]-Sales[[#This Row],[Disc. Amt.]])*Sales[[#This Row],[GST %]]</f>
        <v>1477.44</v>
      </c>
      <c r="N3946" s="161">
        <f>Sales[[#This Row],[Gross Amount]]-Sales[[#This Row],[Disc. Amt.]]+Sales[[#This Row],[GST Amount]]</f>
        <v>9685.44</v>
      </c>
      <c r="O3946" s="34" t="s">
        <v>3566</v>
      </c>
      <c r="P3946" s="34" t="s">
        <v>3562</v>
      </c>
      <c r="Q3946" s="165">
        <f>IF(Sales[[#This Row],[Status]]="Cancelled",0,Sales[[#This Row],[Qty]])</f>
        <v>3</v>
      </c>
      <c r="R3946" s="166">
        <f>IF(Sales[[#This Row],[Status]]="Cancelled",0,Sales[[#This Row],[Total Amount]])</f>
        <v>9685.44</v>
      </c>
      <c r="S3946" s="162">
        <f>SUM(Sales[Net Amount])</f>
        <v>406839287.73200053</v>
      </c>
    </row>
    <row r="3947" spans="1:19" ht="18.75" x14ac:dyDescent="0.25">
      <c r="A3947" s="156" t="s">
        <v>7622</v>
      </c>
      <c r="B3947" s="157">
        <v>45973</v>
      </c>
      <c r="C3947" s="158" t="s">
        <v>948</v>
      </c>
      <c r="D3947" s="159" t="str">
        <f>VLOOKUP(Sales[[#This Row],[Customer ID]],Customer[#All],2,0)</f>
        <v>Pooja Patel</v>
      </c>
      <c r="E3947" s="158" t="s">
        <v>208</v>
      </c>
      <c r="F3947" s="158" t="str">
        <f>VLOOKUP(Sales[[#This Row],[Product ID]],Product[#All],2,0)</f>
        <v>Dell Laptop</v>
      </c>
      <c r="G3947" s="159">
        <v>3</v>
      </c>
      <c r="H3947" s="160">
        <f>VLOOKUP(Sales[[#This Row],[Product ID]],Product[#All],7,0)</f>
        <v>67000</v>
      </c>
      <c r="I3947" s="160">
        <f>Sales[[#This Row],[Selling Rate]]*Sales[[#This Row],[Qty]]</f>
        <v>201000</v>
      </c>
      <c r="J3947" s="43">
        <v>0.02</v>
      </c>
      <c r="K3947" s="44">
        <f>Sales[[#This Row],[Gross Amount]]*Sales[[#This Row],[Disc %]]</f>
        <v>4020</v>
      </c>
      <c r="L3947" s="43">
        <v>0.18</v>
      </c>
      <c r="M3947" s="44">
        <f>(Sales[[#This Row],[Gross Amount]]-Sales[[#This Row],[Disc. Amt.]])*Sales[[#This Row],[GST %]]</f>
        <v>35456.400000000001</v>
      </c>
      <c r="N3947" s="161">
        <f>Sales[[#This Row],[Gross Amount]]-Sales[[#This Row],[Disc. Amt.]]+Sales[[#This Row],[GST Amount]]</f>
        <v>232436.4</v>
      </c>
      <c r="O3947" s="158" t="s">
        <v>3561</v>
      </c>
      <c r="P3947" s="158" t="s">
        <v>3562</v>
      </c>
      <c r="Q3947" s="160">
        <f>IF(Sales[[#This Row],[Status]]="Cancelled",0,Sales[[#This Row],[Qty]])</f>
        <v>3</v>
      </c>
      <c r="R3947" s="161">
        <f>IF(Sales[[#This Row],[Status]]="Cancelled",0,Sales[[#This Row],[Total Amount]])</f>
        <v>232436.4</v>
      </c>
      <c r="S3947" s="162">
        <f>SUM(Sales[Net Amount])</f>
        <v>406839287.73200053</v>
      </c>
    </row>
    <row r="3948" spans="1:19" ht="18.75" x14ac:dyDescent="0.25">
      <c r="A3948" s="163" t="s">
        <v>7623</v>
      </c>
      <c r="B3948" s="164">
        <v>45973</v>
      </c>
      <c r="C3948" s="34" t="s">
        <v>695</v>
      </c>
      <c r="D3948" s="53" t="str">
        <f>VLOOKUP(Sales[[#This Row],[Customer ID]],Customer[#All],2,0)</f>
        <v>Rahul Kumar</v>
      </c>
      <c r="E3948" s="34" t="s">
        <v>529</v>
      </c>
      <c r="F3948" s="34" t="str">
        <f>VLOOKUP(Sales[[#This Row],[Product ID]],Product[#All],2,0)</f>
        <v>Logitech Webcam</v>
      </c>
      <c r="G3948" s="53">
        <v>8</v>
      </c>
      <c r="H3948" s="165">
        <f>VLOOKUP(Sales[[#This Row],[Product ID]],Product[#All],7,0)</f>
        <v>3390</v>
      </c>
      <c r="I3948" s="165">
        <f>Sales[[#This Row],[Selling Rate]]*Sales[[#This Row],[Qty]]</f>
        <v>27120</v>
      </c>
      <c r="J3948" s="45">
        <v>0.1</v>
      </c>
      <c r="K3948" s="46">
        <f>Sales[[#This Row],[Gross Amount]]*Sales[[#This Row],[Disc %]]</f>
        <v>2712</v>
      </c>
      <c r="L3948" s="43">
        <v>0.18</v>
      </c>
      <c r="M3948" s="46">
        <f>(Sales[[#This Row],[Gross Amount]]-Sales[[#This Row],[Disc. Amt.]])*Sales[[#This Row],[GST %]]</f>
        <v>4393.4399999999996</v>
      </c>
      <c r="N3948" s="161">
        <f>Sales[[#This Row],[Gross Amount]]-Sales[[#This Row],[Disc. Amt.]]+Sales[[#This Row],[GST Amount]]</f>
        <v>28801.439999999999</v>
      </c>
      <c r="O3948" s="34" t="s">
        <v>3561</v>
      </c>
      <c r="P3948" s="34" t="s">
        <v>3562</v>
      </c>
      <c r="Q3948" s="165">
        <f>IF(Sales[[#This Row],[Status]]="Cancelled",0,Sales[[#This Row],[Qty]])</f>
        <v>8</v>
      </c>
      <c r="R3948" s="166">
        <f>IF(Sales[[#This Row],[Status]]="Cancelled",0,Sales[[#This Row],[Total Amount]])</f>
        <v>28801.439999999999</v>
      </c>
      <c r="S3948" s="162">
        <f>SUM(Sales[Net Amount])</f>
        <v>406839287.73200053</v>
      </c>
    </row>
    <row r="3949" spans="1:19" ht="18.75" x14ac:dyDescent="0.25">
      <c r="A3949" s="156" t="s">
        <v>7624</v>
      </c>
      <c r="B3949" s="157">
        <v>45973</v>
      </c>
      <c r="C3949" s="158" t="s">
        <v>769</v>
      </c>
      <c r="D3949" s="159" t="str">
        <f>VLOOKUP(Sales[[#This Row],[Customer ID]],Customer[#All],2,0)</f>
        <v>Sahil Kumar</v>
      </c>
      <c r="E3949" s="158" t="s">
        <v>439</v>
      </c>
      <c r="F3949" s="158" t="str">
        <f>VLOOKUP(Sales[[#This Row],[Product ID]],Product[#All],2,0)</f>
        <v>HP Laptop</v>
      </c>
      <c r="G3949" s="159">
        <v>1</v>
      </c>
      <c r="H3949" s="160">
        <f>VLOOKUP(Sales[[#This Row],[Product ID]],Product[#All],7,0)</f>
        <v>83330</v>
      </c>
      <c r="I3949" s="160">
        <f>Sales[[#This Row],[Selling Rate]]*Sales[[#This Row],[Qty]]</f>
        <v>83330</v>
      </c>
      <c r="J3949" s="43">
        <v>0.02</v>
      </c>
      <c r="K3949" s="44">
        <f>Sales[[#This Row],[Gross Amount]]*Sales[[#This Row],[Disc %]]</f>
        <v>1666.6000000000001</v>
      </c>
      <c r="L3949" s="43">
        <v>0.18</v>
      </c>
      <c r="M3949" s="44">
        <f>(Sales[[#This Row],[Gross Amount]]-Sales[[#This Row],[Disc. Amt.]])*Sales[[#This Row],[GST %]]</f>
        <v>14699.411999999998</v>
      </c>
      <c r="N3949" s="161">
        <f>Sales[[#This Row],[Gross Amount]]-Sales[[#This Row],[Disc. Amt.]]+Sales[[#This Row],[GST Amount]]</f>
        <v>96362.811999999991</v>
      </c>
      <c r="O3949" s="158" t="s">
        <v>3566</v>
      </c>
      <c r="P3949" s="158" t="s">
        <v>3562</v>
      </c>
      <c r="Q3949" s="160">
        <f>IF(Sales[[#This Row],[Status]]="Cancelled",0,Sales[[#This Row],[Qty]])</f>
        <v>1</v>
      </c>
      <c r="R3949" s="161">
        <f>IF(Sales[[#This Row],[Status]]="Cancelled",0,Sales[[#This Row],[Total Amount]])</f>
        <v>96362.811999999991</v>
      </c>
      <c r="S3949" s="162">
        <f>SUM(Sales[Net Amount])</f>
        <v>406839287.73200053</v>
      </c>
    </row>
    <row r="3950" spans="1:19" ht="18.75" x14ac:dyDescent="0.25">
      <c r="A3950" s="163" t="s">
        <v>7625</v>
      </c>
      <c r="B3950" s="164">
        <v>45973</v>
      </c>
      <c r="C3950" s="34" t="s">
        <v>813</v>
      </c>
      <c r="D3950" s="53" t="str">
        <f>VLOOKUP(Sales[[#This Row],[Customer ID]],Customer[#All],2,0)</f>
        <v>Neha Verma</v>
      </c>
      <c r="E3950" s="34" t="s">
        <v>291</v>
      </c>
      <c r="F3950" s="34" t="str">
        <f>VLOOKUP(Sales[[#This Row],[Product ID]],Product[#All],2,0)</f>
        <v>Jbl Speaker</v>
      </c>
      <c r="G3950" s="53">
        <v>4</v>
      </c>
      <c r="H3950" s="165">
        <f>VLOOKUP(Sales[[#This Row],[Product ID]],Product[#All],7,0)</f>
        <v>12040</v>
      </c>
      <c r="I3950" s="165">
        <f>Sales[[#This Row],[Selling Rate]]*Sales[[#This Row],[Qty]]</f>
        <v>48160</v>
      </c>
      <c r="J3950" s="45">
        <v>0.02</v>
      </c>
      <c r="K3950" s="46">
        <f>Sales[[#This Row],[Gross Amount]]*Sales[[#This Row],[Disc %]]</f>
        <v>963.2</v>
      </c>
      <c r="L3950" s="43">
        <v>0.18</v>
      </c>
      <c r="M3950" s="46">
        <f>(Sales[[#This Row],[Gross Amount]]-Sales[[#This Row],[Disc. Amt.]])*Sales[[#This Row],[GST %]]</f>
        <v>8495.4240000000009</v>
      </c>
      <c r="N3950" s="161">
        <f>Sales[[#This Row],[Gross Amount]]-Sales[[#This Row],[Disc. Amt.]]+Sales[[#This Row],[GST Amount]]</f>
        <v>55692.224000000002</v>
      </c>
      <c r="O3950" s="34" t="s">
        <v>3566</v>
      </c>
      <c r="P3950" s="34" t="s">
        <v>3562</v>
      </c>
      <c r="Q3950" s="165">
        <f>IF(Sales[[#This Row],[Status]]="Cancelled",0,Sales[[#This Row],[Qty]])</f>
        <v>4</v>
      </c>
      <c r="R3950" s="166">
        <f>IF(Sales[[#This Row],[Status]]="Cancelled",0,Sales[[#This Row],[Total Amount]])</f>
        <v>55692.224000000002</v>
      </c>
      <c r="S3950" s="162">
        <f>SUM(Sales[Net Amount])</f>
        <v>406839287.73200053</v>
      </c>
    </row>
    <row r="3951" spans="1:19" ht="18.75" x14ac:dyDescent="0.25">
      <c r="A3951" s="156" t="s">
        <v>7626</v>
      </c>
      <c r="B3951" s="157">
        <v>45973</v>
      </c>
      <c r="C3951" s="158" t="s">
        <v>775</v>
      </c>
      <c r="D3951" s="159" t="str">
        <f>VLOOKUP(Sales[[#This Row],[Customer ID]],Customer[#All],2,0)</f>
        <v>Ankit Kumar</v>
      </c>
      <c r="E3951" s="158" t="s">
        <v>399</v>
      </c>
      <c r="F3951" s="158" t="str">
        <f>VLOOKUP(Sales[[#This Row],[Product ID]],Product[#All],2,0)</f>
        <v>Dell Desktop</v>
      </c>
      <c r="G3951" s="159">
        <v>6</v>
      </c>
      <c r="H3951" s="160">
        <f>VLOOKUP(Sales[[#This Row],[Product ID]],Product[#All],7,0)</f>
        <v>43510</v>
      </c>
      <c r="I3951" s="160">
        <f>Sales[[#This Row],[Selling Rate]]*Sales[[#This Row],[Qty]]</f>
        <v>261060</v>
      </c>
      <c r="J3951" s="43">
        <v>0.12</v>
      </c>
      <c r="K3951" s="44">
        <f>Sales[[#This Row],[Gross Amount]]*Sales[[#This Row],[Disc %]]</f>
        <v>31327.199999999997</v>
      </c>
      <c r="L3951" s="43">
        <v>0.18</v>
      </c>
      <c r="M3951" s="44">
        <f>(Sales[[#This Row],[Gross Amount]]-Sales[[#This Row],[Disc. Amt.]])*Sales[[#This Row],[GST %]]</f>
        <v>41351.903999999995</v>
      </c>
      <c r="N3951" s="161">
        <f>Sales[[#This Row],[Gross Amount]]-Sales[[#This Row],[Disc. Amt.]]+Sales[[#This Row],[GST Amount]]</f>
        <v>271084.70399999997</v>
      </c>
      <c r="O3951" s="158" t="s">
        <v>8876</v>
      </c>
      <c r="P3951" s="158" t="s">
        <v>3562</v>
      </c>
      <c r="Q3951" s="160">
        <f>IF(Sales[[#This Row],[Status]]="Cancelled",0,Sales[[#This Row],[Qty]])</f>
        <v>6</v>
      </c>
      <c r="R3951" s="161">
        <f>IF(Sales[[#This Row],[Status]]="Cancelled",0,Sales[[#This Row],[Total Amount]])</f>
        <v>271084.70399999997</v>
      </c>
      <c r="S3951" s="162">
        <f>SUM(Sales[Net Amount])</f>
        <v>406839287.73200053</v>
      </c>
    </row>
    <row r="3952" spans="1:19" ht="18.75" x14ac:dyDescent="0.25">
      <c r="A3952" s="163" t="s">
        <v>7627</v>
      </c>
      <c r="B3952" s="164">
        <v>45973</v>
      </c>
      <c r="C3952" s="34" t="s">
        <v>778</v>
      </c>
      <c r="D3952" s="53" t="str">
        <f>VLOOKUP(Sales[[#This Row],[Customer ID]],Customer[#All],2,0)</f>
        <v>Ankit Gupta</v>
      </c>
      <c r="E3952" s="34" t="s">
        <v>399</v>
      </c>
      <c r="F3952" s="34" t="str">
        <f>VLOOKUP(Sales[[#This Row],[Product ID]],Product[#All],2,0)</f>
        <v>Dell Desktop</v>
      </c>
      <c r="G3952" s="53">
        <v>2</v>
      </c>
      <c r="H3952" s="165">
        <f>VLOOKUP(Sales[[#This Row],[Product ID]],Product[#All],7,0)</f>
        <v>43510</v>
      </c>
      <c r="I3952" s="165">
        <f>Sales[[#This Row],[Selling Rate]]*Sales[[#This Row],[Qty]]</f>
        <v>87020</v>
      </c>
      <c r="J3952" s="45">
        <v>0.1</v>
      </c>
      <c r="K3952" s="46">
        <f>Sales[[#This Row],[Gross Amount]]*Sales[[#This Row],[Disc %]]</f>
        <v>8702</v>
      </c>
      <c r="L3952" s="43">
        <v>0.18</v>
      </c>
      <c r="M3952" s="46">
        <f>(Sales[[#This Row],[Gross Amount]]-Sales[[#This Row],[Disc. Amt.]])*Sales[[#This Row],[GST %]]</f>
        <v>14097.24</v>
      </c>
      <c r="N3952" s="161">
        <f>Sales[[#This Row],[Gross Amount]]-Sales[[#This Row],[Disc. Amt.]]+Sales[[#This Row],[GST Amount]]</f>
        <v>92415.24</v>
      </c>
      <c r="O3952" s="34" t="s">
        <v>3569</v>
      </c>
      <c r="P3952" s="34" t="s">
        <v>3562</v>
      </c>
      <c r="Q3952" s="165">
        <f>IF(Sales[[#This Row],[Status]]="Cancelled",0,Sales[[#This Row],[Qty]])</f>
        <v>2</v>
      </c>
      <c r="R3952" s="166">
        <f>IF(Sales[[#This Row],[Status]]="Cancelled",0,Sales[[#This Row],[Total Amount]])</f>
        <v>92415.24</v>
      </c>
      <c r="S3952" s="162">
        <f>SUM(Sales[Net Amount])</f>
        <v>406839287.73200053</v>
      </c>
    </row>
    <row r="3953" spans="1:19" ht="18.75" x14ac:dyDescent="0.25">
      <c r="A3953" s="156" t="s">
        <v>7628</v>
      </c>
      <c r="B3953" s="157">
        <v>45973</v>
      </c>
      <c r="C3953" s="158" t="s">
        <v>926</v>
      </c>
      <c r="D3953" s="159" t="str">
        <f>VLOOKUP(Sales[[#This Row],[Customer ID]],Customer[#All],2,0)</f>
        <v>Pooja Singh</v>
      </c>
      <c r="E3953" s="158" t="s">
        <v>476</v>
      </c>
      <c r="F3953" s="158" t="str">
        <f>VLOOKUP(Sales[[#This Row],[Product ID]],Product[#All],2,0)</f>
        <v>Sandisk Pen Drive</v>
      </c>
      <c r="G3953" s="159">
        <v>6</v>
      </c>
      <c r="H3953" s="160">
        <f>VLOOKUP(Sales[[#This Row],[Product ID]],Product[#All],7,0)</f>
        <v>650</v>
      </c>
      <c r="I3953" s="160">
        <f>Sales[[#This Row],[Selling Rate]]*Sales[[#This Row],[Qty]]</f>
        <v>3900</v>
      </c>
      <c r="J3953" s="43">
        <v>0.15</v>
      </c>
      <c r="K3953" s="44">
        <f>Sales[[#This Row],[Gross Amount]]*Sales[[#This Row],[Disc %]]</f>
        <v>585</v>
      </c>
      <c r="L3953" s="43">
        <v>0.18</v>
      </c>
      <c r="M3953" s="44">
        <f>(Sales[[#This Row],[Gross Amount]]-Sales[[#This Row],[Disc. Amt.]])*Sales[[#This Row],[GST %]]</f>
        <v>596.69999999999993</v>
      </c>
      <c r="N3953" s="161">
        <f>Sales[[#This Row],[Gross Amount]]-Sales[[#This Row],[Disc. Amt.]]+Sales[[#This Row],[GST Amount]]</f>
        <v>3911.7</v>
      </c>
      <c r="O3953" s="158" t="s">
        <v>3566</v>
      </c>
      <c r="P3953" s="158" t="s">
        <v>3562</v>
      </c>
      <c r="Q3953" s="160">
        <f>IF(Sales[[#This Row],[Status]]="Cancelled",0,Sales[[#This Row],[Qty]])</f>
        <v>6</v>
      </c>
      <c r="R3953" s="161">
        <f>IF(Sales[[#This Row],[Status]]="Cancelled",0,Sales[[#This Row],[Total Amount]])</f>
        <v>3911.7</v>
      </c>
      <c r="S3953" s="162">
        <f>SUM(Sales[Net Amount])</f>
        <v>406839287.73200053</v>
      </c>
    </row>
    <row r="3954" spans="1:19" ht="18.75" x14ac:dyDescent="0.25">
      <c r="A3954" s="163" t="s">
        <v>7629</v>
      </c>
      <c r="B3954" s="164">
        <v>45973</v>
      </c>
      <c r="C3954" s="34" t="s">
        <v>881</v>
      </c>
      <c r="D3954" s="53" t="str">
        <f>VLOOKUP(Sales[[#This Row],[Customer ID]],Customer[#All],2,0)</f>
        <v>Vikas Verma</v>
      </c>
      <c r="E3954" s="34" t="s">
        <v>439</v>
      </c>
      <c r="F3954" s="34" t="str">
        <f>VLOOKUP(Sales[[#This Row],[Product ID]],Product[#All],2,0)</f>
        <v>HP Laptop</v>
      </c>
      <c r="G3954" s="53">
        <v>5</v>
      </c>
      <c r="H3954" s="165">
        <f>VLOOKUP(Sales[[#This Row],[Product ID]],Product[#All],7,0)</f>
        <v>83330</v>
      </c>
      <c r="I3954" s="165">
        <f>Sales[[#This Row],[Selling Rate]]*Sales[[#This Row],[Qty]]</f>
        <v>416650</v>
      </c>
      <c r="J3954" s="45">
        <v>0.12</v>
      </c>
      <c r="K3954" s="46">
        <f>Sales[[#This Row],[Gross Amount]]*Sales[[#This Row],[Disc %]]</f>
        <v>49998</v>
      </c>
      <c r="L3954" s="43">
        <v>0.18</v>
      </c>
      <c r="M3954" s="46">
        <f>(Sales[[#This Row],[Gross Amount]]-Sales[[#This Row],[Disc. Amt.]])*Sales[[#This Row],[GST %]]</f>
        <v>65997.36</v>
      </c>
      <c r="N3954" s="161">
        <f>Sales[[#This Row],[Gross Amount]]-Sales[[#This Row],[Disc. Amt.]]+Sales[[#This Row],[GST Amount]]</f>
        <v>432649.36</v>
      </c>
      <c r="O3954" s="34" t="s">
        <v>3566</v>
      </c>
      <c r="P3954" s="34" t="s">
        <v>1040</v>
      </c>
      <c r="Q3954" s="165">
        <f>IF(Sales[[#This Row],[Status]]="Cancelled",0,Sales[[#This Row],[Qty]])</f>
        <v>0</v>
      </c>
      <c r="R3954" s="166">
        <f>IF(Sales[[#This Row],[Status]]="Cancelled",0,Sales[[#This Row],[Total Amount]])</f>
        <v>0</v>
      </c>
      <c r="S3954" s="162">
        <f>SUM(Sales[Net Amount])</f>
        <v>406839287.73200053</v>
      </c>
    </row>
    <row r="3955" spans="1:19" ht="18.75" x14ac:dyDescent="0.25">
      <c r="A3955" s="156" t="s">
        <v>7630</v>
      </c>
      <c r="B3955" s="157">
        <v>45973</v>
      </c>
      <c r="C3955" s="158" t="s">
        <v>773</v>
      </c>
      <c r="D3955" s="159" t="str">
        <f>VLOOKUP(Sales[[#This Row],[Customer ID]],Customer[#All],2,0)</f>
        <v>Rahul Kumar</v>
      </c>
      <c r="E3955" s="158" t="s">
        <v>222</v>
      </c>
      <c r="F3955" s="158" t="str">
        <f>VLOOKUP(Sales[[#This Row],[Product ID]],Product[#All],2,0)</f>
        <v>Jbl Headset</v>
      </c>
      <c r="G3955" s="159">
        <v>3</v>
      </c>
      <c r="H3955" s="160">
        <f>VLOOKUP(Sales[[#This Row],[Product ID]],Product[#All],7,0)</f>
        <v>8550</v>
      </c>
      <c r="I3955" s="160">
        <f>Sales[[#This Row],[Selling Rate]]*Sales[[#This Row],[Qty]]</f>
        <v>25650</v>
      </c>
      <c r="J3955" s="43">
        <v>0.12</v>
      </c>
      <c r="K3955" s="44">
        <f>Sales[[#This Row],[Gross Amount]]*Sales[[#This Row],[Disc %]]</f>
        <v>3078</v>
      </c>
      <c r="L3955" s="43">
        <v>0.18</v>
      </c>
      <c r="M3955" s="44">
        <f>(Sales[[#This Row],[Gross Amount]]-Sales[[#This Row],[Disc. Amt.]])*Sales[[#This Row],[GST %]]</f>
        <v>4062.96</v>
      </c>
      <c r="N3955" s="161">
        <f>Sales[[#This Row],[Gross Amount]]-Sales[[#This Row],[Disc. Amt.]]+Sales[[#This Row],[GST Amount]]</f>
        <v>26634.959999999999</v>
      </c>
      <c r="O3955" s="158" t="s">
        <v>3569</v>
      </c>
      <c r="P3955" s="158" t="s">
        <v>3562</v>
      </c>
      <c r="Q3955" s="160">
        <f>IF(Sales[[#This Row],[Status]]="Cancelled",0,Sales[[#This Row],[Qty]])</f>
        <v>3</v>
      </c>
      <c r="R3955" s="161">
        <f>IF(Sales[[#This Row],[Status]]="Cancelled",0,Sales[[#This Row],[Total Amount]])</f>
        <v>26634.959999999999</v>
      </c>
      <c r="S3955" s="162">
        <f>SUM(Sales[Net Amount])</f>
        <v>406839287.73200053</v>
      </c>
    </row>
    <row r="3956" spans="1:19" ht="18.75" x14ac:dyDescent="0.25">
      <c r="A3956" s="163" t="s">
        <v>7631</v>
      </c>
      <c r="B3956" s="164">
        <v>45973</v>
      </c>
      <c r="C3956" s="34" t="s">
        <v>803</v>
      </c>
      <c r="D3956" s="53" t="str">
        <f>VLOOKUP(Sales[[#This Row],[Customer ID]],Customer[#All],2,0)</f>
        <v>Pooja Singh</v>
      </c>
      <c r="E3956" s="34" t="s">
        <v>442</v>
      </c>
      <c r="F3956" s="34" t="str">
        <f>VLOOKUP(Sales[[#This Row],[Product ID]],Product[#All],2,0)</f>
        <v>D-Link Router</v>
      </c>
      <c r="G3956" s="53">
        <v>7</v>
      </c>
      <c r="H3956" s="165">
        <f>VLOOKUP(Sales[[#This Row],[Product ID]],Product[#All],7,0)</f>
        <v>3750</v>
      </c>
      <c r="I3956" s="165">
        <f>Sales[[#This Row],[Selling Rate]]*Sales[[#This Row],[Qty]]</f>
        <v>26250</v>
      </c>
      <c r="J3956" s="45">
        <v>0.12</v>
      </c>
      <c r="K3956" s="46">
        <f>Sales[[#This Row],[Gross Amount]]*Sales[[#This Row],[Disc %]]</f>
        <v>3150</v>
      </c>
      <c r="L3956" s="43">
        <v>0.18</v>
      </c>
      <c r="M3956" s="46">
        <f>(Sales[[#This Row],[Gross Amount]]-Sales[[#This Row],[Disc. Amt.]])*Sales[[#This Row],[GST %]]</f>
        <v>4158</v>
      </c>
      <c r="N3956" s="161">
        <f>Sales[[#This Row],[Gross Amount]]-Sales[[#This Row],[Disc. Amt.]]+Sales[[#This Row],[GST Amount]]</f>
        <v>27258</v>
      </c>
      <c r="O3956" s="34" t="s">
        <v>3569</v>
      </c>
      <c r="P3956" s="34" t="s">
        <v>3562</v>
      </c>
      <c r="Q3956" s="165">
        <f>IF(Sales[[#This Row],[Status]]="Cancelled",0,Sales[[#This Row],[Qty]])</f>
        <v>7</v>
      </c>
      <c r="R3956" s="166">
        <f>IF(Sales[[#This Row],[Status]]="Cancelled",0,Sales[[#This Row],[Total Amount]])</f>
        <v>27258</v>
      </c>
      <c r="S3956" s="162">
        <f>SUM(Sales[Net Amount])</f>
        <v>406839287.73200053</v>
      </c>
    </row>
    <row r="3957" spans="1:19" ht="18.75" x14ac:dyDescent="0.25">
      <c r="A3957" s="156" t="s">
        <v>7632</v>
      </c>
      <c r="B3957" s="157">
        <v>45973</v>
      </c>
      <c r="C3957" s="158" t="s">
        <v>828</v>
      </c>
      <c r="D3957" s="159" t="str">
        <f>VLOOKUP(Sales[[#This Row],[Customer ID]],Customer[#All],2,0)</f>
        <v>Ankit Verma</v>
      </c>
      <c r="E3957" s="158" t="s">
        <v>375</v>
      </c>
      <c r="F3957" s="158" t="str">
        <f>VLOOKUP(Sales[[#This Row],[Product ID]],Product[#All],2,0)</f>
        <v>American TouristerLaptopBag</v>
      </c>
      <c r="G3957" s="159">
        <v>1</v>
      </c>
      <c r="H3957" s="160">
        <f>VLOOKUP(Sales[[#This Row],[Product ID]],Product[#All],7,0)</f>
        <v>4990</v>
      </c>
      <c r="I3957" s="160">
        <f>Sales[[#This Row],[Selling Rate]]*Sales[[#This Row],[Qty]]</f>
        <v>4990</v>
      </c>
      <c r="J3957" s="43">
        <v>0.15</v>
      </c>
      <c r="K3957" s="44">
        <f>Sales[[#This Row],[Gross Amount]]*Sales[[#This Row],[Disc %]]</f>
        <v>748.5</v>
      </c>
      <c r="L3957" s="43">
        <v>0.18</v>
      </c>
      <c r="M3957" s="44">
        <f>(Sales[[#This Row],[Gross Amount]]-Sales[[#This Row],[Disc. Amt.]])*Sales[[#This Row],[GST %]]</f>
        <v>763.47</v>
      </c>
      <c r="N3957" s="161">
        <f>Sales[[#This Row],[Gross Amount]]-Sales[[#This Row],[Disc. Amt.]]+Sales[[#This Row],[GST Amount]]</f>
        <v>5004.97</v>
      </c>
      <c r="O3957" s="158" t="s">
        <v>3569</v>
      </c>
      <c r="P3957" s="158" t="s">
        <v>3562</v>
      </c>
      <c r="Q3957" s="160">
        <f>IF(Sales[[#This Row],[Status]]="Cancelled",0,Sales[[#This Row],[Qty]])</f>
        <v>1</v>
      </c>
      <c r="R3957" s="161">
        <f>IF(Sales[[#This Row],[Status]]="Cancelled",0,Sales[[#This Row],[Total Amount]])</f>
        <v>5004.97</v>
      </c>
      <c r="S3957" s="162">
        <f>SUM(Sales[Net Amount])</f>
        <v>406839287.73200053</v>
      </c>
    </row>
    <row r="3958" spans="1:19" ht="18.75" x14ac:dyDescent="0.25">
      <c r="A3958" s="163" t="s">
        <v>7633</v>
      </c>
      <c r="B3958" s="164">
        <v>45973</v>
      </c>
      <c r="C3958" s="34" t="s">
        <v>676</v>
      </c>
      <c r="D3958" s="53" t="str">
        <f>VLOOKUP(Sales[[#This Row],[Customer ID]],Customer[#All],2,0)</f>
        <v>Neha Singh</v>
      </c>
      <c r="E3958" s="34" t="s">
        <v>288</v>
      </c>
      <c r="F3958" s="34" t="str">
        <f>VLOOKUP(Sales[[#This Row],[Product ID]],Product[#All],2,0)</f>
        <v>Canon Printer</v>
      </c>
      <c r="G3958" s="53">
        <v>1</v>
      </c>
      <c r="H3958" s="165">
        <f>VLOOKUP(Sales[[#This Row],[Product ID]],Product[#All],7,0)</f>
        <v>41150</v>
      </c>
      <c r="I3958" s="165">
        <f>Sales[[#This Row],[Selling Rate]]*Sales[[#This Row],[Qty]]</f>
        <v>41150</v>
      </c>
      <c r="J3958" s="45">
        <v>0.05</v>
      </c>
      <c r="K3958" s="46">
        <f>Sales[[#This Row],[Gross Amount]]*Sales[[#This Row],[Disc %]]</f>
        <v>2057.5</v>
      </c>
      <c r="L3958" s="43">
        <v>0.18</v>
      </c>
      <c r="M3958" s="46">
        <f>(Sales[[#This Row],[Gross Amount]]-Sales[[#This Row],[Disc. Amt.]])*Sales[[#This Row],[GST %]]</f>
        <v>7036.65</v>
      </c>
      <c r="N3958" s="161">
        <f>Sales[[#This Row],[Gross Amount]]-Sales[[#This Row],[Disc. Amt.]]+Sales[[#This Row],[GST Amount]]</f>
        <v>46129.15</v>
      </c>
      <c r="O3958" s="34" t="s">
        <v>8876</v>
      </c>
      <c r="P3958" s="34" t="s">
        <v>3562</v>
      </c>
      <c r="Q3958" s="165">
        <f>IF(Sales[[#This Row],[Status]]="Cancelled",0,Sales[[#This Row],[Qty]])</f>
        <v>1</v>
      </c>
      <c r="R3958" s="166">
        <f>IF(Sales[[#This Row],[Status]]="Cancelled",0,Sales[[#This Row],[Total Amount]])</f>
        <v>46129.15</v>
      </c>
      <c r="S3958" s="162">
        <f>SUM(Sales[Net Amount])</f>
        <v>406839287.73200053</v>
      </c>
    </row>
    <row r="3959" spans="1:19" ht="18.75" x14ac:dyDescent="0.25">
      <c r="A3959" s="156" t="s">
        <v>7634</v>
      </c>
      <c r="B3959" s="157">
        <v>45973</v>
      </c>
      <c r="C3959" s="158" t="s">
        <v>770</v>
      </c>
      <c r="D3959" s="159" t="str">
        <f>VLOOKUP(Sales[[#This Row],[Customer ID]],Customer[#All],2,0)</f>
        <v>Sunita Sharma</v>
      </c>
      <c r="E3959" s="158" t="s">
        <v>110</v>
      </c>
      <c r="F3959" s="158" t="str">
        <f>VLOOKUP(Sales[[#This Row],[Product ID]],Product[#All],2,0)</f>
        <v>Lenovo Laptop</v>
      </c>
      <c r="G3959" s="159">
        <v>8</v>
      </c>
      <c r="H3959" s="160">
        <f>VLOOKUP(Sales[[#This Row],[Product ID]],Product[#All],7,0)</f>
        <v>66670</v>
      </c>
      <c r="I3959" s="160">
        <f>Sales[[#This Row],[Selling Rate]]*Sales[[#This Row],[Qty]]</f>
        <v>533360</v>
      </c>
      <c r="J3959" s="43">
        <v>0.12</v>
      </c>
      <c r="K3959" s="44">
        <f>Sales[[#This Row],[Gross Amount]]*Sales[[#This Row],[Disc %]]</f>
        <v>64003.199999999997</v>
      </c>
      <c r="L3959" s="43">
        <v>0.18</v>
      </c>
      <c r="M3959" s="44">
        <f>(Sales[[#This Row],[Gross Amount]]-Sales[[#This Row],[Disc. Amt.]])*Sales[[#This Row],[GST %]]</f>
        <v>84484.224000000002</v>
      </c>
      <c r="N3959" s="161">
        <f>Sales[[#This Row],[Gross Amount]]-Sales[[#This Row],[Disc. Amt.]]+Sales[[#This Row],[GST Amount]]</f>
        <v>553841.02399999998</v>
      </c>
      <c r="O3959" s="158" t="s">
        <v>8876</v>
      </c>
      <c r="P3959" s="158" t="s">
        <v>3562</v>
      </c>
      <c r="Q3959" s="160">
        <f>IF(Sales[[#This Row],[Status]]="Cancelled",0,Sales[[#This Row],[Qty]])</f>
        <v>8</v>
      </c>
      <c r="R3959" s="161">
        <f>IF(Sales[[#This Row],[Status]]="Cancelled",0,Sales[[#This Row],[Total Amount]])</f>
        <v>553841.02399999998</v>
      </c>
      <c r="S3959" s="162">
        <f>SUM(Sales[Net Amount])</f>
        <v>406839287.73200053</v>
      </c>
    </row>
    <row r="3960" spans="1:19" ht="18.75" x14ac:dyDescent="0.25">
      <c r="A3960" s="163" t="s">
        <v>7635</v>
      </c>
      <c r="B3960" s="164">
        <v>45973</v>
      </c>
      <c r="C3960" s="34" t="s">
        <v>901</v>
      </c>
      <c r="D3960" s="53" t="str">
        <f>VLOOKUP(Sales[[#This Row],[Customer ID]],Customer[#All],2,0)</f>
        <v>Vikas Kumar</v>
      </c>
      <c r="E3960" s="34" t="s">
        <v>191</v>
      </c>
      <c r="F3960" s="34" t="str">
        <f>VLOOKUP(Sales[[#This Row],[Product ID]],Product[#All],2,0)</f>
        <v>Logitech Keyboard</v>
      </c>
      <c r="G3960" s="53">
        <v>7</v>
      </c>
      <c r="H3960" s="165">
        <f>VLOOKUP(Sales[[#This Row],[Product ID]],Product[#All],7,0)</f>
        <v>2000</v>
      </c>
      <c r="I3960" s="165">
        <f>Sales[[#This Row],[Selling Rate]]*Sales[[#This Row],[Qty]]</f>
        <v>14000</v>
      </c>
      <c r="J3960" s="45">
        <v>0</v>
      </c>
      <c r="K3960" s="46">
        <f>Sales[[#This Row],[Gross Amount]]*Sales[[#This Row],[Disc %]]</f>
        <v>0</v>
      </c>
      <c r="L3960" s="43">
        <v>0.18</v>
      </c>
      <c r="M3960" s="46">
        <f>(Sales[[#This Row],[Gross Amount]]-Sales[[#This Row],[Disc. Amt.]])*Sales[[#This Row],[GST %]]</f>
        <v>2520</v>
      </c>
      <c r="N3960" s="161">
        <f>Sales[[#This Row],[Gross Amount]]-Sales[[#This Row],[Disc. Amt.]]+Sales[[#This Row],[GST Amount]]</f>
        <v>16520</v>
      </c>
      <c r="O3960" s="34" t="s">
        <v>3566</v>
      </c>
      <c r="P3960" s="34" t="s">
        <v>3562</v>
      </c>
      <c r="Q3960" s="165">
        <f>IF(Sales[[#This Row],[Status]]="Cancelled",0,Sales[[#This Row],[Qty]])</f>
        <v>7</v>
      </c>
      <c r="R3960" s="166">
        <f>IF(Sales[[#This Row],[Status]]="Cancelled",0,Sales[[#This Row],[Total Amount]])</f>
        <v>16520</v>
      </c>
      <c r="S3960" s="162">
        <f>SUM(Sales[Net Amount])</f>
        <v>406839287.73200053</v>
      </c>
    </row>
    <row r="3961" spans="1:19" ht="18.75" x14ac:dyDescent="0.25">
      <c r="A3961" s="156" t="s">
        <v>7636</v>
      </c>
      <c r="B3961" s="157">
        <v>45973</v>
      </c>
      <c r="C3961" s="158" t="s">
        <v>4298</v>
      </c>
      <c r="D3961" s="159" t="str">
        <f>VLOOKUP(Sales[[#This Row],[Customer ID]],Customer[#All],2,0)</f>
        <v>Rakesh Patel</v>
      </c>
      <c r="E3961" s="158" t="s">
        <v>210</v>
      </c>
      <c r="F3961" s="158" t="str">
        <f>VLOOKUP(Sales[[#This Row],[Product ID]],Product[#All],2,0)</f>
        <v>Jbl Headset</v>
      </c>
      <c r="G3961" s="159">
        <v>5</v>
      </c>
      <c r="H3961" s="160">
        <f>VLOOKUP(Sales[[#This Row],[Product ID]],Product[#All],7,0)</f>
        <v>1130</v>
      </c>
      <c r="I3961" s="160">
        <f>Sales[[#This Row],[Selling Rate]]*Sales[[#This Row],[Qty]]</f>
        <v>5650</v>
      </c>
      <c r="J3961" s="43">
        <v>0.1</v>
      </c>
      <c r="K3961" s="44">
        <f>Sales[[#This Row],[Gross Amount]]*Sales[[#This Row],[Disc %]]</f>
        <v>565</v>
      </c>
      <c r="L3961" s="43">
        <v>0.18</v>
      </c>
      <c r="M3961" s="44">
        <f>(Sales[[#This Row],[Gross Amount]]-Sales[[#This Row],[Disc. Amt.]])*Sales[[#This Row],[GST %]]</f>
        <v>915.3</v>
      </c>
      <c r="N3961" s="161">
        <f>Sales[[#This Row],[Gross Amount]]-Sales[[#This Row],[Disc. Amt.]]+Sales[[#This Row],[GST Amount]]</f>
        <v>6000.3</v>
      </c>
      <c r="O3961" s="158" t="s">
        <v>3569</v>
      </c>
      <c r="P3961" s="158" t="s">
        <v>3562</v>
      </c>
      <c r="Q3961" s="160">
        <f>IF(Sales[[#This Row],[Status]]="Cancelled",0,Sales[[#This Row],[Qty]])</f>
        <v>5</v>
      </c>
      <c r="R3961" s="161">
        <f>IF(Sales[[#This Row],[Status]]="Cancelled",0,Sales[[#This Row],[Total Amount]])</f>
        <v>6000.3</v>
      </c>
      <c r="S3961" s="162">
        <f>SUM(Sales[Net Amount])</f>
        <v>406839287.73200053</v>
      </c>
    </row>
    <row r="3962" spans="1:19" ht="18.75" x14ac:dyDescent="0.25">
      <c r="A3962" s="163" t="s">
        <v>7637</v>
      </c>
      <c r="B3962" s="164">
        <v>45973</v>
      </c>
      <c r="C3962" s="34" t="s">
        <v>862</v>
      </c>
      <c r="D3962" s="53" t="str">
        <f>VLOOKUP(Sales[[#This Row],[Customer ID]],Customer[#All],2,0)</f>
        <v>Rakesh Sharma</v>
      </c>
      <c r="E3962" s="34" t="s">
        <v>183</v>
      </c>
      <c r="F3962" s="34" t="str">
        <f>VLOOKUP(Sales[[#This Row],[Product ID]],Product[#All],2,0)</f>
        <v>Boat Speaker</v>
      </c>
      <c r="G3962" s="53">
        <v>8</v>
      </c>
      <c r="H3962" s="165">
        <f>VLOOKUP(Sales[[#This Row],[Product ID]],Product[#All],7,0)</f>
        <v>1430</v>
      </c>
      <c r="I3962" s="165">
        <f>Sales[[#This Row],[Selling Rate]]*Sales[[#This Row],[Qty]]</f>
        <v>11440</v>
      </c>
      <c r="J3962" s="45">
        <v>0</v>
      </c>
      <c r="K3962" s="46">
        <f>Sales[[#This Row],[Gross Amount]]*Sales[[#This Row],[Disc %]]</f>
        <v>0</v>
      </c>
      <c r="L3962" s="43">
        <v>0.18</v>
      </c>
      <c r="M3962" s="46">
        <f>(Sales[[#This Row],[Gross Amount]]-Sales[[#This Row],[Disc. Amt.]])*Sales[[#This Row],[GST %]]</f>
        <v>2059.1999999999998</v>
      </c>
      <c r="N3962" s="161">
        <f>Sales[[#This Row],[Gross Amount]]-Sales[[#This Row],[Disc. Amt.]]+Sales[[#This Row],[GST Amount]]</f>
        <v>13499.2</v>
      </c>
      <c r="O3962" s="34" t="s">
        <v>3569</v>
      </c>
      <c r="P3962" s="34" t="s">
        <v>3562</v>
      </c>
      <c r="Q3962" s="165">
        <f>IF(Sales[[#This Row],[Status]]="Cancelled",0,Sales[[#This Row],[Qty]])</f>
        <v>8</v>
      </c>
      <c r="R3962" s="166">
        <f>IF(Sales[[#This Row],[Status]]="Cancelled",0,Sales[[#This Row],[Total Amount]])</f>
        <v>13499.2</v>
      </c>
      <c r="S3962" s="162">
        <f>SUM(Sales[Net Amount])</f>
        <v>406839287.73200053</v>
      </c>
    </row>
    <row r="3963" spans="1:19" ht="18.75" x14ac:dyDescent="0.25">
      <c r="A3963" s="156" t="s">
        <v>7638</v>
      </c>
      <c r="B3963" s="157">
        <v>45973</v>
      </c>
      <c r="C3963" s="158" t="s">
        <v>882</v>
      </c>
      <c r="D3963" s="159" t="str">
        <f>VLOOKUP(Sales[[#This Row],[Customer ID]],Customer[#All],2,0)</f>
        <v>Rahul Sharma</v>
      </c>
      <c r="E3963" s="158" t="s">
        <v>120</v>
      </c>
      <c r="F3963" s="158" t="str">
        <f>VLOOKUP(Sales[[#This Row],[Product ID]],Product[#All],2,0)</f>
        <v>Boat Speaker</v>
      </c>
      <c r="G3963" s="159">
        <v>8</v>
      </c>
      <c r="H3963" s="160">
        <f>VLOOKUP(Sales[[#This Row],[Product ID]],Product[#All],7,0)</f>
        <v>6610</v>
      </c>
      <c r="I3963" s="160">
        <f>Sales[[#This Row],[Selling Rate]]*Sales[[#This Row],[Qty]]</f>
        <v>52880</v>
      </c>
      <c r="J3963" s="43">
        <v>0.15</v>
      </c>
      <c r="K3963" s="44">
        <f>Sales[[#This Row],[Gross Amount]]*Sales[[#This Row],[Disc %]]</f>
        <v>7932</v>
      </c>
      <c r="L3963" s="43">
        <v>0.18</v>
      </c>
      <c r="M3963" s="44">
        <f>(Sales[[#This Row],[Gross Amount]]-Sales[[#This Row],[Disc. Amt.]])*Sales[[#This Row],[GST %]]</f>
        <v>8090.6399999999994</v>
      </c>
      <c r="N3963" s="161">
        <f>Sales[[#This Row],[Gross Amount]]-Sales[[#This Row],[Disc. Amt.]]+Sales[[#This Row],[GST Amount]]</f>
        <v>53038.64</v>
      </c>
      <c r="O3963" s="158" t="s">
        <v>3566</v>
      </c>
      <c r="P3963" s="158" t="s">
        <v>3562</v>
      </c>
      <c r="Q3963" s="160">
        <f>IF(Sales[[#This Row],[Status]]="Cancelled",0,Sales[[#This Row],[Qty]])</f>
        <v>8</v>
      </c>
      <c r="R3963" s="161">
        <f>IF(Sales[[#This Row],[Status]]="Cancelled",0,Sales[[#This Row],[Total Amount]])</f>
        <v>53038.64</v>
      </c>
      <c r="S3963" s="162">
        <f>SUM(Sales[Net Amount])</f>
        <v>406839287.73200053</v>
      </c>
    </row>
    <row r="3964" spans="1:19" ht="18.75" x14ac:dyDescent="0.25">
      <c r="A3964" s="163" t="s">
        <v>7639</v>
      </c>
      <c r="B3964" s="164">
        <v>45973</v>
      </c>
      <c r="C3964" s="34" t="s">
        <v>859</v>
      </c>
      <c r="D3964" s="53" t="str">
        <f>VLOOKUP(Sales[[#This Row],[Customer ID]],Customer[#All],2,0)</f>
        <v>Rakesh Kumar</v>
      </c>
      <c r="E3964" s="34" t="s">
        <v>51</v>
      </c>
      <c r="F3964" s="34" t="str">
        <f>VLOOKUP(Sales[[#This Row],[Product ID]],Product[#All],2,0)</f>
        <v>Boat Speaker</v>
      </c>
      <c r="G3964" s="53">
        <v>4</v>
      </c>
      <c r="H3964" s="165">
        <f>VLOOKUP(Sales[[#This Row],[Product ID]],Product[#All],7,0)</f>
        <v>4730</v>
      </c>
      <c r="I3964" s="165">
        <f>Sales[[#This Row],[Selling Rate]]*Sales[[#This Row],[Qty]]</f>
        <v>18920</v>
      </c>
      <c r="J3964" s="45">
        <v>0</v>
      </c>
      <c r="K3964" s="46">
        <f>Sales[[#This Row],[Gross Amount]]*Sales[[#This Row],[Disc %]]</f>
        <v>0</v>
      </c>
      <c r="L3964" s="43">
        <v>0.18</v>
      </c>
      <c r="M3964" s="46">
        <f>(Sales[[#This Row],[Gross Amount]]-Sales[[#This Row],[Disc. Amt.]])*Sales[[#This Row],[GST %]]</f>
        <v>3405.6</v>
      </c>
      <c r="N3964" s="161">
        <f>Sales[[#This Row],[Gross Amount]]-Sales[[#This Row],[Disc. Amt.]]+Sales[[#This Row],[GST Amount]]</f>
        <v>22325.599999999999</v>
      </c>
      <c r="O3964" s="34" t="s">
        <v>3566</v>
      </c>
      <c r="P3964" s="34" t="s">
        <v>3562</v>
      </c>
      <c r="Q3964" s="165">
        <f>IF(Sales[[#This Row],[Status]]="Cancelled",0,Sales[[#This Row],[Qty]])</f>
        <v>4</v>
      </c>
      <c r="R3964" s="166">
        <f>IF(Sales[[#This Row],[Status]]="Cancelled",0,Sales[[#This Row],[Total Amount]])</f>
        <v>22325.599999999999</v>
      </c>
      <c r="S3964" s="162">
        <f>SUM(Sales[Net Amount])</f>
        <v>406839287.73200053</v>
      </c>
    </row>
    <row r="3965" spans="1:19" ht="18.75" x14ac:dyDescent="0.25">
      <c r="A3965" s="156" t="s">
        <v>7640</v>
      </c>
      <c r="B3965" s="157">
        <v>45974</v>
      </c>
      <c r="C3965" s="158" t="s">
        <v>762</v>
      </c>
      <c r="D3965" s="159" t="str">
        <f>VLOOKUP(Sales[[#This Row],[Customer ID]],Customer[#All],2,0)</f>
        <v>Amit Patel</v>
      </c>
      <c r="E3965" s="158" t="s">
        <v>179</v>
      </c>
      <c r="F3965" s="158" t="str">
        <f>VLOOKUP(Sales[[#This Row],[Product ID]],Product[#All],2,0)</f>
        <v>TP-link Wi-Fi Adapter</v>
      </c>
      <c r="G3965" s="159">
        <v>1</v>
      </c>
      <c r="H3965" s="160">
        <f>VLOOKUP(Sales[[#This Row],[Product ID]],Product[#All],7,0)</f>
        <v>1490</v>
      </c>
      <c r="I3965" s="160">
        <f>Sales[[#This Row],[Selling Rate]]*Sales[[#This Row],[Qty]]</f>
        <v>1490</v>
      </c>
      <c r="J3965" s="43">
        <v>0.05</v>
      </c>
      <c r="K3965" s="44">
        <f>Sales[[#This Row],[Gross Amount]]*Sales[[#This Row],[Disc %]]</f>
        <v>74.5</v>
      </c>
      <c r="L3965" s="43">
        <v>0.18</v>
      </c>
      <c r="M3965" s="44">
        <f>(Sales[[#This Row],[Gross Amount]]-Sales[[#This Row],[Disc. Amt.]])*Sales[[#This Row],[GST %]]</f>
        <v>254.79</v>
      </c>
      <c r="N3965" s="161">
        <f>Sales[[#This Row],[Gross Amount]]-Sales[[#This Row],[Disc. Amt.]]+Sales[[#This Row],[GST Amount]]</f>
        <v>1670.29</v>
      </c>
      <c r="O3965" s="158" t="s">
        <v>3566</v>
      </c>
      <c r="P3965" s="158" t="s">
        <v>3562</v>
      </c>
      <c r="Q3965" s="160">
        <f>IF(Sales[[#This Row],[Status]]="Cancelled",0,Sales[[#This Row],[Qty]])</f>
        <v>1</v>
      </c>
      <c r="R3965" s="161">
        <f>IF(Sales[[#This Row],[Status]]="Cancelled",0,Sales[[#This Row],[Total Amount]])</f>
        <v>1670.29</v>
      </c>
      <c r="S3965" s="162">
        <f>SUM(Sales[Net Amount])</f>
        <v>406839287.73200053</v>
      </c>
    </row>
    <row r="3966" spans="1:19" ht="18.75" x14ac:dyDescent="0.25">
      <c r="A3966" s="163" t="s">
        <v>7641</v>
      </c>
      <c r="B3966" s="164">
        <v>45974</v>
      </c>
      <c r="C3966" s="34" t="s">
        <v>683</v>
      </c>
      <c r="D3966" s="53" t="str">
        <f>VLOOKUP(Sales[[#This Row],[Customer ID]],Customer[#All],2,0)</f>
        <v>Rahul Kumar</v>
      </c>
      <c r="E3966" s="34" t="s">
        <v>418</v>
      </c>
      <c r="F3966" s="34" t="str">
        <f>VLOOKUP(Sales[[#This Row],[Product ID]],Product[#All],2,0)</f>
        <v>TP-link Router</v>
      </c>
      <c r="G3966" s="53">
        <v>5</v>
      </c>
      <c r="H3966" s="165">
        <f>VLOOKUP(Sales[[#This Row],[Product ID]],Product[#All],7,0)</f>
        <v>6750</v>
      </c>
      <c r="I3966" s="165">
        <f>Sales[[#This Row],[Selling Rate]]*Sales[[#This Row],[Qty]]</f>
        <v>33750</v>
      </c>
      <c r="J3966" s="45">
        <v>0.05</v>
      </c>
      <c r="K3966" s="46">
        <f>Sales[[#This Row],[Gross Amount]]*Sales[[#This Row],[Disc %]]</f>
        <v>1687.5</v>
      </c>
      <c r="L3966" s="43">
        <v>0.18</v>
      </c>
      <c r="M3966" s="46">
        <f>(Sales[[#This Row],[Gross Amount]]-Sales[[#This Row],[Disc. Amt.]])*Sales[[#This Row],[GST %]]</f>
        <v>5771.25</v>
      </c>
      <c r="N3966" s="161">
        <f>Sales[[#This Row],[Gross Amount]]-Sales[[#This Row],[Disc. Amt.]]+Sales[[#This Row],[GST Amount]]</f>
        <v>37833.75</v>
      </c>
      <c r="O3966" s="34" t="s">
        <v>3566</v>
      </c>
      <c r="P3966" s="34" t="s">
        <v>3562</v>
      </c>
      <c r="Q3966" s="165">
        <f>IF(Sales[[#This Row],[Status]]="Cancelled",0,Sales[[#This Row],[Qty]])</f>
        <v>5</v>
      </c>
      <c r="R3966" s="166">
        <f>IF(Sales[[#This Row],[Status]]="Cancelled",0,Sales[[#This Row],[Total Amount]])</f>
        <v>37833.75</v>
      </c>
      <c r="S3966" s="162">
        <f>SUM(Sales[Net Amount])</f>
        <v>406839287.73200053</v>
      </c>
    </row>
    <row r="3967" spans="1:19" ht="18.75" x14ac:dyDescent="0.25">
      <c r="A3967" s="156" t="s">
        <v>7642</v>
      </c>
      <c r="B3967" s="157">
        <v>45974</v>
      </c>
      <c r="C3967" s="158" t="s">
        <v>859</v>
      </c>
      <c r="D3967" s="159" t="str">
        <f>VLOOKUP(Sales[[#This Row],[Customer ID]],Customer[#All],2,0)</f>
        <v>Rakesh Kumar</v>
      </c>
      <c r="E3967" s="158" t="s">
        <v>419</v>
      </c>
      <c r="F3967" s="158" t="str">
        <f>VLOOKUP(Sales[[#This Row],[Product ID]],Product[#All],2,0)</f>
        <v>WD HDD</v>
      </c>
      <c r="G3967" s="159">
        <v>1</v>
      </c>
      <c r="H3967" s="160">
        <f>VLOOKUP(Sales[[#This Row],[Product ID]],Product[#All],7,0)</f>
        <v>8930</v>
      </c>
      <c r="I3967" s="160">
        <f>Sales[[#This Row],[Selling Rate]]*Sales[[#This Row],[Qty]]</f>
        <v>8930</v>
      </c>
      <c r="J3967" s="43">
        <v>0.1</v>
      </c>
      <c r="K3967" s="44">
        <f>Sales[[#This Row],[Gross Amount]]*Sales[[#This Row],[Disc %]]</f>
        <v>893</v>
      </c>
      <c r="L3967" s="43">
        <v>0.18</v>
      </c>
      <c r="M3967" s="44">
        <f>(Sales[[#This Row],[Gross Amount]]-Sales[[#This Row],[Disc. Amt.]])*Sales[[#This Row],[GST %]]</f>
        <v>1446.6599999999999</v>
      </c>
      <c r="N3967" s="161">
        <f>Sales[[#This Row],[Gross Amount]]-Sales[[#This Row],[Disc. Amt.]]+Sales[[#This Row],[GST Amount]]</f>
        <v>9483.66</v>
      </c>
      <c r="O3967" s="158" t="s">
        <v>3569</v>
      </c>
      <c r="P3967" s="158" t="s">
        <v>3562</v>
      </c>
      <c r="Q3967" s="160">
        <f>IF(Sales[[#This Row],[Status]]="Cancelled",0,Sales[[#This Row],[Qty]])</f>
        <v>1</v>
      </c>
      <c r="R3967" s="161">
        <f>IF(Sales[[#This Row],[Status]]="Cancelled",0,Sales[[#This Row],[Total Amount]])</f>
        <v>9483.66</v>
      </c>
      <c r="S3967" s="162">
        <f>SUM(Sales[Net Amount])</f>
        <v>406839287.73200053</v>
      </c>
    </row>
    <row r="3968" spans="1:19" ht="18.75" x14ac:dyDescent="0.25">
      <c r="A3968" s="163" t="s">
        <v>7643</v>
      </c>
      <c r="B3968" s="164">
        <v>45974</v>
      </c>
      <c r="C3968" s="34" t="s">
        <v>737</v>
      </c>
      <c r="D3968" s="53" t="str">
        <f>VLOOKUP(Sales[[#This Row],[Customer ID]],Customer[#All],2,0)</f>
        <v>Pooja Verma</v>
      </c>
      <c r="E3968" s="34" t="s">
        <v>356</v>
      </c>
      <c r="F3968" s="34" t="str">
        <f>VLOOKUP(Sales[[#This Row],[Product ID]],Product[#All],2,0)</f>
        <v>Corsair Ram</v>
      </c>
      <c r="G3968" s="53">
        <v>1</v>
      </c>
      <c r="H3968" s="165">
        <f>VLOOKUP(Sales[[#This Row],[Product ID]],Product[#All],7,0)</f>
        <v>8460</v>
      </c>
      <c r="I3968" s="165">
        <f>Sales[[#This Row],[Selling Rate]]*Sales[[#This Row],[Qty]]</f>
        <v>8460</v>
      </c>
      <c r="J3968" s="45">
        <v>0.12</v>
      </c>
      <c r="K3968" s="46">
        <f>Sales[[#This Row],[Gross Amount]]*Sales[[#This Row],[Disc %]]</f>
        <v>1015.1999999999999</v>
      </c>
      <c r="L3968" s="43">
        <v>0.18</v>
      </c>
      <c r="M3968" s="46">
        <f>(Sales[[#This Row],[Gross Amount]]-Sales[[#This Row],[Disc. Amt.]])*Sales[[#This Row],[GST %]]</f>
        <v>1340.0640000000001</v>
      </c>
      <c r="N3968" s="161">
        <f>Sales[[#This Row],[Gross Amount]]-Sales[[#This Row],[Disc. Amt.]]+Sales[[#This Row],[GST Amount]]</f>
        <v>8784.8639999999996</v>
      </c>
      <c r="O3968" s="34" t="s">
        <v>3569</v>
      </c>
      <c r="P3968" s="34" t="s">
        <v>3562</v>
      </c>
      <c r="Q3968" s="165">
        <f>IF(Sales[[#This Row],[Status]]="Cancelled",0,Sales[[#This Row],[Qty]])</f>
        <v>1</v>
      </c>
      <c r="R3968" s="166">
        <f>IF(Sales[[#This Row],[Status]]="Cancelled",0,Sales[[#This Row],[Total Amount]])</f>
        <v>8784.8639999999996</v>
      </c>
      <c r="S3968" s="162">
        <f>SUM(Sales[Net Amount])</f>
        <v>406839287.73200053</v>
      </c>
    </row>
    <row r="3969" spans="1:19" ht="18.75" x14ac:dyDescent="0.25">
      <c r="A3969" s="156" t="s">
        <v>7644</v>
      </c>
      <c r="B3969" s="157">
        <v>45974</v>
      </c>
      <c r="C3969" s="158" t="s">
        <v>4617</v>
      </c>
      <c r="D3969" s="159" t="str">
        <f>VLOOKUP(Sales[[#This Row],[Customer ID]],Customer[#All],2,0)</f>
        <v>Sahil Kumar</v>
      </c>
      <c r="E3969" s="158" t="s">
        <v>398</v>
      </c>
      <c r="F3969" s="158" t="str">
        <f>VLOOKUP(Sales[[#This Row],[Product ID]],Product[#All],2,0)</f>
        <v>D-Link Router</v>
      </c>
      <c r="G3969" s="159">
        <v>7</v>
      </c>
      <c r="H3969" s="160">
        <f>VLOOKUP(Sales[[#This Row],[Product ID]],Product[#All],7,0)</f>
        <v>5420</v>
      </c>
      <c r="I3969" s="160">
        <f>Sales[[#This Row],[Selling Rate]]*Sales[[#This Row],[Qty]]</f>
        <v>37940</v>
      </c>
      <c r="J3969" s="43">
        <v>0.12</v>
      </c>
      <c r="K3969" s="44">
        <f>Sales[[#This Row],[Gross Amount]]*Sales[[#This Row],[Disc %]]</f>
        <v>4552.8</v>
      </c>
      <c r="L3969" s="43">
        <v>0.18</v>
      </c>
      <c r="M3969" s="44">
        <f>(Sales[[#This Row],[Gross Amount]]-Sales[[#This Row],[Disc. Amt.]])*Sales[[#This Row],[GST %]]</f>
        <v>6009.695999999999</v>
      </c>
      <c r="N3969" s="161">
        <f>Sales[[#This Row],[Gross Amount]]-Sales[[#This Row],[Disc. Amt.]]+Sales[[#This Row],[GST Amount]]</f>
        <v>39396.895999999993</v>
      </c>
      <c r="O3969" s="158" t="s">
        <v>8876</v>
      </c>
      <c r="P3969" s="158" t="s">
        <v>3562</v>
      </c>
      <c r="Q3969" s="160">
        <f>IF(Sales[[#This Row],[Status]]="Cancelled",0,Sales[[#This Row],[Qty]])</f>
        <v>7</v>
      </c>
      <c r="R3969" s="161">
        <f>IF(Sales[[#This Row],[Status]]="Cancelled",0,Sales[[#This Row],[Total Amount]])</f>
        <v>39396.895999999993</v>
      </c>
      <c r="S3969" s="162">
        <f>SUM(Sales[Net Amount])</f>
        <v>406839287.73200053</v>
      </c>
    </row>
    <row r="3970" spans="1:19" ht="18.75" x14ac:dyDescent="0.25">
      <c r="A3970" s="163" t="s">
        <v>7645</v>
      </c>
      <c r="B3970" s="164">
        <v>45974</v>
      </c>
      <c r="C3970" s="34" t="s">
        <v>713</v>
      </c>
      <c r="D3970" s="53" t="str">
        <f>VLOOKUP(Sales[[#This Row],[Customer ID]],Customer[#All],2,0)</f>
        <v>Amit Gupta</v>
      </c>
      <c r="E3970" s="34" t="s">
        <v>85</v>
      </c>
      <c r="F3970" s="34" t="str">
        <f>VLOOKUP(Sales[[#This Row],[Product ID]],Product[#All],2,0)</f>
        <v>Apc UPS</v>
      </c>
      <c r="G3970" s="53">
        <v>2</v>
      </c>
      <c r="H3970" s="165">
        <f>VLOOKUP(Sales[[#This Row],[Product ID]],Product[#All],7,0)</f>
        <v>8770</v>
      </c>
      <c r="I3970" s="165">
        <f>Sales[[#This Row],[Selling Rate]]*Sales[[#This Row],[Qty]]</f>
        <v>17540</v>
      </c>
      <c r="J3970" s="45">
        <v>0.05</v>
      </c>
      <c r="K3970" s="46">
        <f>Sales[[#This Row],[Gross Amount]]*Sales[[#This Row],[Disc %]]</f>
        <v>877</v>
      </c>
      <c r="L3970" s="43">
        <v>0.18</v>
      </c>
      <c r="M3970" s="46">
        <f>(Sales[[#This Row],[Gross Amount]]-Sales[[#This Row],[Disc. Amt.]])*Sales[[#This Row],[GST %]]</f>
        <v>2999.3399999999997</v>
      </c>
      <c r="N3970" s="161">
        <f>Sales[[#This Row],[Gross Amount]]-Sales[[#This Row],[Disc. Amt.]]+Sales[[#This Row],[GST Amount]]</f>
        <v>19662.34</v>
      </c>
      <c r="O3970" s="34" t="s">
        <v>8876</v>
      </c>
      <c r="P3970" s="34" t="s">
        <v>3562</v>
      </c>
      <c r="Q3970" s="165">
        <f>IF(Sales[[#This Row],[Status]]="Cancelled",0,Sales[[#This Row],[Qty]])</f>
        <v>2</v>
      </c>
      <c r="R3970" s="166">
        <f>IF(Sales[[#This Row],[Status]]="Cancelled",0,Sales[[#This Row],[Total Amount]])</f>
        <v>19662.34</v>
      </c>
      <c r="S3970" s="162">
        <f>SUM(Sales[Net Amount])</f>
        <v>406839287.73200053</v>
      </c>
    </row>
    <row r="3971" spans="1:19" ht="18.75" x14ac:dyDescent="0.25">
      <c r="A3971" s="156" t="s">
        <v>7646</v>
      </c>
      <c r="B3971" s="157">
        <v>45974</v>
      </c>
      <c r="C3971" s="158" t="s">
        <v>826</v>
      </c>
      <c r="D3971" s="159" t="str">
        <f>VLOOKUP(Sales[[#This Row],[Customer ID]],Customer[#All],2,0)</f>
        <v>Sahil Sharma</v>
      </c>
      <c r="E3971" s="158" t="s">
        <v>501</v>
      </c>
      <c r="F3971" s="158" t="str">
        <f>VLOOKUP(Sales[[#This Row],[Product ID]],Product[#All],2,0)</f>
        <v>Samsung Ssd</v>
      </c>
      <c r="G3971" s="159">
        <v>5</v>
      </c>
      <c r="H3971" s="160">
        <f>VLOOKUP(Sales[[#This Row],[Product ID]],Product[#All],7,0)</f>
        <v>4260</v>
      </c>
      <c r="I3971" s="160">
        <f>Sales[[#This Row],[Selling Rate]]*Sales[[#This Row],[Qty]]</f>
        <v>21300</v>
      </c>
      <c r="J3971" s="43">
        <v>0.1</v>
      </c>
      <c r="K3971" s="44">
        <f>Sales[[#This Row],[Gross Amount]]*Sales[[#This Row],[Disc %]]</f>
        <v>2130</v>
      </c>
      <c r="L3971" s="43">
        <v>0.18</v>
      </c>
      <c r="M3971" s="44">
        <f>(Sales[[#This Row],[Gross Amount]]-Sales[[#This Row],[Disc. Amt.]])*Sales[[#This Row],[GST %]]</f>
        <v>3450.6</v>
      </c>
      <c r="N3971" s="161">
        <f>Sales[[#This Row],[Gross Amount]]-Sales[[#This Row],[Disc. Amt.]]+Sales[[#This Row],[GST Amount]]</f>
        <v>22620.6</v>
      </c>
      <c r="O3971" s="158" t="s">
        <v>3566</v>
      </c>
      <c r="P3971" s="158" t="s">
        <v>3562</v>
      </c>
      <c r="Q3971" s="160">
        <f>IF(Sales[[#This Row],[Status]]="Cancelled",0,Sales[[#This Row],[Qty]])</f>
        <v>5</v>
      </c>
      <c r="R3971" s="161">
        <f>IF(Sales[[#This Row],[Status]]="Cancelled",0,Sales[[#This Row],[Total Amount]])</f>
        <v>22620.6</v>
      </c>
      <c r="S3971" s="162">
        <f>SUM(Sales[Net Amount])</f>
        <v>406839287.73200053</v>
      </c>
    </row>
    <row r="3972" spans="1:19" ht="18.75" x14ac:dyDescent="0.25">
      <c r="A3972" s="163" t="s">
        <v>7647</v>
      </c>
      <c r="B3972" s="164">
        <v>45974</v>
      </c>
      <c r="C3972" s="34" t="s">
        <v>741</v>
      </c>
      <c r="D3972" s="53" t="str">
        <f>VLOOKUP(Sales[[#This Row],[Customer ID]],Customer[#All],2,0)</f>
        <v>Rahul Patel</v>
      </c>
      <c r="E3972" s="34" t="s">
        <v>112</v>
      </c>
      <c r="F3972" s="34" t="str">
        <f>VLOOKUP(Sales[[#This Row],[Product ID]],Product[#All],2,0)</f>
        <v>Logitech Keyboard</v>
      </c>
      <c r="G3972" s="53">
        <v>2</v>
      </c>
      <c r="H3972" s="165">
        <f>VLOOKUP(Sales[[#This Row],[Product ID]],Product[#All],7,0)</f>
        <v>3300</v>
      </c>
      <c r="I3972" s="165">
        <f>Sales[[#This Row],[Selling Rate]]*Sales[[#This Row],[Qty]]</f>
        <v>6600</v>
      </c>
      <c r="J3972" s="45">
        <v>0</v>
      </c>
      <c r="K3972" s="46">
        <f>Sales[[#This Row],[Gross Amount]]*Sales[[#This Row],[Disc %]]</f>
        <v>0</v>
      </c>
      <c r="L3972" s="43">
        <v>0.18</v>
      </c>
      <c r="M3972" s="46">
        <f>(Sales[[#This Row],[Gross Amount]]-Sales[[#This Row],[Disc. Amt.]])*Sales[[#This Row],[GST %]]</f>
        <v>1188</v>
      </c>
      <c r="N3972" s="161">
        <f>Sales[[#This Row],[Gross Amount]]-Sales[[#This Row],[Disc. Amt.]]+Sales[[#This Row],[GST Amount]]</f>
        <v>7788</v>
      </c>
      <c r="O3972" s="34" t="s">
        <v>3566</v>
      </c>
      <c r="P3972" s="34" t="s">
        <v>3562</v>
      </c>
      <c r="Q3972" s="165">
        <f>IF(Sales[[#This Row],[Status]]="Cancelled",0,Sales[[#This Row],[Qty]])</f>
        <v>2</v>
      </c>
      <c r="R3972" s="166">
        <f>IF(Sales[[#This Row],[Status]]="Cancelled",0,Sales[[#This Row],[Total Amount]])</f>
        <v>7788</v>
      </c>
      <c r="S3972" s="162">
        <f>SUM(Sales[Net Amount])</f>
        <v>406839287.73200053</v>
      </c>
    </row>
    <row r="3973" spans="1:19" ht="18.75" x14ac:dyDescent="0.25">
      <c r="A3973" s="156" t="s">
        <v>7648</v>
      </c>
      <c r="B3973" s="157">
        <v>45974</v>
      </c>
      <c r="C3973" s="158" t="s">
        <v>894</v>
      </c>
      <c r="D3973" s="159" t="str">
        <f>VLOOKUP(Sales[[#This Row],[Customer ID]],Customer[#All],2,0)</f>
        <v>Sunita Patel</v>
      </c>
      <c r="E3973" s="158" t="s">
        <v>532</v>
      </c>
      <c r="F3973" s="158" t="str">
        <f>VLOOKUP(Sales[[#This Row],[Product ID]],Product[#All],2,0)</f>
        <v>Dell Laptop</v>
      </c>
      <c r="G3973" s="159">
        <v>6</v>
      </c>
      <c r="H3973" s="160">
        <f>VLOOKUP(Sales[[#This Row],[Product ID]],Product[#All],7,0)</f>
        <v>47550</v>
      </c>
      <c r="I3973" s="160">
        <f>Sales[[#This Row],[Selling Rate]]*Sales[[#This Row],[Qty]]</f>
        <v>285300</v>
      </c>
      <c r="J3973" s="43">
        <v>0.05</v>
      </c>
      <c r="K3973" s="44">
        <f>Sales[[#This Row],[Gross Amount]]*Sales[[#This Row],[Disc %]]</f>
        <v>14265</v>
      </c>
      <c r="L3973" s="43">
        <v>0.18</v>
      </c>
      <c r="M3973" s="44">
        <f>(Sales[[#This Row],[Gross Amount]]-Sales[[#This Row],[Disc. Amt.]])*Sales[[#This Row],[GST %]]</f>
        <v>48786.299999999996</v>
      </c>
      <c r="N3973" s="161">
        <f>Sales[[#This Row],[Gross Amount]]-Sales[[#This Row],[Disc. Amt.]]+Sales[[#This Row],[GST Amount]]</f>
        <v>319821.3</v>
      </c>
      <c r="O3973" s="158" t="s">
        <v>3569</v>
      </c>
      <c r="P3973" s="158" t="s">
        <v>3562</v>
      </c>
      <c r="Q3973" s="160">
        <f>IF(Sales[[#This Row],[Status]]="Cancelled",0,Sales[[#This Row],[Qty]])</f>
        <v>6</v>
      </c>
      <c r="R3973" s="161">
        <f>IF(Sales[[#This Row],[Status]]="Cancelled",0,Sales[[#This Row],[Total Amount]])</f>
        <v>319821.3</v>
      </c>
      <c r="S3973" s="162">
        <f>SUM(Sales[Net Amount])</f>
        <v>406839287.73200053</v>
      </c>
    </row>
    <row r="3974" spans="1:19" ht="18.75" x14ac:dyDescent="0.25">
      <c r="A3974" s="163" t="s">
        <v>7649</v>
      </c>
      <c r="B3974" s="164">
        <v>45974</v>
      </c>
      <c r="C3974" s="34" t="s">
        <v>820</v>
      </c>
      <c r="D3974" s="53" t="str">
        <f>VLOOKUP(Sales[[#This Row],[Customer ID]],Customer[#All],2,0)</f>
        <v>Sahil Gupta</v>
      </c>
      <c r="E3974" s="34" t="s">
        <v>493</v>
      </c>
      <c r="F3974" s="34" t="str">
        <f>VLOOKUP(Sales[[#This Row],[Product ID]],Product[#All],2,0)</f>
        <v>Logitech Keyboard</v>
      </c>
      <c r="G3974" s="53">
        <v>2</v>
      </c>
      <c r="H3974" s="165">
        <f>VLOOKUP(Sales[[#This Row],[Product ID]],Product[#All],7,0)</f>
        <v>3040</v>
      </c>
      <c r="I3974" s="165">
        <f>Sales[[#This Row],[Selling Rate]]*Sales[[#This Row],[Qty]]</f>
        <v>6080</v>
      </c>
      <c r="J3974" s="45">
        <v>0.05</v>
      </c>
      <c r="K3974" s="46">
        <f>Sales[[#This Row],[Gross Amount]]*Sales[[#This Row],[Disc %]]</f>
        <v>304</v>
      </c>
      <c r="L3974" s="43">
        <v>0.18</v>
      </c>
      <c r="M3974" s="46">
        <f>(Sales[[#This Row],[Gross Amount]]-Sales[[#This Row],[Disc. Amt.]])*Sales[[#This Row],[GST %]]</f>
        <v>1039.68</v>
      </c>
      <c r="N3974" s="161">
        <f>Sales[[#This Row],[Gross Amount]]-Sales[[#This Row],[Disc. Amt.]]+Sales[[#This Row],[GST Amount]]</f>
        <v>6815.68</v>
      </c>
      <c r="O3974" s="34" t="s">
        <v>3566</v>
      </c>
      <c r="P3974" s="34" t="s">
        <v>3562</v>
      </c>
      <c r="Q3974" s="165">
        <f>IF(Sales[[#This Row],[Status]]="Cancelled",0,Sales[[#This Row],[Qty]])</f>
        <v>2</v>
      </c>
      <c r="R3974" s="166">
        <f>IF(Sales[[#This Row],[Status]]="Cancelled",0,Sales[[#This Row],[Total Amount]])</f>
        <v>6815.68</v>
      </c>
      <c r="S3974" s="162">
        <f>SUM(Sales[Net Amount])</f>
        <v>406839287.73200053</v>
      </c>
    </row>
    <row r="3975" spans="1:19" ht="18.75" x14ac:dyDescent="0.25">
      <c r="A3975" s="156" t="s">
        <v>7650</v>
      </c>
      <c r="B3975" s="157">
        <v>45974</v>
      </c>
      <c r="C3975" s="158" t="s">
        <v>657</v>
      </c>
      <c r="D3975" s="159" t="str">
        <f>VLOOKUP(Sales[[#This Row],[Customer ID]],Customer[#All],2,0)</f>
        <v>Rahul Verma</v>
      </c>
      <c r="E3975" s="158" t="s">
        <v>321</v>
      </c>
      <c r="F3975" s="158" t="str">
        <f>VLOOKUP(Sales[[#This Row],[Product ID]],Product[#All],2,0)</f>
        <v>WD HDD</v>
      </c>
      <c r="G3975" s="159">
        <v>1</v>
      </c>
      <c r="H3975" s="160">
        <f>VLOOKUP(Sales[[#This Row],[Product ID]],Product[#All],7,0)</f>
        <v>6810</v>
      </c>
      <c r="I3975" s="160">
        <f>Sales[[#This Row],[Selling Rate]]*Sales[[#This Row],[Qty]]</f>
        <v>6810</v>
      </c>
      <c r="J3975" s="43">
        <v>0.12</v>
      </c>
      <c r="K3975" s="44">
        <f>Sales[[#This Row],[Gross Amount]]*Sales[[#This Row],[Disc %]]</f>
        <v>817.19999999999993</v>
      </c>
      <c r="L3975" s="43">
        <v>0.18</v>
      </c>
      <c r="M3975" s="44">
        <f>(Sales[[#This Row],[Gross Amount]]-Sales[[#This Row],[Disc. Amt.]])*Sales[[#This Row],[GST %]]</f>
        <v>1078.704</v>
      </c>
      <c r="N3975" s="161">
        <f>Sales[[#This Row],[Gross Amount]]-Sales[[#This Row],[Disc. Amt.]]+Sales[[#This Row],[GST Amount]]</f>
        <v>7071.5039999999999</v>
      </c>
      <c r="O3975" s="158" t="s">
        <v>8876</v>
      </c>
      <c r="P3975" s="158" t="s">
        <v>3562</v>
      </c>
      <c r="Q3975" s="160">
        <f>IF(Sales[[#This Row],[Status]]="Cancelled",0,Sales[[#This Row],[Qty]])</f>
        <v>1</v>
      </c>
      <c r="R3975" s="161">
        <f>IF(Sales[[#This Row],[Status]]="Cancelled",0,Sales[[#This Row],[Total Amount]])</f>
        <v>7071.5039999999999</v>
      </c>
      <c r="S3975" s="162">
        <f>SUM(Sales[Net Amount])</f>
        <v>406839287.73200053</v>
      </c>
    </row>
    <row r="3976" spans="1:19" ht="18.75" x14ac:dyDescent="0.25">
      <c r="A3976" s="163" t="s">
        <v>7651</v>
      </c>
      <c r="B3976" s="164">
        <v>45974</v>
      </c>
      <c r="C3976" s="34" t="s">
        <v>7652</v>
      </c>
      <c r="D3976" s="53" t="str">
        <f>VLOOKUP(Sales[[#This Row],[Customer ID]],Customer[#All],2,0)</f>
        <v>Vikas Verma</v>
      </c>
      <c r="E3976" s="34" t="s">
        <v>98</v>
      </c>
      <c r="F3976" s="34" t="str">
        <f>VLOOKUP(Sales[[#This Row],[Product ID]],Product[#All],2,0)</f>
        <v>TP-link Bluetooth Adapter</v>
      </c>
      <c r="G3976" s="53">
        <v>4</v>
      </c>
      <c r="H3976" s="165">
        <f>VLOOKUP(Sales[[#This Row],[Product ID]],Product[#All],7,0)</f>
        <v>1420</v>
      </c>
      <c r="I3976" s="165">
        <f>Sales[[#This Row],[Selling Rate]]*Sales[[#This Row],[Qty]]</f>
        <v>5680</v>
      </c>
      <c r="J3976" s="45">
        <v>0.15</v>
      </c>
      <c r="K3976" s="46">
        <f>Sales[[#This Row],[Gross Amount]]*Sales[[#This Row],[Disc %]]</f>
        <v>852</v>
      </c>
      <c r="L3976" s="43">
        <v>0.18</v>
      </c>
      <c r="M3976" s="46">
        <f>(Sales[[#This Row],[Gross Amount]]-Sales[[#This Row],[Disc. Amt.]])*Sales[[#This Row],[GST %]]</f>
        <v>869.04</v>
      </c>
      <c r="N3976" s="161">
        <f>Sales[[#This Row],[Gross Amount]]-Sales[[#This Row],[Disc. Amt.]]+Sales[[#This Row],[GST Amount]]</f>
        <v>5697.04</v>
      </c>
      <c r="O3976" s="34" t="s">
        <v>8876</v>
      </c>
      <c r="P3976" s="34" t="s">
        <v>3562</v>
      </c>
      <c r="Q3976" s="165">
        <f>IF(Sales[[#This Row],[Status]]="Cancelled",0,Sales[[#This Row],[Qty]])</f>
        <v>4</v>
      </c>
      <c r="R3976" s="166">
        <f>IF(Sales[[#This Row],[Status]]="Cancelled",0,Sales[[#This Row],[Total Amount]])</f>
        <v>5697.04</v>
      </c>
      <c r="S3976" s="162">
        <f>SUM(Sales[Net Amount])</f>
        <v>406839287.73200053</v>
      </c>
    </row>
    <row r="3977" spans="1:19" ht="18.75" x14ac:dyDescent="0.25">
      <c r="A3977" s="156" t="s">
        <v>7653</v>
      </c>
      <c r="B3977" s="157">
        <v>45974</v>
      </c>
      <c r="C3977" s="158" t="s">
        <v>701</v>
      </c>
      <c r="D3977" s="159" t="str">
        <f>VLOOKUP(Sales[[#This Row],[Customer ID]],Customer[#All],2,0)</f>
        <v>Ankit Kumar</v>
      </c>
      <c r="E3977" s="158" t="s">
        <v>396</v>
      </c>
      <c r="F3977" s="158" t="str">
        <f>VLOOKUP(Sales[[#This Row],[Product ID]],Product[#All],2,0)</f>
        <v>HP Laptop</v>
      </c>
      <c r="G3977" s="159">
        <v>2</v>
      </c>
      <c r="H3977" s="160">
        <f>VLOOKUP(Sales[[#This Row],[Product ID]],Product[#All],7,0)</f>
        <v>77100</v>
      </c>
      <c r="I3977" s="160">
        <f>Sales[[#This Row],[Selling Rate]]*Sales[[#This Row],[Qty]]</f>
        <v>154200</v>
      </c>
      <c r="J3977" s="43">
        <v>0.12</v>
      </c>
      <c r="K3977" s="44">
        <f>Sales[[#This Row],[Gross Amount]]*Sales[[#This Row],[Disc %]]</f>
        <v>18504</v>
      </c>
      <c r="L3977" s="43">
        <v>0.18</v>
      </c>
      <c r="M3977" s="44">
        <f>(Sales[[#This Row],[Gross Amount]]-Sales[[#This Row],[Disc. Amt.]])*Sales[[#This Row],[GST %]]</f>
        <v>24425.279999999999</v>
      </c>
      <c r="N3977" s="161">
        <f>Sales[[#This Row],[Gross Amount]]-Sales[[#This Row],[Disc. Amt.]]+Sales[[#This Row],[GST Amount]]</f>
        <v>160121.28</v>
      </c>
      <c r="O3977" s="158" t="s">
        <v>3566</v>
      </c>
      <c r="P3977" s="158" t="s">
        <v>3562</v>
      </c>
      <c r="Q3977" s="160">
        <f>IF(Sales[[#This Row],[Status]]="Cancelled",0,Sales[[#This Row],[Qty]])</f>
        <v>2</v>
      </c>
      <c r="R3977" s="161">
        <f>IF(Sales[[#This Row],[Status]]="Cancelled",0,Sales[[#This Row],[Total Amount]])</f>
        <v>160121.28</v>
      </c>
      <c r="S3977" s="162">
        <f>SUM(Sales[Net Amount])</f>
        <v>406839287.73200053</v>
      </c>
    </row>
    <row r="3978" spans="1:19" ht="18.75" x14ac:dyDescent="0.25">
      <c r="A3978" s="163" t="s">
        <v>7654</v>
      </c>
      <c r="B3978" s="164">
        <v>45974</v>
      </c>
      <c r="C3978" s="34" t="s">
        <v>664</v>
      </c>
      <c r="D3978" s="53" t="str">
        <f>VLOOKUP(Sales[[#This Row],[Customer ID]],Customer[#All],2,0)</f>
        <v>Sahil Singh</v>
      </c>
      <c r="E3978" s="34" t="s">
        <v>102</v>
      </c>
      <c r="F3978" s="34" t="str">
        <f>VLOOKUP(Sales[[#This Row],[Product ID]],Product[#All],2,0)</f>
        <v>Canon Printer</v>
      </c>
      <c r="G3978" s="53">
        <v>8</v>
      </c>
      <c r="H3978" s="165">
        <f>VLOOKUP(Sales[[#This Row],[Product ID]],Product[#All],7,0)</f>
        <v>13010</v>
      </c>
      <c r="I3978" s="165">
        <f>Sales[[#This Row],[Selling Rate]]*Sales[[#This Row],[Qty]]</f>
        <v>104080</v>
      </c>
      <c r="J3978" s="45">
        <v>0.02</v>
      </c>
      <c r="K3978" s="46">
        <f>Sales[[#This Row],[Gross Amount]]*Sales[[#This Row],[Disc %]]</f>
        <v>2081.6</v>
      </c>
      <c r="L3978" s="43">
        <v>0.18</v>
      </c>
      <c r="M3978" s="46">
        <f>(Sales[[#This Row],[Gross Amount]]-Sales[[#This Row],[Disc. Amt.]])*Sales[[#This Row],[GST %]]</f>
        <v>18359.712</v>
      </c>
      <c r="N3978" s="161">
        <f>Sales[[#This Row],[Gross Amount]]-Sales[[#This Row],[Disc. Amt.]]+Sales[[#This Row],[GST Amount]]</f>
        <v>120358.11199999999</v>
      </c>
      <c r="O3978" s="34" t="s">
        <v>3566</v>
      </c>
      <c r="P3978" s="34" t="s">
        <v>3562</v>
      </c>
      <c r="Q3978" s="165">
        <f>IF(Sales[[#This Row],[Status]]="Cancelled",0,Sales[[#This Row],[Qty]])</f>
        <v>8</v>
      </c>
      <c r="R3978" s="166">
        <f>IF(Sales[[#This Row],[Status]]="Cancelled",0,Sales[[#This Row],[Total Amount]])</f>
        <v>120358.11199999999</v>
      </c>
      <c r="S3978" s="162">
        <f>SUM(Sales[Net Amount])</f>
        <v>406839287.73200053</v>
      </c>
    </row>
    <row r="3979" spans="1:19" ht="18.75" x14ac:dyDescent="0.25">
      <c r="A3979" s="156" t="s">
        <v>7655</v>
      </c>
      <c r="B3979" s="157">
        <v>45974</v>
      </c>
      <c r="C3979" s="158" t="s">
        <v>865</v>
      </c>
      <c r="D3979" s="159" t="str">
        <f>VLOOKUP(Sales[[#This Row],[Customer ID]],Customer[#All],2,0)</f>
        <v>Sunita Gupta</v>
      </c>
      <c r="E3979" s="158" t="s">
        <v>330</v>
      </c>
      <c r="F3979" s="158" t="str">
        <f>VLOOKUP(Sales[[#This Row],[Product ID]],Product[#All],2,0)</f>
        <v>American TouristerLaptopBag</v>
      </c>
      <c r="G3979" s="159">
        <v>5</v>
      </c>
      <c r="H3979" s="160">
        <f>VLOOKUP(Sales[[#This Row],[Product ID]],Product[#All],7,0)</f>
        <v>4970</v>
      </c>
      <c r="I3979" s="160">
        <f>Sales[[#This Row],[Selling Rate]]*Sales[[#This Row],[Qty]]</f>
        <v>24850</v>
      </c>
      <c r="J3979" s="43">
        <v>0</v>
      </c>
      <c r="K3979" s="44">
        <f>Sales[[#This Row],[Gross Amount]]*Sales[[#This Row],[Disc %]]</f>
        <v>0</v>
      </c>
      <c r="L3979" s="43">
        <v>0.18</v>
      </c>
      <c r="M3979" s="44">
        <f>(Sales[[#This Row],[Gross Amount]]-Sales[[#This Row],[Disc. Amt.]])*Sales[[#This Row],[GST %]]</f>
        <v>4473</v>
      </c>
      <c r="N3979" s="161">
        <f>Sales[[#This Row],[Gross Amount]]-Sales[[#This Row],[Disc. Amt.]]+Sales[[#This Row],[GST Amount]]</f>
        <v>29323</v>
      </c>
      <c r="O3979" s="158" t="s">
        <v>8876</v>
      </c>
      <c r="P3979" s="158" t="s">
        <v>3562</v>
      </c>
      <c r="Q3979" s="160">
        <f>IF(Sales[[#This Row],[Status]]="Cancelled",0,Sales[[#This Row],[Qty]])</f>
        <v>5</v>
      </c>
      <c r="R3979" s="161">
        <f>IF(Sales[[#This Row],[Status]]="Cancelled",0,Sales[[#This Row],[Total Amount]])</f>
        <v>29323</v>
      </c>
      <c r="S3979" s="162">
        <f>SUM(Sales[Net Amount])</f>
        <v>406839287.73200053</v>
      </c>
    </row>
    <row r="3980" spans="1:19" ht="18.75" x14ac:dyDescent="0.25">
      <c r="A3980" s="163" t="s">
        <v>7656</v>
      </c>
      <c r="B3980" s="164">
        <v>45974</v>
      </c>
      <c r="C3980" s="34" t="s">
        <v>779</v>
      </c>
      <c r="D3980" s="53" t="str">
        <f>VLOOKUP(Sales[[#This Row],[Customer ID]],Customer[#All],2,0)</f>
        <v>Rakesh Verma</v>
      </c>
      <c r="E3980" s="34" t="s">
        <v>503</v>
      </c>
      <c r="F3980" s="34" t="str">
        <f>VLOOKUP(Sales[[#This Row],[Product ID]],Product[#All],2,0)</f>
        <v>Corsair Ram</v>
      </c>
      <c r="G3980" s="53">
        <v>3</v>
      </c>
      <c r="H3980" s="165">
        <f>VLOOKUP(Sales[[#This Row],[Product ID]],Product[#All],7,0)</f>
        <v>8750</v>
      </c>
      <c r="I3980" s="165">
        <f>Sales[[#This Row],[Selling Rate]]*Sales[[#This Row],[Qty]]</f>
        <v>26250</v>
      </c>
      <c r="J3980" s="45">
        <v>0.05</v>
      </c>
      <c r="K3980" s="46">
        <f>Sales[[#This Row],[Gross Amount]]*Sales[[#This Row],[Disc %]]</f>
        <v>1312.5</v>
      </c>
      <c r="L3980" s="43">
        <v>0.18</v>
      </c>
      <c r="M3980" s="46">
        <f>(Sales[[#This Row],[Gross Amount]]-Sales[[#This Row],[Disc. Amt.]])*Sales[[#This Row],[GST %]]</f>
        <v>4488.75</v>
      </c>
      <c r="N3980" s="161">
        <f>Sales[[#This Row],[Gross Amount]]-Sales[[#This Row],[Disc. Amt.]]+Sales[[#This Row],[GST Amount]]</f>
        <v>29426.25</v>
      </c>
      <c r="O3980" s="34" t="s">
        <v>8876</v>
      </c>
      <c r="P3980" s="34" t="s">
        <v>3562</v>
      </c>
      <c r="Q3980" s="165">
        <f>IF(Sales[[#This Row],[Status]]="Cancelled",0,Sales[[#This Row],[Qty]])</f>
        <v>3</v>
      </c>
      <c r="R3980" s="166">
        <f>IF(Sales[[#This Row],[Status]]="Cancelled",0,Sales[[#This Row],[Total Amount]])</f>
        <v>29426.25</v>
      </c>
      <c r="S3980" s="162">
        <f>SUM(Sales[Net Amount])</f>
        <v>406839287.73200053</v>
      </c>
    </row>
    <row r="3981" spans="1:19" ht="18.75" x14ac:dyDescent="0.25">
      <c r="A3981" s="156" t="s">
        <v>7657</v>
      </c>
      <c r="B3981" s="157">
        <v>45974</v>
      </c>
      <c r="C3981" s="158" t="s">
        <v>750</v>
      </c>
      <c r="D3981" s="159" t="str">
        <f>VLOOKUP(Sales[[#This Row],[Customer ID]],Customer[#All],2,0)</f>
        <v>Rakesh Verma</v>
      </c>
      <c r="E3981" s="158" t="s">
        <v>295</v>
      </c>
      <c r="F3981" s="158" t="str">
        <f>VLOOKUP(Sales[[#This Row],[Product ID]],Product[#All],2,0)</f>
        <v>Samsung Monitor</v>
      </c>
      <c r="G3981" s="159">
        <v>6</v>
      </c>
      <c r="H3981" s="160">
        <f>VLOOKUP(Sales[[#This Row],[Product ID]],Product[#All],7,0)</f>
        <v>7630</v>
      </c>
      <c r="I3981" s="160">
        <f>Sales[[#This Row],[Selling Rate]]*Sales[[#This Row],[Qty]]</f>
        <v>45780</v>
      </c>
      <c r="J3981" s="43">
        <v>0</v>
      </c>
      <c r="K3981" s="44">
        <f>Sales[[#This Row],[Gross Amount]]*Sales[[#This Row],[Disc %]]</f>
        <v>0</v>
      </c>
      <c r="L3981" s="43">
        <v>0.18</v>
      </c>
      <c r="M3981" s="44">
        <f>(Sales[[#This Row],[Gross Amount]]-Sales[[#This Row],[Disc. Amt.]])*Sales[[#This Row],[GST %]]</f>
        <v>8240.4</v>
      </c>
      <c r="N3981" s="161">
        <f>Sales[[#This Row],[Gross Amount]]-Sales[[#This Row],[Disc. Amt.]]+Sales[[#This Row],[GST Amount]]</f>
        <v>54020.4</v>
      </c>
      <c r="O3981" s="158" t="s">
        <v>3566</v>
      </c>
      <c r="P3981" s="158" t="s">
        <v>3562</v>
      </c>
      <c r="Q3981" s="160">
        <f>IF(Sales[[#This Row],[Status]]="Cancelled",0,Sales[[#This Row],[Qty]])</f>
        <v>6</v>
      </c>
      <c r="R3981" s="161">
        <f>IF(Sales[[#This Row],[Status]]="Cancelled",0,Sales[[#This Row],[Total Amount]])</f>
        <v>54020.4</v>
      </c>
      <c r="S3981" s="162">
        <f>SUM(Sales[Net Amount])</f>
        <v>406839287.73200053</v>
      </c>
    </row>
    <row r="3982" spans="1:19" ht="18.75" x14ac:dyDescent="0.25">
      <c r="A3982" s="163" t="s">
        <v>7658</v>
      </c>
      <c r="B3982" s="164">
        <v>45974</v>
      </c>
      <c r="C3982" s="34" t="s">
        <v>855</v>
      </c>
      <c r="D3982" s="53" t="str">
        <f>VLOOKUP(Sales[[#This Row],[Customer ID]],Customer[#All],2,0)</f>
        <v>Sahil Singh</v>
      </c>
      <c r="E3982" s="34" t="s">
        <v>552</v>
      </c>
      <c r="F3982" s="34" t="str">
        <f>VLOOKUP(Sales[[#This Row],[Product ID]],Product[#All],2,0)</f>
        <v>American TouristerLaptopBag</v>
      </c>
      <c r="G3982" s="53">
        <v>6</v>
      </c>
      <c r="H3982" s="165">
        <f>VLOOKUP(Sales[[#This Row],[Product ID]],Product[#All],7,0)</f>
        <v>5080</v>
      </c>
      <c r="I3982" s="165">
        <f>Sales[[#This Row],[Selling Rate]]*Sales[[#This Row],[Qty]]</f>
        <v>30480</v>
      </c>
      <c r="J3982" s="45">
        <v>0.15</v>
      </c>
      <c r="K3982" s="46">
        <f>Sales[[#This Row],[Gross Amount]]*Sales[[#This Row],[Disc %]]</f>
        <v>4572</v>
      </c>
      <c r="L3982" s="43">
        <v>0.18</v>
      </c>
      <c r="M3982" s="46">
        <f>(Sales[[#This Row],[Gross Amount]]-Sales[[#This Row],[Disc. Amt.]])*Sales[[#This Row],[GST %]]</f>
        <v>4663.4399999999996</v>
      </c>
      <c r="N3982" s="161">
        <f>Sales[[#This Row],[Gross Amount]]-Sales[[#This Row],[Disc. Amt.]]+Sales[[#This Row],[GST Amount]]</f>
        <v>30571.439999999999</v>
      </c>
      <c r="O3982" s="34" t="s">
        <v>3569</v>
      </c>
      <c r="P3982" s="34" t="s">
        <v>3562</v>
      </c>
      <c r="Q3982" s="165">
        <f>IF(Sales[[#This Row],[Status]]="Cancelled",0,Sales[[#This Row],[Qty]])</f>
        <v>6</v>
      </c>
      <c r="R3982" s="166">
        <f>IF(Sales[[#This Row],[Status]]="Cancelled",0,Sales[[#This Row],[Total Amount]])</f>
        <v>30571.439999999999</v>
      </c>
      <c r="S3982" s="162">
        <f>SUM(Sales[Net Amount])</f>
        <v>406839287.73200053</v>
      </c>
    </row>
    <row r="3983" spans="1:19" ht="18.75" x14ac:dyDescent="0.25">
      <c r="A3983" s="156" t="s">
        <v>7659</v>
      </c>
      <c r="B3983" s="157">
        <v>45974</v>
      </c>
      <c r="C3983" s="158" t="s">
        <v>738</v>
      </c>
      <c r="D3983" s="159" t="str">
        <f>VLOOKUP(Sales[[#This Row],[Customer ID]],Customer[#All],2,0)</f>
        <v>Pooja Patel</v>
      </c>
      <c r="E3983" s="158" t="s">
        <v>57</v>
      </c>
      <c r="F3983" s="158" t="str">
        <f>VLOOKUP(Sales[[#This Row],[Product ID]],Product[#All],2,0)</f>
        <v>Dell Desktop</v>
      </c>
      <c r="G3983" s="159">
        <v>2</v>
      </c>
      <c r="H3983" s="160">
        <f>VLOOKUP(Sales[[#This Row],[Product ID]],Product[#All],7,0)</f>
        <v>56600</v>
      </c>
      <c r="I3983" s="160">
        <f>Sales[[#This Row],[Selling Rate]]*Sales[[#This Row],[Qty]]</f>
        <v>113200</v>
      </c>
      <c r="J3983" s="43">
        <v>0.05</v>
      </c>
      <c r="K3983" s="44">
        <f>Sales[[#This Row],[Gross Amount]]*Sales[[#This Row],[Disc %]]</f>
        <v>5660</v>
      </c>
      <c r="L3983" s="43">
        <v>0.18</v>
      </c>
      <c r="M3983" s="44">
        <f>(Sales[[#This Row],[Gross Amount]]-Sales[[#This Row],[Disc. Amt.]])*Sales[[#This Row],[GST %]]</f>
        <v>19357.2</v>
      </c>
      <c r="N3983" s="161">
        <f>Sales[[#This Row],[Gross Amount]]-Sales[[#This Row],[Disc. Amt.]]+Sales[[#This Row],[GST Amount]]</f>
        <v>126897.2</v>
      </c>
      <c r="O3983" s="158" t="s">
        <v>3561</v>
      </c>
      <c r="P3983" s="158" t="s">
        <v>3562</v>
      </c>
      <c r="Q3983" s="160">
        <f>IF(Sales[[#This Row],[Status]]="Cancelled",0,Sales[[#This Row],[Qty]])</f>
        <v>2</v>
      </c>
      <c r="R3983" s="161">
        <f>IF(Sales[[#This Row],[Status]]="Cancelled",0,Sales[[#This Row],[Total Amount]])</f>
        <v>126897.2</v>
      </c>
      <c r="S3983" s="162">
        <f>SUM(Sales[Net Amount])</f>
        <v>406839287.73200053</v>
      </c>
    </row>
    <row r="3984" spans="1:19" ht="18.75" x14ac:dyDescent="0.25">
      <c r="A3984" s="163" t="s">
        <v>7660</v>
      </c>
      <c r="B3984" s="164">
        <v>45974</v>
      </c>
      <c r="C3984" s="34" t="s">
        <v>943</v>
      </c>
      <c r="D3984" s="53" t="str">
        <f>VLOOKUP(Sales[[#This Row],[Customer ID]],Customer[#All],2,0)</f>
        <v>Sahil Singh</v>
      </c>
      <c r="E3984" s="34" t="s">
        <v>521</v>
      </c>
      <c r="F3984" s="34" t="str">
        <f>VLOOKUP(Sales[[#This Row],[Product ID]],Product[#All],2,0)</f>
        <v>Sandisk Pen Drive</v>
      </c>
      <c r="G3984" s="53">
        <v>8</v>
      </c>
      <c r="H3984" s="165">
        <f>VLOOKUP(Sales[[#This Row],[Product ID]],Product[#All],7,0)</f>
        <v>2920</v>
      </c>
      <c r="I3984" s="165">
        <f>Sales[[#This Row],[Selling Rate]]*Sales[[#This Row],[Qty]]</f>
        <v>23360</v>
      </c>
      <c r="J3984" s="45">
        <v>0</v>
      </c>
      <c r="K3984" s="46">
        <f>Sales[[#This Row],[Gross Amount]]*Sales[[#This Row],[Disc %]]</f>
        <v>0</v>
      </c>
      <c r="L3984" s="43">
        <v>0.18</v>
      </c>
      <c r="M3984" s="46">
        <f>(Sales[[#This Row],[Gross Amount]]-Sales[[#This Row],[Disc. Amt.]])*Sales[[#This Row],[GST %]]</f>
        <v>4204.8</v>
      </c>
      <c r="N3984" s="161">
        <f>Sales[[#This Row],[Gross Amount]]-Sales[[#This Row],[Disc. Amt.]]+Sales[[#This Row],[GST Amount]]</f>
        <v>27564.799999999999</v>
      </c>
      <c r="O3984" s="34" t="s">
        <v>3561</v>
      </c>
      <c r="P3984" s="34" t="s">
        <v>3562</v>
      </c>
      <c r="Q3984" s="165">
        <f>IF(Sales[[#This Row],[Status]]="Cancelled",0,Sales[[#This Row],[Qty]])</f>
        <v>8</v>
      </c>
      <c r="R3984" s="166">
        <f>IF(Sales[[#This Row],[Status]]="Cancelled",0,Sales[[#This Row],[Total Amount]])</f>
        <v>27564.799999999999</v>
      </c>
      <c r="S3984" s="162">
        <f>SUM(Sales[Net Amount])</f>
        <v>406839287.73200053</v>
      </c>
    </row>
    <row r="3985" spans="1:19" ht="18.75" x14ac:dyDescent="0.25">
      <c r="A3985" s="156" t="s">
        <v>7661</v>
      </c>
      <c r="B3985" s="157">
        <v>45974</v>
      </c>
      <c r="C3985" s="158" t="s">
        <v>905</v>
      </c>
      <c r="D3985" s="159" t="str">
        <f>VLOOKUP(Sales[[#This Row],[Customer ID]],Customer[#All],2,0)</f>
        <v>Rakesh Gupta</v>
      </c>
      <c r="E3985" s="158" t="s">
        <v>553</v>
      </c>
      <c r="F3985" s="158" t="str">
        <f>VLOOKUP(Sales[[#This Row],[Product ID]],Product[#All],2,0)</f>
        <v>Logitech Webcam</v>
      </c>
      <c r="G3985" s="159">
        <v>3</v>
      </c>
      <c r="H3985" s="160">
        <f>VLOOKUP(Sales[[#This Row],[Product ID]],Product[#All],7,0)</f>
        <v>3820</v>
      </c>
      <c r="I3985" s="160">
        <f>Sales[[#This Row],[Selling Rate]]*Sales[[#This Row],[Qty]]</f>
        <v>11460</v>
      </c>
      <c r="J3985" s="43">
        <v>0.05</v>
      </c>
      <c r="K3985" s="44">
        <f>Sales[[#This Row],[Gross Amount]]*Sales[[#This Row],[Disc %]]</f>
        <v>573</v>
      </c>
      <c r="L3985" s="43">
        <v>0.18</v>
      </c>
      <c r="M3985" s="44">
        <f>(Sales[[#This Row],[Gross Amount]]-Sales[[#This Row],[Disc. Amt.]])*Sales[[#This Row],[GST %]]</f>
        <v>1959.6599999999999</v>
      </c>
      <c r="N3985" s="161">
        <f>Sales[[#This Row],[Gross Amount]]-Sales[[#This Row],[Disc. Amt.]]+Sales[[#This Row],[GST Amount]]</f>
        <v>12846.66</v>
      </c>
      <c r="O3985" s="158" t="s">
        <v>3561</v>
      </c>
      <c r="P3985" s="158" t="s">
        <v>3562</v>
      </c>
      <c r="Q3985" s="160">
        <f>IF(Sales[[#This Row],[Status]]="Cancelled",0,Sales[[#This Row],[Qty]])</f>
        <v>3</v>
      </c>
      <c r="R3985" s="161">
        <f>IF(Sales[[#This Row],[Status]]="Cancelled",0,Sales[[#This Row],[Total Amount]])</f>
        <v>12846.66</v>
      </c>
      <c r="S3985" s="162">
        <f>SUM(Sales[Net Amount])</f>
        <v>406839287.73200053</v>
      </c>
    </row>
    <row r="3986" spans="1:19" ht="18.75" x14ac:dyDescent="0.25">
      <c r="A3986" s="163" t="s">
        <v>7662</v>
      </c>
      <c r="B3986" s="164">
        <v>45974</v>
      </c>
      <c r="C3986" s="34" t="s">
        <v>921</v>
      </c>
      <c r="D3986" s="53" t="str">
        <f>VLOOKUP(Sales[[#This Row],[Customer ID]],Customer[#All],2,0)</f>
        <v>Sahil Gupta</v>
      </c>
      <c r="E3986" s="34" t="s">
        <v>77</v>
      </c>
      <c r="F3986" s="34" t="str">
        <f>VLOOKUP(Sales[[#This Row],[Product ID]],Product[#All],2,0)</f>
        <v>HP Power Adapter</v>
      </c>
      <c r="G3986" s="53">
        <v>8</v>
      </c>
      <c r="H3986" s="165">
        <f>VLOOKUP(Sales[[#This Row],[Product ID]],Product[#All],7,0)</f>
        <v>2770</v>
      </c>
      <c r="I3986" s="165">
        <f>Sales[[#This Row],[Selling Rate]]*Sales[[#This Row],[Qty]]</f>
        <v>22160</v>
      </c>
      <c r="J3986" s="45">
        <v>0</v>
      </c>
      <c r="K3986" s="46">
        <f>Sales[[#This Row],[Gross Amount]]*Sales[[#This Row],[Disc %]]</f>
        <v>0</v>
      </c>
      <c r="L3986" s="43">
        <v>0.18</v>
      </c>
      <c r="M3986" s="46">
        <f>(Sales[[#This Row],[Gross Amount]]-Sales[[#This Row],[Disc. Amt.]])*Sales[[#This Row],[GST %]]</f>
        <v>3988.7999999999997</v>
      </c>
      <c r="N3986" s="161">
        <f>Sales[[#This Row],[Gross Amount]]-Sales[[#This Row],[Disc. Amt.]]+Sales[[#This Row],[GST Amount]]</f>
        <v>26148.799999999999</v>
      </c>
      <c r="O3986" s="34" t="s">
        <v>3569</v>
      </c>
      <c r="P3986" s="34" t="s">
        <v>3562</v>
      </c>
      <c r="Q3986" s="165">
        <f>IF(Sales[[#This Row],[Status]]="Cancelled",0,Sales[[#This Row],[Qty]])</f>
        <v>8</v>
      </c>
      <c r="R3986" s="166">
        <f>IF(Sales[[#This Row],[Status]]="Cancelled",0,Sales[[#This Row],[Total Amount]])</f>
        <v>26148.799999999999</v>
      </c>
      <c r="S3986" s="162">
        <f>SUM(Sales[Net Amount])</f>
        <v>406839287.73200053</v>
      </c>
    </row>
    <row r="3987" spans="1:19" ht="18.75" x14ac:dyDescent="0.25">
      <c r="A3987" s="156" t="s">
        <v>7663</v>
      </c>
      <c r="B3987" s="157">
        <v>45974</v>
      </c>
      <c r="C3987" s="158" t="s">
        <v>824</v>
      </c>
      <c r="D3987" s="159" t="str">
        <f>VLOOKUP(Sales[[#This Row],[Customer ID]],Customer[#All],2,0)</f>
        <v>Sunita Verma</v>
      </c>
      <c r="E3987" s="158" t="s">
        <v>420</v>
      </c>
      <c r="F3987" s="158" t="str">
        <f>VLOOKUP(Sales[[#This Row],[Product ID]],Product[#All],2,0)</f>
        <v>Logitech Keyboard</v>
      </c>
      <c r="G3987" s="159">
        <v>3</v>
      </c>
      <c r="H3987" s="160">
        <f>VLOOKUP(Sales[[#This Row],[Product ID]],Product[#All],7,0)</f>
        <v>3430</v>
      </c>
      <c r="I3987" s="160">
        <f>Sales[[#This Row],[Selling Rate]]*Sales[[#This Row],[Qty]]</f>
        <v>10290</v>
      </c>
      <c r="J3987" s="43">
        <v>0.05</v>
      </c>
      <c r="K3987" s="44">
        <f>Sales[[#This Row],[Gross Amount]]*Sales[[#This Row],[Disc %]]</f>
        <v>514.5</v>
      </c>
      <c r="L3987" s="43">
        <v>0.18</v>
      </c>
      <c r="M3987" s="44">
        <f>(Sales[[#This Row],[Gross Amount]]-Sales[[#This Row],[Disc. Amt.]])*Sales[[#This Row],[GST %]]</f>
        <v>1759.59</v>
      </c>
      <c r="N3987" s="161">
        <f>Sales[[#This Row],[Gross Amount]]-Sales[[#This Row],[Disc. Amt.]]+Sales[[#This Row],[GST Amount]]</f>
        <v>11535.09</v>
      </c>
      <c r="O3987" s="158" t="s">
        <v>8876</v>
      </c>
      <c r="P3987" s="158" t="s">
        <v>3562</v>
      </c>
      <c r="Q3987" s="160">
        <f>IF(Sales[[#This Row],[Status]]="Cancelled",0,Sales[[#This Row],[Qty]])</f>
        <v>3</v>
      </c>
      <c r="R3987" s="161">
        <f>IF(Sales[[#This Row],[Status]]="Cancelled",0,Sales[[#This Row],[Total Amount]])</f>
        <v>11535.09</v>
      </c>
      <c r="S3987" s="162">
        <f>SUM(Sales[Net Amount])</f>
        <v>406839287.73200053</v>
      </c>
    </row>
    <row r="3988" spans="1:19" ht="18.75" x14ac:dyDescent="0.25">
      <c r="A3988" s="163" t="s">
        <v>7664</v>
      </c>
      <c r="B3988" s="164">
        <v>45974</v>
      </c>
      <c r="C3988" s="34" t="s">
        <v>746</v>
      </c>
      <c r="D3988" s="53" t="str">
        <f>VLOOKUP(Sales[[#This Row],[Customer ID]],Customer[#All],2,0)</f>
        <v>Sunita Kumar</v>
      </c>
      <c r="E3988" s="34" t="s">
        <v>411</v>
      </c>
      <c r="F3988" s="34" t="str">
        <f>VLOOKUP(Sales[[#This Row],[Product ID]],Product[#All],2,0)</f>
        <v>Logitech Webcam</v>
      </c>
      <c r="G3988" s="53">
        <v>1</v>
      </c>
      <c r="H3988" s="165">
        <f>VLOOKUP(Sales[[#This Row],[Product ID]],Product[#All],7,0)</f>
        <v>2350</v>
      </c>
      <c r="I3988" s="165">
        <f>Sales[[#This Row],[Selling Rate]]*Sales[[#This Row],[Qty]]</f>
        <v>2350</v>
      </c>
      <c r="J3988" s="45">
        <v>0.12</v>
      </c>
      <c r="K3988" s="46">
        <f>Sales[[#This Row],[Gross Amount]]*Sales[[#This Row],[Disc %]]</f>
        <v>282</v>
      </c>
      <c r="L3988" s="43">
        <v>0.18</v>
      </c>
      <c r="M3988" s="46">
        <f>(Sales[[#This Row],[Gross Amount]]-Sales[[#This Row],[Disc. Amt.]])*Sales[[#This Row],[GST %]]</f>
        <v>372.24</v>
      </c>
      <c r="N3988" s="161">
        <f>Sales[[#This Row],[Gross Amount]]-Sales[[#This Row],[Disc. Amt.]]+Sales[[#This Row],[GST Amount]]</f>
        <v>2440.2399999999998</v>
      </c>
      <c r="O3988" s="34" t="s">
        <v>3569</v>
      </c>
      <c r="P3988" s="34" t="s">
        <v>3562</v>
      </c>
      <c r="Q3988" s="165">
        <f>IF(Sales[[#This Row],[Status]]="Cancelled",0,Sales[[#This Row],[Qty]])</f>
        <v>1</v>
      </c>
      <c r="R3988" s="166">
        <f>IF(Sales[[#This Row],[Status]]="Cancelled",0,Sales[[#This Row],[Total Amount]])</f>
        <v>2440.2399999999998</v>
      </c>
      <c r="S3988" s="162">
        <f>SUM(Sales[Net Amount])</f>
        <v>406839287.73200053</v>
      </c>
    </row>
    <row r="3989" spans="1:19" ht="18.75" x14ac:dyDescent="0.25">
      <c r="A3989" s="156" t="s">
        <v>7665</v>
      </c>
      <c r="B3989" s="157">
        <v>45975</v>
      </c>
      <c r="C3989" s="158" t="s">
        <v>827</v>
      </c>
      <c r="D3989" s="159" t="str">
        <f>VLOOKUP(Sales[[#This Row],[Customer ID]],Customer[#All],2,0)</f>
        <v>Ankit Gupta</v>
      </c>
      <c r="E3989" s="158" t="s">
        <v>106</v>
      </c>
      <c r="F3989" s="158" t="str">
        <f>VLOOKUP(Sales[[#This Row],[Product ID]],Product[#All],2,0)</f>
        <v>Corsair Ram</v>
      </c>
      <c r="G3989" s="159">
        <v>7</v>
      </c>
      <c r="H3989" s="160">
        <f>VLOOKUP(Sales[[#This Row],[Product ID]],Product[#All],7,0)</f>
        <v>7990</v>
      </c>
      <c r="I3989" s="160">
        <f>Sales[[#This Row],[Selling Rate]]*Sales[[#This Row],[Qty]]</f>
        <v>55930</v>
      </c>
      <c r="J3989" s="43">
        <v>0</v>
      </c>
      <c r="K3989" s="44">
        <f>Sales[[#This Row],[Gross Amount]]*Sales[[#This Row],[Disc %]]</f>
        <v>0</v>
      </c>
      <c r="L3989" s="43">
        <v>0.18</v>
      </c>
      <c r="M3989" s="44">
        <f>(Sales[[#This Row],[Gross Amount]]-Sales[[#This Row],[Disc. Amt.]])*Sales[[#This Row],[GST %]]</f>
        <v>10067.4</v>
      </c>
      <c r="N3989" s="161">
        <f>Sales[[#This Row],[Gross Amount]]-Sales[[#This Row],[Disc. Amt.]]+Sales[[#This Row],[GST Amount]]</f>
        <v>65997.399999999994</v>
      </c>
      <c r="O3989" s="158" t="s">
        <v>3566</v>
      </c>
      <c r="P3989" s="158" t="s">
        <v>3562</v>
      </c>
      <c r="Q3989" s="160">
        <f>IF(Sales[[#This Row],[Status]]="Cancelled",0,Sales[[#This Row],[Qty]])</f>
        <v>7</v>
      </c>
      <c r="R3989" s="161">
        <f>IF(Sales[[#This Row],[Status]]="Cancelled",0,Sales[[#This Row],[Total Amount]])</f>
        <v>65997.399999999994</v>
      </c>
      <c r="S3989" s="162">
        <f>SUM(Sales[Net Amount])</f>
        <v>406839287.73200053</v>
      </c>
    </row>
    <row r="3990" spans="1:19" ht="18.75" x14ac:dyDescent="0.25">
      <c r="A3990" s="163" t="s">
        <v>7666</v>
      </c>
      <c r="B3990" s="164">
        <v>45975</v>
      </c>
      <c r="C3990" s="34" t="s">
        <v>911</v>
      </c>
      <c r="D3990" s="53" t="str">
        <f>VLOOKUP(Sales[[#This Row],[Customer ID]],Customer[#All],2,0)</f>
        <v>Amit Kumar</v>
      </c>
      <c r="E3990" s="34" t="s">
        <v>499</v>
      </c>
      <c r="F3990" s="34" t="str">
        <f>VLOOKUP(Sales[[#This Row],[Product ID]],Product[#All],2,0)</f>
        <v>HP Laptop</v>
      </c>
      <c r="G3990" s="53">
        <v>2</v>
      </c>
      <c r="H3990" s="165">
        <f>VLOOKUP(Sales[[#This Row],[Product ID]],Product[#All],7,0)</f>
        <v>83390</v>
      </c>
      <c r="I3990" s="165">
        <f>Sales[[#This Row],[Selling Rate]]*Sales[[#This Row],[Qty]]</f>
        <v>166780</v>
      </c>
      <c r="J3990" s="45">
        <v>0.05</v>
      </c>
      <c r="K3990" s="46">
        <f>Sales[[#This Row],[Gross Amount]]*Sales[[#This Row],[Disc %]]</f>
        <v>8339</v>
      </c>
      <c r="L3990" s="43">
        <v>0.18</v>
      </c>
      <c r="M3990" s="46">
        <f>(Sales[[#This Row],[Gross Amount]]-Sales[[#This Row],[Disc. Amt.]])*Sales[[#This Row],[GST %]]</f>
        <v>28519.379999999997</v>
      </c>
      <c r="N3990" s="161">
        <f>Sales[[#This Row],[Gross Amount]]-Sales[[#This Row],[Disc. Amt.]]+Sales[[#This Row],[GST Amount]]</f>
        <v>186960.38</v>
      </c>
      <c r="O3990" s="34" t="s">
        <v>8876</v>
      </c>
      <c r="P3990" s="34" t="s">
        <v>3562</v>
      </c>
      <c r="Q3990" s="165">
        <f>IF(Sales[[#This Row],[Status]]="Cancelled",0,Sales[[#This Row],[Qty]])</f>
        <v>2</v>
      </c>
      <c r="R3990" s="166">
        <f>IF(Sales[[#This Row],[Status]]="Cancelled",0,Sales[[#This Row],[Total Amount]])</f>
        <v>186960.38</v>
      </c>
      <c r="S3990" s="162">
        <f>SUM(Sales[Net Amount])</f>
        <v>406839287.73200053</v>
      </c>
    </row>
    <row r="3991" spans="1:19" ht="18.75" x14ac:dyDescent="0.25">
      <c r="A3991" s="156" t="s">
        <v>7667</v>
      </c>
      <c r="B3991" s="157">
        <v>45975</v>
      </c>
      <c r="C3991" s="158" t="s">
        <v>7668</v>
      </c>
      <c r="D3991" s="159" t="str">
        <f>VLOOKUP(Sales[[#This Row],[Customer ID]],Customer[#All],2,0)</f>
        <v>Rahul Singh</v>
      </c>
      <c r="E3991" s="158" t="s">
        <v>213</v>
      </c>
      <c r="F3991" s="158" t="str">
        <f>VLOOKUP(Sales[[#This Row],[Product ID]],Product[#All],2,0)</f>
        <v>Dell Power Adapter</v>
      </c>
      <c r="G3991" s="159">
        <v>3</v>
      </c>
      <c r="H3991" s="160">
        <f>VLOOKUP(Sales[[#This Row],[Product ID]],Product[#All],7,0)</f>
        <v>3740</v>
      </c>
      <c r="I3991" s="160">
        <f>Sales[[#This Row],[Selling Rate]]*Sales[[#This Row],[Qty]]</f>
        <v>11220</v>
      </c>
      <c r="J3991" s="43">
        <v>0</v>
      </c>
      <c r="K3991" s="44">
        <f>Sales[[#This Row],[Gross Amount]]*Sales[[#This Row],[Disc %]]</f>
        <v>0</v>
      </c>
      <c r="L3991" s="43">
        <v>0.18</v>
      </c>
      <c r="M3991" s="44">
        <f>(Sales[[#This Row],[Gross Amount]]-Sales[[#This Row],[Disc. Amt.]])*Sales[[#This Row],[GST %]]</f>
        <v>2019.6</v>
      </c>
      <c r="N3991" s="161">
        <f>Sales[[#This Row],[Gross Amount]]-Sales[[#This Row],[Disc. Amt.]]+Sales[[#This Row],[GST Amount]]</f>
        <v>13239.6</v>
      </c>
      <c r="O3991" s="158" t="s">
        <v>8876</v>
      </c>
      <c r="P3991" s="158" t="s">
        <v>3562</v>
      </c>
      <c r="Q3991" s="160">
        <f>IF(Sales[[#This Row],[Status]]="Cancelled",0,Sales[[#This Row],[Qty]])</f>
        <v>3</v>
      </c>
      <c r="R3991" s="161">
        <f>IF(Sales[[#This Row],[Status]]="Cancelled",0,Sales[[#This Row],[Total Amount]])</f>
        <v>13239.6</v>
      </c>
      <c r="S3991" s="162">
        <f>SUM(Sales[Net Amount])</f>
        <v>406839287.73200053</v>
      </c>
    </row>
    <row r="3992" spans="1:19" ht="18.75" x14ac:dyDescent="0.25">
      <c r="A3992" s="163" t="s">
        <v>7669</v>
      </c>
      <c r="B3992" s="164">
        <v>45975</v>
      </c>
      <c r="C3992" s="34" t="s">
        <v>932</v>
      </c>
      <c r="D3992" s="53" t="str">
        <f>VLOOKUP(Sales[[#This Row],[Customer ID]],Customer[#All],2,0)</f>
        <v>Vikas Gupta</v>
      </c>
      <c r="E3992" s="34" t="s">
        <v>285</v>
      </c>
      <c r="F3992" s="34" t="str">
        <f>VLOOKUP(Sales[[#This Row],[Product ID]],Product[#All],2,0)</f>
        <v>HP Power Adapter</v>
      </c>
      <c r="G3992" s="53">
        <v>5</v>
      </c>
      <c r="H3992" s="165">
        <f>VLOOKUP(Sales[[#This Row],[Product ID]],Product[#All],7,0)</f>
        <v>2170</v>
      </c>
      <c r="I3992" s="165">
        <f>Sales[[#This Row],[Selling Rate]]*Sales[[#This Row],[Qty]]</f>
        <v>10850</v>
      </c>
      <c r="J3992" s="45">
        <v>0.02</v>
      </c>
      <c r="K3992" s="46">
        <f>Sales[[#This Row],[Gross Amount]]*Sales[[#This Row],[Disc %]]</f>
        <v>217</v>
      </c>
      <c r="L3992" s="43">
        <v>0.18</v>
      </c>
      <c r="M3992" s="46">
        <f>(Sales[[#This Row],[Gross Amount]]-Sales[[#This Row],[Disc. Amt.]])*Sales[[#This Row],[GST %]]</f>
        <v>1913.9399999999998</v>
      </c>
      <c r="N3992" s="161">
        <f>Sales[[#This Row],[Gross Amount]]-Sales[[#This Row],[Disc. Amt.]]+Sales[[#This Row],[GST Amount]]</f>
        <v>12546.94</v>
      </c>
      <c r="O3992" s="34" t="s">
        <v>3569</v>
      </c>
      <c r="P3992" s="34" t="s">
        <v>3562</v>
      </c>
      <c r="Q3992" s="165">
        <f>IF(Sales[[#This Row],[Status]]="Cancelled",0,Sales[[#This Row],[Qty]])</f>
        <v>5</v>
      </c>
      <c r="R3992" s="166">
        <f>IF(Sales[[#This Row],[Status]]="Cancelled",0,Sales[[#This Row],[Total Amount]])</f>
        <v>12546.94</v>
      </c>
      <c r="S3992" s="162">
        <f>SUM(Sales[Net Amount])</f>
        <v>406839287.73200053</v>
      </c>
    </row>
    <row r="3993" spans="1:19" ht="18.75" x14ac:dyDescent="0.25">
      <c r="A3993" s="156" t="s">
        <v>7670</v>
      </c>
      <c r="B3993" s="157">
        <v>45975</v>
      </c>
      <c r="C3993" s="158" t="s">
        <v>3879</v>
      </c>
      <c r="D3993" s="159" t="str">
        <f>VLOOKUP(Sales[[#This Row],[Customer ID]],Customer[#All],2,0)</f>
        <v>Rakesh Kumar</v>
      </c>
      <c r="E3993" s="158" t="s">
        <v>550</v>
      </c>
      <c r="F3993" s="158" t="str">
        <f>VLOOKUP(Sales[[#This Row],[Product ID]],Product[#All],2,0)</f>
        <v>TP-link Wi-Fi Adapter</v>
      </c>
      <c r="G3993" s="159">
        <v>7</v>
      </c>
      <c r="H3993" s="160">
        <f>VLOOKUP(Sales[[#This Row],[Product ID]],Product[#All],7,0)</f>
        <v>1300</v>
      </c>
      <c r="I3993" s="160">
        <f>Sales[[#This Row],[Selling Rate]]*Sales[[#This Row],[Qty]]</f>
        <v>9100</v>
      </c>
      <c r="J3993" s="43">
        <v>0.12</v>
      </c>
      <c r="K3993" s="44">
        <f>Sales[[#This Row],[Gross Amount]]*Sales[[#This Row],[Disc %]]</f>
        <v>1092</v>
      </c>
      <c r="L3993" s="43">
        <v>0.18</v>
      </c>
      <c r="M3993" s="44">
        <f>(Sales[[#This Row],[Gross Amount]]-Sales[[#This Row],[Disc. Amt.]])*Sales[[#This Row],[GST %]]</f>
        <v>1441.44</v>
      </c>
      <c r="N3993" s="161">
        <f>Sales[[#This Row],[Gross Amount]]-Sales[[#This Row],[Disc. Amt.]]+Sales[[#This Row],[GST Amount]]</f>
        <v>9449.44</v>
      </c>
      <c r="O3993" s="158" t="s">
        <v>3569</v>
      </c>
      <c r="P3993" s="158" t="s">
        <v>3562</v>
      </c>
      <c r="Q3993" s="160">
        <f>IF(Sales[[#This Row],[Status]]="Cancelled",0,Sales[[#This Row],[Qty]])</f>
        <v>7</v>
      </c>
      <c r="R3993" s="161">
        <f>IF(Sales[[#This Row],[Status]]="Cancelled",0,Sales[[#This Row],[Total Amount]])</f>
        <v>9449.44</v>
      </c>
      <c r="S3993" s="162">
        <f>SUM(Sales[Net Amount])</f>
        <v>406839287.73200053</v>
      </c>
    </row>
    <row r="3994" spans="1:19" ht="18.75" x14ac:dyDescent="0.25">
      <c r="A3994" s="163" t="s">
        <v>7671</v>
      </c>
      <c r="B3994" s="164">
        <v>45975</v>
      </c>
      <c r="C3994" s="34" t="s">
        <v>929</v>
      </c>
      <c r="D3994" s="53" t="str">
        <f>VLOOKUP(Sales[[#This Row],[Customer ID]],Customer[#All],2,0)</f>
        <v>Sunita Gupta</v>
      </c>
      <c r="E3994" s="34" t="s">
        <v>47</v>
      </c>
      <c r="F3994" s="34" t="str">
        <f>VLOOKUP(Sales[[#This Row],[Product ID]],Product[#All],2,0)</f>
        <v>Logitech Keyboard</v>
      </c>
      <c r="G3994" s="53">
        <v>6</v>
      </c>
      <c r="H3994" s="165">
        <f>VLOOKUP(Sales[[#This Row],[Product ID]],Product[#All],7,0)</f>
        <v>930</v>
      </c>
      <c r="I3994" s="165">
        <f>Sales[[#This Row],[Selling Rate]]*Sales[[#This Row],[Qty]]</f>
        <v>5580</v>
      </c>
      <c r="J3994" s="45">
        <v>0.02</v>
      </c>
      <c r="K3994" s="46">
        <f>Sales[[#This Row],[Gross Amount]]*Sales[[#This Row],[Disc %]]</f>
        <v>111.60000000000001</v>
      </c>
      <c r="L3994" s="43">
        <v>0.18</v>
      </c>
      <c r="M3994" s="46">
        <f>(Sales[[#This Row],[Gross Amount]]-Sales[[#This Row],[Disc. Amt.]])*Sales[[#This Row],[GST %]]</f>
        <v>984.3119999999999</v>
      </c>
      <c r="N3994" s="161">
        <f>Sales[[#This Row],[Gross Amount]]-Sales[[#This Row],[Disc. Amt.]]+Sales[[#This Row],[GST Amount]]</f>
        <v>6452.7119999999995</v>
      </c>
      <c r="O3994" s="34" t="s">
        <v>3566</v>
      </c>
      <c r="P3994" s="34" t="s">
        <v>3562</v>
      </c>
      <c r="Q3994" s="165">
        <f>IF(Sales[[#This Row],[Status]]="Cancelled",0,Sales[[#This Row],[Qty]])</f>
        <v>6</v>
      </c>
      <c r="R3994" s="166">
        <f>IF(Sales[[#This Row],[Status]]="Cancelled",0,Sales[[#This Row],[Total Amount]])</f>
        <v>6452.7119999999995</v>
      </c>
      <c r="S3994" s="162">
        <f>SUM(Sales[Net Amount])</f>
        <v>406839287.73200053</v>
      </c>
    </row>
    <row r="3995" spans="1:19" ht="18.75" x14ac:dyDescent="0.25">
      <c r="A3995" s="156" t="s">
        <v>7672</v>
      </c>
      <c r="B3995" s="157">
        <v>45975</v>
      </c>
      <c r="C3995" s="158" t="s">
        <v>935</v>
      </c>
      <c r="D3995" s="159" t="str">
        <f>VLOOKUP(Sales[[#This Row],[Customer ID]],Customer[#All],2,0)</f>
        <v>Ankit Kumar</v>
      </c>
      <c r="E3995" s="158" t="s">
        <v>129</v>
      </c>
      <c r="F3995" s="158" t="str">
        <f>VLOOKUP(Sales[[#This Row],[Product ID]],Product[#All],2,0)</f>
        <v>Logitech Mouse</v>
      </c>
      <c r="G3995" s="159">
        <v>7</v>
      </c>
      <c r="H3995" s="160">
        <f>VLOOKUP(Sales[[#This Row],[Product ID]],Product[#All],7,0)</f>
        <v>2000</v>
      </c>
      <c r="I3995" s="160">
        <f>Sales[[#This Row],[Selling Rate]]*Sales[[#This Row],[Qty]]</f>
        <v>14000</v>
      </c>
      <c r="J3995" s="43">
        <v>0</v>
      </c>
      <c r="K3995" s="44">
        <f>Sales[[#This Row],[Gross Amount]]*Sales[[#This Row],[Disc %]]</f>
        <v>0</v>
      </c>
      <c r="L3995" s="43">
        <v>0.18</v>
      </c>
      <c r="M3995" s="44">
        <f>(Sales[[#This Row],[Gross Amount]]-Sales[[#This Row],[Disc. Amt.]])*Sales[[#This Row],[GST %]]</f>
        <v>2520</v>
      </c>
      <c r="N3995" s="161">
        <f>Sales[[#This Row],[Gross Amount]]-Sales[[#This Row],[Disc. Amt.]]+Sales[[#This Row],[GST Amount]]</f>
        <v>16520</v>
      </c>
      <c r="O3995" s="158" t="s">
        <v>3566</v>
      </c>
      <c r="P3995" s="158" t="s">
        <v>3562</v>
      </c>
      <c r="Q3995" s="160">
        <f>IF(Sales[[#This Row],[Status]]="Cancelled",0,Sales[[#This Row],[Qty]])</f>
        <v>7</v>
      </c>
      <c r="R3995" s="161">
        <f>IF(Sales[[#This Row],[Status]]="Cancelled",0,Sales[[#This Row],[Total Amount]])</f>
        <v>16520</v>
      </c>
      <c r="S3995" s="162">
        <f>SUM(Sales[Net Amount])</f>
        <v>406839287.73200053</v>
      </c>
    </row>
    <row r="3996" spans="1:19" ht="18.75" x14ac:dyDescent="0.25">
      <c r="A3996" s="163" t="s">
        <v>7673</v>
      </c>
      <c r="B3996" s="164">
        <v>45975</v>
      </c>
      <c r="C3996" s="34" t="s">
        <v>771</v>
      </c>
      <c r="D3996" s="53" t="str">
        <f>VLOOKUP(Sales[[#This Row],[Customer ID]],Customer[#All],2,0)</f>
        <v>Pooja Sharma</v>
      </c>
      <c r="E3996" s="34" t="s">
        <v>355</v>
      </c>
      <c r="F3996" s="34" t="str">
        <f>VLOOKUP(Sales[[#This Row],[Product ID]],Product[#All],2,0)</f>
        <v>HP Power Adapter</v>
      </c>
      <c r="G3996" s="53">
        <v>6</v>
      </c>
      <c r="H3996" s="165">
        <f>VLOOKUP(Sales[[#This Row],[Product ID]],Product[#All],7,0)</f>
        <v>3940</v>
      </c>
      <c r="I3996" s="165">
        <f>Sales[[#This Row],[Selling Rate]]*Sales[[#This Row],[Qty]]</f>
        <v>23640</v>
      </c>
      <c r="J3996" s="45">
        <v>0.05</v>
      </c>
      <c r="K3996" s="46">
        <f>Sales[[#This Row],[Gross Amount]]*Sales[[#This Row],[Disc %]]</f>
        <v>1182</v>
      </c>
      <c r="L3996" s="43">
        <v>0.18</v>
      </c>
      <c r="M3996" s="46">
        <f>(Sales[[#This Row],[Gross Amount]]-Sales[[#This Row],[Disc. Amt.]])*Sales[[#This Row],[GST %]]</f>
        <v>4042.44</v>
      </c>
      <c r="N3996" s="161">
        <f>Sales[[#This Row],[Gross Amount]]-Sales[[#This Row],[Disc. Amt.]]+Sales[[#This Row],[GST Amount]]</f>
        <v>26500.44</v>
      </c>
      <c r="O3996" s="34" t="s">
        <v>3561</v>
      </c>
      <c r="P3996" s="34" t="s">
        <v>3562</v>
      </c>
      <c r="Q3996" s="165">
        <f>IF(Sales[[#This Row],[Status]]="Cancelled",0,Sales[[#This Row],[Qty]])</f>
        <v>6</v>
      </c>
      <c r="R3996" s="166">
        <f>IF(Sales[[#This Row],[Status]]="Cancelled",0,Sales[[#This Row],[Total Amount]])</f>
        <v>26500.44</v>
      </c>
      <c r="S3996" s="162">
        <f>SUM(Sales[Net Amount])</f>
        <v>406839287.73200053</v>
      </c>
    </row>
    <row r="3997" spans="1:19" ht="18.75" x14ac:dyDescent="0.25">
      <c r="A3997" s="156" t="s">
        <v>7674</v>
      </c>
      <c r="B3997" s="157">
        <v>45975</v>
      </c>
      <c r="C3997" s="158" t="s">
        <v>691</v>
      </c>
      <c r="D3997" s="159" t="str">
        <f>VLOOKUP(Sales[[#This Row],[Customer ID]],Customer[#All],2,0)</f>
        <v>Pooja Patel</v>
      </c>
      <c r="E3997" s="158" t="s">
        <v>43</v>
      </c>
      <c r="F3997" s="158" t="str">
        <f>VLOOKUP(Sales[[#This Row],[Product ID]],Product[#All],2,0)</f>
        <v>Jbl Speaker</v>
      </c>
      <c r="G3997" s="159">
        <v>2</v>
      </c>
      <c r="H3997" s="160">
        <f>VLOOKUP(Sales[[#This Row],[Product ID]],Product[#All],7,0)</f>
        <v>11310</v>
      </c>
      <c r="I3997" s="160">
        <f>Sales[[#This Row],[Selling Rate]]*Sales[[#This Row],[Qty]]</f>
        <v>22620</v>
      </c>
      <c r="J3997" s="43">
        <v>0.1</v>
      </c>
      <c r="K3997" s="44">
        <f>Sales[[#This Row],[Gross Amount]]*Sales[[#This Row],[Disc %]]</f>
        <v>2262</v>
      </c>
      <c r="L3997" s="43">
        <v>0.18</v>
      </c>
      <c r="M3997" s="44">
        <f>(Sales[[#This Row],[Gross Amount]]-Sales[[#This Row],[Disc. Amt.]])*Sales[[#This Row],[GST %]]</f>
        <v>3664.44</v>
      </c>
      <c r="N3997" s="161">
        <f>Sales[[#This Row],[Gross Amount]]-Sales[[#This Row],[Disc. Amt.]]+Sales[[#This Row],[GST Amount]]</f>
        <v>24022.44</v>
      </c>
      <c r="O3997" s="158" t="s">
        <v>3569</v>
      </c>
      <c r="P3997" s="158" t="s">
        <v>1040</v>
      </c>
      <c r="Q3997" s="160">
        <f>IF(Sales[[#This Row],[Status]]="Cancelled",0,Sales[[#This Row],[Qty]])</f>
        <v>0</v>
      </c>
      <c r="R3997" s="161">
        <f>IF(Sales[[#This Row],[Status]]="Cancelled",0,Sales[[#This Row],[Total Amount]])</f>
        <v>0</v>
      </c>
      <c r="S3997" s="162">
        <f>SUM(Sales[Net Amount])</f>
        <v>406839287.73200053</v>
      </c>
    </row>
    <row r="3998" spans="1:19" ht="18.75" x14ac:dyDescent="0.25">
      <c r="A3998" s="163" t="s">
        <v>7675</v>
      </c>
      <c r="B3998" s="164">
        <v>45975</v>
      </c>
      <c r="C3998" s="34" t="s">
        <v>678</v>
      </c>
      <c r="D3998" s="53" t="str">
        <f>VLOOKUP(Sales[[#This Row],[Customer ID]],Customer[#All],2,0)</f>
        <v>Ankit Gupta</v>
      </c>
      <c r="E3998" s="34" t="s">
        <v>486</v>
      </c>
      <c r="F3998" s="34" t="str">
        <f>VLOOKUP(Sales[[#This Row],[Product ID]],Product[#All],2,0)</f>
        <v>Logitech Mouse</v>
      </c>
      <c r="G3998" s="53">
        <v>6</v>
      </c>
      <c r="H3998" s="165">
        <f>VLOOKUP(Sales[[#This Row],[Product ID]],Product[#All],7,0)</f>
        <v>1650</v>
      </c>
      <c r="I3998" s="165">
        <f>Sales[[#This Row],[Selling Rate]]*Sales[[#This Row],[Qty]]</f>
        <v>9900</v>
      </c>
      <c r="J3998" s="45">
        <v>0.05</v>
      </c>
      <c r="K3998" s="46">
        <f>Sales[[#This Row],[Gross Amount]]*Sales[[#This Row],[Disc %]]</f>
        <v>495</v>
      </c>
      <c r="L3998" s="43">
        <v>0.18</v>
      </c>
      <c r="M3998" s="46">
        <f>(Sales[[#This Row],[Gross Amount]]-Sales[[#This Row],[Disc. Amt.]])*Sales[[#This Row],[GST %]]</f>
        <v>1692.8999999999999</v>
      </c>
      <c r="N3998" s="161">
        <f>Sales[[#This Row],[Gross Amount]]-Sales[[#This Row],[Disc. Amt.]]+Sales[[#This Row],[GST Amount]]</f>
        <v>11097.9</v>
      </c>
      <c r="O3998" s="34" t="s">
        <v>3561</v>
      </c>
      <c r="P3998" s="34" t="s">
        <v>3562</v>
      </c>
      <c r="Q3998" s="165">
        <f>IF(Sales[[#This Row],[Status]]="Cancelled",0,Sales[[#This Row],[Qty]])</f>
        <v>6</v>
      </c>
      <c r="R3998" s="166">
        <f>IF(Sales[[#This Row],[Status]]="Cancelled",0,Sales[[#This Row],[Total Amount]])</f>
        <v>11097.9</v>
      </c>
      <c r="S3998" s="162">
        <f>SUM(Sales[Net Amount])</f>
        <v>406839287.73200053</v>
      </c>
    </row>
    <row r="3999" spans="1:19" ht="18.75" x14ac:dyDescent="0.25">
      <c r="A3999" s="156" t="s">
        <v>7676</v>
      </c>
      <c r="B3999" s="157">
        <v>45975</v>
      </c>
      <c r="C3999" s="158" t="s">
        <v>743</v>
      </c>
      <c r="D3999" s="159" t="str">
        <f>VLOOKUP(Sales[[#This Row],[Customer ID]],Customer[#All],2,0)</f>
        <v>Rahul Gupta</v>
      </c>
      <c r="E3999" s="158" t="s">
        <v>186</v>
      </c>
      <c r="F3999" s="158" t="str">
        <f>VLOOKUP(Sales[[#This Row],[Product ID]],Product[#All],2,0)</f>
        <v>Corsair Ram</v>
      </c>
      <c r="G3999" s="159">
        <v>4</v>
      </c>
      <c r="H3999" s="160">
        <f>VLOOKUP(Sales[[#This Row],[Product ID]],Product[#All],7,0)</f>
        <v>11620</v>
      </c>
      <c r="I3999" s="160">
        <f>Sales[[#This Row],[Selling Rate]]*Sales[[#This Row],[Qty]]</f>
        <v>46480</v>
      </c>
      <c r="J3999" s="43">
        <v>0.05</v>
      </c>
      <c r="K3999" s="44">
        <f>Sales[[#This Row],[Gross Amount]]*Sales[[#This Row],[Disc %]]</f>
        <v>2324</v>
      </c>
      <c r="L3999" s="43">
        <v>0.18</v>
      </c>
      <c r="M3999" s="44">
        <f>(Sales[[#This Row],[Gross Amount]]-Sales[[#This Row],[Disc. Amt.]])*Sales[[#This Row],[GST %]]</f>
        <v>7948.08</v>
      </c>
      <c r="N3999" s="161">
        <f>Sales[[#This Row],[Gross Amount]]-Sales[[#This Row],[Disc. Amt.]]+Sales[[#This Row],[GST Amount]]</f>
        <v>52104.08</v>
      </c>
      <c r="O3999" s="158" t="s">
        <v>3569</v>
      </c>
      <c r="P3999" s="158" t="s">
        <v>3562</v>
      </c>
      <c r="Q3999" s="160">
        <f>IF(Sales[[#This Row],[Status]]="Cancelled",0,Sales[[#This Row],[Qty]])</f>
        <v>4</v>
      </c>
      <c r="R3999" s="161">
        <f>IF(Sales[[#This Row],[Status]]="Cancelled",0,Sales[[#This Row],[Total Amount]])</f>
        <v>52104.08</v>
      </c>
      <c r="S3999" s="162">
        <f>SUM(Sales[Net Amount])</f>
        <v>406839287.73200053</v>
      </c>
    </row>
    <row r="4000" spans="1:19" ht="18.75" x14ac:dyDescent="0.25">
      <c r="A4000" s="163" t="s">
        <v>7677</v>
      </c>
      <c r="B4000" s="164">
        <v>45975</v>
      </c>
      <c r="C4000" s="34" t="s">
        <v>729</v>
      </c>
      <c r="D4000" s="53" t="str">
        <f>VLOOKUP(Sales[[#This Row],[Customer ID]],Customer[#All],2,0)</f>
        <v>Ankit Kumar</v>
      </c>
      <c r="E4000" s="34" t="s">
        <v>171</v>
      </c>
      <c r="F4000" s="34" t="str">
        <f>VLOOKUP(Sales[[#This Row],[Product ID]],Product[#All],2,0)</f>
        <v>Boat Headset</v>
      </c>
      <c r="G4000" s="53">
        <v>7</v>
      </c>
      <c r="H4000" s="165">
        <f>VLOOKUP(Sales[[#This Row],[Product ID]],Product[#All],7,0)</f>
        <v>4010</v>
      </c>
      <c r="I4000" s="165">
        <f>Sales[[#This Row],[Selling Rate]]*Sales[[#This Row],[Qty]]</f>
        <v>28070</v>
      </c>
      <c r="J4000" s="45">
        <v>0.02</v>
      </c>
      <c r="K4000" s="46">
        <f>Sales[[#This Row],[Gross Amount]]*Sales[[#This Row],[Disc %]]</f>
        <v>561.4</v>
      </c>
      <c r="L4000" s="43">
        <v>0.18</v>
      </c>
      <c r="M4000" s="46">
        <f>(Sales[[#This Row],[Gross Amount]]-Sales[[#This Row],[Disc. Amt.]])*Sales[[#This Row],[GST %]]</f>
        <v>4951.5479999999998</v>
      </c>
      <c r="N4000" s="161">
        <f>Sales[[#This Row],[Gross Amount]]-Sales[[#This Row],[Disc. Amt.]]+Sales[[#This Row],[GST Amount]]</f>
        <v>32460.147999999997</v>
      </c>
      <c r="O4000" s="34" t="s">
        <v>3569</v>
      </c>
      <c r="P4000" s="34" t="s">
        <v>3562</v>
      </c>
      <c r="Q4000" s="165">
        <f>IF(Sales[[#This Row],[Status]]="Cancelled",0,Sales[[#This Row],[Qty]])</f>
        <v>7</v>
      </c>
      <c r="R4000" s="166">
        <f>IF(Sales[[#This Row],[Status]]="Cancelled",0,Sales[[#This Row],[Total Amount]])</f>
        <v>32460.147999999997</v>
      </c>
      <c r="S4000" s="162">
        <f>SUM(Sales[Net Amount])</f>
        <v>406839287.73200053</v>
      </c>
    </row>
    <row r="4001" spans="1:19" ht="18.75" x14ac:dyDescent="0.25">
      <c r="A4001" s="156" t="s">
        <v>7678</v>
      </c>
      <c r="B4001" s="157">
        <v>45975</v>
      </c>
      <c r="C4001" s="158" t="s">
        <v>748</v>
      </c>
      <c r="D4001" s="159" t="str">
        <f>VLOOKUP(Sales[[#This Row],[Customer ID]],Customer[#All],2,0)</f>
        <v>Priya Singh</v>
      </c>
      <c r="E4001" s="158" t="s">
        <v>113</v>
      </c>
      <c r="F4001" s="158" t="str">
        <f>VLOOKUP(Sales[[#This Row],[Product ID]],Product[#All],2,0)</f>
        <v>HP Laptop</v>
      </c>
      <c r="G4001" s="159">
        <v>2</v>
      </c>
      <c r="H4001" s="160">
        <f>VLOOKUP(Sales[[#This Row],[Product ID]],Product[#All],7,0)</f>
        <v>92470</v>
      </c>
      <c r="I4001" s="160">
        <f>Sales[[#This Row],[Selling Rate]]*Sales[[#This Row],[Qty]]</f>
        <v>184940</v>
      </c>
      <c r="J4001" s="43">
        <v>0.12</v>
      </c>
      <c r="K4001" s="44">
        <f>Sales[[#This Row],[Gross Amount]]*Sales[[#This Row],[Disc %]]</f>
        <v>22192.799999999999</v>
      </c>
      <c r="L4001" s="43">
        <v>0.18</v>
      </c>
      <c r="M4001" s="44">
        <f>(Sales[[#This Row],[Gross Amount]]-Sales[[#This Row],[Disc. Amt.]])*Sales[[#This Row],[GST %]]</f>
        <v>29294.496000000003</v>
      </c>
      <c r="N4001" s="161">
        <f>Sales[[#This Row],[Gross Amount]]-Sales[[#This Row],[Disc. Amt.]]+Sales[[#This Row],[GST Amount]]</f>
        <v>192041.69600000003</v>
      </c>
      <c r="O4001" s="158" t="s">
        <v>3569</v>
      </c>
      <c r="P4001" s="158" t="s">
        <v>3562</v>
      </c>
      <c r="Q4001" s="160">
        <f>IF(Sales[[#This Row],[Status]]="Cancelled",0,Sales[[#This Row],[Qty]])</f>
        <v>2</v>
      </c>
      <c r="R4001" s="161">
        <f>IF(Sales[[#This Row],[Status]]="Cancelled",0,Sales[[#This Row],[Total Amount]])</f>
        <v>192041.69600000003</v>
      </c>
      <c r="S4001" s="162">
        <f>SUM(Sales[Net Amount])</f>
        <v>406839287.73200053</v>
      </c>
    </row>
    <row r="4002" spans="1:19" ht="18.75" x14ac:dyDescent="0.25">
      <c r="A4002" s="163" t="s">
        <v>7679</v>
      </c>
      <c r="B4002" s="164">
        <v>45975</v>
      </c>
      <c r="C4002" s="34" t="s">
        <v>837</v>
      </c>
      <c r="D4002" s="53" t="str">
        <f>VLOOKUP(Sales[[#This Row],[Customer ID]],Customer[#All],2,0)</f>
        <v>Sahil Patel</v>
      </c>
      <c r="E4002" s="34" t="s">
        <v>235</v>
      </c>
      <c r="F4002" s="34" t="str">
        <f>VLOOKUP(Sales[[#This Row],[Product ID]],Product[#All],2,0)</f>
        <v>TP-link Router</v>
      </c>
      <c r="G4002" s="53">
        <v>7</v>
      </c>
      <c r="H4002" s="165">
        <f>VLOOKUP(Sales[[#This Row],[Product ID]],Product[#All],7,0)</f>
        <v>1310</v>
      </c>
      <c r="I4002" s="165">
        <f>Sales[[#This Row],[Selling Rate]]*Sales[[#This Row],[Qty]]</f>
        <v>9170</v>
      </c>
      <c r="J4002" s="45">
        <v>0.05</v>
      </c>
      <c r="K4002" s="46">
        <f>Sales[[#This Row],[Gross Amount]]*Sales[[#This Row],[Disc %]]</f>
        <v>458.5</v>
      </c>
      <c r="L4002" s="43">
        <v>0.18</v>
      </c>
      <c r="M4002" s="46">
        <f>(Sales[[#This Row],[Gross Amount]]-Sales[[#This Row],[Disc. Amt.]])*Sales[[#This Row],[GST %]]</f>
        <v>1568.07</v>
      </c>
      <c r="N4002" s="161">
        <f>Sales[[#This Row],[Gross Amount]]-Sales[[#This Row],[Disc. Amt.]]+Sales[[#This Row],[GST Amount]]</f>
        <v>10279.57</v>
      </c>
      <c r="O4002" s="34" t="s">
        <v>3566</v>
      </c>
      <c r="P4002" s="34" t="s">
        <v>3562</v>
      </c>
      <c r="Q4002" s="165">
        <f>IF(Sales[[#This Row],[Status]]="Cancelled",0,Sales[[#This Row],[Qty]])</f>
        <v>7</v>
      </c>
      <c r="R4002" s="166">
        <f>IF(Sales[[#This Row],[Status]]="Cancelled",0,Sales[[#This Row],[Total Amount]])</f>
        <v>10279.57</v>
      </c>
      <c r="S4002" s="162">
        <f>SUM(Sales[Net Amount])</f>
        <v>406839287.73200053</v>
      </c>
    </row>
    <row r="4003" spans="1:19" ht="18.75" x14ac:dyDescent="0.25">
      <c r="A4003" s="156" t="s">
        <v>7680</v>
      </c>
      <c r="B4003" s="157">
        <v>45975</v>
      </c>
      <c r="C4003" s="158" t="s">
        <v>883</v>
      </c>
      <c r="D4003" s="159" t="str">
        <f>VLOOKUP(Sales[[#This Row],[Customer ID]],Customer[#All],2,0)</f>
        <v>Rahul Verma</v>
      </c>
      <c r="E4003" s="158" t="s">
        <v>171</v>
      </c>
      <c r="F4003" s="158" t="str">
        <f>VLOOKUP(Sales[[#This Row],[Product ID]],Product[#All],2,0)</f>
        <v>Boat Headset</v>
      </c>
      <c r="G4003" s="159">
        <v>4</v>
      </c>
      <c r="H4003" s="160">
        <f>VLOOKUP(Sales[[#This Row],[Product ID]],Product[#All],7,0)</f>
        <v>4010</v>
      </c>
      <c r="I4003" s="160">
        <f>Sales[[#This Row],[Selling Rate]]*Sales[[#This Row],[Qty]]</f>
        <v>16040</v>
      </c>
      <c r="J4003" s="43">
        <v>0.1</v>
      </c>
      <c r="K4003" s="44">
        <f>Sales[[#This Row],[Gross Amount]]*Sales[[#This Row],[Disc %]]</f>
        <v>1604</v>
      </c>
      <c r="L4003" s="43">
        <v>0.18</v>
      </c>
      <c r="M4003" s="44">
        <f>(Sales[[#This Row],[Gross Amount]]-Sales[[#This Row],[Disc. Amt.]])*Sales[[#This Row],[GST %]]</f>
        <v>2598.48</v>
      </c>
      <c r="N4003" s="161">
        <f>Sales[[#This Row],[Gross Amount]]-Sales[[#This Row],[Disc. Amt.]]+Sales[[#This Row],[GST Amount]]</f>
        <v>17034.48</v>
      </c>
      <c r="O4003" s="158" t="s">
        <v>3561</v>
      </c>
      <c r="P4003" s="158" t="s">
        <v>3562</v>
      </c>
      <c r="Q4003" s="160">
        <f>IF(Sales[[#This Row],[Status]]="Cancelled",0,Sales[[#This Row],[Qty]])</f>
        <v>4</v>
      </c>
      <c r="R4003" s="161">
        <f>IF(Sales[[#This Row],[Status]]="Cancelled",0,Sales[[#This Row],[Total Amount]])</f>
        <v>17034.48</v>
      </c>
      <c r="S4003" s="162">
        <f>SUM(Sales[Net Amount])</f>
        <v>406839287.73200053</v>
      </c>
    </row>
    <row r="4004" spans="1:19" ht="18.75" x14ac:dyDescent="0.25">
      <c r="A4004" s="163" t="s">
        <v>7681</v>
      </c>
      <c r="B4004" s="164">
        <v>45975</v>
      </c>
      <c r="C4004" s="34" t="s">
        <v>708</v>
      </c>
      <c r="D4004" s="53" t="str">
        <f>VLOOKUP(Sales[[#This Row],[Customer ID]],Customer[#All],2,0)</f>
        <v>Amit Verma</v>
      </c>
      <c r="E4004" s="34" t="s">
        <v>501</v>
      </c>
      <c r="F4004" s="34" t="str">
        <f>VLOOKUP(Sales[[#This Row],[Product ID]],Product[#All],2,0)</f>
        <v>Samsung Ssd</v>
      </c>
      <c r="G4004" s="53">
        <v>4</v>
      </c>
      <c r="H4004" s="165">
        <f>VLOOKUP(Sales[[#This Row],[Product ID]],Product[#All],7,0)</f>
        <v>4260</v>
      </c>
      <c r="I4004" s="165">
        <f>Sales[[#This Row],[Selling Rate]]*Sales[[#This Row],[Qty]]</f>
        <v>17040</v>
      </c>
      <c r="J4004" s="45">
        <v>0</v>
      </c>
      <c r="K4004" s="46">
        <f>Sales[[#This Row],[Gross Amount]]*Sales[[#This Row],[Disc %]]</f>
        <v>0</v>
      </c>
      <c r="L4004" s="43">
        <v>0.18</v>
      </c>
      <c r="M4004" s="46">
        <f>(Sales[[#This Row],[Gross Amount]]-Sales[[#This Row],[Disc. Amt.]])*Sales[[#This Row],[GST %]]</f>
        <v>3067.2</v>
      </c>
      <c r="N4004" s="161">
        <f>Sales[[#This Row],[Gross Amount]]-Sales[[#This Row],[Disc. Amt.]]+Sales[[#This Row],[GST Amount]]</f>
        <v>20107.2</v>
      </c>
      <c r="O4004" s="34" t="s">
        <v>3566</v>
      </c>
      <c r="P4004" s="34" t="s">
        <v>3562</v>
      </c>
      <c r="Q4004" s="165">
        <f>IF(Sales[[#This Row],[Status]]="Cancelled",0,Sales[[#This Row],[Qty]])</f>
        <v>4</v>
      </c>
      <c r="R4004" s="166">
        <f>IF(Sales[[#This Row],[Status]]="Cancelled",0,Sales[[#This Row],[Total Amount]])</f>
        <v>20107.2</v>
      </c>
      <c r="S4004" s="162">
        <f>SUM(Sales[Net Amount])</f>
        <v>406839287.73200053</v>
      </c>
    </row>
    <row r="4005" spans="1:19" ht="18.75" x14ac:dyDescent="0.25">
      <c r="A4005" s="156" t="s">
        <v>7682</v>
      </c>
      <c r="B4005" s="157">
        <v>45975</v>
      </c>
      <c r="C4005" s="158" t="s">
        <v>770</v>
      </c>
      <c r="D4005" s="159" t="str">
        <f>VLOOKUP(Sales[[#This Row],[Customer ID]],Customer[#All],2,0)</f>
        <v>Sunita Sharma</v>
      </c>
      <c r="E4005" s="158" t="s">
        <v>479</v>
      </c>
      <c r="F4005" s="158" t="str">
        <f>VLOOKUP(Sales[[#This Row],[Product ID]],Product[#All],2,0)</f>
        <v>TP-link Router</v>
      </c>
      <c r="G4005" s="159">
        <v>2</v>
      </c>
      <c r="H4005" s="160">
        <f>VLOOKUP(Sales[[#This Row],[Product ID]],Product[#All],7,0)</f>
        <v>5740</v>
      </c>
      <c r="I4005" s="160">
        <f>Sales[[#This Row],[Selling Rate]]*Sales[[#This Row],[Qty]]</f>
        <v>11480</v>
      </c>
      <c r="J4005" s="43">
        <v>0.02</v>
      </c>
      <c r="K4005" s="44">
        <f>Sales[[#This Row],[Gross Amount]]*Sales[[#This Row],[Disc %]]</f>
        <v>229.6</v>
      </c>
      <c r="L4005" s="43">
        <v>0.18</v>
      </c>
      <c r="M4005" s="44">
        <f>(Sales[[#This Row],[Gross Amount]]-Sales[[#This Row],[Disc. Amt.]])*Sales[[#This Row],[GST %]]</f>
        <v>2025.0719999999999</v>
      </c>
      <c r="N4005" s="161">
        <f>Sales[[#This Row],[Gross Amount]]-Sales[[#This Row],[Disc. Amt.]]+Sales[[#This Row],[GST Amount]]</f>
        <v>13275.472</v>
      </c>
      <c r="O4005" s="158" t="s">
        <v>3561</v>
      </c>
      <c r="P4005" s="158" t="s">
        <v>3562</v>
      </c>
      <c r="Q4005" s="160">
        <f>IF(Sales[[#This Row],[Status]]="Cancelled",0,Sales[[#This Row],[Qty]])</f>
        <v>2</v>
      </c>
      <c r="R4005" s="161">
        <f>IF(Sales[[#This Row],[Status]]="Cancelled",0,Sales[[#This Row],[Total Amount]])</f>
        <v>13275.472</v>
      </c>
      <c r="S4005" s="162">
        <f>SUM(Sales[Net Amount])</f>
        <v>406839287.73200053</v>
      </c>
    </row>
    <row r="4006" spans="1:19" ht="18.75" x14ac:dyDescent="0.25">
      <c r="A4006" s="163" t="s">
        <v>7683</v>
      </c>
      <c r="B4006" s="164">
        <v>45975</v>
      </c>
      <c r="C4006" s="34" t="s">
        <v>764</v>
      </c>
      <c r="D4006" s="53" t="str">
        <f>VLOOKUP(Sales[[#This Row],[Customer ID]],Customer[#All],2,0)</f>
        <v>Priya Gupta</v>
      </c>
      <c r="E4006" s="34" t="s">
        <v>219</v>
      </c>
      <c r="F4006" s="34" t="str">
        <f>VLOOKUP(Sales[[#This Row],[Product ID]],Product[#All],2,0)</f>
        <v>Samsung Monitor</v>
      </c>
      <c r="G4006" s="53">
        <v>1</v>
      </c>
      <c r="H4006" s="165">
        <f>VLOOKUP(Sales[[#This Row],[Product ID]],Product[#All],7,0)</f>
        <v>22630</v>
      </c>
      <c r="I4006" s="165">
        <f>Sales[[#This Row],[Selling Rate]]*Sales[[#This Row],[Qty]]</f>
        <v>22630</v>
      </c>
      <c r="J4006" s="45">
        <v>0.05</v>
      </c>
      <c r="K4006" s="46">
        <f>Sales[[#This Row],[Gross Amount]]*Sales[[#This Row],[Disc %]]</f>
        <v>1131.5</v>
      </c>
      <c r="L4006" s="43">
        <v>0.18</v>
      </c>
      <c r="M4006" s="46">
        <f>(Sales[[#This Row],[Gross Amount]]-Sales[[#This Row],[Disc. Amt.]])*Sales[[#This Row],[GST %]]</f>
        <v>3869.73</v>
      </c>
      <c r="N4006" s="161">
        <f>Sales[[#This Row],[Gross Amount]]-Sales[[#This Row],[Disc. Amt.]]+Sales[[#This Row],[GST Amount]]</f>
        <v>25368.23</v>
      </c>
      <c r="O4006" s="34" t="s">
        <v>3569</v>
      </c>
      <c r="P4006" s="34" t="s">
        <v>3562</v>
      </c>
      <c r="Q4006" s="165">
        <f>IF(Sales[[#This Row],[Status]]="Cancelled",0,Sales[[#This Row],[Qty]])</f>
        <v>1</v>
      </c>
      <c r="R4006" s="166">
        <f>IF(Sales[[#This Row],[Status]]="Cancelled",0,Sales[[#This Row],[Total Amount]])</f>
        <v>25368.23</v>
      </c>
      <c r="S4006" s="162">
        <f>SUM(Sales[Net Amount])</f>
        <v>406839287.73200053</v>
      </c>
    </row>
    <row r="4007" spans="1:19" ht="18.75" x14ac:dyDescent="0.25">
      <c r="A4007" s="156" t="s">
        <v>7684</v>
      </c>
      <c r="B4007" s="157">
        <v>45975</v>
      </c>
      <c r="C4007" s="158" t="s">
        <v>902</v>
      </c>
      <c r="D4007" s="159" t="str">
        <f>VLOOKUP(Sales[[#This Row],[Customer ID]],Customer[#All],2,0)</f>
        <v>Sunita Singh</v>
      </c>
      <c r="E4007" s="158" t="s">
        <v>357</v>
      </c>
      <c r="F4007" s="158" t="str">
        <f>VLOOKUP(Sales[[#This Row],[Product ID]],Product[#All],2,0)</f>
        <v>Samsung Ssd</v>
      </c>
      <c r="G4007" s="159">
        <v>1</v>
      </c>
      <c r="H4007" s="160">
        <f>VLOOKUP(Sales[[#This Row],[Product ID]],Product[#All],7,0)</f>
        <v>9070</v>
      </c>
      <c r="I4007" s="160">
        <f>Sales[[#This Row],[Selling Rate]]*Sales[[#This Row],[Qty]]</f>
        <v>9070</v>
      </c>
      <c r="J4007" s="43">
        <v>0.05</v>
      </c>
      <c r="K4007" s="44">
        <f>Sales[[#This Row],[Gross Amount]]*Sales[[#This Row],[Disc %]]</f>
        <v>453.5</v>
      </c>
      <c r="L4007" s="43">
        <v>0.18</v>
      </c>
      <c r="M4007" s="44">
        <f>(Sales[[#This Row],[Gross Amount]]-Sales[[#This Row],[Disc. Amt.]])*Sales[[#This Row],[GST %]]</f>
        <v>1550.97</v>
      </c>
      <c r="N4007" s="161">
        <f>Sales[[#This Row],[Gross Amount]]-Sales[[#This Row],[Disc. Amt.]]+Sales[[#This Row],[GST Amount]]</f>
        <v>10167.469999999999</v>
      </c>
      <c r="O4007" s="158" t="s">
        <v>3566</v>
      </c>
      <c r="P4007" s="158" t="s">
        <v>3562</v>
      </c>
      <c r="Q4007" s="160">
        <f>IF(Sales[[#This Row],[Status]]="Cancelled",0,Sales[[#This Row],[Qty]])</f>
        <v>1</v>
      </c>
      <c r="R4007" s="161">
        <f>IF(Sales[[#This Row],[Status]]="Cancelled",0,Sales[[#This Row],[Total Amount]])</f>
        <v>10167.469999999999</v>
      </c>
      <c r="S4007" s="162">
        <f>SUM(Sales[Net Amount])</f>
        <v>406839287.73200053</v>
      </c>
    </row>
    <row r="4008" spans="1:19" ht="18.75" x14ac:dyDescent="0.25">
      <c r="A4008" s="163" t="s">
        <v>7685</v>
      </c>
      <c r="B4008" s="164">
        <v>45975</v>
      </c>
      <c r="C4008" s="34" t="s">
        <v>680</v>
      </c>
      <c r="D4008" s="53" t="str">
        <f>VLOOKUP(Sales[[#This Row],[Customer ID]],Customer[#All],2,0)</f>
        <v>Rahul Kumar</v>
      </c>
      <c r="E4008" s="34" t="s">
        <v>311</v>
      </c>
      <c r="F4008" s="34" t="str">
        <f>VLOOKUP(Sales[[#This Row],[Product ID]],Product[#All],2,0)</f>
        <v>Logitech Keyboard</v>
      </c>
      <c r="G4008" s="53">
        <v>5</v>
      </c>
      <c r="H4008" s="165">
        <f>VLOOKUP(Sales[[#This Row],[Product ID]],Product[#All],7,0)</f>
        <v>530</v>
      </c>
      <c r="I4008" s="165">
        <f>Sales[[#This Row],[Selling Rate]]*Sales[[#This Row],[Qty]]</f>
        <v>2650</v>
      </c>
      <c r="J4008" s="45">
        <v>0</v>
      </c>
      <c r="K4008" s="46">
        <f>Sales[[#This Row],[Gross Amount]]*Sales[[#This Row],[Disc %]]</f>
        <v>0</v>
      </c>
      <c r="L4008" s="43">
        <v>0.18</v>
      </c>
      <c r="M4008" s="46">
        <f>(Sales[[#This Row],[Gross Amount]]-Sales[[#This Row],[Disc. Amt.]])*Sales[[#This Row],[GST %]]</f>
        <v>477</v>
      </c>
      <c r="N4008" s="161">
        <f>Sales[[#This Row],[Gross Amount]]-Sales[[#This Row],[Disc. Amt.]]+Sales[[#This Row],[GST Amount]]</f>
        <v>3127</v>
      </c>
      <c r="O4008" s="34" t="s">
        <v>8876</v>
      </c>
      <c r="P4008" s="34" t="s">
        <v>3562</v>
      </c>
      <c r="Q4008" s="165">
        <f>IF(Sales[[#This Row],[Status]]="Cancelled",0,Sales[[#This Row],[Qty]])</f>
        <v>5</v>
      </c>
      <c r="R4008" s="166">
        <f>IF(Sales[[#This Row],[Status]]="Cancelled",0,Sales[[#This Row],[Total Amount]])</f>
        <v>3127</v>
      </c>
      <c r="S4008" s="162">
        <f>SUM(Sales[Net Amount])</f>
        <v>406839287.73200053</v>
      </c>
    </row>
    <row r="4009" spans="1:19" ht="18.75" x14ac:dyDescent="0.25">
      <c r="A4009" s="156" t="s">
        <v>7686</v>
      </c>
      <c r="B4009" s="157">
        <v>45975</v>
      </c>
      <c r="C4009" s="158" t="s">
        <v>809</v>
      </c>
      <c r="D4009" s="159" t="str">
        <f>VLOOKUP(Sales[[#This Row],[Customer ID]],Customer[#All],2,0)</f>
        <v>Priya Patel</v>
      </c>
      <c r="E4009" s="158" t="s">
        <v>178</v>
      </c>
      <c r="F4009" s="158" t="str">
        <f>VLOOKUP(Sales[[#This Row],[Product ID]],Product[#All],2,0)</f>
        <v>Kingston Ram</v>
      </c>
      <c r="G4009" s="159">
        <v>6</v>
      </c>
      <c r="H4009" s="160">
        <f>VLOOKUP(Sales[[#This Row],[Product ID]],Product[#All],7,0)</f>
        <v>9770</v>
      </c>
      <c r="I4009" s="160">
        <f>Sales[[#This Row],[Selling Rate]]*Sales[[#This Row],[Qty]]</f>
        <v>58620</v>
      </c>
      <c r="J4009" s="43">
        <v>0.05</v>
      </c>
      <c r="K4009" s="44">
        <f>Sales[[#This Row],[Gross Amount]]*Sales[[#This Row],[Disc %]]</f>
        <v>2931</v>
      </c>
      <c r="L4009" s="43">
        <v>0.18</v>
      </c>
      <c r="M4009" s="44">
        <f>(Sales[[#This Row],[Gross Amount]]-Sales[[#This Row],[Disc. Amt.]])*Sales[[#This Row],[GST %]]</f>
        <v>10024.02</v>
      </c>
      <c r="N4009" s="161">
        <f>Sales[[#This Row],[Gross Amount]]-Sales[[#This Row],[Disc. Amt.]]+Sales[[#This Row],[GST Amount]]</f>
        <v>65713.02</v>
      </c>
      <c r="O4009" s="158" t="s">
        <v>3569</v>
      </c>
      <c r="P4009" s="158" t="s">
        <v>3562</v>
      </c>
      <c r="Q4009" s="160">
        <f>IF(Sales[[#This Row],[Status]]="Cancelled",0,Sales[[#This Row],[Qty]])</f>
        <v>6</v>
      </c>
      <c r="R4009" s="161">
        <f>IF(Sales[[#This Row],[Status]]="Cancelled",0,Sales[[#This Row],[Total Amount]])</f>
        <v>65713.02</v>
      </c>
      <c r="S4009" s="162">
        <f>SUM(Sales[Net Amount])</f>
        <v>406839287.73200053</v>
      </c>
    </row>
    <row r="4010" spans="1:19" ht="18.75" x14ac:dyDescent="0.25">
      <c r="A4010" s="163" t="s">
        <v>7687</v>
      </c>
      <c r="B4010" s="164">
        <v>45975</v>
      </c>
      <c r="C4010" s="34" t="s">
        <v>875</v>
      </c>
      <c r="D4010" s="53" t="str">
        <f>VLOOKUP(Sales[[#This Row],[Customer ID]],Customer[#All],2,0)</f>
        <v>Rahul Verma</v>
      </c>
      <c r="E4010" s="34" t="s">
        <v>223</v>
      </c>
      <c r="F4010" s="34" t="str">
        <f>VLOOKUP(Sales[[#This Row],[Product ID]],Product[#All],2,0)</f>
        <v>Dell Monitor</v>
      </c>
      <c r="G4010" s="53">
        <v>8</v>
      </c>
      <c r="H4010" s="165">
        <f>VLOOKUP(Sales[[#This Row],[Product ID]],Product[#All],7,0)</f>
        <v>9980</v>
      </c>
      <c r="I4010" s="165">
        <f>Sales[[#This Row],[Selling Rate]]*Sales[[#This Row],[Qty]]</f>
        <v>79840</v>
      </c>
      <c r="J4010" s="45">
        <v>0.05</v>
      </c>
      <c r="K4010" s="46">
        <f>Sales[[#This Row],[Gross Amount]]*Sales[[#This Row],[Disc %]]</f>
        <v>3992</v>
      </c>
      <c r="L4010" s="43">
        <v>0.18</v>
      </c>
      <c r="M4010" s="46">
        <f>(Sales[[#This Row],[Gross Amount]]-Sales[[#This Row],[Disc. Amt.]])*Sales[[#This Row],[GST %]]</f>
        <v>13652.64</v>
      </c>
      <c r="N4010" s="161">
        <f>Sales[[#This Row],[Gross Amount]]-Sales[[#This Row],[Disc. Amt.]]+Sales[[#This Row],[GST Amount]]</f>
        <v>89500.64</v>
      </c>
      <c r="O4010" s="34" t="s">
        <v>3566</v>
      </c>
      <c r="P4010" s="34" t="s">
        <v>3562</v>
      </c>
      <c r="Q4010" s="165">
        <f>IF(Sales[[#This Row],[Status]]="Cancelled",0,Sales[[#This Row],[Qty]])</f>
        <v>8</v>
      </c>
      <c r="R4010" s="166">
        <f>IF(Sales[[#This Row],[Status]]="Cancelled",0,Sales[[#This Row],[Total Amount]])</f>
        <v>89500.64</v>
      </c>
      <c r="S4010" s="162">
        <f>SUM(Sales[Net Amount])</f>
        <v>406839287.73200053</v>
      </c>
    </row>
    <row r="4011" spans="1:19" ht="18.75" x14ac:dyDescent="0.25">
      <c r="A4011" s="156" t="s">
        <v>7688</v>
      </c>
      <c r="B4011" s="157">
        <v>45975</v>
      </c>
      <c r="C4011" s="158" t="s">
        <v>890</v>
      </c>
      <c r="D4011" s="159" t="str">
        <f>VLOOKUP(Sales[[#This Row],[Customer ID]],Customer[#All],2,0)</f>
        <v>Rakesh Patel</v>
      </c>
      <c r="E4011" s="158" t="s">
        <v>124</v>
      </c>
      <c r="F4011" s="158" t="str">
        <f>VLOOKUP(Sales[[#This Row],[Product ID]],Product[#All],2,0)</f>
        <v>Crucial Ssd</v>
      </c>
      <c r="G4011" s="159">
        <v>6</v>
      </c>
      <c r="H4011" s="160">
        <f>VLOOKUP(Sales[[#This Row],[Product ID]],Product[#All],7,0)</f>
        <v>14820</v>
      </c>
      <c r="I4011" s="160">
        <f>Sales[[#This Row],[Selling Rate]]*Sales[[#This Row],[Qty]]</f>
        <v>88920</v>
      </c>
      <c r="J4011" s="43">
        <v>0.15</v>
      </c>
      <c r="K4011" s="44">
        <f>Sales[[#This Row],[Gross Amount]]*Sales[[#This Row],[Disc %]]</f>
        <v>13338</v>
      </c>
      <c r="L4011" s="43">
        <v>0.18</v>
      </c>
      <c r="M4011" s="44">
        <f>(Sales[[#This Row],[Gross Amount]]-Sales[[#This Row],[Disc. Amt.]])*Sales[[#This Row],[GST %]]</f>
        <v>13604.76</v>
      </c>
      <c r="N4011" s="161">
        <f>Sales[[#This Row],[Gross Amount]]-Sales[[#This Row],[Disc. Amt.]]+Sales[[#This Row],[GST Amount]]</f>
        <v>89186.76</v>
      </c>
      <c r="O4011" s="158" t="s">
        <v>3561</v>
      </c>
      <c r="P4011" s="158" t="s">
        <v>3562</v>
      </c>
      <c r="Q4011" s="160">
        <f>IF(Sales[[#This Row],[Status]]="Cancelled",0,Sales[[#This Row],[Qty]])</f>
        <v>6</v>
      </c>
      <c r="R4011" s="161">
        <f>IF(Sales[[#This Row],[Status]]="Cancelled",0,Sales[[#This Row],[Total Amount]])</f>
        <v>89186.76</v>
      </c>
      <c r="S4011" s="162">
        <f>SUM(Sales[Net Amount])</f>
        <v>406839287.73200053</v>
      </c>
    </row>
    <row r="4012" spans="1:19" ht="18.75" x14ac:dyDescent="0.25">
      <c r="A4012" s="163" t="s">
        <v>7689</v>
      </c>
      <c r="B4012" s="164">
        <v>45975</v>
      </c>
      <c r="C4012" s="34" t="s">
        <v>711</v>
      </c>
      <c r="D4012" s="53" t="str">
        <f>VLOOKUP(Sales[[#This Row],[Customer ID]],Customer[#All],2,0)</f>
        <v>Priya Verma</v>
      </c>
      <c r="E4012" s="34" t="s">
        <v>98</v>
      </c>
      <c r="F4012" s="34" t="str">
        <f>VLOOKUP(Sales[[#This Row],[Product ID]],Product[#All],2,0)</f>
        <v>TP-link Bluetooth Adapter</v>
      </c>
      <c r="G4012" s="53">
        <v>5</v>
      </c>
      <c r="H4012" s="165">
        <f>VLOOKUP(Sales[[#This Row],[Product ID]],Product[#All],7,0)</f>
        <v>1420</v>
      </c>
      <c r="I4012" s="165">
        <f>Sales[[#This Row],[Selling Rate]]*Sales[[#This Row],[Qty]]</f>
        <v>7100</v>
      </c>
      <c r="J4012" s="45">
        <v>0.1</v>
      </c>
      <c r="K4012" s="46">
        <f>Sales[[#This Row],[Gross Amount]]*Sales[[#This Row],[Disc %]]</f>
        <v>710</v>
      </c>
      <c r="L4012" s="43">
        <v>0.18</v>
      </c>
      <c r="M4012" s="46">
        <f>(Sales[[#This Row],[Gross Amount]]-Sales[[#This Row],[Disc. Amt.]])*Sales[[#This Row],[GST %]]</f>
        <v>1150.2</v>
      </c>
      <c r="N4012" s="161">
        <f>Sales[[#This Row],[Gross Amount]]-Sales[[#This Row],[Disc. Amt.]]+Sales[[#This Row],[GST Amount]]</f>
        <v>7540.2</v>
      </c>
      <c r="O4012" s="34" t="s">
        <v>3569</v>
      </c>
      <c r="P4012" s="34" t="s">
        <v>3562</v>
      </c>
      <c r="Q4012" s="165">
        <f>IF(Sales[[#This Row],[Status]]="Cancelled",0,Sales[[#This Row],[Qty]])</f>
        <v>5</v>
      </c>
      <c r="R4012" s="166">
        <f>IF(Sales[[#This Row],[Status]]="Cancelled",0,Sales[[#This Row],[Total Amount]])</f>
        <v>7540.2</v>
      </c>
      <c r="S4012" s="162">
        <f>SUM(Sales[Net Amount])</f>
        <v>406839287.73200053</v>
      </c>
    </row>
    <row r="4013" spans="1:19" ht="18.75" x14ac:dyDescent="0.25">
      <c r="A4013" s="156" t="s">
        <v>7690</v>
      </c>
      <c r="B4013" s="157">
        <v>45975</v>
      </c>
      <c r="C4013" s="158" t="s">
        <v>789</v>
      </c>
      <c r="D4013" s="159" t="str">
        <f>VLOOKUP(Sales[[#This Row],[Customer ID]],Customer[#All],2,0)</f>
        <v>Ankit Patel</v>
      </c>
      <c r="E4013" s="158" t="s">
        <v>544</v>
      </c>
      <c r="F4013" s="158" t="str">
        <f>VLOOKUP(Sales[[#This Row],[Product ID]],Product[#All],2,0)</f>
        <v>HP Printer</v>
      </c>
      <c r="G4013" s="159">
        <v>7</v>
      </c>
      <c r="H4013" s="160">
        <f>VLOOKUP(Sales[[#This Row],[Product ID]],Product[#All],7,0)</f>
        <v>18010</v>
      </c>
      <c r="I4013" s="160">
        <f>Sales[[#This Row],[Selling Rate]]*Sales[[#This Row],[Qty]]</f>
        <v>126070</v>
      </c>
      <c r="J4013" s="43">
        <v>0.1</v>
      </c>
      <c r="K4013" s="44">
        <f>Sales[[#This Row],[Gross Amount]]*Sales[[#This Row],[Disc %]]</f>
        <v>12607</v>
      </c>
      <c r="L4013" s="43">
        <v>0.18</v>
      </c>
      <c r="M4013" s="44">
        <f>(Sales[[#This Row],[Gross Amount]]-Sales[[#This Row],[Disc. Amt.]])*Sales[[#This Row],[GST %]]</f>
        <v>20423.34</v>
      </c>
      <c r="N4013" s="161">
        <f>Sales[[#This Row],[Gross Amount]]-Sales[[#This Row],[Disc. Amt.]]+Sales[[#This Row],[GST Amount]]</f>
        <v>133886.34</v>
      </c>
      <c r="O4013" s="158" t="s">
        <v>8876</v>
      </c>
      <c r="P4013" s="158" t="s">
        <v>3562</v>
      </c>
      <c r="Q4013" s="160">
        <f>IF(Sales[[#This Row],[Status]]="Cancelled",0,Sales[[#This Row],[Qty]])</f>
        <v>7</v>
      </c>
      <c r="R4013" s="161">
        <f>IF(Sales[[#This Row],[Status]]="Cancelled",0,Sales[[#This Row],[Total Amount]])</f>
        <v>133886.34</v>
      </c>
      <c r="S4013" s="162">
        <f>SUM(Sales[Net Amount])</f>
        <v>406839287.73200053</v>
      </c>
    </row>
    <row r="4014" spans="1:19" ht="18.75" x14ac:dyDescent="0.25">
      <c r="A4014" s="163" t="s">
        <v>7691</v>
      </c>
      <c r="B4014" s="164">
        <v>45975</v>
      </c>
      <c r="C4014" s="34" t="s">
        <v>862</v>
      </c>
      <c r="D4014" s="53" t="str">
        <f>VLOOKUP(Sales[[#This Row],[Customer ID]],Customer[#All],2,0)</f>
        <v>Rakesh Sharma</v>
      </c>
      <c r="E4014" s="34" t="s">
        <v>59</v>
      </c>
      <c r="F4014" s="34" t="str">
        <f>VLOOKUP(Sales[[#This Row],[Product ID]],Product[#All],2,0)</f>
        <v>Amazon Basics Hdmi Cable</v>
      </c>
      <c r="G4014" s="53">
        <v>5</v>
      </c>
      <c r="H4014" s="165">
        <f>VLOOKUP(Sales[[#This Row],[Product ID]],Product[#All],7,0)</f>
        <v>1160</v>
      </c>
      <c r="I4014" s="165">
        <f>Sales[[#This Row],[Selling Rate]]*Sales[[#This Row],[Qty]]</f>
        <v>5800</v>
      </c>
      <c r="J4014" s="45">
        <v>0.02</v>
      </c>
      <c r="K4014" s="46">
        <f>Sales[[#This Row],[Gross Amount]]*Sales[[#This Row],[Disc %]]</f>
        <v>116</v>
      </c>
      <c r="L4014" s="43">
        <v>0.18</v>
      </c>
      <c r="M4014" s="46">
        <f>(Sales[[#This Row],[Gross Amount]]-Sales[[#This Row],[Disc. Amt.]])*Sales[[#This Row],[GST %]]</f>
        <v>1023.12</v>
      </c>
      <c r="N4014" s="161">
        <f>Sales[[#This Row],[Gross Amount]]-Sales[[#This Row],[Disc. Amt.]]+Sales[[#This Row],[GST Amount]]</f>
        <v>6707.12</v>
      </c>
      <c r="O4014" s="34" t="s">
        <v>3566</v>
      </c>
      <c r="P4014" s="34" t="s">
        <v>3562</v>
      </c>
      <c r="Q4014" s="165">
        <f>IF(Sales[[#This Row],[Status]]="Cancelled",0,Sales[[#This Row],[Qty]])</f>
        <v>5</v>
      </c>
      <c r="R4014" s="166">
        <f>IF(Sales[[#This Row],[Status]]="Cancelled",0,Sales[[#This Row],[Total Amount]])</f>
        <v>6707.12</v>
      </c>
      <c r="S4014" s="162">
        <f>SUM(Sales[Net Amount])</f>
        <v>406839287.73200053</v>
      </c>
    </row>
    <row r="4015" spans="1:19" ht="18.75" x14ac:dyDescent="0.25">
      <c r="A4015" s="156" t="s">
        <v>7692</v>
      </c>
      <c r="B4015" s="157">
        <v>45975</v>
      </c>
      <c r="C4015" s="158" t="s">
        <v>704</v>
      </c>
      <c r="D4015" s="159" t="str">
        <f>VLOOKUP(Sales[[#This Row],[Customer ID]],Customer[#All],2,0)</f>
        <v>Rahul Gupta</v>
      </c>
      <c r="E4015" s="158" t="s">
        <v>282</v>
      </c>
      <c r="F4015" s="158" t="str">
        <f>VLOOKUP(Sales[[#This Row],[Product ID]],Product[#All],2,0)</f>
        <v>Amazon Basics Hdmi Cable</v>
      </c>
      <c r="G4015" s="159">
        <v>2</v>
      </c>
      <c r="H4015" s="160">
        <f>VLOOKUP(Sales[[#This Row],[Product ID]],Product[#All],7,0)</f>
        <v>760</v>
      </c>
      <c r="I4015" s="160">
        <f>Sales[[#This Row],[Selling Rate]]*Sales[[#This Row],[Qty]]</f>
        <v>1520</v>
      </c>
      <c r="J4015" s="43">
        <v>0.12</v>
      </c>
      <c r="K4015" s="44">
        <f>Sales[[#This Row],[Gross Amount]]*Sales[[#This Row],[Disc %]]</f>
        <v>182.4</v>
      </c>
      <c r="L4015" s="43">
        <v>0.18</v>
      </c>
      <c r="M4015" s="44">
        <f>(Sales[[#This Row],[Gross Amount]]-Sales[[#This Row],[Disc. Amt.]])*Sales[[#This Row],[GST %]]</f>
        <v>240.76799999999997</v>
      </c>
      <c r="N4015" s="161">
        <f>Sales[[#This Row],[Gross Amount]]-Sales[[#This Row],[Disc. Amt.]]+Sales[[#This Row],[GST Amount]]</f>
        <v>1578.3679999999999</v>
      </c>
      <c r="O4015" s="158" t="s">
        <v>3561</v>
      </c>
      <c r="P4015" s="158" t="s">
        <v>3562</v>
      </c>
      <c r="Q4015" s="160">
        <f>IF(Sales[[#This Row],[Status]]="Cancelled",0,Sales[[#This Row],[Qty]])</f>
        <v>2</v>
      </c>
      <c r="R4015" s="161">
        <f>IF(Sales[[#This Row],[Status]]="Cancelled",0,Sales[[#This Row],[Total Amount]])</f>
        <v>1578.3679999999999</v>
      </c>
      <c r="S4015" s="162">
        <f>SUM(Sales[Net Amount])</f>
        <v>406839287.73200053</v>
      </c>
    </row>
    <row r="4016" spans="1:19" ht="18.75" x14ac:dyDescent="0.25">
      <c r="A4016" s="163" t="s">
        <v>7693</v>
      </c>
      <c r="B4016" s="164">
        <v>45975</v>
      </c>
      <c r="C4016" s="34" t="s">
        <v>936</v>
      </c>
      <c r="D4016" s="53" t="str">
        <f>VLOOKUP(Sales[[#This Row],[Customer ID]],Customer[#All],2,0)</f>
        <v>Pooja Patel</v>
      </c>
      <c r="E4016" s="34" t="s">
        <v>204</v>
      </c>
      <c r="F4016" s="34" t="str">
        <f>VLOOKUP(Sales[[#This Row],[Product ID]],Product[#All],2,0)</f>
        <v>Lenovo Laptop</v>
      </c>
      <c r="G4016" s="53">
        <v>6</v>
      </c>
      <c r="H4016" s="165">
        <f>VLOOKUP(Sales[[#This Row],[Product ID]],Product[#All],7,0)</f>
        <v>42370</v>
      </c>
      <c r="I4016" s="165">
        <f>Sales[[#This Row],[Selling Rate]]*Sales[[#This Row],[Qty]]</f>
        <v>254220</v>
      </c>
      <c r="J4016" s="45">
        <v>0.05</v>
      </c>
      <c r="K4016" s="46">
        <f>Sales[[#This Row],[Gross Amount]]*Sales[[#This Row],[Disc %]]</f>
        <v>12711</v>
      </c>
      <c r="L4016" s="43">
        <v>0.18</v>
      </c>
      <c r="M4016" s="46">
        <f>(Sales[[#This Row],[Gross Amount]]-Sales[[#This Row],[Disc. Amt.]])*Sales[[#This Row],[GST %]]</f>
        <v>43471.619999999995</v>
      </c>
      <c r="N4016" s="161">
        <f>Sales[[#This Row],[Gross Amount]]-Sales[[#This Row],[Disc. Amt.]]+Sales[[#This Row],[GST Amount]]</f>
        <v>284980.62</v>
      </c>
      <c r="O4016" s="34" t="s">
        <v>3566</v>
      </c>
      <c r="P4016" s="34" t="s">
        <v>3562</v>
      </c>
      <c r="Q4016" s="165">
        <f>IF(Sales[[#This Row],[Status]]="Cancelled",0,Sales[[#This Row],[Qty]])</f>
        <v>6</v>
      </c>
      <c r="R4016" s="166">
        <f>IF(Sales[[#This Row],[Status]]="Cancelled",0,Sales[[#This Row],[Total Amount]])</f>
        <v>284980.62</v>
      </c>
      <c r="S4016" s="162">
        <f>SUM(Sales[Net Amount])</f>
        <v>406839287.73200053</v>
      </c>
    </row>
    <row r="4017" spans="1:19" ht="18.75" x14ac:dyDescent="0.25">
      <c r="A4017" s="156" t="s">
        <v>7694</v>
      </c>
      <c r="B4017" s="157">
        <v>45975</v>
      </c>
      <c r="C4017" s="158" t="s">
        <v>7695</v>
      </c>
      <c r="D4017" s="159" t="str">
        <f>VLOOKUP(Sales[[#This Row],[Customer ID]],Customer[#All],2,0)</f>
        <v>Ankit Sharma</v>
      </c>
      <c r="E4017" s="158" t="s">
        <v>288</v>
      </c>
      <c r="F4017" s="158" t="str">
        <f>VLOOKUP(Sales[[#This Row],[Product ID]],Product[#All],2,0)</f>
        <v>Canon Printer</v>
      </c>
      <c r="G4017" s="159">
        <v>8</v>
      </c>
      <c r="H4017" s="160">
        <f>VLOOKUP(Sales[[#This Row],[Product ID]],Product[#All],7,0)</f>
        <v>41150</v>
      </c>
      <c r="I4017" s="160">
        <f>Sales[[#This Row],[Selling Rate]]*Sales[[#This Row],[Qty]]</f>
        <v>329200</v>
      </c>
      <c r="J4017" s="43">
        <v>0.05</v>
      </c>
      <c r="K4017" s="44">
        <f>Sales[[#This Row],[Gross Amount]]*Sales[[#This Row],[Disc %]]</f>
        <v>16460</v>
      </c>
      <c r="L4017" s="43">
        <v>0.18</v>
      </c>
      <c r="M4017" s="44">
        <f>(Sales[[#This Row],[Gross Amount]]-Sales[[#This Row],[Disc. Amt.]])*Sales[[#This Row],[GST %]]</f>
        <v>56293.2</v>
      </c>
      <c r="N4017" s="161">
        <f>Sales[[#This Row],[Gross Amount]]-Sales[[#This Row],[Disc. Amt.]]+Sales[[#This Row],[GST Amount]]</f>
        <v>369033.2</v>
      </c>
      <c r="O4017" s="158" t="s">
        <v>8876</v>
      </c>
      <c r="P4017" s="158" t="s">
        <v>3562</v>
      </c>
      <c r="Q4017" s="160">
        <f>IF(Sales[[#This Row],[Status]]="Cancelled",0,Sales[[#This Row],[Qty]])</f>
        <v>8</v>
      </c>
      <c r="R4017" s="161">
        <f>IF(Sales[[#This Row],[Status]]="Cancelled",0,Sales[[#This Row],[Total Amount]])</f>
        <v>369033.2</v>
      </c>
      <c r="S4017" s="162">
        <f>SUM(Sales[Net Amount])</f>
        <v>406839287.73200053</v>
      </c>
    </row>
    <row r="4018" spans="1:19" ht="18.75" x14ac:dyDescent="0.25">
      <c r="A4018" s="163" t="s">
        <v>7696</v>
      </c>
      <c r="B4018" s="164">
        <v>45976</v>
      </c>
      <c r="C4018" s="34" t="s">
        <v>854</v>
      </c>
      <c r="D4018" s="53" t="str">
        <f>VLOOKUP(Sales[[#This Row],[Customer ID]],Customer[#All],2,0)</f>
        <v>Neha Sharma</v>
      </c>
      <c r="E4018" s="34" t="s">
        <v>266</v>
      </c>
      <c r="F4018" s="34" t="str">
        <f>VLOOKUP(Sales[[#This Row],[Product ID]],Product[#All],2,0)</f>
        <v>American TouristerLaptopBag</v>
      </c>
      <c r="G4018" s="53">
        <v>5</v>
      </c>
      <c r="H4018" s="165">
        <f>VLOOKUP(Sales[[#This Row],[Product ID]],Product[#All],7,0)</f>
        <v>4170</v>
      </c>
      <c r="I4018" s="165">
        <f>Sales[[#This Row],[Selling Rate]]*Sales[[#This Row],[Qty]]</f>
        <v>20850</v>
      </c>
      <c r="J4018" s="45">
        <v>0.05</v>
      </c>
      <c r="K4018" s="46">
        <f>Sales[[#This Row],[Gross Amount]]*Sales[[#This Row],[Disc %]]</f>
        <v>1042.5</v>
      </c>
      <c r="L4018" s="43">
        <v>0.18</v>
      </c>
      <c r="M4018" s="46">
        <f>(Sales[[#This Row],[Gross Amount]]-Sales[[#This Row],[Disc. Amt.]])*Sales[[#This Row],[GST %]]</f>
        <v>3565.35</v>
      </c>
      <c r="N4018" s="161">
        <f>Sales[[#This Row],[Gross Amount]]-Sales[[#This Row],[Disc. Amt.]]+Sales[[#This Row],[GST Amount]]</f>
        <v>23372.85</v>
      </c>
      <c r="O4018" s="34" t="s">
        <v>3561</v>
      </c>
      <c r="P4018" s="34" t="s">
        <v>3562</v>
      </c>
      <c r="Q4018" s="165">
        <f>IF(Sales[[#This Row],[Status]]="Cancelled",0,Sales[[#This Row],[Qty]])</f>
        <v>5</v>
      </c>
      <c r="R4018" s="166">
        <f>IF(Sales[[#This Row],[Status]]="Cancelled",0,Sales[[#This Row],[Total Amount]])</f>
        <v>23372.85</v>
      </c>
      <c r="S4018" s="162">
        <f>SUM(Sales[Net Amount])</f>
        <v>406839287.73200053</v>
      </c>
    </row>
    <row r="4019" spans="1:19" ht="18.75" x14ac:dyDescent="0.25">
      <c r="A4019" s="156" t="s">
        <v>7697</v>
      </c>
      <c r="B4019" s="157">
        <v>45976</v>
      </c>
      <c r="C4019" s="158" t="s">
        <v>746</v>
      </c>
      <c r="D4019" s="159" t="str">
        <f>VLOOKUP(Sales[[#This Row],[Customer ID]],Customer[#All],2,0)</f>
        <v>Sunita Kumar</v>
      </c>
      <c r="E4019" s="158" t="s">
        <v>140</v>
      </c>
      <c r="F4019" s="158" t="str">
        <f>VLOOKUP(Sales[[#This Row],[Product ID]],Product[#All],2,0)</f>
        <v>Logitech Mouse</v>
      </c>
      <c r="G4019" s="159">
        <v>5</v>
      </c>
      <c r="H4019" s="160">
        <f>VLOOKUP(Sales[[#This Row],[Product ID]],Product[#All],7,0)</f>
        <v>2760</v>
      </c>
      <c r="I4019" s="160">
        <f>Sales[[#This Row],[Selling Rate]]*Sales[[#This Row],[Qty]]</f>
        <v>13800</v>
      </c>
      <c r="J4019" s="43">
        <v>0</v>
      </c>
      <c r="K4019" s="44">
        <f>Sales[[#This Row],[Gross Amount]]*Sales[[#This Row],[Disc %]]</f>
        <v>0</v>
      </c>
      <c r="L4019" s="43">
        <v>0.18</v>
      </c>
      <c r="M4019" s="44">
        <f>(Sales[[#This Row],[Gross Amount]]-Sales[[#This Row],[Disc. Amt.]])*Sales[[#This Row],[GST %]]</f>
        <v>2484</v>
      </c>
      <c r="N4019" s="161">
        <f>Sales[[#This Row],[Gross Amount]]-Sales[[#This Row],[Disc. Amt.]]+Sales[[#This Row],[GST Amount]]</f>
        <v>16284</v>
      </c>
      <c r="O4019" s="158" t="s">
        <v>3569</v>
      </c>
      <c r="P4019" s="158" t="s">
        <v>3562</v>
      </c>
      <c r="Q4019" s="160">
        <f>IF(Sales[[#This Row],[Status]]="Cancelled",0,Sales[[#This Row],[Qty]])</f>
        <v>5</v>
      </c>
      <c r="R4019" s="161">
        <f>IF(Sales[[#This Row],[Status]]="Cancelled",0,Sales[[#This Row],[Total Amount]])</f>
        <v>16284</v>
      </c>
      <c r="S4019" s="162">
        <f>SUM(Sales[Net Amount])</f>
        <v>406839287.73200053</v>
      </c>
    </row>
    <row r="4020" spans="1:19" ht="18.75" x14ac:dyDescent="0.25">
      <c r="A4020" s="163" t="s">
        <v>7698</v>
      </c>
      <c r="B4020" s="164">
        <v>45976</v>
      </c>
      <c r="C4020" s="34" t="s">
        <v>928</v>
      </c>
      <c r="D4020" s="53" t="str">
        <f>VLOOKUP(Sales[[#This Row],[Customer ID]],Customer[#All],2,0)</f>
        <v>Rahul Kumar</v>
      </c>
      <c r="E4020" s="34" t="s">
        <v>310</v>
      </c>
      <c r="F4020" s="34" t="str">
        <f>VLOOKUP(Sales[[#This Row],[Product ID]],Product[#All],2,0)</f>
        <v>TP-link Wi-Fi Adapter</v>
      </c>
      <c r="G4020" s="53">
        <v>7</v>
      </c>
      <c r="H4020" s="165">
        <f>VLOOKUP(Sales[[#This Row],[Product ID]],Product[#All],7,0)</f>
        <v>700</v>
      </c>
      <c r="I4020" s="165">
        <f>Sales[[#This Row],[Selling Rate]]*Sales[[#This Row],[Qty]]</f>
        <v>4900</v>
      </c>
      <c r="J4020" s="45">
        <v>0.02</v>
      </c>
      <c r="K4020" s="46">
        <f>Sales[[#This Row],[Gross Amount]]*Sales[[#This Row],[Disc %]]</f>
        <v>98</v>
      </c>
      <c r="L4020" s="43">
        <v>0.18</v>
      </c>
      <c r="M4020" s="46">
        <f>(Sales[[#This Row],[Gross Amount]]-Sales[[#This Row],[Disc. Amt.]])*Sales[[#This Row],[GST %]]</f>
        <v>864.36</v>
      </c>
      <c r="N4020" s="161">
        <f>Sales[[#This Row],[Gross Amount]]-Sales[[#This Row],[Disc. Amt.]]+Sales[[#This Row],[GST Amount]]</f>
        <v>5666.36</v>
      </c>
      <c r="O4020" s="34" t="s">
        <v>3561</v>
      </c>
      <c r="P4020" s="34" t="s">
        <v>3562</v>
      </c>
      <c r="Q4020" s="165">
        <f>IF(Sales[[#This Row],[Status]]="Cancelled",0,Sales[[#This Row],[Qty]])</f>
        <v>7</v>
      </c>
      <c r="R4020" s="166">
        <f>IF(Sales[[#This Row],[Status]]="Cancelled",0,Sales[[#This Row],[Total Amount]])</f>
        <v>5666.36</v>
      </c>
      <c r="S4020" s="162">
        <f>SUM(Sales[Net Amount])</f>
        <v>406839287.73200053</v>
      </c>
    </row>
    <row r="4021" spans="1:19" ht="18.75" x14ac:dyDescent="0.25">
      <c r="A4021" s="156" t="s">
        <v>7699</v>
      </c>
      <c r="B4021" s="157">
        <v>45976</v>
      </c>
      <c r="C4021" s="158" t="s">
        <v>946</v>
      </c>
      <c r="D4021" s="159" t="str">
        <f>VLOOKUP(Sales[[#This Row],[Customer ID]],Customer[#All],2,0)</f>
        <v>Priya Patel</v>
      </c>
      <c r="E4021" s="158" t="s">
        <v>297</v>
      </c>
      <c r="F4021" s="158" t="str">
        <f>VLOOKUP(Sales[[#This Row],[Product ID]],Product[#All],2,0)</f>
        <v>Dell Desktop</v>
      </c>
      <c r="G4021" s="159">
        <v>8</v>
      </c>
      <c r="H4021" s="160">
        <f>VLOOKUP(Sales[[#This Row],[Product ID]],Product[#All],7,0)</f>
        <v>39300</v>
      </c>
      <c r="I4021" s="160">
        <f>Sales[[#This Row],[Selling Rate]]*Sales[[#This Row],[Qty]]</f>
        <v>314400</v>
      </c>
      <c r="J4021" s="43">
        <v>0.02</v>
      </c>
      <c r="K4021" s="44">
        <f>Sales[[#This Row],[Gross Amount]]*Sales[[#This Row],[Disc %]]</f>
        <v>6288</v>
      </c>
      <c r="L4021" s="43">
        <v>0.18</v>
      </c>
      <c r="M4021" s="44">
        <f>(Sales[[#This Row],[Gross Amount]]-Sales[[#This Row],[Disc. Amt.]])*Sales[[#This Row],[GST %]]</f>
        <v>55460.159999999996</v>
      </c>
      <c r="N4021" s="161">
        <f>Sales[[#This Row],[Gross Amount]]-Sales[[#This Row],[Disc. Amt.]]+Sales[[#This Row],[GST Amount]]</f>
        <v>363572.16</v>
      </c>
      <c r="O4021" s="158" t="s">
        <v>3561</v>
      </c>
      <c r="P4021" s="158" t="s">
        <v>3562</v>
      </c>
      <c r="Q4021" s="160">
        <f>IF(Sales[[#This Row],[Status]]="Cancelled",0,Sales[[#This Row],[Qty]])</f>
        <v>8</v>
      </c>
      <c r="R4021" s="161">
        <f>IF(Sales[[#This Row],[Status]]="Cancelled",0,Sales[[#This Row],[Total Amount]])</f>
        <v>363572.16</v>
      </c>
      <c r="S4021" s="162">
        <f>SUM(Sales[Net Amount])</f>
        <v>406839287.73200053</v>
      </c>
    </row>
    <row r="4022" spans="1:19" ht="18.75" x14ac:dyDescent="0.25">
      <c r="A4022" s="163" t="s">
        <v>7700</v>
      </c>
      <c r="B4022" s="164">
        <v>45976</v>
      </c>
      <c r="C4022" s="34" t="s">
        <v>884</v>
      </c>
      <c r="D4022" s="53" t="str">
        <f>VLOOKUP(Sales[[#This Row],[Customer ID]],Customer[#All],2,0)</f>
        <v>Sahil Patel</v>
      </c>
      <c r="E4022" s="34" t="s">
        <v>199</v>
      </c>
      <c r="F4022" s="34" t="str">
        <f>VLOOKUP(Sales[[#This Row],[Product ID]],Product[#All],2,0)</f>
        <v>Lg Monitor</v>
      </c>
      <c r="G4022" s="53">
        <v>2</v>
      </c>
      <c r="H4022" s="165">
        <f>VLOOKUP(Sales[[#This Row],[Product ID]],Product[#All],7,0)</f>
        <v>13160</v>
      </c>
      <c r="I4022" s="165">
        <f>Sales[[#This Row],[Selling Rate]]*Sales[[#This Row],[Qty]]</f>
        <v>26320</v>
      </c>
      <c r="J4022" s="45">
        <v>0.15</v>
      </c>
      <c r="K4022" s="46">
        <f>Sales[[#This Row],[Gross Amount]]*Sales[[#This Row],[Disc %]]</f>
        <v>3948</v>
      </c>
      <c r="L4022" s="43">
        <v>0.18</v>
      </c>
      <c r="M4022" s="46">
        <f>(Sales[[#This Row],[Gross Amount]]-Sales[[#This Row],[Disc. Amt.]])*Sales[[#This Row],[GST %]]</f>
        <v>4026.96</v>
      </c>
      <c r="N4022" s="161">
        <f>Sales[[#This Row],[Gross Amount]]-Sales[[#This Row],[Disc. Amt.]]+Sales[[#This Row],[GST Amount]]</f>
        <v>26398.959999999999</v>
      </c>
      <c r="O4022" s="34" t="s">
        <v>8876</v>
      </c>
      <c r="P4022" s="34" t="s">
        <v>3562</v>
      </c>
      <c r="Q4022" s="165">
        <f>IF(Sales[[#This Row],[Status]]="Cancelled",0,Sales[[#This Row],[Qty]])</f>
        <v>2</v>
      </c>
      <c r="R4022" s="166">
        <f>IF(Sales[[#This Row],[Status]]="Cancelled",0,Sales[[#This Row],[Total Amount]])</f>
        <v>26398.959999999999</v>
      </c>
      <c r="S4022" s="162">
        <f>SUM(Sales[Net Amount])</f>
        <v>406839287.73200053</v>
      </c>
    </row>
    <row r="4023" spans="1:19" ht="18.75" x14ac:dyDescent="0.25">
      <c r="A4023" s="156" t="s">
        <v>7701</v>
      </c>
      <c r="B4023" s="157">
        <v>45976</v>
      </c>
      <c r="C4023" s="158" t="s">
        <v>846</v>
      </c>
      <c r="D4023" s="159" t="str">
        <f>VLOOKUP(Sales[[#This Row],[Customer ID]],Customer[#All],2,0)</f>
        <v>Ankit Patel</v>
      </c>
      <c r="E4023" s="158" t="s">
        <v>463</v>
      </c>
      <c r="F4023" s="158" t="str">
        <f>VLOOKUP(Sales[[#This Row],[Product ID]],Product[#All],2,0)</f>
        <v>Apc UPS</v>
      </c>
      <c r="G4023" s="159">
        <v>3</v>
      </c>
      <c r="H4023" s="160">
        <f>VLOOKUP(Sales[[#This Row],[Product ID]],Product[#All],7,0)</f>
        <v>10050</v>
      </c>
      <c r="I4023" s="160">
        <f>Sales[[#This Row],[Selling Rate]]*Sales[[#This Row],[Qty]]</f>
        <v>30150</v>
      </c>
      <c r="J4023" s="43">
        <v>0</v>
      </c>
      <c r="K4023" s="44">
        <f>Sales[[#This Row],[Gross Amount]]*Sales[[#This Row],[Disc %]]</f>
        <v>0</v>
      </c>
      <c r="L4023" s="43">
        <v>0.18</v>
      </c>
      <c r="M4023" s="44">
        <f>(Sales[[#This Row],[Gross Amount]]-Sales[[#This Row],[Disc. Amt.]])*Sales[[#This Row],[GST %]]</f>
        <v>5427</v>
      </c>
      <c r="N4023" s="161">
        <f>Sales[[#This Row],[Gross Amount]]-Sales[[#This Row],[Disc. Amt.]]+Sales[[#This Row],[GST Amount]]</f>
        <v>35577</v>
      </c>
      <c r="O4023" s="158" t="s">
        <v>3569</v>
      </c>
      <c r="P4023" s="158" t="s">
        <v>3562</v>
      </c>
      <c r="Q4023" s="160">
        <f>IF(Sales[[#This Row],[Status]]="Cancelled",0,Sales[[#This Row],[Qty]])</f>
        <v>3</v>
      </c>
      <c r="R4023" s="161">
        <f>IF(Sales[[#This Row],[Status]]="Cancelled",0,Sales[[#This Row],[Total Amount]])</f>
        <v>35577</v>
      </c>
      <c r="S4023" s="162">
        <f>SUM(Sales[Net Amount])</f>
        <v>406839287.73200053</v>
      </c>
    </row>
    <row r="4024" spans="1:19" ht="18.75" x14ac:dyDescent="0.25">
      <c r="A4024" s="163" t="s">
        <v>7702</v>
      </c>
      <c r="B4024" s="164">
        <v>45976</v>
      </c>
      <c r="C4024" s="34" t="s">
        <v>682</v>
      </c>
      <c r="D4024" s="53" t="str">
        <f>VLOOKUP(Sales[[#This Row],[Customer ID]],Customer[#All],2,0)</f>
        <v>Rahul Sharma</v>
      </c>
      <c r="E4024" s="34" t="s">
        <v>315</v>
      </c>
      <c r="F4024" s="34" t="str">
        <f>VLOOKUP(Sales[[#This Row],[Product ID]],Product[#All],2,0)</f>
        <v>Jbl Headset</v>
      </c>
      <c r="G4024" s="53">
        <v>2</v>
      </c>
      <c r="H4024" s="165">
        <f>VLOOKUP(Sales[[#This Row],[Product ID]],Product[#All],7,0)</f>
        <v>2630</v>
      </c>
      <c r="I4024" s="165">
        <f>Sales[[#This Row],[Selling Rate]]*Sales[[#This Row],[Qty]]</f>
        <v>5260</v>
      </c>
      <c r="J4024" s="45">
        <v>0.02</v>
      </c>
      <c r="K4024" s="46">
        <f>Sales[[#This Row],[Gross Amount]]*Sales[[#This Row],[Disc %]]</f>
        <v>105.2</v>
      </c>
      <c r="L4024" s="43">
        <v>0.18</v>
      </c>
      <c r="M4024" s="46">
        <f>(Sales[[#This Row],[Gross Amount]]-Sales[[#This Row],[Disc. Amt.]])*Sales[[#This Row],[GST %]]</f>
        <v>927.86400000000003</v>
      </c>
      <c r="N4024" s="161">
        <f>Sales[[#This Row],[Gross Amount]]-Sales[[#This Row],[Disc. Amt.]]+Sales[[#This Row],[GST Amount]]</f>
        <v>6082.6640000000007</v>
      </c>
      <c r="O4024" s="34" t="s">
        <v>3566</v>
      </c>
      <c r="P4024" s="34" t="s">
        <v>3562</v>
      </c>
      <c r="Q4024" s="165">
        <f>IF(Sales[[#This Row],[Status]]="Cancelled",0,Sales[[#This Row],[Qty]])</f>
        <v>2</v>
      </c>
      <c r="R4024" s="166">
        <f>IF(Sales[[#This Row],[Status]]="Cancelled",0,Sales[[#This Row],[Total Amount]])</f>
        <v>6082.6640000000007</v>
      </c>
      <c r="S4024" s="162">
        <f>SUM(Sales[Net Amount])</f>
        <v>406839287.73200053</v>
      </c>
    </row>
    <row r="4025" spans="1:19" ht="18.75" x14ac:dyDescent="0.25">
      <c r="A4025" s="156" t="s">
        <v>7703</v>
      </c>
      <c r="B4025" s="157">
        <v>45976</v>
      </c>
      <c r="C4025" s="158" t="s">
        <v>908</v>
      </c>
      <c r="D4025" s="159" t="str">
        <f>VLOOKUP(Sales[[#This Row],[Customer ID]],Customer[#All],2,0)</f>
        <v>Rahul Singh</v>
      </c>
      <c r="E4025" s="158" t="s">
        <v>77</v>
      </c>
      <c r="F4025" s="158" t="str">
        <f>VLOOKUP(Sales[[#This Row],[Product ID]],Product[#All],2,0)</f>
        <v>HP Power Adapter</v>
      </c>
      <c r="G4025" s="159">
        <v>8</v>
      </c>
      <c r="H4025" s="160">
        <f>VLOOKUP(Sales[[#This Row],[Product ID]],Product[#All],7,0)</f>
        <v>2770</v>
      </c>
      <c r="I4025" s="160">
        <f>Sales[[#This Row],[Selling Rate]]*Sales[[#This Row],[Qty]]</f>
        <v>22160</v>
      </c>
      <c r="J4025" s="43">
        <v>0.05</v>
      </c>
      <c r="K4025" s="44">
        <f>Sales[[#This Row],[Gross Amount]]*Sales[[#This Row],[Disc %]]</f>
        <v>1108</v>
      </c>
      <c r="L4025" s="43">
        <v>0.18</v>
      </c>
      <c r="M4025" s="44">
        <f>(Sales[[#This Row],[Gross Amount]]-Sales[[#This Row],[Disc. Amt.]])*Sales[[#This Row],[GST %]]</f>
        <v>3789.3599999999997</v>
      </c>
      <c r="N4025" s="161">
        <f>Sales[[#This Row],[Gross Amount]]-Sales[[#This Row],[Disc. Amt.]]+Sales[[#This Row],[GST Amount]]</f>
        <v>24841.360000000001</v>
      </c>
      <c r="O4025" s="158" t="s">
        <v>8876</v>
      </c>
      <c r="P4025" s="158" t="s">
        <v>3562</v>
      </c>
      <c r="Q4025" s="160">
        <f>IF(Sales[[#This Row],[Status]]="Cancelled",0,Sales[[#This Row],[Qty]])</f>
        <v>8</v>
      </c>
      <c r="R4025" s="161">
        <f>IF(Sales[[#This Row],[Status]]="Cancelled",0,Sales[[#This Row],[Total Amount]])</f>
        <v>24841.360000000001</v>
      </c>
      <c r="S4025" s="162">
        <f>SUM(Sales[Net Amount])</f>
        <v>406839287.73200053</v>
      </c>
    </row>
    <row r="4026" spans="1:19" ht="18.75" x14ac:dyDescent="0.25">
      <c r="A4026" s="163" t="s">
        <v>7704</v>
      </c>
      <c r="B4026" s="164">
        <v>45976</v>
      </c>
      <c r="C4026" s="34" t="s">
        <v>803</v>
      </c>
      <c r="D4026" s="53" t="str">
        <f>VLOOKUP(Sales[[#This Row],[Customer ID]],Customer[#All],2,0)</f>
        <v>Pooja Singh</v>
      </c>
      <c r="E4026" s="34" t="s">
        <v>128</v>
      </c>
      <c r="F4026" s="34" t="str">
        <f>VLOOKUP(Sales[[#This Row],[Product ID]],Product[#All],2,0)</f>
        <v>American TouristerLaptopBag</v>
      </c>
      <c r="G4026" s="53">
        <v>1</v>
      </c>
      <c r="H4026" s="165">
        <f>VLOOKUP(Sales[[#This Row],[Product ID]],Product[#All],7,0)</f>
        <v>2990</v>
      </c>
      <c r="I4026" s="165">
        <f>Sales[[#This Row],[Selling Rate]]*Sales[[#This Row],[Qty]]</f>
        <v>2990</v>
      </c>
      <c r="J4026" s="45">
        <v>0.12</v>
      </c>
      <c r="K4026" s="46">
        <f>Sales[[#This Row],[Gross Amount]]*Sales[[#This Row],[Disc %]]</f>
        <v>358.8</v>
      </c>
      <c r="L4026" s="43">
        <v>0.18</v>
      </c>
      <c r="M4026" s="46">
        <f>(Sales[[#This Row],[Gross Amount]]-Sales[[#This Row],[Disc. Amt.]])*Sales[[#This Row],[GST %]]</f>
        <v>473.61599999999993</v>
      </c>
      <c r="N4026" s="161">
        <f>Sales[[#This Row],[Gross Amount]]-Sales[[#This Row],[Disc. Amt.]]+Sales[[#This Row],[GST Amount]]</f>
        <v>3104.8159999999998</v>
      </c>
      <c r="O4026" s="34" t="s">
        <v>3569</v>
      </c>
      <c r="P4026" s="34" t="s">
        <v>3562</v>
      </c>
      <c r="Q4026" s="165">
        <f>IF(Sales[[#This Row],[Status]]="Cancelled",0,Sales[[#This Row],[Qty]])</f>
        <v>1</v>
      </c>
      <c r="R4026" s="166">
        <f>IF(Sales[[#This Row],[Status]]="Cancelled",0,Sales[[#This Row],[Total Amount]])</f>
        <v>3104.8159999999998</v>
      </c>
      <c r="S4026" s="162">
        <f>SUM(Sales[Net Amount])</f>
        <v>406839287.73200053</v>
      </c>
    </row>
    <row r="4027" spans="1:19" ht="18.75" x14ac:dyDescent="0.25">
      <c r="A4027" s="156" t="s">
        <v>7705</v>
      </c>
      <c r="B4027" s="157">
        <v>45976</v>
      </c>
      <c r="C4027" s="158" t="s">
        <v>830</v>
      </c>
      <c r="D4027" s="159" t="str">
        <f>VLOOKUP(Sales[[#This Row],[Customer ID]],Customer[#All],2,0)</f>
        <v>Rakesh Singh</v>
      </c>
      <c r="E4027" s="158" t="s">
        <v>410</v>
      </c>
      <c r="F4027" s="158" t="str">
        <f>VLOOKUP(Sales[[#This Row],[Product ID]],Product[#All],2,0)</f>
        <v>Microtek UPS</v>
      </c>
      <c r="G4027" s="159">
        <v>6</v>
      </c>
      <c r="H4027" s="160">
        <f>VLOOKUP(Sales[[#This Row],[Product ID]],Product[#All],7,0)</f>
        <v>12250</v>
      </c>
      <c r="I4027" s="160">
        <f>Sales[[#This Row],[Selling Rate]]*Sales[[#This Row],[Qty]]</f>
        <v>73500</v>
      </c>
      <c r="J4027" s="43">
        <v>0.02</v>
      </c>
      <c r="K4027" s="44">
        <f>Sales[[#This Row],[Gross Amount]]*Sales[[#This Row],[Disc %]]</f>
        <v>1470</v>
      </c>
      <c r="L4027" s="43">
        <v>0.18</v>
      </c>
      <c r="M4027" s="44">
        <f>(Sales[[#This Row],[Gross Amount]]-Sales[[#This Row],[Disc. Amt.]])*Sales[[#This Row],[GST %]]</f>
        <v>12965.4</v>
      </c>
      <c r="N4027" s="161">
        <f>Sales[[#This Row],[Gross Amount]]-Sales[[#This Row],[Disc. Amt.]]+Sales[[#This Row],[GST Amount]]</f>
        <v>84995.4</v>
      </c>
      <c r="O4027" s="158" t="s">
        <v>3569</v>
      </c>
      <c r="P4027" s="158" t="s">
        <v>3562</v>
      </c>
      <c r="Q4027" s="160">
        <f>IF(Sales[[#This Row],[Status]]="Cancelled",0,Sales[[#This Row],[Qty]])</f>
        <v>6</v>
      </c>
      <c r="R4027" s="161">
        <f>IF(Sales[[#This Row],[Status]]="Cancelled",0,Sales[[#This Row],[Total Amount]])</f>
        <v>84995.4</v>
      </c>
      <c r="S4027" s="162">
        <f>SUM(Sales[Net Amount])</f>
        <v>406839287.73200053</v>
      </c>
    </row>
    <row r="4028" spans="1:19" ht="18.75" x14ac:dyDescent="0.25">
      <c r="A4028" s="163" t="s">
        <v>7706</v>
      </c>
      <c r="B4028" s="164">
        <v>45976</v>
      </c>
      <c r="C4028" s="34" t="s">
        <v>825</v>
      </c>
      <c r="D4028" s="53" t="str">
        <f>VLOOKUP(Sales[[#This Row],[Customer ID]],Customer[#All],2,0)</f>
        <v>Rahul Kumar</v>
      </c>
      <c r="E4028" s="34" t="s">
        <v>477</v>
      </c>
      <c r="F4028" s="34" t="str">
        <f>VLOOKUP(Sales[[#This Row],[Product ID]],Product[#All],2,0)</f>
        <v>Epson Printer</v>
      </c>
      <c r="G4028" s="53">
        <v>2</v>
      </c>
      <c r="H4028" s="165">
        <f>VLOOKUP(Sales[[#This Row],[Product ID]],Product[#All],7,0)</f>
        <v>17550</v>
      </c>
      <c r="I4028" s="165">
        <f>Sales[[#This Row],[Selling Rate]]*Sales[[#This Row],[Qty]]</f>
        <v>35100</v>
      </c>
      <c r="J4028" s="45">
        <v>0.12</v>
      </c>
      <c r="K4028" s="46">
        <f>Sales[[#This Row],[Gross Amount]]*Sales[[#This Row],[Disc %]]</f>
        <v>4212</v>
      </c>
      <c r="L4028" s="43">
        <v>0.18</v>
      </c>
      <c r="M4028" s="46">
        <f>(Sales[[#This Row],[Gross Amount]]-Sales[[#This Row],[Disc. Amt.]])*Sales[[#This Row],[GST %]]</f>
        <v>5559.84</v>
      </c>
      <c r="N4028" s="161">
        <f>Sales[[#This Row],[Gross Amount]]-Sales[[#This Row],[Disc. Amt.]]+Sales[[#This Row],[GST Amount]]</f>
        <v>36447.839999999997</v>
      </c>
      <c r="O4028" s="34" t="s">
        <v>8876</v>
      </c>
      <c r="P4028" s="34" t="s">
        <v>3562</v>
      </c>
      <c r="Q4028" s="165">
        <f>IF(Sales[[#This Row],[Status]]="Cancelled",0,Sales[[#This Row],[Qty]])</f>
        <v>2</v>
      </c>
      <c r="R4028" s="166">
        <f>IF(Sales[[#This Row],[Status]]="Cancelled",0,Sales[[#This Row],[Total Amount]])</f>
        <v>36447.839999999997</v>
      </c>
      <c r="S4028" s="162">
        <f>SUM(Sales[Net Amount])</f>
        <v>406839287.73200053</v>
      </c>
    </row>
    <row r="4029" spans="1:19" ht="18.75" x14ac:dyDescent="0.25">
      <c r="A4029" s="156" t="s">
        <v>7707</v>
      </c>
      <c r="B4029" s="157">
        <v>45976</v>
      </c>
      <c r="C4029" s="158" t="s">
        <v>696</v>
      </c>
      <c r="D4029" s="159" t="str">
        <f>VLOOKUP(Sales[[#This Row],[Customer ID]],Customer[#All],2,0)</f>
        <v>Sunita Verma</v>
      </c>
      <c r="E4029" s="158" t="s">
        <v>148</v>
      </c>
      <c r="F4029" s="158" t="str">
        <f>VLOOKUP(Sales[[#This Row],[Product ID]],Product[#All],2,0)</f>
        <v>Dell Monitor</v>
      </c>
      <c r="G4029" s="159">
        <v>3</v>
      </c>
      <c r="H4029" s="160">
        <f>VLOOKUP(Sales[[#This Row],[Product ID]],Product[#All],7,0)</f>
        <v>20170</v>
      </c>
      <c r="I4029" s="160">
        <f>Sales[[#This Row],[Selling Rate]]*Sales[[#This Row],[Qty]]</f>
        <v>60510</v>
      </c>
      <c r="J4029" s="43">
        <v>0.05</v>
      </c>
      <c r="K4029" s="44">
        <f>Sales[[#This Row],[Gross Amount]]*Sales[[#This Row],[Disc %]]</f>
        <v>3025.5</v>
      </c>
      <c r="L4029" s="43">
        <v>0.18</v>
      </c>
      <c r="M4029" s="44">
        <f>(Sales[[#This Row],[Gross Amount]]-Sales[[#This Row],[Disc. Amt.]])*Sales[[#This Row],[GST %]]</f>
        <v>10347.209999999999</v>
      </c>
      <c r="N4029" s="161">
        <f>Sales[[#This Row],[Gross Amount]]-Sales[[#This Row],[Disc. Amt.]]+Sales[[#This Row],[GST Amount]]</f>
        <v>67831.709999999992</v>
      </c>
      <c r="O4029" s="158" t="s">
        <v>8876</v>
      </c>
      <c r="P4029" s="158" t="s">
        <v>3562</v>
      </c>
      <c r="Q4029" s="160">
        <f>IF(Sales[[#This Row],[Status]]="Cancelled",0,Sales[[#This Row],[Qty]])</f>
        <v>3</v>
      </c>
      <c r="R4029" s="161">
        <f>IF(Sales[[#This Row],[Status]]="Cancelled",0,Sales[[#This Row],[Total Amount]])</f>
        <v>67831.709999999992</v>
      </c>
      <c r="S4029" s="162">
        <f>SUM(Sales[Net Amount])</f>
        <v>406839287.73200053</v>
      </c>
    </row>
    <row r="4030" spans="1:19" ht="18.75" x14ac:dyDescent="0.25">
      <c r="A4030" s="163" t="s">
        <v>7708</v>
      </c>
      <c r="B4030" s="164">
        <v>45976</v>
      </c>
      <c r="C4030" s="34" t="s">
        <v>725</v>
      </c>
      <c r="D4030" s="53" t="str">
        <f>VLOOKUP(Sales[[#This Row],[Customer ID]],Customer[#All],2,0)</f>
        <v>Ankit Kumar</v>
      </c>
      <c r="E4030" s="34" t="s">
        <v>528</v>
      </c>
      <c r="F4030" s="34" t="str">
        <f>VLOOKUP(Sales[[#This Row],[Product ID]],Product[#All],2,0)</f>
        <v>Kingston Ram</v>
      </c>
      <c r="G4030" s="53">
        <v>7</v>
      </c>
      <c r="H4030" s="165">
        <f>VLOOKUP(Sales[[#This Row],[Product ID]],Product[#All],7,0)</f>
        <v>4750</v>
      </c>
      <c r="I4030" s="165">
        <f>Sales[[#This Row],[Selling Rate]]*Sales[[#This Row],[Qty]]</f>
        <v>33250</v>
      </c>
      <c r="J4030" s="45">
        <v>0</v>
      </c>
      <c r="K4030" s="46">
        <f>Sales[[#This Row],[Gross Amount]]*Sales[[#This Row],[Disc %]]</f>
        <v>0</v>
      </c>
      <c r="L4030" s="43">
        <v>0.18</v>
      </c>
      <c r="M4030" s="46">
        <f>(Sales[[#This Row],[Gross Amount]]-Sales[[#This Row],[Disc. Amt.]])*Sales[[#This Row],[GST %]]</f>
        <v>5985</v>
      </c>
      <c r="N4030" s="161">
        <f>Sales[[#This Row],[Gross Amount]]-Sales[[#This Row],[Disc. Amt.]]+Sales[[#This Row],[GST Amount]]</f>
        <v>39235</v>
      </c>
      <c r="O4030" s="34" t="s">
        <v>3569</v>
      </c>
      <c r="P4030" s="34" t="s">
        <v>3562</v>
      </c>
      <c r="Q4030" s="165">
        <f>IF(Sales[[#This Row],[Status]]="Cancelled",0,Sales[[#This Row],[Qty]])</f>
        <v>7</v>
      </c>
      <c r="R4030" s="166">
        <f>IF(Sales[[#This Row],[Status]]="Cancelled",0,Sales[[#This Row],[Total Amount]])</f>
        <v>39235</v>
      </c>
      <c r="S4030" s="162">
        <f>SUM(Sales[Net Amount])</f>
        <v>406839287.73200053</v>
      </c>
    </row>
    <row r="4031" spans="1:19" ht="18.75" x14ac:dyDescent="0.25">
      <c r="A4031" s="156" t="s">
        <v>7709</v>
      </c>
      <c r="B4031" s="157">
        <v>45976</v>
      </c>
      <c r="C4031" s="158" t="s">
        <v>795</v>
      </c>
      <c r="D4031" s="159" t="str">
        <f>VLOOKUP(Sales[[#This Row],[Customer ID]],Customer[#All],2,0)</f>
        <v>Sahil Gupta</v>
      </c>
      <c r="E4031" s="158" t="s">
        <v>234</v>
      </c>
      <c r="F4031" s="158" t="str">
        <f>VLOOKUP(Sales[[#This Row],[Product ID]],Product[#All],2,0)</f>
        <v>HP Desktop</v>
      </c>
      <c r="G4031" s="159">
        <v>6</v>
      </c>
      <c r="H4031" s="160">
        <f>VLOOKUP(Sales[[#This Row],[Product ID]],Product[#All],7,0)</f>
        <v>76930</v>
      </c>
      <c r="I4031" s="160">
        <f>Sales[[#This Row],[Selling Rate]]*Sales[[#This Row],[Qty]]</f>
        <v>461580</v>
      </c>
      <c r="J4031" s="43">
        <v>0.05</v>
      </c>
      <c r="K4031" s="44">
        <f>Sales[[#This Row],[Gross Amount]]*Sales[[#This Row],[Disc %]]</f>
        <v>23079</v>
      </c>
      <c r="L4031" s="43">
        <v>0.18</v>
      </c>
      <c r="M4031" s="44">
        <f>(Sales[[#This Row],[Gross Amount]]-Sales[[#This Row],[Disc. Amt.]])*Sales[[#This Row],[GST %]]</f>
        <v>78930.179999999993</v>
      </c>
      <c r="N4031" s="161">
        <f>Sales[[#This Row],[Gross Amount]]-Sales[[#This Row],[Disc. Amt.]]+Sales[[#This Row],[GST Amount]]</f>
        <v>517431.18</v>
      </c>
      <c r="O4031" s="158" t="s">
        <v>8876</v>
      </c>
      <c r="P4031" s="158" t="s">
        <v>3562</v>
      </c>
      <c r="Q4031" s="160">
        <f>IF(Sales[[#This Row],[Status]]="Cancelled",0,Sales[[#This Row],[Qty]])</f>
        <v>6</v>
      </c>
      <c r="R4031" s="161">
        <f>IF(Sales[[#This Row],[Status]]="Cancelled",0,Sales[[#This Row],[Total Amount]])</f>
        <v>517431.18</v>
      </c>
      <c r="S4031" s="162">
        <f>SUM(Sales[Net Amount])</f>
        <v>406839287.73200053</v>
      </c>
    </row>
    <row r="4032" spans="1:19" ht="18.75" x14ac:dyDescent="0.25">
      <c r="A4032" s="163" t="s">
        <v>7710</v>
      </c>
      <c r="B4032" s="164">
        <v>45976</v>
      </c>
      <c r="C4032" s="34" t="s">
        <v>746</v>
      </c>
      <c r="D4032" s="53" t="str">
        <f>VLOOKUP(Sales[[#This Row],[Customer ID]],Customer[#All],2,0)</f>
        <v>Sunita Kumar</v>
      </c>
      <c r="E4032" s="34" t="s">
        <v>259</v>
      </c>
      <c r="F4032" s="34" t="str">
        <f>VLOOKUP(Sales[[#This Row],[Product ID]],Product[#All],2,0)</f>
        <v>Lg Monitor</v>
      </c>
      <c r="G4032" s="53">
        <v>1</v>
      </c>
      <c r="H4032" s="165">
        <f>VLOOKUP(Sales[[#This Row],[Product ID]],Product[#All],7,0)</f>
        <v>28600</v>
      </c>
      <c r="I4032" s="165">
        <f>Sales[[#This Row],[Selling Rate]]*Sales[[#This Row],[Qty]]</f>
        <v>28600</v>
      </c>
      <c r="J4032" s="45">
        <v>0.15</v>
      </c>
      <c r="K4032" s="46">
        <f>Sales[[#This Row],[Gross Amount]]*Sales[[#This Row],[Disc %]]</f>
        <v>4290</v>
      </c>
      <c r="L4032" s="43">
        <v>0.18</v>
      </c>
      <c r="M4032" s="46">
        <f>(Sales[[#This Row],[Gross Amount]]-Sales[[#This Row],[Disc. Amt.]])*Sales[[#This Row],[GST %]]</f>
        <v>4375.8</v>
      </c>
      <c r="N4032" s="161">
        <f>Sales[[#This Row],[Gross Amount]]-Sales[[#This Row],[Disc. Amt.]]+Sales[[#This Row],[GST Amount]]</f>
        <v>28685.8</v>
      </c>
      <c r="O4032" s="34" t="s">
        <v>3561</v>
      </c>
      <c r="P4032" s="34" t="s">
        <v>3562</v>
      </c>
      <c r="Q4032" s="165">
        <f>IF(Sales[[#This Row],[Status]]="Cancelled",0,Sales[[#This Row],[Qty]])</f>
        <v>1</v>
      </c>
      <c r="R4032" s="166">
        <f>IF(Sales[[#This Row],[Status]]="Cancelled",0,Sales[[#This Row],[Total Amount]])</f>
        <v>28685.8</v>
      </c>
      <c r="S4032" s="162">
        <f>SUM(Sales[Net Amount])</f>
        <v>406839287.73200053</v>
      </c>
    </row>
    <row r="4033" spans="1:19" ht="18.75" x14ac:dyDescent="0.25">
      <c r="A4033" s="156" t="s">
        <v>7711</v>
      </c>
      <c r="B4033" s="157">
        <v>45976</v>
      </c>
      <c r="C4033" s="158" t="s">
        <v>798</v>
      </c>
      <c r="D4033" s="159" t="str">
        <f>VLOOKUP(Sales[[#This Row],[Customer ID]],Customer[#All],2,0)</f>
        <v>Amit Singh</v>
      </c>
      <c r="E4033" s="158" t="s">
        <v>512</v>
      </c>
      <c r="F4033" s="158" t="str">
        <f>VLOOKUP(Sales[[#This Row],[Product ID]],Product[#All],2,0)</f>
        <v>Logitech Webcam</v>
      </c>
      <c r="G4033" s="159">
        <v>5</v>
      </c>
      <c r="H4033" s="160">
        <f>VLOOKUP(Sales[[#This Row],[Product ID]],Product[#All],7,0)</f>
        <v>5800</v>
      </c>
      <c r="I4033" s="160">
        <f>Sales[[#This Row],[Selling Rate]]*Sales[[#This Row],[Qty]]</f>
        <v>29000</v>
      </c>
      <c r="J4033" s="43">
        <v>0.05</v>
      </c>
      <c r="K4033" s="44">
        <f>Sales[[#This Row],[Gross Amount]]*Sales[[#This Row],[Disc %]]</f>
        <v>1450</v>
      </c>
      <c r="L4033" s="43">
        <v>0.18</v>
      </c>
      <c r="M4033" s="44">
        <f>(Sales[[#This Row],[Gross Amount]]-Sales[[#This Row],[Disc. Amt.]])*Sales[[#This Row],[GST %]]</f>
        <v>4959</v>
      </c>
      <c r="N4033" s="161">
        <f>Sales[[#This Row],[Gross Amount]]-Sales[[#This Row],[Disc. Amt.]]+Sales[[#This Row],[GST Amount]]</f>
        <v>32509</v>
      </c>
      <c r="O4033" s="158" t="s">
        <v>3561</v>
      </c>
      <c r="P4033" s="158" t="s">
        <v>1040</v>
      </c>
      <c r="Q4033" s="160">
        <f>IF(Sales[[#This Row],[Status]]="Cancelled",0,Sales[[#This Row],[Qty]])</f>
        <v>0</v>
      </c>
      <c r="R4033" s="161">
        <f>IF(Sales[[#This Row],[Status]]="Cancelled",0,Sales[[#This Row],[Total Amount]])</f>
        <v>0</v>
      </c>
      <c r="S4033" s="162">
        <f>SUM(Sales[Net Amount])</f>
        <v>406839287.73200053</v>
      </c>
    </row>
    <row r="4034" spans="1:19" ht="18.75" x14ac:dyDescent="0.25">
      <c r="A4034" s="163" t="s">
        <v>7712</v>
      </c>
      <c r="B4034" s="164">
        <v>45976</v>
      </c>
      <c r="C4034" s="34" t="s">
        <v>853</v>
      </c>
      <c r="D4034" s="53" t="str">
        <f>VLOOKUP(Sales[[#This Row],[Customer ID]],Customer[#All],2,0)</f>
        <v>Amit Singh</v>
      </c>
      <c r="E4034" s="34" t="s">
        <v>70</v>
      </c>
      <c r="F4034" s="34" t="str">
        <f>VLOOKUP(Sales[[#This Row],[Product ID]],Product[#All],2,0)</f>
        <v>Logitech Webcam</v>
      </c>
      <c r="G4034" s="53">
        <v>6</v>
      </c>
      <c r="H4034" s="165">
        <f>VLOOKUP(Sales[[#This Row],[Product ID]],Product[#All],7,0)</f>
        <v>5200</v>
      </c>
      <c r="I4034" s="165">
        <f>Sales[[#This Row],[Selling Rate]]*Sales[[#This Row],[Qty]]</f>
        <v>31200</v>
      </c>
      <c r="J4034" s="45">
        <v>0.15</v>
      </c>
      <c r="K4034" s="46">
        <f>Sales[[#This Row],[Gross Amount]]*Sales[[#This Row],[Disc %]]</f>
        <v>4680</v>
      </c>
      <c r="L4034" s="43">
        <v>0.18</v>
      </c>
      <c r="M4034" s="46">
        <f>(Sales[[#This Row],[Gross Amount]]-Sales[[#This Row],[Disc. Amt.]])*Sales[[#This Row],[GST %]]</f>
        <v>4773.5999999999995</v>
      </c>
      <c r="N4034" s="161">
        <f>Sales[[#This Row],[Gross Amount]]-Sales[[#This Row],[Disc. Amt.]]+Sales[[#This Row],[GST Amount]]</f>
        <v>31293.599999999999</v>
      </c>
      <c r="O4034" s="34" t="s">
        <v>3569</v>
      </c>
      <c r="P4034" s="34" t="s">
        <v>3562</v>
      </c>
      <c r="Q4034" s="165">
        <f>IF(Sales[[#This Row],[Status]]="Cancelled",0,Sales[[#This Row],[Qty]])</f>
        <v>6</v>
      </c>
      <c r="R4034" s="166">
        <f>IF(Sales[[#This Row],[Status]]="Cancelled",0,Sales[[#This Row],[Total Amount]])</f>
        <v>31293.599999999999</v>
      </c>
      <c r="S4034" s="162">
        <f>SUM(Sales[Net Amount])</f>
        <v>406839287.73200053</v>
      </c>
    </row>
    <row r="4035" spans="1:19" ht="18.75" x14ac:dyDescent="0.25">
      <c r="A4035" s="156" t="s">
        <v>7713</v>
      </c>
      <c r="B4035" s="157">
        <v>45976</v>
      </c>
      <c r="C4035" s="158" t="s">
        <v>925</v>
      </c>
      <c r="D4035" s="159" t="str">
        <f>VLOOKUP(Sales[[#This Row],[Customer ID]],Customer[#All],2,0)</f>
        <v>Neha Singh</v>
      </c>
      <c r="E4035" s="158" t="s">
        <v>410</v>
      </c>
      <c r="F4035" s="158" t="str">
        <f>VLOOKUP(Sales[[#This Row],[Product ID]],Product[#All],2,0)</f>
        <v>Microtek UPS</v>
      </c>
      <c r="G4035" s="159">
        <v>7</v>
      </c>
      <c r="H4035" s="160">
        <f>VLOOKUP(Sales[[#This Row],[Product ID]],Product[#All],7,0)</f>
        <v>12250</v>
      </c>
      <c r="I4035" s="160">
        <f>Sales[[#This Row],[Selling Rate]]*Sales[[#This Row],[Qty]]</f>
        <v>85750</v>
      </c>
      <c r="J4035" s="43">
        <v>0.12</v>
      </c>
      <c r="K4035" s="44">
        <f>Sales[[#This Row],[Gross Amount]]*Sales[[#This Row],[Disc %]]</f>
        <v>10290</v>
      </c>
      <c r="L4035" s="43">
        <v>0.18</v>
      </c>
      <c r="M4035" s="44">
        <f>(Sales[[#This Row],[Gross Amount]]-Sales[[#This Row],[Disc. Amt.]])*Sales[[#This Row],[GST %]]</f>
        <v>13582.8</v>
      </c>
      <c r="N4035" s="161">
        <f>Sales[[#This Row],[Gross Amount]]-Sales[[#This Row],[Disc. Amt.]]+Sales[[#This Row],[GST Amount]]</f>
        <v>89042.8</v>
      </c>
      <c r="O4035" s="158" t="s">
        <v>8876</v>
      </c>
      <c r="P4035" s="158" t="s">
        <v>3562</v>
      </c>
      <c r="Q4035" s="160">
        <f>IF(Sales[[#This Row],[Status]]="Cancelled",0,Sales[[#This Row],[Qty]])</f>
        <v>7</v>
      </c>
      <c r="R4035" s="161">
        <f>IF(Sales[[#This Row],[Status]]="Cancelled",0,Sales[[#This Row],[Total Amount]])</f>
        <v>89042.8</v>
      </c>
      <c r="S4035" s="162">
        <f>SUM(Sales[Net Amount])</f>
        <v>406839287.73200053</v>
      </c>
    </row>
    <row r="4036" spans="1:19" ht="18.75" x14ac:dyDescent="0.25">
      <c r="A4036" s="163" t="s">
        <v>7714</v>
      </c>
      <c r="B4036" s="164">
        <v>45976</v>
      </c>
      <c r="C4036" s="34" t="s">
        <v>671</v>
      </c>
      <c r="D4036" s="53" t="str">
        <f>VLOOKUP(Sales[[#This Row],[Customer ID]],Customer[#All],2,0)</f>
        <v>Sahil Patel</v>
      </c>
      <c r="E4036" s="34" t="s">
        <v>524</v>
      </c>
      <c r="F4036" s="34" t="str">
        <f>VLOOKUP(Sales[[#This Row],[Product ID]],Product[#All],2,0)</f>
        <v>TP-link Bluetooth Adapter</v>
      </c>
      <c r="G4036" s="53">
        <v>7</v>
      </c>
      <c r="H4036" s="165">
        <f>VLOOKUP(Sales[[#This Row],[Product ID]],Product[#All],7,0)</f>
        <v>750</v>
      </c>
      <c r="I4036" s="165">
        <f>Sales[[#This Row],[Selling Rate]]*Sales[[#This Row],[Qty]]</f>
        <v>5250</v>
      </c>
      <c r="J4036" s="45">
        <v>0</v>
      </c>
      <c r="K4036" s="46">
        <f>Sales[[#This Row],[Gross Amount]]*Sales[[#This Row],[Disc %]]</f>
        <v>0</v>
      </c>
      <c r="L4036" s="43">
        <v>0.18</v>
      </c>
      <c r="M4036" s="46">
        <f>(Sales[[#This Row],[Gross Amount]]-Sales[[#This Row],[Disc. Amt.]])*Sales[[#This Row],[GST %]]</f>
        <v>945</v>
      </c>
      <c r="N4036" s="161">
        <f>Sales[[#This Row],[Gross Amount]]-Sales[[#This Row],[Disc. Amt.]]+Sales[[#This Row],[GST Amount]]</f>
        <v>6195</v>
      </c>
      <c r="O4036" s="34" t="s">
        <v>3566</v>
      </c>
      <c r="P4036" s="34" t="s">
        <v>3562</v>
      </c>
      <c r="Q4036" s="165">
        <f>IF(Sales[[#This Row],[Status]]="Cancelled",0,Sales[[#This Row],[Qty]])</f>
        <v>7</v>
      </c>
      <c r="R4036" s="166">
        <f>IF(Sales[[#This Row],[Status]]="Cancelled",0,Sales[[#This Row],[Total Amount]])</f>
        <v>6195</v>
      </c>
      <c r="S4036" s="162">
        <f>SUM(Sales[Net Amount])</f>
        <v>406839287.73200053</v>
      </c>
    </row>
    <row r="4037" spans="1:19" ht="18.75" x14ac:dyDescent="0.25">
      <c r="A4037" s="156" t="s">
        <v>7715</v>
      </c>
      <c r="B4037" s="157">
        <v>45976</v>
      </c>
      <c r="C4037" s="158" t="s">
        <v>947</v>
      </c>
      <c r="D4037" s="159" t="str">
        <f>VLOOKUP(Sales[[#This Row],[Customer ID]],Customer[#All],2,0)</f>
        <v>Sunita Singh</v>
      </c>
      <c r="E4037" s="158" t="s">
        <v>261</v>
      </c>
      <c r="F4037" s="158" t="str">
        <f>VLOOKUP(Sales[[#This Row],[Product ID]],Product[#All],2,0)</f>
        <v>American TouristerLaptopBag</v>
      </c>
      <c r="G4037" s="159">
        <v>8</v>
      </c>
      <c r="H4037" s="160">
        <f>VLOOKUP(Sales[[#This Row],[Product ID]],Product[#All],7,0)</f>
        <v>1320</v>
      </c>
      <c r="I4037" s="160">
        <f>Sales[[#This Row],[Selling Rate]]*Sales[[#This Row],[Qty]]</f>
        <v>10560</v>
      </c>
      <c r="J4037" s="43">
        <v>0.15</v>
      </c>
      <c r="K4037" s="44">
        <f>Sales[[#This Row],[Gross Amount]]*Sales[[#This Row],[Disc %]]</f>
        <v>1584</v>
      </c>
      <c r="L4037" s="43">
        <v>0.18</v>
      </c>
      <c r="M4037" s="44">
        <f>(Sales[[#This Row],[Gross Amount]]-Sales[[#This Row],[Disc. Amt.]])*Sales[[#This Row],[GST %]]</f>
        <v>1615.6799999999998</v>
      </c>
      <c r="N4037" s="161">
        <f>Sales[[#This Row],[Gross Amount]]-Sales[[#This Row],[Disc. Amt.]]+Sales[[#This Row],[GST Amount]]</f>
        <v>10591.68</v>
      </c>
      <c r="O4037" s="158" t="s">
        <v>8876</v>
      </c>
      <c r="P4037" s="158" t="s">
        <v>3562</v>
      </c>
      <c r="Q4037" s="160">
        <f>IF(Sales[[#This Row],[Status]]="Cancelled",0,Sales[[#This Row],[Qty]])</f>
        <v>8</v>
      </c>
      <c r="R4037" s="161">
        <f>IF(Sales[[#This Row],[Status]]="Cancelled",0,Sales[[#This Row],[Total Amount]])</f>
        <v>10591.68</v>
      </c>
      <c r="S4037" s="162">
        <f>SUM(Sales[Net Amount])</f>
        <v>406839287.73200053</v>
      </c>
    </row>
    <row r="4038" spans="1:19" ht="18.75" x14ac:dyDescent="0.25">
      <c r="A4038" s="163" t="s">
        <v>7716</v>
      </c>
      <c r="B4038" s="164">
        <v>45976</v>
      </c>
      <c r="C4038" s="34" t="s">
        <v>806</v>
      </c>
      <c r="D4038" s="53" t="str">
        <f>VLOOKUP(Sales[[#This Row],[Customer ID]],Customer[#All],2,0)</f>
        <v>Vikas Singh</v>
      </c>
      <c r="E4038" s="34" t="s">
        <v>297</v>
      </c>
      <c r="F4038" s="34" t="str">
        <f>VLOOKUP(Sales[[#This Row],[Product ID]],Product[#All],2,0)</f>
        <v>Dell Desktop</v>
      </c>
      <c r="G4038" s="53">
        <v>6</v>
      </c>
      <c r="H4038" s="165">
        <f>VLOOKUP(Sales[[#This Row],[Product ID]],Product[#All],7,0)</f>
        <v>39300</v>
      </c>
      <c r="I4038" s="165">
        <f>Sales[[#This Row],[Selling Rate]]*Sales[[#This Row],[Qty]]</f>
        <v>235800</v>
      </c>
      <c r="J4038" s="45">
        <v>0</v>
      </c>
      <c r="K4038" s="46">
        <f>Sales[[#This Row],[Gross Amount]]*Sales[[#This Row],[Disc %]]</f>
        <v>0</v>
      </c>
      <c r="L4038" s="43">
        <v>0.18</v>
      </c>
      <c r="M4038" s="46">
        <f>(Sales[[#This Row],[Gross Amount]]-Sales[[#This Row],[Disc. Amt.]])*Sales[[#This Row],[GST %]]</f>
        <v>42444</v>
      </c>
      <c r="N4038" s="161">
        <f>Sales[[#This Row],[Gross Amount]]-Sales[[#This Row],[Disc. Amt.]]+Sales[[#This Row],[GST Amount]]</f>
        <v>278244</v>
      </c>
      <c r="O4038" s="34" t="s">
        <v>3561</v>
      </c>
      <c r="P4038" s="34" t="s">
        <v>3562</v>
      </c>
      <c r="Q4038" s="165">
        <f>IF(Sales[[#This Row],[Status]]="Cancelled",0,Sales[[#This Row],[Qty]])</f>
        <v>6</v>
      </c>
      <c r="R4038" s="166">
        <f>IF(Sales[[#This Row],[Status]]="Cancelled",0,Sales[[#This Row],[Total Amount]])</f>
        <v>278244</v>
      </c>
      <c r="S4038" s="162">
        <f>SUM(Sales[Net Amount])</f>
        <v>406839287.73200053</v>
      </c>
    </row>
    <row r="4039" spans="1:19" ht="18.75" x14ac:dyDescent="0.25">
      <c r="A4039" s="156" t="s">
        <v>7717</v>
      </c>
      <c r="B4039" s="157">
        <v>45976</v>
      </c>
      <c r="C4039" s="158" t="s">
        <v>898</v>
      </c>
      <c r="D4039" s="159" t="str">
        <f>VLOOKUP(Sales[[#This Row],[Customer ID]],Customer[#All],2,0)</f>
        <v>Rahul Singh</v>
      </c>
      <c r="E4039" s="158" t="s">
        <v>495</v>
      </c>
      <c r="F4039" s="158" t="str">
        <f>VLOOKUP(Sales[[#This Row],[Product ID]],Product[#All],2,0)</f>
        <v>Dell Laptop</v>
      </c>
      <c r="G4039" s="159">
        <v>3</v>
      </c>
      <c r="H4039" s="160">
        <f>VLOOKUP(Sales[[#This Row],[Product ID]],Product[#All],7,0)</f>
        <v>63410</v>
      </c>
      <c r="I4039" s="160">
        <f>Sales[[#This Row],[Selling Rate]]*Sales[[#This Row],[Qty]]</f>
        <v>190230</v>
      </c>
      <c r="J4039" s="43">
        <v>0.05</v>
      </c>
      <c r="K4039" s="44">
        <f>Sales[[#This Row],[Gross Amount]]*Sales[[#This Row],[Disc %]]</f>
        <v>9511.5</v>
      </c>
      <c r="L4039" s="43">
        <v>0.18</v>
      </c>
      <c r="M4039" s="44">
        <f>(Sales[[#This Row],[Gross Amount]]-Sales[[#This Row],[Disc. Amt.]])*Sales[[#This Row],[GST %]]</f>
        <v>32529.329999999998</v>
      </c>
      <c r="N4039" s="161">
        <f>Sales[[#This Row],[Gross Amount]]-Sales[[#This Row],[Disc. Amt.]]+Sales[[#This Row],[GST Amount]]</f>
        <v>213247.83</v>
      </c>
      <c r="O4039" s="158" t="s">
        <v>8876</v>
      </c>
      <c r="P4039" s="158" t="s">
        <v>3562</v>
      </c>
      <c r="Q4039" s="160">
        <f>IF(Sales[[#This Row],[Status]]="Cancelled",0,Sales[[#This Row],[Qty]])</f>
        <v>3</v>
      </c>
      <c r="R4039" s="161">
        <f>IF(Sales[[#This Row],[Status]]="Cancelled",0,Sales[[#This Row],[Total Amount]])</f>
        <v>213247.83</v>
      </c>
      <c r="S4039" s="162">
        <f>SUM(Sales[Net Amount])</f>
        <v>406839287.73200053</v>
      </c>
    </row>
    <row r="4040" spans="1:19" ht="18.75" x14ac:dyDescent="0.25">
      <c r="A4040" s="163" t="s">
        <v>7718</v>
      </c>
      <c r="B4040" s="164">
        <v>45976</v>
      </c>
      <c r="C4040" s="34" t="s">
        <v>813</v>
      </c>
      <c r="D4040" s="53" t="str">
        <f>VLOOKUP(Sales[[#This Row],[Customer ID]],Customer[#All],2,0)</f>
        <v>Neha Verma</v>
      </c>
      <c r="E4040" s="34" t="s">
        <v>244</v>
      </c>
      <c r="F4040" s="34" t="str">
        <f>VLOOKUP(Sales[[#This Row],[Product ID]],Product[#All],2,0)</f>
        <v>TP-link Router</v>
      </c>
      <c r="G4040" s="53">
        <v>2</v>
      </c>
      <c r="H4040" s="165">
        <f>VLOOKUP(Sales[[#This Row],[Product ID]],Product[#All],7,0)</f>
        <v>4220</v>
      </c>
      <c r="I4040" s="165">
        <f>Sales[[#This Row],[Selling Rate]]*Sales[[#This Row],[Qty]]</f>
        <v>8440</v>
      </c>
      <c r="J4040" s="45">
        <v>0</v>
      </c>
      <c r="K4040" s="46">
        <f>Sales[[#This Row],[Gross Amount]]*Sales[[#This Row],[Disc %]]</f>
        <v>0</v>
      </c>
      <c r="L4040" s="43">
        <v>0.18</v>
      </c>
      <c r="M4040" s="46">
        <f>(Sales[[#This Row],[Gross Amount]]-Sales[[#This Row],[Disc. Amt.]])*Sales[[#This Row],[GST %]]</f>
        <v>1519.2</v>
      </c>
      <c r="N4040" s="161">
        <f>Sales[[#This Row],[Gross Amount]]-Sales[[#This Row],[Disc. Amt.]]+Sales[[#This Row],[GST Amount]]</f>
        <v>9959.2000000000007</v>
      </c>
      <c r="O4040" s="34" t="s">
        <v>3569</v>
      </c>
      <c r="P4040" s="34" t="s">
        <v>3562</v>
      </c>
      <c r="Q4040" s="165">
        <f>IF(Sales[[#This Row],[Status]]="Cancelled",0,Sales[[#This Row],[Qty]])</f>
        <v>2</v>
      </c>
      <c r="R4040" s="166">
        <f>IF(Sales[[#This Row],[Status]]="Cancelled",0,Sales[[#This Row],[Total Amount]])</f>
        <v>9959.2000000000007</v>
      </c>
      <c r="S4040" s="162">
        <f>SUM(Sales[Net Amount])</f>
        <v>406839287.73200053</v>
      </c>
    </row>
    <row r="4041" spans="1:19" ht="18.75" x14ac:dyDescent="0.25">
      <c r="A4041" s="156" t="s">
        <v>7719</v>
      </c>
      <c r="B4041" s="157">
        <v>45976</v>
      </c>
      <c r="C4041" s="158" t="s">
        <v>692</v>
      </c>
      <c r="D4041" s="159" t="str">
        <f>VLOOKUP(Sales[[#This Row],[Customer ID]],Customer[#All],2,0)</f>
        <v>Rahul Patel</v>
      </c>
      <c r="E4041" s="158" t="s">
        <v>549</v>
      </c>
      <c r="F4041" s="158" t="str">
        <f>VLOOKUP(Sales[[#This Row],[Product ID]],Product[#All],2,0)</f>
        <v>Boat Headset</v>
      </c>
      <c r="G4041" s="159">
        <v>2</v>
      </c>
      <c r="H4041" s="160">
        <f>VLOOKUP(Sales[[#This Row],[Product ID]],Product[#All],7,0)</f>
        <v>3390</v>
      </c>
      <c r="I4041" s="160">
        <f>Sales[[#This Row],[Selling Rate]]*Sales[[#This Row],[Qty]]</f>
        <v>6780</v>
      </c>
      <c r="J4041" s="43">
        <v>0</v>
      </c>
      <c r="K4041" s="44">
        <f>Sales[[#This Row],[Gross Amount]]*Sales[[#This Row],[Disc %]]</f>
        <v>0</v>
      </c>
      <c r="L4041" s="43">
        <v>0.18</v>
      </c>
      <c r="M4041" s="44">
        <f>(Sales[[#This Row],[Gross Amount]]-Sales[[#This Row],[Disc. Amt.]])*Sales[[#This Row],[GST %]]</f>
        <v>1220.3999999999999</v>
      </c>
      <c r="N4041" s="161">
        <f>Sales[[#This Row],[Gross Amount]]-Sales[[#This Row],[Disc. Amt.]]+Sales[[#This Row],[GST Amount]]</f>
        <v>8000.4</v>
      </c>
      <c r="O4041" s="158" t="s">
        <v>3569</v>
      </c>
      <c r="P4041" s="158" t="s">
        <v>3562</v>
      </c>
      <c r="Q4041" s="160">
        <f>IF(Sales[[#This Row],[Status]]="Cancelled",0,Sales[[#This Row],[Qty]])</f>
        <v>2</v>
      </c>
      <c r="R4041" s="161">
        <f>IF(Sales[[#This Row],[Status]]="Cancelled",0,Sales[[#This Row],[Total Amount]])</f>
        <v>8000.4</v>
      </c>
      <c r="S4041" s="162">
        <f>SUM(Sales[Net Amount])</f>
        <v>406839287.73200053</v>
      </c>
    </row>
    <row r="4042" spans="1:19" ht="18.75" x14ac:dyDescent="0.25">
      <c r="A4042" s="163" t="s">
        <v>7720</v>
      </c>
      <c r="B4042" s="164">
        <v>45976</v>
      </c>
      <c r="C4042" s="34" t="s">
        <v>833</v>
      </c>
      <c r="D4042" s="53" t="str">
        <f>VLOOKUP(Sales[[#This Row],[Customer ID]],Customer[#All],2,0)</f>
        <v>Sunita Kumar</v>
      </c>
      <c r="E4042" s="34" t="s">
        <v>253</v>
      </c>
      <c r="F4042" s="34" t="str">
        <f>VLOOKUP(Sales[[#This Row],[Product ID]],Product[#All],2,0)</f>
        <v>Acer Laptop</v>
      </c>
      <c r="G4042" s="53">
        <v>5</v>
      </c>
      <c r="H4042" s="165">
        <f>VLOOKUP(Sales[[#This Row],[Product ID]],Product[#All],7,0)</f>
        <v>40550</v>
      </c>
      <c r="I4042" s="165">
        <f>Sales[[#This Row],[Selling Rate]]*Sales[[#This Row],[Qty]]</f>
        <v>202750</v>
      </c>
      <c r="J4042" s="45">
        <v>0.15</v>
      </c>
      <c r="K4042" s="46">
        <f>Sales[[#This Row],[Gross Amount]]*Sales[[#This Row],[Disc %]]</f>
        <v>30412.5</v>
      </c>
      <c r="L4042" s="43">
        <v>0.18</v>
      </c>
      <c r="M4042" s="46">
        <f>(Sales[[#This Row],[Gross Amount]]-Sales[[#This Row],[Disc. Amt.]])*Sales[[#This Row],[GST %]]</f>
        <v>31020.75</v>
      </c>
      <c r="N4042" s="161">
        <f>Sales[[#This Row],[Gross Amount]]-Sales[[#This Row],[Disc. Amt.]]+Sales[[#This Row],[GST Amount]]</f>
        <v>203358.25</v>
      </c>
      <c r="O4042" s="34" t="s">
        <v>3569</v>
      </c>
      <c r="P4042" s="34" t="s">
        <v>3562</v>
      </c>
      <c r="Q4042" s="165">
        <f>IF(Sales[[#This Row],[Status]]="Cancelled",0,Sales[[#This Row],[Qty]])</f>
        <v>5</v>
      </c>
      <c r="R4042" s="166">
        <f>IF(Sales[[#This Row],[Status]]="Cancelled",0,Sales[[#This Row],[Total Amount]])</f>
        <v>203358.25</v>
      </c>
      <c r="S4042" s="162">
        <f>SUM(Sales[Net Amount])</f>
        <v>406839287.73200053</v>
      </c>
    </row>
    <row r="4043" spans="1:19" ht="18.75" x14ac:dyDescent="0.25">
      <c r="A4043" s="156" t="s">
        <v>7721</v>
      </c>
      <c r="B4043" s="157">
        <v>45977</v>
      </c>
      <c r="C4043" s="158" t="s">
        <v>711</v>
      </c>
      <c r="D4043" s="159" t="str">
        <f>VLOOKUP(Sales[[#This Row],[Customer ID]],Customer[#All],2,0)</f>
        <v>Priya Verma</v>
      </c>
      <c r="E4043" s="158" t="s">
        <v>459</v>
      </c>
      <c r="F4043" s="158" t="str">
        <f>VLOOKUP(Sales[[#This Row],[Product ID]],Product[#All],2,0)</f>
        <v>Logitech Mouse</v>
      </c>
      <c r="G4043" s="159">
        <v>7</v>
      </c>
      <c r="H4043" s="160">
        <f>VLOOKUP(Sales[[#This Row],[Product ID]],Product[#All],7,0)</f>
        <v>1680</v>
      </c>
      <c r="I4043" s="160">
        <f>Sales[[#This Row],[Selling Rate]]*Sales[[#This Row],[Qty]]</f>
        <v>11760</v>
      </c>
      <c r="J4043" s="43">
        <v>0.02</v>
      </c>
      <c r="K4043" s="44">
        <f>Sales[[#This Row],[Gross Amount]]*Sales[[#This Row],[Disc %]]</f>
        <v>235.20000000000002</v>
      </c>
      <c r="L4043" s="43">
        <v>0.18</v>
      </c>
      <c r="M4043" s="44">
        <f>(Sales[[#This Row],[Gross Amount]]-Sales[[#This Row],[Disc. Amt.]])*Sales[[#This Row],[GST %]]</f>
        <v>2074.4639999999999</v>
      </c>
      <c r="N4043" s="161">
        <f>Sales[[#This Row],[Gross Amount]]-Sales[[#This Row],[Disc. Amt.]]+Sales[[#This Row],[GST Amount]]</f>
        <v>13599.263999999999</v>
      </c>
      <c r="O4043" s="158" t="s">
        <v>3561</v>
      </c>
      <c r="P4043" s="158" t="s">
        <v>3562</v>
      </c>
      <c r="Q4043" s="160">
        <f>IF(Sales[[#This Row],[Status]]="Cancelled",0,Sales[[#This Row],[Qty]])</f>
        <v>7</v>
      </c>
      <c r="R4043" s="161">
        <f>IF(Sales[[#This Row],[Status]]="Cancelled",0,Sales[[#This Row],[Total Amount]])</f>
        <v>13599.263999999999</v>
      </c>
      <c r="S4043" s="162">
        <f>SUM(Sales[Net Amount])</f>
        <v>406839287.73200053</v>
      </c>
    </row>
    <row r="4044" spans="1:19" ht="18.75" x14ac:dyDescent="0.25">
      <c r="A4044" s="163" t="s">
        <v>7722</v>
      </c>
      <c r="B4044" s="164">
        <v>45977</v>
      </c>
      <c r="C4044" s="34" t="s">
        <v>891</v>
      </c>
      <c r="D4044" s="53" t="str">
        <f>VLOOKUP(Sales[[#This Row],[Customer ID]],Customer[#All],2,0)</f>
        <v>Pooja Verma</v>
      </c>
      <c r="E4044" s="34" t="s">
        <v>451</v>
      </c>
      <c r="F4044" s="34" t="str">
        <f>VLOOKUP(Sales[[#This Row],[Product ID]],Product[#All],2,0)</f>
        <v>HP Printer</v>
      </c>
      <c r="G4044" s="53">
        <v>3</v>
      </c>
      <c r="H4044" s="165">
        <f>VLOOKUP(Sales[[#This Row],[Product ID]],Product[#All],7,0)</f>
        <v>36160</v>
      </c>
      <c r="I4044" s="165">
        <f>Sales[[#This Row],[Selling Rate]]*Sales[[#This Row],[Qty]]</f>
        <v>108480</v>
      </c>
      <c r="J4044" s="45">
        <v>0.15</v>
      </c>
      <c r="K4044" s="46">
        <f>Sales[[#This Row],[Gross Amount]]*Sales[[#This Row],[Disc %]]</f>
        <v>16272</v>
      </c>
      <c r="L4044" s="43">
        <v>0.18</v>
      </c>
      <c r="M4044" s="46">
        <f>(Sales[[#This Row],[Gross Amount]]-Sales[[#This Row],[Disc. Amt.]])*Sales[[#This Row],[GST %]]</f>
        <v>16597.439999999999</v>
      </c>
      <c r="N4044" s="161">
        <f>Sales[[#This Row],[Gross Amount]]-Sales[[#This Row],[Disc. Amt.]]+Sales[[#This Row],[GST Amount]]</f>
        <v>108805.44</v>
      </c>
      <c r="O4044" s="34" t="s">
        <v>3566</v>
      </c>
      <c r="P4044" s="34" t="s">
        <v>3562</v>
      </c>
      <c r="Q4044" s="165">
        <f>IF(Sales[[#This Row],[Status]]="Cancelled",0,Sales[[#This Row],[Qty]])</f>
        <v>3</v>
      </c>
      <c r="R4044" s="166">
        <f>IF(Sales[[#This Row],[Status]]="Cancelled",0,Sales[[#This Row],[Total Amount]])</f>
        <v>108805.44</v>
      </c>
      <c r="S4044" s="162">
        <f>SUM(Sales[Net Amount])</f>
        <v>406839287.73200053</v>
      </c>
    </row>
    <row r="4045" spans="1:19" ht="18.75" x14ac:dyDescent="0.25">
      <c r="A4045" s="156" t="s">
        <v>7723</v>
      </c>
      <c r="B4045" s="157">
        <v>45977</v>
      </c>
      <c r="C4045" s="158" t="s">
        <v>892</v>
      </c>
      <c r="D4045" s="159" t="str">
        <f>VLOOKUP(Sales[[#This Row],[Customer ID]],Customer[#All],2,0)</f>
        <v>Sahil Verma</v>
      </c>
      <c r="E4045" s="158" t="s">
        <v>333</v>
      </c>
      <c r="F4045" s="158" t="str">
        <f>VLOOKUP(Sales[[#This Row],[Product ID]],Product[#All],2,0)</f>
        <v>Logitech Keyboard</v>
      </c>
      <c r="G4045" s="159">
        <v>3</v>
      </c>
      <c r="H4045" s="160">
        <f>VLOOKUP(Sales[[#This Row],[Product ID]],Product[#All],7,0)</f>
        <v>3350</v>
      </c>
      <c r="I4045" s="160">
        <f>Sales[[#This Row],[Selling Rate]]*Sales[[#This Row],[Qty]]</f>
        <v>10050</v>
      </c>
      <c r="J4045" s="43">
        <v>0.05</v>
      </c>
      <c r="K4045" s="44">
        <f>Sales[[#This Row],[Gross Amount]]*Sales[[#This Row],[Disc %]]</f>
        <v>502.5</v>
      </c>
      <c r="L4045" s="43">
        <v>0.18</v>
      </c>
      <c r="M4045" s="44">
        <f>(Sales[[#This Row],[Gross Amount]]-Sales[[#This Row],[Disc. Amt.]])*Sales[[#This Row],[GST %]]</f>
        <v>1718.55</v>
      </c>
      <c r="N4045" s="161">
        <f>Sales[[#This Row],[Gross Amount]]-Sales[[#This Row],[Disc. Amt.]]+Sales[[#This Row],[GST Amount]]</f>
        <v>11266.05</v>
      </c>
      <c r="O4045" s="158" t="s">
        <v>3561</v>
      </c>
      <c r="P4045" s="158" t="s">
        <v>3562</v>
      </c>
      <c r="Q4045" s="160">
        <f>IF(Sales[[#This Row],[Status]]="Cancelled",0,Sales[[#This Row],[Qty]])</f>
        <v>3</v>
      </c>
      <c r="R4045" s="161">
        <f>IF(Sales[[#This Row],[Status]]="Cancelled",0,Sales[[#This Row],[Total Amount]])</f>
        <v>11266.05</v>
      </c>
      <c r="S4045" s="162">
        <f>SUM(Sales[Net Amount])</f>
        <v>406839287.73200053</v>
      </c>
    </row>
    <row r="4046" spans="1:19" ht="18.75" x14ac:dyDescent="0.25">
      <c r="A4046" s="163" t="s">
        <v>7724</v>
      </c>
      <c r="B4046" s="164">
        <v>45977</v>
      </c>
      <c r="C4046" s="34" t="s">
        <v>914</v>
      </c>
      <c r="D4046" s="53" t="str">
        <f>VLOOKUP(Sales[[#This Row],[Customer ID]],Customer[#All],2,0)</f>
        <v>Rakesh Patel</v>
      </c>
      <c r="E4046" s="34" t="s">
        <v>197</v>
      </c>
      <c r="F4046" s="34" t="str">
        <f>VLOOKUP(Sales[[#This Row],[Product ID]],Product[#All],2,0)</f>
        <v>Crucial Ssd</v>
      </c>
      <c r="G4046" s="53">
        <v>5</v>
      </c>
      <c r="H4046" s="165">
        <f>VLOOKUP(Sales[[#This Row],[Product ID]],Product[#All],7,0)</f>
        <v>16400</v>
      </c>
      <c r="I4046" s="165">
        <f>Sales[[#This Row],[Selling Rate]]*Sales[[#This Row],[Qty]]</f>
        <v>82000</v>
      </c>
      <c r="J4046" s="45">
        <v>0.15</v>
      </c>
      <c r="K4046" s="46">
        <f>Sales[[#This Row],[Gross Amount]]*Sales[[#This Row],[Disc %]]</f>
        <v>12300</v>
      </c>
      <c r="L4046" s="43">
        <v>0.18</v>
      </c>
      <c r="M4046" s="46">
        <f>(Sales[[#This Row],[Gross Amount]]-Sales[[#This Row],[Disc. Amt.]])*Sales[[#This Row],[GST %]]</f>
        <v>12546</v>
      </c>
      <c r="N4046" s="161">
        <f>Sales[[#This Row],[Gross Amount]]-Sales[[#This Row],[Disc. Amt.]]+Sales[[#This Row],[GST Amount]]</f>
        <v>82246</v>
      </c>
      <c r="O4046" s="34" t="s">
        <v>3566</v>
      </c>
      <c r="P4046" s="34" t="s">
        <v>3562</v>
      </c>
      <c r="Q4046" s="165">
        <f>IF(Sales[[#This Row],[Status]]="Cancelled",0,Sales[[#This Row],[Qty]])</f>
        <v>5</v>
      </c>
      <c r="R4046" s="166">
        <f>IF(Sales[[#This Row],[Status]]="Cancelled",0,Sales[[#This Row],[Total Amount]])</f>
        <v>82246</v>
      </c>
      <c r="S4046" s="162">
        <f>SUM(Sales[Net Amount])</f>
        <v>406839287.73200053</v>
      </c>
    </row>
    <row r="4047" spans="1:19" ht="18.75" x14ac:dyDescent="0.25">
      <c r="A4047" s="156" t="s">
        <v>7725</v>
      </c>
      <c r="B4047" s="157">
        <v>45977</v>
      </c>
      <c r="C4047" s="158" t="s">
        <v>686</v>
      </c>
      <c r="D4047" s="159" t="str">
        <f>VLOOKUP(Sales[[#This Row],[Customer ID]],Customer[#All],2,0)</f>
        <v>Priya Gupta</v>
      </c>
      <c r="E4047" s="158" t="s">
        <v>216</v>
      </c>
      <c r="F4047" s="158" t="str">
        <f>VLOOKUP(Sales[[#This Row],[Product ID]],Product[#All],2,0)</f>
        <v>Amazon Basics Hdmi Cable</v>
      </c>
      <c r="G4047" s="159">
        <v>4</v>
      </c>
      <c r="H4047" s="160">
        <f>VLOOKUP(Sales[[#This Row],[Product ID]],Product[#All],7,0)</f>
        <v>1080</v>
      </c>
      <c r="I4047" s="160">
        <f>Sales[[#This Row],[Selling Rate]]*Sales[[#This Row],[Qty]]</f>
        <v>4320</v>
      </c>
      <c r="J4047" s="43">
        <v>0</v>
      </c>
      <c r="K4047" s="44">
        <f>Sales[[#This Row],[Gross Amount]]*Sales[[#This Row],[Disc %]]</f>
        <v>0</v>
      </c>
      <c r="L4047" s="43">
        <v>0.18</v>
      </c>
      <c r="M4047" s="44">
        <f>(Sales[[#This Row],[Gross Amount]]-Sales[[#This Row],[Disc. Amt.]])*Sales[[#This Row],[GST %]]</f>
        <v>777.6</v>
      </c>
      <c r="N4047" s="161">
        <f>Sales[[#This Row],[Gross Amount]]-Sales[[#This Row],[Disc. Amt.]]+Sales[[#This Row],[GST Amount]]</f>
        <v>5097.6000000000004</v>
      </c>
      <c r="O4047" s="158" t="s">
        <v>3561</v>
      </c>
      <c r="P4047" s="158" t="s">
        <v>3562</v>
      </c>
      <c r="Q4047" s="160">
        <f>IF(Sales[[#This Row],[Status]]="Cancelled",0,Sales[[#This Row],[Qty]])</f>
        <v>4</v>
      </c>
      <c r="R4047" s="161">
        <f>IF(Sales[[#This Row],[Status]]="Cancelled",0,Sales[[#This Row],[Total Amount]])</f>
        <v>5097.6000000000004</v>
      </c>
      <c r="S4047" s="162">
        <f>SUM(Sales[Net Amount])</f>
        <v>406839287.73200053</v>
      </c>
    </row>
    <row r="4048" spans="1:19" ht="18.75" x14ac:dyDescent="0.25">
      <c r="A4048" s="163" t="s">
        <v>7726</v>
      </c>
      <c r="B4048" s="164">
        <v>45977</v>
      </c>
      <c r="C4048" s="34" t="s">
        <v>669</v>
      </c>
      <c r="D4048" s="53" t="str">
        <f>VLOOKUP(Sales[[#This Row],[Customer ID]],Customer[#All],2,0)</f>
        <v>Sahil Kumar</v>
      </c>
      <c r="E4048" s="34" t="s">
        <v>500</v>
      </c>
      <c r="F4048" s="34" t="str">
        <f>VLOOKUP(Sales[[#This Row],[Product ID]],Product[#All],2,0)</f>
        <v>HP Power Adapter</v>
      </c>
      <c r="G4048" s="53">
        <v>3</v>
      </c>
      <c r="H4048" s="165">
        <f>VLOOKUP(Sales[[#This Row],[Product ID]],Product[#All],7,0)</f>
        <v>3160</v>
      </c>
      <c r="I4048" s="165">
        <f>Sales[[#This Row],[Selling Rate]]*Sales[[#This Row],[Qty]]</f>
        <v>9480</v>
      </c>
      <c r="J4048" s="45">
        <v>0.12</v>
      </c>
      <c r="K4048" s="46">
        <f>Sales[[#This Row],[Gross Amount]]*Sales[[#This Row],[Disc %]]</f>
        <v>1137.5999999999999</v>
      </c>
      <c r="L4048" s="43">
        <v>0.18</v>
      </c>
      <c r="M4048" s="46">
        <f>(Sales[[#This Row],[Gross Amount]]-Sales[[#This Row],[Disc. Amt.]])*Sales[[#This Row],[GST %]]</f>
        <v>1501.6319999999998</v>
      </c>
      <c r="N4048" s="161">
        <f>Sales[[#This Row],[Gross Amount]]-Sales[[#This Row],[Disc. Amt.]]+Sales[[#This Row],[GST Amount]]</f>
        <v>9844.0319999999992</v>
      </c>
      <c r="O4048" s="34" t="s">
        <v>3569</v>
      </c>
      <c r="P4048" s="34" t="s">
        <v>3562</v>
      </c>
      <c r="Q4048" s="165">
        <f>IF(Sales[[#This Row],[Status]]="Cancelled",0,Sales[[#This Row],[Qty]])</f>
        <v>3</v>
      </c>
      <c r="R4048" s="166">
        <f>IF(Sales[[#This Row],[Status]]="Cancelled",0,Sales[[#This Row],[Total Amount]])</f>
        <v>9844.0319999999992</v>
      </c>
      <c r="S4048" s="162">
        <f>SUM(Sales[Net Amount])</f>
        <v>406839287.73200053</v>
      </c>
    </row>
    <row r="4049" spans="1:19" ht="18.75" x14ac:dyDescent="0.25">
      <c r="A4049" s="156" t="s">
        <v>7727</v>
      </c>
      <c r="B4049" s="157">
        <v>45977</v>
      </c>
      <c r="C4049" s="158" t="s">
        <v>871</v>
      </c>
      <c r="D4049" s="159" t="str">
        <f>VLOOKUP(Sales[[#This Row],[Customer ID]],Customer[#All],2,0)</f>
        <v>Rakesh Kumar</v>
      </c>
      <c r="E4049" s="158" t="s">
        <v>404</v>
      </c>
      <c r="F4049" s="158" t="str">
        <f>VLOOKUP(Sales[[#This Row],[Product ID]],Product[#All],2,0)</f>
        <v>Dell Keyboard</v>
      </c>
      <c r="G4049" s="159">
        <v>6</v>
      </c>
      <c r="H4049" s="160">
        <f>VLOOKUP(Sales[[#This Row],[Product ID]],Product[#All],7,0)</f>
        <v>3410</v>
      </c>
      <c r="I4049" s="160">
        <f>Sales[[#This Row],[Selling Rate]]*Sales[[#This Row],[Qty]]</f>
        <v>20460</v>
      </c>
      <c r="J4049" s="43">
        <v>0.05</v>
      </c>
      <c r="K4049" s="44">
        <f>Sales[[#This Row],[Gross Amount]]*Sales[[#This Row],[Disc %]]</f>
        <v>1023</v>
      </c>
      <c r="L4049" s="43">
        <v>0.18</v>
      </c>
      <c r="M4049" s="44">
        <f>(Sales[[#This Row],[Gross Amount]]-Sales[[#This Row],[Disc. Amt.]])*Sales[[#This Row],[GST %]]</f>
        <v>3498.66</v>
      </c>
      <c r="N4049" s="161">
        <f>Sales[[#This Row],[Gross Amount]]-Sales[[#This Row],[Disc. Amt.]]+Sales[[#This Row],[GST Amount]]</f>
        <v>22935.66</v>
      </c>
      <c r="O4049" s="158" t="s">
        <v>8876</v>
      </c>
      <c r="P4049" s="158" t="s">
        <v>3562</v>
      </c>
      <c r="Q4049" s="160">
        <f>IF(Sales[[#This Row],[Status]]="Cancelled",0,Sales[[#This Row],[Qty]])</f>
        <v>6</v>
      </c>
      <c r="R4049" s="161">
        <f>IF(Sales[[#This Row],[Status]]="Cancelled",0,Sales[[#This Row],[Total Amount]])</f>
        <v>22935.66</v>
      </c>
      <c r="S4049" s="162">
        <f>SUM(Sales[Net Amount])</f>
        <v>406839287.73200053</v>
      </c>
    </row>
    <row r="4050" spans="1:19" ht="18.75" x14ac:dyDescent="0.25">
      <c r="A4050" s="163" t="s">
        <v>7728</v>
      </c>
      <c r="B4050" s="164">
        <v>45977</v>
      </c>
      <c r="C4050" s="34" t="s">
        <v>834</v>
      </c>
      <c r="D4050" s="53" t="str">
        <f>VLOOKUP(Sales[[#This Row],[Customer ID]],Customer[#All],2,0)</f>
        <v>Rahul Verma</v>
      </c>
      <c r="E4050" s="34" t="s">
        <v>56</v>
      </c>
      <c r="F4050" s="34" t="str">
        <f>VLOOKUP(Sales[[#This Row],[Product ID]],Product[#All],2,0)</f>
        <v>Boat Headset</v>
      </c>
      <c r="G4050" s="53">
        <v>2</v>
      </c>
      <c r="H4050" s="165">
        <f>VLOOKUP(Sales[[#This Row],[Product ID]],Product[#All],7,0)</f>
        <v>4140</v>
      </c>
      <c r="I4050" s="165">
        <f>Sales[[#This Row],[Selling Rate]]*Sales[[#This Row],[Qty]]</f>
        <v>8280</v>
      </c>
      <c r="J4050" s="45">
        <v>0.12</v>
      </c>
      <c r="K4050" s="46">
        <f>Sales[[#This Row],[Gross Amount]]*Sales[[#This Row],[Disc %]]</f>
        <v>993.59999999999991</v>
      </c>
      <c r="L4050" s="43">
        <v>0.18</v>
      </c>
      <c r="M4050" s="46">
        <f>(Sales[[#This Row],[Gross Amount]]-Sales[[#This Row],[Disc. Amt.]])*Sales[[#This Row],[GST %]]</f>
        <v>1311.5519999999999</v>
      </c>
      <c r="N4050" s="161">
        <f>Sales[[#This Row],[Gross Amount]]-Sales[[#This Row],[Disc. Amt.]]+Sales[[#This Row],[GST Amount]]</f>
        <v>8597.9519999999993</v>
      </c>
      <c r="O4050" s="34" t="s">
        <v>3569</v>
      </c>
      <c r="P4050" s="34" t="s">
        <v>3562</v>
      </c>
      <c r="Q4050" s="165">
        <f>IF(Sales[[#This Row],[Status]]="Cancelled",0,Sales[[#This Row],[Qty]])</f>
        <v>2</v>
      </c>
      <c r="R4050" s="166">
        <f>IF(Sales[[#This Row],[Status]]="Cancelled",0,Sales[[#This Row],[Total Amount]])</f>
        <v>8597.9519999999993</v>
      </c>
      <c r="S4050" s="162">
        <f>SUM(Sales[Net Amount])</f>
        <v>406839287.73200053</v>
      </c>
    </row>
    <row r="4051" spans="1:19" ht="18.75" x14ac:dyDescent="0.25">
      <c r="A4051" s="156" t="s">
        <v>7729</v>
      </c>
      <c r="B4051" s="157">
        <v>45977</v>
      </c>
      <c r="C4051" s="158" t="s">
        <v>749</v>
      </c>
      <c r="D4051" s="159" t="str">
        <f>VLOOKUP(Sales[[#This Row],[Customer ID]],Customer[#All],2,0)</f>
        <v>Sahil Patel</v>
      </c>
      <c r="E4051" s="158" t="s">
        <v>344</v>
      </c>
      <c r="F4051" s="158" t="str">
        <f>VLOOKUP(Sales[[#This Row],[Product ID]],Product[#All],2,0)</f>
        <v>WD HDD</v>
      </c>
      <c r="G4051" s="159">
        <v>6</v>
      </c>
      <c r="H4051" s="160">
        <f>VLOOKUP(Sales[[#This Row],[Product ID]],Product[#All],7,0)</f>
        <v>11260</v>
      </c>
      <c r="I4051" s="160">
        <f>Sales[[#This Row],[Selling Rate]]*Sales[[#This Row],[Qty]]</f>
        <v>67560</v>
      </c>
      <c r="J4051" s="43">
        <v>0.1</v>
      </c>
      <c r="K4051" s="44">
        <f>Sales[[#This Row],[Gross Amount]]*Sales[[#This Row],[Disc %]]</f>
        <v>6756</v>
      </c>
      <c r="L4051" s="43">
        <v>0.18</v>
      </c>
      <c r="M4051" s="44">
        <f>(Sales[[#This Row],[Gross Amount]]-Sales[[#This Row],[Disc. Amt.]])*Sales[[#This Row],[GST %]]</f>
        <v>10944.72</v>
      </c>
      <c r="N4051" s="161">
        <f>Sales[[#This Row],[Gross Amount]]-Sales[[#This Row],[Disc. Amt.]]+Sales[[#This Row],[GST Amount]]</f>
        <v>71748.72</v>
      </c>
      <c r="O4051" s="158" t="s">
        <v>3566</v>
      </c>
      <c r="P4051" s="158" t="s">
        <v>3562</v>
      </c>
      <c r="Q4051" s="160">
        <f>IF(Sales[[#This Row],[Status]]="Cancelled",0,Sales[[#This Row],[Qty]])</f>
        <v>6</v>
      </c>
      <c r="R4051" s="161">
        <f>IF(Sales[[#This Row],[Status]]="Cancelled",0,Sales[[#This Row],[Total Amount]])</f>
        <v>71748.72</v>
      </c>
      <c r="S4051" s="162">
        <f>SUM(Sales[Net Amount])</f>
        <v>406839287.73200053</v>
      </c>
    </row>
    <row r="4052" spans="1:19" ht="18.75" x14ac:dyDescent="0.25">
      <c r="A4052" s="163" t="s">
        <v>7730</v>
      </c>
      <c r="B4052" s="164">
        <v>45977</v>
      </c>
      <c r="C4052" s="34" t="s">
        <v>677</v>
      </c>
      <c r="D4052" s="53" t="str">
        <f>VLOOKUP(Sales[[#This Row],[Customer ID]],Customer[#All],2,0)</f>
        <v>Sahil Verma</v>
      </c>
      <c r="E4052" s="34" t="s">
        <v>133</v>
      </c>
      <c r="F4052" s="34" t="str">
        <f>VLOOKUP(Sales[[#This Row],[Product ID]],Product[#All],2,0)</f>
        <v>HP Laptop</v>
      </c>
      <c r="G4052" s="53">
        <v>4</v>
      </c>
      <c r="H4052" s="165">
        <f>VLOOKUP(Sales[[#This Row],[Product ID]],Product[#All],7,0)</f>
        <v>44790</v>
      </c>
      <c r="I4052" s="165">
        <f>Sales[[#This Row],[Selling Rate]]*Sales[[#This Row],[Qty]]</f>
        <v>179160</v>
      </c>
      <c r="J4052" s="45">
        <v>0.02</v>
      </c>
      <c r="K4052" s="46">
        <f>Sales[[#This Row],[Gross Amount]]*Sales[[#This Row],[Disc %]]</f>
        <v>3583.2000000000003</v>
      </c>
      <c r="L4052" s="43">
        <v>0.18</v>
      </c>
      <c r="M4052" s="46">
        <f>(Sales[[#This Row],[Gross Amount]]-Sales[[#This Row],[Disc. Amt.]])*Sales[[#This Row],[GST %]]</f>
        <v>31603.823999999997</v>
      </c>
      <c r="N4052" s="161">
        <f>Sales[[#This Row],[Gross Amount]]-Sales[[#This Row],[Disc. Amt.]]+Sales[[#This Row],[GST Amount]]</f>
        <v>207180.62399999998</v>
      </c>
      <c r="O4052" s="34" t="s">
        <v>8876</v>
      </c>
      <c r="P4052" s="34" t="s">
        <v>3562</v>
      </c>
      <c r="Q4052" s="165">
        <f>IF(Sales[[#This Row],[Status]]="Cancelled",0,Sales[[#This Row],[Qty]])</f>
        <v>4</v>
      </c>
      <c r="R4052" s="166">
        <f>IF(Sales[[#This Row],[Status]]="Cancelled",0,Sales[[#This Row],[Total Amount]])</f>
        <v>207180.62399999998</v>
      </c>
      <c r="S4052" s="162">
        <f>SUM(Sales[Net Amount])</f>
        <v>406839287.73200053</v>
      </c>
    </row>
    <row r="4053" spans="1:19" ht="18.75" x14ac:dyDescent="0.25">
      <c r="A4053" s="156" t="s">
        <v>7731</v>
      </c>
      <c r="B4053" s="157">
        <v>45977</v>
      </c>
      <c r="C4053" s="158" t="s">
        <v>827</v>
      </c>
      <c r="D4053" s="159" t="str">
        <f>VLOOKUP(Sales[[#This Row],[Customer ID]],Customer[#All],2,0)</f>
        <v>Ankit Gupta</v>
      </c>
      <c r="E4053" s="158" t="s">
        <v>162</v>
      </c>
      <c r="F4053" s="158" t="str">
        <f>VLOOKUP(Sales[[#This Row],[Product ID]],Product[#All],2,0)</f>
        <v>Amazon Basics Hdmi Cable</v>
      </c>
      <c r="G4053" s="159">
        <v>4</v>
      </c>
      <c r="H4053" s="160">
        <f>VLOOKUP(Sales[[#This Row],[Product ID]],Product[#All],7,0)</f>
        <v>820</v>
      </c>
      <c r="I4053" s="160">
        <f>Sales[[#This Row],[Selling Rate]]*Sales[[#This Row],[Qty]]</f>
        <v>3280</v>
      </c>
      <c r="J4053" s="43">
        <v>0.15</v>
      </c>
      <c r="K4053" s="44">
        <f>Sales[[#This Row],[Gross Amount]]*Sales[[#This Row],[Disc %]]</f>
        <v>492</v>
      </c>
      <c r="L4053" s="43">
        <v>0.18</v>
      </c>
      <c r="M4053" s="44">
        <f>(Sales[[#This Row],[Gross Amount]]-Sales[[#This Row],[Disc. Amt.]])*Sales[[#This Row],[GST %]]</f>
        <v>501.84</v>
      </c>
      <c r="N4053" s="161">
        <f>Sales[[#This Row],[Gross Amount]]-Sales[[#This Row],[Disc. Amt.]]+Sales[[#This Row],[GST Amount]]</f>
        <v>3289.84</v>
      </c>
      <c r="O4053" s="158" t="s">
        <v>3566</v>
      </c>
      <c r="P4053" s="158" t="s">
        <v>3562</v>
      </c>
      <c r="Q4053" s="160">
        <f>IF(Sales[[#This Row],[Status]]="Cancelled",0,Sales[[#This Row],[Qty]])</f>
        <v>4</v>
      </c>
      <c r="R4053" s="161">
        <f>IF(Sales[[#This Row],[Status]]="Cancelled",0,Sales[[#This Row],[Total Amount]])</f>
        <v>3289.84</v>
      </c>
      <c r="S4053" s="162">
        <f>SUM(Sales[Net Amount])</f>
        <v>406839287.73200053</v>
      </c>
    </row>
    <row r="4054" spans="1:19" ht="18.75" x14ac:dyDescent="0.25">
      <c r="A4054" s="163" t="s">
        <v>7732</v>
      </c>
      <c r="B4054" s="164">
        <v>45977</v>
      </c>
      <c r="C4054" s="34" t="s">
        <v>7548</v>
      </c>
      <c r="D4054" s="53" t="str">
        <f>VLOOKUP(Sales[[#This Row],[Customer ID]],Customer[#All],2,0)</f>
        <v>Sunita Gupta</v>
      </c>
      <c r="E4054" s="34" t="s">
        <v>237</v>
      </c>
      <c r="F4054" s="34" t="str">
        <f>VLOOKUP(Sales[[#This Row],[Product ID]],Product[#All],2,0)</f>
        <v>Jbl Headset</v>
      </c>
      <c r="G4054" s="53">
        <v>8</v>
      </c>
      <c r="H4054" s="165">
        <f>VLOOKUP(Sales[[#This Row],[Product ID]],Product[#All],7,0)</f>
        <v>5520</v>
      </c>
      <c r="I4054" s="165">
        <f>Sales[[#This Row],[Selling Rate]]*Sales[[#This Row],[Qty]]</f>
        <v>44160</v>
      </c>
      <c r="J4054" s="45">
        <v>0.05</v>
      </c>
      <c r="K4054" s="46">
        <f>Sales[[#This Row],[Gross Amount]]*Sales[[#This Row],[Disc %]]</f>
        <v>2208</v>
      </c>
      <c r="L4054" s="43">
        <v>0.18</v>
      </c>
      <c r="M4054" s="46">
        <f>(Sales[[#This Row],[Gross Amount]]-Sales[[#This Row],[Disc. Amt.]])*Sales[[#This Row],[GST %]]</f>
        <v>7551.36</v>
      </c>
      <c r="N4054" s="161">
        <f>Sales[[#This Row],[Gross Amount]]-Sales[[#This Row],[Disc. Amt.]]+Sales[[#This Row],[GST Amount]]</f>
        <v>49503.360000000001</v>
      </c>
      <c r="O4054" s="34" t="s">
        <v>3569</v>
      </c>
      <c r="P4054" s="34" t="s">
        <v>3562</v>
      </c>
      <c r="Q4054" s="165">
        <f>IF(Sales[[#This Row],[Status]]="Cancelled",0,Sales[[#This Row],[Qty]])</f>
        <v>8</v>
      </c>
      <c r="R4054" s="166">
        <f>IF(Sales[[#This Row],[Status]]="Cancelled",0,Sales[[#This Row],[Total Amount]])</f>
        <v>49503.360000000001</v>
      </c>
      <c r="S4054" s="162">
        <f>SUM(Sales[Net Amount])</f>
        <v>406839287.73200053</v>
      </c>
    </row>
    <row r="4055" spans="1:19" ht="18.75" x14ac:dyDescent="0.25">
      <c r="A4055" s="156" t="s">
        <v>7733</v>
      </c>
      <c r="B4055" s="157">
        <v>45977</v>
      </c>
      <c r="C4055" s="158" t="s">
        <v>925</v>
      </c>
      <c r="D4055" s="159" t="str">
        <f>VLOOKUP(Sales[[#This Row],[Customer ID]],Customer[#All],2,0)</f>
        <v>Neha Singh</v>
      </c>
      <c r="E4055" s="158" t="s">
        <v>322</v>
      </c>
      <c r="F4055" s="158" t="str">
        <f>VLOOKUP(Sales[[#This Row],[Product ID]],Product[#All],2,0)</f>
        <v>Jbl Speaker</v>
      </c>
      <c r="G4055" s="159">
        <v>1</v>
      </c>
      <c r="H4055" s="160">
        <f>VLOOKUP(Sales[[#This Row],[Product ID]],Product[#All],7,0)</f>
        <v>10370</v>
      </c>
      <c r="I4055" s="160">
        <f>Sales[[#This Row],[Selling Rate]]*Sales[[#This Row],[Qty]]</f>
        <v>10370</v>
      </c>
      <c r="J4055" s="43">
        <v>0</v>
      </c>
      <c r="K4055" s="44">
        <f>Sales[[#This Row],[Gross Amount]]*Sales[[#This Row],[Disc %]]</f>
        <v>0</v>
      </c>
      <c r="L4055" s="43">
        <v>0.18</v>
      </c>
      <c r="M4055" s="44">
        <f>(Sales[[#This Row],[Gross Amount]]-Sales[[#This Row],[Disc. Amt.]])*Sales[[#This Row],[GST %]]</f>
        <v>1866.6</v>
      </c>
      <c r="N4055" s="161">
        <f>Sales[[#This Row],[Gross Amount]]-Sales[[#This Row],[Disc. Amt.]]+Sales[[#This Row],[GST Amount]]</f>
        <v>12236.6</v>
      </c>
      <c r="O4055" s="158" t="s">
        <v>3566</v>
      </c>
      <c r="P4055" s="158" t="s">
        <v>3562</v>
      </c>
      <c r="Q4055" s="160">
        <f>IF(Sales[[#This Row],[Status]]="Cancelled",0,Sales[[#This Row],[Qty]])</f>
        <v>1</v>
      </c>
      <c r="R4055" s="161">
        <f>IF(Sales[[#This Row],[Status]]="Cancelled",0,Sales[[#This Row],[Total Amount]])</f>
        <v>12236.6</v>
      </c>
      <c r="S4055" s="162">
        <f>SUM(Sales[Net Amount])</f>
        <v>406839287.73200053</v>
      </c>
    </row>
    <row r="4056" spans="1:19" ht="18.75" x14ac:dyDescent="0.25">
      <c r="A4056" s="163" t="s">
        <v>7734</v>
      </c>
      <c r="B4056" s="164">
        <v>45977</v>
      </c>
      <c r="C4056" s="34" t="s">
        <v>850</v>
      </c>
      <c r="D4056" s="53" t="str">
        <f>VLOOKUP(Sales[[#This Row],[Customer ID]],Customer[#All],2,0)</f>
        <v>Sahil Patel</v>
      </c>
      <c r="E4056" s="34" t="s">
        <v>291</v>
      </c>
      <c r="F4056" s="34" t="str">
        <f>VLOOKUP(Sales[[#This Row],[Product ID]],Product[#All],2,0)</f>
        <v>Jbl Speaker</v>
      </c>
      <c r="G4056" s="53">
        <v>6</v>
      </c>
      <c r="H4056" s="165">
        <f>VLOOKUP(Sales[[#This Row],[Product ID]],Product[#All],7,0)</f>
        <v>12040</v>
      </c>
      <c r="I4056" s="165">
        <f>Sales[[#This Row],[Selling Rate]]*Sales[[#This Row],[Qty]]</f>
        <v>72240</v>
      </c>
      <c r="J4056" s="45">
        <v>0.05</v>
      </c>
      <c r="K4056" s="46">
        <f>Sales[[#This Row],[Gross Amount]]*Sales[[#This Row],[Disc %]]</f>
        <v>3612</v>
      </c>
      <c r="L4056" s="43">
        <v>0.18</v>
      </c>
      <c r="M4056" s="46">
        <f>(Sales[[#This Row],[Gross Amount]]-Sales[[#This Row],[Disc. Amt.]])*Sales[[#This Row],[GST %]]</f>
        <v>12353.039999999999</v>
      </c>
      <c r="N4056" s="161">
        <f>Sales[[#This Row],[Gross Amount]]-Sales[[#This Row],[Disc. Amt.]]+Sales[[#This Row],[GST Amount]]</f>
        <v>80981.039999999994</v>
      </c>
      <c r="O4056" s="34" t="s">
        <v>8876</v>
      </c>
      <c r="P4056" s="34" t="s">
        <v>3562</v>
      </c>
      <c r="Q4056" s="165">
        <f>IF(Sales[[#This Row],[Status]]="Cancelled",0,Sales[[#This Row],[Qty]])</f>
        <v>6</v>
      </c>
      <c r="R4056" s="166">
        <f>IF(Sales[[#This Row],[Status]]="Cancelled",0,Sales[[#This Row],[Total Amount]])</f>
        <v>80981.039999999994</v>
      </c>
      <c r="S4056" s="162">
        <f>SUM(Sales[Net Amount])</f>
        <v>406839287.73200053</v>
      </c>
    </row>
    <row r="4057" spans="1:19" ht="18.75" x14ac:dyDescent="0.25">
      <c r="A4057" s="156" t="s">
        <v>7735</v>
      </c>
      <c r="B4057" s="157">
        <v>45978</v>
      </c>
      <c r="C4057" s="158" t="s">
        <v>805</v>
      </c>
      <c r="D4057" s="159" t="str">
        <f>VLOOKUP(Sales[[#This Row],[Customer ID]],Customer[#All],2,0)</f>
        <v>Priya Kumar</v>
      </c>
      <c r="E4057" s="158" t="s">
        <v>551</v>
      </c>
      <c r="F4057" s="158" t="str">
        <f>VLOOKUP(Sales[[#This Row],[Product ID]],Product[#All],2,0)</f>
        <v>Epson Printer</v>
      </c>
      <c r="G4057" s="159">
        <v>2</v>
      </c>
      <c r="H4057" s="160">
        <f>VLOOKUP(Sales[[#This Row],[Product ID]],Product[#All],7,0)</f>
        <v>38370</v>
      </c>
      <c r="I4057" s="160">
        <f>Sales[[#This Row],[Selling Rate]]*Sales[[#This Row],[Qty]]</f>
        <v>76740</v>
      </c>
      <c r="J4057" s="43">
        <v>0.05</v>
      </c>
      <c r="K4057" s="44">
        <f>Sales[[#This Row],[Gross Amount]]*Sales[[#This Row],[Disc %]]</f>
        <v>3837</v>
      </c>
      <c r="L4057" s="43">
        <v>0.18</v>
      </c>
      <c r="M4057" s="44">
        <f>(Sales[[#This Row],[Gross Amount]]-Sales[[#This Row],[Disc. Amt.]])*Sales[[#This Row],[GST %]]</f>
        <v>13122.539999999999</v>
      </c>
      <c r="N4057" s="161">
        <f>Sales[[#This Row],[Gross Amount]]-Sales[[#This Row],[Disc. Amt.]]+Sales[[#This Row],[GST Amount]]</f>
        <v>86025.54</v>
      </c>
      <c r="O4057" s="158" t="s">
        <v>8876</v>
      </c>
      <c r="P4057" s="158" t="s">
        <v>3562</v>
      </c>
      <c r="Q4057" s="160">
        <f>IF(Sales[[#This Row],[Status]]="Cancelled",0,Sales[[#This Row],[Qty]])</f>
        <v>2</v>
      </c>
      <c r="R4057" s="161">
        <f>IF(Sales[[#This Row],[Status]]="Cancelled",0,Sales[[#This Row],[Total Amount]])</f>
        <v>86025.54</v>
      </c>
      <c r="S4057" s="162">
        <f>SUM(Sales[Net Amount])</f>
        <v>406839287.73200053</v>
      </c>
    </row>
    <row r="4058" spans="1:19" ht="18.75" x14ac:dyDescent="0.25">
      <c r="A4058" s="163" t="s">
        <v>7736</v>
      </c>
      <c r="B4058" s="164">
        <v>45978</v>
      </c>
      <c r="C4058" s="34" t="s">
        <v>800</v>
      </c>
      <c r="D4058" s="53" t="str">
        <f>VLOOKUP(Sales[[#This Row],[Customer ID]],Customer[#All],2,0)</f>
        <v>Priya Gupta</v>
      </c>
      <c r="E4058" s="34" t="s">
        <v>131</v>
      </c>
      <c r="F4058" s="34" t="str">
        <f>VLOOKUP(Sales[[#This Row],[Product ID]],Product[#All],2,0)</f>
        <v>HP Power Adapter</v>
      </c>
      <c r="G4058" s="53">
        <v>7</v>
      </c>
      <c r="H4058" s="165">
        <f>VLOOKUP(Sales[[#This Row],[Product ID]],Product[#All],7,0)</f>
        <v>2540</v>
      </c>
      <c r="I4058" s="165">
        <f>Sales[[#This Row],[Selling Rate]]*Sales[[#This Row],[Qty]]</f>
        <v>17780</v>
      </c>
      <c r="J4058" s="45">
        <v>0.15</v>
      </c>
      <c r="K4058" s="46">
        <f>Sales[[#This Row],[Gross Amount]]*Sales[[#This Row],[Disc %]]</f>
        <v>2667</v>
      </c>
      <c r="L4058" s="43">
        <v>0.18</v>
      </c>
      <c r="M4058" s="46">
        <f>(Sales[[#This Row],[Gross Amount]]-Sales[[#This Row],[Disc. Amt.]])*Sales[[#This Row],[GST %]]</f>
        <v>2720.3399999999997</v>
      </c>
      <c r="N4058" s="161">
        <f>Sales[[#This Row],[Gross Amount]]-Sales[[#This Row],[Disc. Amt.]]+Sales[[#This Row],[GST Amount]]</f>
        <v>17833.34</v>
      </c>
      <c r="O4058" s="34" t="s">
        <v>8876</v>
      </c>
      <c r="P4058" s="34" t="s">
        <v>3562</v>
      </c>
      <c r="Q4058" s="165">
        <f>IF(Sales[[#This Row],[Status]]="Cancelled",0,Sales[[#This Row],[Qty]])</f>
        <v>7</v>
      </c>
      <c r="R4058" s="166">
        <f>IF(Sales[[#This Row],[Status]]="Cancelled",0,Sales[[#This Row],[Total Amount]])</f>
        <v>17833.34</v>
      </c>
      <c r="S4058" s="162">
        <f>SUM(Sales[Net Amount])</f>
        <v>406839287.73200053</v>
      </c>
    </row>
    <row r="4059" spans="1:19" ht="18.75" x14ac:dyDescent="0.25">
      <c r="A4059" s="156" t="s">
        <v>7737</v>
      </c>
      <c r="B4059" s="157">
        <v>45978</v>
      </c>
      <c r="C4059" s="158" t="s">
        <v>893</v>
      </c>
      <c r="D4059" s="159" t="str">
        <f>VLOOKUP(Sales[[#This Row],[Customer ID]],Customer[#All],2,0)</f>
        <v>Sunita Sharma</v>
      </c>
      <c r="E4059" s="158" t="s">
        <v>374</v>
      </c>
      <c r="F4059" s="158" t="str">
        <f>VLOOKUP(Sales[[#This Row],[Product ID]],Product[#All],2,0)</f>
        <v>Boat Headset</v>
      </c>
      <c r="G4059" s="159">
        <v>1</v>
      </c>
      <c r="H4059" s="160">
        <f>VLOOKUP(Sales[[#This Row],[Product ID]],Product[#All],7,0)</f>
        <v>3010</v>
      </c>
      <c r="I4059" s="160">
        <f>Sales[[#This Row],[Selling Rate]]*Sales[[#This Row],[Qty]]</f>
        <v>3010</v>
      </c>
      <c r="J4059" s="43">
        <v>0.05</v>
      </c>
      <c r="K4059" s="44">
        <f>Sales[[#This Row],[Gross Amount]]*Sales[[#This Row],[Disc %]]</f>
        <v>150.5</v>
      </c>
      <c r="L4059" s="43">
        <v>0.18</v>
      </c>
      <c r="M4059" s="44">
        <f>(Sales[[#This Row],[Gross Amount]]-Sales[[#This Row],[Disc. Amt.]])*Sales[[#This Row],[GST %]]</f>
        <v>514.71</v>
      </c>
      <c r="N4059" s="161">
        <f>Sales[[#This Row],[Gross Amount]]-Sales[[#This Row],[Disc. Amt.]]+Sales[[#This Row],[GST Amount]]</f>
        <v>3374.21</v>
      </c>
      <c r="O4059" s="158" t="s">
        <v>3566</v>
      </c>
      <c r="P4059" s="158" t="s">
        <v>3562</v>
      </c>
      <c r="Q4059" s="160">
        <f>IF(Sales[[#This Row],[Status]]="Cancelled",0,Sales[[#This Row],[Qty]])</f>
        <v>1</v>
      </c>
      <c r="R4059" s="161">
        <f>IF(Sales[[#This Row],[Status]]="Cancelled",0,Sales[[#This Row],[Total Amount]])</f>
        <v>3374.21</v>
      </c>
      <c r="S4059" s="162">
        <f>SUM(Sales[Net Amount])</f>
        <v>406839287.73200053</v>
      </c>
    </row>
    <row r="4060" spans="1:19" ht="18.75" x14ac:dyDescent="0.25">
      <c r="A4060" s="163" t="s">
        <v>7738</v>
      </c>
      <c r="B4060" s="164">
        <v>45978</v>
      </c>
      <c r="C4060" s="34" t="s">
        <v>939</v>
      </c>
      <c r="D4060" s="53" t="str">
        <f>VLOOKUP(Sales[[#This Row],[Customer ID]],Customer[#All],2,0)</f>
        <v>Sunita Sharma</v>
      </c>
      <c r="E4060" s="34" t="s">
        <v>401</v>
      </c>
      <c r="F4060" s="34" t="str">
        <f>VLOOKUP(Sales[[#This Row],[Product ID]],Product[#All],2,0)</f>
        <v>Amazon Basics Hdmi Cable</v>
      </c>
      <c r="G4060" s="53">
        <v>4</v>
      </c>
      <c r="H4060" s="165">
        <f>VLOOKUP(Sales[[#This Row],[Product ID]],Product[#All],7,0)</f>
        <v>670</v>
      </c>
      <c r="I4060" s="165">
        <f>Sales[[#This Row],[Selling Rate]]*Sales[[#This Row],[Qty]]</f>
        <v>2680</v>
      </c>
      <c r="J4060" s="45">
        <v>0.05</v>
      </c>
      <c r="K4060" s="46">
        <f>Sales[[#This Row],[Gross Amount]]*Sales[[#This Row],[Disc %]]</f>
        <v>134</v>
      </c>
      <c r="L4060" s="43">
        <v>0.18</v>
      </c>
      <c r="M4060" s="46">
        <f>(Sales[[#This Row],[Gross Amount]]-Sales[[#This Row],[Disc. Amt.]])*Sales[[#This Row],[GST %]]</f>
        <v>458.28</v>
      </c>
      <c r="N4060" s="161">
        <f>Sales[[#This Row],[Gross Amount]]-Sales[[#This Row],[Disc. Amt.]]+Sales[[#This Row],[GST Amount]]</f>
        <v>3004.2799999999997</v>
      </c>
      <c r="O4060" s="34" t="s">
        <v>3566</v>
      </c>
      <c r="P4060" s="34" t="s">
        <v>3562</v>
      </c>
      <c r="Q4060" s="165">
        <f>IF(Sales[[#This Row],[Status]]="Cancelled",0,Sales[[#This Row],[Qty]])</f>
        <v>4</v>
      </c>
      <c r="R4060" s="166">
        <f>IF(Sales[[#This Row],[Status]]="Cancelled",0,Sales[[#This Row],[Total Amount]])</f>
        <v>3004.2799999999997</v>
      </c>
      <c r="S4060" s="162">
        <f>SUM(Sales[Net Amount])</f>
        <v>406839287.73200053</v>
      </c>
    </row>
    <row r="4061" spans="1:19" ht="18.75" x14ac:dyDescent="0.25">
      <c r="A4061" s="156" t="s">
        <v>7739</v>
      </c>
      <c r="B4061" s="157">
        <v>45978</v>
      </c>
      <c r="C4061" s="158" t="s">
        <v>703</v>
      </c>
      <c r="D4061" s="159" t="str">
        <f>VLOOKUP(Sales[[#This Row],[Customer ID]],Customer[#All],2,0)</f>
        <v>Rahul Singh</v>
      </c>
      <c r="E4061" s="158" t="s">
        <v>319</v>
      </c>
      <c r="F4061" s="158" t="str">
        <f>VLOOKUP(Sales[[#This Row],[Product ID]],Product[#All],2,0)</f>
        <v>Seagate HDD</v>
      </c>
      <c r="G4061" s="159">
        <v>7</v>
      </c>
      <c r="H4061" s="160">
        <f>VLOOKUP(Sales[[#This Row],[Product ID]],Product[#All],7,0)</f>
        <v>10650</v>
      </c>
      <c r="I4061" s="160">
        <f>Sales[[#This Row],[Selling Rate]]*Sales[[#This Row],[Qty]]</f>
        <v>74550</v>
      </c>
      <c r="J4061" s="43">
        <v>0</v>
      </c>
      <c r="K4061" s="44">
        <f>Sales[[#This Row],[Gross Amount]]*Sales[[#This Row],[Disc %]]</f>
        <v>0</v>
      </c>
      <c r="L4061" s="43">
        <v>0.18</v>
      </c>
      <c r="M4061" s="44">
        <f>(Sales[[#This Row],[Gross Amount]]-Sales[[#This Row],[Disc. Amt.]])*Sales[[#This Row],[GST %]]</f>
        <v>13419</v>
      </c>
      <c r="N4061" s="161">
        <f>Sales[[#This Row],[Gross Amount]]-Sales[[#This Row],[Disc. Amt.]]+Sales[[#This Row],[GST Amount]]</f>
        <v>87969</v>
      </c>
      <c r="O4061" s="158" t="s">
        <v>3561</v>
      </c>
      <c r="P4061" s="158" t="s">
        <v>3562</v>
      </c>
      <c r="Q4061" s="160">
        <f>IF(Sales[[#This Row],[Status]]="Cancelled",0,Sales[[#This Row],[Qty]])</f>
        <v>7</v>
      </c>
      <c r="R4061" s="161">
        <f>IF(Sales[[#This Row],[Status]]="Cancelled",0,Sales[[#This Row],[Total Amount]])</f>
        <v>87969</v>
      </c>
      <c r="S4061" s="162">
        <f>SUM(Sales[Net Amount])</f>
        <v>406839287.73200053</v>
      </c>
    </row>
    <row r="4062" spans="1:19" ht="18.75" x14ac:dyDescent="0.25">
      <c r="A4062" s="163" t="s">
        <v>7740</v>
      </c>
      <c r="B4062" s="164">
        <v>45978</v>
      </c>
      <c r="C4062" s="34" t="s">
        <v>865</v>
      </c>
      <c r="D4062" s="53" t="str">
        <f>VLOOKUP(Sales[[#This Row],[Customer ID]],Customer[#All],2,0)</f>
        <v>Sunita Gupta</v>
      </c>
      <c r="E4062" s="34" t="s">
        <v>388</v>
      </c>
      <c r="F4062" s="34" t="str">
        <f>VLOOKUP(Sales[[#This Row],[Product ID]],Product[#All],2,0)</f>
        <v>Dell Laptop</v>
      </c>
      <c r="G4062" s="53">
        <v>1</v>
      </c>
      <c r="H4062" s="165">
        <f>VLOOKUP(Sales[[#This Row],[Product ID]],Product[#All],7,0)</f>
        <v>68790</v>
      </c>
      <c r="I4062" s="165">
        <f>Sales[[#This Row],[Selling Rate]]*Sales[[#This Row],[Qty]]</f>
        <v>68790</v>
      </c>
      <c r="J4062" s="45">
        <v>0.15</v>
      </c>
      <c r="K4062" s="46">
        <f>Sales[[#This Row],[Gross Amount]]*Sales[[#This Row],[Disc %]]</f>
        <v>10318.5</v>
      </c>
      <c r="L4062" s="43">
        <v>0.18</v>
      </c>
      <c r="M4062" s="46">
        <f>(Sales[[#This Row],[Gross Amount]]-Sales[[#This Row],[Disc. Amt.]])*Sales[[#This Row],[GST %]]</f>
        <v>10524.869999999999</v>
      </c>
      <c r="N4062" s="161">
        <f>Sales[[#This Row],[Gross Amount]]-Sales[[#This Row],[Disc. Amt.]]+Sales[[#This Row],[GST Amount]]</f>
        <v>68996.37</v>
      </c>
      <c r="O4062" s="34" t="s">
        <v>3566</v>
      </c>
      <c r="P4062" s="34" t="s">
        <v>3562</v>
      </c>
      <c r="Q4062" s="165">
        <f>IF(Sales[[#This Row],[Status]]="Cancelled",0,Sales[[#This Row],[Qty]])</f>
        <v>1</v>
      </c>
      <c r="R4062" s="166">
        <f>IF(Sales[[#This Row],[Status]]="Cancelled",0,Sales[[#This Row],[Total Amount]])</f>
        <v>68996.37</v>
      </c>
      <c r="S4062" s="162">
        <f>SUM(Sales[Net Amount])</f>
        <v>406839287.73200053</v>
      </c>
    </row>
    <row r="4063" spans="1:19" ht="18.75" x14ac:dyDescent="0.25">
      <c r="A4063" s="156" t="s">
        <v>7741</v>
      </c>
      <c r="B4063" s="157">
        <v>45978</v>
      </c>
      <c r="C4063" s="158" t="s">
        <v>916</v>
      </c>
      <c r="D4063" s="159" t="str">
        <f>VLOOKUP(Sales[[#This Row],[Customer ID]],Customer[#All],2,0)</f>
        <v>Ankit Singh</v>
      </c>
      <c r="E4063" s="158" t="s">
        <v>332</v>
      </c>
      <c r="F4063" s="158" t="str">
        <f>VLOOKUP(Sales[[#This Row],[Product ID]],Product[#All],2,0)</f>
        <v>Samsung Monitor</v>
      </c>
      <c r="G4063" s="159">
        <v>7</v>
      </c>
      <c r="H4063" s="160">
        <f>VLOOKUP(Sales[[#This Row],[Product ID]],Product[#All],7,0)</f>
        <v>27730</v>
      </c>
      <c r="I4063" s="160">
        <f>Sales[[#This Row],[Selling Rate]]*Sales[[#This Row],[Qty]]</f>
        <v>194110</v>
      </c>
      <c r="J4063" s="43">
        <v>0.05</v>
      </c>
      <c r="K4063" s="44">
        <f>Sales[[#This Row],[Gross Amount]]*Sales[[#This Row],[Disc %]]</f>
        <v>9705.5</v>
      </c>
      <c r="L4063" s="43">
        <v>0.18</v>
      </c>
      <c r="M4063" s="44">
        <f>(Sales[[#This Row],[Gross Amount]]-Sales[[#This Row],[Disc. Amt.]])*Sales[[#This Row],[GST %]]</f>
        <v>33192.81</v>
      </c>
      <c r="N4063" s="161">
        <f>Sales[[#This Row],[Gross Amount]]-Sales[[#This Row],[Disc. Amt.]]+Sales[[#This Row],[GST Amount]]</f>
        <v>217597.31</v>
      </c>
      <c r="O4063" s="158" t="s">
        <v>3569</v>
      </c>
      <c r="P4063" s="158" t="s">
        <v>3562</v>
      </c>
      <c r="Q4063" s="160">
        <f>IF(Sales[[#This Row],[Status]]="Cancelled",0,Sales[[#This Row],[Qty]])</f>
        <v>7</v>
      </c>
      <c r="R4063" s="161">
        <f>IF(Sales[[#This Row],[Status]]="Cancelled",0,Sales[[#This Row],[Total Amount]])</f>
        <v>217597.31</v>
      </c>
      <c r="S4063" s="162">
        <f>SUM(Sales[Net Amount])</f>
        <v>406839287.73200053</v>
      </c>
    </row>
    <row r="4064" spans="1:19" ht="18.75" x14ac:dyDescent="0.25">
      <c r="A4064" s="163" t="s">
        <v>7742</v>
      </c>
      <c r="B4064" s="164">
        <v>45978</v>
      </c>
      <c r="C4064" s="34" t="s">
        <v>858</v>
      </c>
      <c r="D4064" s="53" t="str">
        <f>VLOOKUP(Sales[[#This Row],[Customer ID]],Customer[#All],2,0)</f>
        <v>Neha Sharma</v>
      </c>
      <c r="E4064" s="34" t="s">
        <v>441</v>
      </c>
      <c r="F4064" s="34" t="str">
        <f>VLOOKUP(Sales[[#This Row],[Product ID]],Product[#All],2,0)</f>
        <v>Jbl Headset</v>
      </c>
      <c r="G4064" s="53">
        <v>2</v>
      </c>
      <c r="H4064" s="165">
        <f>VLOOKUP(Sales[[#This Row],[Product ID]],Product[#All],7,0)</f>
        <v>3650</v>
      </c>
      <c r="I4064" s="165">
        <f>Sales[[#This Row],[Selling Rate]]*Sales[[#This Row],[Qty]]</f>
        <v>7300</v>
      </c>
      <c r="J4064" s="45">
        <v>0.12</v>
      </c>
      <c r="K4064" s="46">
        <f>Sales[[#This Row],[Gross Amount]]*Sales[[#This Row],[Disc %]]</f>
        <v>876</v>
      </c>
      <c r="L4064" s="43">
        <v>0.18</v>
      </c>
      <c r="M4064" s="46">
        <f>(Sales[[#This Row],[Gross Amount]]-Sales[[#This Row],[Disc. Amt.]])*Sales[[#This Row],[GST %]]</f>
        <v>1156.32</v>
      </c>
      <c r="N4064" s="161">
        <f>Sales[[#This Row],[Gross Amount]]-Sales[[#This Row],[Disc. Amt.]]+Sales[[#This Row],[GST Amount]]</f>
        <v>7580.32</v>
      </c>
      <c r="O4064" s="34" t="s">
        <v>3569</v>
      </c>
      <c r="P4064" s="34" t="s">
        <v>3562</v>
      </c>
      <c r="Q4064" s="165">
        <f>IF(Sales[[#This Row],[Status]]="Cancelled",0,Sales[[#This Row],[Qty]])</f>
        <v>2</v>
      </c>
      <c r="R4064" s="166">
        <f>IF(Sales[[#This Row],[Status]]="Cancelled",0,Sales[[#This Row],[Total Amount]])</f>
        <v>7580.32</v>
      </c>
      <c r="S4064" s="162">
        <f>SUM(Sales[Net Amount])</f>
        <v>406839287.73200053</v>
      </c>
    </row>
    <row r="4065" spans="1:19" ht="18.75" x14ac:dyDescent="0.25">
      <c r="A4065" s="156" t="s">
        <v>7743</v>
      </c>
      <c r="B4065" s="157">
        <v>45978</v>
      </c>
      <c r="C4065" s="158" t="s">
        <v>933</v>
      </c>
      <c r="D4065" s="159" t="str">
        <f>VLOOKUP(Sales[[#This Row],[Customer ID]],Customer[#All],2,0)</f>
        <v>Vikas Verma</v>
      </c>
      <c r="E4065" s="158" t="s">
        <v>322</v>
      </c>
      <c r="F4065" s="158" t="str">
        <f>VLOOKUP(Sales[[#This Row],[Product ID]],Product[#All],2,0)</f>
        <v>Jbl Speaker</v>
      </c>
      <c r="G4065" s="159">
        <v>2</v>
      </c>
      <c r="H4065" s="160">
        <f>VLOOKUP(Sales[[#This Row],[Product ID]],Product[#All],7,0)</f>
        <v>10370</v>
      </c>
      <c r="I4065" s="160">
        <f>Sales[[#This Row],[Selling Rate]]*Sales[[#This Row],[Qty]]</f>
        <v>20740</v>
      </c>
      <c r="J4065" s="43">
        <v>0.12</v>
      </c>
      <c r="K4065" s="44">
        <f>Sales[[#This Row],[Gross Amount]]*Sales[[#This Row],[Disc %]]</f>
        <v>2488.7999999999997</v>
      </c>
      <c r="L4065" s="43">
        <v>0.18</v>
      </c>
      <c r="M4065" s="44">
        <f>(Sales[[#This Row],[Gross Amount]]-Sales[[#This Row],[Disc. Amt.]])*Sales[[#This Row],[GST %]]</f>
        <v>3285.2159999999999</v>
      </c>
      <c r="N4065" s="161">
        <f>Sales[[#This Row],[Gross Amount]]-Sales[[#This Row],[Disc. Amt.]]+Sales[[#This Row],[GST Amount]]</f>
        <v>21536.416000000001</v>
      </c>
      <c r="O4065" s="158" t="s">
        <v>3569</v>
      </c>
      <c r="P4065" s="158" t="s">
        <v>3562</v>
      </c>
      <c r="Q4065" s="160">
        <f>IF(Sales[[#This Row],[Status]]="Cancelled",0,Sales[[#This Row],[Qty]])</f>
        <v>2</v>
      </c>
      <c r="R4065" s="161">
        <f>IF(Sales[[#This Row],[Status]]="Cancelled",0,Sales[[#This Row],[Total Amount]])</f>
        <v>21536.416000000001</v>
      </c>
      <c r="S4065" s="162">
        <f>SUM(Sales[Net Amount])</f>
        <v>406839287.73200053</v>
      </c>
    </row>
    <row r="4066" spans="1:19" ht="18.75" x14ac:dyDescent="0.25">
      <c r="A4066" s="163" t="s">
        <v>7744</v>
      </c>
      <c r="B4066" s="164">
        <v>45978</v>
      </c>
      <c r="C4066" s="34" t="s">
        <v>745</v>
      </c>
      <c r="D4066" s="53" t="str">
        <f>VLOOKUP(Sales[[#This Row],[Customer ID]],Customer[#All],2,0)</f>
        <v>Priya Kumar</v>
      </c>
      <c r="E4066" s="34" t="s">
        <v>52</v>
      </c>
      <c r="F4066" s="34" t="str">
        <f>VLOOKUP(Sales[[#This Row],[Product ID]],Product[#All],2,0)</f>
        <v>HP Power Adapter</v>
      </c>
      <c r="G4066" s="53">
        <v>6</v>
      </c>
      <c r="H4066" s="165">
        <f>VLOOKUP(Sales[[#This Row],[Product ID]],Product[#All],7,0)</f>
        <v>4510</v>
      </c>
      <c r="I4066" s="165">
        <f>Sales[[#This Row],[Selling Rate]]*Sales[[#This Row],[Qty]]</f>
        <v>27060</v>
      </c>
      <c r="J4066" s="45">
        <v>0.05</v>
      </c>
      <c r="K4066" s="46">
        <f>Sales[[#This Row],[Gross Amount]]*Sales[[#This Row],[Disc %]]</f>
        <v>1353</v>
      </c>
      <c r="L4066" s="43">
        <v>0.18</v>
      </c>
      <c r="M4066" s="46">
        <f>(Sales[[#This Row],[Gross Amount]]-Sales[[#This Row],[Disc. Amt.]])*Sales[[#This Row],[GST %]]</f>
        <v>4627.26</v>
      </c>
      <c r="N4066" s="161">
        <f>Sales[[#This Row],[Gross Amount]]-Sales[[#This Row],[Disc. Amt.]]+Sales[[#This Row],[GST Amount]]</f>
        <v>30334.260000000002</v>
      </c>
      <c r="O4066" s="34" t="s">
        <v>3569</v>
      </c>
      <c r="P4066" s="34" t="s">
        <v>3562</v>
      </c>
      <c r="Q4066" s="165">
        <f>IF(Sales[[#This Row],[Status]]="Cancelled",0,Sales[[#This Row],[Qty]])</f>
        <v>6</v>
      </c>
      <c r="R4066" s="166">
        <f>IF(Sales[[#This Row],[Status]]="Cancelled",0,Sales[[#This Row],[Total Amount]])</f>
        <v>30334.260000000002</v>
      </c>
      <c r="S4066" s="162">
        <f>SUM(Sales[Net Amount])</f>
        <v>406839287.73200053</v>
      </c>
    </row>
    <row r="4067" spans="1:19" ht="18.75" x14ac:dyDescent="0.25">
      <c r="A4067" s="156" t="s">
        <v>7745</v>
      </c>
      <c r="B4067" s="157">
        <v>45978</v>
      </c>
      <c r="C4067" s="158" t="s">
        <v>792</v>
      </c>
      <c r="D4067" s="159" t="str">
        <f>VLOOKUP(Sales[[#This Row],[Customer ID]],Customer[#All],2,0)</f>
        <v>Pooja Sharma</v>
      </c>
      <c r="E4067" s="158" t="s">
        <v>228</v>
      </c>
      <c r="F4067" s="158" t="str">
        <f>VLOOKUP(Sales[[#This Row],[Product ID]],Product[#All],2,0)</f>
        <v>Samsung Monitor</v>
      </c>
      <c r="G4067" s="159">
        <v>2</v>
      </c>
      <c r="H4067" s="160">
        <f>VLOOKUP(Sales[[#This Row],[Product ID]],Product[#All],7,0)</f>
        <v>29600</v>
      </c>
      <c r="I4067" s="160">
        <f>Sales[[#This Row],[Selling Rate]]*Sales[[#This Row],[Qty]]</f>
        <v>59200</v>
      </c>
      <c r="J4067" s="43">
        <v>0</v>
      </c>
      <c r="K4067" s="44">
        <f>Sales[[#This Row],[Gross Amount]]*Sales[[#This Row],[Disc %]]</f>
        <v>0</v>
      </c>
      <c r="L4067" s="43">
        <v>0.18</v>
      </c>
      <c r="M4067" s="44">
        <f>(Sales[[#This Row],[Gross Amount]]-Sales[[#This Row],[Disc. Amt.]])*Sales[[#This Row],[GST %]]</f>
        <v>10656</v>
      </c>
      <c r="N4067" s="161">
        <f>Sales[[#This Row],[Gross Amount]]-Sales[[#This Row],[Disc. Amt.]]+Sales[[#This Row],[GST Amount]]</f>
        <v>69856</v>
      </c>
      <c r="O4067" s="158" t="s">
        <v>8876</v>
      </c>
      <c r="P4067" s="158" t="s">
        <v>3562</v>
      </c>
      <c r="Q4067" s="160">
        <f>IF(Sales[[#This Row],[Status]]="Cancelled",0,Sales[[#This Row],[Qty]])</f>
        <v>2</v>
      </c>
      <c r="R4067" s="161">
        <f>IF(Sales[[#This Row],[Status]]="Cancelled",0,Sales[[#This Row],[Total Amount]])</f>
        <v>69856</v>
      </c>
      <c r="S4067" s="162">
        <f>SUM(Sales[Net Amount])</f>
        <v>406839287.73200053</v>
      </c>
    </row>
    <row r="4068" spans="1:19" ht="18.75" x14ac:dyDescent="0.25">
      <c r="A4068" s="163" t="s">
        <v>7746</v>
      </c>
      <c r="B4068" s="164">
        <v>45978</v>
      </c>
      <c r="C4068" s="34" t="s">
        <v>808</v>
      </c>
      <c r="D4068" s="53" t="str">
        <f>VLOOKUP(Sales[[#This Row],[Customer ID]],Customer[#All],2,0)</f>
        <v>Rahul Singh</v>
      </c>
      <c r="E4068" s="34" t="s">
        <v>148</v>
      </c>
      <c r="F4068" s="34" t="str">
        <f>VLOOKUP(Sales[[#This Row],[Product ID]],Product[#All],2,0)</f>
        <v>Dell Monitor</v>
      </c>
      <c r="G4068" s="53">
        <v>4</v>
      </c>
      <c r="H4068" s="165">
        <f>VLOOKUP(Sales[[#This Row],[Product ID]],Product[#All],7,0)</f>
        <v>20170</v>
      </c>
      <c r="I4068" s="165">
        <f>Sales[[#This Row],[Selling Rate]]*Sales[[#This Row],[Qty]]</f>
        <v>80680</v>
      </c>
      <c r="J4068" s="45">
        <v>0</v>
      </c>
      <c r="K4068" s="46">
        <f>Sales[[#This Row],[Gross Amount]]*Sales[[#This Row],[Disc %]]</f>
        <v>0</v>
      </c>
      <c r="L4068" s="43">
        <v>0.18</v>
      </c>
      <c r="M4068" s="46">
        <f>(Sales[[#This Row],[Gross Amount]]-Sales[[#This Row],[Disc. Amt.]])*Sales[[#This Row],[GST %]]</f>
        <v>14522.4</v>
      </c>
      <c r="N4068" s="161">
        <f>Sales[[#This Row],[Gross Amount]]-Sales[[#This Row],[Disc. Amt.]]+Sales[[#This Row],[GST Amount]]</f>
        <v>95202.4</v>
      </c>
      <c r="O4068" s="34" t="s">
        <v>3561</v>
      </c>
      <c r="P4068" s="34" t="s">
        <v>3562</v>
      </c>
      <c r="Q4068" s="165">
        <f>IF(Sales[[#This Row],[Status]]="Cancelled",0,Sales[[#This Row],[Qty]])</f>
        <v>4</v>
      </c>
      <c r="R4068" s="166">
        <f>IF(Sales[[#This Row],[Status]]="Cancelled",0,Sales[[#This Row],[Total Amount]])</f>
        <v>95202.4</v>
      </c>
      <c r="S4068" s="162">
        <f>SUM(Sales[Net Amount])</f>
        <v>406839287.73200053</v>
      </c>
    </row>
    <row r="4069" spans="1:19" ht="18.75" x14ac:dyDescent="0.25">
      <c r="A4069" s="156" t="s">
        <v>7747</v>
      </c>
      <c r="B4069" s="157">
        <v>45978</v>
      </c>
      <c r="C4069" s="158" t="s">
        <v>886</v>
      </c>
      <c r="D4069" s="159" t="str">
        <f>VLOOKUP(Sales[[#This Row],[Customer ID]],Customer[#All],2,0)</f>
        <v>Sunita Gupta</v>
      </c>
      <c r="E4069" s="158" t="s">
        <v>192</v>
      </c>
      <c r="F4069" s="158" t="str">
        <f>VLOOKUP(Sales[[#This Row],[Product ID]],Product[#All],2,0)</f>
        <v>HP Laptop</v>
      </c>
      <c r="G4069" s="159">
        <v>3</v>
      </c>
      <c r="H4069" s="160">
        <f>VLOOKUP(Sales[[#This Row],[Product ID]],Product[#All],7,0)</f>
        <v>59870</v>
      </c>
      <c r="I4069" s="160">
        <f>Sales[[#This Row],[Selling Rate]]*Sales[[#This Row],[Qty]]</f>
        <v>179610</v>
      </c>
      <c r="J4069" s="43">
        <v>0</v>
      </c>
      <c r="K4069" s="44">
        <f>Sales[[#This Row],[Gross Amount]]*Sales[[#This Row],[Disc %]]</f>
        <v>0</v>
      </c>
      <c r="L4069" s="43">
        <v>0.18</v>
      </c>
      <c r="M4069" s="44">
        <f>(Sales[[#This Row],[Gross Amount]]-Sales[[#This Row],[Disc. Amt.]])*Sales[[#This Row],[GST %]]</f>
        <v>32329.8</v>
      </c>
      <c r="N4069" s="161">
        <f>Sales[[#This Row],[Gross Amount]]-Sales[[#This Row],[Disc. Amt.]]+Sales[[#This Row],[GST Amount]]</f>
        <v>211939.8</v>
      </c>
      <c r="O4069" s="158" t="s">
        <v>8876</v>
      </c>
      <c r="P4069" s="158" t="s">
        <v>1040</v>
      </c>
      <c r="Q4069" s="160">
        <f>IF(Sales[[#This Row],[Status]]="Cancelled",0,Sales[[#This Row],[Qty]])</f>
        <v>0</v>
      </c>
      <c r="R4069" s="161">
        <f>IF(Sales[[#This Row],[Status]]="Cancelled",0,Sales[[#This Row],[Total Amount]])</f>
        <v>0</v>
      </c>
      <c r="S4069" s="162">
        <f>SUM(Sales[Net Amount])</f>
        <v>406839287.73200053</v>
      </c>
    </row>
    <row r="4070" spans="1:19" ht="18.75" x14ac:dyDescent="0.25">
      <c r="A4070" s="163" t="s">
        <v>7748</v>
      </c>
      <c r="B4070" s="164">
        <v>45978</v>
      </c>
      <c r="C4070" s="34" t="s">
        <v>856</v>
      </c>
      <c r="D4070" s="53" t="str">
        <f>VLOOKUP(Sales[[#This Row],[Customer ID]],Customer[#All],2,0)</f>
        <v>Sunita Verma</v>
      </c>
      <c r="E4070" s="34" t="s">
        <v>343</v>
      </c>
      <c r="F4070" s="34" t="str">
        <f>VLOOKUP(Sales[[#This Row],[Product ID]],Product[#All],2,0)</f>
        <v>Portronics USB Cable</v>
      </c>
      <c r="G4070" s="53">
        <v>3</v>
      </c>
      <c r="H4070" s="165">
        <f>VLOOKUP(Sales[[#This Row],[Product ID]],Product[#All],7,0)</f>
        <v>780</v>
      </c>
      <c r="I4070" s="165">
        <f>Sales[[#This Row],[Selling Rate]]*Sales[[#This Row],[Qty]]</f>
        <v>2340</v>
      </c>
      <c r="J4070" s="45">
        <v>0.1</v>
      </c>
      <c r="K4070" s="46">
        <f>Sales[[#This Row],[Gross Amount]]*Sales[[#This Row],[Disc %]]</f>
        <v>234</v>
      </c>
      <c r="L4070" s="43">
        <v>0.18</v>
      </c>
      <c r="M4070" s="46">
        <f>(Sales[[#This Row],[Gross Amount]]-Sales[[#This Row],[Disc. Amt.]])*Sales[[#This Row],[GST %]]</f>
        <v>379.08</v>
      </c>
      <c r="N4070" s="161">
        <f>Sales[[#This Row],[Gross Amount]]-Sales[[#This Row],[Disc. Amt.]]+Sales[[#This Row],[GST Amount]]</f>
        <v>2485.08</v>
      </c>
      <c r="O4070" s="34" t="s">
        <v>8876</v>
      </c>
      <c r="P4070" s="34" t="s">
        <v>3562</v>
      </c>
      <c r="Q4070" s="165">
        <f>IF(Sales[[#This Row],[Status]]="Cancelled",0,Sales[[#This Row],[Qty]])</f>
        <v>3</v>
      </c>
      <c r="R4070" s="166">
        <f>IF(Sales[[#This Row],[Status]]="Cancelled",0,Sales[[#This Row],[Total Amount]])</f>
        <v>2485.08</v>
      </c>
      <c r="S4070" s="162">
        <f>SUM(Sales[Net Amount])</f>
        <v>406839287.73200053</v>
      </c>
    </row>
    <row r="4071" spans="1:19" ht="18.75" x14ac:dyDescent="0.25">
      <c r="A4071" s="156" t="s">
        <v>7749</v>
      </c>
      <c r="B4071" s="157">
        <v>45979</v>
      </c>
      <c r="C4071" s="158" t="s">
        <v>794</v>
      </c>
      <c r="D4071" s="159" t="str">
        <f>VLOOKUP(Sales[[#This Row],[Customer ID]],Customer[#All],2,0)</f>
        <v>Sunita Sharma</v>
      </c>
      <c r="E4071" s="158" t="s">
        <v>512</v>
      </c>
      <c r="F4071" s="158" t="str">
        <f>VLOOKUP(Sales[[#This Row],[Product ID]],Product[#All],2,0)</f>
        <v>Logitech Webcam</v>
      </c>
      <c r="G4071" s="159">
        <v>7</v>
      </c>
      <c r="H4071" s="160">
        <f>VLOOKUP(Sales[[#This Row],[Product ID]],Product[#All],7,0)</f>
        <v>5800</v>
      </c>
      <c r="I4071" s="160">
        <f>Sales[[#This Row],[Selling Rate]]*Sales[[#This Row],[Qty]]</f>
        <v>40600</v>
      </c>
      <c r="J4071" s="43">
        <v>0.05</v>
      </c>
      <c r="K4071" s="44">
        <f>Sales[[#This Row],[Gross Amount]]*Sales[[#This Row],[Disc %]]</f>
        <v>2030</v>
      </c>
      <c r="L4071" s="43">
        <v>0.18</v>
      </c>
      <c r="M4071" s="44">
        <f>(Sales[[#This Row],[Gross Amount]]-Sales[[#This Row],[Disc. Amt.]])*Sales[[#This Row],[GST %]]</f>
        <v>6942.5999999999995</v>
      </c>
      <c r="N4071" s="161">
        <f>Sales[[#This Row],[Gross Amount]]-Sales[[#This Row],[Disc. Amt.]]+Sales[[#This Row],[GST Amount]]</f>
        <v>45512.6</v>
      </c>
      <c r="O4071" s="158" t="s">
        <v>3569</v>
      </c>
      <c r="P4071" s="158" t="s">
        <v>3562</v>
      </c>
      <c r="Q4071" s="160">
        <f>IF(Sales[[#This Row],[Status]]="Cancelled",0,Sales[[#This Row],[Qty]])</f>
        <v>7</v>
      </c>
      <c r="R4071" s="161">
        <f>IF(Sales[[#This Row],[Status]]="Cancelled",0,Sales[[#This Row],[Total Amount]])</f>
        <v>45512.6</v>
      </c>
      <c r="S4071" s="162">
        <f>SUM(Sales[Net Amount])</f>
        <v>406839287.73200053</v>
      </c>
    </row>
    <row r="4072" spans="1:19" ht="18.75" x14ac:dyDescent="0.25">
      <c r="A4072" s="163" t="s">
        <v>7750</v>
      </c>
      <c r="B4072" s="164">
        <v>45979</v>
      </c>
      <c r="C4072" s="34" t="s">
        <v>675</v>
      </c>
      <c r="D4072" s="53" t="str">
        <f>VLOOKUP(Sales[[#This Row],[Customer ID]],Customer[#All],2,0)</f>
        <v>Rahul Gupta</v>
      </c>
      <c r="E4072" s="34" t="s">
        <v>367</v>
      </c>
      <c r="F4072" s="34" t="str">
        <f>VLOOKUP(Sales[[#This Row],[Product ID]],Product[#All],2,0)</f>
        <v>Jbl Speaker</v>
      </c>
      <c r="G4072" s="53">
        <v>3</v>
      </c>
      <c r="H4072" s="165">
        <f>VLOOKUP(Sales[[#This Row],[Product ID]],Product[#All],7,0)</f>
        <v>4880</v>
      </c>
      <c r="I4072" s="165">
        <f>Sales[[#This Row],[Selling Rate]]*Sales[[#This Row],[Qty]]</f>
        <v>14640</v>
      </c>
      <c r="J4072" s="45">
        <v>0.1</v>
      </c>
      <c r="K4072" s="46">
        <f>Sales[[#This Row],[Gross Amount]]*Sales[[#This Row],[Disc %]]</f>
        <v>1464</v>
      </c>
      <c r="L4072" s="43">
        <v>0.18</v>
      </c>
      <c r="M4072" s="46">
        <f>(Sales[[#This Row],[Gross Amount]]-Sales[[#This Row],[Disc. Amt.]])*Sales[[#This Row],[GST %]]</f>
        <v>2371.6799999999998</v>
      </c>
      <c r="N4072" s="161">
        <f>Sales[[#This Row],[Gross Amount]]-Sales[[#This Row],[Disc. Amt.]]+Sales[[#This Row],[GST Amount]]</f>
        <v>15547.68</v>
      </c>
      <c r="O4072" s="34" t="s">
        <v>3569</v>
      </c>
      <c r="P4072" s="34" t="s">
        <v>3562</v>
      </c>
      <c r="Q4072" s="165">
        <f>IF(Sales[[#This Row],[Status]]="Cancelled",0,Sales[[#This Row],[Qty]])</f>
        <v>3</v>
      </c>
      <c r="R4072" s="166">
        <f>IF(Sales[[#This Row],[Status]]="Cancelled",0,Sales[[#This Row],[Total Amount]])</f>
        <v>15547.68</v>
      </c>
      <c r="S4072" s="162">
        <f>SUM(Sales[Net Amount])</f>
        <v>406839287.73200053</v>
      </c>
    </row>
    <row r="4073" spans="1:19" ht="18.75" x14ac:dyDescent="0.25">
      <c r="A4073" s="156" t="s">
        <v>7751</v>
      </c>
      <c r="B4073" s="157">
        <v>45979</v>
      </c>
      <c r="C4073" s="158" t="s">
        <v>881</v>
      </c>
      <c r="D4073" s="159" t="str">
        <f>VLOOKUP(Sales[[#This Row],[Customer ID]],Customer[#All],2,0)</f>
        <v>Vikas Verma</v>
      </c>
      <c r="E4073" s="158" t="s">
        <v>371</v>
      </c>
      <c r="F4073" s="158" t="str">
        <f>VLOOKUP(Sales[[#This Row],[Product ID]],Product[#All],2,0)</f>
        <v>Portronics USB Cable</v>
      </c>
      <c r="G4073" s="159">
        <v>4</v>
      </c>
      <c r="H4073" s="160">
        <f>VLOOKUP(Sales[[#This Row],[Product ID]],Product[#All],7,0)</f>
        <v>440</v>
      </c>
      <c r="I4073" s="160">
        <f>Sales[[#This Row],[Selling Rate]]*Sales[[#This Row],[Qty]]</f>
        <v>1760</v>
      </c>
      <c r="J4073" s="43">
        <v>0.05</v>
      </c>
      <c r="K4073" s="44">
        <f>Sales[[#This Row],[Gross Amount]]*Sales[[#This Row],[Disc %]]</f>
        <v>88</v>
      </c>
      <c r="L4073" s="43">
        <v>0.18</v>
      </c>
      <c r="M4073" s="44">
        <f>(Sales[[#This Row],[Gross Amount]]-Sales[[#This Row],[Disc. Amt.]])*Sales[[#This Row],[GST %]]</f>
        <v>300.95999999999998</v>
      </c>
      <c r="N4073" s="161">
        <f>Sales[[#This Row],[Gross Amount]]-Sales[[#This Row],[Disc. Amt.]]+Sales[[#This Row],[GST Amount]]</f>
        <v>1972.96</v>
      </c>
      <c r="O4073" s="158" t="s">
        <v>8876</v>
      </c>
      <c r="P4073" s="158" t="s">
        <v>3562</v>
      </c>
      <c r="Q4073" s="160">
        <f>IF(Sales[[#This Row],[Status]]="Cancelled",0,Sales[[#This Row],[Qty]])</f>
        <v>4</v>
      </c>
      <c r="R4073" s="161">
        <f>IF(Sales[[#This Row],[Status]]="Cancelled",0,Sales[[#This Row],[Total Amount]])</f>
        <v>1972.96</v>
      </c>
      <c r="S4073" s="162">
        <f>SUM(Sales[Net Amount])</f>
        <v>406839287.73200053</v>
      </c>
    </row>
    <row r="4074" spans="1:19" ht="18.75" x14ac:dyDescent="0.25">
      <c r="A4074" s="163" t="s">
        <v>7752</v>
      </c>
      <c r="B4074" s="164">
        <v>45979</v>
      </c>
      <c r="C4074" s="34" t="s">
        <v>809</v>
      </c>
      <c r="D4074" s="53" t="str">
        <f>VLOOKUP(Sales[[#This Row],[Customer ID]],Customer[#All],2,0)</f>
        <v>Priya Patel</v>
      </c>
      <c r="E4074" s="34" t="s">
        <v>362</v>
      </c>
      <c r="F4074" s="34" t="str">
        <f>VLOOKUP(Sales[[#This Row],[Product ID]],Product[#All],2,0)</f>
        <v>Dell Power Adapter</v>
      </c>
      <c r="G4074" s="53">
        <v>8</v>
      </c>
      <c r="H4074" s="165">
        <f>VLOOKUP(Sales[[#This Row],[Product ID]],Product[#All],7,0)</f>
        <v>4050</v>
      </c>
      <c r="I4074" s="165">
        <f>Sales[[#This Row],[Selling Rate]]*Sales[[#This Row],[Qty]]</f>
        <v>32400</v>
      </c>
      <c r="J4074" s="45">
        <v>0.05</v>
      </c>
      <c r="K4074" s="46">
        <f>Sales[[#This Row],[Gross Amount]]*Sales[[#This Row],[Disc %]]</f>
        <v>1620</v>
      </c>
      <c r="L4074" s="43">
        <v>0.18</v>
      </c>
      <c r="M4074" s="46">
        <f>(Sales[[#This Row],[Gross Amount]]-Sales[[#This Row],[Disc. Amt.]])*Sales[[#This Row],[GST %]]</f>
        <v>5540.4</v>
      </c>
      <c r="N4074" s="161">
        <f>Sales[[#This Row],[Gross Amount]]-Sales[[#This Row],[Disc. Amt.]]+Sales[[#This Row],[GST Amount]]</f>
        <v>36320.400000000001</v>
      </c>
      <c r="O4074" s="34" t="s">
        <v>3561</v>
      </c>
      <c r="P4074" s="34" t="s">
        <v>3562</v>
      </c>
      <c r="Q4074" s="165">
        <f>IF(Sales[[#This Row],[Status]]="Cancelled",0,Sales[[#This Row],[Qty]])</f>
        <v>8</v>
      </c>
      <c r="R4074" s="166">
        <f>IF(Sales[[#This Row],[Status]]="Cancelled",0,Sales[[#This Row],[Total Amount]])</f>
        <v>36320.400000000001</v>
      </c>
      <c r="S4074" s="162">
        <f>SUM(Sales[Net Amount])</f>
        <v>406839287.73200053</v>
      </c>
    </row>
    <row r="4075" spans="1:19" ht="18.75" x14ac:dyDescent="0.25">
      <c r="A4075" s="156" t="s">
        <v>7753</v>
      </c>
      <c r="B4075" s="157">
        <v>45979</v>
      </c>
      <c r="C4075" s="158" t="s">
        <v>712</v>
      </c>
      <c r="D4075" s="159" t="str">
        <f>VLOOKUP(Sales[[#This Row],[Customer ID]],Customer[#All],2,0)</f>
        <v>Sahil Verma</v>
      </c>
      <c r="E4075" s="158" t="s">
        <v>132</v>
      </c>
      <c r="F4075" s="158" t="str">
        <f>VLOOKUP(Sales[[#This Row],[Product ID]],Product[#All],2,0)</f>
        <v>Jbl Headset</v>
      </c>
      <c r="G4075" s="159">
        <v>5</v>
      </c>
      <c r="H4075" s="160">
        <f>VLOOKUP(Sales[[#This Row],[Product ID]],Product[#All],7,0)</f>
        <v>7470</v>
      </c>
      <c r="I4075" s="160">
        <f>Sales[[#This Row],[Selling Rate]]*Sales[[#This Row],[Qty]]</f>
        <v>37350</v>
      </c>
      <c r="J4075" s="43">
        <v>0.05</v>
      </c>
      <c r="K4075" s="44">
        <f>Sales[[#This Row],[Gross Amount]]*Sales[[#This Row],[Disc %]]</f>
        <v>1867.5</v>
      </c>
      <c r="L4075" s="43">
        <v>0.18</v>
      </c>
      <c r="M4075" s="44">
        <f>(Sales[[#This Row],[Gross Amount]]-Sales[[#This Row],[Disc. Amt.]])*Sales[[#This Row],[GST %]]</f>
        <v>6386.8499999999995</v>
      </c>
      <c r="N4075" s="161">
        <f>Sales[[#This Row],[Gross Amount]]-Sales[[#This Row],[Disc. Amt.]]+Sales[[#This Row],[GST Amount]]</f>
        <v>41869.35</v>
      </c>
      <c r="O4075" s="158" t="s">
        <v>3561</v>
      </c>
      <c r="P4075" s="158" t="s">
        <v>3562</v>
      </c>
      <c r="Q4075" s="160">
        <f>IF(Sales[[#This Row],[Status]]="Cancelled",0,Sales[[#This Row],[Qty]])</f>
        <v>5</v>
      </c>
      <c r="R4075" s="161">
        <f>IF(Sales[[#This Row],[Status]]="Cancelled",0,Sales[[#This Row],[Total Amount]])</f>
        <v>41869.35</v>
      </c>
      <c r="S4075" s="162">
        <f>SUM(Sales[Net Amount])</f>
        <v>406839287.73200053</v>
      </c>
    </row>
    <row r="4076" spans="1:19" ht="18.75" x14ac:dyDescent="0.25">
      <c r="A4076" s="163" t="s">
        <v>7754</v>
      </c>
      <c r="B4076" s="164">
        <v>45979</v>
      </c>
      <c r="C4076" s="34" t="s">
        <v>906</v>
      </c>
      <c r="D4076" s="53" t="str">
        <f>VLOOKUP(Sales[[#This Row],[Customer ID]],Customer[#All],2,0)</f>
        <v>Ankit Sharma</v>
      </c>
      <c r="E4076" s="34" t="s">
        <v>65</v>
      </c>
      <c r="F4076" s="34" t="str">
        <f>VLOOKUP(Sales[[#This Row],[Product ID]],Product[#All],2,0)</f>
        <v>Dell Power Adapter</v>
      </c>
      <c r="G4076" s="53">
        <v>4</v>
      </c>
      <c r="H4076" s="165">
        <f>VLOOKUP(Sales[[#This Row],[Product ID]],Product[#All],7,0)</f>
        <v>2070</v>
      </c>
      <c r="I4076" s="165">
        <f>Sales[[#This Row],[Selling Rate]]*Sales[[#This Row],[Qty]]</f>
        <v>8280</v>
      </c>
      <c r="J4076" s="45">
        <v>0.15</v>
      </c>
      <c r="K4076" s="46">
        <f>Sales[[#This Row],[Gross Amount]]*Sales[[#This Row],[Disc %]]</f>
        <v>1242</v>
      </c>
      <c r="L4076" s="43">
        <v>0.18</v>
      </c>
      <c r="M4076" s="46">
        <f>(Sales[[#This Row],[Gross Amount]]-Sales[[#This Row],[Disc. Amt.]])*Sales[[#This Row],[GST %]]</f>
        <v>1266.8399999999999</v>
      </c>
      <c r="N4076" s="161">
        <f>Sales[[#This Row],[Gross Amount]]-Sales[[#This Row],[Disc. Amt.]]+Sales[[#This Row],[GST Amount]]</f>
        <v>8304.84</v>
      </c>
      <c r="O4076" s="34" t="s">
        <v>3561</v>
      </c>
      <c r="P4076" s="34" t="s">
        <v>3562</v>
      </c>
      <c r="Q4076" s="165">
        <f>IF(Sales[[#This Row],[Status]]="Cancelled",0,Sales[[#This Row],[Qty]])</f>
        <v>4</v>
      </c>
      <c r="R4076" s="166">
        <f>IF(Sales[[#This Row],[Status]]="Cancelled",0,Sales[[#This Row],[Total Amount]])</f>
        <v>8304.84</v>
      </c>
      <c r="S4076" s="162">
        <f>SUM(Sales[Net Amount])</f>
        <v>406839287.73200053</v>
      </c>
    </row>
    <row r="4077" spans="1:19" ht="18.75" x14ac:dyDescent="0.25">
      <c r="A4077" s="156" t="s">
        <v>7755</v>
      </c>
      <c r="B4077" s="157">
        <v>45979</v>
      </c>
      <c r="C4077" s="158" t="s">
        <v>888</v>
      </c>
      <c r="D4077" s="159" t="str">
        <f>VLOOKUP(Sales[[#This Row],[Customer ID]],Customer[#All],2,0)</f>
        <v>Rahul Patel</v>
      </c>
      <c r="E4077" s="158" t="s">
        <v>459</v>
      </c>
      <c r="F4077" s="158" t="str">
        <f>VLOOKUP(Sales[[#This Row],[Product ID]],Product[#All],2,0)</f>
        <v>Logitech Mouse</v>
      </c>
      <c r="G4077" s="159">
        <v>2</v>
      </c>
      <c r="H4077" s="160">
        <f>VLOOKUP(Sales[[#This Row],[Product ID]],Product[#All],7,0)</f>
        <v>1680</v>
      </c>
      <c r="I4077" s="160">
        <f>Sales[[#This Row],[Selling Rate]]*Sales[[#This Row],[Qty]]</f>
        <v>3360</v>
      </c>
      <c r="J4077" s="43">
        <v>0.15</v>
      </c>
      <c r="K4077" s="44">
        <f>Sales[[#This Row],[Gross Amount]]*Sales[[#This Row],[Disc %]]</f>
        <v>504</v>
      </c>
      <c r="L4077" s="43">
        <v>0.18</v>
      </c>
      <c r="M4077" s="44">
        <f>(Sales[[#This Row],[Gross Amount]]-Sales[[#This Row],[Disc. Amt.]])*Sales[[#This Row],[GST %]]</f>
        <v>514.07999999999993</v>
      </c>
      <c r="N4077" s="161">
        <f>Sales[[#This Row],[Gross Amount]]-Sales[[#This Row],[Disc. Amt.]]+Sales[[#This Row],[GST Amount]]</f>
        <v>3370.08</v>
      </c>
      <c r="O4077" s="158" t="s">
        <v>3569</v>
      </c>
      <c r="P4077" s="158" t="s">
        <v>3562</v>
      </c>
      <c r="Q4077" s="160">
        <f>IF(Sales[[#This Row],[Status]]="Cancelled",0,Sales[[#This Row],[Qty]])</f>
        <v>2</v>
      </c>
      <c r="R4077" s="161">
        <f>IF(Sales[[#This Row],[Status]]="Cancelled",0,Sales[[#This Row],[Total Amount]])</f>
        <v>3370.08</v>
      </c>
      <c r="S4077" s="162">
        <f>SUM(Sales[Net Amount])</f>
        <v>406839287.73200053</v>
      </c>
    </row>
    <row r="4078" spans="1:19" ht="18.75" x14ac:dyDescent="0.25">
      <c r="A4078" s="163" t="s">
        <v>7756</v>
      </c>
      <c r="B4078" s="164">
        <v>45979</v>
      </c>
      <c r="C4078" s="34" t="s">
        <v>681</v>
      </c>
      <c r="D4078" s="53" t="str">
        <f>VLOOKUP(Sales[[#This Row],[Customer ID]],Customer[#All],2,0)</f>
        <v>Amit Kumar</v>
      </c>
      <c r="E4078" s="34" t="s">
        <v>477</v>
      </c>
      <c r="F4078" s="34" t="str">
        <f>VLOOKUP(Sales[[#This Row],[Product ID]],Product[#All],2,0)</f>
        <v>Epson Printer</v>
      </c>
      <c r="G4078" s="53">
        <v>5</v>
      </c>
      <c r="H4078" s="165">
        <f>VLOOKUP(Sales[[#This Row],[Product ID]],Product[#All],7,0)</f>
        <v>17550</v>
      </c>
      <c r="I4078" s="165">
        <f>Sales[[#This Row],[Selling Rate]]*Sales[[#This Row],[Qty]]</f>
        <v>87750</v>
      </c>
      <c r="J4078" s="45">
        <v>0</v>
      </c>
      <c r="K4078" s="46">
        <f>Sales[[#This Row],[Gross Amount]]*Sales[[#This Row],[Disc %]]</f>
        <v>0</v>
      </c>
      <c r="L4078" s="43">
        <v>0.18</v>
      </c>
      <c r="M4078" s="46">
        <f>(Sales[[#This Row],[Gross Amount]]-Sales[[#This Row],[Disc. Amt.]])*Sales[[#This Row],[GST %]]</f>
        <v>15795</v>
      </c>
      <c r="N4078" s="161">
        <f>Sales[[#This Row],[Gross Amount]]-Sales[[#This Row],[Disc. Amt.]]+Sales[[#This Row],[GST Amount]]</f>
        <v>103545</v>
      </c>
      <c r="O4078" s="34" t="s">
        <v>3566</v>
      </c>
      <c r="P4078" s="34" t="s">
        <v>3562</v>
      </c>
      <c r="Q4078" s="165">
        <f>IF(Sales[[#This Row],[Status]]="Cancelled",0,Sales[[#This Row],[Qty]])</f>
        <v>5</v>
      </c>
      <c r="R4078" s="166">
        <f>IF(Sales[[#This Row],[Status]]="Cancelled",0,Sales[[#This Row],[Total Amount]])</f>
        <v>103545</v>
      </c>
      <c r="S4078" s="162">
        <f>SUM(Sales[Net Amount])</f>
        <v>406839287.73200053</v>
      </c>
    </row>
    <row r="4079" spans="1:19" ht="18.75" x14ac:dyDescent="0.25">
      <c r="A4079" s="156" t="s">
        <v>7757</v>
      </c>
      <c r="B4079" s="157">
        <v>45979</v>
      </c>
      <c r="C4079" s="158" t="s">
        <v>878</v>
      </c>
      <c r="D4079" s="159" t="str">
        <f>VLOOKUP(Sales[[#This Row],[Customer ID]],Customer[#All],2,0)</f>
        <v>Rahul Singh</v>
      </c>
      <c r="E4079" s="158" t="s">
        <v>117</v>
      </c>
      <c r="F4079" s="158" t="str">
        <f>VLOOKUP(Sales[[#This Row],[Product ID]],Product[#All],2,0)</f>
        <v>Logitech Mouse</v>
      </c>
      <c r="G4079" s="159">
        <v>3</v>
      </c>
      <c r="H4079" s="160">
        <f>VLOOKUP(Sales[[#This Row],[Product ID]],Product[#All],7,0)</f>
        <v>2960</v>
      </c>
      <c r="I4079" s="160">
        <f>Sales[[#This Row],[Selling Rate]]*Sales[[#This Row],[Qty]]</f>
        <v>8880</v>
      </c>
      <c r="J4079" s="43">
        <v>0.02</v>
      </c>
      <c r="K4079" s="44">
        <f>Sales[[#This Row],[Gross Amount]]*Sales[[#This Row],[Disc %]]</f>
        <v>177.6</v>
      </c>
      <c r="L4079" s="43">
        <v>0.18</v>
      </c>
      <c r="M4079" s="44">
        <f>(Sales[[#This Row],[Gross Amount]]-Sales[[#This Row],[Disc. Amt.]])*Sales[[#This Row],[GST %]]</f>
        <v>1566.4319999999998</v>
      </c>
      <c r="N4079" s="161">
        <f>Sales[[#This Row],[Gross Amount]]-Sales[[#This Row],[Disc. Amt.]]+Sales[[#This Row],[GST Amount]]</f>
        <v>10268.831999999999</v>
      </c>
      <c r="O4079" s="158" t="s">
        <v>3561</v>
      </c>
      <c r="P4079" s="158" t="s">
        <v>3562</v>
      </c>
      <c r="Q4079" s="160">
        <f>IF(Sales[[#This Row],[Status]]="Cancelled",0,Sales[[#This Row],[Qty]])</f>
        <v>3</v>
      </c>
      <c r="R4079" s="161">
        <f>IF(Sales[[#This Row],[Status]]="Cancelled",0,Sales[[#This Row],[Total Amount]])</f>
        <v>10268.831999999999</v>
      </c>
      <c r="S4079" s="162">
        <f>SUM(Sales[Net Amount])</f>
        <v>406839287.73200053</v>
      </c>
    </row>
    <row r="4080" spans="1:19" ht="18.75" x14ac:dyDescent="0.25">
      <c r="A4080" s="163" t="s">
        <v>7758</v>
      </c>
      <c r="B4080" s="164">
        <v>45979</v>
      </c>
      <c r="C4080" s="34" t="s">
        <v>830</v>
      </c>
      <c r="D4080" s="53" t="str">
        <f>VLOOKUP(Sales[[#This Row],[Customer ID]],Customer[#All],2,0)</f>
        <v>Rakesh Singh</v>
      </c>
      <c r="E4080" s="34" t="s">
        <v>404</v>
      </c>
      <c r="F4080" s="34" t="str">
        <f>VLOOKUP(Sales[[#This Row],[Product ID]],Product[#All],2,0)</f>
        <v>Dell Keyboard</v>
      </c>
      <c r="G4080" s="53">
        <v>8</v>
      </c>
      <c r="H4080" s="165">
        <f>VLOOKUP(Sales[[#This Row],[Product ID]],Product[#All],7,0)</f>
        <v>3410</v>
      </c>
      <c r="I4080" s="165">
        <f>Sales[[#This Row],[Selling Rate]]*Sales[[#This Row],[Qty]]</f>
        <v>27280</v>
      </c>
      <c r="J4080" s="45">
        <v>0.15</v>
      </c>
      <c r="K4080" s="46">
        <f>Sales[[#This Row],[Gross Amount]]*Sales[[#This Row],[Disc %]]</f>
        <v>4092</v>
      </c>
      <c r="L4080" s="43">
        <v>0.18</v>
      </c>
      <c r="M4080" s="46">
        <f>(Sales[[#This Row],[Gross Amount]]-Sales[[#This Row],[Disc. Amt.]])*Sales[[#This Row],[GST %]]</f>
        <v>4173.84</v>
      </c>
      <c r="N4080" s="161">
        <f>Sales[[#This Row],[Gross Amount]]-Sales[[#This Row],[Disc. Amt.]]+Sales[[#This Row],[GST Amount]]</f>
        <v>27361.84</v>
      </c>
      <c r="O4080" s="34" t="s">
        <v>3561</v>
      </c>
      <c r="P4080" s="34" t="s">
        <v>3562</v>
      </c>
      <c r="Q4080" s="165">
        <f>IF(Sales[[#This Row],[Status]]="Cancelled",0,Sales[[#This Row],[Qty]])</f>
        <v>8</v>
      </c>
      <c r="R4080" s="166">
        <f>IF(Sales[[#This Row],[Status]]="Cancelled",0,Sales[[#This Row],[Total Amount]])</f>
        <v>27361.84</v>
      </c>
      <c r="S4080" s="162">
        <f>SUM(Sales[Net Amount])</f>
        <v>406839287.73200053</v>
      </c>
    </row>
    <row r="4081" spans="1:19" ht="18.75" x14ac:dyDescent="0.25">
      <c r="A4081" s="156" t="s">
        <v>7759</v>
      </c>
      <c r="B4081" s="157">
        <v>45979</v>
      </c>
      <c r="C4081" s="158" t="s">
        <v>917</v>
      </c>
      <c r="D4081" s="159" t="str">
        <f>VLOOKUP(Sales[[#This Row],[Customer ID]],Customer[#All],2,0)</f>
        <v>Sahil Gupta</v>
      </c>
      <c r="E4081" s="158" t="s">
        <v>190</v>
      </c>
      <c r="F4081" s="158" t="str">
        <f>VLOOKUP(Sales[[#This Row],[Product ID]],Product[#All],2,0)</f>
        <v>Samsung Monitor</v>
      </c>
      <c r="G4081" s="159">
        <v>2</v>
      </c>
      <c r="H4081" s="160">
        <f>VLOOKUP(Sales[[#This Row],[Product ID]],Product[#All],7,0)</f>
        <v>18190</v>
      </c>
      <c r="I4081" s="160">
        <f>Sales[[#This Row],[Selling Rate]]*Sales[[#This Row],[Qty]]</f>
        <v>36380</v>
      </c>
      <c r="J4081" s="43">
        <v>0.02</v>
      </c>
      <c r="K4081" s="44">
        <f>Sales[[#This Row],[Gross Amount]]*Sales[[#This Row],[Disc %]]</f>
        <v>727.6</v>
      </c>
      <c r="L4081" s="43">
        <v>0.18</v>
      </c>
      <c r="M4081" s="44">
        <f>(Sales[[#This Row],[Gross Amount]]-Sales[[#This Row],[Disc. Amt.]])*Sales[[#This Row],[GST %]]</f>
        <v>6417.4319999999998</v>
      </c>
      <c r="N4081" s="161">
        <f>Sales[[#This Row],[Gross Amount]]-Sales[[#This Row],[Disc. Amt.]]+Sales[[#This Row],[GST Amount]]</f>
        <v>42069.832000000002</v>
      </c>
      <c r="O4081" s="158" t="s">
        <v>3569</v>
      </c>
      <c r="P4081" s="158" t="s">
        <v>3562</v>
      </c>
      <c r="Q4081" s="160">
        <f>IF(Sales[[#This Row],[Status]]="Cancelled",0,Sales[[#This Row],[Qty]])</f>
        <v>2</v>
      </c>
      <c r="R4081" s="161">
        <f>IF(Sales[[#This Row],[Status]]="Cancelled",0,Sales[[#This Row],[Total Amount]])</f>
        <v>42069.832000000002</v>
      </c>
      <c r="S4081" s="162">
        <f>SUM(Sales[Net Amount])</f>
        <v>406839287.73200053</v>
      </c>
    </row>
    <row r="4082" spans="1:19" ht="18.75" x14ac:dyDescent="0.25">
      <c r="A4082" s="163" t="s">
        <v>7760</v>
      </c>
      <c r="B4082" s="164">
        <v>45979</v>
      </c>
      <c r="C4082" s="34" t="s">
        <v>650</v>
      </c>
      <c r="D4082" s="53" t="str">
        <f>VLOOKUP(Sales[[#This Row],[Customer ID]],Customer[#All],2,0)</f>
        <v xml:space="preserve">Pooja Patel </v>
      </c>
      <c r="E4082" s="34" t="s">
        <v>370</v>
      </c>
      <c r="F4082" s="34" t="str">
        <f>VLOOKUP(Sales[[#This Row],[Product ID]],Product[#All],2,0)</f>
        <v>Samsung Monitor</v>
      </c>
      <c r="G4082" s="53">
        <v>7</v>
      </c>
      <c r="H4082" s="165">
        <f>VLOOKUP(Sales[[#This Row],[Product ID]],Product[#All],7,0)</f>
        <v>24770</v>
      </c>
      <c r="I4082" s="165">
        <f>Sales[[#This Row],[Selling Rate]]*Sales[[#This Row],[Qty]]</f>
        <v>173390</v>
      </c>
      <c r="J4082" s="45">
        <v>0.02</v>
      </c>
      <c r="K4082" s="46">
        <f>Sales[[#This Row],[Gross Amount]]*Sales[[#This Row],[Disc %]]</f>
        <v>3467.8</v>
      </c>
      <c r="L4082" s="43">
        <v>0.18</v>
      </c>
      <c r="M4082" s="46">
        <f>(Sales[[#This Row],[Gross Amount]]-Sales[[#This Row],[Disc. Amt.]])*Sales[[#This Row],[GST %]]</f>
        <v>30585.995999999999</v>
      </c>
      <c r="N4082" s="161">
        <f>Sales[[#This Row],[Gross Amount]]-Sales[[#This Row],[Disc. Amt.]]+Sales[[#This Row],[GST Amount]]</f>
        <v>200508.196</v>
      </c>
      <c r="O4082" s="34" t="s">
        <v>3569</v>
      </c>
      <c r="P4082" s="34" t="s">
        <v>3562</v>
      </c>
      <c r="Q4082" s="165">
        <f>IF(Sales[[#This Row],[Status]]="Cancelled",0,Sales[[#This Row],[Qty]])</f>
        <v>7</v>
      </c>
      <c r="R4082" s="166">
        <f>IF(Sales[[#This Row],[Status]]="Cancelled",0,Sales[[#This Row],[Total Amount]])</f>
        <v>200508.196</v>
      </c>
      <c r="S4082" s="162">
        <f>SUM(Sales[Net Amount])</f>
        <v>406839287.73200053</v>
      </c>
    </row>
    <row r="4083" spans="1:19" ht="18.75" x14ac:dyDescent="0.25">
      <c r="A4083" s="156" t="s">
        <v>7761</v>
      </c>
      <c r="B4083" s="157">
        <v>45979</v>
      </c>
      <c r="C4083" s="158" t="s">
        <v>3869</v>
      </c>
      <c r="D4083" s="159" t="str">
        <f>VLOOKUP(Sales[[#This Row],[Customer ID]],Customer[#All],2,0)</f>
        <v>Sunita Sharma</v>
      </c>
      <c r="E4083" s="158" t="s">
        <v>493</v>
      </c>
      <c r="F4083" s="158" t="str">
        <f>VLOOKUP(Sales[[#This Row],[Product ID]],Product[#All],2,0)</f>
        <v>Logitech Keyboard</v>
      </c>
      <c r="G4083" s="159">
        <v>2</v>
      </c>
      <c r="H4083" s="160">
        <f>VLOOKUP(Sales[[#This Row],[Product ID]],Product[#All],7,0)</f>
        <v>3040</v>
      </c>
      <c r="I4083" s="160">
        <f>Sales[[#This Row],[Selling Rate]]*Sales[[#This Row],[Qty]]</f>
        <v>6080</v>
      </c>
      <c r="J4083" s="43">
        <v>0.1</v>
      </c>
      <c r="K4083" s="44">
        <f>Sales[[#This Row],[Gross Amount]]*Sales[[#This Row],[Disc %]]</f>
        <v>608</v>
      </c>
      <c r="L4083" s="43">
        <v>0.18</v>
      </c>
      <c r="M4083" s="44">
        <f>(Sales[[#This Row],[Gross Amount]]-Sales[[#This Row],[Disc. Amt.]])*Sales[[#This Row],[GST %]]</f>
        <v>984.95999999999992</v>
      </c>
      <c r="N4083" s="161">
        <f>Sales[[#This Row],[Gross Amount]]-Sales[[#This Row],[Disc. Amt.]]+Sales[[#This Row],[GST Amount]]</f>
        <v>6456.96</v>
      </c>
      <c r="O4083" s="158" t="s">
        <v>3569</v>
      </c>
      <c r="P4083" s="158" t="s">
        <v>3562</v>
      </c>
      <c r="Q4083" s="160">
        <f>IF(Sales[[#This Row],[Status]]="Cancelled",0,Sales[[#This Row],[Qty]])</f>
        <v>2</v>
      </c>
      <c r="R4083" s="161">
        <f>IF(Sales[[#This Row],[Status]]="Cancelled",0,Sales[[#This Row],[Total Amount]])</f>
        <v>6456.96</v>
      </c>
      <c r="S4083" s="162">
        <f>SUM(Sales[Net Amount])</f>
        <v>406839287.73200053</v>
      </c>
    </row>
    <row r="4084" spans="1:19" ht="18.75" x14ac:dyDescent="0.25">
      <c r="A4084" s="163" t="s">
        <v>7762</v>
      </c>
      <c r="B4084" s="164">
        <v>45979</v>
      </c>
      <c r="C4084" s="34" t="s">
        <v>859</v>
      </c>
      <c r="D4084" s="53" t="str">
        <f>VLOOKUP(Sales[[#This Row],[Customer ID]],Customer[#All],2,0)</f>
        <v>Rakesh Kumar</v>
      </c>
      <c r="E4084" s="34" t="s">
        <v>241</v>
      </c>
      <c r="F4084" s="34" t="str">
        <f>VLOOKUP(Sales[[#This Row],[Product ID]],Product[#All],2,0)</f>
        <v>Portronics USB Cable</v>
      </c>
      <c r="G4084" s="53">
        <v>3</v>
      </c>
      <c r="H4084" s="165">
        <f>VLOOKUP(Sales[[#This Row],[Product ID]],Product[#All],7,0)</f>
        <v>630</v>
      </c>
      <c r="I4084" s="165">
        <f>Sales[[#This Row],[Selling Rate]]*Sales[[#This Row],[Qty]]</f>
        <v>1890</v>
      </c>
      <c r="J4084" s="45">
        <v>0.05</v>
      </c>
      <c r="K4084" s="46">
        <f>Sales[[#This Row],[Gross Amount]]*Sales[[#This Row],[Disc %]]</f>
        <v>94.5</v>
      </c>
      <c r="L4084" s="43">
        <v>0.18</v>
      </c>
      <c r="M4084" s="46">
        <f>(Sales[[#This Row],[Gross Amount]]-Sales[[#This Row],[Disc. Amt.]])*Sales[[#This Row],[GST %]]</f>
        <v>323.19</v>
      </c>
      <c r="N4084" s="161">
        <f>Sales[[#This Row],[Gross Amount]]-Sales[[#This Row],[Disc. Amt.]]+Sales[[#This Row],[GST Amount]]</f>
        <v>2118.69</v>
      </c>
      <c r="O4084" s="34" t="s">
        <v>3566</v>
      </c>
      <c r="P4084" s="34" t="s">
        <v>3562</v>
      </c>
      <c r="Q4084" s="165">
        <f>IF(Sales[[#This Row],[Status]]="Cancelled",0,Sales[[#This Row],[Qty]])</f>
        <v>3</v>
      </c>
      <c r="R4084" s="166">
        <f>IF(Sales[[#This Row],[Status]]="Cancelled",0,Sales[[#This Row],[Total Amount]])</f>
        <v>2118.69</v>
      </c>
      <c r="S4084" s="162">
        <f>SUM(Sales[Net Amount])</f>
        <v>406839287.73200053</v>
      </c>
    </row>
    <row r="4085" spans="1:19" ht="18.75" x14ac:dyDescent="0.25">
      <c r="A4085" s="156" t="s">
        <v>7763</v>
      </c>
      <c r="B4085" s="157">
        <v>45979</v>
      </c>
      <c r="C4085" s="158" t="s">
        <v>952</v>
      </c>
      <c r="D4085" s="159" t="str">
        <f>VLOOKUP(Sales[[#This Row],[Customer ID]],Customer[#All],2,0)</f>
        <v>Pooja Singh</v>
      </c>
      <c r="E4085" s="158" t="s">
        <v>318</v>
      </c>
      <c r="F4085" s="158" t="str">
        <f>VLOOKUP(Sales[[#This Row],[Product ID]],Product[#All],2,0)</f>
        <v>HP Printer</v>
      </c>
      <c r="G4085" s="159">
        <v>5</v>
      </c>
      <c r="H4085" s="160">
        <f>VLOOKUP(Sales[[#This Row],[Product ID]],Product[#All],7,0)</f>
        <v>30590</v>
      </c>
      <c r="I4085" s="160">
        <f>Sales[[#This Row],[Selling Rate]]*Sales[[#This Row],[Qty]]</f>
        <v>152950</v>
      </c>
      <c r="J4085" s="43">
        <v>0.05</v>
      </c>
      <c r="K4085" s="44">
        <f>Sales[[#This Row],[Gross Amount]]*Sales[[#This Row],[Disc %]]</f>
        <v>7647.5</v>
      </c>
      <c r="L4085" s="43">
        <v>0.18</v>
      </c>
      <c r="M4085" s="44">
        <f>(Sales[[#This Row],[Gross Amount]]-Sales[[#This Row],[Disc. Amt.]])*Sales[[#This Row],[GST %]]</f>
        <v>26154.45</v>
      </c>
      <c r="N4085" s="161">
        <f>Sales[[#This Row],[Gross Amount]]-Sales[[#This Row],[Disc. Amt.]]+Sales[[#This Row],[GST Amount]]</f>
        <v>171456.95</v>
      </c>
      <c r="O4085" s="158" t="s">
        <v>3561</v>
      </c>
      <c r="P4085" s="158" t="s">
        <v>3562</v>
      </c>
      <c r="Q4085" s="160">
        <f>IF(Sales[[#This Row],[Status]]="Cancelled",0,Sales[[#This Row],[Qty]])</f>
        <v>5</v>
      </c>
      <c r="R4085" s="161">
        <f>IF(Sales[[#This Row],[Status]]="Cancelled",0,Sales[[#This Row],[Total Amount]])</f>
        <v>171456.95</v>
      </c>
      <c r="S4085" s="162">
        <f>SUM(Sales[Net Amount])</f>
        <v>406839287.73200053</v>
      </c>
    </row>
    <row r="4086" spans="1:19" ht="18.75" x14ac:dyDescent="0.25">
      <c r="A4086" s="163" t="s">
        <v>7764</v>
      </c>
      <c r="B4086" s="164">
        <v>45979</v>
      </c>
      <c r="C4086" s="34" t="s">
        <v>736</v>
      </c>
      <c r="D4086" s="53" t="str">
        <f>VLOOKUP(Sales[[#This Row],[Customer ID]],Customer[#All],2,0)</f>
        <v>Ankit Verma</v>
      </c>
      <c r="E4086" s="34" t="s">
        <v>439</v>
      </c>
      <c r="F4086" s="34" t="str">
        <f>VLOOKUP(Sales[[#This Row],[Product ID]],Product[#All],2,0)</f>
        <v>HP Laptop</v>
      </c>
      <c r="G4086" s="53">
        <v>2</v>
      </c>
      <c r="H4086" s="165">
        <f>VLOOKUP(Sales[[#This Row],[Product ID]],Product[#All],7,0)</f>
        <v>83330</v>
      </c>
      <c r="I4086" s="165">
        <f>Sales[[#This Row],[Selling Rate]]*Sales[[#This Row],[Qty]]</f>
        <v>166660</v>
      </c>
      <c r="J4086" s="45">
        <v>0.05</v>
      </c>
      <c r="K4086" s="46">
        <f>Sales[[#This Row],[Gross Amount]]*Sales[[#This Row],[Disc %]]</f>
        <v>8333</v>
      </c>
      <c r="L4086" s="43">
        <v>0.18</v>
      </c>
      <c r="M4086" s="46">
        <f>(Sales[[#This Row],[Gross Amount]]-Sales[[#This Row],[Disc. Amt.]])*Sales[[#This Row],[GST %]]</f>
        <v>28498.86</v>
      </c>
      <c r="N4086" s="161">
        <f>Sales[[#This Row],[Gross Amount]]-Sales[[#This Row],[Disc. Amt.]]+Sales[[#This Row],[GST Amount]]</f>
        <v>186825.86</v>
      </c>
      <c r="O4086" s="34" t="s">
        <v>3561</v>
      </c>
      <c r="P4086" s="34" t="s">
        <v>3562</v>
      </c>
      <c r="Q4086" s="165">
        <f>IF(Sales[[#This Row],[Status]]="Cancelled",0,Sales[[#This Row],[Qty]])</f>
        <v>2</v>
      </c>
      <c r="R4086" s="166">
        <f>IF(Sales[[#This Row],[Status]]="Cancelled",0,Sales[[#This Row],[Total Amount]])</f>
        <v>186825.86</v>
      </c>
      <c r="S4086" s="162">
        <f>SUM(Sales[Net Amount])</f>
        <v>406839287.73200053</v>
      </c>
    </row>
    <row r="4087" spans="1:19" ht="18.75" x14ac:dyDescent="0.25">
      <c r="A4087" s="156" t="s">
        <v>7765</v>
      </c>
      <c r="B4087" s="157">
        <v>45979</v>
      </c>
      <c r="C4087" s="158" t="s">
        <v>832</v>
      </c>
      <c r="D4087" s="159" t="str">
        <f>VLOOKUP(Sales[[#This Row],[Customer ID]],Customer[#All],2,0)</f>
        <v>Vikas Sharma</v>
      </c>
      <c r="E4087" s="158" t="s">
        <v>266</v>
      </c>
      <c r="F4087" s="158" t="str">
        <f>VLOOKUP(Sales[[#This Row],[Product ID]],Product[#All],2,0)</f>
        <v>American TouristerLaptopBag</v>
      </c>
      <c r="G4087" s="159">
        <v>8</v>
      </c>
      <c r="H4087" s="160">
        <f>VLOOKUP(Sales[[#This Row],[Product ID]],Product[#All],7,0)</f>
        <v>4170</v>
      </c>
      <c r="I4087" s="160">
        <f>Sales[[#This Row],[Selling Rate]]*Sales[[#This Row],[Qty]]</f>
        <v>33360</v>
      </c>
      <c r="J4087" s="43">
        <v>0.05</v>
      </c>
      <c r="K4087" s="44">
        <f>Sales[[#This Row],[Gross Amount]]*Sales[[#This Row],[Disc %]]</f>
        <v>1668</v>
      </c>
      <c r="L4087" s="43">
        <v>0.18</v>
      </c>
      <c r="M4087" s="44">
        <f>(Sales[[#This Row],[Gross Amount]]-Sales[[#This Row],[Disc. Amt.]])*Sales[[#This Row],[GST %]]</f>
        <v>5704.5599999999995</v>
      </c>
      <c r="N4087" s="161">
        <f>Sales[[#This Row],[Gross Amount]]-Sales[[#This Row],[Disc. Amt.]]+Sales[[#This Row],[GST Amount]]</f>
        <v>37396.559999999998</v>
      </c>
      <c r="O4087" s="158" t="s">
        <v>8876</v>
      </c>
      <c r="P4087" s="158" t="s">
        <v>1040</v>
      </c>
      <c r="Q4087" s="160">
        <f>IF(Sales[[#This Row],[Status]]="Cancelled",0,Sales[[#This Row],[Qty]])</f>
        <v>0</v>
      </c>
      <c r="R4087" s="161">
        <f>IF(Sales[[#This Row],[Status]]="Cancelled",0,Sales[[#This Row],[Total Amount]])</f>
        <v>0</v>
      </c>
      <c r="S4087" s="162">
        <f>SUM(Sales[Net Amount])</f>
        <v>406839287.73200053</v>
      </c>
    </row>
    <row r="4088" spans="1:19" ht="18.75" x14ac:dyDescent="0.25">
      <c r="A4088" s="163" t="s">
        <v>7766</v>
      </c>
      <c r="B4088" s="164">
        <v>45979</v>
      </c>
      <c r="C4088" s="34" t="s">
        <v>735</v>
      </c>
      <c r="D4088" s="53" t="str">
        <f>VLOOKUP(Sales[[#This Row],[Customer ID]],Customer[#All],2,0)</f>
        <v>Amit Singh</v>
      </c>
      <c r="E4088" s="34" t="s">
        <v>410</v>
      </c>
      <c r="F4088" s="34" t="str">
        <f>VLOOKUP(Sales[[#This Row],[Product ID]],Product[#All],2,0)</f>
        <v>Microtek UPS</v>
      </c>
      <c r="G4088" s="53">
        <v>3</v>
      </c>
      <c r="H4088" s="165">
        <f>VLOOKUP(Sales[[#This Row],[Product ID]],Product[#All],7,0)</f>
        <v>12250</v>
      </c>
      <c r="I4088" s="165">
        <f>Sales[[#This Row],[Selling Rate]]*Sales[[#This Row],[Qty]]</f>
        <v>36750</v>
      </c>
      <c r="J4088" s="45">
        <v>0.05</v>
      </c>
      <c r="K4088" s="46">
        <f>Sales[[#This Row],[Gross Amount]]*Sales[[#This Row],[Disc %]]</f>
        <v>1837.5</v>
      </c>
      <c r="L4088" s="43">
        <v>0.18</v>
      </c>
      <c r="M4088" s="46">
        <f>(Sales[[#This Row],[Gross Amount]]-Sales[[#This Row],[Disc. Amt.]])*Sales[[#This Row],[GST %]]</f>
        <v>6284.25</v>
      </c>
      <c r="N4088" s="161">
        <f>Sales[[#This Row],[Gross Amount]]-Sales[[#This Row],[Disc. Amt.]]+Sales[[#This Row],[GST Amount]]</f>
        <v>41196.75</v>
      </c>
      <c r="O4088" s="34" t="s">
        <v>3561</v>
      </c>
      <c r="P4088" s="34" t="s">
        <v>3562</v>
      </c>
      <c r="Q4088" s="165">
        <f>IF(Sales[[#This Row],[Status]]="Cancelled",0,Sales[[#This Row],[Qty]])</f>
        <v>3</v>
      </c>
      <c r="R4088" s="166">
        <f>IF(Sales[[#This Row],[Status]]="Cancelled",0,Sales[[#This Row],[Total Amount]])</f>
        <v>41196.75</v>
      </c>
      <c r="S4088" s="162">
        <f>SUM(Sales[Net Amount])</f>
        <v>406839287.73200053</v>
      </c>
    </row>
    <row r="4089" spans="1:19" ht="18.75" x14ac:dyDescent="0.25">
      <c r="A4089" s="156" t="s">
        <v>7767</v>
      </c>
      <c r="B4089" s="157">
        <v>45979</v>
      </c>
      <c r="C4089" s="158" t="s">
        <v>710</v>
      </c>
      <c r="D4089" s="159" t="str">
        <f>VLOOKUP(Sales[[#This Row],[Customer ID]],Customer[#All],2,0)</f>
        <v>Sunita Patel</v>
      </c>
      <c r="E4089" s="158" t="s">
        <v>82</v>
      </c>
      <c r="F4089" s="158" t="str">
        <f>VLOOKUP(Sales[[#This Row],[Product ID]],Product[#All],2,0)</f>
        <v>American TouristerLaptopBag</v>
      </c>
      <c r="G4089" s="159">
        <v>5</v>
      </c>
      <c r="H4089" s="160">
        <f>VLOOKUP(Sales[[#This Row],[Product ID]],Product[#All],7,0)</f>
        <v>5480</v>
      </c>
      <c r="I4089" s="160">
        <f>Sales[[#This Row],[Selling Rate]]*Sales[[#This Row],[Qty]]</f>
        <v>27400</v>
      </c>
      <c r="J4089" s="43">
        <v>0.05</v>
      </c>
      <c r="K4089" s="44">
        <f>Sales[[#This Row],[Gross Amount]]*Sales[[#This Row],[Disc %]]</f>
        <v>1370</v>
      </c>
      <c r="L4089" s="43">
        <v>0.18</v>
      </c>
      <c r="M4089" s="44">
        <f>(Sales[[#This Row],[Gross Amount]]-Sales[[#This Row],[Disc. Amt.]])*Sales[[#This Row],[GST %]]</f>
        <v>4685.3999999999996</v>
      </c>
      <c r="N4089" s="161">
        <f>Sales[[#This Row],[Gross Amount]]-Sales[[#This Row],[Disc. Amt.]]+Sales[[#This Row],[GST Amount]]</f>
        <v>30715.4</v>
      </c>
      <c r="O4089" s="158" t="s">
        <v>3561</v>
      </c>
      <c r="P4089" s="158" t="s">
        <v>3562</v>
      </c>
      <c r="Q4089" s="160">
        <f>IF(Sales[[#This Row],[Status]]="Cancelled",0,Sales[[#This Row],[Qty]])</f>
        <v>5</v>
      </c>
      <c r="R4089" s="161">
        <f>IF(Sales[[#This Row],[Status]]="Cancelled",0,Sales[[#This Row],[Total Amount]])</f>
        <v>30715.4</v>
      </c>
      <c r="S4089" s="162">
        <f>SUM(Sales[Net Amount])</f>
        <v>406839287.73200053</v>
      </c>
    </row>
    <row r="4090" spans="1:19" ht="18.75" x14ac:dyDescent="0.25">
      <c r="A4090" s="163" t="s">
        <v>7768</v>
      </c>
      <c r="B4090" s="164">
        <v>45979</v>
      </c>
      <c r="C4090" s="34" t="s">
        <v>930</v>
      </c>
      <c r="D4090" s="53" t="str">
        <f>VLOOKUP(Sales[[#This Row],[Customer ID]],Customer[#All],2,0)</f>
        <v>Rakesh Gupta</v>
      </c>
      <c r="E4090" s="34" t="s">
        <v>435</v>
      </c>
      <c r="F4090" s="34" t="str">
        <f>VLOOKUP(Sales[[#This Row],[Product ID]],Product[#All],2,0)</f>
        <v>Corsair Ram</v>
      </c>
      <c r="G4090" s="53">
        <v>8</v>
      </c>
      <c r="H4090" s="165">
        <f>VLOOKUP(Sales[[#This Row],[Product ID]],Product[#All],7,0)</f>
        <v>8060</v>
      </c>
      <c r="I4090" s="165">
        <f>Sales[[#This Row],[Selling Rate]]*Sales[[#This Row],[Qty]]</f>
        <v>64480</v>
      </c>
      <c r="J4090" s="45">
        <v>0.12</v>
      </c>
      <c r="K4090" s="46">
        <f>Sales[[#This Row],[Gross Amount]]*Sales[[#This Row],[Disc %]]</f>
        <v>7737.5999999999995</v>
      </c>
      <c r="L4090" s="43">
        <v>0.18</v>
      </c>
      <c r="M4090" s="46">
        <f>(Sales[[#This Row],[Gross Amount]]-Sales[[#This Row],[Disc. Amt.]])*Sales[[#This Row],[GST %]]</f>
        <v>10213.632</v>
      </c>
      <c r="N4090" s="161">
        <f>Sales[[#This Row],[Gross Amount]]-Sales[[#This Row],[Disc. Amt.]]+Sales[[#This Row],[GST Amount]]</f>
        <v>66956.032000000007</v>
      </c>
      <c r="O4090" s="34" t="s">
        <v>3569</v>
      </c>
      <c r="P4090" s="34" t="s">
        <v>3562</v>
      </c>
      <c r="Q4090" s="165">
        <f>IF(Sales[[#This Row],[Status]]="Cancelled",0,Sales[[#This Row],[Qty]])</f>
        <v>8</v>
      </c>
      <c r="R4090" s="166">
        <f>IF(Sales[[#This Row],[Status]]="Cancelled",0,Sales[[#This Row],[Total Amount]])</f>
        <v>66956.032000000007</v>
      </c>
      <c r="S4090" s="162">
        <f>SUM(Sales[Net Amount])</f>
        <v>406839287.73200053</v>
      </c>
    </row>
    <row r="4091" spans="1:19" ht="18.75" x14ac:dyDescent="0.25">
      <c r="A4091" s="156" t="s">
        <v>7769</v>
      </c>
      <c r="B4091" s="157">
        <v>45979</v>
      </c>
      <c r="C4091" s="158" t="s">
        <v>763</v>
      </c>
      <c r="D4091" s="159" t="str">
        <f>VLOOKUP(Sales[[#This Row],[Customer ID]],Customer[#All],2,0)</f>
        <v>Pooja Verma</v>
      </c>
      <c r="E4091" s="158" t="s">
        <v>260</v>
      </c>
      <c r="F4091" s="158" t="str">
        <f>VLOOKUP(Sales[[#This Row],[Product ID]],Product[#All],2,0)</f>
        <v>Corsair Ram</v>
      </c>
      <c r="G4091" s="159">
        <v>3</v>
      </c>
      <c r="H4091" s="160">
        <f>VLOOKUP(Sales[[#This Row],[Product ID]],Product[#All],7,0)</f>
        <v>6010</v>
      </c>
      <c r="I4091" s="160">
        <f>Sales[[#This Row],[Selling Rate]]*Sales[[#This Row],[Qty]]</f>
        <v>18030</v>
      </c>
      <c r="J4091" s="43">
        <v>0.15</v>
      </c>
      <c r="K4091" s="44">
        <f>Sales[[#This Row],[Gross Amount]]*Sales[[#This Row],[Disc %]]</f>
        <v>2704.5</v>
      </c>
      <c r="L4091" s="43">
        <v>0.18</v>
      </c>
      <c r="M4091" s="44">
        <f>(Sales[[#This Row],[Gross Amount]]-Sales[[#This Row],[Disc. Amt.]])*Sales[[#This Row],[GST %]]</f>
        <v>2758.5899999999997</v>
      </c>
      <c r="N4091" s="161">
        <f>Sales[[#This Row],[Gross Amount]]-Sales[[#This Row],[Disc. Amt.]]+Sales[[#This Row],[GST Amount]]</f>
        <v>18084.09</v>
      </c>
      <c r="O4091" s="158" t="s">
        <v>3569</v>
      </c>
      <c r="P4091" s="158" t="s">
        <v>3562</v>
      </c>
      <c r="Q4091" s="160">
        <f>IF(Sales[[#This Row],[Status]]="Cancelled",0,Sales[[#This Row],[Qty]])</f>
        <v>3</v>
      </c>
      <c r="R4091" s="161">
        <f>IF(Sales[[#This Row],[Status]]="Cancelled",0,Sales[[#This Row],[Total Amount]])</f>
        <v>18084.09</v>
      </c>
      <c r="S4091" s="162">
        <f>SUM(Sales[Net Amount])</f>
        <v>406839287.73200053</v>
      </c>
    </row>
    <row r="4092" spans="1:19" ht="18.75" x14ac:dyDescent="0.25">
      <c r="A4092" s="163" t="s">
        <v>7770</v>
      </c>
      <c r="B4092" s="164">
        <v>45979</v>
      </c>
      <c r="C4092" s="34" t="s">
        <v>719</v>
      </c>
      <c r="D4092" s="53" t="str">
        <f>VLOOKUP(Sales[[#This Row],[Customer ID]],Customer[#All],2,0)</f>
        <v>Priya Verma</v>
      </c>
      <c r="E4092" s="34" t="s">
        <v>416</v>
      </c>
      <c r="F4092" s="34" t="str">
        <f>VLOOKUP(Sales[[#This Row],[Product ID]],Product[#All],2,0)</f>
        <v>Portronics USB Cable</v>
      </c>
      <c r="G4092" s="53">
        <v>2</v>
      </c>
      <c r="H4092" s="165">
        <f>VLOOKUP(Sales[[#This Row],[Product ID]],Product[#All],7,0)</f>
        <v>960</v>
      </c>
      <c r="I4092" s="165">
        <f>Sales[[#This Row],[Selling Rate]]*Sales[[#This Row],[Qty]]</f>
        <v>1920</v>
      </c>
      <c r="J4092" s="45">
        <v>0.05</v>
      </c>
      <c r="K4092" s="46">
        <f>Sales[[#This Row],[Gross Amount]]*Sales[[#This Row],[Disc %]]</f>
        <v>96</v>
      </c>
      <c r="L4092" s="43">
        <v>0.18</v>
      </c>
      <c r="M4092" s="46">
        <f>(Sales[[#This Row],[Gross Amount]]-Sales[[#This Row],[Disc. Amt.]])*Sales[[#This Row],[GST %]]</f>
        <v>328.32</v>
      </c>
      <c r="N4092" s="161">
        <f>Sales[[#This Row],[Gross Amount]]-Sales[[#This Row],[Disc. Amt.]]+Sales[[#This Row],[GST Amount]]</f>
        <v>2152.3200000000002</v>
      </c>
      <c r="O4092" s="34" t="s">
        <v>8876</v>
      </c>
      <c r="P4092" s="34" t="s">
        <v>3562</v>
      </c>
      <c r="Q4092" s="165">
        <f>IF(Sales[[#This Row],[Status]]="Cancelled",0,Sales[[#This Row],[Qty]])</f>
        <v>2</v>
      </c>
      <c r="R4092" s="166">
        <f>IF(Sales[[#This Row],[Status]]="Cancelled",0,Sales[[#This Row],[Total Amount]])</f>
        <v>2152.3200000000002</v>
      </c>
      <c r="S4092" s="162">
        <f>SUM(Sales[Net Amount])</f>
        <v>406839287.73200053</v>
      </c>
    </row>
    <row r="4093" spans="1:19" ht="18.75" x14ac:dyDescent="0.25">
      <c r="A4093" s="156" t="s">
        <v>7771</v>
      </c>
      <c r="B4093" s="157">
        <v>45979</v>
      </c>
      <c r="C4093" s="158" t="s">
        <v>687</v>
      </c>
      <c r="D4093" s="159" t="str">
        <f>VLOOKUP(Sales[[#This Row],[Customer ID]],Customer[#All],2,0)</f>
        <v>Rahul Verma</v>
      </c>
      <c r="E4093" s="158" t="s">
        <v>333</v>
      </c>
      <c r="F4093" s="158" t="str">
        <f>VLOOKUP(Sales[[#This Row],[Product ID]],Product[#All],2,0)</f>
        <v>Logitech Keyboard</v>
      </c>
      <c r="G4093" s="159">
        <v>3</v>
      </c>
      <c r="H4093" s="160">
        <f>VLOOKUP(Sales[[#This Row],[Product ID]],Product[#All],7,0)</f>
        <v>3350</v>
      </c>
      <c r="I4093" s="160">
        <f>Sales[[#This Row],[Selling Rate]]*Sales[[#This Row],[Qty]]</f>
        <v>10050</v>
      </c>
      <c r="J4093" s="43">
        <v>0</v>
      </c>
      <c r="K4093" s="44">
        <f>Sales[[#This Row],[Gross Amount]]*Sales[[#This Row],[Disc %]]</f>
        <v>0</v>
      </c>
      <c r="L4093" s="43">
        <v>0.18</v>
      </c>
      <c r="M4093" s="44">
        <f>(Sales[[#This Row],[Gross Amount]]-Sales[[#This Row],[Disc. Amt.]])*Sales[[#This Row],[GST %]]</f>
        <v>1809</v>
      </c>
      <c r="N4093" s="161">
        <f>Sales[[#This Row],[Gross Amount]]-Sales[[#This Row],[Disc. Amt.]]+Sales[[#This Row],[GST Amount]]</f>
        <v>11859</v>
      </c>
      <c r="O4093" s="158" t="s">
        <v>3561</v>
      </c>
      <c r="P4093" s="158" t="s">
        <v>3562</v>
      </c>
      <c r="Q4093" s="160">
        <f>IF(Sales[[#This Row],[Status]]="Cancelled",0,Sales[[#This Row],[Qty]])</f>
        <v>3</v>
      </c>
      <c r="R4093" s="161">
        <f>IF(Sales[[#This Row],[Status]]="Cancelled",0,Sales[[#This Row],[Total Amount]])</f>
        <v>11859</v>
      </c>
      <c r="S4093" s="162">
        <f>SUM(Sales[Net Amount])</f>
        <v>406839287.73200053</v>
      </c>
    </row>
    <row r="4094" spans="1:19" ht="18.75" x14ac:dyDescent="0.25">
      <c r="A4094" s="163" t="s">
        <v>7772</v>
      </c>
      <c r="B4094" s="164">
        <v>45979</v>
      </c>
      <c r="C4094" s="34" t="s">
        <v>861</v>
      </c>
      <c r="D4094" s="53" t="str">
        <f>VLOOKUP(Sales[[#This Row],[Customer ID]],Customer[#All],2,0)</f>
        <v>Rakesh Patel</v>
      </c>
      <c r="E4094" s="34" t="s">
        <v>462</v>
      </c>
      <c r="F4094" s="34" t="str">
        <f>VLOOKUP(Sales[[#This Row],[Product ID]],Product[#All],2,0)</f>
        <v>Dell Keyboard</v>
      </c>
      <c r="G4094" s="53">
        <v>5</v>
      </c>
      <c r="H4094" s="165">
        <f>VLOOKUP(Sales[[#This Row],[Product ID]],Product[#All],7,0)</f>
        <v>2730</v>
      </c>
      <c r="I4094" s="165">
        <f>Sales[[#This Row],[Selling Rate]]*Sales[[#This Row],[Qty]]</f>
        <v>13650</v>
      </c>
      <c r="J4094" s="45">
        <v>0</v>
      </c>
      <c r="K4094" s="46">
        <f>Sales[[#This Row],[Gross Amount]]*Sales[[#This Row],[Disc %]]</f>
        <v>0</v>
      </c>
      <c r="L4094" s="43">
        <v>0.18</v>
      </c>
      <c r="M4094" s="46">
        <f>(Sales[[#This Row],[Gross Amount]]-Sales[[#This Row],[Disc. Amt.]])*Sales[[#This Row],[GST %]]</f>
        <v>2457</v>
      </c>
      <c r="N4094" s="161">
        <f>Sales[[#This Row],[Gross Amount]]-Sales[[#This Row],[Disc. Amt.]]+Sales[[#This Row],[GST Amount]]</f>
        <v>16107</v>
      </c>
      <c r="O4094" s="34" t="s">
        <v>8876</v>
      </c>
      <c r="P4094" s="34" t="s">
        <v>3562</v>
      </c>
      <c r="Q4094" s="165">
        <f>IF(Sales[[#This Row],[Status]]="Cancelled",0,Sales[[#This Row],[Qty]])</f>
        <v>5</v>
      </c>
      <c r="R4094" s="166">
        <f>IF(Sales[[#This Row],[Status]]="Cancelled",0,Sales[[#This Row],[Total Amount]])</f>
        <v>16107</v>
      </c>
      <c r="S4094" s="162">
        <f>SUM(Sales[Net Amount])</f>
        <v>406839287.73200053</v>
      </c>
    </row>
    <row r="4095" spans="1:19" ht="18.75" x14ac:dyDescent="0.25">
      <c r="A4095" s="156" t="s">
        <v>7773</v>
      </c>
      <c r="B4095" s="157">
        <v>45979</v>
      </c>
      <c r="C4095" s="158" t="s">
        <v>923</v>
      </c>
      <c r="D4095" s="159" t="str">
        <f>VLOOKUP(Sales[[#This Row],[Customer ID]],Customer[#All],2,0)</f>
        <v>Rahul Gupta</v>
      </c>
      <c r="E4095" s="158" t="s">
        <v>426</v>
      </c>
      <c r="F4095" s="158" t="str">
        <f>VLOOKUP(Sales[[#This Row],[Product ID]],Product[#All],2,0)</f>
        <v>Jbl Speaker</v>
      </c>
      <c r="G4095" s="159">
        <v>4</v>
      </c>
      <c r="H4095" s="160">
        <f>VLOOKUP(Sales[[#This Row],[Product ID]],Product[#All],7,0)</f>
        <v>5260</v>
      </c>
      <c r="I4095" s="160">
        <f>Sales[[#This Row],[Selling Rate]]*Sales[[#This Row],[Qty]]</f>
        <v>21040</v>
      </c>
      <c r="J4095" s="43">
        <v>0</v>
      </c>
      <c r="K4095" s="44">
        <f>Sales[[#This Row],[Gross Amount]]*Sales[[#This Row],[Disc %]]</f>
        <v>0</v>
      </c>
      <c r="L4095" s="43">
        <v>0.18</v>
      </c>
      <c r="M4095" s="44">
        <f>(Sales[[#This Row],[Gross Amount]]-Sales[[#This Row],[Disc. Amt.]])*Sales[[#This Row],[GST %]]</f>
        <v>3787.2</v>
      </c>
      <c r="N4095" s="161">
        <f>Sales[[#This Row],[Gross Amount]]-Sales[[#This Row],[Disc. Amt.]]+Sales[[#This Row],[GST Amount]]</f>
        <v>24827.200000000001</v>
      </c>
      <c r="O4095" s="158" t="s">
        <v>3566</v>
      </c>
      <c r="P4095" s="158" t="s">
        <v>3562</v>
      </c>
      <c r="Q4095" s="160">
        <f>IF(Sales[[#This Row],[Status]]="Cancelled",0,Sales[[#This Row],[Qty]])</f>
        <v>4</v>
      </c>
      <c r="R4095" s="161">
        <f>IF(Sales[[#This Row],[Status]]="Cancelled",0,Sales[[#This Row],[Total Amount]])</f>
        <v>24827.200000000001</v>
      </c>
      <c r="S4095" s="162">
        <f>SUM(Sales[Net Amount])</f>
        <v>406839287.73200053</v>
      </c>
    </row>
    <row r="4096" spans="1:19" ht="18.75" x14ac:dyDescent="0.25">
      <c r="A4096" s="163" t="s">
        <v>7774</v>
      </c>
      <c r="B4096" s="164">
        <v>45979</v>
      </c>
      <c r="C4096" s="34" t="s">
        <v>663</v>
      </c>
      <c r="D4096" s="53" t="str">
        <f>VLOOKUP(Sales[[#This Row],[Customer ID]],Customer[#All],2,0)</f>
        <v>Amit Sharma</v>
      </c>
      <c r="E4096" s="34" t="s">
        <v>312</v>
      </c>
      <c r="F4096" s="34" t="str">
        <f>VLOOKUP(Sales[[#This Row],[Product ID]],Product[#All],2,0)</f>
        <v>Dell Desktop</v>
      </c>
      <c r="G4096" s="53">
        <v>7</v>
      </c>
      <c r="H4096" s="165">
        <f>VLOOKUP(Sales[[#This Row],[Product ID]],Product[#All],7,0)</f>
        <v>59050</v>
      </c>
      <c r="I4096" s="165">
        <f>Sales[[#This Row],[Selling Rate]]*Sales[[#This Row],[Qty]]</f>
        <v>413350</v>
      </c>
      <c r="J4096" s="45">
        <v>0</v>
      </c>
      <c r="K4096" s="46">
        <f>Sales[[#This Row],[Gross Amount]]*Sales[[#This Row],[Disc %]]</f>
        <v>0</v>
      </c>
      <c r="L4096" s="43">
        <v>0.18</v>
      </c>
      <c r="M4096" s="46">
        <f>(Sales[[#This Row],[Gross Amount]]-Sales[[#This Row],[Disc. Amt.]])*Sales[[#This Row],[GST %]]</f>
        <v>74403</v>
      </c>
      <c r="N4096" s="161">
        <f>Sales[[#This Row],[Gross Amount]]-Sales[[#This Row],[Disc. Amt.]]+Sales[[#This Row],[GST Amount]]</f>
        <v>487753</v>
      </c>
      <c r="O4096" s="34" t="s">
        <v>3561</v>
      </c>
      <c r="P4096" s="34" t="s">
        <v>3562</v>
      </c>
      <c r="Q4096" s="165">
        <f>IF(Sales[[#This Row],[Status]]="Cancelled",0,Sales[[#This Row],[Qty]])</f>
        <v>7</v>
      </c>
      <c r="R4096" s="166">
        <f>IF(Sales[[#This Row],[Status]]="Cancelled",0,Sales[[#This Row],[Total Amount]])</f>
        <v>487753</v>
      </c>
      <c r="S4096" s="162">
        <f>SUM(Sales[Net Amount])</f>
        <v>406839287.73200053</v>
      </c>
    </row>
    <row r="4097" spans="1:19" ht="18.75" x14ac:dyDescent="0.25">
      <c r="A4097" s="156" t="s">
        <v>7775</v>
      </c>
      <c r="B4097" s="157">
        <v>45980</v>
      </c>
      <c r="C4097" s="158" t="s">
        <v>763</v>
      </c>
      <c r="D4097" s="159" t="str">
        <f>VLOOKUP(Sales[[#This Row],[Customer ID]],Customer[#All],2,0)</f>
        <v>Pooja Verma</v>
      </c>
      <c r="E4097" s="158" t="s">
        <v>164</v>
      </c>
      <c r="F4097" s="158" t="str">
        <f>VLOOKUP(Sales[[#This Row],[Product ID]],Product[#All],2,0)</f>
        <v>Jbl Headset</v>
      </c>
      <c r="G4097" s="159">
        <v>5</v>
      </c>
      <c r="H4097" s="160">
        <f>VLOOKUP(Sales[[#This Row],[Product ID]],Product[#All],7,0)</f>
        <v>3360</v>
      </c>
      <c r="I4097" s="160">
        <f>Sales[[#This Row],[Selling Rate]]*Sales[[#This Row],[Qty]]</f>
        <v>16800</v>
      </c>
      <c r="J4097" s="43">
        <v>0.12</v>
      </c>
      <c r="K4097" s="44">
        <f>Sales[[#This Row],[Gross Amount]]*Sales[[#This Row],[Disc %]]</f>
        <v>2016</v>
      </c>
      <c r="L4097" s="43">
        <v>0.18</v>
      </c>
      <c r="M4097" s="44">
        <f>(Sales[[#This Row],[Gross Amount]]-Sales[[#This Row],[Disc. Amt.]])*Sales[[#This Row],[GST %]]</f>
        <v>2661.12</v>
      </c>
      <c r="N4097" s="161">
        <f>Sales[[#This Row],[Gross Amount]]-Sales[[#This Row],[Disc. Amt.]]+Sales[[#This Row],[GST Amount]]</f>
        <v>17445.12</v>
      </c>
      <c r="O4097" s="158" t="s">
        <v>8876</v>
      </c>
      <c r="P4097" s="158" t="s">
        <v>3562</v>
      </c>
      <c r="Q4097" s="160">
        <f>IF(Sales[[#This Row],[Status]]="Cancelled",0,Sales[[#This Row],[Qty]])</f>
        <v>5</v>
      </c>
      <c r="R4097" s="161">
        <f>IF(Sales[[#This Row],[Status]]="Cancelled",0,Sales[[#This Row],[Total Amount]])</f>
        <v>17445.12</v>
      </c>
      <c r="S4097" s="162">
        <f>SUM(Sales[Net Amount])</f>
        <v>406839287.73200053</v>
      </c>
    </row>
    <row r="4098" spans="1:19" ht="18.75" x14ac:dyDescent="0.25">
      <c r="A4098" s="163" t="s">
        <v>7776</v>
      </c>
      <c r="B4098" s="164">
        <v>45980</v>
      </c>
      <c r="C4098" s="34" t="s">
        <v>712</v>
      </c>
      <c r="D4098" s="53" t="str">
        <f>VLOOKUP(Sales[[#This Row],[Customer ID]],Customer[#All],2,0)</f>
        <v>Sahil Verma</v>
      </c>
      <c r="E4098" s="34" t="s">
        <v>520</v>
      </c>
      <c r="F4098" s="34" t="str">
        <f>VLOOKUP(Sales[[#This Row],[Product ID]],Product[#All],2,0)</f>
        <v>HP Desktop</v>
      </c>
      <c r="G4098" s="53">
        <v>2</v>
      </c>
      <c r="H4098" s="165">
        <f>VLOOKUP(Sales[[#This Row],[Product ID]],Product[#All],7,0)</f>
        <v>40200</v>
      </c>
      <c r="I4098" s="165">
        <f>Sales[[#This Row],[Selling Rate]]*Sales[[#This Row],[Qty]]</f>
        <v>80400</v>
      </c>
      <c r="J4098" s="45">
        <v>0.05</v>
      </c>
      <c r="K4098" s="46">
        <f>Sales[[#This Row],[Gross Amount]]*Sales[[#This Row],[Disc %]]</f>
        <v>4020</v>
      </c>
      <c r="L4098" s="43">
        <v>0.18</v>
      </c>
      <c r="M4098" s="46">
        <f>(Sales[[#This Row],[Gross Amount]]-Sales[[#This Row],[Disc. Amt.]])*Sales[[#This Row],[GST %]]</f>
        <v>13748.4</v>
      </c>
      <c r="N4098" s="161">
        <f>Sales[[#This Row],[Gross Amount]]-Sales[[#This Row],[Disc. Amt.]]+Sales[[#This Row],[GST Amount]]</f>
        <v>90128.4</v>
      </c>
      <c r="O4098" s="34" t="s">
        <v>3561</v>
      </c>
      <c r="P4098" s="34" t="s">
        <v>3562</v>
      </c>
      <c r="Q4098" s="165">
        <f>IF(Sales[[#This Row],[Status]]="Cancelled",0,Sales[[#This Row],[Qty]])</f>
        <v>2</v>
      </c>
      <c r="R4098" s="166">
        <f>IF(Sales[[#This Row],[Status]]="Cancelled",0,Sales[[#This Row],[Total Amount]])</f>
        <v>90128.4</v>
      </c>
      <c r="S4098" s="162">
        <f>SUM(Sales[Net Amount])</f>
        <v>406839287.73200053</v>
      </c>
    </row>
    <row r="4099" spans="1:19" ht="18.75" x14ac:dyDescent="0.25">
      <c r="A4099" s="156" t="s">
        <v>7777</v>
      </c>
      <c r="B4099" s="157">
        <v>45980</v>
      </c>
      <c r="C4099" s="158" t="s">
        <v>692</v>
      </c>
      <c r="D4099" s="159" t="str">
        <f>VLOOKUP(Sales[[#This Row],[Customer ID]],Customer[#All],2,0)</f>
        <v>Rahul Patel</v>
      </c>
      <c r="E4099" s="158" t="s">
        <v>12</v>
      </c>
      <c r="F4099" s="158" t="str">
        <f>VLOOKUP(Sales[[#This Row],[Product ID]],Product[#All],2,0)</f>
        <v>Boat Headset</v>
      </c>
      <c r="G4099" s="159">
        <v>6</v>
      </c>
      <c r="H4099" s="160">
        <f>VLOOKUP(Sales[[#This Row],[Product ID]],Product[#All],7,0)</f>
        <v>1990</v>
      </c>
      <c r="I4099" s="160">
        <f>Sales[[#This Row],[Selling Rate]]*Sales[[#This Row],[Qty]]</f>
        <v>11940</v>
      </c>
      <c r="J4099" s="43">
        <v>0.02</v>
      </c>
      <c r="K4099" s="44">
        <f>Sales[[#This Row],[Gross Amount]]*Sales[[#This Row],[Disc %]]</f>
        <v>238.8</v>
      </c>
      <c r="L4099" s="43">
        <v>0.18</v>
      </c>
      <c r="M4099" s="44">
        <f>(Sales[[#This Row],[Gross Amount]]-Sales[[#This Row],[Disc. Amt.]])*Sales[[#This Row],[GST %]]</f>
        <v>2106.2159999999999</v>
      </c>
      <c r="N4099" s="161">
        <f>Sales[[#This Row],[Gross Amount]]-Sales[[#This Row],[Disc. Amt.]]+Sales[[#This Row],[GST Amount]]</f>
        <v>13807.416000000001</v>
      </c>
      <c r="O4099" s="158" t="s">
        <v>3566</v>
      </c>
      <c r="P4099" s="158" t="s">
        <v>3562</v>
      </c>
      <c r="Q4099" s="160">
        <f>IF(Sales[[#This Row],[Status]]="Cancelled",0,Sales[[#This Row],[Qty]])</f>
        <v>6</v>
      </c>
      <c r="R4099" s="161">
        <f>IF(Sales[[#This Row],[Status]]="Cancelled",0,Sales[[#This Row],[Total Amount]])</f>
        <v>13807.416000000001</v>
      </c>
      <c r="S4099" s="162">
        <f>SUM(Sales[Net Amount])</f>
        <v>406839287.73200053</v>
      </c>
    </row>
    <row r="4100" spans="1:19" ht="18.75" x14ac:dyDescent="0.25">
      <c r="A4100" s="163" t="s">
        <v>7778</v>
      </c>
      <c r="B4100" s="164">
        <v>45980</v>
      </c>
      <c r="C4100" s="34" t="s">
        <v>930</v>
      </c>
      <c r="D4100" s="53" t="str">
        <f>VLOOKUP(Sales[[#This Row],[Customer ID]],Customer[#All],2,0)</f>
        <v>Rakesh Gupta</v>
      </c>
      <c r="E4100" s="34" t="s">
        <v>246</v>
      </c>
      <c r="F4100" s="34" t="str">
        <f>VLOOKUP(Sales[[#This Row],[Product ID]],Product[#All],2,0)</f>
        <v>PortronicsLaptopStand</v>
      </c>
      <c r="G4100" s="53">
        <v>8</v>
      </c>
      <c r="H4100" s="165">
        <f>VLOOKUP(Sales[[#This Row],[Product ID]],Product[#All],7,0)</f>
        <v>1600</v>
      </c>
      <c r="I4100" s="165">
        <f>Sales[[#This Row],[Selling Rate]]*Sales[[#This Row],[Qty]]</f>
        <v>12800</v>
      </c>
      <c r="J4100" s="45">
        <v>0.12</v>
      </c>
      <c r="K4100" s="46">
        <f>Sales[[#This Row],[Gross Amount]]*Sales[[#This Row],[Disc %]]</f>
        <v>1536</v>
      </c>
      <c r="L4100" s="43">
        <v>0.18</v>
      </c>
      <c r="M4100" s="46">
        <f>(Sales[[#This Row],[Gross Amount]]-Sales[[#This Row],[Disc. Amt.]])*Sales[[#This Row],[GST %]]</f>
        <v>2027.52</v>
      </c>
      <c r="N4100" s="161">
        <f>Sales[[#This Row],[Gross Amount]]-Sales[[#This Row],[Disc. Amt.]]+Sales[[#This Row],[GST Amount]]</f>
        <v>13291.52</v>
      </c>
      <c r="O4100" s="34" t="s">
        <v>3561</v>
      </c>
      <c r="P4100" s="34" t="s">
        <v>3562</v>
      </c>
      <c r="Q4100" s="165">
        <f>IF(Sales[[#This Row],[Status]]="Cancelled",0,Sales[[#This Row],[Qty]])</f>
        <v>8</v>
      </c>
      <c r="R4100" s="166">
        <f>IF(Sales[[#This Row],[Status]]="Cancelled",0,Sales[[#This Row],[Total Amount]])</f>
        <v>13291.52</v>
      </c>
      <c r="S4100" s="162">
        <f>SUM(Sales[Net Amount])</f>
        <v>406839287.73200053</v>
      </c>
    </row>
    <row r="4101" spans="1:19" ht="18.75" x14ac:dyDescent="0.25">
      <c r="A4101" s="156" t="s">
        <v>7779</v>
      </c>
      <c r="B4101" s="157">
        <v>45980</v>
      </c>
      <c r="C4101" s="158" t="s">
        <v>687</v>
      </c>
      <c r="D4101" s="159" t="str">
        <f>VLOOKUP(Sales[[#This Row],[Customer ID]],Customer[#All],2,0)</f>
        <v>Rahul Verma</v>
      </c>
      <c r="E4101" s="158" t="s">
        <v>80</v>
      </c>
      <c r="F4101" s="158" t="str">
        <f>VLOOKUP(Sales[[#This Row],[Product ID]],Product[#All],2,0)</f>
        <v>Epson Printer</v>
      </c>
      <c r="G4101" s="159">
        <v>3</v>
      </c>
      <c r="H4101" s="160">
        <f>VLOOKUP(Sales[[#This Row],[Product ID]],Product[#All],7,0)</f>
        <v>41620</v>
      </c>
      <c r="I4101" s="160">
        <f>Sales[[#This Row],[Selling Rate]]*Sales[[#This Row],[Qty]]</f>
        <v>124860</v>
      </c>
      <c r="J4101" s="43">
        <v>0.05</v>
      </c>
      <c r="K4101" s="44">
        <f>Sales[[#This Row],[Gross Amount]]*Sales[[#This Row],[Disc %]]</f>
        <v>6243</v>
      </c>
      <c r="L4101" s="43">
        <v>0.18</v>
      </c>
      <c r="M4101" s="44">
        <f>(Sales[[#This Row],[Gross Amount]]-Sales[[#This Row],[Disc. Amt.]])*Sales[[#This Row],[GST %]]</f>
        <v>21351.059999999998</v>
      </c>
      <c r="N4101" s="161">
        <f>Sales[[#This Row],[Gross Amount]]-Sales[[#This Row],[Disc. Amt.]]+Sales[[#This Row],[GST Amount]]</f>
        <v>139968.06</v>
      </c>
      <c r="O4101" s="158" t="s">
        <v>8876</v>
      </c>
      <c r="P4101" s="158" t="s">
        <v>3562</v>
      </c>
      <c r="Q4101" s="160">
        <f>IF(Sales[[#This Row],[Status]]="Cancelled",0,Sales[[#This Row],[Qty]])</f>
        <v>3</v>
      </c>
      <c r="R4101" s="161">
        <f>IF(Sales[[#This Row],[Status]]="Cancelled",0,Sales[[#This Row],[Total Amount]])</f>
        <v>139968.06</v>
      </c>
      <c r="S4101" s="162">
        <f>SUM(Sales[Net Amount])</f>
        <v>406839287.73200053</v>
      </c>
    </row>
    <row r="4102" spans="1:19" ht="18.75" x14ac:dyDescent="0.25">
      <c r="A4102" s="163" t="s">
        <v>7780</v>
      </c>
      <c r="B4102" s="164">
        <v>45980</v>
      </c>
      <c r="C4102" s="34" t="s">
        <v>945</v>
      </c>
      <c r="D4102" s="53" t="str">
        <f>VLOOKUP(Sales[[#This Row],[Customer ID]],Customer[#All],2,0)</f>
        <v>Rahul Singh</v>
      </c>
      <c r="E4102" s="34" t="s">
        <v>331</v>
      </c>
      <c r="F4102" s="34" t="str">
        <f>VLOOKUP(Sales[[#This Row],[Product ID]],Product[#All],2,0)</f>
        <v>Dell Keyboard</v>
      </c>
      <c r="G4102" s="53">
        <v>2</v>
      </c>
      <c r="H4102" s="165">
        <f>VLOOKUP(Sales[[#This Row],[Product ID]],Product[#All],7,0)</f>
        <v>2070</v>
      </c>
      <c r="I4102" s="165">
        <f>Sales[[#This Row],[Selling Rate]]*Sales[[#This Row],[Qty]]</f>
        <v>4140</v>
      </c>
      <c r="J4102" s="45">
        <v>0</v>
      </c>
      <c r="K4102" s="46">
        <f>Sales[[#This Row],[Gross Amount]]*Sales[[#This Row],[Disc %]]</f>
        <v>0</v>
      </c>
      <c r="L4102" s="43">
        <v>0.18</v>
      </c>
      <c r="M4102" s="46">
        <f>(Sales[[#This Row],[Gross Amount]]-Sales[[#This Row],[Disc. Amt.]])*Sales[[#This Row],[GST %]]</f>
        <v>745.19999999999993</v>
      </c>
      <c r="N4102" s="161">
        <f>Sales[[#This Row],[Gross Amount]]-Sales[[#This Row],[Disc. Amt.]]+Sales[[#This Row],[GST Amount]]</f>
        <v>4885.2</v>
      </c>
      <c r="O4102" s="34" t="s">
        <v>3569</v>
      </c>
      <c r="P4102" s="34" t="s">
        <v>3562</v>
      </c>
      <c r="Q4102" s="165">
        <f>IF(Sales[[#This Row],[Status]]="Cancelled",0,Sales[[#This Row],[Qty]])</f>
        <v>2</v>
      </c>
      <c r="R4102" s="166">
        <f>IF(Sales[[#This Row],[Status]]="Cancelled",0,Sales[[#This Row],[Total Amount]])</f>
        <v>4885.2</v>
      </c>
      <c r="S4102" s="162">
        <f>SUM(Sales[Net Amount])</f>
        <v>406839287.73200053</v>
      </c>
    </row>
    <row r="4103" spans="1:19" ht="18.75" x14ac:dyDescent="0.25">
      <c r="A4103" s="156" t="s">
        <v>7781</v>
      </c>
      <c r="B4103" s="157">
        <v>45980</v>
      </c>
      <c r="C4103" s="158" t="s">
        <v>921</v>
      </c>
      <c r="D4103" s="159" t="str">
        <f>VLOOKUP(Sales[[#This Row],[Customer ID]],Customer[#All],2,0)</f>
        <v>Sahil Gupta</v>
      </c>
      <c r="E4103" s="158" t="s">
        <v>360</v>
      </c>
      <c r="F4103" s="158" t="str">
        <f>VLOOKUP(Sales[[#This Row],[Product ID]],Product[#All],2,0)</f>
        <v>Canon Printer</v>
      </c>
      <c r="G4103" s="159">
        <v>4</v>
      </c>
      <c r="H4103" s="160">
        <f>VLOOKUP(Sales[[#This Row],[Product ID]],Product[#All],7,0)</f>
        <v>29670</v>
      </c>
      <c r="I4103" s="160">
        <f>Sales[[#This Row],[Selling Rate]]*Sales[[#This Row],[Qty]]</f>
        <v>118680</v>
      </c>
      <c r="J4103" s="43">
        <v>0.15</v>
      </c>
      <c r="K4103" s="44">
        <f>Sales[[#This Row],[Gross Amount]]*Sales[[#This Row],[Disc %]]</f>
        <v>17802</v>
      </c>
      <c r="L4103" s="43">
        <v>0.18</v>
      </c>
      <c r="M4103" s="44">
        <f>(Sales[[#This Row],[Gross Amount]]-Sales[[#This Row],[Disc. Amt.]])*Sales[[#This Row],[GST %]]</f>
        <v>18158.04</v>
      </c>
      <c r="N4103" s="161">
        <f>Sales[[#This Row],[Gross Amount]]-Sales[[#This Row],[Disc. Amt.]]+Sales[[#This Row],[GST Amount]]</f>
        <v>119036.04000000001</v>
      </c>
      <c r="O4103" s="158" t="s">
        <v>3569</v>
      </c>
      <c r="P4103" s="158" t="s">
        <v>3562</v>
      </c>
      <c r="Q4103" s="160">
        <f>IF(Sales[[#This Row],[Status]]="Cancelled",0,Sales[[#This Row],[Qty]])</f>
        <v>4</v>
      </c>
      <c r="R4103" s="161">
        <f>IF(Sales[[#This Row],[Status]]="Cancelled",0,Sales[[#This Row],[Total Amount]])</f>
        <v>119036.04000000001</v>
      </c>
      <c r="S4103" s="162">
        <f>SUM(Sales[Net Amount])</f>
        <v>406839287.73200053</v>
      </c>
    </row>
    <row r="4104" spans="1:19" ht="18.75" x14ac:dyDescent="0.25">
      <c r="A4104" s="163" t="s">
        <v>7782</v>
      </c>
      <c r="B4104" s="164">
        <v>45980</v>
      </c>
      <c r="C4104" s="34" t="s">
        <v>829</v>
      </c>
      <c r="D4104" s="53" t="str">
        <f>VLOOKUP(Sales[[#This Row],[Customer ID]],Customer[#All],2,0)</f>
        <v>Pooja Patel</v>
      </c>
      <c r="E4104" s="34" t="s">
        <v>175</v>
      </c>
      <c r="F4104" s="34" t="str">
        <f>VLOOKUP(Sales[[#This Row],[Product ID]],Product[#All],2,0)</f>
        <v>Boat Headset</v>
      </c>
      <c r="G4104" s="53">
        <v>3</v>
      </c>
      <c r="H4104" s="165">
        <f>VLOOKUP(Sales[[#This Row],[Product ID]],Product[#All],7,0)</f>
        <v>2030</v>
      </c>
      <c r="I4104" s="165">
        <f>Sales[[#This Row],[Selling Rate]]*Sales[[#This Row],[Qty]]</f>
        <v>6090</v>
      </c>
      <c r="J4104" s="45">
        <v>0.02</v>
      </c>
      <c r="K4104" s="46">
        <f>Sales[[#This Row],[Gross Amount]]*Sales[[#This Row],[Disc %]]</f>
        <v>121.8</v>
      </c>
      <c r="L4104" s="43">
        <v>0.18</v>
      </c>
      <c r="M4104" s="46">
        <f>(Sales[[#This Row],[Gross Amount]]-Sales[[#This Row],[Disc. Amt.]])*Sales[[#This Row],[GST %]]</f>
        <v>1074.2759999999998</v>
      </c>
      <c r="N4104" s="161">
        <f>Sales[[#This Row],[Gross Amount]]-Sales[[#This Row],[Disc. Amt.]]+Sales[[#This Row],[GST Amount]]</f>
        <v>7042.4759999999997</v>
      </c>
      <c r="O4104" s="34" t="s">
        <v>3561</v>
      </c>
      <c r="P4104" s="34" t="s">
        <v>3562</v>
      </c>
      <c r="Q4104" s="165">
        <f>IF(Sales[[#This Row],[Status]]="Cancelled",0,Sales[[#This Row],[Qty]])</f>
        <v>3</v>
      </c>
      <c r="R4104" s="166">
        <f>IF(Sales[[#This Row],[Status]]="Cancelled",0,Sales[[#This Row],[Total Amount]])</f>
        <v>7042.4759999999997</v>
      </c>
      <c r="S4104" s="162">
        <f>SUM(Sales[Net Amount])</f>
        <v>406839287.73200053</v>
      </c>
    </row>
    <row r="4105" spans="1:19" ht="18.75" x14ac:dyDescent="0.25">
      <c r="A4105" s="156" t="s">
        <v>7783</v>
      </c>
      <c r="B4105" s="157">
        <v>45980</v>
      </c>
      <c r="C4105" s="158" t="s">
        <v>787</v>
      </c>
      <c r="D4105" s="159" t="str">
        <f>VLOOKUP(Sales[[#This Row],[Customer ID]],Customer[#All],2,0)</f>
        <v>Amit Singh</v>
      </c>
      <c r="E4105" s="158" t="s">
        <v>519</v>
      </c>
      <c r="F4105" s="158" t="str">
        <f>VLOOKUP(Sales[[#This Row],[Product ID]],Product[#All],2,0)</f>
        <v>WD HDD</v>
      </c>
      <c r="G4105" s="159">
        <v>1</v>
      </c>
      <c r="H4105" s="160">
        <f>VLOOKUP(Sales[[#This Row],[Product ID]],Product[#All],7,0)</f>
        <v>8730</v>
      </c>
      <c r="I4105" s="160">
        <f>Sales[[#This Row],[Selling Rate]]*Sales[[#This Row],[Qty]]</f>
        <v>8730</v>
      </c>
      <c r="J4105" s="43">
        <v>0</v>
      </c>
      <c r="K4105" s="44">
        <f>Sales[[#This Row],[Gross Amount]]*Sales[[#This Row],[Disc %]]</f>
        <v>0</v>
      </c>
      <c r="L4105" s="43">
        <v>0.18</v>
      </c>
      <c r="M4105" s="44">
        <f>(Sales[[#This Row],[Gross Amount]]-Sales[[#This Row],[Disc. Amt.]])*Sales[[#This Row],[GST %]]</f>
        <v>1571.3999999999999</v>
      </c>
      <c r="N4105" s="161">
        <f>Sales[[#This Row],[Gross Amount]]-Sales[[#This Row],[Disc. Amt.]]+Sales[[#This Row],[GST Amount]]</f>
        <v>10301.4</v>
      </c>
      <c r="O4105" s="158" t="s">
        <v>8876</v>
      </c>
      <c r="P4105" s="158" t="s">
        <v>3562</v>
      </c>
      <c r="Q4105" s="160">
        <f>IF(Sales[[#This Row],[Status]]="Cancelled",0,Sales[[#This Row],[Qty]])</f>
        <v>1</v>
      </c>
      <c r="R4105" s="161">
        <f>IF(Sales[[#This Row],[Status]]="Cancelled",0,Sales[[#This Row],[Total Amount]])</f>
        <v>10301.4</v>
      </c>
      <c r="S4105" s="162">
        <f>SUM(Sales[Net Amount])</f>
        <v>406839287.73200053</v>
      </c>
    </row>
    <row r="4106" spans="1:19" ht="18.75" x14ac:dyDescent="0.25">
      <c r="A4106" s="163" t="s">
        <v>7784</v>
      </c>
      <c r="B4106" s="164">
        <v>45980</v>
      </c>
      <c r="C4106" s="34" t="s">
        <v>795</v>
      </c>
      <c r="D4106" s="53" t="str">
        <f>VLOOKUP(Sales[[#This Row],[Customer ID]],Customer[#All],2,0)</f>
        <v>Sahil Gupta</v>
      </c>
      <c r="E4106" s="34" t="s">
        <v>220</v>
      </c>
      <c r="F4106" s="34" t="str">
        <f>VLOOKUP(Sales[[#This Row],[Product ID]],Product[#All],2,0)</f>
        <v>HP Desktop</v>
      </c>
      <c r="G4106" s="53">
        <v>7</v>
      </c>
      <c r="H4106" s="165">
        <f>VLOOKUP(Sales[[#This Row],[Product ID]],Product[#All],7,0)</f>
        <v>40570</v>
      </c>
      <c r="I4106" s="165">
        <f>Sales[[#This Row],[Selling Rate]]*Sales[[#This Row],[Qty]]</f>
        <v>283990</v>
      </c>
      <c r="J4106" s="45">
        <v>0.05</v>
      </c>
      <c r="K4106" s="46">
        <f>Sales[[#This Row],[Gross Amount]]*Sales[[#This Row],[Disc %]]</f>
        <v>14199.5</v>
      </c>
      <c r="L4106" s="43">
        <v>0.18</v>
      </c>
      <c r="M4106" s="46">
        <f>(Sales[[#This Row],[Gross Amount]]-Sales[[#This Row],[Disc. Amt.]])*Sales[[#This Row],[GST %]]</f>
        <v>48562.29</v>
      </c>
      <c r="N4106" s="161">
        <f>Sales[[#This Row],[Gross Amount]]-Sales[[#This Row],[Disc. Amt.]]+Sales[[#This Row],[GST Amount]]</f>
        <v>318352.78999999998</v>
      </c>
      <c r="O4106" s="34" t="s">
        <v>3561</v>
      </c>
      <c r="P4106" s="34" t="s">
        <v>3562</v>
      </c>
      <c r="Q4106" s="165">
        <f>IF(Sales[[#This Row],[Status]]="Cancelled",0,Sales[[#This Row],[Qty]])</f>
        <v>7</v>
      </c>
      <c r="R4106" s="166">
        <f>IF(Sales[[#This Row],[Status]]="Cancelled",0,Sales[[#This Row],[Total Amount]])</f>
        <v>318352.78999999998</v>
      </c>
      <c r="S4106" s="162">
        <f>SUM(Sales[Net Amount])</f>
        <v>406839287.73200053</v>
      </c>
    </row>
    <row r="4107" spans="1:19" ht="18.75" x14ac:dyDescent="0.25">
      <c r="A4107" s="156" t="s">
        <v>7785</v>
      </c>
      <c r="B4107" s="157">
        <v>45980</v>
      </c>
      <c r="C4107" s="158" t="s">
        <v>914</v>
      </c>
      <c r="D4107" s="159" t="str">
        <f>VLOOKUP(Sales[[#This Row],[Customer ID]],Customer[#All],2,0)</f>
        <v>Rakesh Patel</v>
      </c>
      <c r="E4107" s="158" t="s">
        <v>383</v>
      </c>
      <c r="F4107" s="158" t="str">
        <f>VLOOKUP(Sales[[#This Row],[Product ID]],Product[#All],2,0)</f>
        <v>Logitech Mouse</v>
      </c>
      <c r="G4107" s="159">
        <v>4</v>
      </c>
      <c r="H4107" s="160">
        <f>VLOOKUP(Sales[[#This Row],[Product ID]],Product[#All],7,0)</f>
        <v>3080</v>
      </c>
      <c r="I4107" s="160">
        <f>Sales[[#This Row],[Selling Rate]]*Sales[[#This Row],[Qty]]</f>
        <v>12320</v>
      </c>
      <c r="J4107" s="43">
        <v>0</v>
      </c>
      <c r="K4107" s="44">
        <f>Sales[[#This Row],[Gross Amount]]*Sales[[#This Row],[Disc %]]</f>
        <v>0</v>
      </c>
      <c r="L4107" s="43">
        <v>0.18</v>
      </c>
      <c r="M4107" s="44">
        <f>(Sales[[#This Row],[Gross Amount]]-Sales[[#This Row],[Disc. Amt.]])*Sales[[#This Row],[GST %]]</f>
        <v>2217.6</v>
      </c>
      <c r="N4107" s="161">
        <f>Sales[[#This Row],[Gross Amount]]-Sales[[#This Row],[Disc. Amt.]]+Sales[[#This Row],[GST Amount]]</f>
        <v>14537.6</v>
      </c>
      <c r="O4107" s="158" t="s">
        <v>8876</v>
      </c>
      <c r="P4107" s="158" t="s">
        <v>3562</v>
      </c>
      <c r="Q4107" s="160">
        <f>IF(Sales[[#This Row],[Status]]="Cancelled",0,Sales[[#This Row],[Qty]])</f>
        <v>4</v>
      </c>
      <c r="R4107" s="161">
        <f>IF(Sales[[#This Row],[Status]]="Cancelled",0,Sales[[#This Row],[Total Amount]])</f>
        <v>14537.6</v>
      </c>
      <c r="S4107" s="162">
        <f>SUM(Sales[Net Amount])</f>
        <v>406839287.73200053</v>
      </c>
    </row>
    <row r="4108" spans="1:19" ht="18.75" x14ac:dyDescent="0.25">
      <c r="A4108" s="163" t="s">
        <v>7786</v>
      </c>
      <c r="B4108" s="164">
        <v>45980</v>
      </c>
      <c r="C4108" s="34" t="s">
        <v>688</v>
      </c>
      <c r="D4108" s="53" t="str">
        <f>VLOOKUP(Sales[[#This Row],[Customer ID]],Customer[#All],2,0)</f>
        <v>Rahul Verma</v>
      </c>
      <c r="E4108" s="34" t="s">
        <v>7</v>
      </c>
      <c r="F4108" s="34" t="str">
        <f>VLOOKUP(Sales[[#This Row],[Product ID]],Product[#All],2,0)</f>
        <v>Dell Desktop</v>
      </c>
      <c r="G4108" s="53">
        <v>7</v>
      </c>
      <c r="H4108" s="165">
        <f>VLOOKUP(Sales[[#This Row],[Product ID]],Product[#All],7,0)</f>
        <v>33010</v>
      </c>
      <c r="I4108" s="165">
        <f>Sales[[#This Row],[Selling Rate]]*Sales[[#This Row],[Qty]]</f>
        <v>231070</v>
      </c>
      <c r="J4108" s="45">
        <v>0.05</v>
      </c>
      <c r="K4108" s="46">
        <f>Sales[[#This Row],[Gross Amount]]*Sales[[#This Row],[Disc %]]</f>
        <v>11553.5</v>
      </c>
      <c r="L4108" s="43">
        <v>0.18</v>
      </c>
      <c r="M4108" s="46">
        <f>(Sales[[#This Row],[Gross Amount]]-Sales[[#This Row],[Disc. Amt.]])*Sales[[#This Row],[GST %]]</f>
        <v>39512.97</v>
      </c>
      <c r="N4108" s="161">
        <f>Sales[[#This Row],[Gross Amount]]-Sales[[#This Row],[Disc. Amt.]]+Sales[[#This Row],[GST Amount]]</f>
        <v>259029.47</v>
      </c>
      <c r="O4108" s="34" t="s">
        <v>3561</v>
      </c>
      <c r="P4108" s="34" t="s">
        <v>3562</v>
      </c>
      <c r="Q4108" s="165">
        <f>IF(Sales[[#This Row],[Status]]="Cancelled",0,Sales[[#This Row],[Qty]])</f>
        <v>7</v>
      </c>
      <c r="R4108" s="166">
        <f>IF(Sales[[#This Row],[Status]]="Cancelled",0,Sales[[#This Row],[Total Amount]])</f>
        <v>259029.47</v>
      </c>
      <c r="S4108" s="162">
        <f>SUM(Sales[Net Amount])</f>
        <v>406839287.73200053</v>
      </c>
    </row>
    <row r="4109" spans="1:19" ht="18.75" x14ac:dyDescent="0.25">
      <c r="A4109" s="156" t="s">
        <v>7787</v>
      </c>
      <c r="B4109" s="157">
        <v>45980</v>
      </c>
      <c r="C4109" s="158" t="s">
        <v>779</v>
      </c>
      <c r="D4109" s="159" t="str">
        <f>VLOOKUP(Sales[[#This Row],[Customer ID]],Customer[#All],2,0)</f>
        <v>Rakesh Verma</v>
      </c>
      <c r="E4109" s="158" t="s">
        <v>517</v>
      </c>
      <c r="F4109" s="158" t="str">
        <f>VLOOKUP(Sales[[#This Row],[Product ID]],Product[#All],2,0)</f>
        <v>Dell Laptop</v>
      </c>
      <c r="G4109" s="159">
        <v>2</v>
      </c>
      <c r="H4109" s="160">
        <f>VLOOKUP(Sales[[#This Row],[Product ID]],Product[#All],7,0)</f>
        <v>81860</v>
      </c>
      <c r="I4109" s="160">
        <f>Sales[[#This Row],[Selling Rate]]*Sales[[#This Row],[Qty]]</f>
        <v>163720</v>
      </c>
      <c r="J4109" s="43">
        <v>0.05</v>
      </c>
      <c r="K4109" s="44">
        <f>Sales[[#This Row],[Gross Amount]]*Sales[[#This Row],[Disc %]]</f>
        <v>8186</v>
      </c>
      <c r="L4109" s="43">
        <v>0.18</v>
      </c>
      <c r="M4109" s="44">
        <f>(Sales[[#This Row],[Gross Amount]]-Sales[[#This Row],[Disc. Amt.]])*Sales[[#This Row],[GST %]]</f>
        <v>27996.12</v>
      </c>
      <c r="N4109" s="161">
        <f>Sales[[#This Row],[Gross Amount]]-Sales[[#This Row],[Disc. Amt.]]+Sales[[#This Row],[GST Amount]]</f>
        <v>183530.12</v>
      </c>
      <c r="O4109" s="158" t="s">
        <v>3561</v>
      </c>
      <c r="P4109" s="158" t="s">
        <v>3562</v>
      </c>
      <c r="Q4109" s="160">
        <f>IF(Sales[[#This Row],[Status]]="Cancelled",0,Sales[[#This Row],[Qty]])</f>
        <v>2</v>
      </c>
      <c r="R4109" s="161">
        <f>IF(Sales[[#This Row],[Status]]="Cancelled",0,Sales[[#This Row],[Total Amount]])</f>
        <v>183530.12</v>
      </c>
      <c r="S4109" s="162">
        <f>SUM(Sales[Net Amount])</f>
        <v>406839287.73200053</v>
      </c>
    </row>
    <row r="4110" spans="1:19" ht="18.75" x14ac:dyDescent="0.25">
      <c r="A4110" s="163" t="s">
        <v>7788</v>
      </c>
      <c r="B4110" s="164">
        <v>45980</v>
      </c>
      <c r="C4110" s="34" t="s">
        <v>660</v>
      </c>
      <c r="D4110" s="53" t="str">
        <f>VLOOKUP(Sales[[#This Row],[Customer ID]],Customer[#All],2,0)</f>
        <v>Priya Sharma</v>
      </c>
      <c r="E4110" s="34" t="s">
        <v>205</v>
      </c>
      <c r="F4110" s="34" t="str">
        <f>VLOOKUP(Sales[[#This Row],[Product ID]],Product[#All],2,0)</f>
        <v>HP Power Adapter</v>
      </c>
      <c r="G4110" s="53">
        <v>6</v>
      </c>
      <c r="H4110" s="165">
        <f>VLOOKUP(Sales[[#This Row],[Product ID]],Product[#All],7,0)</f>
        <v>4820</v>
      </c>
      <c r="I4110" s="165">
        <f>Sales[[#This Row],[Selling Rate]]*Sales[[#This Row],[Qty]]</f>
        <v>28920</v>
      </c>
      <c r="J4110" s="45">
        <v>0</v>
      </c>
      <c r="K4110" s="46">
        <f>Sales[[#This Row],[Gross Amount]]*Sales[[#This Row],[Disc %]]</f>
        <v>0</v>
      </c>
      <c r="L4110" s="43">
        <v>0.18</v>
      </c>
      <c r="M4110" s="46">
        <f>(Sales[[#This Row],[Gross Amount]]-Sales[[#This Row],[Disc. Amt.]])*Sales[[#This Row],[GST %]]</f>
        <v>5205.5999999999995</v>
      </c>
      <c r="N4110" s="161">
        <f>Sales[[#This Row],[Gross Amount]]-Sales[[#This Row],[Disc. Amt.]]+Sales[[#This Row],[GST Amount]]</f>
        <v>34125.599999999999</v>
      </c>
      <c r="O4110" s="34" t="s">
        <v>3569</v>
      </c>
      <c r="P4110" s="34" t="s">
        <v>3562</v>
      </c>
      <c r="Q4110" s="165">
        <f>IF(Sales[[#This Row],[Status]]="Cancelled",0,Sales[[#This Row],[Qty]])</f>
        <v>6</v>
      </c>
      <c r="R4110" s="166">
        <f>IF(Sales[[#This Row],[Status]]="Cancelled",0,Sales[[#This Row],[Total Amount]])</f>
        <v>34125.599999999999</v>
      </c>
      <c r="S4110" s="162">
        <f>SUM(Sales[Net Amount])</f>
        <v>406839287.73200053</v>
      </c>
    </row>
    <row r="4111" spans="1:19" ht="18.75" x14ac:dyDescent="0.25">
      <c r="A4111" s="156" t="s">
        <v>7789</v>
      </c>
      <c r="B4111" s="157">
        <v>45980</v>
      </c>
      <c r="C4111" s="158" t="s">
        <v>894</v>
      </c>
      <c r="D4111" s="159" t="str">
        <f>VLOOKUP(Sales[[#This Row],[Customer ID]],Customer[#All],2,0)</f>
        <v>Sunita Patel</v>
      </c>
      <c r="E4111" s="158" t="s">
        <v>382</v>
      </c>
      <c r="F4111" s="158" t="str">
        <f>VLOOKUP(Sales[[#This Row],[Product ID]],Product[#All],2,0)</f>
        <v>Canon Printer</v>
      </c>
      <c r="G4111" s="159">
        <v>6</v>
      </c>
      <c r="H4111" s="160">
        <f>VLOOKUP(Sales[[#This Row],[Product ID]],Product[#All],7,0)</f>
        <v>32930</v>
      </c>
      <c r="I4111" s="160">
        <f>Sales[[#This Row],[Selling Rate]]*Sales[[#This Row],[Qty]]</f>
        <v>197580</v>
      </c>
      <c r="J4111" s="43">
        <v>0.02</v>
      </c>
      <c r="K4111" s="44">
        <f>Sales[[#This Row],[Gross Amount]]*Sales[[#This Row],[Disc %]]</f>
        <v>3951.6</v>
      </c>
      <c r="L4111" s="43">
        <v>0.18</v>
      </c>
      <c r="M4111" s="44">
        <f>(Sales[[#This Row],[Gross Amount]]-Sales[[#This Row],[Disc. Amt.]])*Sales[[#This Row],[GST %]]</f>
        <v>34853.112000000001</v>
      </c>
      <c r="N4111" s="161">
        <f>Sales[[#This Row],[Gross Amount]]-Sales[[#This Row],[Disc. Amt.]]+Sales[[#This Row],[GST Amount]]</f>
        <v>228481.51199999999</v>
      </c>
      <c r="O4111" s="158" t="s">
        <v>3561</v>
      </c>
      <c r="P4111" s="158" t="s">
        <v>3562</v>
      </c>
      <c r="Q4111" s="160">
        <f>IF(Sales[[#This Row],[Status]]="Cancelled",0,Sales[[#This Row],[Qty]])</f>
        <v>6</v>
      </c>
      <c r="R4111" s="161">
        <f>IF(Sales[[#This Row],[Status]]="Cancelled",0,Sales[[#This Row],[Total Amount]])</f>
        <v>228481.51199999999</v>
      </c>
      <c r="S4111" s="162">
        <f>SUM(Sales[Net Amount])</f>
        <v>406839287.73200053</v>
      </c>
    </row>
    <row r="4112" spans="1:19" ht="18.75" x14ac:dyDescent="0.25">
      <c r="A4112" s="163" t="s">
        <v>7790</v>
      </c>
      <c r="B4112" s="164">
        <v>45980</v>
      </c>
      <c r="C4112" s="34" t="s">
        <v>940</v>
      </c>
      <c r="D4112" s="53" t="str">
        <f>VLOOKUP(Sales[[#This Row],[Customer ID]],Customer[#All],2,0)</f>
        <v>Rakesh Sharma</v>
      </c>
      <c r="E4112" s="34" t="s">
        <v>341</v>
      </c>
      <c r="F4112" s="34" t="str">
        <f>VLOOKUP(Sales[[#This Row],[Product ID]],Product[#All],2,0)</f>
        <v>Dell Monitor</v>
      </c>
      <c r="G4112" s="53">
        <v>2</v>
      </c>
      <c r="H4112" s="165">
        <f>VLOOKUP(Sales[[#This Row],[Product ID]],Product[#All],7,0)</f>
        <v>20280</v>
      </c>
      <c r="I4112" s="165">
        <f>Sales[[#This Row],[Selling Rate]]*Sales[[#This Row],[Qty]]</f>
        <v>40560</v>
      </c>
      <c r="J4112" s="45">
        <v>0.05</v>
      </c>
      <c r="K4112" s="46">
        <f>Sales[[#This Row],[Gross Amount]]*Sales[[#This Row],[Disc %]]</f>
        <v>2028</v>
      </c>
      <c r="L4112" s="43">
        <v>0.18</v>
      </c>
      <c r="M4112" s="46">
        <f>(Sales[[#This Row],[Gross Amount]]-Sales[[#This Row],[Disc. Amt.]])*Sales[[#This Row],[GST %]]</f>
        <v>6935.7599999999993</v>
      </c>
      <c r="N4112" s="161">
        <f>Sales[[#This Row],[Gross Amount]]-Sales[[#This Row],[Disc. Amt.]]+Sales[[#This Row],[GST Amount]]</f>
        <v>45467.76</v>
      </c>
      <c r="O4112" s="34" t="s">
        <v>3569</v>
      </c>
      <c r="P4112" s="34" t="s">
        <v>3562</v>
      </c>
      <c r="Q4112" s="165">
        <f>IF(Sales[[#This Row],[Status]]="Cancelled",0,Sales[[#This Row],[Qty]])</f>
        <v>2</v>
      </c>
      <c r="R4112" s="166">
        <f>IF(Sales[[#This Row],[Status]]="Cancelled",0,Sales[[#This Row],[Total Amount]])</f>
        <v>45467.76</v>
      </c>
      <c r="S4112" s="162">
        <f>SUM(Sales[Net Amount])</f>
        <v>406839287.73200053</v>
      </c>
    </row>
    <row r="4113" spans="1:19" ht="18.75" x14ac:dyDescent="0.25">
      <c r="A4113" s="156" t="s">
        <v>7791</v>
      </c>
      <c r="B4113" s="157">
        <v>45980</v>
      </c>
      <c r="C4113" s="158" t="s">
        <v>683</v>
      </c>
      <c r="D4113" s="159" t="str">
        <f>VLOOKUP(Sales[[#This Row],[Customer ID]],Customer[#All],2,0)</f>
        <v>Rahul Kumar</v>
      </c>
      <c r="E4113" s="158" t="s">
        <v>260</v>
      </c>
      <c r="F4113" s="158" t="str">
        <f>VLOOKUP(Sales[[#This Row],[Product ID]],Product[#All],2,0)</f>
        <v>Corsair Ram</v>
      </c>
      <c r="G4113" s="159">
        <v>4</v>
      </c>
      <c r="H4113" s="160">
        <f>VLOOKUP(Sales[[#This Row],[Product ID]],Product[#All],7,0)</f>
        <v>6010</v>
      </c>
      <c r="I4113" s="160">
        <f>Sales[[#This Row],[Selling Rate]]*Sales[[#This Row],[Qty]]</f>
        <v>24040</v>
      </c>
      <c r="J4113" s="43">
        <v>0.1</v>
      </c>
      <c r="K4113" s="44">
        <f>Sales[[#This Row],[Gross Amount]]*Sales[[#This Row],[Disc %]]</f>
        <v>2404</v>
      </c>
      <c r="L4113" s="43">
        <v>0.18</v>
      </c>
      <c r="M4113" s="44">
        <f>(Sales[[#This Row],[Gross Amount]]-Sales[[#This Row],[Disc. Amt.]])*Sales[[#This Row],[GST %]]</f>
        <v>3894.48</v>
      </c>
      <c r="N4113" s="161">
        <f>Sales[[#This Row],[Gross Amount]]-Sales[[#This Row],[Disc. Amt.]]+Sales[[#This Row],[GST Amount]]</f>
        <v>25530.48</v>
      </c>
      <c r="O4113" s="158" t="s">
        <v>3566</v>
      </c>
      <c r="P4113" s="158" t="s">
        <v>3562</v>
      </c>
      <c r="Q4113" s="160">
        <f>IF(Sales[[#This Row],[Status]]="Cancelled",0,Sales[[#This Row],[Qty]])</f>
        <v>4</v>
      </c>
      <c r="R4113" s="161">
        <f>IF(Sales[[#This Row],[Status]]="Cancelled",0,Sales[[#This Row],[Total Amount]])</f>
        <v>25530.48</v>
      </c>
      <c r="S4113" s="162">
        <f>SUM(Sales[Net Amount])</f>
        <v>406839287.73200053</v>
      </c>
    </row>
    <row r="4114" spans="1:19" ht="18.75" x14ac:dyDescent="0.25">
      <c r="A4114" s="163" t="s">
        <v>7792</v>
      </c>
      <c r="B4114" s="164">
        <v>45980</v>
      </c>
      <c r="C4114" s="34" t="s">
        <v>702</v>
      </c>
      <c r="D4114" s="53" t="str">
        <f>VLOOKUP(Sales[[#This Row],[Customer ID]],Customer[#All],2,0)</f>
        <v>Amit Patel</v>
      </c>
      <c r="E4114" s="34" t="s">
        <v>35</v>
      </c>
      <c r="F4114" s="34" t="str">
        <f>VLOOKUP(Sales[[#This Row],[Product ID]],Product[#All],2,0)</f>
        <v>Dell Keyboard</v>
      </c>
      <c r="G4114" s="53">
        <v>2</v>
      </c>
      <c r="H4114" s="165">
        <f>VLOOKUP(Sales[[#This Row],[Product ID]],Product[#All],7,0)</f>
        <v>3560</v>
      </c>
      <c r="I4114" s="165">
        <f>Sales[[#This Row],[Selling Rate]]*Sales[[#This Row],[Qty]]</f>
        <v>7120</v>
      </c>
      <c r="J4114" s="45">
        <v>0</v>
      </c>
      <c r="K4114" s="46">
        <f>Sales[[#This Row],[Gross Amount]]*Sales[[#This Row],[Disc %]]</f>
        <v>0</v>
      </c>
      <c r="L4114" s="43">
        <v>0.18</v>
      </c>
      <c r="M4114" s="46">
        <f>(Sales[[#This Row],[Gross Amount]]-Sales[[#This Row],[Disc. Amt.]])*Sales[[#This Row],[GST %]]</f>
        <v>1281.5999999999999</v>
      </c>
      <c r="N4114" s="161">
        <f>Sales[[#This Row],[Gross Amount]]-Sales[[#This Row],[Disc. Amt.]]+Sales[[#This Row],[GST Amount]]</f>
        <v>8401.6</v>
      </c>
      <c r="O4114" s="34" t="s">
        <v>3569</v>
      </c>
      <c r="P4114" s="34" t="s">
        <v>3562</v>
      </c>
      <c r="Q4114" s="165">
        <f>IF(Sales[[#This Row],[Status]]="Cancelled",0,Sales[[#This Row],[Qty]])</f>
        <v>2</v>
      </c>
      <c r="R4114" s="166">
        <f>IF(Sales[[#This Row],[Status]]="Cancelled",0,Sales[[#This Row],[Total Amount]])</f>
        <v>8401.6</v>
      </c>
      <c r="S4114" s="162">
        <f>SUM(Sales[Net Amount])</f>
        <v>406839287.73200053</v>
      </c>
    </row>
    <row r="4115" spans="1:19" ht="18.75" x14ac:dyDescent="0.25">
      <c r="A4115" s="156" t="s">
        <v>7793</v>
      </c>
      <c r="B4115" s="157">
        <v>45980</v>
      </c>
      <c r="C4115" s="158" t="s">
        <v>898</v>
      </c>
      <c r="D4115" s="159" t="str">
        <f>VLOOKUP(Sales[[#This Row],[Customer ID]],Customer[#All],2,0)</f>
        <v>Rahul Singh</v>
      </c>
      <c r="E4115" s="158" t="s">
        <v>118</v>
      </c>
      <c r="F4115" s="158" t="str">
        <f>VLOOKUP(Sales[[#This Row],[Product ID]],Product[#All],2,0)</f>
        <v>American TouristerLaptopBag</v>
      </c>
      <c r="G4115" s="159">
        <v>1</v>
      </c>
      <c r="H4115" s="160">
        <f>VLOOKUP(Sales[[#This Row],[Product ID]],Product[#All],7,0)</f>
        <v>4160</v>
      </c>
      <c r="I4115" s="160">
        <f>Sales[[#This Row],[Selling Rate]]*Sales[[#This Row],[Qty]]</f>
        <v>4160</v>
      </c>
      <c r="J4115" s="43">
        <v>0</v>
      </c>
      <c r="K4115" s="44">
        <f>Sales[[#This Row],[Gross Amount]]*Sales[[#This Row],[Disc %]]</f>
        <v>0</v>
      </c>
      <c r="L4115" s="43">
        <v>0.18</v>
      </c>
      <c r="M4115" s="44">
        <f>(Sales[[#This Row],[Gross Amount]]-Sales[[#This Row],[Disc. Amt.]])*Sales[[#This Row],[GST %]]</f>
        <v>748.8</v>
      </c>
      <c r="N4115" s="161">
        <f>Sales[[#This Row],[Gross Amount]]-Sales[[#This Row],[Disc. Amt.]]+Sales[[#This Row],[GST Amount]]</f>
        <v>4908.8</v>
      </c>
      <c r="O4115" s="158" t="s">
        <v>3569</v>
      </c>
      <c r="P4115" s="158" t="s">
        <v>3562</v>
      </c>
      <c r="Q4115" s="160">
        <f>IF(Sales[[#This Row],[Status]]="Cancelled",0,Sales[[#This Row],[Qty]])</f>
        <v>1</v>
      </c>
      <c r="R4115" s="161">
        <f>IF(Sales[[#This Row],[Status]]="Cancelled",0,Sales[[#This Row],[Total Amount]])</f>
        <v>4908.8</v>
      </c>
      <c r="S4115" s="162">
        <f>SUM(Sales[Net Amount])</f>
        <v>406839287.73200053</v>
      </c>
    </row>
    <row r="4116" spans="1:19" ht="18.75" x14ac:dyDescent="0.25">
      <c r="A4116" s="163" t="s">
        <v>7794</v>
      </c>
      <c r="B4116" s="164">
        <v>45980</v>
      </c>
      <c r="C4116" s="34" t="s">
        <v>871</v>
      </c>
      <c r="D4116" s="53" t="str">
        <f>VLOOKUP(Sales[[#This Row],[Customer ID]],Customer[#All],2,0)</f>
        <v>Rakesh Kumar</v>
      </c>
      <c r="E4116" s="34" t="s">
        <v>68</v>
      </c>
      <c r="F4116" s="34" t="str">
        <f>VLOOKUP(Sales[[#This Row],[Product ID]],Product[#All],2,0)</f>
        <v>Epson Printer</v>
      </c>
      <c r="G4116" s="53">
        <v>1</v>
      </c>
      <c r="H4116" s="165">
        <f>VLOOKUP(Sales[[#This Row],[Product ID]],Product[#All],7,0)</f>
        <v>21190</v>
      </c>
      <c r="I4116" s="165">
        <f>Sales[[#This Row],[Selling Rate]]*Sales[[#This Row],[Qty]]</f>
        <v>21190</v>
      </c>
      <c r="J4116" s="45">
        <v>0.02</v>
      </c>
      <c r="K4116" s="46">
        <f>Sales[[#This Row],[Gross Amount]]*Sales[[#This Row],[Disc %]]</f>
        <v>423.8</v>
      </c>
      <c r="L4116" s="43">
        <v>0.18</v>
      </c>
      <c r="M4116" s="46">
        <f>(Sales[[#This Row],[Gross Amount]]-Sales[[#This Row],[Disc. Amt.]])*Sales[[#This Row],[GST %]]</f>
        <v>3737.9160000000002</v>
      </c>
      <c r="N4116" s="161">
        <f>Sales[[#This Row],[Gross Amount]]-Sales[[#This Row],[Disc. Amt.]]+Sales[[#This Row],[GST Amount]]</f>
        <v>24504.116000000002</v>
      </c>
      <c r="O4116" s="34" t="s">
        <v>3561</v>
      </c>
      <c r="P4116" s="34" t="s">
        <v>3562</v>
      </c>
      <c r="Q4116" s="165">
        <f>IF(Sales[[#This Row],[Status]]="Cancelled",0,Sales[[#This Row],[Qty]])</f>
        <v>1</v>
      </c>
      <c r="R4116" s="166">
        <f>IF(Sales[[#This Row],[Status]]="Cancelled",0,Sales[[#This Row],[Total Amount]])</f>
        <v>24504.116000000002</v>
      </c>
      <c r="S4116" s="162">
        <f>SUM(Sales[Net Amount])</f>
        <v>406839287.73200053</v>
      </c>
    </row>
    <row r="4117" spans="1:19" ht="18.75" x14ac:dyDescent="0.25">
      <c r="A4117" s="156" t="s">
        <v>7795</v>
      </c>
      <c r="B4117" s="157">
        <v>45980</v>
      </c>
      <c r="C4117" s="158" t="s">
        <v>918</v>
      </c>
      <c r="D4117" s="159" t="str">
        <f>VLOOKUP(Sales[[#This Row],[Customer ID]],Customer[#All],2,0)</f>
        <v>Pooja Patel</v>
      </c>
      <c r="E4117" s="158" t="s">
        <v>343</v>
      </c>
      <c r="F4117" s="158" t="str">
        <f>VLOOKUP(Sales[[#This Row],[Product ID]],Product[#All],2,0)</f>
        <v>Portronics USB Cable</v>
      </c>
      <c r="G4117" s="159">
        <v>4</v>
      </c>
      <c r="H4117" s="160">
        <f>VLOOKUP(Sales[[#This Row],[Product ID]],Product[#All],7,0)</f>
        <v>780</v>
      </c>
      <c r="I4117" s="160">
        <f>Sales[[#This Row],[Selling Rate]]*Sales[[#This Row],[Qty]]</f>
        <v>3120</v>
      </c>
      <c r="J4117" s="43">
        <v>0</v>
      </c>
      <c r="K4117" s="44">
        <f>Sales[[#This Row],[Gross Amount]]*Sales[[#This Row],[Disc %]]</f>
        <v>0</v>
      </c>
      <c r="L4117" s="43">
        <v>0.18</v>
      </c>
      <c r="M4117" s="44">
        <f>(Sales[[#This Row],[Gross Amount]]-Sales[[#This Row],[Disc. Amt.]])*Sales[[#This Row],[GST %]]</f>
        <v>561.6</v>
      </c>
      <c r="N4117" s="161">
        <f>Sales[[#This Row],[Gross Amount]]-Sales[[#This Row],[Disc. Amt.]]+Sales[[#This Row],[GST Amount]]</f>
        <v>3681.6</v>
      </c>
      <c r="O4117" s="158" t="s">
        <v>8876</v>
      </c>
      <c r="P4117" s="158" t="s">
        <v>3562</v>
      </c>
      <c r="Q4117" s="160">
        <f>IF(Sales[[#This Row],[Status]]="Cancelled",0,Sales[[#This Row],[Qty]])</f>
        <v>4</v>
      </c>
      <c r="R4117" s="161">
        <f>IF(Sales[[#This Row],[Status]]="Cancelled",0,Sales[[#This Row],[Total Amount]])</f>
        <v>3681.6</v>
      </c>
      <c r="S4117" s="162">
        <f>SUM(Sales[Net Amount])</f>
        <v>406839287.73200053</v>
      </c>
    </row>
    <row r="4118" spans="1:19" ht="18.75" x14ac:dyDescent="0.25">
      <c r="A4118" s="163" t="s">
        <v>7796</v>
      </c>
      <c r="B4118" s="164">
        <v>45980</v>
      </c>
      <c r="C4118" s="34" t="s">
        <v>663</v>
      </c>
      <c r="D4118" s="53" t="str">
        <f>VLOOKUP(Sales[[#This Row],[Customer ID]],Customer[#All],2,0)</f>
        <v>Amit Sharma</v>
      </c>
      <c r="E4118" s="34" t="s">
        <v>419</v>
      </c>
      <c r="F4118" s="34" t="str">
        <f>VLOOKUP(Sales[[#This Row],[Product ID]],Product[#All],2,0)</f>
        <v>WD HDD</v>
      </c>
      <c r="G4118" s="53">
        <v>2</v>
      </c>
      <c r="H4118" s="165">
        <f>VLOOKUP(Sales[[#This Row],[Product ID]],Product[#All],7,0)</f>
        <v>8930</v>
      </c>
      <c r="I4118" s="165">
        <f>Sales[[#This Row],[Selling Rate]]*Sales[[#This Row],[Qty]]</f>
        <v>17860</v>
      </c>
      <c r="J4118" s="45">
        <v>0.12</v>
      </c>
      <c r="K4118" s="46">
        <f>Sales[[#This Row],[Gross Amount]]*Sales[[#This Row],[Disc %]]</f>
        <v>2143.1999999999998</v>
      </c>
      <c r="L4118" s="43">
        <v>0.18</v>
      </c>
      <c r="M4118" s="46">
        <f>(Sales[[#This Row],[Gross Amount]]-Sales[[#This Row],[Disc. Amt.]])*Sales[[#This Row],[GST %]]</f>
        <v>2829.0239999999999</v>
      </c>
      <c r="N4118" s="161">
        <f>Sales[[#This Row],[Gross Amount]]-Sales[[#This Row],[Disc. Amt.]]+Sales[[#This Row],[GST Amount]]</f>
        <v>18545.824000000001</v>
      </c>
      <c r="O4118" s="34" t="s">
        <v>3561</v>
      </c>
      <c r="P4118" s="34" t="s">
        <v>3562</v>
      </c>
      <c r="Q4118" s="165">
        <f>IF(Sales[[#This Row],[Status]]="Cancelled",0,Sales[[#This Row],[Qty]])</f>
        <v>2</v>
      </c>
      <c r="R4118" s="166">
        <f>IF(Sales[[#This Row],[Status]]="Cancelled",0,Sales[[#This Row],[Total Amount]])</f>
        <v>18545.824000000001</v>
      </c>
      <c r="S4118" s="162">
        <f>SUM(Sales[Net Amount])</f>
        <v>406839287.73200053</v>
      </c>
    </row>
    <row r="4119" spans="1:19" ht="18.75" x14ac:dyDescent="0.25">
      <c r="A4119" s="156" t="s">
        <v>7797</v>
      </c>
      <c r="B4119" s="157">
        <v>45980</v>
      </c>
      <c r="C4119" s="158" t="s">
        <v>935</v>
      </c>
      <c r="D4119" s="159" t="str">
        <f>VLOOKUP(Sales[[#This Row],[Customer ID]],Customer[#All],2,0)</f>
        <v>Ankit Kumar</v>
      </c>
      <c r="E4119" s="158" t="s">
        <v>411</v>
      </c>
      <c r="F4119" s="158" t="str">
        <f>VLOOKUP(Sales[[#This Row],[Product ID]],Product[#All],2,0)</f>
        <v>Logitech Webcam</v>
      </c>
      <c r="G4119" s="159">
        <v>7</v>
      </c>
      <c r="H4119" s="160">
        <f>VLOOKUP(Sales[[#This Row],[Product ID]],Product[#All],7,0)</f>
        <v>2350</v>
      </c>
      <c r="I4119" s="160">
        <f>Sales[[#This Row],[Selling Rate]]*Sales[[#This Row],[Qty]]</f>
        <v>16450</v>
      </c>
      <c r="J4119" s="43">
        <v>0.02</v>
      </c>
      <c r="K4119" s="44">
        <f>Sales[[#This Row],[Gross Amount]]*Sales[[#This Row],[Disc %]]</f>
        <v>329</v>
      </c>
      <c r="L4119" s="43">
        <v>0.18</v>
      </c>
      <c r="M4119" s="44">
        <f>(Sales[[#This Row],[Gross Amount]]-Sales[[#This Row],[Disc. Amt.]])*Sales[[#This Row],[GST %]]</f>
        <v>2901.7799999999997</v>
      </c>
      <c r="N4119" s="161">
        <f>Sales[[#This Row],[Gross Amount]]-Sales[[#This Row],[Disc. Amt.]]+Sales[[#This Row],[GST Amount]]</f>
        <v>19022.78</v>
      </c>
      <c r="O4119" s="158" t="s">
        <v>3561</v>
      </c>
      <c r="P4119" s="158" t="s">
        <v>3562</v>
      </c>
      <c r="Q4119" s="160">
        <f>IF(Sales[[#This Row],[Status]]="Cancelled",0,Sales[[#This Row],[Qty]])</f>
        <v>7</v>
      </c>
      <c r="R4119" s="161">
        <f>IF(Sales[[#This Row],[Status]]="Cancelled",0,Sales[[#This Row],[Total Amount]])</f>
        <v>19022.78</v>
      </c>
      <c r="S4119" s="162">
        <f>SUM(Sales[Net Amount])</f>
        <v>406839287.73200053</v>
      </c>
    </row>
    <row r="4120" spans="1:19" ht="18.75" x14ac:dyDescent="0.25">
      <c r="A4120" s="163" t="s">
        <v>7798</v>
      </c>
      <c r="B4120" s="164">
        <v>45980</v>
      </c>
      <c r="C4120" s="34" t="s">
        <v>702</v>
      </c>
      <c r="D4120" s="53" t="str">
        <f>VLOOKUP(Sales[[#This Row],[Customer ID]],Customer[#All],2,0)</f>
        <v>Amit Patel</v>
      </c>
      <c r="E4120" s="34" t="s">
        <v>367</v>
      </c>
      <c r="F4120" s="34" t="str">
        <f>VLOOKUP(Sales[[#This Row],[Product ID]],Product[#All],2,0)</f>
        <v>Jbl Speaker</v>
      </c>
      <c r="G4120" s="53">
        <v>5</v>
      </c>
      <c r="H4120" s="165">
        <f>VLOOKUP(Sales[[#This Row],[Product ID]],Product[#All],7,0)</f>
        <v>4880</v>
      </c>
      <c r="I4120" s="165">
        <f>Sales[[#This Row],[Selling Rate]]*Sales[[#This Row],[Qty]]</f>
        <v>24400</v>
      </c>
      <c r="J4120" s="45">
        <v>0.15</v>
      </c>
      <c r="K4120" s="46">
        <f>Sales[[#This Row],[Gross Amount]]*Sales[[#This Row],[Disc %]]</f>
        <v>3660</v>
      </c>
      <c r="L4120" s="43">
        <v>0.18</v>
      </c>
      <c r="M4120" s="46">
        <f>(Sales[[#This Row],[Gross Amount]]-Sales[[#This Row],[Disc. Amt.]])*Sales[[#This Row],[GST %]]</f>
        <v>3733.2</v>
      </c>
      <c r="N4120" s="161">
        <f>Sales[[#This Row],[Gross Amount]]-Sales[[#This Row],[Disc. Amt.]]+Sales[[#This Row],[GST Amount]]</f>
        <v>24473.200000000001</v>
      </c>
      <c r="O4120" s="34" t="s">
        <v>3569</v>
      </c>
      <c r="P4120" s="34" t="s">
        <v>3562</v>
      </c>
      <c r="Q4120" s="165">
        <f>IF(Sales[[#This Row],[Status]]="Cancelled",0,Sales[[#This Row],[Qty]])</f>
        <v>5</v>
      </c>
      <c r="R4120" s="166">
        <f>IF(Sales[[#This Row],[Status]]="Cancelled",0,Sales[[#This Row],[Total Amount]])</f>
        <v>24473.200000000001</v>
      </c>
      <c r="S4120" s="162">
        <f>SUM(Sales[Net Amount])</f>
        <v>406839287.73200053</v>
      </c>
    </row>
    <row r="4121" spans="1:19" ht="18.75" x14ac:dyDescent="0.25">
      <c r="A4121" s="156" t="s">
        <v>7799</v>
      </c>
      <c r="B4121" s="157">
        <v>45980</v>
      </c>
      <c r="C4121" s="158" t="s">
        <v>728</v>
      </c>
      <c r="D4121" s="159" t="str">
        <f>VLOOKUP(Sales[[#This Row],[Customer ID]],Customer[#All],2,0)</f>
        <v>Rahul Gupta</v>
      </c>
      <c r="E4121" s="158" t="s">
        <v>332</v>
      </c>
      <c r="F4121" s="158" t="str">
        <f>VLOOKUP(Sales[[#This Row],[Product ID]],Product[#All],2,0)</f>
        <v>Samsung Monitor</v>
      </c>
      <c r="G4121" s="159">
        <v>3</v>
      </c>
      <c r="H4121" s="160">
        <f>VLOOKUP(Sales[[#This Row],[Product ID]],Product[#All],7,0)</f>
        <v>27730</v>
      </c>
      <c r="I4121" s="160">
        <f>Sales[[#This Row],[Selling Rate]]*Sales[[#This Row],[Qty]]</f>
        <v>83190</v>
      </c>
      <c r="J4121" s="43">
        <v>0</v>
      </c>
      <c r="K4121" s="44">
        <f>Sales[[#This Row],[Gross Amount]]*Sales[[#This Row],[Disc %]]</f>
        <v>0</v>
      </c>
      <c r="L4121" s="43">
        <v>0.18</v>
      </c>
      <c r="M4121" s="44">
        <f>(Sales[[#This Row],[Gross Amount]]-Sales[[#This Row],[Disc. Amt.]])*Sales[[#This Row],[GST %]]</f>
        <v>14974.199999999999</v>
      </c>
      <c r="N4121" s="161">
        <f>Sales[[#This Row],[Gross Amount]]-Sales[[#This Row],[Disc. Amt.]]+Sales[[#This Row],[GST Amount]]</f>
        <v>98164.2</v>
      </c>
      <c r="O4121" s="158" t="s">
        <v>3561</v>
      </c>
      <c r="P4121" s="158" t="s">
        <v>3562</v>
      </c>
      <c r="Q4121" s="160">
        <f>IF(Sales[[#This Row],[Status]]="Cancelled",0,Sales[[#This Row],[Qty]])</f>
        <v>3</v>
      </c>
      <c r="R4121" s="161">
        <f>IF(Sales[[#This Row],[Status]]="Cancelled",0,Sales[[#This Row],[Total Amount]])</f>
        <v>98164.2</v>
      </c>
      <c r="S4121" s="162">
        <f>SUM(Sales[Net Amount])</f>
        <v>406839287.73200053</v>
      </c>
    </row>
    <row r="4122" spans="1:19" ht="18.75" x14ac:dyDescent="0.25">
      <c r="A4122" s="163" t="s">
        <v>7800</v>
      </c>
      <c r="B4122" s="164">
        <v>45981</v>
      </c>
      <c r="C4122" s="34" t="s">
        <v>697</v>
      </c>
      <c r="D4122" s="53" t="str">
        <f>VLOOKUP(Sales[[#This Row],[Customer ID]],Customer[#All],2,0)</f>
        <v>Priya Kumar</v>
      </c>
      <c r="E4122" s="34" t="s">
        <v>354</v>
      </c>
      <c r="F4122" s="34" t="str">
        <f>VLOOKUP(Sales[[#This Row],[Product ID]],Product[#All],2,0)</f>
        <v>Dell Monitor</v>
      </c>
      <c r="G4122" s="53">
        <v>6</v>
      </c>
      <c r="H4122" s="165">
        <f>VLOOKUP(Sales[[#This Row],[Product ID]],Product[#All],7,0)</f>
        <v>12450</v>
      </c>
      <c r="I4122" s="165">
        <f>Sales[[#This Row],[Selling Rate]]*Sales[[#This Row],[Qty]]</f>
        <v>74700</v>
      </c>
      <c r="J4122" s="45">
        <v>0.12</v>
      </c>
      <c r="K4122" s="46">
        <f>Sales[[#This Row],[Gross Amount]]*Sales[[#This Row],[Disc %]]</f>
        <v>8964</v>
      </c>
      <c r="L4122" s="43">
        <v>0.18</v>
      </c>
      <c r="M4122" s="46">
        <f>(Sales[[#This Row],[Gross Amount]]-Sales[[#This Row],[Disc. Amt.]])*Sales[[#This Row],[GST %]]</f>
        <v>11832.48</v>
      </c>
      <c r="N4122" s="161">
        <f>Sales[[#This Row],[Gross Amount]]-Sales[[#This Row],[Disc. Amt.]]+Sales[[#This Row],[GST Amount]]</f>
        <v>77568.479999999996</v>
      </c>
      <c r="O4122" s="34" t="s">
        <v>8876</v>
      </c>
      <c r="P4122" s="34" t="s">
        <v>3562</v>
      </c>
      <c r="Q4122" s="165">
        <f>IF(Sales[[#This Row],[Status]]="Cancelled",0,Sales[[#This Row],[Qty]])</f>
        <v>6</v>
      </c>
      <c r="R4122" s="166">
        <f>IF(Sales[[#This Row],[Status]]="Cancelled",0,Sales[[#This Row],[Total Amount]])</f>
        <v>77568.479999999996</v>
      </c>
      <c r="S4122" s="162">
        <f>SUM(Sales[Net Amount])</f>
        <v>406839287.73200053</v>
      </c>
    </row>
    <row r="4123" spans="1:19" ht="18.75" x14ac:dyDescent="0.25">
      <c r="A4123" s="156" t="s">
        <v>7801</v>
      </c>
      <c r="B4123" s="157">
        <v>45981</v>
      </c>
      <c r="C4123" s="158" t="s">
        <v>767</v>
      </c>
      <c r="D4123" s="159" t="str">
        <f>VLOOKUP(Sales[[#This Row],[Customer ID]],Customer[#All],2,0)</f>
        <v>Sunita Singh</v>
      </c>
      <c r="E4123" s="158" t="s">
        <v>203</v>
      </c>
      <c r="F4123" s="158" t="str">
        <f>VLOOKUP(Sales[[#This Row],[Product ID]],Product[#All],2,0)</f>
        <v>Logitech Mouse</v>
      </c>
      <c r="G4123" s="159">
        <v>3</v>
      </c>
      <c r="H4123" s="160">
        <f>VLOOKUP(Sales[[#This Row],[Product ID]],Product[#All],7,0)</f>
        <v>2110</v>
      </c>
      <c r="I4123" s="160">
        <f>Sales[[#This Row],[Selling Rate]]*Sales[[#This Row],[Qty]]</f>
        <v>6330</v>
      </c>
      <c r="J4123" s="43">
        <v>0.15</v>
      </c>
      <c r="K4123" s="44">
        <f>Sales[[#This Row],[Gross Amount]]*Sales[[#This Row],[Disc %]]</f>
        <v>949.5</v>
      </c>
      <c r="L4123" s="43">
        <v>0.18</v>
      </c>
      <c r="M4123" s="44">
        <f>(Sales[[#This Row],[Gross Amount]]-Sales[[#This Row],[Disc. Amt.]])*Sales[[#This Row],[GST %]]</f>
        <v>968.49</v>
      </c>
      <c r="N4123" s="161">
        <f>Sales[[#This Row],[Gross Amount]]-Sales[[#This Row],[Disc. Amt.]]+Sales[[#This Row],[GST Amount]]</f>
        <v>6348.99</v>
      </c>
      <c r="O4123" s="158" t="s">
        <v>3561</v>
      </c>
      <c r="P4123" s="158" t="s">
        <v>3562</v>
      </c>
      <c r="Q4123" s="160">
        <f>IF(Sales[[#This Row],[Status]]="Cancelled",0,Sales[[#This Row],[Qty]])</f>
        <v>3</v>
      </c>
      <c r="R4123" s="161">
        <f>IF(Sales[[#This Row],[Status]]="Cancelled",0,Sales[[#This Row],[Total Amount]])</f>
        <v>6348.99</v>
      </c>
      <c r="S4123" s="162">
        <f>SUM(Sales[Net Amount])</f>
        <v>406839287.73200053</v>
      </c>
    </row>
    <row r="4124" spans="1:19" ht="18.75" x14ac:dyDescent="0.25">
      <c r="A4124" s="163" t="s">
        <v>7802</v>
      </c>
      <c r="B4124" s="164">
        <v>45981</v>
      </c>
      <c r="C4124" s="34" t="s">
        <v>881</v>
      </c>
      <c r="D4124" s="53" t="str">
        <f>VLOOKUP(Sales[[#This Row],[Customer ID]],Customer[#All],2,0)</f>
        <v>Vikas Verma</v>
      </c>
      <c r="E4124" s="34" t="s">
        <v>233</v>
      </c>
      <c r="F4124" s="34" t="str">
        <f>VLOOKUP(Sales[[#This Row],[Product ID]],Product[#All],2,0)</f>
        <v>HP Mouse</v>
      </c>
      <c r="G4124" s="53">
        <v>8</v>
      </c>
      <c r="H4124" s="165">
        <f>VLOOKUP(Sales[[#This Row],[Product ID]],Product[#All],7,0)</f>
        <v>860</v>
      </c>
      <c r="I4124" s="165">
        <f>Sales[[#This Row],[Selling Rate]]*Sales[[#This Row],[Qty]]</f>
        <v>6880</v>
      </c>
      <c r="J4124" s="45">
        <v>0</v>
      </c>
      <c r="K4124" s="46">
        <f>Sales[[#This Row],[Gross Amount]]*Sales[[#This Row],[Disc %]]</f>
        <v>0</v>
      </c>
      <c r="L4124" s="43">
        <v>0.18</v>
      </c>
      <c r="M4124" s="46">
        <f>(Sales[[#This Row],[Gross Amount]]-Sales[[#This Row],[Disc. Amt.]])*Sales[[#This Row],[GST %]]</f>
        <v>1238.3999999999999</v>
      </c>
      <c r="N4124" s="161">
        <f>Sales[[#This Row],[Gross Amount]]-Sales[[#This Row],[Disc. Amt.]]+Sales[[#This Row],[GST Amount]]</f>
        <v>8118.4</v>
      </c>
      <c r="O4124" s="34" t="s">
        <v>3566</v>
      </c>
      <c r="P4124" s="34" t="s">
        <v>3562</v>
      </c>
      <c r="Q4124" s="165">
        <f>IF(Sales[[#This Row],[Status]]="Cancelled",0,Sales[[#This Row],[Qty]])</f>
        <v>8</v>
      </c>
      <c r="R4124" s="166">
        <f>IF(Sales[[#This Row],[Status]]="Cancelled",0,Sales[[#This Row],[Total Amount]])</f>
        <v>8118.4</v>
      </c>
      <c r="S4124" s="162">
        <f>SUM(Sales[Net Amount])</f>
        <v>406839287.73200053</v>
      </c>
    </row>
    <row r="4125" spans="1:19" ht="18.75" x14ac:dyDescent="0.25">
      <c r="A4125" s="156" t="s">
        <v>7803</v>
      </c>
      <c r="B4125" s="157">
        <v>45981</v>
      </c>
      <c r="C4125" s="158" t="s">
        <v>742</v>
      </c>
      <c r="D4125" s="159" t="str">
        <f>VLOOKUP(Sales[[#This Row],[Customer ID]],Customer[#All],2,0)</f>
        <v>Rahul Patel</v>
      </c>
      <c r="E4125" s="158" t="s">
        <v>532</v>
      </c>
      <c r="F4125" s="158" t="str">
        <f>VLOOKUP(Sales[[#This Row],[Product ID]],Product[#All],2,0)</f>
        <v>Dell Laptop</v>
      </c>
      <c r="G4125" s="159">
        <v>3</v>
      </c>
      <c r="H4125" s="160">
        <f>VLOOKUP(Sales[[#This Row],[Product ID]],Product[#All],7,0)</f>
        <v>47550</v>
      </c>
      <c r="I4125" s="160">
        <f>Sales[[#This Row],[Selling Rate]]*Sales[[#This Row],[Qty]]</f>
        <v>142650</v>
      </c>
      <c r="J4125" s="43">
        <v>0.12</v>
      </c>
      <c r="K4125" s="44">
        <f>Sales[[#This Row],[Gross Amount]]*Sales[[#This Row],[Disc %]]</f>
        <v>17118</v>
      </c>
      <c r="L4125" s="43">
        <v>0.18</v>
      </c>
      <c r="M4125" s="44">
        <f>(Sales[[#This Row],[Gross Amount]]-Sales[[#This Row],[Disc. Amt.]])*Sales[[#This Row],[GST %]]</f>
        <v>22595.759999999998</v>
      </c>
      <c r="N4125" s="161">
        <f>Sales[[#This Row],[Gross Amount]]-Sales[[#This Row],[Disc. Amt.]]+Sales[[#This Row],[GST Amount]]</f>
        <v>148127.76</v>
      </c>
      <c r="O4125" s="158" t="s">
        <v>3561</v>
      </c>
      <c r="P4125" s="158" t="s">
        <v>3562</v>
      </c>
      <c r="Q4125" s="160">
        <f>IF(Sales[[#This Row],[Status]]="Cancelled",0,Sales[[#This Row],[Qty]])</f>
        <v>3</v>
      </c>
      <c r="R4125" s="161">
        <f>IF(Sales[[#This Row],[Status]]="Cancelled",0,Sales[[#This Row],[Total Amount]])</f>
        <v>148127.76</v>
      </c>
      <c r="S4125" s="162">
        <f>SUM(Sales[Net Amount])</f>
        <v>406839287.73200053</v>
      </c>
    </row>
    <row r="4126" spans="1:19" ht="18.75" x14ac:dyDescent="0.25">
      <c r="A4126" s="163" t="s">
        <v>7804</v>
      </c>
      <c r="B4126" s="164">
        <v>45981</v>
      </c>
      <c r="C4126" s="34" t="s">
        <v>886</v>
      </c>
      <c r="D4126" s="53" t="str">
        <f>VLOOKUP(Sales[[#This Row],[Customer ID]],Customer[#All],2,0)</f>
        <v>Sunita Gupta</v>
      </c>
      <c r="E4126" s="34" t="s">
        <v>364</v>
      </c>
      <c r="F4126" s="34" t="str">
        <f>VLOOKUP(Sales[[#This Row],[Product ID]],Product[#All],2,0)</f>
        <v>Canon Printer</v>
      </c>
      <c r="G4126" s="53">
        <v>2</v>
      </c>
      <c r="H4126" s="165">
        <f>VLOOKUP(Sales[[#This Row],[Product ID]],Product[#All],7,0)</f>
        <v>41460</v>
      </c>
      <c r="I4126" s="165">
        <f>Sales[[#This Row],[Selling Rate]]*Sales[[#This Row],[Qty]]</f>
        <v>82920</v>
      </c>
      <c r="J4126" s="45">
        <v>0.02</v>
      </c>
      <c r="K4126" s="46">
        <f>Sales[[#This Row],[Gross Amount]]*Sales[[#This Row],[Disc %]]</f>
        <v>1658.4</v>
      </c>
      <c r="L4126" s="43">
        <v>0.18</v>
      </c>
      <c r="M4126" s="46">
        <f>(Sales[[#This Row],[Gross Amount]]-Sales[[#This Row],[Disc. Amt.]])*Sales[[#This Row],[GST %]]</f>
        <v>14627.088</v>
      </c>
      <c r="N4126" s="161">
        <f>Sales[[#This Row],[Gross Amount]]-Sales[[#This Row],[Disc. Amt.]]+Sales[[#This Row],[GST Amount]]</f>
        <v>95888.688000000009</v>
      </c>
      <c r="O4126" s="34" t="s">
        <v>8876</v>
      </c>
      <c r="P4126" s="34" t="s">
        <v>3562</v>
      </c>
      <c r="Q4126" s="165">
        <f>IF(Sales[[#This Row],[Status]]="Cancelled",0,Sales[[#This Row],[Qty]])</f>
        <v>2</v>
      </c>
      <c r="R4126" s="166">
        <f>IF(Sales[[#This Row],[Status]]="Cancelled",0,Sales[[#This Row],[Total Amount]])</f>
        <v>95888.688000000009</v>
      </c>
      <c r="S4126" s="162">
        <f>SUM(Sales[Net Amount])</f>
        <v>406839287.73200053</v>
      </c>
    </row>
    <row r="4127" spans="1:19" ht="18.75" x14ac:dyDescent="0.25">
      <c r="A4127" s="156" t="s">
        <v>7805</v>
      </c>
      <c r="B4127" s="157">
        <v>45981</v>
      </c>
      <c r="C4127" s="158" t="s">
        <v>918</v>
      </c>
      <c r="D4127" s="159" t="str">
        <f>VLOOKUP(Sales[[#This Row],[Customer ID]],Customer[#All],2,0)</f>
        <v>Pooja Patel</v>
      </c>
      <c r="E4127" s="158" t="s">
        <v>79</v>
      </c>
      <c r="F4127" s="158" t="str">
        <f>VLOOKUP(Sales[[#This Row],[Product ID]],Product[#All],2,0)</f>
        <v>Samsung Monitor</v>
      </c>
      <c r="G4127" s="159">
        <v>5</v>
      </c>
      <c r="H4127" s="160">
        <f>VLOOKUP(Sales[[#This Row],[Product ID]],Product[#All],7,0)</f>
        <v>32480</v>
      </c>
      <c r="I4127" s="160">
        <f>Sales[[#This Row],[Selling Rate]]*Sales[[#This Row],[Qty]]</f>
        <v>162400</v>
      </c>
      <c r="J4127" s="43">
        <v>0.05</v>
      </c>
      <c r="K4127" s="44">
        <f>Sales[[#This Row],[Gross Amount]]*Sales[[#This Row],[Disc %]]</f>
        <v>8120</v>
      </c>
      <c r="L4127" s="43">
        <v>0.18</v>
      </c>
      <c r="M4127" s="44">
        <f>(Sales[[#This Row],[Gross Amount]]-Sales[[#This Row],[Disc. Amt.]])*Sales[[#This Row],[GST %]]</f>
        <v>27770.399999999998</v>
      </c>
      <c r="N4127" s="161">
        <f>Sales[[#This Row],[Gross Amount]]-Sales[[#This Row],[Disc. Amt.]]+Sales[[#This Row],[GST Amount]]</f>
        <v>182050.4</v>
      </c>
      <c r="O4127" s="158" t="s">
        <v>3566</v>
      </c>
      <c r="P4127" s="158" t="s">
        <v>3562</v>
      </c>
      <c r="Q4127" s="160">
        <f>IF(Sales[[#This Row],[Status]]="Cancelled",0,Sales[[#This Row],[Qty]])</f>
        <v>5</v>
      </c>
      <c r="R4127" s="161">
        <f>IF(Sales[[#This Row],[Status]]="Cancelled",0,Sales[[#This Row],[Total Amount]])</f>
        <v>182050.4</v>
      </c>
      <c r="S4127" s="162">
        <f>SUM(Sales[Net Amount])</f>
        <v>406839287.73200053</v>
      </c>
    </row>
    <row r="4128" spans="1:19" ht="18.75" x14ac:dyDescent="0.25">
      <c r="A4128" s="163" t="s">
        <v>7806</v>
      </c>
      <c r="B4128" s="164">
        <v>45981</v>
      </c>
      <c r="C4128" s="34" t="s">
        <v>825</v>
      </c>
      <c r="D4128" s="53" t="str">
        <f>VLOOKUP(Sales[[#This Row],[Customer ID]],Customer[#All],2,0)</f>
        <v>Rahul Kumar</v>
      </c>
      <c r="E4128" s="34" t="s">
        <v>244</v>
      </c>
      <c r="F4128" s="34" t="str">
        <f>VLOOKUP(Sales[[#This Row],[Product ID]],Product[#All],2,0)</f>
        <v>TP-link Router</v>
      </c>
      <c r="G4128" s="53">
        <v>1</v>
      </c>
      <c r="H4128" s="165">
        <f>VLOOKUP(Sales[[#This Row],[Product ID]],Product[#All],7,0)</f>
        <v>4220</v>
      </c>
      <c r="I4128" s="165">
        <f>Sales[[#This Row],[Selling Rate]]*Sales[[#This Row],[Qty]]</f>
        <v>4220</v>
      </c>
      <c r="J4128" s="45">
        <v>0.15</v>
      </c>
      <c r="K4128" s="46">
        <f>Sales[[#This Row],[Gross Amount]]*Sales[[#This Row],[Disc %]]</f>
        <v>633</v>
      </c>
      <c r="L4128" s="43">
        <v>0.18</v>
      </c>
      <c r="M4128" s="46">
        <f>(Sales[[#This Row],[Gross Amount]]-Sales[[#This Row],[Disc. Amt.]])*Sales[[#This Row],[GST %]]</f>
        <v>645.66</v>
      </c>
      <c r="N4128" s="161">
        <f>Sales[[#This Row],[Gross Amount]]-Sales[[#This Row],[Disc. Amt.]]+Sales[[#This Row],[GST Amount]]</f>
        <v>4232.66</v>
      </c>
      <c r="O4128" s="34" t="s">
        <v>3561</v>
      </c>
      <c r="P4128" s="34" t="s">
        <v>3562</v>
      </c>
      <c r="Q4128" s="165">
        <f>IF(Sales[[#This Row],[Status]]="Cancelled",0,Sales[[#This Row],[Qty]])</f>
        <v>1</v>
      </c>
      <c r="R4128" s="166">
        <f>IF(Sales[[#This Row],[Status]]="Cancelled",0,Sales[[#This Row],[Total Amount]])</f>
        <v>4232.66</v>
      </c>
      <c r="S4128" s="162">
        <f>SUM(Sales[Net Amount])</f>
        <v>406839287.73200053</v>
      </c>
    </row>
    <row r="4129" spans="1:19" ht="18.75" x14ac:dyDescent="0.25">
      <c r="A4129" s="156" t="s">
        <v>7807</v>
      </c>
      <c r="B4129" s="157">
        <v>45981</v>
      </c>
      <c r="C4129" s="158" t="s">
        <v>909</v>
      </c>
      <c r="D4129" s="159" t="str">
        <f>VLOOKUP(Sales[[#This Row],[Customer ID]],Customer[#All],2,0)</f>
        <v>Priya Sharma</v>
      </c>
      <c r="E4129" s="158" t="s">
        <v>160</v>
      </c>
      <c r="F4129" s="158" t="str">
        <f>VLOOKUP(Sales[[#This Row],[Product ID]],Product[#All],2,0)</f>
        <v>Dell Power Adapter</v>
      </c>
      <c r="G4129" s="159">
        <v>2</v>
      </c>
      <c r="H4129" s="160">
        <f>VLOOKUP(Sales[[#This Row],[Product ID]],Product[#All],7,0)</f>
        <v>4330</v>
      </c>
      <c r="I4129" s="160">
        <f>Sales[[#This Row],[Selling Rate]]*Sales[[#This Row],[Qty]]</f>
        <v>8660</v>
      </c>
      <c r="J4129" s="43">
        <v>0.05</v>
      </c>
      <c r="K4129" s="44">
        <f>Sales[[#This Row],[Gross Amount]]*Sales[[#This Row],[Disc %]]</f>
        <v>433</v>
      </c>
      <c r="L4129" s="43">
        <v>0.18</v>
      </c>
      <c r="M4129" s="44">
        <f>(Sales[[#This Row],[Gross Amount]]-Sales[[#This Row],[Disc. Amt.]])*Sales[[#This Row],[GST %]]</f>
        <v>1480.86</v>
      </c>
      <c r="N4129" s="161">
        <f>Sales[[#This Row],[Gross Amount]]-Sales[[#This Row],[Disc. Amt.]]+Sales[[#This Row],[GST Amount]]</f>
        <v>9707.86</v>
      </c>
      <c r="O4129" s="158" t="s">
        <v>3561</v>
      </c>
      <c r="P4129" s="158" t="s">
        <v>3562</v>
      </c>
      <c r="Q4129" s="160">
        <f>IF(Sales[[#This Row],[Status]]="Cancelled",0,Sales[[#This Row],[Qty]])</f>
        <v>2</v>
      </c>
      <c r="R4129" s="161">
        <f>IF(Sales[[#This Row],[Status]]="Cancelled",0,Sales[[#This Row],[Total Amount]])</f>
        <v>9707.86</v>
      </c>
      <c r="S4129" s="162">
        <f>SUM(Sales[Net Amount])</f>
        <v>406839287.73200053</v>
      </c>
    </row>
    <row r="4130" spans="1:19" ht="18.75" x14ac:dyDescent="0.25">
      <c r="A4130" s="163" t="s">
        <v>7808</v>
      </c>
      <c r="B4130" s="164">
        <v>45981</v>
      </c>
      <c r="C4130" s="34" t="s">
        <v>678</v>
      </c>
      <c r="D4130" s="53" t="str">
        <f>VLOOKUP(Sales[[#This Row],[Customer ID]],Customer[#All],2,0)</f>
        <v>Ankit Gupta</v>
      </c>
      <c r="E4130" s="34" t="s">
        <v>332</v>
      </c>
      <c r="F4130" s="34" t="str">
        <f>VLOOKUP(Sales[[#This Row],[Product ID]],Product[#All],2,0)</f>
        <v>Samsung Monitor</v>
      </c>
      <c r="G4130" s="53">
        <v>8</v>
      </c>
      <c r="H4130" s="165">
        <f>VLOOKUP(Sales[[#This Row],[Product ID]],Product[#All],7,0)</f>
        <v>27730</v>
      </c>
      <c r="I4130" s="165">
        <f>Sales[[#This Row],[Selling Rate]]*Sales[[#This Row],[Qty]]</f>
        <v>221840</v>
      </c>
      <c r="J4130" s="45">
        <v>0</v>
      </c>
      <c r="K4130" s="46">
        <f>Sales[[#This Row],[Gross Amount]]*Sales[[#This Row],[Disc %]]</f>
        <v>0</v>
      </c>
      <c r="L4130" s="43">
        <v>0.18</v>
      </c>
      <c r="M4130" s="46">
        <f>(Sales[[#This Row],[Gross Amount]]-Sales[[#This Row],[Disc. Amt.]])*Sales[[#This Row],[GST %]]</f>
        <v>39931.199999999997</v>
      </c>
      <c r="N4130" s="161">
        <f>Sales[[#This Row],[Gross Amount]]-Sales[[#This Row],[Disc. Amt.]]+Sales[[#This Row],[GST Amount]]</f>
        <v>261771.2</v>
      </c>
      <c r="O4130" s="34" t="s">
        <v>8876</v>
      </c>
      <c r="P4130" s="34" t="s">
        <v>3562</v>
      </c>
      <c r="Q4130" s="165">
        <f>IF(Sales[[#This Row],[Status]]="Cancelled",0,Sales[[#This Row],[Qty]])</f>
        <v>8</v>
      </c>
      <c r="R4130" s="166">
        <f>IF(Sales[[#This Row],[Status]]="Cancelled",0,Sales[[#This Row],[Total Amount]])</f>
        <v>261771.2</v>
      </c>
      <c r="S4130" s="162">
        <f>SUM(Sales[Net Amount])</f>
        <v>406839287.73200053</v>
      </c>
    </row>
    <row r="4131" spans="1:19" ht="18.75" x14ac:dyDescent="0.25">
      <c r="A4131" s="156" t="s">
        <v>7809</v>
      </c>
      <c r="B4131" s="157">
        <v>45981</v>
      </c>
      <c r="C4131" s="158" t="s">
        <v>684</v>
      </c>
      <c r="D4131" s="159" t="str">
        <f>VLOOKUP(Sales[[#This Row],[Customer ID]],Customer[#All],2,0)</f>
        <v>Rahul Sharma</v>
      </c>
      <c r="E4131" s="158" t="s">
        <v>265</v>
      </c>
      <c r="F4131" s="158" t="str">
        <f>VLOOKUP(Sales[[#This Row],[Product ID]],Product[#All],2,0)</f>
        <v>Canon Printer</v>
      </c>
      <c r="G4131" s="159">
        <v>2</v>
      </c>
      <c r="H4131" s="160">
        <f>VLOOKUP(Sales[[#This Row],[Product ID]],Product[#All],7,0)</f>
        <v>33970</v>
      </c>
      <c r="I4131" s="160">
        <f>Sales[[#This Row],[Selling Rate]]*Sales[[#This Row],[Qty]]</f>
        <v>67940</v>
      </c>
      <c r="J4131" s="43">
        <v>0</v>
      </c>
      <c r="K4131" s="44">
        <f>Sales[[#This Row],[Gross Amount]]*Sales[[#This Row],[Disc %]]</f>
        <v>0</v>
      </c>
      <c r="L4131" s="43">
        <v>0.18</v>
      </c>
      <c r="M4131" s="44">
        <f>(Sales[[#This Row],[Gross Amount]]-Sales[[#This Row],[Disc. Amt.]])*Sales[[#This Row],[GST %]]</f>
        <v>12229.199999999999</v>
      </c>
      <c r="N4131" s="161">
        <f>Sales[[#This Row],[Gross Amount]]-Sales[[#This Row],[Disc. Amt.]]+Sales[[#This Row],[GST Amount]]</f>
        <v>80169.2</v>
      </c>
      <c r="O4131" s="158" t="s">
        <v>8876</v>
      </c>
      <c r="P4131" s="158" t="s">
        <v>3562</v>
      </c>
      <c r="Q4131" s="160">
        <f>IF(Sales[[#This Row],[Status]]="Cancelled",0,Sales[[#This Row],[Qty]])</f>
        <v>2</v>
      </c>
      <c r="R4131" s="161">
        <f>IF(Sales[[#This Row],[Status]]="Cancelled",0,Sales[[#This Row],[Total Amount]])</f>
        <v>80169.2</v>
      </c>
      <c r="S4131" s="162">
        <f>SUM(Sales[Net Amount])</f>
        <v>406839287.73200053</v>
      </c>
    </row>
    <row r="4132" spans="1:19" ht="18.75" x14ac:dyDescent="0.25">
      <c r="A4132" s="163" t="s">
        <v>7810</v>
      </c>
      <c r="B4132" s="164">
        <v>45981</v>
      </c>
      <c r="C4132" s="34" t="s">
        <v>855</v>
      </c>
      <c r="D4132" s="53" t="str">
        <f>VLOOKUP(Sales[[#This Row],[Customer ID]],Customer[#All],2,0)</f>
        <v>Sahil Singh</v>
      </c>
      <c r="E4132" s="34" t="s">
        <v>438</v>
      </c>
      <c r="F4132" s="34" t="str">
        <f>VLOOKUP(Sales[[#This Row],[Product ID]],Product[#All],2,0)</f>
        <v>Jbl Headset</v>
      </c>
      <c r="G4132" s="53">
        <v>8</v>
      </c>
      <c r="H4132" s="165">
        <f>VLOOKUP(Sales[[#This Row],[Product ID]],Product[#All],7,0)</f>
        <v>1670</v>
      </c>
      <c r="I4132" s="165">
        <f>Sales[[#This Row],[Selling Rate]]*Sales[[#This Row],[Qty]]</f>
        <v>13360</v>
      </c>
      <c r="J4132" s="45">
        <v>0.12</v>
      </c>
      <c r="K4132" s="46">
        <f>Sales[[#This Row],[Gross Amount]]*Sales[[#This Row],[Disc %]]</f>
        <v>1603.2</v>
      </c>
      <c r="L4132" s="43">
        <v>0.18</v>
      </c>
      <c r="M4132" s="46">
        <f>(Sales[[#This Row],[Gross Amount]]-Sales[[#This Row],[Disc. Amt.]])*Sales[[#This Row],[GST %]]</f>
        <v>2116.2239999999997</v>
      </c>
      <c r="N4132" s="161">
        <f>Sales[[#This Row],[Gross Amount]]-Sales[[#This Row],[Disc. Amt.]]+Sales[[#This Row],[GST Amount]]</f>
        <v>13873.023999999999</v>
      </c>
      <c r="O4132" s="34" t="s">
        <v>3569</v>
      </c>
      <c r="P4132" s="34" t="s">
        <v>3562</v>
      </c>
      <c r="Q4132" s="165">
        <f>IF(Sales[[#This Row],[Status]]="Cancelled",0,Sales[[#This Row],[Qty]])</f>
        <v>8</v>
      </c>
      <c r="R4132" s="166">
        <f>IF(Sales[[#This Row],[Status]]="Cancelled",0,Sales[[#This Row],[Total Amount]])</f>
        <v>13873.023999999999</v>
      </c>
      <c r="S4132" s="162">
        <f>SUM(Sales[Net Amount])</f>
        <v>406839287.73200053</v>
      </c>
    </row>
    <row r="4133" spans="1:19" ht="18.75" x14ac:dyDescent="0.25">
      <c r="A4133" s="156" t="s">
        <v>7811</v>
      </c>
      <c r="B4133" s="157">
        <v>45981</v>
      </c>
      <c r="C4133" s="158" t="s">
        <v>666</v>
      </c>
      <c r="D4133" s="159" t="str">
        <f>VLOOKUP(Sales[[#This Row],[Customer ID]],Customer[#All],2,0)</f>
        <v>Sahil Gupta</v>
      </c>
      <c r="E4133" s="158" t="s">
        <v>438</v>
      </c>
      <c r="F4133" s="158" t="str">
        <f>VLOOKUP(Sales[[#This Row],[Product ID]],Product[#All],2,0)</f>
        <v>Jbl Headset</v>
      </c>
      <c r="G4133" s="159">
        <v>2</v>
      </c>
      <c r="H4133" s="160">
        <f>VLOOKUP(Sales[[#This Row],[Product ID]],Product[#All],7,0)</f>
        <v>1670</v>
      </c>
      <c r="I4133" s="160">
        <f>Sales[[#This Row],[Selling Rate]]*Sales[[#This Row],[Qty]]</f>
        <v>3340</v>
      </c>
      <c r="J4133" s="43">
        <v>0</v>
      </c>
      <c r="K4133" s="44">
        <f>Sales[[#This Row],[Gross Amount]]*Sales[[#This Row],[Disc %]]</f>
        <v>0</v>
      </c>
      <c r="L4133" s="43">
        <v>0.18</v>
      </c>
      <c r="M4133" s="44">
        <f>(Sales[[#This Row],[Gross Amount]]-Sales[[#This Row],[Disc. Amt.]])*Sales[[#This Row],[GST %]]</f>
        <v>601.19999999999993</v>
      </c>
      <c r="N4133" s="161">
        <f>Sales[[#This Row],[Gross Amount]]-Sales[[#This Row],[Disc. Amt.]]+Sales[[#This Row],[GST Amount]]</f>
        <v>3941.2</v>
      </c>
      <c r="O4133" s="158" t="s">
        <v>3566</v>
      </c>
      <c r="P4133" s="158" t="s">
        <v>3562</v>
      </c>
      <c r="Q4133" s="160">
        <f>IF(Sales[[#This Row],[Status]]="Cancelled",0,Sales[[#This Row],[Qty]])</f>
        <v>2</v>
      </c>
      <c r="R4133" s="161">
        <f>IF(Sales[[#This Row],[Status]]="Cancelled",0,Sales[[#This Row],[Total Amount]])</f>
        <v>3941.2</v>
      </c>
      <c r="S4133" s="162">
        <f>SUM(Sales[Net Amount])</f>
        <v>406839287.73200053</v>
      </c>
    </row>
    <row r="4134" spans="1:19" ht="18.75" x14ac:dyDescent="0.25">
      <c r="A4134" s="163" t="s">
        <v>7812</v>
      </c>
      <c r="B4134" s="164">
        <v>45981</v>
      </c>
      <c r="C4134" s="34" t="s">
        <v>858</v>
      </c>
      <c r="D4134" s="53" t="str">
        <f>VLOOKUP(Sales[[#This Row],[Customer ID]],Customer[#All],2,0)</f>
        <v>Neha Sharma</v>
      </c>
      <c r="E4134" s="34" t="s">
        <v>316</v>
      </c>
      <c r="F4134" s="34" t="str">
        <f>VLOOKUP(Sales[[#This Row],[Product ID]],Product[#All],2,0)</f>
        <v>TP-link Router</v>
      </c>
      <c r="G4134" s="53">
        <v>4</v>
      </c>
      <c r="H4134" s="165">
        <f>VLOOKUP(Sales[[#This Row],[Product ID]],Product[#All],7,0)</f>
        <v>3750</v>
      </c>
      <c r="I4134" s="165">
        <f>Sales[[#This Row],[Selling Rate]]*Sales[[#This Row],[Qty]]</f>
        <v>15000</v>
      </c>
      <c r="J4134" s="45">
        <v>0.12</v>
      </c>
      <c r="K4134" s="46">
        <f>Sales[[#This Row],[Gross Amount]]*Sales[[#This Row],[Disc %]]</f>
        <v>1800</v>
      </c>
      <c r="L4134" s="43">
        <v>0.18</v>
      </c>
      <c r="M4134" s="46">
        <f>(Sales[[#This Row],[Gross Amount]]-Sales[[#This Row],[Disc. Amt.]])*Sales[[#This Row],[GST %]]</f>
        <v>2376</v>
      </c>
      <c r="N4134" s="161">
        <f>Sales[[#This Row],[Gross Amount]]-Sales[[#This Row],[Disc. Amt.]]+Sales[[#This Row],[GST Amount]]</f>
        <v>15576</v>
      </c>
      <c r="O4134" s="34" t="s">
        <v>3569</v>
      </c>
      <c r="P4134" s="34" t="s">
        <v>3562</v>
      </c>
      <c r="Q4134" s="165">
        <f>IF(Sales[[#This Row],[Status]]="Cancelled",0,Sales[[#This Row],[Qty]])</f>
        <v>4</v>
      </c>
      <c r="R4134" s="166">
        <f>IF(Sales[[#This Row],[Status]]="Cancelled",0,Sales[[#This Row],[Total Amount]])</f>
        <v>15576</v>
      </c>
      <c r="S4134" s="162">
        <f>SUM(Sales[Net Amount])</f>
        <v>406839287.73200053</v>
      </c>
    </row>
    <row r="4135" spans="1:19" ht="18.75" x14ac:dyDescent="0.25">
      <c r="A4135" s="156" t="s">
        <v>7813</v>
      </c>
      <c r="B4135" s="157">
        <v>45981</v>
      </c>
      <c r="C4135" s="158" t="s">
        <v>746</v>
      </c>
      <c r="D4135" s="159" t="str">
        <f>VLOOKUP(Sales[[#This Row],[Customer ID]],Customer[#All],2,0)</f>
        <v>Sunita Kumar</v>
      </c>
      <c r="E4135" s="158" t="s">
        <v>33</v>
      </c>
      <c r="F4135" s="158" t="str">
        <f>VLOOKUP(Sales[[#This Row],[Product ID]],Product[#All],2,0)</f>
        <v>Samsung Monitor</v>
      </c>
      <c r="G4135" s="159">
        <v>4</v>
      </c>
      <c r="H4135" s="160">
        <f>VLOOKUP(Sales[[#This Row],[Product ID]],Product[#All],7,0)</f>
        <v>9840</v>
      </c>
      <c r="I4135" s="160">
        <f>Sales[[#This Row],[Selling Rate]]*Sales[[#This Row],[Qty]]</f>
        <v>39360</v>
      </c>
      <c r="J4135" s="43">
        <v>0</v>
      </c>
      <c r="K4135" s="44">
        <f>Sales[[#This Row],[Gross Amount]]*Sales[[#This Row],[Disc %]]</f>
        <v>0</v>
      </c>
      <c r="L4135" s="43">
        <v>0.18</v>
      </c>
      <c r="M4135" s="44">
        <f>(Sales[[#This Row],[Gross Amount]]-Sales[[#This Row],[Disc. Amt.]])*Sales[[#This Row],[GST %]]</f>
        <v>7084.8</v>
      </c>
      <c r="N4135" s="161">
        <f>Sales[[#This Row],[Gross Amount]]-Sales[[#This Row],[Disc. Amt.]]+Sales[[#This Row],[GST Amount]]</f>
        <v>46444.800000000003</v>
      </c>
      <c r="O4135" s="158" t="s">
        <v>3566</v>
      </c>
      <c r="P4135" s="158" t="s">
        <v>3562</v>
      </c>
      <c r="Q4135" s="160">
        <f>IF(Sales[[#This Row],[Status]]="Cancelled",0,Sales[[#This Row],[Qty]])</f>
        <v>4</v>
      </c>
      <c r="R4135" s="161">
        <f>IF(Sales[[#This Row],[Status]]="Cancelled",0,Sales[[#This Row],[Total Amount]])</f>
        <v>46444.800000000003</v>
      </c>
      <c r="S4135" s="162">
        <f>SUM(Sales[Net Amount])</f>
        <v>406839287.73200053</v>
      </c>
    </row>
    <row r="4136" spans="1:19" ht="18.75" x14ac:dyDescent="0.25">
      <c r="A4136" s="163" t="s">
        <v>7814</v>
      </c>
      <c r="B4136" s="164">
        <v>45981</v>
      </c>
      <c r="C4136" s="34" t="s">
        <v>675</v>
      </c>
      <c r="D4136" s="53" t="str">
        <f>VLOOKUP(Sales[[#This Row],[Customer ID]],Customer[#All],2,0)</f>
        <v>Rahul Gupta</v>
      </c>
      <c r="E4136" s="34" t="s">
        <v>433</v>
      </c>
      <c r="F4136" s="34" t="str">
        <f>VLOOKUP(Sales[[#This Row],[Product ID]],Product[#All],2,0)</f>
        <v>Seagate HDD</v>
      </c>
      <c r="G4136" s="53">
        <v>8</v>
      </c>
      <c r="H4136" s="165">
        <f>VLOOKUP(Sales[[#This Row],[Product ID]],Product[#All],7,0)</f>
        <v>13910</v>
      </c>
      <c r="I4136" s="165">
        <f>Sales[[#This Row],[Selling Rate]]*Sales[[#This Row],[Qty]]</f>
        <v>111280</v>
      </c>
      <c r="J4136" s="45">
        <v>0.15</v>
      </c>
      <c r="K4136" s="46">
        <f>Sales[[#This Row],[Gross Amount]]*Sales[[#This Row],[Disc %]]</f>
        <v>16692</v>
      </c>
      <c r="L4136" s="43">
        <v>0.18</v>
      </c>
      <c r="M4136" s="46">
        <f>(Sales[[#This Row],[Gross Amount]]-Sales[[#This Row],[Disc. Amt.]])*Sales[[#This Row],[GST %]]</f>
        <v>17025.84</v>
      </c>
      <c r="N4136" s="161">
        <f>Sales[[#This Row],[Gross Amount]]-Sales[[#This Row],[Disc. Amt.]]+Sales[[#This Row],[GST Amount]]</f>
        <v>111613.84</v>
      </c>
      <c r="O4136" s="34" t="s">
        <v>3566</v>
      </c>
      <c r="P4136" s="34" t="s">
        <v>3562</v>
      </c>
      <c r="Q4136" s="165">
        <f>IF(Sales[[#This Row],[Status]]="Cancelled",0,Sales[[#This Row],[Qty]])</f>
        <v>8</v>
      </c>
      <c r="R4136" s="166">
        <f>IF(Sales[[#This Row],[Status]]="Cancelled",0,Sales[[#This Row],[Total Amount]])</f>
        <v>111613.84</v>
      </c>
      <c r="S4136" s="162">
        <f>SUM(Sales[Net Amount])</f>
        <v>406839287.73200053</v>
      </c>
    </row>
    <row r="4137" spans="1:19" ht="18.75" x14ac:dyDescent="0.25">
      <c r="A4137" s="156" t="s">
        <v>7815</v>
      </c>
      <c r="B4137" s="157">
        <v>45981</v>
      </c>
      <c r="C4137" s="158" t="s">
        <v>842</v>
      </c>
      <c r="D4137" s="159" t="str">
        <f>VLOOKUP(Sales[[#This Row],[Customer ID]],Customer[#All],2,0)</f>
        <v>Priya Gupta</v>
      </c>
      <c r="E4137" s="158" t="s">
        <v>456</v>
      </c>
      <c r="F4137" s="158" t="str">
        <f>VLOOKUP(Sales[[#This Row],[Product ID]],Product[#All],2,0)</f>
        <v>Acer Laptop</v>
      </c>
      <c r="G4137" s="159">
        <v>1</v>
      </c>
      <c r="H4137" s="160">
        <f>VLOOKUP(Sales[[#This Row],[Product ID]],Product[#All],7,0)</f>
        <v>66790</v>
      </c>
      <c r="I4137" s="160">
        <f>Sales[[#This Row],[Selling Rate]]*Sales[[#This Row],[Qty]]</f>
        <v>66790</v>
      </c>
      <c r="J4137" s="43">
        <v>0</v>
      </c>
      <c r="K4137" s="44">
        <f>Sales[[#This Row],[Gross Amount]]*Sales[[#This Row],[Disc %]]</f>
        <v>0</v>
      </c>
      <c r="L4137" s="43">
        <v>0.18</v>
      </c>
      <c r="M4137" s="44">
        <f>(Sales[[#This Row],[Gross Amount]]-Sales[[#This Row],[Disc. Amt.]])*Sales[[#This Row],[GST %]]</f>
        <v>12022.199999999999</v>
      </c>
      <c r="N4137" s="161">
        <f>Sales[[#This Row],[Gross Amount]]-Sales[[#This Row],[Disc. Amt.]]+Sales[[#This Row],[GST Amount]]</f>
        <v>78812.2</v>
      </c>
      <c r="O4137" s="158" t="s">
        <v>8876</v>
      </c>
      <c r="P4137" s="158" t="s">
        <v>3562</v>
      </c>
      <c r="Q4137" s="160">
        <f>IF(Sales[[#This Row],[Status]]="Cancelled",0,Sales[[#This Row],[Qty]])</f>
        <v>1</v>
      </c>
      <c r="R4137" s="161">
        <f>IF(Sales[[#This Row],[Status]]="Cancelled",0,Sales[[#This Row],[Total Amount]])</f>
        <v>78812.2</v>
      </c>
      <c r="S4137" s="162">
        <f>SUM(Sales[Net Amount])</f>
        <v>406839287.73200053</v>
      </c>
    </row>
    <row r="4138" spans="1:19" ht="18.75" x14ac:dyDescent="0.25">
      <c r="A4138" s="163" t="s">
        <v>7816</v>
      </c>
      <c r="B4138" s="164">
        <v>45981</v>
      </c>
      <c r="C4138" s="34" t="s">
        <v>731</v>
      </c>
      <c r="D4138" s="53" t="str">
        <f>VLOOKUP(Sales[[#This Row],[Customer ID]],Customer[#All],2,0)</f>
        <v>Neha Singh</v>
      </c>
      <c r="E4138" s="34" t="s">
        <v>67</v>
      </c>
      <c r="F4138" s="34" t="str">
        <f>VLOOKUP(Sales[[#This Row],[Product ID]],Product[#All],2,0)</f>
        <v>TP-link Wi-Fi Adapter</v>
      </c>
      <c r="G4138" s="53">
        <v>2</v>
      </c>
      <c r="H4138" s="165">
        <f>VLOOKUP(Sales[[#This Row],[Product ID]],Product[#All],7,0)</f>
        <v>2990</v>
      </c>
      <c r="I4138" s="165">
        <f>Sales[[#This Row],[Selling Rate]]*Sales[[#This Row],[Qty]]</f>
        <v>5980</v>
      </c>
      <c r="J4138" s="45">
        <v>0.12</v>
      </c>
      <c r="K4138" s="46">
        <f>Sales[[#This Row],[Gross Amount]]*Sales[[#This Row],[Disc %]]</f>
        <v>717.6</v>
      </c>
      <c r="L4138" s="43">
        <v>0.18</v>
      </c>
      <c r="M4138" s="46">
        <f>(Sales[[#This Row],[Gross Amount]]-Sales[[#This Row],[Disc. Amt.]])*Sales[[#This Row],[GST %]]</f>
        <v>947.23199999999986</v>
      </c>
      <c r="N4138" s="161">
        <f>Sales[[#This Row],[Gross Amount]]-Sales[[#This Row],[Disc. Amt.]]+Sales[[#This Row],[GST Amount]]</f>
        <v>6209.6319999999996</v>
      </c>
      <c r="O4138" s="34" t="s">
        <v>3566</v>
      </c>
      <c r="P4138" s="34" t="s">
        <v>3562</v>
      </c>
      <c r="Q4138" s="165">
        <f>IF(Sales[[#This Row],[Status]]="Cancelled",0,Sales[[#This Row],[Qty]])</f>
        <v>2</v>
      </c>
      <c r="R4138" s="166">
        <f>IF(Sales[[#This Row],[Status]]="Cancelled",0,Sales[[#This Row],[Total Amount]])</f>
        <v>6209.6319999999996</v>
      </c>
      <c r="S4138" s="162">
        <f>SUM(Sales[Net Amount])</f>
        <v>406839287.73200053</v>
      </c>
    </row>
    <row r="4139" spans="1:19" ht="18.75" x14ac:dyDescent="0.25">
      <c r="A4139" s="156" t="s">
        <v>7817</v>
      </c>
      <c r="B4139" s="157">
        <v>45981</v>
      </c>
      <c r="C4139" s="158" t="s">
        <v>825</v>
      </c>
      <c r="D4139" s="159" t="str">
        <f>VLOOKUP(Sales[[#This Row],[Customer ID]],Customer[#All],2,0)</f>
        <v>Rahul Kumar</v>
      </c>
      <c r="E4139" s="158" t="s">
        <v>387</v>
      </c>
      <c r="F4139" s="158" t="str">
        <f>VLOOKUP(Sales[[#This Row],[Product ID]],Product[#All],2,0)</f>
        <v>HP Printer</v>
      </c>
      <c r="G4139" s="159">
        <v>3</v>
      </c>
      <c r="H4139" s="160">
        <f>VLOOKUP(Sales[[#This Row],[Product ID]],Product[#All],7,0)</f>
        <v>14390</v>
      </c>
      <c r="I4139" s="160">
        <f>Sales[[#This Row],[Selling Rate]]*Sales[[#This Row],[Qty]]</f>
        <v>43170</v>
      </c>
      <c r="J4139" s="43">
        <v>0.05</v>
      </c>
      <c r="K4139" s="44">
        <f>Sales[[#This Row],[Gross Amount]]*Sales[[#This Row],[Disc %]]</f>
        <v>2158.5</v>
      </c>
      <c r="L4139" s="43">
        <v>0.18</v>
      </c>
      <c r="M4139" s="44">
        <f>(Sales[[#This Row],[Gross Amount]]-Sales[[#This Row],[Disc. Amt.]])*Sales[[#This Row],[GST %]]</f>
        <v>7382.07</v>
      </c>
      <c r="N4139" s="161">
        <f>Sales[[#This Row],[Gross Amount]]-Sales[[#This Row],[Disc. Amt.]]+Sales[[#This Row],[GST Amount]]</f>
        <v>48393.57</v>
      </c>
      <c r="O4139" s="158" t="s">
        <v>8876</v>
      </c>
      <c r="P4139" s="158" t="s">
        <v>3562</v>
      </c>
      <c r="Q4139" s="160">
        <f>IF(Sales[[#This Row],[Status]]="Cancelled",0,Sales[[#This Row],[Qty]])</f>
        <v>3</v>
      </c>
      <c r="R4139" s="161">
        <f>IF(Sales[[#This Row],[Status]]="Cancelled",0,Sales[[#This Row],[Total Amount]])</f>
        <v>48393.57</v>
      </c>
      <c r="S4139" s="162">
        <f>SUM(Sales[Net Amount])</f>
        <v>406839287.73200053</v>
      </c>
    </row>
    <row r="4140" spans="1:19" ht="18.75" x14ac:dyDescent="0.25">
      <c r="A4140" s="163" t="s">
        <v>7818</v>
      </c>
      <c r="B4140" s="164">
        <v>45981</v>
      </c>
      <c r="C4140" s="34" t="s">
        <v>7819</v>
      </c>
      <c r="D4140" s="53" t="str">
        <f>VLOOKUP(Sales[[#This Row],[Customer ID]],Customer[#All],2,0)</f>
        <v>Amit Singh</v>
      </c>
      <c r="E4140" s="34" t="s">
        <v>289</v>
      </c>
      <c r="F4140" s="34" t="str">
        <f>VLOOKUP(Sales[[#This Row],[Product ID]],Product[#All],2,0)</f>
        <v>HP Mouse</v>
      </c>
      <c r="G4140" s="53">
        <v>1</v>
      </c>
      <c r="H4140" s="165">
        <f>VLOOKUP(Sales[[#This Row],[Product ID]],Product[#All],7,0)</f>
        <v>1200</v>
      </c>
      <c r="I4140" s="165">
        <f>Sales[[#This Row],[Selling Rate]]*Sales[[#This Row],[Qty]]</f>
        <v>1200</v>
      </c>
      <c r="J4140" s="45">
        <v>0.1</v>
      </c>
      <c r="K4140" s="46">
        <f>Sales[[#This Row],[Gross Amount]]*Sales[[#This Row],[Disc %]]</f>
        <v>120</v>
      </c>
      <c r="L4140" s="43">
        <v>0.18</v>
      </c>
      <c r="M4140" s="46">
        <f>(Sales[[#This Row],[Gross Amount]]-Sales[[#This Row],[Disc. Amt.]])*Sales[[#This Row],[GST %]]</f>
        <v>194.4</v>
      </c>
      <c r="N4140" s="161">
        <f>Sales[[#This Row],[Gross Amount]]-Sales[[#This Row],[Disc. Amt.]]+Sales[[#This Row],[GST Amount]]</f>
        <v>1274.4000000000001</v>
      </c>
      <c r="O4140" s="34" t="s">
        <v>8876</v>
      </c>
      <c r="P4140" s="34" t="s">
        <v>3562</v>
      </c>
      <c r="Q4140" s="165">
        <f>IF(Sales[[#This Row],[Status]]="Cancelled",0,Sales[[#This Row],[Qty]])</f>
        <v>1</v>
      </c>
      <c r="R4140" s="166">
        <f>IF(Sales[[#This Row],[Status]]="Cancelled",0,Sales[[#This Row],[Total Amount]])</f>
        <v>1274.4000000000001</v>
      </c>
      <c r="S4140" s="162">
        <f>SUM(Sales[Net Amount])</f>
        <v>406839287.73200053</v>
      </c>
    </row>
    <row r="4141" spans="1:19" ht="18.75" x14ac:dyDescent="0.25">
      <c r="A4141" s="156" t="s">
        <v>7820</v>
      </c>
      <c r="B4141" s="157">
        <v>45981</v>
      </c>
      <c r="C4141" s="158" t="s">
        <v>896</v>
      </c>
      <c r="D4141" s="159" t="str">
        <f>VLOOKUP(Sales[[#This Row],[Customer ID]],Customer[#All],2,0)</f>
        <v>Amit Gupta</v>
      </c>
      <c r="E4141" s="158" t="s">
        <v>230</v>
      </c>
      <c r="F4141" s="158" t="str">
        <f>VLOOKUP(Sales[[#This Row],[Product ID]],Product[#All],2,0)</f>
        <v>Dell Desktop</v>
      </c>
      <c r="G4141" s="159">
        <v>3</v>
      </c>
      <c r="H4141" s="160">
        <f>VLOOKUP(Sales[[#This Row],[Product ID]],Product[#All],7,0)</f>
        <v>69610</v>
      </c>
      <c r="I4141" s="160">
        <f>Sales[[#This Row],[Selling Rate]]*Sales[[#This Row],[Qty]]</f>
        <v>208830</v>
      </c>
      <c r="J4141" s="43">
        <v>0</v>
      </c>
      <c r="K4141" s="44">
        <f>Sales[[#This Row],[Gross Amount]]*Sales[[#This Row],[Disc %]]</f>
        <v>0</v>
      </c>
      <c r="L4141" s="43">
        <v>0.18</v>
      </c>
      <c r="M4141" s="44">
        <f>(Sales[[#This Row],[Gross Amount]]-Sales[[#This Row],[Disc. Amt.]])*Sales[[#This Row],[GST %]]</f>
        <v>37589.4</v>
      </c>
      <c r="N4141" s="161">
        <f>Sales[[#This Row],[Gross Amount]]-Sales[[#This Row],[Disc. Amt.]]+Sales[[#This Row],[GST Amount]]</f>
        <v>246419.4</v>
      </c>
      <c r="O4141" s="158" t="s">
        <v>3566</v>
      </c>
      <c r="P4141" s="158" t="s">
        <v>3562</v>
      </c>
      <c r="Q4141" s="160">
        <f>IF(Sales[[#This Row],[Status]]="Cancelled",0,Sales[[#This Row],[Qty]])</f>
        <v>3</v>
      </c>
      <c r="R4141" s="161">
        <f>IF(Sales[[#This Row],[Status]]="Cancelled",0,Sales[[#This Row],[Total Amount]])</f>
        <v>246419.4</v>
      </c>
      <c r="S4141" s="162">
        <f>SUM(Sales[Net Amount])</f>
        <v>406839287.73200053</v>
      </c>
    </row>
    <row r="4142" spans="1:19" ht="18.75" x14ac:dyDescent="0.25">
      <c r="A4142" s="163" t="s">
        <v>7821</v>
      </c>
      <c r="B4142" s="164">
        <v>45982</v>
      </c>
      <c r="C4142" s="34" t="s">
        <v>866</v>
      </c>
      <c r="D4142" s="53" t="str">
        <f>VLOOKUP(Sales[[#This Row],[Customer ID]],Customer[#All],2,0)</f>
        <v>Priya Patel</v>
      </c>
      <c r="E4142" s="34" t="s">
        <v>479</v>
      </c>
      <c r="F4142" s="34" t="str">
        <f>VLOOKUP(Sales[[#This Row],[Product ID]],Product[#All],2,0)</f>
        <v>TP-link Router</v>
      </c>
      <c r="G4142" s="53">
        <v>5</v>
      </c>
      <c r="H4142" s="165">
        <f>VLOOKUP(Sales[[#This Row],[Product ID]],Product[#All],7,0)</f>
        <v>5740</v>
      </c>
      <c r="I4142" s="165">
        <f>Sales[[#This Row],[Selling Rate]]*Sales[[#This Row],[Qty]]</f>
        <v>28700</v>
      </c>
      <c r="J4142" s="45">
        <v>0.15</v>
      </c>
      <c r="K4142" s="46">
        <f>Sales[[#This Row],[Gross Amount]]*Sales[[#This Row],[Disc %]]</f>
        <v>4305</v>
      </c>
      <c r="L4142" s="43">
        <v>0.18</v>
      </c>
      <c r="M4142" s="46">
        <f>(Sales[[#This Row],[Gross Amount]]-Sales[[#This Row],[Disc. Amt.]])*Sales[[#This Row],[GST %]]</f>
        <v>4391.0999999999995</v>
      </c>
      <c r="N4142" s="161">
        <f>Sales[[#This Row],[Gross Amount]]-Sales[[#This Row],[Disc. Amt.]]+Sales[[#This Row],[GST Amount]]</f>
        <v>28786.1</v>
      </c>
      <c r="O4142" s="34" t="s">
        <v>3569</v>
      </c>
      <c r="P4142" s="34" t="s">
        <v>3562</v>
      </c>
      <c r="Q4142" s="165">
        <f>IF(Sales[[#This Row],[Status]]="Cancelled",0,Sales[[#This Row],[Qty]])</f>
        <v>5</v>
      </c>
      <c r="R4142" s="166">
        <f>IF(Sales[[#This Row],[Status]]="Cancelled",0,Sales[[#This Row],[Total Amount]])</f>
        <v>28786.1</v>
      </c>
      <c r="S4142" s="162">
        <f>SUM(Sales[Net Amount])</f>
        <v>406839287.73200053</v>
      </c>
    </row>
    <row r="4143" spans="1:19" ht="18.75" x14ac:dyDescent="0.25">
      <c r="A4143" s="156" t="s">
        <v>7822</v>
      </c>
      <c r="B4143" s="157">
        <v>45982</v>
      </c>
      <c r="C4143" s="158" t="s">
        <v>680</v>
      </c>
      <c r="D4143" s="159" t="str">
        <f>VLOOKUP(Sales[[#This Row],[Customer ID]],Customer[#All],2,0)</f>
        <v>Rahul Kumar</v>
      </c>
      <c r="E4143" s="158" t="s">
        <v>326</v>
      </c>
      <c r="F4143" s="158" t="str">
        <f>VLOOKUP(Sales[[#This Row],[Product ID]],Product[#All],2,0)</f>
        <v>Samsung Ssd</v>
      </c>
      <c r="G4143" s="159">
        <v>1</v>
      </c>
      <c r="H4143" s="160">
        <f>VLOOKUP(Sales[[#This Row],[Product ID]],Product[#All],7,0)</f>
        <v>8670</v>
      </c>
      <c r="I4143" s="160">
        <f>Sales[[#This Row],[Selling Rate]]*Sales[[#This Row],[Qty]]</f>
        <v>8670</v>
      </c>
      <c r="J4143" s="43">
        <v>0.05</v>
      </c>
      <c r="K4143" s="44">
        <f>Sales[[#This Row],[Gross Amount]]*Sales[[#This Row],[Disc %]]</f>
        <v>433.5</v>
      </c>
      <c r="L4143" s="43">
        <v>0.18</v>
      </c>
      <c r="M4143" s="44">
        <f>(Sales[[#This Row],[Gross Amount]]-Sales[[#This Row],[Disc. Amt.]])*Sales[[#This Row],[GST %]]</f>
        <v>1482.57</v>
      </c>
      <c r="N4143" s="161">
        <f>Sales[[#This Row],[Gross Amount]]-Sales[[#This Row],[Disc. Amt.]]+Sales[[#This Row],[GST Amount]]</f>
        <v>9719.07</v>
      </c>
      <c r="O4143" s="158" t="s">
        <v>3569</v>
      </c>
      <c r="P4143" s="158" t="s">
        <v>3562</v>
      </c>
      <c r="Q4143" s="160">
        <f>IF(Sales[[#This Row],[Status]]="Cancelled",0,Sales[[#This Row],[Qty]])</f>
        <v>1</v>
      </c>
      <c r="R4143" s="161">
        <f>IF(Sales[[#This Row],[Status]]="Cancelled",0,Sales[[#This Row],[Total Amount]])</f>
        <v>9719.07</v>
      </c>
      <c r="S4143" s="162">
        <f>SUM(Sales[Net Amount])</f>
        <v>406839287.73200053</v>
      </c>
    </row>
    <row r="4144" spans="1:19" ht="18.75" x14ac:dyDescent="0.25">
      <c r="A4144" s="163" t="s">
        <v>7823</v>
      </c>
      <c r="B4144" s="164">
        <v>45982</v>
      </c>
      <c r="C4144" s="34" t="s">
        <v>943</v>
      </c>
      <c r="D4144" s="53" t="str">
        <f>VLOOKUP(Sales[[#This Row],[Customer ID]],Customer[#All],2,0)</f>
        <v>Sahil Singh</v>
      </c>
      <c r="E4144" s="34" t="s">
        <v>219</v>
      </c>
      <c r="F4144" s="34" t="str">
        <f>VLOOKUP(Sales[[#This Row],[Product ID]],Product[#All],2,0)</f>
        <v>Samsung Monitor</v>
      </c>
      <c r="G4144" s="53">
        <v>6</v>
      </c>
      <c r="H4144" s="165">
        <f>VLOOKUP(Sales[[#This Row],[Product ID]],Product[#All],7,0)</f>
        <v>22630</v>
      </c>
      <c r="I4144" s="165">
        <f>Sales[[#This Row],[Selling Rate]]*Sales[[#This Row],[Qty]]</f>
        <v>135780</v>
      </c>
      <c r="J4144" s="45">
        <v>0.05</v>
      </c>
      <c r="K4144" s="46">
        <f>Sales[[#This Row],[Gross Amount]]*Sales[[#This Row],[Disc %]]</f>
        <v>6789</v>
      </c>
      <c r="L4144" s="43">
        <v>0.18</v>
      </c>
      <c r="M4144" s="46">
        <f>(Sales[[#This Row],[Gross Amount]]-Sales[[#This Row],[Disc. Amt.]])*Sales[[#This Row],[GST %]]</f>
        <v>23218.379999999997</v>
      </c>
      <c r="N4144" s="161">
        <f>Sales[[#This Row],[Gross Amount]]-Sales[[#This Row],[Disc. Amt.]]+Sales[[#This Row],[GST Amount]]</f>
        <v>152209.38</v>
      </c>
      <c r="O4144" s="34" t="s">
        <v>3569</v>
      </c>
      <c r="P4144" s="34" t="s">
        <v>3562</v>
      </c>
      <c r="Q4144" s="165">
        <f>IF(Sales[[#This Row],[Status]]="Cancelled",0,Sales[[#This Row],[Qty]])</f>
        <v>6</v>
      </c>
      <c r="R4144" s="166">
        <f>IF(Sales[[#This Row],[Status]]="Cancelled",0,Sales[[#This Row],[Total Amount]])</f>
        <v>152209.38</v>
      </c>
      <c r="S4144" s="162">
        <f>SUM(Sales[Net Amount])</f>
        <v>406839287.73200053</v>
      </c>
    </row>
    <row r="4145" spans="1:19" ht="18.75" x14ac:dyDescent="0.25">
      <c r="A4145" s="156" t="s">
        <v>7824</v>
      </c>
      <c r="B4145" s="157">
        <v>45982</v>
      </c>
      <c r="C4145" s="158" t="s">
        <v>702</v>
      </c>
      <c r="D4145" s="159" t="str">
        <f>VLOOKUP(Sales[[#This Row],[Customer ID]],Customer[#All],2,0)</f>
        <v>Amit Patel</v>
      </c>
      <c r="E4145" s="158" t="s">
        <v>199</v>
      </c>
      <c r="F4145" s="158" t="str">
        <f>VLOOKUP(Sales[[#This Row],[Product ID]],Product[#All],2,0)</f>
        <v>Lg Monitor</v>
      </c>
      <c r="G4145" s="159">
        <v>2</v>
      </c>
      <c r="H4145" s="160">
        <f>VLOOKUP(Sales[[#This Row],[Product ID]],Product[#All],7,0)</f>
        <v>13160</v>
      </c>
      <c r="I4145" s="160">
        <f>Sales[[#This Row],[Selling Rate]]*Sales[[#This Row],[Qty]]</f>
        <v>26320</v>
      </c>
      <c r="J4145" s="43">
        <v>0</v>
      </c>
      <c r="K4145" s="44">
        <f>Sales[[#This Row],[Gross Amount]]*Sales[[#This Row],[Disc %]]</f>
        <v>0</v>
      </c>
      <c r="L4145" s="43">
        <v>0.18</v>
      </c>
      <c r="M4145" s="44">
        <f>(Sales[[#This Row],[Gross Amount]]-Sales[[#This Row],[Disc. Amt.]])*Sales[[#This Row],[GST %]]</f>
        <v>4737.5999999999995</v>
      </c>
      <c r="N4145" s="161">
        <f>Sales[[#This Row],[Gross Amount]]-Sales[[#This Row],[Disc. Amt.]]+Sales[[#This Row],[GST Amount]]</f>
        <v>31057.599999999999</v>
      </c>
      <c r="O4145" s="158" t="s">
        <v>8876</v>
      </c>
      <c r="P4145" s="158" t="s">
        <v>3562</v>
      </c>
      <c r="Q4145" s="160">
        <f>IF(Sales[[#This Row],[Status]]="Cancelled",0,Sales[[#This Row],[Qty]])</f>
        <v>2</v>
      </c>
      <c r="R4145" s="161">
        <f>IF(Sales[[#This Row],[Status]]="Cancelled",0,Sales[[#This Row],[Total Amount]])</f>
        <v>31057.599999999999</v>
      </c>
      <c r="S4145" s="162">
        <f>SUM(Sales[Net Amount])</f>
        <v>406839287.73200053</v>
      </c>
    </row>
    <row r="4146" spans="1:19" ht="18.75" x14ac:dyDescent="0.25">
      <c r="A4146" s="163" t="s">
        <v>7825</v>
      </c>
      <c r="B4146" s="164">
        <v>45982</v>
      </c>
      <c r="C4146" s="34" t="s">
        <v>761</v>
      </c>
      <c r="D4146" s="53" t="str">
        <f>VLOOKUP(Sales[[#This Row],[Customer ID]],Customer[#All],2,0)</f>
        <v>Priya Verma</v>
      </c>
      <c r="E4146" s="34" t="s">
        <v>150</v>
      </c>
      <c r="F4146" s="34" t="str">
        <f>VLOOKUP(Sales[[#This Row],[Product ID]],Product[#All],2,0)</f>
        <v>Dell Monitor</v>
      </c>
      <c r="G4146" s="53">
        <v>2</v>
      </c>
      <c r="H4146" s="165">
        <f>VLOOKUP(Sales[[#This Row],[Product ID]],Product[#All],7,0)</f>
        <v>8400</v>
      </c>
      <c r="I4146" s="165">
        <f>Sales[[#This Row],[Selling Rate]]*Sales[[#This Row],[Qty]]</f>
        <v>16800</v>
      </c>
      <c r="J4146" s="45">
        <v>0.02</v>
      </c>
      <c r="K4146" s="46">
        <f>Sales[[#This Row],[Gross Amount]]*Sales[[#This Row],[Disc %]]</f>
        <v>336</v>
      </c>
      <c r="L4146" s="43">
        <v>0.18</v>
      </c>
      <c r="M4146" s="46">
        <f>(Sales[[#This Row],[Gross Amount]]-Sales[[#This Row],[Disc. Amt.]])*Sales[[#This Row],[GST %]]</f>
        <v>2963.52</v>
      </c>
      <c r="N4146" s="161">
        <f>Sales[[#This Row],[Gross Amount]]-Sales[[#This Row],[Disc. Amt.]]+Sales[[#This Row],[GST Amount]]</f>
        <v>19427.52</v>
      </c>
      <c r="O4146" s="34" t="s">
        <v>3566</v>
      </c>
      <c r="P4146" s="34" t="s">
        <v>3562</v>
      </c>
      <c r="Q4146" s="165">
        <f>IF(Sales[[#This Row],[Status]]="Cancelled",0,Sales[[#This Row],[Qty]])</f>
        <v>2</v>
      </c>
      <c r="R4146" s="166">
        <f>IF(Sales[[#This Row],[Status]]="Cancelled",0,Sales[[#This Row],[Total Amount]])</f>
        <v>19427.52</v>
      </c>
      <c r="S4146" s="162">
        <f>SUM(Sales[Net Amount])</f>
        <v>406839287.73200053</v>
      </c>
    </row>
    <row r="4147" spans="1:19" ht="18.75" x14ac:dyDescent="0.25">
      <c r="A4147" s="156" t="s">
        <v>7826</v>
      </c>
      <c r="B4147" s="157">
        <v>45982</v>
      </c>
      <c r="C4147" s="158" t="s">
        <v>883</v>
      </c>
      <c r="D4147" s="159" t="str">
        <f>VLOOKUP(Sales[[#This Row],[Customer ID]],Customer[#All],2,0)</f>
        <v>Rahul Verma</v>
      </c>
      <c r="E4147" s="158" t="s">
        <v>422</v>
      </c>
      <c r="F4147" s="158" t="str">
        <f>VLOOKUP(Sales[[#This Row],[Product ID]],Product[#All],2,0)</f>
        <v>Microtek UPS</v>
      </c>
      <c r="G4147" s="159">
        <v>4</v>
      </c>
      <c r="H4147" s="160">
        <f>VLOOKUP(Sales[[#This Row],[Product ID]],Product[#All],7,0)</f>
        <v>6450</v>
      </c>
      <c r="I4147" s="160">
        <f>Sales[[#This Row],[Selling Rate]]*Sales[[#This Row],[Qty]]</f>
        <v>25800</v>
      </c>
      <c r="J4147" s="43">
        <v>0.12</v>
      </c>
      <c r="K4147" s="44">
        <f>Sales[[#This Row],[Gross Amount]]*Sales[[#This Row],[Disc %]]</f>
        <v>3096</v>
      </c>
      <c r="L4147" s="43">
        <v>0.18</v>
      </c>
      <c r="M4147" s="44">
        <f>(Sales[[#This Row],[Gross Amount]]-Sales[[#This Row],[Disc. Amt.]])*Sales[[#This Row],[GST %]]</f>
        <v>4086.72</v>
      </c>
      <c r="N4147" s="161">
        <f>Sales[[#This Row],[Gross Amount]]-Sales[[#This Row],[Disc. Amt.]]+Sales[[#This Row],[GST Amount]]</f>
        <v>26790.720000000001</v>
      </c>
      <c r="O4147" s="158" t="s">
        <v>3561</v>
      </c>
      <c r="P4147" s="158" t="s">
        <v>3562</v>
      </c>
      <c r="Q4147" s="160">
        <f>IF(Sales[[#This Row],[Status]]="Cancelled",0,Sales[[#This Row],[Qty]])</f>
        <v>4</v>
      </c>
      <c r="R4147" s="161">
        <f>IF(Sales[[#This Row],[Status]]="Cancelled",0,Sales[[#This Row],[Total Amount]])</f>
        <v>26790.720000000001</v>
      </c>
      <c r="S4147" s="162">
        <f>SUM(Sales[Net Amount])</f>
        <v>406839287.73200053</v>
      </c>
    </row>
    <row r="4148" spans="1:19" ht="18.75" x14ac:dyDescent="0.25">
      <c r="A4148" s="163" t="s">
        <v>7827</v>
      </c>
      <c r="B4148" s="164">
        <v>45982</v>
      </c>
      <c r="C4148" s="34" t="s">
        <v>744</v>
      </c>
      <c r="D4148" s="53" t="str">
        <f>VLOOKUP(Sales[[#This Row],[Customer ID]],Customer[#All],2,0)</f>
        <v>Rakesh Patel</v>
      </c>
      <c r="E4148" s="34" t="s">
        <v>367</v>
      </c>
      <c r="F4148" s="34" t="str">
        <f>VLOOKUP(Sales[[#This Row],[Product ID]],Product[#All],2,0)</f>
        <v>Jbl Speaker</v>
      </c>
      <c r="G4148" s="53">
        <v>7</v>
      </c>
      <c r="H4148" s="165">
        <f>VLOOKUP(Sales[[#This Row],[Product ID]],Product[#All],7,0)</f>
        <v>4880</v>
      </c>
      <c r="I4148" s="165">
        <f>Sales[[#This Row],[Selling Rate]]*Sales[[#This Row],[Qty]]</f>
        <v>34160</v>
      </c>
      <c r="J4148" s="45">
        <v>0.1</v>
      </c>
      <c r="K4148" s="46">
        <f>Sales[[#This Row],[Gross Amount]]*Sales[[#This Row],[Disc %]]</f>
        <v>3416</v>
      </c>
      <c r="L4148" s="43">
        <v>0.18</v>
      </c>
      <c r="M4148" s="46">
        <f>(Sales[[#This Row],[Gross Amount]]-Sales[[#This Row],[Disc. Amt.]])*Sales[[#This Row],[GST %]]</f>
        <v>5533.92</v>
      </c>
      <c r="N4148" s="161">
        <f>Sales[[#This Row],[Gross Amount]]-Sales[[#This Row],[Disc. Amt.]]+Sales[[#This Row],[GST Amount]]</f>
        <v>36277.919999999998</v>
      </c>
      <c r="O4148" s="34" t="s">
        <v>3566</v>
      </c>
      <c r="P4148" s="34" t="s">
        <v>3562</v>
      </c>
      <c r="Q4148" s="165">
        <f>IF(Sales[[#This Row],[Status]]="Cancelled",0,Sales[[#This Row],[Qty]])</f>
        <v>7</v>
      </c>
      <c r="R4148" s="166">
        <f>IF(Sales[[#This Row],[Status]]="Cancelled",0,Sales[[#This Row],[Total Amount]])</f>
        <v>36277.919999999998</v>
      </c>
      <c r="S4148" s="162">
        <f>SUM(Sales[Net Amount])</f>
        <v>406839287.73200053</v>
      </c>
    </row>
    <row r="4149" spans="1:19" ht="18.75" x14ac:dyDescent="0.25">
      <c r="A4149" s="156" t="s">
        <v>7828</v>
      </c>
      <c r="B4149" s="157">
        <v>45982</v>
      </c>
      <c r="C4149" s="158" t="s">
        <v>652</v>
      </c>
      <c r="D4149" s="159" t="str">
        <f>VLOOKUP(Sales[[#This Row],[Customer ID]],Customer[#All],2,0)</f>
        <v>Sahil Kumar</v>
      </c>
      <c r="E4149" s="158" t="s">
        <v>365</v>
      </c>
      <c r="F4149" s="158" t="str">
        <f>VLOOKUP(Sales[[#This Row],[Product ID]],Product[#All],2,0)</f>
        <v>TP-link Bluetooth Adapter</v>
      </c>
      <c r="G4149" s="159">
        <v>5</v>
      </c>
      <c r="H4149" s="160">
        <f>VLOOKUP(Sales[[#This Row],[Product ID]],Product[#All],7,0)</f>
        <v>2120</v>
      </c>
      <c r="I4149" s="160">
        <f>Sales[[#This Row],[Selling Rate]]*Sales[[#This Row],[Qty]]</f>
        <v>10600</v>
      </c>
      <c r="J4149" s="43">
        <v>0</v>
      </c>
      <c r="K4149" s="44">
        <f>Sales[[#This Row],[Gross Amount]]*Sales[[#This Row],[Disc %]]</f>
        <v>0</v>
      </c>
      <c r="L4149" s="43">
        <v>0.18</v>
      </c>
      <c r="M4149" s="44">
        <f>(Sales[[#This Row],[Gross Amount]]-Sales[[#This Row],[Disc. Amt.]])*Sales[[#This Row],[GST %]]</f>
        <v>1908</v>
      </c>
      <c r="N4149" s="161">
        <f>Sales[[#This Row],[Gross Amount]]-Sales[[#This Row],[Disc. Amt.]]+Sales[[#This Row],[GST Amount]]</f>
        <v>12508</v>
      </c>
      <c r="O4149" s="158" t="s">
        <v>3561</v>
      </c>
      <c r="P4149" s="158" t="s">
        <v>3562</v>
      </c>
      <c r="Q4149" s="160">
        <f>IF(Sales[[#This Row],[Status]]="Cancelled",0,Sales[[#This Row],[Qty]])</f>
        <v>5</v>
      </c>
      <c r="R4149" s="161">
        <f>IF(Sales[[#This Row],[Status]]="Cancelled",0,Sales[[#This Row],[Total Amount]])</f>
        <v>12508</v>
      </c>
      <c r="S4149" s="162">
        <f>SUM(Sales[Net Amount])</f>
        <v>406839287.73200053</v>
      </c>
    </row>
    <row r="4150" spans="1:19" ht="18.75" x14ac:dyDescent="0.25">
      <c r="A4150" s="163" t="s">
        <v>7829</v>
      </c>
      <c r="B4150" s="164">
        <v>45982</v>
      </c>
      <c r="C4150" s="34" t="s">
        <v>680</v>
      </c>
      <c r="D4150" s="53" t="str">
        <f>VLOOKUP(Sales[[#This Row],[Customer ID]],Customer[#All],2,0)</f>
        <v>Rahul Kumar</v>
      </c>
      <c r="E4150" s="34" t="s">
        <v>135</v>
      </c>
      <c r="F4150" s="34" t="str">
        <f>VLOOKUP(Sales[[#This Row],[Product ID]],Product[#All],2,0)</f>
        <v>Kingston Ram</v>
      </c>
      <c r="G4150" s="53">
        <v>3</v>
      </c>
      <c r="H4150" s="165">
        <f>VLOOKUP(Sales[[#This Row],[Product ID]],Product[#All],7,0)</f>
        <v>3100</v>
      </c>
      <c r="I4150" s="165">
        <f>Sales[[#This Row],[Selling Rate]]*Sales[[#This Row],[Qty]]</f>
        <v>9300</v>
      </c>
      <c r="J4150" s="45">
        <v>0.12</v>
      </c>
      <c r="K4150" s="46">
        <f>Sales[[#This Row],[Gross Amount]]*Sales[[#This Row],[Disc %]]</f>
        <v>1116</v>
      </c>
      <c r="L4150" s="43">
        <v>0.18</v>
      </c>
      <c r="M4150" s="46">
        <f>(Sales[[#This Row],[Gross Amount]]-Sales[[#This Row],[Disc. Amt.]])*Sales[[#This Row],[GST %]]</f>
        <v>1473.12</v>
      </c>
      <c r="N4150" s="161">
        <f>Sales[[#This Row],[Gross Amount]]-Sales[[#This Row],[Disc. Amt.]]+Sales[[#This Row],[GST Amount]]</f>
        <v>9657.119999999999</v>
      </c>
      <c r="O4150" s="34" t="s">
        <v>3561</v>
      </c>
      <c r="P4150" s="34" t="s">
        <v>3562</v>
      </c>
      <c r="Q4150" s="165">
        <f>IF(Sales[[#This Row],[Status]]="Cancelled",0,Sales[[#This Row],[Qty]])</f>
        <v>3</v>
      </c>
      <c r="R4150" s="166">
        <f>IF(Sales[[#This Row],[Status]]="Cancelled",0,Sales[[#This Row],[Total Amount]])</f>
        <v>9657.119999999999</v>
      </c>
      <c r="S4150" s="162">
        <f>SUM(Sales[Net Amount])</f>
        <v>406839287.73200053</v>
      </c>
    </row>
    <row r="4151" spans="1:19" ht="18.75" x14ac:dyDescent="0.25">
      <c r="A4151" s="156" t="s">
        <v>7830</v>
      </c>
      <c r="B4151" s="157">
        <v>45982</v>
      </c>
      <c r="C4151" s="158" t="s">
        <v>653</v>
      </c>
      <c r="D4151" s="159" t="str">
        <f>VLOOKUP(Sales[[#This Row],[Customer ID]],Customer[#All],2,0)</f>
        <v>Pooja Patel</v>
      </c>
      <c r="E4151" s="158" t="s">
        <v>47</v>
      </c>
      <c r="F4151" s="158" t="str">
        <f>VLOOKUP(Sales[[#This Row],[Product ID]],Product[#All],2,0)</f>
        <v>Logitech Keyboard</v>
      </c>
      <c r="G4151" s="159">
        <v>4</v>
      </c>
      <c r="H4151" s="160">
        <f>VLOOKUP(Sales[[#This Row],[Product ID]],Product[#All],7,0)</f>
        <v>930</v>
      </c>
      <c r="I4151" s="160">
        <f>Sales[[#This Row],[Selling Rate]]*Sales[[#This Row],[Qty]]</f>
        <v>3720</v>
      </c>
      <c r="J4151" s="43">
        <v>0.05</v>
      </c>
      <c r="K4151" s="44">
        <f>Sales[[#This Row],[Gross Amount]]*Sales[[#This Row],[Disc %]]</f>
        <v>186</v>
      </c>
      <c r="L4151" s="43">
        <v>0.18</v>
      </c>
      <c r="M4151" s="44">
        <f>(Sales[[#This Row],[Gross Amount]]-Sales[[#This Row],[Disc. Amt.]])*Sales[[#This Row],[GST %]]</f>
        <v>636.12</v>
      </c>
      <c r="N4151" s="161">
        <f>Sales[[#This Row],[Gross Amount]]-Sales[[#This Row],[Disc. Amt.]]+Sales[[#This Row],[GST Amount]]</f>
        <v>4170.12</v>
      </c>
      <c r="O4151" s="158" t="s">
        <v>8876</v>
      </c>
      <c r="P4151" s="158" t="s">
        <v>3562</v>
      </c>
      <c r="Q4151" s="160">
        <f>IF(Sales[[#This Row],[Status]]="Cancelled",0,Sales[[#This Row],[Qty]])</f>
        <v>4</v>
      </c>
      <c r="R4151" s="161">
        <f>IF(Sales[[#This Row],[Status]]="Cancelled",0,Sales[[#This Row],[Total Amount]])</f>
        <v>4170.12</v>
      </c>
      <c r="S4151" s="162">
        <f>SUM(Sales[Net Amount])</f>
        <v>406839287.73200053</v>
      </c>
    </row>
    <row r="4152" spans="1:19" ht="18.75" x14ac:dyDescent="0.25">
      <c r="A4152" s="163" t="s">
        <v>7831</v>
      </c>
      <c r="B4152" s="164">
        <v>45982</v>
      </c>
      <c r="C4152" s="34" t="s">
        <v>768</v>
      </c>
      <c r="D4152" s="53" t="str">
        <f>VLOOKUP(Sales[[#This Row],[Customer ID]],Customer[#All],2,0)</f>
        <v>Priya Kumar</v>
      </c>
      <c r="E4152" s="34" t="s">
        <v>335</v>
      </c>
      <c r="F4152" s="34" t="str">
        <f>VLOOKUP(Sales[[#This Row],[Product ID]],Product[#All],2,0)</f>
        <v>Corsair Ram</v>
      </c>
      <c r="G4152" s="53">
        <v>1</v>
      </c>
      <c r="H4152" s="165">
        <f>VLOOKUP(Sales[[#This Row],[Product ID]],Product[#All],7,0)</f>
        <v>4450</v>
      </c>
      <c r="I4152" s="165">
        <f>Sales[[#This Row],[Selling Rate]]*Sales[[#This Row],[Qty]]</f>
        <v>4450</v>
      </c>
      <c r="J4152" s="45">
        <v>0</v>
      </c>
      <c r="K4152" s="46">
        <f>Sales[[#This Row],[Gross Amount]]*Sales[[#This Row],[Disc %]]</f>
        <v>0</v>
      </c>
      <c r="L4152" s="43">
        <v>0.18</v>
      </c>
      <c r="M4152" s="46">
        <f>(Sales[[#This Row],[Gross Amount]]-Sales[[#This Row],[Disc. Amt.]])*Sales[[#This Row],[GST %]]</f>
        <v>801</v>
      </c>
      <c r="N4152" s="161">
        <f>Sales[[#This Row],[Gross Amount]]-Sales[[#This Row],[Disc. Amt.]]+Sales[[#This Row],[GST Amount]]</f>
        <v>5251</v>
      </c>
      <c r="O4152" s="34" t="s">
        <v>8876</v>
      </c>
      <c r="P4152" s="34" t="s">
        <v>3562</v>
      </c>
      <c r="Q4152" s="165">
        <f>IF(Sales[[#This Row],[Status]]="Cancelled",0,Sales[[#This Row],[Qty]])</f>
        <v>1</v>
      </c>
      <c r="R4152" s="166">
        <f>IF(Sales[[#This Row],[Status]]="Cancelled",0,Sales[[#This Row],[Total Amount]])</f>
        <v>5251</v>
      </c>
      <c r="S4152" s="162">
        <f>SUM(Sales[Net Amount])</f>
        <v>406839287.73200053</v>
      </c>
    </row>
    <row r="4153" spans="1:19" ht="18.75" x14ac:dyDescent="0.25">
      <c r="A4153" s="156" t="s">
        <v>7832</v>
      </c>
      <c r="B4153" s="157">
        <v>45982</v>
      </c>
      <c r="C4153" s="158" t="s">
        <v>703</v>
      </c>
      <c r="D4153" s="159" t="str">
        <f>VLOOKUP(Sales[[#This Row],[Customer ID]],Customer[#All],2,0)</f>
        <v>Rahul Singh</v>
      </c>
      <c r="E4153" s="158" t="s">
        <v>542</v>
      </c>
      <c r="F4153" s="158" t="str">
        <f>VLOOKUP(Sales[[#This Row],[Product ID]],Product[#All],2,0)</f>
        <v>Logitech Webcam</v>
      </c>
      <c r="G4153" s="159">
        <v>1</v>
      </c>
      <c r="H4153" s="160">
        <f>VLOOKUP(Sales[[#This Row],[Product ID]],Product[#All],7,0)</f>
        <v>4800</v>
      </c>
      <c r="I4153" s="160">
        <f>Sales[[#This Row],[Selling Rate]]*Sales[[#This Row],[Qty]]</f>
        <v>4800</v>
      </c>
      <c r="J4153" s="43">
        <v>0</v>
      </c>
      <c r="K4153" s="44">
        <f>Sales[[#This Row],[Gross Amount]]*Sales[[#This Row],[Disc %]]</f>
        <v>0</v>
      </c>
      <c r="L4153" s="43">
        <v>0.18</v>
      </c>
      <c r="M4153" s="44">
        <f>(Sales[[#This Row],[Gross Amount]]-Sales[[#This Row],[Disc. Amt.]])*Sales[[#This Row],[GST %]]</f>
        <v>864</v>
      </c>
      <c r="N4153" s="161">
        <f>Sales[[#This Row],[Gross Amount]]-Sales[[#This Row],[Disc. Amt.]]+Sales[[#This Row],[GST Amount]]</f>
        <v>5664</v>
      </c>
      <c r="O4153" s="158" t="s">
        <v>3566</v>
      </c>
      <c r="P4153" s="158" t="s">
        <v>3562</v>
      </c>
      <c r="Q4153" s="160">
        <f>IF(Sales[[#This Row],[Status]]="Cancelled",0,Sales[[#This Row],[Qty]])</f>
        <v>1</v>
      </c>
      <c r="R4153" s="161">
        <f>IF(Sales[[#This Row],[Status]]="Cancelled",0,Sales[[#This Row],[Total Amount]])</f>
        <v>5664</v>
      </c>
      <c r="S4153" s="162">
        <f>SUM(Sales[Net Amount])</f>
        <v>406839287.73200053</v>
      </c>
    </row>
    <row r="4154" spans="1:19" ht="18.75" x14ac:dyDescent="0.25">
      <c r="A4154" s="163" t="s">
        <v>7833</v>
      </c>
      <c r="B4154" s="164">
        <v>45982</v>
      </c>
      <c r="C4154" s="34" t="s">
        <v>664</v>
      </c>
      <c r="D4154" s="53" t="str">
        <f>VLOOKUP(Sales[[#This Row],[Customer ID]],Customer[#All],2,0)</f>
        <v>Sahil Singh</v>
      </c>
      <c r="E4154" s="34" t="s">
        <v>499</v>
      </c>
      <c r="F4154" s="34" t="str">
        <f>VLOOKUP(Sales[[#This Row],[Product ID]],Product[#All],2,0)</f>
        <v>HP Laptop</v>
      </c>
      <c r="G4154" s="53">
        <v>6</v>
      </c>
      <c r="H4154" s="165">
        <f>VLOOKUP(Sales[[#This Row],[Product ID]],Product[#All],7,0)</f>
        <v>83390</v>
      </c>
      <c r="I4154" s="165">
        <f>Sales[[#This Row],[Selling Rate]]*Sales[[#This Row],[Qty]]</f>
        <v>500340</v>
      </c>
      <c r="J4154" s="45">
        <v>0.1</v>
      </c>
      <c r="K4154" s="46">
        <f>Sales[[#This Row],[Gross Amount]]*Sales[[#This Row],[Disc %]]</f>
        <v>50034</v>
      </c>
      <c r="L4154" s="43">
        <v>0.18</v>
      </c>
      <c r="M4154" s="46">
        <f>(Sales[[#This Row],[Gross Amount]]-Sales[[#This Row],[Disc. Amt.]])*Sales[[#This Row],[GST %]]</f>
        <v>81055.08</v>
      </c>
      <c r="N4154" s="161">
        <f>Sales[[#This Row],[Gross Amount]]-Sales[[#This Row],[Disc. Amt.]]+Sales[[#This Row],[GST Amount]]</f>
        <v>531361.07999999996</v>
      </c>
      <c r="O4154" s="34" t="s">
        <v>3561</v>
      </c>
      <c r="P4154" s="34" t="s">
        <v>3562</v>
      </c>
      <c r="Q4154" s="165">
        <f>IF(Sales[[#This Row],[Status]]="Cancelled",0,Sales[[#This Row],[Qty]])</f>
        <v>6</v>
      </c>
      <c r="R4154" s="166">
        <f>IF(Sales[[#This Row],[Status]]="Cancelled",0,Sales[[#This Row],[Total Amount]])</f>
        <v>531361.07999999996</v>
      </c>
      <c r="S4154" s="162">
        <f>SUM(Sales[Net Amount])</f>
        <v>406839287.73200053</v>
      </c>
    </row>
    <row r="4155" spans="1:19" ht="18.75" x14ac:dyDescent="0.25">
      <c r="A4155" s="156" t="s">
        <v>7834</v>
      </c>
      <c r="B4155" s="157">
        <v>45982</v>
      </c>
      <c r="C4155" s="158" t="s">
        <v>7599</v>
      </c>
      <c r="D4155" s="159" t="str">
        <f>VLOOKUP(Sales[[#This Row],[Customer ID]],Customer[#All],2,0)</f>
        <v>Pooja Verma</v>
      </c>
      <c r="E4155" s="158" t="s">
        <v>354</v>
      </c>
      <c r="F4155" s="158" t="str">
        <f>VLOOKUP(Sales[[#This Row],[Product ID]],Product[#All],2,0)</f>
        <v>Dell Monitor</v>
      </c>
      <c r="G4155" s="159">
        <v>4</v>
      </c>
      <c r="H4155" s="160">
        <f>VLOOKUP(Sales[[#This Row],[Product ID]],Product[#All],7,0)</f>
        <v>12450</v>
      </c>
      <c r="I4155" s="160">
        <f>Sales[[#This Row],[Selling Rate]]*Sales[[#This Row],[Qty]]</f>
        <v>49800</v>
      </c>
      <c r="J4155" s="43">
        <v>0.12</v>
      </c>
      <c r="K4155" s="44">
        <f>Sales[[#This Row],[Gross Amount]]*Sales[[#This Row],[Disc %]]</f>
        <v>5976</v>
      </c>
      <c r="L4155" s="43">
        <v>0.18</v>
      </c>
      <c r="M4155" s="44">
        <f>(Sales[[#This Row],[Gross Amount]]-Sales[[#This Row],[Disc. Amt.]])*Sales[[#This Row],[GST %]]</f>
        <v>7888.32</v>
      </c>
      <c r="N4155" s="161">
        <f>Sales[[#This Row],[Gross Amount]]-Sales[[#This Row],[Disc. Amt.]]+Sales[[#This Row],[GST Amount]]</f>
        <v>51712.32</v>
      </c>
      <c r="O4155" s="158" t="s">
        <v>8876</v>
      </c>
      <c r="P4155" s="158" t="s">
        <v>3562</v>
      </c>
      <c r="Q4155" s="160">
        <f>IF(Sales[[#This Row],[Status]]="Cancelled",0,Sales[[#This Row],[Qty]])</f>
        <v>4</v>
      </c>
      <c r="R4155" s="161">
        <f>IF(Sales[[#This Row],[Status]]="Cancelled",0,Sales[[#This Row],[Total Amount]])</f>
        <v>51712.32</v>
      </c>
      <c r="S4155" s="162">
        <f>SUM(Sales[Net Amount])</f>
        <v>406839287.73200053</v>
      </c>
    </row>
    <row r="4156" spans="1:19" ht="18.75" x14ac:dyDescent="0.25">
      <c r="A4156" s="163" t="s">
        <v>7835</v>
      </c>
      <c r="B4156" s="164">
        <v>45982</v>
      </c>
      <c r="C4156" s="34" t="s">
        <v>856</v>
      </c>
      <c r="D4156" s="53" t="str">
        <f>VLOOKUP(Sales[[#This Row],[Customer ID]],Customer[#All],2,0)</f>
        <v>Sunita Verma</v>
      </c>
      <c r="E4156" s="34" t="s">
        <v>341</v>
      </c>
      <c r="F4156" s="34" t="str">
        <f>VLOOKUP(Sales[[#This Row],[Product ID]],Product[#All],2,0)</f>
        <v>Dell Monitor</v>
      </c>
      <c r="G4156" s="53">
        <v>4</v>
      </c>
      <c r="H4156" s="165">
        <f>VLOOKUP(Sales[[#This Row],[Product ID]],Product[#All],7,0)</f>
        <v>20280</v>
      </c>
      <c r="I4156" s="165">
        <f>Sales[[#This Row],[Selling Rate]]*Sales[[#This Row],[Qty]]</f>
        <v>81120</v>
      </c>
      <c r="J4156" s="45">
        <v>0.1</v>
      </c>
      <c r="K4156" s="46">
        <f>Sales[[#This Row],[Gross Amount]]*Sales[[#This Row],[Disc %]]</f>
        <v>8112</v>
      </c>
      <c r="L4156" s="43">
        <v>0.18</v>
      </c>
      <c r="M4156" s="46">
        <f>(Sales[[#This Row],[Gross Amount]]-Sales[[#This Row],[Disc. Amt.]])*Sales[[#This Row],[GST %]]</f>
        <v>13141.439999999999</v>
      </c>
      <c r="N4156" s="161">
        <f>Sales[[#This Row],[Gross Amount]]-Sales[[#This Row],[Disc. Amt.]]+Sales[[#This Row],[GST Amount]]</f>
        <v>86149.440000000002</v>
      </c>
      <c r="O4156" s="34" t="s">
        <v>8876</v>
      </c>
      <c r="P4156" s="34" t="s">
        <v>3562</v>
      </c>
      <c r="Q4156" s="165">
        <f>IF(Sales[[#This Row],[Status]]="Cancelled",0,Sales[[#This Row],[Qty]])</f>
        <v>4</v>
      </c>
      <c r="R4156" s="166">
        <f>IF(Sales[[#This Row],[Status]]="Cancelled",0,Sales[[#This Row],[Total Amount]])</f>
        <v>86149.440000000002</v>
      </c>
      <c r="S4156" s="162">
        <f>SUM(Sales[Net Amount])</f>
        <v>406839287.73200053</v>
      </c>
    </row>
    <row r="4157" spans="1:19" ht="18.75" x14ac:dyDescent="0.25">
      <c r="A4157" s="156" t="s">
        <v>7836</v>
      </c>
      <c r="B4157" s="157">
        <v>45982</v>
      </c>
      <c r="C4157" s="158" t="s">
        <v>804</v>
      </c>
      <c r="D4157" s="159" t="str">
        <f>VLOOKUP(Sales[[#This Row],[Customer ID]],Customer[#All],2,0)</f>
        <v>Amit Gupta</v>
      </c>
      <c r="E4157" s="158" t="s">
        <v>526</v>
      </c>
      <c r="F4157" s="158" t="str">
        <f>VLOOKUP(Sales[[#This Row],[Product ID]],Product[#All],2,0)</f>
        <v>American TouristerLaptopBag</v>
      </c>
      <c r="G4157" s="159">
        <v>4</v>
      </c>
      <c r="H4157" s="160">
        <f>VLOOKUP(Sales[[#This Row],[Product ID]],Product[#All],7,0)</f>
        <v>2280</v>
      </c>
      <c r="I4157" s="160">
        <f>Sales[[#This Row],[Selling Rate]]*Sales[[#This Row],[Qty]]</f>
        <v>9120</v>
      </c>
      <c r="J4157" s="43">
        <v>0.12</v>
      </c>
      <c r="K4157" s="44">
        <f>Sales[[#This Row],[Gross Amount]]*Sales[[#This Row],[Disc %]]</f>
        <v>1094.3999999999999</v>
      </c>
      <c r="L4157" s="43">
        <v>0.18</v>
      </c>
      <c r="M4157" s="44">
        <f>(Sales[[#This Row],[Gross Amount]]-Sales[[#This Row],[Disc. Amt.]])*Sales[[#This Row],[GST %]]</f>
        <v>1444.6079999999999</v>
      </c>
      <c r="N4157" s="161">
        <f>Sales[[#This Row],[Gross Amount]]-Sales[[#This Row],[Disc. Amt.]]+Sales[[#This Row],[GST Amount]]</f>
        <v>9470.2080000000005</v>
      </c>
      <c r="O4157" s="158" t="s">
        <v>3569</v>
      </c>
      <c r="P4157" s="158" t="s">
        <v>3562</v>
      </c>
      <c r="Q4157" s="160">
        <f>IF(Sales[[#This Row],[Status]]="Cancelled",0,Sales[[#This Row],[Qty]])</f>
        <v>4</v>
      </c>
      <c r="R4157" s="161">
        <f>IF(Sales[[#This Row],[Status]]="Cancelled",0,Sales[[#This Row],[Total Amount]])</f>
        <v>9470.2080000000005</v>
      </c>
      <c r="S4157" s="162">
        <f>SUM(Sales[Net Amount])</f>
        <v>406839287.73200053</v>
      </c>
    </row>
    <row r="4158" spans="1:19" ht="18.75" x14ac:dyDescent="0.25">
      <c r="A4158" s="163" t="s">
        <v>7837</v>
      </c>
      <c r="B4158" s="164">
        <v>45982</v>
      </c>
      <c r="C4158" s="34" t="s">
        <v>860</v>
      </c>
      <c r="D4158" s="53" t="str">
        <f>VLOOKUP(Sales[[#This Row],[Customer ID]],Customer[#All],2,0)</f>
        <v>Rakesh Verma</v>
      </c>
      <c r="E4158" s="34" t="s">
        <v>208</v>
      </c>
      <c r="F4158" s="34" t="str">
        <f>VLOOKUP(Sales[[#This Row],[Product ID]],Product[#All],2,0)</f>
        <v>Dell Laptop</v>
      </c>
      <c r="G4158" s="53">
        <v>4</v>
      </c>
      <c r="H4158" s="165">
        <f>VLOOKUP(Sales[[#This Row],[Product ID]],Product[#All],7,0)</f>
        <v>67000</v>
      </c>
      <c r="I4158" s="165">
        <f>Sales[[#This Row],[Selling Rate]]*Sales[[#This Row],[Qty]]</f>
        <v>268000</v>
      </c>
      <c r="J4158" s="45">
        <v>0.1</v>
      </c>
      <c r="K4158" s="46">
        <f>Sales[[#This Row],[Gross Amount]]*Sales[[#This Row],[Disc %]]</f>
        <v>26800</v>
      </c>
      <c r="L4158" s="43">
        <v>0.18</v>
      </c>
      <c r="M4158" s="46">
        <f>(Sales[[#This Row],[Gross Amount]]-Sales[[#This Row],[Disc. Amt.]])*Sales[[#This Row],[GST %]]</f>
        <v>43416</v>
      </c>
      <c r="N4158" s="161">
        <f>Sales[[#This Row],[Gross Amount]]-Sales[[#This Row],[Disc. Amt.]]+Sales[[#This Row],[GST Amount]]</f>
        <v>284616</v>
      </c>
      <c r="O4158" s="34" t="s">
        <v>8876</v>
      </c>
      <c r="P4158" s="34" t="s">
        <v>3562</v>
      </c>
      <c r="Q4158" s="165">
        <f>IF(Sales[[#This Row],[Status]]="Cancelled",0,Sales[[#This Row],[Qty]])</f>
        <v>4</v>
      </c>
      <c r="R4158" s="166">
        <f>IF(Sales[[#This Row],[Status]]="Cancelled",0,Sales[[#This Row],[Total Amount]])</f>
        <v>284616</v>
      </c>
      <c r="S4158" s="162">
        <f>SUM(Sales[Net Amount])</f>
        <v>406839287.73200053</v>
      </c>
    </row>
    <row r="4159" spans="1:19" ht="18.75" x14ac:dyDescent="0.25">
      <c r="A4159" s="156" t="s">
        <v>7838</v>
      </c>
      <c r="B4159" s="157">
        <v>45983</v>
      </c>
      <c r="C4159" s="158" t="s">
        <v>782</v>
      </c>
      <c r="D4159" s="159" t="str">
        <f>VLOOKUP(Sales[[#This Row],[Customer ID]],Customer[#All],2,0)</f>
        <v>Vikas Singh</v>
      </c>
      <c r="E4159" s="158" t="s">
        <v>514</v>
      </c>
      <c r="F4159" s="158" t="str">
        <f>VLOOKUP(Sales[[#This Row],[Product ID]],Product[#All],2,0)</f>
        <v>Apc UPS</v>
      </c>
      <c r="G4159" s="159">
        <v>1</v>
      </c>
      <c r="H4159" s="160">
        <f>VLOOKUP(Sales[[#This Row],[Product ID]],Product[#All],7,0)</f>
        <v>4660</v>
      </c>
      <c r="I4159" s="160">
        <f>Sales[[#This Row],[Selling Rate]]*Sales[[#This Row],[Qty]]</f>
        <v>4660</v>
      </c>
      <c r="J4159" s="43">
        <v>0</v>
      </c>
      <c r="K4159" s="44">
        <f>Sales[[#This Row],[Gross Amount]]*Sales[[#This Row],[Disc %]]</f>
        <v>0</v>
      </c>
      <c r="L4159" s="43">
        <v>0.18</v>
      </c>
      <c r="M4159" s="44">
        <f>(Sales[[#This Row],[Gross Amount]]-Sales[[#This Row],[Disc. Amt.]])*Sales[[#This Row],[GST %]]</f>
        <v>838.8</v>
      </c>
      <c r="N4159" s="161">
        <f>Sales[[#This Row],[Gross Amount]]-Sales[[#This Row],[Disc. Amt.]]+Sales[[#This Row],[GST Amount]]</f>
        <v>5498.8</v>
      </c>
      <c r="O4159" s="158" t="s">
        <v>3566</v>
      </c>
      <c r="P4159" s="158" t="s">
        <v>3562</v>
      </c>
      <c r="Q4159" s="160">
        <f>IF(Sales[[#This Row],[Status]]="Cancelled",0,Sales[[#This Row],[Qty]])</f>
        <v>1</v>
      </c>
      <c r="R4159" s="161">
        <f>IF(Sales[[#This Row],[Status]]="Cancelled",0,Sales[[#This Row],[Total Amount]])</f>
        <v>5498.8</v>
      </c>
      <c r="S4159" s="162">
        <f>SUM(Sales[Net Amount])</f>
        <v>406839287.73200053</v>
      </c>
    </row>
    <row r="4160" spans="1:19" ht="18.75" x14ac:dyDescent="0.25">
      <c r="A4160" s="163" t="s">
        <v>7839</v>
      </c>
      <c r="B4160" s="164">
        <v>45983</v>
      </c>
      <c r="C4160" s="34" t="s">
        <v>880</v>
      </c>
      <c r="D4160" s="53" t="str">
        <f>VLOOKUP(Sales[[#This Row],[Customer ID]],Customer[#All],2,0)</f>
        <v>Rahul Sharma</v>
      </c>
      <c r="E4160" s="34" t="s">
        <v>260</v>
      </c>
      <c r="F4160" s="34" t="str">
        <f>VLOOKUP(Sales[[#This Row],[Product ID]],Product[#All],2,0)</f>
        <v>Corsair Ram</v>
      </c>
      <c r="G4160" s="53">
        <v>8</v>
      </c>
      <c r="H4160" s="165">
        <f>VLOOKUP(Sales[[#This Row],[Product ID]],Product[#All],7,0)</f>
        <v>6010</v>
      </c>
      <c r="I4160" s="165">
        <f>Sales[[#This Row],[Selling Rate]]*Sales[[#This Row],[Qty]]</f>
        <v>48080</v>
      </c>
      <c r="J4160" s="45">
        <v>0.12</v>
      </c>
      <c r="K4160" s="46">
        <f>Sales[[#This Row],[Gross Amount]]*Sales[[#This Row],[Disc %]]</f>
        <v>5769.5999999999995</v>
      </c>
      <c r="L4160" s="43">
        <v>0.18</v>
      </c>
      <c r="M4160" s="46">
        <f>(Sales[[#This Row],[Gross Amount]]-Sales[[#This Row],[Disc. Amt.]])*Sales[[#This Row],[GST %]]</f>
        <v>7615.8720000000003</v>
      </c>
      <c r="N4160" s="161">
        <f>Sales[[#This Row],[Gross Amount]]-Sales[[#This Row],[Disc. Amt.]]+Sales[[#This Row],[GST Amount]]</f>
        <v>49926.272000000004</v>
      </c>
      <c r="O4160" s="34" t="s">
        <v>3569</v>
      </c>
      <c r="P4160" s="34" t="s">
        <v>3562</v>
      </c>
      <c r="Q4160" s="165">
        <f>IF(Sales[[#This Row],[Status]]="Cancelled",0,Sales[[#This Row],[Qty]])</f>
        <v>8</v>
      </c>
      <c r="R4160" s="166">
        <f>IF(Sales[[#This Row],[Status]]="Cancelled",0,Sales[[#This Row],[Total Amount]])</f>
        <v>49926.272000000004</v>
      </c>
      <c r="S4160" s="162">
        <f>SUM(Sales[Net Amount])</f>
        <v>406839287.73200053</v>
      </c>
    </row>
    <row r="4161" spans="1:19" ht="18.75" x14ac:dyDescent="0.25">
      <c r="A4161" s="156" t="s">
        <v>7840</v>
      </c>
      <c r="B4161" s="157">
        <v>45983</v>
      </c>
      <c r="C4161" s="158" t="s">
        <v>795</v>
      </c>
      <c r="D4161" s="159" t="str">
        <f>VLOOKUP(Sales[[#This Row],[Customer ID]],Customer[#All],2,0)</f>
        <v>Sahil Gupta</v>
      </c>
      <c r="E4161" s="158" t="s">
        <v>430</v>
      </c>
      <c r="F4161" s="158" t="str">
        <f>VLOOKUP(Sales[[#This Row],[Product ID]],Product[#All],2,0)</f>
        <v>Jbl Speaker</v>
      </c>
      <c r="G4161" s="159">
        <v>2</v>
      </c>
      <c r="H4161" s="160">
        <f>VLOOKUP(Sales[[#This Row],[Product ID]],Product[#All],7,0)</f>
        <v>6890</v>
      </c>
      <c r="I4161" s="160">
        <f>Sales[[#This Row],[Selling Rate]]*Sales[[#This Row],[Qty]]</f>
        <v>13780</v>
      </c>
      <c r="J4161" s="43">
        <v>0.1</v>
      </c>
      <c r="K4161" s="44">
        <f>Sales[[#This Row],[Gross Amount]]*Sales[[#This Row],[Disc %]]</f>
        <v>1378</v>
      </c>
      <c r="L4161" s="43">
        <v>0.18</v>
      </c>
      <c r="M4161" s="44">
        <f>(Sales[[#This Row],[Gross Amount]]-Sales[[#This Row],[Disc. Amt.]])*Sales[[#This Row],[GST %]]</f>
        <v>2232.36</v>
      </c>
      <c r="N4161" s="161">
        <f>Sales[[#This Row],[Gross Amount]]-Sales[[#This Row],[Disc. Amt.]]+Sales[[#This Row],[GST Amount]]</f>
        <v>14634.36</v>
      </c>
      <c r="O4161" s="158" t="s">
        <v>3566</v>
      </c>
      <c r="P4161" s="158" t="s">
        <v>3562</v>
      </c>
      <c r="Q4161" s="160">
        <f>IF(Sales[[#This Row],[Status]]="Cancelled",0,Sales[[#This Row],[Qty]])</f>
        <v>2</v>
      </c>
      <c r="R4161" s="161">
        <f>IF(Sales[[#This Row],[Status]]="Cancelled",0,Sales[[#This Row],[Total Amount]])</f>
        <v>14634.36</v>
      </c>
      <c r="S4161" s="162">
        <f>SUM(Sales[Net Amount])</f>
        <v>406839287.73200053</v>
      </c>
    </row>
    <row r="4162" spans="1:19" ht="18.75" x14ac:dyDescent="0.25">
      <c r="A4162" s="163" t="s">
        <v>7841</v>
      </c>
      <c r="B4162" s="164">
        <v>45983</v>
      </c>
      <c r="C4162" s="34" t="s">
        <v>808</v>
      </c>
      <c r="D4162" s="53" t="str">
        <f>VLOOKUP(Sales[[#This Row],[Customer ID]],Customer[#All],2,0)</f>
        <v>Rahul Singh</v>
      </c>
      <c r="E4162" s="34" t="s">
        <v>267</v>
      </c>
      <c r="F4162" s="34" t="str">
        <f>VLOOKUP(Sales[[#This Row],[Product ID]],Product[#All],2,0)</f>
        <v>Boat Speaker</v>
      </c>
      <c r="G4162" s="53">
        <v>8</v>
      </c>
      <c r="H4162" s="165">
        <f>VLOOKUP(Sales[[#This Row],[Product ID]],Product[#All],7,0)</f>
        <v>2230</v>
      </c>
      <c r="I4162" s="165">
        <f>Sales[[#This Row],[Selling Rate]]*Sales[[#This Row],[Qty]]</f>
        <v>17840</v>
      </c>
      <c r="J4162" s="45">
        <v>0.05</v>
      </c>
      <c r="K4162" s="46">
        <f>Sales[[#This Row],[Gross Amount]]*Sales[[#This Row],[Disc %]]</f>
        <v>892</v>
      </c>
      <c r="L4162" s="43">
        <v>0.18</v>
      </c>
      <c r="M4162" s="46">
        <f>(Sales[[#This Row],[Gross Amount]]-Sales[[#This Row],[Disc. Amt.]])*Sales[[#This Row],[GST %]]</f>
        <v>3050.64</v>
      </c>
      <c r="N4162" s="161">
        <f>Sales[[#This Row],[Gross Amount]]-Sales[[#This Row],[Disc. Amt.]]+Sales[[#This Row],[GST Amount]]</f>
        <v>19998.64</v>
      </c>
      <c r="O4162" s="34" t="s">
        <v>3561</v>
      </c>
      <c r="P4162" s="34" t="s">
        <v>3562</v>
      </c>
      <c r="Q4162" s="165">
        <f>IF(Sales[[#This Row],[Status]]="Cancelled",0,Sales[[#This Row],[Qty]])</f>
        <v>8</v>
      </c>
      <c r="R4162" s="166">
        <f>IF(Sales[[#This Row],[Status]]="Cancelled",0,Sales[[#This Row],[Total Amount]])</f>
        <v>19998.64</v>
      </c>
      <c r="S4162" s="162">
        <f>SUM(Sales[Net Amount])</f>
        <v>406839287.73200053</v>
      </c>
    </row>
    <row r="4163" spans="1:19" ht="18.75" x14ac:dyDescent="0.25">
      <c r="A4163" s="156" t="s">
        <v>7842</v>
      </c>
      <c r="B4163" s="157">
        <v>45983</v>
      </c>
      <c r="C4163" s="158" t="s">
        <v>749</v>
      </c>
      <c r="D4163" s="159" t="str">
        <f>VLOOKUP(Sales[[#This Row],[Customer ID]],Customer[#All],2,0)</f>
        <v>Sahil Patel</v>
      </c>
      <c r="E4163" s="158" t="s">
        <v>259</v>
      </c>
      <c r="F4163" s="158" t="str">
        <f>VLOOKUP(Sales[[#This Row],[Product ID]],Product[#All],2,0)</f>
        <v>Lg Monitor</v>
      </c>
      <c r="G4163" s="159">
        <v>2</v>
      </c>
      <c r="H4163" s="160">
        <f>VLOOKUP(Sales[[#This Row],[Product ID]],Product[#All],7,0)</f>
        <v>28600</v>
      </c>
      <c r="I4163" s="160">
        <f>Sales[[#This Row],[Selling Rate]]*Sales[[#This Row],[Qty]]</f>
        <v>57200</v>
      </c>
      <c r="J4163" s="43">
        <v>0.1</v>
      </c>
      <c r="K4163" s="44">
        <f>Sales[[#This Row],[Gross Amount]]*Sales[[#This Row],[Disc %]]</f>
        <v>5720</v>
      </c>
      <c r="L4163" s="43">
        <v>0.18</v>
      </c>
      <c r="M4163" s="44">
        <f>(Sales[[#This Row],[Gross Amount]]-Sales[[#This Row],[Disc. Amt.]])*Sales[[#This Row],[GST %]]</f>
        <v>9266.4</v>
      </c>
      <c r="N4163" s="161">
        <f>Sales[[#This Row],[Gross Amount]]-Sales[[#This Row],[Disc. Amt.]]+Sales[[#This Row],[GST Amount]]</f>
        <v>60746.400000000001</v>
      </c>
      <c r="O4163" s="158" t="s">
        <v>3569</v>
      </c>
      <c r="P4163" s="158" t="s">
        <v>3562</v>
      </c>
      <c r="Q4163" s="160">
        <f>IF(Sales[[#This Row],[Status]]="Cancelled",0,Sales[[#This Row],[Qty]])</f>
        <v>2</v>
      </c>
      <c r="R4163" s="161">
        <f>IF(Sales[[#This Row],[Status]]="Cancelled",0,Sales[[#This Row],[Total Amount]])</f>
        <v>60746.400000000001</v>
      </c>
      <c r="S4163" s="162">
        <f>SUM(Sales[Net Amount])</f>
        <v>406839287.73200053</v>
      </c>
    </row>
    <row r="4164" spans="1:19" ht="18.75" x14ac:dyDescent="0.25">
      <c r="A4164" s="163" t="s">
        <v>7843</v>
      </c>
      <c r="B4164" s="164">
        <v>45983</v>
      </c>
      <c r="C4164" s="34" t="s">
        <v>932</v>
      </c>
      <c r="D4164" s="53" t="str">
        <f>VLOOKUP(Sales[[#This Row],[Customer ID]],Customer[#All],2,0)</f>
        <v>Vikas Gupta</v>
      </c>
      <c r="E4164" s="34" t="s">
        <v>453</v>
      </c>
      <c r="F4164" s="34" t="str">
        <f>VLOOKUP(Sales[[#This Row],[Product ID]],Product[#All],2,0)</f>
        <v>American TouristerLaptopBag</v>
      </c>
      <c r="G4164" s="53">
        <v>4</v>
      </c>
      <c r="H4164" s="165">
        <f>VLOOKUP(Sales[[#This Row],[Product ID]],Product[#All],7,0)</f>
        <v>3050</v>
      </c>
      <c r="I4164" s="165">
        <f>Sales[[#This Row],[Selling Rate]]*Sales[[#This Row],[Qty]]</f>
        <v>12200</v>
      </c>
      <c r="J4164" s="45">
        <v>0.12</v>
      </c>
      <c r="K4164" s="46">
        <f>Sales[[#This Row],[Gross Amount]]*Sales[[#This Row],[Disc %]]</f>
        <v>1464</v>
      </c>
      <c r="L4164" s="43">
        <v>0.18</v>
      </c>
      <c r="M4164" s="46">
        <f>(Sales[[#This Row],[Gross Amount]]-Sales[[#This Row],[Disc. Amt.]])*Sales[[#This Row],[GST %]]</f>
        <v>1932.48</v>
      </c>
      <c r="N4164" s="161">
        <f>Sales[[#This Row],[Gross Amount]]-Sales[[#This Row],[Disc. Amt.]]+Sales[[#This Row],[GST Amount]]</f>
        <v>12668.48</v>
      </c>
      <c r="O4164" s="34" t="s">
        <v>3566</v>
      </c>
      <c r="P4164" s="34" t="s">
        <v>3562</v>
      </c>
      <c r="Q4164" s="165">
        <f>IF(Sales[[#This Row],[Status]]="Cancelled",0,Sales[[#This Row],[Qty]])</f>
        <v>4</v>
      </c>
      <c r="R4164" s="166">
        <f>IF(Sales[[#This Row],[Status]]="Cancelled",0,Sales[[#This Row],[Total Amount]])</f>
        <v>12668.48</v>
      </c>
      <c r="S4164" s="162">
        <f>SUM(Sales[Net Amount])</f>
        <v>406839287.73200053</v>
      </c>
    </row>
    <row r="4165" spans="1:19" ht="18.75" x14ac:dyDescent="0.25">
      <c r="A4165" s="156" t="s">
        <v>7844</v>
      </c>
      <c r="B4165" s="157">
        <v>45983</v>
      </c>
      <c r="C4165" s="158" t="s">
        <v>877</v>
      </c>
      <c r="D4165" s="159" t="str">
        <f>VLOOKUP(Sales[[#This Row],[Customer ID]],Customer[#All],2,0)</f>
        <v>Sahil Patel</v>
      </c>
      <c r="E4165" s="158" t="s">
        <v>99</v>
      </c>
      <c r="F4165" s="158" t="str">
        <f>VLOOKUP(Sales[[#This Row],[Product ID]],Product[#All],2,0)</f>
        <v>Dell Laptop</v>
      </c>
      <c r="G4165" s="159">
        <v>3</v>
      </c>
      <c r="H4165" s="160">
        <f>VLOOKUP(Sales[[#This Row],[Product ID]],Product[#All],7,0)</f>
        <v>34870</v>
      </c>
      <c r="I4165" s="160">
        <f>Sales[[#This Row],[Selling Rate]]*Sales[[#This Row],[Qty]]</f>
        <v>104610</v>
      </c>
      <c r="J4165" s="43">
        <v>0.15</v>
      </c>
      <c r="K4165" s="44">
        <f>Sales[[#This Row],[Gross Amount]]*Sales[[#This Row],[Disc %]]</f>
        <v>15691.5</v>
      </c>
      <c r="L4165" s="43">
        <v>0.18</v>
      </c>
      <c r="M4165" s="44">
        <f>(Sales[[#This Row],[Gross Amount]]-Sales[[#This Row],[Disc. Amt.]])*Sales[[#This Row],[GST %]]</f>
        <v>16005.33</v>
      </c>
      <c r="N4165" s="161">
        <f>Sales[[#This Row],[Gross Amount]]-Sales[[#This Row],[Disc. Amt.]]+Sales[[#This Row],[GST Amount]]</f>
        <v>104923.83</v>
      </c>
      <c r="O4165" s="158" t="s">
        <v>3561</v>
      </c>
      <c r="P4165" s="158" t="s">
        <v>3562</v>
      </c>
      <c r="Q4165" s="160">
        <f>IF(Sales[[#This Row],[Status]]="Cancelled",0,Sales[[#This Row],[Qty]])</f>
        <v>3</v>
      </c>
      <c r="R4165" s="161">
        <f>IF(Sales[[#This Row],[Status]]="Cancelled",0,Sales[[#This Row],[Total Amount]])</f>
        <v>104923.83</v>
      </c>
      <c r="S4165" s="162">
        <f>SUM(Sales[Net Amount])</f>
        <v>406839287.73200053</v>
      </c>
    </row>
    <row r="4166" spans="1:19" ht="18.75" x14ac:dyDescent="0.25">
      <c r="A4166" s="163" t="s">
        <v>7845</v>
      </c>
      <c r="B4166" s="164">
        <v>45983</v>
      </c>
      <c r="C4166" s="34" t="s">
        <v>918</v>
      </c>
      <c r="D4166" s="53" t="str">
        <f>VLOOKUP(Sales[[#This Row],[Customer ID]],Customer[#All],2,0)</f>
        <v>Pooja Patel</v>
      </c>
      <c r="E4166" s="34" t="s">
        <v>161</v>
      </c>
      <c r="F4166" s="34" t="str">
        <f>VLOOKUP(Sales[[#This Row],[Product ID]],Product[#All],2,0)</f>
        <v>TP-link Router</v>
      </c>
      <c r="G4166" s="53">
        <v>3</v>
      </c>
      <c r="H4166" s="165">
        <f>VLOOKUP(Sales[[#This Row],[Product ID]],Product[#All],7,0)</f>
        <v>1330</v>
      </c>
      <c r="I4166" s="165">
        <f>Sales[[#This Row],[Selling Rate]]*Sales[[#This Row],[Qty]]</f>
        <v>3990</v>
      </c>
      <c r="J4166" s="45">
        <v>0.02</v>
      </c>
      <c r="K4166" s="46">
        <f>Sales[[#This Row],[Gross Amount]]*Sales[[#This Row],[Disc %]]</f>
        <v>79.8</v>
      </c>
      <c r="L4166" s="43">
        <v>0.18</v>
      </c>
      <c r="M4166" s="46">
        <f>(Sales[[#This Row],[Gross Amount]]-Sales[[#This Row],[Disc. Amt.]])*Sales[[#This Row],[GST %]]</f>
        <v>703.8359999999999</v>
      </c>
      <c r="N4166" s="161">
        <f>Sales[[#This Row],[Gross Amount]]-Sales[[#This Row],[Disc. Amt.]]+Sales[[#This Row],[GST Amount]]</f>
        <v>4614.0360000000001</v>
      </c>
      <c r="O4166" s="34" t="s">
        <v>8876</v>
      </c>
      <c r="P4166" s="34" t="s">
        <v>3562</v>
      </c>
      <c r="Q4166" s="165">
        <f>IF(Sales[[#This Row],[Status]]="Cancelled",0,Sales[[#This Row],[Qty]])</f>
        <v>3</v>
      </c>
      <c r="R4166" s="166">
        <f>IF(Sales[[#This Row],[Status]]="Cancelled",0,Sales[[#This Row],[Total Amount]])</f>
        <v>4614.0360000000001</v>
      </c>
      <c r="S4166" s="162">
        <f>SUM(Sales[Net Amount])</f>
        <v>406839287.73200053</v>
      </c>
    </row>
    <row r="4167" spans="1:19" ht="18.75" x14ac:dyDescent="0.25">
      <c r="A4167" s="156" t="s">
        <v>7846</v>
      </c>
      <c r="B4167" s="157">
        <v>45983</v>
      </c>
      <c r="C4167" s="158" t="s">
        <v>893</v>
      </c>
      <c r="D4167" s="159" t="str">
        <f>VLOOKUP(Sales[[#This Row],[Customer ID]],Customer[#All],2,0)</f>
        <v>Sunita Sharma</v>
      </c>
      <c r="E4167" s="158" t="s">
        <v>300</v>
      </c>
      <c r="F4167" s="158" t="str">
        <f>VLOOKUP(Sales[[#This Row],[Product ID]],Product[#All],2,0)</f>
        <v>Crucial Ssd</v>
      </c>
      <c r="G4167" s="159">
        <v>5</v>
      </c>
      <c r="H4167" s="160">
        <f>VLOOKUP(Sales[[#This Row],[Product ID]],Product[#All],7,0)</f>
        <v>9950</v>
      </c>
      <c r="I4167" s="160">
        <f>Sales[[#This Row],[Selling Rate]]*Sales[[#This Row],[Qty]]</f>
        <v>49750</v>
      </c>
      <c r="J4167" s="43">
        <v>0.02</v>
      </c>
      <c r="K4167" s="44">
        <f>Sales[[#This Row],[Gross Amount]]*Sales[[#This Row],[Disc %]]</f>
        <v>995</v>
      </c>
      <c r="L4167" s="43">
        <v>0.18</v>
      </c>
      <c r="M4167" s="44">
        <f>(Sales[[#This Row],[Gross Amount]]-Sales[[#This Row],[Disc. Amt.]])*Sales[[#This Row],[GST %]]</f>
        <v>8775.9</v>
      </c>
      <c r="N4167" s="161">
        <f>Sales[[#This Row],[Gross Amount]]-Sales[[#This Row],[Disc. Amt.]]+Sales[[#This Row],[GST Amount]]</f>
        <v>57530.9</v>
      </c>
      <c r="O4167" s="158" t="s">
        <v>3566</v>
      </c>
      <c r="P4167" s="158" t="s">
        <v>3562</v>
      </c>
      <c r="Q4167" s="160">
        <f>IF(Sales[[#This Row],[Status]]="Cancelled",0,Sales[[#This Row],[Qty]])</f>
        <v>5</v>
      </c>
      <c r="R4167" s="161">
        <f>IF(Sales[[#This Row],[Status]]="Cancelled",0,Sales[[#This Row],[Total Amount]])</f>
        <v>57530.9</v>
      </c>
      <c r="S4167" s="162">
        <f>SUM(Sales[Net Amount])</f>
        <v>406839287.73200053</v>
      </c>
    </row>
    <row r="4168" spans="1:19" ht="18.75" x14ac:dyDescent="0.25">
      <c r="A4168" s="163" t="s">
        <v>7847</v>
      </c>
      <c r="B4168" s="164">
        <v>45983</v>
      </c>
      <c r="C4168" s="34" t="s">
        <v>669</v>
      </c>
      <c r="D4168" s="53" t="str">
        <f>VLOOKUP(Sales[[#This Row],[Customer ID]],Customer[#All],2,0)</f>
        <v>Sahil Kumar</v>
      </c>
      <c r="E4168" s="34" t="s">
        <v>543</v>
      </c>
      <c r="F4168" s="34" t="str">
        <f>VLOOKUP(Sales[[#This Row],[Product ID]],Product[#All],2,0)</f>
        <v>Logitech Mouse</v>
      </c>
      <c r="G4168" s="53">
        <v>2</v>
      </c>
      <c r="H4168" s="165">
        <f>VLOOKUP(Sales[[#This Row],[Product ID]],Product[#All],7,0)</f>
        <v>2430</v>
      </c>
      <c r="I4168" s="165">
        <f>Sales[[#This Row],[Selling Rate]]*Sales[[#This Row],[Qty]]</f>
        <v>4860</v>
      </c>
      <c r="J4168" s="45">
        <v>0</v>
      </c>
      <c r="K4168" s="46">
        <f>Sales[[#This Row],[Gross Amount]]*Sales[[#This Row],[Disc %]]</f>
        <v>0</v>
      </c>
      <c r="L4168" s="43">
        <v>0.18</v>
      </c>
      <c r="M4168" s="46">
        <f>(Sales[[#This Row],[Gross Amount]]-Sales[[#This Row],[Disc. Amt.]])*Sales[[#This Row],[GST %]]</f>
        <v>874.8</v>
      </c>
      <c r="N4168" s="161">
        <f>Sales[[#This Row],[Gross Amount]]-Sales[[#This Row],[Disc. Amt.]]+Sales[[#This Row],[GST Amount]]</f>
        <v>5734.8</v>
      </c>
      <c r="O4168" s="34" t="s">
        <v>3569</v>
      </c>
      <c r="P4168" s="34" t="s">
        <v>3562</v>
      </c>
      <c r="Q4168" s="165">
        <f>IF(Sales[[#This Row],[Status]]="Cancelled",0,Sales[[#This Row],[Qty]])</f>
        <v>2</v>
      </c>
      <c r="R4168" s="166">
        <f>IF(Sales[[#This Row],[Status]]="Cancelled",0,Sales[[#This Row],[Total Amount]])</f>
        <v>5734.8</v>
      </c>
      <c r="S4168" s="162">
        <f>SUM(Sales[Net Amount])</f>
        <v>406839287.73200053</v>
      </c>
    </row>
    <row r="4169" spans="1:19" ht="18.75" x14ac:dyDescent="0.25">
      <c r="A4169" s="156" t="s">
        <v>7848</v>
      </c>
      <c r="B4169" s="157">
        <v>45983</v>
      </c>
      <c r="C4169" s="158" t="s">
        <v>871</v>
      </c>
      <c r="D4169" s="159" t="str">
        <f>VLOOKUP(Sales[[#This Row],[Customer ID]],Customer[#All],2,0)</f>
        <v>Rakesh Kumar</v>
      </c>
      <c r="E4169" s="158" t="s">
        <v>389</v>
      </c>
      <c r="F4169" s="158" t="str">
        <f>VLOOKUP(Sales[[#This Row],[Product ID]],Product[#All],2,0)</f>
        <v>WD HDD</v>
      </c>
      <c r="G4169" s="159">
        <v>4</v>
      </c>
      <c r="H4169" s="160">
        <f>VLOOKUP(Sales[[#This Row],[Product ID]],Product[#All],7,0)</f>
        <v>10530</v>
      </c>
      <c r="I4169" s="160">
        <f>Sales[[#This Row],[Selling Rate]]*Sales[[#This Row],[Qty]]</f>
        <v>42120</v>
      </c>
      <c r="J4169" s="43">
        <v>0.15</v>
      </c>
      <c r="K4169" s="44">
        <f>Sales[[#This Row],[Gross Amount]]*Sales[[#This Row],[Disc %]]</f>
        <v>6318</v>
      </c>
      <c r="L4169" s="43">
        <v>0.18</v>
      </c>
      <c r="M4169" s="44">
        <f>(Sales[[#This Row],[Gross Amount]]-Sales[[#This Row],[Disc. Amt.]])*Sales[[#This Row],[GST %]]</f>
        <v>6444.36</v>
      </c>
      <c r="N4169" s="161">
        <f>Sales[[#This Row],[Gross Amount]]-Sales[[#This Row],[Disc. Amt.]]+Sales[[#This Row],[GST Amount]]</f>
        <v>42246.36</v>
      </c>
      <c r="O4169" s="158" t="s">
        <v>3566</v>
      </c>
      <c r="P4169" s="158" t="s">
        <v>3562</v>
      </c>
      <c r="Q4169" s="160">
        <f>IF(Sales[[#This Row],[Status]]="Cancelled",0,Sales[[#This Row],[Qty]])</f>
        <v>4</v>
      </c>
      <c r="R4169" s="161">
        <f>IF(Sales[[#This Row],[Status]]="Cancelled",0,Sales[[#This Row],[Total Amount]])</f>
        <v>42246.36</v>
      </c>
      <c r="S4169" s="162">
        <f>SUM(Sales[Net Amount])</f>
        <v>406839287.73200053</v>
      </c>
    </row>
    <row r="4170" spans="1:19" ht="18.75" x14ac:dyDescent="0.25">
      <c r="A4170" s="163" t="s">
        <v>7849</v>
      </c>
      <c r="B4170" s="164">
        <v>45983</v>
      </c>
      <c r="C4170" s="34" t="s">
        <v>840</v>
      </c>
      <c r="D4170" s="53" t="str">
        <f>VLOOKUP(Sales[[#This Row],[Customer ID]],Customer[#All],2,0)</f>
        <v>Rakesh Verma</v>
      </c>
      <c r="E4170" s="34" t="s">
        <v>133</v>
      </c>
      <c r="F4170" s="34" t="str">
        <f>VLOOKUP(Sales[[#This Row],[Product ID]],Product[#All],2,0)</f>
        <v>HP Laptop</v>
      </c>
      <c r="G4170" s="53">
        <v>5</v>
      </c>
      <c r="H4170" s="165">
        <f>VLOOKUP(Sales[[#This Row],[Product ID]],Product[#All],7,0)</f>
        <v>44790</v>
      </c>
      <c r="I4170" s="165">
        <f>Sales[[#This Row],[Selling Rate]]*Sales[[#This Row],[Qty]]</f>
        <v>223950</v>
      </c>
      <c r="J4170" s="45">
        <v>0.15</v>
      </c>
      <c r="K4170" s="46">
        <f>Sales[[#This Row],[Gross Amount]]*Sales[[#This Row],[Disc %]]</f>
        <v>33592.5</v>
      </c>
      <c r="L4170" s="43">
        <v>0.18</v>
      </c>
      <c r="M4170" s="46">
        <f>(Sales[[#This Row],[Gross Amount]]-Sales[[#This Row],[Disc. Amt.]])*Sales[[#This Row],[GST %]]</f>
        <v>34264.35</v>
      </c>
      <c r="N4170" s="161">
        <f>Sales[[#This Row],[Gross Amount]]-Sales[[#This Row],[Disc. Amt.]]+Sales[[#This Row],[GST Amount]]</f>
        <v>224621.85</v>
      </c>
      <c r="O4170" s="34" t="s">
        <v>3561</v>
      </c>
      <c r="P4170" s="34" t="s">
        <v>3562</v>
      </c>
      <c r="Q4170" s="165">
        <f>IF(Sales[[#This Row],[Status]]="Cancelled",0,Sales[[#This Row],[Qty]])</f>
        <v>5</v>
      </c>
      <c r="R4170" s="166">
        <f>IF(Sales[[#This Row],[Status]]="Cancelled",0,Sales[[#This Row],[Total Amount]])</f>
        <v>224621.85</v>
      </c>
      <c r="S4170" s="162">
        <f>SUM(Sales[Net Amount])</f>
        <v>406839287.73200053</v>
      </c>
    </row>
    <row r="4171" spans="1:19" ht="18.75" x14ac:dyDescent="0.25">
      <c r="A4171" s="156" t="s">
        <v>7850</v>
      </c>
      <c r="B4171" s="157">
        <v>45983</v>
      </c>
      <c r="C4171" s="158" t="s">
        <v>655</v>
      </c>
      <c r="D4171" s="159" t="str">
        <f>VLOOKUP(Sales[[#This Row],[Customer ID]],Customer[#All],2,0)</f>
        <v>Pooja Singh</v>
      </c>
      <c r="E4171" s="158" t="s">
        <v>484</v>
      </c>
      <c r="F4171" s="158" t="str">
        <f>VLOOKUP(Sales[[#This Row],[Product ID]],Product[#All],2,0)</f>
        <v>Dell Desktop</v>
      </c>
      <c r="G4171" s="159">
        <v>8</v>
      </c>
      <c r="H4171" s="160">
        <f>VLOOKUP(Sales[[#This Row],[Product ID]],Product[#All],7,0)</f>
        <v>68710</v>
      </c>
      <c r="I4171" s="160">
        <f>Sales[[#This Row],[Selling Rate]]*Sales[[#This Row],[Qty]]</f>
        <v>549680</v>
      </c>
      <c r="J4171" s="43">
        <v>0.12</v>
      </c>
      <c r="K4171" s="44">
        <f>Sales[[#This Row],[Gross Amount]]*Sales[[#This Row],[Disc %]]</f>
        <v>65961.599999999991</v>
      </c>
      <c r="L4171" s="43">
        <v>0.18</v>
      </c>
      <c r="M4171" s="44">
        <f>(Sales[[#This Row],[Gross Amount]]-Sales[[#This Row],[Disc. Amt.]])*Sales[[#This Row],[GST %]]</f>
        <v>87069.312000000005</v>
      </c>
      <c r="N4171" s="161">
        <f>Sales[[#This Row],[Gross Amount]]-Sales[[#This Row],[Disc. Amt.]]+Sales[[#This Row],[GST Amount]]</f>
        <v>570787.71200000006</v>
      </c>
      <c r="O4171" s="158" t="s">
        <v>3569</v>
      </c>
      <c r="P4171" s="158" t="s">
        <v>3562</v>
      </c>
      <c r="Q4171" s="160">
        <f>IF(Sales[[#This Row],[Status]]="Cancelled",0,Sales[[#This Row],[Qty]])</f>
        <v>8</v>
      </c>
      <c r="R4171" s="161">
        <f>IF(Sales[[#This Row],[Status]]="Cancelled",0,Sales[[#This Row],[Total Amount]])</f>
        <v>570787.71200000006</v>
      </c>
      <c r="S4171" s="162">
        <f>SUM(Sales[Net Amount])</f>
        <v>406839287.73200053</v>
      </c>
    </row>
    <row r="4172" spans="1:19" ht="18.75" x14ac:dyDescent="0.25">
      <c r="A4172" s="163" t="s">
        <v>7851</v>
      </c>
      <c r="B4172" s="164">
        <v>45983</v>
      </c>
      <c r="C4172" s="34" t="s">
        <v>684</v>
      </c>
      <c r="D4172" s="53" t="str">
        <f>VLOOKUP(Sales[[#This Row],[Customer ID]],Customer[#All],2,0)</f>
        <v>Rahul Sharma</v>
      </c>
      <c r="E4172" s="34" t="s">
        <v>515</v>
      </c>
      <c r="F4172" s="34" t="str">
        <f>VLOOKUP(Sales[[#This Row],[Product ID]],Product[#All],2,0)</f>
        <v>HP Mouse</v>
      </c>
      <c r="G4172" s="53">
        <v>5</v>
      </c>
      <c r="H4172" s="165">
        <f>VLOOKUP(Sales[[#This Row],[Product ID]],Product[#All],7,0)</f>
        <v>2520</v>
      </c>
      <c r="I4172" s="165">
        <f>Sales[[#This Row],[Selling Rate]]*Sales[[#This Row],[Qty]]</f>
        <v>12600</v>
      </c>
      <c r="J4172" s="45">
        <v>0.12</v>
      </c>
      <c r="K4172" s="46">
        <f>Sales[[#This Row],[Gross Amount]]*Sales[[#This Row],[Disc %]]</f>
        <v>1512</v>
      </c>
      <c r="L4172" s="43">
        <v>0.18</v>
      </c>
      <c r="M4172" s="46">
        <f>(Sales[[#This Row],[Gross Amount]]-Sales[[#This Row],[Disc. Amt.]])*Sales[[#This Row],[GST %]]</f>
        <v>1995.84</v>
      </c>
      <c r="N4172" s="161">
        <f>Sales[[#This Row],[Gross Amount]]-Sales[[#This Row],[Disc. Amt.]]+Sales[[#This Row],[GST Amount]]</f>
        <v>13083.84</v>
      </c>
      <c r="O4172" s="34" t="s">
        <v>3569</v>
      </c>
      <c r="P4172" s="34" t="s">
        <v>1040</v>
      </c>
      <c r="Q4172" s="165">
        <f>IF(Sales[[#This Row],[Status]]="Cancelled",0,Sales[[#This Row],[Qty]])</f>
        <v>0</v>
      </c>
      <c r="R4172" s="166">
        <f>IF(Sales[[#This Row],[Status]]="Cancelled",0,Sales[[#This Row],[Total Amount]])</f>
        <v>0</v>
      </c>
      <c r="S4172" s="162">
        <f>SUM(Sales[Net Amount])</f>
        <v>406839287.73200053</v>
      </c>
    </row>
    <row r="4173" spans="1:19" ht="18.75" x14ac:dyDescent="0.25">
      <c r="A4173" s="156" t="s">
        <v>7852</v>
      </c>
      <c r="B4173" s="157">
        <v>45983</v>
      </c>
      <c r="C4173" s="158" t="s">
        <v>850</v>
      </c>
      <c r="D4173" s="159" t="str">
        <f>VLOOKUP(Sales[[#This Row],[Customer ID]],Customer[#All],2,0)</f>
        <v>Sahil Patel</v>
      </c>
      <c r="E4173" s="158" t="s">
        <v>460</v>
      </c>
      <c r="F4173" s="158" t="str">
        <f>VLOOKUP(Sales[[#This Row],[Product ID]],Product[#All],2,0)</f>
        <v>Logitech Keyboard</v>
      </c>
      <c r="G4173" s="159">
        <v>3</v>
      </c>
      <c r="H4173" s="160">
        <f>VLOOKUP(Sales[[#This Row],[Product ID]],Product[#All],7,0)</f>
        <v>3050</v>
      </c>
      <c r="I4173" s="160">
        <f>Sales[[#This Row],[Selling Rate]]*Sales[[#This Row],[Qty]]</f>
        <v>9150</v>
      </c>
      <c r="J4173" s="43">
        <v>0</v>
      </c>
      <c r="K4173" s="44">
        <f>Sales[[#This Row],[Gross Amount]]*Sales[[#This Row],[Disc %]]</f>
        <v>0</v>
      </c>
      <c r="L4173" s="43">
        <v>0.18</v>
      </c>
      <c r="M4173" s="44">
        <f>(Sales[[#This Row],[Gross Amount]]-Sales[[#This Row],[Disc. Amt.]])*Sales[[#This Row],[GST %]]</f>
        <v>1647</v>
      </c>
      <c r="N4173" s="161">
        <f>Sales[[#This Row],[Gross Amount]]-Sales[[#This Row],[Disc. Amt.]]+Sales[[#This Row],[GST Amount]]</f>
        <v>10797</v>
      </c>
      <c r="O4173" s="158" t="s">
        <v>8876</v>
      </c>
      <c r="P4173" s="158" t="s">
        <v>3562</v>
      </c>
      <c r="Q4173" s="160">
        <f>IF(Sales[[#This Row],[Status]]="Cancelled",0,Sales[[#This Row],[Qty]])</f>
        <v>3</v>
      </c>
      <c r="R4173" s="161">
        <f>IF(Sales[[#This Row],[Status]]="Cancelled",0,Sales[[#This Row],[Total Amount]])</f>
        <v>10797</v>
      </c>
      <c r="S4173" s="162">
        <f>SUM(Sales[Net Amount])</f>
        <v>406839287.73200053</v>
      </c>
    </row>
    <row r="4174" spans="1:19" ht="18.75" x14ac:dyDescent="0.25">
      <c r="A4174" s="163" t="s">
        <v>7853</v>
      </c>
      <c r="B4174" s="164">
        <v>45983</v>
      </c>
      <c r="C4174" s="34" t="s">
        <v>813</v>
      </c>
      <c r="D4174" s="53" t="str">
        <f>VLOOKUP(Sales[[#This Row],[Customer ID]],Customer[#All],2,0)</f>
        <v>Neha Verma</v>
      </c>
      <c r="E4174" s="34" t="s">
        <v>514</v>
      </c>
      <c r="F4174" s="34" t="str">
        <f>VLOOKUP(Sales[[#This Row],[Product ID]],Product[#All],2,0)</f>
        <v>Apc UPS</v>
      </c>
      <c r="G4174" s="53">
        <v>1</v>
      </c>
      <c r="H4174" s="165">
        <f>VLOOKUP(Sales[[#This Row],[Product ID]],Product[#All],7,0)</f>
        <v>4660</v>
      </c>
      <c r="I4174" s="165">
        <f>Sales[[#This Row],[Selling Rate]]*Sales[[#This Row],[Qty]]</f>
        <v>4660</v>
      </c>
      <c r="J4174" s="45">
        <v>0</v>
      </c>
      <c r="K4174" s="46">
        <f>Sales[[#This Row],[Gross Amount]]*Sales[[#This Row],[Disc %]]</f>
        <v>0</v>
      </c>
      <c r="L4174" s="43">
        <v>0.18</v>
      </c>
      <c r="M4174" s="46">
        <f>(Sales[[#This Row],[Gross Amount]]-Sales[[#This Row],[Disc. Amt.]])*Sales[[#This Row],[GST %]]</f>
        <v>838.8</v>
      </c>
      <c r="N4174" s="161">
        <f>Sales[[#This Row],[Gross Amount]]-Sales[[#This Row],[Disc. Amt.]]+Sales[[#This Row],[GST Amount]]</f>
        <v>5498.8</v>
      </c>
      <c r="O4174" s="34" t="s">
        <v>8876</v>
      </c>
      <c r="P4174" s="34" t="s">
        <v>3562</v>
      </c>
      <c r="Q4174" s="165">
        <f>IF(Sales[[#This Row],[Status]]="Cancelled",0,Sales[[#This Row],[Qty]])</f>
        <v>1</v>
      </c>
      <c r="R4174" s="166">
        <f>IF(Sales[[#This Row],[Status]]="Cancelled",0,Sales[[#This Row],[Total Amount]])</f>
        <v>5498.8</v>
      </c>
      <c r="S4174" s="162">
        <f>SUM(Sales[Net Amount])</f>
        <v>406839287.73200053</v>
      </c>
    </row>
    <row r="4175" spans="1:19" ht="18.75" x14ac:dyDescent="0.25">
      <c r="A4175" s="156" t="s">
        <v>7854</v>
      </c>
      <c r="B4175" s="157">
        <v>45983</v>
      </c>
      <c r="C4175" s="158" t="s">
        <v>788</v>
      </c>
      <c r="D4175" s="159" t="str">
        <f>VLOOKUP(Sales[[#This Row],[Customer ID]],Customer[#All],2,0)</f>
        <v>Vikas Kumar</v>
      </c>
      <c r="E4175" s="158" t="s">
        <v>501</v>
      </c>
      <c r="F4175" s="158" t="str">
        <f>VLOOKUP(Sales[[#This Row],[Product ID]],Product[#All],2,0)</f>
        <v>Samsung Ssd</v>
      </c>
      <c r="G4175" s="159">
        <v>5</v>
      </c>
      <c r="H4175" s="160">
        <f>VLOOKUP(Sales[[#This Row],[Product ID]],Product[#All],7,0)</f>
        <v>4260</v>
      </c>
      <c r="I4175" s="160">
        <f>Sales[[#This Row],[Selling Rate]]*Sales[[#This Row],[Qty]]</f>
        <v>21300</v>
      </c>
      <c r="J4175" s="43">
        <v>0.05</v>
      </c>
      <c r="K4175" s="44">
        <f>Sales[[#This Row],[Gross Amount]]*Sales[[#This Row],[Disc %]]</f>
        <v>1065</v>
      </c>
      <c r="L4175" s="43">
        <v>0.18</v>
      </c>
      <c r="M4175" s="44">
        <f>(Sales[[#This Row],[Gross Amount]]-Sales[[#This Row],[Disc. Amt.]])*Sales[[#This Row],[GST %]]</f>
        <v>3642.2999999999997</v>
      </c>
      <c r="N4175" s="161">
        <f>Sales[[#This Row],[Gross Amount]]-Sales[[#This Row],[Disc. Amt.]]+Sales[[#This Row],[GST Amount]]</f>
        <v>23877.3</v>
      </c>
      <c r="O4175" s="158" t="s">
        <v>3561</v>
      </c>
      <c r="P4175" s="158" t="s">
        <v>3562</v>
      </c>
      <c r="Q4175" s="160">
        <f>IF(Sales[[#This Row],[Status]]="Cancelled",0,Sales[[#This Row],[Qty]])</f>
        <v>5</v>
      </c>
      <c r="R4175" s="161">
        <f>IF(Sales[[#This Row],[Status]]="Cancelled",0,Sales[[#This Row],[Total Amount]])</f>
        <v>23877.3</v>
      </c>
      <c r="S4175" s="162">
        <f>SUM(Sales[Net Amount])</f>
        <v>406839287.73200053</v>
      </c>
    </row>
    <row r="4176" spans="1:19" ht="18.75" x14ac:dyDescent="0.25">
      <c r="A4176" s="163" t="s">
        <v>7855</v>
      </c>
      <c r="B4176" s="164">
        <v>45983</v>
      </c>
      <c r="C4176" s="34" t="s">
        <v>760</v>
      </c>
      <c r="D4176" s="53" t="str">
        <f>VLOOKUP(Sales[[#This Row],[Customer ID]],Customer[#All],2,0)</f>
        <v>Pooja Singh</v>
      </c>
      <c r="E4176" s="34" t="s">
        <v>360</v>
      </c>
      <c r="F4176" s="34" t="str">
        <f>VLOOKUP(Sales[[#This Row],[Product ID]],Product[#All],2,0)</f>
        <v>Canon Printer</v>
      </c>
      <c r="G4176" s="53">
        <v>8</v>
      </c>
      <c r="H4176" s="165">
        <f>VLOOKUP(Sales[[#This Row],[Product ID]],Product[#All],7,0)</f>
        <v>29670</v>
      </c>
      <c r="I4176" s="165">
        <f>Sales[[#This Row],[Selling Rate]]*Sales[[#This Row],[Qty]]</f>
        <v>237360</v>
      </c>
      <c r="J4176" s="45">
        <v>0.1</v>
      </c>
      <c r="K4176" s="46">
        <f>Sales[[#This Row],[Gross Amount]]*Sales[[#This Row],[Disc %]]</f>
        <v>23736</v>
      </c>
      <c r="L4176" s="43">
        <v>0.18</v>
      </c>
      <c r="M4176" s="46">
        <f>(Sales[[#This Row],[Gross Amount]]-Sales[[#This Row],[Disc. Amt.]])*Sales[[#This Row],[GST %]]</f>
        <v>38452.32</v>
      </c>
      <c r="N4176" s="161">
        <f>Sales[[#This Row],[Gross Amount]]-Sales[[#This Row],[Disc. Amt.]]+Sales[[#This Row],[GST Amount]]</f>
        <v>252076.32</v>
      </c>
      <c r="O4176" s="34" t="s">
        <v>3561</v>
      </c>
      <c r="P4176" s="34" t="s">
        <v>3562</v>
      </c>
      <c r="Q4176" s="165">
        <f>IF(Sales[[#This Row],[Status]]="Cancelled",0,Sales[[#This Row],[Qty]])</f>
        <v>8</v>
      </c>
      <c r="R4176" s="166">
        <f>IF(Sales[[#This Row],[Status]]="Cancelled",0,Sales[[#This Row],[Total Amount]])</f>
        <v>252076.32</v>
      </c>
      <c r="S4176" s="162">
        <f>SUM(Sales[Net Amount])</f>
        <v>406839287.73200053</v>
      </c>
    </row>
    <row r="4177" spans="1:19" ht="18.75" x14ac:dyDescent="0.25">
      <c r="A4177" s="156" t="s">
        <v>7856</v>
      </c>
      <c r="B4177" s="157">
        <v>45983</v>
      </c>
      <c r="C4177" s="158" t="s">
        <v>790</v>
      </c>
      <c r="D4177" s="159" t="str">
        <f>VLOOKUP(Sales[[#This Row],[Customer ID]],Customer[#All],2,0)</f>
        <v>Pooja Gupta</v>
      </c>
      <c r="E4177" s="158" t="s">
        <v>446</v>
      </c>
      <c r="F4177" s="158" t="str">
        <f>VLOOKUP(Sales[[#This Row],[Product ID]],Product[#All],2,0)</f>
        <v>HP Desktop</v>
      </c>
      <c r="G4177" s="159">
        <v>5</v>
      </c>
      <c r="H4177" s="160">
        <f>VLOOKUP(Sales[[#This Row],[Product ID]],Product[#All],7,0)</f>
        <v>48280</v>
      </c>
      <c r="I4177" s="160">
        <f>Sales[[#This Row],[Selling Rate]]*Sales[[#This Row],[Qty]]</f>
        <v>241400</v>
      </c>
      <c r="J4177" s="43">
        <v>0.02</v>
      </c>
      <c r="K4177" s="44">
        <f>Sales[[#This Row],[Gross Amount]]*Sales[[#This Row],[Disc %]]</f>
        <v>4828</v>
      </c>
      <c r="L4177" s="43">
        <v>0.18</v>
      </c>
      <c r="M4177" s="44">
        <f>(Sales[[#This Row],[Gross Amount]]-Sales[[#This Row],[Disc. Amt.]])*Sales[[#This Row],[GST %]]</f>
        <v>42582.96</v>
      </c>
      <c r="N4177" s="161">
        <f>Sales[[#This Row],[Gross Amount]]-Sales[[#This Row],[Disc. Amt.]]+Sales[[#This Row],[GST Amount]]</f>
        <v>279154.96000000002</v>
      </c>
      <c r="O4177" s="158" t="s">
        <v>3561</v>
      </c>
      <c r="P4177" s="158" t="s">
        <v>3562</v>
      </c>
      <c r="Q4177" s="160">
        <f>IF(Sales[[#This Row],[Status]]="Cancelled",0,Sales[[#This Row],[Qty]])</f>
        <v>5</v>
      </c>
      <c r="R4177" s="161">
        <f>IF(Sales[[#This Row],[Status]]="Cancelled",0,Sales[[#This Row],[Total Amount]])</f>
        <v>279154.96000000002</v>
      </c>
      <c r="S4177" s="162">
        <f>SUM(Sales[Net Amount])</f>
        <v>406839287.73200053</v>
      </c>
    </row>
    <row r="4178" spans="1:19" ht="18.75" x14ac:dyDescent="0.25">
      <c r="A4178" s="163" t="s">
        <v>7857</v>
      </c>
      <c r="B4178" s="164">
        <v>45983</v>
      </c>
      <c r="C4178" s="34" t="s">
        <v>725</v>
      </c>
      <c r="D4178" s="53" t="str">
        <f>VLOOKUP(Sales[[#This Row],[Customer ID]],Customer[#All],2,0)</f>
        <v>Ankit Kumar</v>
      </c>
      <c r="E4178" s="34" t="s">
        <v>188</v>
      </c>
      <c r="F4178" s="34" t="str">
        <f>VLOOKUP(Sales[[#This Row],[Product ID]],Product[#All],2,0)</f>
        <v>Crucial Ssd</v>
      </c>
      <c r="G4178" s="53">
        <v>3</v>
      </c>
      <c r="H4178" s="165">
        <f>VLOOKUP(Sales[[#This Row],[Product ID]],Product[#All],7,0)</f>
        <v>14390</v>
      </c>
      <c r="I4178" s="165">
        <f>Sales[[#This Row],[Selling Rate]]*Sales[[#This Row],[Qty]]</f>
        <v>43170</v>
      </c>
      <c r="J4178" s="45">
        <v>0.02</v>
      </c>
      <c r="K4178" s="46">
        <f>Sales[[#This Row],[Gross Amount]]*Sales[[#This Row],[Disc %]]</f>
        <v>863.4</v>
      </c>
      <c r="L4178" s="43">
        <v>0.18</v>
      </c>
      <c r="M4178" s="46">
        <f>(Sales[[#This Row],[Gross Amount]]-Sales[[#This Row],[Disc. Amt.]])*Sales[[#This Row],[GST %]]</f>
        <v>7615.1879999999992</v>
      </c>
      <c r="N4178" s="161">
        <f>Sales[[#This Row],[Gross Amount]]-Sales[[#This Row],[Disc. Amt.]]+Sales[[#This Row],[GST Amount]]</f>
        <v>49921.788</v>
      </c>
      <c r="O4178" s="34" t="s">
        <v>3561</v>
      </c>
      <c r="P4178" s="34" t="s">
        <v>3562</v>
      </c>
      <c r="Q4178" s="165">
        <f>IF(Sales[[#This Row],[Status]]="Cancelled",0,Sales[[#This Row],[Qty]])</f>
        <v>3</v>
      </c>
      <c r="R4178" s="166">
        <f>IF(Sales[[#This Row],[Status]]="Cancelled",0,Sales[[#This Row],[Total Amount]])</f>
        <v>49921.788</v>
      </c>
      <c r="S4178" s="162">
        <f>SUM(Sales[Net Amount])</f>
        <v>406839287.73200053</v>
      </c>
    </row>
    <row r="4179" spans="1:19" ht="18.75" x14ac:dyDescent="0.25">
      <c r="A4179" s="156" t="s">
        <v>7858</v>
      </c>
      <c r="B4179" s="157">
        <v>45983</v>
      </c>
      <c r="C4179" s="158" t="s">
        <v>743</v>
      </c>
      <c r="D4179" s="159" t="str">
        <f>VLOOKUP(Sales[[#This Row],[Customer ID]],Customer[#All],2,0)</f>
        <v>Rahul Gupta</v>
      </c>
      <c r="E4179" s="158" t="s">
        <v>316</v>
      </c>
      <c r="F4179" s="158" t="str">
        <f>VLOOKUP(Sales[[#This Row],[Product ID]],Product[#All],2,0)</f>
        <v>TP-link Router</v>
      </c>
      <c r="G4179" s="159">
        <v>1</v>
      </c>
      <c r="H4179" s="160">
        <f>VLOOKUP(Sales[[#This Row],[Product ID]],Product[#All],7,0)</f>
        <v>3750</v>
      </c>
      <c r="I4179" s="160">
        <f>Sales[[#This Row],[Selling Rate]]*Sales[[#This Row],[Qty]]</f>
        <v>3750</v>
      </c>
      <c r="J4179" s="43">
        <v>0.15</v>
      </c>
      <c r="K4179" s="44">
        <f>Sales[[#This Row],[Gross Amount]]*Sales[[#This Row],[Disc %]]</f>
        <v>562.5</v>
      </c>
      <c r="L4179" s="43">
        <v>0.18</v>
      </c>
      <c r="M4179" s="44">
        <f>(Sales[[#This Row],[Gross Amount]]-Sales[[#This Row],[Disc. Amt.]])*Sales[[#This Row],[GST %]]</f>
        <v>573.75</v>
      </c>
      <c r="N4179" s="161">
        <f>Sales[[#This Row],[Gross Amount]]-Sales[[#This Row],[Disc. Amt.]]+Sales[[#This Row],[GST Amount]]</f>
        <v>3761.25</v>
      </c>
      <c r="O4179" s="158" t="s">
        <v>3561</v>
      </c>
      <c r="P4179" s="158" t="s">
        <v>3562</v>
      </c>
      <c r="Q4179" s="160">
        <f>IF(Sales[[#This Row],[Status]]="Cancelled",0,Sales[[#This Row],[Qty]])</f>
        <v>1</v>
      </c>
      <c r="R4179" s="161">
        <f>IF(Sales[[#This Row],[Status]]="Cancelled",0,Sales[[#This Row],[Total Amount]])</f>
        <v>3761.25</v>
      </c>
      <c r="S4179" s="162">
        <f>SUM(Sales[Net Amount])</f>
        <v>406839287.73200053</v>
      </c>
    </row>
    <row r="4180" spans="1:19" ht="18.75" x14ac:dyDescent="0.25">
      <c r="A4180" s="163" t="s">
        <v>7859</v>
      </c>
      <c r="B4180" s="164">
        <v>45983</v>
      </c>
      <c r="C4180" s="34" t="s">
        <v>675</v>
      </c>
      <c r="D4180" s="53" t="str">
        <f>VLOOKUP(Sales[[#This Row],[Customer ID]],Customer[#All],2,0)</f>
        <v>Rahul Gupta</v>
      </c>
      <c r="E4180" s="34" t="s">
        <v>547</v>
      </c>
      <c r="F4180" s="34" t="str">
        <f>VLOOKUP(Sales[[#This Row],[Product ID]],Product[#All],2,0)</f>
        <v>Samsung Monitor</v>
      </c>
      <c r="G4180" s="53">
        <v>3</v>
      </c>
      <c r="H4180" s="165">
        <f>VLOOKUP(Sales[[#This Row],[Product ID]],Product[#All],7,0)</f>
        <v>33340</v>
      </c>
      <c r="I4180" s="165">
        <f>Sales[[#This Row],[Selling Rate]]*Sales[[#This Row],[Qty]]</f>
        <v>100020</v>
      </c>
      <c r="J4180" s="45">
        <v>0.02</v>
      </c>
      <c r="K4180" s="46">
        <f>Sales[[#This Row],[Gross Amount]]*Sales[[#This Row],[Disc %]]</f>
        <v>2000.4</v>
      </c>
      <c r="L4180" s="43">
        <v>0.18</v>
      </c>
      <c r="M4180" s="46">
        <f>(Sales[[#This Row],[Gross Amount]]-Sales[[#This Row],[Disc. Amt.]])*Sales[[#This Row],[GST %]]</f>
        <v>17643.528000000002</v>
      </c>
      <c r="N4180" s="161">
        <f>Sales[[#This Row],[Gross Amount]]-Sales[[#This Row],[Disc. Amt.]]+Sales[[#This Row],[GST Amount]]</f>
        <v>115663.12800000001</v>
      </c>
      <c r="O4180" s="34" t="s">
        <v>8876</v>
      </c>
      <c r="P4180" s="34" t="s">
        <v>3562</v>
      </c>
      <c r="Q4180" s="165">
        <f>IF(Sales[[#This Row],[Status]]="Cancelled",0,Sales[[#This Row],[Qty]])</f>
        <v>3</v>
      </c>
      <c r="R4180" s="166">
        <f>IF(Sales[[#This Row],[Status]]="Cancelled",0,Sales[[#This Row],[Total Amount]])</f>
        <v>115663.12800000001</v>
      </c>
      <c r="S4180" s="162">
        <f>SUM(Sales[Net Amount])</f>
        <v>406839287.73200053</v>
      </c>
    </row>
    <row r="4181" spans="1:19" ht="18.75" x14ac:dyDescent="0.25">
      <c r="A4181" s="156" t="s">
        <v>7860</v>
      </c>
      <c r="B4181" s="157">
        <v>45983</v>
      </c>
      <c r="C4181" s="158" t="s">
        <v>849</v>
      </c>
      <c r="D4181" s="159" t="str">
        <f>VLOOKUP(Sales[[#This Row],[Customer ID]],Customer[#All],2,0)</f>
        <v>Sunita Sharma</v>
      </c>
      <c r="E4181" s="158" t="s">
        <v>292</v>
      </c>
      <c r="F4181" s="158" t="str">
        <f>VLOOKUP(Sales[[#This Row],[Product ID]],Product[#All],2,0)</f>
        <v>Microtek UPS</v>
      </c>
      <c r="G4181" s="159">
        <v>5</v>
      </c>
      <c r="H4181" s="160">
        <f>VLOOKUP(Sales[[#This Row],[Product ID]],Product[#All],7,0)</f>
        <v>6260</v>
      </c>
      <c r="I4181" s="160">
        <f>Sales[[#This Row],[Selling Rate]]*Sales[[#This Row],[Qty]]</f>
        <v>31300</v>
      </c>
      <c r="J4181" s="43">
        <v>0.1</v>
      </c>
      <c r="K4181" s="44">
        <f>Sales[[#This Row],[Gross Amount]]*Sales[[#This Row],[Disc %]]</f>
        <v>3130</v>
      </c>
      <c r="L4181" s="43">
        <v>0.18</v>
      </c>
      <c r="M4181" s="44">
        <f>(Sales[[#This Row],[Gross Amount]]-Sales[[#This Row],[Disc. Amt.]])*Sales[[#This Row],[GST %]]</f>
        <v>5070.5999999999995</v>
      </c>
      <c r="N4181" s="161">
        <f>Sales[[#This Row],[Gross Amount]]-Sales[[#This Row],[Disc. Amt.]]+Sales[[#This Row],[GST Amount]]</f>
        <v>33240.6</v>
      </c>
      <c r="O4181" s="158" t="s">
        <v>8876</v>
      </c>
      <c r="P4181" s="158" t="s">
        <v>3562</v>
      </c>
      <c r="Q4181" s="160">
        <f>IF(Sales[[#This Row],[Status]]="Cancelled",0,Sales[[#This Row],[Qty]])</f>
        <v>5</v>
      </c>
      <c r="R4181" s="161">
        <f>IF(Sales[[#This Row],[Status]]="Cancelled",0,Sales[[#This Row],[Total Amount]])</f>
        <v>33240.6</v>
      </c>
      <c r="S4181" s="162">
        <f>SUM(Sales[Net Amount])</f>
        <v>406839287.73200053</v>
      </c>
    </row>
    <row r="4182" spans="1:19" ht="18.75" x14ac:dyDescent="0.25">
      <c r="A4182" s="163" t="s">
        <v>7861</v>
      </c>
      <c r="B4182" s="164">
        <v>45984</v>
      </c>
      <c r="C4182" s="34" t="s">
        <v>835</v>
      </c>
      <c r="D4182" s="53" t="str">
        <f>VLOOKUP(Sales[[#This Row],[Customer ID]],Customer[#All],2,0)</f>
        <v>Ankit Kumar</v>
      </c>
      <c r="E4182" s="34" t="s">
        <v>234</v>
      </c>
      <c r="F4182" s="34" t="str">
        <f>VLOOKUP(Sales[[#This Row],[Product ID]],Product[#All],2,0)</f>
        <v>HP Desktop</v>
      </c>
      <c r="G4182" s="53">
        <v>8</v>
      </c>
      <c r="H4182" s="165">
        <f>VLOOKUP(Sales[[#This Row],[Product ID]],Product[#All],7,0)</f>
        <v>76930</v>
      </c>
      <c r="I4182" s="165">
        <f>Sales[[#This Row],[Selling Rate]]*Sales[[#This Row],[Qty]]</f>
        <v>615440</v>
      </c>
      <c r="J4182" s="45">
        <v>0.1</v>
      </c>
      <c r="K4182" s="46">
        <f>Sales[[#This Row],[Gross Amount]]*Sales[[#This Row],[Disc %]]</f>
        <v>61544</v>
      </c>
      <c r="L4182" s="43">
        <v>0.18</v>
      </c>
      <c r="M4182" s="46">
        <f>(Sales[[#This Row],[Gross Amount]]-Sales[[#This Row],[Disc. Amt.]])*Sales[[#This Row],[GST %]]</f>
        <v>99701.28</v>
      </c>
      <c r="N4182" s="161">
        <f>Sales[[#This Row],[Gross Amount]]-Sales[[#This Row],[Disc. Amt.]]+Sales[[#This Row],[GST Amount]]</f>
        <v>653597.28</v>
      </c>
      <c r="O4182" s="34" t="s">
        <v>3566</v>
      </c>
      <c r="P4182" s="34" t="s">
        <v>3562</v>
      </c>
      <c r="Q4182" s="165">
        <f>IF(Sales[[#This Row],[Status]]="Cancelled",0,Sales[[#This Row],[Qty]])</f>
        <v>8</v>
      </c>
      <c r="R4182" s="166">
        <f>IF(Sales[[#This Row],[Status]]="Cancelled",0,Sales[[#This Row],[Total Amount]])</f>
        <v>653597.28</v>
      </c>
      <c r="S4182" s="162">
        <f>SUM(Sales[Net Amount])</f>
        <v>406839287.73200053</v>
      </c>
    </row>
    <row r="4183" spans="1:19" ht="18.75" x14ac:dyDescent="0.25">
      <c r="A4183" s="156" t="s">
        <v>7862</v>
      </c>
      <c r="B4183" s="157">
        <v>45984</v>
      </c>
      <c r="C4183" s="158" t="s">
        <v>842</v>
      </c>
      <c r="D4183" s="159" t="str">
        <f>VLOOKUP(Sales[[#This Row],[Customer ID]],Customer[#All],2,0)</f>
        <v>Priya Gupta</v>
      </c>
      <c r="E4183" s="158" t="s">
        <v>133</v>
      </c>
      <c r="F4183" s="158" t="str">
        <f>VLOOKUP(Sales[[#This Row],[Product ID]],Product[#All],2,0)</f>
        <v>HP Laptop</v>
      </c>
      <c r="G4183" s="159">
        <v>6</v>
      </c>
      <c r="H4183" s="160">
        <f>VLOOKUP(Sales[[#This Row],[Product ID]],Product[#All],7,0)</f>
        <v>44790</v>
      </c>
      <c r="I4183" s="160">
        <f>Sales[[#This Row],[Selling Rate]]*Sales[[#This Row],[Qty]]</f>
        <v>268740</v>
      </c>
      <c r="J4183" s="43">
        <v>0.05</v>
      </c>
      <c r="K4183" s="44">
        <f>Sales[[#This Row],[Gross Amount]]*Sales[[#This Row],[Disc %]]</f>
        <v>13437</v>
      </c>
      <c r="L4183" s="43">
        <v>0.18</v>
      </c>
      <c r="M4183" s="44">
        <f>(Sales[[#This Row],[Gross Amount]]-Sales[[#This Row],[Disc. Amt.]])*Sales[[#This Row],[GST %]]</f>
        <v>45954.54</v>
      </c>
      <c r="N4183" s="161">
        <f>Sales[[#This Row],[Gross Amount]]-Sales[[#This Row],[Disc. Amt.]]+Sales[[#This Row],[GST Amount]]</f>
        <v>301257.53999999998</v>
      </c>
      <c r="O4183" s="158" t="s">
        <v>3561</v>
      </c>
      <c r="P4183" s="158" t="s">
        <v>3562</v>
      </c>
      <c r="Q4183" s="160">
        <f>IF(Sales[[#This Row],[Status]]="Cancelled",0,Sales[[#This Row],[Qty]])</f>
        <v>6</v>
      </c>
      <c r="R4183" s="161">
        <f>IF(Sales[[#This Row],[Status]]="Cancelled",0,Sales[[#This Row],[Total Amount]])</f>
        <v>301257.53999999998</v>
      </c>
      <c r="S4183" s="162">
        <f>SUM(Sales[Net Amount])</f>
        <v>406839287.73200053</v>
      </c>
    </row>
    <row r="4184" spans="1:19" ht="18.75" x14ac:dyDescent="0.25">
      <c r="A4184" s="163" t="s">
        <v>7863</v>
      </c>
      <c r="B4184" s="164">
        <v>45984</v>
      </c>
      <c r="C4184" s="34" t="s">
        <v>940</v>
      </c>
      <c r="D4184" s="53" t="str">
        <f>VLOOKUP(Sales[[#This Row],[Customer ID]],Customer[#All],2,0)</f>
        <v>Rakesh Sharma</v>
      </c>
      <c r="E4184" s="34" t="s">
        <v>340</v>
      </c>
      <c r="F4184" s="34" t="str">
        <f>VLOOKUP(Sales[[#This Row],[Product ID]],Product[#All],2,0)</f>
        <v>Amazon Basics Hdmi Cable</v>
      </c>
      <c r="G4184" s="53">
        <v>2</v>
      </c>
      <c r="H4184" s="165">
        <f>VLOOKUP(Sales[[#This Row],[Product ID]],Product[#All],7,0)</f>
        <v>1150</v>
      </c>
      <c r="I4184" s="165">
        <f>Sales[[#This Row],[Selling Rate]]*Sales[[#This Row],[Qty]]</f>
        <v>2300</v>
      </c>
      <c r="J4184" s="45">
        <v>0</v>
      </c>
      <c r="K4184" s="46">
        <f>Sales[[#This Row],[Gross Amount]]*Sales[[#This Row],[Disc %]]</f>
        <v>0</v>
      </c>
      <c r="L4184" s="43">
        <v>0.18</v>
      </c>
      <c r="M4184" s="46">
        <f>(Sales[[#This Row],[Gross Amount]]-Sales[[#This Row],[Disc. Amt.]])*Sales[[#This Row],[GST %]]</f>
        <v>414</v>
      </c>
      <c r="N4184" s="161">
        <f>Sales[[#This Row],[Gross Amount]]-Sales[[#This Row],[Disc. Amt.]]+Sales[[#This Row],[GST Amount]]</f>
        <v>2714</v>
      </c>
      <c r="O4184" s="34" t="s">
        <v>8876</v>
      </c>
      <c r="P4184" s="34" t="s">
        <v>3562</v>
      </c>
      <c r="Q4184" s="165">
        <f>IF(Sales[[#This Row],[Status]]="Cancelled",0,Sales[[#This Row],[Qty]])</f>
        <v>2</v>
      </c>
      <c r="R4184" s="166">
        <f>IF(Sales[[#This Row],[Status]]="Cancelled",0,Sales[[#This Row],[Total Amount]])</f>
        <v>2714</v>
      </c>
      <c r="S4184" s="162">
        <f>SUM(Sales[Net Amount])</f>
        <v>406839287.73200053</v>
      </c>
    </row>
    <row r="4185" spans="1:19" ht="18.75" x14ac:dyDescent="0.25">
      <c r="A4185" s="156" t="s">
        <v>7864</v>
      </c>
      <c r="B4185" s="157">
        <v>45984</v>
      </c>
      <c r="C4185" s="158" t="s">
        <v>798</v>
      </c>
      <c r="D4185" s="159" t="str">
        <f>VLOOKUP(Sales[[#This Row],[Customer ID]],Customer[#All],2,0)</f>
        <v>Amit Singh</v>
      </c>
      <c r="E4185" s="158" t="s">
        <v>277</v>
      </c>
      <c r="F4185" s="158" t="str">
        <f>VLOOKUP(Sales[[#This Row],[Product ID]],Product[#All],2,0)</f>
        <v>D-Link Router</v>
      </c>
      <c r="G4185" s="159">
        <v>1</v>
      </c>
      <c r="H4185" s="160">
        <f>VLOOKUP(Sales[[#This Row],[Product ID]],Product[#All],7,0)</f>
        <v>4630</v>
      </c>
      <c r="I4185" s="160">
        <f>Sales[[#This Row],[Selling Rate]]*Sales[[#This Row],[Qty]]</f>
        <v>4630</v>
      </c>
      <c r="J4185" s="43">
        <v>0.12</v>
      </c>
      <c r="K4185" s="44">
        <f>Sales[[#This Row],[Gross Amount]]*Sales[[#This Row],[Disc %]]</f>
        <v>555.6</v>
      </c>
      <c r="L4185" s="43">
        <v>0.18</v>
      </c>
      <c r="M4185" s="44">
        <f>(Sales[[#This Row],[Gross Amount]]-Sales[[#This Row],[Disc. Amt.]])*Sales[[#This Row],[GST %]]</f>
        <v>733.39199999999994</v>
      </c>
      <c r="N4185" s="161">
        <f>Sales[[#This Row],[Gross Amount]]-Sales[[#This Row],[Disc. Amt.]]+Sales[[#This Row],[GST Amount]]</f>
        <v>4807.7920000000004</v>
      </c>
      <c r="O4185" s="158" t="s">
        <v>8876</v>
      </c>
      <c r="P4185" s="158" t="s">
        <v>3562</v>
      </c>
      <c r="Q4185" s="160">
        <f>IF(Sales[[#This Row],[Status]]="Cancelled",0,Sales[[#This Row],[Qty]])</f>
        <v>1</v>
      </c>
      <c r="R4185" s="161">
        <f>IF(Sales[[#This Row],[Status]]="Cancelled",0,Sales[[#This Row],[Total Amount]])</f>
        <v>4807.7920000000004</v>
      </c>
      <c r="S4185" s="162">
        <f>SUM(Sales[Net Amount])</f>
        <v>406839287.73200053</v>
      </c>
    </row>
    <row r="4186" spans="1:19" ht="18.75" x14ac:dyDescent="0.25">
      <c r="A4186" s="163" t="s">
        <v>7865</v>
      </c>
      <c r="B4186" s="164">
        <v>45984</v>
      </c>
      <c r="C4186" s="34" t="s">
        <v>742</v>
      </c>
      <c r="D4186" s="53" t="str">
        <f>VLOOKUP(Sales[[#This Row],[Customer ID]],Customer[#All],2,0)</f>
        <v>Rahul Patel</v>
      </c>
      <c r="E4186" s="34" t="s">
        <v>123</v>
      </c>
      <c r="F4186" s="34" t="str">
        <f>VLOOKUP(Sales[[#This Row],[Product ID]],Product[#All],2,0)</f>
        <v>HP Mouse</v>
      </c>
      <c r="G4186" s="53">
        <v>3</v>
      </c>
      <c r="H4186" s="165">
        <f>VLOOKUP(Sales[[#This Row],[Product ID]],Product[#All],7,0)</f>
        <v>2480</v>
      </c>
      <c r="I4186" s="165">
        <f>Sales[[#This Row],[Selling Rate]]*Sales[[#This Row],[Qty]]</f>
        <v>7440</v>
      </c>
      <c r="J4186" s="45">
        <v>0.15</v>
      </c>
      <c r="K4186" s="46">
        <f>Sales[[#This Row],[Gross Amount]]*Sales[[#This Row],[Disc %]]</f>
        <v>1116</v>
      </c>
      <c r="L4186" s="43">
        <v>0.18</v>
      </c>
      <c r="M4186" s="46">
        <f>(Sales[[#This Row],[Gross Amount]]-Sales[[#This Row],[Disc. Amt.]])*Sales[[#This Row],[GST %]]</f>
        <v>1138.32</v>
      </c>
      <c r="N4186" s="161">
        <f>Sales[[#This Row],[Gross Amount]]-Sales[[#This Row],[Disc. Amt.]]+Sales[[#This Row],[GST Amount]]</f>
        <v>7462.32</v>
      </c>
      <c r="O4186" s="34" t="s">
        <v>3561</v>
      </c>
      <c r="P4186" s="34" t="s">
        <v>3562</v>
      </c>
      <c r="Q4186" s="165">
        <f>IF(Sales[[#This Row],[Status]]="Cancelled",0,Sales[[#This Row],[Qty]])</f>
        <v>3</v>
      </c>
      <c r="R4186" s="166">
        <f>IF(Sales[[#This Row],[Status]]="Cancelled",0,Sales[[#This Row],[Total Amount]])</f>
        <v>7462.32</v>
      </c>
      <c r="S4186" s="162">
        <f>SUM(Sales[Net Amount])</f>
        <v>406839287.73200053</v>
      </c>
    </row>
    <row r="4187" spans="1:19" ht="18.75" x14ac:dyDescent="0.25">
      <c r="A4187" s="156" t="s">
        <v>7866</v>
      </c>
      <c r="B4187" s="157">
        <v>45984</v>
      </c>
      <c r="C4187" s="158" t="s">
        <v>854</v>
      </c>
      <c r="D4187" s="159" t="str">
        <f>VLOOKUP(Sales[[#This Row],[Customer ID]],Customer[#All],2,0)</f>
        <v>Neha Sharma</v>
      </c>
      <c r="E4187" s="158" t="s">
        <v>290</v>
      </c>
      <c r="F4187" s="158" t="str">
        <f>VLOOKUP(Sales[[#This Row],[Product ID]],Product[#All],2,0)</f>
        <v>Crucial Ssd</v>
      </c>
      <c r="G4187" s="159">
        <v>1</v>
      </c>
      <c r="H4187" s="160">
        <f>VLOOKUP(Sales[[#This Row],[Product ID]],Product[#All],7,0)</f>
        <v>7650</v>
      </c>
      <c r="I4187" s="160">
        <f>Sales[[#This Row],[Selling Rate]]*Sales[[#This Row],[Qty]]</f>
        <v>7650</v>
      </c>
      <c r="J4187" s="43">
        <v>0.15</v>
      </c>
      <c r="K4187" s="44">
        <f>Sales[[#This Row],[Gross Amount]]*Sales[[#This Row],[Disc %]]</f>
        <v>1147.5</v>
      </c>
      <c r="L4187" s="43">
        <v>0.18</v>
      </c>
      <c r="M4187" s="44">
        <f>(Sales[[#This Row],[Gross Amount]]-Sales[[#This Row],[Disc. Amt.]])*Sales[[#This Row],[GST %]]</f>
        <v>1170.45</v>
      </c>
      <c r="N4187" s="161">
        <f>Sales[[#This Row],[Gross Amount]]-Sales[[#This Row],[Disc. Amt.]]+Sales[[#This Row],[GST Amount]]</f>
        <v>7672.95</v>
      </c>
      <c r="O4187" s="158" t="s">
        <v>3561</v>
      </c>
      <c r="P4187" s="158" t="s">
        <v>3562</v>
      </c>
      <c r="Q4187" s="160">
        <f>IF(Sales[[#This Row],[Status]]="Cancelled",0,Sales[[#This Row],[Qty]])</f>
        <v>1</v>
      </c>
      <c r="R4187" s="161">
        <f>IF(Sales[[#This Row],[Status]]="Cancelled",0,Sales[[#This Row],[Total Amount]])</f>
        <v>7672.95</v>
      </c>
      <c r="S4187" s="162">
        <f>SUM(Sales[Net Amount])</f>
        <v>406839287.73200053</v>
      </c>
    </row>
    <row r="4188" spans="1:19" ht="18.75" x14ac:dyDescent="0.25">
      <c r="A4188" s="163" t="s">
        <v>7867</v>
      </c>
      <c r="B4188" s="164">
        <v>45984</v>
      </c>
      <c r="C4188" s="34" t="s">
        <v>911</v>
      </c>
      <c r="D4188" s="53" t="str">
        <f>VLOOKUP(Sales[[#This Row],[Customer ID]],Customer[#All],2,0)</f>
        <v>Amit Kumar</v>
      </c>
      <c r="E4188" s="34" t="s">
        <v>296</v>
      </c>
      <c r="F4188" s="34" t="str">
        <f>VLOOKUP(Sales[[#This Row],[Product ID]],Product[#All],2,0)</f>
        <v>Logitech Webcam</v>
      </c>
      <c r="G4188" s="53">
        <v>5</v>
      </c>
      <c r="H4188" s="165">
        <f>VLOOKUP(Sales[[#This Row],[Product ID]],Product[#All],7,0)</f>
        <v>6060</v>
      </c>
      <c r="I4188" s="165">
        <f>Sales[[#This Row],[Selling Rate]]*Sales[[#This Row],[Qty]]</f>
        <v>30300</v>
      </c>
      <c r="J4188" s="45">
        <v>0.05</v>
      </c>
      <c r="K4188" s="46">
        <f>Sales[[#This Row],[Gross Amount]]*Sales[[#This Row],[Disc %]]</f>
        <v>1515</v>
      </c>
      <c r="L4188" s="43">
        <v>0.18</v>
      </c>
      <c r="M4188" s="46">
        <f>(Sales[[#This Row],[Gross Amount]]-Sales[[#This Row],[Disc. Amt.]])*Sales[[#This Row],[GST %]]</f>
        <v>5181.3</v>
      </c>
      <c r="N4188" s="161">
        <f>Sales[[#This Row],[Gross Amount]]-Sales[[#This Row],[Disc. Amt.]]+Sales[[#This Row],[GST Amount]]</f>
        <v>33966.300000000003</v>
      </c>
      <c r="O4188" s="34" t="s">
        <v>3569</v>
      </c>
      <c r="P4188" s="34" t="s">
        <v>3562</v>
      </c>
      <c r="Q4188" s="165">
        <f>IF(Sales[[#This Row],[Status]]="Cancelled",0,Sales[[#This Row],[Qty]])</f>
        <v>5</v>
      </c>
      <c r="R4188" s="166">
        <f>IF(Sales[[#This Row],[Status]]="Cancelled",0,Sales[[#This Row],[Total Amount]])</f>
        <v>33966.300000000003</v>
      </c>
      <c r="S4188" s="162">
        <f>SUM(Sales[Net Amount])</f>
        <v>406839287.73200053</v>
      </c>
    </row>
    <row r="4189" spans="1:19" ht="18.75" x14ac:dyDescent="0.25">
      <c r="A4189" s="156" t="s">
        <v>7868</v>
      </c>
      <c r="B4189" s="157">
        <v>45984</v>
      </c>
      <c r="C4189" s="158" t="s">
        <v>896</v>
      </c>
      <c r="D4189" s="159" t="str">
        <f>VLOOKUP(Sales[[#This Row],[Customer ID]],Customer[#All],2,0)</f>
        <v>Amit Gupta</v>
      </c>
      <c r="E4189" s="158" t="s">
        <v>232</v>
      </c>
      <c r="F4189" s="158" t="str">
        <f>VLOOKUP(Sales[[#This Row],[Product ID]],Product[#All],2,0)</f>
        <v>HP Printer</v>
      </c>
      <c r="G4189" s="159">
        <v>7</v>
      </c>
      <c r="H4189" s="160">
        <f>VLOOKUP(Sales[[#This Row],[Product ID]],Product[#All],7,0)</f>
        <v>35700</v>
      </c>
      <c r="I4189" s="160">
        <f>Sales[[#This Row],[Selling Rate]]*Sales[[#This Row],[Qty]]</f>
        <v>249900</v>
      </c>
      <c r="J4189" s="43">
        <v>0.02</v>
      </c>
      <c r="K4189" s="44">
        <f>Sales[[#This Row],[Gross Amount]]*Sales[[#This Row],[Disc %]]</f>
        <v>4998</v>
      </c>
      <c r="L4189" s="43">
        <v>0.18</v>
      </c>
      <c r="M4189" s="44">
        <f>(Sales[[#This Row],[Gross Amount]]-Sales[[#This Row],[Disc. Amt.]])*Sales[[#This Row],[GST %]]</f>
        <v>44082.36</v>
      </c>
      <c r="N4189" s="161">
        <f>Sales[[#This Row],[Gross Amount]]-Sales[[#This Row],[Disc. Amt.]]+Sales[[#This Row],[GST Amount]]</f>
        <v>288984.36</v>
      </c>
      <c r="O4189" s="158" t="s">
        <v>3566</v>
      </c>
      <c r="P4189" s="158" t="s">
        <v>3562</v>
      </c>
      <c r="Q4189" s="160">
        <f>IF(Sales[[#This Row],[Status]]="Cancelled",0,Sales[[#This Row],[Qty]])</f>
        <v>7</v>
      </c>
      <c r="R4189" s="161">
        <f>IF(Sales[[#This Row],[Status]]="Cancelled",0,Sales[[#This Row],[Total Amount]])</f>
        <v>288984.36</v>
      </c>
      <c r="S4189" s="162">
        <f>SUM(Sales[Net Amount])</f>
        <v>406839287.73200053</v>
      </c>
    </row>
    <row r="4190" spans="1:19" ht="18.75" x14ac:dyDescent="0.25">
      <c r="A4190" s="163" t="s">
        <v>7869</v>
      </c>
      <c r="B4190" s="164">
        <v>45984</v>
      </c>
      <c r="C4190" s="34" t="s">
        <v>773</v>
      </c>
      <c r="D4190" s="53" t="str">
        <f>VLOOKUP(Sales[[#This Row],[Customer ID]],Customer[#All],2,0)</f>
        <v>Rahul Kumar</v>
      </c>
      <c r="E4190" s="34" t="s">
        <v>473</v>
      </c>
      <c r="F4190" s="34" t="str">
        <f>VLOOKUP(Sales[[#This Row],[Product ID]],Product[#All],2,0)</f>
        <v>Boat Headset</v>
      </c>
      <c r="G4190" s="53">
        <v>4</v>
      </c>
      <c r="H4190" s="165">
        <f>VLOOKUP(Sales[[#This Row],[Product ID]],Product[#All],7,0)</f>
        <v>2840</v>
      </c>
      <c r="I4190" s="165">
        <f>Sales[[#This Row],[Selling Rate]]*Sales[[#This Row],[Qty]]</f>
        <v>11360</v>
      </c>
      <c r="J4190" s="45">
        <v>0.02</v>
      </c>
      <c r="K4190" s="46">
        <f>Sales[[#This Row],[Gross Amount]]*Sales[[#This Row],[Disc %]]</f>
        <v>227.20000000000002</v>
      </c>
      <c r="L4190" s="43">
        <v>0.18</v>
      </c>
      <c r="M4190" s="46">
        <f>(Sales[[#This Row],[Gross Amount]]-Sales[[#This Row],[Disc. Amt.]])*Sales[[#This Row],[GST %]]</f>
        <v>2003.9039999999998</v>
      </c>
      <c r="N4190" s="161">
        <f>Sales[[#This Row],[Gross Amount]]-Sales[[#This Row],[Disc. Amt.]]+Sales[[#This Row],[GST Amount]]</f>
        <v>13136.704</v>
      </c>
      <c r="O4190" s="34" t="s">
        <v>8876</v>
      </c>
      <c r="P4190" s="34" t="s">
        <v>3562</v>
      </c>
      <c r="Q4190" s="165">
        <f>IF(Sales[[#This Row],[Status]]="Cancelled",0,Sales[[#This Row],[Qty]])</f>
        <v>4</v>
      </c>
      <c r="R4190" s="166">
        <f>IF(Sales[[#This Row],[Status]]="Cancelled",0,Sales[[#This Row],[Total Amount]])</f>
        <v>13136.704</v>
      </c>
      <c r="S4190" s="162">
        <f>SUM(Sales[Net Amount])</f>
        <v>406839287.73200053</v>
      </c>
    </row>
    <row r="4191" spans="1:19" ht="18.75" x14ac:dyDescent="0.25">
      <c r="A4191" s="156" t="s">
        <v>7870</v>
      </c>
      <c r="B4191" s="157">
        <v>45984</v>
      </c>
      <c r="C4191" s="158" t="s">
        <v>748</v>
      </c>
      <c r="D4191" s="159" t="str">
        <f>VLOOKUP(Sales[[#This Row],[Customer ID]],Customer[#All],2,0)</f>
        <v>Priya Singh</v>
      </c>
      <c r="E4191" s="158" t="s">
        <v>331</v>
      </c>
      <c r="F4191" s="158" t="str">
        <f>VLOOKUP(Sales[[#This Row],[Product ID]],Product[#All],2,0)</f>
        <v>Dell Keyboard</v>
      </c>
      <c r="G4191" s="159">
        <v>1</v>
      </c>
      <c r="H4191" s="160">
        <f>VLOOKUP(Sales[[#This Row],[Product ID]],Product[#All],7,0)</f>
        <v>2070</v>
      </c>
      <c r="I4191" s="160">
        <f>Sales[[#This Row],[Selling Rate]]*Sales[[#This Row],[Qty]]</f>
        <v>2070</v>
      </c>
      <c r="J4191" s="43">
        <v>0.02</v>
      </c>
      <c r="K4191" s="44">
        <f>Sales[[#This Row],[Gross Amount]]*Sales[[#This Row],[Disc %]]</f>
        <v>41.4</v>
      </c>
      <c r="L4191" s="43">
        <v>0.18</v>
      </c>
      <c r="M4191" s="44">
        <f>(Sales[[#This Row],[Gross Amount]]-Sales[[#This Row],[Disc. Amt.]])*Sales[[#This Row],[GST %]]</f>
        <v>365.14799999999997</v>
      </c>
      <c r="N4191" s="161">
        <f>Sales[[#This Row],[Gross Amount]]-Sales[[#This Row],[Disc. Amt.]]+Sales[[#This Row],[GST Amount]]</f>
        <v>2393.748</v>
      </c>
      <c r="O4191" s="158" t="s">
        <v>3561</v>
      </c>
      <c r="P4191" s="158" t="s">
        <v>3562</v>
      </c>
      <c r="Q4191" s="160">
        <f>IF(Sales[[#This Row],[Status]]="Cancelled",0,Sales[[#This Row],[Qty]])</f>
        <v>1</v>
      </c>
      <c r="R4191" s="161">
        <f>IF(Sales[[#This Row],[Status]]="Cancelled",0,Sales[[#This Row],[Total Amount]])</f>
        <v>2393.748</v>
      </c>
      <c r="S4191" s="162">
        <f>SUM(Sales[Net Amount])</f>
        <v>406839287.73200053</v>
      </c>
    </row>
    <row r="4192" spans="1:19" ht="18.75" x14ac:dyDescent="0.25">
      <c r="A4192" s="163" t="s">
        <v>7871</v>
      </c>
      <c r="B4192" s="164">
        <v>45984</v>
      </c>
      <c r="C4192" s="34" t="s">
        <v>854</v>
      </c>
      <c r="D4192" s="53" t="str">
        <f>VLOOKUP(Sales[[#This Row],[Customer ID]],Customer[#All],2,0)</f>
        <v>Neha Sharma</v>
      </c>
      <c r="E4192" s="34" t="s">
        <v>179</v>
      </c>
      <c r="F4192" s="34" t="str">
        <f>VLOOKUP(Sales[[#This Row],[Product ID]],Product[#All],2,0)</f>
        <v>TP-link Wi-Fi Adapter</v>
      </c>
      <c r="G4192" s="53">
        <v>5</v>
      </c>
      <c r="H4192" s="165">
        <f>VLOOKUP(Sales[[#This Row],[Product ID]],Product[#All],7,0)</f>
        <v>1490</v>
      </c>
      <c r="I4192" s="165">
        <f>Sales[[#This Row],[Selling Rate]]*Sales[[#This Row],[Qty]]</f>
        <v>7450</v>
      </c>
      <c r="J4192" s="45">
        <v>0</v>
      </c>
      <c r="K4192" s="46">
        <f>Sales[[#This Row],[Gross Amount]]*Sales[[#This Row],[Disc %]]</f>
        <v>0</v>
      </c>
      <c r="L4192" s="43">
        <v>0.18</v>
      </c>
      <c r="M4192" s="46">
        <f>(Sales[[#This Row],[Gross Amount]]-Sales[[#This Row],[Disc. Amt.]])*Sales[[#This Row],[GST %]]</f>
        <v>1341</v>
      </c>
      <c r="N4192" s="161">
        <f>Sales[[#This Row],[Gross Amount]]-Sales[[#This Row],[Disc. Amt.]]+Sales[[#This Row],[GST Amount]]</f>
        <v>8791</v>
      </c>
      <c r="O4192" s="34" t="s">
        <v>3561</v>
      </c>
      <c r="P4192" s="34" t="s">
        <v>3562</v>
      </c>
      <c r="Q4192" s="165">
        <f>IF(Sales[[#This Row],[Status]]="Cancelled",0,Sales[[#This Row],[Qty]])</f>
        <v>5</v>
      </c>
      <c r="R4192" s="166">
        <f>IF(Sales[[#This Row],[Status]]="Cancelled",0,Sales[[#This Row],[Total Amount]])</f>
        <v>8791</v>
      </c>
      <c r="S4192" s="162">
        <f>SUM(Sales[Net Amount])</f>
        <v>406839287.73200053</v>
      </c>
    </row>
    <row r="4193" spans="1:19" ht="18.75" x14ac:dyDescent="0.25">
      <c r="A4193" s="156" t="s">
        <v>7872</v>
      </c>
      <c r="B4193" s="157">
        <v>45984</v>
      </c>
      <c r="C4193" s="158" t="s">
        <v>944</v>
      </c>
      <c r="D4193" s="159" t="str">
        <f>VLOOKUP(Sales[[#This Row],[Customer ID]],Customer[#All],2,0)</f>
        <v>Pooja Patel</v>
      </c>
      <c r="E4193" s="158" t="s">
        <v>365</v>
      </c>
      <c r="F4193" s="158" t="str">
        <f>VLOOKUP(Sales[[#This Row],[Product ID]],Product[#All],2,0)</f>
        <v>TP-link Bluetooth Adapter</v>
      </c>
      <c r="G4193" s="159">
        <v>2</v>
      </c>
      <c r="H4193" s="160">
        <f>VLOOKUP(Sales[[#This Row],[Product ID]],Product[#All],7,0)</f>
        <v>2120</v>
      </c>
      <c r="I4193" s="160">
        <f>Sales[[#This Row],[Selling Rate]]*Sales[[#This Row],[Qty]]</f>
        <v>4240</v>
      </c>
      <c r="J4193" s="43">
        <v>0</v>
      </c>
      <c r="K4193" s="44">
        <f>Sales[[#This Row],[Gross Amount]]*Sales[[#This Row],[Disc %]]</f>
        <v>0</v>
      </c>
      <c r="L4193" s="43">
        <v>0.18</v>
      </c>
      <c r="M4193" s="44">
        <f>(Sales[[#This Row],[Gross Amount]]-Sales[[#This Row],[Disc. Amt.]])*Sales[[#This Row],[GST %]]</f>
        <v>763.19999999999993</v>
      </c>
      <c r="N4193" s="161">
        <f>Sales[[#This Row],[Gross Amount]]-Sales[[#This Row],[Disc. Amt.]]+Sales[[#This Row],[GST Amount]]</f>
        <v>5003.2</v>
      </c>
      <c r="O4193" s="158" t="s">
        <v>3561</v>
      </c>
      <c r="P4193" s="158" t="s">
        <v>3562</v>
      </c>
      <c r="Q4193" s="160">
        <f>IF(Sales[[#This Row],[Status]]="Cancelled",0,Sales[[#This Row],[Qty]])</f>
        <v>2</v>
      </c>
      <c r="R4193" s="161">
        <f>IF(Sales[[#This Row],[Status]]="Cancelled",0,Sales[[#This Row],[Total Amount]])</f>
        <v>5003.2</v>
      </c>
      <c r="S4193" s="162">
        <f>SUM(Sales[Net Amount])</f>
        <v>406839287.73200053</v>
      </c>
    </row>
    <row r="4194" spans="1:19" ht="18.75" x14ac:dyDescent="0.25">
      <c r="A4194" s="163" t="s">
        <v>7873</v>
      </c>
      <c r="B4194" s="164">
        <v>45984</v>
      </c>
      <c r="C4194" s="34" t="s">
        <v>757</v>
      </c>
      <c r="D4194" s="53" t="str">
        <f>VLOOKUP(Sales[[#This Row],[Customer ID]],Customer[#All],2,0)</f>
        <v>Amit Singh</v>
      </c>
      <c r="E4194" s="34" t="s">
        <v>448</v>
      </c>
      <c r="F4194" s="34" t="str">
        <f>VLOOKUP(Sales[[#This Row],[Product ID]],Product[#All],2,0)</f>
        <v>Crucial Ssd</v>
      </c>
      <c r="G4194" s="53">
        <v>8</v>
      </c>
      <c r="H4194" s="165">
        <f>VLOOKUP(Sales[[#This Row],[Product ID]],Product[#All],7,0)</f>
        <v>7930</v>
      </c>
      <c r="I4194" s="165">
        <f>Sales[[#This Row],[Selling Rate]]*Sales[[#This Row],[Qty]]</f>
        <v>63440</v>
      </c>
      <c r="J4194" s="45">
        <v>0.15</v>
      </c>
      <c r="K4194" s="46">
        <f>Sales[[#This Row],[Gross Amount]]*Sales[[#This Row],[Disc %]]</f>
        <v>9516</v>
      </c>
      <c r="L4194" s="43">
        <v>0.18</v>
      </c>
      <c r="M4194" s="46">
        <f>(Sales[[#This Row],[Gross Amount]]-Sales[[#This Row],[Disc. Amt.]])*Sales[[#This Row],[GST %]]</f>
        <v>9706.32</v>
      </c>
      <c r="N4194" s="161">
        <f>Sales[[#This Row],[Gross Amount]]-Sales[[#This Row],[Disc. Amt.]]+Sales[[#This Row],[GST Amount]]</f>
        <v>63630.32</v>
      </c>
      <c r="O4194" s="34" t="s">
        <v>3561</v>
      </c>
      <c r="P4194" s="34" t="s">
        <v>3562</v>
      </c>
      <c r="Q4194" s="165">
        <f>IF(Sales[[#This Row],[Status]]="Cancelled",0,Sales[[#This Row],[Qty]])</f>
        <v>8</v>
      </c>
      <c r="R4194" s="166">
        <f>IF(Sales[[#This Row],[Status]]="Cancelled",0,Sales[[#This Row],[Total Amount]])</f>
        <v>63630.32</v>
      </c>
      <c r="S4194" s="162">
        <f>SUM(Sales[Net Amount])</f>
        <v>406839287.73200053</v>
      </c>
    </row>
    <row r="4195" spans="1:19" ht="18.75" x14ac:dyDescent="0.25">
      <c r="A4195" s="156" t="s">
        <v>7874</v>
      </c>
      <c r="B4195" s="157">
        <v>45984</v>
      </c>
      <c r="C4195" s="158" t="s">
        <v>910</v>
      </c>
      <c r="D4195" s="159" t="str">
        <f>VLOOKUP(Sales[[#This Row],[Customer ID]],Customer[#All],2,0)</f>
        <v>Sahil Sharma</v>
      </c>
      <c r="E4195" s="158" t="s">
        <v>229</v>
      </c>
      <c r="F4195" s="158" t="str">
        <f>VLOOKUP(Sales[[#This Row],[Product ID]],Product[#All],2,0)</f>
        <v>Jbl Headset</v>
      </c>
      <c r="G4195" s="159">
        <v>2</v>
      </c>
      <c r="H4195" s="160">
        <f>VLOOKUP(Sales[[#This Row],[Product ID]],Product[#All],7,0)</f>
        <v>3170</v>
      </c>
      <c r="I4195" s="160">
        <f>Sales[[#This Row],[Selling Rate]]*Sales[[#This Row],[Qty]]</f>
        <v>6340</v>
      </c>
      <c r="J4195" s="43">
        <v>0.02</v>
      </c>
      <c r="K4195" s="44">
        <f>Sales[[#This Row],[Gross Amount]]*Sales[[#This Row],[Disc %]]</f>
        <v>126.8</v>
      </c>
      <c r="L4195" s="43">
        <v>0.18</v>
      </c>
      <c r="M4195" s="44">
        <f>(Sales[[#This Row],[Gross Amount]]-Sales[[#This Row],[Disc. Amt.]])*Sales[[#This Row],[GST %]]</f>
        <v>1118.376</v>
      </c>
      <c r="N4195" s="161">
        <f>Sales[[#This Row],[Gross Amount]]-Sales[[#This Row],[Disc. Amt.]]+Sales[[#This Row],[GST Amount]]</f>
        <v>7331.576</v>
      </c>
      <c r="O4195" s="158" t="s">
        <v>3566</v>
      </c>
      <c r="P4195" s="158" t="s">
        <v>3562</v>
      </c>
      <c r="Q4195" s="160">
        <f>IF(Sales[[#This Row],[Status]]="Cancelled",0,Sales[[#This Row],[Qty]])</f>
        <v>2</v>
      </c>
      <c r="R4195" s="161">
        <f>IF(Sales[[#This Row],[Status]]="Cancelled",0,Sales[[#This Row],[Total Amount]])</f>
        <v>7331.576</v>
      </c>
      <c r="S4195" s="162">
        <f>SUM(Sales[Net Amount])</f>
        <v>406839287.73200053</v>
      </c>
    </row>
    <row r="4196" spans="1:19" ht="18.75" x14ac:dyDescent="0.25">
      <c r="A4196" s="163" t="s">
        <v>7875</v>
      </c>
      <c r="B4196" s="164">
        <v>45984</v>
      </c>
      <c r="C4196" s="34" t="s">
        <v>852</v>
      </c>
      <c r="D4196" s="53" t="str">
        <f>VLOOKUP(Sales[[#This Row],[Customer ID]],Customer[#All],2,0)</f>
        <v>Neha Singh</v>
      </c>
      <c r="E4196" s="34" t="s">
        <v>290</v>
      </c>
      <c r="F4196" s="34" t="str">
        <f>VLOOKUP(Sales[[#This Row],[Product ID]],Product[#All],2,0)</f>
        <v>Crucial Ssd</v>
      </c>
      <c r="G4196" s="53">
        <v>7</v>
      </c>
      <c r="H4196" s="165">
        <f>VLOOKUP(Sales[[#This Row],[Product ID]],Product[#All],7,0)</f>
        <v>7650</v>
      </c>
      <c r="I4196" s="165">
        <f>Sales[[#This Row],[Selling Rate]]*Sales[[#This Row],[Qty]]</f>
        <v>53550</v>
      </c>
      <c r="J4196" s="45">
        <v>0.05</v>
      </c>
      <c r="K4196" s="46">
        <f>Sales[[#This Row],[Gross Amount]]*Sales[[#This Row],[Disc %]]</f>
        <v>2677.5</v>
      </c>
      <c r="L4196" s="43">
        <v>0.18</v>
      </c>
      <c r="M4196" s="46">
        <f>(Sales[[#This Row],[Gross Amount]]-Sales[[#This Row],[Disc. Amt.]])*Sales[[#This Row],[GST %]]</f>
        <v>9157.0499999999993</v>
      </c>
      <c r="N4196" s="161">
        <f>Sales[[#This Row],[Gross Amount]]-Sales[[#This Row],[Disc. Amt.]]+Sales[[#This Row],[GST Amount]]</f>
        <v>60029.55</v>
      </c>
      <c r="O4196" s="34" t="s">
        <v>3561</v>
      </c>
      <c r="P4196" s="34" t="s">
        <v>3562</v>
      </c>
      <c r="Q4196" s="165">
        <f>IF(Sales[[#This Row],[Status]]="Cancelled",0,Sales[[#This Row],[Qty]])</f>
        <v>7</v>
      </c>
      <c r="R4196" s="166">
        <f>IF(Sales[[#This Row],[Status]]="Cancelled",0,Sales[[#This Row],[Total Amount]])</f>
        <v>60029.55</v>
      </c>
      <c r="S4196" s="162">
        <f>SUM(Sales[Net Amount])</f>
        <v>406839287.73200053</v>
      </c>
    </row>
    <row r="4197" spans="1:19" ht="18.75" x14ac:dyDescent="0.25">
      <c r="A4197" s="156" t="s">
        <v>7876</v>
      </c>
      <c r="B4197" s="157">
        <v>45984</v>
      </c>
      <c r="C4197" s="158" t="s">
        <v>757</v>
      </c>
      <c r="D4197" s="159" t="str">
        <f>VLOOKUP(Sales[[#This Row],[Customer ID]],Customer[#All],2,0)</f>
        <v>Amit Singh</v>
      </c>
      <c r="E4197" s="158" t="s">
        <v>406</v>
      </c>
      <c r="F4197" s="158" t="str">
        <f>VLOOKUP(Sales[[#This Row],[Product ID]],Product[#All],2,0)</f>
        <v>American TouristerLaptopBag</v>
      </c>
      <c r="G4197" s="159">
        <v>3</v>
      </c>
      <c r="H4197" s="160">
        <f>VLOOKUP(Sales[[#This Row],[Product ID]],Product[#All],7,0)</f>
        <v>1710</v>
      </c>
      <c r="I4197" s="160">
        <f>Sales[[#This Row],[Selling Rate]]*Sales[[#This Row],[Qty]]</f>
        <v>5130</v>
      </c>
      <c r="J4197" s="43">
        <v>0.05</v>
      </c>
      <c r="K4197" s="44">
        <f>Sales[[#This Row],[Gross Amount]]*Sales[[#This Row],[Disc %]]</f>
        <v>256.5</v>
      </c>
      <c r="L4197" s="43">
        <v>0.18</v>
      </c>
      <c r="M4197" s="44">
        <f>(Sales[[#This Row],[Gross Amount]]-Sales[[#This Row],[Disc. Amt.]])*Sales[[#This Row],[GST %]]</f>
        <v>877.23</v>
      </c>
      <c r="N4197" s="161">
        <f>Sales[[#This Row],[Gross Amount]]-Sales[[#This Row],[Disc. Amt.]]+Sales[[#This Row],[GST Amount]]</f>
        <v>5750.73</v>
      </c>
      <c r="O4197" s="158" t="s">
        <v>3561</v>
      </c>
      <c r="P4197" s="158" t="s">
        <v>3562</v>
      </c>
      <c r="Q4197" s="160">
        <f>IF(Sales[[#This Row],[Status]]="Cancelled",0,Sales[[#This Row],[Qty]])</f>
        <v>3</v>
      </c>
      <c r="R4197" s="161">
        <f>IF(Sales[[#This Row],[Status]]="Cancelled",0,Sales[[#This Row],[Total Amount]])</f>
        <v>5750.73</v>
      </c>
      <c r="S4197" s="162">
        <f>SUM(Sales[Net Amount])</f>
        <v>406839287.73200053</v>
      </c>
    </row>
    <row r="4198" spans="1:19" ht="18.75" x14ac:dyDescent="0.25">
      <c r="A4198" s="163" t="s">
        <v>7877</v>
      </c>
      <c r="B4198" s="164">
        <v>45984</v>
      </c>
      <c r="C4198" s="34" t="s">
        <v>855</v>
      </c>
      <c r="D4198" s="53" t="str">
        <f>VLOOKUP(Sales[[#This Row],[Customer ID]],Customer[#All],2,0)</f>
        <v>Sahil Singh</v>
      </c>
      <c r="E4198" s="34" t="s">
        <v>258</v>
      </c>
      <c r="F4198" s="34" t="str">
        <f>VLOOKUP(Sales[[#This Row],[Product ID]],Product[#All],2,0)</f>
        <v>HP Power Adapter</v>
      </c>
      <c r="G4198" s="53">
        <v>2</v>
      </c>
      <c r="H4198" s="165">
        <f>VLOOKUP(Sales[[#This Row],[Product ID]],Product[#All],7,0)</f>
        <v>2370</v>
      </c>
      <c r="I4198" s="165">
        <f>Sales[[#This Row],[Selling Rate]]*Sales[[#This Row],[Qty]]</f>
        <v>4740</v>
      </c>
      <c r="J4198" s="45">
        <v>0</v>
      </c>
      <c r="K4198" s="46">
        <f>Sales[[#This Row],[Gross Amount]]*Sales[[#This Row],[Disc %]]</f>
        <v>0</v>
      </c>
      <c r="L4198" s="43">
        <v>0.18</v>
      </c>
      <c r="M4198" s="46">
        <f>(Sales[[#This Row],[Gross Amount]]-Sales[[#This Row],[Disc. Amt.]])*Sales[[#This Row],[GST %]]</f>
        <v>853.19999999999993</v>
      </c>
      <c r="N4198" s="161">
        <f>Sales[[#This Row],[Gross Amount]]-Sales[[#This Row],[Disc. Amt.]]+Sales[[#This Row],[GST Amount]]</f>
        <v>5593.2</v>
      </c>
      <c r="O4198" s="34" t="s">
        <v>8876</v>
      </c>
      <c r="P4198" s="34" t="s">
        <v>3562</v>
      </c>
      <c r="Q4198" s="165">
        <f>IF(Sales[[#This Row],[Status]]="Cancelled",0,Sales[[#This Row],[Qty]])</f>
        <v>2</v>
      </c>
      <c r="R4198" s="166">
        <f>IF(Sales[[#This Row],[Status]]="Cancelled",0,Sales[[#This Row],[Total Amount]])</f>
        <v>5593.2</v>
      </c>
      <c r="S4198" s="162">
        <f>SUM(Sales[Net Amount])</f>
        <v>406839287.73200053</v>
      </c>
    </row>
    <row r="4199" spans="1:19" ht="18.75" x14ac:dyDescent="0.25">
      <c r="A4199" s="156" t="s">
        <v>7878</v>
      </c>
      <c r="B4199" s="157">
        <v>45984</v>
      </c>
      <c r="C4199" s="158" t="s">
        <v>789</v>
      </c>
      <c r="D4199" s="159" t="str">
        <f>VLOOKUP(Sales[[#This Row],[Customer ID]],Customer[#All],2,0)</f>
        <v>Ankit Patel</v>
      </c>
      <c r="E4199" s="158" t="s">
        <v>483</v>
      </c>
      <c r="F4199" s="158" t="str">
        <f>VLOOKUP(Sales[[#This Row],[Product ID]],Product[#All],2,0)</f>
        <v>Kingston Ram</v>
      </c>
      <c r="G4199" s="159">
        <v>6</v>
      </c>
      <c r="H4199" s="160">
        <f>VLOOKUP(Sales[[#This Row],[Product ID]],Product[#All],7,0)</f>
        <v>8630</v>
      </c>
      <c r="I4199" s="160">
        <f>Sales[[#This Row],[Selling Rate]]*Sales[[#This Row],[Qty]]</f>
        <v>51780</v>
      </c>
      <c r="J4199" s="43">
        <v>0.15</v>
      </c>
      <c r="K4199" s="44">
        <f>Sales[[#This Row],[Gross Amount]]*Sales[[#This Row],[Disc %]]</f>
        <v>7767</v>
      </c>
      <c r="L4199" s="43">
        <v>0.18</v>
      </c>
      <c r="M4199" s="44">
        <f>(Sales[[#This Row],[Gross Amount]]-Sales[[#This Row],[Disc. Amt.]])*Sales[[#This Row],[GST %]]</f>
        <v>7922.34</v>
      </c>
      <c r="N4199" s="161">
        <f>Sales[[#This Row],[Gross Amount]]-Sales[[#This Row],[Disc. Amt.]]+Sales[[#This Row],[GST Amount]]</f>
        <v>51935.34</v>
      </c>
      <c r="O4199" s="158" t="s">
        <v>8876</v>
      </c>
      <c r="P4199" s="158" t="s">
        <v>3562</v>
      </c>
      <c r="Q4199" s="160">
        <f>IF(Sales[[#This Row],[Status]]="Cancelled",0,Sales[[#This Row],[Qty]])</f>
        <v>6</v>
      </c>
      <c r="R4199" s="161">
        <f>IF(Sales[[#This Row],[Status]]="Cancelled",0,Sales[[#This Row],[Total Amount]])</f>
        <v>51935.34</v>
      </c>
      <c r="S4199" s="162">
        <f>SUM(Sales[Net Amount])</f>
        <v>406839287.73200053</v>
      </c>
    </row>
    <row r="4200" spans="1:19" ht="18.75" x14ac:dyDescent="0.25">
      <c r="A4200" s="163" t="s">
        <v>7879</v>
      </c>
      <c r="B4200" s="164">
        <v>45984</v>
      </c>
      <c r="C4200" s="34" t="s">
        <v>787</v>
      </c>
      <c r="D4200" s="53" t="str">
        <f>VLOOKUP(Sales[[#This Row],[Customer ID]],Customer[#All],2,0)</f>
        <v>Amit Singh</v>
      </c>
      <c r="E4200" s="34" t="s">
        <v>246</v>
      </c>
      <c r="F4200" s="34" t="str">
        <f>VLOOKUP(Sales[[#This Row],[Product ID]],Product[#All],2,0)</f>
        <v>PortronicsLaptopStand</v>
      </c>
      <c r="G4200" s="53">
        <v>3</v>
      </c>
      <c r="H4200" s="165">
        <f>VLOOKUP(Sales[[#This Row],[Product ID]],Product[#All],7,0)</f>
        <v>1600</v>
      </c>
      <c r="I4200" s="165">
        <f>Sales[[#This Row],[Selling Rate]]*Sales[[#This Row],[Qty]]</f>
        <v>4800</v>
      </c>
      <c r="J4200" s="45">
        <v>0</v>
      </c>
      <c r="K4200" s="46">
        <f>Sales[[#This Row],[Gross Amount]]*Sales[[#This Row],[Disc %]]</f>
        <v>0</v>
      </c>
      <c r="L4200" s="43">
        <v>0.18</v>
      </c>
      <c r="M4200" s="46">
        <f>(Sales[[#This Row],[Gross Amount]]-Sales[[#This Row],[Disc. Amt.]])*Sales[[#This Row],[GST %]]</f>
        <v>864</v>
      </c>
      <c r="N4200" s="161">
        <f>Sales[[#This Row],[Gross Amount]]-Sales[[#This Row],[Disc. Amt.]]+Sales[[#This Row],[GST Amount]]</f>
        <v>5664</v>
      </c>
      <c r="O4200" s="34" t="s">
        <v>3561</v>
      </c>
      <c r="P4200" s="34" t="s">
        <v>3562</v>
      </c>
      <c r="Q4200" s="165">
        <f>IF(Sales[[#This Row],[Status]]="Cancelled",0,Sales[[#This Row],[Qty]])</f>
        <v>3</v>
      </c>
      <c r="R4200" s="166">
        <f>IF(Sales[[#This Row],[Status]]="Cancelled",0,Sales[[#This Row],[Total Amount]])</f>
        <v>5664</v>
      </c>
      <c r="S4200" s="162">
        <f>SUM(Sales[Net Amount])</f>
        <v>406839287.73200053</v>
      </c>
    </row>
    <row r="4201" spans="1:19" ht="18.75" x14ac:dyDescent="0.25">
      <c r="A4201" s="156" t="s">
        <v>7880</v>
      </c>
      <c r="B4201" s="157">
        <v>45984</v>
      </c>
      <c r="C4201" s="158" t="s">
        <v>861</v>
      </c>
      <c r="D4201" s="159" t="str">
        <f>VLOOKUP(Sales[[#This Row],[Customer ID]],Customer[#All],2,0)</f>
        <v>Rakesh Patel</v>
      </c>
      <c r="E4201" s="158" t="s">
        <v>251</v>
      </c>
      <c r="F4201" s="158" t="str">
        <f>VLOOKUP(Sales[[#This Row],[Product ID]],Product[#All],2,0)</f>
        <v>Corsair Ram</v>
      </c>
      <c r="G4201" s="159">
        <v>8</v>
      </c>
      <c r="H4201" s="160">
        <f>VLOOKUP(Sales[[#This Row],[Product ID]],Product[#All],7,0)</f>
        <v>2890</v>
      </c>
      <c r="I4201" s="160">
        <f>Sales[[#This Row],[Selling Rate]]*Sales[[#This Row],[Qty]]</f>
        <v>23120</v>
      </c>
      <c r="J4201" s="43">
        <v>0.05</v>
      </c>
      <c r="K4201" s="44">
        <f>Sales[[#This Row],[Gross Amount]]*Sales[[#This Row],[Disc %]]</f>
        <v>1156</v>
      </c>
      <c r="L4201" s="43">
        <v>0.18</v>
      </c>
      <c r="M4201" s="44">
        <f>(Sales[[#This Row],[Gross Amount]]-Sales[[#This Row],[Disc. Amt.]])*Sales[[#This Row],[GST %]]</f>
        <v>3953.52</v>
      </c>
      <c r="N4201" s="161">
        <f>Sales[[#This Row],[Gross Amount]]-Sales[[#This Row],[Disc. Amt.]]+Sales[[#This Row],[GST Amount]]</f>
        <v>25917.52</v>
      </c>
      <c r="O4201" s="158" t="s">
        <v>8876</v>
      </c>
      <c r="P4201" s="158" t="s">
        <v>3562</v>
      </c>
      <c r="Q4201" s="160">
        <f>IF(Sales[[#This Row],[Status]]="Cancelled",0,Sales[[#This Row],[Qty]])</f>
        <v>8</v>
      </c>
      <c r="R4201" s="161">
        <f>IF(Sales[[#This Row],[Status]]="Cancelled",0,Sales[[#This Row],[Total Amount]])</f>
        <v>25917.52</v>
      </c>
      <c r="S4201" s="162">
        <f>SUM(Sales[Net Amount])</f>
        <v>406839287.73200053</v>
      </c>
    </row>
    <row r="4202" spans="1:19" ht="18.75" x14ac:dyDescent="0.25">
      <c r="A4202" s="163" t="s">
        <v>7881</v>
      </c>
      <c r="B4202" s="164">
        <v>45984</v>
      </c>
      <c r="C4202" s="34" t="s">
        <v>734</v>
      </c>
      <c r="D4202" s="53" t="str">
        <f>VLOOKUP(Sales[[#This Row],[Customer ID]],Customer[#All],2,0)</f>
        <v>Ankit Sharma</v>
      </c>
      <c r="E4202" s="34" t="s">
        <v>357</v>
      </c>
      <c r="F4202" s="34" t="str">
        <f>VLOOKUP(Sales[[#This Row],[Product ID]],Product[#All],2,0)</f>
        <v>Samsung Ssd</v>
      </c>
      <c r="G4202" s="53">
        <v>6</v>
      </c>
      <c r="H4202" s="165">
        <f>VLOOKUP(Sales[[#This Row],[Product ID]],Product[#All],7,0)</f>
        <v>9070</v>
      </c>
      <c r="I4202" s="165">
        <f>Sales[[#This Row],[Selling Rate]]*Sales[[#This Row],[Qty]]</f>
        <v>54420</v>
      </c>
      <c r="J4202" s="45">
        <v>0.02</v>
      </c>
      <c r="K4202" s="46">
        <f>Sales[[#This Row],[Gross Amount]]*Sales[[#This Row],[Disc %]]</f>
        <v>1088.4000000000001</v>
      </c>
      <c r="L4202" s="43">
        <v>0.18</v>
      </c>
      <c r="M4202" s="46">
        <f>(Sales[[#This Row],[Gross Amount]]-Sales[[#This Row],[Disc. Amt.]])*Sales[[#This Row],[GST %]]</f>
        <v>9599.6880000000001</v>
      </c>
      <c r="N4202" s="161">
        <f>Sales[[#This Row],[Gross Amount]]-Sales[[#This Row],[Disc. Amt.]]+Sales[[#This Row],[GST Amount]]</f>
        <v>62931.288</v>
      </c>
      <c r="O4202" s="34" t="s">
        <v>3569</v>
      </c>
      <c r="P4202" s="34" t="s">
        <v>3562</v>
      </c>
      <c r="Q4202" s="165">
        <f>IF(Sales[[#This Row],[Status]]="Cancelled",0,Sales[[#This Row],[Qty]])</f>
        <v>6</v>
      </c>
      <c r="R4202" s="166">
        <f>IF(Sales[[#This Row],[Status]]="Cancelled",0,Sales[[#This Row],[Total Amount]])</f>
        <v>62931.288</v>
      </c>
      <c r="S4202" s="162">
        <f>SUM(Sales[Net Amount])</f>
        <v>406839287.73200053</v>
      </c>
    </row>
    <row r="4203" spans="1:19" ht="18.75" x14ac:dyDescent="0.25">
      <c r="A4203" s="156" t="s">
        <v>7882</v>
      </c>
      <c r="B4203" s="157">
        <v>45984</v>
      </c>
      <c r="C4203" s="158" t="s">
        <v>808</v>
      </c>
      <c r="D4203" s="159" t="str">
        <f>VLOOKUP(Sales[[#This Row],[Customer ID]],Customer[#All],2,0)</f>
        <v>Rahul Singh</v>
      </c>
      <c r="E4203" s="158" t="s">
        <v>446</v>
      </c>
      <c r="F4203" s="158" t="str">
        <f>VLOOKUP(Sales[[#This Row],[Product ID]],Product[#All],2,0)</f>
        <v>HP Desktop</v>
      </c>
      <c r="G4203" s="159">
        <v>8</v>
      </c>
      <c r="H4203" s="160">
        <f>VLOOKUP(Sales[[#This Row],[Product ID]],Product[#All],7,0)</f>
        <v>48280</v>
      </c>
      <c r="I4203" s="160">
        <f>Sales[[#This Row],[Selling Rate]]*Sales[[#This Row],[Qty]]</f>
        <v>386240</v>
      </c>
      <c r="J4203" s="43">
        <v>0</v>
      </c>
      <c r="K4203" s="44">
        <f>Sales[[#This Row],[Gross Amount]]*Sales[[#This Row],[Disc %]]</f>
        <v>0</v>
      </c>
      <c r="L4203" s="43">
        <v>0.18</v>
      </c>
      <c r="M4203" s="44">
        <f>(Sales[[#This Row],[Gross Amount]]-Sales[[#This Row],[Disc. Amt.]])*Sales[[#This Row],[GST %]]</f>
        <v>69523.199999999997</v>
      </c>
      <c r="N4203" s="161">
        <f>Sales[[#This Row],[Gross Amount]]-Sales[[#This Row],[Disc. Amt.]]+Sales[[#This Row],[GST Amount]]</f>
        <v>455763.20000000001</v>
      </c>
      <c r="O4203" s="158" t="s">
        <v>3566</v>
      </c>
      <c r="P4203" s="158" t="s">
        <v>1040</v>
      </c>
      <c r="Q4203" s="160">
        <f>IF(Sales[[#This Row],[Status]]="Cancelled",0,Sales[[#This Row],[Qty]])</f>
        <v>0</v>
      </c>
      <c r="R4203" s="161">
        <f>IF(Sales[[#This Row],[Status]]="Cancelled",0,Sales[[#This Row],[Total Amount]])</f>
        <v>0</v>
      </c>
      <c r="S4203" s="162">
        <f>SUM(Sales[Net Amount])</f>
        <v>406839287.73200053</v>
      </c>
    </row>
    <row r="4204" spans="1:19" ht="18.75" x14ac:dyDescent="0.25">
      <c r="A4204" s="163" t="s">
        <v>7883</v>
      </c>
      <c r="B4204" s="164">
        <v>45984</v>
      </c>
      <c r="C4204" s="34" t="s">
        <v>844</v>
      </c>
      <c r="D4204" s="53" t="str">
        <f>VLOOKUP(Sales[[#This Row],[Customer ID]],Customer[#All],2,0)</f>
        <v>Rahul Sharma</v>
      </c>
      <c r="E4204" s="34" t="s">
        <v>395</v>
      </c>
      <c r="F4204" s="34" t="str">
        <f>VLOOKUP(Sales[[#This Row],[Product ID]],Product[#All],2,0)</f>
        <v>American TouristerLaptopBag</v>
      </c>
      <c r="G4204" s="53">
        <v>3</v>
      </c>
      <c r="H4204" s="165">
        <f>VLOOKUP(Sales[[#This Row],[Product ID]],Product[#All],7,0)</f>
        <v>5010</v>
      </c>
      <c r="I4204" s="165">
        <f>Sales[[#This Row],[Selling Rate]]*Sales[[#This Row],[Qty]]</f>
        <v>15030</v>
      </c>
      <c r="J4204" s="45">
        <v>0.12</v>
      </c>
      <c r="K4204" s="46">
        <f>Sales[[#This Row],[Gross Amount]]*Sales[[#This Row],[Disc %]]</f>
        <v>1803.6</v>
      </c>
      <c r="L4204" s="43">
        <v>0.18</v>
      </c>
      <c r="M4204" s="46">
        <f>(Sales[[#This Row],[Gross Amount]]-Sales[[#This Row],[Disc. Amt.]])*Sales[[#This Row],[GST %]]</f>
        <v>2380.752</v>
      </c>
      <c r="N4204" s="161">
        <f>Sales[[#This Row],[Gross Amount]]-Sales[[#This Row],[Disc. Amt.]]+Sales[[#This Row],[GST Amount]]</f>
        <v>15607.152</v>
      </c>
      <c r="O4204" s="34" t="s">
        <v>3566</v>
      </c>
      <c r="P4204" s="34" t="s">
        <v>3562</v>
      </c>
      <c r="Q4204" s="165">
        <f>IF(Sales[[#This Row],[Status]]="Cancelled",0,Sales[[#This Row],[Qty]])</f>
        <v>3</v>
      </c>
      <c r="R4204" s="166">
        <f>IF(Sales[[#This Row],[Status]]="Cancelled",0,Sales[[#This Row],[Total Amount]])</f>
        <v>15607.152</v>
      </c>
      <c r="S4204" s="162">
        <f>SUM(Sales[Net Amount])</f>
        <v>406839287.73200053</v>
      </c>
    </row>
    <row r="4205" spans="1:19" ht="18.75" x14ac:dyDescent="0.25">
      <c r="A4205" s="156" t="s">
        <v>7884</v>
      </c>
      <c r="B4205" s="157">
        <v>45984</v>
      </c>
      <c r="C4205" s="158" t="s">
        <v>840</v>
      </c>
      <c r="D4205" s="159" t="str">
        <f>VLOOKUP(Sales[[#This Row],[Customer ID]],Customer[#All],2,0)</f>
        <v>Rakesh Verma</v>
      </c>
      <c r="E4205" s="158" t="s">
        <v>271</v>
      </c>
      <c r="F4205" s="158" t="str">
        <f>VLOOKUP(Sales[[#This Row],[Product ID]],Product[#All],2,0)</f>
        <v>TP-link Bluetooth Adapter</v>
      </c>
      <c r="G4205" s="159">
        <v>4</v>
      </c>
      <c r="H4205" s="160">
        <f>VLOOKUP(Sales[[#This Row],[Product ID]],Product[#All],7,0)</f>
        <v>410</v>
      </c>
      <c r="I4205" s="160">
        <f>Sales[[#This Row],[Selling Rate]]*Sales[[#This Row],[Qty]]</f>
        <v>1640</v>
      </c>
      <c r="J4205" s="43">
        <v>0.02</v>
      </c>
      <c r="K4205" s="44">
        <f>Sales[[#This Row],[Gross Amount]]*Sales[[#This Row],[Disc %]]</f>
        <v>32.799999999999997</v>
      </c>
      <c r="L4205" s="43">
        <v>0.18</v>
      </c>
      <c r="M4205" s="44">
        <f>(Sales[[#This Row],[Gross Amount]]-Sales[[#This Row],[Disc. Amt.]])*Sales[[#This Row],[GST %]]</f>
        <v>289.29599999999999</v>
      </c>
      <c r="N4205" s="161">
        <f>Sales[[#This Row],[Gross Amount]]-Sales[[#This Row],[Disc. Amt.]]+Sales[[#This Row],[GST Amount]]</f>
        <v>1896.4960000000001</v>
      </c>
      <c r="O4205" s="158" t="s">
        <v>3561</v>
      </c>
      <c r="P4205" s="158" t="s">
        <v>3562</v>
      </c>
      <c r="Q4205" s="160">
        <f>IF(Sales[[#This Row],[Status]]="Cancelled",0,Sales[[#This Row],[Qty]])</f>
        <v>4</v>
      </c>
      <c r="R4205" s="161">
        <f>IF(Sales[[#This Row],[Status]]="Cancelled",0,Sales[[#This Row],[Total Amount]])</f>
        <v>1896.4960000000001</v>
      </c>
      <c r="S4205" s="162">
        <f>SUM(Sales[Net Amount])</f>
        <v>406839287.73200053</v>
      </c>
    </row>
    <row r="4206" spans="1:19" ht="18.75" x14ac:dyDescent="0.25">
      <c r="A4206" s="163" t="s">
        <v>7885</v>
      </c>
      <c r="B4206" s="164">
        <v>45984</v>
      </c>
      <c r="C4206" s="34" t="s">
        <v>663</v>
      </c>
      <c r="D4206" s="53" t="str">
        <f>VLOOKUP(Sales[[#This Row],[Customer ID]],Customer[#All],2,0)</f>
        <v>Amit Sharma</v>
      </c>
      <c r="E4206" s="34" t="s">
        <v>247</v>
      </c>
      <c r="F4206" s="34" t="str">
        <f>VLOOKUP(Sales[[#This Row],[Product ID]],Product[#All],2,0)</f>
        <v>Acer Laptop</v>
      </c>
      <c r="G4206" s="53">
        <v>1</v>
      </c>
      <c r="H4206" s="165">
        <f>VLOOKUP(Sales[[#This Row],[Product ID]],Product[#All],7,0)</f>
        <v>68460</v>
      </c>
      <c r="I4206" s="165">
        <f>Sales[[#This Row],[Selling Rate]]*Sales[[#This Row],[Qty]]</f>
        <v>68460</v>
      </c>
      <c r="J4206" s="45">
        <v>0.05</v>
      </c>
      <c r="K4206" s="46">
        <f>Sales[[#This Row],[Gross Amount]]*Sales[[#This Row],[Disc %]]</f>
        <v>3423</v>
      </c>
      <c r="L4206" s="43">
        <v>0.18</v>
      </c>
      <c r="M4206" s="46">
        <f>(Sales[[#This Row],[Gross Amount]]-Sales[[#This Row],[Disc. Amt.]])*Sales[[#This Row],[GST %]]</f>
        <v>11706.66</v>
      </c>
      <c r="N4206" s="161">
        <f>Sales[[#This Row],[Gross Amount]]-Sales[[#This Row],[Disc. Amt.]]+Sales[[#This Row],[GST Amount]]</f>
        <v>76743.66</v>
      </c>
      <c r="O4206" s="34" t="s">
        <v>3566</v>
      </c>
      <c r="P4206" s="34" t="s">
        <v>3562</v>
      </c>
      <c r="Q4206" s="165">
        <f>IF(Sales[[#This Row],[Status]]="Cancelled",0,Sales[[#This Row],[Qty]])</f>
        <v>1</v>
      </c>
      <c r="R4206" s="166">
        <f>IF(Sales[[#This Row],[Status]]="Cancelled",0,Sales[[#This Row],[Total Amount]])</f>
        <v>76743.66</v>
      </c>
      <c r="S4206" s="162">
        <f>SUM(Sales[Net Amount])</f>
        <v>406839287.73200053</v>
      </c>
    </row>
    <row r="4207" spans="1:19" ht="18.75" x14ac:dyDescent="0.25">
      <c r="A4207" s="156" t="s">
        <v>7886</v>
      </c>
      <c r="B4207" s="157">
        <v>45984</v>
      </c>
      <c r="C4207" s="158" t="s">
        <v>736</v>
      </c>
      <c r="D4207" s="159" t="str">
        <f>VLOOKUP(Sales[[#This Row],[Customer ID]],Customer[#All],2,0)</f>
        <v>Ankit Verma</v>
      </c>
      <c r="E4207" s="158" t="s">
        <v>61</v>
      </c>
      <c r="F4207" s="158" t="str">
        <f>VLOOKUP(Sales[[#This Row],[Product ID]],Product[#All],2,0)</f>
        <v>Boat Headset</v>
      </c>
      <c r="G4207" s="159">
        <v>5</v>
      </c>
      <c r="H4207" s="160">
        <f>VLOOKUP(Sales[[#This Row],[Product ID]],Product[#All],7,0)</f>
        <v>3570</v>
      </c>
      <c r="I4207" s="160">
        <f>Sales[[#This Row],[Selling Rate]]*Sales[[#This Row],[Qty]]</f>
        <v>17850</v>
      </c>
      <c r="J4207" s="43">
        <v>0</v>
      </c>
      <c r="K4207" s="44">
        <f>Sales[[#This Row],[Gross Amount]]*Sales[[#This Row],[Disc %]]</f>
        <v>0</v>
      </c>
      <c r="L4207" s="43">
        <v>0.18</v>
      </c>
      <c r="M4207" s="44">
        <f>(Sales[[#This Row],[Gross Amount]]-Sales[[#This Row],[Disc. Amt.]])*Sales[[#This Row],[GST %]]</f>
        <v>3213</v>
      </c>
      <c r="N4207" s="161">
        <f>Sales[[#This Row],[Gross Amount]]-Sales[[#This Row],[Disc. Amt.]]+Sales[[#This Row],[GST Amount]]</f>
        <v>21063</v>
      </c>
      <c r="O4207" s="158" t="s">
        <v>3569</v>
      </c>
      <c r="P4207" s="158" t="s">
        <v>3562</v>
      </c>
      <c r="Q4207" s="160">
        <f>IF(Sales[[#This Row],[Status]]="Cancelled",0,Sales[[#This Row],[Qty]])</f>
        <v>5</v>
      </c>
      <c r="R4207" s="161">
        <f>IF(Sales[[#This Row],[Status]]="Cancelled",0,Sales[[#This Row],[Total Amount]])</f>
        <v>21063</v>
      </c>
      <c r="S4207" s="162">
        <f>SUM(Sales[Net Amount])</f>
        <v>406839287.73200053</v>
      </c>
    </row>
    <row r="4208" spans="1:19" ht="18.75" x14ac:dyDescent="0.25">
      <c r="A4208" s="163" t="s">
        <v>7887</v>
      </c>
      <c r="B4208" s="164">
        <v>45984</v>
      </c>
      <c r="C4208" s="34" t="s">
        <v>903</v>
      </c>
      <c r="D4208" s="53" t="str">
        <f>VLOOKUP(Sales[[#This Row],[Customer ID]],Customer[#All],2,0)</f>
        <v>Sahil Singh</v>
      </c>
      <c r="E4208" s="34" t="s">
        <v>434</v>
      </c>
      <c r="F4208" s="34" t="str">
        <f>VLOOKUP(Sales[[#This Row],[Product ID]],Product[#All],2,0)</f>
        <v>Logitech Webcam</v>
      </c>
      <c r="G4208" s="53">
        <v>5</v>
      </c>
      <c r="H4208" s="165">
        <f>VLOOKUP(Sales[[#This Row],[Product ID]],Product[#All],7,0)</f>
        <v>7230</v>
      </c>
      <c r="I4208" s="165">
        <f>Sales[[#This Row],[Selling Rate]]*Sales[[#This Row],[Qty]]</f>
        <v>36150</v>
      </c>
      <c r="J4208" s="45">
        <v>0.05</v>
      </c>
      <c r="K4208" s="46">
        <f>Sales[[#This Row],[Gross Amount]]*Sales[[#This Row],[Disc %]]</f>
        <v>1807.5</v>
      </c>
      <c r="L4208" s="43">
        <v>0.18</v>
      </c>
      <c r="M4208" s="46">
        <f>(Sales[[#This Row],[Gross Amount]]-Sales[[#This Row],[Disc. Amt.]])*Sales[[#This Row],[GST %]]</f>
        <v>6181.65</v>
      </c>
      <c r="N4208" s="161">
        <f>Sales[[#This Row],[Gross Amount]]-Sales[[#This Row],[Disc. Amt.]]+Sales[[#This Row],[GST Amount]]</f>
        <v>40524.15</v>
      </c>
      <c r="O4208" s="34" t="s">
        <v>3566</v>
      </c>
      <c r="P4208" s="34" t="s">
        <v>3562</v>
      </c>
      <c r="Q4208" s="165">
        <f>IF(Sales[[#This Row],[Status]]="Cancelled",0,Sales[[#This Row],[Qty]])</f>
        <v>5</v>
      </c>
      <c r="R4208" s="166">
        <f>IF(Sales[[#This Row],[Status]]="Cancelled",0,Sales[[#This Row],[Total Amount]])</f>
        <v>40524.15</v>
      </c>
      <c r="S4208" s="162">
        <f>SUM(Sales[Net Amount])</f>
        <v>406839287.73200053</v>
      </c>
    </row>
    <row r="4209" spans="1:19" ht="18.75" x14ac:dyDescent="0.25">
      <c r="A4209" s="156" t="s">
        <v>7888</v>
      </c>
      <c r="B4209" s="157">
        <v>45984</v>
      </c>
      <c r="C4209" s="158" t="s">
        <v>8730</v>
      </c>
      <c r="D4209" s="159" t="str">
        <f>VLOOKUP(Sales[[#This Row],[Customer ID]],Customer[#All],2,0)</f>
        <v>Rakesh Sharma</v>
      </c>
      <c r="E4209" s="158" t="s">
        <v>116</v>
      </c>
      <c r="F4209" s="158" t="str">
        <f>VLOOKUP(Sales[[#This Row],[Product ID]],Product[#All],2,0)</f>
        <v>Epson Printer</v>
      </c>
      <c r="G4209" s="159">
        <v>7</v>
      </c>
      <c r="H4209" s="160">
        <f>VLOOKUP(Sales[[#This Row],[Product ID]],Product[#All],7,0)</f>
        <v>38550</v>
      </c>
      <c r="I4209" s="160">
        <f>Sales[[#This Row],[Selling Rate]]*Sales[[#This Row],[Qty]]</f>
        <v>269850</v>
      </c>
      <c r="J4209" s="43">
        <v>0</v>
      </c>
      <c r="K4209" s="44">
        <f>Sales[[#This Row],[Gross Amount]]*Sales[[#This Row],[Disc %]]</f>
        <v>0</v>
      </c>
      <c r="L4209" s="43">
        <v>0.18</v>
      </c>
      <c r="M4209" s="44">
        <f>(Sales[[#This Row],[Gross Amount]]-Sales[[#This Row],[Disc. Amt.]])*Sales[[#This Row],[GST %]]</f>
        <v>48573</v>
      </c>
      <c r="N4209" s="161">
        <f>Sales[[#This Row],[Gross Amount]]-Sales[[#This Row],[Disc. Amt.]]+Sales[[#This Row],[GST Amount]]</f>
        <v>318423</v>
      </c>
      <c r="O4209" s="158" t="s">
        <v>3569</v>
      </c>
      <c r="P4209" s="158" t="s">
        <v>3562</v>
      </c>
      <c r="Q4209" s="160">
        <f>IF(Sales[[#This Row],[Status]]="Cancelled",0,Sales[[#This Row],[Qty]])</f>
        <v>7</v>
      </c>
      <c r="R4209" s="161">
        <f>IF(Sales[[#This Row],[Status]]="Cancelled",0,Sales[[#This Row],[Total Amount]])</f>
        <v>318423</v>
      </c>
      <c r="S4209" s="162">
        <f>SUM(Sales[Net Amount])</f>
        <v>406839287.73200053</v>
      </c>
    </row>
    <row r="4210" spans="1:19" ht="18.75" x14ac:dyDescent="0.25">
      <c r="A4210" s="163" t="s">
        <v>7889</v>
      </c>
      <c r="B4210" s="164">
        <v>45984</v>
      </c>
      <c r="C4210" s="34" t="s">
        <v>776</v>
      </c>
      <c r="D4210" s="53" t="str">
        <f>VLOOKUP(Sales[[#This Row],[Customer ID]],Customer[#All],2,0)</f>
        <v>Sunita Singh</v>
      </c>
      <c r="E4210" s="34" t="s">
        <v>341</v>
      </c>
      <c r="F4210" s="34" t="str">
        <f>VLOOKUP(Sales[[#This Row],[Product ID]],Product[#All],2,0)</f>
        <v>Dell Monitor</v>
      </c>
      <c r="G4210" s="53">
        <v>2</v>
      </c>
      <c r="H4210" s="165">
        <f>VLOOKUP(Sales[[#This Row],[Product ID]],Product[#All],7,0)</f>
        <v>20280</v>
      </c>
      <c r="I4210" s="165">
        <f>Sales[[#This Row],[Selling Rate]]*Sales[[#This Row],[Qty]]</f>
        <v>40560</v>
      </c>
      <c r="J4210" s="45">
        <v>0.02</v>
      </c>
      <c r="K4210" s="46">
        <f>Sales[[#This Row],[Gross Amount]]*Sales[[#This Row],[Disc %]]</f>
        <v>811.2</v>
      </c>
      <c r="L4210" s="43">
        <v>0.18</v>
      </c>
      <c r="M4210" s="46">
        <f>(Sales[[#This Row],[Gross Amount]]-Sales[[#This Row],[Disc. Amt.]])*Sales[[#This Row],[GST %]]</f>
        <v>7154.7840000000006</v>
      </c>
      <c r="N4210" s="161">
        <f>Sales[[#This Row],[Gross Amount]]-Sales[[#This Row],[Disc. Amt.]]+Sales[[#This Row],[GST Amount]]</f>
        <v>46903.584000000003</v>
      </c>
      <c r="O4210" s="34" t="s">
        <v>3561</v>
      </c>
      <c r="P4210" s="34" t="s">
        <v>3562</v>
      </c>
      <c r="Q4210" s="165">
        <f>IF(Sales[[#This Row],[Status]]="Cancelled",0,Sales[[#This Row],[Qty]])</f>
        <v>2</v>
      </c>
      <c r="R4210" s="166">
        <f>IF(Sales[[#This Row],[Status]]="Cancelled",0,Sales[[#This Row],[Total Amount]])</f>
        <v>46903.584000000003</v>
      </c>
      <c r="S4210" s="162">
        <f>SUM(Sales[Net Amount])</f>
        <v>406839287.73200053</v>
      </c>
    </row>
    <row r="4211" spans="1:19" ht="18.75" x14ac:dyDescent="0.25">
      <c r="A4211" s="156" t="s">
        <v>7890</v>
      </c>
      <c r="B4211" s="157">
        <v>45984</v>
      </c>
      <c r="C4211" s="158" t="s">
        <v>939</v>
      </c>
      <c r="D4211" s="159" t="str">
        <f>VLOOKUP(Sales[[#This Row],[Customer ID]],Customer[#All],2,0)</f>
        <v>Sunita Sharma</v>
      </c>
      <c r="E4211" s="158" t="s">
        <v>400</v>
      </c>
      <c r="F4211" s="158" t="str">
        <f>VLOOKUP(Sales[[#This Row],[Product ID]],Product[#All],2,0)</f>
        <v>TP-link Bluetooth Adapter</v>
      </c>
      <c r="G4211" s="159">
        <v>4</v>
      </c>
      <c r="H4211" s="160">
        <f>VLOOKUP(Sales[[#This Row],[Product ID]],Product[#All],7,0)</f>
        <v>1320</v>
      </c>
      <c r="I4211" s="160">
        <f>Sales[[#This Row],[Selling Rate]]*Sales[[#This Row],[Qty]]</f>
        <v>5280</v>
      </c>
      <c r="J4211" s="43">
        <v>0</v>
      </c>
      <c r="K4211" s="44">
        <f>Sales[[#This Row],[Gross Amount]]*Sales[[#This Row],[Disc %]]</f>
        <v>0</v>
      </c>
      <c r="L4211" s="43">
        <v>0.18</v>
      </c>
      <c r="M4211" s="44">
        <f>(Sales[[#This Row],[Gross Amount]]-Sales[[#This Row],[Disc. Amt.]])*Sales[[#This Row],[GST %]]</f>
        <v>950.4</v>
      </c>
      <c r="N4211" s="161">
        <f>Sales[[#This Row],[Gross Amount]]-Sales[[#This Row],[Disc. Amt.]]+Sales[[#This Row],[GST Amount]]</f>
        <v>6230.4</v>
      </c>
      <c r="O4211" s="158" t="s">
        <v>3561</v>
      </c>
      <c r="P4211" s="158" t="s">
        <v>3562</v>
      </c>
      <c r="Q4211" s="160">
        <f>IF(Sales[[#This Row],[Status]]="Cancelled",0,Sales[[#This Row],[Qty]])</f>
        <v>4</v>
      </c>
      <c r="R4211" s="161">
        <f>IF(Sales[[#This Row],[Status]]="Cancelled",0,Sales[[#This Row],[Total Amount]])</f>
        <v>6230.4</v>
      </c>
      <c r="S4211" s="162">
        <f>SUM(Sales[Net Amount])</f>
        <v>406839287.73200053</v>
      </c>
    </row>
    <row r="4212" spans="1:19" ht="18.75" x14ac:dyDescent="0.25">
      <c r="A4212" s="163" t="s">
        <v>7891</v>
      </c>
      <c r="B4212" s="164">
        <v>45985</v>
      </c>
      <c r="C4212" s="34" t="s">
        <v>791</v>
      </c>
      <c r="D4212" s="53" t="str">
        <f>VLOOKUP(Sales[[#This Row],[Customer ID]],Customer[#All],2,0)</f>
        <v>Rakesh Sharma</v>
      </c>
      <c r="E4212" s="34" t="s">
        <v>500</v>
      </c>
      <c r="F4212" s="34" t="str">
        <f>VLOOKUP(Sales[[#This Row],[Product ID]],Product[#All],2,0)</f>
        <v>HP Power Adapter</v>
      </c>
      <c r="G4212" s="53">
        <v>3</v>
      </c>
      <c r="H4212" s="165">
        <f>VLOOKUP(Sales[[#This Row],[Product ID]],Product[#All],7,0)</f>
        <v>3160</v>
      </c>
      <c r="I4212" s="165">
        <f>Sales[[#This Row],[Selling Rate]]*Sales[[#This Row],[Qty]]</f>
        <v>9480</v>
      </c>
      <c r="J4212" s="45">
        <v>0.05</v>
      </c>
      <c r="K4212" s="46">
        <f>Sales[[#This Row],[Gross Amount]]*Sales[[#This Row],[Disc %]]</f>
        <v>474</v>
      </c>
      <c r="L4212" s="43">
        <v>0.18</v>
      </c>
      <c r="M4212" s="46">
        <f>(Sales[[#This Row],[Gross Amount]]-Sales[[#This Row],[Disc. Amt.]])*Sales[[#This Row],[GST %]]</f>
        <v>1621.08</v>
      </c>
      <c r="N4212" s="161">
        <f>Sales[[#This Row],[Gross Amount]]-Sales[[#This Row],[Disc. Amt.]]+Sales[[#This Row],[GST Amount]]</f>
        <v>10627.08</v>
      </c>
      <c r="O4212" s="34" t="s">
        <v>3566</v>
      </c>
      <c r="P4212" s="34" t="s">
        <v>3562</v>
      </c>
      <c r="Q4212" s="165">
        <f>IF(Sales[[#This Row],[Status]]="Cancelled",0,Sales[[#This Row],[Qty]])</f>
        <v>3</v>
      </c>
      <c r="R4212" s="166">
        <f>IF(Sales[[#This Row],[Status]]="Cancelled",0,Sales[[#This Row],[Total Amount]])</f>
        <v>10627.08</v>
      </c>
      <c r="S4212" s="162">
        <f>SUM(Sales[Net Amount])</f>
        <v>406839287.73200053</v>
      </c>
    </row>
    <row r="4213" spans="1:19" ht="18.75" x14ac:dyDescent="0.25">
      <c r="A4213" s="156" t="s">
        <v>7892</v>
      </c>
      <c r="B4213" s="157">
        <v>45985</v>
      </c>
      <c r="C4213" s="158" t="s">
        <v>780</v>
      </c>
      <c r="D4213" s="159" t="str">
        <f>VLOOKUP(Sales[[#This Row],[Customer ID]],Customer[#All],2,0)</f>
        <v>Sahil Gupta</v>
      </c>
      <c r="E4213" s="158" t="s">
        <v>346</v>
      </c>
      <c r="F4213" s="158" t="str">
        <f>VLOOKUP(Sales[[#This Row],[Product ID]],Product[#All],2,0)</f>
        <v>HP Laptop</v>
      </c>
      <c r="G4213" s="159">
        <v>7</v>
      </c>
      <c r="H4213" s="160">
        <f>VLOOKUP(Sales[[#This Row],[Product ID]],Product[#All],7,0)</f>
        <v>88550</v>
      </c>
      <c r="I4213" s="160">
        <f>Sales[[#This Row],[Selling Rate]]*Sales[[#This Row],[Qty]]</f>
        <v>619850</v>
      </c>
      <c r="J4213" s="43">
        <v>0.15</v>
      </c>
      <c r="K4213" s="44">
        <f>Sales[[#This Row],[Gross Amount]]*Sales[[#This Row],[Disc %]]</f>
        <v>92977.5</v>
      </c>
      <c r="L4213" s="43">
        <v>0.18</v>
      </c>
      <c r="M4213" s="44">
        <f>(Sales[[#This Row],[Gross Amount]]-Sales[[#This Row],[Disc. Amt.]])*Sales[[#This Row],[GST %]]</f>
        <v>94837.05</v>
      </c>
      <c r="N4213" s="161">
        <f>Sales[[#This Row],[Gross Amount]]-Sales[[#This Row],[Disc. Amt.]]+Sales[[#This Row],[GST Amount]]</f>
        <v>621709.55000000005</v>
      </c>
      <c r="O4213" s="158" t="s">
        <v>3561</v>
      </c>
      <c r="P4213" s="158" t="s">
        <v>3562</v>
      </c>
      <c r="Q4213" s="160">
        <f>IF(Sales[[#This Row],[Status]]="Cancelled",0,Sales[[#This Row],[Qty]])</f>
        <v>7</v>
      </c>
      <c r="R4213" s="161">
        <f>IF(Sales[[#This Row],[Status]]="Cancelled",0,Sales[[#This Row],[Total Amount]])</f>
        <v>621709.55000000005</v>
      </c>
      <c r="S4213" s="162">
        <f>SUM(Sales[Net Amount])</f>
        <v>406839287.73200053</v>
      </c>
    </row>
    <row r="4214" spans="1:19" ht="18.75" x14ac:dyDescent="0.25">
      <c r="A4214" s="163" t="s">
        <v>7893</v>
      </c>
      <c r="B4214" s="164">
        <v>45985</v>
      </c>
      <c r="C4214" s="34" t="s">
        <v>822</v>
      </c>
      <c r="D4214" s="53" t="str">
        <f>VLOOKUP(Sales[[#This Row],[Customer ID]],Customer[#All],2,0)</f>
        <v>Vikas Singh</v>
      </c>
      <c r="E4214" s="34" t="s">
        <v>512</v>
      </c>
      <c r="F4214" s="34" t="str">
        <f>VLOOKUP(Sales[[#This Row],[Product ID]],Product[#All],2,0)</f>
        <v>Logitech Webcam</v>
      </c>
      <c r="G4214" s="53">
        <v>6</v>
      </c>
      <c r="H4214" s="165">
        <f>VLOOKUP(Sales[[#This Row],[Product ID]],Product[#All],7,0)</f>
        <v>5800</v>
      </c>
      <c r="I4214" s="165">
        <f>Sales[[#This Row],[Selling Rate]]*Sales[[#This Row],[Qty]]</f>
        <v>34800</v>
      </c>
      <c r="J4214" s="45">
        <v>0</v>
      </c>
      <c r="K4214" s="46">
        <f>Sales[[#This Row],[Gross Amount]]*Sales[[#This Row],[Disc %]]</f>
        <v>0</v>
      </c>
      <c r="L4214" s="43">
        <v>0.18</v>
      </c>
      <c r="M4214" s="46">
        <f>(Sales[[#This Row],[Gross Amount]]-Sales[[#This Row],[Disc. Amt.]])*Sales[[#This Row],[GST %]]</f>
        <v>6264</v>
      </c>
      <c r="N4214" s="161">
        <f>Sales[[#This Row],[Gross Amount]]-Sales[[#This Row],[Disc. Amt.]]+Sales[[#This Row],[GST Amount]]</f>
        <v>41064</v>
      </c>
      <c r="O4214" s="34" t="s">
        <v>3566</v>
      </c>
      <c r="P4214" s="34" t="s">
        <v>3562</v>
      </c>
      <c r="Q4214" s="165">
        <f>IF(Sales[[#This Row],[Status]]="Cancelled",0,Sales[[#This Row],[Qty]])</f>
        <v>6</v>
      </c>
      <c r="R4214" s="166">
        <f>IF(Sales[[#This Row],[Status]]="Cancelled",0,Sales[[#This Row],[Total Amount]])</f>
        <v>41064</v>
      </c>
      <c r="S4214" s="162">
        <f>SUM(Sales[Net Amount])</f>
        <v>406839287.73200053</v>
      </c>
    </row>
    <row r="4215" spans="1:19" ht="18.75" x14ac:dyDescent="0.25">
      <c r="A4215" s="156" t="s">
        <v>7894</v>
      </c>
      <c r="B4215" s="157">
        <v>45985</v>
      </c>
      <c r="C4215" s="158" t="s">
        <v>791</v>
      </c>
      <c r="D4215" s="159" t="str">
        <f>VLOOKUP(Sales[[#This Row],[Customer ID]],Customer[#All],2,0)</f>
        <v>Rakesh Sharma</v>
      </c>
      <c r="E4215" s="158" t="s">
        <v>344</v>
      </c>
      <c r="F4215" s="158" t="str">
        <f>VLOOKUP(Sales[[#This Row],[Product ID]],Product[#All],2,0)</f>
        <v>WD HDD</v>
      </c>
      <c r="G4215" s="159">
        <v>3</v>
      </c>
      <c r="H4215" s="160">
        <f>VLOOKUP(Sales[[#This Row],[Product ID]],Product[#All],7,0)</f>
        <v>11260</v>
      </c>
      <c r="I4215" s="160">
        <f>Sales[[#This Row],[Selling Rate]]*Sales[[#This Row],[Qty]]</f>
        <v>33780</v>
      </c>
      <c r="J4215" s="43">
        <v>0.1</v>
      </c>
      <c r="K4215" s="44">
        <f>Sales[[#This Row],[Gross Amount]]*Sales[[#This Row],[Disc %]]</f>
        <v>3378</v>
      </c>
      <c r="L4215" s="43">
        <v>0.18</v>
      </c>
      <c r="M4215" s="44">
        <f>(Sales[[#This Row],[Gross Amount]]-Sales[[#This Row],[Disc. Amt.]])*Sales[[#This Row],[GST %]]</f>
        <v>5472.36</v>
      </c>
      <c r="N4215" s="161">
        <f>Sales[[#This Row],[Gross Amount]]-Sales[[#This Row],[Disc. Amt.]]+Sales[[#This Row],[GST Amount]]</f>
        <v>35874.36</v>
      </c>
      <c r="O4215" s="158" t="s">
        <v>8876</v>
      </c>
      <c r="P4215" s="158" t="s">
        <v>3562</v>
      </c>
      <c r="Q4215" s="160">
        <f>IF(Sales[[#This Row],[Status]]="Cancelled",0,Sales[[#This Row],[Qty]])</f>
        <v>3</v>
      </c>
      <c r="R4215" s="161">
        <f>IF(Sales[[#This Row],[Status]]="Cancelled",0,Sales[[#This Row],[Total Amount]])</f>
        <v>35874.36</v>
      </c>
      <c r="S4215" s="162">
        <f>SUM(Sales[Net Amount])</f>
        <v>406839287.73200053</v>
      </c>
    </row>
    <row r="4216" spans="1:19" ht="18.75" x14ac:dyDescent="0.25">
      <c r="A4216" s="163" t="s">
        <v>7895</v>
      </c>
      <c r="B4216" s="164">
        <v>45985</v>
      </c>
      <c r="C4216" s="34" t="s">
        <v>898</v>
      </c>
      <c r="D4216" s="53" t="str">
        <f>VLOOKUP(Sales[[#This Row],[Customer ID]],Customer[#All],2,0)</f>
        <v>Rahul Singh</v>
      </c>
      <c r="E4216" s="34" t="s">
        <v>274</v>
      </c>
      <c r="F4216" s="34" t="str">
        <f>VLOOKUP(Sales[[#This Row],[Product ID]],Product[#All],2,0)</f>
        <v>Dell Desktop</v>
      </c>
      <c r="G4216" s="53">
        <v>5</v>
      </c>
      <c r="H4216" s="165">
        <f>VLOOKUP(Sales[[#This Row],[Product ID]],Product[#All],7,0)</f>
        <v>54540</v>
      </c>
      <c r="I4216" s="165">
        <f>Sales[[#This Row],[Selling Rate]]*Sales[[#This Row],[Qty]]</f>
        <v>272700</v>
      </c>
      <c r="J4216" s="45">
        <v>0.05</v>
      </c>
      <c r="K4216" s="46">
        <f>Sales[[#This Row],[Gross Amount]]*Sales[[#This Row],[Disc %]]</f>
        <v>13635</v>
      </c>
      <c r="L4216" s="43">
        <v>0.18</v>
      </c>
      <c r="M4216" s="46">
        <f>(Sales[[#This Row],[Gross Amount]]-Sales[[#This Row],[Disc. Amt.]])*Sales[[#This Row],[GST %]]</f>
        <v>46631.7</v>
      </c>
      <c r="N4216" s="161">
        <f>Sales[[#This Row],[Gross Amount]]-Sales[[#This Row],[Disc. Amt.]]+Sales[[#This Row],[GST Amount]]</f>
        <v>305696.7</v>
      </c>
      <c r="O4216" s="34" t="s">
        <v>3566</v>
      </c>
      <c r="P4216" s="34" t="s">
        <v>3562</v>
      </c>
      <c r="Q4216" s="165">
        <f>IF(Sales[[#This Row],[Status]]="Cancelled",0,Sales[[#This Row],[Qty]])</f>
        <v>5</v>
      </c>
      <c r="R4216" s="166">
        <f>IF(Sales[[#This Row],[Status]]="Cancelled",0,Sales[[#This Row],[Total Amount]])</f>
        <v>305696.7</v>
      </c>
      <c r="S4216" s="162">
        <f>SUM(Sales[Net Amount])</f>
        <v>406839287.73200053</v>
      </c>
    </row>
    <row r="4217" spans="1:19" ht="18.75" x14ac:dyDescent="0.25">
      <c r="A4217" s="156" t="s">
        <v>7896</v>
      </c>
      <c r="B4217" s="157">
        <v>45985</v>
      </c>
      <c r="C4217" s="158" t="s">
        <v>872</v>
      </c>
      <c r="D4217" s="159" t="str">
        <f>VLOOKUP(Sales[[#This Row],[Customer ID]],Customer[#All],2,0)</f>
        <v>Rahul Verma</v>
      </c>
      <c r="E4217" s="158" t="s">
        <v>317</v>
      </c>
      <c r="F4217" s="158" t="str">
        <f>VLOOKUP(Sales[[#This Row],[Product ID]],Product[#All],2,0)</f>
        <v>Amazon Basics Hdmi Cable</v>
      </c>
      <c r="G4217" s="159">
        <v>2</v>
      </c>
      <c r="H4217" s="160">
        <f>VLOOKUP(Sales[[#This Row],[Product ID]],Product[#All],7,0)</f>
        <v>1010</v>
      </c>
      <c r="I4217" s="160">
        <f>Sales[[#This Row],[Selling Rate]]*Sales[[#This Row],[Qty]]</f>
        <v>2020</v>
      </c>
      <c r="J4217" s="43">
        <v>0.05</v>
      </c>
      <c r="K4217" s="44">
        <f>Sales[[#This Row],[Gross Amount]]*Sales[[#This Row],[Disc %]]</f>
        <v>101</v>
      </c>
      <c r="L4217" s="43">
        <v>0.18</v>
      </c>
      <c r="M4217" s="44">
        <f>(Sales[[#This Row],[Gross Amount]]-Sales[[#This Row],[Disc. Amt.]])*Sales[[#This Row],[GST %]]</f>
        <v>345.41999999999996</v>
      </c>
      <c r="N4217" s="161">
        <f>Sales[[#This Row],[Gross Amount]]-Sales[[#This Row],[Disc. Amt.]]+Sales[[#This Row],[GST Amount]]</f>
        <v>2264.42</v>
      </c>
      <c r="O4217" s="158" t="s">
        <v>3561</v>
      </c>
      <c r="P4217" s="158" t="s">
        <v>3562</v>
      </c>
      <c r="Q4217" s="160">
        <f>IF(Sales[[#This Row],[Status]]="Cancelled",0,Sales[[#This Row],[Qty]])</f>
        <v>2</v>
      </c>
      <c r="R4217" s="161">
        <f>IF(Sales[[#This Row],[Status]]="Cancelled",0,Sales[[#This Row],[Total Amount]])</f>
        <v>2264.42</v>
      </c>
      <c r="S4217" s="162">
        <f>SUM(Sales[Net Amount])</f>
        <v>406839287.73200053</v>
      </c>
    </row>
    <row r="4218" spans="1:19" ht="18.75" x14ac:dyDescent="0.25">
      <c r="A4218" s="163" t="s">
        <v>7897</v>
      </c>
      <c r="B4218" s="164">
        <v>45985</v>
      </c>
      <c r="C4218" s="34" t="s">
        <v>761</v>
      </c>
      <c r="D4218" s="53" t="str">
        <f>VLOOKUP(Sales[[#This Row],[Customer ID]],Customer[#All],2,0)</f>
        <v>Priya Verma</v>
      </c>
      <c r="E4218" s="34" t="s">
        <v>435</v>
      </c>
      <c r="F4218" s="34" t="str">
        <f>VLOOKUP(Sales[[#This Row],[Product ID]],Product[#All],2,0)</f>
        <v>Corsair Ram</v>
      </c>
      <c r="G4218" s="53">
        <v>6</v>
      </c>
      <c r="H4218" s="165">
        <f>VLOOKUP(Sales[[#This Row],[Product ID]],Product[#All],7,0)</f>
        <v>8060</v>
      </c>
      <c r="I4218" s="165">
        <f>Sales[[#This Row],[Selling Rate]]*Sales[[#This Row],[Qty]]</f>
        <v>48360</v>
      </c>
      <c r="J4218" s="45">
        <v>0.1</v>
      </c>
      <c r="K4218" s="46">
        <f>Sales[[#This Row],[Gross Amount]]*Sales[[#This Row],[Disc %]]</f>
        <v>4836</v>
      </c>
      <c r="L4218" s="43">
        <v>0.18</v>
      </c>
      <c r="M4218" s="46">
        <f>(Sales[[#This Row],[Gross Amount]]-Sales[[#This Row],[Disc. Amt.]])*Sales[[#This Row],[GST %]]</f>
        <v>7834.32</v>
      </c>
      <c r="N4218" s="161">
        <f>Sales[[#This Row],[Gross Amount]]-Sales[[#This Row],[Disc. Amt.]]+Sales[[#This Row],[GST Amount]]</f>
        <v>51358.32</v>
      </c>
      <c r="O4218" s="34" t="s">
        <v>3561</v>
      </c>
      <c r="P4218" s="34" t="s">
        <v>3562</v>
      </c>
      <c r="Q4218" s="165">
        <f>IF(Sales[[#This Row],[Status]]="Cancelled",0,Sales[[#This Row],[Qty]])</f>
        <v>6</v>
      </c>
      <c r="R4218" s="166">
        <f>IF(Sales[[#This Row],[Status]]="Cancelled",0,Sales[[#This Row],[Total Amount]])</f>
        <v>51358.32</v>
      </c>
      <c r="S4218" s="162">
        <f>SUM(Sales[Net Amount])</f>
        <v>406839287.73200053</v>
      </c>
    </row>
    <row r="4219" spans="1:19" ht="18.75" x14ac:dyDescent="0.25">
      <c r="A4219" s="156" t="s">
        <v>7898</v>
      </c>
      <c r="B4219" s="157">
        <v>45985</v>
      </c>
      <c r="C4219" s="158" t="s">
        <v>896</v>
      </c>
      <c r="D4219" s="159" t="str">
        <f>VLOOKUP(Sales[[#This Row],[Customer ID]],Customer[#All],2,0)</f>
        <v>Amit Gupta</v>
      </c>
      <c r="E4219" s="158" t="s">
        <v>318</v>
      </c>
      <c r="F4219" s="158" t="str">
        <f>VLOOKUP(Sales[[#This Row],[Product ID]],Product[#All],2,0)</f>
        <v>HP Printer</v>
      </c>
      <c r="G4219" s="159">
        <v>6</v>
      </c>
      <c r="H4219" s="160">
        <f>VLOOKUP(Sales[[#This Row],[Product ID]],Product[#All],7,0)</f>
        <v>30590</v>
      </c>
      <c r="I4219" s="160">
        <f>Sales[[#This Row],[Selling Rate]]*Sales[[#This Row],[Qty]]</f>
        <v>183540</v>
      </c>
      <c r="J4219" s="43">
        <v>0.02</v>
      </c>
      <c r="K4219" s="44">
        <f>Sales[[#This Row],[Gross Amount]]*Sales[[#This Row],[Disc %]]</f>
        <v>3670.8</v>
      </c>
      <c r="L4219" s="43">
        <v>0.18</v>
      </c>
      <c r="M4219" s="44">
        <f>(Sales[[#This Row],[Gross Amount]]-Sales[[#This Row],[Disc. Amt.]])*Sales[[#This Row],[GST %]]</f>
        <v>32376.456000000002</v>
      </c>
      <c r="N4219" s="161">
        <f>Sales[[#This Row],[Gross Amount]]-Sales[[#This Row],[Disc. Amt.]]+Sales[[#This Row],[GST Amount]]</f>
        <v>212245.65600000002</v>
      </c>
      <c r="O4219" s="158" t="s">
        <v>3569</v>
      </c>
      <c r="P4219" s="158" t="s">
        <v>3562</v>
      </c>
      <c r="Q4219" s="160">
        <f>IF(Sales[[#This Row],[Status]]="Cancelled",0,Sales[[#This Row],[Qty]])</f>
        <v>6</v>
      </c>
      <c r="R4219" s="161">
        <f>IF(Sales[[#This Row],[Status]]="Cancelled",0,Sales[[#This Row],[Total Amount]])</f>
        <v>212245.65600000002</v>
      </c>
      <c r="S4219" s="162">
        <f>SUM(Sales[Net Amount])</f>
        <v>406839287.73200053</v>
      </c>
    </row>
    <row r="4220" spans="1:19" ht="18.75" x14ac:dyDescent="0.25">
      <c r="A4220" s="163" t="s">
        <v>7899</v>
      </c>
      <c r="B4220" s="164">
        <v>45985</v>
      </c>
      <c r="C4220" s="34" t="s">
        <v>811</v>
      </c>
      <c r="D4220" s="53" t="str">
        <f>VLOOKUP(Sales[[#This Row],[Customer ID]],Customer[#All],2,0)</f>
        <v>Rahul Sharma</v>
      </c>
      <c r="E4220" s="34" t="s">
        <v>460</v>
      </c>
      <c r="F4220" s="34" t="str">
        <f>VLOOKUP(Sales[[#This Row],[Product ID]],Product[#All],2,0)</f>
        <v>Logitech Keyboard</v>
      </c>
      <c r="G4220" s="53">
        <v>1</v>
      </c>
      <c r="H4220" s="165">
        <f>VLOOKUP(Sales[[#This Row],[Product ID]],Product[#All],7,0)</f>
        <v>3050</v>
      </c>
      <c r="I4220" s="165">
        <f>Sales[[#This Row],[Selling Rate]]*Sales[[#This Row],[Qty]]</f>
        <v>3050</v>
      </c>
      <c r="J4220" s="45">
        <v>0.15</v>
      </c>
      <c r="K4220" s="46">
        <f>Sales[[#This Row],[Gross Amount]]*Sales[[#This Row],[Disc %]]</f>
        <v>457.5</v>
      </c>
      <c r="L4220" s="43">
        <v>0.18</v>
      </c>
      <c r="M4220" s="46">
        <f>(Sales[[#This Row],[Gross Amount]]-Sales[[#This Row],[Disc. Amt.]])*Sales[[#This Row],[GST %]]</f>
        <v>466.65</v>
      </c>
      <c r="N4220" s="161">
        <f>Sales[[#This Row],[Gross Amount]]-Sales[[#This Row],[Disc. Amt.]]+Sales[[#This Row],[GST Amount]]</f>
        <v>3059.15</v>
      </c>
      <c r="O4220" s="34" t="s">
        <v>3561</v>
      </c>
      <c r="P4220" s="34" t="s">
        <v>3562</v>
      </c>
      <c r="Q4220" s="165">
        <f>IF(Sales[[#This Row],[Status]]="Cancelled",0,Sales[[#This Row],[Qty]])</f>
        <v>1</v>
      </c>
      <c r="R4220" s="166">
        <f>IF(Sales[[#This Row],[Status]]="Cancelled",0,Sales[[#This Row],[Total Amount]])</f>
        <v>3059.15</v>
      </c>
      <c r="S4220" s="162">
        <f>SUM(Sales[Net Amount])</f>
        <v>406839287.73200053</v>
      </c>
    </row>
    <row r="4221" spans="1:19" ht="18.75" x14ac:dyDescent="0.25">
      <c r="A4221" s="156" t="s">
        <v>7900</v>
      </c>
      <c r="B4221" s="157">
        <v>45985</v>
      </c>
      <c r="C4221" s="158" t="s">
        <v>719</v>
      </c>
      <c r="D4221" s="159" t="str">
        <f>VLOOKUP(Sales[[#This Row],[Customer ID]],Customer[#All],2,0)</f>
        <v>Priya Verma</v>
      </c>
      <c r="E4221" s="158" t="s">
        <v>184</v>
      </c>
      <c r="F4221" s="158" t="str">
        <f>VLOOKUP(Sales[[#This Row],[Product ID]],Product[#All],2,0)</f>
        <v>Seagate HDD</v>
      </c>
      <c r="G4221" s="159">
        <v>1</v>
      </c>
      <c r="H4221" s="160">
        <f>VLOOKUP(Sales[[#This Row],[Product ID]],Product[#All],7,0)</f>
        <v>11550</v>
      </c>
      <c r="I4221" s="160">
        <f>Sales[[#This Row],[Selling Rate]]*Sales[[#This Row],[Qty]]</f>
        <v>11550</v>
      </c>
      <c r="J4221" s="43">
        <v>0.02</v>
      </c>
      <c r="K4221" s="44">
        <f>Sales[[#This Row],[Gross Amount]]*Sales[[#This Row],[Disc %]]</f>
        <v>231</v>
      </c>
      <c r="L4221" s="43">
        <v>0.18</v>
      </c>
      <c r="M4221" s="44">
        <f>(Sales[[#This Row],[Gross Amount]]-Sales[[#This Row],[Disc. Amt.]])*Sales[[#This Row],[GST %]]</f>
        <v>2037.4199999999998</v>
      </c>
      <c r="N4221" s="161">
        <f>Sales[[#This Row],[Gross Amount]]-Sales[[#This Row],[Disc. Amt.]]+Sales[[#This Row],[GST Amount]]</f>
        <v>13356.42</v>
      </c>
      <c r="O4221" s="158" t="s">
        <v>8876</v>
      </c>
      <c r="P4221" s="158" t="s">
        <v>3562</v>
      </c>
      <c r="Q4221" s="160">
        <f>IF(Sales[[#This Row],[Status]]="Cancelled",0,Sales[[#This Row],[Qty]])</f>
        <v>1</v>
      </c>
      <c r="R4221" s="161">
        <f>IF(Sales[[#This Row],[Status]]="Cancelled",0,Sales[[#This Row],[Total Amount]])</f>
        <v>13356.42</v>
      </c>
      <c r="S4221" s="162">
        <f>SUM(Sales[Net Amount])</f>
        <v>406839287.73200053</v>
      </c>
    </row>
    <row r="4222" spans="1:19" ht="18.75" x14ac:dyDescent="0.25">
      <c r="A4222" s="163" t="s">
        <v>7901</v>
      </c>
      <c r="B4222" s="164">
        <v>45985</v>
      </c>
      <c r="C4222" s="34" t="s">
        <v>688</v>
      </c>
      <c r="D4222" s="53" t="str">
        <f>VLOOKUP(Sales[[#This Row],[Customer ID]],Customer[#All],2,0)</f>
        <v>Rahul Verma</v>
      </c>
      <c r="E4222" s="34" t="s">
        <v>403</v>
      </c>
      <c r="F4222" s="34" t="str">
        <f>VLOOKUP(Sales[[#This Row],[Product ID]],Product[#All],2,0)</f>
        <v>Apc UPS</v>
      </c>
      <c r="G4222" s="53">
        <v>1</v>
      </c>
      <c r="H4222" s="165">
        <f>VLOOKUP(Sales[[#This Row],[Product ID]],Product[#All],7,0)</f>
        <v>15810</v>
      </c>
      <c r="I4222" s="165">
        <f>Sales[[#This Row],[Selling Rate]]*Sales[[#This Row],[Qty]]</f>
        <v>15810</v>
      </c>
      <c r="J4222" s="45">
        <v>0.15</v>
      </c>
      <c r="K4222" s="46">
        <f>Sales[[#This Row],[Gross Amount]]*Sales[[#This Row],[Disc %]]</f>
        <v>2371.5</v>
      </c>
      <c r="L4222" s="43">
        <v>0.18</v>
      </c>
      <c r="M4222" s="46">
        <f>(Sales[[#This Row],[Gross Amount]]-Sales[[#This Row],[Disc. Amt.]])*Sales[[#This Row],[GST %]]</f>
        <v>2418.9299999999998</v>
      </c>
      <c r="N4222" s="161">
        <f>Sales[[#This Row],[Gross Amount]]-Sales[[#This Row],[Disc. Amt.]]+Sales[[#This Row],[GST Amount]]</f>
        <v>15857.43</v>
      </c>
      <c r="O4222" s="34" t="s">
        <v>3569</v>
      </c>
      <c r="P4222" s="34" t="s">
        <v>3562</v>
      </c>
      <c r="Q4222" s="165">
        <f>IF(Sales[[#This Row],[Status]]="Cancelled",0,Sales[[#This Row],[Qty]])</f>
        <v>1</v>
      </c>
      <c r="R4222" s="166">
        <f>IF(Sales[[#This Row],[Status]]="Cancelled",0,Sales[[#This Row],[Total Amount]])</f>
        <v>15857.43</v>
      </c>
      <c r="S4222" s="162">
        <f>SUM(Sales[Net Amount])</f>
        <v>406839287.73200053</v>
      </c>
    </row>
    <row r="4223" spans="1:19" ht="18.75" x14ac:dyDescent="0.25">
      <c r="A4223" s="156" t="s">
        <v>7902</v>
      </c>
      <c r="B4223" s="157">
        <v>45985</v>
      </c>
      <c r="C4223" s="158" t="s">
        <v>915</v>
      </c>
      <c r="D4223" s="159" t="str">
        <f>VLOOKUP(Sales[[#This Row],[Customer ID]],Customer[#All],2,0)</f>
        <v>Sunita Kumar</v>
      </c>
      <c r="E4223" s="158" t="s">
        <v>277</v>
      </c>
      <c r="F4223" s="158" t="str">
        <f>VLOOKUP(Sales[[#This Row],[Product ID]],Product[#All],2,0)</f>
        <v>D-Link Router</v>
      </c>
      <c r="G4223" s="159">
        <v>7</v>
      </c>
      <c r="H4223" s="160">
        <f>VLOOKUP(Sales[[#This Row],[Product ID]],Product[#All],7,0)</f>
        <v>4630</v>
      </c>
      <c r="I4223" s="160">
        <f>Sales[[#This Row],[Selling Rate]]*Sales[[#This Row],[Qty]]</f>
        <v>32410</v>
      </c>
      <c r="J4223" s="43">
        <v>0.05</v>
      </c>
      <c r="K4223" s="44">
        <f>Sales[[#This Row],[Gross Amount]]*Sales[[#This Row],[Disc %]]</f>
        <v>1620.5</v>
      </c>
      <c r="L4223" s="43">
        <v>0.18</v>
      </c>
      <c r="M4223" s="44">
        <f>(Sales[[#This Row],[Gross Amount]]-Sales[[#This Row],[Disc. Amt.]])*Sales[[#This Row],[GST %]]</f>
        <v>5542.11</v>
      </c>
      <c r="N4223" s="161">
        <f>Sales[[#This Row],[Gross Amount]]-Sales[[#This Row],[Disc. Amt.]]+Sales[[#This Row],[GST Amount]]</f>
        <v>36331.61</v>
      </c>
      <c r="O4223" s="158" t="s">
        <v>3566</v>
      </c>
      <c r="P4223" s="158" t="s">
        <v>3562</v>
      </c>
      <c r="Q4223" s="160">
        <f>IF(Sales[[#This Row],[Status]]="Cancelled",0,Sales[[#This Row],[Qty]])</f>
        <v>7</v>
      </c>
      <c r="R4223" s="161">
        <f>IF(Sales[[#This Row],[Status]]="Cancelled",0,Sales[[#This Row],[Total Amount]])</f>
        <v>36331.61</v>
      </c>
      <c r="S4223" s="162">
        <f>SUM(Sales[Net Amount])</f>
        <v>406839287.73200053</v>
      </c>
    </row>
    <row r="4224" spans="1:19" ht="18.75" x14ac:dyDescent="0.25">
      <c r="A4224" s="163" t="s">
        <v>7903</v>
      </c>
      <c r="B4224" s="164">
        <v>45985</v>
      </c>
      <c r="C4224" s="34" t="s">
        <v>714</v>
      </c>
      <c r="D4224" s="53" t="str">
        <f>VLOOKUP(Sales[[#This Row],[Customer ID]],Customer[#All],2,0)</f>
        <v>Rakesh Kumar</v>
      </c>
      <c r="E4224" s="34" t="s">
        <v>179</v>
      </c>
      <c r="F4224" s="34" t="str">
        <f>VLOOKUP(Sales[[#This Row],[Product ID]],Product[#All],2,0)</f>
        <v>TP-link Wi-Fi Adapter</v>
      </c>
      <c r="G4224" s="53">
        <v>4</v>
      </c>
      <c r="H4224" s="165">
        <f>VLOOKUP(Sales[[#This Row],[Product ID]],Product[#All],7,0)</f>
        <v>1490</v>
      </c>
      <c r="I4224" s="165">
        <f>Sales[[#This Row],[Selling Rate]]*Sales[[#This Row],[Qty]]</f>
        <v>5960</v>
      </c>
      <c r="J4224" s="45">
        <v>0</v>
      </c>
      <c r="K4224" s="46">
        <f>Sales[[#This Row],[Gross Amount]]*Sales[[#This Row],[Disc %]]</f>
        <v>0</v>
      </c>
      <c r="L4224" s="43">
        <v>0.18</v>
      </c>
      <c r="M4224" s="46">
        <f>(Sales[[#This Row],[Gross Amount]]-Sales[[#This Row],[Disc. Amt.]])*Sales[[#This Row],[GST %]]</f>
        <v>1072.8</v>
      </c>
      <c r="N4224" s="161">
        <f>Sales[[#This Row],[Gross Amount]]-Sales[[#This Row],[Disc. Amt.]]+Sales[[#This Row],[GST Amount]]</f>
        <v>7032.8</v>
      </c>
      <c r="O4224" s="34" t="s">
        <v>3566</v>
      </c>
      <c r="P4224" s="34" t="s">
        <v>3562</v>
      </c>
      <c r="Q4224" s="165">
        <f>IF(Sales[[#This Row],[Status]]="Cancelled",0,Sales[[#This Row],[Qty]])</f>
        <v>4</v>
      </c>
      <c r="R4224" s="166">
        <f>IF(Sales[[#This Row],[Status]]="Cancelled",0,Sales[[#This Row],[Total Amount]])</f>
        <v>7032.8</v>
      </c>
      <c r="S4224" s="162">
        <f>SUM(Sales[Net Amount])</f>
        <v>406839287.73200053</v>
      </c>
    </row>
    <row r="4225" spans="1:19" ht="18.75" x14ac:dyDescent="0.25">
      <c r="A4225" s="156" t="s">
        <v>7904</v>
      </c>
      <c r="B4225" s="157">
        <v>45985</v>
      </c>
      <c r="C4225" s="158" t="s">
        <v>809</v>
      </c>
      <c r="D4225" s="159" t="str">
        <f>VLOOKUP(Sales[[#This Row],[Customer ID]],Customer[#All],2,0)</f>
        <v>Priya Patel</v>
      </c>
      <c r="E4225" s="158" t="s">
        <v>469</v>
      </c>
      <c r="F4225" s="158" t="str">
        <f>VLOOKUP(Sales[[#This Row],[Product ID]],Product[#All],2,0)</f>
        <v>WD HDD</v>
      </c>
      <c r="G4225" s="159">
        <v>5</v>
      </c>
      <c r="H4225" s="160">
        <f>VLOOKUP(Sales[[#This Row],[Product ID]],Product[#All],7,0)</f>
        <v>6930</v>
      </c>
      <c r="I4225" s="160">
        <f>Sales[[#This Row],[Selling Rate]]*Sales[[#This Row],[Qty]]</f>
        <v>34650</v>
      </c>
      <c r="J4225" s="43">
        <v>0.15</v>
      </c>
      <c r="K4225" s="44">
        <f>Sales[[#This Row],[Gross Amount]]*Sales[[#This Row],[Disc %]]</f>
        <v>5197.5</v>
      </c>
      <c r="L4225" s="43">
        <v>0.18</v>
      </c>
      <c r="M4225" s="44">
        <f>(Sales[[#This Row],[Gross Amount]]-Sales[[#This Row],[Disc. Amt.]])*Sales[[#This Row],[GST %]]</f>
        <v>5301.45</v>
      </c>
      <c r="N4225" s="161">
        <f>Sales[[#This Row],[Gross Amount]]-Sales[[#This Row],[Disc. Amt.]]+Sales[[#This Row],[GST Amount]]</f>
        <v>34753.949999999997</v>
      </c>
      <c r="O4225" s="158" t="s">
        <v>3561</v>
      </c>
      <c r="P4225" s="158" t="s">
        <v>3562</v>
      </c>
      <c r="Q4225" s="160">
        <f>IF(Sales[[#This Row],[Status]]="Cancelled",0,Sales[[#This Row],[Qty]])</f>
        <v>5</v>
      </c>
      <c r="R4225" s="161">
        <f>IF(Sales[[#This Row],[Status]]="Cancelled",0,Sales[[#This Row],[Total Amount]])</f>
        <v>34753.949999999997</v>
      </c>
      <c r="S4225" s="162">
        <f>SUM(Sales[Net Amount])</f>
        <v>406839287.73200053</v>
      </c>
    </row>
    <row r="4226" spans="1:19" ht="18.75" x14ac:dyDescent="0.25">
      <c r="A4226" s="163" t="s">
        <v>7905</v>
      </c>
      <c r="B4226" s="164">
        <v>45985</v>
      </c>
      <c r="C4226" s="34" t="s">
        <v>923</v>
      </c>
      <c r="D4226" s="53" t="str">
        <f>VLOOKUP(Sales[[#This Row],[Customer ID]],Customer[#All],2,0)</f>
        <v>Rahul Gupta</v>
      </c>
      <c r="E4226" s="34" t="s">
        <v>357</v>
      </c>
      <c r="F4226" s="34" t="str">
        <f>VLOOKUP(Sales[[#This Row],[Product ID]],Product[#All],2,0)</f>
        <v>Samsung Ssd</v>
      </c>
      <c r="G4226" s="53">
        <v>7</v>
      </c>
      <c r="H4226" s="165">
        <f>VLOOKUP(Sales[[#This Row],[Product ID]],Product[#All],7,0)</f>
        <v>9070</v>
      </c>
      <c r="I4226" s="165">
        <f>Sales[[#This Row],[Selling Rate]]*Sales[[#This Row],[Qty]]</f>
        <v>63490</v>
      </c>
      <c r="J4226" s="45">
        <v>0.05</v>
      </c>
      <c r="K4226" s="46">
        <f>Sales[[#This Row],[Gross Amount]]*Sales[[#This Row],[Disc %]]</f>
        <v>3174.5</v>
      </c>
      <c r="L4226" s="43">
        <v>0.18</v>
      </c>
      <c r="M4226" s="46">
        <f>(Sales[[#This Row],[Gross Amount]]-Sales[[#This Row],[Disc. Amt.]])*Sales[[#This Row],[GST %]]</f>
        <v>10856.789999999999</v>
      </c>
      <c r="N4226" s="161">
        <f>Sales[[#This Row],[Gross Amount]]-Sales[[#This Row],[Disc. Amt.]]+Sales[[#This Row],[GST Amount]]</f>
        <v>71172.289999999994</v>
      </c>
      <c r="O4226" s="34" t="s">
        <v>3561</v>
      </c>
      <c r="P4226" s="34" t="s">
        <v>3562</v>
      </c>
      <c r="Q4226" s="165">
        <f>IF(Sales[[#This Row],[Status]]="Cancelled",0,Sales[[#This Row],[Qty]])</f>
        <v>7</v>
      </c>
      <c r="R4226" s="166">
        <f>IF(Sales[[#This Row],[Status]]="Cancelled",0,Sales[[#This Row],[Total Amount]])</f>
        <v>71172.289999999994</v>
      </c>
      <c r="S4226" s="162">
        <f>SUM(Sales[Net Amount])</f>
        <v>406839287.73200053</v>
      </c>
    </row>
    <row r="4227" spans="1:19" ht="18.75" x14ac:dyDescent="0.25">
      <c r="A4227" s="156" t="s">
        <v>7906</v>
      </c>
      <c r="B4227" s="157">
        <v>45985</v>
      </c>
      <c r="C4227" s="158" t="s">
        <v>779</v>
      </c>
      <c r="D4227" s="159" t="str">
        <f>VLOOKUP(Sales[[#This Row],[Customer ID]],Customer[#All],2,0)</f>
        <v>Rakesh Verma</v>
      </c>
      <c r="E4227" s="158" t="s">
        <v>421</v>
      </c>
      <c r="F4227" s="158" t="str">
        <f>VLOOKUP(Sales[[#This Row],[Product ID]],Product[#All],2,0)</f>
        <v>Portronics USB Cable</v>
      </c>
      <c r="G4227" s="159">
        <v>6</v>
      </c>
      <c r="H4227" s="160">
        <f>VLOOKUP(Sales[[#This Row],[Product ID]],Product[#All],7,0)</f>
        <v>270</v>
      </c>
      <c r="I4227" s="160">
        <f>Sales[[#This Row],[Selling Rate]]*Sales[[#This Row],[Qty]]</f>
        <v>1620</v>
      </c>
      <c r="J4227" s="43">
        <v>0.12</v>
      </c>
      <c r="K4227" s="44">
        <f>Sales[[#This Row],[Gross Amount]]*Sales[[#This Row],[Disc %]]</f>
        <v>194.4</v>
      </c>
      <c r="L4227" s="43">
        <v>0.18</v>
      </c>
      <c r="M4227" s="44">
        <f>(Sales[[#This Row],[Gross Amount]]-Sales[[#This Row],[Disc. Amt.]])*Sales[[#This Row],[GST %]]</f>
        <v>256.60799999999995</v>
      </c>
      <c r="N4227" s="161">
        <f>Sales[[#This Row],[Gross Amount]]-Sales[[#This Row],[Disc. Amt.]]+Sales[[#This Row],[GST Amount]]</f>
        <v>1682.2079999999999</v>
      </c>
      <c r="O4227" s="158" t="s">
        <v>8876</v>
      </c>
      <c r="P4227" s="158" t="s">
        <v>3562</v>
      </c>
      <c r="Q4227" s="160">
        <f>IF(Sales[[#This Row],[Status]]="Cancelled",0,Sales[[#This Row],[Qty]])</f>
        <v>6</v>
      </c>
      <c r="R4227" s="161">
        <f>IF(Sales[[#This Row],[Status]]="Cancelled",0,Sales[[#This Row],[Total Amount]])</f>
        <v>1682.2079999999999</v>
      </c>
      <c r="S4227" s="162">
        <f>SUM(Sales[Net Amount])</f>
        <v>406839287.73200053</v>
      </c>
    </row>
    <row r="4228" spans="1:19" ht="18.75" x14ac:dyDescent="0.25">
      <c r="A4228" s="163" t="s">
        <v>7907</v>
      </c>
      <c r="B4228" s="164">
        <v>45985</v>
      </c>
      <c r="C4228" s="34" t="s">
        <v>712</v>
      </c>
      <c r="D4228" s="53" t="str">
        <f>VLOOKUP(Sales[[#This Row],[Customer ID]],Customer[#All],2,0)</f>
        <v>Sahil Verma</v>
      </c>
      <c r="E4228" s="34" t="s">
        <v>495</v>
      </c>
      <c r="F4228" s="34" t="str">
        <f>VLOOKUP(Sales[[#This Row],[Product ID]],Product[#All],2,0)</f>
        <v>Dell Laptop</v>
      </c>
      <c r="G4228" s="53">
        <v>5</v>
      </c>
      <c r="H4228" s="165">
        <f>VLOOKUP(Sales[[#This Row],[Product ID]],Product[#All],7,0)</f>
        <v>63410</v>
      </c>
      <c r="I4228" s="165">
        <f>Sales[[#This Row],[Selling Rate]]*Sales[[#This Row],[Qty]]</f>
        <v>317050</v>
      </c>
      <c r="J4228" s="45">
        <v>0</v>
      </c>
      <c r="K4228" s="46">
        <f>Sales[[#This Row],[Gross Amount]]*Sales[[#This Row],[Disc %]]</f>
        <v>0</v>
      </c>
      <c r="L4228" s="43">
        <v>0.18</v>
      </c>
      <c r="M4228" s="46">
        <f>(Sales[[#This Row],[Gross Amount]]-Sales[[#This Row],[Disc. Amt.]])*Sales[[#This Row],[GST %]]</f>
        <v>57069</v>
      </c>
      <c r="N4228" s="161">
        <f>Sales[[#This Row],[Gross Amount]]-Sales[[#This Row],[Disc. Amt.]]+Sales[[#This Row],[GST Amount]]</f>
        <v>374119</v>
      </c>
      <c r="O4228" s="34" t="s">
        <v>3569</v>
      </c>
      <c r="P4228" s="34" t="s">
        <v>3562</v>
      </c>
      <c r="Q4228" s="165">
        <f>IF(Sales[[#This Row],[Status]]="Cancelled",0,Sales[[#This Row],[Qty]])</f>
        <v>5</v>
      </c>
      <c r="R4228" s="166">
        <f>IF(Sales[[#This Row],[Status]]="Cancelled",0,Sales[[#This Row],[Total Amount]])</f>
        <v>374119</v>
      </c>
      <c r="S4228" s="162">
        <f>SUM(Sales[Net Amount])</f>
        <v>406839287.73200053</v>
      </c>
    </row>
    <row r="4229" spans="1:19" ht="18.75" x14ac:dyDescent="0.25">
      <c r="A4229" s="156" t="s">
        <v>7908</v>
      </c>
      <c r="B4229" s="157">
        <v>45985</v>
      </c>
      <c r="C4229" s="158" t="s">
        <v>699</v>
      </c>
      <c r="D4229" s="159" t="str">
        <f>VLOOKUP(Sales[[#This Row],[Customer ID]],Customer[#All],2,0)</f>
        <v>Amit Singh</v>
      </c>
      <c r="E4229" s="158" t="s">
        <v>553</v>
      </c>
      <c r="F4229" s="158" t="str">
        <f>VLOOKUP(Sales[[#This Row],[Product ID]],Product[#All],2,0)</f>
        <v>Logitech Webcam</v>
      </c>
      <c r="G4229" s="159">
        <v>6</v>
      </c>
      <c r="H4229" s="160">
        <f>VLOOKUP(Sales[[#This Row],[Product ID]],Product[#All],7,0)</f>
        <v>3820</v>
      </c>
      <c r="I4229" s="160">
        <f>Sales[[#This Row],[Selling Rate]]*Sales[[#This Row],[Qty]]</f>
        <v>22920</v>
      </c>
      <c r="J4229" s="43">
        <v>0.02</v>
      </c>
      <c r="K4229" s="44">
        <f>Sales[[#This Row],[Gross Amount]]*Sales[[#This Row],[Disc %]]</f>
        <v>458.40000000000003</v>
      </c>
      <c r="L4229" s="43">
        <v>0.18</v>
      </c>
      <c r="M4229" s="44">
        <f>(Sales[[#This Row],[Gross Amount]]-Sales[[#This Row],[Disc. Amt.]])*Sales[[#This Row],[GST %]]</f>
        <v>4043.0879999999997</v>
      </c>
      <c r="N4229" s="161">
        <f>Sales[[#This Row],[Gross Amount]]-Sales[[#This Row],[Disc. Amt.]]+Sales[[#This Row],[GST Amount]]</f>
        <v>26504.687999999998</v>
      </c>
      <c r="O4229" s="158" t="s">
        <v>8876</v>
      </c>
      <c r="P4229" s="158" t="s">
        <v>3562</v>
      </c>
      <c r="Q4229" s="160">
        <f>IF(Sales[[#This Row],[Status]]="Cancelled",0,Sales[[#This Row],[Qty]])</f>
        <v>6</v>
      </c>
      <c r="R4229" s="161">
        <f>IF(Sales[[#This Row],[Status]]="Cancelled",0,Sales[[#This Row],[Total Amount]])</f>
        <v>26504.687999999998</v>
      </c>
      <c r="S4229" s="162">
        <f>SUM(Sales[Net Amount])</f>
        <v>406839287.73200053</v>
      </c>
    </row>
    <row r="4230" spans="1:19" ht="18.75" x14ac:dyDescent="0.25">
      <c r="A4230" s="163" t="s">
        <v>7909</v>
      </c>
      <c r="B4230" s="164">
        <v>45985</v>
      </c>
      <c r="C4230" s="34" t="s">
        <v>731</v>
      </c>
      <c r="D4230" s="53" t="str">
        <f>VLOOKUP(Sales[[#This Row],[Customer ID]],Customer[#All],2,0)</f>
        <v>Neha Singh</v>
      </c>
      <c r="E4230" s="34" t="s">
        <v>183</v>
      </c>
      <c r="F4230" s="34" t="str">
        <f>VLOOKUP(Sales[[#This Row],[Product ID]],Product[#All],2,0)</f>
        <v>Boat Speaker</v>
      </c>
      <c r="G4230" s="53">
        <v>1</v>
      </c>
      <c r="H4230" s="165">
        <f>VLOOKUP(Sales[[#This Row],[Product ID]],Product[#All],7,0)</f>
        <v>1430</v>
      </c>
      <c r="I4230" s="165">
        <f>Sales[[#This Row],[Selling Rate]]*Sales[[#This Row],[Qty]]</f>
        <v>1430</v>
      </c>
      <c r="J4230" s="45">
        <v>0</v>
      </c>
      <c r="K4230" s="46">
        <f>Sales[[#This Row],[Gross Amount]]*Sales[[#This Row],[Disc %]]</f>
        <v>0</v>
      </c>
      <c r="L4230" s="43">
        <v>0.18</v>
      </c>
      <c r="M4230" s="46">
        <f>(Sales[[#This Row],[Gross Amount]]-Sales[[#This Row],[Disc. Amt.]])*Sales[[#This Row],[GST %]]</f>
        <v>257.39999999999998</v>
      </c>
      <c r="N4230" s="161">
        <f>Sales[[#This Row],[Gross Amount]]-Sales[[#This Row],[Disc. Amt.]]+Sales[[#This Row],[GST Amount]]</f>
        <v>1687.4</v>
      </c>
      <c r="O4230" s="34" t="s">
        <v>3569</v>
      </c>
      <c r="P4230" s="34" t="s">
        <v>3562</v>
      </c>
      <c r="Q4230" s="165">
        <f>IF(Sales[[#This Row],[Status]]="Cancelled",0,Sales[[#This Row],[Qty]])</f>
        <v>1</v>
      </c>
      <c r="R4230" s="166">
        <f>IF(Sales[[#This Row],[Status]]="Cancelled",0,Sales[[#This Row],[Total Amount]])</f>
        <v>1687.4</v>
      </c>
      <c r="S4230" s="162">
        <f>SUM(Sales[Net Amount])</f>
        <v>406839287.73200053</v>
      </c>
    </row>
    <row r="4231" spans="1:19" ht="18.75" x14ac:dyDescent="0.25">
      <c r="A4231" s="156" t="s">
        <v>7910</v>
      </c>
      <c r="B4231" s="157">
        <v>45985</v>
      </c>
      <c r="C4231" s="158" t="s">
        <v>768</v>
      </c>
      <c r="D4231" s="159" t="str">
        <f>VLOOKUP(Sales[[#This Row],[Customer ID]],Customer[#All],2,0)</f>
        <v>Priya Kumar</v>
      </c>
      <c r="E4231" s="158" t="s">
        <v>395</v>
      </c>
      <c r="F4231" s="158" t="str">
        <f>VLOOKUP(Sales[[#This Row],[Product ID]],Product[#All],2,0)</f>
        <v>American TouristerLaptopBag</v>
      </c>
      <c r="G4231" s="159">
        <v>8</v>
      </c>
      <c r="H4231" s="160">
        <f>VLOOKUP(Sales[[#This Row],[Product ID]],Product[#All],7,0)</f>
        <v>5010</v>
      </c>
      <c r="I4231" s="160">
        <f>Sales[[#This Row],[Selling Rate]]*Sales[[#This Row],[Qty]]</f>
        <v>40080</v>
      </c>
      <c r="J4231" s="43">
        <v>0.15</v>
      </c>
      <c r="K4231" s="44">
        <f>Sales[[#This Row],[Gross Amount]]*Sales[[#This Row],[Disc %]]</f>
        <v>6012</v>
      </c>
      <c r="L4231" s="43">
        <v>0.18</v>
      </c>
      <c r="M4231" s="44">
        <f>(Sales[[#This Row],[Gross Amount]]-Sales[[#This Row],[Disc. Amt.]])*Sales[[#This Row],[GST %]]</f>
        <v>6132.24</v>
      </c>
      <c r="N4231" s="161">
        <f>Sales[[#This Row],[Gross Amount]]-Sales[[#This Row],[Disc. Amt.]]+Sales[[#This Row],[GST Amount]]</f>
        <v>40200.239999999998</v>
      </c>
      <c r="O4231" s="158" t="s">
        <v>3569</v>
      </c>
      <c r="P4231" s="158" t="s">
        <v>3562</v>
      </c>
      <c r="Q4231" s="160">
        <f>IF(Sales[[#This Row],[Status]]="Cancelled",0,Sales[[#This Row],[Qty]])</f>
        <v>8</v>
      </c>
      <c r="R4231" s="161">
        <f>IF(Sales[[#This Row],[Status]]="Cancelled",0,Sales[[#This Row],[Total Amount]])</f>
        <v>40200.239999999998</v>
      </c>
      <c r="S4231" s="162">
        <f>SUM(Sales[Net Amount])</f>
        <v>406839287.73200053</v>
      </c>
    </row>
    <row r="4232" spans="1:19" ht="18.75" x14ac:dyDescent="0.25">
      <c r="A4232" s="163" t="s">
        <v>7911</v>
      </c>
      <c r="B4232" s="164">
        <v>45985</v>
      </c>
      <c r="C4232" s="34" t="s">
        <v>892</v>
      </c>
      <c r="D4232" s="53" t="str">
        <f>VLOOKUP(Sales[[#This Row],[Customer ID]],Customer[#All],2,0)</f>
        <v>Sahil Verma</v>
      </c>
      <c r="E4232" s="34" t="s">
        <v>266</v>
      </c>
      <c r="F4232" s="34" t="str">
        <f>VLOOKUP(Sales[[#This Row],[Product ID]],Product[#All],2,0)</f>
        <v>American TouristerLaptopBag</v>
      </c>
      <c r="G4232" s="53">
        <v>7</v>
      </c>
      <c r="H4232" s="165">
        <f>VLOOKUP(Sales[[#This Row],[Product ID]],Product[#All],7,0)</f>
        <v>4170</v>
      </c>
      <c r="I4232" s="165">
        <f>Sales[[#This Row],[Selling Rate]]*Sales[[#This Row],[Qty]]</f>
        <v>29190</v>
      </c>
      <c r="J4232" s="45">
        <v>0.12</v>
      </c>
      <c r="K4232" s="46">
        <f>Sales[[#This Row],[Gross Amount]]*Sales[[#This Row],[Disc %]]</f>
        <v>3502.7999999999997</v>
      </c>
      <c r="L4232" s="43">
        <v>0.18</v>
      </c>
      <c r="M4232" s="46">
        <f>(Sales[[#This Row],[Gross Amount]]-Sales[[#This Row],[Disc. Amt.]])*Sales[[#This Row],[GST %]]</f>
        <v>4623.6959999999999</v>
      </c>
      <c r="N4232" s="161">
        <f>Sales[[#This Row],[Gross Amount]]-Sales[[#This Row],[Disc. Amt.]]+Sales[[#This Row],[GST Amount]]</f>
        <v>30310.896000000001</v>
      </c>
      <c r="O4232" s="34" t="s">
        <v>3561</v>
      </c>
      <c r="P4232" s="34" t="s">
        <v>3562</v>
      </c>
      <c r="Q4232" s="165">
        <f>IF(Sales[[#This Row],[Status]]="Cancelled",0,Sales[[#This Row],[Qty]])</f>
        <v>7</v>
      </c>
      <c r="R4232" s="166">
        <f>IF(Sales[[#This Row],[Status]]="Cancelled",0,Sales[[#This Row],[Total Amount]])</f>
        <v>30310.896000000001</v>
      </c>
      <c r="S4232" s="162">
        <f>SUM(Sales[Net Amount])</f>
        <v>406839287.73200053</v>
      </c>
    </row>
    <row r="4233" spans="1:19" ht="18.75" x14ac:dyDescent="0.25">
      <c r="A4233" s="156" t="s">
        <v>7912</v>
      </c>
      <c r="B4233" s="157">
        <v>45985</v>
      </c>
      <c r="C4233" s="158" t="s">
        <v>816</v>
      </c>
      <c r="D4233" s="159" t="str">
        <f>VLOOKUP(Sales[[#This Row],[Customer ID]],Customer[#All],2,0)</f>
        <v>Amit Patel</v>
      </c>
      <c r="E4233" s="158" t="s">
        <v>236</v>
      </c>
      <c r="F4233" s="158" t="str">
        <f>VLOOKUP(Sales[[#This Row],[Product ID]],Product[#All],2,0)</f>
        <v>Dell Desktop</v>
      </c>
      <c r="G4233" s="159">
        <v>6</v>
      </c>
      <c r="H4233" s="160">
        <f>VLOOKUP(Sales[[#This Row],[Product ID]],Product[#All],7,0)</f>
        <v>50050</v>
      </c>
      <c r="I4233" s="160">
        <f>Sales[[#This Row],[Selling Rate]]*Sales[[#This Row],[Qty]]</f>
        <v>300300</v>
      </c>
      <c r="J4233" s="43">
        <v>0.15</v>
      </c>
      <c r="K4233" s="44">
        <f>Sales[[#This Row],[Gross Amount]]*Sales[[#This Row],[Disc %]]</f>
        <v>45045</v>
      </c>
      <c r="L4233" s="43">
        <v>0.18</v>
      </c>
      <c r="M4233" s="44">
        <f>(Sales[[#This Row],[Gross Amount]]-Sales[[#This Row],[Disc. Amt.]])*Sales[[#This Row],[GST %]]</f>
        <v>45945.9</v>
      </c>
      <c r="N4233" s="161">
        <f>Sales[[#This Row],[Gross Amount]]-Sales[[#This Row],[Disc. Amt.]]+Sales[[#This Row],[GST Amount]]</f>
        <v>301200.90000000002</v>
      </c>
      <c r="O4233" s="158" t="s">
        <v>8876</v>
      </c>
      <c r="P4233" s="158" t="s">
        <v>3562</v>
      </c>
      <c r="Q4233" s="160">
        <f>IF(Sales[[#This Row],[Status]]="Cancelled",0,Sales[[#This Row],[Qty]])</f>
        <v>6</v>
      </c>
      <c r="R4233" s="161">
        <f>IF(Sales[[#This Row],[Status]]="Cancelled",0,Sales[[#This Row],[Total Amount]])</f>
        <v>301200.90000000002</v>
      </c>
      <c r="S4233" s="162">
        <f>SUM(Sales[Net Amount])</f>
        <v>406839287.73200053</v>
      </c>
    </row>
    <row r="4234" spans="1:19" ht="18.75" x14ac:dyDescent="0.25">
      <c r="A4234" s="163" t="s">
        <v>7913</v>
      </c>
      <c r="B4234" s="164">
        <v>45985</v>
      </c>
      <c r="C4234" s="34" t="s">
        <v>838</v>
      </c>
      <c r="D4234" s="53" t="str">
        <f>VLOOKUP(Sales[[#This Row],[Customer ID]],Customer[#All],2,0)</f>
        <v>Priya Gupta</v>
      </c>
      <c r="E4234" s="34" t="s">
        <v>411</v>
      </c>
      <c r="F4234" s="34" t="str">
        <f>VLOOKUP(Sales[[#This Row],[Product ID]],Product[#All],2,0)</f>
        <v>Logitech Webcam</v>
      </c>
      <c r="G4234" s="53">
        <v>3</v>
      </c>
      <c r="H4234" s="165">
        <f>VLOOKUP(Sales[[#This Row],[Product ID]],Product[#All],7,0)</f>
        <v>2350</v>
      </c>
      <c r="I4234" s="165">
        <f>Sales[[#This Row],[Selling Rate]]*Sales[[#This Row],[Qty]]</f>
        <v>7050</v>
      </c>
      <c r="J4234" s="45">
        <v>0.15</v>
      </c>
      <c r="K4234" s="46">
        <f>Sales[[#This Row],[Gross Amount]]*Sales[[#This Row],[Disc %]]</f>
        <v>1057.5</v>
      </c>
      <c r="L4234" s="43">
        <v>0.18</v>
      </c>
      <c r="M4234" s="46">
        <f>(Sales[[#This Row],[Gross Amount]]-Sales[[#This Row],[Disc. Amt.]])*Sales[[#This Row],[GST %]]</f>
        <v>1078.6499999999999</v>
      </c>
      <c r="N4234" s="161">
        <f>Sales[[#This Row],[Gross Amount]]-Sales[[#This Row],[Disc. Amt.]]+Sales[[#This Row],[GST Amount]]</f>
        <v>7071.15</v>
      </c>
      <c r="O4234" s="34" t="s">
        <v>3566</v>
      </c>
      <c r="P4234" s="34" t="s">
        <v>3562</v>
      </c>
      <c r="Q4234" s="165">
        <f>IF(Sales[[#This Row],[Status]]="Cancelled",0,Sales[[#This Row],[Qty]])</f>
        <v>3</v>
      </c>
      <c r="R4234" s="166">
        <f>IF(Sales[[#This Row],[Status]]="Cancelled",0,Sales[[#This Row],[Total Amount]])</f>
        <v>7071.15</v>
      </c>
      <c r="S4234" s="162">
        <f>SUM(Sales[Net Amount])</f>
        <v>406839287.73200053</v>
      </c>
    </row>
    <row r="4235" spans="1:19" ht="18.75" x14ac:dyDescent="0.25">
      <c r="A4235" s="156" t="s">
        <v>7914</v>
      </c>
      <c r="B4235" s="157">
        <v>45986</v>
      </c>
      <c r="C4235" s="158" t="s">
        <v>782</v>
      </c>
      <c r="D4235" s="159" t="str">
        <f>VLOOKUP(Sales[[#This Row],[Customer ID]],Customer[#All],2,0)</f>
        <v>Vikas Singh</v>
      </c>
      <c r="E4235" s="158" t="s">
        <v>100</v>
      </c>
      <c r="F4235" s="158" t="str">
        <f>VLOOKUP(Sales[[#This Row],[Product ID]],Product[#All],2,0)</f>
        <v>Portronics USB Cable</v>
      </c>
      <c r="G4235" s="159">
        <v>3</v>
      </c>
      <c r="H4235" s="160">
        <f>VLOOKUP(Sales[[#This Row],[Product ID]],Product[#All],7,0)</f>
        <v>210</v>
      </c>
      <c r="I4235" s="160">
        <f>Sales[[#This Row],[Selling Rate]]*Sales[[#This Row],[Qty]]</f>
        <v>630</v>
      </c>
      <c r="J4235" s="43">
        <v>0.05</v>
      </c>
      <c r="K4235" s="44">
        <f>Sales[[#This Row],[Gross Amount]]*Sales[[#This Row],[Disc %]]</f>
        <v>31.5</v>
      </c>
      <c r="L4235" s="43">
        <v>0.18</v>
      </c>
      <c r="M4235" s="44">
        <f>(Sales[[#This Row],[Gross Amount]]-Sales[[#This Row],[Disc. Amt.]])*Sales[[#This Row],[GST %]]</f>
        <v>107.72999999999999</v>
      </c>
      <c r="N4235" s="161">
        <f>Sales[[#This Row],[Gross Amount]]-Sales[[#This Row],[Disc. Amt.]]+Sales[[#This Row],[GST Amount]]</f>
        <v>706.23</v>
      </c>
      <c r="O4235" s="158" t="s">
        <v>3561</v>
      </c>
      <c r="P4235" s="158" t="s">
        <v>3562</v>
      </c>
      <c r="Q4235" s="160">
        <f>IF(Sales[[#This Row],[Status]]="Cancelled",0,Sales[[#This Row],[Qty]])</f>
        <v>3</v>
      </c>
      <c r="R4235" s="161">
        <f>IF(Sales[[#This Row],[Status]]="Cancelled",0,Sales[[#This Row],[Total Amount]])</f>
        <v>706.23</v>
      </c>
      <c r="S4235" s="162">
        <f>SUM(Sales[Net Amount])</f>
        <v>406839287.73200053</v>
      </c>
    </row>
    <row r="4236" spans="1:19" ht="18.75" x14ac:dyDescent="0.25">
      <c r="A4236" s="163" t="s">
        <v>7915</v>
      </c>
      <c r="B4236" s="164">
        <v>45986</v>
      </c>
      <c r="C4236" s="34" t="s">
        <v>867</v>
      </c>
      <c r="D4236" s="53" t="str">
        <f>VLOOKUP(Sales[[#This Row],[Customer ID]],Customer[#All],2,0)</f>
        <v>Priya Gupta</v>
      </c>
      <c r="E4236" s="34" t="s">
        <v>291</v>
      </c>
      <c r="F4236" s="34" t="str">
        <f>VLOOKUP(Sales[[#This Row],[Product ID]],Product[#All],2,0)</f>
        <v>Jbl Speaker</v>
      </c>
      <c r="G4236" s="53">
        <v>6</v>
      </c>
      <c r="H4236" s="165">
        <f>VLOOKUP(Sales[[#This Row],[Product ID]],Product[#All],7,0)</f>
        <v>12040</v>
      </c>
      <c r="I4236" s="165">
        <f>Sales[[#This Row],[Selling Rate]]*Sales[[#This Row],[Qty]]</f>
        <v>72240</v>
      </c>
      <c r="J4236" s="45">
        <v>0.12</v>
      </c>
      <c r="K4236" s="46">
        <f>Sales[[#This Row],[Gross Amount]]*Sales[[#This Row],[Disc %]]</f>
        <v>8668.7999999999993</v>
      </c>
      <c r="L4236" s="43">
        <v>0.18</v>
      </c>
      <c r="M4236" s="46">
        <f>(Sales[[#This Row],[Gross Amount]]-Sales[[#This Row],[Disc. Amt.]])*Sales[[#This Row],[GST %]]</f>
        <v>11442.815999999999</v>
      </c>
      <c r="N4236" s="161">
        <f>Sales[[#This Row],[Gross Amount]]-Sales[[#This Row],[Disc. Amt.]]+Sales[[#This Row],[GST Amount]]</f>
        <v>75014.016000000003</v>
      </c>
      <c r="O4236" s="34" t="s">
        <v>3569</v>
      </c>
      <c r="P4236" s="34" t="s">
        <v>3562</v>
      </c>
      <c r="Q4236" s="165">
        <f>IF(Sales[[#This Row],[Status]]="Cancelled",0,Sales[[#This Row],[Qty]])</f>
        <v>6</v>
      </c>
      <c r="R4236" s="166">
        <f>IF(Sales[[#This Row],[Status]]="Cancelled",0,Sales[[#This Row],[Total Amount]])</f>
        <v>75014.016000000003</v>
      </c>
      <c r="S4236" s="162">
        <f>SUM(Sales[Net Amount])</f>
        <v>406839287.73200053</v>
      </c>
    </row>
    <row r="4237" spans="1:19" ht="18.75" x14ac:dyDescent="0.25">
      <c r="A4237" s="156" t="s">
        <v>7916</v>
      </c>
      <c r="B4237" s="157">
        <v>45986</v>
      </c>
      <c r="C4237" s="158" t="s">
        <v>712</v>
      </c>
      <c r="D4237" s="159" t="str">
        <f>VLOOKUP(Sales[[#This Row],[Customer ID]],Customer[#All],2,0)</f>
        <v>Sahil Verma</v>
      </c>
      <c r="E4237" s="158" t="s">
        <v>385</v>
      </c>
      <c r="F4237" s="158" t="str">
        <f>VLOOKUP(Sales[[#This Row],[Product ID]],Product[#All],2,0)</f>
        <v>Boat Headset</v>
      </c>
      <c r="G4237" s="159">
        <v>8</v>
      </c>
      <c r="H4237" s="160">
        <f>VLOOKUP(Sales[[#This Row],[Product ID]],Product[#All],7,0)</f>
        <v>1280</v>
      </c>
      <c r="I4237" s="160">
        <f>Sales[[#This Row],[Selling Rate]]*Sales[[#This Row],[Qty]]</f>
        <v>10240</v>
      </c>
      <c r="J4237" s="43">
        <v>0.05</v>
      </c>
      <c r="K4237" s="44">
        <f>Sales[[#This Row],[Gross Amount]]*Sales[[#This Row],[Disc %]]</f>
        <v>512</v>
      </c>
      <c r="L4237" s="43">
        <v>0.18</v>
      </c>
      <c r="M4237" s="44">
        <f>(Sales[[#This Row],[Gross Amount]]-Sales[[#This Row],[Disc. Amt.]])*Sales[[#This Row],[GST %]]</f>
        <v>1751.04</v>
      </c>
      <c r="N4237" s="161">
        <f>Sales[[#This Row],[Gross Amount]]-Sales[[#This Row],[Disc. Amt.]]+Sales[[#This Row],[GST Amount]]</f>
        <v>11479.04</v>
      </c>
      <c r="O4237" s="158" t="s">
        <v>3569</v>
      </c>
      <c r="P4237" s="158" t="s">
        <v>3562</v>
      </c>
      <c r="Q4237" s="160">
        <f>IF(Sales[[#This Row],[Status]]="Cancelled",0,Sales[[#This Row],[Qty]])</f>
        <v>8</v>
      </c>
      <c r="R4237" s="161">
        <f>IF(Sales[[#This Row],[Status]]="Cancelled",0,Sales[[#This Row],[Total Amount]])</f>
        <v>11479.04</v>
      </c>
      <c r="S4237" s="162">
        <f>SUM(Sales[Net Amount])</f>
        <v>406839287.73200053</v>
      </c>
    </row>
    <row r="4238" spans="1:19" ht="18.75" x14ac:dyDescent="0.25">
      <c r="A4238" s="163" t="s">
        <v>7917</v>
      </c>
      <c r="B4238" s="164">
        <v>45986</v>
      </c>
      <c r="C4238" s="34" t="s">
        <v>683</v>
      </c>
      <c r="D4238" s="53" t="str">
        <f>VLOOKUP(Sales[[#This Row],[Customer ID]],Customer[#All],2,0)</f>
        <v>Rahul Kumar</v>
      </c>
      <c r="E4238" s="34" t="s">
        <v>505</v>
      </c>
      <c r="F4238" s="34" t="str">
        <f>VLOOKUP(Sales[[#This Row],[Product ID]],Product[#All],2,0)</f>
        <v>Dell Monitor</v>
      </c>
      <c r="G4238" s="53">
        <v>2</v>
      </c>
      <c r="H4238" s="165">
        <f>VLOOKUP(Sales[[#This Row],[Product ID]],Product[#All],7,0)</f>
        <v>12790</v>
      </c>
      <c r="I4238" s="165">
        <f>Sales[[#This Row],[Selling Rate]]*Sales[[#This Row],[Qty]]</f>
        <v>25580</v>
      </c>
      <c r="J4238" s="45">
        <v>0</v>
      </c>
      <c r="K4238" s="46">
        <f>Sales[[#This Row],[Gross Amount]]*Sales[[#This Row],[Disc %]]</f>
        <v>0</v>
      </c>
      <c r="L4238" s="43">
        <v>0.18</v>
      </c>
      <c r="M4238" s="46">
        <f>(Sales[[#This Row],[Gross Amount]]-Sales[[#This Row],[Disc. Amt.]])*Sales[[#This Row],[GST %]]</f>
        <v>4604.3999999999996</v>
      </c>
      <c r="N4238" s="161">
        <f>Sales[[#This Row],[Gross Amount]]-Sales[[#This Row],[Disc. Amt.]]+Sales[[#This Row],[GST Amount]]</f>
        <v>30184.400000000001</v>
      </c>
      <c r="O4238" s="34" t="s">
        <v>3566</v>
      </c>
      <c r="P4238" s="34" t="s">
        <v>3562</v>
      </c>
      <c r="Q4238" s="165">
        <f>IF(Sales[[#This Row],[Status]]="Cancelled",0,Sales[[#This Row],[Qty]])</f>
        <v>2</v>
      </c>
      <c r="R4238" s="166">
        <f>IF(Sales[[#This Row],[Status]]="Cancelled",0,Sales[[#This Row],[Total Amount]])</f>
        <v>30184.400000000001</v>
      </c>
      <c r="S4238" s="162">
        <f>SUM(Sales[Net Amount])</f>
        <v>406839287.73200053</v>
      </c>
    </row>
    <row r="4239" spans="1:19" ht="18.75" x14ac:dyDescent="0.25">
      <c r="A4239" s="156" t="s">
        <v>7918</v>
      </c>
      <c r="B4239" s="157">
        <v>45986</v>
      </c>
      <c r="C4239" s="158" t="s">
        <v>717</v>
      </c>
      <c r="D4239" s="159" t="str">
        <f>VLOOKUP(Sales[[#This Row],[Customer ID]],Customer[#All],2,0)</f>
        <v>Sunita Singh</v>
      </c>
      <c r="E4239" s="158" t="s">
        <v>482</v>
      </c>
      <c r="F4239" s="158" t="str">
        <f>VLOOKUP(Sales[[#This Row],[Product ID]],Product[#All],2,0)</f>
        <v>HP Mouse</v>
      </c>
      <c r="G4239" s="159">
        <v>1</v>
      </c>
      <c r="H4239" s="160">
        <f>VLOOKUP(Sales[[#This Row],[Product ID]],Product[#All],7,0)</f>
        <v>790</v>
      </c>
      <c r="I4239" s="160">
        <f>Sales[[#This Row],[Selling Rate]]*Sales[[#This Row],[Qty]]</f>
        <v>790</v>
      </c>
      <c r="J4239" s="43">
        <v>0.05</v>
      </c>
      <c r="K4239" s="44">
        <f>Sales[[#This Row],[Gross Amount]]*Sales[[#This Row],[Disc %]]</f>
        <v>39.5</v>
      </c>
      <c r="L4239" s="43">
        <v>0.18</v>
      </c>
      <c r="M4239" s="44">
        <f>(Sales[[#This Row],[Gross Amount]]-Sales[[#This Row],[Disc. Amt.]])*Sales[[#This Row],[GST %]]</f>
        <v>135.09</v>
      </c>
      <c r="N4239" s="161">
        <f>Sales[[#This Row],[Gross Amount]]-Sales[[#This Row],[Disc. Amt.]]+Sales[[#This Row],[GST Amount]]</f>
        <v>885.59</v>
      </c>
      <c r="O4239" s="158" t="s">
        <v>3566</v>
      </c>
      <c r="P4239" s="158" t="s">
        <v>3562</v>
      </c>
      <c r="Q4239" s="160">
        <f>IF(Sales[[#This Row],[Status]]="Cancelled",0,Sales[[#This Row],[Qty]])</f>
        <v>1</v>
      </c>
      <c r="R4239" s="161">
        <f>IF(Sales[[#This Row],[Status]]="Cancelled",0,Sales[[#This Row],[Total Amount]])</f>
        <v>885.59</v>
      </c>
      <c r="S4239" s="162">
        <f>SUM(Sales[Net Amount])</f>
        <v>406839287.73200053</v>
      </c>
    </row>
    <row r="4240" spans="1:19" ht="18.75" x14ac:dyDescent="0.25">
      <c r="A4240" s="163" t="s">
        <v>7919</v>
      </c>
      <c r="B4240" s="164">
        <v>45986</v>
      </c>
      <c r="C4240" s="34" t="s">
        <v>7920</v>
      </c>
      <c r="D4240" s="53" t="str">
        <f>VLOOKUP(Sales[[#This Row],[Customer ID]],Customer[#All],2,0)</f>
        <v>Pooja Singh</v>
      </c>
      <c r="E4240" s="34" t="s">
        <v>408</v>
      </c>
      <c r="F4240" s="34" t="str">
        <f>VLOOKUP(Sales[[#This Row],[Product ID]],Product[#All],2,0)</f>
        <v>HP Laptop</v>
      </c>
      <c r="G4240" s="53">
        <v>4</v>
      </c>
      <c r="H4240" s="165">
        <f>VLOOKUP(Sales[[#This Row],[Product ID]],Product[#All],7,0)</f>
        <v>93130</v>
      </c>
      <c r="I4240" s="165">
        <f>Sales[[#This Row],[Selling Rate]]*Sales[[#This Row],[Qty]]</f>
        <v>372520</v>
      </c>
      <c r="J4240" s="45">
        <v>0</v>
      </c>
      <c r="K4240" s="46">
        <f>Sales[[#This Row],[Gross Amount]]*Sales[[#This Row],[Disc %]]</f>
        <v>0</v>
      </c>
      <c r="L4240" s="43">
        <v>0.18</v>
      </c>
      <c r="M4240" s="46">
        <f>(Sales[[#This Row],[Gross Amount]]-Sales[[#This Row],[Disc. Amt.]])*Sales[[#This Row],[GST %]]</f>
        <v>67053.599999999991</v>
      </c>
      <c r="N4240" s="161">
        <f>Sales[[#This Row],[Gross Amount]]-Sales[[#This Row],[Disc. Amt.]]+Sales[[#This Row],[GST Amount]]</f>
        <v>439573.6</v>
      </c>
      <c r="O4240" s="34" t="s">
        <v>3561</v>
      </c>
      <c r="P4240" s="34" t="s">
        <v>3562</v>
      </c>
      <c r="Q4240" s="165">
        <f>IF(Sales[[#This Row],[Status]]="Cancelled",0,Sales[[#This Row],[Qty]])</f>
        <v>4</v>
      </c>
      <c r="R4240" s="166">
        <f>IF(Sales[[#This Row],[Status]]="Cancelled",0,Sales[[#This Row],[Total Amount]])</f>
        <v>439573.6</v>
      </c>
      <c r="S4240" s="162">
        <f>SUM(Sales[Net Amount])</f>
        <v>406839287.73200053</v>
      </c>
    </row>
    <row r="4241" spans="1:19" ht="18.75" x14ac:dyDescent="0.25">
      <c r="A4241" s="156" t="s">
        <v>7921</v>
      </c>
      <c r="B4241" s="157">
        <v>45986</v>
      </c>
      <c r="C4241" s="158" t="s">
        <v>656</v>
      </c>
      <c r="D4241" s="159" t="str">
        <f>VLOOKUP(Sales[[#This Row],[Customer ID]],Customer[#All],2,0)</f>
        <v>Rahul Kumar</v>
      </c>
      <c r="E4241" s="158" t="s">
        <v>389</v>
      </c>
      <c r="F4241" s="158" t="str">
        <f>VLOOKUP(Sales[[#This Row],[Product ID]],Product[#All],2,0)</f>
        <v>WD HDD</v>
      </c>
      <c r="G4241" s="159">
        <v>2</v>
      </c>
      <c r="H4241" s="160">
        <f>VLOOKUP(Sales[[#This Row],[Product ID]],Product[#All],7,0)</f>
        <v>10530</v>
      </c>
      <c r="I4241" s="160">
        <f>Sales[[#This Row],[Selling Rate]]*Sales[[#This Row],[Qty]]</f>
        <v>21060</v>
      </c>
      <c r="J4241" s="43">
        <v>0.15</v>
      </c>
      <c r="K4241" s="44">
        <f>Sales[[#This Row],[Gross Amount]]*Sales[[#This Row],[Disc %]]</f>
        <v>3159</v>
      </c>
      <c r="L4241" s="43">
        <v>0.18</v>
      </c>
      <c r="M4241" s="44">
        <f>(Sales[[#This Row],[Gross Amount]]-Sales[[#This Row],[Disc. Amt.]])*Sales[[#This Row],[GST %]]</f>
        <v>3222.18</v>
      </c>
      <c r="N4241" s="161">
        <f>Sales[[#This Row],[Gross Amount]]-Sales[[#This Row],[Disc. Amt.]]+Sales[[#This Row],[GST Amount]]</f>
        <v>21123.18</v>
      </c>
      <c r="O4241" s="158" t="s">
        <v>3566</v>
      </c>
      <c r="P4241" s="158" t="s">
        <v>3562</v>
      </c>
      <c r="Q4241" s="160">
        <f>IF(Sales[[#This Row],[Status]]="Cancelled",0,Sales[[#This Row],[Qty]])</f>
        <v>2</v>
      </c>
      <c r="R4241" s="161">
        <f>IF(Sales[[#This Row],[Status]]="Cancelled",0,Sales[[#This Row],[Total Amount]])</f>
        <v>21123.18</v>
      </c>
      <c r="S4241" s="162">
        <f>SUM(Sales[Net Amount])</f>
        <v>406839287.73200053</v>
      </c>
    </row>
    <row r="4242" spans="1:19" ht="18.75" x14ac:dyDescent="0.25">
      <c r="A4242" s="163" t="s">
        <v>7922</v>
      </c>
      <c r="B4242" s="164">
        <v>45986</v>
      </c>
      <c r="C4242" s="34" t="s">
        <v>708</v>
      </c>
      <c r="D4242" s="53" t="str">
        <f>VLOOKUP(Sales[[#This Row],[Customer ID]],Customer[#All],2,0)</f>
        <v>Amit Verma</v>
      </c>
      <c r="E4242" s="34" t="s">
        <v>506</v>
      </c>
      <c r="F4242" s="34" t="str">
        <f>VLOOKUP(Sales[[#This Row],[Product ID]],Product[#All],2,0)</f>
        <v>Epson Printer</v>
      </c>
      <c r="G4242" s="53">
        <v>1</v>
      </c>
      <c r="H4242" s="165">
        <f>VLOOKUP(Sales[[#This Row],[Product ID]],Product[#All],7,0)</f>
        <v>42690</v>
      </c>
      <c r="I4242" s="165">
        <f>Sales[[#This Row],[Selling Rate]]*Sales[[#This Row],[Qty]]</f>
        <v>42690</v>
      </c>
      <c r="J4242" s="45">
        <v>0.02</v>
      </c>
      <c r="K4242" s="46">
        <f>Sales[[#This Row],[Gross Amount]]*Sales[[#This Row],[Disc %]]</f>
        <v>853.80000000000007</v>
      </c>
      <c r="L4242" s="43">
        <v>0.18</v>
      </c>
      <c r="M4242" s="46">
        <f>(Sales[[#This Row],[Gross Amount]]-Sales[[#This Row],[Disc. Amt.]])*Sales[[#This Row],[GST %]]</f>
        <v>7530.5159999999996</v>
      </c>
      <c r="N4242" s="161">
        <f>Sales[[#This Row],[Gross Amount]]-Sales[[#This Row],[Disc. Amt.]]+Sales[[#This Row],[GST Amount]]</f>
        <v>49366.716</v>
      </c>
      <c r="O4242" s="34" t="s">
        <v>3569</v>
      </c>
      <c r="P4242" s="34" t="s">
        <v>3562</v>
      </c>
      <c r="Q4242" s="165">
        <f>IF(Sales[[#This Row],[Status]]="Cancelled",0,Sales[[#This Row],[Qty]])</f>
        <v>1</v>
      </c>
      <c r="R4242" s="166">
        <f>IF(Sales[[#This Row],[Status]]="Cancelled",0,Sales[[#This Row],[Total Amount]])</f>
        <v>49366.716</v>
      </c>
      <c r="S4242" s="162">
        <f>SUM(Sales[Net Amount])</f>
        <v>406839287.73200053</v>
      </c>
    </row>
    <row r="4243" spans="1:19" ht="18.75" x14ac:dyDescent="0.25">
      <c r="A4243" s="156" t="s">
        <v>7923</v>
      </c>
      <c r="B4243" s="157">
        <v>45986</v>
      </c>
      <c r="C4243" s="158" t="s">
        <v>875</v>
      </c>
      <c r="D4243" s="159" t="str">
        <f>VLOOKUP(Sales[[#This Row],[Customer ID]],Customer[#All],2,0)</f>
        <v>Rahul Verma</v>
      </c>
      <c r="E4243" s="158" t="s">
        <v>203</v>
      </c>
      <c r="F4243" s="158" t="str">
        <f>VLOOKUP(Sales[[#This Row],[Product ID]],Product[#All],2,0)</f>
        <v>Logitech Mouse</v>
      </c>
      <c r="G4243" s="159">
        <v>8</v>
      </c>
      <c r="H4243" s="160">
        <f>VLOOKUP(Sales[[#This Row],[Product ID]],Product[#All],7,0)</f>
        <v>2110</v>
      </c>
      <c r="I4243" s="160">
        <f>Sales[[#This Row],[Selling Rate]]*Sales[[#This Row],[Qty]]</f>
        <v>16880</v>
      </c>
      <c r="J4243" s="43">
        <v>0</v>
      </c>
      <c r="K4243" s="44">
        <f>Sales[[#This Row],[Gross Amount]]*Sales[[#This Row],[Disc %]]</f>
        <v>0</v>
      </c>
      <c r="L4243" s="43">
        <v>0.18</v>
      </c>
      <c r="M4243" s="44">
        <f>(Sales[[#This Row],[Gross Amount]]-Sales[[#This Row],[Disc. Amt.]])*Sales[[#This Row],[GST %]]</f>
        <v>3038.4</v>
      </c>
      <c r="N4243" s="161">
        <f>Sales[[#This Row],[Gross Amount]]-Sales[[#This Row],[Disc. Amt.]]+Sales[[#This Row],[GST Amount]]</f>
        <v>19918.400000000001</v>
      </c>
      <c r="O4243" s="158" t="s">
        <v>8876</v>
      </c>
      <c r="P4243" s="158" t="s">
        <v>3562</v>
      </c>
      <c r="Q4243" s="160">
        <f>IF(Sales[[#This Row],[Status]]="Cancelled",0,Sales[[#This Row],[Qty]])</f>
        <v>8</v>
      </c>
      <c r="R4243" s="161">
        <f>IF(Sales[[#This Row],[Status]]="Cancelled",0,Sales[[#This Row],[Total Amount]])</f>
        <v>19918.400000000001</v>
      </c>
      <c r="S4243" s="162">
        <f>SUM(Sales[Net Amount])</f>
        <v>406839287.73200053</v>
      </c>
    </row>
    <row r="4244" spans="1:19" ht="18.75" x14ac:dyDescent="0.25">
      <c r="A4244" s="163" t="s">
        <v>7924</v>
      </c>
      <c r="B4244" s="164">
        <v>45986</v>
      </c>
      <c r="C4244" s="34" t="s">
        <v>652</v>
      </c>
      <c r="D4244" s="53" t="str">
        <f>VLOOKUP(Sales[[#This Row],[Customer ID]],Customer[#All],2,0)</f>
        <v>Sahil Kumar</v>
      </c>
      <c r="E4244" s="34" t="s">
        <v>387</v>
      </c>
      <c r="F4244" s="34" t="str">
        <f>VLOOKUP(Sales[[#This Row],[Product ID]],Product[#All],2,0)</f>
        <v>HP Printer</v>
      </c>
      <c r="G4244" s="53">
        <v>5</v>
      </c>
      <c r="H4244" s="165">
        <f>VLOOKUP(Sales[[#This Row],[Product ID]],Product[#All],7,0)</f>
        <v>14390</v>
      </c>
      <c r="I4244" s="165">
        <f>Sales[[#This Row],[Selling Rate]]*Sales[[#This Row],[Qty]]</f>
        <v>71950</v>
      </c>
      <c r="J4244" s="45">
        <v>0.1</v>
      </c>
      <c r="K4244" s="46">
        <f>Sales[[#This Row],[Gross Amount]]*Sales[[#This Row],[Disc %]]</f>
        <v>7195</v>
      </c>
      <c r="L4244" s="43">
        <v>0.18</v>
      </c>
      <c r="M4244" s="46">
        <f>(Sales[[#This Row],[Gross Amount]]-Sales[[#This Row],[Disc. Amt.]])*Sales[[#This Row],[GST %]]</f>
        <v>11655.9</v>
      </c>
      <c r="N4244" s="161">
        <f>Sales[[#This Row],[Gross Amount]]-Sales[[#This Row],[Disc. Amt.]]+Sales[[#This Row],[GST Amount]]</f>
        <v>76410.899999999994</v>
      </c>
      <c r="O4244" s="34" t="s">
        <v>3569</v>
      </c>
      <c r="P4244" s="34" t="s">
        <v>3562</v>
      </c>
      <c r="Q4244" s="165">
        <f>IF(Sales[[#This Row],[Status]]="Cancelled",0,Sales[[#This Row],[Qty]])</f>
        <v>5</v>
      </c>
      <c r="R4244" s="166">
        <f>IF(Sales[[#This Row],[Status]]="Cancelled",0,Sales[[#This Row],[Total Amount]])</f>
        <v>76410.899999999994</v>
      </c>
      <c r="S4244" s="162">
        <f>SUM(Sales[Net Amount])</f>
        <v>406839287.73200053</v>
      </c>
    </row>
    <row r="4245" spans="1:19" ht="18.75" x14ac:dyDescent="0.25">
      <c r="A4245" s="156" t="s">
        <v>7925</v>
      </c>
      <c r="B4245" s="157">
        <v>45986</v>
      </c>
      <c r="C4245" s="158" t="s">
        <v>865</v>
      </c>
      <c r="D4245" s="159" t="str">
        <f>VLOOKUP(Sales[[#This Row],[Customer ID]],Customer[#All],2,0)</f>
        <v>Sunita Gupta</v>
      </c>
      <c r="E4245" s="158" t="s">
        <v>504</v>
      </c>
      <c r="F4245" s="158" t="str">
        <f>VLOOKUP(Sales[[#This Row],[Product ID]],Product[#All],2,0)</f>
        <v>Logitech Keyboard</v>
      </c>
      <c r="G4245" s="159">
        <v>4</v>
      </c>
      <c r="H4245" s="160">
        <f>VLOOKUP(Sales[[#This Row],[Product ID]],Product[#All],7,0)</f>
        <v>3930</v>
      </c>
      <c r="I4245" s="160">
        <f>Sales[[#This Row],[Selling Rate]]*Sales[[#This Row],[Qty]]</f>
        <v>15720</v>
      </c>
      <c r="J4245" s="43">
        <v>0</v>
      </c>
      <c r="K4245" s="44">
        <f>Sales[[#This Row],[Gross Amount]]*Sales[[#This Row],[Disc %]]</f>
        <v>0</v>
      </c>
      <c r="L4245" s="43">
        <v>0.18</v>
      </c>
      <c r="M4245" s="44">
        <f>(Sales[[#This Row],[Gross Amount]]-Sales[[#This Row],[Disc. Amt.]])*Sales[[#This Row],[GST %]]</f>
        <v>2829.6</v>
      </c>
      <c r="N4245" s="161">
        <f>Sales[[#This Row],[Gross Amount]]-Sales[[#This Row],[Disc. Amt.]]+Sales[[#This Row],[GST Amount]]</f>
        <v>18549.599999999999</v>
      </c>
      <c r="O4245" s="158" t="s">
        <v>3569</v>
      </c>
      <c r="P4245" s="158" t="s">
        <v>3562</v>
      </c>
      <c r="Q4245" s="160">
        <f>IF(Sales[[#This Row],[Status]]="Cancelled",0,Sales[[#This Row],[Qty]])</f>
        <v>4</v>
      </c>
      <c r="R4245" s="161">
        <f>IF(Sales[[#This Row],[Status]]="Cancelled",0,Sales[[#This Row],[Total Amount]])</f>
        <v>18549.599999999999</v>
      </c>
      <c r="S4245" s="162">
        <f>SUM(Sales[Net Amount])</f>
        <v>406839287.73200053</v>
      </c>
    </row>
    <row r="4246" spans="1:19" ht="18.75" x14ac:dyDescent="0.25">
      <c r="A4246" s="163" t="s">
        <v>7926</v>
      </c>
      <c r="B4246" s="164">
        <v>45986</v>
      </c>
      <c r="C4246" s="34" t="s">
        <v>5923</v>
      </c>
      <c r="D4246" s="53" t="str">
        <f>VLOOKUP(Sales[[#This Row],[Customer ID]],Customer[#All],2,0)</f>
        <v>Neha Verma</v>
      </c>
      <c r="E4246" s="34" t="s">
        <v>431</v>
      </c>
      <c r="F4246" s="34" t="str">
        <f>VLOOKUP(Sales[[#This Row],[Product ID]],Product[#All],2,0)</f>
        <v>Canon Printer</v>
      </c>
      <c r="G4246" s="53">
        <v>7</v>
      </c>
      <c r="H4246" s="165">
        <f>VLOOKUP(Sales[[#This Row],[Product ID]],Product[#All],7,0)</f>
        <v>17260</v>
      </c>
      <c r="I4246" s="165">
        <f>Sales[[#This Row],[Selling Rate]]*Sales[[#This Row],[Qty]]</f>
        <v>120820</v>
      </c>
      <c r="J4246" s="45">
        <v>0.15</v>
      </c>
      <c r="K4246" s="46">
        <f>Sales[[#This Row],[Gross Amount]]*Sales[[#This Row],[Disc %]]</f>
        <v>18123</v>
      </c>
      <c r="L4246" s="43">
        <v>0.18</v>
      </c>
      <c r="M4246" s="46">
        <f>(Sales[[#This Row],[Gross Amount]]-Sales[[#This Row],[Disc. Amt.]])*Sales[[#This Row],[GST %]]</f>
        <v>18485.46</v>
      </c>
      <c r="N4246" s="161">
        <f>Sales[[#This Row],[Gross Amount]]-Sales[[#This Row],[Disc. Amt.]]+Sales[[#This Row],[GST Amount]]</f>
        <v>121182.45999999999</v>
      </c>
      <c r="O4246" s="34" t="s">
        <v>8876</v>
      </c>
      <c r="P4246" s="34" t="s">
        <v>3562</v>
      </c>
      <c r="Q4246" s="165">
        <f>IF(Sales[[#This Row],[Status]]="Cancelled",0,Sales[[#This Row],[Qty]])</f>
        <v>7</v>
      </c>
      <c r="R4246" s="166">
        <f>IF(Sales[[#This Row],[Status]]="Cancelled",0,Sales[[#This Row],[Total Amount]])</f>
        <v>121182.45999999999</v>
      </c>
      <c r="S4246" s="162">
        <f>SUM(Sales[Net Amount])</f>
        <v>406839287.73200053</v>
      </c>
    </row>
    <row r="4247" spans="1:19" ht="18.75" x14ac:dyDescent="0.25">
      <c r="A4247" s="156" t="s">
        <v>7927</v>
      </c>
      <c r="B4247" s="157">
        <v>45986</v>
      </c>
      <c r="C4247" s="158" t="s">
        <v>723</v>
      </c>
      <c r="D4247" s="159" t="str">
        <f>VLOOKUP(Sales[[#This Row],[Customer ID]],Customer[#All],2,0)</f>
        <v>Sahil Gupta</v>
      </c>
      <c r="E4247" s="158" t="s">
        <v>478</v>
      </c>
      <c r="F4247" s="158" t="str">
        <f>VLOOKUP(Sales[[#This Row],[Product ID]],Product[#All],2,0)</f>
        <v>American TouristerLaptopBag</v>
      </c>
      <c r="G4247" s="159">
        <v>7</v>
      </c>
      <c r="H4247" s="160">
        <f>VLOOKUP(Sales[[#This Row],[Product ID]],Product[#All],7,0)</f>
        <v>6010</v>
      </c>
      <c r="I4247" s="160">
        <f>Sales[[#This Row],[Selling Rate]]*Sales[[#This Row],[Qty]]</f>
        <v>42070</v>
      </c>
      <c r="J4247" s="43">
        <v>0.12</v>
      </c>
      <c r="K4247" s="44">
        <f>Sales[[#This Row],[Gross Amount]]*Sales[[#This Row],[Disc %]]</f>
        <v>5048.3999999999996</v>
      </c>
      <c r="L4247" s="43">
        <v>0.18</v>
      </c>
      <c r="M4247" s="44">
        <f>(Sales[[#This Row],[Gross Amount]]-Sales[[#This Row],[Disc. Amt.]])*Sales[[#This Row],[GST %]]</f>
        <v>6663.8879999999999</v>
      </c>
      <c r="N4247" s="161">
        <f>Sales[[#This Row],[Gross Amount]]-Sales[[#This Row],[Disc. Amt.]]+Sales[[#This Row],[GST Amount]]</f>
        <v>43685.487999999998</v>
      </c>
      <c r="O4247" s="158" t="s">
        <v>3566</v>
      </c>
      <c r="P4247" s="158" t="s">
        <v>3562</v>
      </c>
      <c r="Q4247" s="160">
        <f>IF(Sales[[#This Row],[Status]]="Cancelled",0,Sales[[#This Row],[Qty]])</f>
        <v>7</v>
      </c>
      <c r="R4247" s="161">
        <f>IF(Sales[[#This Row],[Status]]="Cancelled",0,Sales[[#This Row],[Total Amount]])</f>
        <v>43685.487999999998</v>
      </c>
      <c r="S4247" s="162">
        <f>SUM(Sales[Net Amount])</f>
        <v>406839287.73200053</v>
      </c>
    </row>
    <row r="4248" spans="1:19" ht="18.75" x14ac:dyDescent="0.25">
      <c r="A4248" s="163" t="s">
        <v>7928</v>
      </c>
      <c r="B4248" s="164">
        <v>45986</v>
      </c>
      <c r="C4248" s="34" t="s">
        <v>790</v>
      </c>
      <c r="D4248" s="53" t="str">
        <f>VLOOKUP(Sales[[#This Row],[Customer ID]],Customer[#All],2,0)</f>
        <v>Pooja Gupta</v>
      </c>
      <c r="E4248" s="34" t="s">
        <v>343</v>
      </c>
      <c r="F4248" s="34" t="str">
        <f>VLOOKUP(Sales[[#This Row],[Product ID]],Product[#All],2,0)</f>
        <v>Portronics USB Cable</v>
      </c>
      <c r="G4248" s="53">
        <v>2</v>
      </c>
      <c r="H4248" s="165">
        <f>VLOOKUP(Sales[[#This Row],[Product ID]],Product[#All],7,0)</f>
        <v>780</v>
      </c>
      <c r="I4248" s="165">
        <f>Sales[[#This Row],[Selling Rate]]*Sales[[#This Row],[Qty]]</f>
        <v>1560</v>
      </c>
      <c r="J4248" s="45">
        <v>0.12</v>
      </c>
      <c r="K4248" s="46">
        <f>Sales[[#This Row],[Gross Amount]]*Sales[[#This Row],[Disc %]]</f>
        <v>187.2</v>
      </c>
      <c r="L4248" s="43">
        <v>0.18</v>
      </c>
      <c r="M4248" s="46">
        <f>(Sales[[#This Row],[Gross Amount]]-Sales[[#This Row],[Disc. Amt.]])*Sales[[#This Row],[GST %]]</f>
        <v>247.10399999999998</v>
      </c>
      <c r="N4248" s="161">
        <f>Sales[[#This Row],[Gross Amount]]-Sales[[#This Row],[Disc. Amt.]]+Sales[[#This Row],[GST Amount]]</f>
        <v>1619.904</v>
      </c>
      <c r="O4248" s="34" t="s">
        <v>3566</v>
      </c>
      <c r="P4248" s="34" t="s">
        <v>3562</v>
      </c>
      <c r="Q4248" s="165">
        <f>IF(Sales[[#This Row],[Status]]="Cancelled",0,Sales[[#This Row],[Qty]])</f>
        <v>2</v>
      </c>
      <c r="R4248" s="166">
        <f>IF(Sales[[#This Row],[Status]]="Cancelled",0,Sales[[#This Row],[Total Amount]])</f>
        <v>1619.904</v>
      </c>
      <c r="S4248" s="162">
        <f>SUM(Sales[Net Amount])</f>
        <v>406839287.73200053</v>
      </c>
    </row>
    <row r="4249" spans="1:19" ht="18.75" x14ac:dyDescent="0.25">
      <c r="A4249" s="156" t="s">
        <v>7929</v>
      </c>
      <c r="B4249" s="157">
        <v>45986</v>
      </c>
      <c r="C4249" s="158" t="s">
        <v>716</v>
      </c>
      <c r="D4249" s="159" t="str">
        <f>VLOOKUP(Sales[[#This Row],[Customer ID]],Customer[#All],2,0)</f>
        <v>Ankit Kumar</v>
      </c>
      <c r="E4249" s="158" t="s">
        <v>427</v>
      </c>
      <c r="F4249" s="158" t="str">
        <f>VLOOKUP(Sales[[#This Row],[Product ID]],Product[#All],2,0)</f>
        <v>Logitech Mouse</v>
      </c>
      <c r="G4249" s="159">
        <v>4</v>
      </c>
      <c r="H4249" s="160">
        <f>VLOOKUP(Sales[[#This Row],[Product ID]],Product[#All],7,0)</f>
        <v>1190</v>
      </c>
      <c r="I4249" s="160">
        <f>Sales[[#This Row],[Selling Rate]]*Sales[[#This Row],[Qty]]</f>
        <v>4760</v>
      </c>
      <c r="J4249" s="43">
        <v>0.05</v>
      </c>
      <c r="K4249" s="44">
        <f>Sales[[#This Row],[Gross Amount]]*Sales[[#This Row],[Disc %]]</f>
        <v>238</v>
      </c>
      <c r="L4249" s="43">
        <v>0.18</v>
      </c>
      <c r="M4249" s="44">
        <f>(Sales[[#This Row],[Gross Amount]]-Sales[[#This Row],[Disc. Amt.]])*Sales[[#This Row],[GST %]]</f>
        <v>813.95999999999992</v>
      </c>
      <c r="N4249" s="161">
        <f>Sales[[#This Row],[Gross Amount]]-Sales[[#This Row],[Disc. Amt.]]+Sales[[#This Row],[GST Amount]]</f>
        <v>5335.96</v>
      </c>
      <c r="O4249" s="158" t="s">
        <v>3569</v>
      </c>
      <c r="P4249" s="158" t="s">
        <v>3562</v>
      </c>
      <c r="Q4249" s="160">
        <f>IF(Sales[[#This Row],[Status]]="Cancelled",0,Sales[[#This Row],[Qty]])</f>
        <v>4</v>
      </c>
      <c r="R4249" s="161">
        <f>IF(Sales[[#This Row],[Status]]="Cancelled",0,Sales[[#This Row],[Total Amount]])</f>
        <v>5335.96</v>
      </c>
      <c r="S4249" s="162">
        <f>SUM(Sales[Net Amount])</f>
        <v>406839287.73200053</v>
      </c>
    </row>
    <row r="4250" spans="1:19" ht="18.75" x14ac:dyDescent="0.25">
      <c r="A4250" s="163" t="s">
        <v>7930</v>
      </c>
      <c r="B4250" s="164">
        <v>45986</v>
      </c>
      <c r="C4250" s="34" t="s">
        <v>895</v>
      </c>
      <c r="D4250" s="53" t="str">
        <f>VLOOKUP(Sales[[#This Row],[Customer ID]],Customer[#All],2,0)</f>
        <v>Pooja Patel</v>
      </c>
      <c r="E4250" s="34" t="s">
        <v>265</v>
      </c>
      <c r="F4250" s="34" t="str">
        <f>VLOOKUP(Sales[[#This Row],[Product ID]],Product[#All],2,0)</f>
        <v>Canon Printer</v>
      </c>
      <c r="G4250" s="53">
        <v>1</v>
      </c>
      <c r="H4250" s="165">
        <f>VLOOKUP(Sales[[#This Row],[Product ID]],Product[#All],7,0)</f>
        <v>33970</v>
      </c>
      <c r="I4250" s="165">
        <f>Sales[[#This Row],[Selling Rate]]*Sales[[#This Row],[Qty]]</f>
        <v>33970</v>
      </c>
      <c r="J4250" s="45">
        <v>0.1</v>
      </c>
      <c r="K4250" s="46">
        <f>Sales[[#This Row],[Gross Amount]]*Sales[[#This Row],[Disc %]]</f>
        <v>3397</v>
      </c>
      <c r="L4250" s="43">
        <v>0.18</v>
      </c>
      <c r="M4250" s="46">
        <f>(Sales[[#This Row],[Gross Amount]]-Sales[[#This Row],[Disc. Amt.]])*Sales[[#This Row],[GST %]]</f>
        <v>5503.1399999999994</v>
      </c>
      <c r="N4250" s="161">
        <f>Sales[[#This Row],[Gross Amount]]-Sales[[#This Row],[Disc. Amt.]]+Sales[[#This Row],[GST Amount]]</f>
        <v>36076.14</v>
      </c>
      <c r="O4250" s="34" t="s">
        <v>3566</v>
      </c>
      <c r="P4250" s="34" t="s">
        <v>3562</v>
      </c>
      <c r="Q4250" s="165">
        <f>IF(Sales[[#This Row],[Status]]="Cancelled",0,Sales[[#This Row],[Qty]])</f>
        <v>1</v>
      </c>
      <c r="R4250" s="166">
        <f>IF(Sales[[#This Row],[Status]]="Cancelled",0,Sales[[#This Row],[Total Amount]])</f>
        <v>36076.14</v>
      </c>
      <c r="S4250" s="162">
        <f>SUM(Sales[Net Amount])</f>
        <v>406839287.73200053</v>
      </c>
    </row>
    <row r="4251" spans="1:19" ht="18.75" x14ac:dyDescent="0.25">
      <c r="A4251" s="156" t="s">
        <v>7931</v>
      </c>
      <c r="B4251" s="157">
        <v>45986</v>
      </c>
      <c r="C4251" s="158" t="s">
        <v>728</v>
      </c>
      <c r="D4251" s="159" t="str">
        <f>VLOOKUP(Sales[[#This Row],[Customer ID]],Customer[#All],2,0)</f>
        <v>Rahul Gupta</v>
      </c>
      <c r="E4251" s="158" t="s">
        <v>189</v>
      </c>
      <c r="F4251" s="158" t="str">
        <f>VLOOKUP(Sales[[#This Row],[Product ID]],Product[#All],2,0)</f>
        <v>Boat Headset</v>
      </c>
      <c r="G4251" s="159">
        <v>6</v>
      </c>
      <c r="H4251" s="160">
        <f>VLOOKUP(Sales[[#This Row],[Product ID]],Product[#All],7,0)</f>
        <v>1610</v>
      </c>
      <c r="I4251" s="160">
        <f>Sales[[#This Row],[Selling Rate]]*Sales[[#This Row],[Qty]]</f>
        <v>9660</v>
      </c>
      <c r="J4251" s="43">
        <v>0.12</v>
      </c>
      <c r="K4251" s="44">
        <f>Sales[[#This Row],[Gross Amount]]*Sales[[#This Row],[Disc %]]</f>
        <v>1159.2</v>
      </c>
      <c r="L4251" s="43">
        <v>0.18</v>
      </c>
      <c r="M4251" s="44">
        <f>(Sales[[#This Row],[Gross Amount]]-Sales[[#This Row],[Disc. Amt.]])*Sales[[#This Row],[GST %]]</f>
        <v>1530.1439999999998</v>
      </c>
      <c r="N4251" s="161">
        <f>Sales[[#This Row],[Gross Amount]]-Sales[[#This Row],[Disc. Amt.]]+Sales[[#This Row],[GST Amount]]</f>
        <v>10030.944</v>
      </c>
      <c r="O4251" s="158" t="s">
        <v>3566</v>
      </c>
      <c r="P4251" s="158" t="s">
        <v>3562</v>
      </c>
      <c r="Q4251" s="160">
        <f>IF(Sales[[#This Row],[Status]]="Cancelled",0,Sales[[#This Row],[Qty]])</f>
        <v>6</v>
      </c>
      <c r="R4251" s="161">
        <f>IF(Sales[[#This Row],[Status]]="Cancelled",0,Sales[[#This Row],[Total Amount]])</f>
        <v>10030.944</v>
      </c>
      <c r="S4251" s="162">
        <f>SUM(Sales[Net Amount])</f>
        <v>406839287.73200053</v>
      </c>
    </row>
    <row r="4252" spans="1:19" ht="18.75" x14ac:dyDescent="0.25">
      <c r="A4252" s="163" t="s">
        <v>7932</v>
      </c>
      <c r="B4252" s="164">
        <v>45986</v>
      </c>
      <c r="C4252" s="34" t="s">
        <v>838</v>
      </c>
      <c r="D4252" s="53" t="str">
        <f>VLOOKUP(Sales[[#This Row],[Customer ID]],Customer[#All],2,0)</f>
        <v>Priya Gupta</v>
      </c>
      <c r="E4252" s="34" t="s">
        <v>260</v>
      </c>
      <c r="F4252" s="34" t="str">
        <f>VLOOKUP(Sales[[#This Row],[Product ID]],Product[#All],2,0)</f>
        <v>Corsair Ram</v>
      </c>
      <c r="G4252" s="53">
        <v>4</v>
      </c>
      <c r="H4252" s="165">
        <f>VLOOKUP(Sales[[#This Row],[Product ID]],Product[#All],7,0)</f>
        <v>6010</v>
      </c>
      <c r="I4252" s="165">
        <f>Sales[[#This Row],[Selling Rate]]*Sales[[#This Row],[Qty]]</f>
        <v>24040</v>
      </c>
      <c r="J4252" s="45">
        <v>0</v>
      </c>
      <c r="K4252" s="46">
        <f>Sales[[#This Row],[Gross Amount]]*Sales[[#This Row],[Disc %]]</f>
        <v>0</v>
      </c>
      <c r="L4252" s="43">
        <v>0.18</v>
      </c>
      <c r="M4252" s="46">
        <f>(Sales[[#This Row],[Gross Amount]]-Sales[[#This Row],[Disc. Amt.]])*Sales[[#This Row],[GST %]]</f>
        <v>4327.2</v>
      </c>
      <c r="N4252" s="161">
        <f>Sales[[#This Row],[Gross Amount]]-Sales[[#This Row],[Disc. Amt.]]+Sales[[#This Row],[GST Amount]]</f>
        <v>28367.200000000001</v>
      </c>
      <c r="O4252" s="34" t="s">
        <v>8876</v>
      </c>
      <c r="P4252" s="34" t="s">
        <v>3562</v>
      </c>
      <c r="Q4252" s="165">
        <f>IF(Sales[[#This Row],[Status]]="Cancelled",0,Sales[[#This Row],[Qty]])</f>
        <v>4</v>
      </c>
      <c r="R4252" s="166">
        <f>IF(Sales[[#This Row],[Status]]="Cancelled",0,Sales[[#This Row],[Total Amount]])</f>
        <v>28367.200000000001</v>
      </c>
      <c r="S4252" s="162">
        <f>SUM(Sales[Net Amount])</f>
        <v>406839287.73200053</v>
      </c>
    </row>
    <row r="4253" spans="1:19" ht="18.75" x14ac:dyDescent="0.25">
      <c r="A4253" s="156" t="s">
        <v>7933</v>
      </c>
      <c r="B4253" s="157">
        <v>45986</v>
      </c>
      <c r="C4253" s="158" t="s">
        <v>911</v>
      </c>
      <c r="D4253" s="159" t="str">
        <f>VLOOKUP(Sales[[#This Row],[Customer ID]],Customer[#All],2,0)</f>
        <v>Amit Kumar</v>
      </c>
      <c r="E4253" s="158" t="s">
        <v>114</v>
      </c>
      <c r="F4253" s="158" t="str">
        <f>VLOOKUP(Sales[[#This Row],[Product ID]],Product[#All],2,0)</f>
        <v>Apc UPS</v>
      </c>
      <c r="G4253" s="159">
        <v>7</v>
      </c>
      <c r="H4253" s="160">
        <f>VLOOKUP(Sales[[#This Row],[Product ID]],Product[#All],7,0)</f>
        <v>17310</v>
      </c>
      <c r="I4253" s="160">
        <f>Sales[[#This Row],[Selling Rate]]*Sales[[#This Row],[Qty]]</f>
        <v>121170</v>
      </c>
      <c r="J4253" s="43">
        <v>0.12</v>
      </c>
      <c r="K4253" s="44">
        <f>Sales[[#This Row],[Gross Amount]]*Sales[[#This Row],[Disc %]]</f>
        <v>14540.4</v>
      </c>
      <c r="L4253" s="43">
        <v>0.18</v>
      </c>
      <c r="M4253" s="44">
        <f>(Sales[[#This Row],[Gross Amount]]-Sales[[#This Row],[Disc. Amt.]])*Sales[[#This Row],[GST %]]</f>
        <v>19193.328000000001</v>
      </c>
      <c r="N4253" s="161">
        <f>Sales[[#This Row],[Gross Amount]]-Sales[[#This Row],[Disc. Amt.]]+Sales[[#This Row],[GST Amount]]</f>
        <v>125822.92800000001</v>
      </c>
      <c r="O4253" s="158" t="s">
        <v>3566</v>
      </c>
      <c r="P4253" s="158" t="s">
        <v>3562</v>
      </c>
      <c r="Q4253" s="160">
        <f>IF(Sales[[#This Row],[Status]]="Cancelled",0,Sales[[#This Row],[Qty]])</f>
        <v>7</v>
      </c>
      <c r="R4253" s="161">
        <f>IF(Sales[[#This Row],[Status]]="Cancelled",0,Sales[[#This Row],[Total Amount]])</f>
        <v>125822.92800000001</v>
      </c>
      <c r="S4253" s="162">
        <f>SUM(Sales[Net Amount])</f>
        <v>406839287.73200053</v>
      </c>
    </row>
    <row r="4254" spans="1:19" ht="18.75" x14ac:dyDescent="0.25">
      <c r="A4254" s="163" t="s">
        <v>7934</v>
      </c>
      <c r="B4254" s="164">
        <v>45986</v>
      </c>
      <c r="C4254" s="34" t="s">
        <v>827</v>
      </c>
      <c r="D4254" s="53" t="str">
        <f>VLOOKUP(Sales[[#This Row],[Customer ID]],Customer[#All],2,0)</f>
        <v>Ankit Gupta</v>
      </c>
      <c r="E4254" s="34" t="s">
        <v>314</v>
      </c>
      <c r="F4254" s="34" t="str">
        <f>VLOOKUP(Sales[[#This Row],[Product ID]],Product[#All],2,0)</f>
        <v>Dell Desktop</v>
      </c>
      <c r="G4254" s="53">
        <v>8</v>
      </c>
      <c r="H4254" s="165">
        <f>VLOOKUP(Sales[[#This Row],[Product ID]],Product[#All],7,0)</f>
        <v>59580</v>
      </c>
      <c r="I4254" s="165">
        <f>Sales[[#This Row],[Selling Rate]]*Sales[[#This Row],[Qty]]</f>
        <v>476640</v>
      </c>
      <c r="J4254" s="45">
        <v>0.15</v>
      </c>
      <c r="K4254" s="46">
        <f>Sales[[#This Row],[Gross Amount]]*Sales[[#This Row],[Disc %]]</f>
        <v>71496</v>
      </c>
      <c r="L4254" s="43">
        <v>0.18</v>
      </c>
      <c r="M4254" s="46">
        <f>(Sales[[#This Row],[Gross Amount]]-Sales[[#This Row],[Disc. Amt.]])*Sales[[#This Row],[GST %]]</f>
        <v>72925.919999999998</v>
      </c>
      <c r="N4254" s="161">
        <f>Sales[[#This Row],[Gross Amount]]-Sales[[#This Row],[Disc. Amt.]]+Sales[[#This Row],[GST Amount]]</f>
        <v>478069.92</v>
      </c>
      <c r="O4254" s="34" t="s">
        <v>3569</v>
      </c>
      <c r="P4254" s="34" t="s">
        <v>3562</v>
      </c>
      <c r="Q4254" s="165">
        <f>IF(Sales[[#This Row],[Status]]="Cancelled",0,Sales[[#This Row],[Qty]])</f>
        <v>8</v>
      </c>
      <c r="R4254" s="166">
        <f>IF(Sales[[#This Row],[Status]]="Cancelled",0,Sales[[#This Row],[Total Amount]])</f>
        <v>478069.92</v>
      </c>
      <c r="S4254" s="162">
        <f>SUM(Sales[Net Amount])</f>
        <v>406839287.73200053</v>
      </c>
    </row>
    <row r="4255" spans="1:19" ht="18.75" x14ac:dyDescent="0.25">
      <c r="A4255" s="156" t="s">
        <v>7935</v>
      </c>
      <c r="B4255" s="157">
        <v>45986</v>
      </c>
      <c r="C4255" s="158" t="s">
        <v>899</v>
      </c>
      <c r="D4255" s="159" t="str">
        <f>VLOOKUP(Sales[[#This Row],[Customer ID]],Customer[#All],2,0)</f>
        <v>Sunita Verma</v>
      </c>
      <c r="E4255" s="158" t="s">
        <v>450</v>
      </c>
      <c r="F4255" s="158" t="str">
        <f>VLOOKUP(Sales[[#This Row],[Product ID]],Product[#All],2,0)</f>
        <v>TP-link Bluetooth Adapter</v>
      </c>
      <c r="G4255" s="159">
        <v>6</v>
      </c>
      <c r="H4255" s="160">
        <f>VLOOKUP(Sales[[#This Row],[Product ID]],Product[#All],7,0)</f>
        <v>1270</v>
      </c>
      <c r="I4255" s="160">
        <f>Sales[[#This Row],[Selling Rate]]*Sales[[#This Row],[Qty]]</f>
        <v>7620</v>
      </c>
      <c r="J4255" s="43">
        <v>0.12</v>
      </c>
      <c r="K4255" s="44">
        <f>Sales[[#This Row],[Gross Amount]]*Sales[[#This Row],[Disc %]]</f>
        <v>914.4</v>
      </c>
      <c r="L4255" s="43">
        <v>0.18</v>
      </c>
      <c r="M4255" s="44">
        <f>(Sales[[#This Row],[Gross Amount]]-Sales[[#This Row],[Disc. Amt.]])*Sales[[#This Row],[GST %]]</f>
        <v>1207.008</v>
      </c>
      <c r="N4255" s="161">
        <f>Sales[[#This Row],[Gross Amount]]-Sales[[#This Row],[Disc. Amt.]]+Sales[[#This Row],[GST Amount]]</f>
        <v>7912.6080000000002</v>
      </c>
      <c r="O4255" s="158" t="s">
        <v>3561</v>
      </c>
      <c r="P4255" s="158" t="s">
        <v>3562</v>
      </c>
      <c r="Q4255" s="160">
        <f>IF(Sales[[#This Row],[Status]]="Cancelled",0,Sales[[#This Row],[Qty]])</f>
        <v>6</v>
      </c>
      <c r="R4255" s="161">
        <f>IF(Sales[[#This Row],[Status]]="Cancelled",0,Sales[[#This Row],[Total Amount]])</f>
        <v>7912.6080000000002</v>
      </c>
      <c r="S4255" s="162">
        <f>SUM(Sales[Net Amount])</f>
        <v>406839287.73200053</v>
      </c>
    </row>
    <row r="4256" spans="1:19" ht="18.75" x14ac:dyDescent="0.25">
      <c r="A4256" s="163" t="s">
        <v>7936</v>
      </c>
      <c r="B4256" s="164">
        <v>45986</v>
      </c>
      <c r="C4256" s="34" t="s">
        <v>830</v>
      </c>
      <c r="D4256" s="53" t="str">
        <f>VLOOKUP(Sales[[#This Row],[Customer ID]],Customer[#All],2,0)</f>
        <v>Rakesh Singh</v>
      </c>
      <c r="E4256" s="34" t="s">
        <v>293</v>
      </c>
      <c r="F4256" s="34" t="str">
        <f>VLOOKUP(Sales[[#This Row],[Product ID]],Product[#All],2,0)</f>
        <v>Samsung Ssd</v>
      </c>
      <c r="G4256" s="53">
        <v>7</v>
      </c>
      <c r="H4256" s="165">
        <f>VLOOKUP(Sales[[#This Row],[Product ID]],Product[#All],7,0)</f>
        <v>8530</v>
      </c>
      <c r="I4256" s="165">
        <f>Sales[[#This Row],[Selling Rate]]*Sales[[#This Row],[Qty]]</f>
        <v>59710</v>
      </c>
      <c r="J4256" s="45">
        <v>0.1</v>
      </c>
      <c r="K4256" s="46">
        <f>Sales[[#This Row],[Gross Amount]]*Sales[[#This Row],[Disc %]]</f>
        <v>5971</v>
      </c>
      <c r="L4256" s="43">
        <v>0.18</v>
      </c>
      <c r="M4256" s="46">
        <f>(Sales[[#This Row],[Gross Amount]]-Sales[[#This Row],[Disc. Amt.]])*Sales[[#This Row],[GST %]]</f>
        <v>9673.02</v>
      </c>
      <c r="N4256" s="161">
        <f>Sales[[#This Row],[Gross Amount]]-Sales[[#This Row],[Disc. Amt.]]+Sales[[#This Row],[GST Amount]]</f>
        <v>63412.020000000004</v>
      </c>
      <c r="O4256" s="34" t="s">
        <v>8876</v>
      </c>
      <c r="P4256" s="34" t="s">
        <v>3562</v>
      </c>
      <c r="Q4256" s="165">
        <f>IF(Sales[[#This Row],[Status]]="Cancelled",0,Sales[[#This Row],[Qty]])</f>
        <v>7</v>
      </c>
      <c r="R4256" s="166">
        <f>IF(Sales[[#This Row],[Status]]="Cancelled",0,Sales[[#This Row],[Total Amount]])</f>
        <v>63412.020000000004</v>
      </c>
      <c r="S4256" s="162">
        <f>SUM(Sales[Net Amount])</f>
        <v>406839287.73200053</v>
      </c>
    </row>
    <row r="4257" spans="1:19" ht="18.75" x14ac:dyDescent="0.25">
      <c r="A4257" s="156" t="s">
        <v>7937</v>
      </c>
      <c r="B4257" s="157">
        <v>45987</v>
      </c>
      <c r="C4257" s="158" t="s">
        <v>860</v>
      </c>
      <c r="D4257" s="159" t="str">
        <f>VLOOKUP(Sales[[#This Row],[Customer ID]],Customer[#All],2,0)</f>
        <v>Rakesh Verma</v>
      </c>
      <c r="E4257" s="158" t="s">
        <v>157</v>
      </c>
      <c r="F4257" s="158" t="str">
        <f>VLOOKUP(Sales[[#This Row],[Product ID]],Product[#All],2,0)</f>
        <v>Epson Printer</v>
      </c>
      <c r="G4257" s="159">
        <v>7</v>
      </c>
      <c r="H4257" s="160">
        <f>VLOOKUP(Sales[[#This Row],[Product ID]],Product[#All],7,0)</f>
        <v>12100</v>
      </c>
      <c r="I4257" s="160">
        <f>Sales[[#This Row],[Selling Rate]]*Sales[[#This Row],[Qty]]</f>
        <v>84700</v>
      </c>
      <c r="J4257" s="43">
        <v>0</v>
      </c>
      <c r="K4257" s="44">
        <f>Sales[[#This Row],[Gross Amount]]*Sales[[#This Row],[Disc %]]</f>
        <v>0</v>
      </c>
      <c r="L4257" s="43">
        <v>0.18</v>
      </c>
      <c r="M4257" s="44">
        <f>(Sales[[#This Row],[Gross Amount]]-Sales[[#This Row],[Disc. Amt.]])*Sales[[#This Row],[GST %]]</f>
        <v>15246</v>
      </c>
      <c r="N4257" s="161">
        <f>Sales[[#This Row],[Gross Amount]]-Sales[[#This Row],[Disc. Amt.]]+Sales[[#This Row],[GST Amount]]</f>
        <v>99946</v>
      </c>
      <c r="O4257" s="158" t="s">
        <v>3566</v>
      </c>
      <c r="P4257" s="158" t="s">
        <v>3562</v>
      </c>
      <c r="Q4257" s="160">
        <f>IF(Sales[[#This Row],[Status]]="Cancelled",0,Sales[[#This Row],[Qty]])</f>
        <v>7</v>
      </c>
      <c r="R4257" s="161">
        <f>IF(Sales[[#This Row],[Status]]="Cancelled",0,Sales[[#This Row],[Total Amount]])</f>
        <v>99946</v>
      </c>
      <c r="S4257" s="162">
        <f>SUM(Sales[Net Amount])</f>
        <v>406839287.73200053</v>
      </c>
    </row>
    <row r="4258" spans="1:19" ht="18.75" x14ac:dyDescent="0.25">
      <c r="A4258" s="163" t="s">
        <v>7938</v>
      </c>
      <c r="B4258" s="164">
        <v>45987</v>
      </c>
      <c r="C4258" s="34" t="s">
        <v>896</v>
      </c>
      <c r="D4258" s="53" t="str">
        <f>VLOOKUP(Sales[[#This Row],[Customer ID]],Customer[#All],2,0)</f>
        <v>Amit Gupta</v>
      </c>
      <c r="E4258" s="34" t="s">
        <v>191</v>
      </c>
      <c r="F4258" s="34" t="str">
        <f>VLOOKUP(Sales[[#This Row],[Product ID]],Product[#All],2,0)</f>
        <v>Logitech Keyboard</v>
      </c>
      <c r="G4258" s="53">
        <v>4</v>
      </c>
      <c r="H4258" s="165">
        <f>VLOOKUP(Sales[[#This Row],[Product ID]],Product[#All],7,0)</f>
        <v>2000</v>
      </c>
      <c r="I4258" s="165">
        <f>Sales[[#This Row],[Selling Rate]]*Sales[[#This Row],[Qty]]</f>
        <v>8000</v>
      </c>
      <c r="J4258" s="45">
        <v>0.05</v>
      </c>
      <c r="K4258" s="46">
        <f>Sales[[#This Row],[Gross Amount]]*Sales[[#This Row],[Disc %]]</f>
        <v>400</v>
      </c>
      <c r="L4258" s="43">
        <v>0.18</v>
      </c>
      <c r="M4258" s="46">
        <f>(Sales[[#This Row],[Gross Amount]]-Sales[[#This Row],[Disc. Amt.]])*Sales[[#This Row],[GST %]]</f>
        <v>1368</v>
      </c>
      <c r="N4258" s="161">
        <f>Sales[[#This Row],[Gross Amount]]-Sales[[#This Row],[Disc. Amt.]]+Sales[[#This Row],[GST Amount]]</f>
        <v>8968</v>
      </c>
      <c r="O4258" s="34" t="s">
        <v>3561</v>
      </c>
      <c r="P4258" s="34" t="s">
        <v>3562</v>
      </c>
      <c r="Q4258" s="165">
        <f>IF(Sales[[#This Row],[Status]]="Cancelled",0,Sales[[#This Row],[Qty]])</f>
        <v>4</v>
      </c>
      <c r="R4258" s="166">
        <f>IF(Sales[[#This Row],[Status]]="Cancelled",0,Sales[[#This Row],[Total Amount]])</f>
        <v>8968</v>
      </c>
      <c r="S4258" s="162">
        <f>SUM(Sales[Net Amount])</f>
        <v>406839287.73200053</v>
      </c>
    </row>
    <row r="4259" spans="1:19" ht="18.75" x14ac:dyDescent="0.25">
      <c r="A4259" s="156" t="s">
        <v>7939</v>
      </c>
      <c r="B4259" s="157">
        <v>45987</v>
      </c>
      <c r="C4259" s="158" t="s">
        <v>757</v>
      </c>
      <c r="D4259" s="159" t="str">
        <f>VLOOKUP(Sales[[#This Row],[Customer ID]],Customer[#All],2,0)</f>
        <v>Amit Singh</v>
      </c>
      <c r="E4259" s="158" t="s">
        <v>277</v>
      </c>
      <c r="F4259" s="158" t="str">
        <f>VLOOKUP(Sales[[#This Row],[Product ID]],Product[#All],2,0)</f>
        <v>D-Link Router</v>
      </c>
      <c r="G4259" s="159">
        <v>8</v>
      </c>
      <c r="H4259" s="160">
        <f>VLOOKUP(Sales[[#This Row],[Product ID]],Product[#All],7,0)</f>
        <v>4630</v>
      </c>
      <c r="I4259" s="160">
        <f>Sales[[#This Row],[Selling Rate]]*Sales[[#This Row],[Qty]]</f>
        <v>37040</v>
      </c>
      <c r="J4259" s="43">
        <v>0.1</v>
      </c>
      <c r="K4259" s="44">
        <f>Sales[[#This Row],[Gross Amount]]*Sales[[#This Row],[Disc %]]</f>
        <v>3704</v>
      </c>
      <c r="L4259" s="43">
        <v>0.18</v>
      </c>
      <c r="M4259" s="44">
        <f>(Sales[[#This Row],[Gross Amount]]-Sales[[#This Row],[Disc. Amt.]])*Sales[[#This Row],[GST %]]</f>
        <v>6000.48</v>
      </c>
      <c r="N4259" s="161">
        <f>Sales[[#This Row],[Gross Amount]]-Sales[[#This Row],[Disc. Amt.]]+Sales[[#This Row],[GST Amount]]</f>
        <v>39336.479999999996</v>
      </c>
      <c r="O4259" s="158" t="s">
        <v>8876</v>
      </c>
      <c r="P4259" s="158" t="s">
        <v>1040</v>
      </c>
      <c r="Q4259" s="160">
        <f>IF(Sales[[#This Row],[Status]]="Cancelled",0,Sales[[#This Row],[Qty]])</f>
        <v>0</v>
      </c>
      <c r="R4259" s="161">
        <f>IF(Sales[[#This Row],[Status]]="Cancelled",0,Sales[[#This Row],[Total Amount]])</f>
        <v>0</v>
      </c>
      <c r="S4259" s="162">
        <f>SUM(Sales[Net Amount])</f>
        <v>406839287.73200053</v>
      </c>
    </row>
    <row r="4260" spans="1:19" ht="18.75" x14ac:dyDescent="0.25">
      <c r="A4260" s="163" t="s">
        <v>7940</v>
      </c>
      <c r="B4260" s="164">
        <v>45987</v>
      </c>
      <c r="C4260" s="34" t="s">
        <v>800</v>
      </c>
      <c r="D4260" s="53" t="str">
        <f>VLOOKUP(Sales[[#This Row],[Customer ID]],Customer[#All],2,0)</f>
        <v>Priya Gupta</v>
      </c>
      <c r="E4260" s="34" t="s">
        <v>357</v>
      </c>
      <c r="F4260" s="34" t="str">
        <f>VLOOKUP(Sales[[#This Row],[Product ID]],Product[#All],2,0)</f>
        <v>Samsung Ssd</v>
      </c>
      <c r="G4260" s="53">
        <v>5</v>
      </c>
      <c r="H4260" s="165">
        <f>VLOOKUP(Sales[[#This Row],[Product ID]],Product[#All],7,0)</f>
        <v>9070</v>
      </c>
      <c r="I4260" s="165">
        <f>Sales[[#This Row],[Selling Rate]]*Sales[[#This Row],[Qty]]</f>
        <v>45350</v>
      </c>
      <c r="J4260" s="45">
        <v>0.05</v>
      </c>
      <c r="K4260" s="46">
        <f>Sales[[#This Row],[Gross Amount]]*Sales[[#This Row],[Disc %]]</f>
        <v>2267.5</v>
      </c>
      <c r="L4260" s="43">
        <v>0.18</v>
      </c>
      <c r="M4260" s="46">
        <f>(Sales[[#This Row],[Gross Amount]]-Sales[[#This Row],[Disc. Amt.]])*Sales[[#This Row],[GST %]]</f>
        <v>7754.8499999999995</v>
      </c>
      <c r="N4260" s="161">
        <f>Sales[[#This Row],[Gross Amount]]-Sales[[#This Row],[Disc. Amt.]]+Sales[[#This Row],[GST Amount]]</f>
        <v>50837.35</v>
      </c>
      <c r="O4260" s="34" t="s">
        <v>3566</v>
      </c>
      <c r="P4260" s="34" t="s">
        <v>3562</v>
      </c>
      <c r="Q4260" s="165">
        <f>IF(Sales[[#This Row],[Status]]="Cancelled",0,Sales[[#This Row],[Qty]])</f>
        <v>5</v>
      </c>
      <c r="R4260" s="166">
        <f>IF(Sales[[#This Row],[Status]]="Cancelled",0,Sales[[#This Row],[Total Amount]])</f>
        <v>50837.35</v>
      </c>
      <c r="S4260" s="162">
        <f>SUM(Sales[Net Amount])</f>
        <v>406839287.73200053</v>
      </c>
    </row>
    <row r="4261" spans="1:19" ht="18.75" x14ac:dyDescent="0.25">
      <c r="A4261" s="156" t="s">
        <v>7941</v>
      </c>
      <c r="B4261" s="157">
        <v>45987</v>
      </c>
      <c r="C4261" s="158" t="s">
        <v>706</v>
      </c>
      <c r="D4261" s="159" t="str">
        <f>VLOOKUP(Sales[[#This Row],[Customer ID]],Customer[#All],2,0)</f>
        <v>Amit Sharma</v>
      </c>
      <c r="E4261" s="158" t="s">
        <v>263</v>
      </c>
      <c r="F4261" s="158" t="str">
        <f>VLOOKUP(Sales[[#This Row],[Product ID]],Product[#All],2,0)</f>
        <v>Amazon Basics Hdmi Cable</v>
      </c>
      <c r="G4261" s="159">
        <v>3</v>
      </c>
      <c r="H4261" s="160">
        <f>VLOOKUP(Sales[[#This Row],[Product ID]],Product[#All],7,0)</f>
        <v>770</v>
      </c>
      <c r="I4261" s="160">
        <f>Sales[[#This Row],[Selling Rate]]*Sales[[#This Row],[Qty]]</f>
        <v>2310</v>
      </c>
      <c r="J4261" s="43">
        <v>0.12</v>
      </c>
      <c r="K4261" s="44">
        <f>Sales[[#This Row],[Gross Amount]]*Sales[[#This Row],[Disc %]]</f>
        <v>277.2</v>
      </c>
      <c r="L4261" s="43">
        <v>0.18</v>
      </c>
      <c r="M4261" s="44">
        <f>(Sales[[#This Row],[Gross Amount]]-Sales[[#This Row],[Disc. Amt.]])*Sales[[#This Row],[GST %]]</f>
        <v>365.904</v>
      </c>
      <c r="N4261" s="161">
        <f>Sales[[#This Row],[Gross Amount]]-Sales[[#This Row],[Disc. Amt.]]+Sales[[#This Row],[GST Amount]]</f>
        <v>2398.7039999999997</v>
      </c>
      <c r="O4261" s="158" t="s">
        <v>8876</v>
      </c>
      <c r="P4261" s="158" t="s">
        <v>3562</v>
      </c>
      <c r="Q4261" s="160">
        <f>IF(Sales[[#This Row],[Status]]="Cancelled",0,Sales[[#This Row],[Qty]])</f>
        <v>3</v>
      </c>
      <c r="R4261" s="161">
        <f>IF(Sales[[#This Row],[Status]]="Cancelled",0,Sales[[#This Row],[Total Amount]])</f>
        <v>2398.7039999999997</v>
      </c>
      <c r="S4261" s="162">
        <f>SUM(Sales[Net Amount])</f>
        <v>406839287.73200053</v>
      </c>
    </row>
    <row r="4262" spans="1:19" ht="18.75" x14ac:dyDescent="0.25">
      <c r="A4262" s="163" t="s">
        <v>7942</v>
      </c>
      <c r="B4262" s="164">
        <v>45987</v>
      </c>
      <c r="C4262" s="34" t="s">
        <v>703</v>
      </c>
      <c r="D4262" s="53" t="str">
        <f>VLOOKUP(Sales[[#This Row],[Customer ID]],Customer[#All],2,0)</f>
        <v>Rahul Singh</v>
      </c>
      <c r="E4262" s="34" t="s">
        <v>463</v>
      </c>
      <c r="F4262" s="34" t="str">
        <f>VLOOKUP(Sales[[#This Row],[Product ID]],Product[#All],2,0)</f>
        <v>Apc UPS</v>
      </c>
      <c r="G4262" s="53">
        <v>5</v>
      </c>
      <c r="H4262" s="165">
        <f>VLOOKUP(Sales[[#This Row],[Product ID]],Product[#All],7,0)</f>
        <v>10050</v>
      </c>
      <c r="I4262" s="165">
        <f>Sales[[#This Row],[Selling Rate]]*Sales[[#This Row],[Qty]]</f>
        <v>50250</v>
      </c>
      <c r="J4262" s="45">
        <v>0</v>
      </c>
      <c r="K4262" s="46">
        <f>Sales[[#This Row],[Gross Amount]]*Sales[[#This Row],[Disc %]]</f>
        <v>0</v>
      </c>
      <c r="L4262" s="43">
        <v>0.18</v>
      </c>
      <c r="M4262" s="46">
        <f>(Sales[[#This Row],[Gross Amount]]-Sales[[#This Row],[Disc. Amt.]])*Sales[[#This Row],[GST %]]</f>
        <v>9045</v>
      </c>
      <c r="N4262" s="161">
        <f>Sales[[#This Row],[Gross Amount]]-Sales[[#This Row],[Disc. Amt.]]+Sales[[#This Row],[GST Amount]]</f>
        <v>59295</v>
      </c>
      <c r="O4262" s="34" t="s">
        <v>8876</v>
      </c>
      <c r="P4262" s="34" t="s">
        <v>3562</v>
      </c>
      <c r="Q4262" s="165">
        <f>IF(Sales[[#This Row],[Status]]="Cancelled",0,Sales[[#This Row],[Qty]])</f>
        <v>5</v>
      </c>
      <c r="R4262" s="166">
        <f>IF(Sales[[#This Row],[Status]]="Cancelled",0,Sales[[#This Row],[Total Amount]])</f>
        <v>59295</v>
      </c>
      <c r="S4262" s="162">
        <f>SUM(Sales[Net Amount])</f>
        <v>406839287.73200053</v>
      </c>
    </row>
    <row r="4263" spans="1:19" ht="18.75" x14ac:dyDescent="0.25">
      <c r="A4263" s="156" t="s">
        <v>7943</v>
      </c>
      <c r="B4263" s="157">
        <v>45987</v>
      </c>
      <c r="C4263" s="158" t="s">
        <v>794</v>
      </c>
      <c r="D4263" s="159" t="str">
        <f>VLOOKUP(Sales[[#This Row],[Customer ID]],Customer[#All],2,0)</f>
        <v>Sunita Sharma</v>
      </c>
      <c r="E4263" s="158" t="s">
        <v>179</v>
      </c>
      <c r="F4263" s="158" t="str">
        <f>VLOOKUP(Sales[[#This Row],[Product ID]],Product[#All],2,0)</f>
        <v>TP-link Wi-Fi Adapter</v>
      </c>
      <c r="G4263" s="159">
        <v>1</v>
      </c>
      <c r="H4263" s="160">
        <f>VLOOKUP(Sales[[#This Row],[Product ID]],Product[#All],7,0)</f>
        <v>1490</v>
      </c>
      <c r="I4263" s="160">
        <f>Sales[[#This Row],[Selling Rate]]*Sales[[#This Row],[Qty]]</f>
        <v>1490</v>
      </c>
      <c r="J4263" s="43">
        <v>0.05</v>
      </c>
      <c r="K4263" s="44">
        <f>Sales[[#This Row],[Gross Amount]]*Sales[[#This Row],[Disc %]]</f>
        <v>74.5</v>
      </c>
      <c r="L4263" s="43">
        <v>0.18</v>
      </c>
      <c r="M4263" s="44">
        <f>(Sales[[#This Row],[Gross Amount]]-Sales[[#This Row],[Disc. Amt.]])*Sales[[#This Row],[GST %]]</f>
        <v>254.79</v>
      </c>
      <c r="N4263" s="161">
        <f>Sales[[#This Row],[Gross Amount]]-Sales[[#This Row],[Disc. Amt.]]+Sales[[#This Row],[GST Amount]]</f>
        <v>1670.29</v>
      </c>
      <c r="O4263" s="158" t="s">
        <v>3569</v>
      </c>
      <c r="P4263" s="158" t="s">
        <v>3562</v>
      </c>
      <c r="Q4263" s="160">
        <f>IF(Sales[[#This Row],[Status]]="Cancelled",0,Sales[[#This Row],[Qty]])</f>
        <v>1</v>
      </c>
      <c r="R4263" s="161">
        <f>IF(Sales[[#This Row],[Status]]="Cancelled",0,Sales[[#This Row],[Total Amount]])</f>
        <v>1670.29</v>
      </c>
      <c r="S4263" s="162">
        <f>SUM(Sales[Net Amount])</f>
        <v>406839287.73200053</v>
      </c>
    </row>
    <row r="4264" spans="1:19" ht="18.75" x14ac:dyDescent="0.25">
      <c r="A4264" s="163" t="s">
        <v>7944</v>
      </c>
      <c r="B4264" s="164">
        <v>45987</v>
      </c>
      <c r="C4264" s="34" t="s">
        <v>725</v>
      </c>
      <c r="D4264" s="53" t="str">
        <f>VLOOKUP(Sales[[#This Row],[Customer ID]],Customer[#All],2,0)</f>
        <v>Ankit Kumar</v>
      </c>
      <c r="E4264" s="34" t="s">
        <v>233</v>
      </c>
      <c r="F4264" s="34" t="str">
        <f>VLOOKUP(Sales[[#This Row],[Product ID]],Product[#All],2,0)</f>
        <v>HP Mouse</v>
      </c>
      <c r="G4264" s="53">
        <v>6</v>
      </c>
      <c r="H4264" s="165">
        <f>VLOOKUP(Sales[[#This Row],[Product ID]],Product[#All],7,0)</f>
        <v>860</v>
      </c>
      <c r="I4264" s="165">
        <f>Sales[[#This Row],[Selling Rate]]*Sales[[#This Row],[Qty]]</f>
        <v>5160</v>
      </c>
      <c r="J4264" s="45">
        <v>0.05</v>
      </c>
      <c r="K4264" s="46">
        <f>Sales[[#This Row],[Gross Amount]]*Sales[[#This Row],[Disc %]]</f>
        <v>258</v>
      </c>
      <c r="L4264" s="43">
        <v>0.18</v>
      </c>
      <c r="M4264" s="46">
        <f>(Sales[[#This Row],[Gross Amount]]-Sales[[#This Row],[Disc. Amt.]])*Sales[[#This Row],[GST %]]</f>
        <v>882.36</v>
      </c>
      <c r="N4264" s="161">
        <f>Sales[[#This Row],[Gross Amount]]-Sales[[#This Row],[Disc. Amt.]]+Sales[[#This Row],[GST Amount]]</f>
        <v>5784.36</v>
      </c>
      <c r="O4264" s="34" t="s">
        <v>3561</v>
      </c>
      <c r="P4264" s="34" t="s">
        <v>3562</v>
      </c>
      <c r="Q4264" s="165">
        <f>IF(Sales[[#This Row],[Status]]="Cancelled",0,Sales[[#This Row],[Qty]])</f>
        <v>6</v>
      </c>
      <c r="R4264" s="166">
        <f>IF(Sales[[#This Row],[Status]]="Cancelled",0,Sales[[#This Row],[Total Amount]])</f>
        <v>5784.36</v>
      </c>
      <c r="S4264" s="162">
        <f>SUM(Sales[Net Amount])</f>
        <v>406839287.73200053</v>
      </c>
    </row>
    <row r="4265" spans="1:19" ht="18.75" x14ac:dyDescent="0.25">
      <c r="A4265" s="156" t="s">
        <v>7945</v>
      </c>
      <c r="B4265" s="157">
        <v>45987</v>
      </c>
      <c r="C4265" s="158" t="s">
        <v>712</v>
      </c>
      <c r="D4265" s="159" t="str">
        <f>VLOOKUP(Sales[[#This Row],[Customer ID]],Customer[#All],2,0)</f>
        <v>Sahil Verma</v>
      </c>
      <c r="E4265" s="158" t="s">
        <v>511</v>
      </c>
      <c r="F4265" s="158" t="str">
        <f>VLOOKUP(Sales[[#This Row],[Product ID]],Product[#All],2,0)</f>
        <v>Amazon Basics Hdmi Cable</v>
      </c>
      <c r="G4265" s="159">
        <v>2</v>
      </c>
      <c r="H4265" s="160">
        <f>VLOOKUP(Sales[[#This Row],[Product ID]],Product[#All],7,0)</f>
        <v>1240</v>
      </c>
      <c r="I4265" s="160">
        <f>Sales[[#This Row],[Selling Rate]]*Sales[[#This Row],[Qty]]</f>
        <v>2480</v>
      </c>
      <c r="J4265" s="43">
        <v>0.15</v>
      </c>
      <c r="K4265" s="44">
        <f>Sales[[#This Row],[Gross Amount]]*Sales[[#This Row],[Disc %]]</f>
        <v>372</v>
      </c>
      <c r="L4265" s="43">
        <v>0.18</v>
      </c>
      <c r="M4265" s="44">
        <f>(Sales[[#This Row],[Gross Amount]]-Sales[[#This Row],[Disc. Amt.]])*Sales[[#This Row],[GST %]]</f>
        <v>379.44</v>
      </c>
      <c r="N4265" s="161">
        <f>Sales[[#This Row],[Gross Amount]]-Sales[[#This Row],[Disc. Amt.]]+Sales[[#This Row],[GST Amount]]</f>
        <v>2487.44</v>
      </c>
      <c r="O4265" s="158" t="s">
        <v>8876</v>
      </c>
      <c r="P4265" s="158" t="s">
        <v>3562</v>
      </c>
      <c r="Q4265" s="160">
        <f>IF(Sales[[#This Row],[Status]]="Cancelled",0,Sales[[#This Row],[Qty]])</f>
        <v>2</v>
      </c>
      <c r="R4265" s="161">
        <f>IF(Sales[[#This Row],[Status]]="Cancelled",0,Sales[[#This Row],[Total Amount]])</f>
        <v>2487.44</v>
      </c>
      <c r="S4265" s="162">
        <f>SUM(Sales[Net Amount])</f>
        <v>406839287.73200053</v>
      </c>
    </row>
    <row r="4266" spans="1:19" ht="18.75" x14ac:dyDescent="0.25">
      <c r="A4266" s="163" t="s">
        <v>7946</v>
      </c>
      <c r="B4266" s="164">
        <v>45987</v>
      </c>
      <c r="C4266" s="34" t="s">
        <v>908</v>
      </c>
      <c r="D4266" s="53" t="str">
        <f>VLOOKUP(Sales[[#This Row],[Customer ID]],Customer[#All],2,0)</f>
        <v>Rahul Singh</v>
      </c>
      <c r="E4266" s="34" t="s">
        <v>107</v>
      </c>
      <c r="F4266" s="34" t="str">
        <f>VLOOKUP(Sales[[#This Row],[Product ID]],Product[#All],2,0)</f>
        <v>Samsung Ssd</v>
      </c>
      <c r="G4266" s="53">
        <v>8</v>
      </c>
      <c r="H4266" s="165">
        <f>VLOOKUP(Sales[[#This Row],[Product ID]],Product[#All],7,0)</f>
        <v>15030</v>
      </c>
      <c r="I4266" s="165">
        <f>Sales[[#This Row],[Selling Rate]]*Sales[[#This Row],[Qty]]</f>
        <v>120240</v>
      </c>
      <c r="J4266" s="45">
        <v>0.12</v>
      </c>
      <c r="K4266" s="46">
        <f>Sales[[#This Row],[Gross Amount]]*Sales[[#This Row],[Disc %]]</f>
        <v>14428.8</v>
      </c>
      <c r="L4266" s="43">
        <v>0.18</v>
      </c>
      <c r="M4266" s="46">
        <f>(Sales[[#This Row],[Gross Amount]]-Sales[[#This Row],[Disc. Amt.]])*Sales[[#This Row],[GST %]]</f>
        <v>19046.016</v>
      </c>
      <c r="N4266" s="161">
        <f>Sales[[#This Row],[Gross Amount]]-Sales[[#This Row],[Disc. Amt.]]+Sales[[#This Row],[GST Amount]]</f>
        <v>124857.216</v>
      </c>
      <c r="O4266" s="34" t="s">
        <v>3561</v>
      </c>
      <c r="P4266" s="34" t="s">
        <v>3562</v>
      </c>
      <c r="Q4266" s="165">
        <f>IF(Sales[[#This Row],[Status]]="Cancelled",0,Sales[[#This Row],[Qty]])</f>
        <v>8</v>
      </c>
      <c r="R4266" s="166">
        <f>IF(Sales[[#This Row],[Status]]="Cancelled",0,Sales[[#This Row],[Total Amount]])</f>
        <v>124857.216</v>
      </c>
      <c r="S4266" s="162">
        <f>SUM(Sales[Net Amount])</f>
        <v>406839287.73200053</v>
      </c>
    </row>
    <row r="4267" spans="1:19" ht="18.75" x14ac:dyDescent="0.25">
      <c r="A4267" s="156" t="s">
        <v>7947</v>
      </c>
      <c r="B4267" s="157">
        <v>45987</v>
      </c>
      <c r="C4267" s="158" t="s">
        <v>716</v>
      </c>
      <c r="D4267" s="159" t="str">
        <f>VLOOKUP(Sales[[#This Row],[Customer ID]],Customer[#All],2,0)</f>
        <v>Ankit Kumar</v>
      </c>
      <c r="E4267" s="158" t="s">
        <v>230</v>
      </c>
      <c r="F4267" s="158" t="str">
        <f>VLOOKUP(Sales[[#This Row],[Product ID]],Product[#All],2,0)</f>
        <v>Dell Desktop</v>
      </c>
      <c r="G4267" s="159">
        <v>2</v>
      </c>
      <c r="H4267" s="160">
        <f>VLOOKUP(Sales[[#This Row],[Product ID]],Product[#All],7,0)</f>
        <v>69610</v>
      </c>
      <c r="I4267" s="160">
        <f>Sales[[#This Row],[Selling Rate]]*Sales[[#This Row],[Qty]]</f>
        <v>139220</v>
      </c>
      <c r="J4267" s="43">
        <v>0.05</v>
      </c>
      <c r="K4267" s="44">
        <f>Sales[[#This Row],[Gross Amount]]*Sales[[#This Row],[Disc %]]</f>
        <v>6961</v>
      </c>
      <c r="L4267" s="43">
        <v>0.18</v>
      </c>
      <c r="M4267" s="44">
        <f>(Sales[[#This Row],[Gross Amount]]-Sales[[#This Row],[Disc. Amt.]])*Sales[[#This Row],[GST %]]</f>
        <v>23806.62</v>
      </c>
      <c r="N4267" s="161">
        <f>Sales[[#This Row],[Gross Amount]]-Sales[[#This Row],[Disc. Amt.]]+Sales[[#This Row],[GST Amount]]</f>
        <v>156065.62</v>
      </c>
      <c r="O4267" s="158" t="s">
        <v>3561</v>
      </c>
      <c r="P4267" s="158" t="s">
        <v>3562</v>
      </c>
      <c r="Q4267" s="160">
        <f>IF(Sales[[#This Row],[Status]]="Cancelled",0,Sales[[#This Row],[Qty]])</f>
        <v>2</v>
      </c>
      <c r="R4267" s="161">
        <f>IF(Sales[[#This Row],[Status]]="Cancelled",0,Sales[[#This Row],[Total Amount]])</f>
        <v>156065.62</v>
      </c>
      <c r="S4267" s="162">
        <f>SUM(Sales[Net Amount])</f>
        <v>406839287.73200053</v>
      </c>
    </row>
    <row r="4268" spans="1:19" ht="18.75" x14ac:dyDescent="0.25">
      <c r="A4268" s="163" t="s">
        <v>7948</v>
      </c>
      <c r="B4268" s="164">
        <v>45987</v>
      </c>
      <c r="C4268" s="34" t="s">
        <v>726</v>
      </c>
      <c r="D4268" s="53" t="str">
        <f>VLOOKUP(Sales[[#This Row],[Customer ID]],Customer[#All],2,0)</f>
        <v>Priya Singh</v>
      </c>
      <c r="E4268" s="34" t="s">
        <v>349</v>
      </c>
      <c r="F4268" s="34" t="str">
        <f>VLOOKUP(Sales[[#This Row],[Product ID]],Product[#All],2,0)</f>
        <v>Samsung Monitor</v>
      </c>
      <c r="G4268" s="53">
        <v>1</v>
      </c>
      <c r="H4268" s="165">
        <f>VLOOKUP(Sales[[#This Row],[Product ID]],Product[#All],7,0)</f>
        <v>11070</v>
      </c>
      <c r="I4268" s="165">
        <f>Sales[[#This Row],[Selling Rate]]*Sales[[#This Row],[Qty]]</f>
        <v>11070</v>
      </c>
      <c r="J4268" s="45">
        <v>0.05</v>
      </c>
      <c r="K4268" s="46">
        <f>Sales[[#This Row],[Gross Amount]]*Sales[[#This Row],[Disc %]]</f>
        <v>553.5</v>
      </c>
      <c r="L4268" s="43">
        <v>0.18</v>
      </c>
      <c r="M4268" s="46">
        <f>(Sales[[#This Row],[Gross Amount]]-Sales[[#This Row],[Disc. Amt.]])*Sales[[#This Row],[GST %]]</f>
        <v>1892.97</v>
      </c>
      <c r="N4268" s="161">
        <f>Sales[[#This Row],[Gross Amount]]-Sales[[#This Row],[Disc. Amt.]]+Sales[[#This Row],[GST Amount]]</f>
        <v>12409.47</v>
      </c>
      <c r="O4268" s="34" t="s">
        <v>3566</v>
      </c>
      <c r="P4268" s="34" t="s">
        <v>3562</v>
      </c>
      <c r="Q4268" s="165">
        <f>IF(Sales[[#This Row],[Status]]="Cancelled",0,Sales[[#This Row],[Qty]])</f>
        <v>1</v>
      </c>
      <c r="R4268" s="166">
        <f>IF(Sales[[#This Row],[Status]]="Cancelled",0,Sales[[#This Row],[Total Amount]])</f>
        <v>12409.47</v>
      </c>
      <c r="S4268" s="162">
        <f>SUM(Sales[Net Amount])</f>
        <v>406839287.73200053</v>
      </c>
    </row>
    <row r="4269" spans="1:19" ht="18.75" x14ac:dyDescent="0.25">
      <c r="A4269" s="156" t="s">
        <v>7949</v>
      </c>
      <c r="B4269" s="157">
        <v>45987</v>
      </c>
      <c r="C4269" s="158" t="s">
        <v>785</v>
      </c>
      <c r="D4269" s="159" t="str">
        <f>VLOOKUP(Sales[[#This Row],[Customer ID]],Customer[#All],2,0)</f>
        <v>Ankit Gupta</v>
      </c>
      <c r="E4269" s="158" t="s">
        <v>405</v>
      </c>
      <c r="F4269" s="158" t="str">
        <f>VLOOKUP(Sales[[#This Row],[Product ID]],Product[#All],2,0)</f>
        <v>TP-link Bluetooth Adapter</v>
      </c>
      <c r="G4269" s="159">
        <v>3</v>
      </c>
      <c r="H4269" s="160">
        <f>VLOOKUP(Sales[[#This Row],[Product ID]],Product[#All],7,0)</f>
        <v>1470</v>
      </c>
      <c r="I4269" s="160">
        <f>Sales[[#This Row],[Selling Rate]]*Sales[[#This Row],[Qty]]</f>
        <v>4410</v>
      </c>
      <c r="J4269" s="43">
        <v>0.15</v>
      </c>
      <c r="K4269" s="44">
        <f>Sales[[#This Row],[Gross Amount]]*Sales[[#This Row],[Disc %]]</f>
        <v>661.5</v>
      </c>
      <c r="L4269" s="43">
        <v>0.18</v>
      </c>
      <c r="M4269" s="44">
        <f>(Sales[[#This Row],[Gross Amount]]-Sales[[#This Row],[Disc. Amt.]])*Sales[[#This Row],[GST %]]</f>
        <v>674.73</v>
      </c>
      <c r="N4269" s="161">
        <f>Sales[[#This Row],[Gross Amount]]-Sales[[#This Row],[Disc. Amt.]]+Sales[[#This Row],[GST Amount]]</f>
        <v>4423.2299999999996</v>
      </c>
      <c r="O4269" s="158" t="s">
        <v>3569</v>
      </c>
      <c r="P4269" s="158" t="s">
        <v>3562</v>
      </c>
      <c r="Q4269" s="160">
        <f>IF(Sales[[#This Row],[Status]]="Cancelled",0,Sales[[#This Row],[Qty]])</f>
        <v>3</v>
      </c>
      <c r="R4269" s="161">
        <f>IF(Sales[[#This Row],[Status]]="Cancelled",0,Sales[[#This Row],[Total Amount]])</f>
        <v>4423.2299999999996</v>
      </c>
      <c r="S4269" s="162">
        <f>SUM(Sales[Net Amount])</f>
        <v>406839287.73200053</v>
      </c>
    </row>
    <row r="4270" spans="1:19" ht="18.75" x14ac:dyDescent="0.25">
      <c r="A4270" s="163" t="s">
        <v>7950</v>
      </c>
      <c r="B4270" s="164">
        <v>45987</v>
      </c>
      <c r="C4270" s="34" t="s">
        <v>857</v>
      </c>
      <c r="D4270" s="53" t="str">
        <f>VLOOKUP(Sales[[#This Row],[Customer ID]],Customer[#All],2,0)</f>
        <v>Pooja Singh</v>
      </c>
      <c r="E4270" s="34" t="s">
        <v>523</v>
      </c>
      <c r="F4270" s="34" t="str">
        <f>VLOOKUP(Sales[[#This Row],[Product ID]],Product[#All],2,0)</f>
        <v>Logitech Mouse</v>
      </c>
      <c r="G4270" s="53">
        <v>2</v>
      </c>
      <c r="H4270" s="165">
        <f>VLOOKUP(Sales[[#This Row],[Product ID]],Product[#All],7,0)</f>
        <v>1300</v>
      </c>
      <c r="I4270" s="165">
        <f>Sales[[#This Row],[Selling Rate]]*Sales[[#This Row],[Qty]]</f>
        <v>2600</v>
      </c>
      <c r="J4270" s="45">
        <v>0.12</v>
      </c>
      <c r="K4270" s="46">
        <f>Sales[[#This Row],[Gross Amount]]*Sales[[#This Row],[Disc %]]</f>
        <v>312</v>
      </c>
      <c r="L4270" s="43">
        <v>0.18</v>
      </c>
      <c r="M4270" s="46">
        <f>(Sales[[#This Row],[Gross Amount]]-Sales[[#This Row],[Disc. Amt.]])*Sales[[#This Row],[GST %]]</f>
        <v>411.84</v>
      </c>
      <c r="N4270" s="161">
        <f>Sales[[#This Row],[Gross Amount]]-Sales[[#This Row],[Disc. Amt.]]+Sales[[#This Row],[GST Amount]]</f>
        <v>2699.84</v>
      </c>
      <c r="O4270" s="34" t="s">
        <v>3561</v>
      </c>
      <c r="P4270" s="34" t="s">
        <v>3562</v>
      </c>
      <c r="Q4270" s="165">
        <f>IF(Sales[[#This Row],[Status]]="Cancelled",0,Sales[[#This Row],[Qty]])</f>
        <v>2</v>
      </c>
      <c r="R4270" s="166">
        <f>IF(Sales[[#This Row],[Status]]="Cancelled",0,Sales[[#This Row],[Total Amount]])</f>
        <v>2699.84</v>
      </c>
      <c r="S4270" s="162">
        <f>SUM(Sales[Net Amount])</f>
        <v>406839287.73200053</v>
      </c>
    </row>
    <row r="4271" spans="1:19" ht="18.75" x14ac:dyDescent="0.25">
      <c r="A4271" s="156" t="s">
        <v>7951</v>
      </c>
      <c r="B4271" s="157">
        <v>45987</v>
      </c>
      <c r="C4271" s="158" t="s">
        <v>792</v>
      </c>
      <c r="D4271" s="159" t="str">
        <f>VLOOKUP(Sales[[#This Row],[Customer ID]],Customer[#All],2,0)</f>
        <v>Pooja Sharma</v>
      </c>
      <c r="E4271" s="158" t="s">
        <v>164</v>
      </c>
      <c r="F4271" s="158" t="str">
        <f>VLOOKUP(Sales[[#This Row],[Product ID]],Product[#All],2,0)</f>
        <v>Jbl Headset</v>
      </c>
      <c r="G4271" s="159">
        <v>8</v>
      </c>
      <c r="H4271" s="160">
        <f>VLOOKUP(Sales[[#This Row],[Product ID]],Product[#All],7,0)</f>
        <v>3360</v>
      </c>
      <c r="I4271" s="160">
        <f>Sales[[#This Row],[Selling Rate]]*Sales[[#This Row],[Qty]]</f>
        <v>26880</v>
      </c>
      <c r="J4271" s="43">
        <v>0</v>
      </c>
      <c r="K4271" s="44">
        <f>Sales[[#This Row],[Gross Amount]]*Sales[[#This Row],[Disc %]]</f>
        <v>0</v>
      </c>
      <c r="L4271" s="43">
        <v>0.18</v>
      </c>
      <c r="M4271" s="44">
        <f>(Sales[[#This Row],[Gross Amount]]-Sales[[#This Row],[Disc. Amt.]])*Sales[[#This Row],[GST %]]</f>
        <v>4838.3999999999996</v>
      </c>
      <c r="N4271" s="161">
        <f>Sales[[#This Row],[Gross Amount]]-Sales[[#This Row],[Disc. Amt.]]+Sales[[#This Row],[GST Amount]]</f>
        <v>31718.400000000001</v>
      </c>
      <c r="O4271" s="158" t="s">
        <v>3561</v>
      </c>
      <c r="P4271" s="158" t="s">
        <v>3562</v>
      </c>
      <c r="Q4271" s="160">
        <f>IF(Sales[[#This Row],[Status]]="Cancelled",0,Sales[[#This Row],[Qty]])</f>
        <v>8</v>
      </c>
      <c r="R4271" s="161">
        <f>IF(Sales[[#This Row],[Status]]="Cancelled",0,Sales[[#This Row],[Total Amount]])</f>
        <v>31718.400000000001</v>
      </c>
      <c r="S4271" s="162">
        <f>SUM(Sales[Net Amount])</f>
        <v>406839287.73200053</v>
      </c>
    </row>
    <row r="4272" spans="1:19" ht="18.75" x14ac:dyDescent="0.25">
      <c r="A4272" s="163" t="s">
        <v>7952</v>
      </c>
      <c r="B4272" s="164">
        <v>45987</v>
      </c>
      <c r="C4272" s="34" t="s">
        <v>675</v>
      </c>
      <c r="D4272" s="53" t="str">
        <f>VLOOKUP(Sales[[#This Row],[Customer ID]],Customer[#All],2,0)</f>
        <v>Rahul Gupta</v>
      </c>
      <c r="E4272" s="34" t="s">
        <v>405</v>
      </c>
      <c r="F4272" s="34" t="str">
        <f>VLOOKUP(Sales[[#This Row],[Product ID]],Product[#All],2,0)</f>
        <v>TP-link Bluetooth Adapter</v>
      </c>
      <c r="G4272" s="53">
        <v>2</v>
      </c>
      <c r="H4272" s="165">
        <f>VLOOKUP(Sales[[#This Row],[Product ID]],Product[#All],7,0)</f>
        <v>1470</v>
      </c>
      <c r="I4272" s="165">
        <f>Sales[[#This Row],[Selling Rate]]*Sales[[#This Row],[Qty]]</f>
        <v>2940</v>
      </c>
      <c r="J4272" s="45">
        <v>0</v>
      </c>
      <c r="K4272" s="46">
        <f>Sales[[#This Row],[Gross Amount]]*Sales[[#This Row],[Disc %]]</f>
        <v>0</v>
      </c>
      <c r="L4272" s="43">
        <v>0.18</v>
      </c>
      <c r="M4272" s="46">
        <f>(Sales[[#This Row],[Gross Amount]]-Sales[[#This Row],[Disc. Amt.]])*Sales[[#This Row],[GST %]]</f>
        <v>529.19999999999993</v>
      </c>
      <c r="N4272" s="161">
        <f>Sales[[#This Row],[Gross Amount]]-Sales[[#This Row],[Disc. Amt.]]+Sales[[#This Row],[GST Amount]]</f>
        <v>3469.2</v>
      </c>
      <c r="O4272" s="34" t="s">
        <v>3561</v>
      </c>
      <c r="P4272" s="34" t="s">
        <v>3562</v>
      </c>
      <c r="Q4272" s="165">
        <f>IF(Sales[[#This Row],[Status]]="Cancelled",0,Sales[[#This Row],[Qty]])</f>
        <v>2</v>
      </c>
      <c r="R4272" s="166">
        <f>IF(Sales[[#This Row],[Status]]="Cancelled",0,Sales[[#This Row],[Total Amount]])</f>
        <v>3469.2</v>
      </c>
      <c r="S4272" s="162">
        <f>SUM(Sales[Net Amount])</f>
        <v>406839287.73200053</v>
      </c>
    </row>
    <row r="4273" spans="1:19" ht="18.75" x14ac:dyDescent="0.25">
      <c r="A4273" s="156" t="s">
        <v>7953</v>
      </c>
      <c r="B4273" s="157">
        <v>45987</v>
      </c>
      <c r="C4273" s="158" t="s">
        <v>716</v>
      </c>
      <c r="D4273" s="159" t="str">
        <f>VLOOKUP(Sales[[#This Row],[Customer ID]],Customer[#All],2,0)</f>
        <v>Ankit Kumar</v>
      </c>
      <c r="E4273" s="158" t="s">
        <v>86</v>
      </c>
      <c r="F4273" s="158" t="str">
        <f>VLOOKUP(Sales[[#This Row],[Product ID]],Product[#All],2,0)</f>
        <v>Lg Monitor</v>
      </c>
      <c r="G4273" s="159">
        <v>2</v>
      </c>
      <c r="H4273" s="160">
        <f>VLOOKUP(Sales[[#This Row],[Product ID]],Product[#All],7,0)</f>
        <v>14730</v>
      </c>
      <c r="I4273" s="160">
        <f>Sales[[#This Row],[Selling Rate]]*Sales[[#This Row],[Qty]]</f>
        <v>29460</v>
      </c>
      <c r="J4273" s="43">
        <v>0.15</v>
      </c>
      <c r="K4273" s="44">
        <f>Sales[[#This Row],[Gross Amount]]*Sales[[#This Row],[Disc %]]</f>
        <v>4419</v>
      </c>
      <c r="L4273" s="43">
        <v>0.18</v>
      </c>
      <c r="M4273" s="44">
        <f>(Sales[[#This Row],[Gross Amount]]-Sales[[#This Row],[Disc. Amt.]])*Sales[[#This Row],[GST %]]</f>
        <v>4507.38</v>
      </c>
      <c r="N4273" s="161">
        <f>Sales[[#This Row],[Gross Amount]]-Sales[[#This Row],[Disc. Amt.]]+Sales[[#This Row],[GST Amount]]</f>
        <v>29548.38</v>
      </c>
      <c r="O4273" s="158" t="s">
        <v>8876</v>
      </c>
      <c r="P4273" s="158" t="s">
        <v>3562</v>
      </c>
      <c r="Q4273" s="160">
        <f>IF(Sales[[#This Row],[Status]]="Cancelled",0,Sales[[#This Row],[Qty]])</f>
        <v>2</v>
      </c>
      <c r="R4273" s="161">
        <f>IF(Sales[[#This Row],[Status]]="Cancelled",0,Sales[[#This Row],[Total Amount]])</f>
        <v>29548.38</v>
      </c>
      <c r="S4273" s="162">
        <f>SUM(Sales[Net Amount])</f>
        <v>406839287.73200053</v>
      </c>
    </row>
    <row r="4274" spans="1:19" ht="18.75" x14ac:dyDescent="0.25">
      <c r="A4274" s="163" t="s">
        <v>7954</v>
      </c>
      <c r="B4274" s="164">
        <v>45987</v>
      </c>
      <c r="C4274" s="34" t="s">
        <v>704</v>
      </c>
      <c r="D4274" s="53" t="str">
        <f>VLOOKUP(Sales[[#This Row],[Customer ID]],Customer[#All],2,0)</f>
        <v>Rahul Gupta</v>
      </c>
      <c r="E4274" s="34" t="s">
        <v>343</v>
      </c>
      <c r="F4274" s="34" t="str">
        <f>VLOOKUP(Sales[[#This Row],[Product ID]],Product[#All],2,0)</f>
        <v>Portronics USB Cable</v>
      </c>
      <c r="G4274" s="53">
        <v>3</v>
      </c>
      <c r="H4274" s="165">
        <f>VLOOKUP(Sales[[#This Row],[Product ID]],Product[#All],7,0)</f>
        <v>780</v>
      </c>
      <c r="I4274" s="165">
        <f>Sales[[#This Row],[Selling Rate]]*Sales[[#This Row],[Qty]]</f>
        <v>2340</v>
      </c>
      <c r="J4274" s="45">
        <v>0.02</v>
      </c>
      <c r="K4274" s="46">
        <f>Sales[[#This Row],[Gross Amount]]*Sales[[#This Row],[Disc %]]</f>
        <v>46.800000000000004</v>
      </c>
      <c r="L4274" s="43">
        <v>0.18</v>
      </c>
      <c r="M4274" s="46">
        <f>(Sales[[#This Row],[Gross Amount]]-Sales[[#This Row],[Disc. Amt.]])*Sales[[#This Row],[GST %]]</f>
        <v>412.77599999999995</v>
      </c>
      <c r="N4274" s="161">
        <f>Sales[[#This Row],[Gross Amount]]-Sales[[#This Row],[Disc. Amt.]]+Sales[[#This Row],[GST Amount]]</f>
        <v>2705.9759999999997</v>
      </c>
      <c r="O4274" s="34" t="s">
        <v>3561</v>
      </c>
      <c r="P4274" s="34" t="s">
        <v>3562</v>
      </c>
      <c r="Q4274" s="165">
        <f>IF(Sales[[#This Row],[Status]]="Cancelled",0,Sales[[#This Row],[Qty]])</f>
        <v>3</v>
      </c>
      <c r="R4274" s="166">
        <f>IF(Sales[[#This Row],[Status]]="Cancelled",0,Sales[[#This Row],[Total Amount]])</f>
        <v>2705.9759999999997</v>
      </c>
      <c r="S4274" s="162">
        <f>SUM(Sales[Net Amount])</f>
        <v>406839287.73200053</v>
      </c>
    </row>
    <row r="4275" spans="1:19" ht="18.75" x14ac:dyDescent="0.25">
      <c r="A4275" s="156" t="s">
        <v>7955</v>
      </c>
      <c r="B4275" s="157">
        <v>45987</v>
      </c>
      <c r="C4275" s="158" t="s">
        <v>652</v>
      </c>
      <c r="D4275" s="159" t="str">
        <f>VLOOKUP(Sales[[#This Row],[Customer ID]],Customer[#All],2,0)</f>
        <v>Sahil Kumar</v>
      </c>
      <c r="E4275" s="158" t="s">
        <v>321</v>
      </c>
      <c r="F4275" s="158" t="str">
        <f>VLOOKUP(Sales[[#This Row],[Product ID]],Product[#All],2,0)</f>
        <v>WD HDD</v>
      </c>
      <c r="G4275" s="159">
        <v>8</v>
      </c>
      <c r="H4275" s="160">
        <f>VLOOKUP(Sales[[#This Row],[Product ID]],Product[#All],7,0)</f>
        <v>6810</v>
      </c>
      <c r="I4275" s="160">
        <f>Sales[[#This Row],[Selling Rate]]*Sales[[#This Row],[Qty]]</f>
        <v>54480</v>
      </c>
      <c r="J4275" s="43">
        <v>0.02</v>
      </c>
      <c r="K4275" s="44">
        <f>Sales[[#This Row],[Gross Amount]]*Sales[[#This Row],[Disc %]]</f>
        <v>1089.5999999999999</v>
      </c>
      <c r="L4275" s="43">
        <v>0.18</v>
      </c>
      <c r="M4275" s="44">
        <f>(Sales[[#This Row],[Gross Amount]]-Sales[[#This Row],[Disc. Amt.]])*Sales[[#This Row],[GST %]]</f>
        <v>9610.271999999999</v>
      </c>
      <c r="N4275" s="161">
        <f>Sales[[#This Row],[Gross Amount]]-Sales[[#This Row],[Disc. Amt.]]+Sales[[#This Row],[GST Amount]]</f>
        <v>63000.671999999999</v>
      </c>
      <c r="O4275" s="158" t="s">
        <v>3569</v>
      </c>
      <c r="P4275" s="158" t="s">
        <v>3562</v>
      </c>
      <c r="Q4275" s="160">
        <f>IF(Sales[[#This Row],[Status]]="Cancelled",0,Sales[[#This Row],[Qty]])</f>
        <v>8</v>
      </c>
      <c r="R4275" s="161">
        <f>IF(Sales[[#This Row],[Status]]="Cancelled",0,Sales[[#This Row],[Total Amount]])</f>
        <v>63000.671999999999</v>
      </c>
      <c r="S4275" s="162">
        <f>SUM(Sales[Net Amount])</f>
        <v>406839287.73200053</v>
      </c>
    </row>
    <row r="4276" spans="1:19" ht="18.75" x14ac:dyDescent="0.25">
      <c r="A4276" s="163" t="s">
        <v>7956</v>
      </c>
      <c r="B4276" s="164">
        <v>45988</v>
      </c>
      <c r="C4276" s="34" t="s">
        <v>831</v>
      </c>
      <c r="D4276" s="53" t="str">
        <f>VLOOKUP(Sales[[#This Row],[Customer ID]],Customer[#All],2,0)</f>
        <v>Vikas Gupta</v>
      </c>
      <c r="E4276" s="34" t="s">
        <v>305</v>
      </c>
      <c r="F4276" s="34" t="str">
        <f>VLOOKUP(Sales[[#This Row],[Product ID]],Product[#All],2,0)</f>
        <v>HP Power Adapter</v>
      </c>
      <c r="G4276" s="53">
        <v>1</v>
      </c>
      <c r="H4276" s="165">
        <f>VLOOKUP(Sales[[#This Row],[Product ID]],Product[#All],7,0)</f>
        <v>2640</v>
      </c>
      <c r="I4276" s="165">
        <f>Sales[[#This Row],[Selling Rate]]*Sales[[#This Row],[Qty]]</f>
        <v>2640</v>
      </c>
      <c r="J4276" s="45">
        <v>0.05</v>
      </c>
      <c r="K4276" s="46">
        <f>Sales[[#This Row],[Gross Amount]]*Sales[[#This Row],[Disc %]]</f>
        <v>132</v>
      </c>
      <c r="L4276" s="43">
        <v>0.18</v>
      </c>
      <c r="M4276" s="46">
        <f>(Sales[[#This Row],[Gross Amount]]-Sales[[#This Row],[Disc. Amt.]])*Sales[[#This Row],[GST %]]</f>
        <v>451.44</v>
      </c>
      <c r="N4276" s="161">
        <f>Sales[[#This Row],[Gross Amount]]-Sales[[#This Row],[Disc. Amt.]]+Sales[[#This Row],[GST Amount]]</f>
        <v>2959.44</v>
      </c>
      <c r="O4276" s="34" t="s">
        <v>3569</v>
      </c>
      <c r="P4276" s="34" t="s">
        <v>3562</v>
      </c>
      <c r="Q4276" s="165">
        <f>IF(Sales[[#This Row],[Status]]="Cancelled",0,Sales[[#This Row],[Qty]])</f>
        <v>1</v>
      </c>
      <c r="R4276" s="166">
        <f>IF(Sales[[#This Row],[Status]]="Cancelled",0,Sales[[#This Row],[Total Amount]])</f>
        <v>2959.44</v>
      </c>
      <c r="S4276" s="162">
        <f>SUM(Sales[Net Amount])</f>
        <v>406839287.73200053</v>
      </c>
    </row>
    <row r="4277" spans="1:19" ht="18.75" x14ac:dyDescent="0.25">
      <c r="A4277" s="156" t="s">
        <v>7957</v>
      </c>
      <c r="B4277" s="157">
        <v>45988</v>
      </c>
      <c r="C4277" s="158" t="s">
        <v>708</v>
      </c>
      <c r="D4277" s="159" t="str">
        <f>VLOOKUP(Sales[[#This Row],[Customer ID]],Customer[#All],2,0)</f>
        <v>Amit Verma</v>
      </c>
      <c r="E4277" s="158" t="s">
        <v>181</v>
      </c>
      <c r="F4277" s="158" t="str">
        <f>VLOOKUP(Sales[[#This Row],[Product ID]],Product[#All],2,0)</f>
        <v>Logitech Webcam</v>
      </c>
      <c r="G4277" s="159">
        <v>4</v>
      </c>
      <c r="H4277" s="160">
        <f>VLOOKUP(Sales[[#This Row],[Product ID]],Product[#All],7,0)</f>
        <v>5880</v>
      </c>
      <c r="I4277" s="160">
        <f>Sales[[#This Row],[Selling Rate]]*Sales[[#This Row],[Qty]]</f>
        <v>23520</v>
      </c>
      <c r="J4277" s="43">
        <v>0.12</v>
      </c>
      <c r="K4277" s="44">
        <f>Sales[[#This Row],[Gross Amount]]*Sales[[#This Row],[Disc %]]</f>
        <v>2822.4</v>
      </c>
      <c r="L4277" s="43">
        <v>0.18</v>
      </c>
      <c r="M4277" s="44">
        <f>(Sales[[#This Row],[Gross Amount]]-Sales[[#This Row],[Disc. Amt.]])*Sales[[#This Row],[GST %]]</f>
        <v>3725.5679999999998</v>
      </c>
      <c r="N4277" s="161">
        <f>Sales[[#This Row],[Gross Amount]]-Sales[[#This Row],[Disc. Amt.]]+Sales[[#This Row],[GST Amount]]</f>
        <v>24423.167999999998</v>
      </c>
      <c r="O4277" s="158" t="s">
        <v>8876</v>
      </c>
      <c r="P4277" s="158" t="s">
        <v>3562</v>
      </c>
      <c r="Q4277" s="160">
        <f>IF(Sales[[#This Row],[Status]]="Cancelled",0,Sales[[#This Row],[Qty]])</f>
        <v>4</v>
      </c>
      <c r="R4277" s="161">
        <f>IF(Sales[[#This Row],[Status]]="Cancelled",0,Sales[[#This Row],[Total Amount]])</f>
        <v>24423.167999999998</v>
      </c>
      <c r="S4277" s="162">
        <f>SUM(Sales[Net Amount])</f>
        <v>406839287.73200053</v>
      </c>
    </row>
    <row r="4278" spans="1:19" ht="18.75" x14ac:dyDescent="0.25">
      <c r="A4278" s="163" t="s">
        <v>7958</v>
      </c>
      <c r="B4278" s="164">
        <v>45988</v>
      </c>
      <c r="C4278" s="34" t="s">
        <v>873</v>
      </c>
      <c r="D4278" s="53" t="str">
        <f>VLOOKUP(Sales[[#This Row],[Customer ID]],Customer[#All],2,0)</f>
        <v>Sahil Verma</v>
      </c>
      <c r="E4278" s="34" t="s">
        <v>159</v>
      </c>
      <c r="F4278" s="34" t="str">
        <f>VLOOKUP(Sales[[#This Row],[Product ID]],Product[#All],2,0)</f>
        <v>HP Laptop</v>
      </c>
      <c r="G4278" s="53">
        <v>5</v>
      </c>
      <c r="H4278" s="165">
        <f>VLOOKUP(Sales[[#This Row],[Product ID]],Product[#All],7,0)</f>
        <v>90020</v>
      </c>
      <c r="I4278" s="165">
        <f>Sales[[#This Row],[Selling Rate]]*Sales[[#This Row],[Qty]]</f>
        <v>450100</v>
      </c>
      <c r="J4278" s="45">
        <v>0.12</v>
      </c>
      <c r="K4278" s="46">
        <f>Sales[[#This Row],[Gross Amount]]*Sales[[#This Row],[Disc %]]</f>
        <v>54012</v>
      </c>
      <c r="L4278" s="43">
        <v>0.18</v>
      </c>
      <c r="M4278" s="46">
        <f>(Sales[[#This Row],[Gross Amount]]-Sales[[#This Row],[Disc. Amt.]])*Sales[[#This Row],[GST %]]</f>
        <v>71295.839999999997</v>
      </c>
      <c r="N4278" s="161">
        <f>Sales[[#This Row],[Gross Amount]]-Sales[[#This Row],[Disc. Amt.]]+Sales[[#This Row],[GST Amount]]</f>
        <v>467383.83999999997</v>
      </c>
      <c r="O4278" s="34" t="s">
        <v>3566</v>
      </c>
      <c r="P4278" s="34" t="s">
        <v>3562</v>
      </c>
      <c r="Q4278" s="165">
        <f>IF(Sales[[#This Row],[Status]]="Cancelled",0,Sales[[#This Row],[Qty]])</f>
        <v>5</v>
      </c>
      <c r="R4278" s="166">
        <f>IF(Sales[[#This Row],[Status]]="Cancelled",0,Sales[[#This Row],[Total Amount]])</f>
        <v>467383.83999999997</v>
      </c>
      <c r="S4278" s="162">
        <f>SUM(Sales[Net Amount])</f>
        <v>406839287.73200053</v>
      </c>
    </row>
    <row r="4279" spans="1:19" ht="18.75" x14ac:dyDescent="0.25">
      <c r="A4279" s="156" t="s">
        <v>7959</v>
      </c>
      <c r="B4279" s="157">
        <v>45988</v>
      </c>
      <c r="C4279" s="158" t="s">
        <v>839</v>
      </c>
      <c r="D4279" s="159" t="str">
        <f>VLOOKUP(Sales[[#This Row],[Customer ID]],Customer[#All],2,0)</f>
        <v>Amit Patel</v>
      </c>
      <c r="E4279" s="158" t="s">
        <v>512</v>
      </c>
      <c r="F4279" s="158" t="str">
        <f>VLOOKUP(Sales[[#This Row],[Product ID]],Product[#All],2,0)</f>
        <v>Logitech Webcam</v>
      </c>
      <c r="G4279" s="159">
        <v>1</v>
      </c>
      <c r="H4279" s="160">
        <f>VLOOKUP(Sales[[#This Row],[Product ID]],Product[#All],7,0)</f>
        <v>5800</v>
      </c>
      <c r="I4279" s="160">
        <f>Sales[[#This Row],[Selling Rate]]*Sales[[#This Row],[Qty]]</f>
        <v>5800</v>
      </c>
      <c r="J4279" s="43">
        <v>0.15</v>
      </c>
      <c r="K4279" s="44">
        <f>Sales[[#This Row],[Gross Amount]]*Sales[[#This Row],[Disc %]]</f>
        <v>870</v>
      </c>
      <c r="L4279" s="43">
        <v>0.18</v>
      </c>
      <c r="M4279" s="44">
        <f>(Sales[[#This Row],[Gross Amount]]-Sales[[#This Row],[Disc. Amt.]])*Sales[[#This Row],[GST %]]</f>
        <v>887.4</v>
      </c>
      <c r="N4279" s="161">
        <f>Sales[[#This Row],[Gross Amount]]-Sales[[#This Row],[Disc. Amt.]]+Sales[[#This Row],[GST Amount]]</f>
        <v>5817.4</v>
      </c>
      <c r="O4279" s="158" t="s">
        <v>3561</v>
      </c>
      <c r="P4279" s="158" t="s">
        <v>3562</v>
      </c>
      <c r="Q4279" s="160">
        <f>IF(Sales[[#This Row],[Status]]="Cancelled",0,Sales[[#This Row],[Qty]])</f>
        <v>1</v>
      </c>
      <c r="R4279" s="161">
        <f>IF(Sales[[#This Row],[Status]]="Cancelled",0,Sales[[#This Row],[Total Amount]])</f>
        <v>5817.4</v>
      </c>
      <c r="S4279" s="162">
        <f>SUM(Sales[Net Amount])</f>
        <v>406839287.73200053</v>
      </c>
    </row>
    <row r="4280" spans="1:19" ht="18.75" x14ac:dyDescent="0.25">
      <c r="A4280" s="163" t="s">
        <v>7960</v>
      </c>
      <c r="B4280" s="164">
        <v>45988</v>
      </c>
      <c r="C4280" s="34" t="s">
        <v>731</v>
      </c>
      <c r="D4280" s="53" t="str">
        <f>VLOOKUP(Sales[[#This Row],[Customer ID]],Customer[#All],2,0)</f>
        <v>Neha Singh</v>
      </c>
      <c r="E4280" s="34" t="s">
        <v>59</v>
      </c>
      <c r="F4280" s="34" t="str">
        <f>VLOOKUP(Sales[[#This Row],[Product ID]],Product[#All],2,0)</f>
        <v>Amazon Basics Hdmi Cable</v>
      </c>
      <c r="G4280" s="53">
        <v>8</v>
      </c>
      <c r="H4280" s="165">
        <f>VLOOKUP(Sales[[#This Row],[Product ID]],Product[#All],7,0)</f>
        <v>1160</v>
      </c>
      <c r="I4280" s="165">
        <f>Sales[[#This Row],[Selling Rate]]*Sales[[#This Row],[Qty]]</f>
        <v>9280</v>
      </c>
      <c r="J4280" s="45">
        <v>0</v>
      </c>
      <c r="K4280" s="46">
        <f>Sales[[#This Row],[Gross Amount]]*Sales[[#This Row],[Disc %]]</f>
        <v>0</v>
      </c>
      <c r="L4280" s="43">
        <v>0.18</v>
      </c>
      <c r="M4280" s="46">
        <f>(Sales[[#This Row],[Gross Amount]]-Sales[[#This Row],[Disc. Amt.]])*Sales[[#This Row],[GST %]]</f>
        <v>1670.3999999999999</v>
      </c>
      <c r="N4280" s="161">
        <f>Sales[[#This Row],[Gross Amount]]-Sales[[#This Row],[Disc. Amt.]]+Sales[[#This Row],[GST Amount]]</f>
        <v>10950.4</v>
      </c>
      <c r="O4280" s="34" t="s">
        <v>8876</v>
      </c>
      <c r="P4280" s="34" t="s">
        <v>3562</v>
      </c>
      <c r="Q4280" s="165">
        <f>IF(Sales[[#This Row],[Status]]="Cancelled",0,Sales[[#This Row],[Qty]])</f>
        <v>8</v>
      </c>
      <c r="R4280" s="166">
        <f>IF(Sales[[#This Row],[Status]]="Cancelled",0,Sales[[#This Row],[Total Amount]])</f>
        <v>10950.4</v>
      </c>
      <c r="S4280" s="162">
        <f>SUM(Sales[Net Amount])</f>
        <v>406839287.73200053</v>
      </c>
    </row>
    <row r="4281" spans="1:19" ht="18.75" x14ac:dyDescent="0.25">
      <c r="A4281" s="156" t="s">
        <v>7961</v>
      </c>
      <c r="B4281" s="157">
        <v>45988</v>
      </c>
      <c r="C4281" s="158" t="s">
        <v>857</v>
      </c>
      <c r="D4281" s="159" t="str">
        <f>VLOOKUP(Sales[[#This Row],[Customer ID]],Customer[#All],2,0)</f>
        <v>Pooja Singh</v>
      </c>
      <c r="E4281" s="158" t="s">
        <v>389</v>
      </c>
      <c r="F4281" s="158" t="str">
        <f>VLOOKUP(Sales[[#This Row],[Product ID]],Product[#All],2,0)</f>
        <v>WD HDD</v>
      </c>
      <c r="G4281" s="159">
        <v>5</v>
      </c>
      <c r="H4281" s="160">
        <f>VLOOKUP(Sales[[#This Row],[Product ID]],Product[#All],7,0)</f>
        <v>10530</v>
      </c>
      <c r="I4281" s="160">
        <f>Sales[[#This Row],[Selling Rate]]*Sales[[#This Row],[Qty]]</f>
        <v>52650</v>
      </c>
      <c r="J4281" s="43">
        <v>0.15</v>
      </c>
      <c r="K4281" s="44">
        <f>Sales[[#This Row],[Gross Amount]]*Sales[[#This Row],[Disc %]]</f>
        <v>7897.5</v>
      </c>
      <c r="L4281" s="43">
        <v>0.18</v>
      </c>
      <c r="M4281" s="44">
        <f>(Sales[[#This Row],[Gross Amount]]-Sales[[#This Row],[Disc. Amt.]])*Sales[[#This Row],[GST %]]</f>
        <v>8055.45</v>
      </c>
      <c r="N4281" s="161">
        <f>Sales[[#This Row],[Gross Amount]]-Sales[[#This Row],[Disc. Amt.]]+Sales[[#This Row],[GST Amount]]</f>
        <v>52807.95</v>
      </c>
      <c r="O4281" s="158" t="s">
        <v>3569</v>
      </c>
      <c r="P4281" s="158" t="s">
        <v>3562</v>
      </c>
      <c r="Q4281" s="160">
        <f>IF(Sales[[#This Row],[Status]]="Cancelled",0,Sales[[#This Row],[Qty]])</f>
        <v>5</v>
      </c>
      <c r="R4281" s="161">
        <f>IF(Sales[[#This Row],[Status]]="Cancelled",0,Sales[[#This Row],[Total Amount]])</f>
        <v>52807.95</v>
      </c>
      <c r="S4281" s="162">
        <f>SUM(Sales[Net Amount])</f>
        <v>406839287.73200053</v>
      </c>
    </row>
    <row r="4282" spans="1:19" ht="18.75" x14ac:dyDescent="0.25">
      <c r="A4282" s="163" t="s">
        <v>7962</v>
      </c>
      <c r="B4282" s="164">
        <v>45988</v>
      </c>
      <c r="C4282" s="34" t="s">
        <v>708</v>
      </c>
      <c r="D4282" s="53" t="str">
        <f>VLOOKUP(Sales[[#This Row],[Customer ID]],Customer[#All],2,0)</f>
        <v>Amit Verma</v>
      </c>
      <c r="E4282" s="34" t="s">
        <v>155</v>
      </c>
      <c r="F4282" s="34" t="str">
        <f>VLOOKUP(Sales[[#This Row],[Product ID]],Product[#All],2,0)</f>
        <v>Sandisk Pen Drive</v>
      </c>
      <c r="G4282" s="53">
        <v>5</v>
      </c>
      <c r="H4282" s="165">
        <f>VLOOKUP(Sales[[#This Row],[Product ID]],Product[#All],7,0)</f>
        <v>3650</v>
      </c>
      <c r="I4282" s="165">
        <f>Sales[[#This Row],[Selling Rate]]*Sales[[#This Row],[Qty]]</f>
        <v>18250</v>
      </c>
      <c r="J4282" s="45">
        <v>0.05</v>
      </c>
      <c r="K4282" s="46">
        <f>Sales[[#This Row],[Gross Amount]]*Sales[[#This Row],[Disc %]]</f>
        <v>912.5</v>
      </c>
      <c r="L4282" s="43">
        <v>0.18</v>
      </c>
      <c r="M4282" s="46">
        <f>(Sales[[#This Row],[Gross Amount]]-Sales[[#This Row],[Disc. Amt.]])*Sales[[#This Row],[GST %]]</f>
        <v>3120.75</v>
      </c>
      <c r="N4282" s="161">
        <f>Sales[[#This Row],[Gross Amount]]-Sales[[#This Row],[Disc. Amt.]]+Sales[[#This Row],[GST Amount]]</f>
        <v>20458.25</v>
      </c>
      <c r="O4282" s="34" t="s">
        <v>3569</v>
      </c>
      <c r="P4282" s="34" t="s">
        <v>3562</v>
      </c>
      <c r="Q4282" s="165">
        <f>IF(Sales[[#This Row],[Status]]="Cancelled",0,Sales[[#This Row],[Qty]])</f>
        <v>5</v>
      </c>
      <c r="R4282" s="166">
        <f>IF(Sales[[#This Row],[Status]]="Cancelled",0,Sales[[#This Row],[Total Amount]])</f>
        <v>20458.25</v>
      </c>
      <c r="S4282" s="162">
        <f>SUM(Sales[Net Amount])</f>
        <v>406839287.73200053</v>
      </c>
    </row>
    <row r="4283" spans="1:19" ht="18.75" x14ac:dyDescent="0.25">
      <c r="A4283" s="156" t="s">
        <v>7963</v>
      </c>
      <c r="B4283" s="157">
        <v>45988</v>
      </c>
      <c r="C4283" s="158" t="s">
        <v>712</v>
      </c>
      <c r="D4283" s="159" t="str">
        <f>VLOOKUP(Sales[[#This Row],[Customer ID]],Customer[#All],2,0)</f>
        <v>Sahil Verma</v>
      </c>
      <c r="E4283" s="158" t="s">
        <v>178</v>
      </c>
      <c r="F4283" s="158" t="str">
        <f>VLOOKUP(Sales[[#This Row],[Product ID]],Product[#All],2,0)</f>
        <v>Kingston Ram</v>
      </c>
      <c r="G4283" s="159">
        <v>4</v>
      </c>
      <c r="H4283" s="160">
        <f>VLOOKUP(Sales[[#This Row],[Product ID]],Product[#All],7,0)</f>
        <v>9770</v>
      </c>
      <c r="I4283" s="160">
        <f>Sales[[#This Row],[Selling Rate]]*Sales[[#This Row],[Qty]]</f>
        <v>39080</v>
      </c>
      <c r="J4283" s="43">
        <v>0.02</v>
      </c>
      <c r="K4283" s="44">
        <f>Sales[[#This Row],[Gross Amount]]*Sales[[#This Row],[Disc %]]</f>
        <v>781.6</v>
      </c>
      <c r="L4283" s="43">
        <v>0.18</v>
      </c>
      <c r="M4283" s="44">
        <f>(Sales[[#This Row],[Gross Amount]]-Sales[[#This Row],[Disc. Amt.]])*Sales[[#This Row],[GST %]]</f>
        <v>6893.7120000000004</v>
      </c>
      <c r="N4283" s="161">
        <f>Sales[[#This Row],[Gross Amount]]-Sales[[#This Row],[Disc. Amt.]]+Sales[[#This Row],[GST Amount]]</f>
        <v>45192.112000000001</v>
      </c>
      <c r="O4283" s="158" t="s">
        <v>3569</v>
      </c>
      <c r="P4283" s="158" t="s">
        <v>3562</v>
      </c>
      <c r="Q4283" s="160">
        <f>IF(Sales[[#This Row],[Status]]="Cancelled",0,Sales[[#This Row],[Qty]])</f>
        <v>4</v>
      </c>
      <c r="R4283" s="161">
        <f>IF(Sales[[#This Row],[Status]]="Cancelled",0,Sales[[#This Row],[Total Amount]])</f>
        <v>45192.112000000001</v>
      </c>
      <c r="S4283" s="162">
        <f>SUM(Sales[Net Amount])</f>
        <v>406839287.73200053</v>
      </c>
    </row>
    <row r="4284" spans="1:19" ht="18.75" x14ac:dyDescent="0.25">
      <c r="A4284" s="163" t="s">
        <v>7964</v>
      </c>
      <c r="B4284" s="164">
        <v>45988</v>
      </c>
      <c r="C4284" s="34" t="s">
        <v>758</v>
      </c>
      <c r="D4284" s="53" t="str">
        <f>VLOOKUP(Sales[[#This Row],[Customer ID]],Customer[#All],2,0)</f>
        <v>Rahul Verma</v>
      </c>
      <c r="E4284" s="34" t="s">
        <v>484</v>
      </c>
      <c r="F4284" s="34" t="str">
        <f>VLOOKUP(Sales[[#This Row],[Product ID]],Product[#All],2,0)</f>
        <v>Dell Desktop</v>
      </c>
      <c r="G4284" s="53">
        <v>4</v>
      </c>
      <c r="H4284" s="165">
        <f>VLOOKUP(Sales[[#This Row],[Product ID]],Product[#All],7,0)</f>
        <v>68710</v>
      </c>
      <c r="I4284" s="165">
        <f>Sales[[#This Row],[Selling Rate]]*Sales[[#This Row],[Qty]]</f>
        <v>274840</v>
      </c>
      <c r="J4284" s="45">
        <v>0.15</v>
      </c>
      <c r="K4284" s="46">
        <f>Sales[[#This Row],[Gross Amount]]*Sales[[#This Row],[Disc %]]</f>
        <v>41226</v>
      </c>
      <c r="L4284" s="43">
        <v>0.18</v>
      </c>
      <c r="M4284" s="46">
        <f>(Sales[[#This Row],[Gross Amount]]-Sales[[#This Row],[Disc. Amt.]])*Sales[[#This Row],[GST %]]</f>
        <v>42050.52</v>
      </c>
      <c r="N4284" s="161">
        <f>Sales[[#This Row],[Gross Amount]]-Sales[[#This Row],[Disc. Amt.]]+Sales[[#This Row],[GST Amount]]</f>
        <v>275664.52</v>
      </c>
      <c r="O4284" s="34" t="s">
        <v>8876</v>
      </c>
      <c r="P4284" s="34" t="s">
        <v>3562</v>
      </c>
      <c r="Q4284" s="165">
        <f>IF(Sales[[#This Row],[Status]]="Cancelled",0,Sales[[#This Row],[Qty]])</f>
        <v>4</v>
      </c>
      <c r="R4284" s="166">
        <f>IF(Sales[[#This Row],[Status]]="Cancelled",0,Sales[[#This Row],[Total Amount]])</f>
        <v>275664.52</v>
      </c>
      <c r="S4284" s="162">
        <f>SUM(Sales[Net Amount])</f>
        <v>406839287.73200053</v>
      </c>
    </row>
    <row r="4285" spans="1:19" ht="18.75" x14ac:dyDescent="0.25">
      <c r="A4285" s="156" t="s">
        <v>7965</v>
      </c>
      <c r="B4285" s="157">
        <v>45988</v>
      </c>
      <c r="C4285" s="158" t="s">
        <v>876</v>
      </c>
      <c r="D4285" s="159" t="str">
        <f>VLOOKUP(Sales[[#This Row],[Customer ID]],Customer[#All],2,0)</f>
        <v>Sahil Verma</v>
      </c>
      <c r="E4285" s="158" t="s">
        <v>144</v>
      </c>
      <c r="F4285" s="158" t="str">
        <f>VLOOKUP(Sales[[#This Row],[Product ID]],Product[#All],2,0)</f>
        <v>Jbl Speaker</v>
      </c>
      <c r="G4285" s="159">
        <v>7</v>
      </c>
      <c r="H4285" s="160">
        <f>VLOOKUP(Sales[[#This Row],[Product ID]],Product[#All],7,0)</f>
        <v>7630</v>
      </c>
      <c r="I4285" s="160">
        <f>Sales[[#This Row],[Selling Rate]]*Sales[[#This Row],[Qty]]</f>
        <v>53410</v>
      </c>
      <c r="J4285" s="43">
        <v>0</v>
      </c>
      <c r="K4285" s="44">
        <f>Sales[[#This Row],[Gross Amount]]*Sales[[#This Row],[Disc %]]</f>
        <v>0</v>
      </c>
      <c r="L4285" s="43">
        <v>0.18</v>
      </c>
      <c r="M4285" s="44">
        <f>(Sales[[#This Row],[Gross Amount]]-Sales[[#This Row],[Disc. Amt.]])*Sales[[#This Row],[GST %]]</f>
        <v>9613.7999999999993</v>
      </c>
      <c r="N4285" s="161">
        <f>Sales[[#This Row],[Gross Amount]]-Sales[[#This Row],[Disc. Amt.]]+Sales[[#This Row],[GST Amount]]</f>
        <v>63023.8</v>
      </c>
      <c r="O4285" s="158" t="s">
        <v>3566</v>
      </c>
      <c r="P4285" s="158" t="s">
        <v>3562</v>
      </c>
      <c r="Q4285" s="160">
        <f>IF(Sales[[#This Row],[Status]]="Cancelled",0,Sales[[#This Row],[Qty]])</f>
        <v>7</v>
      </c>
      <c r="R4285" s="161">
        <f>IF(Sales[[#This Row],[Status]]="Cancelled",0,Sales[[#This Row],[Total Amount]])</f>
        <v>63023.8</v>
      </c>
      <c r="S4285" s="162">
        <f>SUM(Sales[Net Amount])</f>
        <v>406839287.73200053</v>
      </c>
    </row>
    <row r="4286" spans="1:19" ht="18.75" x14ac:dyDescent="0.25">
      <c r="A4286" s="163" t="s">
        <v>7966</v>
      </c>
      <c r="B4286" s="164">
        <v>45988</v>
      </c>
      <c r="C4286" s="34" t="s">
        <v>743</v>
      </c>
      <c r="D4286" s="53" t="str">
        <f>VLOOKUP(Sales[[#This Row],[Customer ID]],Customer[#All],2,0)</f>
        <v>Rahul Gupta</v>
      </c>
      <c r="E4286" s="34" t="s">
        <v>370</v>
      </c>
      <c r="F4286" s="34" t="str">
        <f>VLOOKUP(Sales[[#This Row],[Product ID]],Product[#All],2,0)</f>
        <v>Samsung Monitor</v>
      </c>
      <c r="G4286" s="53">
        <v>6</v>
      </c>
      <c r="H4286" s="165">
        <f>VLOOKUP(Sales[[#This Row],[Product ID]],Product[#All],7,0)</f>
        <v>24770</v>
      </c>
      <c r="I4286" s="165">
        <f>Sales[[#This Row],[Selling Rate]]*Sales[[#This Row],[Qty]]</f>
        <v>148620</v>
      </c>
      <c r="J4286" s="45">
        <v>0.12</v>
      </c>
      <c r="K4286" s="46">
        <f>Sales[[#This Row],[Gross Amount]]*Sales[[#This Row],[Disc %]]</f>
        <v>17834.399999999998</v>
      </c>
      <c r="L4286" s="43">
        <v>0.18</v>
      </c>
      <c r="M4286" s="46">
        <f>(Sales[[#This Row],[Gross Amount]]-Sales[[#This Row],[Disc. Amt.]])*Sales[[#This Row],[GST %]]</f>
        <v>23541.407999999999</v>
      </c>
      <c r="N4286" s="161">
        <f>Sales[[#This Row],[Gross Amount]]-Sales[[#This Row],[Disc. Amt.]]+Sales[[#This Row],[GST Amount]]</f>
        <v>154327.008</v>
      </c>
      <c r="O4286" s="34" t="s">
        <v>3561</v>
      </c>
      <c r="P4286" s="34" t="s">
        <v>3562</v>
      </c>
      <c r="Q4286" s="165">
        <f>IF(Sales[[#This Row],[Status]]="Cancelled",0,Sales[[#This Row],[Qty]])</f>
        <v>6</v>
      </c>
      <c r="R4286" s="166">
        <f>IF(Sales[[#This Row],[Status]]="Cancelled",0,Sales[[#This Row],[Total Amount]])</f>
        <v>154327.008</v>
      </c>
      <c r="S4286" s="162">
        <f>SUM(Sales[Net Amount])</f>
        <v>406839287.73200053</v>
      </c>
    </row>
    <row r="4287" spans="1:19" ht="18.75" x14ac:dyDescent="0.25">
      <c r="A4287" s="156" t="s">
        <v>7967</v>
      </c>
      <c r="B4287" s="157">
        <v>45988</v>
      </c>
      <c r="C4287" s="158" t="s">
        <v>854</v>
      </c>
      <c r="D4287" s="159" t="str">
        <f>VLOOKUP(Sales[[#This Row],[Customer ID]],Customer[#All],2,0)</f>
        <v>Neha Sharma</v>
      </c>
      <c r="E4287" s="158" t="s">
        <v>413</v>
      </c>
      <c r="F4287" s="158" t="str">
        <f>VLOOKUP(Sales[[#This Row],[Product ID]],Product[#All],2,0)</f>
        <v>Crucial Ssd</v>
      </c>
      <c r="G4287" s="159">
        <v>6</v>
      </c>
      <c r="H4287" s="160">
        <f>VLOOKUP(Sales[[#This Row],[Product ID]],Product[#All],7,0)</f>
        <v>10780</v>
      </c>
      <c r="I4287" s="160">
        <f>Sales[[#This Row],[Selling Rate]]*Sales[[#This Row],[Qty]]</f>
        <v>64680</v>
      </c>
      <c r="J4287" s="43">
        <v>0.15</v>
      </c>
      <c r="K4287" s="44">
        <f>Sales[[#This Row],[Gross Amount]]*Sales[[#This Row],[Disc %]]</f>
        <v>9702</v>
      </c>
      <c r="L4287" s="43">
        <v>0.18</v>
      </c>
      <c r="M4287" s="44">
        <f>(Sales[[#This Row],[Gross Amount]]-Sales[[#This Row],[Disc. Amt.]])*Sales[[#This Row],[GST %]]</f>
        <v>9896.0399999999991</v>
      </c>
      <c r="N4287" s="161">
        <f>Sales[[#This Row],[Gross Amount]]-Sales[[#This Row],[Disc. Amt.]]+Sales[[#This Row],[GST Amount]]</f>
        <v>64874.04</v>
      </c>
      <c r="O4287" s="158" t="s">
        <v>3566</v>
      </c>
      <c r="P4287" s="158" t="s">
        <v>3562</v>
      </c>
      <c r="Q4287" s="160">
        <f>IF(Sales[[#This Row],[Status]]="Cancelled",0,Sales[[#This Row],[Qty]])</f>
        <v>6</v>
      </c>
      <c r="R4287" s="161">
        <f>IF(Sales[[#This Row],[Status]]="Cancelled",0,Sales[[#This Row],[Total Amount]])</f>
        <v>64874.04</v>
      </c>
      <c r="S4287" s="162">
        <f>SUM(Sales[Net Amount])</f>
        <v>406839287.73200053</v>
      </c>
    </row>
    <row r="4288" spans="1:19" ht="18.75" x14ac:dyDescent="0.25">
      <c r="A4288" s="163" t="s">
        <v>7968</v>
      </c>
      <c r="B4288" s="164">
        <v>45988</v>
      </c>
      <c r="C4288" s="34" t="s">
        <v>775</v>
      </c>
      <c r="D4288" s="53" t="str">
        <f>VLOOKUP(Sales[[#This Row],[Customer ID]],Customer[#All],2,0)</f>
        <v>Ankit Kumar</v>
      </c>
      <c r="E4288" s="34" t="s">
        <v>416</v>
      </c>
      <c r="F4288" s="34" t="str">
        <f>VLOOKUP(Sales[[#This Row],[Product ID]],Product[#All],2,0)</f>
        <v>Portronics USB Cable</v>
      </c>
      <c r="G4288" s="53">
        <v>2</v>
      </c>
      <c r="H4288" s="165">
        <f>VLOOKUP(Sales[[#This Row],[Product ID]],Product[#All],7,0)</f>
        <v>960</v>
      </c>
      <c r="I4288" s="165">
        <f>Sales[[#This Row],[Selling Rate]]*Sales[[#This Row],[Qty]]</f>
        <v>1920</v>
      </c>
      <c r="J4288" s="45">
        <v>0</v>
      </c>
      <c r="K4288" s="46">
        <f>Sales[[#This Row],[Gross Amount]]*Sales[[#This Row],[Disc %]]</f>
        <v>0</v>
      </c>
      <c r="L4288" s="43">
        <v>0.18</v>
      </c>
      <c r="M4288" s="46">
        <f>(Sales[[#This Row],[Gross Amount]]-Sales[[#This Row],[Disc. Amt.]])*Sales[[#This Row],[GST %]]</f>
        <v>345.59999999999997</v>
      </c>
      <c r="N4288" s="161">
        <f>Sales[[#This Row],[Gross Amount]]-Sales[[#This Row],[Disc. Amt.]]+Sales[[#This Row],[GST Amount]]</f>
        <v>2265.6</v>
      </c>
      <c r="O4288" s="34" t="s">
        <v>3561</v>
      </c>
      <c r="P4288" s="34" t="s">
        <v>3562</v>
      </c>
      <c r="Q4288" s="165">
        <f>IF(Sales[[#This Row],[Status]]="Cancelled",0,Sales[[#This Row],[Qty]])</f>
        <v>2</v>
      </c>
      <c r="R4288" s="166">
        <f>IF(Sales[[#This Row],[Status]]="Cancelled",0,Sales[[#This Row],[Total Amount]])</f>
        <v>2265.6</v>
      </c>
      <c r="S4288" s="162">
        <f>SUM(Sales[Net Amount])</f>
        <v>406839287.73200053</v>
      </c>
    </row>
    <row r="4289" spans="1:19" ht="18.75" x14ac:dyDescent="0.25">
      <c r="A4289" s="156" t="s">
        <v>7969</v>
      </c>
      <c r="B4289" s="157">
        <v>45988</v>
      </c>
      <c r="C4289" s="158" t="s">
        <v>801</v>
      </c>
      <c r="D4289" s="159" t="str">
        <f>VLOOKUP(Sales[[#This Row],[Customer ID]],Customer[#All],2,0)</f>
        <v>Sunita Verma</v>
      </c>
      <c r="E4289" s="158" t="s">
        <v>518</v>
      </c>
      <c r="F4289" s="158" t="str">
        <f>VLOOKUP(Sales[[#This Row],[Product ID]],Product[#All],2,0)</f>
        <v>Samsung Monitor</v>
      </c>
      <c r="G4289" s="159">
        <v>4</v>
      </c>
      <c r="H4289" s="160">
        <f>VLOOKUP(Sales[[#This Row],[Product ID]],Product[#All],7,0)</f>
        <v>23660</v>
      </c>
      <c r="I4289" s="160">
        <f>Sales[[#This Row],[Selling Rate]]*Sales[[#This Row],[Qty]]</f>
        <v>94640</v>
      </c>
      <c r="J4289" s="43">
        <v>0.15</v>
      </c>
      <c r="K4289" s="44">
        <f>Sales[[#This Row],[Gross Amount]]*Sales[[#This Row],[Disc %]]</f>
        <v>14196</v>
      </c>
      <c r="L4289" s="43">
        <v>0.18</v>
      </c>
      <c r="M4289" s="44">
        <f>(Sales[[#This Row],[Gross Amount]]-Sales[[#This Row],[Disc. Amt.]])*Sales[[#This Row],[GST %]]</f>
        <v>14479.92</v>
      </c>
      <c r="N4289" s="161">
        <f>Sales[[#This Row],[Gross Amount]]-Sales[[#This Row],[Disc. Amt.]]+Sales[[#This Row],[GST Amount]]</f>
        <v>94923.92</v>
      </c>
      <c r="O4289" s="158" t="s">
        <v>3566</v>
      </c>
      <c r="P4289" s="158" t="s">
        <v>3562</v>
      </c>
      <c r="Q4289" s="160">
        <f>IF(Sales[[#This Row],[Status]]="Cancelled",0,Sales[[#This Row],[Qty]])</f>
        <v>4</v>
      </c>
      <c r="R4289" s="161">
        <f>IF(Sales[[#This Row],[Status]]="Cancelled",0,Sales[[#This Row],[Total Amount]])</f>
        <v>94923.92</v>
      </c>
      <c r="S4289" s="162">
        <f>SUM(Sales[Net Amount])</f>
        <v>406839287.73200053</v>
      </c>
    </row>
    <row r="4290" spans="1:19" ht="18.75" x14ac:dyDescent="0.25">
      <c r="A4290" s="163" t="s">
        <v>7970</v>
      </c>
      <c r="B4290" s="164">
        <v>45988</v>
      </c>
      <c r="C4290" s="34" t="s">
        <v>931</v>
      </c>
      <c r="D4290" s="53" t="str">
        <f>VLOOKUP(Sales[[#This Row],[Customer ID]],Customer[#All],2,0)</f>
        <v>Sahil Patel</v>
      </c>
      <c r="E4290" s="34" t="s">
        <v>443</v>
      </c>
      <c r="F4290" s="34" t="str">
        <f>VLOOKUP(Sales[[#This Row],[Product ID]],Product[#All],2,0)</f>
        <v>HP Power Adapter</v>
      </c>
      <c r="G4290" s="53">
        <v>3</v>
      </c>
      <c r="H4290" s="165">
        <f>VLOOKUP(Sales[[#This Row],[Product ID]],Product[#All],7,0)</f>
        <v>3850</v>
      </c>
      <c r="I4290" s="165">
        <f>Sales[[#This Row],[Selling Rate]]*Sales[[#This Row],[Qty]]</f>
        <v>11550</v>
      </c>
      <c r="J4290" s="45">
        <v>0</v>
      </c>
      <c r="K4290" s="46">
        <f>Sales[[#This Row],[Gross Amount]]*Sales[[#This Row],[Disc %]]</f>
        <v>0</v>
      </c>
      <c r="L4290" s="43">
        <v>0.18</v>
      </c>
      <c r="M4290" s="46">
        <f>(Sales[[#This Row],[Gross Amount]]-Sales[[#This Row],[Disc. Amt.]])*Sales[[#This Row],[GST %]]</f>
        <v>2079</v>
      </c>
      <c r="N4290" s="161">
        <f>Sales[[#This Row],[Gross Amount]]-Sales[[#This Row],[Disc. Amt.]]+Sales[[#This Row],[GST Amount]]</f>
        <v>13629</v>
      </c>
      <c r="O4290" s="34" t="s">
        <v>3566</v>
      </c>
      <c r="P4290" s="34" t="s">
        <v>3562</v>
      </c>
      <c r="Q4290" s="165">
        <f>IF(Sales[[#This Row],[Status]]="Cancelled",0,Sales[[#This Row],[Qty]])</f>
        <v>3</v>
      </c>
      <c r="R4290" s="166">
        <f>IF(Sales[[#This Row],[Status]]="Cancelled",0,Sales[[#This Row],[Total Amount]])</f>
        <v>13629</v>
      </c>
      <c r="S4290" s="162">
        <f>SUM(Sales[Net Amount])</f>
        <v>406839287.73200053</v>
      </c>
    </row>
    <row r="4291" spans="1:19" ht="18.75" x14ac:dyDescent="0.25">
      <c r="A4291" s="156" t="s">
        <v>7971</v>
      </c>
      <c r="B4291" s="157">
        <v>45988</v>
      </c>
      <c r="C4291" s="158" t="s">
        <v>817</v>
      </c>
      <c r="D4291" s="159" t="str">
        <f>VLOOKUP(Sales[[#This Row],[Customer ID]],Customer[#All],2,0)</f>
        <v>Ankit Patel</v>
      </c>
      <c r="E4291" s="158" t="s">
        <v>113</v>
      </c>
      <c r="F4291" s="158" t="str">
        <f>VLOOKUP(Sales[[#This Row],[Product ID]],Product[#All],2,0)</f>
        <v>HP Laptop</v>
      </c>
      <c r="G4291" s="159">
        <v>8</v>
      </c>
      <c r="H4291" s="160">
        <f>VLOOKUP(Sales[[#This Row],[Product ID]],Product[#All],7,0)</f>
        <v>92470</v>
      </c>
      <c r="I4291" s="160">
        <f>Sales[[#This Row],[Selling Rate]]*Sales[[#This Row],[Qty]]</f>
        <v>739760</v>
      </c>
      <c r="J4291" s="43">
        <v>0</v>
      </c>
      <c r="K4291" s="44">
        <f>Sales[[#This Row],[Gross Amount]]*Sales[[#This Row],[Disc %]]</f>
        <v>0</v>
      </c>
      <c r="L4291" s="43">
        <v>0.18</v>
      </c>
      <c r="M4291" s="44">
        <f>(Sales[[#This Row],[Gross Amount]]-Sales[[#This Row],[Disc. Amt.]])*Sales[[#This Row],[GST %]]</f>
        <v>133156.79999999999</v>
      </c>
      <c r="N4291" s="161">
        <f>Sales[[#This Row],[Gross Amount]]-Sales[[#This Row],[Disc. Amt.]]+Sales[[#This Row],[GST Amount]]</f>
        <v>872916.8</v>
      </c>
      <c r="O4291" s="158" t="s">
        <v>3569</v>
      </c>
      <c r="P4291" s="158" t="s">
        <v>3562</v>
      </c>
      <c r="Q4291" s="160">
        <f>IF(Sales[[#This Row],[Status]]="Cancelled",0,Sales[[#This Row],[Qty]])</f>
        <v>8</v>
      </c>
      <c r="R4291" s="161">
        <f>IF(Sales[[#This Row],[Status]]="Cancelled",0,Sales[[#This Row],[Total Amount]])</f>
        <v>872916.8</v>
      </c>
      <c r="S4291" s="162">
        <f>SUM(Sales[Net Amount])</f>
        <v>406839287.73200053</v>
      </c>
    </row>
    <row r="4292" spans="1:19" ht="18.75" x14ac:dyDescent="0.25">
      <c r="A4292" s="163" t="s">
        <v>7972</v>
      </c>
      <c r="B4292" s="164">
        <v>45988</v>
      </c>
      <c r="C4292" s="34" t="s">
        <v>711</v>
      </c>
      <c r="D4292" s="53" t="str">
        <f>VLOOKUP(Sales[[#This Row],[Customer ID]],Customer[#All],2,0)</f>
        <v>Priya Verma</v>
      </c>
      <c r="E4292" s="34" t="s">
        <v>145</v>
      </c>
      <c r="F4292" s="34" t="str">
        <f>VLOOKUP(Sales[[#This Row],[Product ID]],Product[#All],2,0)</f>
        <v>Crucial Ssd</v>
      </c>
      <c r="G4292" s="53">
        <v>8</v>
      </c>
      <c r="H4292" s="165">
        <f>VLOOKUP(Sales[[#This Row],[Product ID]],Product[#All],7,0)</f>
        <v>9790</v>
      </c>
      <c r="I4292" s="165">
        <f>Sales[[#This Row],[Selling Rate]]*Sales[[#This Row],[Qty]]</f>
        <v>78320</v>
      </c>
      <c r="J4292" s="45">
        <v>0.05</v>
      </c>
      <c r="K4292" s="46">
        <f>Sales[[#This Row],[Gross Amount]]*Sales[[#This Row],[Disc %]]</f>
        <v>3916</v>
      </c>
      <c r="L4292" s="43">
        <v>0.18</v>
      </c>
      <c r="M4292" s="46">
        <f>(Sales[[#This Row],[Gross Amount]]-Sales[[#This Row],[Disc. Amt.]])*Sales[[#This Row],[GST %]]</f>
        <v>13392.72</v>
      </c>
      <c r="N4292" s="161">
        <f>Sales[[#This Row],[Gross Amount]]-Sales[[#This Row],[Disc. Amt.]]+Sales[[#This Row],[GST Amount]]</f>
        <v>87796.72</v>
      </c>
      <c r="O4292" s="34" t="s">
        <v>3569</v>
      </c>
      <c r="P4292" s="34" t="s">
        <v>3562</v>
      </c>
      <c r="Q4292" s="165">
        <f>IF(Sales[[#This Row],[Status]]="Cancelled",0,Sales[[#This Row],[Qty]])</f>
        <v>8</v>
      </c>
      <c r="R4292" s="166">
        <f>IF(Sales[[#This Row],[Status]]="Cancelled",0,Sales[[#This Row],[Total Amount]])</f>
        <v>87796.72</v>
      </c>
      <c r="S4292" s="162">
        <f>SUM(Sales[Net Amount])</f>
        <v>406839287.73200053</v>
      </c>
    </row>
    <row r="4293" spans="1:19" ht="18.75" x14ac:dyDescent="0.25">
      <c r="A4293" s="156" t="s">
        <v>7973</v>
      </c>
      <c r="B4293" s="157">
        <v>45989</v>
      </c>
      <c r="C4293" s="158" t="s">
        <v>904</v>
      </c>
      <c r="D4293" s="159" t="str">
        <f>VLOOKUP(Sales[[#This Row],[Customer ID]],Customer[#All],2,0)</f>
        <v>Sahil Patel</v>
      </c>
      <c r="E4293" s="158" t="s">
        <v>501</v>
      </c>
      <c r="F4293" s="158" t="str">
        <f>VLOOKUP(Sales[[#This Row],[Product ID]],Product[#All],2,0)</f>
        <v>Samsung Ssd</v>
      </c>
      <c r="G4293" s="159">
        <v>2</v>
      </c>
      <c r="H4293" s="160">
        <f>VLOOKUP(Sales[[#This Row],[Product ID]],Product[#All],7,0)</f>
        <v>4260</v>
      </c>
      <c r="I4293" s="160">
        <f>Sales[[#This Row],[Selling Rate]]*Sales[[#This Row],[Qty]]</f>
        <v>8520</v>
      </c>
      <c r="J4293" s="43">
        <v>0</v>
      </c>
      <c r="K4293" s="44">
        <f>Sales[[#This Row],[Gross Amount]]*Sales[[#This Row],[Disc %]]</f>
        <v>0</v>
      </c>
      <c r="L4293" s="43">
        <v>0.18</v>
      </c>
      <c r="M4293" s="44">
        <f>(Sales[[#This Row],[Gross Amount]]-Sales[[#This Row],[Disc. Amt.]])*Sales[[#This Row],[GST %]]</f>
        <v>1533.6</v>
      </c>
      <c r="N4293" s="161">
        <f>Sales[[#This Row],[Gross Amount]]-Sales[[#This Row],[Disc. Amt.]]+Sales[[#This Row],[GST Amount]]</f>
        <v>10053.6</v>
      </c>
      <c r="O4293" s="158" t="s">
        <v>8876</v>
      </c>
      <c r="P4293" s="158" t="s">
        <v>3562</v>
      </c>
      <c r="Q4293" s="160">
        <f>IF(Sales[[#This Row],[Status]]="Cancelled",0,Sales[[#This Row],[Qty]])</f>
        <v>2</v>
      </c>
      <c r="R4293" s="161">
        <f>IF(Sales[[#This Row],[Status]]="Cancelled",0,Sales[[#This Row],[Total Amount]])</f>
        <v>10053.6</v>
      </c>
      <c r="S4293" s="162">
        <f>SUM(Sales[Net Amount])</f>
        <v>406839287.73200053</v>
      </c>
    </row>
    <row r="4294" spans="1:19" ht="18.75" x14ac:dyDescent="0.25">
      <c r="A4294" s="163" t="s">
        <v>7974</v>
      </c>
      <c r="B4294" s="164">
        <v>45989</v>
      </c>
      <c r="C4294" s="34" t="s">
        <v>920</v>
      </c>
      <c r="D4294" s="53" t="str">
        <f>VLOOKUP(Sales[[#This Row],[Customer ID]],Customer[#All],2,0)</f>
        <v>Rakesh Sharma</v>
      </c>
      <c r="E4294" s="34" t="s">
        <v>152</v>
      </c>
      <c r="F4294" s="34" t="str">
        <f>VLOOKUP(Sales[[#This Row],[Product ID]],Product[#All],2,0)</f>
        <v>Acer Laptop</v>
      </c>
      <c r="G4294" s="53">
        <v>2</v>
      </c>
      <c r="H4294" s="165">
        <f>VLOOKUP(Sales[[#This Row],[Product ID]],Product[#All],7,0)</f>
        <v>33410</v>
      </c>
      <c r="I4294" s="165">
        <f>Sales[[#This Row],[Selling Rate]]*Sales[[#This Row],[Qty]]</f>
        <v>66820</v>
      </c>
      <c r="J4294" s="45">
        <v>0.05</v>
      </c>
      <c r="K4294" s="46">
        <f>Sales[[#This Row],[Gross Amount]]*Sales[[#This Row],[Disc %]]</f>
        <v>3341</v>
      </c>
      <c r="L4294" s="43">
        <v>0.18</v>
      </c>
      <c r="M4294" s="46">
        <f>(Sales[[#This Row],[Gross Amount]]-Sales[[#This Row],[Disc. Amt.]])*Sales[[#This Row],[GST %]]</f>
        <v>11426.22</v>
      </c>
      <c r="N4294" s="161">
        <f>Sales[[#This Row],[Gross Amount]]-Sales[[#This Row],[Disc. Amt.]]+Sales[[#This Row],[GST Amount]]</f>
        <v>74905.22</v>
      </c>
      <c r="O4294" s="34" t="s">
        <v>3566</v>
      </c>
      <c r="P4294" s="34" t="s">
        <v>3562</v>
      </c>
      <c r="Q4294" s="165">
        <f>IF(Sales[[#This Row],[Status]]="Cancelled",0,Sales[[#This Row],[Qty]])</f>
        <v>2</v>
      </c>
      <c r="R4294" s="166">
        <f>IF(Sales[[#This Row],[Status]]="Cancelled",0,Sales[[#This Row],[Total Amount]])</f>
        <v>74905.22</v>
      </c>
      <c r="S4294" s="162">
        <f>SUM(Sales[Net Amount])</f>
        <v>406839287.73200053</v>
      </c>
    </row>
    <row r="4295" spans="1:19" ht="18.75" x14ac:dyDescent="0.25">
      <c r="A4295" s="156" t="s">
        <v>7975</v>
      </c>
      <c r="B4295" s="157">
        <v>45989</v>
      </c>
      <c r="C4295" s="158" t="s">
        <v>796</v>
      </c>
      <c r="D4295" s="159" t="str">
        <f>VLOOKUP(Sales[[#This Row],[Customer ID]],Customer[#All],2,0)</f>
        <v>Rahul Verma</v>
      </c>
      <c r="E4295" s="158" t="s">
        <v>481</v>
      </c>
      <c r="F4295" s="158" t="str">
        <f>VLOOKUP(Sales[[#This Row],[Product ID]],Product[#All],2,0)</f>
        <v>Dell Laptop</v>
      </c>
      <c r="G4295" s="159">
        <v>1</v>
      </c>
      <c r="H4295" s="160">
        <f>VLOOKUP(Sales[[#This Row],[Product ID]],Product[#All],7,0)</f>
        <v>36050</v>
      </c>
      <c r="I4295" s="160">
        <f>Sales[[#This Row],[Selling Rate]]*Sales[[#This Row],[Qty]]</f>
        <v>36050</v>
      </c>
      <c r="J4295" s="43">
        <v>0</v>
      </c>
      <c r="K4295" s="44">
        <f>Sales[[#This Row],[Gross Amount]]*Sales[[#This Row],[Disc %]]</f>
        <v>0</v>
      </c>
      <c r="L4295" s="43">
        <v>0.18</v>
      </c>
      <c r="M4295" s="44">
        <f>(Sales[[#This Row],[Gross Amount]]-Sales[[#This Row],[Disc. Amt.]])*Sales[[#This Row],[GST %]]</f>
        <v>6489</v>
      </c>
      <c r="N4295" s="161">
        <f>Sales[[#This Row],[Gross Amount]]-Sales[[#This Row],[Disc. Amt.]]+Sales[[#This Row],[GST Amount]]</f>
        <v>42539</v>
      </c>
      <c r="O4295" s="158" t="s">
        <v>3561</v>
      </c>
      <c r="P4295" s="158" t="s">
        <v>3562</v>
      </c>
      <c r="Q4295" s="160">
        <f>IF(Sales[[#This Row],[Status]]="Cancelled",0,Sales[[#This Row],[Qty]])</f>
        <v>1</v>
      </c>
      <c r="R4295" s="161">
        <f>IF(Sales[[#This Row],[Status]]="Cancelled",0,Sales[[#This Row],[Total Amount]])</f>
        <v>42539</v>
      </c>
      <c r="S4295" s="162">
        <f>SUM(Sales[Net Amount])</f>
        <v>406839287.73200053</v>
      </c>
    </row>
    <row r="4296" spans="1:19" ht="18.75" x14ac:dyDescent="0.25">
      <c r="A4296" s="163" t="s">
        <v>7976</v>
      </c>
      <c r="B4296" s="164">
        <v>45989</v>
      </c>
      <c r="C4296" s="34" t="s">
        <v>666</v>
      </c>
      <c r="D4296" s="53" t="str">
        <f>VLOOKUP(Sales[[#This Row],[Customer ID]],Customer[#All],2,0)</f>
        <v>Sahil Gupta</v>
      </c>
      <c r="E4296" s="34" t="s">
        <v>533</v>
      </c>
      <c r="F4296" s="34" t="str">
        <f>VLOOKUP(Sales[[#This Row],[Product ID]],Product[#All],2,0)</f>
        <v>HP Desktop</v>
      </c>
      <c r="G4296" s="53">
        <v>7</v>
      </c>
      <c r="H4296" s="165">
        <f>VLOOKUP(Sales[[#This Row],[Product ID]],Product[#All],7,0)</f>
        <v>72430</v>
      </c>
      <c r="I4296" s="165">
        <f>Sales[[#This Row],[Selling Rate]]*Sales[[#This Row],[Qty]]</f>
        <v>507010</v>
      </c>
      <c r="J4296" s="45">
        <v>0</v>
      </c>
      <c r="K4296" s="46">
        <f>Sales[[#This Row],[Gross Amount]]*Sales[[#This Row],[Disc %]]</f>
        <v>0</v>
      </c>
      <c r="L4296" s="43">
        <v>0.18</v>
      </c>
      <c r="M4296" s="46">
        <f>(Sales[[#This Row],[Gross Amount]]-Sales[[#This Row],[Disc. Amt.]])*Sales[[#This Row],[GST %]]</f>
        <v>91261.8</v>
      </c>
      <c r="N4296" s="161">
        <f>Sales[[#This Row],[Gross Amount]]-Sales[[#This Row],[Disc. Amt.]]+Sales[[#This Row],[GST Amount]]</f>
        <v>598271.80000000005</v>
      </c>
      <c r="O4296" s="34" t="s">
        <v>3561</v>
      </c>
      <c r="P4296" s="34" t="s">
        <v>3562</v>
      </c>
      <c r="Q4296" s="165">
        <f>IF(Sales[[#This Row],[Status]]="Cancelled",0,Sales[[#This Row],[Qty]])</f>
        <v>7</v>
      </c>
      <c r="R4296" s="166">
        <f>IF(Sales[[#This Row],[Status]]="Cancelled",0,Sales[[#This Row],[Total Amount]])</f>
        <v>598271.80000000005</v>
      </c>
      <c r="S4296" s="162">
        <f>SUM(Sales[Net Amount])</f>
        <v>406839287.73200053</v>
      </c>
    </row>
    <row r="4297" spans="1:19" ht="18.75" x14ac:dyDescent="0.25">
      <c r="A4297" s="156" t="s">
        <v>7977</v>
      </c>
      <c r="B4297" s="157">
        <v>45989</v>
      </c>
      <c r="C4297" s="158" t="s">
        <v>750</v>
      </c>
      <c r="D4297" s="159" t="str">
        <f>VLOOKUP(Sales[[#This Row],[Customer ID]],Customer[#All],2,0)</f>
        <v>Rakesh Verma</v>
      </c>
      <c r="E4297" s="158" t="s">
        <v>518</v>
      </c>
      <c r="F4297" s="158" t="str">
        <f>VLOOKUP(Sales[[#This Row],[Product ID]],Product[#All],2,0)</f>
        <v>Samsung Monitor</v>
      </c>
      <c r="G4297" s="159">
        <v>8</v>
      </c>
      <c r="H4297" s="160">
        <f>VLOOKUP(Sales[[#This Row],[Product ID]],Product[#All],7,0)</f>
        <v>23660</v>
      </c>
      <c r="I4297" s="160">
        <f>Sales[[#This Row],[Selling Rate]]*Sales[[#This Row],[Qty]]</f>
        <v>189280</v>
      </c>
      <c r="J4297" s="43">
        <v>0</v>
      </c>
      <c r="K4297" s="44">
        <f>Sales[[#This Row],[Gross Amount]]*Sales[[#This Row],[Disc %]]</f>
        <v>0</v>
      </c>
      <c r="L4297" s="43">
        <v>0.18</v>
      </c>
      <c r="M4297" s="44">
        <f>(Sales[[#This Row],[Gross Amount]]-Sales[[#This Row],[Disc. Amt.]])*Sales[[#This Row],[GST %]]</f>
        <v>34070.400000000001</v>
      </c>
      <c r="N4297" s="161">
        <f>Sales[[#This Row],[Gross Amount]]-Sales[[#This Row],[Disc. Amt.]]+Sales[[#This Row],[GST Amount]]</f>
        <v>223350.39999999999</v>
      </c>
      <c r="O4297" s="158" t="s">
        <v>3566</v>
      </c>
      <c r="P4297" s="158" t="s">
        <v>3562</v>
      </c>
      <c r="Q4297" s="160">
        <f>IF(Sales[[#This Row],[Status]]="Cancelled",0,Sales[[#This Row],[Qty]])</f>
        <v>8</v>
      </c>
      <c r="R4297" s="161">
        <f>IF(Sales[[#This Row],[Status]]="Cancelled",0,Sales[[#This Row],[Total Amount]])</f>
        <v>223350.39999999999</v>
      </c>
      <c r="S4297" s="162">
        <f>SUM(Sales[Net Amount])</f>
        <v>406839287.73200053</v>
      </c>
    </row>
    <row r="4298" spans="1:19" ht="18.75" x14ac:dyDescent="0.25">
      <c r="A4298" s="163" t="s">
        <v>7978</v>
      </c>
      <c r="B4298" s="164">
        <v>45989</v>
      </c>
      <c r="C4298" s="34" t="s">
        <v>862</v>
      </c>
      <c r="D4298" s="53" t="str">
        <f>VLOOKUP(Sales[[#This Row],[Customer ID]],Customer[#All],2,0)</f>
        <v>Rakesh Sharma</v>
      </c>
      <c r="E4298" s="34" t="s">
        <v>128</v>
      </c>
      <c r="F4298" s="34" t="str">
        <f>VLOOKUP(Sales[[#This Row],[Product ID]],Product[#All],2,0)</f>
        <v>American TouristerLaptopBag</v>
      </c>
      <c r="G4298" s="53">
        <v>1</v>
      </c>
      <c r="H4298" s="165">
        <f>VLOOKUP(Sales[[#This Row],[Product ID]],Product[#All],7,0)</f>
        <v>2990</v>
      </c>
      <c r="I4298" s="165">
        <f>Sales[[#This Row],[Selling Rate]]*Sales[[#This Row],[Qty]]</f>
        <v>2990</v>
      </c>
      <c r="J4298" s="45">
        <v>0.1</v>
      </c>
      <c r="K4298" s="46">
        <f>Sales[[#This Row],[Gross Amount]]*Sales[[#This Row],[Disc %]]</f>
        <v>299</v>
      </c>
      <c r="L4298" s="43">
        <v>0.18</v>
      </c>
      <c r="M4298" s="46">
        <f>(Sales[[#This Row],[Gross Amount]]-Sales[[#This Row],[Disc. Amt.]])*Sales[[#This Row],[GST %]]</f>
        <v>484.38</v>
      </c>
      <c r="N4298" s="161">
        <f>Sales[[#This Row],[Gross Amount]]-Sales[[#This Row],[Disc. Amt.]]+Sales[[#This Row],[GST Amount]]</f>
        <v>3175.38</v>
      </c>
      <c r="O4298" s="34" t="s">
        <v>3566</v>
      </c>
      <c r="P4298" s="34" t="s">
        <v>3562</v>
      </c>
      <c r="Q4298" s="165">
        <f>IF(Sales[[#This Row],[Status]]="Cancelled",0,Sales[[#This Row],[Qty]])</f>
        <v>1</v>
      </c>
      <c r="R4298" s="166">
        <f>IF(Sales[[#This Row],[Status]]="Cancelled",0,Sales[[#This Row],[Total Amount]])</f>
        <v>3175.38</v>
      </c>
      <c r="S4298" s="162">
        <f>SUM(Sales[Net Amount])</f>
        <v>406839287.73200053</v>
      </c>
    </row>
    <row r="4299" spans="1:19" ht="18.75" x14ac:dyDescent="0.25">
      <c r="A4299" s="156" t="s">
        <v>7979</v>
      </c>
      <c r="B4299" s="157">
        <v>45989</v>
      </c>
      <c r="C4299" s="158" t="s">
        <v>709</v>
      </c>
      <c r="D4299" s="159" t="str">
        <f>VLOOKUP(Sales[[#This Row],[Customer ID]],Customer[#All],2,0)</f>
        <v>Ankit Kumar</v>
      </c>
      <c r="E4299" s="158" t="s">
        <v>384</v>
      </c>
      <c r="F4299" s="158" t="str">
        <f>VLOOKUP(Sales[[#This Row],[Product ID]],Product[#All],2,0)</f>
        <v>Samsung Ssd</v>
      </c>
      <c r="G4299" s="159">
        <v>1</v>
      </c>
      <c r="H4299" s="160">
        <f>VLOOKUP(Sales[[#This Row],[Product ID]],Product[#All],7,0)</f>
        <v>14770</v>
      </c>
      <c r="I4299" s="160">
        <f>Sales[[#This Row],[Selling Rate]]*Sales[[#This Row],[Qty]]</f>
        <v>14770</v>
      </c>
      <c r="J4299" s="43">
        <v>0.12</v>
      </c>
      <c r="K4299" s="44">
        <f>Sales[[#This Row],[Gross Amount]]*Sales[[#This Row],[Disc %]]</f>
        <v>1772.3999999999999</v>
      </c>
      <c r="L4299" s="43">
        <v>0.18</v>
      </c>
      <c r="M4299" s="44">
        <f>(Sales[[#This Row],[Gross Amount]]-Sales[[#This Row],[Disc. Amt.]])*Sales[[#This Row],[GST %]]</f>
        <v>2339.5679999999998</v>
      </c>
      <c r="N4299" s="161">
        <f>Sales[[#This Row],[Gross Amount]]-Sales[[#This Row],[Disc. Amt.]]+Sales[[#This Row],[GST Amount]]</f>
        <v>15337.168</v>
      </c>
      <c r="O4299" s="158" t="s">
        <v>3561</v>
      </c>
      <c r="P4299" s="158" t="s">
        <v>3562</v>
      </c>
      <c r="Q4299" s="160">
        <f>IF(Sales[[#This Row],[Status]]="Cancelled",0,Sales[[#This Row],[Qty]])</f>
        <v>1</v>
      </c>
      <c r="R4299" s="161">
        <f>IF(Sales[[#This Row],[Status]]="Cancelled",0,Sales[[#This Row],[Total Amount]])</f>
        <v>15337.168</v>
      </c>
      <c r="S4299" s="162">
        <f>SUM(Sales[Net Amount])</f>
        <v>406839287.73200053</v>
      </c>
    </row>
    <row r="4300" spans="1:19" ht="18.75" x14ac:dyDescent="0.25">
      <c r="A4300" s="163" t="s">
        <v>7980</v>
      </c>
      <c r="B4300" s="164">
        <v>45989</v>
      </c>
      <c r="C4300" s="34" t="s">
        <v>732</v>
      </c>
      <c r="D4300" s="53" t="str">
        <f>VLOOKUP(Sales[[#This Row],[Customer ID]],Customer[#All],2,0)</f>
        <v>Sunita Gupta</v>
      </c>
      <c r="E4300" s="34" t="s">
        <v>352</v>
      </c>
      <c r="F4300" s="34" t="str">
        <f>VLOOKUP(Sales[[#This Row],[Product ID]],Product[#All],2,0)</f>
        <v>Seagate HDD</v>
      </c>
      <c r="G4300" s="53">
        <v>6</v>
      </c>
      <c r="H4300" s="165">
        <f>VLOOKUP(Sales[[#This Row],[Product ID]],Product[#All],7,0)</f>
        <v>13350</v>
      </c>
      <c r="I4300" s="165">
        <f>Sales[[#This Row],[Selling Rate]]*Sales[[#This Row],[Qty]]</f>
        <v>80100</v>
      </c>
      <c r="J4300" s="45">
        <v>0.05</v>
      </c>
      <c r="K4300" s="46">
        <f>Sales[[#This Row],[Gross Amount]]*Sales[[#This Row],[Disc %]]</f>
        <v>4005</v>
      </c>
      <c r="L4300" s="43">
        <v>0.18</v>
      </c>
      <c r="M4300" s="46">
        <f>(Sales[[#This Row],[Gross Amount]]-Sales[[#This Row],[Disc. Amt.]])*Sales[[#This Row],[GST %]]</f>
        <v>13697.1</v>
      </c>
      <c r="N4300" s="161">
        <f>Sales[[#This Row],[Gross Amount]]-Sales[[#This Row],[Disc. Amt.]]+Sales[[#This Row],[GST Amount]]</f>
        <v>89792.1</v>
      </c>
      <c r="O4300" s="34" t="s">
        <v>3561</v>
      </c>
      <c r="P4300" s="34" t="s">
        <v>3562</v>
      </c>
      <c r="Q4300" s="165">
        <f>IF(Sales[[#This Row],[Status]]="Cancelled",0,Sales[[#This Row],[Qty]])</f>
        <v>6</v>
      </c>
      <c r="R4300" s="166">
        <f>IF(Sales[[#This Row],[Status]]="Cancelled",0,Sales[[#This Row],[Total Amount]])</f>
        <v>89792.1</v>
      </c>
      <c r="S4300" s="162">
        <f>SUM(Sales[Net Amount])</f>
        <v>406839287.73200053</v>
      </c>
    </row>
    <row r="4301" spans="1:19" ht="18.75" x14ac:dyDescent="0.25">
      <c r="A4301" s="156" t="s">
        <v>7981</v>
      </c>
      <c r="B4301" s="157">
        <v>45989</v>
      </c>
      <c r="C4301" s="158" t="s">
        <v>5458</v>
      </c>
      <c r="D4301" s="159" t="str">
        <f>VLOOKUP(Sales[[#This Row],[Customer ID]],Customer[#All],2,0)</f>
        <v>Amit Patel</v>
      </c>
      <c r="E4301" s="158" t="s">
        <v>202</v>
      </c>
      <c r="F4301" s="158" t="str">
        <f>VLOOKUP(Sales[[#This Row],[Product ID]],Product[#All],2,0)</f>
        <v>TP-link Wi-Fi Adapter</v>
      </c>
      <c r="G4301" s="159">
        <v>7</v>
      </c>
      <c r="H4301" s="160">
        <f>VLOOKUP(Sales[[#This Row],[Product ID]],Product[#All],7,0)</f>
        <v>1330</v>
      </c>
      <c r="I4301" s="160">
        <f>Sales[[#This Row],[Selling Rate]]*Sales[[#This Row],[Qty]]</f>
        <v>9310</v>
      </c>
      <c r="J4301" s="43">
        <v>0.02</v>
      </c>
      <c r="K4301" s="44">
        <f>Sales[[#This Row],[Gross Amount]]*Sales[[#This Row],[Disc %]]</f>
        <v>186.20000000000002</v>
      </c>
      <c r="L4301" s="43">
        <v>0.18</v>
      </c>
      <c r="M4301" s="44">
        <f>(Sales[[#This Row],[Gross Amount]]-Sales[[#This Row],[Disc. Amt.]])*Sales[[#This Row],[GST %]]</f>
        <v>1642.2839999999999</v>
      </c>
      <c r="N4301" s="161">
        <f>Sales[[#This Row],[Gross Amount]]-Sales[[#This Row],[Disc. Amt.]]+Sales[[#This Row],[GST Amount]]</f>
        <v>10766.083999999999</v>
      </c>
      <c r="O4301" s="158" t="s">
        <v>3569</v>
      </c>
      <c r="P4301" s="158" t="s">
        <v>3562</v>
      </c>
      <c r="Q4301" s="160">
        <f>IF(Sales[[#This Row],[Status]]="Cancelled",0,Sales[[#This Row],[Qty]])</f>
        <v>7</v>
      </c>
      <c r="R4301" s="161">
        <f>IF(Sales[[#This Row],[Status]]="Cancelled",0,Sales[[#This Row],[Total Amount]])</f>
        <v>10766.083999999999</v>
      </c>
      <c r="S4301" s="162">
        <f>SUM(Sales[Net Amount])</f>
        <v>406839287.73200053</v>
      </c>
    </row>
    <row r="4302" spans="1:19" ht="18.75" x14ac:dyDescent="0.25">
      <c r="A4302" s="163" t="s">
        <v>7982</v>
      </c>
      <c r="B4302" s="164">
        <v>45989</v>
      </c>
      <c r="C4302" s="34" t="s">
        <v>909</v>
      </c>
      <c r="D4302" s="53" t="str">
        <f>VLOOKUP(Sales[[#This Row],[Customer ID]],Customer[#All],2,0)</f>
        <v>Priya Sharma</v>
      </c>
      <c r="E4302" s="34" t="s">
        <v>534</v>
      </c>
      <c r="F4302" s="34" t="str">
        <f>VLOOKUP(Sales[[#This Row],[Product ID]],Product[#All],2,0)</f>
        <v>Dell Laptop</v>
      </c>
      <c r="G4302" s="53">
        <v>5</v>
      </c>
      <c r="H4302" s="165">
        <f>VLOOKUP(Sales[[#This Row],[Product ID]],Product[#All],7,0)</f>
        <v>35560</v>
      </c>
      <c r="I4302" s="165">
        <f>Sales[[#This Row],[Selling Rate]]*Sales[[#This Row],[Qty]]</f>
        <v>177800</v>
      </c>
      <c r="J4302" s="45">
        <v>0.15</v>
      </c>
      <c r="K4302" s="46">
        <f>Sales[[#This Row],[Gross Amount]]*Sales[[#This Row],[Disc %]]</f>
        <v>26670</v>
      </c>
      <c r="L4302" s="43">
        <v>0.18</v>
      </c>
      <c r="M4302" s="46">
        <f>(Sales[[#This Row],[Gross Amount]]-Sales[[#This Row],[Disc. Amt.]])*Sales[[#This Row],[GST %]]</f>
        <v>27203.399999999998</v>
      </c>
      <c r="N4302" s="161">
        <f>Sales[[#This Row],[Gross Amount]]-Sales[[#This Row],[Disc. Amt.]]+Sales[[#This Row],[GST Amount]]</f>
        <v>178333.4</v>
      </c>
      <c r="O4302" s="34" t="s">
        <v>8876</v>
      </c>
      <c r="P4302" s="34" t="s">
        <v>3562</v>
      </c>
      <c r="Q4302" s="165">
        <f>IF(Sales[[#This Row],[Status]]="Cancelled",0,Sales[[#This Row],[Qty]])</f>
        <v>5</v>
      </c>
      <c r="R4302" s="166">
        <f>IF(Sales[[#This Row],[Status]]="Cancelled",0,Sales[[#This Row],[Total Amount]])</f>
        <v>178333.4</v>
      </c>
      <c r="S4302" s="162">
        <f>SUM(Sales[Net Amount])</f>
        <v>406839287.73200053</v>
      </c>
    </row>
    <row r="4303" spans="1:19" ht="18.75" x14ac:dyDescent="0.25">
      <c r="A4303" s="156" t="s">
        <v>7983</v>
      </c>
      <c r="B4303" s="157">
        <v>45989</v>
      </c>
      <c r="C4303" s="158" t="s">
        <v>922</v>
      </c>
      <c r="D4303" s="159" t="str">
        <f>VLOOKUP(Sales[[#This Row],[Customer ID]],Customer[#All],2,0)</f>
        <v>Pooja Patel</v>
      </c>
      <c r="E4303" s="158" t="s">
        <v>243</v>
      </c>
      <c r="F4303" s="158" t="str">
        <f>VLOOKUP(Sales[[#This Row],[Product ID]],Product[#All],2,0)</f>
        <v>TP-link Router</v>
      </c>
      <c r="G4303" s="159">
        <v>1</v>
      </c>
      <c r="H4303" s="160">
        <f>VLOOKUP(Sales[[#This Row],[Product ID]],Product[#All],7,0)</f>
        <v>3230</v>
      </c>
      <c r="I4303" s="160">
        <f>Sales[[#This Row],[Selling Rate]]*Sales[[#This Row],[Qty]]</f>
        <v>3230</v>
      </c>
      <c r="J4303" s="43">
        <v>0.05</v>
      </c>
      <c r="K4303" s="44">
        <f>Sales[[#This Row],[Gross Amount]]*Sales[[#This Row],[Disc %]]</f>
        <v>161.5</v>
      </c>
      <c r="L4303" s="43">
        <v>0.18</v>
      </c>
      <c r="M4303" s="44">
        <f>(Sales[[#This Row],[Gross Amount]]-Sales[[#This Row],[Disc. Amt.]])*Sales[[#This Row],[GST %]]</f>
        <v>552.32999999999993</v>
      </c>
      <c r="N4303" s="161">
        <f>Sales[[#This Row],[Gross Amount]]-Sales[[#This Row],[Disc. Amt.]]+Sales[[#This Row],[GST Amount]]</f>
        <v>3620.83</v>
      </c>
      <c r="O4303" s="158" t="s">
        <v>3561</v>
      </c>
      <c r="P4303" s="158" t="s">
        <v>3562</v>
      </c>
      <c r="Q4303" s="160">
        <f>IF(Sales[[#This Row],[Status]]="Cancelled",0,Sales[[#This Row],[Qty]])</f>
        <v>1</v>
      </c>
      <c r="R4303" s="161">
        <f>IF(Sales[[#This Row],[Status]]="Cancelled",0,Sales[[#This Row],[Total Amount]])</f>
        <v>3620.83</v>
      </c>
      <c r="S4303" s="162">
        <f>SUM(Sales[Net Amount])</f>
        <v>406839287.73200053</v>
      </c>
    </row>
    <row r="4304" spans="1:19" ht="18.75" x14ac:dyDescent="0.25">
      <c r="A4304" s="163" t="s">
        <v>7984</v>
      </c>
      <c r="B4304" s="164">
        <v>45989</v>
      </c>
      <c r="C4304" s="34" t="s">
        <v>934</v>
      </c>
      <c r="D4304" s="53" t="str">
        <f>VLOOKUP(Sales[[#This Row],[Customer ID]],Customer[#All],2,0)</f>
        <v>Pooja Singh</v>
      </c>
      <c r="E4304" s="34" t="s">
        <v>169</v>
      </c>
      <c r="F4304" s="34" t="str">
        <f>VLOOKUP(Sales[[#This Row],[Product ID]],Product[#All],2,0)</f>
        <v>Dell Monitor</v>
      </c>
      <c r="G4304" s="53">
        <v>5</v>
      </c>
      <c r="H4304" s="165">
        <f>VLOOKUP(Sales[[#This Row],[Product ID]],Product[#All],7,0)</f>
        <v>22680</v>
      </c>
      <c r="I4304" s="165">
        <f>Sales[[#This Row],[Selling Rate]]*Sales[[#This Row],[Qty]]</f>
        <v>113400</v>
      </c>
      <c r="J4304" s="45">
        <v>0.12</v>
      </c>
      <c r="K4304" s="46">
        <f>Sales[[#This Row],[Gross Amount]]*Sales[[#This Row],[Disc %]]</f>
        <v>13608</v>
      </c>
      <c r="L4304" s="43">
        <v>0.18</v>
      </c>
      <c r="M4304" s="46">
        <f>(Sales[[#This Row],[Gross Amount]]-Sales[[#This Row],[Disc. Amt.]])*Sales[[#This Row],[GST %]]</f>
        <v>17962.559999999998</v>
      </c>
      <c r="N4304" s="161">
        <f>Sales[[#This Row],[Gross Amount]]-Sales[[#This Row],[Disc. Amt.]]+Sales[[#This Row],[GST Amount]]</f>
        <v>117754.56</v>
      </c>
      <c r="O4304" s="34" t="s">
        <v>3569</v>
      </c>
      <c r="P4304" s="34" t="s">
        <v>3562</v>
      </c>
      <c r="Q4304" s="165">
        <f>IF(Sales[[#This Row],[Status]]="Cancelled",0,Sales[[#This Row],[Qty]])</f>
        <v>5</v>
      </c>
      <c r="R4304" s="166">
        <f>IF(Sales[[#This Row],[Status]]="Cancelled",0,Sales[[#This Row],[Total Amount]])</f>
        <v>117754.56</v>
      </c>
      <c r="S4304" s="162">
        <f>SUM(Sales[Net Amount])</f>
        <v>406839287.73200053</v>
      </c>
    </row>
    <row r="4305" spans="1:19" ht="18.75" x14ac:dyDescent="0.25">
      <c r="A4305" s="156" t="s">
        <v>7985</v>
      </c>
      <c r="B4305" s="157">
        <v>45989</v>
      </c>
      <c r="C4305" s="158" t="s">
        <v>777</v>
      </c>
      <c r="D4305" s="159" t="str">
        <f>VLOOKUP(Sales[[#This Row],[Customer ID]],Customer[#All],2,0)</f>
        <v>Neha Sharma</v>
      </c>
      <c r="E4305" s="158" t="s">
        <v>87</v>
      </c>
      <c r="F4305" s="158" t="str">
        <f>VLOOKUP(Sales[[#This Row],[Product ID]],Product[#All],2,0)</f>
        <v>Boat Headset</v>
      </c>
      <c r="G4305" s="159">
        <v>8</v>
      </c>
      <c r="H4305" s="160">
        <f>VLOOKUP(Sales[[#This Row],[Product ID]],Product[#All],7,0)</f>
        <v>1040</v>
      </c>
      <c r="I4305" s="160">
        <f>Sales[[#This Row],[Selling Rate]]*Sales[[#This Row],[Qty]]</f>
        <v>8320</v>
      </c>
      <c r="J4305" s="43">
        <v>0</v>
      </c>
      <c r="K4305" s="44">
        <f>Sales[[#This Row],[Gross Amount]]*Sales[[#This Row],[Disc %]]</f>
        <v>0</v>
      </c>
      <c r="L4305" s="43">
        <v>0.18</v>
      </c>
      <c r="M4305" s="44">
        <f>(Sales[[#This Row],[Gross Amount]]-Sales[[#This Row],[Disc. Amt.]])*Sales[[#This Row],[GST %]]</f>
        <v>1497.6</v>
      </c>
      <c r="N4305" s="161">
        <f>Sales[[#This Row],[Gross Amount]]-Sales[[#This Row],[Disc. Amt.]]+Sales[[#This Row],[GST Amount]]</f>
        <v>9817.6</v>
      </c>
      <c r="O4305" s="158" t="s">
        <v>3566</v>
      </c>
      <c r="P4305" s="158" t="s">
        <v>3562</v>
      </c>
      <c r="Q4305" s="160">
        <f>IF(Sales[[#This Row],[Status]]="Cancelled",0,Sales[[#This Row],[Qty]])</f>
        <v>8</v>
      </c>
      <c r="R4305" s="161">
        <f>IF(Sales[[#This Row],[Status]]="Cancelled",0,Sales[[#This Row],[Total Amount]])</f>
        <v>9817.6</v>
      </c>
      <c r="S4305" s="162">
        <f>SUM(Sales[Net Amount])</f>
        <v>406839287.73200053</v>
      </c>
    </row>
    <row r="4306" spans="1:19" ht="18.75" x14ac:dyDescent="0.25">
      <c r="A4306" s="163" t="s">
        <v>7986</v>
      </c>
      <c r="B4306" s="164">
        <v>45989</v>
      </c>
      <c r="C4306" s="34" t="s">
        <v>917</v>
      </c>
      <c r="D4306" s="53" t="str">
        <f>VLOOKUP(Sales[[#This Row],[Customer ID]],Customer[#All],2,0)</f>
        <v>Sahil Gupta</v>
      </c>
      <c r="E4306" s="34" t="s">
        <v>106</v>
      </c>
      <c r="F4306" s="34" t="str">
        <f>VLOOKUP(Sales[[#This Row],[Product ID]],Product[#All],2,0)</f>
        <v>Corsair Ram</v>
      </c>
      <c r="G4306" s="53">
        <v>8</v>
      </c>
      <c r="H4306" s="165">
        <f>VLOOKUP(Sales[[#This Row],[Product ID]],Product[#All],7,0)</f>
        <v>7990</v>
      </c>
      <c r="I4306" s="165">
        <f>Sales[[#This Row],[Selling Rate]]*Sales[[#This Row],[Qty]]</f>
        <v>63920</v>
      </c>
      <c r="J4306" s="45">
        <v>0.12</v>
      </c>
      <c r="K4306" s="46">
        <f>Sales[[#This Row],[Gross Amount]]*Sales[[#This Row],[Disc %]]</f>
        <v>7670.4</v>
      </c>
      <c r="L4306" s="43">
        <v>0.18</v>
      </c>
      <c r="M4306" s="46">
        <f>(Sales[[#This Row],[Gross Amount]]-Sales[[#This Row],[Disc. Amt.]])*Sales[[#This Row],[GST %]]</f>
        <v>10124.928</v>
      </c>
      <c r="N4306" s="161">
        <f>Sales[[#This Row],[Gross Amount]]-Sales[[#This Row],[Disc. Amt.]]+Sales[[#This Row],[GST Amount]]</f>
        <v>66374.527999999991</v>
      </c>
      <c r="O4306" s="34" t="s">
        <v>8876</v>
      </c>
      <c r="P4306" s="34" t="s">
        <v>3562</v>
      </c>
      <c r="Q4306" s="165">
        <f>IF(Sales[[#This Row],[Status]]="Cancelled",0,Sales[[#This Row],[Qty]])</f>
        <v>8</v>
      </c>
      <c r="R4306" s="166">
        <f>IF(Sales[[#This Row],[Status]]="Cancelled",0,Sales[[#This Row],[Total Amount]])</f>
        <v>66374.527999999991</v>
      </c>
      <c r="S4306" s="162">
        <f>SUM(Sales[Net Amount])</f>
        <v>406839287.73200053</v>
      </c>
    </row>
    <row r="4307" spans="1:19" ht="18.75" x14ac:dyDescent="0.25">
      <c r="A4307" s="156" t="s">
        <v>7987</v>
      </c>
      <c r="B4307" s="157">
        <v>45989</v>
      </c>
      <c r="C4307" s="158" t="s">
        <v>864</v>
      </c>
      <c r="D4307" s="159" t="str">
        <f>VLOOKUP(Sales[[#This Row],[Customer ID]],Customer[#All],2,0)</f>
        <v>Sahil Sharma</v>
      </c>
      <c r="E4307" s="158" t="s">
        <v>255</v>
      </c>
      <c r="F4307" s="158" t="str">
        <f>VLOOKUP(Sales[[#This Row],[Product ID]],Product[#All],2,0)</f>
        <v>Acer Laptop</v>
      </c>
      <c r="G4307" s="159">
        <v>3</v>
      </c>
      <c r="H4307" s="160">
        <f>VLOOKUP(Sales[[#This Row],[Product ID]],Product[#All],7,0)</f>
        <v>62430</v>
      </c>
      <c r="I4307" s="160">
        <f>Sales[[#This Row],[Selling Rate]]*Sales[[#This Row],[Qty]]</f>
        <v>187290</v>
      </c>
      <c r="J4307" s="43">
        <v>0</v>
      </c>
      <c r="K4307" s="44">
        <f>Sales[[#This Row],[Gross Amount]]*Sales[[#This Row],[Disc %]]</f>
        <v>0</v>
      </c>
      <c r="L4307" s="43">
        <v>0.18</v>
      </c>
      <c r="M4307" s="44">
        <f>(Sales[[#This Row],[Gross Amount]]-Sales[[#This Row],[Disc. Amt.]])*Sales[[#This Row],[GST %]]</f>
        <v>33712.199999999997</v>
      </c>
      <c r="N4307" s="161">
        <f>Sales[[#This Row],[Gross Amount]]-Sales[[#This Row],[Disc. Amt.]]+Sales[[#This Row],[GST Amount]]</f>
        <v>221002.2</v>
      </c>
      <c r="O4307" s="158" t="s">
        <v>3561</v>
      </c>
      <c r="P4307" s="158" t="s">
        <v>3562</v>
      </c>
      <c r="Q4307" s="160">
        <f>IF(Sales[[#This Row],[Status]]="Cancelled",0,Sales[[#This Row],[Qty]])</f>
        <v>3</v>
      </c>
      <c r="R4307" s="161">
        <f>IF(Sales[[#This Row],[Status]]="Cancelled",0,Sales[[#This Row],[Total Amount]])</f>
        <v>221002.2</v>
      </c>
      <c r="S4307" s="162">
        <f>SUM(Sales[Net Amount])</f>
        <v>406839287.73200053</v>
      </c>
    </row>
    <row r="4308" spans="1:19" ht="18.75" x14ac:dyDescent="0.25">
      <c r="A4308" s="163" t="s">
        <v>7988</v>
      </c>
      <c r="B4308" s="164">
        <v>45989</v>
      </c>
      <c r="C4308" s="34" t="s">
        <v>729</v>
      </c>
      <c r="D4308" s="53" t="str">
        <f>VLOOKUP(Sales[[#This Row],[Customer ID]],Customer[#All],2,0)</f>
        <v>Ankit Kumar</v>
      </c>
      <c r="E4308" s="34" t="s">
        <v>258</v>
      </c>
      <c r="F4308" s="34" t="str">
        <f>VLOOKUP(Sales[[#This Row],[Product ID]],Product[#All],2,0)</f>
        <v>HP Power Adapter</v>
      </c>
      <c r="G4308" s="53">
        <v>8</v>
      </c>
      <c r="H4308" s="165">
        <f>VLOOKUP(Sales[[#This Row],[Product ID]],Product[#All],7,0)</f>
        <v>2370</v>
      </c>
      <c r="I4308" s="165">
        <f>Sales[[#This Row],[Selling Rate]]*Sales[[#This Row],[Qty]]</f>
        <v>18960</v>
      </c>
      <c r="J4308" s="45">
        <v>0.02</v>
      </c>
      <c r="K4308" s="46">
        <f>Sales[[#This Row],[Gross Amount]]*Sales[[#This Row],[Disc %]]</f>
        <v>379.2</v>
      </c>
      <c r="L4308" s="43">
        <v>0.18</v>
      </c>
      <c r="M4308" s="46">
        <f>(Sales[[#This Row],[Gross Amount]]-Sales[[#This Row],[Disc. Amt.]])*Sales[[#This Row],[GST %]]</f>
        <v>3344.5439999999999</v>
      </c>
      <c r="N4308" s="161">
        <f>Sales[[#This Row],[Gross Amount]]-Sales[[#This Row],[Disc. Amt.]]+Sales[[#This Row],[GST Amount]]</f>
        <v>21925.343999999997</v>
      </c>
      <c r="O4308" s="34" t="s">
        <v>3561</v>
      </c>
      <c r="P4308" s="34" t="s">
        <v>3562</v>
      </c>
      <c r="Q4308" s="165">
        <f>IF(Sales[[#This Row],[Status]]="Cancelled",0,Sales[[#This Row],[Qty]])</f>
        <v>8</v>
      </c>
      <c r="R4308" s="166">
        <f>IF(Sales[[#This Row],[Status]]="Cancelled",0,Sales[[#This Row],[Total Amount]])</f>
        <v>21925.343999999997</v>
      </c>
      <c r="S4308" s="162">
        <f>SUM(Sales[Net Amount])</f>
        <v>406839287.73200053</v>
      </c>
    </row>
    <row r="4309" spans="1:19" ht="18.75" x14ac:dyDescent="0.25">
      <c r="A4309" s="156" t="s">
        <v>7989</v>
      </c>
      <c r="B4309" s="157">
        <v>45989</v>
      </c>
      <c r="C4309" s="158" t="s">
        <v>856</v>
      </c>
      <c r="D4309" s="159" t="str">
        <f>VLOOKUP(Sales[[#This Row],[Customer ID]],Customer[#All],2,0)</f>
        <v>Sunita Verma</v>
      </c>
      <c r="E4309" s="158" t="s">
        <v>266</v>
      </c>
      <c r="F4309" s="158" t="str">
        <f>VLOOKUP(Sales[[#This Row],[Product ID]],Product[#All],2,0)</f>
        <v>American TouristerLaptopBag</v>
      </c>
      <c r="G4309" s="159">
        <v>5</v>
      </c>
      <c r="H4309" s="160">
        <f>VLOOKUP(Sales[[#This Row],[Product ID]],Product[#All],7,0)</f>
        <v>4170</v>
      </c>
      <c r="I4309" s="160">
        <f>Sales[[#This Row],[Selling Rate]]*Sales[[#This Row],[Qty]]</f>
        <v>20850</v>
      </c>
      <c r="J4309" s="43">
        <v>0.1</v>
      </c>
      <c r="K4309" s="44">
        <f>Sales[[#This Row],[Gross Amount]]*Sales[[#This Row],[Disc %]]</f>
        <v>2085</v>
      </c>
      <c r="L4309" s="43">
        <v>0.18</v>
      </c>
      <c r="M4309" s="44">
        <f>(Sales[[#This Row],[Gross Amount]]-Sales[[#This Row],[Disc. Amt.]])*Sales[[#This Row],[GST %]]</f>
        <v>3377.7</v>
      </c>
      <c r="N4309" s="161">
        <f>Sales[[#This Row],[Gross Amount]]-Sales[[#This Row],[Disc. Amt.]]+Sales[[#This Row],[GST Amount]]</f>
        <v>22142.7</v>
      </c>
      <c r="O4309" s="158" t="s">
        <v>8876</v>
      </c>
      <c r="P4309" s="158" t="s">
        <v>3562</v>
      </c>
      <c r="Q4309" s="160">
        <f>IF(Sales[[#This Row],[Status]]="Cancelled",0,Sales[[#This Row],[Qty]])</f>
        <v>5</v>
      </c>
      <c r="R4309" s="161">
        <f>IF(Sales[[#This Row],[Status]]="Cancelled",0,Sales[[#This Row],[Total Amount]])</f>
        <v>22142.7</v>
      </c>
      <c r="S4309" s="162">
        <f>SUM(Sales[Net Amount])</f>
        <v>406839287.73200053</v>
      </c>
    </row>
    <row r="4310" spans="1:19" ht="18.75" x14ac:dyDescent="0.25">
      <c r="A4310" s="163" t="s">
        <v>7990</v>
      </c>
      <c r="B4310" s="164">
        <v>45989</v>
      </c>
      <c r="C4310" s="34" t="s">
        <v>774</v>
      </c>
      <c r="D4310" s="53" t="str">
        <f>VLOOKUP(Sales[[#This Row],[Customer ID]],Customer[#All],2,0)</f>
        <v>Vikas Patel</v>
      </c>
      <c r="E4310" s="34" t="s">
        <v>46</v>
      </c>
      <c r="F4310" s="34" t="str">
        <f>VLOOKUP(Sales[[#This Row],[Product ID]],Product[#All],2,0)</f>
        <v>HP Printer</v>
      </c>
      <c r="G4310" s="53">
        <v>7</v>
      </c>
      <c r="H4310" s="165">
        <f>VLOOKUP(Sales[[#This Row],[Product ID]],Product[#All],7,0)</f>
        <v>35170</v>
      </c>
      <c r="I4310" s="165">
        <f>Sales[[#This Row],[Selling Rate]]*Sales[[#This Row],[Qty]]</f>
        <v>246190</v>
      </c>
      <c r="J4310" s="45">
        <v>0.05</v>
      </c>
      <c r="K4310" s="46">
        <f>Sales[[#This Row],[Gross Amount]]*Sales[[#This Row],[Disc %]]</f>
        <v>12309.5</v>
      </c>
      <c r="L4310" s="43">
        <v>0.18</v>
      </c>
      <c r="M4310" s="46">
        <f>(Sales[[#This Row],[Gross Amount]]-Sales[[#This Row],[Disc. Amt.]])*Sales[[#This Row],[GST %]]</f>
        <v>42098.49</v>
      </c>
      <c r="N4310" s="161">
        <f>Sales[[#This Row],[Gross Amount]]-Sales[[#This Row],[Disc. Amt.]]+Sales[[#This Row],[GST Amount]]</f>
        <v>275978.99</v>
      </c>
      <c r="O4310" s="34" t="s">
        <v>8876</v>
      </c>
      <c r="P4310" s="34" t="s">
        <v>3562</v>
      </c>
      <c r="Q4310" s="165">
        <f>IF(Sales[[#This Row],[Status]]="Cancelled",0,Sales[[#This Row],[Qty]])</f>
        <v>7</v>
      </c>
      <c r="R4310" s="166">
        <f>IF(Sales[[#This Row],[Status]]="Cancelled",0,Sales[[#This Row],[Total Amount]])</f>
        <v>275978.99</v>
      </c>
      <c r="S4310" s="162">
        <f>SUM(Sales[Net Amount])</f>
        <v>406839287.73200053</v>
      </c>
    </row>
    <row r="4311" spans="1:19" ht="18.75" x14ac:dyDescent="0.25">
      <c r="A4311" s="156" t="s">
        <v>7991</v>
      </c>
      <c r="B4311" s="157">
        <v>45989</v>
      </c>
      <c r="C4311" s="158" t="s">
        <v>875</v>
      </c>
      <c r="D4311" s="159" t="str">
        <f>VLOOKUP(Sales[[#This Row],[Customer ID]],Customer[#All],2,0)</f>
        <v>Rahul Verma</v>
      </c>
      <c r="E4311" s="158" t="s">
        <v>428</v>
      </c>
      <c r="F4311" s="158" t="str">
        <f>VLOOKUP(Sales[[#This Row],[Product ID]],Product[#All],2,0)</f>
        <v>Microtek UPS</v>
      </c>
      <c r="G4311" s="159">
        <v>3</v>
      </c>
      <c r="H4311" s="160">
        <f>VLOOKUP(Sales[[#This Row],[Product ID]],Product[#All],7,0)</f>
        <v>8450</v>
      </c>
      <c r="I4311" s="160">
        <f>Sales[[#This Row],[Selling Rate]]*Sales[[#This Row],[Qty]]</f>
        <v>25350</v>
      </c>
      <c r="J4311" s="43">
        <v>0.05</v>
      </c>
      <c r="K4311" s="44">
        <f>Sales[[#This Row],[Gross Amount]]*Sales[[#This Row],[Disc %]]</f>
        <v>1267.5</v>
      </c>
      <c r="L4311" s="43">
        <v>0.18</v>
      </c>
      <c r="M4311" s="44">
        <f>(Sales[[#This Row],[Gross Amount]]-Sales[[#This Row],[Disc. Amt.]])*Sales[[#This Row],[GST %]]</f>
        <v>4334.8499999999995</v>
      </c>
      <c r="N4311" s="161">
        <f>Sales[[#This Row],[Gross Amount]]-Sales[[#This Row],[Disc. Amt.]]+Sales[[#This Row],[GST Amount]]</f>
        <v>28417.35</v>
      </c>
      <c r="O4311" s="158" t="s">
        <v>8876</v>
      </c>
      <c r="P4311" s="158" t="s">
        <v>3562</v>
      </c>
      <c r="Q4311" s="160">
        <f>IF(Sales[[#This Row],[Status]]="Cancelled",0,Sales[[#This Row],[Qty]])</f>
        <v>3</v>
      </c>
      <c r="R4311" s="161">
        <f>IF(Sales[[#This Row],[Status]]="Cancelled",0,Sales[[#This Row],[Total Amount]])</f>
        <v>28417.35</v>
      </c>
      <c r="S4311" s="162">
        <f>SUM(Sales[Net Amount])</f>
        <v>406839287.73200053</v>
      </c>
    </row>
    <row r="4312" spans="1:19" ht="18.75" x14ac:dyDescent="0.25">
      <c r="A4312" s="163" t="s">
        <v>7992</v>
      </c>
      <c r="B4312" s="164">
        <v>45989</v>
      </c>
      <c r="C4312" s="34" t="s">
        <v>761</v>
      </c>
      <c r="D4312" s="53" t="str">
        <f>VLOOKUP(Sales[[#This Row],[Customer ID]],Customer[#All],2,0)</f>
        <v>Priya Verma</v>
      </c>
      <c r="E4312" s="34" t="s">
        <v>538</v>
      </c>
      <c r="F4312" s="34" t="str">
        <f>VLOOKUP(Sales[[#This Row],[Product ID]],Product[#All],2,0)</f>
        <v>Acer Laptop</v>
      </c>
      <c r="G4312" s="53">
        <v>2</v>
      </c>
      <c r="H4312" s="165">
        <f>VLOOKUP(Sales[[#This Row],[Product ID]],Product[#All],7,0)</f>
        <v>46800</v>
      </c>
      <c r="I4312" s="165">
        <f>Sales[[#This Row],[Selling Rate]]*Sales[[#This Row],[Qty]]</f>
        <v>93600</v>
      </c>
      <c r="J4312" s="45">
        <v>0.05</v>
      </c>
      <c r="K4312" s="46">
        <f>Sales[[#This Row],[Gross Amount]]*Sales[[#This Row],[Disc %]]</f>
        <v>4680</v>
      </c>
      <c r="L4312" s="43">
        <v>0.18</v>
      </c>
      <c r="M4312" s="46">
        <f>(Sales[[#This Row],[Gross Amount]]-Sales[[#This Row],[Disc. Amt.]])*Sales[[#This Row],[GST %]]</f>
        <v>16005.599999999999</v>
      </c>
      <c r="N4312" s="161">
        <f>Sales[[#This Row],[Gross Amount]]-Sales[[#This Row],[Disc. Amt.]]+Sales[[#This Row],[GST Amount]]</f>
        <v>104925.6</v>
      </c>
      <c r="O4312" s="34" t="s">
        <v>8876</v>
      </c>
      <c r="P4312" s="34" t="s">
        <v>3562</v>
      </c>
      <c r="Q4312" s="165">
        <f>IF(Sales[[#This Row],[Status]]="Cancelled",0,Sales[[#This Row],[Qty]])</f>
        <v>2</v>
      </c>
      <c r="R4312" s="166">
        <f>IF(Sales[[#This Row],[Status]]="Cancelled",0,Sales[[#This Row],[Total Amount]])</f>
        <v>104925.6</v>
      </c>
      <c r="S4312" s="162">
        <f>SUM(Sales[Net Amount])</f>
        <v>406839287.73200053</v>
      </c>
    </row>
    <row r="4313" spans="1:19" ht="18.75" x14ac:dyDescent="0.25">
      <c r="A4313" s="156" t="s">
        <v>7993</v>
      </c>
      <c r="B4313" s="157">
        <v>45990</v>
      </c>
      <c r="C4313" s="158" t="s">
        <v>850</v>
      </c>
      <c r="D4313" s="159" t="str">
        <f>VLOOKUP(Sales[[#This Row],[Customer ID]],Customer[#All],2,0)</f>
        <v>Sahil Patel</v>
      </c>
      <c r="E4313" s="158" t="s">
        <v>28</v>
      </c>
      <c r="F4313" s="158" t="str">
        <f>VLOOKUP(Sales[[#This Row],[Product ID]],Product[#All],2,0)</f>
        <v>Lenovo Laptop</v>
      </c>
      <c r="G4313" s="159">
        <v>4</v>
      </c>
      <c r="H4313" s="160">
        <f>VLOOKUP(Sales[[#This Row],[Product ID]],Product[#All],7,0)</f>
        <v>86330</v>
      </c>
      <c r="I4313" s="160">
        <f>Sales[[#This Row],[Selling Rate]]*Sales[[#This Row],[Qty]]</f>
        <v>345320</v>
      </c>
      <c r="J4313" s="43">
        <v>0.12</v>
      </c>
      <c r="K4313" s="44">
        <f>Sales[[#This Row],[Gross Amount]]*Sales[[#This Row],[Disc %]]</f>
        <v>41438.400000000001</v>
      </c>
      <c r="L4313" s="43">
        <v>0.18</v>
      </c>
      <c r="M4313" s="44">
        <f>(Sales[[#This Row],[Gross Amount]]-Sales[[#This Row],[Disc. Amt.]])*Sales[[#This Row],[GST %]]</f>
        <v>54698.687999999995</v>
      </c>
      <c r="N4313" s="161">
        <f>Sales[[#This Row],[Gross Amount]]-Sales[[#This Row],[Disc. Amt.]]+Sales[[#This Row],[GST Amount]]</f>
        <v>358580.28799999994</v>
      </c>
      <c r="O4313" s="158" t="s">
        <v>3561</v>
      </c>
      <c r="P4313" s="158" t="s">
        <v>3562</v>
      </c>
      <c r="Q4313" s="160">
        <f>IF(Sales[[#This Row],[Status]]="Cancelled",0,Sales[[#This Row],[Qty]])</f>
        <v>4</v>
      </c>
      <c r="R4313" s="161">
        <f>IF(Sales[[#This Row],[Status]]="Cancelled",0,Sales[[#This Row],[Total Amount]])</f>
        <v>358580.28799999994</v>
      </c>
      <c r="S4313" s="162">
        <f>SUM(Sales[Net Amount])</f>
        <v>406839287.73200053</v>
      </c>
    </row>
    <row r="4314" spans="1:19" ht="18.75" x14ac:dyDescent="0.25">
      <c r="A4314" s="163" t="s">
        <v>7994</v>
      </c>
      <c r="B4314" s="164">
        <v>45990</v>
      </c>
      <c r="C4314" s="34" t="s">
        <v>805</v>
      </c>
      <c r="D4314" s="53" t="str">
        <f>VLOOKUP(Sales[[#This Row],[Customer ID]],Customer[#All],2,0)</f>
        <v>Priya Kumar</v>
      </c>
      <c r="E4314" s="34" t="s">
        <v>136</v>
      </c>
      <c r="F4314" s="34" t="str">
        <f>VLOOKUP(Sales[[#This Row],[Product ID]],Product[#All],2,0)</f>
        <v>HP Laptop</v>
      </c>
      <c r="G4314" s="53">
        <v>1</v>
      </c>
      <c r="H4314" s="165">
        <f>VLOOKUP(Sales[[#This Row],[Product ID]],Product[#All],7,0)</f>
        <v>33050</v>
      </c>
      <c r="I4314" s="165">
        <f>Sales[[#This Row],[Selling Rate]]*Sales[[#This Row],[Qty]]</f>
        <v>33050</v>
      </c>
      <c r="J4314" s="45">
        <v>0.02</v>
      </c>
      <c r="K4314" s="46">
        <f>Sales[[#This Row],[Gross Amount]]*Sales[[#This Row],[Disc %]]</f>
        <v>661</v>
      </c>
      <c r="L4314" s="43">
        <v>0.18</v>
      </c>
      <c r="M4314" s="46">
        <f>(Sales[[#This Row],[Gross Amount]]-Sales[[#This Row],[Disc. Amt.]])*Sales[[#This Row],[GST %]]</f>
        <v>5830.0199999999995</v>
      </c>
      <c r="N4314" s="161">
        <f>Sales[[#This Row],[Gross Amount]]-Sales[[#This Row],[Disc. Amt.]]+Sales[[#This Row],[GST Amount]]</f>
        <v>38219.019999999997</v>
      </c>
      <c r="O4314" s="34" t="s">
        <v>3566</v>
      </c>
      <c r="P4314" s="34" t="s">
        <v>3562</v>
      </c>
      <c r="Q4314" s="165">
        <f>IF(Sales[[#This Row],[Status]]="Cancelled",0,Sales[[#This Row],[Qty]])</f>
        <v>1</v>
      </c>
      <c r="R4314" s="166">
        <f>IF(Sales[[#This Row],[Status]]="Cancelled",0,Sales[[#This Row],[Total Amount]])</f>
        <v>38219.019999999997</v>
      </c>
      <c r="S4314" s="162">
        <f>SUM(Sales[Net Amount])</f>
        <v>406839287.73200053</v>
      </c>
    </row>
    <row r="4315" spans="1:19" ht="18.75" x14ac:dyDescent="0.25">
      <c r="A4315" s="156" t="s">
        <v>7995</v>
      </c>
      <c r="B4315" s="157">
        <v>45990</v>
      </c>
      <c r="C4315" s="158" t="s">
        <v>836</v>
      </c>
      <c r="D4315" s="159" t="str">
        <f>VLOOKUP(Sales[[#This Row],[Customer ID]],Customer[#All],2,0)</f>
        <v>Sunita Patel</v>
      </c>
      <c r="E4315" s="158" t="s">
        <v>391</v>
      </c>
      <c r="F4315" s="158" t="str">
        <f>VLOOKUP(Sales[[#This Row],[Product ID]],Product[#All],2,0)</f>
        <v>Seagate HDD</v>
      </c>
      <c r="G4315" s="159">
        <v>6</v>
      </c>
      <c r="H4315" s="160">
        <f>VLOOKUP(Sales[[#This Row],[Product ID]],Product[#All],7,0)</f>
        <v>10370</v>
      </c>
      <c r="I4315" s="160">
        <f>Sales[[#This Row],[Selling Rate]]*Sales[[#This Row],[Qty]]</f>
        <v>62220</v>
      </c>
      <c r="J4315" s="43">
        <v>0.1</v>
      </c>
      <c r="K4315" s="44">
        <f>Sales[[#This Row],[Gross Amount]]*Sales[[#This Row],[Disc %]]</f>
        <v>6222</v>
      </c>
      <c r="L4315" s="43">
        <v>0.18</v>
      </c>
      <c r="M4315" s="44">
        <f>(Sales[[#This Row],[Gross Amount]]-Sales[[#This Row],[Disc. Amt.]])*Sales[[#This Row],[GST %]]</f>
        <v>10079.64</v>
      </c>
      <c r="N4315" s="161">
        <f>Sales[[#This Row],[Gross Amount]]-Sales[[#This Row],[Disc. Amt.]]+Sales[[#This Row],[GST Amount]]</f>
        <v>66077.64</v>
      </c>
      <c r="O4315" s="158" t="s">
        <v>3569</v>
      </c>
      <c r="P4315" s="158" t="s">
        <v>3562</v>
      </c>
      <c r="Q4315" s="160">
        <f>IF(Sales[[#This Row],[Status]]="Cancelled",0,Sales[[#This Row],[Qty]])</f>
        <v>6</v>
      </c>
      <c r="R4315" s="161">
        <f>IF(Sales[[#This Row],[Status]]="Cancelled",0,Sales[[#This Row],[Total Amount]])</f>
        <v>66077.64</v>
      </c>
      <c r="S4315" s="162">
        <f>SUM(Sales[Net Amount])</f>
        <v>406839287.73200053</v>
      </c>
    </row>
    <row r="4316" spans="1:19" ht="18.75" x14ac:dyDescent="0.25">
      <c r="A4316" s="163" t="s">
        <v>7996</v>
      </c>
      <c r="B4316" s="164">
        <v>45990</v>
      </c>
      <c r="C4316" s="34" t="s">
        <v>655</v>
      </c>
      <c r="D4316" s="53" t="str">
        <f>VLOOKUP(Sales[[#This Row],[Customer ID]],Customer[#All],2,0)</f>
        <v>Pooja Singh</v>
      </c>
      <c r="E4316" s="34" t="s">
        <v>364</v>
      </c>
      <c r="F4316" s="34" t="str">
        <f>VLOOKUP(Sales[[#This Row],[Product ID]],Product[#All],2,0)</f>
        <v>Canon Printer</v>
      </c>
      <c r="G4316" s="53">
        <v>3</v>
      </c>
      <c r="H4316" s="165">
        <f>VLOOKUP(Sales[[#This Row],[Product ID]],Product[#All],7,0)</f>
        <v>41460</v>
      </c>
      <c r="I4316" s="165">
        <f>Sales[[#This Row],[Selling Rate]]*Sales[[#This Row],[Qty]]</f>
        <v>124380</v>
      </c>
      <c r="J4316" s="45">
        <v>0.12</v>
      </c>
      <c r="K4316" s="46">
        <f>Sales[[#This Row],[Gross Amount]]*Sales[[#This Row],[Disc %]]</f>
        <v>14925.599999999999</v>
      </c>
      <c r="L4316" s="43">
        <v>0.18</v>
      </c>
      <c r="M4316" s="46">
        <f>(Sales[[#This Row],[Gross Amount]]-Sales[[#This Row],[Disc. Amt.]])*Sales[[#This Row],[GST %]]</f>
        <v>19701.791999999998</v>
      </c>
      <c r="N4316" s="161">
        <f>Sales[[#This Row],[Gross Amount]]-Sales[[#This Row],[Disc. Amt.]]+Sales[[#This Row],[GST Amount]]</f>
        <v>129156.192</v>
      </c>
      <c r="O4316" s="34" t="s">
        <v>8876</v>
      </c>
      <c r="P4316" s="34" t="s">
        <v>3562</v>
      </c>
      <c r="Q4316" s="165">
        <f>IF(Sales[[#This Row],[Status]]="Cancelled",0,Sales[[#This Row],[Qty]])</f>
        <v>3</v>
      </c>
      <c r="R4316" s="166">
        <f>IF(Sales[[#This Row],[Status]]="Cancelled",0,Sales[[#This Row],[Total Amount]])</f>
        <v>129156.192</v>
      </c>
      <c r="S4316" s="162">
        <f>SUM(Sales[Net Amount])</f>
        <v>406839287.73200053</v>
      </c>
    </row>
    <row r="4317" spans="1:19" ht="18.75" x14ac:dyDescent="0.25">
      <c r="A4317" s="156" t="s">
        <v>7997</v>
      </c>
      <c r="B4317" s="157">
        <v>45990</v>
      </c>
      <c r="C4317" s="158" t="s">
        <v>7375</v>
      </c>
      <c r="D4317" s="159" t="str">
        <f>VLOOKUP(Sales[[#This Row],[Customer ID]],Customer[#All],2,0)</f>
        <v>Neha Sharma</v>
      </c>
      <c r="E4317" s="158" t="s">
        <v>493</v>
      </c>
      <c r="F4317" s="158" t="str">
        <f>VLOOKUP(Sales[[#This Row],[Product ID]],Product[#All],2,0)</f>
        <v>Logitech Keyboard</v>
      </c>
      <c r="G4317" s="159">
        <v>8</v>
      </c>
      <c r="H4317" s="160">
        <f>VLOOKUP(Sales[[#This Row],[Product ID]],Product[#All],7,0)</f>
        <v>3040</v>
      </c>
      <c r="I4317" s="160">
        <f>Sales[[#This Row],[Selling Rate]]*Sales[[#This Row],[Qty]]</f>
        <v>24320</v>
      </c>
      <c r="J4317" s="43">
        <v>0.15</v>
      </c>
      <c r="K4317" s="44">
        <f>Sales[[#This Row],[Gross Amount]]*Sales[[#This Row],[Disc %]]</f>
        <v>3648</v>
      </c>
      <c r="L4317" s="43">
        <v>0.18</v>
      </c>
      <c r="M4317" s="44">
        <f>(Sales[[#This Row],[Gross Amount]]-Sales[[#This Row],[Disc. Amt.]])*Sales[[#This Row],[GST %]]</f>
        <v>3720.96</v>
      </c>
      <c r="N4317" s="161">
        <f>Sales[[#This Row],[Gross Amount]]-Sales[[#This Row],[Disc. Amt.]]+Sales[[#This Row],[GST Amount]]</f>
        <v>24392.959999999999</v>
      </c>
      <c r="O4317" s="158" t="s">
        <v>3561</v>
      </c>
      <c r="P4317" s="158" t="s">
        <v>3562</v>
      </c>
      <c r="Q4317" s="160">
        <f>IF(Sales[[#This Row],[Status]]="Cancelled",0,Sales[[#This Row],[Qty]])</f>
        <v>8</v>
      </c>
      <c r="R4317" s="161">
        <f>IF(Sales[[#This Row],[Status]]="Cancelled",0,Sales[[#This Row],[Total Amount]])</f>
        <v>24392.959999999999</v>
      </c>
      <c r="S4317" s="162">
        <f>SUM(Sales[Net Amount])</f>
        <v>406839287.73200053</v>
      </c>
    </row>
    <row r="4318" spans="1:19" ht="18.75" x14ac:dyDescent="0.25">
      <c r="A4318" s="163" t="s">
        <v>7998</v>
      </c>
      <c r="B4318" s="164">
        <v>45990</v>
      </c>
      <c r="C4318" s="34" t="s">
        <v>751</v>
      </c>
      <c r="D4318" s="53" t="str">
        <f>VLOOKUP(Sales[[#This Row],[Customer ID]],Customer[#All],2,0)</f>
        <v>Ankit Verma</v>
      </c>
      <c r="E4318" s="34" t="s">
        <v>202</v>
      </c>
      <c r="F4318" s="34" t="str">
        <f>VLOOKUP(Sales[[#This Row],[Product ID]],Product[#All],2,0)</f>
        <v>TP-link Wi-Fi Adapter</v>
      </c>
      <c r="G4318" s="53">
        <v>2</v>
      </c>
      <c r="H4318" s="165">
        <f>VLOOKUP(Sales[[#This Row],[Product ID]],Product[#All],7,0)</f>
        <v>1330</v>
      </c>
      <c r="I4318" s="165">
        <f>Sales[[#This Row],[Selling Rate]]*Sales[[#This Row],[Qty]]</f>
        <v>2660</v>
      </c>
      <c r="J4318" s="45">
        <v>0.05</v>
      </c>
      <c r="K4318" s="46">
        <f>Sales[[#This Row],[Gross Amount]]*Sales[[#This Row],[Disc %]]</f>
        <v>133</v>
      </c>
      <c r="L4318" s="43">
        <v>0.18</v>
      </c>
      <c r="M4318" s="46">
        <f>(Sales[[#This Row],[Gross Amount]]-Sales[[#This Row],[Disc. Amt.]])*Sales[[#This Row],[GST %]]</f>
        <v>454.85999999999996</v>
      </c>
      <c r="N4318" s="161">
        <f>Sales[[#This Row],[Gross Amount]]-Sales[[#This Row],[Disc. Amt.]]+Sales[[#This Row],[GST Amount]]</f>
        <v>2981.86</v>
      </c>
      <c r="O4318" s="34" t="s">
        <v>3569</v>
      </c>
      <c r="P4318" s="34" t="s">
        <v>3562</v>
      </c>
      <c r="Q4318" s="165">
        <f>IF(Sales[[#This Row],[Status]]="Cancelled",0,Sales[[#This Row],[Qty]])</f>
        <v>2</v>
      </c>
      <c r="R4318" s="166">
        <f>IF(Sales[[#This Row],[Status]]="Cancelled",0,Sales[[#This Row],[Total Amount]])</f>
        <v>2981.86</v>
      </c>
      <c r="S4318" s="162">
        <f>SUM(Sales[Net Amount])</f>
        <v>406839287.73200053</v>
      </c>
    </row>
    <row r="4319" spans="1:19" ht="18.75" x14ac:dyDescent="0.25">
      <c r="A4319" s="156" t="s">
        <v>7999</v>
      </c>
      <c r="B4319" s="157">
        <v>45990</v>
      </c>
      <c r="C4319" s="158" t="s">
        <v>785</v>
      </c>
      <c r="D4319" s="159" t="str">
        <f>VLOOKUP(Sales[[#This Row],[Customer ID]],Customer[#All],2,0)</f>
        <v>Ankit Gupta</v>
      </c>
      <c r="E4319" s="158" t="s">
        <v>371</v>
      </c>
      <c r="F4319" s="158" t="str">
        <f>VLOOKUP(Sales[[#This Row],[Product ID]],Product[#All],2,0)</f>
        <v>Portronics USB Cable</v>
      </c>
      <c r="G4319" s="159">
        <v>6</v>
      </c>
      <c r="H4319" s="160">
        <f>VLOOKUP(Sales[[#This Row],[Product ID]],Product[#All],7,0)</f>
        <v>440</v>
      </c>
      <c r="I4319" s="160">
        <f>Sales[[#This Row],[Selling Rate]]*Sales[[#This Row],[Qty]]</f>
        <v>2640</v>
      </c>
      <c r="J4319" s="43">
        <v>0.15</v>
      </c>
      <c r="K4319" s="44">
        <f>Sales[[#This Row],[Gross Amount]]*Sales[[#This Row],[Disc %]]</f>
        <v>396</v>
      </c>
      <c r="L4319" s="43">
        <v>0.18</v>
      </c>
      <c r="M4319" s="44">
        <f>(Sales[[#This Row],[Gross Amount]]-Sales[[#This Row],[Disc. Amt.]])*Sales[[#This Row],[GST %]]</f>
        <v>403.91999999999996</v>
      </c>
      <c r="N4319" s="161">
        <f>Sales[[#This Row],[Gross Amount]]-Sales[[#This Row],[Disc. Amt.]]+Sales[[#This Row],[GST Amount]]</f>
        <v>2647.92</v>
      </c>
      <c r="O4319" s="158" t="s">
        <v>3566</v>
      </c>
      <c r="P4319" s="158" t="s">
        <v>3562</v>
      </c>
      <c r="Q4319" s="160">
        <f>IF(Sales[[#This Row],[Status]]="Cancelled",0,Sales[[#This Row],[Qty]])</f>
        <v>6</v>
      </c>
      <c r="R4319" s="161">
        <f>IF(Sales[[#This Row],[Status]]="Cancelled",0,Sales[[#This Row],[Total Amount]])</f>
        <v>2647.92</v>
      </c>
      <c r="S4319" s="162">
        <f>SUM(Sales[Net Amount])</f>
        <v>406839287.73200053</v>
      </c>
    </row>
    <row r="4320" spans="1:19" ht="18.75" x14ac:dyDescent="0.25">
      <c r="A4320" s="163" t="s">
        <v>8000</v>
      </c>
      <c r="B4320" s="164">
        <v>45990</v>
      </c>
      <c r="C4320" s="34" t="s">
        <v>677</v>
      </c>
      <c r="D4320" s="53" t="str">
        <f>VLOOKUP(Sales[[#This Row],[Customer ID]],Customer[#All],2,0)</f>
        <v>Sahil Verma</v>
      </c>
      <c r="E4320" s="34" t="s">
        <v>390</v>
      </c>
      <c r="F4320" s="34" t="str">
        <f>VLOOKUP(Sales[[#This Row],[Product ID]],Product[#All],2,0)</f>
        <v>TP-link Router</v>
      </c>
      <c r="G4320" s="53">
        <v>1</v>
      </c>
      <c r="H4320" s="165">
        <f>VLOOKUP(Sales[[#This Row],[Product ID]],Product[#All],7,0)</f>
        <v>4620</v>
      </c>
      <c r="I4320" s="165">
        <f>Sales[[#This Row],[Selling Rate]]*Sales[[#This Row],[Qty]]</f>
        <v>4620</v>
      </c>
      <c r="J4320" s="45">
        <v>0.05</v>
      </c>
      <c r="K4320" s="46">
        <f>Sales[[#This Row],[Gross Amount]]*Sales[[#This Row],[Disc %]]</f>
        <v>231</v>
      </c>
      <c r="L4320" s="43">
        <v>0.18</v>
      </c>
      <c r="M4320" s="46">
        <f>(Sales[[#This Row],[Gross Amount]]-Sales[[#This Row],[Disc. Amt.]])*Sales[[#This Row],[GST %]]</f>
        <v>790.02</v>
      </c>
      <c r="N4320" s="161">
        <f>Sales[[#This Row],[Gross Amount]]-Sales[[#This Row],[Disc. Amt.]]+Sales[[#This Row],[GST Amount]]</f>
        <v>5179.0200000000004</v>
      </c>
      <c r="O4320" s="34" t="s">
        <v>3561</v>
      </c>
      <c r="P4320" s="34" t="s">
        <v>3562</v>
      </c>
      <c r="Q4320" s="165">
        <f>IF(Sales[[#This Row],[Status]]="Cancelled",0,Sales[[#This Row],[Qty]])</f>
        <v>1</v>
      </c>
      <c r="R4320" s="166">
        <f>IF(Sales[[#This Row],[Status]]="Cancelled",0,Sales[[#This Row],[Total Amount]])</f>
        <v>5179.0200000000004</v>
      </c>
      <c r="S4320" s="162">
        <f>SUM(Sales[Net Amount])</f>
        <v>406839287.73200053</v>
      </c>
    </row>
    <row r="4321" spans="1:19" ht="18.75" x14ac:dyDescent="0.25">
      <c r="A4321" s="156" t="s">
        <v>8001</v>
      </c>
      <c r="B4321" s="157">
        <v>45990</v>
      </c>
      <c r="C4321" s="158" t="s">
        <v>669</v>
      </c>
      <c r="D4321" s="159" t="str">
        <f>VLOOKUP(Sales[[#This Row],[Customer ID]],Customer[#All],2,0)</f>
        <v>Sahil Kumar</v>
      </c>
      <c r="E4321" s="158" t="s">
        <v>322</v>
      </c>
      <c r="F4321" s="158" t="str">
        <f>VLOOKUP(Sales[[#This Row],[Product ID]],Product[#All],2,0)</f>
        <v>Jbl Speaker</v>
      </c>
      <c r="G4321" s="159">
        <v>2</v>
      </c>
      <c r="H4321" s="160">
        <f>VLOOKUP(Sales[[#This Row],[Product ID]],Product[#All],7,0)</f>
        <v>10370</v>
      </c>
      <c r="I4321" s="160">
        <f>Sales[[#This Row],[Selling Rate]]*Sales[[#This Row],[Qty]]</f>
        <v>20740</v>
      </c>
      <c r="J4321" s="43">
        <v>0.12</v>
      </c>
      <c r="K4321" s="44">
        <f>Sales[[#This Row],[Gross Amount]]*Sales[[#This Row],[Disc %]]</f>
        <v>2488.7999999999997</v>
      </c>
      <c r="L4321" s="43">
        <v>0.18</v>
      </c>
      <c r="M4321" s="44">
        <f>(Sales[[#This Row],[Gross Amount]]-Sales[[#This Row],[Disc. Amt.]])*Sales[[#This Row],[GST %]]</f>
        <v>3285.2159999999999</v>
      </c>
      <c r="N4321" s="161">
        <f>Sales[[#This Row],[Gross Amount]]-Sales[[#This Row],[Disc. Amt.]]+Sales[[#This Row],[GST Amount]]</f>
        <v>21536.416000000001</v>
      </c>
      <c r="O4321" s="158" t="s">
        <v>3561</v>
      </c>
      <c r="P4321" s="158" t="s">
        <v>3562</v>
      </c>
      <c r="Q4321" s="160">
        <f>IF(Sales[[#This Row],[Status]]="Cancelled",0,Sales[[#This Row],[Qty]])</f>
        <v>2</v>
      </c>
      <c r="R4321" s="161">
        <f>IF(Sales[[#This Row],[Status]]="Cancelled",0,Sales[[#This Row],[Total Amount]])</f>
        <v>21536.416000000001</v>
      </c>
      <c r="S4321" s="162">
        <f>SUM(Sales[Net Amount])</f>
        <v>406839287.73200053</v>
      </c>
    </row>
    <row r="4322" spans="1:19" ht="18.75" x14ac:dyDescent="0.25">
      <c r="A4322" s="163" t="s">
        <v>8002</v>
      </c>
      <c r="B4322" s="164">
        <v>45990</v>
      </c>
      <c r="C4322" s="34" t="s">
        <v>816</v>
      </c>
      <c r="D4322" s="53" t="str">
        <f>VLOOKUP(Sales[[#This Row],[Customer ID]],Customer[#All],2,0)</f>
        <v>Amit Patel</v>
      </c>
      <c r="E4322" s="34" t="s">
        <v>413</v>
      </c>
      <c r="F4322" s="34" t="str">
        <f>VLOOKUP(Sales[[#This Row],[Product ID]],Product[#All],2,0)</f>
        <v>Crucial Ssd</v>
      </c>
      <c r="G4322" s="53">
        <v>3</v>
      </c>
      <c r="H4322" s="165">
        <f>VLOOKUP(Sales[[#This Row],[Product ID]],Product[#All],7,0)</f>
        <v>10780</v>
      </c>
      <c r="I4322" s="165">
        <f>Sales[[#This Row],[Selling Rate]]*Sales[[#This Row],[Qty]]</f>
        <v>32340</v>
      </c>
      <c r="J4322" s="45">
        <v>0.1</v>
      </c>
      <c r="K4322" s="46">
        <f>Sales[[#This Row],[Gross Amount]]*Sales[[#This Row],[Disc %]]</f>
        <v>3234</v>
      </c>
      <c r="L4322" s="43">
        <v>0.18</v>
      </c>
      <c r="M4322" s="46">
        <f>(Sales[[#This Row],[Gross Amount]]-Sales[[#This Row],[Disc. Amt.]])*Sales[[#This Row],[GST %]]</f>
        <v>5239.08</v>
      </c>
      <c r="N4322" s="161">
        <f>Sales[[#This Row],[Gross Amount]]-Sales[[#This Row],[Disc. Amt.]]+Sales[[#This Row],[GST Amount]]</f>
        <v>34345.08</v>
      </c>
      <c r="O4322" s="34" t="s">
        <v>3569</v>
      </c>
      <c r="P4322" s="34" t="s">
        <v>3562</v>
      </c>
      <c r="Q4322" s="165">
        <f>IF(Sales[[#This Row],[Status]]="Cancelled",0,Sales[[#This Row],[Qty]])</f>
        <v>3</v>
      </c>
      <c r="R4322" s="166">
        <f>IF(Sales[[#This Row],[Status]]="Cancelled",0,Sales[[#This Row],[Total Amount]])</f>
        <v>34345.08</v>
      </c>
      <c r="S4322" s="162">
        <f>SUM(Sales[Net Amount])</f>
        <v>406839287.73200053</v>
      </c>
    </row>
    <row r="4323" spans="1:19" ht="18.75" x14ac:dyDescent="0.25">
      <c r="A4323" s="156" t="s">
        <v>8003</v>
      </c>
      <c r="B4323" s="157">
        <v>45990</v>
      </c>
      <c r="C4323" s="158" t="s">
        <v>937</v>
      </c>
      <c r="D4323" s="159" t="str">
        <f>VLOOKUP(Sales[[#This Row],[Customer ID]],Customer[#All],2,0)</f>
        <v>Rahul Singh</v>
      </c>
      <c r="E4323" s="158" t="s">
        <v>199</v>
      </c>
      <c r="F4323" s="158" t="str">
        <f>VLOOKUP(Sales[[#This Row],[Product ID]],Product[#All],2,0)</f>
        <v>Lg Monitor</v>
      </c>
      <c r="G4323" s="159">
        <v>6</v>
      </c>
      <c r="H4323" s="160">
        <f>VLOOKUP(Sales[[#This Row],[Product ID]],Product[#All],7,0)</f>
        <v>13160</v>
      </c>
      <c r="I4323" s="160">
        <f>Sales[[#This Row],[Selling Rate]]*Sales[[#This Row],[Qty]]</f>
        <v>78960</v>
      </c>
      <c r="J4323" s="43">
        <v>0.05</v>
      </c>
      <c r="K4323" s="44">
        <f>Sales[[#This Row],[Gross Amount]]*Sales[[#This Row],[Disc %]]</f>
        <v>3948</v>
      </c>
      <c r="L4323" s="43">
        <v>0.18</v>
      </c>
      <c r="M4323" s="44">
        <f>(Sales[[#This Row],[Gross Amount]]-Sales[[#This Row],[Disc. Amt.]])*Sales[[#This Row],[GST %]]</f>
        <v>13502.16</v>
      </c>
      <c r="N4323" s="161">
        <f>Sales[[#This Row],[Gross Amount]]-Sales[[#This Row],[Disc. Amt.]]+Sales[[#This Row],[GST Amount]]</f>
        <v>88514.16</v>
      </c>
      <c r="O4323" s="158" t="s">
        <v>3566</v>
      </c>
      <c r="P4323" s="158" t="s">
        <v>3562</v>
      </c>
      <c r="Q4323" s="160">
        <f>IF(Sales[[#This Row],[Status]]="Cancelled",0,Sales[[#This Row],[Qty]])</f>
        <v>6</v>
      </c>
      <c r="R4323" s="161">
        <f>IF(Sales[[#This Row],[Status]]="Cancelled",0,Sales[[#This Row],[Total Amount]])</f>
        <v>88514.16</v>
      </c>
      <c r="S4323" s="162">
        <f>SUM(Sales[Net Amount])</f>
        <v>406839287.73200053</v>
      </c>
    </row>
    <row r="4324" spans="1:19" ht="18.75" x14ac:dyDescent="0.25">
      <c r="A4324" s="163" t="s">
        <v>8004</v>
      </c>
      <c r="B4324" s="164">
        <v>45990</v>
      </c>
      <c r="C4324" s="34" t="s">
        <v>784</v>
      </c>
      <c r="D4324" s="53" t="str">
        <f>VLOOKUP(Sales[[#This Row],[Customer ID]],Customer[#All],2,0)</f>
        <v>Amit Kumar</v>
      </c>
      <c r="E4324" s="34" t="s">
        <v>192</v>
      </c>
      <c r="F4324" s="34" t="str">
        <f>VLOOKUP(Sales[[#This Row],[Product ID]],Product[#All],2,0)</f>
        <v>HP Laptop</v>
      </c>
      <c r="G4324" s="53">
        <v>3</v>
      </c>
      <c r="H4324" s="165">
        <f>VLOOKUP(Sales[[#This Row],[Product ID]],Product[#All],7,0)</f>
        <v>59870</v>
      </c>
      <c r="I4324" s="165">
        <f>Sales[[#This Row],[Selling Rate]]*Sales[[#This Row],[Qty]]</f>
        <v>179610</v>
      </c>
      <c r="J4324" s="45">
        <v>0.02</v>
      </c>
      <c r="K4324" s="46">
        <f>Sales[[#This Row],[Gross Amount]]*Sales[[#This Row],[Disc %]]</f>
        <v>3592.2000000000003</v>
      </c>
      <c r="L4324" s="43">
        <v>0.18</v>
      </c>
      <c r="M4324" s="46">
        <f>(Sales[[#This Row],[Gross Amount]]-Sales[[#This Row],[Disc. Amt.]])*Sales[[#This Row],[GST %]]</f>
        <v>31683.203999999998</v>
      </c>
      <c r="N4324" s="161">
        <f>Sales[[#This Row],[Gross Amount]]-Sales[[#This Row],[Disc. Amt.]]+Sales[[#This Row],[GST Amount]]</f>
        <v>207701.00399999999</v>
      </c>
      <c r="O4324" s="34" t="s">
        <v>8876</v>
      </c>
      <c r="P4324" s="34" t="s">
        <v>3562</v>
      </c>
      <c r="Q4324" s="165">
        <f>IF(Sales[[#This Row],[Status]]="Cancelled",0,Sales[[#This Row],[Qty]])</f>
        <v>3</v>
      </c>
      <c r="R4324" s="166">
        <f>IF(Sales[[#This Row],[Status]]="Cancelled",0,Sales[[#This Row],[Total Amount]])</f>
        <v>207701.00399999999</v>
      </c>
      <c r="S4324" s="162">
        <f>SUM(Sales[Net Amount])</f>
        <v>406839287.73200053</v>
      </c>
    </row>
    <row r="4325" spans="1:19" ht="18.75" x14ac:dyDescent="0.25">
      <c r="A4325" s="156" t="s">
        <v>8005</v>
      </c>
      <c r="B4325" s="157">
        <v>45990</v>
      </c>
      <c r="C4325" s="158" t="s">
        <v>739</v>
      </c>
      <c r="D4325" s="159" t="str">
        <f>VLOOKUP(Sales[[#This Row],[Customer ID]],Customer[#All],2,0)</f>
        <v>Ankit Singh</v>
      </c>
      <c r="E4325" s="158" t="s">
        <v>417</v>
      </c>
      <c r="F4325" s="158" t="str">
        <f>VLOOKUP(Sales[[#This Row],[Product ID]],Product[#All],2,0)</f>
        <v>HP Power Adapter</v>
      </c>
      <c r="G4325" s="159">
        <v>3</v>
      </c>
      <c r="H4325" s="160">
        <f>VLOOKUP(Sales[[#This Row],[Product ID]],Product[#All],7,0)</f>
        <v>4330</v>
      </c>
      <c r="I4325" s="160">
        <f>Sales[[#This Row],[Selling Rate]]*Sales[[#This Row],[Qty]]</f>
        <v>12990</v>
      </c>
      <c r="J4325" s="43">
        <v>0.05</v>
      </c>
      <c r="K4325" s="44">
        <f>Sales[[#This Row],[Gross Amount]]*Sales[[#This Row],[Disc %]]</f>
        <v>649.5</v>
      </c>
      <c r="L4325" s="43">
        <v>0.18</v>
      </c>
      <c r="M4325" s="44">
        <f>(Sales[[#This Row],[Gross Amount]]-Sales[[#This Row],[Disc. Amt.]])*Sales[[#This Row],[GST %]]</f>
        <v>2221.29</v>
      </c>
      <c r="N4325" s="161">
        <f>Sales[[#This Row],[Gross Amount]]-Sales[[#This Row],[Disc. Amt.]]+Sales[[#This Row],[GST Amount]]</f>
        <v>14561.79</v>
      </c>
      <c r="O4325" s="158" t="s">
        <v>3569</v>
      </c>
      <c r="P4325" s="158" t="s">
        <v>1040</v>
      </c>
      <c r="Q4325" s="160">
        <f>IF(Sales[[#This Row],[Status]]="Cancelled",0,Sales[[#This Row],[Qty]])</f>
        <v>0</v>
      </c>
      <c r="R4325" s="161">
        <f>IF(Sales[[#This Row],[Status]]="Cancelled",0,Sales[[#This Row],[Total Amount]])</f>
        <v>0</v>
      </c>
      <c r="S4325" s="162">
        <f>SUM(Sales[Net Amount])</f>
        <v>406839287.73200053</v>
      </c>
    </row>
    <row r="4326" spans="1:19" ht="18.75" x14ac:dyDescent="0.25">
      <c r="A4326" s="163" t="s">
        <v>8006</v>
      </c>
      <c r="B4326" s="164">
        <v>45990</v>
      </c>
      <c r="C4326" s="34" t="s">
        <v>667</v>
      </c>
      <c r="D4326" s="53" t="str">
        <f>VLOOKUP(Sales[[#This Row],[Customer ID]],Customer[#All],2,0)</f>
        <v>Neha Gupta</v>
      </c>
      <c r="E4326" s="34" t="s">
        <v>378</v>
      </c>
      <c r="F4326" s="34" t="str">
        <f>VLOOKUP(Sales[[#This Row],[Product ID]],Product[#All],2,0)</f>
        <v>Kingston Ram</v>
      </c>
      <c r="G4326" s="53">
        <v>7</v>
      </c>
      <c r="H4326" s="165">
        <f>VLOOKUP(Sales[[#This Row],[Product ID]],Product[#All],7,0)</f>
        <v>4420</v>
      </c>
      <c r="I4326" s="165">
        <f>Sales[[#This Row],[Selling Rate]]*Sales[[#This Row],[Qty]]</f>
        <v>30940</v>
      </c>
      <c r="J4326" s="45">
        <v>0.02</v>
      </c>
      <c r="K4326" s="46">
        <f>Sales[[#This Row],[Gross Amount]]*Sales[[#This Row],[Disc %]]</f>
        <v>618.80000000000007</v>
      </c>
      <c r="L4326" s="43">
        <v>0.18</v>
      </c>
      <c r="M4326" s="46">
        <f>(Sales[[#This Row],[Gross Amount]]-Sales[[#This Row],[Disc. Amt.]])*Sales[[#This Row],[GST %]]</f>
        <v>5457.8159999999998</v>
      </c>
      <c r="N4326" s="161">
        <f>Sales[[#This Row],[Gross Amount]]-Sales[[#This Row],[Disc. Amt.]]+Sales[[#This Row],[GST Amount]]</f>
        <v>35779.016000000003</v>
      </c>
      <c r="O4326" s="34" t="s">
        <v>3561</v>
      </c>
      <c r="P4326" s="34" t="s">
        <v>3562</v>
      </c>
      <c r="Q4326" s="165">
        <f>IF(Sales[[#This Row],[Status]]="Cancelled",0,Sales[[#This Row],[Qty]])</f>
        <v>7</v>
      </c>
      <c r="R4326" s="166">
        <f>IF(Sales[[#This Row],[Status]]="Cancelled",0,Sales[[#This Row],[Total Amount]])</f>
        <v>35779.016000000003</v>
      </c>
      <c r="S4326" s="162">
        <f>SUM(Sales[Net Amount])</f>
        <v>406839287.73200053</v>
      </c>
    </row>
    <row r="4327" spans="1:19" ht="18.75" x14ac:dyDescent="0.25">
      <c r="A4327" s="156" t="s">
        <v>8007</v>
      </c>
      <c r="B4327" s="157">
        <v>45990</v>
      </c>
      <c r="C4327" s="158" t="s">
        <v>855</v>
      </c>
      <c r="D4327" s="159" t="str">
        <f>VLOOKUP(Sales[[#This Row],[Customer ID]],Customer[#All],2,0)</f>
        <v>Sahil Singh</v>
      </c>
      <c r="E4327" s="158" t="s">
        <v>281</v>
      </c>
      <c r="F4327" s="158" t="str">
        <f>VLOOKUP(Sales[[#This Row],[Product ID]],Product[#All],2,0)</f>
        <v>Canon Printer</v>
      </c>
      <c r="G4327" s="159">
        <v>3</v>
      </c>
      <c r="H4327" s="160">
        <f>VLOOKUP(Sales[[#This Row],[Product ID]],Product[#All],7,0)</f>
        <v>11560</v>
      </c>
      <c r="I4327" s="160">
        <f>Sales[[#This Row],[Selling Rate]]*Sales[[#This Row],[Qty]]</f>
        <v>34680</v>
      </c>
      <c r="J4327" s="43">
        <v>0.05</v>
      </c>
      <c r="K4327" s="44">
        <f>Sales[[#This Row],[Gross Amount]]*Sales[[#This Row],[Disc %]]</f>
        <v>1734</v>
      </c>
      <c r="L4327" s="43">
        <v>0.18</v>
      </c>
      <c r="M4327" s="44">
        <f>(Sales[[#This Row],[Gross Amount]]-Sales[[#This Row],[Disc. Amt.]])*Sales[[#This Row],[GST %]]</f>
        <v>5930.28</v>
      </c>
      <c r="N4327" s="161">
        <f>Sales[[#This Row],[Gross Amount]]-Sales[[#This Row],[Disc. Amt.]]+Sales[[#This Row],[GST Amount]]</f>
        <v>38876.28</v>
      </c>
      <c r="O4327" s="158" t="s">
        <v>3569</v>
      </c>
      <c r="P4327" s="158" t="s">
        <v>3562</v>
      </c>
      <c r="Q4327" s="160">
        <f>IF(Sales[[#This Row],[Status]]="Cancelled",0,Sales[[#This Row],[Qty]])</f>
        <v>3</v>
      </c>
      <c r="R4327" s="161">
        <f>IF(Sales[[#This Row],[Status]]="Cancelled",0,Sales[[#This Row],[Total Amount]])</f>
        <v>38876.28</v>
      </c>
      <c r="S4327" s="162">
        <f>SUM(Sales[Net Amount])</f>
        <v>406839287.73200053</v>
      </c>
    </row>
    <row r="4328" spans="1:19" ht="18.75" x14ac:dyDescent="0.25">
      <c r="A4328" s="163" t="s">
        <v>8008</v>
      </c>
      <c r="B4328" s="164">
        <v>45990</v>
      </c>
      <c r="C4328" s="34" t="s">
        <v>810</v>
      </c>
      <c r="D4328" s="53" t="str">
        <f>VLOOKUP(Sales[[#This Row],[Customer ID]],Customer[#All],2,0)</f>
        <v>Rahul Gupta</v>
      </c>
      <c r="E4328" s="34" t="s">
        <v>52</v>
      </c>
      <c r="F4328" s="34" t="str">
        <f>VLOOKUP(Sales[[#This Row],[Product ID]],Product[#All],2,0)</f>
        <v>HP Power Adapter</v>
      </c>
      <c r="G4328" s="53">
        <v>1</v>
      </c>
      <c r="H4328" s="165">
        <f>VLOOKUP(Sales[[#This Row],[Product ID]],Product[#All],7,0)</f>
        <v>4510</v>
      </c>
      <c r="I4328" s="165">
        <f>Sales[[#This Row],[Selling Rate]]*Sales[[#This Row],[Qty]]</f>
        <v>4510</v>
      </c>
      <c r="J4328" s="45">
        <v>0</v>
      </c>
      <c r="K4328" s="46">
        <f>Sales[[#This Row],[Gross Amount]]*Sales[[#This Row],[Disc %]]</f>
        <v>0</v>
      </c>
      <c r="L4328" s="43">
        <v>0.18</v>
      </c>
      <c r="M4328" s="46">
        <f>(Sales[[#This Row],[Gross Amount]]-Sales[[#This Row],[Disc. Amt.]])*Sales[[#This Row],[GST %]]</f>
        <v>811.8</v>
      </c>
      <c r="N4328" s="161">
        <f>Sales[[#This Row],[Gross Amount]]-Sales[[#This Row],[Disc. Amt.]]+Sales[[#This Row],[GST Amount]]</f>
        <v>5321.8</v>
      </c>
      <c r="O4328" s="34" t="s">
        <v>3566</v>
      </c>
      <c r="P4328" s="34" t="s">
        <v>3562</v>
      </c>
      <c r="Q4328" s="165">
        <f>IF(Sales[[#This Row],[Status]]="Cancelled",0,Sales[[#This Row],[Qty]])</f>
        <v>1</v>
      </c>
      <c r="R4328" s="166">
        <f>IF(Sales[[#This Row],[Status]]="Cancelled",0,Sales[[#This Row],[Total Amount]])</f>
        <v>5321.8</v>
      </c>
      <c r="S4328" s="162">
        <f>SUM(Sales[Net Amount])</f>
        <v>406839287.73200053</v>
      </c>
    </row>
    <row r="4329" spans="1:19" ht="18.75" x14ac:dyDescent="0.25">
      <c r="A4329" s="156" t="s">
        <v>8009</v>
      </c>
      <c r="B4329" s="157">
        <v>45990</v>
      </c>
      <c r="C4329" s="158" t="s">
        <v>808</v>
      </c>
      <c r="D4329" s="159" t="str">
        <f>VLOOKUP(Sales[[#This Row],[Customer ID]],Customer[#All],2,0)</f>
        <v>Rahul Singh</v>
      </c>
      <c r="E4329" s="158" t="s">
        <v>262</v>
      </c>
      <c r="F4329" s="158" t="str">
        <f>VLOOKUP(Sales[[#This Row],[Product ID]],Product[#All],2,0)</f>
        <v>HP Power Adapter</v>
      </c>
      <c r="G4329" s="159">
        <v>3</v>
      </c>
      <c r="H4329" s="160">
        <f>VLOOKUP(Sales[[#This Row],[Product ID]],Product[#All],7,0)</f>
        <v>3560</v>
      </c>
      <c r="I4329" s="160">
        <f>Sales[[#This Row],[Selling Rate]]*Sales[[#This Row],[Qty]]</f>
        <v>10680</v>
      </c>
      <c r="J4329" s="43">
        <v>0.02</v>
      </c>
      <c r="K4329" s="44">
        <f>Sales[[#This Row],[Gross Amount]]*Sales[[#This Row],[Disc %]]</f>
        <v>213.6</v>
      </c>
      <c r="L4329" s="43">
        <v>0.18</v>
      </c>
      <c r="M4329" s="44">
        <f>(Sales[[#This Row],[Gross Amount]]-Sales[[#This Row],[Disc. Amt.]])*Sales[[#This Row],[GST %]]</f>
        <v>1883.9519999999998</v>
      </c>
      <c r="N4329" s="161">
        <f>Sales[[#This Row],[Gross Amount]]-Sales[[#This Row],[Disc. Amt.]]+Sales[[#This Row],[GST Amount]]</f>
        <v>12350.351999999999</v>
      </c>
      <c r="O4329" s="158" t="s">
        <v>3566</v>
      </c>
      <c r="P4329" s="158" t="s">
        <v>3562</v>
      </c>
      <c r="Q4329" s="160">
        <f>IF(Sales[[#This Row],[Status]]="Cancelled",0,Sales[[#This Row],[Qty]])</f>
        <v>3</v>
      </c>
      <c r="R4329" s="161">
        <f>IF(Sales[[#This Row],[Status]]="Cancelled",0,Sales[[#This Row],[Total Amount]])</f>
        <v>12350.351999999999</v>
      </c>
      <c r="S4329" s="162">
        <f>SUM(Sales[Net Amount])</f>
        <v>406839287.73200053</v>
      </c>
    </row>
    <row r="4330" spans="1:19" ht="18.75" x14ac:dyDescent="0.25">
      <c r="A4330" s="163" t="s">
        <v>8010</v>
      </c>
      <c r="B4330" s="164">
        <v>45990</v>
      </c>
      <c r="C4330" s="34" t="s">
        <v>772</v>
      </c>
      <c r="D4330" s="53" t="str">
        <f>VLOOKUP(Sales[[#This Row],[Customer ID]],Customer[#All],2,0)</f>
        <v>Rahul Patel</v>
      </c>
      <c r="E4330" s="34" t="s">
        <v>426</v>
      </c>
      <c r="F4330" s="34" t="str">
        <f>VLOOKUP(Sales[[#This Row],[Product ID]],Product[#All],2,0)</f>
        <v>Jbl Speaker</v>
      </c>
      <c r="G4330" s="53">
        <v>6</v>
      </c>
      <c r="H4330" s="165">
        <f>VLOOKUP(Sales[[#This Row],[Product ID]],Product[#All],7,0)</f>
        <v>5260</v>
      </c>
      <c r="I4330" s="165">
        <f>Sales[[#This Row],[Selling Rate]]*Sales[[#This Row],[Qty]]</f>
        <v>31560</v>
      </c>
      <c r="J4330" s="45">
        <v>0</v>
      </c>
      <c r="K4330" s="46">
        <f>Sales[[#This Row],[Gross Amount]]*Sales[[#This Row],[Disc %]]</f>
        <v>0</v>
      </c>
      <c r="L4330" s="43">
        <v>0.18</v>
      </c>
      <c r="M4330" s="46">
        <f>(Sales[[#This Row],[Gross Amount]]-Sales[[#This Row],[Disc. Amt.]])*Sales[[#This Row],[GST %]]</f>
        <v>5680.8</v>
      </c>
      <c r="N4330" s="161">
        <f>Sales[[#This Row],[Gross Amount]]-Sales[[#This Row],[Disc. Amt.]]+Sales[[#This Row],[GST Amount]]</f>
        <v>37240.800000000003</v>
      </c>
      <c r="O4330" s="34" t="s">
        <v>3569</v>
      </c>
      <c r="P4330" s="34" t="s">
        <v>3562</v>
      </c>
      <c r="Q4330" s="165">
        <f>IF(Sales[[#This Row],[Status]]="Cancelled",0,Sales[[#This Row],[Qty]])</f>
        <v>6</v>
      </c>
      <c r="R4330" s="166">
        <f>IF(Sales[[#This Row],[Status]]="Cancelled",0,Sales[[#This Row],[Total Amount]])</f>
        <v>37240.800000000003</v>
      </c>
      <c r="S4330" s="162">
        <f>SUM(Sales[Net Amount])</f>
        <v>406839287.73200053</v>
      </c>
    </row>
    <row r="4331" spans="1:19" ht="18.75" x14ac:dyDescent="0.25">
      <c r="A4331" s="156" t="s">
        <v>8011</v>
      </c>
      <c r="B4331" s="157">
        <v>45990</v>
      </c>
      <c r="C4331" s="158" t="s">
        <v>800</v>
      </c>
      <c r="D4331" s="159" t="str">
        <f>VLOOKUP(Sales[[#This Row],[Customer ID]],Customer[#All],2,0)</f>
        <v>Priya Gupta</v>
      </c>
      <c r="E4331" s="158" t="s">
        <v>353</v>
      </c>
      <c r="F4331" s="158" t="str">
        <f>VLOOKUP(Sales[[#This Row],[Product ID]],Product[#All],2,0)</f>
        <v>HP Desktop</v>
      </c>
      <c r="G4331" s="159">
        <v>6</v>
      </c>
      <c r="H4331" s="160">
        <f>VLOOKUP(Sales[[#This Row],[Product ID]],Product[#All],7,0)</f>
        <v>60910</v>
      </c>
      <c r="I4331" s="160">
        <f>Sales[[#This Row],[Selling Rate]]*Sales[[#This Row],[Qty]]</f>
        <v>365460</v>
      </c>
      <c r="J4331" s="43">
        <v>0</v>
      </c>
      <c r="K4331" s="44">
        <f>Sales[[#This Row],[Gross Amount]]*Sales[[#This Row],[Disc %]]</f>
        <v>0</v>
      </c>
      <c r="L4331" s="43">
        <v>0.18</v>
      </c>
      <c r="M4331" s="44">
        <f>(Sales[[#This Row],[Gross Amount]]-Sales[[#This Row],[Disc. Amt.]])*Sales[[#This Row],[GST %]]</f>
        <v>65782.8</v>
      </c>
      <c r="N4331" s="161">
        <f>Sales[[#This Row],[Gross Amount]]-Sales[[#This Row],[Disc. Amt.]]+Sales[[#This Row],[GST Amount]]</f>
        <v>431242.8</v>
      </c>
      <c r="O4331" s="158" t="s">
        <v>3569</v>
      </c>
      <c r="P4331" s="158" t="s">
        <v>3562</v>
      </c>
      <c r="Q4331" s="160">
        <f>IF(Sales[[#This Row],[Status]]="Cancelled",0,Sales[[#This Row],[Qty]])</f>
        <v>6</v>
      </c>
      <c r="R4331" s="161">
        <f>IF(Sales[[#This Row],[Status]]="Cancelled",0,Sales[[#This Row],[Total Amount]])</f>
        <v>431242.8</v>
      </c>
      <c r="S4331" s="162">
        <f>SUM(Sales[Net Amount])</f>
        <v>406839287.73200053</v>
      </c>
    </row>
    <row r="4332" spans="1:19" ht="18.75" x14ac:dyDescent="0.25">
      <c r="A4332" s="163" t="s">
        <v>8012</v>
      </c>
      <c r="B4332" s="164">
        <v>45990</v>
      </c>
      <c r="C4332" s="34" t="s">
        <v>839</v>
      </c>
      <c r="D4332" s="53" t="str">
        <f>VLOOKUP(Sales[[#This Row],[Customer ID]],Customer[#All],2,0)</f>
        <v>Amit Patel</v>
      </c>
      <c r="E4332" s="34" t="s">
        <v>552</v>
      </c>
      <c r="F4332" s="34" t="str">
        <f>VLOOKUP(Sales[[#This Row],[Product ID]],Product[#All],2,0)</f>
        <v>American TouristerLaptopBag</v>
      </c>
      <c r="G4332" s="53">
        <v>2</v>
      </c>
      <c r="H4332" s="165">
        <f>VLOOKUP(Sales[[#This Row],[Product ID]],Product[#All],7,0)</f>
        <v>5080</v>
      </c>
      <c r="I4332" s="165">
        <f>Sales[[#This Row],[Selling Rate]]*Sales[[#This Row],[Qty]]</f>
        <v>10160</v>
      </c>
      <c r="J4332" s="45">
        <v>0.15</v>
      </c>
      <c r="K4332" s="46">
        <f>Sales[[#This Row],[Gross Amount]]*Sales[[#This Row],[Disc %]]</f>
        <v>1524</v>
      </c>
      <c r="L4332" s="43">
        <v>0.18</v>
      </c>
      <c r="M4332" s="46">
        <f>(Sales[[#This Row],[Gross Amount]]-Sales[[#This Row],[Disc. Amt.]])*Sales[[#This Row],[GST %]]</f>
        <v>1554.48</v>
      </c>
      <c r="N4332" s="161">
        <f>Sales[[#This Row],[Gross Amount]]-Sales[[#This Row],[Disc. Amt.]]+Sales[[#This Row],[GST Amount]]</f>
        <v>10190.48</v>
      </c>
      <c r="O4332" s="34" t="s">
        <v>3569</v>
      </c>
      <c r="P4332" s="34" t="s">
        <v>3562</v>
      </c>
      <c r="Q4332" s="165">
        <f>IF(Sales[[#This Row],[Status]]="Cancelled",0,Sales[[#This Row],[Qty]])</f>
        <v>2</v>
      </c>
      <c r="R4332" s="166">
        <f>IF(Sales[[#This Row],[Status]]="Cancelled",0,Sales[[#This Row],[Total Amount]])</f>
        <v>10190.48</v>
      </c>
      <c r="S4332" s="162">
        <f>SUM(Sales[Net Amount])</f>
        <v>406839287.73200053</v>
      </c>
    </row>
    <row r="4333" spans="1:19" ht="18.75" x14ac:dyDescent="0.25">
      <c r="A4333" s="156" t="s">
        <v>8013</v>
      </c>
      <c r="B4333" s="157">
        <v>45990</v>
      </c>
      <c r="C4333" s="158" t="s">
        <v>6961</v>
      </c>
      <c r="D4333" s="159" t="str">
        <f>VLOOKUP(Sales[[#This Row],[Customer ID]],Customer[#All],2,0)</f>
        <v>Rahul Patel</v>
      </c>
      <c r="E4333" s="158" t="s">
        <v>53</v>
      </c>
      <c r="F4333" s="158" t="str">
        <f>VLOOKUP(Sales[[#This Row],[Product ID]],Product[#All],2,0)</f>
        <v>Microtek UPS</v>
      </c>
      <c r="G4333" s="159">
        <v>1</v>
      </c>
      <c r="H4333" s="160">
        <f>VLOOKUP(Sales[[#This Row],[Product ID]],Product[#All],7,0)</f>
        <v>13040</v>
      </c>
      <c r="I4333" s="160">
        <f>Sales[[#This Row],[Selling Rate]]*Sales[[#This Row],[Qty]]</f>
        <v>13040</v>
      </c>
      <c r="J4333" s="43">
        <v>0.05</v>
      </c>
      <c r="K4333" s="44">
        <f>Sales[[#This Row],[Gross Amount]]*Sales[[#This Row],[Disc %]]</f>
        <v>652</v>
      </c>
      <c r="L4333" s="43">
        <v>0.18</v>
      </c>
      <c r="M4333" s="44">
        <f>(Sales[[#This Row],[Gross Amount]]-Sales[[#This Row],[Disc. Amt.]])*Sales[[#This Row],[GST %]]</f>
        <v>2229.8399999999997</v>
      </c>
      <c r="N4333" s="161">
        <f>Sales[[#This Row],[Gross Amount]]-Sales[[#This Row],[Disc. Amt.]]+Sales[[#This Row],[GST Amount]]</f>
        <v>14617.84</v>
      </c>
      <c r="O4333" s="158" t="s">
        <v>3566</v>
      </c>
      <c r="P4333" s="158" t="s">
        <v>3562</v>
      </c>
      <c r="Q4333" s="160">
        <f>IF(Sales[[#This Row],[Status]]="Cancelled",0,Sales[[#This Row],[Qty]])</f>
        <v>1</v>
      </c>
      <c r="R4333" s="161">
        <f>IF(Sales[[#This Row],[Status]]="Cancelled",0,Sales[[#This Row],[Total Amount]])</f>
        <v>14617.84</v>
      </c>
      <c r="S4333" s="162">
        <f>SUM(Sales[Net Amount])</f>
        <v>406839287.73200053</v>
      </c>
    </row>
    <row r="4334" spans="1:19" ht="18.75" x14ac:dyDescent="0.25">
      <c r="A4334" s="163" t="s">
        <v>8014</v>
      </c>
      <c r="B4334" s="164">
        <v>45990</v>
      </c>
      <c r="C4334" s="34" t="s">
        <v>733</v>
      </c>
      <c r="D4334" s="53" t="str">
        <f>VLOOKUP(Sales[[#This Row],[Customer ID]],Customer[#All],2,0)</f>
        <v>Vikas Kumar</v>
      </c>
      <c r="E4334" s="34" t="s">
        <v>344</v>
      </c>
      <c r="F4334" s="34" t="str">
        <f>VLOOKUP(Sales[[#This Row],[Product ID]],Product[#All],2,0)</f>
        <v>WD HDD</v>
      </c>
      <c r="G4334" s="53">
        <v>1</v>
      </c>
      <c r="H4334" s="165">
        <f>VLOOKUP(Sales[[#This Row],[Product ID]],Product[#All],7,0)</f>
        <v>11260</v>
      </c>
      <c r="I4334" s="165">
        <f>Sales[[#This Row],[Selling Rate]]*Sales[[#This Row],[Qty]]</f>
        <v>11260</v>
      </c>
      <c r="J4334" s="45">
        <v>0.1</v>
      </c>
      <c r="K4334" s="46">
        <f>Sales[[#This Row],[Gross Amount]]*Sales[[#This Row],[Disc %]]</f>
        <v>1126</v>
      </c>
      <c r="L4334" s="43">
        <v>0.18</v>
      </c>
      <c r="M4334" s="46">
        <f>(Sales[[#This Row],[Gross Amount]]-Sales[[#This Row],[Disc. Amt.]])*Sales[[#This Row],[GST %]]</f>
        <v>1824.12</v>
      </c>
      <c r="N4334" s="161">
        <f>Sales[[#This Row],[Gross Amount]]-Sales[[#This Row],[Disc. Amt.]]+Sales[[#This Row],[GST Amount]]</f>
        <v>11958.119999999999</v>
      </c>
      <c r="O4334" s="34" t="s">
        <v>8876</v>
      </c>
      <c r="P4334" s="34" t="s">
        <v>3562</v>
      </c>
      <c r="Q4334" s="165">
        <f>IF(Sales[[#This Row],[Status]]="Cancelled",0,Sales[[#This Row],[Qty]])</f>
        <v>1</v>
      </c>
      <c r="R4334" s="166">
        <f>IF(Sales[[#This Row],[Status]]="Cancelled",0,Sales[[#This Row],[Total Amount]])</f>
        <v>11958.119999999999</v>
      </c>
      <c r="S4334" s="162">
        <f>SUM(Sales[Net Amount])</f>
        <v>406839287.73200053</v>
      </c>
    </row>
    <row r="4335" spans="1:19" ht="18.75" x14ac:dyDescent="0.25">
      <c r="A4335" s="156" t="s">
        <v>8015</v>
      </c>
      <c r="B4335" s="157">
        <v>45991</v>
      </c>
      <c r="C4335" s="158" t="s">
        <v>917</v>
      </c>
      <c r="D4335" s="159" t="str">
        <f>VLOOKUP(Sales[[#This Row],[Customer ID]],Customer[#All],2,0)</f>
        <v>Sahil Gupta</v>
      </c>
      <c r="E4335" s="158" t="s">
        <v>412</v>
      </c>
      <c r="F4335" s="158" t="str">
        <f>VLOOKUP(Sales[[#This Row],[Product ID]],Product[#All],2,0)</f>
        <v>Dell Monitor</v>
      </c>
      <c r="G4335" s="159">
        <v>1</v>
      </c>
      <c r="H4335" s="160">
        <f>VLOOKUP(Sales[[#This Row],[Product ID]],Product[#All],7,0)</f>
        <v>30230</v>
      </c>
      <c r="I4335" s="160">
        <f>Sales[[#This Row],[Selling Rate]]*Sales[[#This Row],[Qty]]</f>
        <v>30230</v>
      </c>
      <c r="J4335" s="43">
        <v>0.02</v>
      </c>
      <c r="K4335" s="44">
        <f>Sales[[#This Row],[Gross Amount]]*Sales[[#This Row],[Disc %]]</f>
        <v>604.6</v>
      </c>
      <c r="L4335" s="43">
        <v>0.18</v>
      </c>
      <c r="M4335" s="44">
        <f>(Sales[[#This Row],[Gross Amount]]-Sales[[#This Row],[Disc. Amt.]])*Sales[[#This Row],[GST %]]</f>
        <v>5332.5720000000001</v>
      </c>
      <c r="N4335" s="161">
        <f>Sales[[#This Row],[Gross Amount]]-Sales[[#This Row],[Disc. Amt.]]+Sales[[#This Row],[GST Amount]]</f>
        <v>34957.972000000002</v>
      </c>
      <c r="O4335" s="158" t="s">
        <v>3561</v>
      </c>
      <c r="P4335" s="158" t="s">
        <v>3562</v>
      </c>
      <c r="Q4335" s="160">
        <f>IF(Sales[[#This Row],[Status]]="Cancelled",0,Sales[[#This Row],[Qty]])</f>
        <v>1</v>
      </c>
      <c r="R4335" s="161">
        <f>IF(Sales[[#This Row],[Status]]="Cancelled",0,Sales[[#This Row],[Total Amount]])</f>
        <v>34957.972000000002</v>
      </c>
      <c r="S4335" s="162">
        <f>SUM(Sales[Net Amount])</f>
        <v>406839287.73200053</v>
      </c>
    </row>
    <row r="4336" spans="1:19" ht="18.75" x14ac:dyDescent="0.25">
      <c r="A4336" s="163" t="s">
        <v>8016</v>
      </c>
      <c r="B4336" s="164">
        <v>45991</v>
      </c>
      <c r="C4336" s="34" t="s">
        <v>891</v>
      </c>
      <c r="D4336" s="53" t="str">
        <f>VLOOKUP(Sales[[#This Row],[Customer ID]],Customer[#All],2,0)</f>
        <v>Pooja Verma</v>
      </c>
      <c r="E4336" s="34" t="s">
        <v>494</v>
      </c>
      <c r="F4336" s="34" t="str">
        <f>VLOOKUP(Sales[[#This Row],[Product ID]],Product[#All],2,0)</f>
        <v>Logitech Mouse</v>
      </c>
      <c r="G4336" s="53">
        <v>3</v>
      </c>
      <c r="H4336" s="165">
        <f>VLOOKUP(Sales[[#This Row],[Product ID]],Product[#All],7,0)</f>
        <v>660</v>
      </c>
      <c r="I4336" s="165">
        <f>Sales[[#This Row],[Selling Rate]]*Sales[[#This Row],[Qty]]</f>
        <v>1980</v>
      </c>
      <c r="J4336" s="45">
        <v>0</v>
      </c>
      <c r="K4336" s="46">
        <f>Sales[[#This Row],[Gross Amount]]*Sales[[#This Row],[Disc %]]</f>
        <v>0</v>
      </c>
      <c r="L4336" s="43">
        <v>0.18</v>
      </c>
      <c r="M4336" s="46">
        <f>(Sales[[#This Row],[Gross Amount]]-Sales[[#This Row],[Disc. Amt.]])*Sales[[#This Row],[GST %]]</f>
        <v>356.4</v>
      </c>
      <c r="N4336" s="161">
        <f>Sales[[#This Row],[Gross Amount]]-Sales[[#This Row],[Disc. Amt.]]+Sales[[#This Row],[GST Amount]]</f>
        <v>2336.4</v>
      </c>
      <c r="O4336" s="34" t="s">
        <v>3566</v>
      </c>
      <c r="P4336" s="34" t="s">
        <v>3562</v>
      </c>
      <c r="Q4336" s="165">
        <f>IF(Sales[[#This Row],[Status]]="Cancelled",0,Sales[[#This Row],[Qty]])</f>
        <v>3</v>
      </c>
      <c r="R4336" s="166">
        <f>IF(Sales[[#This Row],[Status]]="Cancelled",0,Sales[[#This Row],[Total Amount]])</f>
        <v>2336.4</v>
      </c>
      <c r="S4336" s="162">
        <f>SUM(Sales[Net Amount])</f>
        <v>406839287.73200053</v>
      </c>
    </row>
    <row r="4337" spans="1:19" ht="18.75" x14ac:dyDescent="0.25">
      <c r="A4337" s="156" t="s">
        <v>8017</v>
      </c>
      <c r="B4337" s="157">
        <v>45991</v>
      </c>
      <c r="C4337" s="158" t="s">
        <v>903</v>
      </c>
      <c r="D4337" s="159" t="str">
        <f>VLOOKUP(Sales[[#This Row],[Customer ID]],Customer[#All],2,0)</f>
        <v>Sahil Singh</v>
      </c>
      <c r="E4337" s="158" t="s">
        <v>364</v>
      </c>
      <c r="F4337" s="158" t="str">
        <f>VLOOKUP(Sales[[#This Row],[Product ID]],Product[#All],2,0)</f>
        <v>Canon Printer</v>
      </c>
      <c r="G4337" s="159">
        <v>4</v>
      </c>
      <c r="H4337" s="160">
        <f>VLOOKUP(Sales[[#This Row],[Product ID]],Product[#All],7,0)</f>
        <v>41460</v>
      </c>
      <c r="I4337" s="160">
        <f>Sales[[#This Row],[Selling Rate]]*Sales[[#This Row],[Qty]]</f>
        <v>165840</v>
      </c>
      <c r="J4337" s="43">
        <v>0</v>
      </c>
      <c r="K4337" s="44">
        <f>Sales[[#This Row],[Gross Amount]]*Sales[[#This Row],[Disc %]]</f>
        <v>0</v>
      </c>
      <c r="L4337" s="43">
        <v>0.18</v>
      </c>
      <c r="M4337" s="44">
        <f>(Sales[[#This Row],[Gross Amount]]-Sales[[#This Row],[Disc. Amt.]])*Sales[[#This Row],[GST %]]</f>
        <v>29851.199999999997</v>
      </c>
      <c r="N4337" s="161">
        <f>Sales[[#This Row],[Gross Amount]]-Sales[[#This Row],[Disc. Amt.]]+Sales[[#This Row],[GST Amount]]</f>
        <v>195691.2</v>
      </c>
      <c r="O4337" s="158" t="s">
        <v>8876</v>
      </c>
      <c r="P4337" s="158" t="s">
        <v>3562</v>
      </c>
      <c r="Q4337" s="160">
        <f>IF(Sales[[#This Row],[Status]]="Cancelled",0,Sales[[#This Row],[Qty]])</f>
        <v>4</v>
      </c>
      <c r="R4337" s="161">
        <f>IF(Sales[[#This Row],[Status]]="Cancelled",0,Sales[[#This Row],[Total Amount]])</f>
        <v>195691.2</v>
      </c>
      <c r="S4337" s="162">
        <f>SUM(Sales[Net Amount])</f>
        <v>406839287.73200053</v>
      </c>
    </row>
    <row r="4338" spans="1:19" ht="18.75" x14ac:dyDescent="0.25">
      <c r="A4338" s="163" t="s">
        <v>8018</v>
      </c>
      <c r="B4338" s="164">
        <v>45991</v>
      </c>
      <c r="C4338" s="34" t="s">
        <v>720</v>
      </c>
      <c r="D4338" s="53" t="str">
        <f>VLOOKUP(Sales[[#This Row],[Customer ID]],Customer[#All],2,0)</f>
        <v>Rakesh Singh</v>
      </c>
      <c r="E4338" s="34" t="s">
        <v>245</v>
      </c>
      <c r="F4338" s="34" t="str">
        <f>VLOOKUP(Sales[[#This Row],[Product ID]],Product[#All],2,0)</f>
        <v>HP Printer</v>
      </c>
      <c r="G4338" s="53">
        <v>8</v>
      </c>
      <c r="H4338" s="165">
        <f>VLOOKUP(Sales[[#This Row],[Product ID]],Product[#All],7,0)</f>
        <v>11410</v>
      </c>
      <c r="I4338" s="165">
        <f>Sales[[#This Row],[Selling Rate]]*Sales[[#This Row],[Qty]]</f>
        <v>91280</v>
      </c>
      <c r="J4338" s="45">
        <v>0.12</v>
      </c>
      <c r="K4338" s="46">
        <f>Sales[[#This Row],[Gross Amount]]*Sales[[#This Row],[Disc %]]</f>
        <v>10953.6</v>
      </c>
      <c r="L4338" s="43">
        <v>0.18</v>
      </c>
      <c r="M4338" s="46">
        <f>(Sales[[#This Row],[Gross Amount]]-Sales[[#This Row],[Disc. Amt.]])*Sales[[#This Row],[GST %]]</f>
        <v>14458.751999999999</v>
      </c>
      <c r="N4338" s="161">
        <f>Sales[[#This Row],[Gross Amount]]-Sales[[#This Row],[Disc. Amt.]]+Sales[[#This Row],[GST Amount]]</f>
        <v>94785.151999999987</v>
      </c>
      <c r="O4338" s="34" t="s">
        <v>8876</v>
      </c>
      <c r="P4338" s="34" t="s">
        <v>3562</v>
      </c>
      <c r="Q4338" s="165">
        <f>IF(Sales[[#This Row],[Status]]="Cancelled",0,Sales[[#This Row],[Qty]])</f>
        <v>8</v>
      </c>
      <c r="R4338" s="166">
        <f>IF(Sales[[#This Row],[Status]]="Cancelled",0,Sales[[#This Row],[Total Amount]])</f>
        <v>94785.151999999987</v>
      </c>
      <c r="S4338" s="162">
        <f>SUM(Sales[Net Amount])</f>
        <v>406839287.73200053</v>
      </c>
    </row>
    <row r="4339" spans="1:19" ht="18.75" x14ac:dyDescent="0.25">
      <c r="A4339" s="156" t="s">
        <v>8019</v>
      </c>
      <c r="B4339" s="157">
        <v>45991</v>
      </c>
      <c r="C4339" s="158" t="s">
        <v>739</v>
      </c>
      <c r="D4339" s="159" t="str">
        <f>VLOOKUP(Sales[[#This Row],[Customer ID]],Customer[#All],2,0)</f>
        <v>Ankit Singh</v>
      </c>
      <c r="E4339" s="158" t="s">
        <v>326</v>
      </c>
      <c r="F4339" s="158" t="str">
        <f>VLOOKUP(Sales[[#This Row],[Product ID]],Product[#All],2,0)</f>
        <v>Samsung Ssd</v>
      </c>
      <c r="G4339" s="159">
        <v>5</v>
      </c>
      <c r="H4339" s="160">
        <f>VLOOKUP(Sales[[#This Row],[Product ID]],Product[#All],7,0)</f>
        <v>8670</v>
      </c>
      <c r="I4339" s="160">
        <f>Sales[[#This Row],[Selling Rate]]*Sales[[#This Row],[Qty]]</f>
        <v>43350</v>
      </c>
      <c r="J4339" s="43">
        <v>0.05</v>
      </c>
      <c r="K4339" s="44">
        <f>Sales[[#This Row],[Gross Amount]]*Sales[[#This Row],[Disc %]]</f>
        <v>2167.5</v>
      </c>
      <c r="L4339" s="43">
        <v>0.18</v>
      </c>
      <c r="M4339" s="44">
        <f>(Sales[[#This Row],[Gross Amount]]-Sales[[#This Row],[Disc. Amt.]])*Sales[[#This Row],[GST %]]</f>
        <v>7412.8499999999995</v>
      </c>
      <c r="N4339" s="161">
        <f>Sales[[#This Row],[Gross Amount]]-Sales[[#This Row],[Disc. Amt.]]+Sales[[#This Row],[GST Amount]]</f>
        <v>48595.35</v>
      </c>
      <c r="O4339" s="158" t="s">
        <v>3569</v>
      </c>
      <c r="P4339" s="158" t="s">
        <v>3562</v>
      </c>
      <c r="Q4339" s="160">
        <f>IF(Sales[[#This Row],[Status]]="Cancelled",0,Sales[[#This Row],[Qty]])</f>
        <v>5</v>
      </c>
      <c r="R4339" s="161">
        <f>IF(Sales[[#This Row],[Status]]="Cancelled",0,Sales[[#This Row],[Total Amount]])</f>
        <v>48595.35</v>
      </c>
      <c r="S4339" s="162">
        <f>SUM(Sales[Net Amount])</f>
        <v>406839287.73200053</v>
      </c>
    </row>
    <row r="4340" spans="1:19" ht="18.75" x14ac:dyDescent="0.25">
      <c r="A4340" s="163" t="s">
        <v>8020</v>
      </c>
      <c r="B4340" s="164">
        <v>45991</v>
      </c>
      <c r="C4340" s="34" t="s">
        <v>717</v>
      </c>
      <c r="D4340" s="53" t="str">
        <f>VLOOKUP(Sales[[#This Row],[Customer ID]],Customer[#All],2,0)</f>
        <v>Sunita Singh</v>
      </c>
      <c r="E4340" s="34" t="s">
        <v>446</v>
      </c>
      <c r="F4340" s="34" t="str">
        <f>VLOOKUP(Sales[[#This Row],[Product ID]],Product[#All],2,0)</f>
        <v>HP Desktop</v>
      </c>
      <c r="G4340" s="53">
        <v>5</v>
      </c>
      <c r="H4340" s="165">
        <f>VLOOKUP(Sales[[#This Row],[Product ID]],Product[#All],7,0)</f>
        <v>48280</v>
      </c>
      <c r="I4340" s="165">
        <f>Sales[[#This Row],[Selling Rate]]*Sales[[#This Row],[Qty]]</f>
        <v>241400</v>
      </c>
      <c r="J4340" s="45">
        <v>0.12</v>
      </c>
      <c r="K4340" s="46">
        <f>Sales[[#This Row],[Gross Amount]]*Sales[[#This Row],[Disc %]]</f>
        <v>28968</v>
      </c>
      <c r="L4340" s="43">
        <v>0.18</v>
      </c>
      <c r="M4340" s="46">
        <f>(Sales[[#This Row],[Gross Amount]]-Sales[[#This Row],[Disc. Amt.]])*Sales[[#This Row],[GST %]]</f>
        <v>38237.760000000002</v>
      </c>
      <c r="N4340" s="161">
        <f>Sales[[#This Row],[Gross Amount]]-Sales[[#This Row],[Disc. Amt.]]+Sales[[#This Row],[GST Amount]]</f>
        <v>250669.76</v>
      </c>
      <c r="O4340" s="34" t="s">
        <v>3561</v>
      </c>
      <c r="P4340" s="34" t="s">
        <v>3562</v>
      </c>
      <c r="Q4340" s="165">
        <f>IF(Sales[[#This Row],[Status]]="Cancelled",0,Sales[[#This Row],[Qty]])</f>
        <v>5</v>
      </c>
      <c r="R4340" s="166">
        <f>IF(Sales[[#This Row],[Status]]="Cancelled",0,Sales[[#This Row],[Total Amount]])</f>
        <v>250669.76</v>
      </c>
      <c r="S4340" s="162">
        <f>SUM(Sales[Net Amount])</f>
        <v>406839287.73200053</v>
      </c>
    </row>
    <row r="4341" spans="1:19" ht="18.75" x14ac:dyDescent="0.25">
      <c r="A4341" s="156" t="s">
        <v>8021</v>
      </c>
      <c r="B4341" s="157">
        <v>45991</v>
      </c>
      <c r="C4341" s="158" t="s">
        <v>660</v>
      </c>
      <c r="D4341" s="159" t="str">
        <f>VLOOKUP(Sales[[#This Row],[Customer ID]],Customer[#All],2,0)</f>
        <v>Priya Sharma</v>
      </c>
      <c r="E4341" s="158" t="s">
        <v>415</v>
      </c>
      <c r="F4341" s="158" t="str">
        <f>VLOOKUP(Sales[[#This Row],[Product ID]],Product[#All],2,0)</f>
        <v>American TouristerLaptopBag</v>
      </c>
      <c r="G4341" s="159">
        <v>7</v>
      </c>
      <c r="H4341" s="160">
        <f>VLOOKUP(Sales[[#This Row],[Product ID]],Product[#All],7,0)</f>
        <v>5180</v>
      </c>
      <c r="I4341" s="160">
        <f>Sales[[#This Row],[Selling Rate]]*Sales[[#This Row],[Qty]]</f>
        <v>36260</v>
      </c>
      <c r="J4341" s="43">
        <v>0.05</v>
      </c>
      <c r="K4341" s="44">
        <f>Sales[[#This Row],[Gross Amount]]*Sales[[#This Row],[Disc %]]</f>
        <v>1813</v>
      </c>
      <c r="L4341" s="43">
        <v>0.18</v>
      </c>
      <c r="M4341" s="44">
        <f>(Sales[[#This Row],[Gross Amount]]-Sales[[#This Row],[Disc. Amt.]])*Sales[[#This Row],[GST %]]</f>
        <v>6200.46</v>
      </c>
      <c r="N4341" s="161">
        <f>Sales[[#This Row],[Gross Amount]]-Sales[[#This Row],[Disc. Amt.]]+Sales[[#This Row],[GST Amount]]</f>
        <v>40647.46</v>
      </c>
      <c r="O4341" s="158" t="s">
        <v>3561</v>
      </c>
      <c r="P4341" s="158" t="s">
        <v>3562</v>
      </c>
      <c r="Q4341" s="160">
        <f>IF(Sales[[#This Row],[Status]]="Cancelled",0,Sales[[#This Row],[Qty]])</f>
        <v>7</v>
      </c>
      <c r="R4341" s="161">
        <f>IF(Sales[[#This Row],[Status]]="Cancelled",0,Sales[[#This Row],[Total Amount]])</f>
        <v>40647.46</v>
      </c>
      <c r="S4341" s="162">
        <f>SUM(Sales[Net Amount])</f>
        <v>406839287.73200053</v>
      </c>
    </row>
    <row r="4342" spans="1:19" ht="18.75" x14ac:dyDescent="0.25">
      <c r="A4342" s="163" t="s">
        <v>8022</v>
      </c>
      <c r="B4342" s="164">
        <v>45991</v>
      </c>
      <c r="C4342" s="34" t="s">
        <v>7085</v>
      </c>
      <c r="D4342" s="53" t="str">
        <f>VLOOKUP(Sales[[#This Row],[Customer ID]],Customer[#All],2,0)</f>
        <v>Sahil Singh</v>
      </c>
      <c r="E4342" s="34" t="s">
        <v>335</v>
      </c>
      <c r="F4342" s="34" t="str">
        <f>VLOOKUP(Sales[[#This Row],[Product ID]],Product[#All],2,0)</f>
        <v>Corsair Ram</v>
      </c>
      <c r="G4342" s="53">
        <v>5</v>
      </c>
      <c r="H4342" s="165">
        <f>VLOOKUP(Sales[[#This Row],[Product ID]],Product[#All],7,0)</f>
        <v>4450</v>
      </c>
      <c r="I4342" s="165">
        <f>Sales[[#This Row],[Selling Rate]]*Sales[[#This Row],[Qty]]</f>
        <v>22250</v>
      </c>
      <c r="J4342" s="45">
        <v>0</v>
      </c>
      <c r="K4342" s="46">
        <f>Sales[[#This Row],[Gross Amount]]*Sales[[#This Row],[Disc %]]</f>
        <v>0</v>
      </c>
      <c r="L4342" s="43">
        <v>0.18</v>
      </c>
      <c r="M4342" s="46">
        <f>(Sales[[#This Row],[Gross Amount]]-Sales[[#This Row],[Disc. Amt.]])*Sales[[#This Row],[GST %]]</f>
        <v>4005</v>
      </c>
      <c r="N4342" s="161">
        <f>Sales[[#This Row],[Gross Amount]]-Sales[[#This Row],[Disc. Amt.]]+Sales[[#This Row],[GST Amount]]</f>
        <v>26255</v>
      </c>
      <c r="O4342" s="34" t="s">
        <v>8876</v>
      </c>
      <c r="P4342" s="34" t="s">
        <v>3562</v>
      </c>
      <c r="Q4342" s="165">
        <f>IF(Sales[[#This Row],[Status]]="Cancelled",0,Sales[[#This Row],[Qty]])</f>
        <v>5</v>
      </c>
      <c r="R4342" s="166">
        <f>IF(Sales[[#This Row],[Status]]="Cancelled",0,Sales[[#This Row],[Total Amount]])</f>
        <v>26255</v>
      </c>
      <c r="S4342" s="162">
        <f>SUM(Sales[Net Amount])</f>
        <v>406839287.73200053</v>
      </c>
    </row>
    <row r="4343" spans="1:19" ht="18.75" x14ac:dyDescent="0.25">
      <c r="A4343" s="156" t="s">
        <v>8023</v>
      </c>
      <c r="B4343" s="157">
        <v>45991</v>
      </c>
      <c r="C4343" s="158" t="s">
        <v>713</v>
      </c>
      <c r="D4343" s="159" t="str">
        <f>VLOOKUP(Sales[[#This Row],[Customer ID]],Customer[#All],2,0)</f>
        <v>Amit Gupta</v>
      </c>
      <c r="E4343" s="158" t="s">
        <v>437</v>
      </c>
      <c r="F4343" s="158" t="str">
        <f>VLOOKUP(Sales[[#This Row],[Product ID]],Product[#All],2,0)</f>
        <v>Boat Headset</v>
      </c>
      <c r="G4343" s="159">
        <v>5</v>
      </c>
      <c r="H4343" s="160">
        <f>VLOOKUP(Sales[[#This Row],[Product ID]],Product[#All],7,0)</f>
        <v>3260</v>
      </c>
      <c r="I4343" s="160">
        <f>Sales[[#This Row],[Selling Rate]]*Sales[[#This Row],[Qty]]</f>
        <v>16300</v>
      </c>
      <c r="J4343" s="43">
        <v>0.05</v>
      </c>
      <c r="K4343" s="44">
        <f>Sales[[#This Row],[Gross Amount]]*Sales[[#This Row],[Disc %]]</f>
        <v>815</v>
      </c>
      <c r="L4343" s="43">
        <v>0.18</v>
      </c>
      <c r="M4343" s="44">
        <f>(Sales[[#This Row],[Gross Amount]]-Sales[[#This Row],[Disc. Amt.]])*Sales[[#This Row],[GST %]]</f>
        <v>2787.2999999999997</v>
      </c>
      <c r="N4343" s="161">
        <f>Sales[[#This Row],[Gross Amount]]-Sales[[#This Row],[Disc. Amt.]]+Sales[[#This Row],[GST Amount]]</f>
        <v>18272.3</v>
      </c>
      <c r="O4343" s="158" t="s">
        <v>8876</v>
      </c>
      <c r="P4343" s="158" t="s">
        <v>3562</v>
      </c>
      <c r="Q4343" s="160">
        <f>IF(Sales[[#This Row],[Status]]="Cancelled",0,Sales[[#This Row],[Qty]])</f>
        <v>5</v>
      </c>
      <c r="R4343" s="161">
        <f>IF(Sales[[#This Row],[Status]]="Cancelled",0,Sales[[#This Row],[Total Amount]])</f>
        <v>18272.3</v>
      </c>
      <c r="S4343" s="162">
        <f>SUM(Sales[Net Amount])</f>
        <v>406839287.73200053</v>
      </c>
    </row>
    <row r="4344" spans="1:19" ht="18.75" x14ac:dyDescent="0.25">
      <c r="A4344" s="163" t="s">
        <v>8024</v>
      </c>
      <c r="B4344" s="164">
        <v>45991</v>
      </c>
      <c r="C4344" s="34" t="s">
        <v>761</v>
      </c>
      <c r="D4344" s="53" t="str">
        <f>VLOOKUP(Sales[[#This Row],[Customer ID]],Customer[#All],2,0)</f>
        <v>Priya Verma</v>
      </c>
      <c r="E4344" s="34" t="s">
        <v>297</v>
      </c>
      <c r="F4344" s="34" t="str">
        <f>VLOOKUP(Sales[[#This Row],[Product ID]],Product[#All],2,0)</f>
        <v>Dell Desktop</v>
      </c>
      <c r="G4344" s="53">
        <v>1</v>
      </c>
      <c r="H4344" s="165">
        <f>VLOOKUP(Sales[[#This Row],[Product ID]],Product[#All],7,0)</f>
        <v>39300</v>
      </c>
      <c r="I4344" s="165">
        <f>Sales[[#This Row],[Selling Rate]]*Sales[[#This Row],[Qty]]</f>
        <v>39300</v>
      </c>
      <c r="J4344" s="45">
        <v>0.1</v>
      </c>
      <c r="K4344" s="46">
        <f>Sales[[#This Row],[Gross Amount]]*Sales[[#This Row],[Disc %]]</f>
        <v>3930</v>
      </c>
      <c r="L4344" s="43">
        <v>0.18</v>
      </c>
      <c r="M4344" s="46">
        <f>(Sales[[#This Row],[Gross Amount]]-Sales[[#This Row],[Disc. Amt.]])*Sales[[#This Row],[GST %]]</f>
        <v>6366.5999999999995</v>
      </c>
      <c r="N4344" s="161">
        <f>Sales[[#This Row],[Gross Amount]]-Sales[[#This Row],[Disc. Amt.]]+Sales[[#This Row],[GST Amount]]</f>
        <v>41736.6</v>
      </c>
      <c r="O4344" s="34" t="s">
        <v>3566</v>
      </c>
      <c r="P4344" s="34" t="s">
        <v>3562</v>
      </c>
      <c r="Q4344" s="165">
        <f>IF(Sales[[#This Row],[Status]]="Cancelled",0,Sales[[#This Row],[Qty]])</f>
        <v>1</v>
      </c>
      <c r="R4344" s="166">
        <f>IF(Sales[[#This Row],[Status]]="Cancelled",0,Sales[[#This Row],[Total Amount]])</f>
        <v>41736.6</v>
      </c>
      <c r="S4344" s="162">
        <f>SUM(Sales[Net Amount])</f>
        <v>406839287.73200053</v>
      </c>
    </row>
    <row r="4345" spans="1:19" ht="18.75" x14ac:dyDescent="0.25">
      <c r="A4345" s="156" t="s">
        <v>8025</v>
      </c>
      <c r="B4345" s="157">
        <v>45991</v>
      </c>
      <c r="C4345" s="158" t="s">
        <v>780</v>
      </c>
      <c r="D4345" s="159" t="str">
        <f>VLOOKUP(Sales[[#This Row],[Customer ID]],Customer[#All],2,0)</f>
        <v>Sahil Gupta</v>
      </c>
      <c r="E4345" s="158" t="s">
        <v>256</v>
      </c>
      <c r="F4345" s="158" t="str">
        <f>VLOOKUP(Sales[[#This Row],[Product ID]],Product[#All],2,0)</f>
        <v>HP Laptop</v>
      </c>
      <c r="G4345" s="159">
        <v>6</v>
      </c>
      <c r="H4345" s="160">
        <f>VLOOKUP(Sales[[#This Row],[Product ID]],Product[#All],7,0)</f>
        <v>106260</v>
      </c>
      <c r="I4345" s="160">
        <f>Sales[[#This Row],[Selling Rate]]*Sales[[#This Row],[Qty]]</f>
        <v>637560</v>
      </c>
      <c r="J4345" s="43">
        <v>0.05</v>
      </c>
      <c r="K4345" s="44">
        <f>Sales[[#This Row],[Gross Amount]]*Sales[[#This Row],[Disc %]]</f>
        <v>31878</v>
      </c>
      <c r="L4345" s="43">
        <v>0.18</v>
      </c>
      <c r="M4345" s="44">
        <f>(Sales[[#This Row],[Gross Amount]]-Sales[[#This Row],[Disc. Amt.]])*Sales[[#This Row],[GST %]]</f>
        <v>109022.76</v>
      </c>
      <c r="N4345" s="161">
        <f>Sales[[#This Row],[Gross Amount]]-Sales[[#This Row],[Disc. Amt.]]+Sales[[#This Row],[GST Amount]]</f>
        <v>714704.76</v>
      </c>
      <c r="O4345" s="158" t="s">
        <v>3561</v>
      </c>
      <c r="P4345" s="158" t="s">
        <v>3562</v>
      </c>
      <c r="Q4345" s="160">
        <f>IF(Sales[[#This Row],[Status]]="Cancelled",0,Sales[[#This Row],[Qty]])</f>
        <v>6</v>
      </c>
      <c r="R4345" s="161">
        <f>IF(Sales[[#This Row],[Status]]="Cancelled",0,Sales[[#This Row],[Total Amount]])</f>
        <v>714704.76</v>
      </c>
      <c r="S4345" s="162">
        <f>SUM(Sales[Net Amount])</f>
        <v>406839287.73200053</v>
      </c>
    </row>
    <row r="4346" spans="1:19" ht="18.75" x14ac:dyDescent="0.25">
      <c r="A4346" s="163" t="s">
        <v>8026</v>
      </c>
      <c r="B4346" s="164">
        <v>45991</v>
      </c>
      <c r="C4346" s="34" t="s">
        <v>783</v>
      </c>
      <c r="D4346" s="53" t="str">
        <f>VLOOKUP(Sales[[#This Row],[Customer ID]],Customer[#All],2,0)</f>
        <v>Neha Singh</v>
      </c>
      <c r="E4346" s="34" t="s">
        <v>438</v>
      </c>
      <c r="F4346" s="34" t="str">
        <f>VLOOKUP(Sales[[#This Row],[Product ID]],Product[#All],2,0)</f>
        <v>Jbl Headset</v>
      </c>
      <c r="G4346" s="53">
        <v>2</v>
      </c>
      <c r="H4346" s="165">
        <f>VLOOKUP(Sales[[#This Row],[Product ID]],Product[#All],7,0)</f>
        <v>1670</v>
      </c>
      <c r="I4346" s="165">
        <f>Sales[[#This Row],[Selling Rate]]*Sales[[#This Row],[Qty]]</f>
        <v>3340</v>
      </c>
      <c r="J4346" s="45">
        <v>0.12</v>
      </c>
      <c r="K4346" s="46">
        <f>Sales[[#This Row],[Gross Amount]]*Sales[[#This Row],[Disc %]]</f>
        <v>400.8</v>
      </c>
      <c r="L4346" s="43">
        <v>0.18</v>
      </c>
      <c r="M4346" s="46">
        <f>(Sales[[#This Row],[Gross Amount]]-Sales[[#This Row],[Disc. Amt.]])*Sales[[#This Row],[GST %]]</f>
        <v>529.05599999999993</v>
      </c>
      <c r="N4346" s="161">
        <f>Sales[[#This Row],[Gross Amount]]-Sales[[#This Row],[Disc. Amt.]]+Sales[[#This Row],[GST Amount]]</f>
        <v>3468.2559999999999</v>
      </c>
      <c r="O4346" s="34" t="s">
        <v>3566</v>
      </c>
      <c r="P4346" s="34" t="s">
        <v>3562</v>
      </c>
      <c r="Q4346" s="165">
        <f>IF(Sales[[#This Row],[Status]]="Cancelled",0,Sales[[#This Row],[Qty]])</f>
        <v>2</v>
      </c>
      <c r="R4346" s="166">
        <f>IF(Sales[[#This Row],[Status]]="Cancelled",0,Sales[[#This Row],[Total Amount]])</f>
        <v>3468.2559999999999</v>
      </c>
      <c r="S4346" s="162">
        <f>SUM(Sales[Net Amount])</f>
        <v>406839287.73200053</v>
      </c>
    </row>
    <row r="4347" spans="1:19" ht="18.75" x14ac:dyDescent="0.25">
      <c r="A4347" s="156" t="s">
        <v>8027</v>
      </c>
      <c r="B4347" s="157">
        <v>45991</v>
      </c>
      <c r="C4347" s="158" t="s">
        <v>676</v>
      </c>
      <c r="D4347" s="159" t="str">
        <f>VLOOKUP(Sales[[#This Row],[Customer ID]],Customer[#All],2,0)</f>
        <v>Neha Singh</v>
      </c>
      <c r="E4347" s="158" t="s">
        <v>18</v>
      </c>
      <c r="F4347" s="158" t="str">
        <f>VLOOKUP(Sales[[#This Row],[Product ID]],Product[#All],2,0)</f>
        <v>TP-link Bluetooth Adapter</v>
      </c>
      <c r="G4347" s="159">
        <v>5</v>
      </c>
      <c r="H4347" s="160">
        <f>VLOOKUP(Sales[[#This Row],[Product ID]],Product[#All],7,0)</f>
        <v>870</v>
      </c>
      <c r="I4347" s="160">
        <f>Sales[[#This Row],[Selling Rate]]*Sales[[#This Row],[Qty]]</f>
        <v>4350</v>
      </c>
      <c r="J4347" s="43">
        <v>0</v>
      </c>
      <c r="K4347" s="44">
        <f>Sales[[#This Row],[Gross Amount]]*Sales[[#This Row],[Disc %]]</f>
        <v>0</v>
      </c>
      <c r="L4347" s="43">
        <v>0.18</v>
      </c>
      <c r="M4347" s="44">
        <f>(Sales[[#This Row],[Gross Amount]]-Sales[[#This Row],[Disc. Amt.]])*Sales[[#This Row],[GST %]]</f>
        <v>783</v>
      </c>
      <c r="N4347" s="161">
        <f>Sales[[#This Row],[Gross Amount]]-Sales[[#This Row],[Disc. Amt.]]+Sales[[#This Row],[GST Amount]]</f>
        <v>5133</v>
      </c>
      <c r="O4347" s="158" t="s">
        <v>8876</v>
      </c>
      <c r="P4347" s="158" t="s">
        <v>3562</v>
      </c>
      <c r="Q4347" s="160">
        <f>IF(Sales[[#This Row],[Status]]="Cancelled",0,Sales[[#This Row],[Qty]])</f>
        <v>5</v>
      </c>
      <c r="R4347" s="161">
        <f>IF(Sales[[#This Row],[Status]]="Cancelled",0,Sales[[#This Row],[Total Amount]])</f>
        <v>5133</v>
      </c>
      <c r="S4347" s="162">
        <f>SUM(Sales[Net Amount])</f>
        <v>406839287.73200053</v>
      </c>
    </row>
    <row r="4348" spans="1:19" ht="18.75" x14ac:dyDescent="0.25">
      <c r="A4348" s="163" t="s">
        <v>8028</v>
      </c>
      <c r="B4348" s="164">
        <v>45991</v>
      </c>
      <c r="C4348" s="34" t="s">
        <v>791</v>
      </c>
      <c r="D4348" s="53" t="str">
        <f>VLOOKUP(Sales[[#This Row],[Customer ID]],Customer[#All],2,0)</f>
        <v>Rakesh Sharma</v>
      </c>
      <c r="E4348" s="34" t="s">
        <v>401</v>
      </c>
      <c r="F4348" s="34" t="str">
        <f>VLOOKUP(Sales[[#This Row],[Product ID]],Product[#All],2,0)</f>
        <v>Amazon Basics Hdmi Cable</v>
      </c>
      <c r="G4348" s="53">
        <v>2</v>
      </c>
      <c r="H4348" s="165">
        <f>VLOOKUP(Sales[[#This Row],[Product ID]],Product[#All],7,0)</f>
        <v>670</v>
      </c>
      <c r="I4348" s="165">
        <f>Sales[[#This Row],[Selling Rate]]*Sales[[#This Row],[Qty]]</f>
        <v>1340</v>
      </c>
      <c r="J4348" s="45">
        <v>0.15</v>
      </c>
      <c r="K4348" s="46">
        <f>Sales[[#This Row],[Gross Amount]]*Sales[[#This Row],[Disc %]]</f>
        <v>201</v>
      </c>
      <c r="L4348" s="43">
        <v>0.18</v>
      </c>
      <c r="M4348" s="46">
        <f>(Sales[[#This Row],[Gross Amount]]-Sales[[#This Row],[Disc. Amt.]])*Sales[[#This Row],[GST %]]</f>
        <v>205.01999999999998</v>
      </c>
      <c r="N4348" s="161">
        <f>Sales[[#This Row],[Gross Amount]]-Sales[[#This Row],[Disc. Amt.]]+Sales[[#This Row],[GST Amount]]</f>
        <v>1344.02</v>
      </c>
      <c r="O4348" s="34" t="s">
        <v>3566</v>
      </c>
      <c r="P4348" s="34" t="s">
        <v>3562</v>
      </c>
      <c r="Q4348" s="165">
        <f>IF(Sales[[#This Row],[Status]]="Cancelled",0,Sales[[#This Row],[Qty]])</f>
        <v>2</v>
      </c>
      <c r="R4348" s="166">
        <f>IF(Sales[[#This Row],[Status]]="Cancelled",0,Sales[[#This Row],[Total Amount]])</f>
        <v>1344.02</v>
      </c>
      <c r="S4348" s="162">
        <f>SUM(Sales[Net Amount])</f>
        <v>406839287.73200053</v>
      </c>
    </row>
    <row r="4349" spans="1:19" ht="18.75" x14ac:dyDescent="0.25">
      <c r="A4349" s="156" t="s">
        <v>8029</v>
      </c>
      <c r="B4349" s="157">
        <v>45991</v>
      </c>
      <c r="C4349" s="158" t="s">
        <v>848</v>
      </c>
      <c r="D4349" s="159" t="str">
        <f>VLOOKUP(Sales[[#This Row],[Customer ID]],Customer[#All],2,0)</f>
        <v>Rakesh Patel</v>
      </c>
      <c r="E4349" s="158" t="s">
        <v>194</v>
      </c>
      <c r="F4349" s="158" t="str">
        <f>VLOOKUP(Sales[[#This Row],[Product ID]],Product[#All],2,0)</f>
        <v>Crucial Ssd</v>
      </c>
      <c r="G4349" s="159">
        <v>4</v>
      </c>
      <c r="H4349" s="160">
        <f>VLOOKUP(Sales[[#This Row],[Product ID]],Product[#All],7,0)</f>
        <v>6290</v>
      </c>
      <c r="I4349" s="160">
        <f>Sales[[#This Row],[Selling Rate]]*Sales[[#This Row],[Qty]]</f>
        <v>25160</v>
      </c>
      <c r="J4349" s="43">
        <v>0.05</v>
      </c>
      <c r="K4349" s="44">
        <f>Sales[[#This Row],[Gross Amount]]*Sales[[#This Row],[Disc %]]</f>
        <v>1258</v>
      </c>
      <c r="L4349" s="43">
        <v>0.18</v>
      </c>
      <c r="M4349" s="44">
        <f>(Sales[[#This Row],[Gross Amount]]-Sales[[#This Row],[Disc. Amt.]])*Sales[[#This Row],[GST %]]</f>
        <v>4302.3599999999997</v>
      </c>
      <c r="N4349" s="161">
        <f>Sales[[#This Row],[Gross Amount]]-Sales[[#This Row],[Disc. Amt.]]+Sales[[#This Row],[GST Amount]]</f>
        <v>28204.36</v>
      </c>
      <c r="O4349" s="158" t="s">
        <v>3561</v>
      </c>
      <c r="P4349" s="158" t="s">
        <v>3562</v>
      </c>
      <c r="Q4349" s="160">
        <f>IF(Sales[[#This Row],[Status]]="Cancelled",0,Sales[[#This Row],[Qty]])</f>
        <v>4</v>
      </c>
      <c r="R4349" s="161">
        <f>IF(Sales[[#This Row],[Status]]="Cancelled",0,Sales[[#This Row],[Total Amount]])</f>
        <v>28204.36</v>
      </c>
      <c r="S4349" s="162">
        <f>SUM(Sales[Net Amount])</f>
        <v>406839287.73200053</v>
      </c>
    </row>
    <row r="4350" spans="1:19" ht="18.75" x14ac:dyDescent="0.25">
      <c r="A4350" s="163" t="s">
        <v>8030</v>
      </c>
      <c r="B4350" s="164">
        <v>45991</v>
      </c>
      <c r="C4350" s="34" t="s">
        <v>825</v>
      </c>
      <c r="D4350" s="53" t="str">
        <f>VLOOKUP(Sales[[#This Row],[Customer ID]],Customer[#All],2,0)</f>
        <v>Rahul Kumar</v>
      </c>
      <c r="E4350" s="34" t="s">
        <v>231</v>
      </c>
      <c r="F4350" s="34" t="str">
        <f>VLOOKUP(Sales[[#This Row],[Product ID]],Product[#All],2,0)</f>
        <v>TP-link Wi-Fi Adapter</v>
      </c>
      <c r="G4350" s="53">
        <v>8</v>
      </c>
      <c r="H4350" s="165">
        <f>VLOOKUP(Sales[[#This Row],[Product ID]],Product[#All],7,0)</f>
        <v>2200</v>
      </c>
      <c r="I4350" s="165">
        <f>Sales[[#This Row],[Selling Rate]]*Sales[[#This Row],[Qty]]</f>
        <v>17600</v>
      </c>
      <c r="J4350" s="45">
        <v>0.12</v>
      </c>
      <c r="K4350" s="46">
        <f>Sales[[#This Row],[Gross Amount]]*Sales[[#This Row],[Disc %]]</f>
        <v>2112</v>
      </c>
      <c r="L4350" s="43">
        <v>0.18</v>
      </c>
      <c r="M4350" s="46">
        <f>(Sales[[#This Row],[Gross Amount]]-Sales[[#This Row],[Disc. Amt.]])*Sales[[#This Row],[GST %]]</f>
        <v>2787.8399999999997</v>
      </c>
      <c r="N4350" s="161">
        <f>Sales[[#This Row],[Gross Amount]]-Sales[[#This Row],[Disc. Amt.]]+Sales[[#This Row],[GST Amount]]</f>
        <v>18275.84</v>
      </c>
      <c r="O4350" s="34" t="s">
        <v>3561</v>
      </c>
      <c r="P4350" s="34" t="s">
        <v>3562</v>
      </c>
      <c r="Q4350" s="165">
        <f>IF(Sales[[#This Row],[Status]]="Cancelled",0,Sales[[#This Row],[Qty]])</f>
        <v>8</v>
      </c>
      <c r="R4350" s="166">
        <f>IF(Sales[[#This Row],[Status]]="Cancelled",0,Sales[[#This Row],[Total Amount]])</f>
        <v>18275.84</v>
      </c>
      <c r="S4350" s="162">
        <f>SUM(Sales[Net Amount])</f>
        <v>406839287.73200053</v>
      </c>
    </row>
    <row r="4351" spans="1:19" ht="18.75" x14ac:dyDescent="0.25">
      <c r="A4351" s="156" t="s">
        <v>8031</v>
      </c>
      <c r="B4351" s="157">
        <v>45991</v>
      </c>
      <c r="C4351" s="158" t="s">
        <v>876</v>
      </c>
      <c r="D4351" s="159" t="str">
        <f>VLOOKUP(Sales[[#This Row],[Customer ID]],Customer[#All],2,0)</f>
        <v>Sahil Verma</v>
      </c>
      <c r="E4351" s="158" t="s">
        <v>23</v>
      </c>
      <c r="F4351" s="158" t="str">
        <f>VLOOKUP(Sales[[#This Row],[Product ID]],Product[#All],2,0)</f>
        <v>Kingston Ram</v>
      </c>
      <c r="G4351" s="159">
        <v>4</v>
      </c>
      <c r="H4351" s="160">
        <f>VLOOKUP(Sales[[#This Row],[Product ID]],Product[#All],7,0)</f>
        <v>6040</v>
      </c>
      <c r="I4351" s="160">
        <f>Sales[[#This Row],[Selling Rate]]*Sales[[#This Row],[Qty]]</f>
        <v>24160</v>
      </c>
      <c r="J4351" s="43">
        <v>0.12</v>
      </c>
      <c r="K4351" s="44">
        <f>Sales[[#This Row],[Gross Amount]]*Sales[[#This Row],[Disc %]]</f>
        <v>2899.2</v>
      </c>
      <c r="L4351" s="43">
        <v>0.18</v>
      </c>
      <c r="M4351" s="44">
        <f>(Sales[[#This Row],[Gross Amount]]-Sales[[#This Row],[Disc. Amt.]])*Sales[[#This Row],[GST %]]</f>
        <v>3826.9439999999995</v>
      </c>
      <c r="N4351" s="161">
        <f>Sales[[#This Row],[Gross Amount]]-Sales[[#This Row],[Disc. Amt.]]+Sales[[#This Row],[GST Amount]]</f>
        <v>25087.743999999999</v>
      </c>
      <c r="O4351" s="158" t="s">
        <v>3566</v>
      </c>
      <c r="P4351" s="158" t="s">
        <v>3562</v>
      </c>
      <c r="Q4351" s="160">
        <f>IF(Sales[[#This Row],[Status]]="Cancelled",0,Sales[[#This Row],[Qty]])</f>
        <v>4</v>
      </c>
      <c r="R4351" s="161">
        <f>IF(Sales[[#This Row],[Status]]="Cancelled",0,Sales[[#This Row],[Total Amount]])</f>
        <v>25087.743999999999</v>
      </c>
      <c r="S4351" s="162">
        <f>SUM(Sales[Net Amount])</f>
        <v>406839287.73200053</v>
      </c>
    </row>
    <row r="4352" spans="1:19" ht="18.75" x14ac:dyDescent="0.25">
      <c r="A4352" s="163" t="s">
        <v>8032</v>
      </c>
      <c r="B4352" s="164">
        <v>45991</v>
      </c>
      <c r="C4352" s="34" t="s">
        <v>710</v>
      </c>
      <c r="D4352" s="53" t="str">
        <f>VLOOKUP(Sales[[#This Row],[Customer ID]],Customer[#All],2,0)</f>
        <v>Sunita Patel</v>
      </c>
      <c r="E4352" s="34" t="s">
        <v>279</v>
      </c>
      <c r="F4352" s="34" t="str">
        <f>VLOOKUP(Sales[[#This Row],[Product ID]],Product[#All],2,0)</f>
        <v>HP Printer</v>
      </c>
      <c r="G4352" s="53">
        <v>1</v>
      </c>
      <c r="H4352" s="165">
        <f>VLOOKUP(Sales[[#This Row],[Product ID]],Product[#All],7,0)</f>
        <v>25880</v>
      </c>
      <c r="I4352" s="165">
        <f>Sales[[#This Row],[Selling Rate]]*Sales[[#This Row],[Qty]]</f>
        <v>25880</v>
      </c>
      <c r="J4352" s="45">
        <v>0.1</v>
      </c>
      <c r="K4352" s="46">
        <f>Sales[[#This Row],[Gross Amount]]*Sales[[#This Row],[Disc %]]</f>
        <v>2588</v>
      </c>
      <c r="L4352" s="43">
        <v>0.18</v>
      </c>
      <c r="M4352" s="46">
        <f>(Sales[[#This Row],[Gross Amount]]-Sales[[#This Row],[Disc. Amt.]])*Sales[[#This Row],[GST %]]</f>
        <v>4192.5599999999995</v>
      </c>
      <c r="N4352" s="161">
        <f>Sales[[#This Row],[Gross Amount]]-Sales[[#This Row],[Disc. Amt.]]+Sales[[#This Row],[GST Amount]]</f>
        <v>27484.559999999998</v>
      </c>
      <c r="O4352" s="34" t="s">
        <v>8876</v>
      </c>
      <c r="P4352" s="34" t="s">
        <v>3562</v>
      </c>
      <c r="Q4352" s="165">
        <f>IF(Sales[[#This Row],[Status]]="Cancelled",0,Sales[[#This Row],[Qty]])</f>
        <v>1</v>
      </c>
      <c r="R4352" s="166">
        <f>IF(Sales[[#This Row],[Status]]="Cancelled",0,Sales[[#This Row],[Total Amount]])</f>
        <v>27484.559999999998</v>
      </c>
      <c r="S4352" s="162">
        <f>SUM(Sales[Net Amount])</f>
        <v>406839287.73200053</v>
      </c>
    </row>
    <row r="4353" spans="1:19" ht="18.75" x14ac:dyDescent="0.25">
      <c r="A4353" s="156" t="s">
        <v>8033</v>
      </c>
      <c r="B4353" s="157">
        <v>45992</v>
      </c>
      <c r="C4353" s="158" t="s">
        <v>744</v>
      </c>
      <c r="D4353" s="159" t="str">
        <f>VLOOKUP(Sales[[#This Row],[Customer ID]],Customer[#All],2,0)</f>
        <v>Rakesh Patel</v>
      </c>
      <c r="E4353" s="158" t="s">
        <v>277</v>
      </c>
      <c r="F4353" s="158" t="str">
        <f>VLOOKUP(Sales[[#This Row],[Product ID]],Product[#All],2,0)</f>
        <v>D-Link Router</v>
      </c>
      <c r="G4353" s="159">
        <v>8</v>
      </c>
      <c r="H4353" s="160">
        <f>VLOOKUP(Sales[[#This Row],[Product ID]],Product[#All],7,0)</f>
        <v>4630</v>
      </c>
      <c r="I4353" s="160">
        <f>Sales[[#This Row],[Selling Rate]]*Sales[[#This Row],[Qty]]</f>
        <v>37040</v>
      </c>
      <c r="J4353" s="43">
        <v>0.02</v>
      </c>
      <c r="K4353" s="44">
        <f>Sales[[#This Row],[Gross Amount]]*Sales[[#This Row],[Disc %]]</f>
        <v>740.80000000000007</v>
      </c>
      <c r="L4353" s="43">
        <v>0.18</v>
      </c>
      <c r="M4353" s="44">
        <f>(Sales[[#This Row],[Gross Amount]]-Sales[[#This Row],[Disc. Amt.]])*Sales[[#This Row],[GST %]]</f>
        <v>6533.8559999999989</v>
      </c>
      <c r="N4353" s="161">
        <f>Sales[[#This Row],[Gross Amount]]-Sales[[#This Row],[Disc. Amt.]]+Sales[[#This Row],[GST Amount]]</f>
        <v>42833.055999999997</v>
      </c>
      <c r="O4353" s="158" t="s">
        <v>3569</v>
      </c>
      <c r="P4353" s="158" t="s">
        <v>3562</v>
      </c>
      <c r="Q4353" s="160">
        <f>IF(Sales[[#This Row],[Status]]="Cancelled",0,Sales[[#This Row],[Qty]])</f>
        <v>8</v>
      </c>
      <c r="R4353" s="161">
        <f>IF(Sales[[#This Row],[Status]]="Cancelled",0,Sales[[#This Row],[Total Amount]])</f>
        <v>42833.055999999997</v>
      </c>
      <c r="S4353" s="162">
        <f>SUM(Sales[Net Amount])</f>
        <v>406839287.73200053</v>
      </c>
    </row>
    <row r="4354" spans="1:19" ht="18.75" x14ac:dyDescent="0.25">
      <c r="A4354" s="163" t="s">
        <v>8034</v>
      </c>
      <c r="B4354" s="164">
        <v>45992</v>
      </c>
      <c r="C4354" s="34" t="s">
        <v>859</v>
      </c>
      <c r="D4354" s="53" t="str">
        <f>VLOOKUP(Sales[[#This Row],[Customer ID]],Customer[#All],2,0)</f>
        <v>Rakesh Kumar</v>
      </c>
      <c r="E4354" s="34" t="s">
        <v>40</v>
      </c>
      <c r="F4354" s="34" t="str">
        <f>VLOOKUP(Sales[[#This Row],[Product ID]],Product[#All],2,0)</f>
        <v>Boat Headset</v>
      </c>
      <c r="G4354" s="53">
        <v>4</v>
      </c>
      <c r="H4354" s="165">
        <f>VLOOKUP(Sales[[#This Row],[Product ID]],Product[#All],7,0)</f>
        <v>3470</v>
      </c>
      <c r="I4354" s="165">
        <f>Sales[[#This Row],[Selling Rate]]*Sales[[#This Row],[Qty]]</f>
        <v>13880</v>
      </c>
      <c r="J4354" s="45">
        <v>0</v>
      </c>
      <c r="K4354" s="46">
        <f>Sales[[#This Row],[Gross Amount]]*Sales[[#This Row],[Disc %]]</f>
        <v>0</v>
      </c>
      <c r="L4354" s="43">
        <v>0.18</v>
      </c>
      <c r="M4354" s="46">
        <f>(Sales[[#This Row],[Gross Amount]]-Sales[[#This Row],[Disc. Amt.]])*Sales[[#This Row],[GST %]]</f>
        <v>2498.4</v>
      </c>
      <c r="N4354" s="161">
        <f>Sales[[#This Row],[Gross Amount]]-Sales[[#This Row],[Disc. Amt.]]+Sales[[#This Row],[GST Amount]]</f>
        <v>16378.4</v>
      </c>
      <c r="O4354" s="34" t="s">
        <v>3569</v>
      </c>
      <c r="P4354" s="34" t="s">
        <v>3562</v>
      </c>
      <c r="Q4354" s="165">
        <f>IF(Sales[[#This Row],[Status]]="Cancelled",0,Sales[[#This Row],[Qty]])</f>
        <v>4</v>
      </c>
      <c r="R4354" s="166">
        <f>IF(Sales[[#This Row],[Status]]="Cancelled",0,Sales[[#This Row],[Total Amount]])</f>
        <v>16378.4</v>
      </c>
      <c r="S4354" s="162">
        <f>SUM(Sales[Net Amount])</f>
        <v>406839287.73200053</v>
      </c>
    </row>
    <row r="4355" spans="1:19" ht="18.75" x14ac:dyDescent="0.25">
      <c r="A4355" s="156" t="s">
        <v>8035</v>
      </c>
      <c r="B4355" s="157">
        <v>45992</v>
      </c>
      <c r="C4355" s="158" t="s">
        <v>917</v>
      </c>
      <c r="D4355" s="159" t="str">
        <f>VLOOKUP(Sales[[#This Row],[Customer ID]],Customer[#All],2,0)</f>
        <v>Sahil Gupta</v>
      </c>
      <c r="E4355" s="158" t="s">
        <v>261</v>
      </c>
      <c r="F4355" s="158" t="str">
        <f>VLOOKUP(Sales[[#This Row],[Product ID]],Product[#All],2,0)</f>
        <v>American TouristerLaptopBag</v>
      </c>
      <c r="G4355" s="159">
        <v>5</v>
      </c>
      <c r="H4355" s="160">
        <f>VLOOKUP(Sales[[#This Row],[Product ID]],Product[#All],7,0)</f>
        <v>1320</v>
      </c>
      <c r="I4355" s="160">
        <f>Sales[[#This Row],[Selling Rate]]*Sales[[#This Row],[Qty]]</f>
        <v>6600</v>
      </c>
      <c r="J4355" s="43">
        <v>0.12</v>
      </c>
      <c r="K4355" s="44">
        <f>Sales[[#This Row],[Gross Amount]]*Sales[[#This Row],[Disc %]]</f>
        <v>792</v>
      </c>
      <c r="L4355" s="43">
        <v>0.18</v>
      </c>
      <c r="M4355" s="44">
        <f>(Sales[[#This Row],[Gross Amount]]-Sales[[#This Row],[Disc. Amt.]])*Sales[[#This Row],[GST %]]</f>
        <v>1045.44</v>
      </c>
      <c r="N4355" s="161">
        <f>Sales[[#This Row],[Gross Amount]]-Sales[[#This Row],[Disc. Amt.]]+Sales[[#This Row],[GST Amount]]</f>
        <v>6853.4400000000005</v>
      </c>
      <c r="O4355" s="158" t="s">
        <v>3561</v>
      </c>
      <c r="P4355" s="158" t="s">
        <v>3562</v>
      </c>
      <c r="Q4355" s="160">
        <f>IF(Sales[[#This Row],[Status]]="Cancelled",0,Sales[[#This Row],[Qty]])</f>
        <v>5</v>
      </c>
      <c r="R4355" s="161">
        <f>IF(Sales[[#This Row],[Status]]="Cancelled",0,Sales[[#This Row],[Total Amount]])</f>
        <v>6853.4400000000005</v>
      </c>
      <c r="S4355" s="162">
        <f>SUM(Sales[Net Amount])</f>
        <v>406839287.73200053</v>
      </c>
    </row>
    <row r="4356" spans="1:19" ht="18.75" x14ac:dyDescent="0.25">
      <c r="A4356" s="163" t="s">
        <v>8036</v>
      </c>
      <c r="B4356" s="164">
        <v>45992</v>
      </c>
      <c r="C4356" s="34" t="s">
        <v>692</v>
      </c>
      <c r="D4356" s="53" t="str">
        <f>VLOOKUP(Sales[[#This Row],[Customer ID]],Customer[#All],2,0)</f>
        <v>Rahul Patel</v>
      </c>
      <c r="E4356" s="34" t="s">
        <v>121</v>
      </c>
      <c r="F4356" s="34" t="str">
        <f>VLOOKUP(Sales[[#This Row],[Product ID]],Product[#All],2,0)</f>
        <v>Logitech Mouse</v>
      </c>
      <c r="G4356" s="53">
        <v>4</v>
      </c>
      <c r="H4356" s="165">
        <f>VLOOKUP(Sales[[#This Row],[Product ID]],Product[#All],7,0)</f>
        <v>2310</v>
      </c>
      <c r="I4356" s="165">
        <f>Sales[[#This Row],[Selling Rate]]*Sales[[#This Row],[Qty]]</f>
        <v>9240</v>
      </c>
      <c r="J4356" s="45">
        <v>0.15</v>
      </c>
      <c r="K4356" s="46">
        <f>Sales[[#This Row],[Gross Amount]]*Sales[[#This Row],[Disc %]]</f>
        <v>1386</v>
      </c>
      <c r="L4356" s="43">
        <v>0.18</v>
      </c>
      <c r="M4356" s="46">
        <f>(Sales[[#This Row],[Gross Amount]]-Sales[[#This Row],[Disc. Amt.]])*Sales[[#This Row],[GST %]]</f>
        <v>1413.72</v>
      </c>
      <c r="N4356" s="161">
        <f>Sales[[#This Row],[Gross Amount]]-Sales[[#This Row],[Disc. Amt.]]+Sales[[#This Row],[GST Amount]]</f>
        <v>9267.7199999999993</v>
      </c>
      <c r="O4356" s="34" t="s">
        <v>3561</v>
      </c>
      <c r="P4356" s="34" t="s">
        <v>3562</v>
      </c>
      <c r="Q4356" s="165">
        <f>IF(Sales[[#This Row],[Status]]="Cancelled",0,Sales[[#This Row],[Qty]])</f>
        <v>4</v>
      </c>
      <c r="R4356" s="166">
        <f>IF(Sales[[#This Row],[Status]]="Cancelled",0,Sales[[#This Row],[Total Amount]])</f>
        <v>9267.7199999999993</v>
      </c>
      <c r="S4356" s="162">
        <f>SUM(Sales[Net Amount])</f>
        <v>406839287.73200053</v>
      </c>
    </row>
    <row r="4357" spans="1:19" ht="18.75" x14ac:dyDescent="0.25">
      <c r="A4357" s="156" t="s">
        <v>8037</v>
      </c>
      <c r="B4357" s="157">
        <v>45992</v>
      </c>
      <c r="C4357" s="158" t="s">
        <v>781</v>
      </c>
      <c r="D4357" s="159" t="str">
        <f>VLOOKUP(Sales[[#This Row],[Customer ID]],Customer[#All],2,0)</f>
        <v>Vikas Sharma</v>
      </c>
      <c r="E4357" s="158" t="s">
        <v>130</v>
      </c>
      <c r="F4357" s="158" t="str">
        <f>VLOOKUP(Sales[[#This Row],[Product ID]],Product[#All],2,0)</f>
        <v>Lenovo Laptop</v>
      </c>
      <c r="G4357" s="159">
        <v>2</v>
      </c>
      <c r="H4357" s="160">
        <f>VLOOKUP(Sales[[#This Row],[Product ID]],Product[#All],7,0)</f>
        <v>39230</v>
      </c>
      <c r="I4357" s="160">
        <f>Sales[[#This Row],[Selling Rate]]*Sales[[#This Row],[Qty]]</f>
        <v>78460</v>
      </c>
      <c r="J4357" s="43">
        <v>0.12</v>
      </c>
      <c r="K4357" s="44">
        <f>Sales[[#This Row],[Gross Amount]]*Sales[[#This Row],[Disc %]]</f>
        <v>9415.1999999999989</v>
      </c>
      <c r="L4357" s="43">
        <v>0.18</v>
      </c>
      <c r="M4357" s="44">
        <f>(Sales[[#This Row],[Gross Amount]]-Sales[[#This Row],[Disc. Amt.]])*Sales[[#This Row],[GST %]]</f>
        <v>12428.064</v>
      </c>
      <c r="N4357" s="161">
        <f>Sales[[#This Row],[Gross Amount]]-Sales[[#This Row],[Disc. Amt.]]+Sales[[#This Row],[GST Amount]]</f>
        <v>81472.864000000001</v>
      </c>
      <c r="O4357" s="158" t="s">
        <v>3566</v>
      </c>
      <c r="P4357" s="158" t="s">
        <v>3562</v>
      </c>
      <c r="Q4357" s="160">
        <f>IF(Sales[[#This Row],[Status]]="Cancelled",0,Sales[[#This Row],[Qty]])</f>
        <v>2</v>
      </c>
      <c r="R4357" s="161">
        <f>IF(Sales[[#This Row],[Status]]="Cancelled",0,Sales[[#This Row],[Total Amount]])</f>
        <v>81472.864000000001</v>
      </c>
      <c r="S4357" s="162">
        <f>SUM(Sales[Net Amount])</f>
        <v>406839287.73200053</v>
      </c>
    </row>
    <row r="4358" spans="1:19" ht="18.75" x14ac:dyDescent="0.25">
      <c r="A4358" s="163" t="s">
        <v>8038</v>
      </c>
      <c r="B4358" s="164">
        <v>45992</v>
      </c>
      <c r="C4358" s="34" t="s">
        <v>773</v>
      </c>
      <c r="D4358" s="53" t="str">
        <f>VLOOKUP(Sales[[#This Row],[Customer ID]],Customer[#All],2,0)</f>
        <v>Rahul Kumar</v>
      </c>
      <c r="E4358" s="34" t="s">
        <v>189</v>
      </c>
      <c r="F4358" s="34" t="str">
        <f>VLOOKUP(Sales[[#This Row],[Product ID]],Product[#All],2,0)</f>
        <v>Boat Headset</v>
      </c>
      <c r="G4358" s="53">
        <v>4</v>
      </c>
      <c r="H4358" s="165">
        <f>VLOOKUP(Sales[[#This Row],[Product ID]],Product[#All],7,0)</f>
        <v>1610</v>
      </c>
      <c r="I4358" s="165">
        <f>Sales[[#This Row],[Selling Rate]]*Sales[[#This Row],[Qty]]</f>
        <v>6440</v>
      </c>
      <c r="J4358" s="45">
        <v>0.05</v>
      </c>
      <c r="K4358" s="46">
        <f>Sales[[#This Row],[Gross Amount]]*Sales[[#This Row],[Disc %]]</f>
        <v>322</v>
      </c>
      <c r="L4358" s="43">
        <v>0.18</v>
      </c>
      <c r="M4358" s="46">
        <f>(Sales[[#This Row],[Gross Amount]]-Sales[[#This Row],[Disc. Amt.]])*Sales[[#This Row],[GST %]]</f>
        <v>1101.24</v>
      </c>
      <c r="N4358" s="161">
        <f>Sales[[#This Row],[Gross Amount]]-Sales[[#This Row],[Disc. Amt.]]+Sales[[#This Row],[GST Amount]]</f>
        <v>7219.24</v>
      </c>
      <c r="O4358" s="34" t="s">
        <v>3566</v>
      </c>
      <c r="P4358" s="34" t="s">
        <v>3562</v>
      </c>
      <c r="Q4358" s="165">
        <f>IF(Sales[[#This Row],[Status]]="Cancelled",0,Sales[[#This Row],[Qty]])</f>
        <v>4</v>
      </c>
      <c r="R4358" s="166">
        <f>IF(Sales[[#This Row],[Status]]="Cancelled",0,Sales[[#This Row],[Total Amount]])</f>
        <v>7219.24</v>
      </c>
      <c r="S4358" s="162">
        <f>SUM(Sales[Net Amount])</f>
        <v>406839287.73200053</v>
      </c>
    </row>
    <row r="4359" spans="1:19" ht="18.75" x14ac:dyDescent="0.25">
      <c r="A4359" s="156" t="s">
        <v>8039</v>
      </c>
      <c r="B4359" s="157">
        <v>45992</v>
      </c>
      <c r="C4359" s="158" t="s">
        <v>823</v>
      </c>
      <c r="D4359" s="159" t="str">
        <f>VLOOKUP(Sales[[#This Row],[Customer ID]],Customer[#All],2,0)</f>
        <v>Pooja Singh</v>
      </c>
      <c r="E4359" s="158" t="s">
        <v>228</v>
      </c>
      <c r="F4359" s="158" t="str">
        <f>VLOOKUP(Sales[[#This Row],[Product ID]],Product[#All],2,0)</f>
        <v>Samsung Monitor</v>
      </c>
      <c r="G4359" s="159">
        <v>6</v>
      </c>
      <c r="H4359" s="160">
        <f>VLOOKUP(Sales[[#This Row],[Product ID]],Product[#All],7,0)</f>
        <v>29600</v>
      </c>
      <c r="I4359" s="160">
        <f>Sales[[#This Row],[Selling Rate]]*Sales[[#This Row],[Qty]]</f>
        <v>177600</v>
      </c>
      <c r="J4359" s="43">
        <v>0.1</v>
      </c>
      <c r="K4359" s="44">
        <f>Sales[[#This Row],[Gross Amount]]*Sales[[#This Row],[Disc %]]</f>
        <v>17760</v>
      </c>
      <c r="L4359" s="43">
        <v>0.18</v>
      </c>
      <c r="M4359" s="44">
        <f>(Sales[[#This Row],[Gross Amount]]-Sales[[#This Row],[Disc. Amt.]])*Sales[[#This Row],[GST %]]</f>
        <v>28771.200000000001</v>
      </c>
      <c r="N4359" s="161">
        <f>Sales[[#This Row],[Gross Amount]]-Sales[[#This Row],[Disc. Amt.]]+Sales[[#This Row],[GST Amount]]</f>
        <v>188611.20000000001</v>
      </c>
      <c r="O4359" s="158" t="s">
        <v>3566</v>
      </c>
      <c r="P4359" s="158" t="s">
        <v>3562</v>
      </c>
      <c r="Q4359" s="160">
        <f>IF(Sales[[#This Row],[Status]]="Cancelled",0,Sales[[#This Row],[Qty]])</f>
        <v>6</v>
      </c>
      <c r="R4359" s="161">
        <f>IF(Sales[[#This Row],[Status]]="Cancelled",0,Sales[[#This Row],[Total Amount]])</f>
        <v>188611.20000000001</v>
      </c>
      <c r="S4359" s="162">
        <f>SUM(Sales[Net Amount])</f>
        <v>406839287.73200053</v>
      </c>
    </row>
    <row r="4360" spans="1:19" ht="18.75" x14ac:dyDescent="0.25">
      <c r="A4360" s="163" t="s">
        <v>8040</v>
      </c>
      <c r="B4360" s="164">
        <v>45992</v>
      </c>
      <c r="C4360" s="34" t="s">
        <v>891</v>
      </c>
      <c r="D4360" s="53" t="str">
        <f>VLOOKUP(Sales[[#This Row],[Customer ID]],Customer[#All],2,0)</f>
        <v>Pooja Verma</v>
      </c>
      <c r="E4360" s="34" t="s">
        <v>177</v>
      </c>
      <c r="F4360" s="34" t="str">
        <f>VLOOKUP(Sales[[#This Row],[Product ID]],Product[#All],2,0)</f>
        <v>Dell Laptop</v>
      </c>
      <c r="G4360" s="53">
        <v>4</v>
      </c>
      <c r="H4360" s="165">
        <f>VLOOKUP(Sales[[#This Row],[Product ID]],Product[#All],7,0)</f>
        <v>56790</v>
      </c>
      <c r="I4360" s="165">
        <f>Sales[[#This Row],[Selling Rate]]*Sales[[#This Row],[Qty]]</f>
        <v>227160</v>
      </c>
      <c r="J4360" s="45">
        <v>0</v>
      </c>
      <c r="K4360" s="46">
        <f>Sales[[#This Row],[Gross Amount]]*Sales[[#This Row],[Disc %]]</f>
        <v>0</v>
      </c>
      <c r="L4360" s="43">
        <v>0.18</v>
      </c>
      <c r="M4360" s="46">
        <f>(Sales[[#This Row],[Gross Amount]]-Sales[[#This Row],[Disc. Amt.]])*Sales[[#This Row],[GST %]]</f>
        <v>40888.799999999996</v>
      </c>
      <c r="N4360" s="161">
        <f>Sales[[#This Row],[Gross Amount]]-Sales[[#This Row],[Disc. Amt.]]+Sales[[#This Row],[GST Amount]]</f>
        <v>268048.8</v>
      </c>
      <c r="O4360" s="34" t="s">
        <v>3569</v>
      </c>
      <c r="P4360" s="34" t="s">
        <v>3562</v>
      </c>
      <c r="Q4360" s="165">
        <f>IF(Sales[[#This Row],[Status]]="Cancelled",0,Sales[[#This Row],[Qty]])</f>
        <v>4</v>
      </c>
      <c r="R4360" s="166">
        <f>IF(Sales[[#This Row],[Status]]="Cancelled",0,Sales[[#This Row],[Total Amount]])</f>
        <v>268048.8</v>
      </c>
      <c r="S4360" s="162">
        <f>SUM(Sales[Net Amount])</f>
        <v>406839287.73200053</v>
      </c>
    </row>
    <row r="4361" spans="1:19" ht="18.75" x14ac:dyDescent="0.25">
      <c r="A4361" s="156" t="s">
        <v>8041</v>
      </c>
      <c r="B4361" s="157">
        <v>45992</v>
      </c>
      <c r="C4361" s="158" t="s">
        <v>790</v>
      </c>
      <c r="D4361" s="159" t="str">
        <f>VLOOKUP(Sales[[#This Row],[Customer ID]],Customer[#All],2,0)</f>
        <v>Pooja Gupta</v>
      </c>
      <c r="E4361" s="158" t="s">
        <v>160</v>
      </c>
      <c r="F4361" s="158" t="str">
        <f>VLOOKUP(Sales[[#This Row],[Product ID]],Product[#All],2,0)</f>
        <v>Dell Power Adapter</v>
      </c>
      <c r="G4361" s="159">
        <v>3</v>
      </c>
      <c r="H4361" s="160">
        <f>VLOOKUP(Sales[[#This Row],[Product ID]],Product[#All],7,0)</f>
        <v>4330</v>
      </c>
      <c r="I4361" s="160">
        <f>Sales[[#This Row],[Selling Rate]]*Sales[[#This Row],[Qty]]</f>
        <v>12990</v>
      </c>
      <c r="J4361" s="43">
        <v>0</v>
      </c>
      <c r="K4361" s="44">
        <f>Sales[[#This Row],[Gross Amount]]*Sales[[#This Row],[Disc %]]</f>
        <v>0</v>
      </c>
      <c r="L4361" s="43">
        <v>0.18</v>
      </c>
      <c r="M4361" s="44">
        <f>(Sales[[#This Row],[Gross Amount]]-Sales[[#This Row],[Disc. Amt.]])*Sales[[#This Row],[GST %]]</f>
        <v>2338.1999999999998</v>
      </c>
      <c r="N4361" s="161">
        <f>Sales[[#This Row],[Gross Amount]]-Sales[[#This Row],[Disc. Amt.]]+Sales[[#This Row],[GST Amount]]</f>
        <v>15328.2</v>
      </c>
      <c r="O4361" s="158" t="s">
        <v>8876</v>
      </c>
      <c r="P4361" s="158" t="s">
        <v>1040</v>
      </c>
      <c r="Q4361" s="160">
        <f>IF(Sales[[#This Row],[Status]]="Cancelled",0,Sales[[#This Row],[Qty]])</f>
        <v>0</v>
      </c>
      <c r="R4361" s="161">
        <f>IF(Sales[[#This Row],[Status]]="Cancelled",0,Sales[[#This Row],[Total Amount]])</f>
        <v>0</v>
      </c>
      <c r="S4361" s="162">
        <f>SUM(Sales[Net Amount])</f>
        <v>406839287.73200053</v>
      </c>
    </row>
    <row r="4362" spans="1:19" ht="18.75" x14ac:dyDescent="0.25">
      <c r="A4362" s="163" t="s">
        <v>8042</v>
      </c>
      <c r="B4362" s="164">
        <v>45992</v>
      </c>
      <c r="C4362" s="34" t="s">
        <v>779</v>
      </c>
      <c r="D4362" s="53" t="str">
        <f>VLOOKUP(Sales[[#This Row],[Customer ID]],Customer[#All],2,0)</f>
        <v>Rakesh Verma</v>
      </c>
      <c r="E4362" s="34" t="s">
        <v>413</v>
      </c>
      <c r="F4362" s="34" t="str">
        <f>VLOOKUP(Sales[[#This Row],[Product ID]],Product[#All],2,0)</f>
        <v>Crucial Ssd</v>
      </c>
      <c r="G4362" s="53">
        <v>8</v>
      </c>
      <c r="H4362" s="165">
        <f>VLOOKUP(Sales[[#This Row],[Product ID]],Product[#All],7,0)</f>
        <v>10780</v>
      </c>
      <c r="I4362" s="165">
        <f>Sales[[#This Row],[Selling Rate]]*Sales[[#This Row],[Qty]]</f>
        <v>86240</v>
      </c>
      <c r="J4362" s="45">
        <v>0.05</v>
      </c>
      <c r="K4362" s="46">
        <f>Sales[[#This Row],[Gross Amount]]*Sales[[#This Row],[Disc %]]</f>
        <v>4312</v>
      </c>
      <c r="L4362" s="43">
        <v>0.18</v>
      </c>
      <c r="M4362" s="46">
        <f>(Sales[[#This Row],[Gross Amount]]-Sales[[#This Row],[Disc. Amt.]])*Sales[[#This Row],[GST %]]</f>
        <v>14747.039999999999</v>
      </c>
      <c r="N4362" s="161">
        <f>Sales[[#This Row],[Gross Amount]]-Sales[[#This Row],[Disc. Amt.]]+Sales[[#This Row],[GST Amount]]</f>
        <v>96675.04</v>
      </c>
      <c r="O4362" s="34" t="s">
        <v>3569</v>
      </c>
      <c r="P4362" s="34" t="s">
        <v>3562</v>
      </c>
      <c r="Q4362" s="165">
        <f>IF(Sales[[#This Row],[Status]]="Cancelled",0,Sales[[#This Row],[Qty]])</f>
        <v>8</v>
      </c>
      <c r="R4362" s="166">
        <f>IF(Sales[[#This Row],[Status]]="Cancelled",0,Sales[[#This Row],[Total Amount]])</f>
        <v>96675.04</v>
      </c>
      <c r="S4362" s="162">
        <f>SUM(Sales[Net Amount])</f>
        <v>406839287.73200053</v>
      </c>
    </row>
    <row r="4363" spans="1:19" ht="18.75" x14ac:dyDescent="0.25">
      <c r="A4363" s="156" t="s">
        <v>8043</v>
      </c>
      <c r="B4363" s="157">
        <v>45992</v>
      </c>
      <c r="C4363" s="158" t="s">
        <v>670</v>
      </c>
      <c r="D4363" s="159" t="str">
        <f>VLOOKUP(Sales[[#This Row],[Customer ID]],Customer[#All],2,0)</f>
        <v>Rakesh Patel</v>
      </c>
      <c r="E4363" s="158" t="s">
        <v>206</v>
      </c>
      <c r="F4363" s="158" t="str">
        <f>VLOOKUP(Sales[[#This Row],[Product ID]],Product[#All],2,0)</f>
        <v>Dell Power Adapter</v>
      </c>
      <c r="G4363" s="159">
        <v>8</v>
      </c>
      <c r="H4363" s="160">
        <f>VLOOKUP(Sales[[#This Row],[Product ID]],Product[#All],7,0)</f>
        <v>2490</v>
      </c>
      <c r="I4363" s="160">
        <f>Sales[[#This Row],[Selling Rate]]*Sales[[#This Row],[Qty]]</f>
        <v>19920</v>
      </c>
      <c r="J4363" s="43">
        <v>0.05</v>
      </c>
      <c r="K4363" s="44">
        <f>Sales[[#This Row],[Gross Amount]]*Sales[[#This Row],[Disc %]]</f>
        <v>996</v>
      </c>
      <c r="L4363" s="43">
        <v>0.18</v>
      </c>
      <c r="M4363" s="44">
        <f>(Sales[[#This Row],[Gross Amount]]-Sales[[#This Row],[Disc. Amt.]])*Sales[[#This Row],[GST %]]</f>
        <v>3406.3199999999997</v>
      </c>
      <c r="N4363" s="161">
        <f>Sales[[#This Row],[Gross Amount]]-Sales[[#This Row],[Disc. Amt.]]+Sales[[#This Row],[GST Amount]]</f>
        <v>22330.32</v>
      </c>
      <c r="O4363" s="158" t="s">
        <v>3569</v>
      </c>
      <c r="P4363" s="158" t="s">
        <v>3562</v>
      </c>
      <c r="Q4363" s="160">
        <f>IF(Sales[[#This Row],[Status]]="Cancelled",0,Sales[[#This Row],[Qty]])</f>
        <v>8</v>
      </c>
      <c r="R4363" s="161">
        <f>IF(Sales[[#This Row],[Status]]="Cancelled",0,Sales[[#This Row],[Total Amount]])</f>
        <v>22330.32</v>
      </c>
      <c r="S4363" s="162">
        <f>SUM(Sales[Net Amount])</f>
        <v>406839287.73200053</v>
      </c>
    </row>
    <row r="4364" spans="1:19" ht="18.75" x14ac:dyDescent="0.25">
      <c r="A4364" s="163" t="s">
        <v>8044</v>
      </c>
      <c r="B4364" s="164">
        <v>45992</v>
      </c>
      <c r="C4364" s="34" t="s">
        <v>912</v>
      </c>
      <c r="D4364" s="53" t="str">
        <f>VLOOKUP(Sales[[#This Row],[Customer ID]],Customer[#All],2,0)</f>
        <v>Sunita Verma</v>
      </c>
      <c r="E4364" s="34" t="s">
        <v>334</v>
      </c>
      <c r="F4364" s="34" t="str">
        <f>VLOOKUP(Sales[[#This Row],[Product ID]],Product[#All],2,0)</f>
        <v>Jbl Headset</v>
      </c>
      <c r="G4364" s="53">
        <v>2</v>
      </c>
      <c r="H4364" s="165">
        <f>VLOOKUP(Sales[[#This Row],[Product ID]],Product[#All],7,0)</f>
        <v>3150</v>
      </c>
      <c r="I4364" s="165">
        <f>Sales[[#This Row],[Selling Rate]]*Sales[[#This Row],[Qty]]</f>
        <v>6300</v>
      </c>
      <c r="J4364" s="45">
        <v>0</v>
      </c>
      <c r="K4364" s="46">
        <f>Sales[[#This Row],[Gross Amount]]*Sales[[#This Row],[Disc %]]</f>
        <v>0</v>
      </c>
      <c r="L4364" s="43">
        <v>0.18</v>
      </c>
      <c r="M4364" s="46">
        <f>(Sales[[#This Row],[Gross Amount]]-Sales[[#This Row],[Disc. Amt.]])*Sales[[#This Row],[GST %]]</f>
        <v>1134</v>
      </c>
      <c r="N4364" s="161">
        <f>Sales[[#This Row],[Gross Amount]]-Sales[[#This Row],[Disc. Amt.]]+Sales[[#This Row],[GST Amount]]</f>
        <v>7434</v>
      </c>
      <c r="O4364" s="34" t="s">
        <v>3566</v>
      </c>
      <c r="P4364" s="34" t="s">
        <v>3562</v>
      </c>
      <c r="Q4364" s="165">
        <f>IF(Sales[[#This Row],[Status]]="Cancelled",0,Sales[[#This Row],[Qty]])</f>
        <v>2</v>
      </c>
      <c r="R4364" s="166">
        <f>IF(Sales[[#This Row],[Status]]="Cancelled",0,Sales[[#This Row],[Total Amount]])</f>
        <v>7434</v>
      </c>
      <c r="S4364" s="162">
        <f>SUM(Sales[Net Amount])</f>
        <v>406839287.73200053</v>
      </c>
    </row>
    <row r="4365" spans="1:19" ht="18.75" x14ac:dyDescent="0.25">
      <c r="A4365" s="156" t="s">
        <v>8045</v>
      </c>
      <c r="B4365" s="157">
        <v>45992</v>
      </c>
      <c r="C4365" s="158" t="s">
        <v>721</v>
      </c>
      <c r="D4365" s="159" t="str">
        <f>VLOOKUP(Sales[[#This Row],[Customer ID]],Customer[#All],2,0)</f>
        <v>Sahil Sharma</v>
      </c>
      <c r="E4365" s="158" t="s">
        <v>251</v>
      </c>
      <c r="F4365" s="158" t="str">
        <f>VLOOKUP(Sales[[#This Row],[Product ID]],Product[#All],2,0)</f>
        <v>Corsair Ram</v>
      </c>
      <c r="G4365" s="159">
        <v>7</v>
      </c>
      <c r="H4365" s="160">
        <f>VLOOKUP(Sales[[#This Row],[Product ID]],Product[#All],7,0)</f>
        <v>2890</v>
      </c>
      <c r="I4365" s="160">
        <f>Sales[[#This Row],[Selling Rate]]*Sales[[#This Row],[Qty]]</f>
        <v>20230</v>
      </c>
      <c r="J4365" s="43">
        <v>0.1</v>
      </c>
      <c r="K4365" s="44">
        <f>Sales[[#This Row],[Gross Amount]]*Sales[[#This Row],[Disc %]]</f>
        <v>2023</v>
      </c>
      <c r="L4365" s="43">
        <v>0.18</v>
      </c>
      <c r="M4365" s="44">
        <f>(Sales[[#This Row],[Gross Amount]]-Sales[[#This Row],[Disc. Amt.]])*Sales[[#This Row],[GST %]]</f>
        <v>3277.2599999999998</v>
      </c>
      <c r="N4365" s="161">
        <f>Sales[[#This Row],[Gross Amount]]-Sales[[#This Row],[Disc. Amt.]]+Sales[[#This Row],[GST Amount]]</f>
        <v>21484.26</v>
      </c>
      <c r="O4365" s="158" t="s">
        <v>8876</v>
      </c>
      <c r="P4365" s="158" t="s">
        <v>3562</v>
      </c>
      <c r="Q4365" s="160">
        <f>IF(Sales[[#This Row],[Status]]="Cancelled",0,Sales[[#This Row],[Qty]])</f>
        <v>7</v>
      </c>
      <c r="R4365" s="161">
        <f>IF(Sales[[#This Row],[Status]]="Cancelled",0,Sales[[#This Row],[Total Amount]])</f>
        <v>21484.26</v>
      </c>
      <c r="S4365" s="162">
        <f>SUM(Sales[Net Amount])</f>
        <v>406839287.73200053</v>
      </c>
    </row>
    <row r="4366" spans="1:19" ht="18.75" x14ac:dyDescent="0.25">
      <c r="A4366" s="163" t="s">
        <v>8046</v>
      </c>
      <c r="B4366" s="164">
        <v>45992</v>
      </c>
      <c r="C4366" s="34" t="s">
        <v>851</v>
      </c>
      <c r="D4366" s="53" t="str">
        <f>VLOOKUP(Sales[[#This Row],[Customer ID]],Customer[#All],2,0)</f>
        <v>Pooja Singh</v>
      </c>
      <c r="E4366" s="34" t="s">
        <v>344</v>
      </c>
      <c r="F4366" s="34" t="str">
        <f>VLOOKUP(Sales[[#This Row],[Product ID]],Product[#All],2,0)</f>
        <v>WD HDD</v>
      </c>
      <c r="G4366" s="53">
        <v>4</v>
      </c>
      <c r="H4366" s="165">
        <f>VLOOKUP(Sales[[#This Row],[Product ID]],Product[#All],7,0)</f>
        <v>11260</v>
      </c>
      <c r="I4366" s="165">
        <f>Sales[[#This Row],[Selling Rate]]*Sales[[#This Row],[Qty]]</f>
        <v>45040</v>
      </c>
      <c r="J4366" s="45">
        <v>0.02</v>
      </c>
      <c r="K4366" s="46">
        <f>Sales[[#This Row],[Gross Amount]]*Sales[[#This Row],[Disc %]]</f>
        <v>900.80000000000007</v>
      </c>
      <c r="L4366" s="43">
        <v>0.18</v>
      </c>
      <c r="M4366" s="46">
        <f>(Sales[[#This Row],[Gross Amount]]-Sales[[#This Row],[Disc. Amt.]])*Sales[[#This Row],[GST %]]</f>
        <v>7945.0559999999996</v>
      </c>
      <c r="N4366" s="161">
        <f>Sales[[#This Row],[Gross Amount]]-Sales[[#This Row],[Disc. Amt.]]+Sales[[#This Row],[GST Amount]]</f>
        <v>52084.255999999994</v>
      </c>
      <c r="O4366" s="34" t="s">
        <v>3569</v>
      </c>
      <c r="P4366" s="34" t="s">
        <v>3562</v>
      </c>
      <c r="Q4366" s="165">
        <f>IF(Sales[[#This Row],[Status]]="Cancelled",0,Sales[[#This Row],[Qty]])</f>
        <v>4</v>
      </c>
      <c r="R4366" s="166">
        <f>IF(Sales[[#This Row],[Status]]="Cancelled",0,Sales[[#This Row],[Total Amount]])</f>
        <v>52084.255999999994</v>
      </c>
      <c r="S4366" s="162">
        <f>SUM(Sales[Net Amount])</f>
        <v>406839287.73200053</v>
      </c>
    </row>
    <row r="4367" spans="1:19" ht="18.75" x14ac:dyDescent="0.25">
      <c r="A4367" s="156" t="s">
        <v>8047</v>
      </c>
      <c r="B4367" s="157">
        <v>45992</v>
      </c>
      <c r="C4367" s="158" t="s">
        <v>688</v>
      </c>
      <c r="D4367" s="159" t="str">
        <f>VLOOKUP(Sales[[#This Row],[Customer ID]],Customer[#All],2,0)</f>
        <v>Rahul Verma</v>
      </c>
      <c r="E4367" s="158" t="s">
        <v>288</v>
      </c>
      <c r="F4367" s="158" t="str">
        <f>VLOOKUP(Sales[[#This Row],[Product ID]],Product[#All],2,0)</f>
        <v>Canon Printer</v>
      </c>
      <c r="G4367" s="159">
        <v>7</v>
      </c>
      <c r="H4367" s="160">
        <f>VLOOKUP(Sales[[#This Row],[Product ID]],Product[#All],7,0)</f>
        <v>41150</v>
      </c>
      <c r="I4367" s="160">
        <f>Sales[[#This Row],[Selling Rate]]*Sales[[#This Row],[Qty]]</f>
        <v>288050</v>
      </c>
      <c r="J4367" s="43">
        <v>0.12</v>
      </c>
      <c r="K4367" s="44">
        <f>Sales[[#This Row],[Gross Amount]]*Sales[[#This Row],[Disc %]]</f>
        <v>34566</v>
      </c>
      <c r="L4367" s="43">
        <v>0.18</v>
      </c>
      <c r="M4367" s="44">
        <f>(Sales[[#This Row],[Gross Amount]]-Sales[[#This Row],[Disc. Amt.]])*Sales[[#This Row],[GST %]]</f>
        <v>45627.119999999995</v>
      </c>
      <c r="N4367" s="161">
        <f>Sales[[#This Row],[Gross Amount]]-Sales[[#This Row],[Disc. Amt.]]+Sales[[#This Row],[GST Amount]]</f>
        <v>299111.12</v>
      </c>
      <c r="O4367" s="158" t="s">
        <v>3569</v>
      </c>
      <c r="P4367" s="158" t="s">
        <v>3562</v>
      </c>
      <c r="Q4367" s="160">
        <f>IF(Sales[[#This Row],[Status]]="Cancelled",0,Sales[[#This Row],[Qty]])</f>
        <v>7</v>
      </c>
      <c r="R4367" s="161">
        <f>IF(Sales[[#This Row],[Status]]="Cancelled",0,Sales[[#This Row],[Total Amount]])</f>
        <v>299111.12</v>
      </c>
      <c r="S4367" s="162">
        <f>SUM(Sales[Net Amount])</f>
        <v>406839287.73200053</v>
      </c>
    </row>
    <row r="4368" spans="1:19" ht="18.75" x14ac:dyDescent="0.25">
      <c r="A4368" s="163" t="s">
        <v>8048</v>
      </c>
      <c r="B4368" s="164">
        <v>45992</v>
      </c>
      <c r="C4368" s="34" t="s">
        <v>764</v>
      </c>
      <c r="D4368" s="53" t="str">
        <f>VLOOKUP(Sales[[#This Row],[Customer ID]],Customer[#All],2,0)</f>
        <v>Priya Gupta</v>
      </c>
      <c r="E4368" s="34" t="s">
        <v>483</v>
      </c>
      <c r="F4368" s="34" t="str">
        <f>VLOOKUP(Sales[[#This Row],[Product ID]],Product[#All],2,0)</f>
        <v>Kingston Ram</v>
      </c>
      <c r="G4368" s="53">
        <v>7</v>
      </c>
      <c r="H4368" s="165">
        <f>VLOOKUP(Sales[[#This Row],[Product ID]],Product[#All],7,0)</f>
        <v>8630</v>
      </c>
      <c r="I4368" s="165">
        <f>Sales[[#This Row],[Selling Rate]]*Sales[[#This Row],[Qty]]</f>
        <v>60410</v>
      </c>
      <c r="J4368" s="45">
        <v>0.02</v>
      </c>
      <c r="K4368" s="46">
        <f>Sales[[#This Row],[Gross Amount]]*Sales[[#This Row],[Disc %]]</f>
        <v>1208.2</v>
      </c>
      <c r="L4368" s="43">
        <v>0.18</v>
      </c>
      <c r="M4368" s="46">
        <f>(Sales[[#This Row],[Gross Amount]]-Sales[[#This Row],[Disc. Amt.]])*Sales[[#This Row],[GST %]]</f>
        <v>10656.324000000001</v>
      </c>
      <c r="N4368" s="161">
        <f>Sales[[#This Row],[Gross Amount]]-Sales[[#This Row],[Disc. Amt.]]+Sales[[#This Row],[GST Amount]]</f>
        <v>69858.124000000011</v>
      </c>
      <c r="O4368" s="34" t="s">
        <v>3569</v>
      </c>
      <c r="P4368" s="34" t="s">
        <v>3562</v>
      </c>
      <c r="Q4368" s="165">
        <f>IF(Sales[[#This Row],[Status]]="Cancelled",0,Sales[[#This Row],[Qty]])</f>
        <v>7</v>
      </c>
      <c r="R4368" s="166">
        <f>IF(Sales[[#This Row],[Status]]="Cancelled",0,Sales[[#This Row],[Total Amount]])</f>
        <v>69858.124000000011</v>
      </c>
      <c r="S4368" s="162">
        <f>SUM(Sales[Net Amount])</f>
        <v>406839287.73200053</v>
      </c>
    </row>
    <row r="4369" spans="1:19" ht="18.75" x14ac:dyDescent="0.25">
      <c r="A4369" s="156" t="s">
        <v>8049</v>
      </c>
      <c r="B4369" s="157">
        <v>45992</v>
      </c>
      <c r="C4369" s="158" t="s">
        <v>906</v>
      </c>
      <c r="D4369" s="159" t="str">
        <f>VLOOKUP(Sales[[#This Row],[Customer ID]],Customer[#All],2,0)</f>
        <v>Ankit Sharma</v>
      </c>
      <c r="E4369" s="158" t="s">
        <v>130</v>
      </c>
      <c r="F4369" s="158" t="str">
        <f>VLOOKUP(Sales[[#This Row],[Product ID]],Product[#All],2,0)</f>
        <v>Lenovo Laptop</v>
      </c>
      <c r="G4369" s="159">
        <v>3</v>
      </c>
      <c r="H4369" s="160">
        <f>VLOOKUP(Sales[[#This Row],[Product ID]],Product[#All],7,0)</f>
        <v>39230</v>
      </c>
      <c r="I4369" s="160">
        <f>Sales[[#This Row],[Selling Rate]]*Sales[[#This Row],[Qty]]</f>
        <v>117690</v>
      </c>
      <c r="J4369" s="43">
        <v>0.05</v>
      </c>
      <c r="K4369" s="44">
        <f>Sales[[#This Row],[Gross Amount]]*Sales[[#This Row],[Disc %]]</f>
        <v>5884.5</v>
      </c>
      <c r="L4369" s="43">
        <v>0.18</v>
      </c>
      <c r="M4369" s="44">
        <f>(Sales[[#This Row],[Gross Amount]]-Sales[[#This Row],[Disc. Amt.]])*Sales[[#This Row],[GST %]]</f>
        <v>20124.989999999998</v>
      </c>
      <c r="N4369" s="161">
        <f>Sales[[#This Row],[Gross Amount]]-Sales[[#This Row],[Disc. Amt.]]+Sales[[#This Row],[GST Amount]]</f>
        <v>131930.49</v>
      </c>
      <c r="O4369" s="158" t="s">
        <v>3569</v>
      </c>
      <c r="P4369" s="158" t="s">
        <v>3562</v>
      </c>
      <c r="Q4369" s="160">
        <f>IF(Sales[[#This Row],[Status]]="Cancelled",0,Sales[[#This Row],[Qty]])</f>
        <v>3</v>
      </c>
      <c r="R4369" s="161">
        <f>IF(Sales[[#This Row],[Status]]="Cancelled",0,Sales[[#This Row],[Total Amount]])</f>
        <v>131930.49</v>
      </c>
      <c r="S4369" s="162">
        <f>SUM(Sales[Net Amount])</f>
        <v>406839287.73200053</v>
      </c>
    </row>
    <row r="4370" spans="1:19" ht="18.75" x14ac:dyDescent="0.25">
      <c r="A4370" s="163" t="s">
        <v>8050</v>
      </c>
      <c r="B4370" s="164">
        <v>45992</v>
      </c>
      <c r="C4370" s="34" t="s">
        <v>866</v>
      </c>
      <c r="D4370" s="53" t="str">
        <f>VLOOKUP(Sales[[#This Row],[Customer ID]],Customer[#All],2,0)</f>
        <v>Priya Patel</v>
      </c>
      <c r="E4370" s="34" t="s">
        <v>460</v>
      </c>
      <c r="F4370" s="34" t="str">
        <f>VLOOKUP(Sales[[#This Row],[Product ID]],Product[#All],2,0)</f>
        <v>Logitech Keyboard</v>
      </c>
      <c r="G4370" s="53">
        <v>2</v>
      </c>
      <c r="H4370" s="165">
        <f>VLOOKUP(Sales[[#This Row],[Product ID]],Product[#All],7,0)</f>
        <v>3050</v>
      </c>
      <c r="I4370" s="165">
        <f>Sales[[#This Row],[Selling Rate]]*Sales[[#This Row],[Qty]]</f>
        <v>6100</v>
      </c>
      <c r="J4370" s="45">
        <v>0</v>
      </c>
      <c r="K4370" s="46">
        <f>Sales[[#This Row],[Gross Amount]]*Sales[[#This Row],[Disc %]]</f>
        <v>0</v>
      </c>
      <c r="L4370" s="43">
        <v>0.18</v>
      </c>
      <c r="M4370" s="46">
        <f>(Sales[[#This Row],[Gross Amount]]-Sales[[#This Row],[Disc. Amt.]])*Sales[[#This Row],[GST %]]</f>
        <v>1098</v>
      </c>
      <c r="N4370" s="161">
        <f>Sales[[#This Row],[Gross Amount]]-Sales[[#This Row],[Disc. Amt.]]+Sales[[#This Row],[GST Amount]]</f>
        <v>7198</v>
      </c>
      <c r="O4370" s="34" t="s">
        <v>3561</v>
      </c>
      <c r="P4370" s="34" t="s">
        <v>3562</v>
      </c>
      <c r="Q4370" s="165">
        <f>IF(Sales[[#This Row],[Status]]="Cancelled",0,Sales[[#This Row],[Qty]])</f>
        <v>2</v>
      </c>
      <c r="R4370" s="166">
        <f>IF(Sales[[#This Row],[Status]]="Cancelled",0,Sales[[#This Row],[Total Amount]])</f>
        <v>7198</v>
      </c>
      <c r="S4370" s="162">
        <f>SUM(Sales[Net Amount])</f>
        <v>406839287.73200053</v>
      </c>
    </row>
    <row r="4371" spans="1:19" ht="18.75" x14ac:dyDescent="0.25">
      <c r="A4371" s="156" t="s">
        <v>8051</v>
      </c>
      <c r="B4371" s="157">
        <v>45992</v>
      </c>
      <c r="C4371" s="158" t="s">
        <v>874</v>
      </c>
      <c r="D4371" s="159" t="str">
        <f>VLOOKUP(Sales[[#This Row],[Customer ID]],Customer[#All],2,0)</f>
        <v>Vikas Sharma</v>
      </c>
      <c r="E4371" s="158" t="s">
        <v>460</v>
      </c>
      <c r="F4371" s="158" t="str">
        <f>VLOOKUP(Sales[[#This Row],[Product ID]],Product[#All],2,0)</f>
        <v>Logitech Keyboard</v>
      </c>
      <c r="G4371" s="159">
        <v>2</v>
      </c>
      <c r="H4371" s="160">
        <f>VLOOKUP(Sales[[#This Row],[Product ID]],Product[#All],7,0)</f>
        <v>3050</v>
      </c>
      <c r="I4371" s="160">
        <f>Sales[[#This Row],[Selling Rate]]*Sales[[#This Row],[Qty]]</f>
        <v>6100</v>
      </c>
      <c r="J4371" s="43">
        <v>0.12</v>
      </c>
      <c r="K4371" s="44">
        <f>Sales[[#This Row],[Gross Amount]]*Sales[[#This Row],[Disc %]]</f>
        <v>732</v>
      </c>
      <c r="L4371" s="43">
        <v>0.18</v>
      </c>
      <c r="M4371" s="44">
        <f>(Sales[[#This Row],[Gross Amount]]-Sales[[#This Row],[Disc. Amt.]])*Sales[[#This Row],[GST %]]</f>
        <v>966.24</v>
      </c>
      <c r="N4371" s="161">
        <f>Sales[[#This Row],[Gross Amount]]-Sales[[#This Row],[Disc. Amt.]]+Sales[[#This Row],[GST Amount]]</f>
        <v>6334.24</v>
      </c>
      <c r="O4371" s="158" t="s">
        <v>3561</v>
      </c>
      <c r="P4371" s="158" t="s">
        <v>3562</v>
      </c>
      <c r="Q4371" s="160">
        <f>IF(Sales[[#This Row],[Status]]="Cancelled",0,Sales[[#This Row],[Qty]])</f>
        <v>2</v>
      </c>
      <c r="R4371" s="161">
        <f>IF(Sales[[#This Row],[Status]]="Cancelled",0,Sales[[#This Row],[Total Amount]])</f>
        <v>6334.24</v>
      </c>
      <c r="S4371" s="162">
        <f>SUM(Sales[Net Amount])</f>
        <v>406839287.73200053</v>
      </c>
    </row>
    <row r="4372" spans="1:19" ht="18.75" x14ac:dyDescent="0.25">
      <c r="A4372" s="163" t="s">
        <v>8052</v>
      </c>
      <c r="B4372" s="164">
        <v>45992</v>
      </c>
      <c r="C4372" s="34" t="s">
        <v>737</v>
      </c>
      <c r="D4372" s="53" t="str">
        <f>VLOOKUP(Sales[[#This Row],[Customer ID]],Customer[#All],2,0)</f>
        <v>Pooja Verma</v>
      </c>
      <c r="E4372" s="34" t="s">
        <v>219</v>
      </c>
      <c r="F4372" s="34" t="str">
        <f>VLOOKUP(Sales[[#This Row],[Product ID]],Product[#All],2,0)</f>
        <v>Samsung Monitor</v>
      </c>
      <c r="G4372" s="53">
        <v>7</v>
      </c>
      <c r="H4372" s="165">
        <f>VLOOKUP(Sales[[#This Row],[Product ID]],Product[#All],7,0)</f>
        <v>22630</v>
      </c>
      <c r="I4372" s="165">
        <f>Sales[[#This Row],[Selling Rate]]*Sales[[#This Row],[Qty]]</f>
        <v>158410</v>
      </c>
      <c r="J4372" s="45">
        <v>0.12</v>
      </c>
      <c r="K4372" s="46">
        <f>Sales[[#This Row],[Gross Amount]]*Sales[[#This Row],[Disc %]]</f>
        <v>19009.2</v>
      </c>
      <c r="L4372" s="43">
        <v>0.18</v>
      </c>
      <c r="M4372" s="46">
        <f>(Sales[[#This Row],[Gross Amount]]-Sales[[#This Row],[Disc. Amt.]])*Sales[[#This Row],[GST %]]</f>
        <v>25092.143999999997</v>
      </c>
      <c r="N4372" s="161">
        <f>Sales[[#This Row],[Gross Amount]]-Sales[[#This Row],[Disc. Amt.]]+Sales[[#This Row],[GST Amount]]</f>
        <v>164492.94399999999</v>
      </c>
      <c r="O4372" s="34" t="s">
        <v>3561</v>
      </c>
      <c r="P4372" s="34" t="s">
        <v>3562</v>
      </c>
      <c r="Q4372" s="165">
        <f>IF(Sales[[#This Row],[Status]]="Cancelled",0,Sales[[#This Row],[Qty]])</f>
        <v>7</v>
      </c>
      <c r="R4372" s="166">
        <f>IF(Sales[[#This Row],[Status]]="Cancelled",0,Sales[[#This Row],[Total Amount]])</f>
        <v>164492.94399999999</v>
      </c>
      <c r="S4372" s="162">
        <f>SUM(Sales[Net Amount])</f>
        <v>406839287.73200053</v>
      </c>
    </row>
    <row r="4373" spans="1:19" ht="18.75" x14ac:dyDescent="0.25">
      <c r="A4373" s="156" t="s">
        <v>8053</v>
      </c>
      <c r="B4373" s="157">
        <v>45992</v>
      </c>
      <c r="C4373" s="158" t="s">
        <v>873</v>
      </c>
      <c r="D4373" s="159" t="str">
        <f>VLOOKUP(Sales[[#This Row],[Customer ID]],Customer[#All],2,0)</f>
        <v>Sahil Verma</v>
      </c>
      <c r="E4373" s="158" t="s">
        <v>198</v>
      </c>
      <c r="F4373" s="158" t="str">
        <f>VLOOKUP(Sales[[#This Row],[Product ID]],Product[#All],2,0)</f>
        <v>PortronicsLaptopStand</v>
      </c>
      <c r="G4373" s="159">
        <v>1</v>
      </c>
      <c r="H4373" s="160">
        <f>VLOOKUP(Sales[[#This Row],[Product ID]],Product[#All],7,0)</f>
        <v>2240</v>
      </c>
      <c r="I4373" s="160">
        <f>Sales[[#This Row],[Selling Rate]]*Sales[[#This Row],[Qty]]</f>
        <v>2240</v>
      </c>
      <c r="J4373" s="43">
        <v>0</v>
      </c>
      <c r="K4373" s="44">
        <f>Sales[[#This Row],[Gross Amount]]*Sales[[#This Row],[Disc %]]</f>
        <v>0</v>
      </c>
      <c r="L4373" s="43">
        <v>0.18</v>
      </c>
      <c r="M4373" s="44">
        <f>(Sales[[#This Row],[Gross Amount]]-Sales[[#This Row],[Disc. Amt.]])*Sales[[#This Row],[GST %]]</f>
        <v>403.2</v>
      </c>
      <c r="N4373" s="161">
        <f>Sales[[#This Row],[Gross Amount]]-Sales[[#This Row],[Disc. Amt.]]+Sales[[#This Row],[GST Amount]]</f>
        <v>2643.2</v>
      </c>
      <c r="O4373" s="158" t="s">
        <v>3569</v>
      </c>
      <c r="P4373" s="158" t="s">
        <v>3562</v>
      </c>
      <c r="Q4373" s="160">
        <f>IF(Sales[[#This Row],[Status]]="Cancelled",0,Sales[[#This Row],[Qty]])</f>
        <v>1</v>
      </c>
      <c r="R4373" s="161">
        <f>IF(Sales[[#This Row],[Status]]="Cancelled",0,Sales[[#This Row],[Total Amount]])</f>
        <v>2643.2</v>
      </c>
      <c r="S4373" s="162">
        <f>SUM(Sales[Net Amount])</f>
        <v>406839287.73200053</v>
      </c>
    </row>
    <row r="4374" spans="1:19" ht="18.75" x14ac:dyDescent="0.25">
      <c r="A4374" s="163" t="s">
        <v>8054</v>
      </c>
      <c r="B4374" s="164">
        <v>45992</v>
      </c>
      <c r="C4374" s="34" t="s">
        <v>815</v>
      </c>
      <c r="D4374" s="53" t="str">
        <f>VLOOKUP(Sales[[#This Row],[Customer ID]],Customer[#All],2,0)</f>
        <v>Priya Gupta</v>
      </c>
      <c r="E4374" s="34" t="s">
        <v>220</v>
      </c>
      <c r="F4374" s="34" t="str">
        <f>VLOOKUP(Sales[[#This Row],[Product ID]],Product[#All],2,0)</f>
        <v>HP Desktop</v>
      </c>
      <c r="G4374" s="53">
        <v>4</v>
      </c>
      <c r="H4374" s="165">
        <f>VLOOKUP(Sales[[#This Row],[Product ID]],Product[#All],7,0)</f>
        <v>40570</v>
      </c>
      <c r="I4374" s="165">
        <f>Sales[[#This Row],[Selling Rate]]*Sales[[#This Row],[Qty]]</f>
        <v>162280</v>
      </c>
      <c r="J4374" s="45">
        <v>0.15</v>
      </c>
      <c r="K4374" s="46">
        <f>Sales[[#This Row],[Gross Amount]]*Sales[[#This Row],[Disc %]]</f>
        <v>24342</v>
      </c>
      <c r="L4374" s="43">
        <v>0.18</v>
      </c>
      <c r="M4374" s="46">
        <f>(Sales[[#This Row],[Gross Amount]]-Sales[[#This Row],[Disc. Amt.]])*Sales[[#This Row],[GST %]]</f>
        <v>24828.84</v>
      </c>
      <c r="N4374" s="161">
        <f>Sales[[#This Row],[Gross Amount]]-Sales[[#This Row],[Disc. Amt.]]+Sales[[#This Row],[GST Amount]]</f>
        <v>162766.84</v>
      </c>
      <c r="O4374" s="34" t="s">
        <v>3569</v>
      </c>
      <c r="P4374" s="34" t="s">
        <v>3562</v>
      </c>
      <c r="Q4374" s="165">
        <f>IF(Sales[[#This Row],[Status]]="Cancelled",0,Sales[[#This Row],[Qty]])</f>
        <v>4</v>
      </c>
      <c r="R4374" s="166">
        <f>IF(Sales[[#This Row],[Status]]="Cancelled",0,Sales[[#This Row],[Total Amount]])</f>
        <v>162766.84</v>
      </c>
      <c r="S4374" s="162">
        <f>SUM(Sales[Net Amount])</f>
        <v>406839287.73200053</v>
      </c>
    </row>
    <row r="4375" spans="1:19" ht="18.75" x14ac:dyDescent="0.25">
      <c r="A4375" s="156" t="s">
        <v>8055</v>
      </c>
      <c r="B4375" s="157">
        <v>45992</v>
      </c>
      <c r="C4375" s="158" t="s">
        <v>861</v>
      </c>
      <c r="D4375" s="159" t="str">
        <f>VLOOKUP(Sales[[#This Row],[Customer ID]],Customer[#All],2,0)</f>
        <v>Rakesh Patel</v>
      </c>
      <c r="E4375" s="158" t="s">
        <v>176</v>
      </c>
      <c r="F4375" s="158" t="str">
        <f>VLOOKUP(Sales[[#This Row],[Product ID]],Product[#All],2,0)</f>
        <v>Dell Monitor</v>
      </c>
      <c r="G4375" s="159">
        <v>1</v>
      </c>
      <c r="H4375" s="160">
        <f>VLOOKUP(Sales[[#This Row],[Product ID]],Product[#All],7,0)</f>
        <v>18900</v>
      </c>
      <c r="I4375" s="160">
        <f>Sales[[#This Row],[Selling Rate]]*Sales[[#This Row],[Qty]]</f>
        <v>18900</v>
      </c>
      <c r="J4375" s="43">
        <v>0.05</v>
      </c>
      <c r="K4375" s="44">
        <f>Sales[[#This Row],[Gross Amount]]*Sales[[#This Row],[Disc %]]</f>
        <v>945</v>
      </c>
      <c r="L4375" s="43">
        <v>0.18</v>
      </c>
      <c r="M4375" s="44">
        <f>(Sales[[#This Row],[Gross Amount]]-Sales[[#This Row],[Disc. Amt.]])*Sales[[#This Row],[GST %]]</f>
        <v>3231.9</v>
      </c>
      <c r="N4375" s="161">
        <f>Sales[[#This Row],[Gross Amount]]-Sales[[#This Row],[Disc. Amt.]]+Sales[[#This Row],[GST Amount]]</f>
        <v>21186.9</v>
      </c>
      <c r="O4375" s="158" t="s">
        <v>3566</v>
      </c>
      <c r="P4375" s="158" t="s">
        <v>3562</v>
      </c>
      <c r="Q4375" s="160">
        <f>IF(Sales[[#This Row],[Status]]="Cancelled",0,Sales[[#This Row],[Qty]])</f>
        <v>1</v>
      </c>
      <c r="R4375" s="161">
        <f>IF(Sales[[#This Row],[Status]]="Cancelled",0,Sales[[#This Row],[Total Amount]])</f>
        <v>21186.9</v>
      </c>
      <c r="S4375" s="162">
        <f>SUM(Sales[Net Amount])</f>
        <v>406839287.73200053</v>
      </c>
    </row>
    <row r="4376" spans="1:19" ht="18.75" x14ac:dyDescent="0.25">
      <c r="A4376" s="163" t="s">
        <v>8056</v>
      </c>
      <c r="B4376" s="164">
        <v>45992</v>
      </c>
      <c r="C4376" s="34" t="s">
        <v>800</v>
      </c>
      <c r="D4376" s="53" t="str">
        <f>VLOOKUP(Sales[[#This Row],[Customer ID]],Customer[#All],2,0)</f>
        <v>Priya Gupta</v>
      </c>
      <c r="E4376" s="34" t="s">
        <v>547</v>
      </c>
      <c r="F4376" s="34" t="str">
        <f>VLOOKUP(Sales[[#This Row],[Product ID]],Product[#All],2,0)</f>
        <v>Samsung Monitor</v>
      </c>
      <c r="G4376" s="53">
        <v>4</v>
      </c>
      <c r="H4376" s="165">
        <f>VLOOKUP(Sales[[#This Row],[Product ID]],Product[#All],7,0)</f>
        <v>33340</v>
      </c>
      <c r="I4376" s="165">
        <f>Sales[[#This Row],[Selling Rate]]*Sales[[#This Row],[Qty]]</f>
        <v>133360</v>
      </c>
      <c r="J4376" s="45">
        <v>0</v>
      </c>
      <c r="K4376" s="46">
        <f>Sales[[#This Row],[Gross Amount]]*Sales[[#This Row],[Disc %]]</f>
        <v>0</v>
      </c>
      <c r="L4376" s="43">
        <v>0.18</v>
      </c>
      <c r="M4376" s="46">
        <f>(Sales[[#This Row],[Gross Amount]]-Sales[[#This Row],[Disc. Amt.]])*Sales[[#This Row],[GST %]]</f>
        <v>24004.799999999999</v>
      </c>
      <c r="N4376" s="161">
        <f>Sales[[#This Row],[Gross Amount]]-Sales[[#This Row],[Disc. Amt.]]+Sales[[#This Row],[GST Amount]]</f>
        <v>157364.79999999999</v>
      </c>
      <c r="O4376" s="34" t="s">
        <v>3566</v>
      </c>
      <c r="P4376" s="34" t="s">
        <v>3562</v>
      </c>
      <c r="Q4376" s="165">
        <f>IF(Sales[[#This Row],[Status]]="Cancelled",0,Sales[[#This Row],[Qty]])</f>
        <v>4</v>
      </c>
      <c r="R4376" s="166">
        <f>IF(Sales[[#This Row],[Status]]="Cancelled",0,Sales[[#This Row],[Total Amount]])</f>
        <v>157364.79999999999</v>
      </c>
      <c r="S4376" s="162">
        <f>SUM(Sales[Net Amount])</f>
        <v>406839287.73200053</v>
      </c>
    </row>
    <row r="4377" spans="1:19" ht="18.75" x14ac:dyDescent="0.25">
      <c r="A4377" s="156" t="s">
        <v>8057</v>
      </c>
      <c r="B4377" s="157">
        <v>45992</v>
      </c>
      <c r="C4377" s="158" t="s">
        <v>834</v>
      </c>
      <c r="D4377" s="159" t="str">
        <f>VLOOKUP(Sales[[#This Row],[Customer ID]],Customer[#All],2,0)</f>
        <v>Rahul Verma</v>
      </c>
      <c r="E4377" s="158" t="s">
        <v>204</v>
      </c>
      <c r="F4377" s="158" t="str">
        <f>VLOOKUP(Sales[[#This Row],[Product ID]],Product[#All],2,0)</f>
        <v>Lenovo Laptop</v>
      </c>
      <c r="G4377" s="159">
        <v>5</v>
      </c>
      <c r="H4377" s="160">
        <f>VLOOKUP(Sales[[#This Row],[Product ID]],Product[#All],7,0)</f>
        <v>42370</v>
      </c>
      <c r="I4377" s="160">
        <f>Sales[[#This Row],[Selling Rate]]*Sales[[#This Row],[Qty]]</f>
        <v>211850</v>
      </c>
      <c r="J4377" s="43">
        <v>0</v>
      </c>
      <c r="K4377" s="44">
        <f>Sales[[#This Row],[Gross Amount]]*Sales[[#This Row],[Disc %]]</f>
        <v>0</v>
      </c>
      <c r="L4377" s="43">
        <v>0.18</v>
      </c>
      <c r="M4377" s="44">
        <f>(Sales[[#This Row],[Gross Amount]]-Sales[[#This Row],[Disc. Amt.]])*Sales[[#This Row],[GST %]]</f>
        <v>38133</v>
      </c>
      <c r="N4377" s="161">
        <f>Sales[[#This Row],[Gross Amount]]-Sales[[#This Row],[Disc. Amt.]]+Sales[[#This Row],[GST Amount]]</f>
        <v>249983</v>
      </c>
      <c r="O4377" s="158" t="s">
        <v>3569</v>
      </c>
      <c r="P4377" s="158" t="s">
        <v>3562</v>
      </c>
      <c r="Q4377" s="160">
        <f>IF(Sales[[#This Row],[Status]]="Cancelled",0,Sales[[#This Row],[Qty]])</f>
        <v>5</v>
      </c>
      <c r="R4377" s="161">
        <f>IF(Sales[[#This Row],[Status]]="Cancelled",0,Sales[[#This Row],[Total Amount]])</f>
        <v>249983</v>
      </c>
      <c r="S4377" s="162">
        <f>SUM(Sales[Net Amount])</f>
        <v>406839287.73200053</v>
      </c>
    </row>
    <row r="4378" spans="1:19" ht="18.75" x14ac:dyDescent="0.25">
      <c r="A4378" s="163" t="s">
        <v>8058</v>
      </c>
      <c r="B4378" s="164">
        <v>45992</v>
      </c>
      <c r="C4378" s="34" t="s">
        <v>8731</v>
      </c>
      <c r="D4378" s="53" t="str">
        <f>VLOOKUP(Sales[[#This Row],[Customer ID]],Customer[#All],2,0)</f>
        <v>Sunita Singh</v>
      </c>
      <c r="E4378" s="34" t="s">
        <v>485</v>
      </c>
      <c r="F4378" s="34" t="str">
        <f>VLOOKUP(Sales[[#This Row],[Product ID]],Product[#All],2,0)</f>
        <v>Lenovo Laptop</v>
      </c>
      <c r="G4378" s="53">
        <v>3</v>
      </c>
      <c r="H4378" s="165">
        <f>VLOOKUP(Sales[[#This Row],[Product ID]],Product[#All],7,0)</f>
        <v>55360</v>
      </c>
      <c r="I4378" s="165">
        <f>Sales[[#This Row],[Selling Rate]]*Sales[[#This Row],[Qty]]</f>
        <v>166080</v>
      </c>
      <c r="J4378" s="45">
        <v>0</v>
      </c>
      <c r="K4378" s="46">
        <f>Sales[[#This Row],[Gross Amount]]*Sales[[#This Row],[Disc %]]</f>
        <v>0</v>
      </c>
      <c r="L4378" s="43">
        <v>0.18</v>
      </c>
      <c r="M4378" s="46">
        <f>(Sales[[#This Row],[Gross Amount]]-Sales[[#This Row],[Disc. Amt.]])*Sales[[#This Row],[GST %]]</f>
        <v>29894.399999999998</v>
      </c>
      <c r="N4378" s="161">
        <f>Sales[[#This Row],[Gross Amount]]-Sales[[#This Row],[Disc. Amt.]]+Sales[[#This Row],[GST Amount]]</f>
        <v>195974.39999999999</v>
      </c>
      <c r="O4378" s="34" t="s">
        <v>8876</v>
      </c>
      <c r="P4378" s="34" t="s">
        <v>3562</v>
      </c>
      <c r="Q4378" s="165">
        <f>IF(Sales[[#This Row],[Status]]="Cancelled",0,Sales[[#This Row],[Qty]])</f>
        <v>3</v>
      </c>
      <c r="R4378" s="166">
        <f>IF(Sales[[#This Row],[Status]]="Cancelled",0,Sales[[#This Row],[Total Amount]])</f>
        <v>195974.39999999999</v>
      </c>
      <c r="S4378" s="162">
        <f>SUM(Sales[Net Amount])</f>
        <v>406839287.73200053</v>
      </c>
    </row>
    <row r="4379" spans="1:19" ht="18.75" x14ac:dyDescent="0.25">
      <c r="A4379" s="156" t="s">
        <v>8059</v>
      </c>
      <c r="B4379" s="157">
        <v>45992</v>
      </c>
      <c r="C4379" s="158" t="s">
        <v>669</v>
      </c>
      <c r="D4379" s="159" t="str">
        <f>VLOOKUP(Sales[[#This Row],[Customer ID]],Customer[#All],2,0)</f>
        <v>Sahil Kumar</v>
      </c>
      <c r="E4379" s="158" t="s">
        <v>353</v>
      </c>
      <c r="F4379" s="158" t="str">
        <f>VLOOKUP(Sales[[#This Row],[Product ID]],Product[#All],2,0)</f>
        <v>HP Desktop</v>
      </c>
      <c r="G4379" s="159">
        <v>6</v>
      </c>
      <c r="H4379" s="160">
        <f>VLOOKUP(Sales[[#This Row],[Product ID]],Product[#All],7,0)</f>
        <v>60910</v>
      </c>
      <c r="I4379" s="160">
        <f>Sales[[#This Row],[Selling Rate]]*Sales[[#This Row],[Qty]]</f>
        <v>365460</v>
      </c>
      <c r="J4379" s="43">
        <v>0.05</v>
      </c>
      <c r="K4379" s="44">
        <f>Sales[[#This Row],[Gross Amount]]*Sales[[#This Row],[Disc %]]</f>
        <v>18273</v>
      </c>
      <c r="L4379" s="43">
        <v>0.18</v>
      </c>
      <c r="M4379" s="44">
        <f>(Sales[[#This Row],[Gross Amount]]-Sales[[#This Row],[Disc. Amt.]])*Sales[[#This Row],[GST %]]</f>
        <v>62493.659999999996</v>
      </c>
      <c r="N4379" s="161">
        <f>Sales[[#This Row],[Gross Amount]]-Sales[[#This Row],[Disc. Amt.]]+Sales[[#This Row],[GST Amount]]</f>
        <v>409680.66</v>
      </c>
      <c r="O4379" s="158" t="s">
        <v>3566</v>
      </c>
      <c r="P4379" s="158" t="s">
        <v>3562</v>
      </c>
      <c r="Q4379" s="160">
        <f>IF(Sales[[#This Row],[Status]]="Cancelled",0,Sales[[#This Row],[Qty]])</f>
        <v>6</v>
      </c>
      <c r="R4379" s="161">
        <f>IF(Sales[[#This Row],[Status]]="Cancelled",0,Sales[[#This Row],[Total Amount]])</f>
        <v>409680.66</v>
      </c>
      <c r="S4379" s="162">
        <f>SUM(Sales[Net Amount])</f>
        <v>406839287.73200053</v>
      </c>
    </row>
    <row r="4380" spans="1:19" ht="18.75" x14ac:dyDescent="0.25">
      <c r="A4380" s="163" t="s">
        <v>8060</v>
      </c>
      <c r="B4380" s="164">
        <v>45993</v>
      </c>
      <c r="C4380" s="34" t="s">
        <v>857</v>
      </c>
      <c r="D4380" s="53" t="str">
        <f>VLOOKUP(Sales[[#This Row],[Customer ID]],Customer[#All],2,0)</f>
        <v>Pooja Singh</v>
      </c>
      <c r="E4380" s="34" t="s">
        <v>234</v>
      </c>
      <c r="F4380" s="34" t="str">
        <f>VLOOKUP(Sales[[#This Row],[Product ID]],Product[#All],2,0)</f>
        <v>HP Desktop</v>
      </c>
      <c r="G4380" s="53">
        <v>8</v>
      </c>
      <c r="H4380" s="165">
        <f>VLOOKUP(Sales[[#This Row],[Product ID]],Product[#All],7,0)</f>
        <v>76930</v>
      </c>
      <c r="I4380" s="165">
        <f>Sales[[#This Row],[Selling Rate]]*Sales[[#This Row],[Qty]]</f>
        <v>615440</v>
      </c>
      <c r="J4380" s="45">
        <v>0.05</v>
      </c>
      <c r="K4380" s="46">
        <f>Sales[[#This Row],[Gross Amount]]*Sales[[#This Row],[Disc %]]</f>
        <v>30772</v>
      </c>
      <c r="L4380" s="43">
        <v>0.18</v>
      </c>
      <c r="M4380" s="46">
        <f>(Sales[[#This Row],[Gross Amount]]-Sales[[#This Row],[Disc. Amt.]])*Sales[[#This Row],[GST %]]</f>
        <v>105240.23999999999</v>
      </c>
      <c r="N4380" s="161">
        <f>Sales[[#This Row],[Gross Amount]]-Sales[[#This Row],[Disc. Amt.]]+Sales[[#This Row],[GST Amount]]</f>
        <v>689908.24</v>
      </c>
      <c r="O4380" s="34" t="s">
        <v>3569</v>
      </c>
      <c r="P4380" s="34" t="s">
        <v>3562</v>
      </c>
      <c r="Q4380" s="165">
        <f>IF(Sales[[#This Row],[Status]]="Cancelled",0,Sales[[#This Row],[Qty]])</f>
        <v>8</v>
      </c>
      <c r="R4380" s="166">
        <f>IF(Sales[[#This Row],[Status]]="Cancelled",0,Sales[[#This Row],[Total Amount]])</f>
        <v>689908.24</v>
      </c>
      <c r="S4380" s="162">
        <f>SUM(Sales[Net Amount])</f>
        <v>406839287.73200053</v>
      </c>
    </row>
    <row r="4381" spans="1:19" ht="18.75" x14ac:dyDescent="0.25">
      <c r="A4381" s="156" t="s">
        <v>8061</v>
      </c>
      <c r="B4381" s="157">
        <v>45993</v>
      </c>
      <c r="C4381" s="158" t="s">
        <v>821</v>
      </c>
      <c r="D4381" s="159" t="str">
        <f>VLOOKUP(Sales[[#This Row],[Customer ID]],Customer[#All],2,0)</f>
        <v>Rakesh Sharma</v>
      </c>
      <c r="E4381" s="158" t="s">
        <v>130</v>
      </c>
      <c r="F4381" s="158" t="str">
        <f>VLOOKUP(Sales[[#This Row],[Product ID]],Product[#All],2,0)</f>
        <v>Lenovo Laptop</v>
      </c>
      <c r="G4381" s="159">
        <v>7</v>
      </c>
      <c r="H4381" s="160">
        <f>VLOOKUP(Sales[[#This Row],[Product ID]],Product[#All],7,0)</f>
        <v>39230</v>
      </c>
      <c r="I4381" s="160">
        <f>Sales[[#This Row],[Selling Rate]]*Sales[[#This Row],[Qty]]</f>
        <v>274610</v>
      </c>
      <c r="J4381" s="43">
        <v>0.05</v>
      </c>
      <c r="K4381" s="44">
        <f>Sales[[#This Row],[Gross Amount]]*Sales[[#This Row],[Disc %]]</f>
        <v>13730.5</v>
      </c>
      <c r="L4381" s="43">
        <v>0.18</v>
      </c>
      <c r="M4381" s="44">
        <f>(Sales[[#This Row],[Gross Amount]]-Sales[[#This Row],[Disc. Amt.]])*Sales[[#This Row],[GST %]]</f>
        <v>46958.31</v>
      </c>
      <c r="N4381" s="161">
        <f>Sales[[#This Row],[Gross Amount]]-Sales[[#This Row],[Disc. Amt.]]+Sales[[#This Row],[GST Amount]]</f>
        <v>307837.81</v>
      </c>
      <c r="O4381" s="158" t="s">
        <v>3561</v>
      </c>
      <c r="P4381" s="158" t="s">
        <v>3562</v>
      </c>
      <c r="Q4381" s="160">
        <f>IF(Sales[[#This Row],[Status]]="Cancelled",0,Sales[[#This Row],[Qty]])</f>
        <v>7</v>
      </c>
      <c r="R4381" s="161">
        <f>IF(Sales[[#This Row],[Status]]="Cancelled",0,Sales[[#This Row],[Total Amount]])</f>
        <v>307837.81</v>
      </c>
      <c r="S4381" s="162">
        <f>SUM(Sales[Net Amount])</f>
        <v>406839287.73200053</v>
      </c>
    </row>
    <row r="4382" spans="1:19" ht="18.75" x14ac:dyDescent="0.25">
      <c r="A4382" s="163" t="s">
        <v>8062</v>
      </c>
      <c r="B4382" s="164">
        <v>45993</v>
      </c>
      <c r="C4382" s="34" t="s">
        <v>897</v>
      </c>
      <c r="D4382" s="53" t="str">
        <f>VLOOKUP(Sales[[#This Row],[Customer ID]],Customer[#All],2,0)</f>
        <v>Amit Patel</v>
      </c>
      <c r="E4382" s="34" t="s">
        <v>133</v>
      </c>
      <c r="F4382" s="34" t="str">
        <f>VLOOKUP(Sales[[#This Row],[Product ID]],Product[#All],2,0)</f>
        <v>HP Laptop</v>
      </c>
      <c r="G4382" s="53">
        <v>4</v>
      </c>
      <c r="H4382" s="165">
        <f>VLOOKUP(Sales[[#This Row],[Product ID]],Product[#All],7,0)</f>
        <v>44790</v>
      </c>
      <c r="I4382" s="165">
        <f>Sales[[#This Row],[Selling Rate]]*Sales[[#This Row],[Qty]]</f>
        <v>179160</v>
      </c>
      <c r="J4382" s="45">
        <v>0</v>
      </c>
      <c r="K4382" s="46">
        <f>Sales[[#This Row],[Gross Amount]]*Sales[[#This Row],[Disc %]]</f>
        <v>0</v>
      </c>
      <c r="L4382" s="43">
        <v>0.18</v>
      </c>
      <c r="M4382" s="46">
        <f>(Sales[[#This Row],[Gross Amount]]-Sales[[#This Row],[Disc. Amt.]])*Sales[[#This Row],[GST %]]</f>
        <v>32248.799999999999</v>
      </c>
      <c r="N4382" s="161">
        <f>Sales[[#This Row],[Gross Amount]]-Sales[[#This Row],[Disc. Amt.]]+Sales[[#This Row],[GST Amount]]</f>
        <v>211408.8</v>
      </c>
      <c r="O4382" s="34" t="s">
        <v>3569</v>
      </c>
      <c r="P4382" s="34" t="s">
        <v>3562</v>
      </c>
      <c r="Q4382" s="165">
        <f>IF(Sales[[#This Row],[Status]]="Cancelled",0,Sales[[#This Row],[Qty]])</f>
        <v>4</v>
      </c>
      <c r="R4382" s="166">
        <f>IF(Sales[[#This Row],[Status]]="Cancelled",0,Sales[[#This Row],[Total Amount]])</f>
        <v>211408.8</v>
      </c>
      <c r="S4382" s="162">
        <f>SUM(Sales[Net Amount])</f>
        <v>406839287.73200053</v>
      </c>
    </row>
    <row r="4383" spans="1:19" ht="18.75" x14ac:dyDescent="0.25">
      <c r="A4383" s="156" t="s">
        <v>8063</v>
      </c>
      <c r="B4383" s="157">
        <v>45993</v>
      </c>
      <c r="C4383" s="158" t="s">
        <v>810</v>
      </c>
      <c r="D4383" s="159" t="str">
        <f>VLOOKUP(Sales[[#This Row],[Customer ID]],Customer[#All],2,0)</f>
        <v>Rahul Gupta</v>
      </c>
      <c r="E4383" s="158" t="s">
        <v>201</v>
      </c>
      <c r="F4383" s="158" t="str">
        <f>VLOOKUP(Sales[[#This Row],[Product ID]],Product[#All],2,0)</f>
        <v>Jbl Headset</v>
      </c>
      <c r="G4383" s="159">
        <v>6</v>
      </c>
      <c r="H4383" s="160">
        <f>VLOOKUP(Sales[[#This Row],[Product ID]],Product[#All],7,0)</f>
        <v>2580</v>
      </c>
      <c r="I4383" s="160">
        <f>Sales[[#This Row],[Selling Rate]]*Sales[[#This Row],[Qty]]</f>
        <v>15480</v>
      </c>
      <c r="J4383" s="43">
        <v>0.1</v>
      </c>
      <c r="K4383" s="44">
        <f>Sales[[#This Row],[Gross Amount]]*Sales[[#This Row],[Disc %]]</f>
        <v>1548</v>
      </c>
      <c r="L4383" s="43">
        <v>0.18</v>
      </c>
      <c r="M4383" s="44">
        <f>(Sales[[#This Row],[Gross Amount]]-Sales[[#This Row],[Disc. Amt.]])*Sales[[#This Row],[GST %]]</f>
        <v>2507.7599999999998</v>
      </c>
      <c r="N4383" s="161">
        <f>Sales[[#This Row],[Gross Amount]]-Sales[[#This Row],[Disc. Amt.]]+Sales[[#This Row],[GST Amount]]</f>
        <v>16439.759999999998</v>
      </c>
      <c r="O4383" s="158" t="s">
        <v>3561</v>
      </c>
      <c r="P4383" s="158" t="s">
        <v>3562</v>
      </c>
      <c r="Q4383" s="160">
        <f>IF(Sales[[#This Row],[Status]]="Cancelled",0,Sales[[#This Row],[Qty]])</f>
        <v>6</v>
      </c>
      <c r="R4383" s="161">
        <f>IF(Sales[[#This Row],[Status]]="Cancelled",0,Sales[[#This Row],[Total Amount]])</f>
        <v>16439.759999999998</v>
      </c>
      <c r="S4383" s="162">
        <f>SUM(Sales[Net Amount])</f>
        <v>406839287.73200053</v>
      </c>
    </row>
    <row r="4384" spans="1:19" ht="18.75" x14ac:dyDescent="0.25">
      <c r="A4384" s="163" t="s">
        <v>8064</v>
      </c>
      <c r="B4384" s="164">
        <v>45993</v>
      </c>
      <c r="C4384" s="34" t="s">
        <v>743</v>
      </c>
      <c r="D4384" s="53" t="str">
        <f>VLOOKUP(Sales[[#This Row],[Customer ID]],Customer[#All],2,0)</f>
        <v>Rahul Gupta</v>
      </c>
      <c r="E4384" s="34" t="s">
        <v>67</v>
      </c>
      <c r="F4384" s="34" t="str">
        <f>VLOOKUP(Sales[[#This Row],[Product ID]],Product[#All],2,0)</f>
        <v>TP-link Wi-Fi Adapter</v>
      </c>
      <c r="G4384" s="53">
        <v>2</v>
      </c>
      <c r="H4384" s="165">
        <f>VLOOKUP(Sales[[#This Row],[Product ID]],Product[#All],7,0)</f>
        <v>2990</v>
      </c>
      <c r="I4384" s="165">
        <f>Sales[[#This Row],[Selling Rate]]*Sales[[#This Row],[Qty]]</f>
        <v>5980</v>
      </c>
      <c r="J4384" s="45">
        <v>0.12</v>
      </c>
      <c r="K4384" s="46">
        <f>Sales[[#This Row],[Gross Amount]]*Sales[[#This Row],[Disc %]]</f>
        <v>717.6</v>
      </c>
      <c r="L4384" s="43">
        <v>0.18</v>
      </c>
      <c r="M4384" s="46">
        <f>(Sales[[#This Row],[Gross Amount]]-Sales[[#This Row],[Disc. Amt.]])*Sales[[#This Row],[GST %]]</f>
        <v>947.23199999999986</v>
      </c>
      <c r="N4384" s="161">
        <f>Sales[[#This Row],[Gross Amount]]-Sales[[#This Row],[Disc. Amt.]]+Sales[[#This Row],[GST Amount]]</f>
        <v>6209.6319999999996</v>
      </c>
      <c r="O4384" s="34" t="s">
        <v>3566</v>
      </c>
      <c r="P4384" s="34" t="s">
        <v>3562</v>
      </c>
      <c r="Q4384" s="165">
        <f>IF(Sales[[#This Row],[Status]]="Cancelled",0,Sales[[#This Row],[Qty]])</f>
        <v>2</v>
      </c>
      <c r="R4384" s="166">
        <f>IF(Sales[[#This Row],[Status]]="Cancelled",0,Sales[[#This Row],[Total Amount]])</f>
        <v>6209.6319999999996</v>
      </c>
      <c r="S4384" s="162">
        <f>SUM(Sales[Net Amount])</f>
        <v>406839287.73200053</v>
      </c>
    </row>
    <row r="4385" spans="1:19" ht="18.75" x14ac:dyDescent="0.25">
      <c r="A4385" s="156" t="s">
        <v>8065</v>
      </c>
      <c r="B4385" s="157">
        <v>45993</v>
      </c>
      <c r="C4385" s="158" t="s">
        <v>935</v>
      </c>
      <c r="D4385" s="159" t="str">
        <f>VLOOKUP(Sales[[#This Row],[Customer ID]],Customer[#All],2,0)</f>
        <v>Ankit Kumar</v>
      </c>
      <c r="E4385" s="158" t="s">
        <v>298</v>
      </c>
      <c r="F4385" s="158" t="str">
        <f>VLOOKUP(Sales[[#This Row],[Product ID]],Product[#All],2,0)</f>
        <v>Dell Monitor</v>
      </c>
      <c r="G4385" s="159">
        <v>6</v>
      </c>
      <c r="H4385" s="160">
        <f>VLOOKUP(Sales[[#This Row],[Product ID]],Product[#All],7,0)</f>
        <v>25790</v>
      </c>
      <c r="I4385" s="160">
        <f>Sales[[#This Row],[Selling Rate]]*Sales[[#This Row],[Qty]]</f>
        <v>154740</v>
      </c>
      <c r="J4385" s="43">
        <v>0.05</v>
      </c>
      <c r="K4385" s="44">
        <f>Sales[[#This Row],[Gross Amount]]*Sales[[#This Row],[Disc %]]</f>
        <v>7737</v>
      </c>
      <c r="L4385" s="43">
        <v>0.18</v>
      </c>
      <c r="M4385" s="44">
        <f>(Sales[[#This Row],[Gross Amount]]-Sales[[#This Row],[Disc. Amt.]])*Sales[[#This Row],[GST %]]</f>
        <v>26460.539999999997</v>
      </c>
      <c r="N4385" s="161">
        <f>Sales[[#This Row],[Gross Amount]]-Sales[[#This Row],[Disc. Amt.]]+Sales[[#This Row],[GST Amount]]</f>
        <v>173463.54</v>
      </c>
      <c r="O4385" s="158" t="s">
        <v>3561</v>
      </c>
      <c r="P4385" s="158" t="s">
        <v>3562</v>
      </c>
      <c r="Q4385" s="160">
        <f>IF(Sales[[#This Row],[Status]]="Cancelled",0,Sales[[#This Row],[Qty]])</f>
        <v>6</v>
      </c>
      <c r="R4385" s="161">
        <f>IF(Sales[[#This Row],[Status]]="Cancelled",0,Sales[[#This Row],[Total Amount]])</f>
        <v>173463.54</v>
      </c>
      <c r="S4385" s="162">
        <f>SUM(Sales[Net Amount])</f>
        <v>406839287.73200053</v>
      </c>
    </row>
    <row r="4386" spans="1:19" ht="18.75" x14ac:dyDescent="0.25">
      <c r="A4386" s="163" t="s">
        <v>8066</v>
      </c>
      <c r="B4386" s="164">
        <v>45993</v>
      </c>
      <c r="C4386" s="34" t="s">
        <v>809</v>
      </c>
      <c r="D4386" s="53" t="str">
        <f>VLOOKUP(Sales[[#This Row],[Customer ID]],Customer[#All],2,0)</f>
        <v>Priya Patel</v>
      </c>
      <c r="E4386" s="34" t="s">
        <v>545</v>
      </c>
      <c r="F4386" s="34" t="str">
        <f>VLOOKUP(Sales[[#This Row],[Product ID]],Product[#All],2,0)</f>
        <v>WD HDD</v>
      </c>
      <c r="G4386" s="53">
        <v>2</v>
      </c>
      <c r="H4386" s="165">
        <f>VLOOKUP(Sales[[#This Row],[Product ID]],Product[#All],7,0)</f>
        <v>6720</v>
      </c>
      <c r="I4386" s="165">
        <f>Sales[[#This Row],[Selling Rate]]*Sales[[#This Row],[Qty]]</f>
        <v>13440</v>
      </c>
      <c r="J4386" s="45">
        <v>0.05</v>
      </c>
      <c r="K4386" s="46">
        <f>Sales[[#This Row],[Gross Amount]]*Sales[[#This Row],[Disc %]]</f>
        <v>672</v>
      </c>
      <c r="L4386" s="43">
        <v>0.18</v>
      </c>
      <c r="M4386" s="46">
        <f>(Sales[[#This Row],[Gross Amount]]-Sales[[#This Row],[Disc. Amt.]])*Sales[[#This Row],[GST %]]</f>
        <v>2298.2399999999998</v>
      </c>
      <c r="N4386" s="161">
        <f>Sales[[#This Row],[Gross Amount]]-Sales[[#This Row],[Disc. Amt.]]+Sales[[#This Row],[GST Amount]]</f>
        <v>15066.24</v>
      </c>
      <c r="O4386" s="34" t="s">
        <v>3566</v>
      </c>
      <c r="P4386" s="34" t="s">
        <v>3562</v>
      </c>
      <c r="Q4386" s="165">
        <f>IF(Sales[[#This Row],[Status]]="Cancelled",0,Sales[[#This Row],[Qty]])</f>
        <v>2</v>
      </c>
      <c r="R4386" s="166">
        <f>IF(Sales[[#This Row],[Status]]="Cancelled",0,Sales[[#This Row],[Total Amount]])</f>
        <v>15066.24</v>
      </c>
      <c r="S4386" s="162">
        <f>SUM(Sales[Net Amount])</f>
        <v>406839287.73200053</v>
      </c>
    </row>
    <row r="4387" spans="1:19" ht="18.75" x14ac:dyDescent="0.25">
      <c r="A4387" s="156" t="s">
        <v>8067</v>
      </c>
      <c r="B4387" s="157">
        <v>45993</v>
      </c>
      <c r="C4387" s="158" t="s">
        <v>939</v>
      </c>
      <c r="D4387" s="159" t="str">
        <f>VLOOKUP(Sales[[#This Row],[Customer ID]],Customer[#All],2,0)</f>
        <v>Sunita Sharma</v>
      </c>
      <c r="E4387" s="158" t="s">
        <v>405</v>
      </c>
      <c r="F4387" s="158" t="str">
        <f>VLOOKUP(Sales[[#This Row],[Product ID]],Product[#All],2,0)</f>
        <v>TP-link Bluetooth Adapter</v>
      </c>
      <c r="G4387" s="159">
        <v>6</v>
      </c>
      <c r="H4387" s="160">
        <f>VLOOKUP(Sales[[#This Row],[Product ID]],Product[#All],7,0)</f>
        <v>1470</v>
      </c>
      <c r="I4387" s="160">
        <f>Sales[[#This Row],[Selling Rate]]*Sales[[#This Row],[Qty]]</f>
        <v>8820</v>
      </c>
      <c r="J4387" s="43">
        <v>0.05</v>
      </c>
      <c r="K4387" s="44">
        <f>Sales[[#This Row],[Gross Amount]]*Sales[[#This Row],[Disc %]]</f>
        <v>441</v>
      </c>
      <c r="L4387" s="43">
        <v>0.18</v>
      </c>
      <c r="M4387" s="44">
        <f>(Sales[[#This Row],[Gross Amount]]-Sales[[#This Row],[Disc. Amt.]])*Sales[[#This Row],[GST %]]</f>
        <v>1508.22</v>
      </c>
      <c r="N4387" s="161">
        <f>Sales[[#This Row],[Gross Amount]]-Sales[[#This Row],[Disc. Amt.]]+Sales[[#This Row],[GST Amount]]</f>
        <v>9887.2199999999993</v>
      </c>
      <c r="O4387" s="158" t="s">
        <v>8876</v>
      </c>
      <c r="P4387" s="158" t="s">
        <v>3562</v>
      </c>
      <c r="Q4387" s="160">
        <f>IF(Sales[[#This Row],[Status]]="Cancelled",0,Sales[[#This Row],[Qty]])</f>
        <v>6</v>
      </c>
      <c r="R4387" s="161">
        <f>IF(Sales[[#This Row],[Status]]="Cancelled",0,Sales[[#This Row],[Total Amount]])</f>
        <v>9887.2199999999993</v>
      </c>
      <c r="S4387" s="162">
        <f>SUM(Sales[Net Amount])</f>
        <v>406839287.73200053</v>
      </c>
    </row>
    <row r="4388" spans="1:19" ht="18.75" x14ac:dyDescent="0.25">
      <c r="A4388" s="163" t="s">
        <v>8068</v>
      </c>
      <c r="B4388" s="164">
        <v>45993</v>
      </c>
      <c r="C4388" s="34" t="s">
        <v>883</v>
      </c>
      <c r="D4388" s="53" t="str">
        <f>VLOOKUP(Sales[[#This Row],[Customer ID]],Customer[#All],2,0)</f>
        <v>Rahul Verma</v>
      </c>
      <c r="E4388" s="34" t="s">
        <v>386</v>
      </c>
      <c r="F4388" s="34" t="str">
        <f>VLOOKUP(Sales[[#This Row],[Product ID]],Product[#All],2,0)</f>
        <v>Sandisk Pen Drive</v>
      </c>
      <c r="G4388" s="53">
        <v>6</v>
      </c>
      <c r="H4388" s="165">
        <f>VLOOKUP(Sales[[#This Row],[Product ID]],Product[#All],7,0)</f>
        <v>700</v>
      </c>
      <c r="I4388" s="165">
        <f>Sales[[#This Row],[Selling Rate]]*Sales[[#This Row],[Qty]]</f>
        <v>4200</v>
      </c>
      <c r="J4388" s="45">
        <v>0.05</v>
      </c>
      <c r="K4388" s="46">
        <f>Sales[[#This Row],[Gross Amount]]*Sales[[#This Row],[Disc %]]</f>
        <v>210</v>
      </c>
      <c r="L4388" s="43">
        <v>0.18</v>
      </c>
      <c r="M4388" s="46">
        <f>(Sales[[#This Row],[Gross Amount]]-Sales[[#This Row],[Disc. Amt.]])*Sales[[#This Row],[GST %]]</f>
        <v>718.19999999999993</v>
      </c>
      <c r="N4388" s="161">
        <f>Sales[[#This Row],[Gross Amount]]-Sales[[#This Row],[Disc. Amt.]]+Sales[[#This Row],[GST Amount]]</f>
        <v>4708.2</v>
      </c>
      <c r="O4388" s="34" t="s">
        <v>3566</v>
      </c>
      <c r="P4388" s="34" t="s">
        <v>3562</v>
      </c>
      <c r="Q4388" s="165">
        <f>IF(Sales[[#This Row],[Status]]="Cancelled",0,Sales[[#This Row],[Qty]])</f>
        <v>6</v>
      </c>
      <c r="R4388" s="166">
        <f>IF(Sales[[#This Row],[Status]]="Cancelled",0,Sales[[#This Row],[Total Amount]])</f>
        <v>4708.2</v>
      </c>
      <c r="S4388" s="162">
        <f>SUM(Sales[Net Amount])</f>
        <v>406839287.73200053</v>
      </c>
    </row>
    <row r="4389" spans="1:19" ht="18.75" x14ac:dyDescent="0.25">
      <c r="A4389" s="156" t="s">
        <v>8069</v>
      </c>
      <c r="B4389" s="157">
        <v>45993</v>
      </c>
      <c r="C4389" s="158" t="s">
        <v>922</v>
      </c>
      <c r="D4389" s="159" t="str">
        <f>VLOOKUP(Sales[[#This Row],[Customer ID]],Customer[#All],2,0)</f>
        <v>Pooja Patel</v>
      </c>
      <c r="E4389" s="158" t="s">
        <v>98</v>
      </c>
      <c r="F4389" s="158" t="str">
        <f>VLOOKUP(Sales[[#This Row],[Product ID]],Product[#All],2,0)</f>
        <v>TP-link Bluetooth Adapter</v>
      </c>
      <c r="G4389" s="159">
        <v>2</v>
      </c>
      <c r="H4389" s="160">
        <f>VLOOKUP(Sales[[#This Row],[Product ID]],Product[#All],7,0)</f>
        <v>1420</v>
      </c>
      <c r="I4389" s="160">
        <f>Sales[[#This Row],[Selling Rate]]*Sales[[#This Row],[Qty]]</f>
        <v>2840</v>
      </c>
      <c r="J4389" s="43">
        <v>0.05</v>
      </c>
      <c r="K4389" s="44">
        <f>Sales[[#This Row],[Gross Amount]]*Sales[[#This Row],[Disc %]]</f>
        <v>142</v>
      </c>
      <c r="L4389" s="43">
        <v>0.18</v>
      </c>
      <c r="M4389" s="44">
        <f>(Sales[[#This Row],[Gross Amount]]-Sales[[#This Row],[Disc. Amt.]])*Sales[[#This Row],[GST %]]</f>
        <v>485.64</v>
      </c>
      <c r="N4389" s="161">
        <f>Sales[[#This Row],[Gross Amount]]-Sales[[#This Row],[Disc. Amt.]]+Sales[[#This Row],[GST Amount]]</f>
        <v>3183.64</v>
      </c>
      <c r="O4389" s="158" t="s">
        <v>3561</v>
      </c>
      <c r="P4389" s="158" t="s">
        <v>3562</v>
      </c>
      <c r="Q4389" s="160">
        <f>IF(Sales[[#This Row],[Status]]="Cancelled",0,Sales[[#This Row],[Qty]])</f>
        <v>2</v>
      </c>
      <c r="R4389" s="161">
        <f>IF(Sales[[#This Row],[Status]]="Cancelled",0,Sales[[#This Row],[Total Amount]])</f>
        <v>3183.64</v>
      </c>
      <c r="S4389" s="162">
        <f>SUM(Sales[Net Amount])</f>
        <v>406839287.73200053</v>
      </c>
    </row>
    <row r="4390" spans="1:19" ht="18.75" x14ac:dyDescent="0.25">
      <c r="A4390" s="163" t="s">
        <v>8070</v>
      </c>
      <c r="B4390" s="164">
        <v>45993</v>
      </c>
      <c r="C4390" s="34" t="s">
        <v>757</v>
      </c>
      <c r="D4390" s="53" t="str">
        <f>VLOOKUP(Sales[[#This Row],[Customer ID]],Customer[#All],2,0)</f>
        <v>Amit Singh</v>
      </c>
      <c r="E4390" s="34" t="s">
        <v>293</v>
      </c>
      <c r="F4390" s="34" t="str">
        <f>VLOOKUP(Sales[[#This Row],[Product ID]],Product[#All],2,0)</f>
        <v>Samsung Ssd</v>
      </c>
      <c r="G4390" s="53">
        <v>4</v>
      </c>
      <c r="H4390" s="165">
        <f>VLOOKUP(Sales[[#This Row],[Product ID]],Product[#All],7,0)</f>
        <v>8530</v>
      </c>
      <c r="I4390" s="165">
        <f>Sales[[#This Row],[Selling Rate]]*Sales[[#This Row],[Qty]]</f>
        <v>34120</v>
      </c>
      <c r="J4390" s="45">
        <v>0.15</v>
      </c>
      <c r="K4390" s="46">
        <f>Sales[[#This Row],[Gross Amount]]*Sales[[#This Row],[Disc %]]</f>
        <v>5118</v>
      </c>
      <c r="L4390" s="43">
        <v>0.18</v>
      </c>
      <c r="M4390" s="46">
        <f>(Sales[[#This Row],[Gross Amount]]-Sales[[#This Row],[Disc. Amt.]])*Sales[[#This Row],[GST %]]</f>
        <v>5220.3599999999997</v>
      </c>
      <c r="N4390" s="161">
        <f>Sales[[#This Row],[Gross Amount]]-Sales[[#This Row],[Disc. Amt.]]+Sales[[#This Row],[GST Amount]]</f>
        <v>34222.36</v>
      </c>
      <c r="O4390" s="34" t="s">
        <v>3569</v>
      </c>
      <c r="P4390" s="34" t="s">
        <v>3562</v>
      </c>
      <c r="Q4390" s="165">
        <f>IF(Sales[[#This Row],[Status]]="Cancelled",0,Sales[[#This Row],[Qty]])</f>
        <v>4</v>
      </c>
      <c r="R4390" s="166">
        <f>IF(Sales[[#This Row],[Status]]="Cancelled",0,Sales[[#This Row],[Total Amount]])</f>
        <v>34222.36</v>
      </c>
      <c r="S4390" s="162">
        <f>SUM(Sales[Net Amount])</f>
        <v>406839287.73200053</v>
      </c>
    </row>
    <row r="4391" spans="1:19" ht="18.75" x14ac:dyDescent="0.25">
      <c r="A4391" s="156" t="s">
        <v>8071</v>
      </c>
      <c r="B4391" s="157">
        <v>45993</v>
      </c>
      <c r="C4391" s="158" t="s">
        <v>685</v>
      </c>
      <c r="D4391" s="159" t="str">
        <f>VLOOKUP(Sales[[#This Row],[Customer ID]],Customer[#All],2,0)</f>
        <v>Pooja Kumar</v>
      </c>
      <c r="E4391" s="158" t="s">
        <v>395</v>
      </c>
      <c r="F4391" s="158" t="str">
        <f>VLOOKUP(Sales[[#This Row],[Product ID]],Product[#All],2,0)</f>
        <v>American TouristerLaptopBag</v>
      </c>
      <c r="G4391" s="159">
        <v>1</v>
      </c>
      <c r="H4391" s="160">
        <f>VLOOKUP(Sales[[#This Row],[Product ID]],Product[#All],7,0)</f>
        <v>5010</v>
      </c>
      <c r="I4391" s="160">
        <f>Sales[[#This Row],[Selling Rate]]*Sales[[#This Row],[Qty]]</f>
        <v>5010</v>
      </c>
      <c r="J4391" s="43">
        <v>0</v>
      </c>
      <c r="K4391" s="44">
        <f>Sales[[#This Row],[Gross Amount]]*Sales[[#This Row],[Disc %]]</f>
        <v>0</v>
      </c>
      <c r="L4391" s="43">
        <v>0.18</v>
      </c>
      <c r="M4391" s="44">
        <f>(Sales[[#This Row],[Gross Amount]]-Sales[[#This Row],[Disc. Amt.]])*Sales[[#This Row],[GST %]]</f>
        <v>901.8</v>
      </c>
      <c r="N4391" s="161">
        <f>Sales[[#This Row],[Gross Amount]]-Sales[[#This Row],[Disc. Amt.]]+Sales[[#This Row],[GST Amount]]</f>
        <v>5911.8</v>
      </c>
      <c r="O4391" s="158" t="s">
        <v>8876</v>
      </c>
      <c r="P4391" s="158" t="s">
        <v>3562</v>
      </c>
      <c r="Q4391" s="160">
        <f>IF(Sales[[#This Row],[Status]]="Cancelled",0,Sales[[#This Row],[Qty]])</f>
        <v>1</v>
      </c>
      <c r="R4391" s="161">
        <f>IF(Sales[[#This Row],[Status]]="Cancelled",0,Sales[[#This Row],[Total Amount]])</f>
        <v>5911.8</v>
      </c>
      <c r="S4391" s="162">
        <f>SUM(Sales[Net Amount])</f>
        <v>406839287.73200053</v>
      </c>
    </row>
    <row r="4392" spans="1:19" ht="18.75" x14ac:dyDescent="0.25">
      <c r="A4392" s="163" t="s">
        <v>8072</v>
      </c>
      <c r="B4392" s="164">
        <v>45993</v>
      </c>
      <c r="C4392" s="34" t="s">
        <v>765</v>
      </c>
      <c r="D4392" s="53" t="str">
        <f>VLOOKUP(Sales[[#This Row],[Customer ID]],Customer[#All],2,0)</f>
        <v>Neha Gupta</v>
      </c>
      <c r="E4392" s="34" t="s">
        <v>105</v>
      </c>
      <c r="F4392" s="34" t="str">
        <f>VLOOKUP(Sales[[#This Row],[Product ID]],Product[#All],2,0)</f>
        <v>HP Power Adapter</v>
      </c>
      <c r="G4392" s="53">
        <v>8</v>
      </c>
      <c r="H4392" s="165">
        <f>VLOOKUP(Sales[[#This Row],[Product ID]],Product[#All],7,0)</f>
        <v>3280</v>
      </c>
      <c r="I4392" s="165">
        <f>Sales[[#This Row],[Selling Rate]]*Sales[[#This Row],[Qty]]</f>
        <v>26240</v>
      </c>
      <c r="J4392" s="45">
        <v>0.05</v>
      </c>
      <c r="K4392" s="46">
        <f>Sales[[#This Row],[Gross Amount]]*Sales[[#This Row],[Disc %]]</f>
        <v>1312</v>
      </c>
      <c r="L4392" s="43">
        <v>0.18</v>
      </c>
      <c r="M4392" s="46">
        <f>(Sales[[#This Row],[Gross Amount]]-Sales[[#This Row],[Disc. Amt.]])*Sales[[#This Row],[GST %]]</f>
        <v>4487.04</v>
      </c>
      <c r="N4392" s="161">
        <f>Sales[[#This Row],[Gross Amount]]-Sales[[#This Row],[Disc. Amt.]]+Sales[[#This Row],[GST Amount]]</f>
        <v>29415.040000000001</v>
      </c>
      <c r="O4392" s="34" t="s">
        <v>3566</v>
      </c>
      <c r="P4392" s="34" t="s">
        <v>3562</v>
      </c>
      <c r="Q4392" s="165">
        <f>IF(Sales[[#This Row],[Status]]="Cancelled",0,Sales[[#This Row],[Qty]])</f>
        <v>8</v>
      </c>
      <c r="R4392" s="166">
        <f>IF(Sales[[#This Row],[Status]]="Cancelled",0,Sales[[#This Row],[Total Amount]])</f>
        <v>29415.040000000001</v>
      </c>
      <c r="S4392" s="162">
        <f>SUM(Sales[Net Amount])</f>
        <v>406839287.73200053</v>
      </c>
    </row>
    <row r="4393" spans="1:19" ht="18.75" x14ac:dyDescent="0.25">
      <c r="A4393" s="156" t="s">
        <v>8073</v>
      </c>
      <c r="B4393" s="157">
        <v>45993</v>
      </c>
      <c r="C4393" s="158" t="s">
        <v>910</v>
      </c>
      <c r="D4393" s="159" t="str">
        <f>VLOOKUP(Sales[[#This Row],[Customer ID]],Customer[#All],2,0)</f>
        <v>Sahil Sharma</v>
      </c>
      <c r="E4393" s="158" t="s">
        <v>28</v>
      </c>
      <c r="F4393" s="158" t="str">
        <f>VLOOKUP(Sales[[#This Row],[Product ID]],Product[#All],2,0)</f>
        <v>Lenovo Laptop</v>
      </c>
      <c r="G4393" s="159">
        <v>1</v>
      </c>
      <c r="H4393" s="160">
        <f>VLOOKUP(Sales[[#This Row],[Product ID]],Product[#All],7,0)</f>
        <v>86330</v>
      </c>
      <c r="I4393" s="160">
        <f>Sales[[#This Row],[Selling Rate]]*Sales[[#This Row],[Qty]]</f>
        <v>86330</v>
      </c>
      <c r="J4393" s="43">
        <v>0.12</v>
      </c>
      <c r="K4393" s="44">
        <f>Sales[[#This Row],[Gross Amount]]*Sales[[#This Row],[Disc %]]</f>
        <v>10359.6</v>
      </c>
      <c r="L4393" s="43">
        <v>0.18</v>
      </c>
      <c r="M4393" s="44">
        <f>(Sales[[#This Row],[Gross Amount]]-Sales[[#This Row],[Disc. Amt.]])*Sales[[#This Row],[GST %]]</f>
        <v>13674.671999999999</v>
      </c>
      <c r="N4393" s="161">
        <f>Sales[[#This Row],[Gross Amount]]-Sales[[#This Row],[Disc. Amt.]]+Sales[[#This Row],[GST Amount]]</f>
        <v>89645.071999999986</v>
      </c>
      <c r="O4393" s="158" t="s">
        <v>3566</v>
      </c>
      <c r="P4393" s="158" t="s">
        <v>3562</v>
      </c>
      <c r="Q4393" s="160">
        <f>IF(Sales[[#This Row],[Status]]="Cancelled",0,Sales[[#This Row],[Qty]])</f>
        <v>1</v>
      </c>
      <c r="R4393" s="161">
        <f>IF(Sales[[#This Row],[Status]]="Cancelled",0,Sales[[#This Row],[Total Amount]])</f>
        <v>89645.071999999986</v>
      </c>
      <c r="S4393" s="162">
        <f>SUM(Sales[Net Amount])</f>
        <v>406839287.73200053</v>
      </c>
    </row>
    <row r="4394" spans="1:19" ht="18.75" x14ac:dyDescent="0.25">
      <c r="A4394" s="163" t="s">
        <v>8074</v>
      </c>
      <c r="B4394" s="164">
        <v>45993</v>
      </c>
      <c r="C4394" s="34" t="s">
        <v>765</v>
      </c>
      <c r="D4394" s="53" t="str">
        <f>VLOOKUP(Sales[[#This Row],[Customer ID]],Customer[#All],2,0)</f>
        <v>Neha Gupta</v>
      </c>
      <c r="E4394" s="34" t="s">
        <v>479</v>
      </c>
      <c r="F4394" s="34" t="str">
        <f>VLOOKUP(Sales[[#This Row],[Product ID]],Product[#All],2,0)</f>
        <v>TP-link Router</v>
      </c>
      <c r="G4394" s="53">
        <v>1</v>
      </c>
      <c r="H4394" s="165">
        <f>VLOOKUP(Sales[[#This Row],[Product ID]],Product[#All],7,0)</f>
        <v>5740</v>
      </c>
      <c r="I4394" s="165">
        <f>Sales[[#This Row],[Selling Rate]]*Sales[[#This Row],[Qty]]</f>
        <v>5740</v>
      </c>
      <c r="J4394" s="45">
        <v>0</v>
      </c>
      <c r="K4394" s="46">
        <f>Sales[[#This Row],[Gross Amount]]*Sales[[#This Row],[Disc %]]</f>
        <v>0</v>
      </c>
      <c r="L4394" s="43">
        <v>0.18</v>
      </c>
      <c r="M4394" s="46">
        <f>(Sales[[#This Row],[Gross Amount]]-Sales[[#This Row],[Disc. Amt.]])*Sales[[#This Row],[GST %]]</f>
        <v>1033.2</v>
      </c>
      <c r="N4394" s="161">
        <f>Sales[[#This Row],[Gross Amount]]-Sales[[#This Row],[Disc. Amt.]]+Sales[[#This Row],[GST Amount]]</f>
        <v>6773.2</v>
      </c>
      <c r="O4394" s="34" t="s">
        <v>3569</v>
      </c>
      <c r="P4394" s="34" t="s">
        <v>3562</v>
      </c>
      <c r="Q4394" s="165">
        <f>IF(Sales[[#This Row],[Status]]="Cancelled",0,Sales[[#This Row],[Qty]])</f>
        <v>1</v>
      </c>
      <c r="R4394" s="166">
        <f>IF(Sales[[#This Row],[Status]]="Cancelled",0,Sales[[#This Row],[Total Amount]])</f>
        <v>6773.2</v>
      </c>
      <c r="S4394" s="162">
        <f>SUM(Sales[Net Amount])</f>
        <v>406839287.73200053</v>
      </c>
    </row>
    <row r="4395" spans="1:19" ht="18.75" x14ac:dyDescent="0.25">
      <c r="A4395" s="156" t="s">
        <v>8075</v>
      </c>
      <c r="B4395" s="157">
        <v>45993</v>
      </c>
      <c r="C4395" s="158" t="s">
        <v>767</v>
      </c>
      <c r="D4395" s="159" t="str">
        <f>VLOOKUP(Sales[[#This Row],[Customer ID]],Customer[#All],2,0)</f>
        <v>Sunita Singh</v>
      </c>
      <c r="E4395" s="158" t="s">
        <v>404</v>
      </c>
      <c r="F4395" s="158" t="str">
        <f>VLOOKUP(Sales[[#This Row],[Product ID]],Product[#All],2,0)</f>
        <v>Dell Keyboard</v>
      </c>
      <c r="G4395" s="159">
        <v>4</v>
      </c>
      <c r="H4395" s="160">
        <f>VLOOKUP(Sales[[#This Row],[Product ID]],Product[#All],7,0)</f>
        <v>3410</v>
      </c>
      <c r="I4395" s="160">
        <f>Sales[[#This Row],[Selling Rate]]*Sales[[#This Row],[Qty]]</f>
        <v>13640</v>
      </c>
      <c r="J4395" s="43">
        <v>0.1</v>
      </c>
      <c r="K4395" s="44">
        <f>Sales[[#This Row],[Gross Amount]]*Sales[[#This Row],[Disc %]]</f>
        <v>1364</v>
      </c>
      <c r="L4395" s="43">
        <v>0.18</v>
      </c>
      <c r="M4395" s="44">
        <f>(Sales[[#This Row],[Gross Amount]]-Sales[[#This Row],[Disc. Amt.]])*Sales[[#This Row],[GST %]]</f>
        <v>2209.6799999999998</v>
      </c>
      <c r="N4395" s="161">
        <f>Sales[[#This Row],[Gross Amount]]-Sales[[#This Row],[Disc. Amt.]]+Sales[[#This Row],[GST Amount]]</f>
        <v>14485.68</v>
      </c>
      <c r="O4395" s="158" t="s">
        <v>3569</v>
      </c>
      <c r="P4395" s="158" t="s">
        <v>3562</v>
      </c>
      <c r="Q4395" s="160">
        <f>IF(Sales[[#This Row],[Status]]="Cancelled",0,Sales[[#This Row],[Qty]])</f>
        <v>4</v>
      </c>
      <c r="R4395" s="161">
        <f>IF(Sales[[#This Row],[Status]]="Cancelled",0,Sales[[#This Row],[Total Amount]])</f>
        <v>14485.68</v>
      </c>
      <c r="S4395" s="162">
        <f>SUM(Sales[Net Amount])</f>
        <v>406839287.73200053</v>
      </c>
    </row>
    <row r="4396" spans="1:19" ht="18.75" x14ac:dyDescent="0.25">
      <c r="A4396" s="163" t="s">
        <v>8076</v>
      </c>
      <c r="B4396" s="164">
        <v>45993</v>
      </c>
      <c r="C4396" s="34" t="s">
        <v>755</v>
      </c>
      <c r="D4396" s="53" t="str">
        <f>VLOOKUP(Sales[[#This Row],[Customer ID]],Customer[#All],2,0)</f>
        <v>Sunita Gupta</v>
      </c>
      <c r="E4396" s="34" t="s">
        <v>540</v>
      </c>
      <c r="F4396" s="34" t="str">
        <f>VLOOKUP(Sales[[#This Row],[Product ID]],Product[#All],2,0)</f>
        <v>Dell Desktop</v>
      </c>
      <c r="G4396" s="53">
        <v>6</v>
      </c>
      <c r="H4396" s="165">
        <f>VLOOKUP(Sales[[#This Row],[Product ID]],Product[#All],7,0)</f>
        <v>34160</v>
      </c>
      <c r="I4396" s="165">
        <f>Sales[[#This Row],[Selling Rate]]*Sales[[#This Row],[Qty]]</f>
        <v>204960</v>
      </c>
      <c r="J4396" s="45">
        <v>0.05</v>
      </c>
      <c r="K4396" s="46">
        <f>Sales[[#This Row],[Gross Amount]]*Sales[[#This Row],[Disc %]]</f>
        <v>10248</v>
      </c>
      <c r="L4396" s="43">
        <v>0.18</v>
      </c>
      <c r="M4396" s="46">
        <f>(Sales[[#This Row],[Gross Amount]]-Sales[[#This Row],[Disc. Amt.]])*Sales[[#This Row],[GST %]]</f>
        <v>35048.159999999996</v>
      </c>
      <c r="N4396" s="161">
        <f>Sales[[#This Row],[Gross Amount]]-Sales[[#This Row],[Disc. Amt.]]+Sales[[#This Row],[GST Amount]]</f>
        <v>229760.16</v>
      </c>
      <c r="O4396" s="34" t="s">
        <v>8876</v>
      </c>
      <c r="P4396" s="34" t="s">
        <v>3562</v>
      </c>
      <c r="Q4396" s="165">
        <f>IF(Sales[[#This Row],[Status]]="Cancelled",0,Sales[[#This Row],[Qty]])</f>
        <v>6</v>
      </c>
      <c r="R4396" s="166">
        <f>IF(Sales[[#This Row],[Status]]="Cancelled",0,Sales[[#This Row],[Total Amount]])</f>
        <v>229760.16</v>
      </c>
      <c r="S4396" s="162">
        <f>SUM(Sales[Net Amount])</f>
        <v>406839287.73200053</v>
      </c>
    </row>
    <row r="4397" spans="1:19" ht="18.75" x14ac:dyDescent="0.25">
      <c r="A4397" s="156" t="s">
        <v>8077</v>
      </c>
      <c r="B4397" s="157">
        <v>45993</v>
      </c>
      <c r="C4397" s="158" t="s">
        <v>793</v>
      </c>
      <c r="D4397" s="159" t="str">
        <f>VLOOKUP(Sales[[#This Row],[Customer ID]],Customer[#All],2,0)</f>
        <v>Neha Verma</v>
      </c>
      <c r="E4397" s="158" t="s">
        <v>514</v>
      </c>
      <c r="F4397" s="158" t="str">
        <f>VLOOKUP(Sales[[#This Row],[Product ID]],Product[#All],2,0)</f>
        <v>Apc UPS</v>
      </c>
      <c r="G4397" s="159">
        <v>7</v>
      </c>
      <c r="H4397" s="160">
        <f>VLOOKUP(Sales[[#This Row],[Product ID]],Product[#All],7,0)</f>
        <v>4660</v>
      </c>
      <c r="I4397" s="160">
        <f>Sales[[#This Row],[Selling Rate]]*Sales[[#This Row],[Qty]]</f>
        <v>32620</v>
      </c>
      <c r="J4397" s="43">
        <v>0.05</v>
      </c>
      <c r="K4397" s="44">
        <f>Sales[[#This Row],[Gross Amount]]*Sales[[#This Row],[Disc %]]</f>
        <v>1631</v>
      </c>
      <c r="L4397" s="43">
        <v>0.18</v>
      </c>
      <c r="M4397" s="44">
        <f>(Sales[[#This Row],[Gross Amount]]-Sales[[#This Row],[Disc. Amt.]])*Sales[[#This Row],[GST %]]</f>
        <v>5578.0199999999995</v>
      </c>
      <c r="N4397" s="161">
        <f>Sales[[#This Row],[Gross Amount]]-Sales[[#This Row],[Disc. Amt.]]+Sales[[#This Row],[GST Amount]]</f>
        <v>36567.019999999997</v>
      </c>
      <c r="O4397" s="158" t="s">
        <v>8876</v>
      </c>
      <c r="P4397" s="158" t="s">
        <v>3562</v>
      </c>
      <c r="Q4397" s="160">
        <f>IF(Sales[[#This Row],[Status]]="Cancelled",0,Sales[[#This Row],[Qty]])</f>
        <v>7</v>
      </c>
      <c r="R4397" s="161">
        <f>IF(Sales[[#This Row],[Status]]="Cancelled",0,Sales[[#This Row],[Total Amount]])</f>
        <v>36567.019999999997</v>
      </c>
      <c r="S4397" s="162">
        <f>SUM(Sales[Net Amount])</f>
        <v>406839287.73200053</v>
      </c>
    </row>
    <row r="4398" spans="1:19" ht="18.75" x14ac:dyDescent="0.25">
      <c r="A4398" s="163" t="s">
        <v>8078</v>
      </c>
      <c r="B4398" s="164">
        <v>45993</v>
      </c>
      <c r="C4398" s="34" t="s">
        <v>696</v>
      </c>
      <c r="D4398" s="53" t="str">
        <f>VLOOKUP(Sales[[#This Row],[Customer ID]],Customer[#All],2,0)</f>
        <v>Sunita Verma</v>
      </c>
      <c r="E4398" s="34" t="s">
        <v>232</v>
      </c>
      <c r="F4398" s="34" t="str">
        <f>VLOOKUP(Sales[[#This Row],[Product ID]],Product[#All],2,0)</f>
        <v>HP Printer</v>
      </c>
      <c r="G4398" s="53">
        <v>6</v>
      </c>
      <c r="H4398" s="165">
        <f>VLOOKUP(Sales[[#This Row],[Product ID]],Product[#All],7,0)</f>
        <v>35700</v>
      </c>
      <c r="I4398" s="165">
        <f>Sales[[#This Row],[Selling Rate]]*Sales[[#This Row],[Qty]]</f>
        <v>214200</v>
      </c>
      <c r="J4398" s="45">
        <v>0.05</v>
      </c>
      <c r="K4398" s="46">
        <f>Sales[[#This Row],[Gross Amount]]*Sales[[#This Row],[Disc %]]</f>
        <v>10710</v>
      </c>
      <c r="L4398" s="43">
        <v>0.18</v>
      </c>
      <c r="M4398" s="46">
        <f>(Sales[[#This Row],[Gross Amount]]-Sales[[#This Row],[Disc. Amt.]])*Sales[[#This Row],[GST %]]</f>
        <v>36628.199999999997</v>
      </c>
      <c r="N4398" s="161">
        <f>Sales[[#This Row],[Gross Amount]]-Sales[[#This Row],[Disc. Amt.]]+Sales[[#This Row],[GST Amount]]</f>
        <v>240118.2</v>
      </c>
      <c r="O4398" s="34" t="s">
        <v>8876</v>
      </c>
      <c r="P4398" s="34" t="s">
        <v>3562</v>
      </c>
      <c r="Q4398" s="165">
        <f>IF(Sales[[#This Row],[Status]]="Cancelled",0,Sales[[#This Row],[Qty]])</f>
        <v>6</v>
      </c>
      <c r="R4398" s="166">
        <f>IF(Sales[[#This Row],[Status]]="Cancelled",0,Sales[[#This Row],[Total Amount]])</f>
        <v>240118.2</v>
      </c>
      <c r="S4398" s="162">
        <f>SUM(Sales[Net Amount])</f>
        <v>406839287.73200053</v>
      </c>
    </row>
    <row r="4399" spans="1:19" ht="18.75" x14ac:dyDescent="0.25">
      <c r="A4399" s="156" t="s">
        <v>8079</v>
      </c>
      <c r="B4399" s="157">
        <v>45993</v>
      </c>
      <c r="C4399" s="158" t="s">
        <v>892</v>
      </c>
      <c r="D4399" s="159" t="str">
        <f>VLOOKUP(Sales[[#This Row],[Customer ID]],Customer[#All],2,0)</f>
        <v>Sahil Verma</v>
      </c>
      <c r="E4399" s="158" t="s">
        <v>250</v>
      </c>
      <c r="F4399" s="158" t="str">
        <f>VLOOKUP(Sales[[#This Row],[Product ID]],Product[#All],2,0)</f>
        <v>Corsair Ram</v>
      </c>
      <c r="G4399" s="159">
        <v>8</v>
      </c>
      <c r="H4399" s="160">
        <f>VLOOKUP(Sales[[#This Row],[Product ID]],Product[#All],7,0)</f>
        <v>12160</v>
      </c>
      <c r="I4399" s="160">
        <f>Sales[[#This Row],[Selling Rate]]*Sales[[#This Row],[Qty]]</f>
        <v>97280</v>
      </c>
      <c r="J4399" s="43">
        <v>0.1</v>
      </c>
      <c r="K4399" s="44">
        <f>Sales[[#This Row],[Gross Amount]]*Sales[[#This Row],[Disc %]]</f>
        <v>9728</v>
      </c>
      <c r="L4399" s="43">
        <v>0.18</v>
      </c>
      <c r="M4399" s="44">
        <f>(Sales[[#This Row],[Gross Amount]]-Sales[[#This Row],[Disc. Amt.]])*Sales[[#This Row],[GST %]]</f>
        <v>15759.359999999999</v>
      </c>
      <c r="N4399" s="161">
        <f>Sales[[#This Row],[Gross Amount]]-Sales[[#This Row],[Disc. Amt.]]+Sales[[#This Row],[GST Amount]]</f>
        <v>103311.36</v>
      </c>
      <c r="O4399" s="158" t="s">
        <v>8876</v>
      </c>
      <c r="P4399" s="158" t="s">
        <v>1040</v>
      </c>
      <c r="Q4399" s="160">
        <f>IF(Sales[[#This Row],[Status]]="Cancelled",0,Sales[[#This Row],[Qty]])</f>
        <v>0</v>
      </c>
      <c r="R4399" s="161">
        <f>IF(Sales[[#This Row],[Status]]="Cancelled",0,Sales[[#This Row],[Total Amount]])</f>
        <v>0</v>
      </c>
      <c r="S4399" s="162">
        <f>SUM(Sales[Net Amount])</f>
        <v>406839287.73200053</v>
      </c>
    </row>
    <row r="4400" spans="1:19" ht="18.75" x14ac:dyDescent="0.25">
      <c r="A4400" s="163" t="s">
        <v>8080</v>
      </c>
      <c r="B4400" s="164">
        <v>45994</v>
      </c>
      <c r="C4400" s="34" t="s">
        <v>791</v>
      </c>
      <c r="D4400" s="53" t="str">
        <f>VLOOKUP(Sales[[#This Row],[Customer ID]],Customer[#All],2,0)</f>
        <v>Rakesh Sharma</v>
      </c>
      <c r="E4400" s="34" t="s">
        <v>236</v>
      </c>
      <c r="F4400" s="34" t="str">
        <f>VLOOKUP(Sales[[#This Row],[Product ID]],Product[#All],2,0)</f>
        <v>Dell Desktop</v>
      </c>
      <c r="G4400" s="53">
        <v>1</v>
      </c>
      <c r="H4400" s="165">
        <f>VLOOKUP(Sales[[#This Row],[Product ID]],Product[#All],7,0)</f>
        <v>50050</v>
      </c>
      <c r="I4400" s="165">
        <f>Sales[[#This Row],[Selling Rate]]*Sales[[#This Row],[Qty]]</f>
        <v>50050</v>
      </c>
      <c r="J4400" s="45">
        <v>0</v>
      </c>
      <c r="K4400" s="46">
        <f>Sales[[#This Row],[Gross Amount]]*Sales[[#This Row],[Disc %]]</f>
        <v>0</v>
      </c>
      <c r="L4400" s="43">
        <v>0.18</v>
      </c>
      <c r="M4400" s="46">
        <f>(Sales[[#This Row],[Gross Amount]]-Sales[[#This Row],[Disc. Amt.]])*Sales[[#This Row],[GST %]]</f>
        <v>9009</v>
      </c>
      <c r="N4400" s="161">
        <f>Sales[[#This Row],[Gross Amount]]-Sales[[#This Row],[Disc. Amt.]]+Sales[[#This Row],[GST Amount]]</f>
        <v>59059</v>
      </c>
      <c r="O4400" s="34" t="s">
        <v>3561</v>
      </c>
      <c r="P4400" s="34" t="s">
        <v>3562</v>
      </c>
      <c r="Q4400" s="165">
        <f>IF(Sales[[#This Row],[Status]]="Cancelled",0,Sales[[#This Row],[Qty]])</f>
        <v>1</v>
      </c>
      <c r="R4400" s="166">
        <f>IF(Sales[[#This Row],[Status]]="Cancelled",0,Sales[[#This Row],[Total Amount]])</f>
        <v>59059</v>
      </c>
      <c r="S4400" s="162">
        <f>SUM(Sales[Net Amount])</f>
        <v>406839287.73200053</v>
      </c>
    </row>
    <row r="4401" spans="1:19" ht="18.75" x14ac:dyDescent="0.25">
      <c r="A4401" s="156" t="s">
        <v>8081</v>
      </c>
      <c r="B4401" s="157">
        <v>45994</v>
      </c>
      <c r="C4401" s="158" t="s">
        <v>893</v>
      </c>
      <c r="D4401" s="159" t="str">
        <f>VLOOKUP(Sales[[#This Row],[Customer ID]],Customer[#All],2,0)</f>
        <v>Sunita Sharma</v>
      </c>
      <c r="E4401" s="158" t="s">
        <v>435</v>
      </c>
      <c r="F4401" s="158" t="str">
        <f>VLOOKUP(Sales[[#This Row],[Product ID]],Product[#All],2,0)</f>
        <v>Corsair Ram</v>
      </c>
      <c r="G4401" s="159">
        <v>2</v>
      </c>
      <c r="H4401" s="160">
        <f>VLOOKUP(Sales[[#This Row],[Product ID]],Product[#All],7,0)</f>
        <v>8060</v>
      </c>
      <c r="I4401" s="160">
        <f>Sales[[#This Row],[Selling Rate]]*Sales[[#This Row],[Qty]]</f>
        <v>16120</v>
      </c>
      <c r="J4401" s="43">
        <v>0</v>
      </c>
      <c r="K4401" s="44">
        <f>Sales[[#This Row],[Gross Amount]]*Sales[[#This Row],[Disc %]]</f>
        <v>0</v>
      </c>
      <c r="L4401" s="43">
        <v>0.18</v>
      </c>
      <c r="M4401" s="44">
        <f>(Sales[[#This Row],[Gross Amount]]-Sales[[#This Row],[Disc. Amt.]])*Sales[[#This Row],[GST %]]</f>
        <v>2901.6</v>
      </c>
      <c r="N4401" s="161">
        <f>Sales[[#This Row],[Gross Amount]]-Sales[[#This Row],[Disc. Amt.]]+Sales[[#This Row],[GST Amount]]</f>
        <v>19021.599999999999</v>
      </c>
      <c r="O4401" s="158" t="s">
        <v>3566</v>
      </c>
      <c r="P4401" s="158" t="s">
        <v>3562</v>
      </c>
      <c r="Q4401" s="160">
        <f>IF(Sales[[#This Row],[Status]]="Cancelled",0,Sales[[#This Row],[Qty]])</f>
        <v>2</v>
      </c>
      <c r="R4401" s="161">
        <f>IF(Sales[[#This Row],[Status]]="Cancelled",0,Sales[[#This Row],[Total Amount]])</f>
        <v>19021.599999999999</v>
      </c>
      <c r="S4401" s="162">
        <f>SUM(Sales[Net Amount])</f>
        <v>406839287.73200053</v>
      </c>
    </row>
    <row r="4402" spans="1:19" ht="18.75" x14ac:dyDescent="0.25">
      <c r="A4402" s="163" t="s">
        <v>8082</v>
      </c>
      <c r="B4402" s="164">
        <v>45994</v>
      </c>
      <c r="C4402" s="34" t="s">
        <v>677</v>
      </c>
      <c r="D4402" s="53" t="str">
        <f>VLOOKUP(Sales[[#This Row],[Customer ID]],Customer[#All],2,0)</f>
        <v>Sahil Verma</v>
      </c>
      <c r="E4402" s="34" t="s">
        <v>20</v>
      </c>
      <c r="F4402" s="34" t="str">
        <f>VLOOKUP(Sales[[#This Row],[Product ID]],Product[#All],2,0)</f>
        <v>Logitech Keyboard</v>
      </c>
      <c r="G4402" s="53">
        <v>3</v>
      </c>
      <c r="H4402" s="165">
        <f>VLOOKUP(Sales[[#This Row],[Product ID]],Product[#All],7,0)</f>
        <v>3290</v>
      </c>
      <c r="I4402" s="165">
        <f>Sales[[#This Row],[Selling Rate]]*Sales[[#This Row],[Qty]]</f>
        <v>9870</v>
      </c>
      <c r="J4402" s="45">
        <v>0.02</v>
      </c>
      <c r="K4402" s="46">
        <f>Sales[[#This Row],[Gross Amount]]*Sales[[#This Row],[Disc %]]</f>
        <v>197.4</v>
      </c>
      <c r="L4402" s="43">
        <v>0.18</v>
      </c>
      <c r="M4402" s="46">
        <f>(Sales[[#This Row],[Gross Amount]]-Sales[[#This Row],[Disc. Amt.]])*Sales[[#This Row],[GST %]]</f>
        <v>1741.068</v>
      </c>
      <c r="N4402" s="161">
        <f>Sales[[#This Row],[Gross Amount]]-Sales[[#This Row],[Disc. Amt.]]+Sales[[#This Row],[GST Amount]]</f>
        <v>11413.668</v>
      </c>
      <c r="O4402" s="34" t="s">
        <v>8876</v>
      </c>
      <c r="P4402" s="34" t="s">
        <v>3562</v>
      </c>
      <c r="Q4402" s="165">
        <f>IF(Sales[[#This Row],[Status]]="Cancelled",0,Sales[[#This Row],[Qty]])</f>
        <v>3</v>
      </c>
      <c r="R4402" s="166">
        <f>IF(Sales[[#This Row],[Status]]="Cancelled",0,Sales[[#This Row],[Total Amount]])</f>
        <v>11413.668</v>
      </c>
      <c r="S4402" s="162">
        <f>SUM(Sales[Net Amount])</f>
        <v>406839287.73200053</v>
      </c>
    </row>
    <row r="4403" spans="1:19" ht="18.75" x14ac:dyDescent="0.25">
      <c r="A4403" s="156" t="s">
        <v>8083</v>
      </c>
      <c r="B4403" s="157">
        <v>45994</v>
      </c>
      <c r="C4403" s="158" t="s">
        <v>708</v>
      </c>
      <c r="D4403" s="159" t="str">
        <f>VLOOKUP(Sales[[#This Row],[Customer ID]],Customer[#All],2,0)</f>
        <v>Amit Verma</v>
      </c>
      <c r="E4403" s="158" t="s">
        <v>321</v>
      </c>
      <c r="F4403" s="158" t="str">
        <f>VLOOKUP(Sales[[#This Row],[Product ID]],Product[#All],2,0)</f>
        <v>WD HDD</v>
      </c>
      <c r="G4403" s="159">
        <v>1</v>
      </c>
      <c r="H4403" s="160">
        <f>VLOOKUP(Sales[[#This Row],[Product ID]],Product[#All],7,0)</f>
        <v>6810</v>
      </c>
      <c r="I4403" s="160">
        <f>Sales[[#This Row],[Selling Rate]]*Sales[[#This Row],[Qty]]</f>
        <v>6810</v>
      </c>
      <c r="J4403" s="43">
        <v>0.1</v>
      </c>
      <c r="K4403" s="44">
        <f>Sales[[#This Row],[Gross Amount]]*Sales[[#This Row],[Disc %]]</f>
        <v>681</v>
      </c>
      <c r="L4403" s="43">
        <v>0.18</v>
      </c>
      <c r="M4403" s="44">
        <f>(Sales[[#This Row],[Gross Amount]]-Sales[[#This Row],[Disc. Amt.]])*Sales[[#This Row],[GST %]]</f>
        <v>1103.22</v>
      </c>
      <c r="N4403" s="161">
        <f>Sales[[#This Row],[Gross Amount]]-Sales[[#This Row],[Disc. Amt.]]+Sales[[#This Row],[GST Amount]]</f>
        <v>7232.22</v>
      </c>
      <c r="O4403" s="158" t="s">
        <v>3561</v>
      </c>
      <c r="P4403" s="158" t="s">
        <v>3562</v>
      </c>
      <c r="Q4403" s="160">
        <f>IF(Sales[[#This Row],[Status]]="Cancelled",0,Sales[[#This Row],[Qty]])</f>
        <v>1</v>
      </c>
      <c r="R4403" s="161">
        <f>IF(Sales[[#This Row],[Status]]="Cancelled",0,Sales[[#This Row],[Total Amount]])</f>
        <v>7232.22</v>
      </c>
      <c r="S4403" s="162">
        <f>SUM(Sales[Net Amount])</f>
        <v>406839287.73200053</v>
      </c>
    </row>
    <row r="4404" spans="1:19" ht="18.75" x14ac:dyDescent="0.25">
      <c r="A4404" s="163" t="s">
        <v>8084</v>
      </c>
      <c r="B4404" s="164">
        <v>45994</v>
      </c>
      <c r="C4404" s="34" t="s">
        <v>804</v>
      </c>
      <c r="D4404" s="53" t="str">
        <f>VLOOKUP(Sales[[#This Row],[Customer ID]],Customer[#All],2,0)</f>
        <v>Amit Gupta</v>
      </c>
      <c r="E4404" s="34" t="s">
        <v>144</v>
      </c>
      <c r="F4404" s="34" t="str">
        <f>VLOOKUP(Sales[[#This Row],[Product ID]],Product[#All],2,0)</f>
        <v>Jbl Speaker</v>
      </c>
      <c r="G4404" s="53">
        <v>2</v>
      </c>
      <c r="H4404" s="165">
        <f>VLOOKUP(Sales[[#This Row],[Product ID]],Product[#All],7,0)</f>
        <v>7630</v>
      </c>
      <c r="I4404" s="165">
        <f>Sales[[#This Row],[Selling Rate]]*Sales[[#This Row],[Qty]]</f>
        <v>15260</v>
      </c>
      <c r="J4404" s="45">
        <v>0.12</v>
      </c>
      <c r="K4404" s="46">
        <f>Sales[[#This Row],[Gross Amount]]*Sales[[#This Row],[Disc %]]</f>
        <v>1831.2</v>
      </c>
      <c r="L4404" s="43">
        <v>0.18</v>
      </c>
      <c r="M4404" s="46">
        <f>(Sales[[#This Row],[Gross Amount]]-Sales[[#This Row],[Disc. Amt.]])*Sales[[#This Row],[GST %]]</f>
        <v>2417.1839999999997</v>
      </c>
      <c r="N4404" s="161">
        <f>Sales[[#This Row],[Gross Amount]]-Sales[[#This Row],[Disc. Amt.]]+Sales[[#This Row],[GST Amount]]</f>
        <v>15845.983999999999</v>
      </c>
      <c r="O4404" s="34" t="s">
        <v>3569</v>
      </c>
      <c r="P4404" s="34" t="s">
        <v>3562</v>
      </c>
      <c r="Q4404" s="165">
        <f>IF(Sales[[#This Row],[Status]]="Cancelled",0,Sales[[#This Row],[Qty]])</f>
        <v>2</v>
      </c>
      <c r="R4404" s="166">
        <f>IF(Sales[[#This Row],[Status]]="Cancelled",0,Sales[[#This Row],[Total Amount]])</f>
        <v>15845.983999999999</v>
      </c>
      <c r="S4404" s="162">
        <f>SUM(Sales[Net Amount])</f>
        <v>406839287.73200053</v>
      </c>
    </row>
    <row r="4405" spans="1:19" ht="18.75" x14ac:dyDescent="0.25">
      <c r="A4405" s="156" t="s">
        <v>8085</v>
      </c>
      <c r="B4405" s="157">
        <v>45994</v>
      </c>
      <c r="C4405" s="158" t="s">
        <v>651</v>
      </c>
      <c r="D4405" s="159" t="str">
        <f>VLOOKUP(Sales[[#This Row],[Customer ID]],Customer[#All],2,0)</f>
        <v>Sahil Verma</v>
      </c>
      <c r="E4405" s="158" t="s">
        <v>272</v>
      </c>
      <c r="F4405" s="158" t="str">
        <f>VLOOKUP(Sales[[#This Row],[Product ID]],Product[#All],2,0)</f>
        <v>Jbl Speaker</v>
      </c>
      <c r="G4405" s="159">
        <v>6</v>
      </c>
      <c r="H4405" s="160">
        <f>VLOOKUP(Sales[[#This Row],[Product ID]],Product[#All],7,0)</f>
        <v>10960</v>
      </c>
      <c r="I4405" s="160">
        <f>Sales[[#This Row],[Selling Rate]]*Sales[[#This Row],[Qty]]</f>
        <v>65760</v>
      </c>
      <c r="J4405" s="43">
        <v>0.1</v>
      </c>
      <c r="K4405" s="44">
        <f>Sales[[#This Row],[Gross Amount]]*Sales[[#This Row],[Disc %]]</f>
        <v>6576</v>
      </c>
      <c r="L4405" s="43">
        <v>0.18</v>
      </c>
      <c r="M4405" s="44">
        <f>(Sales[[#This Row],[Gross Amount]]-Sales[[#This Row],[Disc. Amt.]])*Sales[[#This Row],[GST %]]</f>
        <v>10653.119999999999</v>
      </c>
      <c r="N4405" s="161">
        <f>Sales[[#This Row],[Gross Amount]]-Sales[[#This Row],[Disc. Amt.]]+Sales[[#This Row],[GST Amount]]</f>
        <v>69837.119999999995</v>
      </c>
      <c r="O4405" s="158" t="s">
        <v>8876</v>
      </c>
      <c r="P4405" s="158" t="s">
        <v>3562</v>
      </c>
      <c r="Q4405" s="160">
        <f>IF(Sales[[#This Row],[Status]]="Cancelled",0,Sales[[#This Row],[Qty]])</f>
        <v>6</v>
      </c>
      <c r="R4405" s="161">
        <f>IF(Sales[[#This Row],[Status]]="Cancelled",0,Sales[[#This Row],[Total Amount]])</f>
        <v>69837.119999999995</v>
      </c>
      <c r="S4405" s="162">
        <f>SUM(Sales[Net Amount])</f>
        <v>406839287.73200053</v>
      </c>
    </row>
    <row r="4406" spans="1:19" ht="18.75" x14ac:dyDescent="0.25">
      <c r="A4406" s="163" t="s">
        <v>8086</v>
      </c>
      <c r="B4406" s="164">
        <v>45994</v>
      </c>
      <c r="C4406" s="34" t="s">
        <v>667</v>
      </c>
      <c r="D4406" s="53" t="str">
        <f>VLOOKUP(Sales[[#This Row],[Customer ID]],Customer[#All],2,0)</f>
        <v>Neha Gupta</v>
      </c>
      <c r="E4406" s="34" t="s">
        <v>355</v>
      </c>
      <c r="F4406" s="34" t="str">
        <f>VLOOKUP(Sales[[#This Row],[Product ID]],Product[#All],2,0)</f>
        <v>HP Power Adapter</v>
      </c>
      <c r="G4406" s="53">
        <v>2</v>
      </c>
      <c r="H4406" s="165">
        <f>VLOOKUP(Sales[[#This Row],[Product ID]],Product[#All],7,0)</f>
        <v>3940</v>
      </c>
      <c r="I4406" s="165">
        <f>Sales[[#This Row],[Selling Rate]]*Sales[[#This Row],[Qty]]</f>
        <v>7880</v>
      </c>
      <c r="J4406" s="45">
        <v>0</v>
      </c>
      <c r="K4406" s="46">
        <f>Sales[[#This Row],[Gross Amount]]*Sales[[#This Row],[Disc %]]</f>
        <v>0</v>
      </c>
      <c r="L4406" s="43">
        <v>0.18</v>
      </c>
      <c r="M4406" s="46">
        <f>(Sales[[#This Row],[Gross Amount]]-Sales[[#This Row],[Disc. Amt.]])*Sales[[#This Row],[GST %]]</f>
        <v>1418.3999999999999</v>
      </c>
      <c r="N4406" s="161">
        <f>Sales[[#This Row],[Gross Amount]]-Sales[[#This Row],[Disc. Amt.]]+Sales[[#This Row],[GST Amount]]</f>
        <v>9298.4</v>
      </c>
      <c r="O4406" s="34" t="s">
        <v>3561</v>
      </c>
      <c r="P4406" s="34" t="s">
        <v>3562</v>
      </c>
      <c r="Q4406" s="165">
        <f>IF(Sales[[#This Row],[Status]]="Cancelled",0,Sales[[#This Row],[Qty]])</f>
        <v>2</v>
      </c>
      <c r="R4406" s="166">
        <f>IF(Sales[[#This Row],[Status]]="Cancelled",0,Sales[[#This Row],[Total Amount]])</f>
        <v>9298.4</v>
      </c>
      <c r="S4406" s="162">
        <f>SUM(Sales[Net Amount])</f>
        <v>406839287.73200053</v>
      </c>
    </row>
    <row r="4407" spans="1:19" ht="18.75" x14ac:dyDescent="0.25">
      <c r="A4407" s="156" t="s">
        <v>8087</v>
      </c>
      <c r="B4407" s="157">
        <v>45994</v>
      </c>
      <c r="C4407" s="158" t="s">
        <v>886</v>
      </c>
      <c r="D4407" s="159" t="str">
        <f>VLOOKUP(Sales[[#This Row],[Customer ID]],Customer[#All],2,0)</f>
        <v>Sunita Gupta</v>
      </c>
      <c r="E4407" s="158" t="s">
        <v>217</v>
      </c>
      <c r="F4407" s="158" t="str">
        <f>VLOOKUP(Sales[[#This Row],[Product ID]],Product[#All],2,0)</f>
        <v>Logitech Webcam</v>
      </c>
      <c r="G4407" s="159">
        <v>8</v>
      </c>
      <c r="H4407" s="160">
        <f>VLOOKUP(Sales[[#This Row],[Product ID]],Product[#All],7,0)</f>
        <v>2420</v>
      </c>
      <c r="I4407" s="160">
        <f>Sales[[#This Row],[Selling Rate]]*Sales[[#This Row],[Qty]]</f>
        <v>19360</v>
      </c>
      <c r="J4407" s="43">
        <v>0</v>
      </c>
      <c r="K4407" s="44">
        <f>Sales[[#This Row],[Gross Amount]]*Sales[[#This Row],[Disc %]]</f>
        <v>0</v>
      </c>
      <c r="L4407" s="43">
        <v>0.18</v>
      </c>
      <c r="M4407" s="44">
        <f>(Sales[[#This Row],[Gross Amount]]-Sales[[#This Row],[Disc. Amt.]])*Sales[[#This Row],[GST %]]</f>
        <v>3484.7999999999997</v>
      </c>
      <c r="N4407" s="161">
        <f>Sales[[#This Row],[Gross Amount]]-Sales[[#This Row],[Disc. Amt.]]+Sales[[#This Row],[GST Amount]]</f>
        <v>22844.799999999999</v>
      </c>
      <c r="O4407" s="158" t="s">
        <v>3566</v>
      </c>
      <c r="P4407" s="158" t="s">
        <v>3562</v>
      </c>
      <c r="Q4407" s="160">
        <f>IF(Sales[[#This Row],[Status]]="Cancelled",0,Sales[[#This Row],[Qty]])</f>
        <v>8</v>
      </c>
      <c r="R4407" s="161">
        <f>IF(Sales[[#This Row],[Status]]="Cancelled",0,Sales[[#This Row],[Total Amount]])</f>
        <v>22844.799999999999</v>
      </c>
      <c r="S4407" s="162">
        <f>SUM(Sales[Net Amount])</f>
        <v>406839287.73200053</v>
      </c>
    </row>
    <row r="4408" spans="1:19" ht="18.75" x14ac:dyDescent="0.25">
      <c r="A4408" s="163" t="s">
        <v>8088</v>
      </c>
      <c r="B4408" s="164">
        <v>45994</v>
      </c>
      <c r="C4408" s="34" t="s">
        <v>926</v>
      </c>
      <c r="D4408" s="53" t="str">
        <f>VLOOKUP(Sales[[#This Row],[Customer ID]],Customer[#All],2,0)</f>
        <v>Pooja Singh</v>
      </c>
      <c r="E4408" s="34" t="s">
        <v>471</v>
      </c>
      <c r="F4408" s="34" t="str">
        <f>VLOOKUP(Sales[[#This Row],[Product ID]],Product[#All],2,0)</f>
        <v>Samsung Monitor</v>
      </c>
      <c r="G4408" s="53">
        <v>5</v>
      </c>
      <c r="H4408" s="165">
        <f>VLOOKUP(Sales[[#This Row],[Product ID]],Product[#All],7,0)</f>
        <v>10840</v>
      </c>
      <c r="I4408" s="165">
        <f>Sales[[#This Row],[Selling Rate]]*Sales[[#This Row],[Qty]]</f>
        <v>54200</v>
      </c>
      <c r="J4408" s="45">
        <v>0.12</v>
      </c>
      <c r="K4408" s="46">
        <f>Sales[[#This Row],[Gross Amount]]*Sales[[#This Row],[Disc %]]</f>
        <v>6504</v>
      </c>
      <c r="L4408" s="43">
        <v>0.18</v>
      </c>
      <c r="M4408" s="46">
        <f>(Sales[[#This Row],[Gross Amount]]-Sales[[#This Row],[Disc. Amt.]])*Sales[[#This Row],[GST %]]</f>
        <v>8585.2799999999988</v>
      </c>
      <c r="N4408" s="161">
        <f>Sales[[#This Row],[Gross Amount]]-Sales[[#This Row],[Disc. Amt.]]+Sales[[#This Row],[GST Amount]]</f>
        <v>56281.279999999999</v>
      </c>
      <c r="O4408" s="34" t="s">
        <v>3566</v>
      </c>
      <c r="P4408" s="34" t="s">
        <v>3562</v>
      </c>
      <c r="Q4408" s="165">
        <f>IF(Sales[[#This Row],[Status]]="Cancelled",0,Sales[[#This Row],[Qty]])</f>
        <v>5</v>
      </c>
      <c r="R4408" s="166">
        <f>IF(Sales[[#This Row],[Status]]="Cancelled",0,Sales[[#This Row],[Total Amount]])</f>
        <v>56281.279999999999</v>
      </c>
      <c r="S4408" s="162">
        <f>SUM(Sales[Net Amount])</f>
        <v>406839287.73200053</v>
      </c>
    </row>
    <row r="4409" spans="1:19" ht="18.75" x14ac:dyDescent="0.25">
      <c r="A4409" s="156" t="s">
        <v>8089</v>
      </c>
      <c r="B4409" s="157">
        <v>45994</v>
      </c>
      <c r="C4409" s="158" t="s">
        <v>875</v>
      </c>
      <c r="D4409" s="159" t="str">
        <f>VLOOKUP(Sales[[#This Row],[Customer ID]],Customer[#All],2,0)</f>
        <v>Rahul Verma</v>
      </c>
      <c r="E4409" s="158" t="s">
        <v>548</v>
      </c>
      <c r="F4409" s="158" t="str">
        <f>VLOOKUP(Sales[[#This Row],[Product ID]],Product[#All],2,0)</f>
        <v>HP Power Adapter</v>
      </c>
      <c r="G4409" s="159">
        <v>6</v>
      </c>
      <c r="H4409" s="160">
        <f>VLOOKUP(Sales[[#This Row],[Product ID]],Product[#All],7,0)</f>
        <v>2470</v>
      </c>
      <c r="I4409" s="160">
        <f>Sales[[#This Row],[Selling Rate]]*Sales[[#This Row],[Qty]]</f>
        <v>14820</v>
      </c>
      <c r="J4409" s="43">
        <v>0</v>
      </c>
      <c r="K4409" s="44">
        <f>Sales[[#This Row],[Gross Amount]]*Sales[[#This Row],[Disc %]]</f>
        <v>0</v>
      </c>
      <c r="L4409" s="43">
        <v>0.18</v>
      </c>
      <c r="M4409" s="44">
        <f>(Sales[[#This Row],[Gross Amount]]-Sales[[#This Row],[Disc. Amt.]])*Sales[[#This Row],[GST %]]</f>
        <v>2667.6</v>
      </c>
      <c r="N4409" s="161">
        <f>Sales[[#This Row],[Gross Amount]]-Sales[[#This Row],[Disc. Amt.]]+Sales[[#This Row],[GST Amount]]</f>
        <v>17487.599999999999</v>
      </c>
      <c r="O4409" s="158" t="s">
        <v>3566</v>
      </c>
      <c r="P4409" s="158" t="s">
        <v>3562</v>
      </c>
      <c r="Q4409" s="160">
        <f>IF(Sales[[#This Row],[Status]]="Cancelled",0,Sales[[#This Row],[Qty]])</f>
        <v>6</v>
      </c>
      <c r="R4409" s="161">
        <f>IF(Sales[[#This Row],[Status]]="Cancelled",0,Sales[[#This Row],[Total Amount]])</f>
        <v>17487.599999999999</v>
      </c>
      <c r="S4409" s="162">
        <f>SUM(Sales[Net Amount])</f>
        <v>406839287.73200053</v>
      </c>
    </row>
    <row r="4410" spans="1:19" ht="18.75" x14ac:dyDescent="0.25">
      <c r="A4410" s="163" t="s">
        <v>8090</v>
      </c>
      <c r="B4410" s="164">
        <v>45994</v>
      </c>
      <c r="C4410" s="34" t="s">
        <v>901</v>
      </c>
      <c r="D4410" s="53" t="str">
        <f>VLOOKUP(Sales[[#This Row],[Customer ID]],Customer[#All],2,0)</f>
        <v>Vikas Kumar</v>
      </c>
      <c r="E4410" s="34" t="s">
        <v>238</v>
      </c>
      <c r="F4410" s="34" t="str">
        <f>VLOOKUP(Sales[[#This Row],[Product ID]],Product[#All],2,0)</f>
        <v>Samsung Monitor</v>
      </c>
      <c r="G4410" s="53">
        <v>7</v>
      </c>
      <c r="H4410" s="165">
        <f>VLOOKUP(Sales[[#This Row],[Product ID]],Product[#All],7,0)</f>
        <v>8180</v>
      </c>
      <c r="I4410" s="165">
        <f>Sales[[#This Row],[Selling Rate]]*Sales[[#This Row],[Qty]]</f>
        <v>57260</v>
      </c>
      <c r="J4410" s="45">
        <v>0.1</v>
      </c>
      <c r="K4410" s="46">
        <f>Sales[[#This Row],[Gross Amount]]*Sales[[#This Row],[Disc %]]</f>
        <v>5726</v>
      </c>
      <c r="L4410" s="43">
        <v>0.18</v>
      </c>
      <c r="M4410" s="46">
        <f>(Sales[[#This Row],[Gross Amount]]-Sales[[#This Row],[Disc. Amt.]])*Sales[[#This Row],[GST %]]</f>
        <v>9276.119999999999</v>
      </c>
      <c r="N4410" s="161">
        <f>Sales[[#This Row],[Gross Amount]]-Sales[[#This Row],[Disc. Amt.]]+Sales[[#This Row],[GST Amount]]</f>
        <v>60810.119999999995</v>
      </c>
      <c r="O4410" s="34" t="s">
        <v>3569</v>
      </c>
      <c r="P4410" s="34" t="s">
        <v>3562</v>
      </c>
      <c r="Q4410" s="165">
        <f>IF(Sales[[#This Row],[Status]]="Cancelled",0,Sales[[#This Row],[Qty]])</f>
        <v>7</v>
      </c>
      <c r="R4410" s="166">
        <f>IF(Sales[[#This Row],[Status]]="Cancelled",0,Sales[[#This Row],[Total Amount]])</f>
        <v>60810.119999999995</v>
      </c>
      <c r="S4410" s="162">
        <f>SUM(Sales[Net Amount])</f>
        <v>406839287.73200053</v>
      </c>
    </row>
    <row r="4411" spans="1:19" ht="18.75" x14ac:dyDescent="0.25">
      <c r="A4411" s="156" t="s">
        <v>8091</v>
      </c>
      <c r="B4411" s="157">
        <v>45994</v>
      </c>
      <c r="C4411" s="158" t="s">
        <v>808</v>
      </c>
      <c r="D4411" s="159" t="str">
        <f>VLOOKUP(Sales[[#This Row],[Customer ID]],Customer[#All],2,0)</f>
        <v>Rahul Singh</v>
      </c>
      <c r="E4411" s="158" t="s">
        <v>322</v>
      </c>
      <c r="F4411" s="158" t="str">
        <f>VLOOKUP(Sales[[#This Row],[Product ID]],Product[#All],2,0)</f>
        <v>Jbl Speaker</v>
      </c>
      <c r="G4411" s="159">
        <v>8</v>
      </c>
      <c r="H4411" s="160">
        <f>VLOOKUP(Sales[[#This Row],[Product ID]],Product[#All],7,0)</f>
        <v>10370</v>
      </c>
      <c r="I4411" s="160">
        <f>Sales[[#This Row],[Selling Rate]]*Sales[[#This Row],[Qty]]</f>
        <v>82960</v>
      </c>
      <c r="J4411" s="43">
        <v>0.1</v>
      </c>
      <c r="K4411" s="44">
        <f>Sales[[#This Row],[Gross Amount]]*Sales[[#This Row],[Disc %]]</f>
        <v>8296</v>
      </c>
      <c r="L4411" s="43">
        <v>0.18</v>
      </c>
      <c r="M4411" s="44">
        <f>(Sales[[#This Row],[Gross Amount]]-Sales[[#This Row],[Disc. Amt.]])*Sales[[#This Row],[GST %]]</f>
        <v>13439.519999999999</v>
      </c>
      <c r="N4411" s="161">
        <f>Sales[[#This Row],[Gross Amount]]-Sales[[#This Row],[Disc. Amt.]]+Sales[[#This Row],[GST Amount]]</f>
        <v>88103.52</v>
      </c>
      <c r="O4411" s="158" t="s">
        <v>3561</v>
      </c>
      <c r="P4411" s="158" t="s">
        <v>3562</v>
      </c>
      <c r="Q4411" s="160">
        <f>IF(Sales[[#This Row],[Status]]="Cancelled",0,Sales[[#This Row],[Qty]])</f>
        <v>8</v>
      </c>
      <c r="R4411" s="161">
        <f>IF(Sales[[#This Row],[Status]]="Cancelled",0,Sales[[#This Row],[Total Amount]])</f>
        <v>88103.52</v>
      </c>
      <c r="S4411" s="162">
        <f>SUM(Sales[Net Amount])</f>
        <v>406839287.73200053</v>
      </c>
    </row>
    <row r="4412" spans="1:19" ht="18.75" x14ac:dyDescent="0.25">
      <c r="A4412" s="163" t="s">
        <v>8092</v>
      </c>
      <c r="B4412" s="164">
        <v>45994</v>
      </c>
      <c r="C4412" s="34" t="s">
        <v>894</v>
      </c>
      <c r="D4412" s="53" t="str">
        <f>VLOOKUP(Sales[[#This Row],[Customer ID]],Customer[#All],2,0)</f>
        <v>Sunita Patel</v>
      </c>
      <c r="E4412" s="34" t="s">
        <v>425</v>
      </c>
      <c r="F4412" s="34" t="str">
        <f>VLOOKUP(Sales[[#This Row],[Product ID]],Product[#All],2,0)</f>
        <v>WD HDD</v>
      </c>
      <c r="G4412" s="53">
        <v>5</v>
      </c>
      <c r="H4412" s="165">
        <f>VLOOKUP(Sales[[#This Row],[Product ID]],Product[#All],7,0)</f>
        <v>7660</v>
      </c>
      <c r="I4412" s="165">
        <f>Sales[[#This Row],[Selling Rate]]*Sales[[#This Row],[Qty]]</f>
        <v>38300</v>
      </c>
      <c r="J4412" s="45">
        <v>0.05</v>
      </c>
      <c r="K4412" s="46">
        <f>Sales[[#This Row],[Gross Amount]]*Sales[[#This Row],[Disc %]]</f>
        <v>1915</v>
      </c>
      <c r="L4412" s="43">
        <v>0.18</v>
      </c>
      <c r="M4412" s="46">
        <f>(Sales[[#This Row],[Gross Amount]]-Sales[[#This Row],[Disc. Amt.]])*Sales[[#This Row],[GST %]]</f>
        <v>6549.3</v>
      </c>
      <c r="N4412" s="161">
        <f>Sales[[#This Row],[Gross Amount]]-Sales[[#This Row],[Disc. Amt.]]+Sales[[#This Row],[GST Amount]]</f>
        <v>42934.3</v>
      </c>
      <c r="O4412" s="34" t="s">
        <v>3566</v>
      </c>
      <c r="P4412" s="34" t="s">
        <v>3562</v>
      </c>
      <c r="Q4412" s="165">
        <f>IF(Sales[[#This Row],[Status]]="Cancelled",0,Sales[[#This Row],[Qty]])</f>
        <v>5</v>
      </c>
      <c r="R4412" s="166">
        <f>IF(Sales[[#This Row],[Status]]="Cancelled",0,Sales[[#This Row],[Total Amount]])</f>
        <v>42934.3</v>
      </c>
      <c r="S4412" s="162">
        <f>SUM(Sales[Net Amount])</f>
        <v>406839287.73200053</v>
      </c>
    </row>
    <row r="4413" spans="1:19" ht="18.75" x14ac:dyDescent="0.25">
      <c r="A4413" s="156" t="s">
        <v>8093</v>
      </c>
      <c r="B4413" s="157">
        <v>45994</v>
      </c>
      <c r="C4413" s="158" t="s">
        <v>719</v>
      </c>
      <c r="D4413" s="159" t="str">
        <f>VLOOKUP(Sales[[#This Row],[Customer ID]],Customer[#All],2,0)</f>
        <v>Priya Verma</v>
      </c>
      <c r="E4413" s="158" t="s">
        <v>322</v>
      </c>
      <c r="F4413" s="158" t="str">
        <f>VLOOKUP(Sales[[#This Row],[Product ID]],Product[#All],2,0)</f>
        <v>Jbl Speaker</v>
      </c>
      <c r="G4413" s="159">
        <v>4</v>
      </c>
      <c r="H4413" s="160">
        <f>VLOOKUP(Sales[[#This Row],[Product ID]],Product[#All],7,0)</f>
        <v>10370</v>
      </c>
      <c r="I4413" s="160">
        <f>Sales[[#This Row],[Selling Rate]]*Sales[[#This Row],[Qty]]</f>
        <v>41480</v>
      </c>
      <c r="J4413" s="43">
        <v>0.12</v>
      </c>
      <c r="K4413" s="44">
        <f>Sales[[#This Row],[Gross Amount]]*Sales[[#This Row],[Disc %]]</f>
        <v>4977.5999999999995</v>
      </c>
      <c r="L4413" s="43">
        <v>0.18</v>
      </c>
      <c r="M4413" s="44">
        <f>(Sales[[#This Row],[Gross Amount]]-Sales[[#This Row],[Disc. Amt.]])*Sales[[#This Row],[GST %]]</f>
        <v>6570.4319999999998</v>
      </c>
      <c r="N4413" s="161">
        <f>Sales[[#This Row],[Gross Amount]]-Sales[[#This Row],[Disc. Amt.]]+Sales[[#This Row],[GST Amount]]</f>
        <v>43072.832000000002</v>
      </c>
      <c r="O4413" s="158" t="s">
        <v>3561</v>
      </c>
      <c r="P4413" s="158" t="s">
        <v>3562</v>
      </c>
      <c r="Q4413" s="160">
        <f>IF(Sales[[#This Row],[Status]]="Cancelled",0,Sales[[#This Row],[Qty]])</f>
        <v>4</v>
      </c>
      <c r="R4413" s="161">
        <f>IF(Sales[[#This Row],[Status]]="Cancelled",0,Sales[[#This Row],[Total Amount]])</f>
        <v>43072.832000000002</v>
      </c>
      <c r="S4413" s="162">
        <f>SUM(Sales[Net Amount])</f>
        <v>406839287.73200053</v>
      </c>
    </row>
    <row r="4414" spans="1:19" ht="18.75" x14ac:dyDescent="0.25">
      <c r="A4414" s="163" t="s">
        <v>8094</v>
      </c>
      <c r="B4414" s="164">
        <v>45994</v>
      </c>
      <c r="C4414" s="34" t="s">
        <v>758</v>
      </c>
      <c r="D4414" s="53" t="str">
        <f>VLOOKUP(Sales[[#This Row],[Customer ID]],Customer[#All],2,0)</f>
        <v>Rahul Verma</v>
      </c>
      <c r="E4414" s="34" t="s">
        <v>265</v>
      </c>
      <c r="F4414" s="34" t="str">
        <f>VLOOKUP(Sales[[#This Row],[Product ID]],Product[#All],2,0)</f>
        <v>Canon Printer</v>
      </c>
      <c r="G4414" s="53">
        <v>8</v>
      </c>
      <c r="H4414" s="165">
        <f>VLOOKUP(Sales[[#This Row],[Product ID]],Product[#All],7,0)</f>
        <v>33970</v>
      </c>
      <c r="I4414" s="165">
        <f>Sales[[#This Row],[Selling Rate]]*Sales[[#This Row],[Qty]]</f>
        <v>271760</v>
      </c>
      <c r="J4414" s="45">
        <v>0.05</v>
      </c>
      <c r="K4414" s="46">
        <f>Sales[[#This Row],[Gross Amount]]*Sales[[#This Row],[Disc %]]</f>
        <v>13588</v>
      </c>
      <c r="L4414" s="43">
        <v>0.18</v>
      </c>
      <c r="M4414" s="46">
        <f>(Sales[[#This Row],[Gross Amount]]-Sales[[#This Row],[Disc. Amt.]])*Sales[[#This Row],[GST %]]</f>
        <v>46470.96</v>
      </c>
      <c r="N4414" s="161">
        <f>Sales[[#This Row],[Gross Amount]]-Sales[[#This Row],[Disc. Amt.]]+Sales[[#This Row],[GST Amount]]</f>
        <v>304642.96000000002</v>
      </c>
      <c r="O4414" s="34" t="s">
        <v>3569</v>
      </c>
      <c r="P4414" s="34" t="s">
        <v>3562</v>
      </c>
      <c r="Q4414" s="165">
        <f>IF(Sales[[#This Row],[Status]]="Cancelled",0,Sales[[#This Row],[Qty]])</f>
        <v>8</v>
      </c>
      <c r="R4414" s="166">
        <f>IF(Sales[[#This Row],[Status]]="Cancelled",0,Sales[[#This Row],[Total Amount]])</f>
        <v>304642.96000000002</v>
      </c>
      <c r="S4414" s="162">
        <f>SUM(Sales[Net Amount])</f>
        <v>406839287.73200053</v>
      </c>
    </row>
    <row r="4415" spans="1:19" ht="18.75" x14ac:dyDescent="0.25">
      <c r="A4415" s="156" t="s">
        <v>8095</v>
      </c>
      <c r="B4415" s="157">
        <v>45994</v>
      </c>
      <c r="C4415" s="158" t="s">
        <v>731</v>
      </c>
      <c r="D4415" s="159" t="str">
        <f>VLOOKUP(Sales[[#This Row],[Customer ID]],Customer[#All],2,0)</f>
        <v>Neha Singh</v>
      </c>
      <c r="E4415" s="158" t="s">
        <v>288</v>
      </c>
      <c r="F4415" s="158" t="str">
        <f>VLOOKUP(Sales[[#This Row],[Product ID]],Product[#All],2,0)</f>
        <v>Canon Printer</v>
      </c>
      <c r="G4415" s="159">
        <v>7</v>
      </c>
      <c r="H4415" s="160">
        <f>VLOOKUP(Sales[[#This Row],[Product ID]],Product[#All],7,0)</f>
        <v>41150</v>
      </c>
      <c r="I4415" s="160">
        <f>Sales[[#This Row],[Selling Rate]]*Sales[[#This Row],[Qty]]</f>
        <v>288050</v>
      </c>
      <c r="J4415" s="43">
        <v>0.12</v>
      </c>
      <c r="K4415" s="44">
        <f>Sales[[#This Row],[Gross Amount]]*Sales[[#This Row],[Disc %]]</f>
        <v>34566</v>
      </c>
      <c r="L4415" s="43">
        <v>0.18</v>
      </c>
      <c r="M4415" s="44">
        <f>(Sales[[#This Row],[Gross Amount]]-Sales[[#This Row],[Disc. Amt.]])*Sales[[#This Row],[GST %]]</f>
        <v>45627.119999999995</v>
      </c>
      <c r="N4415" s="161">
        <f>Sales[[#This Row],[Gross Amount]]-Sales[[#This Row],[Disc. Amt.]]+Sales[[#This Row],[GST Amount]]</f>
        <v>299111.12</v>
      </c>
      <c r="O4415" s="158" t="s">
        <v>3561</v>
      </c>
      <c r="P4415" s="158" t="s">
        <v>3562</v>
      </c>
      <c r="Q4415" s="160">
        <f>IF(Sales[[#This Row],[Status]]="Cancelled",0,Sales[[#This Row],[Qty]])</f>
        <v>7</v>
      </c>
      <c r="R4415" s="161">
        <f>IF(Sales[[#This Row],[Status]]="Cancelled",0,Sales[[#This Row],[Total Amount]])</f>
        <v>299111.12</v>
      </c>
      <c r="S4415" s="162">
        <f>SUM(Sales[Net Amount])</f>
        <v>406839287.73200053</v>
      </c>
    </row>
    <row r="4416" spans="1:19" ht="18.75" x14ac:dyDescent="0.25">
      <c r="A4416" s="163" t="s">
        <v>8096</v>
      </c>
      <c r="B4416" s="164">
        <v>45994</v>
      </c>
      <c r="C4416" s="34" t="s">
        <v>919</v>
      </c>
      <c r="D4416" s="53" t="str">
        <f>VLOOKUP(Sales[[#This Row],[Customer ID]],Customer[#All],2,0)</f>
        <v>Pooja Patel</v>
      </c>
      <c r="E4416" s="34" t="s">
        <v>65</v>
      </c>
      <c r="F4416" s="34" t="str">
        <f>VLOOKUP(Sales[[#This Row],[Product ID]],Product[#All],2,0)</f>
        <v>Dell Power Adapter</v>
      </c>
      <c r="G4416" s="53">
        <v>7</v>
      </c>
      <c r="H4416" s="165">
        <f>VLOOKUP(Sales[[#This Row],[Product ID]],Product[#All],7,0)</f>
        <v>2070</v>
      </c>
      <c r="I4416" s="165">
        <f>Sales[[#This Row],[Selling Rate]]*Sales[[#This Row],[Qty]]</f>
        <v>14490</v>
      </c>
      <c r="J4416" s="45">
        <v>0.02</v>
      </c>
      <c r="K4416" s="46">
        <f>Sales[[#This Row],[Gross Amount]]*Sales[[#This Row],[Disc %]]</f>
        <v>289.8</v>
      </c>
      <c r="L4416" s="43">
        <v>0.18</v>
      </c>
      <c r="M4416" s="46">
        <f>(Sales[[#This Row],[Gross Amount]]-Sales[[#This Row],[Disc. Amt.]])*Sales[[#This Row],[GST %]]</f>
        <v>2556.0360000000001</v>
      </c>
      <c r="N4416" s="161">
        <f>Sales[[#This Row],[Gross Amount]]-Sales[[#This Row],[Disc. Amt.]]+Sales[[#This Row],[GST Amount]]</f>
        <v>16756.236000000001</v>
      </c>
      <c r="O4416" s="34" t="s">
        <v>3566</v>
      </c>
      <c r="P4416" s="34" t="s">
        <v>3562</v>
      </c>
      <c r="Q4416" s="165">
        <f>IF(Sales[[#This Row],[Status]]="Cancelled",0,Sales[[#This Row],[Qty]])</f>
        <v>7</v>
      </c>
      <c r="R4416" s="166">
        <f>IF(Sales[[#This Row],[Status]]="Cancelled",0,Sales[[#This Row],[Total Amount]])</f>
        <v>16756.236000000001</v>
      </c>
      <c r="S4416" s="162">
        <f>SUM(Sales[Net Amount])</f>
        <v>406839287.73200053</v>
      </c>
    </row>
    <row r="4417" spans="1:19" ht="18.75" x14ac:dyDescent="0.25">
      <c r="A4417" s="156" t="s">
        <v>8097</v>
      </c>
      <c r="B4417" s="157">
        <v>45994</v>
      </c>
      <c r="C4417" s="158" t="s">
        <v>818</v>
      </c>
      <c r="D4417" s="159" t="str">
        <f>VLOOKUP(Sales[[#This Row],[Customer ID]],Customer[#All],2,0)</f>
        <v>Rahul Sharma</v>
      </c>
      <c r="E4417" s="158" t="s">
        <v>23</v>
      </c>
      <c r="F4417" s="158" t="str">
        <f>VLOOKUP(Sales[[#This Row],[Product ID]],Product[#All],2,0)</f>
        <v>Kingston Ram</v>
      </c>
      <c r="G4417" s="159">
        <v>4</v>
      </c>
      <c r="H4417" s="160">
        <f>VLOOKUP(Sales[[#This Row],[Product ID]],Product[#All],7,0)</f>
        <v>6040</v>
      </c>
      <c r="I4417" s="160">
        <f>Sales[[#This Row],[Selling Rate]]*Sales[[#This Row],[Qty]]</f>
        <v>24160</v>
      </c>
      <c r="J4417" s="43">
        <v>0</v>
      </c>
      <c r="K4417" s="44">
        <f>Sales[[#This Row],[Gross Amount]]*Sales[[#This Row],[Disc %]]</f>
        <v>0</v>
      </c>
      <c r="L4417" s="43">
        <v>0.18</v>
      </c>
      <c r="M4417" s="44">
        <f>(Sales[[#This Row],[Gross Amount]]-Sales[[#This Row],[Disc. Amt.]])*Sales[[#This Row],[GST %]]</f>
        <v>4348.8</v>
      </c>
      <c r="N4417" s="161">
        <f>Sales[[#This Row],[Gross Amount]]-Sales[[#This Row],[Disc. Amt.]]+Sales[[#This Row],[GST Amount]]</f>
        <v>28508.799999999999</v>
      </c>
      <c r="O4417" s="158" t="s">
        <v>3561</v>
      </c>
      <c r="P4417" s="158" t="s">
        <v>3562</v>
      </c>
      <c r="Q4417" s="160">
        <f>IF(Sales[[#This Row],[Status]]="Cancelled",0,Sales[[#This Row],[Qty]])</f>
        <v>4</v>
      </c>
      <c r="R4417" s="161">
        <f>IF(Sales[[#This Row],[Status]]="Cancelled",0,Sales[[#This Row],[Total Amount]])</f>
        <v>28508.799999999999</v>
      </c>
      <c r="S4417" s="162">
        <f>SUM(Sales[Net Amount])</f>
        <v>406839287.73200053</v>
      </c>
    </row>
    <row r="4418" spans="1:19" ht="18.75" x14ac:dyDescent="0.25">
      <c r="A4418" s="163" t="s">
        <v>8098</v>
      </c>
      <c r="B4418" s="164">
        <v>45994</v>
      </c>
      <c r="C4418" s="34" t="s">
        <v>916</v>
      </c>
      <c r="D4418" s="53" t="str">
        <f>VLOOKUP(Sales[[#This Row],[Customer ID]],Customer[#All],2,0)</f>
        <v>Ankit Singh</v>
      </c>
      <c r="E4418" s="34" t="s">
        <v>183</v>
      </c>
      <c r="F4418" s="34" t="str">
        <f>VLOOKUP(Sales[[#This Row],[Product ID]],Product[#All],2,0)</f>
        <v>Boat Speaker</v>
      </c>
      <c r="G4418" s="53">
        <v>8</v>
      </c>
      <c r="H4418" s="165">
        <f>VLOOKUP(Sales[[#This Row],[Product ID]],Product[#All],7,0)</f>
        <v>1430</v>
      </c>
      <c r="I4418" s="165">
        <f>Sales[[#This Row],[Selling Rate]]*Sales[[#This Row],[Qty]]</f>
        <v>11440</v>
      </c>
      <c r="J4418" s="45">
        <v>0</v>
      </c>
      <c r="K4418" s="46">
        <f>Sales[[#This Row],[Gross Amount]]*Sales[[#This Row],[Disc %]]</f>
        <v>0</v>
      </c>
      <c r="L4418" s="43">
        <v>0.18</v>
      </c>
      <c r="M4418" s="46">
        <f>(Sales[[#This Row],[Gross Amount]]-Sales[[#This Row],[Disc. Amt.]])*Sales[[#This Row],[GST %]]</f>
        <v>2059.1999999999998</v>
      </c>
      <c r="N4418" s="161">
        <f>Sales[[#This Row],[Gross Amount]]-Sales[[#This Row],[Disc. Amt.]]+Sales[[#This Row],[GST Amount]]</f>
        <v>13499.2</v>
      </c>
      <c r="O4418" s="34" t="s">
        <v>3569</v>
      </c>
      <c r="P4418" s="34" t="s">
        <v>3562</v>
      </c>
      <c r="Q4418" s="165">
        <f>IF(Sales[[#This Row],[Status]]="Cancelled",0,Sales[[#This Row],[Qty]])</f>
        <v>8</v>
      </c>
      <c r="R4418" s="166">
        <f>IF(Sales[[#This Row],[Status]]="Cancelled",0,Sales[[#This Row],[Total Amount]])</f>
        <v>13499.2</v>
      </c>
      <c r="S4418" s="162">
        <f>SUM(Sales[Net Amount])</f>
        <v>406839287.73200053</v>
      </c>
    </row>
    <row r="4419" spans="1:19" ht="18.75" x14ac:dyDescent="0.25">
      <c r="A4419" s="156" t="s">
        <v>8099</v>
      </c>
      <c r="B4419" s="157">
        <v>45995</v>
      </c>
      <c r="C4419" s="158" t="s">
        <v>785</v>
      </c>
      <c r="D4419" s="159" t="str">
        <f>VLOOKUP(Sales[[#This Row],[Customer ID]],Customer[#All],2,0)</f>
        <v>Ankit Gupta</v>
      </c>
      <c r="E4419" s="158" t="s">
        <v>355</v>
      </c>
      <c r="F4419" s="158" t="str">
        <f>VLOOKUP(Sales[[#This Row],[Product ID]],Product[#All],2,0)</f>
        <v>HP Power Adapter</v>
      </c>
      <c r="G4419" s="159">
        <v>6</v>
      </c>
      <c r="H4419" s="160">
        <f>VLOOKUP(Sales[[#This Row],[Product ID]],Product[#All],7,0)</f>
        <v>3940</v>
      </c>
      <c r="I4419" s="160">
        <f>Sales[[#This Row],[Selling Rate]]*Sales[[#This Row],[Qty]]</f>
        <v>23640</v>
      </c>
      <c r="J4419" s="43">
        <v>0.05</v>
      </c>
      <c r="K4419" s="44">
        <f>Sales[[#This Row],[Gross Amount]]*Sales[[#This Row],[Disc %]]</f>
        <v>1182</v>
      </c>
      <c r="L4419" s="43">
        <v>0.18</v>
      </c>
      <c r="M4419" s="44">
        <f>(Sales[[#This Row],[Gross Amount]]-Sales[[#This Row],[Disc. Amt.]])*Sales[[#This Row],[GST %]]</f>
        <v>4042.44</v>
      </c>
      <c r="N4419" s="161">
        <f>Sales[[#This Row],[Gross Amount]]-Sales[[#This Row],[Disc. Amt.]]+Sales[[#This Row],[GST Amount]]</f>
        <v>26500.44</v>
      </c>
      <c r="O4419" s="158" t="s">
        <v>3566</v>
      </c>
      <c r="P4419" s="158" t="s">
        <v>3562</v>
      </c>
      <c r="Q4419" s="160">
        <f>IF(Sales[[#This Row],[Status]]="Cancelled",0,Sales[[#This Row],[Qty]])</f>
        <v>6</v>
      </c>
      <c r="R4419" s="161">
        <f>IF(Sales[[#This Row],[Status]]="Cancelled",0,Sales[[#This Row],[Total Amount]])</f>
        <v>26500.44</v>
      </c>
      <c r="S4419" s="162">
        <f>SUM(Sales[Net Amount])</f>
        <v>406839287.73200053</v>
      </c>
    </row>
    <row r="4420" spans="1:19" ht="18.75" x14ac:dyDescent="0.25">
      <c r="A4420" s="163" t="s">
        <v>8100</v>
      </c>
      <c r="B4420" s="164">
        <v>45995</v>
      </c>
      <c r="C4420" s="34" t="s">
        <v>797</v>
      </c>
      <c r="D4420" s="53" t="str">
        <f>VLOOKUP(Sales[[#This Row],[Customer ID]],Customer[#All],2,0)</f>
        <v>Ankit Gupta</v>
      </c>
      <c r="E4420" s="34" t="s">
        <v>148</v>
      </c>
      <c r="F4420" s="34" t="str">
        <f>VLOOKUP(Sales[[#This Row],[Product ID]],Product[#All],2,0)</f>
        <v>Dell Monitor</v>
      </c>
      <c r="G4420" s="53">
        <v>1</v>
      </c>
      <c r="H4420" s="165">
        <f>VLOOKUP(Sales[[#This Row],[Product ID]],Product[#All],7,0)</f>
        <v>20170</v>
      </c>
      <c r="I4420" s="165">
        <f>Sales[[#This Row],[Selling Rate]]*Sales[[#This Row],[Qty]]</f>
        <v>20170</v>
      </c>
      <c r="J4420" s="45">
        <v>0.15</v>
      </c>
      <c r="K4420" s="46">
        <f>Sales[[#This Row],[Gross Amount]]*Sales[[#This Row],[Disc %]]</f>
        <v>3025.5</v>
      </c>
      <c r="L4420" s="43">
        <v>0.18</v>
      </c>
      <c r="M4420" s="46">
        <f>(Sales[[#This Row],[Gross Amount]]-Sales[[#This Row],[Disc. Amt.]])*Sales[[#This Row],[GST %]]</f>
        <v>3086.0099999999998</v>
      </c>
      <c r="N4420" s="161">
        <f>Sales[[#This Row],[Gross Amount]]-Sales[[#This Row],[Disc. Amt.]]+Sales[[#This Row],[GST Amount]]</f>
        <v>20230.509999999998</v>
      </c>
      <c r="O4420" s="34" t="s">
        <v>3566</v>
      </c>
      <c r="P4420" s="34" t="s">
        <v>3562</v>
      </c>
      <c r="Q4420" s="165">
        <f>IF(Sales[[#This Row],[Status]]="Cancelled",0,Sales[[#This Row],[Qty]])</f>
        <v>1</v>
      </c>
      <c r="R4420" s="166">
        <f>IF(Sales[[#This Row],[Status]]="Cancelled",0,Sales[[#This Row],[Total Amount]])</f>
        <v>20230.509999999998</v>
      </c>
      <c r="S4420" s="162">
        <f>SUM(Sales[Net Amount])</f>
        <v>406839287.73200053</v>
      </c>
    </row>
    <row r="4421" spans="1:19" ht="18.75" x14ac:dyDescent="0.25">
      <c r="A4421" s="156" t="s">
        <v>8101</v>
      </c>
      <c r="B4421" s="157">
        <v>45995</v>
      </c>
      <c r="C4421" s="158" t="s">
        <v>839</v>
      </c>
      <c r="D4421" s="159" t="str">
        <f>VLOOKUP(Sales[[#This Row],[Customer ID]],Customer[#All],2,0)</f>
        <v>Amit Patel</v>
      </c>
      <c r="E4421" s="158" t="s">
        <v>110</v>
      </c>
      <c r="F4421" s="158" t="str">
        <f>VLOOKUP(Sales[[#This Row],[Product ID]],Product[#All],2,0)</f>
        <v>Lenovo Laptop</v>
      </c>
      <c r="G4421" s="159">
        <v>1</v>
      </c>
      <c r="H4421" s="160">
        <f>VLOOKUP(Sales[[#This Row],[Product ID]],Product[#All],7,0)</f>
        <v>66670</v>
      </c>
      <c r="I4421" s="160">
        <f>Sales[[#This Row],[Selling Rate]]*Sales[[#This Row],[Qty]]</f>
        <v>66670</v>
      </c>
      <c r="J4421" s="43">
        <v>0.05</v>
      </c>
      <c r="K4421" s="44">
        <f>Sales[[#This Row],[Gross Amount]]*Sales[[#This Row],[Disc %]]</f>
        <v>3333.5</v>
      </c>
      <c r="L4421" s="43">
        <v>0.18</v>
      </c>
      <c r="M4421" s="44">
        <f>(Sales[[#This Row],[Gross Amount]]-Sales[[#This Row],[Disc. Amt.]])*Sales[[#This Row],[GST %]]</f>
        <v>11400.57</v>
      </c>
      <c r="N4421" s="161">
        <f>Sales[[#This Row],[Gross Amount]]-Sales[[#This Row],[Disc. Amt.]]+Sales[[#This Row],[GST Amount]]</f>
        <v>74737.070000000007</v>
      </c>
      <c r="O4421" s="158" t="s">
        <v>3561</v>
      </c>
      <c r="P4421" s="158" t="s">
        <v>3562</v>
      </c>
      <c r="Q4421" s="160">
        <f>IF(Sales[[#This Row],[Status]]="Cancelled",0,Sales[[#This Row],[Qty]])</f>
        <v>1</v>
      </c>
      <c r="R4421" s="161">
        <f>IF(Sales[[#This Row],[Status]]="Cancelled",0,Sales[[#This Row],[Total Amount]])</f>
        <v>74737.070000000007</v>
      </c>
      <c r="S4421" s="162">
        <f>SUM(Sales[Net Amount])</f>
        <v>406839287.73200053</v>
      </c>
    </row>
    <row r="4422" spans="1:19" ht="18.75" x14ac:dyDescent="0.25">
      <c r="A4422" s="163" t="s">
        <v>8102</v>
      </c>
      <c r="B4422" s="164">
        <v>45995</v>
      </c>
      <c r="C4422" s="34" t="s">
        <v>947</v>
      </c>
      <c r="D4422" s="53" t="str">
        <f>VLOOKUP(Sales[[#This Row],[Customer ID]],Customer[#All],2,0)</f>
        <v>Sunita Singh</v>
      </c>
      <c r="E4422" s="34" t="s">
        <v>117</v>
      </c>
      <c r="F4422" s="34" t="str">
        <f>VLOOKUP(Sales[[#This Row],[Product ID]],Product[#All],2,0)</f>
        <v>Logitech Mouse</v>
      </c>
      <c r="G4422" s="53">
        <v>4</v>
      </c>
      <c r="H4422" s="165">
        <f>VLOOKUP(Sales[[#This Row],[Product ID]],Product[#All],7,0)</f>
        <v>2960</v>
      </c>
      <c r="I4422" s="165">
        <f>Sales[[#This Row],[Selling Rate]]*Sales[[#This Row],[Qty]]</f>
        <v>11840</v>
      </c>
      <c r="J4422" s="45">
        <v>0</v>
      </c>
      <c r="K4422" s="46">
        <f>Sales[[#This Row],[Gross Amount]]*Sales[[#This Row],[Disc %]]</f>
        <v>0</v>
      </c>
      <c r="L4422" s="43">
        <v>0.18</v>
      </c>
      <c r="M4422" s="46">
        <f>(Sales[[#This Row],[Gross Amount]]-Sales[[#This Row],[Disc. Amt.]])*Sales[[#This Row],[GST %]]</f>
        <v>2131.1999999999998</v>
      </c>
      <c r="N4422" s="161">
        <f>Sales[[#This Row],[Gross Amount]]-Sales[[#This Row],[Disc. Amt.]]+Sales[[#This Row],[GST Amount]]</f>
        <v>13971.2</v>
      </c>
      <c r="O4422" s="34" t="s">
        <v>3561</v>
      </c>
      <c r="P4422" s="34" t="s">
        <v>3562</v>
      </c>
      <c r="Q4422" s="165">
        <f>IF(Sales[[#This Row],[Status]]="Cancelled",0,Sales[[#This Row],[Qty]])</f>
        <v>4</v>
      </c>
      <c r="R4422" s="166">
        <f>IF(Sales[[#This Row],[Status]]="Cancelled",0,Sales[[#This Row],[Total Amount]])</f>
        <v>13971.2</v>
      </c>
      <c r="S4422" s="162">
        <f>SUM(Sales[Net Amount])</f>
        <v>406839287.73200053</v>
      </c>
    </row>
    <row r="4423" spans="1:19" ht="18.75" x14ac:dyDescent="0.25">
      <c r="A4423" s="156" t="s">
        <v>8103</v>
      </c>
      <c r="B4423" s="157">
        <v>45995</v>
      </c>
      <c r="C4423" s="158" t="s">
        <v>869</v>
      </c>
      <c r="D4423" s="159" t="str">
        <f>VLOOKUP(Sales[[#This Row],[Customer ID]],Customer[#All],2,0)</f>
        <v>Rakesh Patel</v>
      </c>
      <c r="E4423" s="158" t="s">
        <v>489</v>
      </c>
      <c r="F4423" s="158" t="str">
        <f>VLOOKUP(Sales[[#This Row],[Product ID]],Product[#All],2,0)</f>
        <v>Microtek UPS</v>
      </c>
      <c r="G4423" s="159">
        <v>8</v>
      </c>
      <c r="H4423" s="160">
        <f>VLOOKUP(Sales[[#This Row],[Product ID]],Product[#All],7,0)</f>
        <v>8040</v>
      </c>
      <c r="I4423" s="160">
        <f>Sales[[#This Row],[Selling Rate]]*Sales[[#This Row],[Qty]]</f>
        <v>64320</v>
      </c>
      <c r="J4423" s="43">
        <v>0</v>
      </c>
      <c r="K4423" s="44">
        <f>Sales[[#This Row],[Gross Amount]]*Sales[[#This Row],[Disc %]]</f>
        <v>0</v>
      </c>
      <c r="L4423" s="43">
        <v>0.18</v>
      </c>
      <c r="M4423" s="44">
        <f>(Sales[[#This Row],[Gross Amount]]-Sales[[#This Row],[Disc. Amt.]])*Sales[[#This Row],[GST %]]</f>
        <v>11577.6</v>
      </c>
      <c r="N4423" s="161">
        <f>Sales[[#This Row],[Gross Amount]]-Sales[[#This Row],[Disc. Amt.]]+Sales[[#This Row],[GST Amount]]</f>
        <v>75897.600000000006</v>
      </c>
      <c r="O4423" s="158" t="s">
        <v>3566</v>
      </c>
      <c r="P4423" s="158" t="s">
        <v>3562</v>
      </c>
      <c r="Q4423" s="160">
        <f>IF(Sales[[#This Row],[Status]]="Cancelled",0,Sales[[#This Row],[Qty]])</f>
        <v>8</v>
      </c>
      <c r="R4423" s="161">
        <f>IF(Sales[[#This Row],[Status]]="Cancelled",0,Sales[[#This Row],[Total Amount]])</f>
        <v>75897.600000000006</v>
      </c>
      <c r="S4423" s="162">
        <f>SUM(Sales[Net Amount])</f>
        <v>406839287.73200053</v>
      </c>
    </row>
    <row r="4424" spans="1:19" ht="18.75" x14ac:dyDescent="0.25">
      <c r="A4424" s="163" t="s">
        <v>8104</v>
      </c>
      <c r="B4424" s="164">
        <v>45995</v>
      </c>
      <c r="C4424" s="34" t="s">
        <v>760</v>
      </c>
      <c r="D4424" s="53" t="str">
        <f>VLOOKUP(Sales[[#This Row],[Customer ID]],Customer[#All],2,0)</f>
        <v>Pooja Singh</v>
      </c>
      <c r="E4424" s="34" t="s">
        <v>204</v>
      </c>
      <c r="F4424" s="34" t="str">
        <f>VLOOKUP(Sales[[#This Row],[Product ID]],Product[#All],2,0)</f>
        <v>Lenovo Laptop</v>
      </c>
      <c r="G4424" s="53">
        <v>4</v>
      </c>
      <c r="H4424" s="165">
        <f>VLOOKUP(Sales[[#This Row],[Product ID]],Product[#All],7,0)</f>
        <v>42370</v>
      </c>
      <c r="I4424" s="165">
        <f>Sales[[#This Row],[Selling Rate]]*Sales[[#This Row],[Qty]]</f>
        <v>169480</v>
      </c>
      <c r="J4424" s="45">
        <v>0.15</v>
      </c>
      <c r="K4424" s="46">
        <f>Sales[[#This Row],[Gross Amount]]*Sales[[#This Row],[Disc %]]</f>
        <v>25422</v>
      </c>
      <c r="L4424" s="43">
        <v>0.18</v>
      </c>
      <c r="M4424" s="46">
        <f>(Sales[[#This Row],[Gross Amount]]-Sales[[#This Row],[Disc. Amt.]])*Sales[[#This Row],[GST %]]</f>
        <v>25930.44</v>
      </c>
      <c r="N4424" s="161">
        <f>Sales[[#This Row],[Gross Amount]]-Sales[[#This Row],[Disc. Amt.]]+Sales[[#This Row],[GST Amount]]</f>
        <v>169988.44</v>
      </c>
      <c r="O4424" s="34" t="s">
        <v>8876</v>
      </c>
      <c r="P4424" s="34" t="s">
        <v>3562</v>
      </c>
      <c r="Q4424" s="165">
        <f>IF(Sales[[#This Row],[Status]]="Cancelled",0,Sales[[#This Row],[Qty]])</f>
        <v>4</v>
      </c>
      <c r="R4424" s="166">
        <f>IF(Sales[[#This Row],[Status]]="Cancelled",0,Sales[[#This Row],[Total Amount]])</f>
        <v>169988.44</v>
      </c>
      <c r="S4424" s="162">
        <f>SUM(Sales[Net Amount])</f>
        <v>406839287.73200053</v>
      </c>
    </row>
    <row r="4425" spans="1:19" ht="18.75" x14ac:dyDescent="0.25">
      <c r="A4425" s="156" t="s">
        <v>8105</v>
      </c>
      <c r="B4425" s="157">
        <v>45995</v>
      </c>
      <c r="C4425" s="158" t="s">
        <v>757</v>
      </c>
      <c r="D4425" s="159" t="str">
        <f>VLOOKUP(Sales[[#This Row],[Customer ID]],Customer[#All],2,0)</f>
        <v>Amit Singh</v>
      </c>
      <c r="E4425" s="158" t="s">
        <v>10</v>
      </c>
      <c r="F4425" s="158" t="str">
        <f>VLOOKUP(Sales[[#This Row],[Product ID]],Product[#All],2,0)</f>
        <v>Dell Monitor</v>
      </c>
      <c r="G4425" s="159">
        <v>8</v>
      </c>
      <c r="H4425" s="160">
        <f>VLOOKUP(Sales[[#This Row],[Product ID]],Product[#All],7,0)</f>
        <v>17230</v>
      </c>
      <c r="I4425" s="160">
        <f>Sales[[#This Row],[Selling Rate]]*Sales[[#This Row],[Qty]]</f>
        <v>137840</v>
      </c>
      <c r="J4425" s="43">
        <v>0</v>
      </c>
      <c r="K4425" s="44">
        <f>Sales[[#This Row],[Gross Amount]]*Sales[[#This Row],[Disc %]]</f>
        <v>0</v>
      </c>
      <c r="L4425" s="43">
        <v>0.18</v>
      </c>
      <c r="M4425" s="44">
        <f>(Sales[[#This Row],[Gross Amount]]-Sales[[#This Row],[Disc. Amt.]])*Sales[[#This Row],[GST %]]</f>
        <v>24811.200000000001</v>
      </c>
      <c r="N4425" s="161">
        <f>Sales[[#This Row],[Gross Amount]]-Sales[[#This Row],[Disc. Amt.]]+Sales[[#This Row],[GST Amount]]</f>
        <v>162651.20000000001</v>
      </c>
      <c r="O4425" s="158" t="s">
        <v>3569</v>
      </c>
      <c r="P4425" s="158" t="s">
        <v>3562</v>
      </c>
      <c r="Q4425" s="160">
        <f>IF(Sales[[#This Row],[Status]]="Cancelled",0,Sales[[#This Row],[Qty]])</f>
        <v>8</v>
      </c>
      <c r="R4425" s="161">
        <f>IF(Sales[[#This Row],[Status]]="Cancelled",0,Sales[[#This Row],[Total Amount]])</f>
        <v>162651.20000000001</v>
      </c>
      <c r="S4425" s="162">
        <f>SUM(Sales[Net Amount])</f>
        <v>406839287.73200053</v>
      </c>
    </row>
    <row r="4426" spans="1:19" ht="18.75" x14ac:dyDescent="0.25">
      <c r="A4426" s="163" t="s">
        <v>8106</v>
      </c>
      <c r="B4426" s="164">
        <v>45995</v>
      </c>
      <c r="C4426" s="34" t="s">
        <v>796</v>
      </c>
      <c r="D4426" s="53" t="str">
        <f>VLOOKUP(Sales[[#This Row],[Customer ID]],Customer[#All],2,0)</f>
        <v>Rahul Verma</v>
      </c>
      <c r="E4426" s="34" t="s">
        <v>195</v>
      </c>
      <c r="F4426" s="34" t="str">
        <f>VLOOKUP(Sales[[#This Row],[Product ID]],Product[#All],2,0)</f>
        <v>Acer Laptop</v>
      </c>
      <c r="G4426" s="53">
        <v>2</v>
      </c>
      <c r="H4426" s="165">
        <f>VLOOKUP(Sales[[#This Row],[Product ID]],Product[#All],7,0)</f>
        <v>46790</v>
      </c>
      <c r="I4426" s="165">
        <f>Sales[[#This Row],[Selling Rate]]*Sales[[#This Row],[Qty]]</f>
        <v>93580</v>
      </c>
      <c r="J4426" s="45">
        <v>0.1</v>
      </c>
      <c r="K4426" s="46">
        <f>Sales[[#This Row],[Gross Amount]]*Sales[[#This Row],[Disc %]]</f>
        <v>9358</v>
      </c>
      <c r="L4426" s="43">
        <v>0.18</v>
      </c>
      <c r="M4426" s="46">
        <f>(Sales[[#This Row],[Gross Amount]]-Sales[[#This Row],[Disc. Amt.]])*Sales[[#This Row],[GST %]]</f>
        <v>15159.96</v>
      </c>
      <c r="N4426" s="161">
        <f>Sales[[#This Row],[Gross Amount]]-Sales[[#This Row],[Disc. Amt.]]+Sales[[#This Row],[GST Amount]]</f>
        <v>99381.959999999992</v>
      </c>
      <c r="O4426" s="34" t="s">
        <v>3561</v>
      </c>
      <c r="P4426" s="34" t="s">
        <v>3562</v>
      </c>
      <c r="Q4426" s="165">
        <f>IF(Sales[[#This Row],[Status]]="Cancelled",0,Sales[[#This Row],[Qty]])</f>
        <v>2</v>
      </c>
      <c r="R4426" s="166">
        <f>IF(Sales[[#This Row],[Status]]="Cancelled",0,Sales[[#This Row],[Total Amount]])</f>
        <v>99381.959999999992</v>
      </c>
      <c r="S4426" s="162">
        <f>SUM(Sales[Net Amount])</f>
        <v>406839287.73200053</v>
      </c>
    </row>
    <row r="4427" spans="1:19" ht="18.75" x14ac:dyDescent="0.25">
      <c r="A4427" s="156" t="s">
        <v>8107</v>
      </c>
      <c r="B4427" s="157">
        <v>45995</v>
      </c>
      <c r="C4427" s="158" t="s">
        <v>902</v>
      </c>
      <c r="D4427" s="159" t="str">
        <f>VLOOKUP(Sales[[#This Row],[Customer ID]],Customer[#All],2,0)</f>
        <v>Sunita Singh</v>
      </c>
      <c r="E4427" s="158" t="s">
        <v>311</v>
      </c>
      <c r="F4427" s="158" t="str">
        <f>VLOOKUP(Sales[[#This Row],[Product ID]],Product[#All],2,0)</f>
        <v>Logitech Keyboard</v>
      </c>
      <c r="G4427" s="159">
        <v>7</v>
      </c>
      <c r="H4427" s="160">
        <f>VLOOKUP(Sales[[#This Row],[Product ID]],Product[#All],7,0)</f>
        <v>530</v>
      </c>
      <c r="I4427" s="160">
        <f>Sales[[#This Row],[Selling Rate]]*Sales[[#This Row],[Qty]]</f>
        <v>3710</v>
      </c>
      <c r="J4427" s="43">
        <v>0.05</v>
      </c>
      <c r="K4427" s="44">
        <f>Sales[[#This Row],[Gross Amount]]*Sales[[#This Row],[Disc %]]</f>
        <v>185.5</v>
      </c>
      <c r="L4427" s="43">
        <v>0.18</v>
      </c>
      <c r="M4427" s="44">
        <f>(Sales[[#This Row],[Gross Amount]]-Sales[[#This Row],[Disc. Amt.]])*Sales[[#This Row],[GST %]]</f>
        <v>634.41</v>
      </c>
      <c r="N4427" s="161">
        <f>Sales[[#This Row],[Gross Amount]]-Sales[[#This Row],[Disc. Amt.]]+Sales[[#This Row],[GST Amount]]</f>
        <v>4158.91</v>
      </c>
      <c r="O4427" s="158" t="s">
        <v>3561</v>
      </c>
      <c r="P4427" s="158" t="s">
        <v>3562</v>
      </c>
      <c r="Q4427" s="160">
        <f>IF(Sales[[#This Row],[Status]]="Cancelled",0,Sales[[#This Row],[Qty]])</f>
        <v>7</v>
      </c>
      <c r="R4427" s="161">
        <f>IF(Sales[[#This Row],[Status]]="Cancelled",0,Sales[[#This Row],[Total Amount]])</f>
        <v>4158.91</v>
      </c>
      <c r="S4427" s="162">
        <f>SUM(Sales[Net Amount])</f>
        <v>406839287.73200053</v>
      </c>
    </row>
    <row r="4428" spans="1:19" ht="18.75" x14ac:dyDescent="0.25">
      <c r="A4428" s="163" t="s">
        <v>8108</v>
      </c>
      <c r="B4428" s="164">
        <v>45995</v>
      </c>
      <c r="C4428" s="34" t="s">
        <v>770</v>
      </c>
      <c r="D4428" s="53" t="str">
        <f>VLOOKUP(Sales[[#This Row],[Customer ID]],Customer[#All],2,0)</f>
        <v>Sunita Sharma</v>
      </c>
      <c r="E4428" s="34" t="s">
        <v>230</v>
      </c>
      <c r="F4428" s="34" t="str">
        <f>VLOOKUP(Sales[[#This Row],[Product ID]],Product[#All],2,0)</f>
        <v>Dell Desktop</v>
      </c>
      <c r="G4428" s="53">
        <v>6</v>
      </c>
      <c r="H4428" s="165">
        <f>VLOOKUP(Sales[[#This Row],[Product ID]],Product[#All],7,0)</f>
        <v>69610</v>
      </c>
      <c r="I4428" s="165">
        <f>Sales[[#This Row],[Selling Rate]]*Sales[[#This Row],[Qty]]</f>
        <v>417660</v>
      </c>
      <c r="J4428" s="45">
        <v>0.05</v>
      </c>
      <c r="K4428" s="46">
        <f>Sales[[#This Row],[Gross Amount]]*Sales[[#This Row],[Disc %]]</f>
        <v>20883</v>
      </c>
      <c r="L4428" s="43">
        <v>0.18</v>
      </c>
      <c r="M4428" s="46">
        <f>(Sales[[#This Row],[Gross Amount]]-Sales[[#This Row],[Disc. Amt.]])*Sales[[#This Row],[GST %]]</f>
        <v>71419.86</v>
      </c>
      <c r="N4428" s="161">
        <f>Sales[[#This Row],[Gross Amount]]-Sales[[#This Row],[Disc. Amt.]]+Sales[[#This Row],[GST Amount]]</f>
        <v>468196.86</v>
      </c>
      <c r="O4428" s="34" t="s">
        <v>3566</v>
      </c>
      <c r="P4428" s="34" t="s">
        <v>3562</v>
      </c>
      <c r="Q4428" s="165">
        <f>IF(Sales[[#This Row],[Status]]="Cancelled",0,Sales[[#This Row],[Qty]])</f>
        <v>6</v>
      </c>
      <c r="R4428" s="166">
        <f>IF(Sales[[#This Row],[Status]]="Cancelled",0,Sales[[#This Row],[Total Amount]])</f>
        <v>468196.86</v>
      </c>
      <c r="S4428" s="162">
        <f>SUM(Sales[Net Amount])</f>
        <v>406839287.73200053</v>
      </c>
    </row>
    <row r="4429" spans="1:19" ht="18.75" x14ac:dyDescent="0.25">
      <c r="A4429" s="156" t="s">
        <v>8109</v>
      </c>
      <c r="B4429" s="157">
        <v>45995</v>
      </c>
      <c r="C4429" s="158" t="s">
        <v>751</v>
      </c>
      <c r="D4429" s="159" t="str">
        <f>VLOOKUP(Sales[[#This Row],[Customer ID]],Customer[#All],2,0)</f>
        <v>Ankit Verma</v>
      </c>
      <c r="E4429" s="158" t="s">
        <v>248</v>
      </c>
      <c r="F4429" s="158" t="str">
        <f>VLOOKUP(Sales[[#This Row],[Product ID]],Product[#All],2,0)</f>
        <v>Amazon Basics Hdmi Cable</v>
      </c>
      <c r="G4429" s="159">
        <v>3</v>
      </c>
      <c r="H4429" s="160">
        <f>VLOOKUP(Sales[[#This Row],[Product ID]],Product[#All],7,0)</f>
        <v>980</v>
      </c>
      <c r="I4429" s="160">
        <f>Sales[[#This Row],[Selling Rate]]*Sales[[#This Row],[Qty]]</f>
        <v>2940</v>
      </c>
      <c r="J4429" s="43">
        <v>0</v>
      </c>
      <c r="K4429" s="44">
        <f>Sales[[#This Row],[Gross Amount]]*Sales[[#This Row],[Disc %]]</f>
        <v>0</v>
      </c>
      <c r="L4429" s="43">
        <v>0.18</v>
      </c>
      <c r="M4429" s="44">
        <f>(Sales[[#This Row],[Gross Amount]]-Sales[[#This Row],[Disc. Amt.]])*Sales[[#This Row],[GST %]]</f>
        <v>529.19999999999993</v>
      </c>
      <c r="N4429" s="161">
        <f>Sales[[#This Row],[Gross Amount]]-Sales[[#This Row],[Disc. Amt.]]+Sales[[#This Row],[GST Amount]]</f>
        <v>3469.2</v>
      </c>
      <c r="O4429" s="158" t="s">
        <v>3566</v>
      </c>
      <c r="P4429" s="158" t="s">
        <v>3562</v>
      </c>
      <c r="Q4429" s="160">
        <f>IF(Sales[[#This Row],[Status]]="Cancelled",0,Sales[[#This Row],[Qty]])</f>
        <v>3</v>
      </c>
      <c r="R4429" s="161">
        <f>IF(Sales[[#This Row],[Status]]="Cancelled",0,Sales[[#This Row],[Total Amount]])</f>
        <v>3469.2</v>
      </c>
      <c r="S4429" s="162">
        <f>SUM(Sales[Net Amount])</f>
        <v>406839287.73200053</v>
      </c>
    </row>
    <row r="4430" spans="1:19" ht="18.75" x14ac:dyDescent="0.25">
      <c r="A4430" s="163" t="s">
        <v>8110</v>
      </c>
      <c r="B4430" s="164">
        <v>45995</v>
      </c>
      <c r="C4430" s="34" t="s">
        <v>766</v>
      </c>
      <c r="D4430" s="53" t="str">
        <f>VLOOKUP(Sales[[#This Row],[Customer ID]],Customer[#All],2,0)</f>
        <v>Neha Gupta</v>
      </c>
      <c r="E4430" s="34" t="s">
        <v>203</v>
      </c>
      <c r="F4430" s="34" t="str">
        <f>VLOOKUP(Sales[[#This Row],[Product ID]],Product[#All],2,0)</f>
        <v>Logitech Mouse</v>
      </c>
      <c r="G4430" s="53">
        <v>6</v>
      </c>
      <c r="H4430" s="165">
        <f>VLOOKUP(Sales[[#This Row],[Product ID]],Product[#All],7,0)</f>
        <v>2110</v>
      </c>
      <c r="I4430" s="165">
        <f>Sales[[#This Row],[Selling Rate]]*Sales[[#This Row],[Qty]]</f>
        <v>12660</v>
      </c>
      <c r="J4430" s="45">
        <v>0.12</v>
      </c>
      <c r="K4430" s="46">
        <f>Sales[[#This Row],[Gross Amount]]*Sales[[#This Row],[Disc %]]</f>
        <v>1519.2</v>
      </c>
      <c r="L4430" s="43">
        <v>0.18</v>
      </c>
      <c r="M4430" s="46">
        <f>(Sales[[#This Row],[Gross Amount]]-Sales[[#This Row],[Disc. Amt.]])*Sales[[#This Row],[GST %]]</f>
        <v>2005.3439999999998</v>
      </c>
      <c r="N4430" s="161">
        <f>Sales[[#This Row],[Gross Amount]]-Sales[[#This Row],[Disc. Amt.]]+Sales[[#This Row],[GST Amount]]</f>
        <v>13146.143999999998</v>
      </c>
      <c r="O4430" s="34" t="s">
        <v>3569</v>
      </c>
      <c r="P4430" s="34" t="s">
        <v>3562</v>
      </c>
      <c r="Q4430" s="165">
        <f>IF(Sales[[#This Row],[Status]]="Cancelled",0,Sales[[#This Row],[Qty]])</f>
        <v>6</v>
      </c>
      <c r="R4430" s="166">
        <f>IF(Sales[[#This Row],[Status]]="Cancelled",0,Sales[[#This Row],[Total Amount]])</f>
        <v>13146.143999999998</v>
      </c>
      <c r="S4430" s="162">
        <f>SUM(Sales[Net Amount])</f>
        <v>406839287.73200053</v>
      </c>
    </row>
    <row r="4431" spans="1:19" ht="18.75" x14ac:dyDescent="0.25">
      <c r="A4431" s="156" t="s">
        <v>8111</v>
      </c>
      <c r="B4431" s="157">
        <v>45995</v>
      </c>
      <c r="C4431" s="158" t="s">
        <v>802</v>
      </c>
      <c r="D4431" s="159" t="str">
        <f>VLOOKUP(Sales[[#This Row],[Customer ID]],Customer[#All],2,0)</f>
        <v>Rakesh Patel</v>
      </c>
      <c r="E4431" s="158" t="s">
        <v>461</v>
      </c>
      <c r="F4431" s="158" t="str">
        <f>VLOOKUP(Sales[[#This Row],[Product ID]],Product[#All],2,0)</f>
        <v>TP-link Wi-Fi Adapter</v>
      </c>
      <c r="G4431" s="159">
        <v>6</v>
      </c>
      <c r="H4431" s="160">
        <f>VLOOKUP(Sales[[#This Row],[Product ID]],Product[#All],7,0)</f>
        <v>2500</v>
      </c>
      <c r="I4431" s="160">
        <f>Sales[[#This Row],[Selling Rate]]*Sales[[#This Row],[Qty]]</f>
        <v>15000</v>
      </c>
      <c r="J4431" s="43">
        <v>0.05</v>
      </c>
      <c r="K4431" s="44">
        <f>Sales[[#This Row],[Gross Amount]]*Sales[[#This Row],[Disc %]]</f>
        <v>750</v>
      </c>
      <c r="L4431" s="43">
        <v>0.18</v>
      </c>
      <c r="M4431" s="44">
        <f>(Sales[[#This Row],[Gross Amount]]-Sales[[#This Row],[Disc. Amt.]])*Sales[[#This Row],[GST %]]</f>
        <v>2565</v>
      </c>
      <c r="N4431" s="161">
        <f>Sales[[#This Row],[Gross Amount]]-Sales[[#This Row],[Disc. Amt.]]+Sales[[#This Row],[GST Amount]]</f>
        <v>16815</v>
      </c>
      <c r="O4431" s="158" t="s">
        <v>3569</v>
      </c>
      <c r="P4431" s="158" t="s">
        <v>3562</v>
      </c>
      <c r="Q4431" s="160">
        <f>IF(Sales[[#This Row],[Status]]="Cancelled",0,Sales[[#This Row],[Qty]])</f>
        <v>6</v>
      </c>
      <c r="R4431" s="161">
        <f>IF(Sales[[#This Row],[Status]]="Cancelled",0,Sales[[#This Row],[Total Amount]])</f>
        <v>16815</v>
      </c>
      <c r="S4431" s="162">
        <f>SUM(Sales[Net Amount])</f>
        <v>406839287.73200053</v>
      </c>
    </row>
    <row r="4432" spans="1:19" ht="18.75" x14ac:dyDescent="0.25">
      <c r="A4432" s="163" t="s">
        <v>8112</v>
      </c>
      <c r="B4432" s="164">
        <v>45995</v>
      </c>
      <c r="C4432" s="34" t="s">
        <v>819</v>
      </c>
      <c r="D4432" s="53" t="str">
        <f>VLOOKUP(Sales[[#This Row],[Customer ID]],Customer[#All],2,0)</f>
        <v>Neha Gupta</v>
      </c>
      <c r="E4432" s="34" t="s">
        <v>394</v>
      </c>
      <c r="F4432" s="34" t="str">
        <f>VLOOKUP(Sales[[#This Row],[Product ID]],Product[#All],2,0)</f>
        <v>Boat Speaker</v>
      </c>
      <c r="G4432" s="53">
        <v>1</v>
      </c>
      <c r="H4432" s="165">
        <f>VLOOKUP(Sales[[#This Row],[Product ID]],Product[#All],7,0)</f>
        <v>1720</v>
      </c>
      <c r="I4432" s="165">
        <f>Sales[[#This Row],[Selling Rate]]*Sales[[#This Row],[Qty]]</f>
        <v>1720</v>
      </c>
      <c r="J4432" s="45">
        <v>0.05</v>
      </c>
      <c r="K4432" s="46">
        <f>Sales[[#This Row],[Gross Amount]]*Sales[[#This Row],[Disc %]]</f>
        <v>86</v>
      </c>
      <c r="L4432" s="43">
        <v>0.18</v>
      </c>
      <c r="M4432" s="46">
        <f>(Sales[[#This Row],[Gross Amount]]-Sales[[#This Row],[Disc. Amt.]])*Sales[[#This Row],[GST %]]</f>
        <v>294.12</v>
      </c>
      <c r="N4432" s="161">
        <f>Sales[[#This Row],[Gross Amount]]-Sales[[#This Row],[Disc. Amt.]]+Sales[[#This Row],[GST Amount]]</f>
        <v>1928.12</v>
      </c>
      <c r="O4432" s="34" t="s">
        <v>8876</v>
      </c>
      <c r="P4432" s="34" t="s">
        <v>3562</v>
      </c>
      <c r="Q4432" s="165">
        <f>IF(Sales[[#This Row],[Status]]="Cancelled",0,Sales[[#This Row],[Qty]])</f>
        <v>1</v>
      </c>
      <c r="R4432" s="166">
        <f>IF(Sales[[#This Row],[Status]]="Cancelled",0,Sales[[#This Row],[Total Amount]])</f>
        <v>1928.12</v>
      </c>
      <c r="S4432" s="162">
        <f>SUM(Sales[Net Amount])</f>
        <v>406839287.73200053</v>
      </c>
    </row>
    <row r="4433" spans="1:19" ht="18.75" x14ac:dyDescent="0.25">
      <c r="A4433" s="156" t="s">
        <v>8113</v>
      </c>
      <c r="B4433" s="157">
        <v>45995</v>
      </c>
      <c r="C4433" s="158" t="s">
        <v>708</v>
      </c>
      <c r="D4433" s="159" t="str">
        <f>VLOOKUP(Sales[[#This Row],[Customer ID]],Customer[#All],2,0)</f>
        <v>Amit Verma</v>
      </c>
      <c r="E4433" s="158" t="s">
        <v>244</v>
      </c>
      <c r="F4433" s="158" t="str">
        <f>VLOOKUP(Sales[[#This Row],[Product ID]],Product[#All],2,0)</f>
        <v>TP-link Router</v>
      </c>
      <c r="G4433" s="159">
        <v>4</v>
      </c>
      <c r="H4433" s="160">
        <f>VLOOKUP(Sales[[#This Row],[Product ID]],Product[#All],7,0)</f>
        <v>4220</v>
      </c>
      <c r="I4433" s="160">
        <f>Sales[[#This Row],[Selling Rate]]*Sales[[#This Row],[Qty]]</f>
        <v>16880</v>
      </c>
      <c r="J4433" s="43">
        <v>0.1</v>
      </c>
      <c r="K4433" s="44">
        <f>Sales[[#This Row],[Gross Amount]]*Sales[[#This Row],[Disc %]]</f>
        <v>1688</v>
      </c>
      <c r="L4433" s="43">
        <v>0.18</v>
      </c>
      <c r="M4433" s="44">
        <f>(Sales[[#This Row],[Gross Amount]]-Sales[[#This Row],[Disc. Amt.]])*Sales[[#This Row],[GST %]]</f>
        <v>2734.56</v>
      </c>
      <c r="N4433" s="161">
        <f>Sales[[#This Row],[Gross Amount]]-Sales[[#This Row],[Disc. Amt.]]+Sales[[#This Row],[GST Amount]]</f>
        <v>17926.560000000001</v>
      </c>
      <c r="O4433" s="158" t="s">
        <v>3561</v>
      </c>
      <c r="P4433" s="158" t="s">
        <v>3562</v>
      </c>
      <c r="Q4433" s="160">
        <f>IF(Sales[[#This Row],[Status]]="Cancelled",0,Sales[[#This Row],[Qty]])</f>
        <v>4</v>
      </c>
      <c r="R4433" s="161">
        <f>IF(Sales[[#This Row],[Status]]="Cancelled",0,Sales[[#This Row],[Total Amount]])</f>
        <v>17926.560000000001</v>
      </c>
      <c r="S4433" s="162">
        <f>SUM(Sales[Net Amount])</f>
        <v>406839287.73200053</v>
      </c>
    </row>
    <row r="4434" spans="1:19" ht="18.75" x14ac:dyDescent="0.25">
      <c r="A4434" s="163" t="s">
        <v>8114</v>
      </c>
      <c r="B4434" s="164">
        <v>45995</v>
      </c>
      <c r="C4434" s="34" t="s">
        <v>773</v>
      </c>
      <c r="D4434" s="53" t="str">
        <f>VLOOKUP(Sales[[#This Row],[Customer ID]],Customer[#All],2,0)</f>
        <v>Rahul Kumar</v>
      </c>
      <c r="E4434" s="34" t="s">
        <v>515</v>
      </c>
      <c r="F4434" s="34" t="str">
        <f>VLOOKUP(Sales[[#This Row],[Product ID]],Product[#All],2,0)</f>
        <v>HP Mouse</v>
      </c>
      <c r="G4434" s="53">
        <v>8</v>
      </c>
      <c r="H4434" s="165">
        <f>VLOOKUP(Sales[[#This Row],[Product ID]],Product[#All],7,0)</f>
        <v>2520</v>
      </c>
      <c r="I4434" s="165">
        <f>Sales[[#This Row],[Selling Rate]]*Sales[[#This Row],[Qty]]</f>
        <v>20160</v>
      </c>
      <c r="J4434" s="45">
        <v>0</v>
      </c>
      <c r="K4434" s="46">
        <f>Sales[[#This Row],[Gross Amount]]*Sales[[#This Row],[Disc %]]</f>
        <v>0</v>
      </c>
      <c r="L4434" s="43">
        <v>0.18</v>
      </c>
      <c r="M4434" s="46">
        <f>(Sales[[#This Row],[Gross Amount]]-Sales[[#This Row],[Disc. Amt.]])*Sales[[#This Row],[GST %]]</f>
        <v>3628.7999999999997</v>
      </c>
      <c r="N4434" s="161">
        <f>Sales[[#This Row],[Gross Amount]]-Sales[[#This Row],[Disc. Amt.]]+Sales[[#This Row],[GST Amount]]</f>
        <v>23788.799999999999</v>
      </c>
      <c r="O4434" s="34" t="s">
        <v>3569</v>
      </c>
      <c r="P4434" s="34" t="s">
        <v>3562</v>
      </c>
      <c r="Q4434" s="165">
        <f>IF(Sales[[#This Row],[Status]]="Cancelled",0,Sales[[#This Row],[Qty]])</f>
        <v>8</v>
      </c>
      <c r="R4434" s="166">
        <f>IF(Sales[[#This Row],[Status]]="Cancelled",0,Sales[[#This Row],[Total Amount]])</f>
        <v>23788.799999999999</v>
      </c>
      <c r="S4434" s="162">
        <f>SUM(Sales[Net Amount])</f>
        <v>406839287.73200053</v>
      </c>
    </row>
    <row r="4435" spans="1:19" ht="18.75" x14ac:dyDescent="0.25">
      <c r="A4435" s="156" t="s">
        <v>8115</v>
      </c>
      <c r="B4435" s="157">
        <v>45995</v>
      </c>
      <c r="C4435" s="158" t="s">
        <v>812</v>
      </c>
      <c r="D4435" s="159" t="str">
        <f>VLOOKUP(Sales[[#This Row],[Customer ID]],Customer[#All],2,0)</f>
        <v>Neha Gupta</v>
      </c>
      <c r="E4435" s="158" t="s">
        <v>550</v>
      </c>
      <c r="F4435" s="158" t="str">
        <f>VLOOKUP(Sales[[#This Row],[Product ID]],Product[#All],2,0)</f>
        <v>TP-link Wi-Fi Adapter</v>
      </c>
      <c r="G4435" s="159">
        <v>7</v>
      </c>
      <c r="H4435" s="160">
        <f>VLOOKUP(Sales[[#This Row],[Product ID]],Product[#All],7,0)</f>
        <v>1300</v>
      </c>
      <c r="I4435" s="160">
        <f>Sales[[#This Row],[Selling Rate]]*Sales[[#This Row],[Qty]]</f>
        <v>9100</v>
      </c>
      <c r="J4435" s="43">
        <v>0.15</v>
      </c>
      <c r="K4435" s="44">
        <f>Sales[[#This Row],[Gross Amount]]*Sales[[#This Row],[Disc %]]</f>
        <v>1365</v>
      </c>
      <c r="L4435" s="43">
        <v>0.18</v>
      </c>
      <c r="M4435" s="44">
        <f>(Sales[[#This Row],[Gross Amount]]-Sales[[#This Row],[Disc. Amt.]])*Sales[[#This Row],[GST %]]</f>
        <v>1392.3</v>
      </c>
      <c r="N4435" s="161">
        <f>Sales[[#This Row],[Gross Amount]]-Sales[[#This Row],[Disc. Amt.]]+Sales[[#This Row],[GST Amount]]</f>
        <v>9127.2999999999993</v>
      </c>
      <c r="O4435" s="158" t="s">
        <v>8876</v>
      </c>
      <c r="P4435" s="158" t="s">
        <v>3562</v>
      </c>
      <c r="Q4435" s="160">
        <f>IF(Sales[[#This Row],[Status]]="Cancelled",0,Sales[[#This Row],[Qty]])</f>
        <v>7</v>
      </c>
      <c r="R4435" s="161">
        <f>IF(Sales[[#This Row],[Status]]="Cancelled",0,Sales[[#This Row],[Total Amount]])</f>
        <v>9127.2999999999993</v>
      </c>
      <c r="S4435" s="162">
        <f>SUM(Sales[Net Amount])</f>
        <v>406839287.73200053</v>
      </c>
    </row>
    <row r="4436" spans="1:19" ht="18.75" x14ac:dyDescent="0.25">
      <c r="A4436" s="163" t="s">
        <v>8116</v>
      </c>
      <c r="B4436" s="164">
        <v>45996</v>
      </c>
      <c r="C4436" s="34" t="s">
        <v>716</v>
      </c>
      <c r="D4436" s="53" t="str">
        <f>VLOOKUP(Sales[[#This Row],[Customer ID]],Customer[#All],2,0)</f>
        <v>Ankit Kumar</v>
      </c>
      <c r="E4436" s="34" t="s">
        <v>424</v>
      </c>
      <c r="F4436" s="34" t="str">
        <f>VLOOKUP(Sales[[#This Row],[Product ID]],Product[#All],2,0)</f>
        <v>TP-link Wi-Fi Adapter</v>
      </c>
      <c r="G4436" s="53">
        <v>4</v>
      </c>
      <c r="H4436" s="165">
        <f>VLOOKUP(Sales[[#This Row],[Product ID]],Product[#All],7,0)</f>
        <v>690</v>
      </c>
      <c r="I4436" s="165">
        <f>Sales[[#This Row],[Selling Rate]]*Sales[[#This Row],[Qty]]</f>
        <v>2760</v>
      </c>
      <c r="J4436" s="45">
        <v>0</v>
      </c>
      <c r="K4436" s="46">
        <f>Sales[[#This Row],[Gross Amount]]*Sales[[#This Row],[Disc %]]</f>
        <v>0</v>
      </c>
      <c r="L4436" s="43">
        <v>0.18</v>
      </c>
      <c r="M4436" s="46">
        <f>(Sales[[#This Row],[Gross Amount]]-Sales[[#This Row],[Disc. Amt.]])*Sales[[#This Row],[GST %]]</f>
        <v>496.79999999999995</v>
      </c>
      <c r="N4436" s="161">
        <f>Sales[[#This Row],[Gross Amount]]-Sales[[#This Row],[Disc. Amt.]]+Sales[[#This Row],[GST Amount]]</f>
        <v>3256.8</v>
      </c>
      <c r="O4436" s="34" t="s">
        <v>3566</v>
      </c>
      <c r="P4436" s="34" t="s">
        <v>3562</v>
      </c>
      <c r="Q4436" s="165">
        <f>IF(Sales[[#This Row],[Status]]="Cancelled",0,Sales[[#This Row],[Qty]])</f>
        <v>4</v>
      </c>
      <c r="R4436" s="166">
        <f>IF(Sales[[#This Row],[Status]]="Cancelled",0,Sales[[#This Row],[Total Amount]])</f>
        <v>3256.8</v>
      </c>
      <c r="S4436" s="162">
        <f>SUM(Sales[Net Amount])</f>
        <v>406839287.73200053</v>
      </c>
    </row>
    <row r="4437" spans="1:19" ht="18.75" x14ac:dyDescent="0.25">
      <c r="A4437" s="156" t="s">
        <v>8117</v>
      </c>
      <c r="B4437" s="157">
        <v>45996</v>
      </c>
      <c r="C4437" s="158" t="s">
        <v>813</v>
      </c>
      <c r="D4437" s="159" t="str">
        <f>VLOOKUP(Sales[[#This Row],[Customer ID]],Customer[#All],2,0)</f>
        <v>Neha Verma</v>
      </c>
      <c r="E4437" s="158" t="s">
        <v>82</v>
      </c>
      <c r="F4437" s="158" t="str">
        <f>VLOOKUP(Sales[[#This Row],[Product ID]],Product[#All],2,0)</f>
        <v>American TouristerLaptopBag</v>
      </c>
      <c r="G4437" s="159">
        <v>1</v>
      </c>
      <c r="H4437" s="160">
        <f>VLOOKUP(Sales[[#This Row],[Product ID]],Product[#All],7,0)</f>
        <v>5480</v>
      </c>
      <c r="I4437" s="160">
        <f>Sales[[#This Row],[Selling Rate]]*Sales[[#This Row],[Qty]]</f>
        <v>5480</v>
      </c>
      <c r="J4437" s="43">
        <v>0</v>
      </c>
      <c r="K4437" s="44">
        <f>Sales[[#This Row],[Gross Amount]]*Sales[[#This Row],[Disc %]]</f>
        <v>0</v>
      </c>
      <c r="L4437" s="43">
        <v>0.18</v>
      </c>
      <c r="M4437" s="44">
        <f>(Sales[[#This Row],[Gross Amount]]-Sales[[#This Row],[Disc. Amt.]])*Sales[[#This Row],[GST %]]</f>
        <v>986.4</v>
      </c>
      <c r="N4437" s="161">
        <f>Sales[[#This Row],[Gross Amount]]-Sales[[#This Row],[Disc. Amt.]]+Sales[[#This Row],[GST Amount]]</f>
        <v>6466.4</v>
      </c>
      <c r="O4437" s="158" t="s">
        <v>8876</v>
      </c>
      <c r="P4437" s="158" t="s">
        <v>3562</v>
      </c>
      <c r="Q4437" s="160">
        <f>IF(Sales[[#This Row],[Status]]="Cancelled",0,Sales[[#This Row],[Qty]])</f>
        <v>1</v>
      </c>
      <c r="R4437" s="161">
        <f>IF(Sales[[#This Row],[Status]]="Cancelled",0,Sales[[#This Row],[Total Amount]])</f>
        <v>6466.4</v>
      </c>
      <c r="S4437" s="162">
        <f>SUM(Sales[Net Amount])</f>
        <v>406839287.73200053</v>
      </c>
    </row>
    <row r="4438" spans="1:19" ht="18.75" x14ac:dyDescent="0.25">
      <c r="A4438" s="163" t="s">
        <v>8118</v>
      </c>
      <c r="B4438" s="164">
        <v>45996</v>
      </c>
      <c r="C4438" s="34" t="s">
        <v>817</v>
      </c>
      <c r="D4438" s="53" t="str">
        <f>VLOOKUP(Sales[[#This Row],[Customer ID]],Customer[#All],2,0)</f>
        <v>Ankit Patel</v>
      </c>
      <c r="E4438" s="34" t="s">
        <v>314</v>
      </c>
      <c r="F4438" s="34" t="str">
        <f>VLOOKUP(Sales[[#This Row],[Product ID]],Product[#All],2,0)</f>
        <v>Dell Desktop</v>
      </c>
      <c r="G4438" s="53">
        <v>8</v>
      </c>
      <c r="H4438" s="165">
        <f>VLOOKUP(Sales[[#This Row],[Product ID]],Product[#All],7,0)</f>
        <v>59580</v>
      </c>
      <c r="I4438" s="165">
        <f>Sales[[#This Row],[Selling Rate]]*Sales[[#This Row],[Qty]]</f>
        <v>476640</v>
      </c>
      <c r="J4438" s="45">
        <v>0.12</v>
      </c>
      <c r="K4438" s="46">
        <f>Sales[[#This Row],[Gross Amount]]*Sales[[#This Row],[Disc %]]</f>
        <v>57196.799999999996</v>
      </c>
      <c r="L4438" s="43">
        <v>0.18</v>
      </c>
      <c r="M4438" s="46">
        <f>(Sales[[#This Row],[Gross Amount]]-Sales[[#This Row],[Disc. Amt.]])*Sales[[#This Row],[GST %]]</f>
        <v>75499.775999999998</v>
      </c>
      <c r="N4438" s="161">
        <f>Sales[[#This Row],[Gross Amount]]-Sales[[#This Row],[Disc. Amt.]]+Sales[[#This Row],[GST Amount]]</f>
        <v>494942.97600000002</v>
      </c>
      <c r="O4438" s="34" t="s">
        <v>3561</v>
      </c>
      <c r="P4438" s="34" t="s">
        <v>3562</v>
      </c>
      <c r="Q4438" s="165">
        <f>IF(Sales[[#This Row],[Status]]="Cancelled",0,Sales[[#This Row],[Qty]])</f>
        <v>8</v>
      </c>
      <c r="R4438" s="166">
        <f>IF(Sales[[#This Row],[Status]]="Cancelled",0,Sales[[#This Row],[Total Amount]])</f>
        <v>494942.97600000002</v>
      </c>
      <c r="S4438" s="162">
        <f>SUM(Sales[Net Amount])</f>
        <v>406839287.73200053</v>
      </c>
    </row>
    <row r="4439" spans="1:19" ht="18.75" x14ac:dyDescent="0.25">
      <c r="A4439" s="156" t="s">
        <v>8119</v>
      </c>
      <c r="B4439" s="157">
        <v>45996</v>
      </c>
      <c r="C4439" s="158" t="s">
        <v>822</v>
      </c>
      <c r="D4439" s="159" t="str">
        <f>VLOOKUP(Sales[[#This Row],[Customer ID]],Customer[#All],2,0)</f>
        <v>Vikas Singh</v>
      </c>
      <c r="E4439" s="158" t="s">
        <v>50</v>
      </c>
      <c r="F4439" s="158" t="str">
        <f>VLOOKUP(Sales[[#This Row],[Product ID]],Product[#All],2,0)</f>
        <v>Lg Monitor</v>
      </c>
      <c r="G4439" s="159">
        <v>4</v>
      </c>
      <c r="H4439" s="160">
        <f>VLOOKUP(Sales[[#This Row],[Product ID]],Product[#All],7,0)</f>
        <v>35670</v>
      </c>
      <c r="I4439" s="160">
        <f>Sales[[#This Row],[Selling Rate]]*Sales[[#This Row],[Qty]]</f>
        <v>142680</v>
      </c>
      <c r="J4439" s="43">
        <v>0.05</v>
      </c>
      <c r="K4439" s="44">
        <f>Sales[[#This Row],[Gross Amount]]*Sales[[#This Row],[Disc %]]</f>
        <v>7134</v>
      </c>
      <c r="L4439" s="43">
        <v>0.18</v>
      </c>
      <c r="M4439" s="44">
        <f>(Sales[[#This Row],[Gross Amount]]-Sales[[#This Row],[Disc. Amt.]])*Sales[[#This Row],[GST %]]</f>
        <v>24398.28</v>
      </c>
      <c r="N4439" s="161">
        <f>Sales[[#This Row],[Gross Amount]]-Sales[[#This Row],[Disc. Amt.]]+Sales[[#This Row],[GST Amount]]</f>
        <v>159944.28</v>
      </c>
      <c r="O4439" s="158" t="s">
        <v>3561</v>
      </c>
      <c r="P4439" s="158" t="s">
        <v>3562</v>
      </c>
      <c r="Q4439" s="160">
        <f>IF(Sales[[#This Row],[Status]]="Cancelled",0,Sales[[#This Row],[Qty]])</f>
        <v>4</v>
      </c>
      <c r="R4439" s="161">
        <f>IF(Sales[[#This Row],[Status]]="Cancelled",0,Sales[[#This Row],[Total Amount]])</f>
        <v>159944.28</v>
      </c>
      <c r="S4439" s="162">
        <f>SUM(Sales[Net Amount])</f>
        <v>406839287.73200053</v>
      </c>
    </row>
    <row r="4440" spans="1:19" ht="18.75" x14ac:dyDescent="0.25">
      <c r="A4440" s="163" t="s">
        <v>8120</v>
      </c>
      <c r="B4440" s="164">
        <v>45996</v>
      </c>
      <c r="C4440" s="34" t="s">
        <v>652</v>
      </c>
      <c r="D4440" s="53" t="str">
        <f>VLOOKUP(Sales[[#This Row],[Customer ID]],Customer[#All],2,0)</f>
        <v>Sahil Kumar</v>
      </c>
      <c r="E4440" s="34" t="s">
        <v>224</v>
      </c>
      <c r="F4440" s="34" t="str">
        <f>VLOOKUP(Sales[[#This Row],[Product ID]],Product[#All],2,0)</f>
        <v>Seagate HDD</v>
      </c>
      <c r="G4440" s="53">
        <v>6</v>
      </c>
      <c r="H4440" s="165">
        <f>VLOOKUP(Sales[[#This Row],[Product ID]],Product[#All],7,0)</f>
        <v>8130</v>
      </c>
      <c r="I4440" s="165">
        <f>Sales[[#This Row],[Selling Rate]]*Sales[[#This Row],[Qty]]</f>
        <v>48780</v>
      </c>
      <c r="J4440" s="45">
        <v>0.02</v>
      </c>
      <c r="K4440" s="46">
        <f>Sales[[#This Row],[Gross Amount]]*Sales[[#This Row],[Disc %]]</f>
        <v>975.6</v>
      </c>
      <c r="L4440" s="43">
        <v>0.18</v>
      </c>
      <c r="M4440" s="46">
        <f>(Sales[[#This Row],[Gross Amount]]-Sales[[#This Row],[Disc. Amt.]])*Sales[[#This Row],[GST %]]</f>
        <v>8604.7919999999995</v>
      </c>
      <c r="N4440" s="161">
        <f>Sales[[#This Row],[Gross Amount]]-Sales[[#This Row],[Disc. Amt.]]+Sales[[#This Row],[GST Amount]]</f>
        <v>56409.192000000003</v>
      </c>
      <c r="O4440" s="34" t="s">
        <v>3566</v>
      </c>
      <c r="P4440" s="34" t="s">
        <v>3562</v>
      </c>
      <c r="Q4440" s="165">
        <f>IF(Sales[[#This Row],[Status]]="Cancelled",0,Sales[[#This Row],[Qty]])</f>
        <v>6</v>
      </c>
      <c r="R4440" s="166">
        <f>IF(Sales[[#This Row],[Status]]="Cancelled",0,Sales[[#This Row],[Total Amount]])</f>
        <v>56409.192000000003</v>
      </c>
      <c r="S4440" s="162">
        <f>SUM(Sales[Net Amount])</f>
        <v>406839287.73200053</v>
      </c>
    </row>
    <row r="4441" spans="1:19" ht="18.75" x14ac:dyDescent="0.25">
      <c r="A4441" s="156" t="s">
        <v>8121</v>
      </c>
      <c r="B4441" s="157">
        <v>45996</v>
      </c>
      <c r="C4441" s="158" t="s">
        <v>835</v>
      </c>
      <c r="D4441" s="159" t="str">
        <f>VLOOKUP(Sales[[#This Row],[Customer ID]],Customer[#All],2,0)</f>
        <v>Ankit Kumar</v>
      </c>
      <c r="E4441" s="158" t="s">
        <v>422</v>
      </c>
      <c r="F4441" s="158" t="str">
        <f>VLOOKUP(Sales[[#This Row],[Product ID]],Product[#All],2,0)</f>
        <v>Microtek UPS</v>
      </c>
      <c r="G4441" s="159">
        <v>7</v>
      </c>
      <c r="H4441" s="160">
        <f>VLOOKUP(Sales[[#This Row],[Product ID]],Product[#All],7,0)</f>
        <v>6450</v>
      </c>
      <c r="I4441" s="160">
        <f>Sales[[#This Row],[Selling Rate]]*Sales[[#This Row],[Qty]]</f>
        <v>45150</v>
      </c>
      <c r="J4441" s="43">
        <v>0.02</v>
      </c>
      <c r="K4441" s="44">
        <f>Sales[[#This Row],[Gross Amount]]*Sales[[#This Row],[Disc %]]</f>
        <v>903</v>
      </c>
      <c r="L4441" s="43">
        <v>0.18</v>
      </c>
      <c r="M4441" s="44">
        <f>(Sales[[#This Row],[Gross Amount]]-Sales[[#This Row],[Disc. Amt.]])*Sales[[#This Row],[GST %]]</f>
        <v>7964.46</v>
      </c>
      <c r="N4441" s="161">
        <f>Sales[[#This Row],[Gross Amount]]-Sales[[#This Row],[Disc. Amt.]]+Sales[[#This Row],[GST Amount]]</f>
        <v>52211.46</v>
      </c>
      <c r="O4441" s="158" t="s">
        <v>3569</v>
      </c>
      <c r="P4441" s="158" t="s">
        <v>3562</v>
      </c>
      <c r="Q4441" s="160">
        <f>IF(Sales[[#This Row],[Status]]="Cancelled",0,Sales[[#This Row],[Qty]])</f>
        <v>7</v>
      </c>
      <c r="R4441" s="161">
        <f>IF(Sales[[#This Row],[Status]]="Cancelled",0,Sales[[#This Row],[Total Amount]])</f>
        <v>52211.46</v>
      </c>
      <c r="S4441" s="162">
        <f>SUM(Sales[Net Amount])</f>
        <v>406839287.73200053</v>
      </c>
    </row>
    <row r="4442" spans="1:19" ht="18.75" x14ac:dyDescent="0.25">
      <c r="A4442" s="163" t="s">
        <v>8122</v>
      </c>
      <c r="B4442" s="164">
        <v>45996</v>
      </c>
      <c r="C4442" s="34" t="s">
        <v>926</v>
      </c>
      <c r="D4442" s="53" t="str">
        <f>VLOOKUP(Sales[[#This Row],[Customer ID]],Customer[#All],2,0)</f>
        <v>Pooja Singh</v>
      </c>
      <c r="E4442" s="34" t="s">
        <v>151</v>
      </c>
      <c r="F4442" s="34" t="str">
        <f>VLOOKUP(Sales[[#This Row],[Product ID]],Product[#All],2,0)</f>
        <v>Jbl Speaker</v>
      </c>
      <c r="G4442" s="53">
        <v>5</v>
      </c>
      <c r="H4442" s="165">
        <f>VLOOKUP(Sales[[#This Row],[Product ID]],Product[#All],7,0)</f>
        <v>7010</v>
      </c>
      <c r="I4442" s="165">
        <f>Sales[[#This Row],[Selling Rate]]*Sales[[#This Row],[Qty]]</f>
        <v>35050</v>
      </c>
      <c r="J4442" s="45">
        <v>0.1</v>
      </c>
      <c r="K4442" s="46">
        <f>Sales[[#This Row],[Gross Amount]]*Sales[[#This Row],[Disc %]]</f>
        <v>3505</v>
      </c>
      <c r="L4442" s="43">
        <v>0.18</v>
      </c>
      <c r="M4442" s="46">
        <f>(Sales[[#This Row],[Gross Amount]]-Sales[[#This Row],[Disc. Amt.]])*Sales[[#This Row],[GST %]]</f>
        <v>5678.0999999999995</v>
      </c>
      <c r="N4442" s="161">
        <f>Sales[[#This Row],[Gross Amount]]-Sales[[#This Row],[Disc. Amt.]]+Sales[[#This Row],[GST Amount]]</f>
        <v>37223.1</v>
      </c>
      <c r="O4442" s="34" t="s">
        <v>3569</v>
      </c>
      <c r="P4442" s="34" t="s">
        <v>3562</v>
      </c>
      <c r="Q4442" s="165">
        <f>IF(Sales[[#This Row],[Status]]="Cancelled",0,Sales[[#This Row],[Qty]])</f>
        <v>5</v>
      </c>
      <c r="R4442" s="166">
        <f>IF(Sales[[#This Row],[Status]]="Cancelled",0,Sales[[#This Row],[Total Amount]])</f>
        <v>37223.1</v>
      </c>
      <c r="S4442" s="162">
        <f>SUM(Sales[Net Amount])</f>
        <v>406839287.73200053</v>
      </c>
    </row>
    <row r="4443" spans="1:19" ht="18.75" x14ac:dyDescent="0.25">
      <c r="A4443" s="156" t="s">
        <v>8123</v>
      </c>
      <c r="B4443" s="157">
        <v>45996</v>
      </c>
      <c r="C4443" s="158" t="s">
        <v>949</v>
      </c>
      <c r="D4443" s="159" t="str">
        <f>VLOOKUP(Sales[[#This Row],[Customer ID]],Customer[#All],2,0)</f>
        <v>Amit Patel</v>
      </c>
      <c r="E4443" s="158" t="s">
        <v>61</v>
      </c>
      <c r="F4443" s="158" t="str">
        <f>VLOOKUP(Sales[[#This Row],[Product ID]],Product[#All],2,0)</f>
        <v>Boat Headset</v>
      </c>
      <c r="G4443" s="159">
        <v>5</v>
      </c>
      <c r="H4443" s="160">
        <f>VLOOKUP(Sales[[#This Row],[Product ID]],Product[#All],7,0)</f>
        <v>3570</v>
      </c>
      <c r="I4443" s="160">
        <f>Sales[[#This Row],[Selling Rate]]*Sales[[#This Row],[Qty]]</f>
        <v>17850</v>
      </c>
      <c r="J4443" s="43">
        <v>0.05</v>
      </c>
      <c r="K4443" s="44">
        <f>Sales[[#This Row],[Gross Amount]]*Sales[[#This Row],[Disc %]]</f>
        <v>892.5</v>
      </c>
      <c r="L4443" s="43">
        <v>0.18</v>
      </c>
      <c r="M4443" s="44">
        <f>(Sales[[#This Row],[Gross Amount]]-Sales[[#This Row],[Disc. Amt.]])*Sales[[#This Row],[GST %]]</f>
        <v>3052.35</v>
      </c>
      <c r="N4443" s="161">
        <f>Sales[[#This Row],[Gross Amount]]-Sales[[#This Row],[Disc. Amt.]]+Sales[[#This Row],[GST Amount]]</f>
        <v>20009.849999999999</v>
      </c>
      <c r="O4443" s="158" t="s">
        <v>8876</v>
      </c>
      <c r="P4443" s="158" t="s">
        <v>3562</v>
      </c>
      <c r="Q4443" s="160">
        <f>IF(Sales[[#This Row],[Status]]="Cancelled",0,Sales[[#This Row],[Qty]])</f>
        <v>5</v>
      </c>
      <c r="R4443" s="161">
        <f>IF(Sales[[#This Row],[Status]]="Cancelled",0,Sales[[#This Row],[Total Amount]])</f>
        <v>20009.849999999999</v>
      </c>
      <c r="S4443" s="162">
        <f>SUM(Sales[Net Amount])</f>
        <v>406839287.73200053</v>
      </c>
    </row>
    <row r="4444" spans="1:19" ht="18.75" x14ac:dyDescent="0.25">
      <c r="A4444" s="163" t="s">
        <v>8124</v>
      </c>
      <c r="B4444" s="164">
        <v>45996</v>
      </c>
      <c r="C4444" s="34" t="s">
        <v>772</v>
      </c>
      <c r="D4444" s="53" t="str">
        <f>VLOOKUP(Sales[[#This Row],[Customer ID]],Customer[#All],2,0)</f>
        <v>Rahul Patel</v>
      </c>
      <c r="E4444" s="34" t="s">
        <v>545</v>
      </c>
      <c r="F4444" s="34" t="str">
        <f>VLOOKUP(Sales[[#This Row],[Product ID]],Product[#All],2,0)</f>
        <v>WD HDD</v>
      </c>
      <c r="G4444" s="53">
        <v>2</v>
      </c>
      <c r="H4444" s="165">
        <f>VLOOKUP(Sales[[#This Row],[Product ID]],Product[#All],7,0)</f>
        <v>6720</v>
      </c>
      <c r="I4444" s="165">
        <f>Sales[[#This Row],[Selling Rate]]*Sales[[#This Row],[Qty]]</f>
        <v>13440</v>
      </c>
      <c r="J4444" s="45">
        <v>0.05</v>
      </c>
      <c r="K4444" s="46">
        <f>Sales[[#This Row],[Gross Amount]]*Sales[[#This Row],[Disc %]]</f>
        <v>672</v>
      </c>
      <c r="L4444" s="43">
        <v>0.18</v>
      </c>
      <c r="M4444" s="46">
        <f>(Sales[[#This Row],[Gross Amount]]-Sales[[#This Row],[Disc. Amt.]])*Sales[[#This Row],[GST %]]</f>
        <v>2298.2399999999998</v>
      </c>
      <c r="N4444" s="161">
        <f>Sales[[#This Row],[Gross Amount]]-Sales[[#This Row],[Disc. Amt.]]+Sales[[#This Row],[GST Amount]]</f>
        <v>15066.24</v>
      </c>
      <c r="O4444" s="34" t="s">
        <v>3561</v>
      </c>
      <c r="P4444" s="34" t="s">
        <v>3562</v>
      </c>
      <c r="Q4444" s="165">
        <f>IF(Sales[[#This Row],[Status]]="Cancelled",0,Sales[[#This Row],[Qty]])</f>
        <v>2</v>
      </c>
      <c r="R4444" s="166">
        <f>IF(Sales[[#This Row],[Status]]="Cancelled",0,Sales[[#This Row],[Total Amount]])</f>
        <v>15066.24</v>
      </c>
      <c r="S4444" s="162">
        <f>SUM(Sales[Net Amount])</f>
        <v>406839287.73200053</v>
      </c>
    </row>
    <row r="4445" spans="1:19" ht="18.75" x14ac:dyDescent="0.25">
      <c r="A4445" s="156" t="s">
        <v>8125</v>
      </c>
      <c r="B4445" s="157">
        <v>45996</v>
      </c>
      <c r="C4445" s="158" t="s">
        <v>751</v>
      </c>
      <c r="D4445" s="159" t="str">
        <f>VLOOKUP(Sales[[#This Row],[Customer ID]],Customer[#All],2,0)</f>
        <v>Ankit Verma</v>
      </c>
      <c r="E4445" s="158" t="s">
        <v>159</v>
      </c>
      <c r="F4445" s="158" t="str">
        <f>VLOOKUP(Sales[[#This Row],[Product ID]],Product[#All],2,0)</f>
        <v>HP Laptop</v>
      </c>
      <c r="G4445" s="159">
        <v>4</v>
      </c>
      <c r="H4445" s="160">
        <f>VLOOKUP(Sales[[#This Row],[Product ID]],Product[#All],7,0)</f>
        <v>90020</v>
      </c>
      <c r="I4445" s="160">
        <f>Sales[[#This Row],[Selling Rate]]*Sales[[#This Row],[Qty]]</f>
        <v>360080</v>
      </c>
      <c r="J4445" s="43">
        <v>0</v>
      </c>
      <c r="K4445" s="44">
        <f>Sales[[#This Row],[Gross Amount]]*Sales[[#This Row],[Disc %]]</f>
        <v>0</v>
      </c>
      <c r="L4445" s="43">
        <v>0.18</v>
      </c>
      <c r="M4445" s="44">
        <f>(Sales[[#This Row],[Gross Amount]]-Sales[[#This Row],[Disc. Amt.]])*Sales[[#This Row],[GST %]]</f>
        <v>64814.399999999994</v>
      </c>
      <c r="N4445" s="161">
        <f>Sales[[#This Row],[Gross Amount]]-Sales[[#This Row],[Disc. Amt.]]+Sales[[#This Row],[GST Amount]]</f>
        <v>424894.4</v>
      </c>
      <c r="O4445" s="158" t="s">
        <v>3569</v>
      </c>
      <c r="P4445" s="158" t="s">
        <v>3562</v>
      </c>
      <c r="Q4445" s="160">
        <f>IF(Sales[[#This Row],[Status]]="Cancelled",0,Sales[[#This Row],[Qty]])</f>
        <v>4</v>
      </c>
      <c r="R4445" s="161">
        <f>IF(Sales[[#This Row],[Status]]="Cancelled",0,Sales[[#This Row],[Total Amount]])</f>
        <v>424894.4</v>
      </c>
      <c r="S4445" s="162">
        <f>SUM(Sales[Net Amount])</f>
        <v>406839287.73200053</v>
      </c>
    </row>
    <row r="4446" spans="1:19" ht="18.75" x14ac:dyDescent="0.25">
      <c r="A4446" s="163" t="s">
        <v>8126</v>
      </c>
      <c r="B4446" s="164">
        <v>45996</v>
      </c>
      <c r="C4446" s="34" t="s">
        <v>754</v>
      </c>
      <c r="D4446" s="53" t="str">
        <f>VLOOKUP(Sales[[#This Row],[Customer ID]],Customer[#All],2,0)</f>
        <v>Rakesh Gupta</v>
      </c>
      <c r="E4446" s="34" t="s">
        <v>385</v>
      </c>
      <c r="F4446" s="34" t="str">
        <f>VLOOKUP(Sales[[#This Row],[Product ID]],Product[#All],2,0)</f>
        <v>Boat Headset</v>
      </c>
      <c r="G4446" s="53">
        <v>1</v>
      </c>
      <c r="H4446" s="165">
        <f>VLOOKUP(Sales[[#This Row],[Product ID]],Product[#All],7,0)</f>
        <v>1280</v>
      </c>
      <c r="I4446" s="165">
        <f>Sales[[#This Row],[Selling Rate]]*Sales[[#This Row],[Qty]]</f>
        <v>1280</v>
      </c>
      <c r="J4446" s="45">
        <v>0.05</v>
      </c>
      <c r="K4446" s="46">
        <f>Sales[[#This Row],[Gross Amount]]*Sales[[#This Row],[Disc %]]</f>
        <v>64</v>
      </c>
      <c r="L4446" s="43">
        <v>0.18</v>
      </c>
      <c r="M4446" s="46">
        <f>(Sales[[#This Row],[Gross Amount]]-Sales[[#This Row],[Disc. Amt.]])*Sales[[#This Row],[GST %]]</f>
        <v>218.88</v>
      </c>
      <c r="N4446" s="161">
        <f>Sales[[#This Row],[Gross Amount]]-Sales[[#This Row],[Disc. Amt.]]+Sales[[#This Row],[GST Amount]]</f>
        <v>1434.88</v>
      </c>
      <c r="O4446" s="34" t="s">
        <v>8876</v>
      </c>
      <c r="P4446" s="34" t="s">
        <v>3562</v>
      </c>
      <c r="Q4446" s="165">
        <f>IF(Sales[[#This Row],[Status]]="Cancelled",0,Sales[[#This Row],[Qty]])</f>
        <v>1</v>
      </c>
      <c r="R4446" s="166">
        <f>IF(Sales[[#This Row],[Status]]="Cancelled",0,Sales[[#This Row],[Total Amount]])</f>
        <v>1434.88</v>
      </c>
      <c r="S4446" s="162">
        <f>SUM(Sales[Net Amount])</f>
        <v>406839287.73200053</v>
      </c>
    </row>
    <row r="4447" spans="1:19" ht="18.75" x14ac:dyDescent="0.25">
      <c r="A4447" s="156" t="s">
        <v>8127</v>
      </c>
      <c r="B4447" s="157">
        <v>45996</v>
      </c>
      <c r="C4447" s="158" t="s">
        <v>763</v>
      </c>
      <c r="D4447" s="159" t="str">
        <f>VLOOKUP(Sales[[#This Row],[Customer ID]],Customer[#All],2,0)</f>
        <v>Pooja Verma</v>
      </c>
      <c r="E4447" s="158" t="s">
        <v>239</v>
      </c>
      <c r="F4447" s="158" t="str">
        <f>VLOOKUP(Sales[[#This Row],[Product ID]],Product[#All],2,0)</f>
        <v>Microtek UPS</v>
      </c>
      <c r="G4447" s="159">
        <v>3</v>
      </c>
      <c r="H4447" s="160">
        <f>VLOOKUP(Sales[[#This Row],[Product ID]],Product[#All],7,0)</f>
        <v>7570</v>
      </c>
      <c r="I4447" s="160">
        <f>Sales[[#This Row],[Selling Rate]]*Sales[[#This Row],[Qty]]</f>
        <v>22710</v>
      </c>
      <c r="J4447" s="43">
        <v>0.1</v>
      </c>
      <c r="K4447" s="44">
        <f>Sales[[#This Row],[Gross Amount]]*Sales[[#This Row],[Disc %]]</f>
        <v>2271</v>
      </c>
      <c r="L4447" s="43">
        <v>0.18</v>
      </c>
      <c r="M4447" s="44">
        <f>(Sales[[#This Row],[Gross Amount]]-Sales[[#This Row],[Disc. Amt.]])*Sales[[#This Row],[GST %]]</f>
        <v>3679.02</v>
      </c>
      <c r="N4447" s="161">
        <f>Sales[[#This Row],[Gross Amount]]-Sales[[#This Row],[Disc. Amt.]]+Sales[[#This Row],[GST Amount]]</f>
        <v>24118.02</v>
      </c>
      <c r="O4447" s="158" t="s">
        <v>3566</v>
      </c>
      <c r="P4447" s="158" t="s">
        <v>3562</v>
      </c>
      <c r="Q4447" s="160">
        <f>IF(Sales[[#This Row],[Status]]="Cancelled",0,Sales[[#This Row],[Qty]])</f>
        <v>3</v>
      </c>
      <c r="R4447" s="161">
        <f>IF(Sales[[#This Row],[Status]]="Cancelled",0,Sales[[#This Row],[Total Amount]])</f>
        <v>24118.02</v>
      </c>
      <c r="S4447" s="162">
        <f>SUM(Sales[Net Amount])</f>
        <v>406839287.73200053</v>
      </c>
    </row>
    <row r="4448" spans="1:19" ht="18.75" x14ac:dyDescent="0.25">
      <c r="A4448" s="163" t="s">
        <v>8128</v>
      </c>
      <c r="B4448" s="164">
        <v>45996</v>
      </c>
      <c r="C4448" s="34" t="s">
        <v>902</v>
      </c>
      <c r="D4448" s="53" t="str">
        <f>VLOOKUP(Sales[[#This Row],[Customer ID]],Customer[#All],2,0)</f>
        <v>Sunita Singh</v>
      </c>
      <c r="E4448" s="34" t="s">
        <v>531</v>
      </c>
      <c r="F4448" s="34" t="str">
        <f>VLOOKUP(Sales[[#This Row],[Product ID]],Product[#All],2,0)</f>
        <v>TP-link Router</v>
      </c>
      <c r="G4448" s="53">
        <v>2</v>
      </c>
      <c r="H4448" s="165">
        <f>VLOOKUP(Sales[[#This Row],[Product ID]],Product[#All],7,0)</f>
        <v>6730</v>
      </c>
      <c r="I4448" s="165">
        <f>Sales[[#This Row],[Selling Rate]]*Sales[[#This Row],[Qty]]</f>
        <v>13460</v>
      </c>
      <c r="J4448" s="45">
        <v>0</v>
      </c>
      <c r="K4448" s="46">
        <f>Sales[[#This Row],[Gross Amount]]*Sales[[#This Row],[Disc %]]</f>
        <v>0</v>
      </c>
      <c r="L4448" s="43">
        <v>0.18</v>
      </c>
      <c r="M4448" s="46">
        <f>(Sales[[#This Row],[Gross Amount]]-Sales[[#This Row],[Disc. Amt.]])*Sales[[#This Row],[GST %]]</f>
        <v>2422.7999999999997</v>
      </c>
      <c r="N4448" s="161">
        <f>Sales[[#This Row],[Gross Amount]]-Sales[[#This Row],[Disc. Amt.]]+Sales[[#This Row],[GST Amount]]</f>
        <v>15882.8</v>
      </c>
      <c r="O4448" s="34" t="s">
        <v>3561</v>
      </c>
      <c r="P4448" s="34" t="s">
        <v>3562</v>
      </c>
      <c r="Q4448" s="165">
        <f>IF(Sales[[#This Row],[Status]]="Cancelled",0,Sales[[#This Row],[Qty]])</f>
        <v>2</v>
      </c>
      <c r="R4448" s="166">
        <f>IF(Sales[[#This Row],[Status]]="Cancelled",0,Sales[[#This Row],[Total Amount]])</f>
        <v>15882.8</v>
      </c>
      <c r="S4448" s="162">
        <f>SUM(Sales[Net Amount])</f>
        <v>406839287.73200053</v>
      </c>
    </row>
    <row r="4449" spans="1:19" ht="18.75" x14ac:dyDescent="0.25">
      <c r="A4449" s="156" t="s">
        <v>8129</v>
      </c>
      <c r="B4449" s="157">
        <v>45996</v>
      </c>
      <c r="C4449" s="158" t="s">
        <v>771</v>
      </c>
      <c r="D4449" s="159" t="str">
        <f>VLOOKUP(Sales[[#This Row],[Customer ID]],Customer[#All],2,0)</f>
        <v>Pooja Sharma</v>
      </c>
      <c r="E4449" s="158" t="s">
        <v>503</v>
      </c>
      <c r="F4449" s="158" t="str">
        <f>VLOOKUP(Sales[[#This Row],[Product ID]],Product[#All],2,0)</f>
        <v>Corsair Ram</v>
      </c>
      <c r="G4449" s="159">
        <v>5</v>
      </c>
      <c r="H4449" s="160">
        <f>VLOOKUP(Sales[[#This Row],[Product ID]],Product[#All],7,0)</f>
        <v>8750</v>
      </c>
      <c r="I4449" s="160">
        <f>Sales[[#This Row],[Selling Rate]]*Sales[[#This Row],[Qty]]</f>
        <v>43750</v>
      </c>
      <c r="J4449" s="43">
        <v>0</v>
      </c>
      <c r="K4449" s="44">
        <f>Sales[[#This Row],[Gross Amount]]*Sales[[#This Row],[Disc %]]</f>
        <v>0</v>
      </c>
      <c r="L4449" s="43">
        <v>0.18</v>
      </c>
      <c r="M4449" s="44">
        <f>(Sales[[#This Row],[Gross Amount]]-Sales[[#This Row],[Disc. Amt.]])*Sales[[#This Row],[GST %]]</f>
        <v>7875</v>
      </c>
      <c r="N4449" s="161">
        <f>Sales[[#This Row],[Gross Amount]]-Sales[[#This Row],[Disc. Amt.]]+Sales[[#This Row],[GST Amount]]</f>
        <v>51625</v>
      </c>
      <c r="O4449" s="158" t="s">
        <v>3569</v>
      </c>
      <c r="P4449" s="158" t="s">
        <v>3562</v>
      </c>
      <c r="Q4449" s="160">
        <f>IF(Sales[[#This Row],[Status]]="Cancelled",0,Sales[[#This Row],[Qty]])</f>
        <v>5</v>
      </c>
      <c r="R4449" s="161">
        <f>IF(Sales[[#This Row],[Status]]="Cancelled",0,Sales[[#This Row],[Total Amount]])</f>
        <v>51625</v>
      </c>
      <c r="S4449" s="162">
        <f>SUM(Sales[Net Amount])</f>
        <v>406839287.73200053</v>
      </c>
    </row>
    <row r="4450" spans="1:19" ht="18.75" x14ac:dyDescent="0.25">
      <c r="A4450" s="163" t="s">
        <v>8130</v>
      </c>
      <c r="B4450" s="164">
        <v>45996</v>
      </c>
      <c r="C4450" s="34" t="s">
        <v>652</v>
      </c>
      <c r="D4450" s="53" t="str">
        <f>VLOOKUP(Sales[[#This Row],[Customer ID]],Customer[#All],2,0)</f>
        <v>Sahil Kumar</v>
      </c>
      <c r="E4450" s="34" t="s">
        <v>160</v>
      </c>
      <c r="F4450" s="34" t="str">
        <f>VLOOKUP(Sales[[#This Row],[Product ID]],Product[#All],2,0)</f>
        <v>Dell Power Adapter</v>
      </c>
      <c r="G4450" s="53">
        <v>3</v>
      </c>
      <c r="H4450" s="165">
        <f>VLOOKUP(Sales[[#This Row],[Product ID]],Product[#All],7,0)</f>
        <v>4330</v>
      </c>
      <c r="I4450" s="165">
        <f>Sales[[#This Row],[Selling Rate]]*Sales[[#This Row],[Qty]]</f>
        <v>12990</v>
      </c>
      <c r="J4450" s="45">
        <v>0.02</v>
      </c>
      <c r="K4450" s="46">
        <f>Sales[[#This Row],[Gross Amount]]*Sales[[#This Row],[Disc %]]</f>
        <v>259.8</v>
      </c>
      <c r="L4450" s="43">
        <v>0.18</v>
      </c>
      <c r="M4450" s="46">
        <f>(Sales[[#This Row],[Gross Amount]]-Sales[[#This Row],[Disc. Amt.]])*Sales[[#This Row],[GST %]]</f>
        <v>2291.4360000000001</v>
      </c>
      <c r="N4450" s="161">
        <f>Sales[[#This Row],[Gross Amount]]-Sales[[#This Row],[Disc. Amt.]]+Sales[[#This Row],[GST Amount]]</f>
        <v>15021.636</v>
      </c>
      <c r="O4450" s="34" t="s">
        <v>3569</v>
      </c>
      <c r="P4450" s="34" t="s">
        <v>3562</v>
      </c>
      <c r="Q4450" s="165">
        <f>IF(Sales[[#This Row],[Status]]="Cancelled",0,Sales[[#This Row],[Qty]])</f>
        <v>3</v>
      </c>
      <c r="R4450" s="166">
        <f>IF(Sales[[#This Row],[Status]]="Cancelled",0,Sales[[#This Row],[Total Amount]])</f>
        <v>15021.636</v>
      </c>
      <c r="S4450" s="162">
        <f>SUM(Sales[Net Amount])</f>
        <v>406839287.73200053</v>
      </c>
    </row>
    <row r="4451" spans="1:19" ht="18.75" x14ac:dyDescent="0.25">
      <c r="A4451" s="156" t="s">
        <v>8131</v>
      </c>
      <c r="B4451" s="157">
        <v>45996</v>
      </c>
      <c r="C4451" s="158" t="s">
        <v>821</v>
      </c>
      <c r="D4451" s="159" t="str">
        <f>VLOOKUP(Sales[[#This Row],[Customer ID]],Customer[#All],2,0)</f>
        <v>Rakesh Sharma</v>
      </c>
      <c r="E4451" s="158" t="s">
        <v>387</v>
      </c>
      <c r="F4451" s="158" t="str">
        <f>VLOOKUP(Sales[[#This Row],[Product ID]],Product[#All],2,0)</f>
        <v>HP Printer</v>
      </c>
      <c r="G4451" s="159">
        <v>4</v>
      </c>
      <c r="H4451" s="160">
        <f>VLOOKUP(Sales[[#This Row],[Product ID]],Product[#All],7,0)</f>
        <v>14390</v>
      </c>
      <c r="I4451" s="160">
        <f>Sales[[#This Row],[Selling Rate]]*Sales[[#This Row],[Qty]]</f>
        <v>57560</v>
      </c>
      <c r="J4451" s="43">
        <v>0</v>
      </c>
      <c r="K4451" s="44">
        <f>Sales[[#This Row],[Gross Amount]]*Sales[[#This Row],[Disc %]]</f>
        <v>0</v>
      </c>
      <c r="L4451" s="43">
        <v>0.18</v>
      </c>
      <c r="M4451" s="44">
        <f>(Sales[[#This Row],[Gross Amount]]-Sales[[#This Row],[Disc. Amt.]])*Sales[[#This Row],[GST %]]</f>
        <v>10360.799999999999</v>
      </c>
      <c r="N4451" s="161">
        <f>Sales[[#This Row],[Gross Amount]]-Sales[[#This Row],[Disc. Amt.]]+Sales[[#This Row],[GST Amount]]</f>
        <v>67920.800000000003</v>
      </c>
      <c r="O4451" s="158" t="s">
        <v>3566</v>
      </c>
      <c r="P4451" s="158" t="s">
        <v>3562</v>
      </c>
      <c r="Q4451" s="160">
        <f>IF(Sales[[#This Row],[Status]]="Cancelled",0,Sales[[#This Row],[Qty]])</f>
        <v>4</v>
      </c>
      <c r="R4451" s="161">
        <f>IF(Sales[[#This Row],[Status]]="Cancelled",0,Sales[[#This Row],[Total Amount]])</f>
        <v>67920.800000000003</v>
      </c>
      <c r="S4451" s="162">
        <f>SUM(Sales[Net Amount])</f>
        <v>406839287.73200053</v>
      </c>
    </row>
    <row r="4452" spans="1:19" ht="18.75" x14ac:dyDescent="0.25">
      <c r="A4452" s="163" t="s">
        <v>8132</v>
      </c>
      <c r="B4452" s="164">
        <v>45996</v>
      </c>
      <c r="C4452" s="34" t="s">
        <v>751</v>
      </c>
      <c r="D4452" s="53" t="str">
        <f>VLOOKUP(Sales[[#This Row],[Customer ID]],Customer[#All],2,0)</f>
        <v>Ankit Verma</v>
      </c>
      <c r="E4452" s="34" t="s">
        <v>484</v>
      </c>
      <c r="F4452" s="34" t="str">
        <f>VLOOKUP(Sales[[#This Row],[Product ID]],Product[#All],2,0)</f>
        <v>Dell Desktop</v>
      </c>
      <c r="G4452" s="53">
        <v>5</v>
      </c>
      <c r="H4452" s="165">
        <f>VLOOKUP(Sales[[#This Row],[Product ID]],Product[#All],7,0)</f>
        <v>68710</v>
      </c>
      <c r="I4452" s="165">
        <f>Sales[[#This Row],[Selling Rate]]*Sales[[#This Row],[Qty]]</f>
        <v>343550</v>
      </c>
      <c r="J4452" s="45">
        <v>0.05</v>
      </c>
      <c r="K4452" s="46">
        <f>Sales[[#This Row],[Gross Amount]]*Sales[[#This Row],[Disc %]]</f>
        <v>17177.5</v>
      </c>
      <c r="L4452" s="43">
        <v>0.18</v>
      </c>
      <c r="M4452" s="46">
        <f>(Sales[[#This Row],[Gross Amount]]-Sales[[#This Row],[Disc. Amt.]])*Sales[[#This Row],[GST %]]</f>
        <v>58747.049999999996</v>
      </c>
      <c r="N4452" s="161">
        <f>Sales[[#This Row],[Gross Amount]]-Sales[[#This Row],[Disc. Amt.]]+Sales[[#This Row],[GST Amount]]</f>
        <v>385119.55</v>
      </c>
      <c r="O4452" s="34" t="s">
        <v>3561</v>
      </c>
      <c r="P4452" s="34" t="s">
        <v>3562</v>
      </c>
      <c r="Q4452" s="165">
        <f>IF(Sales[[#This Row],[Status]]="Cancelled",0,Sales[[#This Row],[Qty]])</f>
        <v>5</v>
      </c>
      <c r="R4452" s="166">
        <f>IF(Sales[[#This Row],[Status]]="Cancelled",0,Sales[[#This Row],[Total Amount]])</f>
        <v>385119.55</v>
      </c>
      <c r="S4452" s="162">
        <f>SUM(Sales[Net Amount])</f>
        <v>406839287.73200053</v>
      </c>
    </row>
    <row r="4453" spans="1:19" ht="18.75" x14ac:dyDescent="0.25">
      <c r="A4453" s="156" t="s">
        <v>8133</v>
      </c>
      <c r="B4453" s="157">
        <v>45996</v>
      </c>
      <c r="C4453" s="158" t="s">
        <v>835</v>
      </c>
      <c r="D4453" s="159" t="str">
        <f>VLOOKUP(Sales[[#This Row],[Customer ID]],Customer[#All],2,0)</f>
        <v>Ankit Kumar</v>
      </c>
      <c r="E4453" s="158" t="s">
        <v>423</v>
      </c>
      <c r="F4453" s="158" t="str">
        <f>VLOOKUP(Sales[[#This Row],[Product ID]],Product[#All],2,0)</f>
        <v>HP Laptop</v>
      </c>
      <c r="G4453" s="159">
        <v>2</v>
      </c>
      <c r="H4453" s="160">
        <f>VLOOKUP(Sales[[#This Row],[Product ID]],Product[#All],7,0)</f>
        <v>40880</v>
      </c>
      <c r="I4453" s="160">
        <f>Sales[[#This Row],[Selling Rate]]*Sales[[#This Row],[Qty]]</f>
        <v>81760</v>
      </c>
      <c r="J4453" s="43">
        <v>0</v>
      </c>
      <c r="K4453" s="44">
        <f>Sales[[#This Row],[Gross Amount]]*Sales[[#This Row],[Disc %]]</f>
        <v>0</v>
      </c>
      <c r="L4453" s="43">
        <v>0.18</v>
      </c>
      <c r="M4453" s="44">
        <f>(Sales[[#This Row],[Gross Amount]]-Sales[[#This Row],[Disc. Amt.]])*Sales[[#This Row],[GST %]]</f>
        <v>14716.8</v>
      </c>
      <c r="N4453" s="161">
        <f>Sales[[#This Row],[Gross Amount]]-Sales[[#This Row],[Disc. Amt.]]+Sales[[#This Row],[GST Amount]]</f>
        <v>96476.800000000003</v>
      </c>
      <c r="O4453" s="158" t="s">
        <v>3566</v>
      </c>
      <c r="P4453" s="158" t="s">
        <v>3562</v>
      </c>
      <c r="Q4453" s="160">
        <f>IF(Sales[[#This Row],[Status]]="Cancelled",0,Sales[[#This Row],[Qty]])</f>
        <v>2</v>
      </c>
      <c r="R4453" s="161">
        <f>IF(Sales[[#This Row],[Status]]="Cancelled",0,Sales[[#This Row],[Total Amount]])</f>
        <v>96476.800000000003</v>
      </c>
      <c r="S4453" s="162">
        <f>SUM(Sales[Net Amount])</f>
        <v>406839287.73200053</v>
      </c>
    </row>
    <row r="4454" spans="1:19" ht="18.75" x14ac:dyDescent="0.25">
      <c r="A4454" s="163" t="s">
        <v>8134</v>
      </c>
      <c r="B4454" s="164">
        <v>45996</v>
      </c>
      <c r="C4454" s="34" t="s">
        <v>925</v>
      </c>
      <c r="D4454" s="53" t="str">
        <f>VLOOKUP(Sales[[#This Row],[Customer ID]],Customer[#All],2,0)</f>
        <v>Neha Singh</v>
      </c>
      <c r="E4454" s="34" t="s">
        <v>365</v>
      </c>
      <c r="F4454" s="34" t="str">
        <f>VLOOKUP(Sales[[#This Row],[Product ID]],Product[#All],2,0)</f>
        <v>TP-link Bluetooth Adapter</v>
      </c>
      <c r="G4454" s="53">
        <v>6</v>
      </c>
      <c r="H4454" s="165">
        <f>VLOOKUP(Sales[[#This Row],[Product ID]],Product[#All],7,0)</f>
        <v>2120</v>
      </c>
      <c r="I4454" s="165">
        <f>Sales[[#This Row],[Selling Rate]]*Sales[[#This Row],[Qty]]</f>
        <v>12720</v>
      </c>
      <c r="J4454" s="45">
        <v>0.12</v>
      </c>
      <c r="K4454" s="46">
        <f>Sales[[#This Row],[Gross Amount]]*Sales[[#This Row],[Disc %]]</f>
        <v>1526.3999999999999</v>
      </c>
      <c r="L4454" s="43">
        <v>0.18</v>
      </c>
      <c r="M4454" s="46">
        <f>(Sales[[#This Row],[Gross Amount]]-Sales[[#This Row],[Disc. Amt.]])*Sales[[#This Row],[GST %]]</f>
        <v>2014.848</v>
      </c>
      <c r="N4454" s="161">
        <f>Sales[[#This Row],[Gross Amount]]-Sales[[#This Row],[Disc. Amt.]]+Sales[[#This Row],[GST Amount]]</f>
        <v>13208.448</v>
      </c>
      <c r="O4454" s="34" t="s">
        <v>3569</v>
      </c>
      <c r="P4454" s="34" t="s">
        <v>3562</v>
      </c>
      <c r="Q4454" s="165">
        <f>IF(Sales[[#This Row],[Status]]="Cancelled",0,Sales[[#This Row],[Qty]])</f>
        <v>6</v>
      </c>
      <c r="R4454" s="166">
        <f>IF(Sales[[#This Row],[Status]]="Cancelled",0,Sales[[#This Row],[Total Amount]])</f>
        <v>13208.448</v>
      </c>
      <c r="S4454" s="162">
        <f>SUM(Sales[Net Amount])</f>
        <v>406839287.73200053</v>
      </c>
    </row>
    <row r="4455" spans="1:19" ht="18.75" x14ac:dyDescent="0.25">
      <c r="A4455" s="156" t="s">
        <v>8135</v>
      </c>
      <c r="B4455" s="157">
        <v>45996</v>
      </c>
      <c r="C4455" s="158" t="s">
        <v>942</v>
      </c>
      <c r="D4455" s="159" t="str">
        <f>VLOOKUP(Sales[[#This Row],[Customer ID]],Customer[#All],2,0)</f>
        <v>Sunita Kumar</v>
      </c>
      <c r="E4455" s="158" t="s">
        <v>471</v>
      </c>
      <c r="F4455" s="158" t="str">
        <f>VLOOKUP(Sales[[#This Row],[Product ID]],Product[#All],2,0)</f>
        <v>Samsung Monitor</v>
      </c>
      <c r="G4455" s="159">
        <v>2</v>
      </c>
      <c r="H4455" s="160">
        <f>VLOOKUP(Sales[[#This Row],[Product ID]],Product[#All],7,0)</f>
        <v>10840</v>
      </c>
      <c r="I4455" s="160">
        <f>Sales[[#This Row],[Selling Rate]]*Sales[[#This Row],[Qty]]</f>
        <v>21680</v>
      </c>
      <c r="J4455" s="43">
        <v>0</v>
      </c>
      <c r="K4455" s="44">
        <f>Sales[[#This Row],[Gross Amount]]*Sales[[#This Row],[Disc %]]</f>
        <v>0</v>
      </c>
      <c r="L4455" s="43">
        <v>0.18</v>
      </c>
      <c r="M4455" s="44">
        <f>(Sales[[#This Row],[Gross Amount]]-Sales[[#This Row],[Disc. Amt.]])*Sales[[#This Row],[GST %]]</f>
        <v>3902.3999999999996</v>
      </c>
      <c r="N4455" s="161">
        <f>Sales[[#This Row],[Gross Amount]]-Sales[[#This Row],[Disc. Amt.]]+Sales[[#This Row],[GST Amount]]</f>
        <v>25582.400000000001</v>
      </c>
      <c r="O4455" s="158" t="s">
        <v>3569</v>
      </c>
      <c r="P4455" s="158" t="s">
        <v>3562</v>
      </c>
      <c r="Q4455" s="160">
        <f>IF(Sales[[#This Row],[Status]]="Cancelled",0,Sales[[#This Row],[Qty]])</f>
        <v>2</v>
      </c>
      <c r="R4455" s="161">
        <f>IF(Sales[[#This Row],[Status]]="Cancelled",0,Sales[[#This Row],[Total Amount]])</f>
        <v>25582.400000000001</v>
      </c>
      <c r="S4455" s="162">
        <f>SUM(Sales[Net Amount])</f>
        <v>406839287.73200053</v>
      </c>
    </row>
    <row r="4456" spans="1:19" ht="18.75" x14ac:dyDescent="0.25">
      <c r="A4456" s="163" t="s">
        <v>8136</v>
      </c>
      <c r="B4456" s="164">
        <v>45996</v>
      </c>
      <c r="C4456" s="34" t="s">
        <v>949</v>
      </c>
      <c r="D4456" s="53" t="str">
        <f>VLOOKUP(Sales[[#This Row],[Customer ID]],Customer[#All],2,0)</f>
        <v>Amit Patel</v>
      </c>
      <c r="E4456" s="34" t="s">
        <v>255</v>
      </c>
      <c r="F4456" s="34" t="str">
        <f>VLOOKUP(Sales[[#This Row],[Product ID]],Product[#All],2,0)</f>
        <v>Acer Laptop</v>
      </c>
      <c r="G4456" s="53">
        <v>2</v>
      </c>
      <c r="H4456" s="165">
        <f>VLOOKUP(Sales[[#This Row],[Product ID]],Product[#All],7,0)</f>
        <v>62430</v>
      </c>
      <c r="I4456" s="165">
        <f>Sales[[#This Row],[Selling Rate]]*Sales[[#This Row],[Qty]]</f>
        <v>124860</v>
      </c>
      <c r="J4456" s="45">
        <v>0</v>
      </c>
      <c r="K4456" s="46">
        <f>Sales[[#This Row],[Gross Amount]]*Sales[[#This Row],[Disc %]]</f>
        <v>0</v>
      </c>
      <c r="L4456" s="43">
        <v>0.18</v>
      </c>
      <c r="M4456" s="46">
        <f>(Sales[[#This Row],[Gross Amount]]-Sales[[#This Row],[Disc. Amt.]])*Sales[[#This Row],[GST %]]</f>
        <v>22474.799999999999</v>
      </c>
      <c r="N4456" s="161">
        <f>Sales[[#This Row],[Gross Amount]]-Sales[[#This Row],[Disc. Amt.]]+Sales[[#This Row],[GST Amount]]</f>
        <v>147334.79999999999</v>
      </c>
      <c r="O4456" s="34" t="s">
        <v>8876</v>
      </c>
      <c r="P4456" s="34" t="s">
        <v>3562</v>
      </c>
      <c r="Q4456" s="165">
        <f>IF(Sales[[#This Row],[Status]]="Cancelled",0,Sales[[#This Row],[Qty]])</f>
        <v>2</v>
      </c>
      <c r="R4456" s="166">
        <f>IF(Sales[[#This Row],[Status]]="Cancelled",0,Sales[[#This Row],[Total Amount]])</f>
        <v>147334.79999999999</v>
      </c>
      <c r="S4456" s="162">
        <f>SUM(Sales[Net Amount])</f>
        <v>406839287.73200053</v>
      </c>
    </row>
    <row r="4457" spans="1:19" ht="18.75" x14ac:dyDescent="0.25">
      <c r="A4457" s="156" t="s">
        <v>8137</v>
      </c>
      <c r="B4457" s="157">
        <v>45996</v>
      </c>
      <c r="C4457" s="158" t="s">
        <v>656</v>
      </c>
      <c r="D4457" s="159" t="str">
        <f>VLOOKUP(Sales[[#This Row],[Customer ID]],Customer[#All],2,0)</f>
        <v>Rahul Kumar</v>
      </c>
      <c r="E4457" s="158" t="s">
        <v>466</v>
      </c>
      <c r="F4457" s="158" t="str">
        <f>VLOOKUP(Sales[[#This Row],[Product ID]],Product[#All],2,0)</f>
        <v>Lenovo Laptop</v>
      </c>
      <c r="G4457" s="159">
        <v>5</v>
      </c>
      <c r="H4457" s="160">
        <f>VLOOKUP(Sales[[#This Row],[Product ID]],Product[#All],7,0)</f>
        <v>87730</v>
      </c>
      <c r="I4457" s="160">
        <f>Sales[[#This Row],[Selling Rate]]*Sales[[#This Row],[Qty]]</f>
        <v>438650</v>
      </c>
      <c r="J4457" s="43">
        <v>0</v>
      </c>
      <c r="K4457" s="44">
        <f>Sales[[#This Row],[Gross Amount]]*Sales[[#This Row],[Disc %]]</f>
        <v>0</v>
      </c>
      <c r="L4457" s="43">
        <v>0.18</v>
      </c>
      <c r="M4457" s="44">
        <f>(Sales[[#This Row],[Gross Amount]]-Sales[[#This Row],[Disc. Amt.]])*Sales[[#This Row],[GST %]]</f>
        <v>78957</v>
      </c>
      <c r="N4457" s="161">
        <f>Sales[[#This Row],[Gross Amount]]-Sales[[#This Row],[Disc. Amt.]]+Sales[[#This Row],[GST Amount]]</f>
        <v>517607</v>
      </c>
      <c r="O4457" s="158" t="s">
        <v>3561</v>
      </c>
      <c r="P4457" s="158" t="s">
        <v>3562</v>
      </c>
      <c r="Q4457" s="160">
        <f>IF(Sales[[#This Row],[Status]]="Cancelled",0,Sales[[#This Row],[Qty]])</f>
        <v>5</v>
      </c>
      <c r="R4457" s="161">
        <f>IF(Sales[[#This Row],[Status]]="Cancelled",0,Sales[[#This Row],[Total Amount]])</f>
        <v>517607</v>
      </c>
      <c r="S4457" s="162">
        <f>SUM(Sales[Net Amount])</f>
        <v>406839287.73200053</v>
      </c>
    </row>
    <row r="4458" spans="1:19" ht="18.75" x14ac:dyDescent="0.25">
      <c r="A4458" s="163" t="s">
        <v>8138</v>
      </c>
      <c r="B4458" s="164">
        <v>45996</v>
      </c>
      <c r="C4458" s="34" t="s">
        <v>711</v>
      </c>
      <c r="D4458" s="53" t="str">
        <f>VLOOKUP(Sales[[#This Row],[Customer ID]],Customer[#All],2,0)</f>
        <v>Priya Verma</v>
      </c>
      <c r="E4458" s="34" t="s">
        <v>82</v>
      </c>
      <c r="F4458" s="34" t="str">
        <f>VLOOKUP(Sales[[#This Row],[Product ID]],Product[#All],2,0)</f>
        <v>American TouristerLaptopBag</v>
      </c>
      <c r="G4458" s="53">
        <v>2</v>
      </c>
      <c r="H4458" s="165">
        <f>VLOOKUP(Sales[[#This Row],[Product ID]],Product[#All],7,0)</f>
        <v>5480</v>
      </c>
      <c r="I4458" s="165">
        <f>Sales[[#This Row],[Selling Rate]]*Sales[[#This Row],[Qty]]</f>
        <v>10960</v>
      </c>
      <c r="J4458" s="45">
        <v>0.15</v>
      </c>
      <c r="K4458" s="46">
        <f>Sales[[#This Row],[Gross Amount]]*Sales[[#This Row],[Disc %]]</f>
        <v>1644</v>
      </c>
      <c r="L4458" s="43">
        <v>0.18</v>
      </c>
      <c r="M4458" s="46">
        <f>(Sales[[#This Row],[Gross Amount]]-Sales[[#This Row],[Disc. Amt.]])*Sales[[#This Row],[GST %]]</f>
        <v>1676.8799999999999</v>
      </c>
      <c r="N4458" s="161">
        <f>Sales[[#This Row],[Gross Amount]]-Sales[[#This Row],[Disc. Amt.]]+Sales[[#This Row],[GST Amount]]</f>
        <v>10992.88</v>
      </c>
      <c r="O4458" s="34" t="s">
        <v>3561</v>
      </c>
      <c r="P4458" s="34" t="s">
        <v>3562</v>
      </c>
      <c r="Q4458" s="165">
        <f>IF(Sales[[#This Row],[Status]]="Cancelled",0,Sales[[#This Row],[Qty]])</f>
        <v>2</v>
      </c>
      <c r="R4458" s="166">
        <f>IF(Sales[[#This Row],[Status]]="Cancelled",0,Sales[[#This Row],[Total Amount]])</f>
        <v>10992.88</v>
      </c>
      <c r="S4458" s="162">
        <f>SUM(Sales[Net Amount])</f>
        <v>406839287.73200053</v>
      </c>
    </row>
    <row r="4459" spans="1:19" ht="18.75" x14ac:dyDescent="0.25">
      <c r="A4459" s="156" t="s">
        <v>8139</v>
      </c>
      <c r="B4459" s="157">
        <v>45996</v>
      </c>
      <c r="C4459" s="158" t="s">
        <v>757</v>
      </c>
      <c r="D4459" s="159" t="str">
        <f>VLOOKUP(Sales[[#This Row],[Customer ID]],Customer[#All],2,0)</f>
        <v>Amit Singh</v>
      </c>
      <c r="E4459" s="158" t="s">
        <v>112</v>
      </c>
      <c r="F4459" s="158" t="str">
        <f>VLOOKUP(Sales[[#This Row],[Product ID]],Product[#All],2,0)</f>
        <v>Logitech Keyboard</v>
      </c>
      <c r="G4459" s="159">
        <v>6</v>
      </c>
      <c r="H4459" s="160">
        <f>VLOOKUP(Sales[[#This Row],[Product ID]],Product[#All],7,0)</f>
        <v>3300</v>
      </c>
      <c r="I4459" s="160">
        <f>Sales[[#This Row],[Selling Rate]]*Sales[[#This Row],[Qty]]</f>
        <v>19800</v>
      </c>
      <c r="J4459" s="43">
        <v>0.1</v>
      </c>
      <c r="K4459" s="44">
        <f>Sales[[#This Row],[Gross Amount]]*Sales[[#This Row],[Disc %]]</f>
        <v>1980</v>
      </c>
      <c r="L4459" s="43">
        <v>0.18</v>
      </c>
      <c r="M4459" s="44">
        <f>(Sales[[#This Row],[Gross Amount]]-Sales[[#This Row],[Disc. Amt.]])*Sales[[#This Row],[GST %]]</f>
        <v>3207.6</v>
      </c>
      <c r="N4459" s="161">
        <f>Sales[[#This Row],[Gross Amount]]-Sales[[#This Row],[Disc. Amt.]]+Sales[[#This Row],[GST Amount]]</f>
        <v>21027.599999999999</v>
      </c>
      <c r="O4459" s="158" t="s">
        <v>3569</v>
      </c>
      <c r="P4459" s="158" t="s">
        <v>3562</v>
      </c>
      <c r="Q4459" s="160">
        <f>IF(Sales[[#This Row],[Status]]="Cancelled",0,Sales[[#This Row],[Qty]])</f>
        <v>6</v>
      </c>
      <c r="R4459" s="161">
        <f>IF(Sales[[#This Row],[Status]]="Cancelled",0,Sales[[#This Row],[Total Amount]])</f>
        <v>21027.599999999999</v>
      </c>
      <c r="S4459" s="162">
        <f>SUM(Sales[Net Amount])</f>
        <v>406839287.73200053</v>
      </c>
    </row>
    <row r="4460" spans="1:19" ht="18.75" x14ac:dyDescent="0.25">
      <c r="A4460" s="163" t="s">
        <v>8140</v>
      </c>
      <c r="B4460" s="164">
        <v>45996</v>
      </c>
      <c r="C4460" s="34" t="s">
        <v>951</v>
      </c>
      <c r="D4460" s="53" t="str">
        <f>VLOOKUP(Sales[[#This Row],[Customer ID]],Customer[#All],2,0)</f>
        <v>Rahul Singh</v>
      </c>
      <c r="E4460" s="34" t="s">
        <v>240</v>
      </c>
      <c r="F4460" s="34" t="str">
        <f>VLOOKUP(Sales[[#This Row],[Product ID]],Product[#All],2,0)</f>
        <v>Crucial Ssd</v>
      </c>
      <c r="G4460" s="53">
        <v>1</v>
      </c>
      <c r="H4460" s="165">
        <f>VLOOKUP(Sales[[#This Row],[Product ID]],Product[#All],7,0)</f>
        <v>3310</v>
      </c>
      <c r="I4460" s="165">
        <f>Sales[[#This Row],[Selling Rate]]*Sales[[#This Row],[Qty]]</f>
        <v>3310</v>
      </c>
      <c r="J4460" s="45">
        <v>0.05</v>
      </c>
      <c r="K4460" s="46">
        <f>Sales[[#This Row],[Gross Amount]]*Sales[[#This Row],[Disc %]]</f>
        <v>165.5</v>
      </c>
      <c r="L4460" s="43">
        <v>0.18</v>
      </c>
      <c r="M4460" s="46">
        <f>(Sales[[#This Row],[Gross Amount]]-Sales[[#This Row],[Disc. Amt.]])*Sales[[#This Row],[GST %]]</f>
        <v>566.01</v>
      </c>
      <c r="N4460" s="161">
        <f>Sales[[#This Row],[Gross Amount]]-Sales[[#This Row],[Disc. Amt.]]+Sales[[#This Row],[GST Amount]]</f>
        <v>3710.51</v>
      </c>
      <c r="O4460" s="34" t="s">
        <v>3566</v>
      </c>
      <c r="P4460" s="34" t="s">
        <v>3562</v>
      </c>
      <c r="Q4460" s="165">
        <f>IF(Sales[[#This Row],[Status]]="Cancelled",0,Sales[[#This Row],[Qty]])</f>
        <v>1</v>
      </c>
      <c r="R4460" s="166">
        <f>IF(Sales[[#This Row],[Status]]="Cancelled",0,Sales[[#This Row],[Total Amount]])</f>
        <v>3710.51</v>
      </c>
      <c r="S4460" s="162">
        <f>SUM(Sales[Net Amount])</f>
        <v>406839287.73200053</v>
      </c>
    </row>
    <row r="4461" spans="1:19" ht="18.75" x14ac:dyDescent="0.25">
      <c r="A4461" s="156" t="s">
        <v>8141</v>
      </c>
      <c r="B4461" s="157">
        <v>45996</v>
      </c>
      <c r="C4461" s="158" t="s">
        <v>841</v>
      </c>
      <c r="D4461" s="159" t="str">
        <f>VLOOKUP(Sales[[#This Row],[Customer ID]],Customer[#All],2,0)</f>
        <v>Pooja Verma</v>
      </c>
      <c r="E4461" s="158" t="s">
        <v>549</v>
      </c>
      <c r="F4461" s="158" t="str">
        <f>VLOOKUP(Sales[[#This Row],[Product ID]],Product[#All],2,0)</f>
        <v>Boat Headset</v>
      </c>
      <c r="G4461" s="159">
        <v>4</v>
      </c>
      <c r="H4461" s="160">
        <f>VLOOKUP(Sales[[#This Row],[Product ID]],Product[#All],7,0)</f>
        <v>3390</v>
      </c>
      <c r="I4461" s="160">
        <f>Sales[[#This Row],[Selling Rate]]*Sales[[#This Row],[Qty]]</f>
        <v>13560</v>
      </c>
      <c r="J4461" s="43">
        <v>0.05</v>
      </c>
      <c r="K4461" s="44">
        <f>Sales[[#This Row],[Gross Amount]]*Sales[[#This Row],[Disc %]]</f>
        <v>678</v>
      </c>
      <c r="L4461" s="43">
        <v>0.18</v>
      </c>
      <c r="M4461" s="44">
        <f>(Sales[[#This Row],[Gross Amount]]-Sales[[#This Row],[Disc. Amt.]])*Sales[[#This Row],[GST %]]</f>
        <v>2318.7599999999998</v>
      </c>
      <c r="N4461" s="161">
        <f>Sales[[#This Row],[Gross Amount]]-Sales[[#This Row],[Disc. Amt.]]+Sales[[#This Row],[GST Amount]]</f>
        <v>15200.76</v>
      </c>
      <c r="O4461" s="158" t="s">
        <v>3566</v>
      </c>
      <c r="P4461" s="158" t="s">
        <v>3562</v>
      </c>
      <c r="Q4461" s="160">
        <f>IF(Sales[[#This Row],[Status]]="Cancelled",0,Sales[[#This Row],[Qty]])</f>
        <v>4</v>
      </c>
      <c r="R4461" s="161">
        <f>IF(Sales[[#This Row],[Status]]="Cancelled",0,Sales[[#This Row],[Total Amount]])</f>
        <v>15200.76</v>
      </c>
      <c r="S4461" s="162">
        <f>SUM(Sales[Net Amount])</f>
        <v>406839287.73200053</v>
      </c>
    </row>
    <row r="4462" spans="1:19" ht="18.75" x14ac:dyDescent="0.25">
      <c r="A4462" s="163" t="s">
        <v>8142</v>
      </c>
      <c r="B4462" s="164">
        <v>45996</v>
      </c>
      <c r="C4462" s="34" t="s">
        <v>773</v>
      </c>
      <c r="D4462" s="53" t="str">
        <f>VLOOKUP(Sales[[#This Row],[Customer ID]],Customer[#All],2,0)</f>
        <v>Rahul Kumar</v>
      </c>
      <c r="E4462" s="34" t="s">
        <v>459</v>
      </c>
      <c r="F4462" s="34" t="str">
        <f>VLOOKUP(Sales[[#This Row],[Product ID]],Product[#All],2,0)</f>
        <v>Logitech Mouse</v>
      </c>
      <c r="G4462" s="53">
        <v>4</v>
      </c>
      <c r="H4462" s="165">
        <f>VLOOKUP(Sales[[#This Row],[Product ID]],Product[#All],7,0)</f>
        <v>1680</v>
      </c>
      <c r="I4462" s="165">
        <f>Sales[[#This Row],[Selling Rate]]*Sales[[#This Row],[Qty]]</f>
        <v>6720</v>
      </c>
      <c r="J4462" s="45">
        <v>0.15</v>
      </c>
      <c r="K4462" s="46">
        <f>Sales[[#This Row],[Gross Amount]]*Sales[[#This Row],[Disc %]]</f>
        <v>1008</v>
      </c>
      <c r="L4462" s="43">
        <v>0.18</v>
      </c>
      <c r="M4462" s="46">
        <f>(Sales[[#This Row],[Gross Amount]]-Sales[[#This Row],[Disc. Amt.]])*Sales[[#This Row],[GST %]]</f>
        <v>1028.1599999999999</v>
      </c>
      <c r="N4462" s="161">
        <f>Sales[[#This Row],[Gross Amount]]-Sales[[#This Row],[Disc. Amt.]]+Sales[[#This Row],[GST Amount]]</f>
        <v>6740.16</v>
      </c>
      <c r="O4462" s="34" t="s">
        <v>3561</v>
      </c>
      <c r="P4462" s="34" t="s">
        <v>3562</v>
      </c>
      <c r="Q4462" s="165">
        <f>IF(Sales[[#This Row],[Status]]="Cancelled",0,Sales[[#This Row],[Qty]])</f>
        <v>4</v>
      </c>
      <c r="R4462" s="166">
        <f>IF(Sales[[#This Row],[Status]]="Cancelled",0,Sales[[#This Row],[Total Amount]])</f>
        <v>6740.16</v>
      </c>
      <c r="S4462" s="162">
        <f>SUM(Sales[Net Amount])</f>
        <v>406839287.73200053</v>
      </c>
    </row>
    <row r="4463" spans="1:19" ht="18.75" x14ac:dyDescent="0.25">
      <c r="A4463" s="156" t="s">
        <v>8143</v>
      </c>
      <c r="B4463" s="157">
        <v>45996</v>
      </c>
      <c r="C4463" s="158" t="s">
        <v>675</v>
      </c>
      <c r="D4463" s="159" t="str">
        <f>VLOOKUP(Sales[[#This Row],[Customer ID]],Customer[#All],2,0)</f>
        <v>Rahul Gupta</v>
      </c>
      <c r="E4463" s="158" t="s">
        <v>493</v>
      </c>
      <c r="F4463" s="158" t="str">
        <f>VLOOKUP(Sales[[#This Row],[Product ID]],Product[#All],2,0)</f>
        <v>Logitech Keyboard</v>
      </c>
      <c r="G4463" s="159">
        <v>4</v>
      </c>
      <c r="H4463" s="160">
        <f>VLOOKUP(Sales[[#This Row],[Product ID]],Product[#All],7,0)</f>
        <v>3040</v>
      </c>
      <c r="I4463" s="160">
        <f>Sales[[#This Row],[Selling Rate]]*Sales[[#This Row],[Qty]]</f>
        <v>12160</v>
      </c>
      <c r="J4463" s="43">
        <v>0</v>
      </c>
      <c r="K4463" s="44">
        <f>Sales[[#This Row],[Gross Amount]]*Sales[[#This Row],[Disc %]]</f>
        <v>0</v>
      </c>
      <c r="L4463" s="43">
        <v>0.18</v>
      </c>
      <c r="M4463" s="44">
        <f>(Sales[[#This Row],[Gross Amount]]-Sales[[#This Row],[Disc. Amt.]])*Sales[[#This Row],[GST %]]</f>
        <v>2188.7999999999997</v>
      </c>
      <c r="N4463" s="161">
        <f>Sales[[#This Row],[Gross Amount]]-Sales[[#This Row],[Disc. Amt.]]+Sales[[#This Row],[GST Amount]]</f>
        <v>14348.8</v>
      </c>
      <c r="O4463" s="158" t="s">
        <v>3561</v>
      </c>
      <c r="P4463" s="158" t="s">
        <v>3562</v>
      </c>
      <c r="Q4463" s="160">
        <f>IF(Sales[[#This Row],[Status]]="Cancelled",0,Sales[[#This Row],[Qty]])</f>
        <v>4</v>
      </c>
      <c r="R4463" s="161">
        <f>IF(Sales[[#This Row],[Status]]="Cancelled",0,Sales[[#This Row],[Total Amount]])</f>
        <v>14348.8</v>
      </c>
      <c r="S4463" s="162">
        <f>SUM(Sales[Net Amount])</f>
        <v>406839287.73200053</v>
      </c>
    </row>
    <row r="4464" spans="1:19" ht="18.75" x14ac:dyDescent="0.25">
      <c r="A4464" s="163" t="s">
        <v>8144</v>
      </c>
      <c r="B4464" s="164">
        <v>45996</v>
      </c>
      <c r="C4464" s="34" t="s">
        <v>892</v>
      </c>
      <c r="D4464" s="53" t="str">
        <f>VLOOKUP(Sales[[#This Row],[Customer ID]],Customer[#All],2,0)</f>
        <v>Sahil Verma</v>
      </c>
      <c r="E4464" s="34" t="s">
        <v>284</v>
      </c>
      <c r="F4464" s="34" t="str">
        <f>VLOOKUP(Sales[[#This Row],[Product ID]],Product[#All],2,0)</f>
        <v>TP-link Bluetooth Adapter</v>
      </c>
      <c r="G4464" s="53">
        <v>7</v>
      </c>
      <c r="H4464" s="165">
        <f>VLOOKUP(Sales[[#This Row],[Product ID]],Product[#All],7,0)</f>
        <v>1750</v>
      </c>
      <c r="I4464" s="165">
        <f>Sales[[#This Row],[Selling Rate]]*Sales[[#This Row],[Qty]]</f>
        <v>12250</v>
      </c>
      <c r="J4464" s="45">
        <v>0.05</v>
      </c>
      <c r="K4464" s="46">
        <f>Sales[[#This Row],[Gross Amount]]*Sales[[#This Row],[Disc %]]</f>
        <v>612.5</v>
      </c>
      <c r="L4464" s="43">
        <v>0.18</v>
      </c>
      <c r="M4464" s="46">
        <f>(Sales[[#This Row],[Gross Amount]]-Sales[[#This Row],[Disc. Amt.]])*Sales[[#This Row],[GST %]]</f>
        <v>2094.75</v>
      </c>
      <c r="N4464" s="161">
        <f>Sales[[#This Row],[Gross Amount]]-Sales[[#This Row],[Disc. Amt.]]+Sales[[#This Row],[GST Amount]]</f>
        <v>13732.25</v>
      </c>
      <c r="O4464" s="34" t="s">
        <v>3561</v>
      </c>
      <c r="P4464" s="34" t="s">
        <v>3562</v>
      </c>
      <c r="Q4464" s="165">
        <f>IF(Sales[[#This Row],[Status]]="Cancelled",0,Sales[[#This Row],[Qty]])</f>
        <v>7</v>
      </c>
      <c r="R4464" s="166">
        <f>IF(Sales[[#This Row],[Status]]="Cancelled",0,Sales[[#This Row],[Total Amount]])</f>
        <v>13732.25</v>
      </c>
      <c r="S4464" s="162">
        <f>SUM(Sales[Net Amount])</f>
        <v>406839287.73200053</v>
      </c>
    </row>
    <row r="4465" spans="1:19" ht="18.75" x14ac:dyDescent="0.25">
      <c r="A4465" s="156" t="s">
        <v>8145</v>
      </c>
      <c r="B4465" s="157">
        <v>45996</v>
      </c>
      <c r="C4465" s="158" t="s">
        <v>914</v>
      </c>
      <c r="D4465" s="159" t="str">
        <f>VLOOKUP(Sales[[#This Row],[Customer ID]],Customer[#All],2,0)</f>
        <v>Rakesh Patel</v>
      </c>
      <c r="E4465" s="158" t="s">
        <v>381</v>
      </c>
      <c r="F4465" s="158" t="str">
        <f>VLOOKUP(Sales[[#This Row],[Product ID]],Product[#All],2,0)</f>
        <v>HP Power Adapter</v>
      </c>
      <c r="G4465" s="159">
        <v>2</v>
      </c>
      <c r="H4465" s="160">
        <f>VLOOKUP(Sales[[#This Row],[Product ID]],Product[#All],7,0)</f>
        <v>990</v>
      </c>
      <c r="I4465" s="160">
        <f>Sales[[#This Row],[Selling Rate]]*Sales[[#This Row],[Qty]]</f>
        <v>1980</v>
      </c>
      <c r="J4465" s="43">
        <v>0.12</v>
      </c>
      <c r="K4465" s="44">
        <f>Sales[[#This Row],[Gross Amount]]*Sales[[#This Row],[Disc %]]</f>
        <v>237.6</v>
      </c>
      <c r="L4465" s="43">
        <v>0.18</v>
      </c>
      <c r="M4465" s="44">
        <f>(Sales[[#This Row],[Gross Amount]]-Sales[[#This Row],[Disc. Amt.]])*Sales[[#This Row],[GST %]]</f>
        <v>313.63200000000001</v>
      </c>
      <c r="N4465" s="161">
        <f>Sales[[#This Row],[Gross Amount]]-Sales[[#This Row],[Disc. Amt.]]+Sales[[#This Row],[GST Amount]]</f>
        <v>2056.0320000000002</v>
      </c>
      <c r="O4465" s="158" t="s">
        <v>8876</v>
      </c>
      <c r="P4465" s="158" t="s">
        <v>3562</v>
      </c>
      <c r="Q4465" s="160">
        <f>IF(Sales[[#This Row],[Status]]="Cancelled",0,Sales[[#This Row],[Qty]])</f>
        <v>2</v>
      </c>
      <c r="R4465" s="161">
        <f>IF(Sales[[#This Row],[Status]]="Cancelled",0,Sales[[#This Row],[Total Amount]])</f>
        <v>2056.0320000000002</v>
      </c>
      <c r="S4465" s="162">
        <f>SUM(Sales[Net Amount])</f>
        <v>406839287.73200053</v>
      </c>
    </row>
    <row r="4466" spans="1:19" ht="18.75" x14ac:dyDescent="0.25">
      <c r="A4466" s="163" t="s">
        <v>8146</v>
      </c>
      <c r="B4466" s="164">
        <v>45996</v>
      </c>
      <c r="C4466" s="34" t="s">
        <v>877</v>
      </c>
      <c r="D4466" s="53" t="str">
        <f>VLOOKUP(Sales[[#This Row],[Customer ID]],Customer[#All],2,0)</f>
        <v>Sahil Patel</v>
      </c>
      <c r="E4466" s="34" t="s">
        <v>200</v>
      </c>
      <c r="F4466" s="34" t="str">
        <f>VLOOKUP(Sales[[#This Row],[Product ID]],Product[#All],2,0)</f>
        <v>Logitech Webcam</v>
      </c>
      <c r="G4466" s="53">
        <v>7</v>
      </c>
      <c r="H4466" s="165">
        <f>VLOOKUP(Sales[[#This Row],[Product ID]],Product[#All],7,0)</f>
        <v>5040</v>
      </c>
      <c r="I4466" s="165">
        <f>Sales[[#This Row],[Selling Rate]]*Sales[[#This Row],[Qty]]</f>
        <v>35280</v>
      </c>
      <c r="J4466" s="45">
        <v>0.15</v>
      </c>
      <c r="K4466" s="46">
        <f>Sales[[#This Row],[Gross Amount]]*Sales[[#This Row],[Disc %]]</f>
        <v>5292</v>
      </c>
      <c r="L4466" s="43">
        <v>0.18</v>
      </c>
      <c r="M4466" s="46">
        <f>(Sales[[#This Row],[Gross Amount]]-Sales[[#This Row],[Disc. Amt.]])*Sales[[#This Row],[GST %]]</f>
        <v>5397.84</v>
      </c>
      <c r="N4466" s="161">
        <f>Sales[[#This Row],[Gross Amount]]-Sales[[#This Row],[Disc. Amt.]]+Sales[[#This Row],[GST Amount]]</f>
        <v>35385.839999999997</v>
      </c>
      <c r="O4466" s="34" t="s">
        <v>3569</v>
      </c>
      <c r="P4466" s="34" t="s">
        <v>3562</v>
      </c>
      <c r="Q4466" s="165">
        <f>IF(Sales[[#This Row],[Status]]="Cancelled",0,Sales[[#This Row],[Qty]])</f>
        <v>7</v>
      </c>
      <c r="R4466" s="166">
        <f>IF(Sales[[#This Row],[Status]]="Cancelled",0,Sales[[#This Row],[Total Amount]])</f>
        <v>35385.839999999997</v>
      </c>
      <c r="S4466" s="162">
        <f>SUM(Sales[Net Amount])</f>
        <v>406839287.73200053</v>
      </c>
    </row>
    <row r="4467" spans="1:19" ht="18.75" x14ac:dyDescent="0.25">
      <c r="A4467" s="156" t="s">
        <v>8147</v>
      </c>
      <c r="B4467" s="157">
        <v>45996</v>
      </c>
      <c r="C4467" s="158" t="s">
        <v>701</v>
      </c>
      <c r="D4467" s="159" t="str">
        <f>VLOOKUP(Sales[[#This Row],[Customer ID]],Customer[#All],2,0)</f>
        <v>Ankit Kumar</v>
      </c>
      <c r="E4467" s="158" t="s">
        <v>304</v>
      </c>
      <c r="F4467" s="158" t="str">
        <f>VLOOKUP(Sales[[#This Row],[Product ID]],Product[#All],2,0)</f>
        <v>TP-link Router</v>
      </c>
      <c r="G4467" s="159">
        <v>4</v>
      </c>
      <c r="H4467" s="160">
        <f>VLOOKUP(Sales[[#This Row],[Product ID]],Product[#All],7,0)</f>
        <v>3320</v>
      </c>
      <c r="I4467" s="160">
        <f>Sales[[#This Row],[Selling Rate]]*Sales[[#This Row],[Qty]]</f>
        <v>13280</v>
      </c>
      <c r="J4467" s="43">
        <v>0.05</v>
      </c>
      <c r="K4467" s="44">
        <f>Sales[[#This Row],[Gross Amount]]*Sales[[#This Row],[Disc %]]</f>
        <v>664</v>
      </c>
      <c r="L4467" s="43">
        <v>0.18</v>
      </c>
      <c r="M4467" s="44">
        <f>(Sales[[#This Row],[Gross Amount]]-Sales[[#This Row],[Disc. Amt.]])*Sales[[#This Row],[GST %]]</f>
        <v>2270.88</v>
      </c>
      <c r="N4467" s="161">
        <f>Sales[[#This Row],[Gross Amount]]-Sales[[#This Row],[Disc. Amt.]]+Sales[[#This Row],[GST Amount]]</f>
        <v>14886.880000000001</v>
      </c>
      <c r="O4467" s="158" t="s">
        <v>3561</v>
      </c>
      <c r="P4467" s="158" t="s">
        <v>3562</v>
      </c>
      <c r="Q4467" s="160">
        <f>IF(Sales[[#This Row],[Status]]="Cancelled",0,Sales[[#This Row],[Qty]])</f>
        <v>4</v>
      </c>
      <c r="R4467" s="161">
        <f>IF(Sales[[#This Row],[Status]]="Cancelled",0,Sales[[#This Row],[Total Amount]])</f>
        <v>14886.880000000001</v>
      </c>
      <c r="S4467" s="162">
        <f>SUM(Sales[Net Amount])</f>
        <v>406839287.73200053</v>
      </c>
    </row>
    <row r="4468" spans="1:19" ht="18.75" x14ac:dyDescent="0.25">
      <c r="A4468" s="163" t="s">
        <v>8148</v>
      </c>
      <c r="B4468" s="164">
        <v>45997</v>
      </c>
      <c r="C4468" s="34" t="s">
        <v>755</v>
      </c>
      <c r="D4468" s="53" t="str">
        <f>VLOOKUP(Sales[[#This Row],[Customer ID]],Customer[#All],2,0)</f>
        <v>Sunita Gupta</v>
      </c>
      <c r="E4468" s="34" t="s">
        <v>535</v>
      </c>
      <c r="F4468" s="34" t="str">
        <f>VLOOKUP(Sales[[#This Row],[Product ID]],Product[#All],2,0)</f>
        <v>Logitech Keyboard</v>
      </c>
      <c r="G4468" s="53">
        <v>3</v>
      </c>
      <c r="H4468" s="165">
        <f>VLOOKUP(Sales[[#This Row],[Product ID]],Product[#All],7,0)</f>
        <v>810</v>
      </c>
      <c r="I4468" s="165">
        <f>Sales[[#This Row],[Selling Rate]]*Sales[[#This Row],[Qty]]</f>
        <v>2430</v>
      </c>
      <c r="J4468" s="45">
        <v>0.12</v>
      </c>
      <c r="K4468" s="46">
        <f>Sales[[#This Row],[Gross Amount]]*Sales[[#This Row],[Disc %]]</f>
        <v>291.59999999999997</v>
      </c>
      <c r="L4468" s="43">
        <v>0.18</v>
      </c>
      <c r="M4468" s="46">
        <f>(Sales[[#This Row],[Gross Amount]]-Sales[[#This Row],[Disc. Amt.]])*Sales[[#This Row],[GST %]]</f>
        <v>384.91199999999998</v>
      </c>
      <c r="N4468" s="161">
        <f>Sales[[#This Row],[Gross Amount]]-Sales[[#This Row],[Disc. Amt.]]+Sales[[#This Row],[GST Amount]]</f>
        <v>2523.3119999999999</v>
      </c>
      <c r="O4468" s="34" t="s">
        <v>8876</v>
      </c>
      <c r="P4468" s="34" t="s">
        <v>3562</v>
      </c>
      <c r="Q4468" s="165">
        <f>IF(Sales[[#This Row],[Status]]="Cancelled",0,Sales[[#This Row],[Qty]])</f>
        <v>3</v>
      </c>
      <c r="R4468" s="166">
        <f>IF(Sales[[#This Row],[Status]]="Cancelled",0,Sales[[#This Row],[Total Amount]])</f>
        <v>2523.3119999999999</v>
      </c>
      <c r="S4468" s="162">
        <f>SUM(Sales[Net Amount])</f>
        <v>406839287.73200053</v>
      </c>
    </row>
    <row r="4469" spans="1:19" ht="18.75" x14ac:dyDescent="0.25">
      <c r="A4469" s="156" t="s">
        <v>8149</v>
      </c>
      <c r="B4469" s="157">
        <v>45997</v>
      </c>
      <c r="C4469" s="158" t="s">
        <v>892</v>
      </c>
      <c r="D4469" s="159" t="str">
        <f>VLOOKUP(Sales[[#This Row],[Customer ID]],Customer[#All],2,0)</f>
        <v>Sahil Verma</v>
      </c>
      <c r="E4469" s="158" t="s">
        <v>276</v>
      </c>
      <c r="F4469" s="158" t="str">
        <f>VLOOKUP(Sales[[#This Row],[Product ID]],Product[#All],2,0)</f>
        <v>Corsair Ram</v>
      </c>
      <c r="G4469" s="159">
        <v>8</v>
      </c>
      <c r="H4469" s="160">
        <f>VLOOKUP(Sales[[#This Row],[Product ID]],Product[#All],7,0)</f>
        <v>7140</v>
      </c>
      <c r="I4469" s="160">
        <f>Sales[[#This Row],[Selling Rate]]*Sales[[#This Row],[Qty]]</f>
        <v>57120</v>
      </c>
      <c r="J4469" s="43">
        <v>0.05</v>
      </c>
      <c r="K4469" s="44">
        <f>Sales[[#This Row],[Gross Amount]]*Sales[[#This Row],[Disc %]]</f>
        <v>2856</v>
      </c>
      <c r="L4469" s="43">
        <v>0.18</v>
      </c>
      <c r="M4469" s="44">
        <f>(Sales[[#This Row],[Gross Amount]]-Sales[[#This Row],[Disc. Amt.]])*Sales[[#This Row],[GST %]]</f>
        <v>9767.52</v>
      </c>
      <c r="N4469" s="161">
        <f>Sales[[#This Row],[Gross Amount]]-Sales[[#This Row],[Disc. Amt.]]+Sales[[#This Row],[GST Amount]]</f>
        <v>64031.520000000004</v>
      </c>
      <c r="O4469" s="158" t="s">
        <v>3569</v>
      </c>
      <c r="P4469" s="158" t="s">
        <v>3562</v>
      </c>
      <c r="Q4469" s="160">
        <f>IF(Sales[[#This Row],[Status]]="Cancelled",0,Sales[[#This Row],[Qty]])</f>
        <v>8</v>
      </c>
      <c r="R4469" s="161">
        <f>IF(Sales[[#This Row],[Status]]="Cancelled",0,Sales[[#This Row],[Total Amount]])</f>
        <v>64031.520000000004</v>
      </c>
      <c r="S4469" s="162">
        <f>SUM(Sales[Net Amount])</f>
        <v>406839287.73200053</v>
      </c>
    </row>
    <row r="4470" spans="1:19" ht="18.75" x14ac:dyDescent="0.25">
      <c r="A4470" s="163" t="s">
        <v>8150</v>
      </c>
      <c r="B4470" s="164">
        <v>45997</v>
      </c>
      <c r="C4470" s="34" t="s">
        <v>948</v>
      </c>
      <c r="D4470" s="53" t="str">
        <f>VLOOKUP(Sales[[#This Row],[Customer ID]],Customer[#All],2,0)</f>
        <v>Pooja Patel</v>
      </c>
      <c r="E4470" s="34" t="s">
        <v>189</v>
      </c>
      <c r="F4470" s="34" t="str">
        <f>VLOOKUP(Sales[[#This Row],[Product ID]],Product[#All],2,0)</f>
        <v>Boat Headset</v>
      </c>
      <c r="G4470" s="53">
        <v>1</v>
      </c>
      <c r="H4470" s="165">
        <f>VLOOKUP(Sales[[#This Row],[Product ID]],Product[#All],7,0)</f>
        <v>1610</v>
      </c>
      <c r="I4470" s="165">
        <f>Sales[[#This Row],[Selling Rate]]*Sales[[#This Row],[Qty]]</f>
        <v>1610</v>
      </c>
      <c r="J4470" s="45">
        <v>0.1</v>
      </c>
      <c r="K4470" s="46">
        <f>Sales[[#This Row],[Gross Amount]]*Sales[[#This Row],[Disc %]]</f>
        <v>161</v>
      </c>
      <c r="L4470" s="43">
        <v>0.18</v>
      </c>
      <c r="M4470" s="46">
        <f>(Sales[[#This Row],[Gross Amount]]-Sales[[#This Row],[Disc. Amt.]])*Sales[[#This Row],[GST %]]</f>
        <v>260.82</v>
      </c>
      <c r="N4470" s="161">
        <f>Sales[[#This Row],[Gross Amount]]-Sales[[#This Row],[Disc. Amt.]]+Sales[[#This Row],[GST Amount]]</f>
        <v>1709.82</v>
      </c>
      <c r="O4470" s="34" t="s">
        <v>3561</v>
      </c>
      <c r="P4470" s="34" t="s">
        <v>3562</v>
      </c>
      <c r="Q4470" s="165">
        <f>IF(Sales[[#This Row],[Status]]="Cancelled",0,Sales[[#This Row],[Qty]])</f>
        <v>1</v>
      </c>
      <c r="R4470" s="166">
        <f>IF(Sales[[#This Row],[Status]]="Cancelled",0,Sales[[#This Row],[Total Amount]])</f>
        <v>1709.82</v>
      </c>
      <c r="S4470" s="162">
        <f>SUM(Sales[Net Amount])</f>
        <v>406839287.73200053</v>
      </c>
    </row>
    <row r="4471" spans="1:19" ht="18.75" x14ac:dyDescent="0.25">
      <c r="A4471" s="156" t="s">
        <v>8151</v>
      </c>
      <c r="B4471" s="157">
        <v>45997</v>
      </c>
      <c r="C4471" s="158" t="s">
        <v>748</v>
      </c>
      <c r="D4471" s="159" t="str">
        <f>VLOOKUP(Sales[[#This Row],[Customer ID]],Customer[#All],2,0)</f>
        <v>Priya Singh</v>
      </c>
      <c r="E4471" s="158" t="s">
        <v>244</v>
      </c>
      <c r="F4471" s="158" t="str">
        <f>VLOOKUP(Sales[[#This Row],[Product ID]],Product[#All],2,0)</f>
        <v>TP-link Router</v>
      </c>
      <c r="G4471" s="159">
        <v>5</v>
      </c>
      <c r="H4471" s="160">
        <f>VLOOKUP(Sales[[#This Row],[Product ID]],Product[#All],7,0)</f>
        <v>4220</v>
      </c>
      <c r="I4471" s="160">
        <f>Sales[[#This Row],[Selling Rate]]*Sales[[#This Row],[Qty]]</f>
        <v>21100</v>
      </c>
      <c r="J4471" s="43">
        <v>0.12</v>
      </c>
      <c r="K4471" s="44">
        <f>Sales[[#This Row],[Gross Amount]]*Sales[[#This Row],[Disc %]]</f>
        <v>2532</v>
      </c>
      <c r="L4471" s="43">
        <v>0.18</v>
      </c>
      <c r="M4471" s="44">
        <f>(Sales[[#This Row],[Gross Amount]]-Sales[[#This Row],[Disc. Amt.]])*Sales[[#This Row],[GST %]]</f>
        <v>3342.24</v>
      </c>
      <c r="N4471" s="161">
        <f>Sales[[#This Row],[Gross Amount]]-Sales[[#This Row],[Disc. Amt.]]+Sales[[#This Row],[GST Amount]]</f>
        <v>21910.239999999998</v>
      </c>
      <c r="O4471" s="158" t="s">
        <v>8876</v>
      </c>
      <c r="P4471" s="158" t="s">
        <v>3562</v>
      </c>
      <c r="Q4471" s="160">
        <f>IF(Sales[[#This Row],[Status]]="Cancelled",0,Sales[[#This Row],[Qty]])</f>
        <v>5</v>
      </c>
      <c r="R4471" s="161">
        <f>IF(Sales[[#This Row],[Status]]="Cancelled",0,Sales[[#This Row],[Total Amount]])</f>
        <v>21910.239999999998</v>
      </c>
      <c r="S4471" s="162">
        <f>SUM(Sales[Net Amount])</f>
        <v>406839287.73200053</v>
      </c>
    </row>
    <row r="4472" spans="1:19" ht="18.75" x14ac:dyDescent="0.25">
      <c r="A4472" s="163" t="s">
        <v>8152</v>
      </c>
      <c r="B4472" s="164">
        <v>45997</v>
      </c>
      <c r="C4472" s="34" t="s">
        <v>731</v>
      </c>
      <c r="D4472" s="53" t="str">
        <f>VLOOKUP(Sales[[#This Row],[Customer ID]],Customer[#All],2,0)</f>
        <v>Neha Singh</v>
      </c>
      <c r="E4472" s="34" t="s">
        <v>70</v>
      </c>
      <c r="F4472" s="34" t="str">
        <f>VLOOKUP(Sales[[#This Row],[Product ID]],Product[#All],2,0)</f>
        <v>Logitech Webcam</v>
      </c>
      <c r="G4472" s="53">
        <v>6</v>
      </c>
      <c r="H4472" s="165">
        <f>VLOOKUP(Sales[[#This Row],[Product ID]],Product[#All],7,0)</f>
        <v>5200</v>
      </c>
      <c r="I4472" s="165">
        <f>Sales[[#This Row],[Selling Rate]]*Sales[[#This Row],[Qty]]</f>
        <v>31200</v>
      </c>
      <c r="J4472" s="45">
        <v>0</v>
      </c>
      <c r="K4472" s="46">
        <f>Sales[[#This Row],[Gross Amount]]*Sales[[#This Row],[Disc %]]</f>
        <v>0</v>
      </c>
      <c r="L4472" s="43">
        <v>0.18</v>
      </c>
      <c r="M4472" s="46">
        <f>(Sales[[#This Row],[Gross Amount]]-Sales[[#This Row],[Disc. Amt.]])*Sales[[#This Row],[GST %]]</f>
        <v>5616</v>
      </c>
      <c r="N4472" s="161">
        <f>Sales[[#This Row],[Gross Amount]]-Sales[[#This Row],[Disc. Amt.]]+Sales[[#This Row],[GST Amount]]</f>
        <v>36816</v>
      </c>
      <c r="O4472" s="34" t="s">
        <v>3569</v>
      </c>
      <c r="P4472" s="34" t="s">
        <v>3562</v>
      </c>
      <c r="Q4472" s="165">
        <f>IF(Sales[[#This Row],[Status]]="Cancelled",0,Sales[[#This Row],[Qty]])</f>
        <v>6</v>
      </c>
      <c r="R4472" s="166">
        <f>IF(Sales[[#This Row],[Status]]="Cancelled",0,Sales[[#This Row],[Total Amount]])</f>
        <v>36816</v>
      </c>
      <c r="S4472" s="162">
        <f>SUM(Sales[Net Amount])</f>
        <v>406839287.73200053</v>
      </c>
    </row>
    <row r="4473" spans="1:19" ht="18.75" x14ac:dyDescent="0.25">
      <c r="A4473" s="156" t="s">
        <v>8153</v>
      </c>
      <c r="B4473" s="157">
        <v>45997</v>
      </c>
      <c r="C4473" s="158" t="s">
        <v>771</v>
      </c>
      <c r="D4473" s="159" t="str">
        <f>VLOOKUP(Sales[[#This Row],[Customer ID]],Customer[#All],2,0)</f>
        <v>Pooja Sharma</v>
      </c>
      <c r="E4473" s="158" t="s">
        <v>425</v>
      </c>
      <c r="F4473" s="158" t="str">
        <f>VLOOKUP(Sales[[#This Row],[Product ID]],Product[#All],2,0)</f>
        <v>WD HDD</v>
      </c>
      <c r="G4473" s="159">
        <v>4</v>
      </c>
      <c r="H4473" s="160">
        <f>VLOOKUP(Sales[[#This Row],[Product ID]],Product[#All],7,0)</f>
        <v>7660</v>
      </c>
      <c r="I4473" s="160">
        <f>Sales[[#This Row],[Selling Rate]]*Sales[[#This Row],[Qty]]</f>
        <v>30640</v>
      </c>
      <c r="J4473" s="43">
        <v>0.05</v>
      </c>
      <c r="K4473" s="44">
        <f>Sales[[#This Row],[Gross Amount]]*Sales[[#This Row],[Disc %]]</f>
        <v>1532</v>
      </c>
      <c r="L4473" s="43">
        <v>0.18</v>
      </c>
      <c r="M4473" s="44">
        <f>(Sales[[#This Row],[Gross Amount]]-Sales[[#This Row],[Disc. Amt.]])*Sales[[#This Row],[GST %]]</f>
        <v>5239.4399999999996</v>
      </c>
      <c r="N4473" s="161">
        <f>Sales[[#This Row],[Gross Amount]]-Sales[[#This Row],[Disc. Amt.]]+Sales[[#This Row],[GST Amount]]</f>
        <v>34347.440000000002</v>
      </c>
      <c r="O4473" s="158" t="s">
        <v>3561</v>
      </c>
      <c r="P4473" s="158" t="s">
        <v>3562</v>
      </c>
      <c r="Q4473" s="160">
        <f>IF(Sales[[#This Row],[Status]]="Cancelled",0,Sales[[#This Row],[Qty]])</f>
        <v>4</v>
      </c>
      <c r="R4473" s="161">
        <f>IF(Sales[[#This Row],[Status]]="Cancelled",0,Sales[[#This Row],[Total Amount]])</f>
        <v>34347.440000000002</v>
      </c>
      <c r="S4473" s="162">
        <f>SUM(Sales[Net Amount])</f>
        <v>406839287.73200053</v>
      </c>
    </row>
    <row r="4474" spans="1:19" ht="18.75" x14ac:dyDescent="0.25">
      <c r="A4474" s="163" t="s">
        <v>8154</v>
      </c>
      <c r="B4474" s="164">
        <v>45997</v>
      </c>
      <c r="C4474" s="34" t="s">
        <v>679</v>
      </c>
      <c r="D4474" s="53" t="str">
        <f>VLOOKUP(Sales[[#This Row],[Customer ID]],Customer[#All],2,0)</f>
        <v>Rahul Singh</v>
      </c>
      <c r="E4474" s="34" t="s">
        <v>203</v>
      </c>
      <c r="F4474" s="34" t="str">
        <f>VLOOKUP(Sales[[#This Row],[Product ID]],Product[#All],2,0)</f>
        <v>Logitech Mouse</v>
      </c>
      <c r="G4474" s="53">
        <v>2</v>
      </c>
      <c r="H4474" s="165">
        <f>VLOOKUP(Sales[[#This Row],[Product ID]],Product[#All],7,0)</f>
        <v>2110</v>
      </c>
      <c r="I4474" s="165">
        <f>Sales[[#This Row],[Selling Rate]]*Sales[[#This Row],[Qty]]</f>
        <v>4220</v>
      </c>
      <c r="J4474" s="45">
        <v>0</v>
      </c>
      <c r="K4474" s="46">
        <f>Sales[[#This Row],[Gross Amount]]*Sales[[#This Row],[Disc %]]</f>
        <v>0</v>
      </c>
      <c r="L4474" s="43">
        <v>0.18</v>
      </c>
      <c r="M4474" s="46">
        <f>(Sales[[#This Row],[Gross Amount]]-Sales[[#This Row],[Disc. Amt.]])*Sales[[#This Row],[GST %]]</f>
        <v>759.6</v>
      </c>
      <c r="N4474" s="161">
        <f>Sales[[#This Row],[Gross Amount]]-Sales[[#This Row],[Disc. Amt.]]+Sales[[#This Row],[GST Amount]]</f>
        <v>4979.6000000000004</v>
      </c>
      <c r="O4474" s="34" t="s">
        <v>3566</v>
      </c>
      <c r="P4474" s="34" t="s">
        <v>3562</v>
      </c>
      <c r="Q4474" s="165">
        <f>IF(Sales[[#This Row],[Status]]="Cancelled",0,Sales[[#This Row],[Qty]])</f>
        <v>2</v>
      </c>
      <c r="R4474" s="166">
        <f>IF(Sales[[#This Row],[Status]]="Cancelled",0,Sales[[#This Row],[Total Amount]])</f>
        <v>4979.6000000000004</v>
      </c>
      <c r="S4474" s="162">
        <f>SUM(Sales[Net Amount])</f>
        <v>406839287.73200053</v>
      </c>
    </row>
    <row r="4475" spans="1:19" ht="18.75" x14ac:dyDescent="0.25">
      <c r="A4475" s="156" t="s">
        <v>8155</v>
      </c>
      <c r="B4475" s="157">
        <v>45997</v>
      </c>
      <c r="C4475" s="158" t="s">
        <v>697</v>
      </c>
      <c r="D4475" s="159" t="str">
        <f>VLOOKUP(Sales[[#This Row],[Customer ID]],Customer[#All],2,0)</f>
        <v>Priya Kumar</v>
      </c>
      <c r="E4475" s="158" t="s">
        <v>551</v>
      </c>
      <c r="F4475" s="158" t="str">
        <f>VLOOKUP(Sales[[#This Row],[Product ID]],Product[#All],2,0)</f>
        <v>Epson Printer</v>
      </c>
      <c r="G4475" s="159">
        <v>1</v>
      </c>
      <c r="H4475" s="160">
        <f>VLOOKUP(Sales[[#This Row],[Product ID]],Product[#All],7,0)</f>
        <v>38370</v>
      </c>
      <c r="I4475" s="160">
        <f>Sales[[#This Row],[Selling Rate]]*Sales[[#This Row],[Qty]]</f>
        <v>38370</v>
      </c>
      <c r="J4475" s="43">
        <v>0.1</v>
      </c>
      <c r="K4475" s="44">
        <f>Sales[[#This Row],[Gross Amount]]*Sales[[#This Row],[Disc %]]</f>
        <v>3837</v>
      </c>
      <c r="L4475" s="43">
        <v>0.18</v>
      </c>
      <c r="M4475" s="44">
        <f>(Sales[[#This Row],[Gross Amount]]-Sales[[#This Row],[Disc. Amt.]])*Sales[[#This Row],[GST %]]</f>
        <v>6215.94</v>
      </c>
      <c r="N4475" s="161">
        <f>Sales[[#This Row],[Gross Amount]]-Sales[[#This Row],[Disc. Amt.]]+Sales[[#This Row],[GST Amount]]</f>
        <v>40748.94</v>
      </c>
      <c r="O4475" s="158" t="s">
        <v>3561</v>
      </c>
      <c r="P4475" s="158" t="s">
        <v>3562</v>
      </c>
      <c r="Q4475" s="160">
        <f>IF(Sales[[#This Row],[Status]]="Cancelled",0,Sales[[#This Row],[Qty]])</f>
        <v>1</v>
      </c>
      <c r="R4475" s="161">
        <f>IF(Sales[[#This Row],[Status]]="Cancelled",0,Sales[[#This Row],[Total Amount]])</f>
        <v>40748.94</v>
      </c>
      <c r="S4475" s="162">
        <f>SUM(Sales[Net Amount])</f>
        <v>406839287.73200053</v>
      </c>
    </row>
    <row r="4476" spans="1:19" ht="18.75" x14ac:dyDescent="0.25">
      <c r="A4476" s="163" t="s">
        <v>8156</v>
      </c>
      <c r="B4476" s="164">
        <v>45997</v>
      </c>
      <c r="C4476" s="34" t="s">
        <v>698</v>
      </c>
      <c r="D4476" s="53" t="str">
        <f>VLOOKUP(Sales[[#This Row],[Customer ID]],Customer[#All],2,0)</f>
        <v>Neha Sharma</v>
      </c>
      <c r="E4476" s="34" t="s">
        <v>183</v>
      </c>
      <c r="F4476" s="34" t="str">
        <f>VLOOKUP(Sales[[#This Row],[Product ID]],Product[#All],2,0)</f>
        <v>Boat Speaker</v>
      </c>
      <c r="G4476" s="53">
        <v>6</v>
      </c>
      <c r="H4476" s="165">
        <f>VLOOKUP(Sales[[#This Row],[Product ID]],Product[#All],7,0)</f>
        <v>1430</v>
      </c>
      <c r="I4476" s="165">
        <f>Sales[[#This Row],[Selling Rate]]*Sales[[#This Row],[Qty]]</f>
        <v>8580</v>
      </c>
      <c r="J4476" s="45">
        <v>0.05</v>
      </c>
      <c r="K4476" s="46">
        <f>Sales[[#This Row],[Gross Amount]]*Sales[[#This Row],[Disc %]]</f>
        <v>429</v>
      </c>
      <c r="L4476" s="43">
        <v>0.18</v>
      </c>
      <c r="M4476" s="46">
        <f>(Sales[[#This Row],[Gross Amount]]-Sales[[#This Row],[Disc. Amt.]])*Sales[[#This Row],[GST %]]</f>
        <v>1467.1799999999998</v>
      </c>
      <c r="N4476" s="161">
        <f>Sales[[#This Row],[Gross Amount]]-Sales[[#This Row],[Disc. Amt.]]+Sales[[#This Row],[GST Amount]]</f>
        <v>9618.18</v>
      </c>
      <c r="O4476" s="34" t="s">
        <v>3569</v>
      </c>
      <c r="P4476" s="34" t="s">
        <v>3562</v>
      </c>
      <c r="Q4476" s="165">
        <f>IF(Sales[[#This Row],[Status]]="Cancelled",0,Sales[[#This Row],[Qty]])</f>
        <v>6</v>
      </c>
      <c r="R4476" s="166">
        <f>IF(Sales[[#This Row],[Status]]="Cancelled",0,Sales[[#This Row],[Total Amount]])</f>
        <v>9618.18</v>
      </c>
      <c r="S4476" s="162">
        <f>SUM(Sales[Net Amount])</f>
        <v>406839287.73200053</v>
      </c>
    </row>
    <row r="4477" spans="1:19" ht="18.75" x14ac:dyDescent="0.25">
      <c r="A4477" s="156" t="s">
        <v>8157</v>
      </c>
      <c r="B4477" s="157">
        <v>45997</v>
      </c>
      <c r="C4477" s="158" t="s">
        <v>4795</v>
      </c>
      <c r="D4477" s="159" t="str">
        <f>VLOOKUP(Sales[[#This Row],[Customer ID]],Customer[#All],2,0)</f>
        <v>Ankit Kumar</v>
      </c>
      <c r="E4477" s="158" t="s">
        <v>437</v>
      </c>
      <c r="F4477" s="158" t="str">
        <f>VLOOKUP(Sales[[#This Row],[Product ID]],Product[#All],2,0)</f>
        <v>Boat Headset</v>
      </c>
      <c r="G4477" s="159">
        <v>6</v>
      </c>
      <c r="H4477" s="160">
        <f>VLOOKUP(Sales[[#This Row],[Product ID]],Product[#All],7,0)</f>
        <v>3260</v>
      </c>
      <c r="I4477" s="160">
        <f>Sales[[#This Row],[Selling Rate]]*Sales[[#This Row],[Qty]]</f>
        <v>19560</v>
      </c>
      <c r="J4477" s="43">
        <v>0</v>
      </c>
      <c r="K4477" s="44">
        <f>Sales[[#This Row],[Gross Amount]]*Sales[[#This Row],[Disc %]]</f>
        <v>0</v>
      </c>
      <c r="L4477" s="43">
        <v>0.18</v>
      </c>
      <c r="M4477" s="44">
        <f>(Sales[[#This Row],[Gross Amount]]-Sales[[#This Row],[Disc. Amt.]])*Sales[[#This Row],[GST %]]</f>
        <v>3520.7999999999997</v>
      </c>
      <c r="N4477" s="161">
        <f>Sales[[#This Row],[Gross Amount]]-Sales[[#This Row],[Disc. Amt.]]+Sales[[#This Row],[GST Amount]]</f>
        <v>23080.799999999999</v>
      </c>
      <c r="O4477" s="158" t="s">
        <v>3569</v>
      </c>
      <c r="P4477" s="158" t="s">
        <v>3562</v>
      </c>
      <c r="Q4477" s="160">
        <f>IF(Sales[[#This Row],[Status]]="Cancelled",0,Sales[[#This Row],[Qty]])</f>
        <v>6</v>
      </c>
      <c r="R4477" s="161">
        <f>IF(Sales[[#This Row],[Status]]="Cancelled",0,Sales[[#This Row],[Total Amount]])</f>
        <v>23080.799999999999</v>
      </c>
      <c r="S4477" s="162">
        <f>SUM(Sales[Net Amount])</f>
        <v>406839287.73200053</v>
      </c>
    </row>
    <row r="4478" spans="1:19" ht="18.75" x14ac:dyDescent="0.25">
      <c r="A4478" s="163" t="s">
        <v>8158</v>
      </c>
      <c r="B4478" s="164">
        <v>45997</v>
      </c>
      <c r="C4478" s="34" t="s">
        <v>807</v>
      </c>
      <c r="D4478" s="53" t="str">
        <f>VLOOKUP(Sales[[#This Row],[Customer ID]],Customer[#All],2,0)</f>
        <v>Rakesh Patel</v>
      </c>
      <c r="E4478" s="34" t="s">
        <v>550</v>
      </c>
      <c r="F4478" s="34" t="str">
        <f>VLOOKUP(Sales[[#This Row],[Product ID]],Product[#All],2,0)</f>
        <v>TP-link Wi-Fi Adapter</v>
      </c>
      <c r="G4478" s="53">
        <v>4</v>
      </c>
      <c r="H4478" s="165">
        <f>VLOOKUP(Sales[[#This Row],[Product ID]],Product[#All],7,0)</f>
        <v>1300</v>
      </c>
      <c r="I4478" s="165">
        <f>Sales[[#This Row],[Selling Rate]]*Sales[[#This Row],[Qty]]</f>
        <v>5200</v>
      </c>
      <c r="J4478" s="45">
        <v>0.15</v>
      </c>
      <c r="K4478" s="46">
        <f>Sales[[#This Row],[Gross Amount]]*Sales[[#This Row],[Disc %]]</f>
        <v>780</v>
      </c>
      <c r="L4478" s="43">
        <v>0.18</v>
      </c>
      <c r="M4478" s="46">
        <f>(Sales[[#This Row],[Gross Amount]]-Sales[[#This Row],[Disc. Amt.]])*Sales[[#This Row],[GST %]]</f>
        <v>795.6</v>
      </c>
      <c r="N4478" s="161">
        <f>Sales[[#This Row],[Gross Amount]]-Sales[[#This Row],[Disc. Amt.]]+Sales[[#This Row],[GST Amount]]</f>
        <v>5215.6000000000004</v>
      </c>
      <c r="O4478" s="34" t="s">
        <v>3561</v>
      </c>
      <c r="P4478" s="34" t="s">
        <v>3562</v>
      </c>
      <c r="Q4478" s="165">
        <f>IF(Sales[[#This Row],[Status]]="Cancelled",0,Sales[[#This Row],[Qty]])</f>
        <v>4</v>
      </c>
      <c r="R4478" s="166">
        <f>IF(Sales[[#This Row],[Status]]="Cancelled",0,Sales[[#This Row],[Total Amount]])</f>
        <v>5215.6000000000004</v>
      </c>
      <c r="S4478" s="162">
        <f>SUM(Sales[Net Amount])</f>
        <v>406839287.73200053</v>
      </c>
    </row>
    <row r="4479" spans="1:19" ht="18.75" x14ac:dyDescent="0.25">
      <c r="A4479" s="156" t="s">
        <v>8159</v>
      </c>
      <c r="B4479" s="157">
        <v>45997</v>
      </c>
      <c r="C4479" s="158" t="s">
        <v>731</v>
      </c>
      <c r="D4479" s="159" t="str">
        <f>VLOOKUP(Sales[[#This Row],[Customer ID]],Customer[#All],2,0)</f>
        <v>Neha Singh</v>
      </c>
      <c r="E4479" s="158" t="s">
        <v>311</v>
      </c>
      <c r="F4479" s="158" t="str">
        <f>VLOOKUP(Sales[[#This Row],[Product ID]],Product[#All],2,0)</f>
        <v>Logitech Keyboard</v>
      </c>
      <c r="G4479" s="159">
        <v>5</v>
      </c>
      <c r="H4479" s="160">
        <f>VLOOKUP(Sales[[#This Row],[Product ID]],Product[#All],7,0)</f>
        <v>530</v>
      </c>
      <c r="I4479" s="160">
        <f>Sales[[#This Row],[Selling Rate]]*Sales[[#This Row],[Qty]]</f>
        <v>2650</v>
      </c>
      <c r="J4479" s="43">
        <v>0.12</v>
      </c>
      <c r="K4479" s="44">
        <f>Sales[[#This Row],[Gross Amount]]*Sales[[#This Row],[Disc %]]</f>
        <v>318</v>
      </c>
      <c r="L4479" s="43">
        <v>0.18</v>
      </c>
      <c r="M4479" s="44">
        <f>(Sales[[#This Row],[Gross Amount]]-Sales[[#This Row],[Disc. Amt.]])*Sales[[#This Row],[GST %]]</f>
        <v>419.76</v>
      </c>
      <c r="N4479" s="161">
        <f>Sales[[#This Row],[Gross Amount]]-Sales[[#This Row],[Disc. Amt.]]+Sales[[#This Row],[GST Amount]]</f>
        <v>2751.76</v>
      </c>
      <c r="O4479" s="158" t="s">
        <v>3566</v>
      </c>
      <c r="P4479" s="158" t="s">
        <v>3562</v>
      </c>
      <c r="Q4479" s="160">
        <f>IF(Sales[[#This Row],[Status]]="Cancelled",0,Sales[[#This Row],[Qty]])</f>
        <v>5</v>
      </c>
      <c r="R4479" s="161">
        <f>IF(Sales[[#This Row],[Status]]="Cancelled",0,Sales[[#This Row],[Total Amount]])</f>
        <v>2751.76</v>
      </c>
      <c r="S4479" s="162">
        <f>SUM(Sales[Net Amount])</f>
        <v>406839287.73200053</v>
      </c>
    </row>
    <row r="4480" spans="1:19" ht="18.75" x14ac:dyDescent="0.25">
      <c r="A4480" s="163" t="s">
        <v>8160</v>
      </c>
      <c r="B4480" s="164">
        <v>45997</v>
      </c>
      <c r="C4480" s="34" t="s">
        <v>872</v>
      </c>
      <c r="D4480" s="53" t="str">
        <f>VLOOKUP(Sales[[#This Row],[Customer ID]],Customer[#All],2,0)</f>
        <v>Rahul Verma</v>
      </c>
      <c r="E4480" s="34" t="s">
        <v>64</v>
      </c>
      <c r="F4480" s="34" t="str">
        <f>VLOOKUP(Sales[[#This Row],[Product ID]],Product[#All],2,0)</f>
        <v>Jbl Headset</v>
      </c>
      <c r="G4480" s="53">
        <v>6</v>
      </c>
      <c r="H4480" s="165">
        <f>VLOOKUP(Sales[[#This Row],[Product ID]],Product[#All],7,0)</f>
        <v>930</v>
      </c>
      <c r="I4480" s="165">
        <f>Sales[[#This Row],[Selling Rate]]*Sales[[#This Row],[Qty]]</f>
        <v>5580</v>
      </c>
      <c r="J4480" s="45">
        <v>0</v>
      </c>
      <c r="K4480" s="46">
        <f>Sales[[#This Row],[Gross Amount]]*Sales[[#This Row],[Disc %]]</f>
        <v>0</v>
      </c>
      <c r="L4480" s="43">
        <v>0.18</v>
      </c>
      <c r="M4480" s="46">
        <f>(Sales[[#This Row],[Gross Amount]]-Sales[[#This Row],[Disc. Amt.]])*Sales[[#This Row],[GST %]]</f>
        <v>1004.4</v>
      </c>
      <c r="N4480" s="161">
        <f>Sales[[#This Row],[Gross Amount]]-Sales[[#This Row],[Disc. Amt.]]+Sales[[#This Row],[GST Amount]]</f>
        <v>6584.4</v>
      </c>
      <c r="O4480" s="34" t="s">
        <v>8876</v>
      </c>
      <c r="P4480" s="34" t="s">
        <v>3562</v>
      </c>
      <c r="Q4480" s="165">
        <f>IF(Sales[[#This Row],[Status]]="Cancelled",0,Sales[[#This Row],[Qty]])</f>
        <v>6</v>
      </c>
      <c r="R4480" s="166">
        <f>IF(Sales[[#This Row],[Status]]="Cancelled",0,Sales[[#This Row],[Total Amount]])</f>
        <v>6584.4</v>
      </c>
      <c r="S4480" s="162">
        <f>SUM(Sales[Net Amount])</f>
        <v>406839287.73200053</v>
      </c>
    </row>
    <row r="4481" spans="1:19" ht="18.75" x14ac:dyDescent="0.25">
      <c r="A4481" s="156" t="s">
        <v>8161</v>
      </c>
      <c r="B4481" s="157">
        <v>45997</v>
      </c>
      <c r="C4481" s="158" t="s">
        <v>906</v>
      </c>
      <c r="D4481" s="159" t="str">
        <f>VLOOKUP(Sales[[#This Row],[Customer ID]],Customer[#All],2,0)</f>
        <v>Ankit Sharma</v>
      </c>
      <c r="E4481" s="158" t="s">
        <v>104</v>
      </c>
      <c r="F4481" s="158" t="str">
        <f>VLOOKUP(Sales[[#This Row],[Product ID]],Product[#All],2,0)</f>
        <v>Canon Printer</v>
      </c>
      <c r="G4481" s="159">
        <v>3</v>
      </c>
      <c r="H4481" s="160">
        <f>VLOOKUP(Sales[[#This Row],[Product ID]],Product[#All],7,0)</f>
        <v>49170</v>
      </c>
      <c r="I4481" s="160">
        <f>Sales[[#This Row],[Selling Rate]]*Sales[[#This Row],[Qty]]</f>
        <v>147510</v>
      </c>
      <c r="J4481" s="43">
        <v>0</v>
      </c>
      <c r="K4481" s="44">
        <f>Sales[[#This Row],[Gross Amount]]*Sales[[#This Row],[Disc %]]</f>
        <v>0</v>
      </c>
      <c r="L4481" s="43">
        <v>0.18</v>
      </c>
      <c r="M4481" s="44">
        <f>(Sales[[#This Row],[Gross Amount]]-Sales[[#This Row],[Disc. Amt.]])*Sales[[#This Row],[GST %]]</f>
        <v>26551.8</v>
      </c>
      <c r="N4481" s="161">
        <f>Sales[[#This Row],[Gross Amount]]-Sales[[#This Row],[Disc. Amt.]]+Sales[[#This Row],[GST Amount]]</f>
        <v>174061.8</v>
      </c>
      <c r="O4481" s="158" t="s">
        <v>3566</v>
      </c>
      <c r="P4481" s="158" t="s">
        <v>3562</v>
      </c>
      <c r="Q4481" s="160">
        <f>IF(Sales[[#This Row],[Status]]="Cancelled",0,Sales[[#This Row],[Qty]])</f>
        <v>3</v>
      </c>
      <c r="R4481" s="161">
        <f>IF(Sales[[#This Row],[Status]]="Cancelled",0,Sales[[#This Row],[Total Amount]])</f>
        <v>174061.8</v>
      </c>
      <c r="S4481" s="162">
        <f>SUM(Sales[Net Amount])</f>
        <v>406839287.73200053</v>
      </c>
    </row>
    <row r="4482" spans="1:19" ht="18.75" x14ac:dyDescent="0.25">
      <c r="A4482" s="163" t="s">
        <v>8162</v>
      </c>
      <c r="B4482" s="164">
        <v>45997</v>
      </c>
      <c r="C4482" s="34" t="s">
        <v>657</v>
      </c>
      <c r="D4482" s="53" t="str">
        <f>VLOOKUP(Sales[[#This Row],[Customer ID]],Customer[#All],2,0)</f>
        <v>Rahul Verma</v>
      </c>
      <c r="E4482" s="34" t="s">
        <v>330</v>
      </c>
      <c r="F4482" s="34" t="str">
        <f>VLOOKUP(Sales[[#This Row],[Product ID]],Product[#All],2,0)</f>
        <v>American TouristerLaptopBag</v>
      </c>
      <c r="G4482" s="53">
        <v>5</v>
      </c>
      <c r="H4482" s="165">
        <f>VLOOKUP(Sales[[#This Row],[Product ID]],Product[#All],7,0)</f>
        <v>4970</v>
      </c>
      <c r="I4482" s="165">
        <f>Sales[[#This Row],[Selling Rate]]*Sales[[#This Row],[Qty]]</f>
        <v>24850</v>
      </c>
      <c r="J4482" s="45">
        <v>0.15</v>
      </c>
      <c r="K4482" s="46">
        <f>Sales[[#This Row],[Gross Amount]]*Sales[[#This Row],[Disc %]]</f>
        <v>3727.5</v>
      </c>
      <c r="L4482" s="43">
        <v>0.18</v>
      </c>
      <c r="M4482" s="46">
        <f>(Sales[[#This Row],[Gross Amount]]-Sales[[#This Row],[Disc. Amt.]])*Sales[[#This Row],[GST %]]</f>
        <v>3802.0499999999997</v>
      </c>
      <c r="N4482" s="161">
        <f>Sales[[#This Row],[Gross Amount]]-Sales[[#This Row],[Disc. Amt.]]+Sales[[#This Row],[GST Amount]]</f>
        <v>24924.55</v>
      </c>
      <c r="O4482" s="34" t="s">
        <v>3569</v>
      </c>
      <c r="P4482" s="34" t="s">
        <v>3562</v>
      </c>
      <c r="Q4482" s="165">
        <f>IF(Sales[[#This Row],[Status]]="Cancelled",0,Sales[[#This Row],[Qty]])</f>
        <v>5</v>
      </c>
      <c r="R4482" s="166">
        <f>IF(Sales[[#This Row],[Status]]="Cancelled",0,Sales[[#This Row],[Total Amount]])</f>
        <v>24924.55</v>
      </c>
      <c r="S4482" s="162">
        <f>SUM(Sales[Net Amount])</f>
        <v>406839287.73200053</v>
      </c>
    </row>
    <row r="4483" spans="1:19" ht="18.75" x14ac:dyDescent="0.25">
      <c r="A4483" s="156" t="s">
        <v>8163</v>
      </c>
      <c r="B4483" s="157">
        <v>45997</v>
      </c>
      <c r="C4483" s="158" t="s">
        <v>796</v>
      </c>
      <c r="D4483" s="159" t="str">
        <f>VLOOKUP(Sales[[#This Row],[Customer ID]],Customer[#All],2,0)</f>
        <v>Rahul Verma</v>
      </c>
      <c r="E4483" s="158" t="s">
        <v>260</v>
      </c>
      <c r="F4483" s="158" t="str">
        <f>VLOOKUP(Sales[[#This Row],[Product ID]],Product[#All],2,0)</f>
        <v>Corsair Ram</v>
      </c>
      <c r="G4483" s="159">
        <v>4</v>
      </c>
      <c r="H4483" s="160">
        <f>VLOOKUP(Sales[[#This Row],[Product ID]],Product[#All],7,0)</f>
        <v>6010</v>
      </c>
      <c r="I4483" s="160">
        <f>Sales[[#This Row],[Selling Rate]]*Sales[[#This Row],[Qty]]</f>
        <v>24040</v>
      </c>
      <c r="J4483" s="43">
        <v>0.02</v>
      </c>
      <c r="K4483" s="44">
        <f>Sales[[#This Row],[Gross Amount]]*Sales[[#This Row],[Disc %]]</f>
        <v>480.8</v>
      </c>
      <c r="L4483" s="43">
        <v>0.18</v>
      </c>
      <c r="M4483" s="44">
        <f>(Sales[[#This Row],[Gross Amount]]-Sales[[#This Row],[Disc. Amt.]])*Sales[[#This Row],[GST %]]</f>
        <v>4240.6559999999999</v>
      </c>
      <c r="N4483" s="161">
        <f>Sales[[#This Row],[Gross Amount]]-Sales[[#This Row],[Disc. Amt.]]+Sales[[#This Row],[GST Amount]]</f>
        <v>27799.856</v>
      </c>
      <c r="O4483" s="158" t="s">
        <v>8876</v>
      </c>
      <c r="P4483" s="158" t="s">
        <v>3562</v>
      </c>
      <c r="Q4483" s="160">
        <f>IF(Sales[[#This Row],[Status]]="Cancelled",0,Sales[[#This Row],[Qty]])</f>
        <v>4</v>
      </c>
      <c r="R4483" s="161">
        <f>IF(Sales[[#This Row],[Status]]="Cancelled",0,Sales[[#This Row],[Total Amount]])</f>
        <v>27799.856</v>
      </c>
      <c r="S4483" s="162">
        <f>SUM(Sales[Net Amount])</f>
        <v>406839287.73200053</v>
      </c>
    </row>
    <row r="4484" spans="1:19" ht="18.75" x14ac:dyDescent="0.25">
      <c r="A4484" s="163" t="s">
        <v>8164</v>
      </c>
      <c r="B4484" s="164">
        <v>45997</v>
      </c>
      <c r="C4484" s="34" t="s">
        <v>785</v>
      </c>
      <c r="D4484" s="53" t="str">
        <f>VLOOKUP(Sales[[#This Row],[Customer ID]],Customer[#All],2,0)</f>
        <v>Ankit Gupta</v>
      </c>
      <c r="E4484" s="34" t="s">
        <v>149</v>
      </c>
      <c r="F4484" s="34" t="str">
        <f>VLOOKUP(Sales[[#This Row],[Product ID]],Product[#All],2,0)</f>
        <v>Jbl Headset</v>
      </c>
      <c r="G4484" s="53">
        <v>8</v>
      </c>
      <c r="H4484" s="165">
        <f>VLOOKUP(Sales[[#This Row],[Product ID]],Product[#All],7,0)</f>
        <v>6520</v>
      </c>
      <c r="I4484" s="165">
        <f>Sales[[#This Row],[Selling Rate]]*Sales[[#This Row],[Qty]]</f>
        <v>52160</v>
      </c>
      <c r="J4484" s="45">
        <v>0.12</v>
      </c>
      <c r="K4484" s="46">
        <f>Sales[[#This Row],[Gross Amount]]*Sales[[#This Row],[Disc %]]</f>
        <v>6259.2</v>
      </c>
      <c r="L4484" s="43">
        <v>0.18</v>
      </c>
      <c r="M4484" s="46">
        <f>(Sales[[#This Row],[Gross Amount]]-Sales[[#This Row],[Disc. Amt.]])*Sales[[#This Row],[GST %]]</f>
        <v>8262.1440000000002</v>
      </c>
      <c r="N4484" s="161">
        <f>Sales[[#This Row],[Gross Amount]]-Sales[[#This Row],[Disc. Amt.]]+Sales[[#This Row],[GST Amount]]</f>
        <v>54162.944000000003</v>
      </c>
      <c r="O4484" s="34" t="s">
        <v>3561</v>
      </c>
      <c r="P4484" s="34" t="s">
        <v>3562</v>
      </c>
      <c r="Q4484" s="165">
        <f>IF(Sales[[#This Row],[Status]]="Cancelled",0,Sales[[#This Row],[Qty]])</f>
        <v>8</v>
      </c>
      <c r="R4484" s="166">
        <f>IF(Sales[[#This Row],[Status]]="Cancelled",0,Sales[[#This Row],[Total Amount]])</f>
        <v>54162.944000000003</v>
      </c>
      <c r="S4484" s="162">
        <f>SUM(Sales[Net Amount])</f>
        <v>406839287.73200053</v>
      </c>
    </row>
    <row r="4485" spans="1:19" ht="18.75" x14ac:dyDescent="0.25">
      <c r="A4485" s="156" t="s">
        <v>8165</v>
      </c>
      <c r="B4485" s="157">
        <v>45997</v>
      </c>
      <c r="C4485" s="158" t="s">
        <v>811</v>
      </c>
      <c r="D4485" s="159" t="str">
        <f>VLOOKUP(Sales[[#This Row],[Customer ID]],Customer[#All],2,0)</f>
        <v>Rahul Sharma</v>
      </c>
      <c r="E4485" s="158" t="s">
        <v>133</v>
      </c>
      <c r="F4485" s="158" t="str">
        <f>VLOOKUP(Sales[[#This Row],[Product ID]],Product[#All],2,0)</f>
        <v>HP Laptop</v>
      </c>
      <c r="G4485" s="159">
        <v>6</v>
      </c>
      <c r="H4485" s="160">
        <f>VLOOKUP(Sales[[#This Row],[Product ID]],Product[#All],7,0)</f>
        <v>44790</v>
      </c>
      <c r="I4485" s="160">
        <f>Sales[[#This Row],[Selling Rate]]*Sales[[#This Row],[Qty]]</f>
        <v>268740</v>
      </c>
      <c r="J4485" s="43">
        <v>0.1</v>
      </c>
      <c r="K4485" s="44">
        <f>Sales[[#This Row],[Gross Amount]]*Sales[[#This Row],[Disc %]]</f>
        <v>26874</v>
      </c>
      <c r="L4485" s="43">
        <v>0.18</v>
      </c>
      <c r="M4485" s="44">
        <f>(Sales[[#This Row],[Gross Amount]]-Sales[[#This Row],[Disc. Amt.]])*Sales[[#This Row],[GST %]]</f>
        <v>43535.88</v>
      </c>
      <c r="N4485" s="161">
        <f>Sales[[#This Row],[Gross Amount]]-Sales[[#This Row],[Disc. Amt.]]+Sales[[#This Row],[GST Amount]]</f>
        <v>285401.88</v>
      </c>
      <c r="O4485" s="158" t="s">
        <v>3569</v>
      </c>
      <c r="P4485" s="158" t="s">
        <v>3562</v>
      </c>
      <c r="Q4485" s="160">
        <f>IF(Sales[[#This Row],[Status]]="Cancelled",0,Sales[[#This Row],[Qty]])</f>
        <v>6</v>
      </c>
      <c r="R4485" s="161">
        <f>IF(Sales[[#This Row],[Status]]="Cancelled",0,Sales[[#This Row],[Total Amount]])</f>
        <v>285401.88</v>
      </c>
      <c r="S4485" s="162">
        <f>SUM(Sales[Net Amount])</f>
        <v>406839287.73200053</v>
      </c>
    </row>
    <row r="4486" spans="1:19" ht="18.75" x14ac:dyDescent="0.25">
      <c r="A4486" s="163" t="s">
        <v>8166</v>
      </c>
      <c r="B4486" s="164">
        <v>45997</v>
      </c>
      <c r="C4486" s="34" t="s">
        <v>659</v>
      </c>
      <c r="D4486" s="53" t="str">
        <f>VLOOKUP(Sales[[#This Row],[Customer ID]],Customer[#All],2,0)</f>
        <v>Rakesh Sharma</v>
      </c>
      <c r="E4486" s="34" t="s">
        <v>194</v>
      </c>
      <c r="F4486" s="34" t="str">
        <f>VLOOKUP(Sales[[#This Row],[Product ID]],Product[#All],2,0)</f>
        <v>Crucial Ssd</v>
      </c>
      <c r="G4486" s="53">
        <v>5</v>
      </c>
      <c r="H4486" s="165">
        <f>VLOOKUP(Sales[[#This Row],[Product ID]],Product[#All],7,0)</f>
        <v>6290</v>
      </c>
      <c r="I4486" s="165">
        <f>Sales[[#This Row],[Selling Rate]]*Sales[[#This Row],[Qty]]</f>
        <v>31450</v>
      </c>
      <c r="J4486" s="45">
        <v>0.05</v>
      </c>
      <c r="K4486" s="46">
        <f>Sales[[#This Row],[Gross Amount]]*Sales[[#This Row],[Disc %]]</f>
        <v>1572.5</v>
      </c>
      <c r="L4486" s="43">
        <v>0.18</v>
      </c>
      <c r="M4486" s="46">
        <f>(Sales[[#This Row],[Gross Amount]]-Sales[[#This Row],[Disc. Amt.]])*Sales[[#This Row],[GST %]]</f>
        <v>5377.95</v>
      </c>
      <c r="N4486" s="161">
        <f>Sales[[#This Row],[Gross Amount]]-Sales[[#This Row],[Disc. Amt.]]+Sales[[#This Row],[GST Amount]]</f>
        <v>35255.449999999997</v>
      </c>
      <c r="O4486" s="34" t="s">
        <v>3566</v>
      </c>
      <c r="P4486" s="34" t="s">
        <v>3562</v>
      </c>
      <c r="Q4486" s="165">
        <f>IF(Sales[[#This Row],[Status]]="Cancelled",0,Sales[[#This Row],[Qty]])</f>
        <v>5</v>
      </c>
      <c r="R4486" s="166">
        <f>IF(Sales[[#This Row],[Status]]="Cancelled",0,Sales[[#This Row],[Total Amount]])</f>
        <v>35255.449999999997</v>
      </c>
      <c r="S4486" s="162">
        <f>SUM(Sales[Net Amount])</f>
        <v>406839287.73200053</v>
      </c>
    </row>
    <row r="4487" spans="1:19" ht="18.75" x14ac:dyDescent="0.25">
      <c r="A4487" s="156" t="s">
        <v>8167</v>
      </c>
      <c r="B4487" s="157">
        <v>45998</v>
      </c>
      <c r="C4487" s="158" t="s">
        <v>871</v>
      </c>
      <c r="D4487" s="159" t="str">
        <f>VLOOKUP(Sales[[#This Row],[Customer ID]],Customer[#All],2,0)</f>
        <v>Rakesh Kumar</v>
      </c>
      <c r="E4487" s="158" t="s">
        <v>36</v>
      </c>
      <c r="F4487" s="158" t="str">
        <f>VLOOKUP(Sales[[#This Row],[Product ID]],Product[#All],2,0)</f>
        <v>TP-link Wi-Fi Adapter</v>
      </c>
      <c r="G4487" s="159">
        <v>8</v>
      </c>
      <c r="H4487" s="160">
        <f>VLOOKUP(Sales[[#This Row],[Product ID]],Product[#All],7,0)</f>
        <v>2790</v>
      </c>
      <c r="I4487" s="160">
        <f>Sales[[#This Row],[Selling Rate]]*Sales[[#This Row],[Qty]]</f>
        <v>22320</v>
      </c>
      <c r="J4487" s="43">
        <v>0</v>
      </c>
      <c r="K4487" s="44">
        <f>Sales[[#This Row],[Gross Amount]]*Sales[[#This Row],[Disc %]]</f>
        <v>0</v>
      </c>
      <c r="L4487" s="43">
        <v>0.18</v>
      </c>
      <c r="M4487" s="44">
        <f>(Sales[[#This Row],[Gross Amount]]-Sales[[#This Row],[Disc. Amt.]])*Sales[[#This Row],[GST %]]</f>
        <v>4017.6</v>
      </c>
      <c r="N4487" s="161">
        <f>Sales[[#This Row],[Gross Amount]]-Sales[[#This Row],[Disc. Amt.]]+Sales[[#This Row],[GST Amount]]</f>
        <v>26337.599999999999</v>
      </c>
      <c r="O4487" s="158" t="s">
        <v>3561</v>
      </c>
      <c r="P4487" s="158" t="s">
        <v>3562</v>
      </c>
      <c r="Q4487" s="160">
        <f>IF(Sales[[#This Row],[Status]]="Cancelled",0,Sales[[#This Row],[Qty]])</f>
        <v>8</v>
      </c>
      <c r="R4487" s="161">
        <f>IF(Sales[[#This Row],[Status]]="Cancelled",0,Sales[[#This Row],[Total Amount]])</f>
        <v>26337.599999999999</v>
      </c>
      <c r="S4487" s="162">
        <f>SUM(Sales[Net Amount])</f>
        <v>406839287.73200053</v>
      </c>
    </row>
    <row r="4488" spans="1:19" ht="18.75" x14ac:dyDescent="0.25">
      <c r="A4488" s="163" t="s">
        <v>8168</v>
      </c>
      <c r="B4488" s="164">
        <v>45998</v>
      </c>
      <c r="C4488" s="34" t="s">
        <v>846</v>
      </c>
      <c r="D4488" s="53" t="str">
        <f>VLOOKUP(Sales[[#This Row],[Customer ID]],Customer[#All],2,0)</f>
        <v>Ankit Patel</v>
      </c>
      <c r="E4488" s="34" t="s">
        <v>250</v>
      </c>
      <c r="F4488" s="34" t="str">
        <f>VLOOKUP(Sales[[#This Row],[Product ID]],Product[#All],2,0)</f>
        <v>Corsair Ram</v>
      </c>
      <c r="G4488" s="53">
        <v>1</v>
      </c>
      <c r="H4488" s="165">
        <f>VLOOKUP(Sales[[#This Row],[Product ID]],Product[#All],7,0)</f>
        <v>12160</v>
      </c>
      <c r="I4488" s="165">
        <f>Sales[[#This Row],[Selling Rate]]*Sales[[#This Row],[Qty]]</f>
        <v>12160</v>
      </c>
      <c r="J4488" s="45">
        <v>0.15</v>
      </c>
      <c r="K4488" s="46">
        <f>Sales[[#This Row],[Gross Amount]]*Sales[[#This Row],[Disc %]]</f>
        <v>1824</v>
      </c>
      <c r="L4488" s="43">
        <v>0.18</v>
      </c>
      <c r="M4488" s="46">
        <f>(Sales[[#This Row],[Gross Amount]]-Sales[[#This Row],[Disc. Amt.]])*Sales[[#This Row],[GST %]]</f>
        <v>1860.48</v>
      </c>
      <c r="N4488" s="161">
        <f>Sales[[#This Row],[Gross Amount]]-Sales[[#This Row],[Disc. Amt.]]+Sales[[#This Row],[GST Amount]]</f>
        <v>12196.48</v>
      </c>
      <c r="O4488" s="34" t="s">
        <v>3561</v>
      </c>
      <c r="P4488" s="34" t="s">
        <v>3562</v>
      </c>
      <c r="Q4488" s="165">
        <f>IF(Sales[[#This Row],[Status]]="Cancelled",0,Sales[[#This Row],[Qty]])</f>
        <v>1</v>
      </c>
      <c r="R4488" s="166">
        <f>IF(Sales[[#This Row],[Status]]="Cancelled",0,Sales[[#This Row],[Total Amount]])</f>
        <v>12196.48</v>
      </c>
      <c r="S4488" s="162">
        <f>SUM(Sales[Net Amount])</f>
        <v>406839287.73200053</v>
      </c>
    </row>
    <row r="4489" spans="1:19" ht="18.75" x14ac:dyDescent="0.25">
      <c r="A4489" s="156" t="s">
        <v>8169</v>
      </c>
      <c r="B4489" s="157">
        <v>45998</v>
      </c>
      <c r="C4489" s="158" t="s">
        <v>759</v>
      </c>
      <c r="D4489" s="159" t="str">
        <f>VLOOKUP(Sales[[#This Row],[Customer ID]],Customer[#All],2,0)</f>
        <v>Ankit Sharma</v>
      </c>
      <c r="E4489" s="158" t="s">
        <v>551</v>
      </c>
      <c r="F4489" s="158" t="str">
        <f>VLOOKUP(Sales[[#This Row],[Product ID]],Product[#All],2,0)</f>
        <v>Epson Printer</v>
      </c>
      <c r="G4489" s="159">
        <v>6</v>
      </c>
      <c r="H4489" s="160">
        <f>VLOOKUP(Sales[[#This Row],[Product ID]],Product[#All],7,0)</f>
        <v>38370</v>
      </c>
      <c r="I4489" s="160">
        <f>Sales[[#This Row],[Selling Rate]]*Sales[[#This Row],[Qty]]</f>
        <v>230220</v>
      </c>
      <c r="J4489" s="43">
        <v>0</v>
      </c>
      <c r="K4489" s="44">
        <f>Sales[[#This Row],[Gross Amount]]*Sales[[#This Row],[Disc %]]</f>
        <v>0</v>
      </c>
      <c r="L4489" s="43">
        <v>0.18</v>
      </c>
      <c r="M4489" s="44">
        <f>(Sales[[#This Row],[Gross Amount]]-Sales[[#This Row],[Disc. Amt.]])*Sales[[#This Row],[GST %]]</f>
        <v>41439.599999999999</v>
      </c>
      <c r="N4489" s="161">
        <f>Sales[[#This Row],[Gross Amount]]-Sales[[#This Row],[Disc. Amt.]]+Sales[[#This Row],[GST Amount]]</f>
        <v>271659.59999999998</v>
      </c>
      <c r="O4489" s="158" t="s">
        <v>3561</v>
      </c>
      <c r="P4489" s="158" t="s">
        <v>3562</v>
      </c>
      <c r="Q4489" s="160">
        <f>IF(Sales[[#This Row],[Status]]="Cancelled",0,Sales[[#This Row],[Qty]])</f>
        <v>6</v>
      </c>
      <c r="R4489" s="161">
        <f>IF(Sales[[#This Row],[Status]]="Cancelled",0,Sales[[#This Row],[Total Amount]])</f>
        <v>271659.59999999998</v>
      </c>
      <c r="S4489" s="162">
        <f>SUM(Sales[Net Amount])</f>
        <v>406839287.73200053</v>
      </c>
    </row>
    <row r="4490" spans="1:19" ht="18.75" x14ac:dyDescent="0.25">
      <c r="A4490" s="163" t="s">
        <v>8170</v>
      </c>
      <c r="B4490" s="164">
        <v>45998</v>
      </c>
      <c r="C4490" s="34" t="s">
        <v>656</v>
      </c>
      <c r="D4490" s="53" t="str">
        <f>VLOOKUP(Sales[[#This Row],[Customer ID]],Customer[#All],2,0)</f>
        <v>Rahul Kumar</v>
      </c>
      <c r="E4490" s="34" t="s">
        <v>303</v>
      </c>
      <c r="F4490" s="34" t="str">
        <f>VLOOKUP(Sales[[#This Row],[Product ID]],Product[#All],2,0)</f>
        <v>Crucial Ssd</v>
      </c>
      <c r="G4490" s="53">
        <v>3</v>
      </c>
      <c r="H4490" s="165">
        <f>VLOOKUP(Sales[[#This Row],[Product ID]],Product[#All],7,0)</f>
        <v>7740</v>
      </c>
      <c r="I4490" s="165">
        <f>Sales[[#This Row],[Selling Rate]]*Sales[[#This Row],[Qty]]</f>
        <v>23220</v>
      </c>
      <c r="J4490" s="45">
        <v>0</v>
      </c>
      <c r="K4490" s="46">
        <f>Sales[[#This Row],[Gross Amount]]*Sales[[#This Row],[Disc %]]</f>
        <v>0</v>
      </c>
      <c r="L4490" s="43">
        <v>0.18</v>
      </c>
      <c r="M4490" s="46">
        <f>(Sales[[#This Row],[Gross Amount]]-Sales[[#This Row],[Disc. Amt.]])*Sales[[#This Row],[GST %]]</f>
        <v>4179.5999999999995</v>
      </c>
      <c r="N4490" s="161">
        <f>Sales[[#This Row],[Gross Amount]]-Sales[[#This Row],[Disc. Amt.]]+Sales[[#This Row],[GST Amount]]</f>
        <v>27399.599999999999</v>
      </c>
      <c r="O4490" s="34" t="s">
        <v>3569</v>
      </c>
      <c r="P4490" s="34" t="s">
        <v>1040</v>
      </c>
      <c r="Q4490" s="165">
        <f>IF(Sales[[#This Row],[Status]]="Cancelled",0,Sales[[#This Row],[Qty]])</f>
        <v>0</v>
      </c>
      <c r="R4490" s="166">
        <f>IF(Sales[[#This Row],[Status]]="Cancelled",0,Sales[[#This Row],[Total Amount]])</f>
        <v>0</v>
      </c>
      <c r="S4490" s="162">
        <f>SUM(Sales[Net Amount])</f>
        <v>406839287.73200053</v>
      </c>
    </row>
    <row r="4491" spans="1:19" ht="18.75" x14ac:dyDescent="0.25">
      <c r="A4491" s="156" t="s">
        <v>8171</v>
      </c>
      <c r="B4491" s="157">
        <v>45998</v>
      </c>
      <c r="C4491" s="158" t="s">
        <v>707</v>
      </c>
      <c r="D4491" s="159" t="str">
        <f>VLOOKUP(Sales[[#This Row],[Customer ID]],Customer[#All],2,0)</f>
        <v>Rahul Verma</v>
      </c>
      <c r="E4491" s="158" t="s">
        <v>492</v>
      </c>
      <c r="F4491" s="158" t="str">
        <f>VLOOKUP(Sales[[#This Row],[Product ID]],Product[#All],2,0)</f>
        <v>Microtek UPS</v>
      </c>
      <c r="G4491" s="159">
        <v>4</v>
      </c>
      <c r="H4491" s="160">
        <f>VLOOKUP(Sales[[#This Row],[Product ID]],Product[#All],7,0)</f>
        <v>13470</v>
      </c>
      <c r="I4491" s="160">
        <f>Sales[[#This Row],[Selling Rate]]*Sales[[#This Row],[Qty]]</f>
        <v>53880</v>
      </c>
      <c r="J4491" s="43">
        <v>0.15</v>
      </c>
      <c r="K4491" s="44">
        <f>Sales[[#This Row],[Gross Amount]]*Sales[[#This Row],[Disc %]]</f>
        <v>8082</v>
      </c>
      <c r="L4491" s="43">
        <v>0.18</v>
      </c>
      <c r="M4491" s="44">
        <f>(Sales[[#This Row],[Gross Amount]]-Sales[[#This Row],[Disc. Amt.]])*Sales[[#This Row],[GST %]]</f>
        <v>8243.64</v>
      </c>
      <c r="N4491" s="161">
        <f>Sales[[#This Row],[Gross Amount]]-Sales[[#This Row],[Disc. Amt.]]+Sales[[#This Row],[GST Amount]]</f>
        <v>54041.64</v>
      </c>
      <c r="O4491" s="158" t="s">
        <v>3566</v>
      </c>
      <c r="P4491" s="158" t="s">
        <v>3562</v>
      </c>
      <c r="Q4491" s="160">
        <f>IF(Sales[[#This Row],[Status]]="Cancelled",0,Sales[[#This Row],[Qty]])</f>
        <v>4</v>
      </c>
      <c r="R4491" s="161">
        <f>IF(Sales[[#This Row],[Status]]="Cancelled",0,Sales[[#This Row],[Total Amount]])</f>
        <v>54041.64</v>
      </c>
      <c r="S4491" s="162">
        <f>SUM(Sales[Net Amount])</f>
        <v>406839287.73200053</v>
      </c>
    </row>
    <row r="4492" spans="1:19" ht="18.75" x14ac:dyDescent="0.25">
      <c r="A4492" s="163" t="s">
        <v>8172</v>
      </c>
      <c r="B4492" s="164">
        <v>45998</v>
      </c>
      <c r="C4492" s="34" t="s">
        <v>660</v>
      </c>
      <c r="D4492" s="53" t="str">
        <f>VLOOKUP(Sales[[#This Row],[Customer ID]],Customer[#All],2,0)</f>
        <v>Priya Sharma</v>
      </c>
      <c r="E4492" s="34" t="s">
        <v>444</v>
      </c>
      <c r="F4492" s="34" t="str">
        <f>VLOOKUP(Sales[[#This Row],[Product ID]],Product[#All],2,0)</f>
        <v>Dell Desktop</v>
      </c>
      <c r="G4492" s="53">
        <v>3</v>
      </c>
      <c r="H4492" s="165">
        <f>VLOOKUP(Sales[[#This Row],[Product ID]],Product[#All],7,0)</f>
        <v>55730</v>
      </c>
      <c r="I4492" s="165">
        <f>Sales[[#This Row],[Selling Rate]]*Sales[[#This Row],[Qty]]</f>
        <v>167190</v>
      </c>
      <c r="J4492" s="45">
        <v>0.1</v>
      </c>
      <c r="K4492" s="46">
        <f>Sales[[#This Row],[Gross Amount]]*Sales[[#This Row],[Disc %]]</f>
        <v>16719</v>
      </c>
      <c r="L4492" s="43">
        <v>0.18</v>
      </c>
      <c r="M4492" s="46">
        <f>(Sales[[#This Row],[Gross Amount]]-Sales[[#This Row],[Disc. Amt.]])*Sales[[#This Row],[GST %]]</f>
        <v>27084.78</v>
      </c>
      <c r="N4492" s="161">
        <f>Sales[[#This Row],[Gross Amount]]-Sales[[#This Row],[Disc. Amt.]]+Sales[[#This Row],[GST Amount]]</f>
        <v>177555.78</v>
      </c>
      <c r="O4492" s="34" t="s">
        <v>3569</v>
      </c>
      <c r="P4492" s="34" t="s">
        <v>3562</v>
      </c>
      <c r="Q4492" s="165">
        <f>IF(Sales[[#This Row],[Status]]="Cancelled",0,Sales[[#This Row],[Qty]])</f>
        <v>3</v>
      </c>
      <c r="R4492" s="166">
        <f>IF(Sales[[#This Row],[Status]]="Cancelled",0,Sales[[#This Row],[Total Amount]])</f>
        <v>177555.78</v>
      </c>
      <c r="S4492" s="162">
        <f>SUM(Sales[Net Amount])</f>
        <v>406839287.73200053</v>
      </c>
    </row>
    <row r="4493" spans="1:19" ht="18.75" x14ac:dyDescent="0.25">
      <c r="A4493" s="156" t="s">
        <v>8173</v>
      </c>
      <c r="B4493" s="157">
        <v>45998</v>
      </c>
      <c r="C4493" s="158" t="s">
        <v>699</v>
      </c>
      <c r="D4493" s="159" t="str">
        <f>VLOOKUP(Sales[[#This Row],[Customer ID]],Customer[#All],2,0)</f>
        <v>Amit Singh</v>
      </c>
      <c r="E4493" s="158" t="s">
        <v>388</v>
      </c>
      <c r="F4493" s="158" t="str">
        <f>VLOOKUP(Sales[[#This Row],[Product ID]],Product[#All],2,0)</f>
        <v>Dell Laptop</v>
      </c>
      <c r="G4493" s="159">
        <v>5</v>
      </c>
      <c r="H4493" s="160">
        <f>VLOOKUP(Sales[[#This Row],[Product ID]],Product[#All],7,0)</f>
        <v>68790</v>
      </c>
      <c r="I4493" s="160">
        <f>Sales[[#This Row],[Selling Rate]]*Sales[[#This Row],[Qty]]</f>
        <v>343950</v>
      </c>
      <c r="J4493" s="43">
        <v>0.05</v>
      </c>
      <c r="K4493" s="44">
        <f>Sales[[#This Row],[Gross Amount]]*Sales[[#This Row],[Disc %]]</f>
        <v>17197.5</v>
      </c>
      <c r="L4493" s="43">
        <v>0.18</v>
      </c>
      <c r="M4493" s="44">
        <f>(Sales[[#This Row],[Gross Amount]]-Sales[[#This Row],[Disc. Amt.]])*Sales[[#This Row],[GST %]]</f>
        <v>58815.45</v>
      </c>
      <c r="N4493" s="161">
        <f>Sales[[#This Row],[Gross Amount]]-Sales[[#This Row],[Disc. Amt.]]+Sales[[#This Row],[GST Amount]]</f>
        <v>385567.95</v>
      </c>
      <c r="O4493" s="158" t="s">
        <v>3566</v>
      </c>
      <c r="P4493" s="158" t="s">
        <v>3562</v>
      </c>
      <c r="Q4493" s="160">
        <f>IF(Sales[[#This Row],[Status]]="Cancelled",0,Sales[[#This Row],[Qty]])</f>
        <v>5</v>
      </c>
      <c r="R4493" s="161">
        <f>IF(Sales[[#This Row],[Status]]="Cancelled",0,Sales[[#This Row],[Total Amount]])</f>
        <v>385567.95</v>
      </c>
      <c r="S4493" s="162">
        <f>SUM(Sales[Net Amount])</f>
        <v>406839287.73200053</v>
      </c>
    </row>
    <row r="4494" spans="1:19" ht="18.75" x14ac:dyDescent="0.25">
      <c r="A4494" s="163" t="s">
        <v>8174</v>
      </c>
      <c r="B4494" s="164">
        <v>45998</v>
      </c>
      <c r="C4494" s="34" t="s">
        <v>702</v>
      </c>
      <c r="D4494" s="53" t="str">
        <f>VLOOKUP(Sales[[#This Row],[Customer ID]],Customer[#All],2,0)</f>
        <v>Amit Patel</v>
      </c>
      <c r="E4494" s="34" t="s">
        <v>499</v>
      </c>
      <c r="F4494" s="34" t="str">
        <f>VLOOKUP(Sales[[#This Row],[Product ID]],Product[#All],2,0)</f>
        <v>HP Laptop</v>
      </c>
      <c r="G4494" s="53">
        <v>5</v>
      </c>
      <c r="H4494" s="165">
        <f>VLOOKUP(Sales[[#This Row],[Product ID]],Product[#All],7,0)</f>
        <v>83390</v>
      </c>
      <c r="I4494" s="165">
        <f>Sales[[#This Row],[Selling Rate]]*Sales[[#This Row],[Qty]]</f>
        <v>416950</v>
      </c>
      <c r="J4494" s="45">
        <v>0.15</v>
      </c>
      <c r="K4494" s="46">
        <f>Sales[[#This Row],[Gross Amount]]*Sales[[#This Row],[Disc %]]</f>
        <v>62542.5</v>
      </c>
      <c r="L4494" s="43">
        <v>0.18</v>
      </c>
      <c r="M4494" s="46">
        <f>(Sales[[#This Row],[Gross Amount]]-Sales[[#This Row],[Disc. Amt.]])*Sales[[#This Row],[GST %]]</f>
        <v>63793.35</v>
      </c>
      <c r="N4494" s="161">
        <f>Sales[[#This Row],[Gross Amount]]-Sales[[#This Row],[Disc. Amt.]]+Sales[[#This Row],[GST Amount]]</f>
        <v>418200.85</v>
      </c>
      <c r="O4494" s="34" t="s">
        <v>8876</v>
      </c>
      <c r="P4494" s="34" t="s">
        <v>3562</v>
      </c>
      <c r="Q4494" s="165">
        <f>IF(Sales[[#This Row],[Status]]="Cancelled",0,Sales[[#This Row],[Qty]])</f>
        <v>5</v>
      </c>
      <c r="R4494" s="166">
        <f>IF(Sales[[#This Row],[Status]]="Cancelled",0,Sales[[#This Row],[Total Amount]])</f>
        <v>418200.85</v>
      </c>
      <c r="S4494" s="162">
        <f>SUM(Sales[Net Amount])</f>
        <v>406839287.73200053</v>
      </c>
    </row>
    <row r="4495" spans="1:19" ht="18.75" x14ac:dyDescent="0.25">
      <c r="A4495" s="156" t="s">
        <v>8175</v>
      </c>
      <c r="B4495" s="157">
        <v>45998</v>
      </c>
      <c r="C4495" s="158" t="s">
        <v>698</v>
      </c>
      <c r="D4495" s="159" t="str">
        <f>VLOOKUP(Sales[[#This Row],[Customer ID]],Customer[#All],2,0)</f>
        <v>Neha Sharma</v>
      </c>
      <c r="E4495" s="158" t="s">
        <v>480</v>
      </c>
      <c r="F4495" s="158" t="str">
        <f>VLOOKUP(Sales[[#This Row],[Product ID]],Product[#All],2,0)</f>
        <v>TP-link Bluetooth Adapter</v>
      </c>
      <c r="G4495" s="159">
        <v>3</v>
      </c>
      <c r="H4495" s="160">
        <f>VLOOKUP(Sales[[#This Row],[Product ID]],Product[#All],7,0)</f>
        <v>1670</v>
      </c>
      <c r="I4495" s="160">
        <f>Sales[[#This Row],[Selling Rate]]*Sales[[#This Row],[Qty]]</f>
        <v>5010</v>
      </c>
      <c r="J4495" s="43">
        <v>0.02</v>
      </c>
      <c r="K4495" s="44">
        <f>Sales[[#This Row],[Gross Amount]]*Sales[[#This Row],[Disc %]]</f>
        <v>100.2</v>
      </c>
      <c r="L4495" s="43">
        <v>0.18</v>
      </c>
      <c r="M4495" s="44">
        <f>(Sales[[#This Row],[Gross Amount]]-Sales[[#This Row],[Disc. Amt.]])*Sales[[#This Row],[GST %]]</f>
        <v>883.76400000000001</v>
      </c>
      <c r="N4495" s="161">
        <f>Sales[[#This Row],[Gross Amount]]-Sales[[#This Row],[Disc. Amt.]]+Sales[[#This Row],[GST Amount]]</f>
        <v>5793.5640000000003</v>
      </c>
      <c r="O4495" s="158" t="s">
        <v>3566</v>
      </c>
      <c r="P4495" s="158" t="s">
        <v>3562</v>
      </c>
      <c r="Q4495" s="160">
        <f>IF(Sales[[#This Row],[Status]]="Cancelled",0,Sales[[#This Row],[Qty]])</f>
        <v>3</v>
      </c>
      <c r="R4495" s="161">
        <f>IF(Sales[[#This Row],[Status]]="Cancelled",0,Sales[[#This Row],[Total Amount]])</f>
        <v>5793.5640000000003</v>
      </c>
      <c r="S4495" s="162">
        <f>SUM(Sales[Net Amount])</f>
        <v>406839287.73200053</v>
      </c>
    </row>
    <row r="4496" spans="1:19" ht="18.75" x14ac:dyDescent="0.25">
      <c r="A4496" s="163" t="s">
        <v>8176</v>
      </c>
      <c r="B4496" s="164">
        <v>45998</v>
      </c>
      <c r="C4496" s="34" t="s">
        <v>902</v>
      </c>
      <c r="D4496" s="53" t="str">
        <f>VLOOKUP(Sales[[#This Row],[Customer ID]],Customer[#All],2,0)</f>
        <v>Sunita Singh</v>
      </c>
      <c r="E4496" s="34" t="s">
        <v>131</v>
      </c>
      <c r="F4496" s="34" t="str">
        <f>VLOOKUP(Sales[[#This Row],[Product ID]],Product[#All],2,0)</f>
        <v>HP Power Adapter</v>
      </c>
      <c r="G4496" s="53">
        <v>3</v>
      </c>
      <c r="H4496" s="165">
        <f>VLOOKUP(Sales[[#This Row],[Product ID]],Product[#All],7,0)</f>
        <v>2540</v>
      </c>
      <c r="I4496" s="165">
        <f>Sales[[#This Row],[Selling Rate]]*Sales[[#This Row],[Qty]]</f>
        <v>7620</v>
      </c>
      <c r="J4496" s="45">
        <v>0.02</v>
      </c>
      <c r="K4496" s="46">
        <f>Sales[[#This Row],[Gross Amount]]*Sales[[#This Row],[Disc %]]</f>
        <v>152.4</v>
      </c>
      <c r="L4496" s="43">
        <v>0.18</v>
      </c>
      <c r="M4496" s="46">
        <f>(Sales[[#This Row],[Gross Amount]]-Sales[[#This Row],[Disc. Amt.]])*Sales[[#This Row],[GST %]]</f>
        <v>1344.1680000000001</v>
      </c>
      <c r="N4496" s="161">
        <f>Sales[[#This Row],[Gross Amount]]-Sales[[#This Row],[Disc. Amt.]]+Sales[[#This Row],[GST Amount]]</f>
        <v>8811.768</v>
      </c>
      <c r="O4496" s="34" t="s">
        <v>3561</v>
      </c>
      <c r="P4496" s="34" t="s">
        <v>3562</v>
      </c>
      <c r="Q4496" s="165">
        <f>IF(Sales[[#This Row],[Status]]="Cancelled",0,Sales[[#This Row],[Qty]])</f>
        <v>3</v>
      </c>
      <c r="R4496" s="166">
        <f>IF(Sales[[#This Row],[Status]]="Cancelled",0,Sales[[#This Row],[Total Amount]])</f>
        <v>8811.768</v>
      </c>
      <c r="S4496" s="162">
        <f>SUM(Sales[Net Amount])</f>
        <v>406839287.73200053</v>
      </c>
    </row>
    <row r="4497" spans="1:19" ht="18.75" x14ac:dyDescent="0.25">
      <c r="A4497" s="156" t="s">
        <v>8177</v>
      </c>
      <c r="B4497" s="157">
        <v>45998</v>
      </c>
      <c r="C4497" s="158" t="s">
        <v>855</v>
      </c>
      <c r="D4497" s="159" t="str">
        <f>VLOOKUP(Sales[[#This Row],[Customer ID]],Customer[#All],2,0)</f>
        <v>Sahil Singh</v>
      </c>
      <c r="E4497" s="158" t="s">
        <v>542</v>
      </c>
      <c r="F4497" s="158" t="str">
        <f>VLOOKUP(Sales[[#This Row],[Product ID]],Product[#All],2,0)</f>
        <v>Logitech Webcam</v>
      </c>
      <c r="G4497" s="159">
        <v>6</v>
      </c>
      <c r="H4497" s="160">
        <f>VLOOKUP(Sales[[#This Row],[Product ID]],Product[#All],7,0)</f>
        <v>4800</v>
      </c>
      <c r="I4497" s="160">
        <f>Sales[[#This Row],[Selling Rate]]*Sales[[#This Row],[Qty]]</f>
        <v>28800</v>
      </c>
      <c r="J4497" s="43">
        <v>0.1</v>
      </c>
      <c r="K4497" s="44">
        <f>Sales[[#This Row],[Gross Amount]]*Sales[[#This Row],[Disc %]]</f>
        <v>2880</v>
      </c>
      <c r="L4497" s="43">
        <v>0.18</v>
      </c>
      <c r="M4497" s="44">
        <f>(Sales[[#This Row],[Gross Amount]]-Sales[[#This Row],[Disc. Amt.]])*Sales[[#This Row],[GST %]]</f>
        <v>4665.5999999999995</v>
      </c>
      <c r="N4497" s="161">
        <f>Sales[[#This Row],[Gross Amount]]-Sales[[#This Row],[Disc. Amt.]]+Sales[[#This Row],[GST Amount]]</f>
        <v>30585.599999999999</v>
      </c>
      <c r="O4497" s="158" t="s">
        <v>3566</v>
      </c>
      <c r="P4497" s="158" t="s">
        <v>3562</v>
      </c>
      <c r="Q4497" s="160">
        <f>IF(Sales[[#This Row],[Status]]="Cancelled",0,Sales[[#This Row],[Qty]])</f>
        <v>6</v>
      </c>
      <c r="R4497" s="161">
        <f>IF(Sales[[#This Row],[Status]]="Cancelled",0,Sales[[#This Row],[Total Amount]])</f>
        <v>30585.599999999999</v>
      </c>
      <c r="S4497" s="162">
        <f>SUM(Sales[Net Amount])</f>
        <v>406839287.73200053</v>
      </c>
    </row>
    <row r="4498" spans="1:19" ht="18.75" x14ac:dyDescent="0.25">
      <c r="A4498" s="163" t="s">
        <v>8178</v>
      </c>
      <c r="B4498" s="164">
        <v>45998</v>
      </c>
      <c r="C4498" s="34" t="s">
        <v>854</v>
      </c>
      <c r="D4498" s="53" t="str">
        <f>VLOOKUP(Sales[[#This Row],[Customer ID]],Customer[#All],2,0)</f>
        <v>Neha Sharma</v>
      </c>
      <c r="E4498" s="34" t="s">
        <v>521</v>
      </c>
      <c r="F4498" s="34" t="str">
        <f>VLOOKUP(Sales[[#This Row],[Product ID]],Product[#All],2,0)</f>
        <v>Sandisk Pen Drive</v>
      </c>
      <c r="G4498" s="53">
        <v>1</v>
      </c>
      <c r="H4498" s="165">
        <f>VLOOKUP(Sales[[#This Row],[Product ID]],Product[#All],7,0)</f>
        <v>2920</v>
      </c>
      <c r="I4498" s="165">
        <f>Sales[[#This Row],[Selling Rate]]*Sales[[#This Row],[Qty]]</f>
        <v>2920</v>
      </c>
      <c r="J4498" s="45">
        <v>0.1</v>
      </c>
      <c r="K4498" s="46">
        <f>Sales[[#This Row],[Gross Amount]]*Sales[[#This Row],[Disc %]]</f>
        <v>292</v>
      </c>
      <c r="L4498" s="43">
        <v>0.18</v>
      </c>
      <c r="M4498" s="46">
        <f>(Sales[[#This Row],[Gross Amount]]-Sales[[#This Row],[Disc. Amt.]])*Sales[[#This Row],[GST %]]</f>
        <v>473.03999999999996</v>
      </c>
      <c r="N4498" s="161">
        <f>Sales[[#This Row],[Gross Amount]]-Sales[[#This Row],[Disc. Amt.]]+Sales[[#This Row],[GST Amount]]</f>
        <v>3101.04</v>
      </c>
      <c r="O4498" s="34" t="s">
        <v>3569</v>
      </c>
      <c r="P4498" s="34" t="s">
        <v>3562</v>
      </c>
      <c r="Q4498" s="165">
        <f>IF(Sales[[#This Row],[Status]]="Cancelled",0,Sales[[#This Row],[Qty]])</f>
        <v>1</v>
      </c>
      <c r="R4498" s="166">
        <f>IF(Sales[[#This Row],[Status]]="Cancelled",0,Sales[[#This Row],[Total Amount]])</f>
        <v>3101.04</v>
      </c>
      <c r="S4498" s="162">
        <f>SUM(Sales[Net Amount])</f>
        <v>406839287.73200053</v>
      </c>
    </row>
    <row r="4499" spans="1:19" ht="18.75" x14ac:dyDescent="0.25">
      <c r="A4499" s="156" t="s">
        <v>8179</v>
      </c>
      <c r="B4499" s="157">
        <v>45998</v>
      </c>
      <c r="C4499" s="158" t="s">
        <v>812</v>
      </c>
      <c r="D4499" s="159" t="str">
        <f>VLOOKUP(Sales[[#This Row],[Customer ID]],Customer[#All],2,0)</f>
        <v>Neha Gupta</v>
      </c>
      <c r="E4499" s="158" t="s">
        <v>479</v>
      </c>
      <c r="F4499" s="158" t="str">
        <f>VLOOKUP(Sales[[#This Row],[Product ID]],Product[#All],2,0)</f>
        <v>TP-link Router</v>
      </c>
      <c r="G4499" s="159">
        <v>8</v>
      </c>
      <c r="H4499" s="160">
        <f>VLOOKUP(Sales[[#This Row],[Product ID]],Product[#All],7,0)</f>
        <v>5740</v>
      </c>
      <c r="I4499" s="160">
        <f>Sales[[#This Row],[Selling Rate]]*Sales[[#This Row],[Qty]]</f>
        <v>45920</v>
      </c>
      <c r="J4499" s="43">
        <v>0.15</v>
      </c>
      <c r="K4499" s="44">
        <f>Sales[[#This Row],[Gross Amount]]*Sales[[#This Row],[Disc %]]</f>
        <v>6888</v>
      </c>
      <c r="L4499" s="43">
        <v>0.18</v>
      </c>
      <c r="M4499" s="44">
        <f>(Sales[[#This Row],[Gross Amount]]-Sales[[#This Row],[Disc. Amt.]])*Sales[[#This Row],[GST %]]</f>
        <v>7025.7599999999993</v>
      </c>
      <c r="N4499" s="161">
        <f>Sales[[#This Row],[Gross Amount]]-Sales[[#This Row],[Disc. Amt.]]+Sales[[#This Row],[GST Amount]]</f>
        <v>46057.760000000002</v>
      </c>
      <c r="O4499" s="158" t="s">
        <v>3561</v>
      </c>
      <c r="P4499" s="158" t="s">
        <v>3562</v>
      </c>
      <c r="Q4499" s="160">
        <f>IF(Sales[[#This Row],[Status]]="Cancelled",0,Sales[[#This Row],[Qty]])</f>
        <v>8</v>
      </c>
      <c r="R4499" s="161">
        <f>IF(Sales[[#This Row],[Status]]="Cancelled",0,Sales[[#This Row],[Total Amount]])</f>
        <v>46057.760000000002</v>
      </c>
      <c r="S4499" s="162">
        <f>SUM(Sales[Net Amount])</f>
        <v>406839287.73200053</v>
      </c>
    </row>
    <row r="4500" spans="1:19" ht="18.75" x14ac:dyDescent="0.25">
      <c r="A4500" s="163" t="s">
        <v>8180</v>
      </c>
      <c r="B4500" s="164">
        <v>45998</v>
      </c>
      <c r="C4500" s="34" t="s">
        <v>880</v>
      </c>
      <c r="D4500" s="53" t="str">
        <f>VLOOKUP(Sales[[#This Row],[Customer ID]],Customer[#All],2,0)</f>
        <v>Rahul Sharma</v>
      </c>
      <c r="E4500" s="34" t="s">
        <v>258</v>
      </c>
      <c r="F4500" s="34" t="str">
        <f>VLOOKUP(Sales[[#This Row],[Product ID]],Product[#All],2,0)</f>
        <v>HP Power Adapter</v>
      </c>
      <c r="G4500" s="53">
        <v>8</v>
      </c>
      <c r="H4500" s="165">
        <f>VLOOKUP(Sales[[#This Row],[Product ID]],Product[#All],7,0)</f>
        <v>2370</v>
      </c>
      <c r="I4500" s="165">
        <f>Sales[[#This Row],[Selling Rate]]*Sales[[#This Row],[Qty]]</f>
        <v>18960</v>
      </c>
      <c r="J4500" s="45">
        <v>0</v>
      </c>
      <c r="K4500" s="46">
        <f>Sales[[#This Row],[Gross Amount]]*Sales[[#This Row],[Disc %]]</f>
        <v>0</v>
      </c>
      <c r="L4500" s="43">
        <v>0.18</v>
      </c>
      <c r="M4500" s="46">
        <f>(Sales[[#This Row],[Gross Amount]]-Sales[[#This Row],[Disc. Amt.]])*Sales[[#This Row],[GST %]]</f>
        <v>3412.7999999999997</v>
      </c>
      <c r="N4500" s="161">
        <f>Sales[[#This Row],[Gross Amount]]-Sales[[#This Row],[Disc. Amt.]]+Sales[[#This Row],[GST Amount]]</f>
        <v>22372.799999999999</v>
      </c>
      <c r="O4500" s="34" t="s">
        <v>3566</v>
      </c>
      <c r="P4500" s="34" t="s">
        <v>3562</v>
      </c>
      <c r="Q4500" s="165">
        <f>IF(Sales[[#This Row],[Status]]="Cancelled",0,Sales[[#This Row],[Qty]])</f>
        <v>8</v>
      </c>
      <c r="R4500" s="166">
        <f>IF(Sales[[#This Row],[Status]]="Cancelled",0,Sales[[#This Row],[Total Amount]])</f>
        <v>22372.799999999999</v>
      </c>
      <c r="S4500" s="162">
        <f>SUM(Sales[Net Amount])</f>
        <v>406839287.73200053</v>
      </c>
    </row>
    <row r="4501" spans="1:19" ht="18.75" x14ac:dyDescent="0.25">
      <c r="A4501" s="156" t="s">
        <v>8181</v>
      </c>
      <c r="B4501" s="157">
        <v>45998</v>
      </c>
      <c r="C4501" s="158" t="s">
        <v>697</v>
      </c>
      <c r="D4501" s="159" t="str">
        <f>VLOOKUP(Sales[[#This Row],[Customer ID]],Customer[#All],2,0)</f>
        <v>Priya Kumar</v>
      </c>
      <c r="E4501" s="158" t="s">
        <v>219</v>
      </c>
      <c r="F4501" s="158" t="str">
        <f>VLOOKUP(Sales[[#This Row],[Product ID]],Product[#All],2,0)</f>
        <v>Samsung Monitor</v>
      </c>
      <c r="G4501" s="159">
        <v>1</v>
      </c>
      <c r="H4501" s="160">
        <f>VLOOKUP(Sales[[#This Row],[Product ID]],Product[#All],7,0)</f>
        <v>22630</v>
      </c>
      <c r="I4501" s="160">
        <f>Sales[[#This Row],[Selling Rate]]*Sales[[#This Row],[Qty]]</f>
        <v>22630</v>
      </c>
      <c r="J4501" s="43">
        <v>0.15</v>
      </c>
      <c r="K4501" s="44">
        <f>Sales[[#This Row],[Gross Amount]]*Sales[[#This Row],[Disc %]]</f>
        <v>3394.5</v>
      </c>
      <c r="L4501" s="43">
        <v>0.18</v>
      </c>
      <c r="M4501" s="44">
        <f>(Sales[[#This Row],[Gross Amount]]-Sales[[#This Row],[Disc. Amt.]])*Sales[[#This Row],[GST %]]</f>
        <v>3462.39</v>
      </c>
      <c r="N4501" s="161">
        <f>Sales[[#This Row],[Gross Amount]]-Sales[[#This Row],[Disc. Amt.]]+Sales[[#This Row],[GST Amount]]</f>
        <v>22697.89</v>
      </c>
      <c r="O4501" s="158" t="s">
        <v>3566</v>
      </c>
      <c r="P4501" s="158" t="s">
        <v>3562</v>
      </c>
      <c r="Q4501" s="160">
        <f>IF(Sales[[#This Row],[Status]]="Cancelled",0,Sales[[#This Row],[Qty]])</f>
        <v>1</v>
      </c>
      <c r="R4501" s="161">
        <f>IF(Sales[[#This Row],[Status]]="Cancelled",0,Sales[[#This Row],[Total Amount]])</f>
        <v>22697.89</v>
      </c>
      <c r="S4501" s="162">
        <f>SUM(Sales[Net Amount])</f>
        <v>406839287.73200053</v>
      </c>
    </row>
    <row r="4502" spans="1:19" ht="18.75" x14ac:dyDescent="0.25">
      <c r="A4502" s="163" t="s">
        <v>8182</v>
      </c>
      <c r="B4502" s="164">
        <v>45998</v>
      </c>
      <c r="C4502" s="34" t="s">
        <v>890</v>
      </c>
      <c r="D4502" s="53" t="str">
        <f>VLOOKUP(Sales[[#This Row],[Customer ID]],Customer[#All],2,0)</f>
        <v>Rakesh Patel</v>
      </c>
      <c r="E4502" s="34" t="s">
        <v>167</v>
      </c>
      <c r="F4502" s="34" t="str">
        <f>VLOOKUP(Sales[[#This Row],[Product ID]],Product[#All],2,0)</f>
        <v>Logitech Keyboard</v>
      </c>
      <c r="G4502" s="53">
        <v>2</v>
      </c>
      <c r="H4502" s="165">
        <f>VLOOKUP(Sales[[#This Row],[Product ID]],Product[#All],7,0)</f>
        <v>2460</v>
      </c>
      <c r="I4502" s="165">
        <f>Sales[[#This Row],[Selling Rate]]*Sales[[#This Row],[Qty]]</f>
        <v>4920</v>
      </c>
      <c r="J4502" s="45">
        <v>0.05</v>
      </c>
      <c r="K4502" s="46">
        <f>Sales[[#This Row],[Gross Amount]]*Sales[[#This Row],[Disc %]]</f>
        <v>246</v>
      </c>
      <c r="L4502" s="43">
        <v>0.18</v>
      </c>
      <c r="M4502" s="46">
        <f>(Sales[[#This Row],[Gross Amount]]-Sales[[#This Row],[Disc. Amt.]])*Sales[[#This Row],[GST %]]</f>
        <v>841.31999999999994</v>
      </c>
      <c r="N4502" s="161">
        <f>Sales[[#This Row],[Gross Amount]]-Sales[[#This Row],[Disc. Amt.]]+Sales[[#This Row],[GST Amount]]</f>
        <v>5515.32</v>
      </c>
      <c r="O4502" s="34" t="s">
        <v>3569</v>
      </c>
      <c r="P4502" s="34" t="s">
        <v>3562</v>
      </c>
      <c r="Q4502" s="165">
        <f>IF(Sales[[#This Row],[Status]]="Cancelled",0,Sales[[#This Row],[Qty]])</f>
        <v>2</v>
      </c>
      <c r="R4502" s="166">
        <f>IF(Sales[[#This Row],[Status]]="Cancelled",0,Sales[[#This Row],[Total Amount]])</f>
        <v>5515.32</v>
      </c>
      <c r="S4502" s="162">
        <f>SUM(Sales[Net Amount])</f>
        <v>406839287.73200053</v>
      </c>
    </row>
    <row r="4503" spans="1:19" ht="18.75" x14ac:dyDescent="0.25">
      <c r="A4503" s="156" t="s">
        <v>8183</v>
      </c>
      <c r="B4503" s="157">
        <v>45998</v>
      </c>
      <c r="C4503" s="158" t="s">
        <v>696</v>
      </c>
      <c r="D4503" s="159" t="str">
        <f>VLOOKUP(Sales[[#This Row],[Customer ID]],Customer[#All],2,0)</f>
        <v>Sunita Verma</v>
      </c>
      <c r="E4503" s="158" t="s">
        <v>12</v>
      </c>
      <c r="F4503" s="158" t="str">
        <f>VLOOKUP(Sales[[#This Row],[Product ID]],Product[#All],2,0)</f>
        <v>Boat Headset</v>
      </c>
      <c r="G4503" s="159">
        <v>3</v>
      </c>
      <c r="H4503" s="160">
        <f>VLOOKUP(Sales[[#This Row],[Product ID]],Product[#All],7,0)</f>
        <v>1990</v>
      </c>
      <c r="I4503" s="160">
        <f>Sales[[#This Row],[Selling Rate]]*Sales[[#This Row],[Qty]]</f>
        <v>5970</v>
      </c>
      <c r="J4503" s="43">
        <v>0.15</v>
      </c>
      <c r="K4503" s="44">
        <f>Sales[[#This Row],[Gross Amount]]*Sales[[#This Row],[Disc %]]</f>
        <v>895.5</v>
      </c>
      <c r="L4503" s="43">
        <v>0.18</v>
      </c>
      <c r="M4503" s="44">
        <f>(Sales[[#This Row],[Gross Amount]]-Sales[[#This Row],[Disc. Amt.]])*Sales[[#This Row],[GST %]]</f>
        <v>913.41</v>
      </c>
      <c r="N4503" s="161">
        <f>Sales[[#This Row],[Gross Amount]]-Sales[[#This Row],[Disc. Amt.]]+Sales[[#This Row],[GST Amount]]</f>
        <v>5987.91</v>
      </c>
      <c r="O4503" s="158" t="s">
        <v>8876</v>
      </c>
      <c r="P4503" s="158" t="s">
        <v>3562</v>
      </c>
      <c r="Q4503" s="160">
        <f>IF(Sales[[#This Row],[Status]]="Cancelled",0,Sales[[#This Row],[Qty]])</f>
        <v>3</v>
      </c>
      <c r="R4503" s="161">
        <f>IF(Sales[[#This Row],[Status]]="Cancelled",0,Sales[[#This Row],[Total Amount]])</f>
        <v>5987.91</v>
      </c>
      <c r="S4503" s="162">
        <f>SUM(Sales[Net Amount])</f>
        <v>406839287.73200053</v>
      </c>
    </row>
    <row r="4504" spans="1:19" ht="18.75" x14ac:dyDescent="0.25">
      <c r="A4504" s="163" t="s">
        <v>8184</v>
      </c>
      <c r="B4504" s="164">
        <v>45999</v>
      </c>
      <c r="C4504" s="34" t="s">
        <v>920</v>
      </c>
      <c r="D4504" s="53" t="str">
        <f>VLOOKUP(Sales[[#This Row],[Customer ID]],Customer[#All],2,0)</f>
        <v>Rakesh Sharma</v>
      </c>
      <c r="E4504" s="34" t="s">
        <v>474</v>
      </c>
      <c r="F4504" s="34" t="str">
        <f>VLOOKUP(Sales[[#This Row],[Product ID]],Product[#All],2,0)</f>
        <v>Logitech Mouse</v>
      </c>
      <c r="G4504" s="53">
        <v>4</v>
      </c>
      <c r="H4504" s="165">
        <f>VLOOKUP(Sales[[#This Row],[Product ID]],Product[#All],7,0)</f>
        <v>1320</v>
      </c>
      <c r="I4504" s="165">
        <f>Sales[[#This Row],[Selling Rate]]*Sales[[#This Row],[Qty]]</f>
        <v>5280</v>
      </c>
      <c r="J4504" s="45">
        <v>0.02</v>
      </c>
      <c r="K4504" s="46">
        <f>Sales[[#This Row],[Gross Amount]]*Sales[[#This Row],[Disc %]]</f>
        <v>105.60000000000001</v>
      </c>
      <c r="L4504" s="43">
        <v>0.18</v>
      </c>
      <c r="M4504" s="46">
        <f>(Sales[[#This Row],[Gross Amount]]-Sales[[#This Row],[Disc. Amt.]])*Sales[[#This Row],[GST %]]</f>
        <v>931.39199999999994</v>
      </c>
      <c r="N4504" s="161">
        <f>Sales[[#This Row],[Gross Amount]]-Sales[[#This Row],[Disc. Amt.]]+Sales[[#This Row],[GST Amount]]</f>
        <v>6105.7919999999995</v>
      </c>
      <c r="O4504" s="34" t="s">
        <v>3561</v>
      </c>
      <c r="P4504" s="34" t="s">
        <v>3562</v>
      </c>
      <c r="Q4504" s="165">
        <f>IF(Sales[[#This Row],[Status]]="Cancelled",0,Sales[[#This Row],[Qty]])</f>
        <v>4</v>
      </c>
      <c r="R4504" s="166">
        <f>IF(Sales[[#This Row],[Status]]="Cancelled",0,Sales[[#This Row],[Total Amount]])</f>
        <v>6105.7919999999995</v>
      </c>
      <c r="S4504" s="162">
        <f>SUM(Sales[Net Amount])</f>
        <v>406839287.73200053</v>
      </c>
    </row>
    <row r="4505" spans="1:19" ht="18.75" x14ac:dyDescent="0.25">
      <c r="A4505" s="156" t="s">
        <v>8185</v>
      </c>
      <c r="B4505" s="157">
        <v>45999</v>
      </c>
      <c r="C4505" s="158" t="s">
        <v>831</v>
      </c>
      <c r="D4505" s="159" t="str">
        <f>VLOOKUP(Sales[[#This Row],[Customer ID]],Customer[#All],2,0)</f>
        <v>Vikas Gupta</v>
      </c>
      <c r="E4505" s="158" t="s">
        <v>212</v>
      </c>
      <c r="F4505" s="158" t="str">
        <f>VLOOKUP(Sales[[#This Row],[Product ID]],Product[#All],2,0)</f>
        <v>Jbl Headset</v>
      </c>
      <c r="G4505" s="159">
        <v>1</v>
      </c>
      <c r="H4505" s="160">
        <f>VLOOKUP(Sales[[#This Row],[Product ID]],Product[#All],7,0)</f>
        <v>1230</v>
      </c>
      <c r="I4505" s="160">
        <f>Sales[[#This Row],[Selling Rate]]*Sales[[#This Row],[Qty]]</f>
        <v>1230</v>
      </c>
      <c r="J4505" s="43">
        <v>0</v>
      </c>
      <c r="K4505" s="44">
        <f>Sales[[#This Row],[Gross Amount]]*Sales[[#This Row],[Disc %]]</f>
        <v>0</v>
      </c>
      <c r="L4505" s="43">
        <v>0.18</v>
      </c>
      <c r="M4505" s="44">
        <f>(Sales[[#This Row],[Gross Amount]]-Sales[[#This Row],[Disc. Amt.]])*Sales[[#This Row],[GST %]]</f>
        <v>221.4</v>
      </c>
      <c r="N4505" s="161">
        <f>Sales[[#This Row],[Gross Amount]]-Sales[[#This Row],[Disc. Amt.]]+Sales[[#This Row],[GST Amount]]</f>
        <v>1451.4</v>
      </c>
      <c r="O4505" s="158" t="s">
        <v>3561</v>
      </c>
      <c r="P4505" s="158" t="s">
        <v>3562</v>
      </c>
      <c r="Q4505" s="160">
        <f>IF(Sales[[#This Row],[Status]]="Cancelled",0,Sales[[#This Row],[Qty]])</f>
        <v>1</v>
      </c>
      <c r="R4505" s="161">
        <f>IF(Sales[[#This Row],[Status]]="Cancelled",0,Sales[[#This Row],[Total Amount]])</f>
        <v>1451.4</v>
      </c>
      <c r="S4505" s="162">
        <f>SUM(Sales[Net Amount])</f>
        <v>406839287.73200053</v>
      </c>
    </row>
    <row r="4506" spans="1:19" ht="18.75" x14ac:dyDescent="0.25">
      <c r="A4506" s="163" t="s">
        <v>8186</v>
      </c>
      <c r="B4506" s="164">
        <v>45999</v>
      </c>
      <c r="C4506" s="34" t="s">
        <v>765</v>
      </c>
      <c r="D4506" s="53" t="str">
        <f>VLOOKUP(Sales[[#This Row],[Customer ID]],Customer[#All],2,0)</f>
        <v>Neha Gupta</v>
      </c>
      <c r="E4506" s="34" t="s">
        <v>334</v>
      </c>
      <c r="F4506" s="34" t="str">
        <f>VLOOKUP(Sales[[#This Row],[Product ID]],Product[#All],2,0)</f>
        <v>Jbl Headset</v>
      </c>
      <c r="G4506" s="53">
        <v>5</v>
      </c>
      <c r="H4506" s="165">
        <f>VLOOKUP(Sales[[#This Row],[Product ID]],Product[#All],7,0)</f>
        <v>3150</v>
      </c>
      <c r="I4506" s="165">
        <f>Sales[[#This Row],[Selling Rate]]*Sales[[#This Row],[Qty]]</f>
        <v>15750</v>
      </c>
      <c r="J4506" s="45">
        <v>0</v>
      </c>
      <c r="K4506" s="46">
        <f>Sales[[#This Row],[Gross Amount]]*Sales[[#This Row],[Disc %]]</f>
        <v>0</v>
      </c>
      <c r="L4506" s="43">
        <v>0.18</v>
      </c>
      <c r="M4506" s="46">
        <f>(Sales[[#This Row],[Gross Amount]]-Sales[[#This Row],[Disc. Amt.]])*Sales[[#This Row],[GST %]]</f>
        <v>2835</v>
      </c>
      <c r="N4506" s="161">
        <f>Sales[[#This Row],[Gross Amount]]-Sales[[#This Row],[Disc. Amt.]]+Sales[[#This Row],[GST Amount]]</f>
        <v>18585</v>
      </c>
      <c r="O4506" s="34" t="s">
        <v>3561</v>
      </c>
      <c r="P4506" s="34" t="s">
        <v>3562</v>
      </c>
      <c r="Q4506" s="165">
        <f>IF(Sales[[#This Row],[Status]]="Cancelled",0,Sales[[#This Row],[Qty]])</f>
        <v>5</v>
      </c>
      <c r="R4506" s="166">
        <f>IF(Sales[[#This Row],[Status]]="Cancelled",0,Sales[[#This Row],[Total Amount]])</f>
        <v>18585</v>
      </c>
      <c r="S4506" s="162">
        <f>SUM(Sales[Net Amount])</f>
        <v>406839287.73200053</v>
      </c>
    </row>
    <row r="4507" spans="1:19" ht="18.75" x14ac:dyDescent="0.25">
      <c r="A4507" s="156" t="s">
        <v>8187</v>
      </c>
      <c r="B4507" s="157">
        <v>45999</v>
      </c>
      <c r="C4507" s="158" t="s">
        <v>813</v>
      </c>
      <c r="D4507" s="159" t="str">
        <f>VLOOKUP(Sales[[#This Row],[Customer ID]],Customer[#All],2,0)</f>
        <v>Neha Verma</v>
      </c>
      <c r="E4507" s="158" t="s">
        <v>276</v>
      </c>
      <c r="F4507" s="158" t="str">
        <f>VLOOKUP(Sales[[#This Row],[Product ID]],Product[#All],2,0)</f>
        <v>Corsair Ram</v>
      </c>
      <c r="G4507" s="159">
        <v>2</v>
      </c>
      <c r="H4507" s="160">
        <f>VLOOKUP(Sales[[#This Row],[Product ID]],Product[#All],7,0)</f>
        <v>7140</v>
      </c>
      <c r="I4507" s="160">
        <f>Sales[[#This Row],[Selling Rate]]*Sales[[#This Row],[Qty]]</f>
        <v>14280</v>
      </c>
      <c r="J4507" s="43">
        <v>0.12</v>
      </c>
      <c r="K4507" s="44">
        <f>Sales[[#This Row],[Gross Amount]]*Sales[[#This Row],[Disc %]]</f>
        <v>1713.6</v>
      </c>
      <c r="L4507" s="43">
        <v>0.18</v>
      </c>
      <c r="M4507" s="44">
        <f>(Sales[[#This Row],[Gross Amount]]-Sales[[#This Row],[Disc. Amt.]])*Sales[[#This Row],[GST %]]</f>
        <v>2261.9519999999998</v>
      </c>
      <c r="N4507" s="161">
        <f>Sales[[#This Row],[Gross Amount]]-Sales[[#This Row],[Disc. Amt.]]+Sales[[#This Row],[GST Amount]]</f>
        <v>14828.351999999999</v>
      </c>
      <c r="O4507" s="158" t="s">
        <v>3569</v>
      </c>
      <c r="P4507" s="158" t="s">
        <v>3562</v>
      </c>
      <c r="Q4507" s="160">
        <f>IF(Sales[[#This Row],[Status]]="Cancelled",0,Sales[[#This Row],[Qty]])</f>
        <v>2</v>
      </c>
      <c r="R4507" s="161">
        <f>IF(Sales[[#This Row],[Status]]="Cancelled",0,Sales[[#This Row],[Total Amount]])</f>
        <v>14828.351999999999</v>
      </c>
      <c r="S4507" s="162">
        <f>SUM(Sales[Net Amount])</f>
        <v>406839287.73200053</v>
      </c>
    </row>
    <row r="4508" spans="1:19" ht="18.75" x14ac:dyDescent="0.25">
      <c r="A4508" s="163" t="s">
        <v>8188</v>
      </c>
      <c r="B4508" s="164">
        <v>45999</v>
      </c>
      <c r="C4508" s="34" t="s">
        <v>820</v>
      </c>
      <c r="D4508" s="53" t="str">
        <f>VLOOKUP(Sales[[#This Row],[Customer ID]],Customer[#All],2,0)</f>
        <v>Sahil Gupta</v>
      </c>
      <c r="E4508" s="34" t="s">
        <v>51</v>
      </c>
      <c r="F4508" s="34" t="str">
        <f>VLOOKUP(Sales[[#This Row],[Product ID]],Product[#All],2,0)</f>
        <v>Boat Speaker</v>
      </c>
      <c r="G4508" s="53">
        <v>8</v>
      </c>
      <c r="H4508" s="165">
        <f>VLOOKUP(Sales[[#This Row],[Product ID]],Product[#All],7,0)</f>
        <v>4730</v>
      </c>
      <c r="I4508" s="165">
        <f>Sales[[#This Row],[Selling Rate]]*Sales[[#This Row],[Qty]]</f>
        <v>37840</v>
      </c>
      <c r="J4508" s="45">
        <v>0.12</v>
      </c>
      <c r="K4508" s="46">
        <f>Sales[[#This Row],[Gross Amount]]*Sales[[#This Row],[Disc %]]</f>
        <v>4540.8</v>
      </c>
      <c r="L4508" s="43">
        <v>0.18</v>
      </c>
      <c r="M4508" s="46">
        <f>(Sales[[#This Row],[Gross Amount]]-Sales[[#This Row],[Disc. Amt.]])*Sales[[#This Row],[GST %]]</f>
        <v>5993.8559999999989</v>
      </c>
      <c r="N4508" s="161">
        <f>Sales[[#This Row],[Gross Amount]]-Sales[[#This Row],[Disc. Amt.]]+Sales[[#This Row],[GST Amount]]</f>
        <v>39293.055999999997</v>
      </c>
      <c r="O4508" s="34" t="s">
        <v>8876</v>
      </c>
      <c r="P4508" s="34" t="s">
        <v>3562</v>
      </c>
      <c r="Q4508" s="165">
        <f>IF(Sales[[#This Row],[Status]]="Cancelled",0,Sales[[#This Row],[Qty]])</f>
        <v>8</v>
      </c>
      <c r="R4508" s="166">
        <f>IF(Sales[[#This Row],[Status]]="Cancelled",0,Sales[[#This Row],[Total Amount]])</f>
        <v>39293.055999999997</v>
      </c>
      <c r="S4508" s="162">
        <f>SUM(Sales[Net Amount])</f>
        <v>406839287.73200053</v>
      </c>
    </row>
    <row r="4509" spans="1:19" ht="18.75" x14ac:dyDescent="0.25">
      <c r="A4509" s="156" t="s">
        <v>8189</v>
      </c>
      <c r="B4509" s="157">
        <v>45999</v>
      </c>
      <c r="C4509" s="158" t="s">
        <v>931</v>
      </c>
      <c r="D4509" s="159" t="str">
        <f>VLOOKUP(Sales[[#This Row],[Customer ID]],Customer[#All],2,0)</f>
        <v>Sahil Patel</v>
      </c>
      <c r="E4509" s="158" t="s">
        <v>136</v>
      </c>
      <c r="F4509" s="158" t="str">
        <f>VLOOKUP(Sales[[#This Row],[Product ID]],Product[#All],2,0)</f>
        <v>HP Laptop</v>
      </c>
      <c r="G4509" s="159">
        <v>6</v>
      </c>
      <c r="H4509" s="160">
        <f>VLOOKUP(Sales[[#This Row],[Product ID]],Product[#All],7,0)</f>
        <v>33050</v>
      </c>
      <c r="I4509" s="160">
        <f>Sales[[#This Row],[Selling Rate]]*Sales[[#This Row],[Qty]]</f>
        <v>198300</v>
      </c>
      <c r="J4509" s="43">
        <v>0.12</v>
      </c>
      <c r="K4509" s="44">
        <f>Sales[[#This Row],[Gross Amount]]*Sales[[#This Row],[Disc %]]</f>
        <v>23796</v>
      </c>
      <c r="L4509" s="43">
        <v>0.18</v>
      </c>
      <c r="M4509" s="44">
        <f>(Sales[[#This Row],[Gross Amount]]-Sales[[#This Row],[Disc. Amt.]])*Sales[[#This Row],[GST %]]</f>
        <v>31410.719999999998</v>
      </c>
      <c r="N4509" s="161">
        <f>Sales[[#This Row],[Gross Amount]]-Sales[[#This Row],[Disc. Amt.]]+Sales[[#This Row],[GST Amount]]</f>
        <v>205914.72</v>
      </c>
      <c r="O4509" s="158" t="s">
        <v>3561</v>
      </c>
      <c r="P4509" s="158" t="s">
        <v>3562</v>
      </c>
      <c r="Q4509" s="160">
        <f>IF(Sales[[#This Row],[Status]]="Cancelled",0,Sales[[#This Row],[Qty]])</f>
        <v>6</v>
      </c>
      <c r="R4509" s="161">
        <f>IF(Sales[[#This Row],[Status]]="Cancelled",0,Sales[[#This Row],[Total Amount]])</f>
        <v>205914.72</v>
      </c>
      <c r="S4509" s="162">
        <f>SUM(Sales[Net Amount])</f>
        <v>406839287.73200053</v>
      </c>
    </row>
    <row r="4510" spans="1:19" ht="18.75" x14ac:dyDescent="0.25">
      <c r="A4510" s="163" t="s">
        <v>8190</v>
      </c>
      <c r="B4510" s="164">
        <v>45999</v>
      </c>
      <c r="C4510" s="34" t="s">
        <v>882</v>
      </c>
      <c r="D4510" s="53" t="str">
        <f>VLOOKUP(Sales[[#This Row],[Customer ID]],Customer[#All],2,0)</f>
        <v>Rahul Sharma</v>
      </c>
      <c r="E4510" s="34" t="s">
        <v>252</v>
      </c>
      <c r="F4510" s="34" t="str">
        <f>VLOOKUP(Sales[[#This Row],[Product ID]],Product[#All],2,0)</f>
        <v>Dell Laptop</v>
      </c>
      <c r="G4510" s="53">
        <v>2</v>
      </c>
      <c r="H4510" s="165">
        <f>VLOOKUP(Sales[[#This Row],[Product ID]],Product[#All],7,0)</f>
        <v>61580</v>
      </c>
      <c r="I4510" s="165">
        <f>Sales[[#This Row],[Selling Rate]]*Sales[[#This Row],[Qty]]</f>
        <v>123160</v>
      </c>
      <c r="J4510" s="45">
        <v>0.15</v>
      </c>
      <c r="K4510" s="46">
        <f>Sales[[#This Row],[Gross Amount]]*Sales[[#This Row],[Disc %]]</f>
        <v>18474</v>
      </c>
      <c r="L4510" s="43">
        <v>0.18</v>
      </c>
      <c r="M4510" s="46">
        <f>(Sales[[#This Row],[Gross Amount]]-Sales[[#This Row],[Disc. Amt.]])*Sales[[#This Row],[GST %]]</f>
        <v>18843.48</v>
      </c>
      <c r="N4510" s="161">
        <f>Sales[[#This Row],[Gross Amount]]-Sales[[#This Row],[Disc. Amt.]]+Sales[[#This Row],[GST Amount]]</f>
        <v>123529.48</v>
      </c>
      <c r="O4510" s="34" t="s">
        <v>3569</v>
      </c>
      <c r="P4510" s="34" t="s">
        <v>3562</v>
      </c>
      <c r="Q4510" s="165">
        <f>IF(Sales[[#This Row],[Status]]="Cancelled",0,Sales[[#This Row],[Qty]])</f>
        <v>2</v>
      </c>
      <c r="R4510" s="166">
        <f>IF(Sales[[#This Row],[Status]]="Cancelled",0,Sales[[#This Row],[Total Amount]])</f>
        <v>123529.48</v>
      </c>
      <c r="S4510" s="162">
        <f>SUM(Sales[Net Amount])</f>
        <v>406839287.73200053</v>
      </c>
    </row>
    <row r="4511" spans="1:19" ht="18.75" x14ac:dyDescent="0.25">
      <c r="A4511" s="156" t="s">
        <v>8191</v>
      </c>
      <c r="B4511" s="157">
        <v>45999</v>
      </c>
      <c r="C4511" s="158" t="s">
        <v>796</v>
      </c>
      <c r="D4511" s="159" t="str">
        <f>VLOOKUP(Sales[[#This Row],[Customer ID]],Customer[#All],2,0)</f>
        <v>Rahul Verma</v>
      </c>
      <c r="E4511" s="158" t="s">
        <v>505</v>
      </c>
      <c r="F4511" s="158" t="str">
        <f>VLOOKUP(Sales[[#This Row],[Product ID]],Product[#All],2,0)</f>
        <v>Dell Monitor</v>
      </c>
      <c r="G4511" s="159">
        <v>8</v>
      </c>
      <c r="H4511" s="160">
        <f>VLOOKUP(Sales[[#This Row],[Product ID]],Product[#All],7,0)</f>
        <v>12790</v>
      </c>
      <c r="I4511" s="160">
        <f>Sales[[#This Row],[Selling Rate]]*Sales[[#This Row],[Qty]]</f>
        <v>102320</v>
      </c>
      <c r="J4511" s="43">
        <v>0.02</v>
      </c>
      <c r="K4511" s="44">
        <f>Sales[[#This Row],[Gross Amount]]*Sales[[#This Row],[Disc %]]</f>
        <v>2046.4</v>
      </c>
      <c r="L4511" s="43">
        <v>0.18</v>
      </c>
      <c r="M4511" s="44">
        <f>(Sales[[#This Row],[Gross Amount]]-Sales[[#This Row],[Disc. Amt.]])*Sales[[#This Row],[GST %]]</f>
        <v>18049.248</v>
      </c>
      <c r="N4511" s="161">
        <f>Sales[[#This Row],[Gross Amount]]-Sales[[#This Row],[Disc. Amt.]]+Sales[[#This Row],[GST Amount]]</f>
        <v>118322.848</v>
      </c>
      <c r="O4511" s="158" t="s">
        <v>3569</v>
      </c>
      <c r="P4511" s="158" t="s">
        <v>1040</v>
      </c>
      <c r="Q4511" s="160">
        <f>IF(Sales[[#This Row],[Status]]="Cancelled",0,Sales[[#This Row],[Qty]])</f>
        <v>0</v>
      </c>
      <c r="R4511" s="161">
        <f>IF(Sales[[#This Row],[Status]]="Cancelled",0,Sales[[#This Row],[Total Amount]])</f>
        <v>0</v>
      </c>
      <c r="S4511" s="162">
        <f>SUM(Sales[Net Amount])</f>
        <v>406839287.73200053</v>
      </c>
    </row>
    <row r="4512" spans="1:19" ht="18.75" x14ac:dyDescent="0.25">
      <c r="A4512" s="163" t="s">
        <v>8192</v>
      </c>
      <c r="B4512" s="164">
        <v>45999</v>
      </c>
      <c r="C4512" s="34" t="s">
        <v>721</v>
      </c>
      <c r="D4512" s="53" t="str">
        <f>VLOOKUP(Sales[[#This Row],[Customer ID]],Customer[#All],2,0)</f>
        <v>Sahil Sharma</v>
      </c>
      <c r="E4512" s="34" t="s">
        <v>512</v>
      </c>
      <c r="F4512" s="34" t="str">
        <f>VLOOKUP(Sales[[#This Row],[Product ID]],Product[#All],2,0)</f>
        <v>Logitech Webcam</v>
      </c>
      <c r="G4512" s="53">
        <v>5</v>
      </c>
      <c r="H4512" s="165">
        <f>VLOOKUP(Sales[[#This Row],[Product ID]],Product[#All],7,0)</f>
        <v>5800</v>
      </c>
      <c r="I4512" s="165">
        <f>Sales[[#This Row],[Selling Rate]]*Sales[[#This Row],[Qty]]</f>
        <v>29000</v>
      </c>
      <c r="J4512" s="45">
        <v>0.05</v>
      </c>
      <c r="K4512" s="46">
        <f>Sales[[#This Row],[Gross Amount]]*Sales[[#This Row],[Disc %]]</f>
        <v>1450</v>
      </c>
      <c r="L4512" s="43">
        <v>0.18</v>
      </c>
      <c r="M4512" s="46">
        <f>(Sales[[#This Row],[Gross Amount]]-Sales[[#This Row],[Disc. Amt.]])*Sales[[#This Row],[GST %]]</f>
        <v>4959</v>
      </c>
      <c r="N4512" s="161">
        <f>Sales[[#This Row],[Gross Amount]]-Sales[[#This Row],[Disc. Amt.]]+Sales[[#This Row],[GST Amount]]</f>
        <v>32509</v>
      </c>
      <c r="O4512" s="34" t="s">
        <v>3561</v>
      </c>
      <c r="P4512" s="34" t="s">
        <v>3562</v>
      </c>
      <c r="Q4512" s="165">
        <f>IF(Sales[[#This Row],[Status]]="Cancelled",0,Sales[[#This Row],[Qty]])</f>
        <v>5</v>
      </c>
      <c r="R4512" s="166">
        <f>IF(Sales[[#This Row],[Status]]="Cancelled",0,Sales[[#This Row],[Total Amount]])</f>
        <v>32509</v>
      </c>
      <c r="S4512" s="162">
        <f>SUM(Sales[Net Amount])</f>
        <v>406839287.73200053</v>
      </c>
    </row>
    <row r="4513" spans="1:19" ht="18.75" x14ac:dyDescent="0.25">
      <c r="A4513" s="156" t="s">
        <v>8193</v>
      </c>
      <c r="B4513" s="157">
        <v>45999</v>
      </c>
      <c r="C4513" s="158" t="s">
        <v>724</v>
      </c>
      <c r="D4513" s="159" t="str">
        <f>VLOOKUP(Sales[[#This Row],[Customer ID]],Customer[#All],2,0)</f>
        <v>Sunita Sharma</v>
      </c>
      <c r="E4513" s="158" t="s">
        <v>236</v>
      </c>
      <c r="F4513" s="158" t="str">
        <f>VLOOKUP(Sales[[#This Row],[Product ID]],Product[#All],2,0)</f>
        <v>Dell Desktop</v>
      </c>
      <c r="G4513" s="159">
        <v>6</v>
      </c>
      <c r="H4513" s="160">
        <f>VLOOKUP(Sales[[#This Row],[Product ID]],Product[#All],7,0)</f>
        <v>50050</v>
      </c>
      <c r="I4513" s="160">
        <f>Sales[[#This Row],[Selling Rate]]*Sales[[#This Row],[Qty]]</f>
        <v>300300</v>
      </c>
      <c r="J4513" s="43">
        <v>0.15</v>
      </c>
      <c r="K4513" s="44">
        <f>Sales[[#This Row],[Gross Amount]]*Sales[[#This Row],[Disc %]]</f>
        <v>45045</v>
      </c>
      <c r="L4513" s="43">
        <v>0.18</v>
      </c>
      <c r="M4513" s="44">
        <f>(Sales[[#This Row],[Gross Amount]]-Sales[[#This Row],[Disc. Amt.]])*Sales[[#This Row],[GST %]]</f>
        <v>45945.9</v>
      </c>
      <c r="N4513" s="161">
        <f>Sales[[#This Row],[Gross Amount]]-Sales[[#This Row],[Disc. Amt.]]+Sales[[#This Row],[GST Amount]]</f>
        <v>301200.90000000002</v>
      </c>
      <c r="O4513" s="158" t="s">
        <v>3561</v>
      </c>
      <c r="P4513" s="158" t="s">
        <v>3562</v>
      </c>
      <c r="Q4513" s="160">
        <f>IF(Sales[[#This Row],[Status]]="Cancelled",0,Sales[[#This Row],[Qty]])</f>
        <v>6</v>
      </c>
      <c r="R4513" s="161">
        <f>IF(Sales[[#This Row],[Status]]="Cancelled",0,Sales[[#This Row],[Total Amount]])</f>
        <v>301200.90000000002</v>
      </c>
      <c r="S4513" s="162">
        <f>SUM(Sales[Net Amount])</f>
        <v>406839287.73200053</v>
      </c>
    </row>
    <row r="4514" spans="1:19" ht="18.75" x14ac:dyDescent="0.25">
      <c r="A4514" s="163" t="s">
        <v>8194</v>
      </c>
      <c r="B4514" s="164">
        <v>45999</v>
      </c>
      <c r="C4514" s="34" t="s">
        <v>746</v>
      </c>
      <c r="D4514" s="53" t="str">
        <f>VLOOKUP(Sales[[#This Row],[Customer ID]],Customer[#All],2,0)</f>
        <v>Sunita Kumar</v>
      </c>
      <c r="E4514" s="34" t="s">
        <v>46</v>
      </c>
      <c r="F4514" s="34" t="str">
        <f>VLOOKUP(Sales[[#This Row],[Product ID]],Product[#All],2,0)</f>
        <v>HP Printer</v>
      </c>
      <c r="G4514" s="53">
        <v>8</v>
      </c>
      <c r="H4514" s="165">
        <f>VLOOKUP(Sales[[#This Row],[Product ID]],Product[#All],7,0)</f>
        <v>35170</v>
      </c>
      <c r="I4514" s="165">
        <f>Sales[[#This Row],[Selling Rate]]*Sales[[#This Row],[Qty]]</f>
        <v>281360</v>
      </c>
      <c r="J4514" s="45">
        <v>0.12</v>
      </c>
      <c r="K4514" s="46">
        <f>Sales[[#This Row],[Gross Amount]]*Sales[[#This Row],[Disc %]]</f>
        <v>33763.199999999997</v>
      </c>
      <c r="L4514" s="43">
        <v>0.18</v>
      </c>
      <c r="M4514" s="46">
        <f>(Sales[[#This Row],[Gross Amount]]-Sales[[#This Row],[Disc. Amt.]])*Sales[[#This Row],[GST %]]</f>
        <v>44567.423999999999</v>
      </c>
      <c r="N4514" s="161">
        <f>Sales[[#This Row],[Gross Amount]]-Sales[[#This Row],[Disc. Amt.]]+Sales[[#This Row],[GST Amount]]</f>
        <v>292164.22399999999</v>
      </c>
      <c r="O4514" s="34" t="s">
        <v>3566</v>
      </c>
      <c r="P4514" s="34" t="s">
        <v>3562</v>
      </c>
      <c r="Q4514" s="165">
        <f>IF(Sales[[#This Row],[Status]]="Cancelled",0,Sales[[#This Row],[Qty]])</f>
        <v>8</v>
      </c>
      <c r="R4514" s="166">
        <f>IF(Sales[[#This Row],[Status]]="Cancelled",0,Sales[[#This Row],[Total Amount]])</f>
        <v>292164.22399999999</v>
      </c>
      <c r="S4514" s="162">
        <f>SUM(Sales[Net Amount])</f>
        <v>406839287.73200053</v>
      </c>
    </row>
    <row r="4515" spans="1:19" ht="18.75" x14ac:dyDescent="0.25">
      <c r="A4515" s="156" t="s">
        <v>8195</v>
      </c>
      <c r="B4515" s="157">
        <v>45999</v>
      </c>
      <c r="C4515" s="158" t="s">
        <v>4568</v>
      </c>
      <c r="D4515" s="159" t="str">
        <f>VLOOKUP(Sales[[#This Row],[Customer ID]],Customer[#All],2,0)</f>
        <v>Pooja Patel</v>
      </c>
      <c r="E4515" s="158" t="s">
        <v>362</v>
      </c>
      <c r="F4515" s="158" t="str">
        <f>VLOOKUP(Sales[[#This Row],[Product ID]],Product[#All],2,0)</f>
        <v>Dell Power Adapter</v>
      </c>
      <c r="G4515" s="159">
        <v>3</v>
      </c>
      <c r="H4515" s="160">
        <f>VLOOKUP(Sales[[#This Row],[Product ID]],Product[#All],7,0)</f>
        <v>4050</v>
      </c>
      <c r="I4515" s="160">
        <f>Sales[[#This Row],[Selling Rate]]*Sales[[#This Row],[Qty]]</f>
        <v>12150</v>
      </c>
      <c r="J4515" s="43">
        <v>0.1</v>
      </c>
      <c r="K4515" s="44">
        <f>Sales[[#This Row],[Gross Amount]]*Sales[[#This Row],[Disc %]]</f>
        <v>1215</v>
      </c>
      <c r="L4515" s="43">
        <v>0.18</v>
      </c>
      <c r="M4515" s="44">
        <f>(Sales[[#This Row],[Gross Amount]]-Sales[[#This Row],[Disc. Amt.]])*Sales[[#This Row],[GST %]]</f>
        <v>1968.3</v>
      </c>
      <c r="N4515" s="161">
        <f>Sales[[#This Row],[Gross Amount]]-Sales[[#This Row],[Disc. Amt.]]+Sales[[#This Row],[GST Amount]]</f>
        <v>12903.3</v>
      </c>
      <c r="O4515" s="158" t="s">
        <v>3569</v>
      </c>
      <c r="P4515" s="158" t="s">
        <v>3562</v>
      </c>
      <c r="Q4515" s="160">
        <f>IF(Sales[[#This Row],[Status]]="Cancelled",0,Sales[[#This Row],[Qty]])</f>
        <v>3</v>
      </c>
      <c r="R4515" s="161">
        <f>IF(Sales[[#This Row],[Status]]="Cancelled",0,Sales[[#This Row],[Total Amount]])</f>
        <v>12903.3</v>
      </c>
      <c r="S4515" s="162">
        <f>SUM(Sales[Net Amount])</f>
        <v>406839287.73200053</v>
      </c>
    </row>
    <row r="4516" spans="1:19" ht="18.75" x14ac:dyDescent="0.25">
      <c r="A4516" s="163" t="s">
        <v>8196</v>
      </c>
      <c r="B4516" s="164">
        <v>45999</v>
      </c>
      <c r="C4516" s="34" t="s">
        <v>757</v>
      </c>
      <c r="D4516" s="53" t="str">
        <f>VLOOKUP(Sales[[#This Row],[Customer ID]],Customer[#All],2,0)</f>
        <v>Amit Singh</v>
      </c>
      <c r="E4516" s="34" t="s">
        <v>500</v>
      </c>
      <c r="F4516" s="34" t="str">
        <f>VLOOKUP(Sales[[#This Row],[Product ID]],Product[#All],2,0)</f>
        <v>HP Power Adapter</v>
      </c>
      <c r="G4516" s="53">
        <v>8</v>
      </c>
      <c r="H4516" s="165">
        <f>VLOOKUP(Sales[[#This Row],[Product ID]],Product[#All],7,0)</f>
        <v>3160</v>
      </c>
      <c r="I4516" s="165">
        <f>Sales[[#This Row],[Selling Rate]]*Sales[[#This Row],[Qty]]</f>
        <v>25280</v>
      </c>
      <c r="J4516" s="45">
        <v>0.12</v>
      </c>
      <c r="K4516" s="46">
        <f>Sales[[#This Row],[Gross Amount]]*Sales[[#This Row],[Disc %]]</f>
        <v>3033.6</v>
      </c>
      <c r="L4516" s="43">
        <v>0.18</v>
      </c>
      <c r="M4516" s="46">
        <f>(Sales[[#This Row],[Gross Amount]]-Sales[[#This Row],[Disc. Amt.]])*Sales[[#This Row],[GST %]]</f>
        <v>4004.3520000000003</v>
      </c>
      <c r="N4516" s="161">
        <f>Sales[[#This Row],[Gross Amount]]-Sales[[#This Row],[Disc. Amt.]]+Sales[[#This Row],[GST Amount]]</f>
        <v>26250.752</v>
      </c>
      <c r="O4516" s="34" t="s">
        <v>3569</v>
      </c>
      <c r="P4516" s="34" t="s">
        <v>3562</v>
      </c>
      <c r="Q4516" s="165">
        <f>IF(Sales[[#This Row],[Status]]="Cancelled",0,Sales[[#This Row],[Qty]])</f>
        <v>8</v>
      </c>
      <c r="R4516" s="166">
        <f>IF(Sales[[#This Row],[Status]]="Cancelled",0,Sales[[#This Row],[Total Amount]])</f>
        <v>26250.752</v>
      </c>
      <c r="S4516" s="162">
        <f>SUM(Sales[Net Amount])</f>
        <v>406839287.73200053</v>
      </c>
    </row>
    <row r="4517" spans="1:19" ht="18.75" x14ac:dyDescent="0.25">
      <c r="A4517" s="156" t="s">
        <v>8197</v>
      </c>
      <c r="B4517" s="157">
        <v>45999</v>
      </c>
      <c r="C4517" s="158" t="s">
        <v>656</v>
      </c>
      <c r="D4517" s="159" t="str">
        <f>VLOOKUP(Sales[[#This Row],[Customer ID]],Customer[#All],2,0)</f>
        <v>Rahul Kumar</v>
      </c>
      <c r="E4517" s="158" t="s">
        <v>337</v>
      </c>
      <c r="F4517" s="158" t="str">
        <f>VLOOKUP(Sales[[#This Row],[Product ID]],Product[#All],2,0)</f>
        <v>Corsair Ram</v>
      </c>
      <c r="G4517" s="159">
        <v>6</v>
      </c>
      <c r="H4517" s="160">
        <f>VLOOKUP(Sales[[#This Row],[Product ID]],Product[#All],7,0)</f>
        <v>10500</v>
      </c>
      <c r="I4517" s="160">
        <f>Sales[[#This Row],[Selling Rate]]*Sales[[#This Row],[Qty]]</f>
        <v>63000</v>
      </c>
      <c r="J4517" s="43">
        <v>0.1</v>
      </c>
      <c r="K4517" s="44">
        <f>Sales[[#This Row],[Gross Amount]]*Sales[[#This Row],[Disc %]]</f>
        <v>6300</v>
      </c>
      <c r="L4517" s="43">
        <v>0.18</v>
      </c>
      <c r="M4517" s="44">
        <f>(Sales[[#This Row],[Gross Amount]]-Sales[[#This Row],[Disc. Amt.]])*Sales[[#This Row],[GST %]]</f>
        <v>10206</v>
      </c>
      <c r="N4517" s="161">
        <f>Sales[[#This Row],[Gross Amount]]-Sales[[#This Row],[Disc. Amt.]]+Sales[[#This Row],[GST Amount]]</f>
        <v>66906</v>
      </c>
      <c r="O4517" s="158" t="s">
        <v>8876</v>
      </c>
      <c r="P4517" s="158" t="s">
        <v>3562</v>
      </c>
      <c r="Q4517" s="160">
        <f>IF(Sales[[#This Row],[Status]]="Cancelled",0,Sales[[#This Row],[Qty]])</f>
        <v>6</v>
      </c>
      <c r="R4517" s="161">
        <f>IF(Sales[[#This Row],[Status]]="Cancelled",0,Sales[[#This Row],[Total Amount]])</f>
        <v>66906</v>
      </c>
      <c r="S4517" s="162">
        <f>SUM(Sales[Net Amount])</f>
        <v>406839287.73200053</v>
      </c>
    </row>
    <row r="4518" spans="1:19" ht="18.75" x14ac:dyDescent="0.25">
      <c r="A4518" s="163" t="s">
        <v>8198</v>
      </c>
      <c r="B4518" s="164">
        <v>45999</v>
      </c>
      <c r="C4518" s="34" t="s">
        <v>760</v>
      </c>
      <c r="D4518" s="53" t="str">
        <f>VLOOKUP(Sales[[#This Row],[Customer ID]],Customer[#All],2,0)</f>
        <v>Pooja Singh</v>
      </c>
      <c r="E4518" s="34" t="s">
        <v>547</v>
      </c>
      <c r="F4518" s="34" t="str">
        <f>VLOOKUP(Sales[[#This Row],[Product ID]],Product[#All],2,0)</f>
        <v>Samsung Monitor</v>
      </c>
      <c r="G4518" s="53">
        <v>1</v>
      </c>
      <c r="H4518" s="165">
        <f>VLOOKUP(Sales[[#This Row],[Product ID]],Product[#All],7,0)</f>
        <v>33340</v>
      </c>
      <c r="I4518" s="165">
        <f>Sales[[#This Row],[Selling Rate]]*Sales[[#This Row],[Qty]]</f>
        <v>33340</v>
      </c>
      <c r="J4518" s="45">
        <v>0.12</v>
      </c>
      <c r="K4518" s="46">
        <f>Sales[[#This Row],[Gross Amount]]*Sales[[#This Row],[Disc %]]</f>
        <v>4000.7999999999997</v>
      </c>
      <c r="L4518" s="43">
        <v>0.18</v>
      </c>
      <c r="M4518" s="46">
        <f>(Sales[[#This Row],[Gross Amount]]-Sales[[#This Row],[Disc. Amt.]])*Sales[[#This Row],[GST %]]</f>
        <v>5281.0559999999996</v>
      </c>
      <c r="N4518" s="161">
        <f>Sales[[#This Row],[Gross Amount]]-Sales[[#This Row],[Disc. Amt.]]+Sales[[#This Row],[GST Amount]]</f>
        <v>34620.256000000001</v>
      </c>
      <c r="O4518" s="34" t="s">
        <v>3566</v>
      </c>
      <c r="P4518" s="34" t="s">
        <v>3562</v>
      </c>
      <c r="Q4518" s="165">
        <f>IF(Sales[[#This Row],[Status]]="Cancelled",0,Sales[[#This Row],[Qty]])</f>
        <v>1</v>
      </c>
      <c r="R4518" s="166">
        <f>IF(Sales[[#This Row],[Status]]="Cancelled",0,Sales[[#This Row],[Total Amount]])</f>
        <v>34620.256000000001</v>
      </c>
      <c r="S4518" s="162">
        <f>SUM(Sales[Net Amount])</f>
        <v>406839287.73200053</v>
      </c>
    </row>
    <row r="4519" spans="1:19" ht="18.75" x14ac:dyDescent="0.25">
      <c r="A4519" s="156" t="s">
        <v>8199</v>
      </c>
      <c r="B4519" s="157">
        <v>46000</v>
      </c>
      <c r="C4519" s="158" t="s">
        <v>665</v>
      </c>
      <c r="D4519" s="159" t="str">
        <f>VLOOKUP(Sales[[#This Row],[Customer ID]],Customer[#All],2,0)</f>
        <v>Vikas Sharma</v>
      </c>
      <c r="E4519" s="158" t="s">
        <v>255</v>
      </c>
      <c r="F4519" s="158" t="str">
        <f>VLOOKUP(Sales[[#This Row],[Product ID]],Product[#All],2,0)</f>
        <v>Acer Laptop</v>
      </c>
      <c r="G4519" s="159">
        <v>5</v>
      </c>
      <c r="H4519" s="160">
        <f>VLOOKUP(Sales[[#This Row],[Product ID]],Product[#All],7,0)</f>
        <v>62430</v>
      </c>
      <c r="I4519" s="160">
        <f>Sales[[#This Row],[Selling Rate]]*Sales[[#This Row],[Qty]]</f>
        <v>312150</v>
      </c>
      <c r="J4519" s="43">
        <v>0</v>
      </c>
      <c r="K4519" s="44">
        <f>Sales[[#This Row],[Gross Amount]]*Sales[[#This Row],[Disc %]]</f>
        <v>0</v>
      </c>
      <c r="L4519" s="43">
        <v>0.18</v>
      </c>
      <c r="M4519" s="44">
        <f>(Sales[[#This Row],[Gross Amount]]-Sales[[#This Row],[Disc. Amt.]])*Sales[[#This Row],[GST %]]</f>
        <v>56187</v>
      </c>
      <c r="N4519" s="161">
        <f>Sales[[#This Row],[Gross Amount]]-Sales[[#This Row],[Disc. Amt.]]+Sales[[#This Row],[GST Amount]]</f>
        <v>368337</v>
      </c>
      <c r="O4519" s="158" t="s">
        <v>3561</v>
      </c>
      <c r="P4519" s="158" t="s">
        <v>3562</v>
      </c>
      <c r="Q4519" s="160">
        <f>IF(Sales[[#This Row],[Status]]="Cancelled",0,Sales[[#This Row],[Qty]])</f>
        <v>5</v>
      </c>
      <c r="R4519" s="161">
        <f>IF(Sales[[#This Row],[Status]]="Cancelled",0,Sales[[#This Row],[Total Amount]])</f>
        <v>368337</v>
      </c>
      <c r="S4519" s="162">
        <f>SUM(Sales[Net Amount])</f>
        <v>406839287.73200053</v>
      </c>
    </row>
    <row r="4520" spans="1:19" ht="18.75" x14ac:dyDescent="0.25">
      <c r="A4520" s="163" t="s">
        <v>8200</v>
      </c>
      <c r="B4520" s="164">
        <v>46000</v>
      </c>
      <c r="C4520" s="34" t="s">
        <v>830</v>
      </c>
      <c r="D4520" s="53" t="str">
        <f>VLOOKUP(Sales[[#This Row],[Customer ID]],Customer[#All],2,0)</f>
        <v>Rakesh Singh</v>
      </c>
      <c r="E4520" s="34" t="s">
        <v>387</v>
      </c>
      <c r="F4520" s="34" t="str">
        <f>VLOOKUP(Sales[[#This Row],[Product ID]],Product[#All],2,0)</f>
        <v>HP Printer</v>
      </c>
      <c r="G4520" s="53">
        <v>8</v>
      </c>
      <c r="H4520" s="165">
        <f>VLOOKUP(Sales[[#This Row],[Product ID]],Product[#All],7,0)</f>
        <v>14390</v>
      </c>
      <c r="I4520" s="165">
        <f>Sales[[#This Row],[Selling Rate]]*Sales[[#This Row],[Qty]]</f>
        <v>115120</v>
      </c>
      <c r="J4520" s="45">
        <v>0.1</v>
      </c>
      <c r="K4520" s="46">
        <f>Sales[[#This Row],[Gross Amount]]*Sales[[#This Row],[Disc %]]</f>
        <v>11512</v>
      </c>
      <c r="L4520" s="43">
        <v>0.18</v>
      </c>
      <c r="M4520" s="46">
        <f>(Sales[[#This Row],[Gross Amount]]-Sales[[#This Row],[Disc. Amt.]])*Sales[[#This Row],[GST %]]</f>
        <v>18649.439999999999</v>
      </c>
      <c r="N4520" s="161">
        <f>Sales[[#This Row],[Gross Amount]]-Sales[[#This Row],[Disc. Amt.]]+Sales[[#This Row],[GST Amount]]</f>
        <v>122257.44</v>
      </c>
      <c r="O4520" s="34" t="s">
        <v>8876</v>
      </c>
      <c r="P4520" s="34" t="s">
        <v>3562</v>
      </c>
      <c r="Q4520" s="165">
        <f>IF(Sales[[#This Row],[Status]]="Cancelled",0,Sales[[#This Row],[Qty]])</f>
        <v>8</v>
      </c>
      <c r="R4520" s="166">
        <f>IF(Sales[[#This Row],[Status]]="Cancelled",0,Sales[[#This Row],[Total Amount]])</f>
        <v>122257.44</v>
      </c>
      <c r="S4520" s="162">
        <f>SUM(Sales[Net Amount])</f>
        <v>406839287.73200053</v>
      </c>
    </row>
    <row r="4521" spans="1:19" ht="18.75" x14ac:dyDescent="0.25">
      <c r="A4521" s="156" t="s">
        <v>8201</v>
      </c>
      <c r="B4521" s="157">
        <v>46000</v>
      </c>
      <c r="C4521" s="158" t="s">
        <v>651</v>
      </c>
      <c r="D4521" s="159" t="str">
        <f>VLOOKUP(Sales[[#This Row],[Customer ID]],Customer[#All],2,0)</f>
        <v>Sahil Verma</v>
      </c>
      <c r="E4521" s="158" t="s">
        <v>274</v>
      </c>
      <c r="F4521" s="158" t="str">
        <f>VLOOKUP(Sales[[#This Row],[Product ID]],Product[#All],2,0)</f>
        <v>Dell Desktop</v>
      </c>
      <c r="G4521" s="159">
        <v>2</v>
      </c>
      <c r="H4521" s="160">
        <f>VLOOKUP(Sales[[#This Row],[Product ID]],Product[#All],7,0)</f>
        <v>54540</v>
      </c>
      <c r="I4521" s="160">
        <f>Sales[[#This Row],[Selling Rate]]*Sales[[#This Row],[Qty]]</f>
        <v>109080</v>
      </c>
      <c r="J4521" s="43">
        <v>0</v>
      </c>
      <c r="K4521" s="44">
        <f>Sales[[#This Row],[Gross Amount]]*Sales[[#This Row],[Disc %]]</f>
        <v>0</v>
      </c>
      <c r="L4521" s="43">
        <v>0.18</v>
      </c>
      <c r="M4521" s="44">
        <f>(Sales[[#This Row],[Gross Amount]]-Sales[[#This Row],[Disc. Amt.]])*Sales[[#This Row],[GST %]]</f>
        <v>19634.399999999998</v>
      </c>
      <c r="N4521" s="161">
        <f>Sales[[#This Row],[Gross Amount]]-Sales[[#This Row],[Disc. Amt.]]+Sales[[#This Row],[GST Amount]]</f>
        <v>128714.4</v>
      </c>
      <c r="O4521" s="158" t="s">
        <v>3566</v>
      </c>
      <c r="P4521" s="158" t="s">
        <v>3562</v>
      </c>
      <c r="Q4521" s="160">
        <f>IF(Sales[[#This Row],[Status]]="Cancelled",0,Sales[[#This Row],[Qty]])</f>
        <v>2</v>
      </c>
      <c r="R4521" s="161">
        <f>IF(Sales[[#This Row],[Status]]="Cancelled",0,Sales[[#This Row],[Total Amount]])</f>
        <v>128714.4</v>
      </c>
      <c r="S4521" s="162">
        <f>SUM(Sales[Net Amount])</f>
        <v>406839287.73200053</v>
      </c>
    </row>
    <row r="4522" spans="1:19" ht="18.75" x14ac:dyDescent="0.25">
      <c r="A4522" s="163" t="s">
        <v>8202</v>
      </c>
      <c r="B4522" s="164">
        <v>46000</v>
      </c>
      <c r="C4522" s="34" t="s">
        <v>695</v>
      </c>
      <c r="D4522" s="53" t="str">
        <f>VLOOKUP(Sales[[#This Row],[Customer ID]],Customer[#All],2,0)</f>
        <v>Rahul Kumar</v>
      </c>
      <c r="E4522" s="34" t="s">
        <v>234</v>
      </c>
      <c r="F4522" s="34" t="str">
        <f>VLOOKUP(Sales[[#This Row],[Product ID]],Product[#All],2,0)</f>
        <v>HP Desktop</v>
      </c>
      <c r="G4522" s="53">
        <v>6</v>
      </c>
      <c r="H4522" s="165">
        <f>VLOOKUP(Sales[[#This Row],[Product ID]],Product[#All],7,0)</f>
        <v>76930</v>
      </c>
      <c r="I4522" s="165">
        <f>Sales[[#This Row],[Selling Rate]]*Sales[[#This Row],[Qty]]</f>
        <v>461580</v>
      </c>
      <c r="J4522" s="45">
        <v>0.05</v>
      </c>
      <c r="K4522" s="46">
        <f>Sales[[#This Row],[Gross Amount]]*Sales[[#This Row],[Disc %]]</f>
        <v>23079</v>
      </c>
      <c r="L4522" s="43">
        <v>0.18</v>
      </c>
      <c r="M4522" s="46">
        <f>(Sales[[#This Row],[Gross Amount]]-Sales[[#This Row],[Disc. Amt.]])*Sales[[#This Row],[GST %]]</f>
        <v>78930.179999999993</v>
      </c>
      <c r="N4522" s="161">
        <f>Sales[[#This Row],[Gross Amount]]-Sales[[#This Row],[Disc. Amt.]]+Sales[[#This Row],[GST Amount]]</f>
        <v>517431.18</v>
      </c>
      <c r="O4522" s="34" t="s">
        <v>8876</v>
      </c>
      <c r="P4522" s="34" t="s">
        <v>3562</v>
      </c>
      <c r="Q4522" s="165">
        <f>IF(Sales[[#This Row],[Status]]="Cancelled",0,Sales[[#This Row],[Qty]])</f>
        <v>6</v>
      </c>
      <c r="R4522" s="166">
        <f>IF(Sales[[#This Row],[Status]]="Cancelled",0,Sales[[#This Row],[Total Amount]])</f>
        <v>517431.18</v>
      </c>
      <c r="S4522" s="162">
        <f>SUM(Sales[Net Amount])</f>
        <v>406839287.73200053</v>
      </c>
    </row>
    <row r="4523" spans="1:19" ht="18.75" x14ac:dyDescent="0.25">
      <c r="A4523" s="156" t="s">
        <v>8203</v>
      </c>
      <c r="B4523" s="157">
        <v>46000</v>
      </c>
      <c r="C4523" s="158" t="s">
        <v>650</v>
      </c>
      <c r="D4523" s="159" t="str">
        <f>VLOOKUP(Sales[[#This Row],[Customer ID]],Customer[#All],2,0)</f>
        <v xml:space="preserve">Pooja Patel </v>
      </c>
      <c r="E4523" s="158" t="s">
        <v>53</v>
      </c>
      <c r="F4523" s="158" t="str">
        <f>VLOOKUP(Sales[[#This Row],[Product ID]],Product[#All],2,0)</f>
        <v>Microtek UPS</v>
      </c>
      <c r="G4523" s="159">
        <v>3</v>
      </c>
      <c r="H4523" s="160">
        <f>VLOOKUP(Sales[[#This Row],[Product ID]],Product[#All],7,0)</f>
        <v>13040</v>
      </c>
      <c r="I4523" s="160">
        <f>Sales[[#This Row],[Selling Rate]]*Sales[[#This Row],[Qty]]</f>
        <v>39120</v>
      </c>
      <c r="J4523" s="43">
        <v>0</v>
      </c>
      <c r="K4523" s="44">
        <f>Sales[[#This Row],[Gross Amount]]*Sales[[#This Row],[Disc %]]</f>
        <v>0</v>
      </c>
      <c r="L4523" s="43">
        <v>0.18</v>
      </c>
      <c r="M4523" s="44">
        <f>(Sales[[#This Row],[Gross Amount]]-Sales[[#This Row],[Disc. Amt.]])*Sales[[#This Row],[GST %]]</f>
        <v>7041.5999999999995</v>
      </c>
      <c r="N4523" s="161">
        <f>Sales[[#This Row],[Gross Amount]]-Sales[[#This Row],[Disc. Amt.]]+Sales[[#This Row],[GST Amount]]</f>
        <v>46161.599999999999</v>
      </c>
      <c r="O4523" s="158" t="s">
        <v>8876</v>
      </c>
      <c r="P4523" s="158" t="s">
        <v>3562</v>
      </c>
      <c r="Q4523" s="160">
        <f>IF(Sales[[#This Row],[Status]]="Cancelled",0,Sales[[#This Row],[Qty]])</f>
        <v>3</v>
      </c>
      <c r="R4523" s="161">
        <f>IF(Sales[[#This Row],[Status]]="Cancelled",0,Sales[[#This Row],[Total Amount]])</f>
        <v>46161.599999999999</v>
      </c>
      <c r="S4523" s="162">
        <f>SUM(Sales[Net Amount])</f>
        <v>406839287.73200053</v>
      </c>
    </row>
    <row r="4524" spans="1:19" ht="18.75" x14ac:dyDescent="0.25">
      <c r="A4524" s="163" t="s">
        <v>8204</v>
      </c>
      <c r="B4524" s="164">
        <v>46000</v>
      </c>
      <c r="C4524" s="34" t="s">
        <v>717</v>
      </c>
      <c r="D4524" s="53" t="str">
        <f>VLOOKUP(Sales[[#This Row],[Customer ID]],Customer[#All],2,0)</f>
        <v>Sunita Singh</v>
      </c>
      <c r="E4524" s="34" t="s">
        <v>20</v>
      </c>
      <c r="F4524" s="34" t="str">
        <f>VLOOKUP(Sales[[#This Row],[Product ID]],Product[#All],2,0)</f>
        <v>Logitech Keyboard</v>
      </c>
      <c r="G4524" s="53">
        <v>7</v>
      </c>
      <c r="H4524" s="165">
        <f>VLOOKUP(Sales[[#This Row],[Product ID]],Product[#All],7,0)</f>
        <v>3290</v>
      </c>
      <c r="I4524" s="165">
        <f>Sales[[#This Row],[Selling Rate]]*Sales[[#This Row],[Qty]]</f>
        <v>23030</v>
      </c>
      <c r="J4524" s="45">
        <v>0.02</v>
      </c>
      <c r="K4524" s="46">
        <f>Sales[[#This Row],[Gross Amount]]*Sales[[#This Row],[Disc %]]</f>
        <v>460.6</v>
      </c>
      <c r="L4524" s="43">
        <v>0.18</v>
      </c>
      <c r="M4524" s="46">
        <f>(Sales[[#This Row],[Gross Amount]]-Sales[[#This Row],[Disc. Amt.]])*Sales[[#This Row],[GST %]]</f>
        <v>4062.4920000000002</v>
      </c>
      <c r="N4524" s="161">
        <f>Sales[[#This Row],[Gross Amount]]-Sales[[#This Row],[Disc. Amt.]]+Sales[[#This Row],[GST Amount]]</f>
        <v>26631.892</v>
      </c>
      <c r="O4524" s="34" t="s">
        <v>3566</v>
      </c>
      <c r="P4524" s="34" t="s">
        <v>3562</v>
      </c>
      <c r="Q4524" s="165">
        <f>IF(Sales[[#This Row],[Status]]="Cancelled",0,Sales[[#This Row],[Qty]])</f>
        <v>7</v>
      </c>
      <c r="R4524" s="166">
        <f>IF(Sales[[#This Row],[Status]]="Cancelled",0,Sales[[#This Row],[Total Amount]])</f>
        <v>26631.892</v>
      </c>
      <c r="S4524" s="162">
        <f>SUM(Sales[Net Amount])</f>
        <v>406839287.73200053</v>
      </c>
    </row>
    <row r="4525" spans="1:19" ht="18.75" x14ac:dyDescent="0.25">
      <c r="A4525" s="156" t="s">
        <v>8205</v>
      </c>
      <c r="B4525" s="157">
        <v>46000</v>
      </c>
      <c r="C4525" s="158" t="s">
        <v>678</v>
      </c>
      <c r="D4525" s="159" t="str">
        <f>VLOOKUP(Sales[[#This Row],[Customer ID]],Customer[#All],2,0)</f>
        <v>Ankit Gupta</v>
      </c>
      <c r="E4525" s="158" t="s">
        <v>274</v>
      </c>
      <c r="F4525" s="158" t="str">
        <f>VLOOKUP(Sales[[#This Row],[Product ID]],Product[#All],2,0)</f>
        <v>Dell Desktop</v>
      </c>
      <c r="G4525" s="159">
        <v>3</v>
      </c>
      <c r="H4525" s="160">
        <f>VLOOKUP(Sales[[#This Row],[Product ID]],Product[#All],7,0)</f>
        <v>54540</v>
      </c>
      <c r="I4525" s="160">
        <f>Sales[[#This Row],[Selling Rate]]*Sales[[#This Row],[Qty]]</f>
        <v>163620</v>
      </c>
      <c r="J4525" s="43">
        <v>0.02</v>
      </c>
      <c r="K4525" s="44">
        <f>Sales[[#This Row],[Gross Amount]]*Sales[[#This Row],[Disc %]]</f>
        <v>3272.4</v>
      </c>
      <c r="L4525" s="43">
        <v>0.18</v>
      </c>
      <c r="M4525" s="44">
        <f>(Sales[[#This Row],[Gross Amount]]-Sales[[#This Row],[Disc. Amt.]])*Sales[[#This Row],[GST %]]</f>
        <v>28862.567999999999</v>
      </c>
      <c r="N4525" s="161">
        <f>Sales[[#This Row],[Gross Amount]]-Sales[[#This Row],[Disc. Amt.]]+Sales[[#This Row],[GST Amount]]</f>
        <v>189210.16800000001</v>
      </c>
      <c r="O4525" s="158" t="s">
        <v>3569</v>
      </c>
      <c r="P4525" s="158" t="s">
        <v>3562</v>
      </c>
      <c r="Q4525" s="160">
        <f>IF(Sales[[#This Row],[Status]]="Cancelled",0,Sales[[#This Row],[Qty]])</f>
        <v>3</v>
      </c>
      <c r="R4525" s="161">
        <f>IF(Sales[[#This Row],[Status]]="Cancelled",0,Sales[[#This Row],[Total Amount]])</f>
        <v>189210.16800000001</v>
      </c>
      <c r="S4525" s="162">
        <f>SUM(Sales[Net Amount])</f>
        <v>406839287.73200053</v>
      </c>
    </row>
    <row r="4526" spans="1:19" ht="18.75" x14ac:dyDescent="0.25">
      <c r="A4526" s="163" t="s">
        <v>8206</v>
      </c>
      <c r="B4526" s="164">
        <v>46000</v>
      </c>
      <c r="C4526" s="34" t="s">
        <v>8207</v>
      </c>
      <c r="D4526" s="53" t="str">
        <f>VLOOKUP(Sales[[#This Row],[Customer ID]],Customer[#All],2,0)</f>
        <v>Priya Gupta</v>
      </c>
      <c r="E4526" s="34" t="s">
        <v>426</v>
      </c>
      <c r="F4526" s="34" t="str">
        <f>VLOOKUP(Sales[[#This Row],[Product ID]],Product[#All],2,0)</f>
        <v>Jbl Speaker</v>
      </c>
      <c r="G4526" s="53">
        <v>6</v>
      </c>
      <c r="H4526" s="165">
        <f>VLOOKUP(Sales[[#This Row],[Product ID]],Product[#All],7,0)</f>
        <v>5260</v>
      </c>
      <c r="I4526" s="165">
        <f>Sales[[#This Row],[Selling Rate]]*Sales[[#This Row],[Qty]]</f>
        <v>31560</v>
      </c>
      <c r="J4526" s="45">
        <v>0</v>
      </c>
      <c r="K4526" s="46">
        <f>Sales[[#This Row],[Gross Amount]]*Sales[[#This Row],[Disc %]]</f>
        <v>0</v>
      </c>
      <c r="L4526" s="43">
        <v>0.18</v>
      </c>
      <c r="M4526" s="46">
        <f>(Sales[[#This Row],[Gross Amount]]-Sales[[#This Row],[Disc. Amt.]])*Sales[[#This Row],[GST %]]</f>
        <v>5680.8</v>
      </c>
      <c r="N4526" s="161">
        <f>Sales[[#This Row],[Gross Amount]]-Sales[[#This Row],[Disc. Amt.]]+Sales[[#This Row],[GST Amount]]</f>
        <v>37240.800000000003</v>
      </c>
      <c r="O4526" s="34" t="s">
        <v>8876</v>
      </c>
      <c r="P4526" s="34" t="s">
        <v>3562</v>
      </c>
      <c r="Q4526" s="165">
        <f>IF(Sales[[#This Row],[Status]]="Cancelled",0,Sales[[#This Row],[Qty]])</f>
        <v>6</v>
      </c>
      <c r="R4526" s="166">
        <f>IF(Sales[[#This Row],[Status]]="Cancelled",0,Sales[[#This Row],[Total Amount]])</f>
        <v>37240.800000000003</v>
      </c>
      <c r="S4526" s="162">
        <f>SUM(Sales[Net Amount])</f>
        <v>406839287.73200053</v>
      </c>
    </row>
    <row r="4527" spans="1:19" ht="18.75" x14ac:dyDescent="0.25">
      <c r="A4527" s="156" t="s">
        <v>8208</v>
      </c>
      <c r="B4527" s="157">
        <v>46000</v>
      </c>
      <c r="C4527" s="158" t="s">
        <v>740</v>
      </c>
      <c r="D4527" s="159" t="str">
        <f>VLOOKUP(Sales[[#This Row],[Customer ID]],Customer[#All],2,0)</f>
        <v>Vikas Gupta</v>
      </c>
      <c r="E4527" s="158" t="s">
        <v>281</v>
      </c>
      <c r="F4527" s="158" t="str">
        <f>VLOOKUP(Sales[[#This Row],[Product ID]],Product[#All],2,0)</f>
        <v>Canon Printer</v>
      </c>
      <c r="G4527" s="159">
        <v>7</v>
      </c>
      <c r="H4527" s="160">
        <f>VLOOKUP(Sales[[#This Row],[Product ID]],Product[#All],7,0)</f>
        <v>11560</v>
      </c>
      <c r="I4527" s="160">
        <f>Sales[[#This Row],[Selling Rate]]*Sales[[#This Row],[Qty]]</f>
        <v>80920</v>
      </c>
      <c r="J4527" s="43">
        <v>0.15</v>
      </c>
      <c r="K4527" s="44">
        <f>Sales[[#This Row],[Gross Amount]]*Sales[[#This Row],[Disc %]]</f>
        <v>12138</v>
      </c>
      <c r="L4527" s="43">
        <v>0.18</v>
      </c>
      <c r="M4527" s="44">
        <f>(Sales[[#This Row],[Gross Amount]]-Sales[[#This Row],[Disc. Amt.]])*Sales[[#This Row],[GST %]]</f>
        <v>12380.76</v>
      </c>
      <c r="N4527" s="161">
        <f>Sales[[#This Row],[Gross Amount]]-Sales[[#This Row],[Disc. Amt.]]+Sales[[#This Row],[GST Amount]]</f>
        <v>81162.759999999995</v>
      </c>
      <c r="O4527" s="158" t="s">
        <v>3566</v>
      </c>
      <c r="P4527" s="158" t="s">
        <v>3562</v>
      </c>
      <c r="Q4527" s="160">
        <f>IF(Sales[[#This Row],[Status]]="Cancelled",0,Sales[[#This Row],[Qty]])</f>
        <v>7</v>
      </c>
      <c r="R4527" s="161">
        <f>IF(Sales[[#This Row],[Status]]="Cancelled",0,Sales[[#This Row],[Total Amount]])</f>
        <v>81162.759999999995</v>
      </c>
      <c r="S4527" s="162">
        <f>SUM(Sales[Net Amount])</f>
        <v>406839287.73200053</v>
      </c>
    </row>
    <row r="4528" spans="1:19" ht="18.75" x14ac:dyDescent="0.25">
      <c r="A4528" s="163" t="s">
        <v>8209</v>
      </c>
      <c r="B4528" s="164">
        <v>46000</v>
      </c>
      <c r="C4528" s="34" t="s">
        <v>806</v>
      </c>
      <c r="D4528" s="53" t="str">
        <f>VLOOKUP(Sales[[#This Row],[Customer ID]],Customer[#All],2,0)</f>
        <v>Vikas Singh</v>
      </c>
      <c r="E4528" s="34" t="s">
        <v>410</v>
      </c>
      <c r="F4528" s="34" t="str">
        <f>VLOOKUP(Sales[[#This Row],[Product ID]],Product[#All],2,0)</f>
        <v>Microtek UPS</v>
      </c>
      <c r="G4528" s="53">
        <v>1</v>
      </c>
      <c r="H4528" s="165">
        <f>VLOOKUP(Sales[[#This Row],[Product ID]],Product[#All],7,0)</f>
        <v>12250</v>
      </c>
      <c r="I4528" s="165">
        <f>Sales[[#This Row],[Selling Rate]]*Sales[[#This Row],[Qty]]</f>
        <v>12250</v>
      </c>
      <c r="J4528" s="45">
        <v>0</v>
      </c>
      <c r="K4528" s="46">
        <f>Sales[[#This Row],[Gross Amount]]*Sales[[#This Row],[Disc %]]</f>
        <v>0</v>
      </c>
      <c r="L4528" s="43">
        <v>0.18</v>
      </c>
      <c r="M4528" s="46">
        <f>(Sales[[#This Row],[Gross Amount]]-Sales[[#This Row],[Disc. Amt.]])*Sales[[#This Row],[GST %]]</f>
        <v>2205</v>
      </c>
      <c r="N4528" s="161">
        <f>Sales[[#This Row],[Gross Amount]]-Sales[[#This Row],[Disc. Amt.]]+Sales[[#This Row],[GST Amount]]</f>
        <v>14455</v>
      </c>
      <c r="O4528" s="34" t="s">
        <v>8876</v>
      </c>
      <c r="P4528" s="34" t="s">
        <v>3562</v>
      </c>
      <c r="Q4528" s="165">
        <f>IF(Sales[[#This Row],[Status]]="Cancelled",0,Sales[[#This Row],[Qty]])</f>
        <v>1</v>
      </c>
      <c r="R4528" s="166">
        <f>IF(Sales[[#This Row],[Status]]="Cancelled",0,Sales[[#This Row],[Total Amount]])</f>
        <v>14455</v>
      </c>
      <c r="S4528" s="162">
        <f>SUM(Sales[Net Amount])</f>
        <v>406839287.73200053</v>
      </c>
    </row>
    <row r="4529" spans="1:19" ht="18.75" x14ac:dyDescent="0.25">
      <c r="A4529" s="156" t="s">
        <v>8210</v>
      </c>
      <c r="B4529" s="157">
        <v>46000</v>
      </c>
      <c r="C4529" s="158" t="s">
        <v>814</v>
      </c>
      <c r="D4529" s="159" t="str">
        <f>VLOOKUP(Sales[[#This Row],[Customer ID]],Customer[#All],2,0)</f>
        <v>Amit Kumar</v>
      </c>
      <c r="E4529" s="158" t="s">
        <v>275</v>
      </c>
      <c r="F4529" s="158" t="str">
        <f>VLOOKUP(Sales[[#This Row],[Product ID]],Product[#All],2,0)</f>
        <v>Canon Printer</v>
      </c>
      <c r="G4529" s="159">
        <v>1</v>
      </c>
      <c r="H4529" s="160">
        <f>VLOOKUP(Sales[[#This Row],[Product ID]],Product[#All],7,0)</f>
        <v>36460</v>
      </c>
      <c r="I4529" s="160">
        <f>Sales[[#This Row],[Selling Rate]]*Sales[[#This Row],[Qty]]</f>
        <v>36460</v>
      </c>
      <c r="J4529" s="43">
        <v>0.12</v>
      </c>
      <c r="K4529" s="44">
        <f>Sales[[#This Row],[Gross Amount]]*Sales[[#This Row],[Disc %]]</f>
        <v>4375.2</v>
      </c>
      <c r="L4529" s="43">
        <v>0.18</v>
      </c>
      <c r="M4529" s="44">
        <f>(Sales[[#This Row],[Gross Amount]]-Sales[[#This Row],[Disc. Amt.]])*Sales[[#This Row],[GST %]]</f>
        <v>5775.2639999999992</v>
      </c>
      <c r="N4529" s="161">
        <f>Sales[[#This Row],[Gross Amount]]-Sales[[#This Row],[Disc. Amt.]]+Sales[[#This Row],[GST Amount]]</f>
        <v>37860.063999999998</v>
      </c>
      <c r="O4529" s="158" t="s">
        <v>3561</v>
      </c>
      <c r="P4529" s="158" t="s">
        <v>3562</v>
      </c>
      <c r="Q4529" s="160">
        <f>IF(Sales[[#This Row],[Status]]="Cancelled",0,Sales[[#This Row],[Qty]])</f>
        <v>1</v>
      </c>
      <c r="R4529" s="161">
        <f>IF(Sales[[#This Row],[Status]]="Cancelled",0,Sales[[#This Row],[Total Amount]])</f>
        <v>37860.063999999998</v>
      </c>
      <c r="S4529" s="162">
        <f>SUM(Sales[Net Amount])</f>
        <v>406839287.73200053</v>
      </c>
    </row>
    <row r="4530" spans="1:19" ht="18.75" x14ac:dyDescent="0.25">
      <c r="A4530" s="163" t="s">
        <v>8211</v>
      </c>
      <c r="B4530" s="164">
        <v>46000</v>
      </c>
      <c r="C4530" s="34" t="s">
        <v>750</v>
      </c>
      <c r="D4530" s="53" t="str">
        <f>VLOOKUP(Sales[[#This Row],[Customer ID]],Customer[#All],2,0)</f>
        <v>Rakesh Verma</v>
      </c>
      <c r="E4530" s="34" t="s">
        <v>409</v>
      </c>
      <c r="F4530" s="34" t="str">
        <f>VLOOKUP(Sales[[#This Row],[Product ID]],Product[#All],2,0)</f>
        <v>Amazon Basics Hdmi Cable</v>
      </c>
      <c r="G4530" s="53">
        <v>3</v>
      </c>
      <c r="H4530" s="165">
        <f>VLOOKUP(Sales[[#This Row],[Product ID]],Product[#All],7,0)</f>
        <v>760</v>
      </c>
      <c r="I4530" s="165">
        <f>Sales[[#This Row],[Selling Rate]]*Sales[[#This Row],[Qty]]</f>
        <v>2280</v>
      </c>
      <c r="J4530" s="45">
        <v>0</v>
      </c>
      <c r="K4530" s="46">
        <f>Sales[[#This Row],[Gross Amount]]*Sales[[#This Row],[Disc %]]</f>
        <v>0</v>
      </c>
      <c r="L4530" s="43">
        <v>0.18</v>
      </c>
      <c r="M4530" s="46">
        <f>(Sales[[#This Row],[Gross Amount]]-Sales[[#This Row],[Disc. Amt.]])*Sales[[#This Row],[GST %]]</f>
        <v>410.4</v>
      </c>
      <c r="N4530" s="161">
        <f>Sales[[#This Row],[Gross Amount]]-Sales[[#This Row],[Disc. Amt.]]+Sales[[#This Row],[GST Amount]]</f>
        <v>2690.4</v>
      </c>
      <c r="O4530" s="34" t="s">
        <v>3561</v>
      </c>
      <c r="P4530" s="34" t="s">
        <v>3562</v>
      </c>
      <c r="Q4530" s="165">
        <f>IF(Sales[[#This Row],[Status]]="Cancelled",0,Sales[[#This Row],[Qty]])</f>
        <v>3</v>
      </c>
      <c r="R4530" s="166">
        <f>IF(Sales[[#This Row],[Status]]="Cancelled",0,Sales[[#This Row],[Total Amount]])</f>
        <v>2690.4</v>
      </c>
      <c r="S4530" s="162">
        <f>SUM(Sales[Net Amount])</f>
        <v>406839287.73200053</v>
      </c>
    </row>
    <row r="4531" spans="1:19" ht="18.75" x14ac:dyDescent="0.25">
      <c r="A4531" s="156" t="s">
        <v>8212</v>
      </c>
      <c r="B4531" s="157">
        <v>46000</v>
      </c>
      <c r="C4531" s="158" t="s">
        <v>923</v>
      </c>
      <c r="D4531" s="159" t="str">
        <f>VLOOKUP(Sales[[#This Row],[Customer ID]],Customer[#All],2,0)</f>
        <v>Rahul Gupta</v>
      </c>
      <c r="E4531" s="158" t="s">
        <v>262</v>
      </c>
      <c r="F4531" s="158" t="str">
        <f>VLOOKUP(Sales[[#This Row],[Product ID]],Product[#All],2,0)</f>
        <v>HP Power Adapter</v>
      </c>
      <c r="G4531" s="159">
        <v>7</v>
      </c>
      <c r="H4531" s="160">
        <f>VLOOKUP(Sales[[#This Row],[Product ID]],Product[#All],7,0)</f>
        <v>3560</v>
      </c>
      <c r="I4531" s="160">
        <f>Sales[[#This Row],[Selling Rate]]*Sales[[#This Row],[Qty]]</f>
        <v>24920</v>
      </c>
      <c r="J4531" s="43">
        <v>0</v>
      </c>
      <c r="K4531" s="44">
        <f>Sales[[#This Row],[Gross Amount]]*Sales[[#This Row],[Disc %]]</f>
        <v>0</v>
      </c>
      <c r="L4531" s="43">
        <v>0.18</v>
      </c>
      <c r="M4531" s="44">
        <f>(Sales[[#This Row],[Gross Amount]]-Sales[[#This Row],[Disc. Amt.]])*Sales[[#This Row],[GST %]]</f>
        <v>4485.5999999999995</v>
      </c>
      <c r="N4531" s="161">
        <f>Sales[[#This Row],[Gross Amount]]-Sales[[#This Row],[Disc. Amt.]]+Sales[[#This Row],[GST Amount]]</f>
        <v>29405.599999999999</v>
      </c>
      <c r="O4531" s="158" t="s">
        <v>3566</v>
      </c>
      <c r="P4531" s="158" t="s">
        <v>3562</v>
      </c>
      <c r="Q4531" s="160">
        <f>IF(Sales[[#This Row],[Status]]="Cancelled",0,Sales[[#This Row],[Qty]])</f>
        <v>7</v>
      </c>
      <c r="R4531" s="161">
        <f>IF(Sales[[#This Row],[Status]]="Cancelled",0,Sales[[#This Row],[Total Amount]])</f>
        <v>29405.599999999999</v>
      </c>
      <c r="S4531" s="162">
        <f>SUM(Sales[Net Amount])</f>
        <v>406839287.73200053</v>
      </c>
    </row>
    <row r="4532" spans="1:19" ht="18.75" x14ac:dyDescent="0.25">
      <c r="A4532" s="163" t="s">
        <v>8213</v>
      </c>
      <c r="B4532" s="164">
        <v>46000</v>
      </c>
      <c r="C4532" s="34" t="s">
        <v>757</v>
      </c>
      <c r="D4532" s="53" t="str">
        <f>VLOOKUP(Sales[[#This Row],[Customer ID]],Customer[#All],2,0)</f>
        <v>Amit Singh</v>
      </c>
      <c r="E4532" s="34" t="s">
        <v>181</v>
      </c>
      <c r="F4532" s="34" t="str">
        <f>VLOOKUP(Sales[[#This Row],[Product ID]],Product[#All],2,0)</f>
        <v>Logitech Webcam</v>
      </c>
      <c r="G4532" s="53">
        <v>6</v>
      </c>
      <c r="H4532" s="165">
        <f>VLOOKUP(Sales[[#This Row],[Product ID]],Product[#All],7,0)</f>
        <v>5880</v>
      </c>
      <c r="I4532" s="165">
        <f>Sales[[#This Row],[Selling Rate]]*Sales[[#This Row],[Qty]]</f>
        <v>35280</v>
      </c>
      <c r="J4532" s="45">
        <v>0.05</v>
      </c>
      <c r="K4532" s="46">
        <f>Sales[[#This Row],[Gross Amount]]*Sales[[#This Row],[Disc %]]</f>
        <v>1764</v>
      </c>
      <c r="L4532" s="43">
        <v>0.18</v>
      </c>
      <c r="M4532" s="46">
        <f>(Sales[[#This Row],[Gross Amount]]-Sales[[#This Row],[Disc. Amt.]])*Sales[[#This Row],[GST %]]</f>
        <v>6032.88</v>
      </c>
      <c r="N4532" s="161">
        <f>Sales[[#This Row],[Gross Amount]]-Sales[[#This Row],[Disc. Amt.]]+Sales[[#This Row],[GST Amount]]</f>
        <v>39548.879999999997</v>
      </c>
      <c r="O4532" s="34" t="s">
        <v>8876</v>
      </c>
      <c r="P4532" s="34" t="s">
        <v>3562</v>
      </c>
      <c r="Q4532" s="165">
        <f>IF(Sales[[#This Row],[Status]]="Cancelled",0,Sales[[#This Row],[Qty]])</f>
        <v>6</v>
      </c>
      <c r="R4532" s="166">
        <f>IF(Sales[[#This Row],[Status]]="Cancelled",0,Sales[[#This Row],[Total Amount]])</f>
        <v>39548.879999999997</v>
      </c>
      <c r="S4532" s="162">
        <f>SUM(Sales[Net Amount])</f>
        <v>406839287.73200053</v>
      </c>
    </row>
    <row r="4533" spans="1:19" ht="18.75" x14ac:dyDescent="0.25">
      <c r="A4533" s="156" t="s">
        <v>8214</v>
      </c>
      <c r="B4533" s="157">
        <v>46000</v>
      </c>
      <c r="C4533" s="158" t="s">
        <v>690</v>
      </c>
      <c r="D4533" s="159" t="str">
        <f>VLOOKUP(Sales[[#This Row],[Customer ID]],Customer[#All],2,0)</f>
        <v>Priya Patel</v>
      </c>
      <c r="E4533" s="158" t="s">
        <v>363</v>
      </c>
      <c r="F4533" s="158" t="str">
        <f>VLOOKUP(Sales[[#This Row],[Product ID]],Product[#All],2,0)</f>
        <v>Dell Desktop</v>
      </c>
      <c r="G4533" s="159">
        <v>4</v>
      </c>
      <c r="H4533" s="160">
        <f>VLOOKUP(Sales[[#This Row],[Product ID]],Product[#All],7,0)</f>
        <v>37430</v>
      </c>
      <c r="I4533" s="160">
        <f>Sales[[#This Row],[Selling Rate]]*Sales[[#This Row],[Qty]]</f>
        <v>149720</v>
      </c>
      <c r="J4533" s="43">
        <v>0.1</v>
      </c>
      <c r="K4533" s="44">
        <f>Sales[[#This Row],[Gross Amount]]*Sales[[#This Row],[Disc %]]</f>
        <v>14972</v>
      </c>
      <c r="L4533" s="43">
        <v>0.18</v>
      </c>
      <c r="M4533" s="44">
        <f>(Sales[[#This Row],[Gross Amount]]-Sales[[#This Row],[Disc. Amt.]])*Sales[[#This Row],[GST %]]</f>
        <v>24254.639999999999</v>
      </c>
      <c r="N4533" s="161">
        <f>Sales[[#This Row],[Gross Amount]]-Sales[[#This Row],[Disc. Amt.]]+Sales[[#This Row],[GST Amount]]</f>
        <v>159002.64000000001</v>
      </c>
      <c r="O4533" s="158" t="s">
        <v>3566</v>
      </c>
      <c r="P4533" s="158" t="s">
        <v>3562</v>
      </c>
      <c r="Q4533" s="160">
        <f>IF(Sales[[#This Row],[Status]]="Cancelled",0,Sales[[#This Row],[Qty]])</f>
        <v>4</v>
      </c>
      <c r="R4533" s="161">
        <f>IF(Sales[[#This Row],[Status]]="Cancelled",0,Sales[[#This Row],[Total Amount]])</f>
        <v>159002.64000000001</v>
      </c>
      <c r="S4533" s="162">
        <f>SUM(Sales[Net Amount])</f>
        <v>406839287.73200053</v>
      </c>
    </row>
    <row r="4534" spans="1:19" ht="18.75" x14ac:dyDescent="0.25">
      <c r="A4534" s="163" t="s">
        <v>8215</v>
      </c>
      <c r="B4534" s="164">
        <v>46000</v>
      </c>
      <c r="C4534" s="34" t="s">
        <v>742</v>
      </c>
      <c r="D4534" s="53" t="str">
        <f>VLOOKUP(Sales[[#This Row],[Customer ID]],Customer[#All],2,0)</f>
        <v>Rahul Patel</v>
      </c>
      <c r="E4534" s="34" t="s">
        <v>147</v>
      </c>
      <c r="F4534" s="34" t="str">
        <f>VLOOKUP(Sales[[#This Row],[Product ID]],Product[#All],2,0)</f>
        <v>HP Power Adapter</v>
      </c>
      <c r="G4534" s="53">
        <v>2</v>
      </c>
      <c r="H4534" s="165">
        <f>VLOOKUP(Sales[[#This Row],[Product ID]],Product[#All],7,0)</f>
        <v>4680</v>
      </c>
      <c r="I4534" s="165">
        <f>Sales[[#This Row],[Selling Rate]]*Sales[[#This Row],[Qty]]</f>
        <v>9360</v>
      </c>
      <c r="J4534" s="45">
        <v>0.12</v>
      </c>
      <c r="K4534" s="46">
        <f>Sales[[#This Row],[Gross Amount]]*Sales[[#This Row],[Disc %]]</f>
        <v>1123.2</v>
      </c>
      <c r="L4534" s="43">
        <v>0.18</v>
      </c>
      <c r="M4534" s="46">
        <f>(Sales[[#This Row],[Gross Amount]]-Sales[[#This Row],[Disc. Amt.]])*Sales[[#This Row],[GST %]]</f>
        <v>1482.6239999999998</v>
      </c>
      <c r="N4534" s="161">
        <f>Sales[[#This Row],[Gross Amount]]-Sales[[#This Row],[Disc. Amt.]]+Sales[[#This Row],[GST Amount]]</f>
        <v>9719.4239999999991</v>
      </c>
      <c r="O4534" s="34" t="s">
        <v>3569</v>
      </c>
      <c r="P4534" s="34" t="s">
        <v>3562</v>
      </c>
      <c r="Q4534" s="165">
        <f>IF(Sales[[#This Row],[Status]]="Cancelled",0,Sales[[#This Row],[Qty]])</f>
        <v>2</v>
      </c>
      <c r="R4534" s="166">
        <f>IF(Sales[[#This Row],[Status]]="Cancelled",0,Sales[[#This Row],[Total Amount]])</f>
        <v>9719.4239999999991</v>
      </c>
      <c r="S4534" s="162">
        <f>SUM(Sales[Net Amount])</f>
        <v>406839287.73200053</v>
      </c>
    </row>
    <row r="4535" spans="1:19" ht="18.75" x14ac:dyDescent="0.25">
      <c r="A4535" s="156" t="s">
        <v>8216</v>
      </c>
      <c r="B4535" s="157">
        <v>46000</v>
      </c>
      <c r="C4535" s="158" t="s">
        <v>777</v>
      </c>
      <c r="D4535" s="159" t="str">
        <f>VLOOKUP(Sales[[#This Row],[Customer ID]],Customer[#All],2,0)</f>
        <v>Neha Sharma</v>
      </c>
      <c r="E4535" s="158" t="s">
        <v>429</v>
      </c>
      <c r="F4535" s="158" t="str">
        <f>VLOOKUP(Sales[[#This Row],[Product ID]],Product[#All],2,0)</f>
        <v>Sandisk Pen Drive</v>
      </c>
      <c r="G4535" s="159">
        <v>1</v>
      </c>
      <c r="H4535" s="160">
        <f>VLOOKUP(Sales[[#This Row],[Product ID]],Product[#All],7,0)</f>
        <v>2290</v>
      </c>
      <c r="I4535" s="160">
        <f>Sales[[#This Row],[Selling Rate]]*Sales[[#This Row],[Qty]]</f>
        <v>2290</v>
      </c>
      <c r="J4535" s="43">
        <v>0</v>
      </c>
      <c r="K4535" s="44">
        <f>Sales[[#This Row],[Gross Amount]]*Sales[[#This Row],[Disc %]]</f>
        <v>0</v>
      </c>
      <c r="L4535" s="43">
        <v>0.18</v>
      </c>
      <c r="M4535" s="44">
        <f>(Sales[[#This Row],[Gross Amount]]-Sales[[#This Row],[Disc. Amt.]])*Sales[[#This Row],[GST %]]</f>
        <v>412.2</v>
      </c>
      <c r="N4535" s="161">
        <f>Sales[[#This Row],[Gross Amount]]-Sales[[#This Row],[Disc. Amt.]]+Sales[[#This Row],[GST Amount]]</f>
        <v>2702.2</v>
      </c>
      <c r="O4535" s="158" t="s">
        <v>3569</v>
      </c>
      <c r="P4535" s="158" t="s">
        <v>3562</v>
      </c>
      <c r="Q4535" s="160">
        <f>IF(Sales[[#This Row],[Status]]="Cancelled",0,Sales[[#This Row],[Qty]])</f>
        <v>1</v>
      </c>
      <c r="R4535" s="161">
        <f>IF(Sales[[#This Row],[Status]]="Cancelled",0,Sales[[#This Row],[Total Amount]])</f>
        <v>2702.2</v>
      </c>
      <c r="S4535" s="162">
        <f>SUM(Sales[Net Amount])</f>
        <v>406839287.73200053</v>
      </c>
    </row>
    <row r="4536" spans="1:19" ht="18.75" x14ac:dyDescent="0.25">
      <c r="A4536" s="163" t="s">
        <v>8217</v>
      </c>
      <c r="B4536" s="164">
        <v>46000</v>
      </c>
      <c r="C4536" s="34" t="s">
        <v>8218</v>
      </c>
      <c r="D4536" s="53" t="str">
        <f>VLOOKUP(Sales[[#This Row],[Customer ID]],Customer[#All],2,0)</f>
        <v>Amit Sharma</v>
      </c>
      <c r="E4536" s="34" t="s">
        <v>412</v>
      </c>
      <c r="F4536" s="34" t="str">
        <f>VLOOKUP(Sales[[#This Row],[Product ID]],Product[#All],2,0)</f>
        <v>Dell Monitor</v>
      </c>
      <c r="G4536" s="53">
        <v>4</v>
      </c>
      <c r="H4536" s="165">
        <f>VLOOKUP(Sales[[#This Row],[Product ID]],Product[#All],7,0)</f>
        <v>30230</v>
      </c>
      <c r="I4536" s="165">
        <f>Sales[[#This Row],[Selling Rate]]*Sales[[#This Row],[Qty]]</f>
        <v>120920</v>
      </c>
      <c r="J4536" s="45">
        <v>0.05</v>
      </c>
      <c r="K4536" s="46">
        <f>Sales[[#This Row],[Gross Amount]]*Sales[[#This Row],[Disc %]]</f>
        <v>6046</v>
      </c>
      <c r="L4536" s="43">
        <v>0.18</v>
      </c>
      <c r="M4536" s="46">
        <f>(Sales[[#This Row],[Gross Amount]]-Sales[[#This Row],[Disc. Amt.]])*Sales[[#This Row],[GST %]]</f>
        <v>20677.32</v>
      </c>
      <c r="N4536" s="161">
        <f>Sales[[#This Row],[Gross Amount]]-Sales[[#This Row],[Disc. Amt.]]+Sales[[#This Row],[GST Amount]]</f>
        <v>135551.32</v>
      </c>
      <c r="O4536" s="34" t="s">
        <v>3566</v>
      </c>
      <c r="P4536" s="34" t="s">
        <v>3562</v>
      </c>
      <c r="Q4536" s="165">
        <f>IF(Sales[[#This Row],[Status]]="Cancelled",0,Sales[[#This Row],[Qty]])</f>
        <v>4</v>
      </c>
      <c r="R4536" s="166">
        <f>IF(Sales[[#This Row],[Status]]="Cancelled",0,Sales[[#This Row],[Total Amount]])</f>
        <v>135551.32</v>
      </c>
      <c r="S4536" s="162">
        <f>SUM(Sales[Net Amount])</f>
        <v>406839287.73200053</v>
      </c>
    </row>
    <row r="4537" spans="1:19" ht="18.75" x14ac:dyDescent="0.25">
      <c r="A4537" s="156" t="s">
        <v>8219</v>
      </c>
      <c r="B4537" s="157">
        <v>46000</v>
      </c>
      <c r="C4537" s="158" t="s">
        <v>722</v>
      </c>
      <c r="D4537" s="159" t="str">
        <f>VLOOKUP(Sales[[#This Row],[Customer ID]],Customer[#All],2,0)</f>
        <v>Vikas Patel</v>
      </c>
      <c r="E4537" s="158" t="s">
        <v>253</v>
      </c>
      <c r="F4537" s="158" t="str">
        <f>VLOOKUP(Sales[[#This Row],[Product ID]],Product[#All],2,0)</f>
        <v>Acer Laptop</v>
      </c>
      <c r="G4537" s="159">
        <v>3</v>
      </c>
      <c r="H4537" s="160">
        <f>VLOOKUP(Sales[[#This Row],[Product ID]],Product[#All],7,0)</f>
        <v>40550</v>
      </c>
      <c r="I4537" s="160">
        <f>Sales[[#This Row],[Selling Rate]]*Sales[[#This Row],[Qty]]</f>
        <v>121650</v>
      </c>
      <c r="J4537" s="43">
        <v>0</v>
      </c>
      <c r="K4537" s="44">
        <f>Sales[[#This Row],[Gross Amount]]*Sales[[#This Row],[Disc %]]</f>
        <v>0</v>
      </c>
      <c r="L4537" s="43">
        <v>0.18</v>
      </c>
      <c r="M4537" s="44">
        <f>(Sales[[#This Row],[Gross Amount]]-Sales[[#This Row],[Disc. Amt.]])*Sales[[#This Row],[GST %]]</f>
        <v>21897</v>
      </c>
      <c r="N4537" s="161">
        <f>Sales[[#This Row],[Gross Amount]]-Sales[[#This Row],[Disc. Amt.]]+Sales[[#This Row],[GST Amount]]</f>
        <v>143547</v>
      </c>
      <c r="O4537" s="158" t="s">
        <v>3569</v>
      </c>
      <c r="P4537" s="158" t="s">
        <v>3562</v>
      </c>
      <c r="Q4537" s="160">
        <f>IF(Sales[[#This Row],[Status]]="Cancelled",0,Sales[[#This Row],[Qty]])</f>
        <v>3</v>
      </c>
      <c r="R4537" s="161">
        <f>IF(Sales[[#This Row],[Status]]="Cancelled",0,Sales[[#This Row],[Total Amount]])</f>
        <v>143547</v>
      </c>
      <c r="S4537" s="162">
        <f>SUM(Sales[Net Amount])</f>
        <v>406839287.73200053</v>
      </c>
    </row>
    <row r="4538" spans="1:19" ht="18.75" x14ac:dyDescent="0.25">
      <c r="A4538" s="163" t="s">
        <v>8220</v>
      </c>
      <c r="B4538" s="164">
        <v>46000</v>
      </c>
      <c r="C4538" s="34" t="s">
        <v>833</v>
      </c>
      <c r="D4538" s="53" t="str">
        <f>VLOOKUP(Sales[[#This Row],[Customer ID]],Customer[#All],2,0)</f>
        <v>Sunita Kumar</v>
      </c>
      <c r="E4538" s="34" t="s">
        <v>128</v>
      </c>
      <c r="F4538" s="34" t="str">
        <f>VLOOKUP(Sales[[#This Row],[Product ID]],Product[#All],2,0)</f>
        <v>American TouristerLaptopBag</v>
      </c>
      <c r="G4538" s="53">
        <v>6</v>
      </c>
      <c r="H4538" s="165">
        <f>VLOOKUP(Sales[[#This Row],[Product ID]],Product[#All],7,0)</f>
        <v>2990</v>
      </c>
      <c r="I4538" s="165">
        <f>Sales[[#This Row],[Selling Rate]]*Sales[[#This Row],[Qty]]</f>
        <v>17940</v>
      </c>
      <c r="J4538" s="45">
        <v>0.12</v>
      </c>
      <c r="K4538" s="46">
        <f>Sales[[#This Row],[Gross Amount]]*Sales[[#This Row],[Disc %]]</f>
        <v>2152.7999999999997</v>
      </c>
      <c r="L4538" s="43">
        <v>0.18</v>
      </c>
      <c r="M4538" s="46">
        <f>(Sales[[#This Row],[Gross Amount]]-Sales[[#This Row],[Disc. Amt.]])*Sales[[#This Row],[GST %]]</f>
        <v>2841.6959999999999</v>
      </c>
      <c r="N4538" s="161">
        <f>Sales[[#This Row],[Gross Amount]]-Sales[[#This Row],[Disc. Amt.]]+Sales[[#This Row],[GST Amount]]</f>
        <v>18628.896000000001</v>
      </c>
      <c r="O4538" s="34" t="s">
        <v>3566</v>
      </c>
      <c r="P4538" s="34" t="s">
        <v>3562</v>
      </c>
      <c r="Q4538" s="165">
        <f>IF(Sales[[#This Row],[Status]]="Cancelled",0,Sales[[#This Row],[Qty]])</f>
        <v>6</v>
      </c>
      <c r="R4538" s="166">
        <f>IF(Sales[[#This Row],[Status]]="Cancelled",0,Sales[[#This Row],[Total Amount]])</f>
        <v>18628.896000000001</v>
      </c>
      <c r="S4538" s="162">
        <f>SUM(Sales[Net Amount])</f>
        <v>406839287.73200053</v>
      </c>
    </row>
    <row r="4539" spans="1:19" ht="18.75" x14ac:dyDescent="0.25">
      <c r="A4539" s="156" t="s">
        <v>8221</v>
      </c>
      <c r="B4539" s="157">
        <v>46000</v>
      </c>
      <c r="C4539" s="158" t="s">
        <v>794</v>
      </c>
      <c r="D4539" s="159" t="str">
        <f>VLOOKUP(Sales[[#This Row],[Customer ID]],Customer[#All],2,0)</f>
        <v>Sunita Sharma</v>
      </c>
      <c r="E4539" s="158" t="s">
        <v>315</v>
      </c>
      <c r="F4539" s="158" t="str">
        <f>VLOOKUP(Sales[[#This Row],[Product ID]],Product[#All],2,0)</f>
        <v>Jbl Headset</v>
      </c>
      <c r="G4539" s="159">
        <v>8</v>
      </c>
      <c r="H4539" s="160">
        <f>VLOOKUP(Sales[[#This Row],[Product ID]],Product[#All],7,0)</f>
        <v>2630</v>
      </c>
      <c r="I4539" s="160">
        <f>Sales[[#This Row],[Selling Rate]]*Sales[[#This Row],[Qty]]</f>
        <v>21040</v>
      </c>
      <c r="J4539" s="43">
        <v>0.15</v>
      </c>
      <c r="K4539" s="44">
        <f>Sales[[#This Row],[Gross Amount]]*Sales[[#This Row],[Disc %]]</f>
        <v>3156</v>
      </c>
      <c r="L4539" s="43">
        <v>0.18</v>
      </c>
      <c r="M4539" s="44">
        <f>(Sales[[#This Row],[Gross Amount]]-Sales[[#This Row],[Disc. Amt.]])*Sales[[#This Row],[GST %]]</f>
        <v>3219.12</v>
      </c>
      <c r="N4539" s="161">
        <f>Sales[[#This Row],[Gross Amount]]-Sales[[#This Row],[Disc. Amt.]]+Sales[[#This Row],[GST Amount]]</f>
        <v>21103.119999999999</v>
      </c>
      <c r="O4539" s="158" t="s">
        <v>3566</v>
      </c>
      <c r="P4539" s="158" t="s">
        <v>3562</v>
      </c>
      <c r="Q4539" s="160">
        <f>IF(Sales[[#This Row],[Status]]="Cancelled",0,Sales[[#This Row],[Qty]])</f>
        <v>8</v>
      </c>
      <c r="R4539" s="161">
        <f>IF(Sales[[#This Row],[Status]]="Cancelled",0,Sales[[#This Row],[Total Amount]])</f>
        <v>21103.119999999999</v>
      </c>
      <c r="S4539" s="162">
        <f>SUM(Sales[Net Amount])</f>
        <v>406839287.73200053</v>
      </c>
    </row>
    <row r="4540" spans="1:19" ht="18.75" x14ac:dyDescent="0.25">
      <c r="A4540" s="163" t="s">
        <v>8222</v>
      </c>
      <c r="B4540" s="164">
        <v>46001</v>
      </c>
      <c r="C4540" s="34" t="s">
        <v>700</v>
      </c>
      <c r="D4540" s="53" t="str">
        <f>VLOOKUP(Sales[[#This Row],[Customer ID]],Customer[#All],2,0)</f>
        <v>Ankit Gupta</v>
      </c>
      <c r="E4540" s="34" t="s">
        <v>301</v>
      </c>
      <c r="F4540" s="34" t="str">
        <f>VLOOKUP(Sales[[#This Row],[Product ID]],Product[#All],2,0)</f>
        <v>Logitech Keyboard</v>
      </c>
      <c r="G4540" s="53">
        <v>5</v>
      </c>
      <c r="H4540" s="165">
        <f>VLOOKUP(Sales[[#This Row],[Product ID]],Product[#All],7,0)</f>
        <v>1100</v>
      </c>
      <c r="I4540" s="165">
        <f>Sales[[#This Row],[Selling Rate]]*Sales[[#This Row],[Qty]]</f>
        <v>5500</v>
      </c>
      <c r="J4540" s="45">
        <v>0.1</v>
      </c>
      <c r="K4540" s="46">
        <f>Sales[[#This Row],[Gross Amount]]*Sales[[#This Row],[Disc %]]</f>
        <v>550</v>
      </c>
      <c r="L4540" s="43">
        <v>0.18</v>
      </c>
      <c r="M4540" s="46">
        <f>(Sales[[#This Row],[Gross Amount]]-Sales[[#This Row],[Disc. Amt.]])*Sales[[#This Row],[GST %]]</f>
        <v>891</v>
      </c>
      <c r="N4540" s="161">
        <f>Sales[[#This Row],[Gross Amount]]-Sales[[#This Row],[Disc. Amt.]]+Sales[[#This Row],[GST Amount]]</f>
        <v>5841</v>
      </c>
      <c r="O4540" s="34" t="s">
        <v>3561</v>
      </c>
      <c r="P4540" s="34" t="s">
        <v>3562</v>
      </c>
      <c r="Q4540" s="165">
        <f>IF(Sales[[#This Row],[Status]]="Cancelled",0,Sales[[#This Row],[Qty]])</f>
        <v>5</v>
      </c>
      <c r="R4540" s="166">
        <f>IF(Sales[[#This Row],[Status]]="Cancelled",0,Sales[[#This Row],[Total Amount]])</f>
        <v>5841</v>
      </c>
      <c r="S4540" s="162">
        <f>SUM(Sales[Net Amount])</f>
        <v>406839287.73200053</v>
      </c>
    </row>
    <row r="4541" spans="1:19" ht="18.75" x14ac:dyDescent="0.25">
      <c r="A4541" s="156" t="s">
        <v>8223</v>
      </c>
      <c r="B4541" s="157">
        <v>46001</v>
      </c>
      <c r="C4541" s="158" t="s">
        <v>885</v>
      </c>
      <c r="D4541" s="159" t="str">
        <f>VLOOKUP(Sales[[#This Row],[Customer ID]],Customer[#All],2,0)</f>
        <v>Pooja Verma</v>
      </c>
      <c r="E4541" s="158" t="s">
        <v>375</v>
      </c>
      <c r="F4541" s="158" t="str">
        <f>VLOOKUP(Sales[[#This Row],[Product ID]],Product[#All],2,0)</f>
        <v>American TouristerLaptopBag</v>
      </c>
      <c r="G4541" s="159">
        <v>7</v>
      </c>
      <c r="H4541" s="160">
        <f>VLOOKUP(Sales[[#This Row],[Product ID]],Product[#All],7,0)</f>
        <v>4990</v>
      </c>
      <c r="I4541" s="160">
        <f>Sales[[#This Row],[Selling Rate]]*Sales[[#This Row],[Qty]]</f>
        <v>34930</v>
      </c>
      <c r="J4541" s="43">
        <v>0</v>
      </c>
      <c r="K4541" s="44">
        <f>Sales[[#This Row],[Gross Amount]]*Sales[[#This Row],[Disc %]]</f>
        <v>0</v>
      </c>
      <c r="L4541" s="43">
        <v>0.18</v>
      </c>
      <c r="M4541" s="44">
        <f>(Sales[[#This Row],[Gross Amount]]-Sales[[#This Row],[Disc. Amt.]])*Sales[[#This Row],[GST %]]</f>
        <v>6287.4</v>
      </c>
      <c r="N4541" s="161">
        <f>Sales[[#This Row],[Gross Amount]]-Sales[[#This Row],[Disc. Amt.]]+Sales[[#This Row],[GST Amount]]</f>
        <v>41217.4</v>
      </c>
      <c r="O4541" s="158" t="s">
        <v>8876</v>
      </c>
      <c r="P4541" s="158" t="s">
        <v>1040</v>
      </c>
      <c r="Q4541" s="160">
        <f>IF(Sales[[#This Row],[Status]]="Cancelled",0,Sales[[#This Row],[Qty]])</f>
        <v>0</v>
      </c>
      <c r="R4541" s="161">
        <f>IF(Sales[[#This Row],[Status]]="Cancelled",0,Sales[[#This Row],[Total Amount]])</f>
        <v>0</v>
      </c>
      <c r="S4541" s="162">
        <f>SUM(Sales[Net Amount])</f>
        <v>406839287.73200053</v>
      </c>
    </row>
    <row r="4542" spans="1:19" ht="18.75" x14ac:dyDescent="0.25">
      <c r="A4542" s="163" t="s">
        <v>8224</v>
      </c>
      <c r="B4542" s="164">
        <v>46001</v>
      </c>
      <c r="C4542" s="34" t="s">
        <v>765</v>
      </c>
      <c r="D4542" s="53" t="str">
        <f>VLOOKUP(Sales[[#This Row],[Customer ID]],Customer[#All],2,0)</f>
        <v>Neha Gupta</v>
      </c>
      <c r="E4542" s="34" t="s">
        <v>276</v>
      </c>
      <c r="F4542" s="34" t="str">
        <f>VLOOKUP(Sales[[#This Row],[Product ID]],Product[#All],2,0)</f>
        <v>Corsair Ram</v>
      </c>
      <c r="G4542" s="53">
        <v>4</v>
      </c>
      <c r="H4542" s="165">
        <f>VLOOKUP(Sales[[#This Row],[Product ID]],Product[#All],7,0)</f>
        <v>7140</v>
      </c>
      <c r="I4542" s="165">
        <f>Sales[[#This Row],[Selling Rate]]*Sales[[#This Row],[Qty]]</f>
        <v>28560</v>
      </c>
      <c r="J4542" s="45">
        <v>0.05</v>
      </c>
      <c r="K4542" s="46">
        <f>Sales[[#This Row],[Gross Amount]]*Sales[[#This Row],[Disc %]]</f>
        <v>1428</v>
      </c>
      <c r="L4542" s="43">
        <v>0.18</v>
      </c>
      <c r="M4542" s="46">
        <f>(Sales[[#This Row],[Gross Amount]]-Sales[[#This Row],[Disc. Amt.]])*Sales[[#This Row],[GST %]]</f>
        <v>4883.76</v>
      </c>
      <c r="N4542" s="161">
        <f>Sales[[#This Row],[Gross Amount]]-Sales[[#This Row],[Disc. Amt.]]+Sales[[#This Row],[GST Amount]]</f>
        <v>32015.760000000002</v>
      </c>
      <c r="O4542" s="34" t="s">
        <v>3566</v>
      </c>
      <c r="P4542" s="34" t="s">
        <v>3562</v>
      </c>
      <c r="Q4542" s="165">
        <f>IF(Sales[[#This Row],[Status]]="Cancelled",0,Sales[[#This Row],[Qty]])</f>
        <v>4</v>
      </c>
      <c r="R4542" s="166">
        <f>IF(Sales[[#This Row],[Status]]="Cancelled",0,Sales[[#This Row],[Total Amount]])</f>
        <v>32015.760000000002</v>
      </c>
      <c r="S4542" s="162">
        <f>SUM(Sales[Net Amount])</f>
        <v>406839287.73200053</v>
      </c>
    </row>
    <row r="4543" spans="1:19" ht="18.75" x14ac:dyDescent="0.25">
      <c r="A4543" s="156" t="s">
        <v>8225</v>
      </c>
      <c r="B4543" s="157">
        <v>46001</v>
      </c>
      <c r="C4543" s="158" t="s">
        <v>752</v>
      </c>
      <c r="D4543" s="159" t="str">
        <f>VLOOKUP(Sales[[#This Row],[Customer ID]],Customer[#All],2,0)</f>
        <v>Pooja Patel</v>
      </c>
      <c r="E4543" s="158" t="s">
        <v>544</v>
      </c>
      <c r="F4543" s="158" t="str">
        <f>VLOOKUP(Sales[[#This Row],[Product ID]],Product[#All],2,0)</f>
        <v>HP Printer</v>
      </c>
      <c r="G4543" s="159">
        <v>4</v>
      </c>
      <c r="H4543" s="160">
        <f>VLOOKUP(Sales[[#This Row],[Product ID]],Product[#All],7,0)</f>
        <v>18010</v>
      </c>
      <c r="I4543" s="160">
        <f>Sales[[#This Row],[Selling Rate]]*Sales[[#This Row],[Qty]]</f>
        <v>72040</v>
      </c>
      <c r="J4543" s="43">
        <v>0</v>
      </c>
      <c r="K4543" s="44">
        <f>Sales[[#This Row],[Gross Amount]]*Sales[[#This Row],[Disc %]]</f>
        <v>0</v>
      </c>
      <c r="L4543" s="43">
        <v>0.18</v>
      </c>
      <c r="M4543" s="44">
        <f>(Sales[[#This Row],[Gross Amount]]-Sales[[#This Row],[Disc. Amt.]])*Sales[[#This Row],[GST %]]</f>
        <v>12967.199999999999</v>
      </c>
      <c r="N4543" s="161">
        <f>Sales[[#This Row],[Gross Amount]]-Sales[[#This Row],[Disc. Amt.]]+Sales[[#This Row],[GST Amount]]</f>
        <v>85007.2</v>
      </c>
      <c r="O4543" s="158" t="s">
        <v>3566</v>
      </c>
      <c r="P4543" s="158" t="s">
        <v>3562</v>
      </c>
      <c r="Q4543" s="160">
        <f>IF(Sales[[#This Row],[Status]]="Cancelled",0,Sales[[#This Row],[Qty]])</f>
        <v>4</v>
      </c>
      <c r="R4543" s="161">
        <f>IF(Sales[[#This Row],[Status]]="Cancelled",0,Sales[[#This Row],[Total Amount]])</f>
        <v>85007.2</v>
      </c>
      <c r="S4543" s="162">
        <f>SUM(Sales[Net Amount])</f>
        <v>406839287.73200053</v>
      </c>
    </row>
    <row r="4544" spans="1:19" ht="18.75" x14ac:dyDescent="0.25">
      <c r="A4544" s="163" t="s">
        <v>8226</v>
      </c>
      <c r="B4544" s="164">
        <v>46001</v>
      </c>
      <c r="C4544" s="34" t="s">
        <v>8227</v>
      </c>
      <c r="D4544" s="53" t="str">
        <f>VLOOKUP(Sales[[#This Row],[Customer ID]],Customer[#All],2,0)</f>
        <v>Sahil Gupta</v>
      </c>
      <c r="E4544" s="34" t="s">
        <v>393</v>
      </c>
      <c r="F4544" s="34" t="str">
        <f>VLOOKUP(Sales[[#This Row],[Product ID]],Product[#All],2,0)</f>
        <v>American TouristerLaptopBag</v>
      </c>
      <c r="G4544" s="53">
        <v>3</v>
      </c>
      <c r="H4544" s="165">
        <f>VLOOKUP(Sales[[#This Row],[Product ID]],Product[#All],7,0)</f>
        <v>3240</v>
      </c>
      <c r="I4544" s="165">
        <f>Sales[[#This Row],[Selling Rate]]*Sales[[#This Row],[Qty]]</f>
        <v>9720</v>
      </c>
      <c r="J4544" s="45">
        <v>0.05</v>
      </c>
      <c r="K4544" s="46">
        <f>Sales[[#This Row],[Gross Amount]]*Sales[[#This Row],[Disc %]]</f>
        <v>486</v>
      </c>
      <c r="L4544" s="43">
        <v>0.18</v>
      </c>
      <c r="M4544" s="46">
        <f>(Sales[[#This Row],[Gross Amount]]-Sales[[#This Row],[Disc. Amt.]])*Sales[[#This Row],[GST %]]</f>
        <v>1662.12</v>
      </c>
      <c r="N4544" s="161">
        <f>Sales[[#This Row],[Gross Amount]]-Sales[[#This Row],[Disc. Amt.]]+Sales[[#This Row],[GST Amount]]</f>
        <v>10896.119999999999</v>
      </c>
      <c r="O4544" s="34" t="s">
        <v>3569</v>
      </c>
      <c r="P4544" s="34" t="s">
        <v>3562</v>
      </c>
      <c r="Q4544" s="165">
        <f>IF(Sales[[#This Row],[Status]]="Cancelled",0,Sales[[#This Row],[Qty]])</f>
        <v>3</v>
      </c>
      <c r="R4544" s="166">
        <f>IF(Sales[[#This Row],[Status]]="Cancelled",0,Sales[[#This Row],[Total Amount]])</f>
        <v>10896.119999999999</v>
      </c>
      <c r="S4544" s="162">
        <f>SUM(Sales[Net Amount])</f>
        <v>406839287.73200053</v>
      </c>
    </row>
    <row r="4545" spans="1:19" ht="18.75" x14ac:dyDescent="0.25">
      <c r="A4545" s="156" t="s">
        <v>8228</v>
      </c>
      <c r="B4545" s="157">
        <v>46001</v>
      </c>
      <c r="C4545" s="158" t="s">
        <v>778</v>
      </c>
      <c r="D4545" s="159" t="str">
        <f>VLOOKUP(Sales[[#This Row],[Customer ID]],Customer[#All],2,0)</f>
        <v>Ankit Gupta</v>
      </c>
      <c r="E4545" s="158" t="s">
        <v>417</v>
      </c>
      <c r="F4545" s="158" t="str">
        <f>VLOOKUP(Sales[[#This Row],[Product ID]],Product[#All],2,0)</f>
        <v>HP Power Adapter</v>
      </c>
      <c r="G4545" s="159">
        <v>5</v>
      </c>
      <c r="H4545" s="160">
        <f>VLOOKUP(Sales[[#This Row],[Product ID]],Product[#All],7,0)</f>
        <v>4330</v>
      </c>
      <c r="I4545" s="160">
        <f>Sales[[#This Row],[Selling Rate]]*Sales[[#This Row],[Qty]]</f>
        <v>21650</v>
      </c>
      <c r="J4545" s="43">
        <v>0.02</v>
      </c>
      <c r="K4545" s="44">
        <f>Sales[[#This Row],[Gross Amount]]*Sales[[#This Row],[Disc %]]</f>
        <v>433</v>
      </c>
      <c r="L4545" s="43">
        <v>0.18</v>
      </c>
      <c r="M4545" s="44">
        <f>(Sales[[#This Row],[Gross Amount]]-Sales[[#This Row],[Disc. Amt.]])*Sales[[#This Row],[GST %]]</f>
        <v>3819.06</v>
      </c>
      <c r="N4545" s="161">
        <f>Sales[[#This Row],[Gross Amount]]-Sales[[#This Row],[Disc. Amt.]]+Sales[[#This Row],[GST Amount]]</f>
        <v>25036.06</v>
      </c>
      <c r="O4545" s="158" t="s">
        <v>3566</v>
      </c>
      <c r="P4545" s="158" t="s">
        <v>1040</v>
      </c>
      <c r="Q4545" s="160">
        <f>IF(Sales[[#This Row],[Status]]="Cancelled",0,Sales[[#This Row],[Qty]])</f>
        <v>0</v>
      </c>
      <c r="R4545" s="161">
        <f>IF(Sales[[#This Row],[Status]]="Cancelled",0,Sales[[#This Row],[Total Amount]])</f>
        <v>0</v>
      </c>
      <c r="S4545" s="162">
        <f>SUM(Sales[Net Amount])</f>
        <v>406839287.73200053</v>
      </c>
    </row>
    <row r="4546" spans="1:19" ht="18.75" x14ac:dyDescent="0.25">
      <c r="A4546" s="163" t="s">
        <v>8229</v>
      </c>
      <c r="B4546" s="164">
        <v>46001</v>
      </c>
      <c r="C4546" s="34" t="s">
        <v>858</v>
      </c>
      <c r="D4546" s="53" t="str">
        <f>VLOOKUP(Sales[[#This Row],[Customer ID]],Customer[#All],2,0)</f>
        <v>Neha Sharma</v>
      </c>
      <c r="E4546" s="34" t="s">
        <v>423</v>
      </c>
      <c r="F4546" s="34" t="str">
        <f>VLOOKUP(Sales[[#This Row],[Product ID]],Product[#All],2,0)</f>
        <v>HP Laptop</v>
      </c>
      <c r="G4546" s="53">
        <v>2</v>
      </c>
      <c r="H4546" s="165">
        <f>VLOOKUP(Sales[[#This Row],[Product ID]],Product[#All],7,0)</f>
        <v>40880</v>
      </c>
      <c r="I4546" s="165">
        <f>Sales[[#This Row],[Selling Rate]]*Sales[[#This Row],[Qty]]</f>
        <v>81760</v>
      </c>
      <c r="J4546" s="45">
        <v>0.02</v>
      </c>
      <c r="K4546" s="46">
        <f>Sales[[#This Row],[Gross Amount]]*Sales[[#This Row],[Disc %]]</f>
        <v>1635.2</v>
      </c>
      <c r="L4546" s="43">
        <v>0.18</v>
      </c>
      <c r="M4546" s="46">
        <f>(Sales[[#This Row],[Gross Amount]]-Sales[[#This Row],[Disc. Amt.]])*Sales[[#This Row],[GST %]]</f>
        <v>14422.464</v>
      </c>
      <c r="N4546" s="161">
        <f>Sales[[#This Row],[Gross Amount]]-Sales[[#This Row],[Disc. Amt.]]+Sales[[#This Row],[GST Amount]]</f>
        <v>94547.263999999996</v>
      </c>
      <c r="O4546" s="34" t="s">
        <v>3566</v>
      </c>
      <c r="P4546" s="34" t="s">
        <v>3562</v>
      </c>
      <c r="Q4546" s="165">
        <f>IF(Sales[[#This Row],[Status]]="Cancelled",0,Sales[[#This Row],[Qty]])</f>
        <v>2</v>
      </c>
      <c r="R4546" s="166">
        <f>IF(Sales[[#This Row],[Status]]="Cancelled",0,Sales[[#This Row],[Total Amount]])</f>
        <v>94547.263999999996</v>
      </c>
      <c r="S4546" s="162">
        <f>SUM(Sales[Net Amount])</f>
        <v>406839287.73200053</v>
      </c>
    </row>
    <row r="4547" spans="1:19" ht="18.75" x14ac:dyDescent="0.25">
      <c r="A4547" s="156" t="s">
        <v>8230</v>
      </c>
      <c r="B4547" s="157">
        <v>46001</v>
      </c>
      <c r="C4547" s="158" t="s">
        <v>919</v>
      </c>
      <c r="D4547" s="159" t="str">
        <f>VLOOKUP(Sales[[#This Row],[Customer ID]],Customer[#All],2,0)</f>
        <v>Pooja Patel</v>
      </c>
      <c r="E4547" s="158" t="s">
        <v>401</v>
      </c>
      <c r="F4547" s="158" t="str">
        <f>VLOOKUP(Sales[[#This Row],[Product ID]],Product[#All],2,0)</f>
        <v>Amazon Basics Hdmi Cable</v>
      </c>
      <c r="G4547" s="159">
        <v>4</v>
      </c>
      <c r="H4547" s="160">
        <f>VLOOKUP(Sales[[#This Row],[Product ID]],Product[#All],7,0)</f>
        <v>670</v>
      </c>
      <c r="I4547" s="160">
        <f>Sales[[#This Row],[Selling Rate]]*Sales[[#This Row],[Qty]]</f>
        <v>2680</v>
      </c>
      <c r="J4547" s="43">
        <v>0.05</v>
      </c>
      <c r="K4547" s="44">
        <f>Sales[[#This Row],[Gross Amount]]*Sales[[#This Row],[Disc %]]</f>
        <v>134</v>
      </c>
      <c r="L4547" s="43">
        <v>0.18</v>
      </c>
      <c r="M4547" s="44">
        <f>(Sales[[#This Row],[Gross Amount]]-Sales[[#This Row],[Disc. Amt.]])*Sales[[#This Row],[GST %]]</f>
        <v>458.28</v>
      </c>
      <c r="N4547" s="161">
        <f>Sales[[#This Row],[Gross Amount]]-Sales[[#This Row],[Disc. Amt.]]+Sales[[#This Row],[GST Amount]]</f>
        <v>3004.2799999999997</v>
      </c>
      <c r="O4547" s="158" t="s">
        <v>3561</v>
      </c>
      <c r="P4547" s="158" t="s">
        <v>3562</v>
      </c>
      <c r="Q4547" s="160">
        <f>IF(Sales[[#This Row],[Status]]="Cancelled",0,Sales[[#This Row],[Qty]])</f>
        <v>4</v>
      </c>
      <c r="R4547" s="161">
        <f>IF(Sales[[#This Row],[Status]]="Cancelled",0,Sales[[#This Row],[Total Amount]])</f>
        <v>3004.2799999999997</v>
      </c>
      <c r="S4547" s="162">
        <f>SUM(Sales[Net Amount])</f>
        <v>406839287.73200053</v>
      </c>
    </row>
    <row r="4548" spans="1:19" ht="18.75" x14ac:dyDescent="0.25">
      <c r="A4548" s="163" t="s">
        <v>8231</v>
      </c>
      <c r="B4548" s="164">
        <v>46001</v>
      </c>
      <c r="C4548" s="34" t="s">
        <v>874</v>
      </c>
      <c r="D4548" s="53" t="str">
        <f>VLOOKUP(Sales[[#This Row],[Customer ID]],Customer[#All],2,0)</f>
        <v>Vikas Sharma</v>
      </c>
      <c r="E4548" s="34" t="s">
        <v>208</v>
      </c>
      <c r="F4548" s="34" t="str">
        <f>VLOOKUP(Sales[[#This Row],[Product ID]],Product[#All],2,0)</f>
        <v>Dell Laptop</v>
      </c>
      <c r="G4548" s="53">
        <v>8</v>
      </c>
      <c r="H4548" s="165">
        <f>VLOOKUP(Sales[[#This Row],[Product ID]],Product[#All],7,0)</f>
        <v>67000</v>
      </c>
      <c r="I4548" s="165">
        <f>Sales[[#This Row],[Selling Rate]]*Sales[[#This Row],[Qty]]</f>
        <v>536000</v>
      </c>
      <c r="J4548" s="45">
        <v>0.12</v>
      </c>
      <c r="K4548" s="46">
        <f>Sales[[#This Row],[Gross Amount]]*Sales[[#This Row],[Disc %]]</f>
        <v>64320</v>
      </c>
      <c r="L4548" s="43">
        <v>0.18</v>
      </c>
      <c r="M4548" s="46">
        <f>(Sales[[#This Row],[Gross Amount]]-Sales[[#This Row],[Disc. Amt.]])*Sales[[#This Row],[GST %]]</f>
        <v>84902.399999999994</v>
      </c>
      <c r="N4548" s="161">
        <f>Sales[[#This Row],[Gross Amount]]-Sales[[#This Row],[Disc. Amt.]]+Sales[[#This Row],[GST Amount]]</f>
        <v>556582.40000000002</v>
      </c>
      <c r="O4548" s="34" t="s">
        <v>8876</v>
      </c>
      <c r="P4548" s="34" t="s">
        <v>3562</v>
      </c>
      <c r="Q4548" s="165">
        <f>IF(Sales[[#This Row],[Status]]="Cancelled",0,Sales[[#This Row],[Qty]])</f>
        <v>8</v>
      </c>
      <c r="R4548" s="166">
        <f>IF(Sales[[#This Row],[Status]]="Cancelled",0,Sales[[#This Row],[Total Amount]])</f>
        <v>556582.40000000002</v>
      </c>
      <c r="S4548" s="162">
        <f>SUM(Sales[Net Amount])</f>
        <v>406839287.73200053</v>
      </c>
    </row>
    <row r="4549" spans="1:19" ht="18.75" x14ac:dyDescent="0.25">
      <c r="A4549" s="156" t="s">
        <v>8232</v>
      </c>
      <c r="B4549" s="157">
        <v>46001</v>
      </c>
      <c r="C4549" s="158" t="s">
        <v>901</v>
      </c>
      <c r="D4549" s="159" t="str">
        <f>VLOOKUP(Sales[[#This Row],[Customer ID]],Customer[#All],2,0)</f>
        <v>Vikas Kumar</v>
      </c>
      <c r="E4549" s="158" t="s">
        <v>303</v>
      </c>
      <c r="F4549" s="158" t="str">
        <f>VLOOKUP(Sales[[#This Row],[Product ID]],Product[#All],2,0)</f>
        <v>Crucial Ssd</v>
      </c>
      <c r="G4549" s="159">
        <v>3</v>
      </c>
      <c r="H4549" s="160">
        <f>VLOOKUP(Sales[[#This Row],[Product ID]],Product[#All],7,0)</f>
        <v>7740</v>
      </c>
      <c r="I4549" s="160">
        <f>Sales[[#This Row],[Selling Rate]]*Sales[[#This Row],[Qty]]</f>
        <v>23220</v>
      </c>
      <c r="J4549" s="43">
        <v>0.1</v>
      </c>
      <c r="K4549" s="44">
        <f>Sales[[#This Row],[Gross Amount]]*Sales[[#This Row],[Disc %]]</f>
        <v>2322</v>
      </c>
      <c r="L4549" s="43">
        <v>0.18</v>
      </c>
      <c r="M4549" s="44">
        <f>(Sales[[#This Row],[Gross Amount]]-Sales[[#This Row],[Disc. Amt.]])*Sales[[#This Row],[GST %]]</f>
        <v>3761.64</v>
      </c>
      <c r="N4549" s="161">
        <f>Sales[[#This Row],[Gross Amount]]-Sales[[#This Row],[Disc. Amt.]]+Sales[[#This Row],[GST Amount]]</f>
        <v>24659.64</v>
      </c>
      <c r="O4549" s="158" t="s">
        <v>3569</v>
      </c>
      <c r="P4549" s="158" t="s">
        <v>3562</v>
      </c>
      <c r="Q4549" s="160">
        <f>IF(Sales[[#This Row],[Status]]="Cancelled",0,Sales[[#This Row],[Qty]])</f>
        <v>3</v>
      </c>
      <c r="R4549" s="161">
        <f>IF(Sales[[#This Row],[Status]]="Cancelled",0,Sales[[#This Row],[Total Amount]])</f>
        <v>24659.64</v>
      </c>
      <c r="S4549" s="162">
        <f>SUM(Sales[Net Amount])</f>
        <v>406839287.73200053</v>
      </c>
    </row>
    <row r="4550" spans="1:19" ht="18.75" x14ac:dyDescent="0.25">
      <c r="A4550" s="163" t="s">
        <v>8233</v>
      </c>
      <c r="B4550" s="164">
        <v>46001</v>
      </c>
      <c r="C4550" s="34" t="s">
        <v>654</v>
      </c>
      <c r="D4550" s="53" t="str">
        <f>VLOOKUP(Sales[[#This Row],[Customer ID]],Customer[#All],2,0)</f>
        <v>Sunita Verma</v>
      </c>
      <c r="E4550" s="34" t="s">
        <v>18</v>
      </c>
      <c r="F4550" s="34" t="str">
        <f>VLOOKUP(Sales[[#This Row],[Product ID]],Product[#All],2,0)</f>
        <v>TP-link Bluetooth Adapter</v>
      </c>
      <c r="G4550" s="53">
        <v>3</v>
      </c>
      <c r="H4550" s="165">
        <f>VLOOKUP(Sales[[#This Row],[Product ID]],Product[#All],7,0)</f>
        <v>870</v>
      </c>
      <c r="I4550" s="165">
        <f>Sales[[#This Row],[Selling Rate]]*Sales[[#This Row],[Qty]]</f>
        <v>2610</v>
      </c>
      <c r="J4550" s="45">
        <v>0.05</v>
      </c>
      <c r="K4550" s="46">
        <f>Sales[[#This Row],[Gross Amount]]*Sales[[#This Row],[Disc %]]</f>
        <v>130.5</v>
      </c>
      <c r="L4550" s="43">
        <v>0.18</v>
      </c>
      <c r="M4550" s="46">
        <f>(Sales[[#This Row],[Gross Amount]]-Sales[[#This Row],[Disc. Amt.]])*Sales[[#This Row],[GST %]]</f>
        <v>446.31</v>
      </c>
      <c r="N4550" s="161">
        <f>Sales[[#This Row],[Gross Amount]]-Sales[[#This Row],[Disc. Amt.]]+Sales[[#This Row],[GST Amount]]</f>
        <v>2925.81</v>
      </c>
      <c r="O4550" s="34" t="s">
        <v>3569</v>
      </c>
      <c r="P4550" s="34" t="s">
        <v>3562</v>
      </c>
      <c r="Q4550" s="165">
        <f>IF(Sales[[#This Row],[Status]]="Cancelled",0,Sales[[#This Row],[Qty]])</f>
        <v>3</v>
      </c>
      <c r="R4550" s="166">
        <f>IF(Sales[[#This Row],[Status]]="Cancelled",0,Sales[[#This Row],[Total Amount]])</f>
        <v>2925.81</v>
      </c>
      <c r="S4550" s="162">
        <f>SUM(Sales[Net Amount])</f>
        <v>406839287.73200053</v>
      </c>
    </row>
    <row r="4551" spans="1:19" ht="18.75" x14ac:dyDescent="0.25">
      <c r="A4551" s="156" t="s">
        <v>8234</v>
      </c>
      <c r="B4551" s="157">
        <v>46001</v>
      </c>
      <c r="C4551" s="158" t="s">
        <v>693</v>
      </c>
      <c r="D4551" s="159" t="str">
        <f>VLOOKUP(Sales[[#This Row],[Customer ID]],Customer[#All],2,0)</f>
        <v>Rahul Gupta</v>
      </c>
      <c r="E4551" s="158" t="s">
        <v>450</v>
      </c>
      <c r="F4551" s="158" t="str">
        <f>VLOOKUP(Sales[[#This Row],[Product ID]],Product[#All],2,0)</f>
        <v>TP-link Bluetooth Adapter</v>
      </c>
      <c r="G4551" s="159">
        <v>5</v>
      </c>
      <c r="H4551" s="160">
        <f>VLOOKUP(Sales[[#This Row],[Product ID]],Product[#All],7,0)</f>
        <v>1270</v>
      </c>
      <c r="I4551" s="160">
        <f>Sales[[#This Row],[Selling Rate]]*Sales[[#This Row],[Qty]]</f>
        <v>6350</v>
      </c>
      <c r="J4551" s="43">
        <v>0.05</v>
      </c>
      <c r="K4551" s="44">
        <f>Sales[[#This Row],[Gross Amount]]*Sales[[#This Row],[Disc %]]</f>
        <v>317.5</v>
      </c>
      <c r="L4551" s="43">
        <v>0.18</v>
      </c>
      <c r="M4551" s="44">
        <f>(Sales[[#This Row],[Gross Amount]]-Sales[[#This Row],[Disc. Amt.]])*Sales[[#This Row],[GST %]]</f>
        <v>1085.8499999999999</v>
      </c>
      <c r="N4551" s="161">
        <f>Sales[[#This Row],[Gross Amount]]-Sales[[#This Row],[Disc. Amt.]]+Sales[[#This Row],[GST Amount]]</f>
        <v>7118.35</v>
      </c>
      <c r="O4551" s="158" t="s">
        <v>8876</v>
      </c>
      <c r="P4551" s="158" t="s">
        <v>3562</v>
      </c>
      <c r="Q4551" s="160">
        <f>IF(Sales[[#This Row],[Status]]="Cancelled",0,Sales[[#This Row],[Qty]])</f>
        <v>5</v>
      </c>
      <c r="R4551" s="161">
        <f>IF(Sales[[#This Row],[Status]]="Cancelled",0,Sales[[#This Row],[Total Amount]])</f>
        <v>7118.35</v>
      </c>
      <c r="S4551" s="162">
        <f>SUM(Sales[Net Amount])</f>
        <v>406839287.73200053</v>
      </c>
    </row>
    <row r="4552" spans="1:19" ht="18.75" x14ac:dyDescent="0.25">
      <c r="A4552" s="163" t="s">
        <v>8235</v>
      </c>
      <c r="B4552" s="164">
        <v>46001</v>
      </c>
      <c r="C4552" s="34" t="s">
        <v>685</v>
      </c>
      <c r="D4552" s="53" t="str">
        <f>VLOOKUP(Sales[[#This Row],[Customer ID]],Customer[#All],2,0)</f>
        <v>Pooja Kumar</v>
      </c>
      <c r="E4552" s="34" t="s">
        <v>80</v>
      </c>
      <c r="F4552" s="34" t="str">
        <f>VLOOKUP(Sales[[#This Row],[Product ID]],Product[#All],2,0)</f>
        <v>Epson Printer</v>
      </c>
      <c r="G4552" s="53">
        <v>5</v>
      </c>
      <c r="H4552" s="165">
        <f>VLOOKUP(Sales[[#This Row],[Product ID]],Product[#All],7,0)</f>
        <v>41620</v>
      </c>
      <c r="I4552" s="165">
        <f>Sales[[#This Row],[Selling Rate]]*Sales[[#This Row],[Qty]]</f>
        <v>208100</v>
      </c>
      <c r="J4552" s="45">
        <v>0</v>
      </c>
      <c r="K4552" s="46">
        <f>Sales[[#This Row],[Gross Amount]]*Sales[[#This Row],[Disc %]]</f>
        <v>0</v>
      </c>
      <c r="L4552" s="43">
        <v>0.18</v>
      </c>
      <c r="M4552" s="46">
        <f>(Sales[[#This Row],[Gross Amount]]-Sales[[#This Row],[Disc. Amt.]])*Sales[[#This Row],[GST %]]</f>
        <v>37458</v>
      </c>
      <c r="N4552" s="161">
        <f>Sales[[#This Row],[Gross Amount]]-Sales[[#This Row],[Disc. Amt.]]+Sales[[#This Row],[GST Amount]]</f>
        <v>245558</v>
      </c>
      <c r="O4552" s="34" t="s">
        <v>8876</v>
      </c>
      <c r="P4552" s="34" t="s">
        <v>3562</v>
      </c>
      <c r="Q4552" s="165">
        <f>IF(Sales[[#This Row],[Status]]="Cancelled",0,Sales[[#This Row],[Qty]])</f>
        <v>5</v>
      </c>
      <c r="R4552" s="166">
        <f>IF(Sales[[#This Row],[Status]]="Cancelled",0,Sales[[#This Row],[Total Amount]])</f>
        <v>245558</v>
      </c>
      <c r="S4552" s="162">
        <f>SUM(Sales[Net Amount])</f>
        <v>406839287.73200053</v>
      </c>
    </row>
    <row r="4553" spans="1:19" ht="18.75" x14ac:dyDescent="0.25">
      <c r="A4553" s="156" t="s">
        <v>8236</v>
      </c>
      <c r="B4553" s="157">
        <v>46001</v>
      </c>
      <c r="C4553" s="158" t="s">
        <v>854</v>
      </c>
      <c r="D4553" s="159" t="str">
        <f>VLOOKUP(Sales[[#This Row],[Customer ID]],Customer[#All],2,0)</f>
        <v>Neha Sharma</v>
      </c>
      <c r="E4553" s="158" t="s">
        <v>477</v>
      </c>
      <c r="F4553" s="158" t="str">
        <f>VLOOKUP(Sales[[#This Row],[Product ID]],Product[#All],2,0)</f>
        <v>Epson Printer</v>
      </c>
      <c r="G4553" s="159">
        <v>7</v>
      </c>
      <c r="H4553" s="160">
        <f>VLOOKUP(Sales[[#This Row],[Product ID]],Product[#All],7,0)</f>
        <v>17550</v>
      </c>
      <c r="I4553" s="160">
        <f>Sales[[#This Row],[Selling Rate]]*Sales[[#This Row],[Qty]]</f>
        <v>122850</v>
      </c>
      <c r="J4553" s="43">
        <v>0.1</v>
      </c>
      <c r="K4553" s="44">
        <f>Sales[[#This Row],[Gross Amount]]*Sales[[#This Row],[Disc %]]</f>
        <v>12285</v>
      </c>
      <c r="L4553" s="43">
        <v>0.18</v>
      </c>
      <c r="M4553" s="44">
        <f>(Sales[[#This Row],[Gross Amount]]-Sales[[#This Row],[Disc. Amt.]])*Sales[[#This Row],[GST %]]</f>
        <v>19901.7</v>
      </c>
      <c r="N4553" s="161">
        <f>Sales[[#This Row],[Gross Amount]]-Sales[[#This Row],[Disc. Amt.]]+Sales[[#This Row],[GST Amount]]</f>
        <v>130466.7</v>
      </c>
      <c r="O4553" s="158" t="s">
        <v>3566</v>
      </c>
      <c r="P4553" s="158" t="s">
        <v>3562</v>
      </c>
      <c r="Q4553" s="160">
        <f>IF(Sales[[#This Row],[Status]]="Cancelled",0,Sales[[#This Row],[Qty]])</f>
        <v>7</v>
      </c>
      <c r="R4553" s="161">
        <f>IF(Sales[[#This Row],[Status]]="Cancelled",0,Sales[[#This Row],[Total Amount]])</f>
        <v>130466.7</v>
      </c>
      <c r="S4553" s="162">
        <f>SUM(Sales[Net Amount])</f>
        <v>406839287.73200053</v>
      </c>
    </row>
    <row r="4554" spans="1:19" ht="18.75" x14ac:dyDescent="0.25">
      <c r="A4554" s="163" t="s">
        <v>8237</v>
      </c>
      <c r="B4554" s="164">
        <v>46001</v>
      </c>
      <c r="C4554" s="34" t="s">
        <v>808</v>
      </c>
      <c r="D4554" s="53" t="str">
        <f>VLOOKUP(Sales[[#This Row],[Customer ID]],Customer[#All],2,0)</f>
        <v>Rahul Singh</v>
      </c>
      <c r="E4554" s="34" t="s">
        <v>57</v>
      </c>
      <c r="F4554" s="34" t="str">
        <f>VLOOKUP(Sales[[#This Row],[Product ID]],Product[#All],2,0)</f>
        <v>Dell Desktop</v>
      </c>
      <c r="G4554" s="53">
        <v>8</v>
      </c>
      <c r="H4554" s="165">
        <f>VLOOKUP(Sales[[#This Row],[Product ID]],Product[#All],7,0)</f>
        <v>56600</v>
      </c>
      <c r="I4554" s="165">
        <f>Sales[[#This Row],[Selling Rate]]*Sales[[#This Row],[Qty]]</f>
        <v>452800</v>
      </c>
      <c r="J4554" s="45">
        <v>0.05</v>
      </c>
      <c r="K4554" s="46">
        <f>Sales[[#This Row],[Gross Amount]]*Sales[[#This Row],[Disc %]]</f>
        <v>22640</v>
      </c>
      <c r="L4554" s="43">
        <v>0.18</v>
      </c>
      <c r="M4554" s="46">
        <f>(Sales[[#This Row],[Gross Amount]]-Sales[[#This Row],[Disc. Amt.]])*Sales[[#This Row],[GST %]]</f>
        <v>77428.800000000003</v>
      </c>
      <c r="N4554" s="161">
        <f>Sales[[#This Row],[Gross Amount]]-Sales[[#This Row],[Disc. Amt.]]+Sales[[#This Row],[GST Amount]]</f>
        <v>507588.8</v>
      </c>
      <c r="O4554" s="34" t="s">
        <v>3569</v>
      </c>
      <c r="P4554" s="34" t="s">
        <v>3562</v>
      </c>
      <c r="Q4554" s="165">
        <f>IF(Sales[[#This Row],[Status]]="Cancelled",0,Sales[[#This Row],[Qty]])</f>
        <v>8</v>
      </c>
      <c r="R4554" s="166">
        <f>IF(Sales[[#This Row],[Status]]="Cancelled",0,Sales[[#This Row],[Total Amount]])</f>
        <v>507588.8</v>
      </c>
      <c r="S4554" s="162">
        <f>SUM(Sales[Net Amount])</f>
        <v>406839287.73200053</v>
      </c>
    </row>
    <row r="4555" spans="1:19" ht="18.75" x14ac:dyDescent="0.25">
      <c r="A4555" s="156" t="s">
        <v>8238</v>
      </c>
      <c r="B4555" s="157">
        <v>46001</v>
      </c>
      <c r="C4555" s="158" t="s">
        <v>679</v>
      </c>
      <c r="D4555" s="159" t="str">
        <f>VLOOKUP(Sales[[#This Row],[Customer ID]],Customer[#All],2,0)</f>
        <v>Rahul Singh</v>
      </c>
      <c r="E4555" s="158" t="s">
        <v>453</v>
      </c>
      <c r="F4555" s="158" t="str">
        <f>VLOOKUP(Sales[[#This Row],[Product ID]],Product[#All],2,0)</f>
        <v>American TouristerLaptopBag</v>
      </c>
      <c r="G4555" s="159">
        <v>2</v>
      </c>
      <c r="H4555" s="160">
        <f>VLOOKUP(Sales[[#This Row],[Product ID]],Product[#All],7,0)</f>
        <v>3050</v>
      </c>
      <c r="I4555" s="160">
        <f>Sales[[#This Row],[Selling Rate]]*Sales[[#This Row],[Qty]]</f>
        <v>6100</v>
      </c>
      <c r="J4555" s="43">
        <v>0.15</v>
      </c>
      <c r="K4555" s="44">
        <f>Sales[[#This Row],[Gross Amount]]*Sales[[#This Row],[Disc %]]</f>
        <v>915</v>
      </c>
      <c r="L4555" s="43">
        <v>0.18</v>
      </c>
      <c r="M4555" s="44">
        <f>(Sales[[#This Row],[Gross Amount]]-Sales[[#This Row],[Disc. Amt.]])*Sales[[#This Row],[GST %]]</f>
        <v>933.3</v>
      </c>
      <c r="N4555" s="161">
        <f>Sales[[#This Row],[Gross Amount]]-Sales[[#This Row],[Disc. Amt.]]+Sales[[#This Row],[GST Amount]]</f>
        <v>6118.3</v>
      </c>
      <c r="O4555" s="158" t="s">
        <v>3561</v>
      </c>
      <c r="P4555" s="158" t="s">
        <v>3562</v>
      </c>
      <c r="Q4555" s="160">
        <f>IF(Sales[[#This Row],[Status]]="Cancelled",0,Sales[[#This Row],[Qty]])</f>
        <v>2</v>
      </c>
      <c r="R4555" s="161">
        <f>IF(Sales[[#This Row],[Status]]="Cancelled",0,Sales[[#This Row],[Total Amount]])</f>
        <v>6118.3</v>
      </c>
      <c r="S4555" s="162">
        <f>SUM(Sales[Net Amount])</f>
        <v>406839287.73200053</v>
      </c>
    </row>
    <row r="4556" spans="1:19" ht="18.75" x14ac:dyDescent="0.25">
      <c r="A4556" s="163" t="s">
        <v>8239</v>
      </c>
      <c r="B4556" s="164">
        <v>46001</v>
      </c>
      <c r="C4556" s="34" t="s">
        <v>803</v>
      </c>
      <c r="D4556" s="53" t="str">
        <f>VLOOKUP(Sales[[#This Row],[Customer ID]],Customer[#All],2,0)</f>
        <v>Pooja Singh</v>
      </c>
      <c r="E4556" s="34" t="s">
        <v>126</v>
      </c>
      <c r="F4556" s="34" t="str">
        <f>VLOOKUP(Sales[[#This Row],[Product ID]],Product[#All],2,0)</f>
        <v>Epson Printer</v>
      </c>
      <c r="G4556" s="53">
        <v>2</v>
      </c>
      <c r="H4556" s="165">
        <f>VLOOKUP(Sales[[#This Row],[Product ID]],Product[#All],7,0)</f>
        <v>23980</v>
      </c>
      <c r="I4556" s="165">
        <f>Sales[[#This Row],[Selling Rate]]*Sales[[#This Row],[Qty]]</f>
        <v>47960</v>
      </c>
      <c r="J4556" s="45">
        <v>0.02</v>
      </c>
      <c r="K4556" s="46">
        <f>Sales[[#This Row],[Gross Amount]]*Sales[[#This Row],[Disc %]]</f>
        <v>959.2</v>
      </c>
      <c r="L4556" s="43">
        <v>0.18</v>
      </c>
      <c r="M4556" s="46">
        <f>(Sales[[#This Row],[Gross Amount]]-Sales[[#This Row],[Disc. Amt.]])*Sales[[#This Row],[GST %]]</f>
        <v>8460.1440000000002</v>
      </c>
      <c r="N4556" s="161">
        <f>Sales[[#This Row],[Gross Amount]]-Sales[[#This Row],[Disc. Amt.]]+Sales[[#This Row],[GST Amount]]</f>
        <v>55460.944000000003</v>
      </c>
      <c r="O4556" s="34" t="s">
        <v>3569</v>
      </c>
      <c r="P4556" s="34" t="s">
        <v>3562</v>
      </c>
      <c r="Q4556" s="165">
        <f>IF(Sales[[#This Row],[Status]]="Cancelled",0,Sales[[#This Row],[Qty]])</f>
        <v>2</v>
      </c>
      <c r="R4556" s="166">
        <f>IF(Sales[[#This Row],[Status]]="Cancelled",0,Sales[[#This Row],[Total Amount]])</f>
        <v>55460.944000000003</v>
      </c>
      <c r="S4556" s="162">
        <f>SUM(Sales[Net Amount])</f>
        <v>406839287.73200053</v>
      </c>
    </row>
    <row r="4557" spans="1:19" ht="18.75" x14ac:dyDescent="0.25">
      <c r="A4557" s="156" t="s">
        <v>8240</v>
      </c>
      <c r="B4557" s="157">
        <v>46001</v>
      </c>
      <c r="C4557" s="158" t="s">
        <v>817</v>
      </c>
      <c r="D4557" s="159" t="str">
        <f>VLOOKUP(Sales[[#This Row],[Customer ID]],Customer[#All],2,0)</f>
        <v>Ankit Patel</v>
      </c>
      <c r="E4557" s="158" t="s">
        <v>378</v>
      </c>
      <c r="F4557" s="158" t="str">
        <f>VLOOKUP(Sales[[#This Row],[Product ID]],Product[#All],2,0)</f>
        <v>Kingston Ram</v>
      </c>
      <c r="G4557" s="159">
        <v>4</v>
      </c>
      <c r="H4557" s="160">
        <f>VLOOKUP(Sales[[#This Row],[Product ID]],Product[#All],7,0)</f>
        <v>4420</v>
      </c>
      <c r="I4557" s="160">
        <f>Sales[[#This Row],[Selling Rate]]*Sales[[#This Row],[Qty]]</f>
        <v>17680</v>
      </c>
      <c r="J4557" s="43">
        <v>0.1</v>
      </c>
      <c r="K4557" s="44">
        <f>Sales[[#This Row],[Gross Amount]]*Sales[[#This Row],[Disc %]]</f>
        <v>1768</v>
      </c>
      <c r="L4557" s="43">
        <v>0.18</v>
      </c>
      <c r="M4557" s="44">
        <f>(Sales[[#This Row],[Gross Amount]]-Sales[[#This Row],[Disc. Amt.]])*Sales[[#This Row],[GST %]]</f>
        <v>2864.16</v>
      </c>
      <c r="N4557" s="161">
        <f>Sales[[#This Row],[Gross Amount]]-Sales[[#This Row],[Disc. Amt.]]+Sales[[#This Row],[GST Amount]]</f>
        <v>18776.16</v>
      </c>
      <c r="O4557" s="158" t="s">
        <v>3561</v>
      </c>
      <c r="P4557" s="158" t="s">
        <v>3562</v>
      </c>
      <c r="Q4557" s="160">
        <f>IF(Sales[[#This Row],[Status]]="Cancelled",0,Sales[[#This Row],[Qty]])</f>
        <v>4</v>
      </c>
      <c r="R4557" s="161">
        <f>IF(Sales[[#This Row],[Status]]="Cancelled",0,Sales[[#This Row],[Total Amount]])</f>
        <v>18776.16</v>
      </c>
      <c r="S4557" s="162">
        <f>SUM(Sales[Net Amount])</f>
        <v>406839287.73200053</v>
      </c>
    </row>
    <row r="4558" spans="1:19" ht="18.75" x14ac:dyDescent="0.25">
      <c r="A4558" s="163" t="s">
        <v>8241</v>
      </c>
      <c r="B4558" s="164">
        <v>46001</v>
      </c>
      <c r="C4558" s="34" t="s">
        <v>927</v>
      </c>
      <c r="D4558" s="53" t="str">
        <f>VLOOKUP(Sales[[#This Row],[Customer ID]],Customer[#All],2,0)</f>
        <v>Sunita Patel</v>
      </c>
      <c r="E4558" s="34" t="s">
        <v>270</v>
      </c>
      <c r="F4558" s="34" t="str">
        <f>VLOOKUP(Sales[[#This Row],[Product ID]],Product[#All],2,0)</f>
        <v>Samsung Ssd</v>
      </c>
      <c r="G4558" s="53">
        <v>2</v>
      </c>
      <c r="H4558" s="165">
        <f>VLOOKUP(Sales[[#This Row],[Product ID]],Product[#All],7,0)</f>
        <v>6090</v>
      </c>
      <c r="I4558" s="165">
        <f>Sales[[#This Row],[Selling Rate]]*Sales[[#This Row],[Qty]]</f>
        <v>12180</v>
      </c>
      <c r="J4558" s="45">
        <v>0.02</v>
      </c>
      <c r="K4558" s="46">
        <f>Sales[[#This Row],[Gross Amount]]*Sales[[#This Row],[Disc %]]</f>
        <v>243.6</v>
      </c>
      <c r="L4558" s="43">
        <v>0.18</v>
      </c>
      <c r="M4558" s="46">
        <f>(Sales[[#This Row],[Gross Amount]]-Sales[[#This Row],[Disc. Amt.]])*Sales[[#This Row],[GST %]]</f>
        <v>2148.5519999999997</v>
      </c>
      <c r="N4558" s="161">
        <f>Sales[[#This Row],[Gross Amount]]-Sales[[#This Row],[Disc. Amt.]]+Sales[[#This Row],[GST Amount]]</f>
        <v>14084.951999999999</v>
      </c>
      <c r="O4558" s="34" t="s">
        <v>8876</v>
      </c>
      <c r="P4558" s="34" t="s">
        <v>1040</v>
      </c>
      <c r="Q4558" s="165">
        <f>IF(Sales[[#This Row],[Status]]="Cancelled",0,Sales[[#This Row],[Qty]])</f>
        <v>0</v>
      </c>
      <c r="R4558" s="166">
        <f>IF(Sales[[#This Row],[Status]]="Cancelled",0,Sales[[#This Row],[Total Amount]])</f>
        <v>0</v>
      </c>
      <c r="S4558" s="162">
        <f>SUM(Sales[Net Amount])</f>
        <v>406839287.73200053</v>
      </c>
    </row>
    <row r="4559" spans="1:19" ht="18.75" x14ac:dyDescent="0.25">
      <c r="A4559" s="156" t="s">
        <v>8242</v>
      </c>
      <c r="B4559" s="157">
        <v>46001</v>
      </c>
      <c r="C4559" s="158" t="s">
        <v>826</v>
      </c>
      <c r="D4559" s="159" t="str">
        <f>VLOOKUP(Sales[[#This Row],[Customer ID]],Customer[#All],2,0)</f>
        <v>Sahil Sharma</v>
      </c>
      <c r="E4559" s="158" t="s">
        <v>296</v>
      </c>
      <c r="F4559" s="158" t="str">
        <f>VLOOKUP(Sales[[#This Row],[Product ID]],Product[#All],2,0)</f>
        <v>Logitech Webcam</v>
      </c>
      <c r="G4559" s="159">
        <v>1</v>
      </c>
      <c r="H4559" s="160">
        <f>VLOOKUP(Sales[[#This Row],[Product ID]],Product[#All],7,0)</f>
        <v>6060</v>
      </c>
      <c r="I4559" s="160">
        <f>Sales[[#This Row],[Selling Rate]]*Sales[[#This Row],[Qty]]</f>
        <v>6060</v>
      </c>
      <c r="J4559" s="43">
        <v>0.15</v>
      </c>
      <c r="K4559" s="44">
        <f>Sales[[#This Row],[Gross Amount]]*Sales[[#This Row],[Disc %]]</f>
        <v>909</v>
      </c>
      <c r="L4559" s="43">
        <v>0.18</v>
      </c>
      <c r="M4559" s="44">
        <f>(Sales[[#This Row],[Gross Amount]]-Sales[[#This Row],[Disc. Amt.]])*Sales[[#This Row],[GST %]]</f>
        <v>927.18</v>
      </c>
      <c r="N4559" s="161">
        <f>Sales[[#This Row],[Gross Amount]]-Sales[[#This Row],[Disc. Amt.]]+Sales[[#This Row],[GST Amount]]</f>
        <v>6078.18</v>
      </c>
      <c r="O4559" s="158" t="s">
        <v>3566</v>
      </c>
      <c r="P4559" s="158" t="s">
        <v>3562</v>
      </c>
      <c r="Q4559" s="160">
        <f>IF(Sales[[#This Row],[Status]]="Cancelled",0,Sales[[#This Row],[Qty]])</f>
        <v>1</v>
      </c>
      <c r="R4559" s="161">
        <f>IF(Sales[[#This Row],[Status]]="Cancelled",0,Sales[[#This Row],[Total Amount]])</f>
        <v>6078.18</v>
      </c>
      <c r="S4559" s="162">
        <f>SUM(Sales[Net Amount])</f>
        <v>406839287.73200053</v>
      </c>
    </row>
    <row r="4560" spans="1:19" ht="18.75" x14ac:dyDescent="0.25">
      <c r="A4560" s="163" t="s">
        <v>8243</v>
      </c>
      <c r="B4560" s="164">
        <v>46002</v>
      </c>
      <c r="C4560" s="34" t="s">
        <v>933</v>
      </c>
      <c r="D4560" s="53" t="str">
        <f>VLOOKUP(Sales[[#This Row],[Customer ID]],Customer[#All],2,0)</f>
        <v>Vikas Verma</v>
      </c>
      <c r="E4560" s="34" t="s">
        <v>489</v>
      </c>
      <c r="F4560" s="34" t="str">
        <f>VLOOKUP(Sales[[#This Row],[Product ID]],Product[#All],2,0)</f>
        <v>Microtek UPS</v>
      </c>
      <c r="G4560" s="53">
        <v>3</v>
      </c>
      <c r="H4560" s="165">
        <f>VLOOKUP(Sales[[#This Row],[Product ID]],Product[#All],7,0)</f>
        <v>8040</v>
      </c>
      <c r="I4560" s="165">
        <f>Sales[[#This Row],[Selling Rate]]*Sales[[#This Row],[Qty]]</f>
        <v>24120</v>
      </c>
      <c r="J4560" s="45">
        <v>0</v>
      </c>
      <c r="K4560" s="46">
        <f>Sales[[#This Row],[Gross Amount]]*Sales[[#This Row],[Disc %]]</f>
        <v>0</v>
      </c>
      <c r="L4560" s="43">
        <v>0.18</v>
      </c>
      <c r="M4560" s="46">
        <f>(Sales[[#This Row],[Gross Amount]]-Sales[[#This Row],[Disc. Amt.]])*Sales[[#This Row],[GST %]]</f>
        <v>4341.5999999999995</v>
      </c>
      <c r="N4560" s="161">
        <f>Sales[[#This Row],[Gross Amount]]-Sales[[#This Row],[Disc. Amt.]]+Sales[[#This Row],[GST Amount]]</f>
        <v>28461.599999999999</v>
      </c>
      <c r="O4560" s="34" t="s">
        <v>3569</v>
      </c>
      <c r="P4560" s="34" t="s">
        <v>3562</v>
      </c>
      <c r="Q4560" s="165">
        <f>IF(Sales[[#This Row],[Status]]="Cancelled",0,Sales[[#This Row],[Qty]])</f>
        <v>3</v>
      </c>
      <c r="R4560" s="166">
        <f>IF(Sales[[#This Row],[Status]]="Cancelled",0,Sales[[#This Row],[Total Amount]])</f>
        <v>28461.599999999999</v>
      </c>
      <c r="S4560" s="162">
        <f>SUM(Sales[Net Amount])</f>
        <v>406839287.73200053</v>
      </c>
    </row>
    <row r="4561" spans="1:19" ht="18.75" x14ac:dyDescent="0.25">
      <c r="A4561" s="156" t="s">
        <v>8244</v>
      </c>
      <c r="B4561" s="157">
        <v>46002</v>
      </c>
      <c r="C4561" s="158" t="s">
        <v>727</v>
      </c>
      <c r="D4561" s="159" t="str">
        <f>VLOOKUP(Sales[[#This Row],[Customer ID]],Customer[#All],2,0)</f>
        <v>Sahil Sharma</v>
      </c>
      <c r="E4561" s="158" t="s">
        <v>107</v>
      </c>
      <c r="F4561" s="158" t="str">
        <f>VLOOKUP(Sales[[#This Row],[Product ID]],Product[#All],2,0)</f>
        <v>Samsung Ssd</v>
      </c>
      <c r="G4561" s="159">
        <v>1</v>
      </c>
      <c r="H4561" s="160">
        <f>VLOOKUP(Sales[[#This Row],[Product ID]],Product[#All],7,0)</f>
        <v>15030</v>
      </c>
      <c r="I4561" s="160">
        <f>Sales[[#This Row],[Selling Rate]]*Sales[[#This Row],[Qty]]</f>
        <v>15030</v>
      </c>
      <c r="J4561" s="43">
        <v>0.05</v>
      </c>
      <c r="K4561" s="44">
        <f>Sales[[#This Row],[Gross Amount]]*Sales[[#This Row],[Disc %]]</f>
        <v>751.5</v>
      </c>
      <c r="L4561" s="43">
        <v>0.18</v>
      </c>
      <c r="M4561" s="44">
        <f>(Sales[[#This Row],[Gross Amount]]-Sales[[#This Row],[Disc. Amt.]])*Sales[[#This Row],[GST %]]</f>
        <v>2570.13</v>
      </c>
      <c r="N4561" s="161">
        <f>Sales[[#This Row],[Gross Amount]]-Sales[[#This Row],[Disc. Amt.]]+Sales[[#This Row],[GST Amount]]</f>
        <v>16848.63</v>
      </c>
      <c r="O4561" s="158" t="s">
        <v>3561</v>
      </c>
      <c r="P4561" s="158" t="s">
        <v>3562</v>
      </c>
      <c r="Q4561" s="160">
        <f>IF(Sales[[#This Row],[Status]]="Cancelled",0,Sales[[#This Row],[Qty]])</f>
        <v>1</v>
      </c>
      <c r="R4561" s="161">
        <f>IF(Sales[[#This Row],[Status]]="Cancelled",0,Sales[[#This Row],[Total Amount]])</f>
        <v>16848.63</v>
      </c>
      <c r="S4561" s="162">
        <f>SUM(Sales[Net Amount])</f>
        <v>406839287.73200053</v>
      </c>
    </row>
    <row r="4562" spans="1:19" ht="18.75" x14ac:dyDescent="0.25">
      <c r="A4562" s="163" t="s">
        <v>8245</v>
      </c>
      <c r="B4562" s="164">
        <v>46002</v>
      </c>
      <c r="C4562" s="34" t="s">
        <v>834</v>
      </c>
      <c r="D4562" s="53" t="str">
        <f>VLOOKUP(Sales[[#This Row],[Customer ID]],Customer[#All],2,0)</f>
        <v>Rahul Verma</v>
      </c>
      <c r="E4562" s="34" t="s">
        <v>317</v>
      </c>
      <c r="F4562" s="34" t="str">
        <f>VLOOKUP(Sales[[#This Row],[Product ID]],Product[#All],2,0)</f>
        <v>Amazon Basics Hdmi Cable</v>
      </c>
      <c r="G4562" s="53">
        <v>6</v>
      </c>
      <c r="H4562" s="165">
        <f>VLOOKUP(Sales[[#This Row],[Product ID]],Product[#All],7,0)</f>
        <v>1010</v>
      </c>
      <c r="I4562" s="165">
        <f>Sales[[#This Row],[Selling Rate]]*Sales[[#This Row],[Qty]]</f>
        <v>6060</v>
      </c>
      <c r="J4562" s="45">
        <v>0</v>
      </c>
      <c r="K4562" s="46">
        <f>Sales[[#This Row],[Gross Amount]]*Sales[[#This Row],[Disc %]]</f>
        <v>0</v>
      </c>
      <c r="L4562" s="43">
        <v>0.18</v>
      </c>
      <c r="M4562" s="46">
        <f>(Sales[[#This Row],[Gross Amount]]-Sales[[#This Row],[Disc. Amt.]])*Sales[[#This Row],[GST %]]</f>
        <v>1090.8</v>
      </c>
      <c r="N4562" s="161">
        <f>Sales[[#This Row],[Gross Amount]]-Sales[[#This Row],[Disc. Amt.]]+Sales[[#This Row],[GST Amount]]</f>
        <v>7150.8</v>
      </c>
      <c r="O4562" s="34" t="s">
        <v>3561</v>
      </c>
      <c r="P4562" s="34" t="s">
        <v>3562</v>
      </c>
      <c r="Q4562" s="165">
        <f>IF(Sales[[#This Row],[Status]]="Cancelled",0,Sales[[#This Row],[Qty]])</f>
        <v>6</v>
      </c>
      <c r="R4562" s="166">
        <f>IF(Sales[[#This Row],[Status]]="Cancelled",0,Sales[[#This Row],[Total Amount]])</f>
        <v>7150.8</v>
      </c>
      <c r="S4562" s="162">
        <f>SUM(Sales[Net Amount])</f>
        <v>406839287.73200053</v>
      </c>
    </row>
    <row r="4563" spans="1:19" ht="18.75" x14ac:dyDescent="0.25">
      <c r="A4563" s="156" t="s">
        <v>8246</v>
      </c>
      <c r="B4563" s="157">
        <v>46002</v>
      </c>
      <c r="C4563" s="158" t="s">
        <v>877</v>
      </c>
      <c r="D4563" s="159" t="str">
        <f>VLOOKUP(Sales[[#This Row],[Customer ID]],Customer[#All],2,0)</f>
        <v>Sahil Patel</v>
      </c>
      <c r="E4563" s="158" t="s">
        <v>61</v>
      </c>
      <c r="F4563" s="158" t="str">
        <f>VLOOKUP(Sales[[#This Row],[Product ID]],Product[#All],2,0)</f>
        <v>Boat Headset</v>
      </c>
      <c r="G4563" s="159">
        <v>2</v>
      </c>
      <c r="H4563" s="160">
        <f>VLOOKUP(Sales[[#This Row],[Product ID]],Product[#All],7,0)</f>
        <v>3570</v>
      </c>
      <c r="I4563" s="160">
        <f>Sales[[#This Row],[Selling Rate]]*Sales[[#This Row],[Qty]]</f>
        <v>7140</v>
      </c>
      <c r="J4563" s="43">
        <v>0.1</v>
      </c>
      <c r="K4563" s="44">
        <f>Sales[[#This Row],[Gross Amount]]*Sales[[#This Row],[Disc %]]</f>
        <v>714</v>
      </c>
      <c r="L4563" s="43">
        <v>0.18</v>
      </c>
      <c r="M4563" s="44">
        <f>(Sales[[#This Row],[Gross Amount]]-Sales[[#This Row],[Disc. Amt.]])*Sales[[#This Row],[GST %]]</f>
        <v>1156.68</v>
      </c>
      <c r="N4563" s="161">
        <f>Sales[[#This Row],[Gross Amount]]-Sales[[#This Row],[Disc. Amt.]]+Sales[[#This Row],[GST Amount]]</f>
        <v>7582.68</v>
      </c>
      <c r="O4563" s="158" t="s">
        <v>3569</v>
      </c>
      <c r="P4563" s="158" t="s">
        <v>3562</v>
      </c>
      <c r="Q4563" s="160">
        <f>IF(Sales[[#This Row],[Status]]="Cancelled",0,Sales[[#This Row],[Qty]])</f>
        <v>2</v>
      </c>
      <c r="R4563" s="161">
        <f>IF(Sales[[#This Row],[Status]]="Cancelled",0,Sales[[#This Row],[Total Amount]])</f>
        <v>7582.68</v>
      </c>
      <c r="S4563" s="162">
        <f>SUM(Sales[Net Amount])</f>
        <v>406839287.73200053</v>
      </c>
    </row>
    <row r="4564" spans="1:19" ht="18.75" x14ac:dyDescent="0.25">
      <c r="A4564" s="163" t="s">
        <v>8247</v>
      </c>
      <c r="B4564" s="164">
        <v>46002</v>
      </c>
      <c r="C4564" s="34" t="s">
        <v>750</v>
      </c>
      <c r="D4564" s="53" t="str">
        <f>VLOOKUP(Sales[[#This Row],[Customer ID]],Customer[#All],2,0)</f>
        <v>Rakesh Verma</v>
      </c>
      <c r="E4564" s="34" t="s">
        <v>170</v>
      </c>
      <c r="F4564" s="34" t="str">
        <f>VLOOKUP(Sales[[#This Row],[Product ID]],Product[#All],2,0)</f>
        <v>Lenovo Laptop</v>
      </c>
      <c r="G4564" s="53">
        <v>8</v>
      </c>
      <c r="H4564" s="165">
        <f>VLOOKUP(Sales[[#This Row],[Product ID]],Product[#All],7,0)</f>
        <v>29710</v>
      </c>
      <c r="I4564" s="165">
        <f>Sales[[#This Row],[Selling Rate]]*Sales[[#This Row],[Qty]]</f>
        <v>237680</v>
      </c>
      <c r="J4564" s="45">
        <v>0.02</v>
      </c>
      <c r="K4564" s="46">
        <f>Sales[[#This Row],[Gross Amount]]*Sales[[#This Row],[Disc %]]</f>
        <v>4753.6000000000004</v>
      </c>
      <c r="L4564" s="43">
        <v>0.18</v>
      </c>
      <c r="M4564" s="46">
        <f>(Sales[[#This Row],[Gross Amount]]-Sales[[#This Row],[Disc. Amt.]])*Sales[[#This Row],[GST %]]</f>
        <v>41926.752</v>
      </c>
      <c r="N4564" s="161">
        <f>Sales[[#This Row],[Gross Amount]]-Sales[[#This Row],[Disc. Amt.]]+Sales[[#This Row],[GST Amount]]</f>
        <v>274853.152</v>
      </c>
      <c r="O4564" s="34" t="s">
        <v>3569</v>
      </c>
      <c r="P4564" s="34" t="s">
        <v>3562</v>
      </c>
      <c r="Q4564" s="165">
        <f>IF(Sales[[#This Row],[Status]]="Cancelled",0,Sales[[#This Row],[Qty]])</f>
        <v>8</v>
      </c>
      <c r="R4564" s="166">
        <f>IF(Sales[[#This Row],[Status]]="Cancelled",0,Sales[[#This Row],[Total Amount]])</f>
        <v>274853.152</v>
      </c>
      <c r="S4564" s="162">
        <f>SUM(Sales[Net Amount])</f>
        <v>406839287.73200053</v>
      </c>
    </row>
    <row r="4565" spans="1:19" ht="18.75" x14ac:dyDescent="0.25">
      <c r="A4565" s="156" t="s">
        <v>8248</v>
      </c>
      <c r="B4565" s="157">
        <v>46002</v>
      </c>
      <c r="C4565" s="158" t="s">
        <v>932</v>
      </c>
      <c r="D4565" s="159" t="str">
        <f>VLOOKUP(Sales[[#This Row],[Customer ID]],Customer[#All],2,0)</f>
        <v>Vikas Gupta</v>
      </c>
      <c r="E4565" s="158" t="s">
        <v>95</v>
      </c>
      <c r="F4565" s="158" t="str">
        <f>VLOOKUP(Sales[[#This Row],[Product ID]],Product[#All],2,0)</f>
        <v>TP-link Router</v>
      </c>
      <c r="G4565" s="159">
        <v>5</v>
      </c>
      <c r="H4565" s="160">
        <f>VLOOKUP(Sales[[#This Row],[Product ID]],Product[#All],7,0)</f>
        <v>7170</v>
      </c>
      <c r="I4565" s="160">
        <f>Sales[[#This Row],[Selling Rate]]*Sales[[#This Row],[Qty]]</f>
        <v>35850</v>
      </c>
      <c r="J4565" s="43">
        <v>0.15</v>
      </c>
      <c r="K4565" s="44">
        <f>Sales[[#This Row],[Gross Amount]]*Sales[[#This Row],[Disc %]]</f>
        <v>5377.5</v>
      </c>
      <c r="L4565" s="43">
        <v>0.18</v>
      </c>
      <c r="M4565" s="44">
        <f>(Sales[[#This Row],[Gross Amount]]-Sales[[#This Row],[Disc. Amt.]])*Sales[[#This Row],[GST %]]</f>
        <v>5485.05</v>
      </c>
      <c r="N4565" s="161">
        <f>Sales[[#This Row],[Gross Amount]]-Sales[[#This Row],[Disc. Amt.]]+Sales[[#This Row],[GST Amount]]</f>
        <v>35957.550000000003</v>
      </c>
      <c r="O4565" s="158" t="s">
        <v>3561</v>
      </c>
      <c r="P4565" s="158" t="s">
        <v>3562</v>
      </c>
      <c r="Q4565" s="160">
        <f>IF(Sales[[#This Row],[Status]]="Cancelled",0,Sales[[#This Row],[Qty]])</f>
        <v>5</v>
      </c>
      <c r="R4565" s="161">
        <f>IF(Sales[[#This Row],[Status]]="Cancelled",0,Sales[[#This Row],[Total Amount]])</f>
        <v>35957.550000000003</v>
      </c>
      <c r="S4565" s="162">
        <f>SUM(Sales[Net Amount])</f>
        <v>406839287.73200053</v>
      </c>
    </row>
    <row r="4566" spans="1:19" ht="18.75" x14ac:dyDescent="0.25">
      <c r="A4566" s="163" t="s">
        <v>8249</v>
      </c>
      <c r="B4566" s="164">
        <v>46002</v>
      </c>
      <c r="C4566" s="34" t="s">
        <v>887</v>
      </c>
      <c r="D4566" s="53" t="str">
        <f>VLOOKUP(Sales[[#This Row],[Customer ID]],Customer[#All],2,0)</f>
        <v>Sahil Verma</v>
      </c>
      <c r="E4566" s="34" t="s">
        <v>257</v>
      </c>
      <c r="F4566" s="34" t="str">
        <f>VLOOKUP(Sales[[#This Row],[Product ID]],Product[#All],2,0)</f>
        <v>Epson Printer</v>
      </c>
      <c r="G4566" s="53">
        <v>7</v>
      </c>
      <c r="H4566" s="165">
        <f>VLOOKUP(Sales[[#This Row],[Product ID]],Product[#All],7,0)</f>
        <v>15720</v>
      </c>
      <c r="I4566" s="165">
        <f>Sales[[#This Row],[Selling Rate]]*Sales[[#This Row],[Qty]]</f>
        <v>110040</v>
      </c>
      <c r="J4566" s="45">
        <v>0.1</v>
      </c>
      <c r="K4566" s="46">
        <f>Sales[[#This Row],[Gross Amount]]*Sales[[#This Row],[Disc %]]</f>
        <v>11004</v>
      </c>
      <c r="L4566" s="43">
        <v>0.18</v>
      </c>
      <c r="M4566" s="46">
        <f>(Sales[[#This Row],[Gross Amount]]-Sales[[#This Row],[Disc. Amt.]])*Sales[[#This Row],[GST %]]</f>
        <v>17826.48</v>
      </c>
      <c r="N4566" s="161">
        <f>Sales[[#This Row],[Gross Amount]]-Sales[[#This Row],[Disc. Amt.]]+Sales[[#This Row],[GST Amount]]</f>
        <v>116862.48</v>
      </c>
      <c r="O4566" s="34" t="s">
        <v>3566</v>
      </c>
      <c r="P4566" s="34" t="s">
        <v>3562</v>
      </c>
      <c r="Q4566" s="165">
        <f>IF(Sales[[#This Row],[Status]]="Cancelled",0,Sales[[#This Row],[Qty]])</f>
        <v>7</v>
      </c>
      <c r="R4566" s="166">
        <f>IF(Sales[[#This Row],[Status]]="Cancelled",0,Sales[[#This Row],[Total Amount]])</f>
        <v>116862.48</v>
      </c>
      <c r="S4566" s="162">
        <f>SUM(Sales[Net Amount])</f>
        <v>406839287.73200053</v>
      </c>
    </row>
    <row r="4567" spans="1:19" ht="18.75" x14ac:dyDescent="0.25">
      <c r="A4567" s="156" t="s">
        <v>8250</v>
      </c>
      <c r="B4567" s="157">
        <v>46002</v>
      </c>
      <c r="C4567" s="158" t="s">
        <v>947</v>
      </c>
      <c r="D4567" s="159" t="str">
        <f>VLOOKUP(Sales[[#This Row],[Customer ID]],Customer[#All],2,0)</f>
        <v>Sunita Singh</v>
      </c>
      <c r="E4567" s="158" t="s">
        <v>159</v>
      </c>
      <c r="F4567" s="158" t="str">
        <f>VLOOKUP(Sales[[#This Row],[Product ID]],Product[#All],2,0)</f>
        <v>HP Laptop</v>
      </c>
      <c r="G4567" s="159">
        <v>2</v>
      </c>
      <c r="H4567" s="160">
        <f>VLOOKUP(Sales[[#This Row],[Product ID]],Product[#All],7,0)</f>
        <v>90020</v>
      </c>
      <c r="I4567" s="160">
        <f>Sales[[#This Row],[Selling Rate]]*Sales[[#This Row],[Qty]]</f>
        <v>180040</v>
      </c>
      <c r="J4567" s="43">
        <v>0.02</v>
      </c>
      <c r="K4567" s="44">
        <f>Sales[[#This Row],[Gross Amount]]*Sales[[#This Row],[Disc %]]</f>
        <v>3600.8</v>
      </c>
      <c r="L4567" s="43">
        <v>0.18</v>
      </c>
      <c r="M4567" s="44">
        <f>(Sales[[#This Row],[Gross Amount]]-Sales[[#This Row],[Disc. Amt.]])*Sales[[#This Row],[GST %]]</f>
        <v>31759.056</v>
      </c>
      <c r="N4567" s="161">
        <f>Sales[[#This Row],[Gross Amount]]-Sales[[#This Row],[Disc. Amt.]]+Sales[[#This Row],[GST Amount]]</f>
        <v>208198.25600000002</v>
      </c>
      <c r="O4567" s="158" t="s">
        <v>3561</v>
      </c>
      <c r="P4567" s="158" t="s">
        <v>3562</v>
      </c>
      <c r="Q4567" s="160">
        <f>IF(Sales[[#This Row],[Status]]="Cancelled",0,Sales[[#This Row],[Qty]])</f>
        <v>2</v>
      </c>
      <c r="R4567" s="161">
        <f>IF(Sales[[#This Row],[Status]]="Cancelled",0,Sales[[#This Row],[Total Amount]])</f>
        <v>208198.25600000002</v>
      </c>
      <c r="S4567" s="162">
        <f>SUM(Sales[Net Amount])</f>
        <v>406839287.73200053</v>
      </c>
    </row>
    <row r="4568" spans="1:19" ht="18.75" x14ac:dyDescent="0.25">
      <c r="A4568" s="163" t="s">
        <v>8251</v>
      </c>
      <c r="B4568" s="164">
        <v>46002</v>
      </c>
      <c r="C4568" s="34" t="s">
        <v>752</v>
      </c>
      <c r="D4568" s="53" t="str">
        <f>VLOOKUP(Sales[[#This Row],[Customer ID]],Customer[#All],2,0)</f>
        <v>Pooja Patel</v>
      </c>
      <c r="E4568" s="34" t="s">
        <v>482</v>
      </c>
      <c r="F4568" s="34" t="str">
        <f>VLOOKUP(Sales[[#This Row],[Product ID]],Product[#All],2,0)</f>
        <v>HP Mouse</v>
      </c>
      <c r="G4568" s="53">
        <v>1</v>
      </c>
      <c r="H4568" s="165">
        <f>VLOOKUP(Sales[[#This Row],[Product ID]],Product[#All],7,0)</f>
        <v>790</v>
      </c>
      <c r="I4568" s="165">
        <f>Sales[[#This Row],[Selling Rate]]*Sales[[#This Row],[Qty]]</f>
        <v>790</v>
      </c>
      <c r="J4568" s="45">
        <v>0</v>
      </c>
      <c r="K4568" s="46">
        <f>Sales[[#This Row],[Gross Amount]]*Sales[[#This Row],[Disc %]]</f>
        <v>0</v>
      </c>
      <c r="L4568" s="43">
        <v>0.18</v>
      </c>
      <c r="M4568" s="46">
        <f>(Sales[[#This Row],[Gross Amount]]-Sales[[#This Row],[Disc. Amt.]])*Sales[[#This Row],[GST %]]</f>
        <v>142.19999999999999</v>
      </c>
      <c r="N4568" s="161">
        <f>Sales[[#This Row],[Gross Amount]]-Sales[[#This Row],[Disc. Amt.]]+Sales[[#This Row],[GST Amount]]</f>
        <v>932.2</v>
      </c>
      <c r="O4568" s="34" t="s">
        <v>3566</v>
      </c>
      <c r="P4568" s="34" t="s">
        <v>3562</v>
      </c>
      <c r="Q4568" s="165">
        <f>IF(Sales[[#This Row],[Status]]="Cancelled",0,Sales[[#This Row],[Qty]])</f>
        <v>1</v>
      </c>
      <c r="R4568" s="166">
        <f>IF(Sales[[#This Row],[Status]]="Cancelled",0,Sales[[#This Row],[Total Amount]])</f>
        <v>932.2</v>
      </c>
      <c r="S4568" s="162">
        <f>SUM(Sales[Net Amount])</f>
        <v>406839287.73200053</v>
      </c>
    </row>
    <row r="4569" spans="1:19" ht="18.75" x14ac:dyDescent="0.25">
      <c r="A4569" s="156" t="s">
        <v>8252</v>
      </c>
      <c r="B4569" s="157">
        <v>46002</v>
      </c>
      <c r="C4569" s="158" t="s">
        <v>930</v>
      </c>
      <c r="D4569" s="159" t="str">
        <f>VLOOKUP(Sales[[#This Row],[Customer ID]],Customer[#All],2,0)</f>
        <v>Rakesh Gupta</v>
      </c>
      <c r="E4569" s="158" t="s">
        <v>438</v>
      </c>
      <c r="F4569" s="158" t="str">
        <f>VLOOKUP(Sales[[#This Row],[Product ID]],Product[#All],2,0)</f>
        <v>Jbl Headset</v>
      </c>
      <c r="G4569" s="159">
        <v>4</v>
      </c>
      <c r="H4569" s="160">
        <f>VLOOKUP(Sales[[#This Row],[Product ID]],Product[#All],7,0)</f>
        <v>1670</v>
      </c>
      <c r="I4569" s="160">
        <f>Sales[[#This Row],[Selling Rate]]*Sales[[#This Row],[Qty]]</f>
        <v>6680</v>
      </c>
      <c r="J4569" s="43">
        <v>0.05</v>
      </c>
      <c r="K4569" s="44">
        <f>Sales[[#This Row],[Gross Amount]]*Sales[[#This Row],[Disc %]]</f>
        <v>334</v>
      </c>
      <c r="L4569" s="43">
        <v>0.18</v>
      </c>
      <c r="M4569" s="44">
        <f>(Sales[[#This Row],[Gross Amount]]-Sales[[#This Row],[Disc. Amt.]])*Sales[[#This Row],[GST %]]</f>
        <v>1142.28</v>
      </c>
      <c r="N4569" s="161">
        <f>Sales[[#This Row],[Gross Amount]]-Sales[[#This Row],[Disc. Amt.]]+Sales[[#This Row],[GST Amount]]</f>
        <v>7488.28</v>
      </c>
      <c r="O4569" s="158" t="s">
        <v>3561</v>
      </c>
      <c r="P4569" s="158" t="s">
        <v>3562</v>
      </c>
      <c r="Q4569" s="160">
        <f>IF(Sales[[#This Row],[Status]]="Cancelled",0,Sales[[#This Row],[Qty]])</f>
        <v>4</v>
      </c>
      <c r="R4569" s="161">
        <f>IF(Sales[[#This Row],[Status]]="Cancelled",0,Sales[[#This Row],[Total Amount]])</f>
        <v>7488.28</v>
      </c>
      <c r="S4569" s="162">
        <f>SUM(Sales[Net Amount])</f>
        <v>406839287.73200053</v>
      </c>
    </row>
    <row r="4570" spans="1:19" ht="18.75" x14ac:dyDescent="0.25">
      <c r="A4570" s="163" t="s">
        <v>8253</v>
      </c>
      <c r="B4570" s="164">
        <v>46002</v>
      </c>
      <c r="C4570" s="34" t="s">
        <v>686</v>
      </c>
      <c r="D4570" s="53" t="str">
        <f>VLOOKUP(Sales[[#This Row],[Customer ID]],Customer[#All],2,0)</f>
        <v>Priya Gupta</v>
      </c>
      <c r="E4570" s="34" t="s">
        <v>294</v>
      </c>
      <c r="F4570" s="34" t="str">
        <f>VLOOKUP(Sales[[#This Row],[Product ID]],Product[#All],2,0)</f>
        <v>Samsung Monitor</v>
      </c>
      <c r="G4570" s="53">
        <v>6</v>
      </c>
      <c r="H4570" s="165">
        <f>VLOOKUP(Sales[[#This Row],[Product ID]],Product[#All],7,0)</f>
        <v>33870</v>
      </c>
      <c r="I4570" s="165">
        <f>Sales[[#This Row],[Selling Rate]]*Sales[[#This Row],[Qty]]</f>
        <v>203220</v>
      </c>
      <c r="J4570" s="45">
        <v>0</v>
      </c>
      <c r="K4570" s="46">
        <f>Sales[[#This Row],[Gross Amount]]*Sales[[#This Row],[Disc %]]</f>
        <v>0</v>
      </c>
      <c r="L4570" s="43">
        <v>0.18</v>
      </c>
      <c r="M4570" s="46">
        <f>(Sales[[#This Row],[Gross Amount]]-Sales[[#This Row],[Disc. Amt.]])*Sales[[#This Row],[GST %]]</f>
        <v>36579.599999999999</v>
      </c>
      <c r="N4570" s="161">
        <f>Sales[[#This Row],[Gross Amount]]-Sales[[#This Row],[Disc. Amt.]]+Sales[[#This Row],[GST Amount]]</f>
        <v>239799.6</v>
      </c>
      <c r="O4570" s="34" t="s">
        <v>3566</v>
      </c>
      <c r="P4570" s="34" t="s">
        <v>3562</v>
      </c>
      <c r="Q4570" s="165">
        <f>IF(Sales[[#This Row],[Status]]="Cancelled",0,Sales[[#This Row],[Qty]])</f>
        <v>6</v>
      </c>
      <c r="R4570" s="166">
        <f>IF(Sales[[#This Row],[Status]]="Cancelled",0,Sales[[#This Row],[Total Amount]])</f>
        <v>239799.6</v>
      </c>
      <c r="S4570" s="162">
        <f>SUM(Sales[Net Amount])</f>
        <v>406839287.73200053</v>
      </c>
    </row>
    <row r="4571" spans="1:19" ht="18.75" x14ac:dyDescent="0.25">
      <c r="A4571" s="156" t="s">
        <v>8254</v>
      </c>
      <c r="B4571" s="157">
        <v>46002</v>
      </c>
      <c r="C4571" s="158" t="s">
        <v>892</v>
      </c>
      <c r="D4571" s="159" t="str">
        <f>VLOOKUP(Sales[[#This Row],[Customer ID]],Customer[#All],2,0)</f>
        <v>Sahil Verma</v>
      </c>
      <c r="E4571" s="158" t="s">
        <v>473</v>
      </c>
      <c r="F4571" s="158" t="str">
        <f>VLOOKUP(Sales[[#This Row],[Product ID]],Product[#All],2,0)</f>
        <v>Boat Headset</v>
      </c>
      <c r="G4571" s="159">
        <v>5</v>
      </c>
      <c r="H4571" s="160">
        <f>VLOOKUP(Sales[[#This Row],[Product ID]],Product[#All],7,0)</f>
        <v>2840</v>
      </c>
      <c r="I4571" s="160">
        <f>Sales[[#This Row],[Selling Rate]]*Sales[[#This Row],[Qty]]</f>
        <v>14200</v>
      </c>
      <c r="J4571" s="43">
        <v>0</v>
      </c>
      <c r="K4571" s="44">
        <f>Sales[[#This Row],[Gross Amount]]*Sales[[#This Row],[Disc %]]</f>
        <v>0</v>
      </c>
      <c r="L4571" s="43">
        <v>0.18</v>
      </c>
      <c r="M4571" s="44">
        <f>(Sales[[#This Row],[Gross Amount]]-Sales[[#This Row],[Disc. Amt.]])*Sales[[#This Row],[GST %]]</f>
        <v>2556</v>
      </c>
      <c r="N4571" s="161">
        <f>Sales[[#This Row],[Gross Amount]]-Sales[[#This Row],[Disc. Amt.]]+Sales[[#This Row],[GST Amount]]</f>
        <v>16756</v>
      </c>
      <c r="O4571" s="158" t="s">
        <v>3566</v>
      </c>
      <c r="P4571" s="158" t="s">
        <v>3562</v>
      </c>
      <c r="Q4571" s="160">
        <f>IF(Sales[[#This Row],[Status]]="Cancelled",0,Sales[[#This Row],[Qty]])</f>
        <v>5</v>
      </c>
      <c r="R4571" s="161">
        <f>IF(Sales[[#This Row],[Status]]="Cancelled",0,Sales[[#This Row],[Total Amount]])</f>
        <v>16756</v>
      </c>
      <c r="S4571" s="162">
        <f>SUM(Sales[Net Amount])</f>
        <v>406839287.73200053</v>
      </c>
    </row>
    <row r="4572" spans="1:19" ht="18.75" x14ac:dyDescent="0.25">
      <c r="A4572" s="163" t="s">
        <v>8255</v>
      </c>
      <c r="B4572" s="164">
        <v>46002</v>
      </c>
      <c r="C4572" s="34" t="s">
        <v>949</v>
      </c>
      <c r="D4572" s="53" t="str">
        <f>VLOOKUP(Sales[[#This Row],[Customer ID]],Customer[#All],2,0)</f>
        <v>Amit Patel</v>
      </c>
      <c r="E4572" s="34" t="s">
        <v>366</v>
      </c>
      <c r="F4572" s="34" t="str">
        <f>VLOOKUP(Sales[[#This Row],[Product ID]],Product[#All],2,0)</f>
        <v>Samsung Ssd</v>
      </c>
      <c r="G4572" s="53">
        <v>4</v>
      </c>
      <c r="H4572" s="165">
        <f>VLOOKUP(Sales[[#This Row],[Product ID]],Product[#All],7,0)</f>
        <v>5140</v>
      </c>
      <c r="I4572" s="165">
        <f>Sales[[#This Row],[Selling Rate]]*Sales[[#This Row],[Qty]]</f>
        <v>20560</v>
      </c>
      <c r="J4572" s="45">
        <v>0</v>
      </c>
      <c r="K4572" s="46">
        <f>Sales[[#This Row],[Gross Amount]]*Sales[[#This Row],[Disc %]]</f>
        <v>0</v>
      </c>
      <c r="L4572" s="43">
        <v>0.18</v>
      </c>
      <c r="M4572" s="46">
        <f>(Sales[[#This Row],[Gross Amount]]-Sales[[#This Row],[Disc. Amt.]])*Sales[[#This Row],[GST %]]</f>
        <v>3700.7999999999997</v>
      </c>
      <c r="N4572" s="161">
        <f>Sales[[#This Row],[Gross Amount]]-Sales[[#This Row],[Disc. Amt.]]+Sales[[#This Row],[GST Amount]]</f>
        <v>24260.799999999999</v>
      </c>
      <c r="O4572" s="34" t="s">
        <v>3569</v>
      </c>
      <c r="P4572" s="34" t="s">
        <v>3562</v>
      </c>
      <c r="Q4572" s="165">
        <f>IF(Sales[[#This Row],[Status]]="Cancelled",0,Sales[[#This Row],[Qty]])</f>
        <v>4</v>
      </c>
      <c r="R4572" s="166">
        <f>IF(Sales[[#This Row],[Status]]="Cancelled",0,Sales[[#This Row],[Total Amount]])</f>
        <v>24260.799999999999</v>
      </c>
      <c r="S4572" s="162">
        <f>SUM(Sales[Net Amount])</f>
        <v>406839287.73200053</v>
      </c>
    </row>
    <row r="4573" spans="1:19" ht="18.75" x14ac:dyDescent="0.25">
      <c r="A4573" s="156" t="s">
        <v>8256</v>
      </c>
      <c r="B4573" s="157">
        <v>46002</v>
      </c>
      <c r="C4573" s="158" t="s">
        <v>735</v>
      </c>
      <c r="D4573" s="159" t="str">
        <f>VLOOKUP(Sales[[#This Row],[Customer ID]],Customer[#All],2,0)</f>
        <v>Amit Singh</v>
      </c>
      <c r="E4573" s="158" t="s">
        <v>236</v>
      </c>
      <c r="F4573" s="158" t="str">
        <f>VLOOKUP(Sales[[#This Row],[Product ID]],Product[#All],2,0)</f>
        <v>Dell Desktop</v>
      </c>
      <c r="G4573" s="159">
        <v>5</v>
      </c>
      <c r="H4573" s="160">
        <f>VLOOKUP(Sales[[#This Row],[Product ID]],Product[#All],7,0)</f>
        <v>50050</v>
      </c>
      <c r="I4573" s="160">
        <f>Sales[[#This Row],[Selling Rate]]*Sales[[#This Row],[Qty]]</f>
        <v>250250</v>
      </c>
      <c r="J4573" s="43">
        <v>0.02</v>
      </c>
      <c r="K4573" s="44">
        <f>Sales[[#This Row],[Gross Amount]]*Sales[[#This Row],[Disc %]]</f>
        <v>5005</v>
      </c>
      <c r="L4573" s="43">
        <v>0.18</v>
      </c>
      <c r="M4573" s="44">
        <f>(Sales[[#This Row],[Gross Amount]]-Sales[[#This Row],[Disc. Amt.]])*Sales[[#This Row],[GST %]]</f>
        <v>44144.1</v>
      </c>
      <c r="N4573" s="161">
        <f>Sales[[#This Row],[Gross Amount]]-Sales[[#This Row],[Disc. Amt.]]+Sales[[#This Row],[GST Amount]]</f>
        <v>289389.09999999998</v>
      </c>
      <c r="O4573" s="158" t="s">
        <v>3566</v>
      </c>
      <c r="P4573" s="158" t="s">
        <v>3562</v>
      </c>
      <c r="Q4573" s="160">
        <f>IF(Sales[[#This Row],[Status]]="Cancelled",0,Sales[[#This Row],[Qty]])</f>
        <v>5</v>
      </c>
      <c r="R4573" s="161">
        <f>IF(Sales[[#This Row],[Status]]="Cancelled",0,Sales[[#This Row],[Total Amount]])</f>
        <v>289389.09999999998</v>
      </c>
      <c r="S4573" s="162">
        <f>SUM(Sales[Net Amount])</f>
        <v>406839287.73200053</v>
      </c>
    </row>
    <row r="4574" spans="1:19" ht="18.75" x14ac:dyDescent="0.25">
      <c r="A4574" s="163" t="s">
        <v>8257</v>
      </c>
      <c r="B4574" s="164">
        <v>46002</v>
      </c>
      <c r="C4574" s="34" t="s">
        <v>756</v>
      </c>
      <c r="D4574" s="53" t="str">
        <f>VLOOKUP(Sales[[#This Row],[Customer ID]],Customer[#All],2,0)</f>
        <v>Amit Patel</v>
      </c>
      <c r="E4574" s="34" t="s">
        <v>61</v>
      </c>
      <c r="F4574" s="34" t="str">
        <f>VLOOKUP(Sales[[#This Row],[Product ID]],Product[#All],2,0)</f>
        <v>Boat Headset</v>
      </c>
      <c r="G4574" s="53">
        <v>4</v>
      </c>
      <c r="H4574" s="165">
        <f>VLOOKUP(Sales[[#This Row],[Product ID]],Product[#All],7,0)</f>
        <v>3570</v>
      </c>
      <c r="I4574" s="165">
        <f>Sales[[#This Row],[Selling Rate]]*Sales[[#This Row],[Qty]]</f>
        <v>14280</v>
      </c>
      <c r="J4574" s="45">
        <v>0.02</v>
      </c>
      <c r="K4574" s="46">
        <f>Sales[[#This Row],[Gross Amount]]*Sales[[#This Row],[Disc %]]</f>
        <v>285.60000000000002</v>
      </c>
      <c r="L4574" s="43">
        <v>0.18</v>
      </c>
      <c r="M4574" s="46">
        <f>(Sales[[#This Row],[Gross Amount]]-Sales[[#This Row],[Disc. Amt.]])*Sales[[#This Row],[GST %]]</f>
        <v>2518.9919999999997</v>
      </c>
      <c r="N4574" s="161">
        <f>Sales[[#This Row],[Gross Amount]]-Sales[[#This Row],[Disc. Amt.]]+Sales[[#This Row],[GST Amount]]</f>
        <v>16513.392</v>
      </c>
      <c r="O4574" s="34" t="s">
        <v>3566</v>
      </c>
      <c r="P4574" s="34" t="s">
        <v>3562</v>
      </c>
      <c r="Q4574" s="165">
        <f>IF(Sales[[#This Row],[Status]]="Cancelled",0,Sales[[#This Row],[Qty]])</f>
        <v>4</v>
      </c>
      <c r="R4574" s="166">
        <f>IF(Sales[[#This Row],[Status]]="Cancelled",0,Sales[[#This Row],[Total Amount]])</f>
        <v>16513.392</v>
      </c>
      <c r="S4574" s="162">
        <f>SUM(Sales[Net Amount])</f>
        <v>406839287.73200053</v>
      </c>
    </row>
    <row r="4575" spans="1:19" ht="18.75" x14ac:dyDescent="0.25">
      <c r="A4575" s="156" t="s">
        <v>8258</v>
      </c>
      <c r="B4575" s="157">
        <v>46002</v>
      </c>
      <c r="C4575" s="158" t="s">
        <v>720</v>
      </c>
      <c r="D4575" s="159" t="str">
        <f>VLOOKUP(Sales[[#This Row],[Customer ID]],Customer[#All],2,0)</f>
        <v>Rakesh Singh</v>
      </c>
      <c r="E4575" s="158" t="s">
        <v>79</v>
      </c>
      <c r="F4575" s="158" t="str">
        <f>VLOOKUP(Sales[[#This Row],[Product ID]],Product[#All],2,0)</f>
        <v>Samsung Monitor</v>
      </c>
      <c r="G4575" s="159">
        <v>3</v>
      </c>
      <c r="H4575" s="160">
        <f>VLOOKUP(Sales[[#This Row],[Product ID]],Product[#All],7,0)</f>
        <v>32480</v>
      </c>
      <c r="I4575" s="160">
        <f>Sales[[#This Row],[Selling Rate]]*Sales[[#This Row],[Qty]]</f>
        <v>97440</v>
      </c>
      <c r="J4575" s="43">
        <v>0</v>
      </c>
      <c r="K4575" s="44">
        <f>Sales[[#This Row],[Gross Amount]]*Sales[[#This Row],[Disc %]]</f>
        <v>0</v>
      </c>
      <c r="L4575" s="43">
        <v>0.18</v>
      </c>
      <c r="M4575" s="44">
        <f>(Sales[[#This Row],[Gross Amount]]-Sales[[#This Row],[Disc. Amt.]])*Sales[[#This Row],[GST %]]</f>
        <v>17539.2</v>
      </c>
      <c r="N4575" s="161">
        <f>Sales[[#This Row],[Gross Amount]]-Sales[[#This Row],[Disc. Amt.]]+Sales[[#This Row],[GST Amount]]</f>
        <v>114979.2</v>
      </c>
      <c r="O4575" s="158" t="s">
        <v>8876</v>
      </c>
      <c r="P4575" s="158" t="s">
        <v>3562</v>
      </c>
      <c r="Q4575" s="160">
        <f>IF(Sales[[#This Row],[Status]]="Cancelled",0,Sales[[#This Row],[Qty]])</f>
        <v>3</v>
      </c>
      <c r="R4575" s="161">
        <f>IF(Sales[[#This Row],[Status]]="Cancelled",0,Sales[[#This Row],[Total Amount]])</f>
        <v>114979.2</v>
      </c>
      <c r="S4575" s="162">
        <f>SUM(Sales[Net Amount])</f>
        <v>406839287.73200053</v>
      </c>
    </row>
    <row r="4576" spans="1:19" ht="18.75" x14ac:dyDescent="0.25">
      <c r="A4576" s="163" t="s">
        <v>8259</v>
      </c>
      <c r="B4576" s="164">
        <v>46002</v>
      </c>
      <c r="C4576" s="34" t="s">
        <v>774</v>
      </c>
      <c r="D4576" s="53" t="str">
        <f>VLOOKUP(Sales[[#This Row],[Customer ID]],Customer[#All],2,0)</f>
        <v>Vikas Patel</v>
      </c>
      <c r="E4576" s="34" t="s">
        <v>346</v>
      </c>
      <c r="F4576" s="34" t="str">
        <f>VLOOKUP(Sales[[#This Row],[Product ID]],Product[#All],2,0)</f>
        <v>HP Laptop</v>
      </c>
      <c r="G4576" s="53">
        <v>4</v>
      </c>
      <c r="H4576" s="165">
        <f>VLOOKUP(Sales[[#This Row],[Product ID]],Product[#All],7,0)</f>
        <v>88550</v>
      </c>
      <c r="I4576" s="165">
        <f>Sales[[#This Row],[Selling Rate]]*Sales[[#This Row],[Qty]]</f>
        <v>354200</v>
      </c>
      <c r="J4576" s="45">
        <v>0.05</v>
      </c>
      <c r="K4576" s="46">
        <f>Sales[[#This Row],[Gross Amount]]*Sales[[#This Row],[Disc %]]</f>
        <v>17710</v>
      </c>
      <c r="L4576" s="43">
        <v>0.18</v>
      </c>
      <c r="M4576" s="46">
        <f>(Sales[[#This Row],[Gross Amount]]-Sales[[#This Row],[Disc. Amt.]])*Sales[[#This Row],[GST %]]</f>
        <v>60568.2</v>
      </c>
      <c r="N4576" s="161">
        <f>Sales[[#This Row],[Gross Amount]]-Sales[[#This Row],[Disc. Amt.]]+Sales[[#This Row],[GST Amount]]</f>
        <v>397058.2</v>
      </c>
      <c r="O4576" s="34" t="s">
        <v>3561</v>
      </c>
      <c r="P4576" s="34" t="s">
        <v>3562</v>
      </c>
      <c r="Q4576" s="165">
        <f>IF(Sales[[#This Row],[Status]]="Cancelled",0,Sales[[#This Row],[Qty]])</f>
        <v>4</v>
      </c>
      <c r="R4576" s="166">
        <f>IF(Sales[[#This Row],[Status]]="Cancelled",0,Sales[[#This Row],[Total Amount]])</f>
        <v>397058.2</v>
      </c>
      <c r="S4576" s="162">
        <f>SUM(Sales[Net Amount])</f>
        <v>406839287.73200053</v>
      </c>
    </row>
    <row r="4577" spans="1:19" ht="18.75" x14ac:dyDescent="0.25">
      <c r="A4577" s="156" t="s">
        <v>8260</v>
      </c>
      <c r="B4577" s="157">
        <v>46002</v>
      </c>
      <c r="C4577" s="158" t="s">
        <v>763</v>
      </c>
      <c r="D4577" s="159" t="str">
        <f>VLOOKUP(Sales[[#This Row],[Customer ID]],Customer[#All],2,0)</f>
        <v>Pooja Verma</v>
      </c>
      <c r="E4577" s="158" t="s">
        <v>104</v>
      </c>
      <c r="F4577" s="158" t="str">
        <f>VLOOKUP(Sales[[#This Row],[Product ID]],Product[#All],2,0)</f>
        <v>Canon Printer</v>
      </c>
      <c r="G4577" s="159">
        <v>1</v>
      </c>
      <c r="H4577" s="160">
        <f>VLOOKUP(Sales[[#This Row],[Product ID]],Product[#All],7,0)</f>
        <v>49170</v>
      </c>
      <c r="I4577" s="160">
        <f>Sales[[#This Row],[Selling Rate]]*Sales[[#This Row],[Qty]]</f>
        <v>49170</v>
      </c>
      <c r="J4577" s="43">
        <v>0.1</v>
      </c>
      <c r="K4577" s="44">
        <f>Sales[[#This Row],[Gross Amount]]*Sales[[#This Row],[Disc %]]</f>
        <v>4917</v>
      </c>
      <c r="L4577" s="43">
        <v>0.18</v>
      </c>
      <c r="M4577" s="44">
        <f>(Sales[[#This Row],[Gross Amount]]-Sales[[#This Row],[Disc. Amt.]])*Sales[[#This Row],[GST %]]</f>
        <v>7965.54</v>
      </c>
      <c r="N4577" s="161">
        <f>Sales[[#This Row],[Gross Amount]]-Sales[[#This Row],[Disc. Amt.]]+Sales[[#This Row],[GST Amount]]</f>
        <v>52218.54</v>
      </c>
      <c r="O4577" s="158" t="s">
        <v>3569</v>
      </c>
      <c r="P4577" s="158" t="s">
        <v>3562</v>
      </c>
      <c r="Q4577" s="160">
        <f>IF(Sales[[#This Row],[Status]]="Cancelled",0,Sales[[#This Row],[Qty]])</f>
        <v>1</v>
      </c>
      <c r="R4577" s="161">
        <f>IF(Sales[[#This Row],[Status]]="Cancelled",0,Sales[[#This Row],[Total Amount]])</f>
        <v>52218.54</v>
      </c>
      <c r="S4577" s="162">
        <f>SUM(Sales[Net Amount])</f>
        <v>406839287.73200053</v>
      </c>
    </row>
    <row r="4578" spans="1:19" ht="18.75" x14ac:dyDescent="0.25">
      <c r="A4578" s="163" t="s">
        <v>8261</v>
      </c>
      <c r="B4578" s="164">
        <v>46002</v>
      </c>
      <c r="C4578" s="34" t="s">
        <v>843</v>
      </c>
      <c r="D4578" s="53" t="str">
        <f>VLOOKUP(Sales[[#This Row],[Customer ID]],Customer[#All],2,0)</f>
        <v>Amit Verma</v>
      </c>
      <c r="E4578" s="34" t="s">
        <v>472</v>
      </c>
      <c r="F4578" s="34" t="str">
        <f>VLOOKUP(Sales[[#This Row],[Product ID]],Product[#All],2,0)</f>
        <v>Seagate HDD</v>
      </c>
      <c r="G4578" s="53">
        <v>6</v>
      </c>
      <c r="H4578" s="165">
        <f>VLOOKUP(Sales[[#This Row],[Product ID]],Product[#All],7,0)</f>
        <v>6840</v>
      </c>
      <c r="I4578" s="165">
        <f>Sales[[#This Row],[Selling Rate]]*Sales[[#This Row],[Qty]]</f>
        <v>41040</v>
      </c>
      <c r="J4578" s="45">
        <v>0.05</v>
      </c>
      <c r="K4578" s="46">
        <f>Sales[[#This Row],[Gross Amount]]*Sales[[#This Row],[Disc %]]</f>
        <v>2052</v>
      </c>
      <c r="L4578" s="43">
        <v>0.18</v>
      </c>
      <c r="M4578" s="46">
        <f>(Sales[[#This Row],[Gross Amount]]-Sales[[#This Row],[Disc. Amt.]])*Sales[[#This Row],[GST %]]</f>
        <v>7017.84</v>
      </c>
      <c r="N4578" s="161">
        <f>Sales[[#This Row],[Gross Amount]]-Sales[[#This Row],[Disc. Amt.]]+Sales[[#This Row],[GST Amount]]</f>
        <v>46005.84</v>
      </c>
      <c r="O4578" s="34" t="s">
        <v>3566</v>
      </c>
      <c r="P4578" s="34" t="s">
        <v>3562</v>
      </c>
      <c r="Q4578" s="165">
        <f>IF(Sales[[#This Row],[Status]]="Cancelled",0,Sales[[#This Row],[Qty]])</f>
        <v>6</v>
      </c>
      <c r="R4578" s="166">
        <f>IF(Sales[[#This Row],[Status]]="Cancelled",0,Sales[[#This Row],[Total Amount]])</f>
        <v>46005.84</v>
      </c>
      <c r="S4578" s="162">
        <f>SUM(Sales[Net Amount])</f>
        <v>406839287.73200053</v>
      </c>
    </row>
    <row r="4579" spans="1:19" ht="18.75" x14ac:dyDescent="0.25">
      <c r="A4579" s="156" t="s">
        <v>8262</v>
      </c>
      <c r="B4579" s="157">
        <v>46002</v>
      </c>
      <c r="C4579" s="158" t="s">
        <v>951</v>
      </c>
      <c r="D4579" s="159" t="str">
        <f>VLOOKUP(Sales[[#This Row],[Customer ID]],Customer[#All],2,0)</f>
        <v>Rahul Singh</v>
      </c>
      <c r="E4579" s="158" t="s">
        <v>157</v>
      </c>
      <c r="F4579" s="158" t="str">
        <f>VLOOKUP(Sales[[#This Row],[Product ID]],Product[#All],2,0)</f>
        <v>Epson Printer</v>
      </c>
      <c r="G4579" s="159">
        <v>7</v>
      </c>
      <c r="H4579" s="160">
        <f>VLOOKUP(Sales[[#This Row],[Product ID]],Product[#All],7,0)</f>
        <v>12100</v>
      </c>
      <c r="I4579" s="160">
        <f>Sales[[#This Row],[Selling Rate]]*Sales[[#This Row],[Qty]]</f>
        <v>84700</v>
      </c>
      <c r="J4579" s="43">
        <v>0.02</v>
      </c>
      <c r="K4579" s="44">
        <f>Sales[[#This Row],[Gross Amount]]*Sales[[#This Row],[Disc %]]</f>
        <v>1694</v>
      </c>
      <c r="L4579" s="43">
        <v>0.18</v>
      </c>
      <c r="M4579" s="44">
        <f>(Sales[[#This Row],[Gross Amount]]-Sales[[#This Row],[Disc. Amt.]])*Sales[[#This Row],[GST %]]</f>
        <v>14941.08</v>
      </c>
      <c r="N4579" s="161">
        <f>Sales[[#This Row],[Gross Amount]]-Sales[[#This Row],[Disc. Amt.]]+Sales[[#This Row],[GST Amount]]</f>
        <v>97947.08</v>
      </c>
      <c r="O4579" s="158" t="s">
        <v>3561</v>
      </c>
      <c r="P4579" s="158" t="s">
        <v>3562</v>
      </c>
      <c r="Q4579" s="160">
        <f>IF(Sales[[#This Row],[Status]]="Cancelled",0,Sales[[#This Row],[Qty]])</f>
        <v>7</v>
      </c>
      <c r="R4579" s="161">
        <f>IF(Sales[[#This Row],[Status]]="Cancelled",0,Sales[[#This Row],[Total Amount]])</f>
        <v>97947.08</v>
      </c>
      <c r="S4579" s="162">
        <f>SUM(Sales[Net Amount])</f>
        <v>406839287.73200053</v>
      </c>
    </row>
    <row r="4580" spans="1:19" ht="18.75" x14ac:dyDescent="0.25">
      <c r="A4580" s="163" t="s">
        <v>8263</v>
      </c>
      <c r="B4580" s="164">
        <v>46002</v>
      </c>
      <c r="C4580" s="34" t="s">
        <v>798</v>
      </c>
      <c r="D4580" s="53" t="str">
        <f>VLOOKUP(Sales[[#This Row],[Customer ID]],Customer[#All],2,0)</f>
        <v>Amit Singh</v>
      </c>
      <c r="E4580" s="34" t="s">
        <v>502</v>
      </c>
      <c r="F4580" s="34" t="str">
        <f>VLOOKUP(Sales[[#This Row],[Product ID]],Product[#All],2,0)</f>
        <v>HP Printer</v>
      </c>
      <c r="G4580" s="53">
        <v>6</v>
      </c>
      <c r="H4580" s="165">
        <f>VLOOKUP(Sales[[#This Row],[Product ID]],Product[#All],7,0)</f>
        <v>32100</v>
      </c>
      <c r="I4580" s="165">
        <f>Sales[[#This Row],[Selling Rate]]*Sales[[#This Row],[Qty]]</f>
        <v>192600</v>
      </c>
      <c r="J4580" s="45">
        <v>0.05</v>
      </c>
      <c r="K4580" s="46">
        <f>Sales[[#This Row],[Gross Amount]]*Sales[[#This Row],[Disc %]]</f>
        <v>9630</v>
      </c>
      <c r="L4580" s="43">
        <v>0.18</v>
      </c>
      <c r="M4580" s="46">
        <f>(Sales[[#This Row],[Gross Amount]]-Sales[[#This Row],[Disc. Amt.]])*Sales[[#This Row],[GST %]]</f>
        <v>32934.6</v>
      </c>
      <c r="N4580" s="161">
        <f>Sales[[#This Row],[Gross Amount]]-Sales[[#This Row],[Disc. Amt.]]+Sales[[#This Row],[GST Amount]]</f>
        <v>215904.6</v>
      </c>
      <c r="O4580" s="34" t="s">
        <v>3561</v>
      </c>
      <c r="P4580" s="34" t="s">
        <v>3562</v>
      </c>
      <c r="Q4580" s="165">
        <f>IF(Sales[[#This Row],[Status]]="Cancelled",0,Sales[[#This Row],[Qty]])</f>
        <v>6</v>
      </c>
      <c r="R4580" s="166">
        <f>IF(Sales[[#This Row],[Status]]="Cancelled",0,Sales[[#This Row],[Total Amount]])</f>
        <v>215904.6</v>
      </c>
      <c r="S4580" s="162">
        <f>SUM(Sales[Net Amount])</f>
        <v>406839287.73200053</v>
      </c>
    </row>
    <row r="4581" spans="1:19" ht="18.75" x14ac:dyDescent="0.25">
      <c r="A4581" s="156" t="s">
        <v>8264</v>
      </c>
      <c r="B4581" s="157">
        <v>46002</v>
      </c>
      <c r="C4581" s="158" t="s">
        <v>812</v>
      </c>
      <c r="D4581" s="159" t="str">
        <f>VLOOKUP(Sales[[#This Row],[Customer ID]],Customer[#All],2,0)</f>
        <v>Neha Gupta</v>
      </c>
      <c r="E4581" s="158" t="s">
        <v>413</v>
      </c>
      <c r="F4581" s="158" t="str">
        <f>VLOOKUP(Sales[[#This Row],[Product ID]],Product[#All],2,0)</f>
        <v>Crucial Ssd</v>
      </c>
      <c r="G4581" s="159">
        <v>1</v>
      </c>
      <c r="H4581" s="160">
        <f>VLOOKUP(Sales[[#This Row],[Product ID]],Product[#All],7,0)</f>
        <v>10780</v>
      </c>
      <c r="I4581" s="160">
        <f>Sales[[#This Row],[Selling Rate]]*Sales[[#This Row],[Qty]]</f>
        <v>10780</v>
      </c>
      <c r="J4581" s="43">
        <v>0.12</v>
      </c>
      <c r="K4581" s="44">
        <f>Sales[[#This Row],[Gross Amount]]*Sales[[#This Row],[Disc %]]</f>
        <v>1293.5999999999999</v>
      </c>
      <c r="L4581" s="43">
        <v>0.18</v>
      </c>
      <c r="M4581" s="44">
        <f>(Sales[[#This Row],[Gross Amount]]-Sales[[#This Row],[Disc. Amt.]])*Sales[[#This Row],[GST %]]</f>
        <v>1707.5519999999999</v>
      </c>
      <c r="N4581" s="161">
        <f>Sales[[#This Row],[Gross Amount]]-Sales[[#This Row],[Disc. Amt.]]+Sales[[#This Row],[GST Amount]]</f>
        <v>11193.951999999999</v>
      </c>
      <c r="O4581" s="158" t="s">
        <v>3569</v>
      </c>
      <c r="P4581" s="158" t="s">
        <v>3562</v>
      </c>
      <c r="Q4581" s="160">
        <f>IF(Sales[[#This Row],[Status]]="Cancelled",0,Sales[[#This Row],[Qty]])</f>
        <v>1</v>
      </c>
      <c r="R4581" s="161">
        <f>IF(Sales[[#This Row],[Status]]="Cancelled",0,Sales[[#This Row],[Total Amount]])</f>
        <v>11193.951999999999</v>
      </c>
      <c r="S4581" s="162">
        <f>SUM(Sales[Net Amount])</f>
        <v>406839287.73200053</v>
      </c>
    </row>
    <row r="4582" spans="1:19" ht="18.75" x14ac:dyDescent="0.25">
      <c r="A4582" s="163" t="s">
        <v>8265</v>
      </c>
      <c r="B4582" s="164">
        <v>46002</v>
      </c>
      <c r="C4582" s="34" t="s">
        <v>844</v>
      </c>
      <c r="D4582" s="53" t="str">
        <f>VLOOKUP(Sales[[#This Row],[Customer ID]],Customer[#All],2,0)</f>
        <v>Rahul Sharma</v>
      </c>
      <c r="E4582" s="34" t="s">
        <v>333</v>
      </c>
      <c r="F4582" s="34" t="str">
        <f>VLOOKUP(Sales[[#This Row],[Product ID]],Product[#All],2,0)</f>
        <v>Logitech Keyboard</v>
      </c>
      <c r="G4582" s="53">
        <v>3</v>
      </c>
      <c r="H4582" s="165">
        <f>VLOOKUP(Sales[[#This Row],[Product ID]],Product[#All],7,0)</f>
        <v>3350</v>
      </c>
      <c r="I4582" s="165">
        <f>Sales[[#This Row],[Selling Rate]]*Sales[[#This Row],[Qty]]</f>
        <v>10050</v>
      </c>
      <c r="J4582" s="45">
        <v>0.02</v>
      </c>
      <c r="K4582" s="46">
        <f>Sales[[#This Row],[Gross Amount]]*Sales[[#This Row],[Disc %]]</f>
        <v>201</v>
      </c>
      <c r="L4582" s="43">
        <v>0.18</v>
      </c>
      <c r="M4582" s="46">
        <f>(Sales[[#This Row],[Gross Amount]]-Sales[[#This Row],[Disc. Amt.]])*Sales[[#This Row],[GST %]]</f>
        <v>1772.82</v>
      </c>
      <c r="N4582" s="161">
        <f>Sales[[#This Row],[Gross Amount]]-Sales[[#This Row],[Disc. Amt.]]+Sales[[#This Row],[GST Amount]]</f>
        <v>11621.82</v>
      </c>
      <c r="O4582" s="34" t="s">
        <v>3566</v>
      </c>
      <c r="P4582" s="34" t="s">
        <v>3562</v>
      </c>
      <c r="Q4582" s="165">
        <f>IF(Sales[[#This Row],[Status]]="Cancelled",0,Sales[[#This Row],[Qty]])</f>
        <v>3</v>
      </c>
      <c r="R4582" s="166">
        <f>IF(Sales[[#This Row],[Status]]="Cancelled",0,Sales[[#This Row],[Total Amount]])</f>
        <v>11621.82</v>
      </c>
      <c r="S4582" s="162">
        <f>SUM(Sales[Net Amount])</f>
        <v>406839287.73200053</v>
      </c>
    </row>
    <row r="4583" spans="1:19" ht="18.75" x14ac:dyDescent="0.25">
      <c r="A4583" s="156" t="s">
        <v>8266</v>
      </c>
      <c r="B4583" s="157">
        <v>46002</v>
      </c>
      <c r="C4583" s="158" t="s">
        <v>750</v>
      </c>
      <c r="D4583" s="159" t="str">
        <f>VLOOKUP(Sales[[#This Row],[Customer ID]],Customer[#All],2,0)</f>
        <v>Rakesh Verma</v>
      </c>
      <c r="E4583" s="158" t="s">
        <v>330</v>
      </c>
      <c r="F4583" s="158" t="str">
        <f>VLOOKUP(Sales[[#This Row],[Product ID]],Product[#All],2,0)</f>
        <v>American TouristerLaptopBag</v>
      </c>
      <c r="G4583" s="159">
        <v>8</v>
      </c>
      <c r="H4583" s="160">
        <f>VLOOKUP(Sales[[#This Row],[Product ID]],Product[#All],7,0)</f>
        <v>4970</v>
      </c>
      <c r="I4583" s="160">
        <f>Sales[[#This Row],[Selling Rate]]*Sales[[#This Row],[Qty]]</f>
        <v>39760</v>
      </c>
      <c r="J4583" s="43">
        <v>0.1</v>
      </c>
      <c r="K4583" s="44">
        <f>Sales[[#This Row],[Gross Amount]]*Sales[[#This Row],[Disc %]]</f>
        <v>3976</v>
      </c>
      <c r="L4583" s="43">
        <v>0.18</v>
      </c>
      <c r="M4583" s="44">
        <f>(Sales[[#This Row],[Gross Amount]]-Sales[[#This Row],[Disc. Amt.]])*Sales[[#This Row],[GST %]]</f>
        <v>6441.12</v>
      </c>
      <c r="N4583" s="161">
        <f>Sales[[#This Row],[Gross Amount]]-Sales[[#This Row],[Disc. Amt.]]+Sales[[#This Row],[GST Amount]]</f>
        <v>42225.120000000003</v>
      </c>
      <c r="O4583" s="158" t="s">
        <v>3569</v>
      </c>
      <c r="P4583" s="158" t="s">
        <v>3562</v>
      </c>
      <c r="Q4583" s="160">
        <f>IF(Sales[[#This Row],[Status]]="Cancelled",0,Sales[[#This Row],[Qty]])</f>
        <v>8</v>
      </c>
      <c r="R4583" s="161">
        <f>IF(Sales[[#This Row],[Status]]="Cancelled",0,Sales[[#This Row],[Total Amount]])</f>
        <v>42225.120000000003</v>
      </c>
      <c r="S4583" s="162">
        <f>SUM(Sales[Net Amount])</f>
        <v>406839287.73200053</v>
      </c>
    </row>
    <row r="4584" spans="1:19" ht="18.75" x14ac:dyDescent="0.25">
      <c r="A4584" s="163" t="s">
        <v>8267</v>
      </c>
      <c r="B4584" s="164">
        <v>46002</v>
      </c>
      <c r="C4584" s="34" t="s">
        <v>943</v>
      </c>
      <c r="D4584" s="53" t="str">
        <f>VLOOKUP(Sales[[#This Row],[Customer ID]],Customer[#All],2,0)</f>
        <v>Sahil Singh</v>
      </c>
      <c r="E4584" s="34" t="s">
        <v>511</v>
      </c>
      <c r="F4584" s="34" t="str">
        <f>VLOOKUP(Sales[[#This Row],[Product ID]],Product[#All],2,0)</f>
        <v>Amazon Basics Hdmi Cable</v>
      </c>
      <c r="G4584" s="53">
        <v>1</v>
      </c>
      <c r="H4584" s="165">
        <f>VLOOKUP(Sales[[#This Row],[Product ID]],Product[#All],7,0)</f>
        <v>1240</v>
      </c>
      <c r="I4584" s="165">
        <f>Sales[[#This Row],[Selling Rate]]*Sales[[#This Row],[Qty]]</f>
        <v>1240</v>
      </c>
      <c r="J4584" s="45">
        <v>0</v>
      </c>
      <c r="K4584" s="46">
        <f>Sales[[#This Row],[Gross Amount]]*Sales[[#This Row],[Disc %]]</f>
        <v>0</v>
      </c>
      <c r="L4584" s="43">
        <v>0.18</v>
      </c>
      <c r="M4584" s="46">
        <f>(Sales[[#This Row],[Gross Amount]]-Sales[[#This Row],[Disc. Amt.]])*Sales[[#This Row],[GST %]]</f>
        <v>223.2</v>
      </c>
      <c r="N4584" s="161">
        <f>Sales[[#This Row],[Gross Amount]]-Sales[[#This Row],[Disc. Amt.]]+Sales[[#This Row],[GST Amount]]</f>
        <v>1463.2</v>
      </c>
      <c r="O4584" s="34" t="s">
        <v>3569</v>
      </c>
      <c r="P4584" s="34" t="s">
        <v>3562</v>
      </c>
      <c r="Q4584" s="165">
        <f>IF(Sales[[#This Row],[Status]]="Cancelled",0,Sales[[#This Row],[Qty]])</f>
        <v>1</v>
      </c>
      <c r="R4584" s="166">
        <f>IF(Sales[[#This Row],[Status]]="Cancelled",0,Sales[[#This Row],[Total Amount]])</f>
        <v>1463.2</v>
      </c>
      <c r="S4584" s="162">
        <f>SUM(Sales[Net Amount])</f>
        <v>406839287.73200053</v>
      </c>
    </row>
    <row r="4585" spans="1:19" ht="18.75" x14ac:dyDescent="0.25">
      <c r="A4585" s="156" t="s">
        <v>8268</v>
      </c>
      <c r="B4585" s="157">
        <v>46002</v>
      </c>
      <c r="C4585" s="158" t="s">
        <v>800</v>
      </c>
      <c r="D4585" s="159" t="str">
        <f>VLOOKUP(Sales[[#This Row],[Customer ID]],Customer[#All],2,0)</f>
        <v>Priya Gupta</v>
      </c>
      <c r="E4585" s="158" t="s">
        <v>99</v>
      </c>
      <c r="F4585" s="158" t="str">
        <f>VLOOKUP(Sales[[#This Row],[Product ID]],Product[#All],2,0)</f>
        <v>Dell Laptop</v>
      </c>
      <c r="G4585" s="159">
        <v>2</v>
      </c>
      <c r="H4585" s="160">
        <f>VLOOKUP(Sales[[#This Row],[Product ID]],Product[#All],7,0)</f>
        <v>34870</v>
      </c>
      <c r="I4585" s="160">
        <f>Sales[[#This Row],[Selling Rate]]*Sales[[#This Row],[Qty]]</f>
        <v>69740</v>
      </c>
      <c r="J4585" s="43">
        <v>0.12</v>
      </c>
      <c r="K4585" s="44">
        <f>Sales[[#This Row],[Gross Amount]]*Sales[[#This Row],[Disc %]]</f>
        <v>8368.7999999999993</v>
      </c>
      <c r="L4585" s="43">
        <v>0.18</v>
      </c>
      <c r="M4585" s="44">
        <f>(Sales[[#This Row],[Gross Amount]]-Sales[[#This Row],[Disc. Amt.]])*Sales[[#This Row],[GST %]]</f>
        <v>11046.815999999999</v>
      </c>
      <c r="N4585" s="161">
        <f>Sales[[#This Row],[Gross Amount]]-Sales[[#This Row],[Disc. Amt.]]+Sales[[#This Row],[GST Amount]]</f>
        <v>72418.016000000003</v>
      </c>
      <c r="O4585" s="158" t="s">
        <v>3566</v>
      </c>
      <c r="P4585" s="158" t="s">
        <v>3562</v>
      </c>
      <c r="Q4585" s="160">
        <f>IF(Sales[[#This Row],[Status]]="Cancelled",0,Sales[[#This Row],[Qty]])</f>
        <v>2</v>
      </c>
      <c r="R4585" s="161">
        <f>IF(Sales[[#This Row],[Status]]="Cancelled",0,Sales[[#This Row],[Total Amount]])</f>
        <v>72418.016000000003</v>
      </c>
      <c r="S4585" s="162">
        <f>SUM(Sales[Net Amount])</f>
        <v>406839287.73200053</v>
      </c>
    </row>
    <row r="4586" spans="1:19" ht="18.75" x14ac:dyDescent="0.25">
      <c r="A4586" s="163" t="s">
        <v>8269</v>
      </c>
      <c r="B4586" s="164">
        <v>46003</v>
      </c>
      <c r="C4586" s="34" t="s">
        <v>673</v>
      </c>
      <c r="D4586" s="53" t="str">
        <f>VLOOKUP(Sales[[#This Row],[Customer ID]],Customer[#All],2,0)</f>
        <v>Sunita Gupta</v>
      </c>
      <c r="E4586" s="34" t="s">
        <v>510</v>
      </c>
      <c r="F4586" s="34" t="str">
        <f>VLOOKUP(Sales[[#This Row],[Product ID]],Product[#All],2,0)</f>
        <v>American TouristerLaptopBag</v>
      </c>
      <c r="G4586" s="53">
        <v>4</v>
      </c>
      <c r="H4586" s="165">
        <f>VLOOKUP(Sales[[#This Row],[Product ID]],Product[#All],7,0)</f>
        <v>5010</v>
      </c>
      <c r="I4586" s="165">
        <f>Sales[[#This Row],[Selling Rate]]*Sales[[#This Row],[Qty]]</f>
        <v>20040</v>
      </c>
      <c r="J4586" s="45">
        <v>0.02</v>
      </c>
      <c r="K4586" s="46">
        <f>Sales[[#This Row],[Gross Amount]]*Sales[[#This Row],[Disc %]]</f>
        <v>400.8</v>
      </c>
      <c r="L4586" s="43">
        <v>0.18</v>
      </c>
      <c r="M4586" s="46">
        <f>(Sales[[#This Row],[Gross Amount]]-Sales[[#This Row],[Disc. Amt.]])*Sales[[#This Row],[GST %]]</f>
        <v>3535.056</v>
      </c>
      <c r="N4586" s="161">
        <f>Sales[[#This Row],[Gross Amount]]-Sales[[#This Row],[Disc. Amt.]]+Sales[[#This Row],[GST Amount]]</f>
        <v>23174.256000000001</v>
      </c>
      <c r="O4586" s="34" t="s">
        <v>8876</v>
      </c>
      <c r="P4586" s="34" t="s">
        <v>3562</v>
      </c>
      <c r="Q4586" s="165">
        <f>IF(Sales[[#This Row],[Status]]="Cancelled",0,Sales[[#This Row],[Qty]])</f>
        <v>4</v>
      </c>
      <c r="R4586" s="166">
        <f>IF(Sales[[#This Row],[Status]]="Cancelled",0,Sales[[#This Row],[Total Amount]])</f>
        <v>23174.256000000001</v>
      </c>
      <c r="S4586" s="162">
        <f>SUM(Sales[Net Amount])</f>
        <v>406839287.73200053</v>
      </c>
    </row>
    <row r="4587" spans="1:19" ht="18.75" x14ac:dyDescent="0.25">
      <c r="A4587" s="156" t="s">
        <v>8270</v>
      </c>
      <c r="B4587" s="157">
        <v>46003</v>
      </c>
      <c r="C4587" s="158" t="s">
        <v>817</v>
      </c>
      <c r="D4587" s="159" t="str">
        <f>VLOOKUP(Sales[[#This Row],[Customer ID]],Customer[#All],2,0)</f>
        <v>Ankit Patel</v>
      </c>
      <c r="E4587" s="158" t="s">
        <v>402</v>
      </c>
      <c r="F4587" s="158" t="str">
        <f>VLOOKUP(Sales[[#This Row],[Product ID]],Product[#All],2,0)</f>
        <v>Logitech Keyboard</v>
      </c>
      <c r="G4587" s="159">
        <v>7</v>
      </c>
      <c r="H4587" s="160">
        <f>VLOOKUP(Sales[[#This Row],[Product ID]],Product[#All],7,0)</f>
        <v>3500</v>
      </c>
      <c r="I4587" s="160">
        <f>Sales[[#This Row],[Selling Rate]]*Sales[[#This Row],[Qty]]</f>
        <v>24500</v>
      </c>
      <c r="J4587" s="43">
        <v>0.05</v>
      </c>
      <c r="K4587" s="44">
        <f>Sales[[#This Row],[Gross Amount]]*Sales[[#This Row],[Disc %]]</f>
        <v>1225</v>
      </c>
      <c r="L4587" s="43">
        <v>0.18</v>
      </c>
      <c r="M4587" s="44">
        <f>(Sales[[#This Row],[Gross Amount]]-Sales[[#This Row],[Disc. Amt.]])*Sales[[#This Row],[GST %]]</f>
        <v>4189.5</v>
      </c>
      <c r="N4587" s="161">
        <f>Sales[[#This Row],[Gross Amount]]-Sales[[#This Row],[Disc. Amt.]]+Sales[[#This Row],[GST Amount]]</f>
        <v>27464.5</v>
      </c>
      <c r="O4587" s="158" t="s">
        <v>3561</v>
      </c>
      <c r="P4587" s="158" t="s">
        <v>3562</v>
      </c>
      <c r="Q4587" s="160">
        <f>IF(Sales[[#This Row],[Status]]="Cancelled",0,Sales[[#This Row],[Qty]])</f>
        <v>7</v>
      </c>
      <c r="R4587" s="161">
        <f>IF(Sales[[#This Row],[Status]]="Cancelled",0,Sales[[#This Row],[Total Amount]])</f>
        <v>27464.5</v>
      </c>
      <c r="S4587" s="162">
        <f>SUM(Sales[Net Amount])</f>
        <v>406839287.73200053</v>
      </c>
    </row>
    <row r="4588" spans="1:19" ht="18.75" x14ac:dyDescent="0.25">
      <c r="A4588" s="163" t="s">
        <v>8271</v>
      </c>
      <c r="B4588" s="164">
        <v>46003</v>
      </c>
      <c r="C4588" s="34" t="s">
        <v>684</v>
      </c>
      <c r="D4588" s="53" t="str">
        <f>VLOOKUP(Sales[[#This Row],[Customer ID]],Customer[#All],2,0)</f>
        <v>Rahul Sharma</v>
      </c>
      <c r="E4588" s="34" t="s">
        <v>501</v>
      </c>
      <c r="F4588" s="34" t="str">
        <f>VLOOKUP(Sales[[#This Row],[Product ID]],Product[#All],2,0)</f>
        <v>Samsung Ssd</v>
      </c>
      <c r="G4588" s="53">
        <v>7</v>
      </c>
      <c r="H4588" s="165">
        <f>VLOOKUP(Sales[[#This Row],[Product ID]],Product[#All],7,0)</f>
        <v>4260</v>
      </c>
      <c r="I4588" s="165">
        <f>Sales[[#This Row],[Selling Rate]]*Sales[[#This Row],[Qty]]</f>
        <v>29820</v>
      </c>
      <c r="J4588" s="45">
        <v>0.05</v>
      </c>
      <c r="K4588" s="46">
        <f>Sales[[#This Row],[Gross Amount]]*Sales[[#This Row],[Disc %]]</f>
        <v>1491</v>
      </c>
      <c r="L4588" s="43">
        <v>0.18</v>
      </c>
      <c r="M4588" s="46">
        <f>(Sales[[#This Row],[Gross Amount]]-Sales[[#This Row],[Disc. Amt.]])*Sales[[#This Row],[GST %]]</f>
        <v>5099.22</v>
      </c>
      <c r="N4588" s="161">
        <f>Sales[[#This Row],[Gross Amount]]-Sales[[#This Row],[Disc. Amt.]]+Sales[[#This Row],[GST Amount]]</f>
        <v>33428.22</v>
      </c>
      <c r="O4588" s="34" t="s">
        <v>3561</v>
      </c>
      <c r="P4588" s="34" t="s">
        <v>3562</v>
      </c>
      <c r="Q4588" s="165">
        <f>IF(Sales[[#This Row],[Status]]="Cancelled",0,Sales[[#This Row],[Qty]])</f>
        <v>7</v>
      </c>
      <c r="R4588" s="166">
        <f>IF(Sales[[#This Row],[Status]]="Cancelled",0,Sales[[#This Row],[Total Amount]])</f>
        <v>33428.22</v>
      </c>
      <c r="S4588" s="162">
        <f>SUM(Sales[Net Amount])</f>
        <v>406839287.73200053</v>
      </c>
    </row>
    <row r="4589" spans="1:19" ht="18.75" x14ac:dyDescent="0.25">
      <c r="A4589" s="156" t="s">
        <v>8272</v>
      </c>
      <c r="B4589" s="157">
        <v>46003</v>
      </c>
      <c r="C4589" s="158" t="s">
        <v>781</v>
      </c>
      <c r="D4589" s="159" t="str">
        <f>VLOOKUP(Sales[[#This Row],[Customer ID]],Customer[#All],2,0)</f>
        <v>Vikas Sharma</v>
      </c>
      <c r="E4589" s="158" t="s">
        <v>130</v>
      </c>
      <c r="F4589" s="158" t="str">
        <f>VLOOKUP(Sales[[#This Row],[Product ID]],Product[#All],2,0)</f>
        <v>Lenovo Laptop</v>
      </c>
      <c r="G4589" s="159">
        <v>1</v>
      </c>
      <c r="H4589" s="160">
        <f>VLOOKUP(Sales[[#This Row],[Product ID]],Product[#All],7,0)</f>
        <v>39230</v>
      </c>
      <c r="I4589" s="160">
        <f>Sales[[#This Row],[Selling Rate]]*Sales[[#This Row],[Qty]]</f>
        <v>39230</v>
      </c>
      <c r="J4589" s="43">
        <v>0.12</v>
      </c>
      <c r="K4589" s="44">
        <f>Sales[[#This Row],[Gross Amount]]*Sales[[#This Row],[Disc %]]</f>
        <v>4707.5999999999995</v>
      </c>
      <c r="L4589" s="43">
        <v>0.18</v>
      </c>
      <c r="M4589" s="44">
        <f>(Sales[[#This Row],[Gross Amount]]-Sales[[#This Row],[Disc. Amt.]])*Sales[[#This Row],[GST %]]</f>
        <v>6214.0320000000002</v>
      </c>
      <c r="N4589" s="161">
        <f>Sales[[#This Row],[Gross Amount]]-Sales[[#This Row],[Disc. Amt.]]+Sales[[#This Row],[GST Amount]]</f>
        <v>40736.432000000001</v>
      </c>
      <c r="O4589" s="158" t="s">
        <v>3561</v>
      </c>
      <c r="P4589" s="158" t="s">
        <v>3562</v>
      </c>
      <c r="Q4589" s="160">
        <f>IF(Sales[[#This Row],[Status]]="Cancelled",0,Sales[[#This Row],[Qty]])</f>
        <v>1</v>
      </c>
      <c r="R4589" s="161">
        <f>IF(Sales[[#This Row],[Status]]="Cancelled",0,Sales[[#This Row],[Total Amount]])</f>
        <v>40736.432000000001</v>
      </c>
      <c r="S4589" s="162">
        <f>SUM(Sales[Net Amount])</f>
        <v>406839287.73200053</v>
      </c>
    </row>
    <row r="4590" spans="1:19" ht="18.75" x14ac:dyDescent="0.25">
      <c r="A4590" s="163" t="s">
        <v>8273</v>
      </c>
      <c r="B4590" s="164">
        <v>46003</v>
      </c>
      <c r="C4590" s="34" t="s">
        <v>897</v>
      </c>
      <c r="D4590" s="53" t="str">
        <f>VLOOKUP(Sales[[#This Row],[Customer ID]],Customer[#All],2,0)</f>
        <v>Amit Patel</v>
      </c>
      <c r="E4590" s="34" t="s">
        <v>250</v>
      </c>
      <c r="F4590" s="34" t="str">
        <f>VLOOKUP(Sales[[#This Row],[Product ID]],Product[#All],2,0)</f>
        <v>Corsair Ram</v>
      </c>
      <c r="G4590" s="53">
        <v>1</v>
      </c>
      <c r="H4590" s="165">
        <f>VLOOKUP(Sales[[#This Row],[Product ID]],Product[#All],7,0)</f>
        <v>12160</v>
      </c>
      <c r="I4590" s="165">
        <f>Sales[[#This Row],[Selling Rate]]*Sales[[#This Row],[Qty]]</f>
        <v>12160</v>
      </c>
      <c r="J4590" s="45">
        <v>0.12</v>
      </c>
      <c r="K4590" s="46">
        <f>Sales[[#This Row],[Gross Amount]]*Sales[[#This Row],[Disc %]]</f>
        <v>1459.2</v>
      </c>
      <c r="L4590" s="43">
        <v>0.18</v>
      </c>
      <c r="M4590" s="46">
        <f>(Sales[[#This Row],[Gross Amount]]-Sales[[#This Row],[Disc. Amt.]])*Sales[[#This Row],[GST %]]</f>
        <v>1926.1439999999998</v>
      </c>
      <c r="N4590" s="161">
        <f>Sales[[#This Row],[Gross Amount]]-Sales[[#This Row],[Disc. Amt.]]+Sales[[#This Row],[GST Amount]]</f>
        <v>12626.944</v>
      </c>
      <c r="O4590" s="34" t="s">
        <v>3566</v>
      </c>
      <c r="P4590" s="34" t="s">
        <v>3562</v>
      </c>
      <c r="Q4590" s="165">
        <f>IF(Sales[[#This Row],[Status]]="Cancelled",0,Sales[[#This Row],[Qty]])</f>
        <v>1</v>
      </c>
      <c r="R4590" s="166">
        <f>IF(Sales[[#This Row],[Status]]="Cancelled",0,Sales[[#This Row],[Total Amount]])</f>
        <v>12626.944</v>
      </c>
      <c r="S4590" s="162">
        <f>SUM(Sales[Net Amount])</f>
        <v>406839287.73200053</v>
      </c>
    </row>
    <row r="4591" spans="1:19" ht="18.75" x14ac:dyDescent="0.25">
      <c r="A4591" s="156" t="s">
        <v>8274</v>
      </c>
      <c r="B4591" s="157">
        <v>46003</v>
      </c>
      <c r="C4591" s="158" t="s">
        <v>916</v>
      </c>
      <c r="D4591" s="159" t="str">
        <f>VLOOKUP(Sales[[#This Row],[Customer ID]],Customer[#All],2,0)</f>
        <v>Ankit Singh</v>
      </c>
      <c r="E4591" s="158" t="s">
        <v>389</v>
      </c>
      <c r="F4591" s="158" t="str">
        <f>VLOOKUP(Sales[[#This Row],[Product ID]],Product[#All],2,0)</f>
        <v>WD HDD</v>
      </c>
      <c r="G4591" s="159">
        <v>5</v>
      </c>
      <c r="H4591" s="160">
        <f>VLOOKUP(Sales[[#This Row],[Product ID]],Product[#All],7,0)</f>
        <v>10530</v>
      </c>
      <c r="I4591" s="160">
        <f>Sales[[#This Row],[Selling Rate]]*Sales[[#This Row],[Qty]]</f>
        <v>52650</v>
      </c>
      <c r="J4591" s="43">
        <v>0.05</v>
      </c>
      <c r="K4591" s="44">
        <f>Sales[[#This Row],[Gross Amount]]*Sales[[#This Row],[Disc %]]</f>
        <v>2632.5</v>
      </c>
      <c r="L4591" s="43">
        <v>0.18</v>
      </c>
      <c r="M4591" s="44">
        <f>(Sales[[#This Row],[Gross Amount]]-Sales[[#This Row],[Disc. Amt.]])*Sales[[#This Row],[GST %]]</f>
        <v>9003.15</v>
      </c>
      <c r="N4591" s="161">
        <f>Sales[[#This Row],[Gross Amount]]-Sales[[#This Row],[Disc. Amt.]]+Sales[[#This Row],[GST Amount]]</f>
        <v>59020.65</v>
      </c>
      <c r="O4591" s="158" t="s">
        <v>3569</v>
      </c>
      <c r="P4591" s="158" t="s">
        <v>3562</v>
      </c>
      <c r="Q4591" s="160">
        <f>IF(Sales[[#This Row],[Status]]="Cancelled",0,Sales[[#This Row],[Qty]])</f>
        <v>5</v>
      </c>
      <c r="R4591" s="161">
        <f>IF(Sales[[#This Row],[Status]]="Cancelled",0,Sales[[#This Row],[Total Amount]])</f>
        <v>59020.65</v>
      </c>
      <c r="S4591" s="162">
        <f>SUM(Sales[Net Amount])</f>
        <v>406839287.73200053</v>
      </c>
    </row>
    <row r="4592" spans="1:19" ht="18.75" x14ac:dyDescent="0.25">
      <c r="A4592" s="163" t="s">
        <v>8275</v>
      </c>
      <c r="B4592" s="164">
        <v>46003</v>
      </c>
      <c r="C4592" s="34" t="s">
        <v>941</v>
      </c>
      <c r="D4592" s="53" t="str">
        <f>VLOOKUP(Sales[[#This Row],[Customer ID]],Customer[#All],2,0)</f>
        <v>Sahil Verma</v>
      </c>
      <c r="E4592" s="34" t="s">
        <v>231</v>
      </c>
      <c r="F4592" s="34" t="str">
        <f>VLOOKUP(Sales[[#This Row],[Product ID]],Product[#All],2,0)</f>
        <v>TP-link Wi-Fi Adapter</v>
      </c>
      <c r="G4592" s="53">
        <v>3</v>
      </c>
      <c r="H4592" s="165">
        <f>VLOOKUP(Sales[[#This Row],[Product ID]],Product[#All],7,0)</f>
        <v>2200</v>
      </c>
      <c r="I4592" s="165">
        <f>Sales[[#This Row],[Selling Rate]]*Sales[[#This Row],[Qty]]</f>
        <v>6600</v>
      </c>
      <c r="J4592" s="45">
        <v>0.1</v>
      </c>
      <c r="K4592" s="46">
        <f>Sales[[#This Row],[Gross Amount]]*Sales[[#This Row],[Disc %]]</f>
        <v>660</v>
      </c>
      <c r="L4592" s="43">
        <v>0.18</v>
      </c>
      <c r="M4592" s="46">
        <f>(Sales[[#This Row],[Gross Amount]]-Sales[[#This Row],[Disc. Amt.]])*Sales[[#This Row],[GST %]]</f>
        <v>1069.2</v>
      </c>
      <c r="N4592" s="161">
        <f>Sales[[#This Row],[Gross Amount]]-Sales[[#This Row],[Disc. Amt.]]+Sales[[#This Row],[GST Amount]]</f>
        <v>7009.2</v>
      </c>
      <c r="O4592" s="34" t="s">
        <v>8876</v>
      </c>
      <c r="P4592" s="34" t="s">
        <v>3562</v>
      </c>
      <c r="Q4592" s="165">
        <f>IF(Sales[[#This Row],[Status]]="Cancelled",0,Sales[[#This Row],[Qty]])</f>
        <v>3</v>
      </c>
      <c r="R4592" s="166">
        <f>IF(Sales[[#This Row],[Status]]="Cancelled",0,Sales[[#This Row],[Total Amount]])</f>
        <v>7009.2</v>
      </c>
      <c r="S4592" s="162">
        <f>SUM(Sales[Net Amount])</f>
        <v>406839287.73200053</v>
      </c>
    </row>
    <row r="4593" spans="1:19" ht="18.75" x14ac:dyDescent="0.25">
      <c r="A4593" s="156" t="s">
        <v>8276</v>
      </c>
      <c r="B4593" s="157">
        <v>46003</v>
      </c>
      <c r="C4593" s="158" t="s">
        <v>735</v>
      </c>
      <c r="D4593" s="159" t="str">
        <f>VLOOKUP(Sales[[#This Row],[Customer ID]],Customer[#All],2,0)</f>
        <v>Amit Singh</v>
      </c>
      <c r="E4593" s="158" t="s">
        <v>322</v>
      </c>
      <c r="F4593" s="158" t="str">
        <f>VLOOKUP(Sales[[#This Row],[Product ID]],Product[#All],2,0)</f>
        <v>Jbl Speaker</v>
      </c>
      <c r="G4593" s="159">
        <v>8</v>
      </c>
      <c r="H4593" s="160">
        <f>VLOOKUP(Sales[[#This Row],[Product ID]],Product[#All],7,0)</f>
        <v>10370</v>
      </c>
      <c r="I4593" s="160">
        <f>Sales[[#This Row],[Selling Rate]]*Sales[[#This Row],[Qty]]</f>
        <v>82960</v>
      </c>
      <c r="J4593" s="43">
        <v>0.05</v>
      </c>
      <c r="K4593" s="44">
        <f>Sales[[#This Row],[Gross Amount]]*Sales[[#This Row],[Disc %]]</f>
        <v>4148</v>
      </c>
      <c r="L4593" s="43">
        <v>0.18</v>
      </c>
      <c r="M4593" s="44">
        <f>(Sales[[#This Row],[Gross Amount]]-Sales[[#This Row],[Disc. Amt.]])*Sales[[#This Row],[GST %]]</f>
        <v>14186.16</v>
      </c>
      <c r="N4593" s="161">
        <f>Sales[[#This Row],[Gross Amount]]-Sales[[#This Row],[Disc. Amt.]]+Sales[[#This Row],[GST Amount]]</f>
        <v>92998.16</v>
      </c>
      <c r="O4593" s="158" t="s">
        <v>3569</v>
      </c>
      <c r="P4593" s="158" t="s">
        <v>3562</v>
      </c>
      <c r="Q4593" s="160">
        <f>IF(Sales[[#This Row],[Status]]="Cancelled",0,Sales[[#This Row],[Qty]])</f>
        <v>8</v>
      </c>
      <c r="R4593" s="161">
        <f>IF(Sales[[#This Row],[Status]]="Cancelled",0,Sales[[#This Row],[Total Amount]])</f>
        <v>92998.16</v>
      </c>
      <c r="S4593" s="162">
        <f>SUM(Sales[Net Amount])</f>
        <v>406839287.73200053</v>
      </c>
    </row>
    <row r="4594" spans="1:19" ht="18.75" x14ac:dyDescent="0.25">
      <c r="A4594" s="163" t="s">
        <v>8277</v>
      </c>
      <c r="B4594" s="164">
        <v>46003</v>
      </c>
      <c r="C4594" s="34" t="s">
        <v>738</v>
      </c>
      <c r="D4594" s="53" t="str">
        <f>VLOOKUP(Sales[[#This Row],[Customer ID]],Customer[#All],2,0)</f>
        <v>Pooja Patel</v>
      </c>
      <c r="E4594" s="34" t="s">
        <v>389</v>
      </c>
      <c r="F4594" s="34" t="str">
        <f>VLOOKUP(Sales[[#This Row],[Product ID]],Product[#All],2,0)</f>
        <v>WD HDD</v>
      </c>
      <c r="G4594" s="53">
        <v>8</v>
      </c>
      <c r="H4594" s="165">
        <f>VLOOKUP(Sales[[#This Row],[Product ID]],Product[#All],7,0)</f>
        <v>10530</v>
      </c>
      <c r="I4594" s="165">
        <f>Sales[[#This Row],[Selling Rate]]*Sales[[#This Row],[Qty]]</f>
        <v>84240</v>
      </c>
      <c r="J4594" s="45">
        <v>0.02</v>
      </c>
      <c r="K4594" s="46">
        <f>Sales[[#This Row],[Gross Amount]]*Sales[[#This Row],[Disc %]]</f>
        <v>1684.8</v>
      </c>
      <c r="L4594" s="43">
        <v>0.18</v>
      </c>
      <c r="M4594" s="46">
        <f>(Sales[[#This Row],[Gross Amount]]-Sales[[#This Row],[Disc. Amt.]])*Sales[[#This Row],[GST %]]</f>
        <v>14859.936</v>
      </c>
      <c r="N4594" s="161">
        <f>Sales[[#This Row],[Gross Amount]]-Sales[[#This Row],[Disc. Amt.]]+Sales[[#This Row],[GST Amount]]</f>
        <v>97415.135999999999</v>
      </c>
      <c r="O4594" s="34" t="s">
        <v>3569</v>
      </c>
      <c r="P4594" s="34" t="s">
        <v>3562</v>
      </c>
      <c r="Q4594" s="165">
        <f>IF(Sales[[#This Row],[Status]]="Cancelled",0,Sales[[#This Row],[Qty]])</f>
        <v>8</v>
      </c>
      <c r="R4594" s="166">
        <f>IF(Sales[[#This Row],[Status]]="Cancelled",0,Sales[[#This Row],[Total Amount]])</f>
        <v>97415.135999999999</v>
      </c>
      <c r="S4594" s="162">
        <f>SUM(Sales[Net Amount])</f>
        <v>406839287.73200053</v>
      </c>
    </row>
    <row r="4595" spans="1:19" ht="18.75" x14ac:dyDescent="0.25">
      <c r="A4595" s="156" t="s">
        <v>8278</v>
      </c>
      <c r="B4595" s="157">
        <v>46003</v>
      </c>
      <c r="C4595" s="158" t="s">
        <v>754</v>
      </c>
      <c r="D4595" s="159" t="str">
        <f>VLOOKUP(Sales[[#This Row],[Customer ID]],Customer[#All],2,0)</f>
        <v>Rakesh Gupta</v>
      </c>
      <c r="E4595" s="158" t="s">
        <v>364</v>
      </c>
      <c r="F4595" s="158" t="str">
        <f>VLOOKUP(Sales[[#This Row],[Product ID]],Product[#All],2,0)</f>
        <v>Canon Printer</v>
      </c>
      <c r="G4595" s="159">
        <v>5</v>
      </c>
      <c r="H4595" s="160">
        <f>VLOOKUP(Sales[[#This Row],[Product ID]],Product[#All],7,0)</f>
        <v>41460</v>
      </c>
      <c r="I4595" s="160">
        <f>Sales[[#This Row],[Selling Rate]]*Sales[[#This Row],[Qty]]</f>
        <v>207300</v>
      </c>
      <c r="J4595" s="43">
        <v>0.1</v>
      </c>
      <c r="K4595" s="44">
        <f>Sales[[#This Row],[Gross Amount]]*Sales[[#This Row],[Disc %]]</f>
        <v>20730</v>
      </c>
      <c r="L4595" s="43">
        <v>0.18</v>
      </c>
      <c r="M4595" s="44">
        <f>(Sales[[#This Row],[Gross Amount]]-Sales[[#This Row],[Disc. Amt.]])*Sales[[#This Row],[GST %]]</f>
        <v>33582.6</v>
      </c>
      <c r="N4595" s="161">
        <f>Sales[[#This Row],[Gross Amount]]-Sales[[#This Row],[Disc. Amt.]]+Sales[[#This Row],[GST Amount]]</f>
        <v>220152.6</v>
      </c>
      <c r="O4595" s="158" t="s">
        <v>3561</v>
      </c>
      <c r="P4595" s="158" t="s">
        <v>3562</v>
      </c>
      <c r="Q4595" s="160">
        <f>IF(Sales[[#This Row],[Status]]="Cancelled",0,Sales[[#This Row],[Qty]])</f>
        <v>5</v>
      </c>
      <c r="R4595" s="161">
        <f>IF(Sales[[#This Row],[Status]]="Cancelled",0,Sales[[#This Row],[Total Amount]])</f>
        <v>220152.6</v>
      </c>
      <c r="S4595" s="162">
        <f>SUM(Sales[Net Amount])</f>
        <v>406839287.73200053</v>
      </c>
    </row>
    <row r="4596" spans="1:19" ht="18.75" x14ac:dyDescent="0.25">
      <c r="A4596" s="163" t="s">
        <v>8279</v>
      </c>
      <c r="B4596" s="164">
        <v>46003</v>
      </c>
      <c r="C4596" s="34" t="s">
        <v>908</v>
      </c>
      <c r="D4596" s="53" t="str">
        <f>VLOOKUP(Sales[[#This Row],[Customer ID]],Customer[#All],2,0)</f>
        <v>Rahul Singh</v>
      </c>
      <c r="E4596" s="34" t="s">
        <v>372</v>
      </c>
      <c r="F4596" s="34" t="str">
        <f>VLOOKUP(Sales[[#This Row],[Product ID]],Product[#All],2,0)</f>
        <v>Sandisk Pen Drive</v>
      </c>
      <c r="G4596" s="53">
        <v>2</v>
      </c>
      <c r="H4596" s="165">
        <f>VLOOKUP(Sales[[#This Row],[Product ID]],Product[#All],7,0)</f>
        <v>580</v>
      </c>
      <c r="I4596" s="165">
        <f>Sales[[#This Row],[Selling Rate]]*Sales[[#This Row],[Qty]]</f>
        <v>1160</v>
      </c>
      <c r="J4596" s="45">
        <v>0</v>
      </c>
      <c r="K4596" s="46">
        <f>Sales[[#This Row],[Gross Amount]]*Sales[[#This Row],[Disc %]]</f>
        <v>0</v>
      </c>
      <c r="L4596" s="43">
        <v>0.18</v>
      </c>
      <c r="M4596" s="46">
        <f>(Sales[[#This Row],[Gross Amount]]-Sales[[#This Row],[Disc. Amt.]])*Sales[[#This Row],[GST %]]</f>
        <v>208.79999999999998</v>
      </c>
      <c r="N4596" s="161">
        <f>Sales[[#This Row],[Gross Amount]]-Sales[[#This Row],[Disc. Amt.]]+Sales[[#This Row],[GST Amount]]</f>
        <v>1368.8</v>
      </c>
      <c r="O4596" s="34" t="s">
        <v>3561</v>
      </c>
      <c r="P4596" s="34" t="s">
        <v>3562</v>
      </c>
      <c r="Q4596" s="165">
        <f>IF(Sales[[#This Row],[Status]]="Cancelled",0,Sales[[#This Row],[Qty]])</f>
        <v>2</v>
      </c>
      <c r="R4596" s="166">
        <f>IF(Sales[[#This Row],[Status]]="Cancelled",0,Sales[[#This Row],[Total Amount]])</f>
        <v>1368.8</v>
      </c>
      <c r="S4596" s="162">
        <f>SUM(Sales[Net Amount])</f>
        <v>406839287.73200053</v>
      </c>
    </row>
    <row r="4597" spans="1:19" ht="18.75" x14ac:dyDescent="0.25">
      <c r="A4597" s="156" t="s">
        <v>8280</v>
      </c>
      <c r="B4597" s="157">
        <v>46003</v>
      </c>
      <c r="C4597" s="158" t="s">
        <v>925</v>
      </c>
      <c r="D4597" s="159" t="str">
        <f>VLOOKUP(Sales[[#This Row],[Customer ID]],Customer[#All],2,0)</f>
        <v>Neha Singh</v>
      </c>
      <c r="E4597" s="158" t="s">
        <v>470</v>
      </c>
      <c r="F4597" s="158" t="str">
        <f>VLOOKUP(Sales[[#This Row],[Product ID]],Product[#All],2,0)</f>
        <v>HP Desktop</v>
      </c>
      <c r="G4597" s="159">
        <v>1</v>
      </c>
      <c r="H4597" s="160">
        <f>VLOOKUP(Sales[[#This Row],[Product ID]],Product[#All],7,0)</f>
        <v>40330</v>
      </c>
      <c r="I4597" s="160">
        <f>Sales[[#This Row],[Selling Rate]]*Sales[[#This Row],[Qty]]</f>
        <v>40330</v>
      </c>
      <c r="J4597" s="43">
        <v>0</v>
      </c>
      <c r="K4597" s="44">
        <f>Sales[[#This Row],[Gross Amount]]*Sales[[#This Row],[Disc %]]</f>
        <v>0</v>
      </c>
      <c r="L4597" s="43">
        <v>0.18</v>
      </c>
      <c r="M4597" s="44">
        <f>(Sales[[#This Row],[Gross Amount]]-Sales[[#This Row],[Disc. Amt.]])*Sales[[#This Row],[GST %]]</f>
        <v>7259.4</v>
      </c>
      <c r="N4597" s="161">
        <f>Sales[[#This Row],[Gross Amount]]-Sales[[#This Row],[Disc. Amt.]]+Sales[[#This Row],[GST Amount]]</f>
        <v>47589.4</v>
      </c>
      <c r="O4597" s="158" t="s">
        <v>3569</v>
      </c>
      <c r="P4597" s="158" t="s">
        <v>3562</v>
      </c>
      <c r="Q4597" s="160">
        <f>IF(Sales[[#This Row],[Status]]="Cancelled",0,Sales[[#This Row],[Qty]])</f>
        <v>1</v>
      </c>
      <c r="R4597" s="161">
        <f>IF(Sales[[#This Row],[Status]]="Cancelled",0,Sales[[#This Row],[Total Amount]])</f>
        <v>47589.4</v>
      </c>
      <c r="S4597" s="162">
        <f>SUM(Sales[Net Amount])</f>
        <v>406839287.73200053</v>
      </c>
    </row>
    <row r="4598" spans="1:19" ht="18.75" x14ac:dyDescent="0.25">
      <c r="A4598" s="163" t="s">
        <v>8281</v>
      </c>
      <c r="B4598" s="164">
        <v>46003</v>
      </c>
      <c r="C4598" s="34" t="s">
        <v>938</v>
      </c>
      <c r="D4598" s="53" t="str">
        <f>VLOOKUP(Sales[[#This Row],[Customer ID]],Customer[#All],2,0)</f>
        <v>Sunita Sharma</v>
      </c>
      <c r="E4598" s="34" t="s">
        <v>346</v>
      </c>
      <c r="F4598" s="34" t="str">
        <f>VLOOKUP(Sales[[#This Row],[Product ID]],Product[#All],2,0)</f>
        <v>HP Laptop</v>
      </c>
      <c r="G4598" s="53">
        <v>3</v>
      </c>
      <c r="H4598" s="165">
        <f>VLOOKUP(Sales[[#This Row],[Product ID]],Product[#All],7,0)</f>
        <v>88550</v>
      </c>
      <c r="I4598" s="165">
        <f>Sales[[#This Row],[Selling Rate]]*Sales[[#This Row],[Qty]]</f>
        <v>265650</v>
      </c>
      <c r="J4598" s="45">
        <v>0.05</v>
      </c>
      <c r="K4598" s="46">
        <f>Sales[[#This Row],[Gross Amount]]*Sales[[#This Row],[Disc %]]</f>
        <v>13282.5</v>
      </c>
      <c r="L4598" s="43">
        <v>0.18</v>
      </c>
      <c r="M4598" s="46">
        <f>(Sales[[#This Row],[Gross Amount]]-Sales[[#This Row],[Disc. Amt.]])*Sales[[#This Row],[GST %]]</f>
        <v>45426.15</v>
      </c>
      <c r="N4598" s="161">
        <f>Sales[[#This Row],[Gross Amount]]-Sales[[#This Row],[Disc. Amt.]]+Sales[[#This Row],[GST Amount]]</f>
        <v>297793.65000000002</v>
      </c>
      <c r="O4598" s="34" t="s">
        <v>8876</v>
      </c>
      <c r="P4598" s="34" t="s">
        <v>3562</v>
      </c>
      <c r="Q4598" s="165">
        <f>IF(Sales[[#This Row],[Status]]="Cancelled",0,Sales[[#This Row],[Qty]])</f>
        <v>3</v>
      </c>
      <c r="R4598" s="166">
        <f>IF(Sales[[#This Row],[Status]]="Cancelled",0,Sales[[#This Row],[Total Amount]])</f>
        <v>297793.65000000002</v>
      </c>
      <c r="S4598" s="162">
        <f>SUM(Sales[Net Amount])</f>
        <v>406839287.73200053</v>
      </c>
    </row>
    <row r="4599" spans="1:19" ht="18.75" x14ac:dyDescent="0.25">
      <c r="A4599" s="156" t="s">
        <v>8282</v>
      </c>
      <c r="B4599" s="157">
        <v>46003</v>
      </c>
      <c r="C4599" s="158" t="s">
        <v>762</v>
      </c>
      <c r="D4599" s="159" t="str">
        <f>VLOOKUP(Sales[[#This Row],[Customer ID]],Customer[#All],2,0)</f>
        <v>Amit Patel</v>
      </c>
      <c r="E4599" s="158" t="s">
        <v>501</v>
      </c>
      <c r="F4599" s="158" t="str">
        <f>VLOOKUP(Sales[[#This Row],[Product ID]],Product[#All],2,0)</f>
        <v>Samsung Ssd</v>
      </c>
      <c r="G4599" s="159">
        <v>3</v>
      </c>
      <c r="H4599" s="160">
        <f>VLOOKUP(Sales[[#This Row],[Product ID]],Product[#All],7,0)</f>
        <v>4260</v>
      </c>
      <c r="I4599" s="160">
        <f>Sales[[#This Row],[Selling Rate]]*Sales[[#This Row],[Qty]]</f>
        <v>12780</v>
      </c>
      <c r="J4599" s="43">
        <v>0.05</v>
      </c>
      <c r="K4599" s="44">
        <f>Sales[[#This Row],[Gross Amount]]*Sales[[#This Row],[Disc %]]</f>
        <v>639</v>
      </c>
      <c r="L4599" s="43">
        <v>0.18</v>
      </c>
      <c r="M4599" s="44">
        <f>(Sales[[#This Row],[Gross Amount]]-Sales[[#This Row],[Disc. Amt.]])*Sales[[#This Row],[GST %]]</f>
        <v>2185.38</v>
      </c>
      <c r="N4599" s="161">
        <f>Sales[[#This Row],[Gross Amount]]-Sales[[#This Row],[Disc. Amt.]]+Sales[[#This Row],[GST Amount]]</f>
        <v>14326.380000000001</v>
      </c>
      <c r="O4599" s="158" t="s">
        <v>8876</v>
      </c>
      <c r="P4599" s="158" t="s">
        <v>3562</v>
      </c>
      <c r="Q4599" s="160">
        <f>IF(Sales[[#This Row],[Status]]="Cancelled",0,Sales[[#This Row],[Qty]])</f>
        <v>3</v>
      </c>
      <c r="R4599" s="161">
        <f>IF(Sales[[#This Row],[Status]]="Cancelled",0,Sales[[#This Row],[Total Amount]])</f>
        <v>14326.380000000001</v>
      </c>
      <c r="S4599" s="162">
        <f>SUM(Sales[Net Amount])</f>
        <v>406839287.73200053</v>
      </c>
    </row>
    <row r="4600" spans="1:19" ht="18.75" x14ac:dyDescent="0.25">
      <c r="A4600" s="163" t="s">
        <v>8283</v>
      </c>
      <c r="B4600" s="164">
        <v>46003</v>
      </c>
      <c r="C4600" s="34" t="s">
        <v>715</v>
      </c>
      <c r="D4600" s="53" t="str">
        <f>VLOOKUP(Sales[[#This Row],[Customer ID]],Customer[#All],2,0)</f>
        <v>Sunita Patel</v>
      </c>
      <c r="E4600" s="34" t="s">
        <v>263</v>
      </c>
      <c r="F4600" s="34" t="str">
        <f>VLOOKUP(Sales[[#This Row],[Product ID]],Product[#All],2,0)</f>
        <v>Amazon Basics Hdmi Cable</v>
      </c>
      <c r="G4600" s="53">
        <v>3</v>
      </c>
      <c r="H4600" s="165">
        <f>VLOOKUP(Sales[[#This Row],[Product ID]],Product[#All],7,0)</f>
        <v>770</v>
      </c>
      <c r="I4600" s="165">
        <f>Sales[[#This Row],[Selling Rate]]*Sales[[#This Row],[Qty]]</f>
        <v>2310</v>
      </c>
      <c r="J4600" s="45">
        <v>0.15</v>
      </c>
      <c r="K4600" s="46">
        <f>Sales[[#This Row],[Gross Amount]]*Sales[[#This Row],[Disc %]]</f>
        <v>346.5</v>
      </c>
      <c r="L4600" s="43">
        <v>0.18</v>
      </c>
      <c r="M4600" s="46">
        <f>(Sales[[#This Row],[Gross Amount]]-Sales[[#This Row],[Disc. Amt.]])*Sales[[#This Row],[GST %]]</f>
        <v>353.43</v>
      </c>
      <c r="N4600" s="161">
        <f>Sales[[#This Row],[Gross Amount]]-Sales[[#This Row],[Disc. Amt.]]+Sales[[#This Row],[GST Amount]]</f>
        <v>2316.9299999999998</v>
      </c>
      <c r="O4600" s="34" t="s">
        <v>3561</v>
      </c>
      <c r="P4600" s="34" t="s">
        <v>3562</v>
      </c>
      <c r="Q4600" s="165">
        <f>IF(Sales[[#This Row],[Status]]="Cancelled",0,Sales[[#This Row],[Qty]])</f>
        <v>3</v>
      </c>
      <c r="R4600" s="166">
        <f>IF(Sales[[#This Row],[Status]]="Cancelled",0,Sales[[#This Row],[Total Amount]])</f>
        <v>2316.9299999999998</v>
      </c>
      <c r="S4600" s="162">
        <f>SUM(Sales[Net Amount])</f>
        <v>406839287.73200053</v>
      </c>
    </row>
    <row r="4601" spans="1:19" ht="18.75" x14ac:dyDescent="0.25">
      <c r="A4601" s="156" t="s">
        <v>8284</v>
      </c>
      <c r="B4601" s="157">
        <v>46003</v>
      </c>
      <c r="C4601" s="158" t="s">
        <v>650</v>
      </c>
      <c r="D4601" s="159" t="str">
        <f>VLOOKUP(Sales[[#This Row],[Customer ID]],Customer[#All],2,0)</f>
        <v xml:space="preserve">Pooja Patel </v>
      </c>
      <c r="E4601" s="158" t="s">
        <v>153</v>
      </c>
      <c r="F4601" s="158" t="str">
        <f>VLOOKUP(Sales[[#This Row],[Product ID]],Product[#All],2,0)</f>
        <v>HP Mouse</v>
      </c>
      <c r="G4601" s="159">
        <v>2</v>
      </c>
      <c r="H4601" s="160">
        <f>VLOOKUP(Sales[[#This Row],[Product ID]],Product[#All],7,0)</f>
        <v>1070</v>
      </c>
      <c r="I4601" s="160">
        <f>Sales[[#This Row],[Selling Rate]]*Sales[[#This Row],[Qty]]</f>
        <v>2140</v>
      </c>
      <c r="J4601" s="43">
        <v>0.12</v>
      </c>
      <c r="K4601" s="44">
        <f>Sales[[#This Row],[Gross Amount]]*Sales[[#This Row],[Disc %]]</f>
        <v>256.8</v>
      </c>
      <c r="L4601" s="43">
        <v>0.18</v>
      </c>
      <c r="M4601" s="44">
        <f>(Sales[[#This Row],[Gross Amount]]-Sales[[#This Row],[Disc. Amt.]])*Sales[[#This Row],[GST %]]</f>
        <v>338.976</v>
      </c>
      <c r="N4601" s="161">
        <f>Sales[[#This Row],[Gross Amount]]-Sales[[#This Row],[Disc. Amt.]]+Sales[[#This Row],[GST Amount]]</f>
        <v>2222.1759999999999</v>
      </c>
      <c r="O4601" s="158" t="s">
        <v>3566</v>
      </c>
      <c r="P4601" s="158" t="s">
        <v>3562</v>
      </c>
      <c r="Q4601" s="160">
        <f>IF(Sales[[#This Row],[Status]]="Cancelled",0,Sales[[#This Row],[Qty]])</f>
        <v>2</v>
      </c>
      <c r="R4601" s="161">
        <f>IF(Sales[[#This Row],[Status]]="Cancelled",0,Sales[[#This Row],[Total Amount]])</f>
        <v>2222.1759999999999</v>
      </c>
      <c r="S4601" s="162">
        <f>SUM(Sales[Net Amount])</f>
        <v>406839287.73200053</v>
      </c>
    </row>
    <row r="4602" spans="1:19" ht="18.75" x14ac:dyDescent="0.25">
      <c r="A4602" s="163" t="s">
        <v>8285</v>
      </c>
      <c r="B4602" s="164">
        <v>46003</v>
      </c>
      <c r="C4602" s="34" t="s">
        <v>934</v>
      </c>
      <c r="D4602" s="53" t="str">
        <f>VLOOKUP(Sales[[#This Row],[Customer ID]],Customer[#All],2,0)</f>
        <v>Pooja Singh</v>
      </c>
      <c r="E4602" s="34" t="s">
        <v>389</v>
      </c>
      <c r="F4602" s="34" t="str">
        <f>VLOOKUP(Sales[[#This Row],[Product ID]],Product[#All],2,0)</f>
        <v>WD HDD</v>
      </c>
      <c r="G4602" s="53">
        <v>2</v>
      </c>
      <c r="H4602" s="165">
        <f>VLOOKUP(Sales[[#This Row],[Product ID]],Product[#All],7,0)</f>
        <v>10530</v>
      </c>
      <c r="I4602" s="165">
        <f>Sales[[#This Row],[Selling Rate]]*Sales[[#This Row],[Qty]]</f>
        <v>21060</v>
      </c>
      <c r="J4602" s="45">
        <v>0</v>
      </c>
      <c r="K4602" s="46">
        <f>Sales[[#This Row],[Gross Amount]]*Sales[[#This Row],[Disc %]]</f>
        <v>0</v>
      </c>
      <c r="L4602" s="43">
        <v>0.18</v>
      </c>
      <c r="M4602" s="46">
        <f>(Sales[[#This Row],[Gross Amount]]-Sales[[#This Row],[Disc. Amt.]])*Sales[[#This Row],[GST %]]</f>
        <v>3790.7999999999997</v>
      </c>
      <c r="N4602" s="161">
        <f>Sales[[#This Row],[Gross Amount]]-Sales[[#This Row],[Disc. Amt.]]+Sales[[#This Row],[GST Amount]]</f>
        <v>24850.799999999999</v>
      </c>
      <c r="O4602" s="34" t="s">
        <v>3569</v>
      </c>
      <c r="P4602" s="34" t="s">
        <v>3562</v>
      </c>
      <c r="Q4602" s="165">
        <f>IF(Sales[[#This Row],[Status]]="Cancelled",0,Sales[[#This Row],[Qty]])</f>
        <v>2</v>
      </c>
      <c r="R4602" s="166">
        <f>IF(Sales[[#This Row],[Status]]="Cancelled",0,Sales[[#This Row],[Total Amount]])</f>
        <v>24850.799999999999</v>
      </c>
      <c r="S4602" s="162">
        <f>SUM(Sales[Net Amount])</f>
        <v>406839287.73200053</v>
      </c>
    </row>
    <row r="4603" spans="1:19" ht="18.75" x14ac:dyDescent="0.25">
      <c r="A4603" s="156" t="s">
        <v>8286</v>
      </c>
      <c r="B4603" s="157">
        <v>46003</v>
      </c>
      <c r="C4603" s="158" t="s">
        <v>849</v>
      </c>
      <c r="D4603" s="159" t="str">
        <f>VLOOKUP(Sales[[#This Row],[Customer ID]],Customer[#All],2,0)</f>
        <v>Sunita Sharma</v>
      </c>
      <c r="E4603" s="158" t="s">
        <v>173</v>
      </c>
      <c r="F4603" s="158" t="str">
        <f>VLOOKUP(Sales[[#This Row],[Product ID]],Product[#All],2,0)</f>
        <v>HP Desktop</v>
      </c>
      <c r="G4603" s="159">
        <v>1</v>
      </c>
      <c r="H4603" s="160">
        <f>VLOOKUP(Sales[[#This Row],[Product ID]],Product[#All],7,0)</f>
        <v>69180</v>
      </c>
      <c r="I4603" s="160">
        <f>Sales[[#This Row],[Selling Rate]]*Sales[[#This Row],[Qty]]</f>
        <v>69180</v>
      </c>
      <c r="J4603" s="43">
        <v>0.15</v>
      </c>
      <c r="K4603" s="44">
        <f>Sales[[#This Row],[Gross Amount]]*Sales[[#This Row],[Disc %]]</f>
        <v>10377</v>
      </c>
      <c r="L4603" s="43">
        <v>0.18</v>
      </c>
      <c r="M4603" s="44">
        <f>(Sales[[#This Row],[Gross Amount]]-Sales[[#This Row],[Disc. Amt.]])*Sales[[#This Row],[GST %]]</f>
        <v>10584.539999999999</v>
      </c>
      <c r="N4603" s="161">
        <f>Sales[[#This Row],[Gross Amount]]-Sales[[#This Row],[Disc. Amt.]]+Sales[[#This Row],[GST Amount]]</f>
        <v>69387.539999999994</v>
      </c>
      <c r="O4603" s="158" t="s">
        <v>3566</v>
      </c>
      <c r="P4603" s="158" t="s">
        <v>3562</v>
      </c>
      <c r="Q4603" s="160">
        <f>IF(Sales[[#This Row],[Status]]="Cancelled",0,Sales[[#This Row],[Qty]])</f>
        <v>1</v>
      </c>
      <c r="R4603" s="161">
        <f>IF(Sales[[#This Row],[Status]]="Cancelled",0,Sales[[#This Row],[Total Amount]])</f>
        <v>69387.539999999994</v>
      </c>
      <c r="S4603" s="162">
        <f>SUM(Sales[Net Amount])</f>
        <v>406839287.73200053</v>
      </c>
    </row>
    <row r="4604" spans="1:19" ht="18.75" x14ac:dyDescent="0.25">
      <c r="A4604" s="163" t="s">
        <v>8287</v>
      </c>
      <c r="B4604" s="164">
        <v>46003</v>
      </c>
      <c r="C4604" s="34" t="s">
        <v>869</v>
      </c>
      <c r="D4604" s="53" t="str">
        <f>VLOOKUP(Sales[[#This Row],[Customer ID]],Customer[#All],2,0)</f>
        <v>Rakesh Patel</v>
      </c>
      <c r="E4604" s="34" t="s">
        <v>405</v>
      </c>
      <c r="F4604" s="34" t="str">
        <f>VLOOKUP(Sales[[#This Row],[Product ID]],Product[#All],2,0)</f>
        <v>TP-link Bluetooth Adapter</v>
      </c>
      <c r="G4604" s="53">
        <v>5</v>
      </c>
      <c r="H4604" s="165">
        <f>VLOOKUP(Sales[[#This Row],[Product ID]],Product[#All],7,0)</f>
        <v>1470</v>
      </c>
      <c r="I4604" s="165">
        <f>Sales[[#This Row],[Selling Rate]]*Sales[[#This Row],[Qty]]</f>
        <v>7350</v>
      </c>
      <c r="J4604" s="45">
        <v>0</v>
      </c>
      <c r="K4604" s="46">
        <f>Sales[[#This Row],[Gross Amount]]*Sales[[#This Row],[Disc %]]</f>
        <v>0</v>
      </c>
      <c r="L4604" s="43">
        <v>0.18</v>
      </c>
      <c r="M4604" s="46">
        <f>(Sales[[#This Row],[Gross Amount]]-Sales[[#This Row],[Disc. Amt.]])*Sales[[#This Row],[GST %]]</f>
        <v>1323</v>
      </c>
      <c r="N4604" s="161">
        <f>Sales[[#This Row],[Gross Amount]]-Sales[[#This Row],[Disc. Amt.]]+Sales[[#This Row],[GST Amount]]</f>
        <v>8673</v>
      </c>
      <c r="O4604" s="34" t="s">
        <v>3569</v>
      </c>
      <c r="P4604" s="34" t="s">
        <v>3562</v>
      </c>
      <c r="Q4604" s="165">
        <f>IF(Sales[[#This Row],[Status]]="Cancelled",0,Sales[[#This Row],[Qty]])</f>
        <v>5</v>
      </c>
      <c r="R4604" s="166">
        <f>IF(Sales[[#This Row],[Status]]="Cancelled",0,Sales[[#This Row],[Total Amount]])</f>
        <v>8673</v>
      </c>
      <c r="S4604" s="162">
        <f>SUM(Sales[Net Amount])</f>
        <v>406839287.73200053</v>
      </c>
    </row>
    <row r="4605" spans="1:19" ht="18.75" x14ac:dyDescent="0.25">
      <c r="A4605" s="156" t="s">
        <v>8288</v>
      </c>
      <c r="B4605" s="157">
        <v>46003</v>
      </c>
      <c r="C4605" s="158" t="s">
        <v>739</v>
      </c>
      <c r="D4605" s="159" t="str">
        <f>VLOOKUP(Sales[[#This Row],[Customer ID]],Customer[#All],2,0)</f>
        <v>Ankit Singh</v>
      </c>
      <c r="E4605" s="158" t="s">
        <v>416</v>
      </c>
      <c r="F4605" s="158" t="str">
        <f>VLOOKUP(Sales[[#This Row],[Product ID]],Product[#All],2,0)</f>
        <v>Portronics USB Cable</v>
      </c>
      <c r="G4605" s="159">
        <v>6</v>
      </c>
      <c r="H4605" s="160">
        <f>VLOOKUP(Sales[[#This Row],[Product ID]],Product[#All],7,0)</f>
        <v>960</v>
      </c>
      <c r="I4605" s="160">
        <f>Sales[[#This Row],[Selling Rate]]*Sales[[#This Row],[Qty]]</f>
        <v>5760</v>
      </c>
      <c r="J4605" s="43">
        <v>0.15</v>
      </c>
      <c r="K4605" s="44">
        <f>Sales[[#This Row],[Gross Amount]]*Sales[[#This Row],[Disc %]]</f>
        <v>864</v>
      </c>
      <c r="L4605" s="43">
        <v>0.18</v>
      </c>
      <c r="M4605" s="44">
        <f>(Sales[[#This Row],[Gross Amount]]-Sales[[#This Row],[Disc. Amt.]])*Sales[[#This Row],[GST %]]</f>
        <v>881.28</v>
      </c>
      <c r="N4605" s="161">
        <f>Sales[[#This Row],[Gross Amount]]-Sales[[#This Row],[Disc. Amt.]]+Sales[[#This Row],[GST Amount]]</f>
        <v>5777.28</v>
      </c>
      <c r="O4605" s="158" t="s">
        <v>8876</v>
      </c>
      <c r="P4605" s="158" t="s">
        <v>3562</v>
      </c>
      <c r="Q4605" s="160">
        <f>IF(Sales[[#This Row],[Status]]="Cancelled",0,Sales[[#This Row],[Qty]])</f>
        <v>6</v>
      </c>
      <c r="R4605" s="161">
        <f>IF(Sales[[#This Row],[Status]]="Cancelled",0,Sales[[#This Row],[Total Amount]])</f>
        <v>5777.28</v>
      </c>
      <c r="S4605" s="162">
        <f>SUM(Sales[Net Amount])</f>
        <v>406839287.73200053</v>
      </c>
    </row>
    <row r="4606" spans="1:19" ht="18.75" x14ac:dyDescent="0.25">
      <c r="A4606" s="163" t="s">
        <v>8289</v>
      </c>
      <c r="B4606" s="164">
        <v>46003</v>
      </c>
      <c r="C4606" s="34" t="s">
        <v>879</v>
      </c>
      <c r="D4606" s="53" t="str">
        <f>VLOOKUP(Sales[[#This Row],[Customer ID]],Customer[#All],2,0)</f>
        <v>Ankit Patel</v>
      </c>
      <c r="E4606" s="34" t="s">
        <v>303</v>
      </c>
      <c r="F4606" s="34" t="str">
        <f>VLOOKUP(Sales[[#This Row],[Product ID]],Product[#All],2,0)</f>
        <v>Crucial Ssd</v>
      </c>
      <c r="G4606" s="53">
        <v>7</v>
      </c>
      <c r="H4606" s="165">
        <f>VLOOKUP(Sales[[#This Row],[Product ID]],Product[#All],7,0)</f>
        <v>7740</v>
      </c>
      <c r="I4606" s="165">
        <f>Sales[[#This Row],[Selling Rate]]*Sales[[#This Row],[Qty]]</f>
        <v>54180</v>
      </c>
      <c r="J4606" s="45">
        <v>0</v>
      </c>
      <c r="K4606" s="46">
        <f>Sales[[#This Row],[Gross Amount]]*Sales[[#This Row],[Disc %]]</f>
        <v>0</v>
      </c>
      <c r="L4606" s="43">
        <v>0.18</v>
      </c>
      <c r="M4606" s="46">
        <f>(Sales[[#This Row],[Gross Amount]]-Sales[[#This Row],[Disc. Amt.]])*Sales[[#This Row],[GST %]]</f>
        <v>9752.4</v>
      </c>
      <c r="N4606" s="161">
        <f>Sales[[#This Row],[Gross Amount]]-Sales[[#This Row],[Disc. Amt.]]+Sales[[#This Row],[GST Amount]]</f>
        <v>63932.4</v>
      </c>
      <c r="O4606" s="34" t="s">
        <v>8876</v>
      </c>
      <c r="P4606" s="34" t="s">
        <v>3562</v>
      </c>
      <c r="Q4606" s="165">
        <f>IF(Sales[[#This Row],[Status]]="Cancelled",0,Sales[[#This Row],[Qty]])</f>
        <v>7</v>
      </c>
      <c r="R4606" s="166">
        <f>IF(Sales[[#This Row],[Status]]="Cancelled",0,Sales[[#This Row],[Total Amount]])</f>
        <v>63932.4</v>
      </c>
      <c r="S4606" s="162">
        <f>SUM(Sales[Net Amount])</f>
        <v>406839287.73200053</v>
      </c>
    </row>
    <row r="4607" spans="1:19" ht="18.75" x14ac:dyDescent="0.25">
      <c r="A4607" s="156" t="s">
        <v>8290</v>
      </c>
      <c r="B4607" s="157">
        <v>46004</v>
      </c>
      <c r="C4607" s="158" t="s">
        <v>926</v>
      </c>
      <c r="D4607" s="159" t="str">
        <f>VLOOKUP(Sales[[#This Row],[Customer ID]],Customer[#All],2,0)</f>
        <v>Pooja Singh</v>
      </c>
      <c r="E4607" s="158" t="s">
        <v>548</v>
      </c>
      <c r="F4607" s="158" t="str">
        <f>VLOOKUP(Sales[[#This Row],[Product ID]],Product[#All],2,0)</f>
        <v>HP Power Adapter</v>
      </c>
      <c r="G4607" s="159">
        <v>2</v>
      </c>
      <c r="H4607" s="160">
        <f>VLOOKUP(Sales[[#This Row],[Product ID]],Product[#All],7,0)</f>
        <v>2470</v>
      </c>
      <c r="I4607" s="160">
        <f>Sales[[#This Row],[Selling Rate]]*Sales[[#This Row],[Qty]]</f>
        <v>4940</v>
      </c>
      <c r="J4607" s="43">
        <v>0.15</v>
      </c>
      <c r="K4607" s="44">
        <f>Sales[[#This Row],[Gross Amount]]*Sales[[#This Row],[Disc %]]</f>
        <v>741</v>
      </c>
      <c r="L4607" s="43">
        <v>0.18</v>
      </c>
      <c r="M4607" s="44">
        <f>(Sales[[#This Row],[Gross Amount]]-Sales[[#This Row],[Disc. Amt.]])*Sales[[#This Row],[GST %]]</f>
        <v>755.81999999999994</v>
      </c>
      <c r="N4607" s="161">
        <f>Sales[[#This Row],[Gross Amount]]-Sales[[#This Row],[Disc. Amt.]]+Sales[[#This Row],[GST Amount]]</f>
        <v>4954.82</v>
      </c>
      <c r="O4607" s="158" t="s">
        <v>3561</v>
      </c>
      <c r="P4607" s="158" t="s">
        <v>3562</v>
      </c>
      <c r="Q4607" s="160">
        <f>IF(Sales[[#This Row],[Status]]="Cancelled",0,Sales[[#This Row],[Qty]])</f>
        <v>2</v>
      </c>
      <c r="R4607" s="161">
        <f>IF(Sales[[#This Row],[Status]]="Cancelled",0,Sales[[#This Row],[Total Amount]])</f>
        <v>4954.82</v>
      </c>
      <c r="S4607" s="162">
        <f>SUM(Sales[Net Amount])</f>
        <v>406839287.73200053</v>
      </c>
    </row>
    <row r="4608" spans="1:19" ht="18.75" x14ac:dyDescent="0.25">
      <c r="A4608" s="163" t="s">
        <v>8291</v>
      </c>
      <c r="B4608" s="164">
        <v>46004</v>
      </c>
      <c r="C4608" s="34" t="s">
        <v>826</v>
      </c>
      <c r="D4608" s="53" t="str">
        <f>VLOOKUP(Sales[[#This Row],[Customer ID]],Customer[#All],2,0)</f>
        <v>Sahil Sharma</v>
      </c>
      <c r="E4608" s="34" t="s">
        <v>293</v>
      </c>
      <c r="F4608" s="34" t="str">
        <f>VLOOKUP(Sales[[#This Row],[Product ID]],Product[#All],2,0)</f>
        <v>Samsung Ssd</v>
      </c>
      <c r="G4608" s="53">
        <v>8</v>
      </c>
      <c r="H4608" s="165">
        <f>VLOOKUP(Sales[[#This Row],[Product ID]],Product[#All],7,0)</f>
        <v>8530</v>
      </c>
      <c r="I4608" s="165">
        <f>Sales[[#This Row],[Selling Rate]]*Sales[[#This Row],[Qty]]</f>
        <v>68240</v>
      </c>
      <c r="J4608" s="45">
        <v>0.05</v>
      </c>
      <c r="K4608" s="46">
        <f>Sales[[#This Row],[Gross Amount]]*Sales[[#This Row],[Disc %]]</f>
        <v>3412</v>
      </c>
      <c r="L4608" s="43">
        <v>0.18</v>
      </c>
      <c r="M4608" s="46">
        <f>(Sales[[#This Row],[Gross Amount]]-Sales[[#This Row],[Disc. Amt.]])*Sales[[#This Row],[GST %]]</f>
        <v>11669.039999999999</v>
      </c>
      <c r="N4608" s="161">
        <f>Sales[[#This Row],[Gross Amount]]-Sales[[#This Row],[Disc. Amt.]]+Sales[[#This Row],[GST Amount]]</f>
        <v>76497.039999999994</v>
      </c>
      <c r="O4608" s="34" t="s">
        <v>8876</v>
      </c>
      <c r="P4608" s="34" t="s">
        <v>3562</v>
      </c>
      <c r="Q4608" s="165">
        <f>IF(Sales[[#This Row],[Status]]="Cancelled",0,Sales[[#This Row],[Qty]])</f>
        <v>8</v>
      </c>
      <c r="R4608" s="166">
        <f>IF(Sales[[#This Row],[Status]]="Cancelled",0,Sales[[#This Row],[Total Amount]])</f>
        <v>76497.039999999994</v>
      </c>
      <c r="S4608" s="162">
        <f>SUM(Sales[Net Amount])</f>
        <v>406839287.73200053</v>
      </c>
    </row>
    <row r="4609" spans="1:19" ht="18.75" x14ac:dyDescent="0.25">
      <c r="A4609" s="156" t="s">
        <v>8292</v>
      </c>
      <c r="B4609" s="157">
        <v>46004</v>
      </c>
      <c r="C4609" s="158" t="s">
        <v>788</v>
      </c>
      <c r="D4609" s="159" t="str">
        <f>VLOOKUP(Sales[[#This Row],[Customer ID]],Customer[#All],2,0)</f>
        <v>Vikas Kumar</v>
      </c>
      <c r="E4609" s="158" t="s">
        <v>503</v>
      </c>
      <c r="F4609" s="158" t="str">
        <f>VLOOKUP(Sales[[#This Row],[Product ID]],Product[#All],2,0)</f>
        <v>Corsair Ram</v>
      </c>
      <c r="G4609" s="159">
        <v>4</v>
      </c>
      <c r="H4609" s="160">
        <f>VLOOKUP(Sales[[#This Row],[Product ID]],Product[#All],7,0)</f>
        <v>8750</v>
      </c>
      <c r="I4609" s="160">
        <f>Sales[[#This Row],[Selling Rate]]*Sales[[#This Row],[Qty]]</f>
        <v>35000</v>
      </c>
      <c r="J4609" s="43">
        <v>0.12</v>
      </c>
      <c r="K4609" s="44">
        <f>Sales[[#This Row],[Gross Amount]]*Sales[[#This Row],[Disc %]]</f>
        <v>4200</v>
      </c>
      <c r="L4609" s="43">
        <v>0.18</v>
      </c>
      <c r="M4609" s="44">
        <f>(Sales[[#This Row],[Gross Amount]]-Sales[[#This Row],[Disc. Amt.]])*Sales[[#This Row],[GST %]]</f>
        <v>5544</v>
      </c>
      <c r="N4609" s="161">
        <f>Sales[[#This Row],[Gross Amount]]-Sales[[#This Row],[Disc. Amt.]]+Sales[[#This Row],[GST Amount]]</f>
        <v>36344</v>
      </c>
      <c r="O4609" s="158" t="s">
        <v>3561</v>
      </c>
      <c r="P4609" s="158" t="s">
        <v>3562</v>
      </c>
      <c r="Q4609" s="160">
        <f>IF(Sales[[#This Row],[Status]]="Cancelled",0,Sales[[#This Row],[Qty]])</f>
        <v>4</v>
      </c>
      <c r="R4609" s="161">
        <f>IF(Sales[[#This Row],[Status]]="Cancelled",0,Sales[[#This Row],[Total Amount]])</f>
        <v>36344</v>
      </c>
      <c r="S4609" s="162">
        <f>SUM(Sales[Net Amount])</f>
        <v>406839287.73200053</v>
      </c>
    </row>
    <row r="4610" spans="1:19" ht="18.75" x14ac:dyDescent="0.25">
      <c r="A4610" s="163" t="s">
        <v>8293</v>
      </c>
      <c r="B4610" s="164">
        <v>46004</v>
      </c>
      <c r="C4610" s="34" t="s">
        <v>667</v>
      </c>
      <c r="D4610" s="53" t="str">
        <f>VLOOKUP(Sales[[#This Row],[Customer ID]],Customer[#All],2,0)</f>
        <v>Neha Gupta</v>
      </c>
      <c r="E4610" s="34" t="s">
        <v>463</v>
      </c>
      <c r="F4610" s="34" t="str">
        <f>VLOOKUP(Sales[[#This Row],[Product ID]],Product[#All],2,0)</f>
        <v>Apc UPS</v>
      </c>
      <c r="G4610" s="53">
        <v>4</v>
      </c>
      <c r="H4610" s="165">
        <f>VLOOKUP(Sales[[#This Row],[Product ID]],Product[#All],7,0)</f>
        <v>10050</v>
      </c>
      <c r="I4610" s="165">
        <f>Sales[[#This Row],[Selling Rate]]*Sales[[#This Row],[Qty]]</f>
        <v>40200</v>
      </c>
      <c r="J4610" s="45">
        <v>0.15</v>
      </c>
      <c r="K4610" s="46">
        <f>Sales[[#This Row],[Gross Amount]]*Sales[[#This Row],[Disc %]]</f>
        <v>6030</v>
      </c>
      <c r="L4610" s="43">
        <v>0.18</v>
      </c>
      <c r="M4610" s="46">
        <f>(Sales[[#This Row],[Gross Amount]]-Sales[[#This Row],[Disc. Amt.]])*Sales[[#This Row],[GST %]]</f>
        <v>6150.5999999999995</v>
      </c>
      <c r="N4610" s="161">
        <f>Sales[[#This Row],[Gross Amount]]-Sales[[#This Row],[Disc. Amt.]]+Sales[[#This Row],[GST Amount]]</f>
        <v>40320.6</v>
      </c>
      <c r="O4610" s="34" t="s">
        <v>3566</v>
      </c>
      <c r="P4610" s="34" t="s">
        <v>3562</v>
      </c>
      <c r="Q4610" s="165">
        <f>IF(Sales[[#This Row],[Status]]="Cancelled",0,Sales[[#This Row],[Qty]])</f>
        <v>4</v>
      </c>
      <c r="R4610" s="166">
        <f>IF(Sales[[#This Row],[Status]]="Cancelled",0,Sales[[#This Row],[Total Amount]])</f>
        <v>40320.6</v>
      </c>
      <c r="S4610" s="162">
        <f>SUM(Sales[Net Amount])</f>
        <v>406839287.73200053</v>
      </c>
    </row>
    <row r="4611" spans="1:19" ht="18.75" x14ac:dyDescent="0.25">
      <c r="A4611" s="156" t="s">
        <v>8294</v>
      </c>
      <c r="B4611" s="157">
        <v>46004</v>
      </c>
      <c r="C4611" s="158" t="s">
        <v>793</v>
      </c>
      <c r="D4611" s="159" t="str">
        <f>VLOOKUP(Sales[[#This Row],[Customer ID]],Customer[#All],2,0)</f>
        <v>Neha Verma</v>
      </c>
      <c r="E4611" s="158" t="s">
        <v>178</v>
      </c>
      <c r="F4611" s="158" t="str">
        <f>VLOOKUP(Sales[[#This Row],[Product ID]],Product[#All],2,0)</f>
        <v>Kingston Ram</v>
      </c>
      <c r="G4611" s="159">
        <v>4</v>
      </c>
      <c r="H4611" s="160">
        <f>VLOOKUP(Sales[[#This Row],[Product ID]],Product[#All],7,0)</f>
        <v>9770</v>
      </c>
      <c r="I4611" s="160">
        <f>Sales[[#This Row],[Selling Rate]]*Sales[[#This Row],[Qty]]</f>
        <v>39080</v>
      </c>
      <c r="J4611" s="43">
        <v>0</v>
      </c>
      <c r="K4611" s="44">
        <f>Sales[[#This Row],[Gross Amount]]*Sales[[#This Row],[Disc %]]</f>
        <v>0</v>
      </c>
      <c r="L4611" s="43">
        <v>0.18</v>
      </c>
      <c r="M4611" s="44">
        <f>(Sales[[#This Row],[Gross Amount]]-Sales[[#This Row],[Disc. Amt.]])*Sales[[#This Row],[GST %]]</f>
        <v>7034.4</v>
      </c>
      <c r="N4611" s="161">
        <f>Sales[[#This Row],[Gross Amount]]-Sales[[#This Row],[Disc. Amt.]]+Sales[[#This Row],[GST Amount]]</f>
        <v>46114.400000000001</v>
      </c>
      <c r="O4611" s="158" t="s">
        <v>3561</v>
      </c>
      <c r="P4611" s="158" t="s">
        <v>3562</v>
      </c>
      <c r="Q4611" s="160">
        <f>IF(Sales[[#This Row],[Status]]="Cancelled",0,Sales[[#This Row],[Qty]])</f>
        <v>4</v>
      </c>
      <c r="R4611" s="161">
        <f>IF(Sales[[#This Row],[Status]]="Cancelled",0,Sales[[#This Row],[Total Amount]])</f>
        <v>46114.400000000001</v>
      </c>
      <c r="S4611" s="162">
        <f>SUM(Sales[Net Amount])</f>
        <v>406839287.73200053</v>
      </c>
    </row>
    <row r="4612" spans="1:19" ht="18.75" x14ac:dyDescent="0.25">
      <c r="A4612" s="163" t="s">
        <v>8295</v>
      </c>
      <c r="B4612" s="164">
        <v>46004</v>
      </c>
      <c r="C4612" s="34" t="s">
        <v>920</v>
      </c>
      <c r="D4612" s="53" t="str">
        <f>VLOOKUP(Sales[[#This Row],[Customer ID]],Customer[#All],2,0)</f>
        <v>Rakesh Sharma</v>
      </c>
      <c r="E4612" s="34" t="s">
        <v>308</v>
      </c>
      <c r="F4612" s="34" t="str">
        <f>VLOOKUP(Sales[[#This Row],[Product ID]],Product[#All],2,0)</f>
        <v>Kingston Ram</v>
      </c>
      <c r="G4612" s="53">
        <v>8</v>
      </c>
      <c r="H4612" s="165">
        <f>VLOOKUP(Sales[[#This Row],[Product ID]],Product[#All],7,0)</f>
        <v>3980</v>
      </c>
      <c r="I4612" s="165">
        <f>Sales[[#This Row],[Selling Rate]]*Sales[[#This Row],[Qty]]</f>
        <v>31840</v>
      </c>
      <c r="J4612" s="45">
        <v>0.1</v>
      </c>
      <c r="K4612" s="46">
        <f>Sales[[#This Row],[Gross Amount]]*Sales[[#This Row],[Disc %]]</f>
        <v>3184</v>
      </c>
      <c r="L4612" s="43">
        <v>0.18</v>
      </c>
      <c r="M4612" s="46">
        <f>(Sales[[#This Row],[Gross Amount]]-Sales[[#This Row],[Disc. Amt.]])*Sales[[#This Row],[GST %]]</f>
        <v>5158.08</v>
      </c>
      <c r="N4612" s="161">
        <f>Sales[[#This Row],[Gross Amount]]-Sales[[#This Row],[Disc. Amt.]]+Sales[[#This Row],[GST Amount]]</f>
        <v>33814.080000000002</v>
      </c>
      <c r="O4612" s="34" t="s">
        <v>8876</v>
      </c>
      <c r="P4612" s="34" t="s">
        <v>3562</v>
      </c>
      <c r="Q4612" s="165">
        <f>IF(Sales[[#This Row],[Status]]="Cancelled",0,Sales[[#This Row],[Qty]])</f>
        <v>8</v>
      </c>
      <c r="R4612" s="166">
        <f>IF(Sales[[#This Row],[Status]]="Cancelled",0,Sales[[#This Row],[Total Amount]])</f>
        <v>33814.080000000002</v>
      </c>
      <c r="S4612" s="162">
        <f>SUM(Sales[Net Amount])</f>
        <v>406839287.73200053</v>
      </c>
    </row>
    <row r="4613" spans="1:19" ht="18.75" x14ac:dyDescent="0.25">
      <c r="A4613" s="156" t="s">
        <v>8296</v>
      </c>
      <c r="B4613" s="157">
        <v>46004</v>
      </c>
      <c r="C4613" s="158" t="s">
        <v>745</v>
      </c>
      <c r="D4613" s="159" t="str">
        <f>VLOOKUP(Sales[[#This Row],[Customer ID]],Customer[#All],2,0)</f>
        <v>Priya Kumar</v>
      </c>
      <c r="E4613" s="158" t="s">
        <v>512</v>
      </c>
      <c r="F4613" s="158" t="str">
        <f>VLOOKUP(Sales[[#This Row],[Product ID]],Product[#All],2,0)</f>
        <v>Logitech Webcam</v>
      </c>
      <c r="G4613" s="159">
        <v>6</v>
      </c>
      <c r="H4613" s="160">
        <f>VLOOKUP(Sales[[#This Row],[Product ID]],Product[#All],7,0)</f>
        <v>5800</v>
      </c>
      <c r="I4613" s="160">
        <f>Sales[[#This Row],[Selling Rate]]*Sales[[#This Row],[Qty]]</f>
        <v>34800</v>
      </c>
      <c r="J4613" s="43">
        <v>0</v>
      </c>
      <c r="K4613" s="44">
        <f>Sales[[#This Row],[Gross Amount]]*Sales[[#This Row],[Disc %]]</f>
        <v>0</v>
      </c>
      <c r="L4613" s="43">
        <v>0.18</v>
      </c>
      <c r="M4613" s="44">
        <f>(Sales[[#This Row],[Gross Amount]]-Sales[[#This Row],[Disc. Amt.]])*Sales[[#This Row],[GST %]]</f>
        <v>6264</v>
      </c>
      <c r="N4613" s="161">
        <f>Sales[[#This Row],[Gross Amount]]-Sales[[#This Row],[Disc. Amt.]]+Sales[[#This Row],[GST Amount]]</f>
        <v>41064</v>
      </c>
      <c r="O4613" s="158" t="s">
        <v>3569</v>
      </c>
      <c r="P4613" s="158" t="s">
        <v>3562</v>
      </c>
      <c r="Q4613" s="160">
        <f>IF(Sales[[#This Row],[Status]]="Cancelled",0,Sales[[#This Row],[Qty]])</f>
        <v>6</v>
      </c>
      <c r="R4613" s="161">
        <f>IF(Sales[[#This Row],[Status]]="Cancelled",0,Sales[[#This Row],[Total Amount]])</f>
        <v>41064</v>
      </c>
      <c r="S4613" s="162">
        <f>SUM(Sales[Net Amount])</f>
        <v>406839287.73200053</v>
      </c>
    </row>
    <row r="4614" spans="1:19" ht="18.75" x14ac:dyDescent="0.25">
      <c r="A4614" s="163" t="s">
        <v>8297</v>
      </c>
      <c r="B4614" s="164">
        <v>46004</v>
      </c>
      <c r="C4614" s="34" t="s">
        <v>683</v>
      </c>
      <c r="D4614" s="53" t="str">
        <f>VLOOKUP(Sales[[#This Row],[Customer ID]],Customer[#All],2,0)</f>
        <v>Rahul Kumar</v>
      </c>
      <c r="E4614" s="34" t="s">
        <v>64</v>
      </c>
      <c r="F4614" s="34" t="str">
        <f>VLOOKUP(Sales[[#This Row],[Product ID]],Product[#All],2,0)</f>
        <v>Jbl Headset</v>
      </c>
      <c r="G4614" s="53">
        <v>6</v>
      </c>
      <c r="H4614" s="165">
        <f>VLOOKUP(Sales[[#This Row],[Product ID]],Product[#All],7,0)</f>
        <v>930</v>
      </c>
      <c r="I4614" s="165">
        <f>Sales[[#This Row],[Selling Rate]]*Sales[[#This Row],[Qty]]</f>
        <v>5580</v>
      </c>
      <c r="J4614" s="45">
        <v>0.05</v>
      </c>
      <c r="K4614" s="46">
        <f>Sales[[#This Row],[Gross Amount]]*Sales[[#This Row],[Disc %]]</f>
        <v>279</v>
      </c>
      <c r="L4614" s="43">
        <v>0.18</v>
      </c>
      <c r="M4614" s="46">
        <f>(Sales[[#This Row],[Gross Amount]]-Sales[[#This Row],[Disc. Amt.]])*Sales[[#This Row],[GST %]]</f>
        <v>954.18</v>
      </c>
      <c r="N4614" s="161">
        <f>Sales[[#This Row],[Gross Amount]]-Sales[[#This Row],[Disc. Amt.]]+Sales[[#This Row],[GST Amount]]</f>
        <v>6255.18</v>
      </c>
      <c r="O4614" s="34" t="s">
        <v>3569</v>
      </c>
      <c r="P4614" s="34" t="s">
        <v>3562</v>
      </c>
      <c r="Q4614" s="165">
        <f>IF(Sales[[#This Row],[Status]]="Cancelled",0,Sales[[#This Row],[Qty]])</f>
        <v>6</v>
      </c>
      <c r="R4614" s="166">
        <f>IF(Sales[[#This Row],[Status]]="Cancelled",0,Sales[[#This Row],[Total Amount]])</f>
        <v>6255.18</v>
      </c>
      <c r="S4614" s="162">
        <f>SUM(Sales[Net Amount])</f>
        <v>406839287.73200053</v>
      </c>
    </row>
    <row r="4615" spans="1:19" ht="18.75" x14ac:dyDescent="0.25">
      <c r="A4615" s="156" t="s">
        <v>8298</v>
      </c>
      <c r="B4615" s="157">
        <v>46004</v>
      </c>
      <c r="C4615" s="158" t="s">
        <v>892</v>
      </c>
      <c r="D4615" s="159" t="str">
        <f>VLOOKUP(Sales[[#This Row],[Customer ID]],Customer[#All],2,0)</f>
        <v>Sahil Verma</v>
      </c>
      <c r="E4615" s="158" t="s">
        <v>493</v>
      </c>
      <c r="F4615" s="158" t="str">
        <f>VLOOKUP(Sales[[#This Row],[Product ID]],Product[#All],2,0)</f>
        <v>Logitech Keyboard</v>
      </c>
      <c r="G4615" s="159">
        <v>1</v>
      </c>
      <c r="H4615" s="160">
        <f>VLOOKUP(Sales[[#This Row],[Product ID]],Product[#All],7,0)</f>
        <v>3040</v>
      </c>
      <c r="I4615" s="160">
        <f>Sales[[#This Row],[Selling Rate]]*Sales[[#This Row],[Qty]]</f>
        <v>3040</v>
      </c>
      <c r="J4615" s="43">
        <v>0.15</v>
      </c>
      <c r="K4615" s="44">
        <f>Sales[[#This Row],[Gross Amount]]*Sales[[#This Row],[Disc %]]</f>
        <v>456</v>
      </c>
      <c r="L4615" s="43">
        <v>0.18</v>
      </c>
      <c r="M4615" s="44">
        <f>(Sales[[#This Row],[Gross Amount]]-Sales[[#This Row],[Disc. Amt.]])*Sales[[#This Row],[GST %]]</f>
        <v>465.12</v>
      </c>
      <c r="N4615" s="161">
        <f>Sales[[#This Row],[Gross Amount]]-Sales[[#This Row],[Disc. Amt.]]+Sales[[#This Row],[GST Amount]]</f>
        <v>3049.12</v>
      </c>
      <c r="O4615" s="158" t="s">
        <v>3561</v>
      </c>
      <c r="P4615" s="158" t="s">
        <v>3562</v>
      </c>
      <c r="Q4615" s="160">
        <f>IF(Sales[[#This Row],[Status]]="Cancelled",0,Sales[[#This Row],[Qty]])</f>
        <v>1</v>
      </c>
      <c r="R4615" s="161">
        <f>IF(Sales[[#This Row],[Status]]="Cancelled",0,Sales[[#This Row],[Total Amount]])</f>
        <v>3049.12</v>
      </c>
      <c r="S4615" s="162">
        <f>SUM(Sales[Net Amount])</f>
        <v>406839287.73200053</v>
      </c>
    </row>
    <row r="4616" spans="1:19" ht="18.75" x14ac:dyDescent="0.25">
      <c r="A4616" s="163" t="s">
        <v>8299</v>
      </c>
      <c r="B4616" s="164">
        <v>46004</v>
      </c>
      <c r="C4616" s="34" t="s">
        <v>811</v>
      </c>
      <c r="D4616" s="53" t="str">
        <f>VLOOKUP(Sales[[#This Row],[Customer ID]],Customer[#All],2,0)</f>
        <v>Rahul Sharma</v>
      </c>
      <c r="E4616" s="34" t="s">
        <v>357</v>
      </c>
      <c r="F4616" s="34" t="str">
        <f>VLOOKUP(Sales[[#This Row],[Product ID]],Product[#All],2,0)</f>
        <v>Samsung Ssd</v>
      </c>
      <c r="G4616" s="53">
        <v>7</v>
      </c>
      <c r="H4616" s="165">
        <f>VLOOKUP(Sales[[#This Row],[Product ID]],Product[#All],7,0)</f>
        <v>9070</v>
      </c>
      <c r="I4616" s="165">
        <f>Sales[[#This Row],[Selling Rate]]*Sales[[#This Row],[Qty]]</f>
        <v>63490</v>
      </c>
      <c r="J4616" s="45">
        <v>0</v>
      </c>
      <c r="K4616" s="46">
        <f>Sales[[#This Row],[Gross Amount]]*Sales[[#This Row],[Disc %]]</f>
        <v>0</v>
      </c>
      <c r="L4616" s="43">
        <v>0.18</v>
      </c>
      <c r="M4616" s="46">
        <f>(Sales[[#This Row],[Gross Amount]]-Sales[[#This Row],[Disc. Amt.]])*Sales[[#This Row],[GST %]]</f>
        <v>11428.199999999999</v>
      </c>
      <c r="N4616" s="161">
        <f>Sales[[#This Row],[Gross Amount]]-Sales[[#This Row],[Disc. Amt.]]+Sales[[#This Row],[GST Amount]]</f>
        <v>74918.2</v>
      </c>
      <c r="O4616" s="34" t="s">
        <v>8876</v>
      </c>
      <c r="P4616" s="34" t="s">
        <v>3562</v>
      </c>
      <c r="Q4616" s="165">
        <f>IF(Sales[[#This Row],[Status]]="Cancelled",0,Sales[[#This Row],[Qty]])</f>
        <v>7</v>
      </c>
      <c r="R4616" s="166">
        <f>IF(Sales[[#This Row],[Status]]="Cancelled",0,Sales[[#This Row],[Total Amount]])</f>
        <v>74918.2</v>
      </c>
      <c r="S4616" s="162">
        <f>SUM(Sales[Net Amount])</f>
        <v>406839287.73200053</v>
      </c>
    </row>
    <row r="4617" spans="1:19" ht="18.75" x14ac:dyDescent="0.25">
      <c r="A4617" s="156" t="s">
        <v>8300</v>
      </c>
      <c r="B4617" s="157">
        <v>46004</v>
      </c>
      <c r="C4617" s="158" t="s">
        <v>895</v>
      </c>
      <c r="D4617" s="159" t="str">
        <f>VLOOKUP(Sales[[#This Row],[Customer ID]],Customer[#All],2,0)</f>
        <v>Pooja Patel</v>
      </c>
      <c r="E4617" s="158" t="s">
        <v>425</v>
      </c>
      <c r="F4617" s="158" t="str">
        <f>VLOOKUP(Sales[[#This Row],[Product ID]],Product[#All],2,0)</f>
        <v>WD HDD</v>
      </c>
      <c r="G4617" s="159">
        <v>8</v>
      </c>
      <c r="H4617" s="160">
        <f>VLOOKUP(Sales[[#This Row],[Product ID]],Product[#All],7,0)</f>
        <v>7660</v>
      </c>
      <c r="I4617" s="160">
        <f>Sales[[#This Row],[Selling Rate]]*Sales[[#This Row],[Qty]]</f>
        <v>61280</v>
      </c>
      <c r="J4617" s="43">
        <v>0.1</v>
      </c>
      <c r="K4617" s="44">
        <f>Sales[[#This Row],[Gross Amount]]*Sales[[#This Row],[Disc %]]</f>
        <v>6128</v>
      </c>
      <c r="L4617" s="43">
        <v>0.18</v>
      </c>
      <c r="M4617" s="44">
        <f>(Sales[[#This Row],[Gross Amount]]-Sales[[#This Row],[Disc. Amt.]])*Sales[[#This Row],[GST %]]</f>
        <v>9927.3599999999988</v>
      </c>
      <c r="N4617" s="161">
        <f>Sales[[#This Row],[Gross Amount]]-Sales[[#This Row],[Disc. Amt.]]+Sales[[#This Row],[GST Amount]]</f>
        <v>65079.360000000001</v>
      </c>
      <c r="O4617" s="158" t="s">
        <v>8876</v>
      </c>
      <c r="P4617" s="158" t="s">
        <v>3562</v>
      </c>
      <c r="Q4617" s="160">
        <f>IF(Sales[[#This Row],[Status]]="Cancelled",0,Sales[[#This Row],[Qty]])</f>
        <v>8</v>
      </c>
      <c r="R4617" s="161">
        <f>IF(Sales[[#This Row],[Status]]="Cancelled",0,Sales[[#This Row],[Total Amount]])</f>
        <v>65079.360000000001</v>
      </c>
      <c r="S4617" s="162">
        <f>SUM(Sales[Net Amount])</f>
        <v>406839287.73200053</v>
      </c>
    </row>
    <row r="4618" spans="1:19" ht="18.75" x14ac:dyDescent="0.25">
      <c r="A4618" s="163" t="s">
        <v>8301</v>
      </c>
      <c r="B4618" s="164">
        <v>46004</v>
      </c>
      <c r="C4618" s="34" t="s">
        <v>681</v>
      </c>
      <c r="D4618" s="53" t="str">
        <f>VLOOKUP(Sales[[#This Row],[Customer ID]],Customer[#All],2,0)</f>
        <v>Amit Kumar</v>
      </c>
      <c r="E4618" s="34" t="s">
        <v>56</v>
      </c>
      <c r="F4618" s="34" t="str">
        <f>VLOOKUP(Sales[[#This Row],[Product ID]],Product[#All],2,0)</f>
        <v>Boat Headset</v>
      </c>
      <c r="G4618" s="53">
        <v>6</v>
      </c>
      <c r="H4618" s="165">
        <f>VLOOKUP(Sales[[#This Row],[Product ID]],Product[#All],7,0)</f>
        <v>4140</v>
      </c>
      <c r="I4618" s="165">
        <f>Sales[[#This Row],[Selling Rate]]*Sales[[#This Row],[Qty]]</f>
        <v>24840</v>
      </c>
      <c r="J4618" s="45">
        <v>0.12</v>
      </c>
      <c r="K4618" s="46">
        <f>Sales[[#This Row],[Gross Amount]]*Sales[[#This Row],[Disc %]]</f>
        <v>2980.7999999999997</v>
      </c>
      <c r="L4618" s="43">
        <v>0.18</v>
      </c>
      <c r="M4618" s="46">
        <f>(Sales[[#This Row],[Gross Amount]]-Sales[[#This Row],[Disc. Amt.]])*Sales[[#This Row],[GST %]]</f>
        <v>3934.6559999999999</v>
      </c>
      <c r="N4618" s="161">
        <f>Sales[[#This Row],[Gross Amount]]-Sales[[#This Row],[Disc. Amt.]]+Sales[[#This Row],[GST Amount]]</f>
        <v>25793.856</v>
      </c>
      <c r="O4618" s="34" t="s">
        <v>3569</v>
      </c>
      <c r="P4618" s="34" t="s">
        <v>3562</v>
      </c>
      <c r="Q4618" s="165">
        <f>IF(Sales[[#This Row],[Status]]="Cancelled",0,Sales[[#This Row],[Qty]])</f>
        <v>6</v>
      </c>
      <c r="R4618" s="166">
        <f>IF(Sales[[#This Row],[Status]]="Cancelled",0,Sales[[#This Row],[Total Amount]])</f>
        <v>25793.856</v>
      </c>
      <c r="S4618" s="162">
        <f>SUM(Sales[Net Amount])</f>
        <v>406839287.73200053</v>
      </c>
    </row>
    <row r="4619" spans="1:19" ht="18.75" x14ac:dyDescent="0.25">
      <c r="A4619" s="156" t="s">
        <v>8302</v>
      </c>
      <c r="B4619" s="157">
        <v>46004</v>
      </c>
      <c r="C4619" s="158" t="s">
        <v>921</v>
      </c>
      <c r="D4619" s="159" t="str">
        <f>VLOOKUP(Sales[[#This Row],[Customer ID]],Customer[#All],2,0)</f>
        <v>Sahil Gupta</v>
      </c>
      <c r="E4619" s="158" t="s">
        <v>523</v>
      </c>
      <c r="F4619" s="158" t="str">
        <f>VLOOKUP(Sales[[#This Row],[Product ID]],Product[#All],2,0)</f>
        <v>Logitech Mouse</v>
      </c>
      <c r="G4619" s="159">
        <v>5</v>
      </c>
      <c r="H4619" s="160">
        <f>VLOOKUP(Sales[[#This Row],[Product ID]],Product[#All],7,0)</f>
        <v>1300</v>
      </c>
      <c r="I4619" s="160">
        <f>Sales[[#This Row],[Selling Rate]]*Sales[[#This Row],[Qty]]</f>
        <v>6500</v>
      </c>
      <c r="J4619" s="43">
        <v>0.05</v>
      </c>
      <c r="K4619" s="44">
        <f>Sales[[#This Row],[Gross Amount]]*Sales[[#This Row],[Disc %]]</f>
        <v>325</v>
      </c>
      <c r="L4619" s="43">
        <v>0.18</v>
      </c>
      <c r="M4619" s="44">
        <f>(Sales[[#This Row],[Gross Amount]]-Sales[[#This Row],[Disc. Amt.]])*Sales[[#This Row],[GST %]]</f>
        <v>1111.5</v>
      </c>
      <c r="N4619" s="161">
        <f>Sales[[#This Row],[Gross Amount]]-Sales[[#This Row],[Disc. Amt.]]+Sales[[#This Row],[GST Amount]]</f>
        <v>7286.5</v>
      </c>
      <c r="O4619" s="158" t="s">
        <v>8876</v>
      </c>
      <c r="P4619" s="158" t="s">
        <v>3562</v>
      </c>
      <c r="Q4619" s="160">
        <f>IF(Sales[[#This Row],[Status]]="Cancelled",0,Sales[[#This Row],[Qty]])</f>
        <v>5</v>
      </c>
      <c r="R4619" s="161">
        <f>IF(Sales[[#This Row],[Status]]="Cancelled",0,Sales[[#This Row],[Total Amount]])</f>
        <v>7286.5</v>
      </c>
      <c r="S4619" s="162">
        <f>SUM(Sales[Net Amount])</f>
        <v>406839287.73200053</v>
      </c>
    </row>
    <row r="4620" spans="1:19" ht="18.75" x14ac:dyDescent="0.25">
      <c r="A4620" s="163" t="s">
        <v>8303</v>
      </c>
      <c r="B4620" s="164">
        <v>46004</v>
      </c>
      <c r="C4620" s="34" t="s">
        <v>6476</v>
      </c>
      <c r="D4620" s="53" t="str">
        <f>VLOOKUP(Sales[[#This Row],[Customer ID]],Customer[#All],2,0)</f>
        <v>Vikas Verma</v>
      </c>
      <c r="E4620" s="34" t="s">
        <v>120</v>
      </c>
      <c r="F4620" s="34" t="str">
        <f>VLOOKUP(Sales[[#This Row],[Product ID]],Product[#All],2,0)</f>
        <v>Boat Speaker</v>
      </c>
      <c r="G4620" s="53">
        <v>7</v>
      </c>
      <c r="H4620" s="165">
        <f>VLOOKUP(Sales[[#This Row],[Product ID]],Product[#All],7,0)</f>
        <v>6610</v>
      </c>
      <c r="I4620" s="165">
        <f>Sales[[#This Row],[Selling Rate]]*Sales[[#This Row],[Qty]]</f>
        <v>46270</v>
      </c>
      <c r="J4620" s="45">
        <v>0.15</v>
      </c>
      <c r="K4620" s="46">
        <f>Sales[[#This Row],[Gross Amount]]*Sales[[#This Row],[Disc %]]</f>
        <v>6940.5</v>
      </c>
      <c r="L4620" s="43">
        <v>0.18</v>
      </c>
      <c r="M4620" s="46">
        <f>(Sales[[#This Row],[Gross Amount]]-Sales[[#This Row],[Disc. Amt.]])*Sales[[#This Row],[GST %]]</f>
        <v>7079.3099999999995</v>
      </c>
      <c r="N4620" s="161">
        <f>Sales[[#This Row],[Gross Amount]]-Sales[[#This Row],[Disc. Amt.]]+Sales[[#This Row],[GST Amount]]</f>
        <v>46408.81</v>
      </c>
      <c r="O4620" s="34" t="s">
        <v>3569</v>
      </c>
      <c r="P4620" s="34" t="s">
        <v>3562</v>
      </c>
      <c r="Q4620" s="165">
        <f>IF(Sales[[#This Row],[Status]]="Cancelled",0,Sales[[#This Row],[Qty]])</f>
        <v>7</v>
      </c>
      <c r="R4620" s="166">
        <f>IF(Sales[[#This Row],[Status]]="Cancelled",0,Sales[[#This Row],[Total Amount]])</f>
        <v>46408.81</v>
      </c>
      <c r="S4620" s="162">
        <f>SUM(Sales[Net Amount])</f>
        <v>406839287.73200053</v>
      </c>
    </row>
    <row r="4621" spans="1:19" ht="18.75" x14ac:dyDescent="0.25">
      <c r="A4621" s="156" t="s">
        <v>8304</v>
      </c>
      <c r="B4621" s="157">
        <v>46004</v>
      </c>
      <c r="C4621" s="158" t="s">
        <v>808</v>
      </c>
      <c r="D4621" s="159" t="str">
        <f>VLOOKUP(Sales[[#This Row],[Customer ID]],Customer[#All],2,0)</f>
        <v>Rahul Singh</v>
      </c>
      <c r="E4621" s="158" t="s">
        <v>20</v>
      </c>
      <c r="F4621" s="158" t="str">
        <f>VLOOKUP(Sales[[#This Row],[Product ID]],Product[#All],2,0)</f>
        <v>Logitech Keyboard</v>
      </c>
      <c r="G4621" s="159">
        <v>2</v>
      </c>
      <c r="H4621" s="160">
        <f>VLOOKUP(Sales[[#This Row],[Product ID]],Product[#All],7,0)</f>
        <v>3290</v>
      </c>
      <c r="I4621" s="160">
        <f>Sales[[#This Row],[Selling Rate]]*Sales[[#This Row],[Qty]]</f>
        <v>6580</v>
      </c>
      <c r="J4621" s="43">
        <v>0</v>
      </c>
      <c r="K4621" s="44">
        <f>Sales[[#This Row],[Gross Amount]]*Sales[[#This Row],[Disc %]]</f>
        <v>0</v>
      </c>
      <c r="L4621" s="43">
        <v>0.18</v>
      </c>
      <c r="M4621" s="44">
        <f>(Sales[[#This Row],[Gross Amount]]-Sales[[#This Row],[Disc. Amt.]])*Sales[[#This Row],[GST %]]</f>
        <v>1184.3999999999999</v>
      </c>
      <c r="N4621" s="161">
        <f>Sales[[#This Row],[Gross Amount]]-Sales[[#This Row],[Disc. Amt.]]+Sales[[#This Row],[GST Amount]]</f>
        <v>7764.4</v>
      </c>
      <c r="O4621" s="158" t="s">
        <v>3561</v>
      </c>
      <c r="P4621" s="158" t="s">
        <v>3562</v>
      </c>
      <c r="Q4621" s="160">
        <f>IF(Sales[[#This Row],[Status]]="Cancelled",0,Sales[[#This Row],[Qty]])</f>
        <v>2</v>
      </c>
      <c r="R4621" s="161">
        <f>IF(Sales[[#This Row],[Status]]="Cancelled",0,Sales[[#This Row],[Total Amount]])</f>
        <v>7764.4</v>
      </c>
      <c r="S4621" s="162">
        <f>SUM(Sales[Net Amount])</f>
        <v>406839287.73200053</v>
      </c>
    </row>
    <row r="4622" spans="1:19" ht="18.75" x14ac:dyDescent="0.25">
      <c r="A4622" s="163" t="s">
        <v>8305</v>
      </c>
      <c r="B4622" s="164">
        <v>46004</v>
      </c>
      <c r="C4622" s="34" t="s">
        <v>912</v>
      </c>
      <c r="D4622" s="53" t="str">
        <f>VLOOKUP(Sales[[#This Row],[Customer ID]],Customer[#All],2,0)</f>
        <v>Sunita Verma</v>
      </c>
      <c r="E4622" s="34" t="s">
        <v>406</v>
      </c>
      <c r="F4622" s="34" t="str">
        <f>VLOOKUP(Sales[[#This Row],[Product ID]],Product[#All],2,0)</f>
        <v>American TouristerLaptopBag</v>
      </c>
      <c r="G4622" s="53">
        <v>1</v>
      </c>
      <c r="H4622" s="165">
        <f>VLOOKUP(Sales[[#This Row],[Product ID]],Product[#All],7,0)</f>
        <v>1710</v>
      </c>
      <c r="I4622" s="165">
        <f>Sales[[#This Row],[Selling Rate]]*Sales[[#This Row],[Qty]]</f>
        <v>1710</v>
      </c>
      <c r="J4622" s="45">
        <v>0.02</v>
      </c>
      <c r="K4622" s="46">
        <f>Sales[[#This Row],[Gross Amount]]*Sales[[#This Row],[Disc %]]</f>
        <v>34.200000000000003</v>
      </c>
      <c r="L4622" s="43">
        <v>0.18</v>
      </c>
      <c r="M4622" s="46">
        <f>(Sales[[#This Row],[Gross Amount]]-Sales[[#This Row],[Disc. Amt.]])*Sales[[#This Row],[GST %]]</f>
        <v>301.64400000000001</v>
      </c>
      <c r="N4622" s="161">
        <f>Sales[[#This Row],[Gross Amount]]-Sales[[#This Row],[Disc. Amt.]]+Sales[[#This Row],[GST Amount]]</f>
        <v>1977.444</v>
      </c>
      <c r="O4622" s="34" t="s">
        <v>3569</v>
      </c>
      <c r="P4622" s="34" t="s">
        <v>3562</v>
      </c>
      <c r="Q4622" s="165">
        <f>IF(Sales[[#This Row],[Status]]="Cancelled",0,Sales[[#This Row],[Qty]])</f>
        <v>1</v>
      </c>
      <c r="R4622" s="166">
        <f>IF(Sales[[#This Row],[Status]]="Cancelled",0,Sales[[#This Row],[Total Amount]])</f>
        <v>1977.444</v>
      </c>
      <c r="S4622" s="162">
        <f>SUM(Sales[Net Amount])</f>
        <v>406839287.73200053</v>
      </c>
    </row>
    <row r="4623" spans="1:19" ht="18.75" x14ac:dyDescent="0.25">
      <c r="A4623" s="156" t="s">
        <v>8306</v>
      </c>
      <c r="B4623" s="157">
        <v>46004</v>
      </c>
      <c r="C4623" s="158" t="s">
        <v>936</v>
      </c>
      <c r="D4623" s="159" t="str">
        <f>VLOOKUP(Sales[[#This Row],[Customer ID]],Customer[#All],2,0)</f>
        <v>Pooja Patel</v>
      </c>
      <c r="E4623" s="158" t="s">
        <v>512</v>
      </c>
      <c r="F4623" s="158" t="str">
        <f>VLOOKUP(Sales[[#This Row],[Product ID]],Product[#All],2,0)</f>
        <v>Logitech Webcam</v>
      </c>
      <c r="G4623" s="159">
        <v>5</v>
      </c>
      <c r="H4623" s="160">
        <f>VLOOKUP(Sales[[#This Row],[Product ID]],Product[#All],7,0)</f>
        <v>5800</v>
      </c>
      <c r="I4623" s="160">
        <f>Sales[[#This Row],[Selling Rate]]*Sales[[#This Row],[Qty]]</f>
        <v>29000</v>
      </c>
      <c r="J4623" s="43">
        <v>0.05</v>
      </c>
      <c r="K4623" s="44">
        <f>Sales[[#This Row],[Gross Amount]]*Sales[[#This Row],[Disc %]]</f>
        <v>1450</v>
      </c>
      <c r="L4623" s="43">
        <v>0.18</v>
      </c>
      <c r="M4623" s="44">
        <f>(Sales[[#This Row],[Gross Amount]]-Sales[[#This Row],[Disc. Amt.]])*Sales[[#This Row],[GST %]]</f>
        <v>4959</v>
      </c>
      <c r="N4623" s="161">
        <f>Sales[[#This Row],[Gross Amount]]-Sales[[#This Row],[Disc. Amt.]]+Sales[[#This Row],[GST Amount]]</f>
        <v>32509</v>
      </c>
      <c r="O4623" s="158" t="s">
        <v>3569</v>
      </c>
      <c r="P4623" s="158" t="s">
        <v>3562</v>
      </c>
      <c r="Q4623" s="160">
        <f>IF(Sales[[#This Row],[Status]]="Cancelled",0,Sales[[#This Row],[Qty]])</f>
        <v>5</v>
      </c>
      <c r="R4623" s="161">
        <f>IF(Sales[[#This Row],[Status]]="Cancelled",0,Sales[[#This Row],[Total Amount]])</f>
        <v>32509</v>
      </c>
      <c r="S4623" s="162">
        <f>SUM(Sales[Net Amount])</f>
        <v>406839287.73200053</v>
      </c>
    </row>
    <row r="4624" spans="1:19" ht="18.75" x14ac:dyDescent="0.25">
      <c r="A4624" s="163" t="s">
        <v>8307</v>
      </c>
      <c r="B4624" s="164">
        <v>46004</v>
      </c>
      <c r="C4624" s="34" t="s">
        <v>737</v>
      </c>
      <c r="D4624" s="53" t="str">
        <f>VLOOKUP(Sales[[#This Row],[Customer ID]],Customer[#All],2,0)</f>
        <v>Pooja Verma</v>
      </c>
      <c r="E4624" s="34" t="s">
        <v>154</v>
      </c>
      <c r="F4624" s="34" t="str">
        <f>VLOOKUP(Sales[[#This Row],[Product ID]],Product[#All],2,0)</f>
        <v>Epson Printer</v>
      </c>
      <c r="G4624" s="53">
        <v>3</v>
      </c>
      <c r="H4624" s="165">
        <f>VLOOKUP(Sales[[#This Row],[Product ID]],Product[#All],7,0)</f>
        <v>46220</v>
      </c>
      <c r="I4624" s="165">
        <f>Sales[[#This Row],[Selling Rate]]*Sales[[#This Row],[Qty]]</f>
        <v>138660</v>
      </c>
      <c r="J4624" s="45">
        <v>0</v>
      </c>
      <c r="K4624" s="46">
        <f>Sales[[#This Row],[Gross Amount]]*Sales[[#This Row],[Disc %]]</f>
        <v>0</v>
      </c>
      <c r="L4624" s="43">
        <v>0.18</v>
      </c>
      <c r="M4624" s="46">
        <f>(Sales[[#This Row],[Gross Amount]]-Sales[[#This Row],[Disc. Amt.]])*Sales[[#This Row],[GST %]]</f>
        <v>24958.799999999999</v>
      </c>
      <c r="N4624" s="161">
        <f>Sales[[#This Row],[Gross Amount]]-Sales[[#This Row],[Disc. Amt.]]+Sales[[#This Row],[GST Amount]]</f>
        <v>163618.79999999999</v>
      </c>
      <c r="O4624" s="34" t="s">
        <v>8876</v>
      </c>
      <c r="P4624" s="34" t="s">
        <v>3562</v>
      </c>
      <c r="Q4624" s="165">
        <f>IF(Sales[[#This Row],[Status]]="Cancelled",0,Sales[[#This Row],[Qty]])</f>
        <v>3</v>
      </c>
      <c r="R4624" s="166">
        <f>IF(Sales[[#This Row],[Status]]="Cancelled",0,Sales[[#This Row],[Total Amount]])</f>
        <v>163618.79999999999</v>
      </c>
      <c r="S4624" s="162">
        <f>SUM(Sales[Net Amount])</f>
        <v>406839287.73200053</v>
      </c>
    </row>
    <row r="4625" spans="1:19" ht="18.75" x14ac:dyDescent="0.25">
      <c r="A4625" s="156" t="s">
        <v>8308</v>
      </c>
      <c r="B4625" s="157">
        <v>46004</v>
      </c>
      <c r="C4625" s="158" t="s">
        <v>652</v>
      </c>
      <c r="D4625" s="159" t="str">
        <f>VLOOKUP(Sales[[#This Row],[Customer ID]],Customer[#All],2,0)</f>
        <v>Sahil Kumar</v>
      </c>
      <c r="E4625" s="158" t="s">
        <v>401</v>
      </c>
      <c r="F4625" s="158" t="str">
        <f>VLOOKUP(Sales[[#This Row],[Product ID]],Product[#All],2,0)</f>
        <v>Amazon Basics Hdmi Cable</v>
      </c>
      <c r="G4625" s="159">
        <v>6</v>
      </c>
      <c r="H4625" s="160">
        <f>VLOOKUP(Sales[[#This Row],[Product ID]],Product[#All],7,0)</f>
        <v>670</v>
      </c>
      <c r="I4625" s="160">
        <f>Sales[[#This Row],[Selling Rate]]*Sales[[#This Row],[Qty]]</f>
        <v>4020</v>
      </c>
      <c r="J4625" s="43">
        <v>0</v>
      </c>
      <c r="K4625" s="44">
        <f>Sales[[#This Row],[Gross Amount]]*Sales[[#This Row],[Disc %]]</f>
        <v>0</v>
      </c>
      <c r="L4625" s="43">
        <v>0.18</v>
      </c>
      <c r="M4625" s="44">
        <f>(Sales[[#This Row],[Gross Amount]]-Sales[[#This Row],[Disc. Amt.]])*Sales[[#This Row],[GST %]]</f>
        <v>723.6</v>
      </c>
      <c r="N4625" s="161">
        <f>Sales[[#This Row],[Gross Amount]]-Sales[[#This Row],[Disc. Amt.]]+Sales[[#This Row],[GST Amount]]</f>
        <v>4743.6000000000004</v>
      </c>
      <c r="O4625" s="158" t="s">
        <v>3569</v>
      </c>
      <c r="P4625" s="158" t="s">
        <v>3562</v>
      </c>
      <c r="Q4625" s="160">
        <f>IF(Sales[[#This Row],[Status]]="Cancelled",0,Sales[[#This Row],[Qty]])</f>
        <v>6</v>
      </c>
      <c r="R4625" s="161">
        <f>IF(Sales[[#This Row],[Status]]="Cancelled",0,Sales[[#This Row],[Total Amount]])</f>
        <v>4743.6000000000004</v>
      </c>
      <c r="S4625" s="162">
        <f>SUM(Sales[Net Amount])</f>
        <v>406839287.73200053</v>
      </c>
    </row>
    <row r="4626" spans="1:19" ht="18.75" x14ac:dyDescent="0.25">
      <c r="A4626" s="163" t="s">
        <v>8309</v>
      </c>
      <c r="B4626" s="164">
        <v>46004</v>
      </c>
      <c r="C4626" s="34" t="s">
        <v>927</v>
      </c>
      <c r="D4626" s="53" t="str">
        <f>VLOOKUP(Sales[[#This Row],[Customer ID]],Customer[#All],2,0)</f>
        <v>Sunita Patel</v>
      </c>
      <c r="E4626" s="34" t="s">
        <v>287</v>
      </c>
      <c r="F4626" s="34" t="str">
        <f>VLOOKUP(Sales[[#This Row],[Product ID]],Product[#All],2,0)</f>
        <v>HP Power Adapter</v>
      </c>
      <c r="G4626" s="53">
        <v>6</v>
      </c>
      <c r="H4626" s="165">
        <f>VLOOKUP(Sales[[#This Row],[Product ID]],Product[#All],7,0)</f>
        <v>2270</v>
      </c>
      <c r="I4626" s="165">
        <f>Sales[[#This Row],[Selling Rate]]*Sales[[#This Row],[Qty]]</f>
        <v>13620</v>
      </c>
      <c r="J4626" s="45">
        <v>0.15</v>
      </c>
      <c r="K4626" s="46">
        <f>Sales[[#This Row],[Gross Amount]]*Sales[[#This Row],[Disc %]]</f>
        <v>2043</v>
      </c>
      <c r="L4626" s="43">
        <v>0.18</v>
      </c>
      <c r="M4626" s="46">
        <f>(Sales[[#This Row],[Gross Amount]]-Sales[[#This Row],[Disc. Amt.]])*Sales[[#This Row],[GST %]]</f>
        <v>2083.86</v>
      </c>
      <c r="N4626" s="161">
        <f>Sales[[#This Row],[Gross Amount]]-Sales[[#This Row],[Disc. Amt.]]+Sales[[#This Row],[GST Amount]]</f>
        <v>13660.86</v>
      </c>
      <c r="O4626" s="34" t="s">
        <v>8876</v>
      </c>
      <c r="P4626" s="34" t="s">
        <v>3562</v>
      </c>
      <c r="Q4626" s="165">
        <f>IF(Sales[[#This Row],[Status]]="Cancelled",0,Sales[[#This Row],[Qty]])</f>
        <v>6</v>
      </c>
      <c r="R4626" s="166">
        <f>IF(Sales[[#This Row],[Status]]="Cancelled",0,Sales[[#This Row],[Total Amount]])</f>
        <v>13660.86</v>
      </c>
      <c r="S4626" s="162">
        <f>SUM(Sales[Net Amount])</f>
        <v>406839287.73200053</v>
      </c>
    </row>
    <row r="4627" spans="1:19" ht="18.75" x14ac:dyDescent="0.25">
      <c r="A4627" s="156" t="s">
        <v>8310</v>
      </c>
      <c r="B4627" s="157">
        <v>46004</v>
      </c>
      <c r="C4627" s="158" t="s">
        <v>898</v>
      </c>
      <c r="D4627" s="159" t="str">
        <f>VLOOKUP(Sales[[#This Row],[Customer ID]],Customer[#All],2,0)</f>
        <v>Rahul Singh</v>
      </c>
      <c r="E4627" s="158" t="s">
        <v>237</v>
      </c>
      <c r="F4627" s="158" t="str">
        <f>VLOOKUP(Sales[[#This Row],[Product ID]],Product[#All],2,0)</f>
        <v>Jbl Headset</v>
      </c>
      <c r="G4627" s="159">
        <v>4</v>
      </c>
      <c r="H4627" s="160">
        <f>VLOOKUP(Sales[[#This Row],[Product ID]],Product[#All],7,0)</f>
        <v>5520</v>
      </c>
      <c r="I4627" s="160">
        <f>Sales[[#This Row],[Selling Rate]]*Sales[[#This Row],[Qty]]</f>
        <v>22080</v>
      </c>
      <c r="J4627" s="43">
        <v>0.12</v>
      </c>
      <c r="K4627" s="44">
        <f>Sales[[#This Row],[Gross Amount]]*Sales[[#This Row],[Disc %]]</f>
        <v>2649.6</v>
      </c>
      <c r="L4627" s="43">
        <v>0.18</v>
      </c>
      <c r="M4627" s="44">
        <f>(Sales[[#This Row],[Gross Amount]]-Sales[[#This Row],[Disc. Amt.]])*Sales[[#This Row],[GST %]]</f>
        <v>3497.4720000000002</v>
      </c>
      <c r="N4627" s="161">
        <f>Sales[[#This Row],[Gross Amount]]-Sales[[#This Row],[Disc. Amt.]]+Sales[[#This Row],[GST Amount]]</f>
        <v>22927.872000000003</v>
      </c>
      <c r="O4627" s="158" t="s">
        <v>8876</v>
      </c>
      <c r="P4627" s="158" t="s">
        <v>3562</v>
      </c>
      <c r="Q4627" s="160">
        <f>IF(Sales[[#This Row],[Status]]="Cancelled",0,Sales[[#This Row],[Qty]])</f>
        <v>4</v>
      </c>
      <c r="R4627" s="161">
        <f>IF(Sales[[#This Row],[Status]]="Cancelled",0,Sales[[#This Row],[Total Amount]])</f>
        <v>22927.872000000003</v>
      </c>
      <c r="S4627" s="162">
        <f>SUM(Sales[Net Amount])</f>
        <v>406839287.73200053</v>
      </c>
    </row>
    <row r="4628" spans="1:19" ht="18.75" x14ac:dyDescent="0.25">
      <c r="A4628" s="163" t="s">
        <v>8311</v>
      </c>
      <c r="B4628" s="164">
        <v>46004</v>
      </c>
      <c r="C4628" s="34" t="s">
        <v>827</v>
      </c>
      <c r="D4628" s="53" t="str">
        <f>VLOOKUP(Sales[[#This Row],[Customer ID]],Customer[#All],2,0)</f>
        <v>Ankit Gupta</v>
      </c>
      <c r="E4628" s="34" t="s">
        <v>248</v>
      </c>
      <c r="F4628" s="34" t="str">
        <f>VLOOKUP(Sales[[#This Row],[Product ID]],Product[#All],2,0)</f>
        <v>Amazon Basics Hdmi Cable</v>
      </c>
      <c r="G4628" s="53">
        <v>4</v>
      </c>
      <c r="H4628" s="165">
        <f>VLOOKUP(Sales[[#This Row],[Product ID]],Product[#All],7,0)</f>
        <v>980</v>
      </c>
      <c r="I4628" s="165">
        <f>Sales[[#This Row],[Selling Rate]]*Sales[[#This Row],[Qty]]</f>
        <v>3920</v>
      </c>
      <c r="J4628" s="45">
        <v>0.12</v>
      </c>
      <c r="K4628" s="46">
        <f>Sales[[#This Row],[Gross Amount]]*Sales[[#This Row],[Disc %]]</f>
        <v>470.4</v>
      </c>
      <c r="L4628" s="43">
        <v>0.18</v>
      </c>
      <c r="M4628" s="46">
        <f>(Sales[[#This Row],[Gross Amount]]-Sales[[#This Row],[Disc. Amt.]])*Sales[[#This Row],[GST %]]</f>
        <v>620.928</v>
      </c>
      <c r="N4628" s="161">
        <f>Sales[[#This Row],[Gross Amount]]-Sales[[#This Row],[Disc. Amt.]]+Sales[[#This Row],[GST Amount]]</f>
        <v>4070.5279999999998</v>
      </c>
      <c r="O4628" s="34" t="s">
        <v>3561</v>
      </c>
      <c r="P4628" s="34" t="s">
        <v>3562</v>
      </c>
      <c r="Q4628" s="165">
        <f>IF(Sales[[#This Row],[Status]]="Cancelled",0,Sales[[#This Row],[Qty]])</f>
        <v>4</v>
      </c>
      <c r="R4628" s="166">
        <f>IF(Sales[[#This Row],[Status]]="Cancelled",0,Sales[[#This Row],[Total Amount]])</f>
        <v>4070.5279999999998</v>
      </c>
      <c r="S4628" s="162">
        <f>SUM(Sales[Net Amount])</f>
        <v>406839287.73200053</v>
      </c>
    </row>
    <row r="4629" spans="1:19" ht="18.75" x14ac:dyDescent="0.25">
      <c r="A4629" s="156" t="s">
        <v>8312</v>
      </c>
      <c r="B4629" s="157">
        <v>46004</v>
      </c>
      <c r="C4629" s="158" t="s">
        <v>885</v>
      </c>
      <c r="D4629" s="159" t="str">
        <f>VLOOKUP(Sales[[#This Row],[Customer ID]],Customer[#All],2,0)</f>
        <v>Pooja Verma</v>
      </c>
      <c r="E4629" s="158" t="s">
        <v>541</v>
      </c>
      <c r="F4629" s="158" t="str">
        <f>VLOOKUP(Sales[[#This Row],[Product ID]],Product[#All],2,0)</f>
        <v>Crucial Ssd</v>
      </c>
      <c r="G4629" s="159">
        <v>4</v>
      </c>
      <c r="H4629" s="160">
        <f>VLOOKUP(Sales[[#This Row],[Product ID]],Product[#All],7,0)</f>
        <v>9350</v>
      </c>
      <c r="I4629" s="160">
        <f>Sales[[#This Row],[Selling Rate]]*Sales[[#This Row],[Qty]]</f>
        <v>37400</v>
      </c>
      <c r="J4629" s="43">
        <v>0.05</v>
      </c>
      <c r="K4629" s="44">
        <f>Sales[[#This Row],[Gross Amount]]*Sales[[#This Row],[Disc %]]</f>
        <v>1870</v>
      </c>
      <c r="L4629" s="43">
        <v>0.18</v>
      </c>
      <c r="M4629" s="44">
        <f>(Sales[[#This Row],[Gross Amount]]-Sales[[#This Row],[Disc. Amt.]])*Sales[[#This Row],[GST %]]</f>
        <v>6395.4</v>
      </c>
      <c r="N4629" s="161">
        <f>Sales[[#This Row],[Gross Amount]]-Sales[[#This Row],[Disc. Amt.]]+Sales[[#This Row],[GST Amount]]</f>
        <v>41925.4</v>
      </c>
      <c r="O4629" s="158" t="s">
        <v>3569</v>
      </c>
      <c r="P4629" s="158" t="s">
        <v>3562</v>
      </c>
      <c r="Q4629" s="160">
        <f>IF(Sales[[#This Row],[Status]]="Cancelled",0,Sales[[#This Row],[Qty]])</f>
        <v>4</v>
      </c>
      <c r="R4629" s="161">
        <f>IF(Sales[[#This Row],[Status]]="Cancelled",0,Sales[[#This Row],[Total Amount]])</f>
        <v>41925.4</v>
      </c>
      <c r="S4629" s="162">
        <f>SUM(Sales[Net Amount])</f>
        <v>406839287.73200053</v>
      </c>
    </row>
    <row r="4630" spans="1:19" ht="18.75" x14ac:dyDescent="0.25">
      <c r="A4630" s="163" t="s">
        <v>8313</v>
      </c>
      <c r="B4630" s="164">
        <v>46004</v>
      </c>
      <c r="C4630" s="34" t="s">
        <v>680</v>
      </c>
      <c r="D4630" s="53" t="str">
        <f>VLOOKUP(Sales[[#This Row],[Customer ID]],Customer[#All],2,0)</f>
        <v>Rahul Kumar</v>
      </c>
      <c r="E4630" s="34" t="s">
        <v>445</v>
      </c>
      <c r="F4630" s="34" t="str">
        <f>VLOOKUP(Sales[[#This Row],[Product ID]],Product[#All],2,0)</f>
        <v>Lenovo Laptop</v>
      </c>
      <c r="G4630" s="53">
        <v>6</v>
      </c>
      <c r="H4630" s="165">
        <f>VLOOKUP(Sales[[#This Row],[Product ID]],Product[#All],7,0)</f>
        <v>37710</v>
      </c>
      <c r="I4630" s="165">
        <f>Sales[[#This Row],[Selling Rate]]*Sales[[#This Row],[Qty]]</f>
        <v>226260</v>
      </c>
      <c r="J4630" s="45">
        <v>0.12</v>
      </c>
      <c r="K4630" s="46">
        <f>Sales[[#This Row],[Gross Amount]]*Sales[[#This Row],[Disc %]]</f>
        <v>27151.200000000001</v>
      </c>
      <c r="L4630" s="43">
        <v>0.18</v>
      </c>
      <c r="M4630" s="46">
        <f>(Sales[[#This Row],[Gross Amount]]-Sales[[#This Row],[Disc. Amt.]])*Sales[[#This Row],[GST %]]</f>
        <v>35839.583999999995</v>
      </c>
      <c r="N4630" s="161">
        <f>Sales[[#This Row],[Gross Amount]]-Sales[[#This Row],[Disc. Amt.]]+Sales[[#This Row],[GST Amount]]</f>
        <v>234948.38399999999</v>
      </c>
      <c r="O4630" s="34" t="s">
        <v>3561</v>
      </c>
      <c r="P4630" s="34" t="s">
        <v>3562</v>
      </c>
      <c r="Q4630" s="165">
        <f>IF(Sales[[#This Row],[Status]]="Cancelled",0,Sales[[#This Row],[Qty]])</f>
        <v>6</v>
      </c>
      <c r="R4630" s="166">
        <f>IF(Sales[[#This Row],[Status]]="Cancelled",0,Sales[[#This Row],[Total Amount]])</f>
        <v>234948.38399999999</v>
      </c>
      <c r="S4630" s="162">
        <f>SUM(Sales[Net Amount])</f>
        <v>406839287.73200053</v>
      </c>
    </row>
    <row r="4631" spans="1:19" ht="18.75" x14ac:dyDescent="0.25">
      <c r="A4631" s="156" t="s">
        <v>8314</v>
      </c>
      <c r="B4631" s="157">
        <v>46004</v>
      </c>
      <c r="C4631" s="158" t="s">
        <v>805</v>
      </c>
      <c r="D4631" s="159" t="str">
        <f>VLOOKUP(Sales[[#This Row],[Customer ID]],Customer[#All],2,0)</f>
        <v>Priya Kumar</v>
      </c>
      <c r="E4631" s="158" t="s">
        <v>91</v>
      </c>
      <c r="F4631" s="158" t="str">
        <f>VLOOKUP(Sales[[#This Row],[Product ID]],Product[#All],2,0)</f>
        <v>Logitech Keyboard</v>
      </c>
      <c r="G4631" s="159">
        <v>5</v>
      </c>
      <c r="H4631" s="160">
        <f>VLOOKUP(Sales[[#This Row],[Product ID]],Product[#All],7,0)</f>
        <v>3950</v>
      </c>
      <c r="I4631" s="160">
        <f>Sales[[#This Row],[Selling Rate]]*Sales[[#This Row],[Qty]]</f>
        <v>19750</v>
      </c>
      <c r="J4631" s="43">
        <v>0.1</v>
      </c>
      <c r="K4631" s="44">
        <f>Sales[[#This Row],[Gross Amount]]*Sales[[#This Row],[Disc %]]</f>
        <v>1975</v>
      </c>
      <c r="L4631" s="43">
        <v>0.18</v>
      </c>
      <c r="M4631" s="44">
        <f>(Sales[[#This Row],[Gross Amount]]-Sales[[#This Row],[Disc. Amt.]])*Sales[[#This Row],[GST %]]</f>
        <v>3199.5</v>
      </c>
      <c r="N4631" s="161">
        <f>Sales[[#This Row],[Gross Amount]]-Sales[[#This Row],[Disc. Amt.]]+Sales[[#This Row],[GST Amount]]</f>
        <v>20974.5</v>
      </c>
      <c r="O4631" s="158" t="s">
        <v>3569</v>
      </c>
      <c r="P4631" s="158" t="s">
        <v>3562</v>
      </c>
      <c r="Q4631" s="160">
        <f>IF(Sales[[#This Row],[Status]]="Cancelled",0,Sales[[#This Row],[Qty]])</f>
        <v>5</v>
      </c>
      <c r="R4631" s="161">
        <f>IF(Sales[[#This Row],[Status]]="Cancelled",0,Sales[[#This Row],[Total Amount]])</f>
        <v>20974.5</v>
      </c>
      <c r="S4631" s="162">
        <f>SUM(Sales[Net Amount])</f>
        <v>406839287.73200053</v>
      </c>
    </row>
    <row r="4632" spans="1:19" ht="18.75" x14ac:dyDescent="0.25">
      <c r="A4632" s="163" t="s">
        <v>8315</v>
      </c>
      <c r="B4632" s="164">
        <v>46004</v>
      </c>
      <c r="C4632" s="34" t="s">
        <v>738</v>
      </c>
      <c r="D4632" s="53" t="str">
        <f>VLOOKUP(Sales[[#This Row],[Customer ID]],Customer[#All],2,0)</f>
        <v>Pooja Patel</v>
      </c>
      <c r="E4632" s="34" t="s">
        <v>239</v>
      </c>
      <c r="F4632" s="34" t="str">
        <f>VLOOKUP(Sales[[#This Row],[Product ID]],Product[#All],2,0)</f>
        <v>Microtek UPS</v>
      </c>
      <c r="G4632" s="53">
        <v>2</v>
      </c>
      <c r="H4632" s="165">
        <f>VLOOKUP(Sales[[#This Row],[Product ID]],Product[#All],7,0)</f>
        <v>7570</v>
      </c>
      <c r="I4632" s="165">
        <f>Sales[[#This Row],[Selling Rate]]*Sales[[#This Row],[Qty]]</f>
        <v>15140</v>
      </c>
      <c r="J4632" s="45">
        <v>0</v>
      </c>
      <c r="K4632" s="46">
        <f>Sales[[#This Row],[Gross Amount]]*Sales[[#This Row],[Disc %]]</f>
        <v>0</v>
      </c>
      <c r="L4632" s="43">
        <v>0.18</v>
      </c>
      <c r="M4632" s="46">
        <f>(Sales[[#This Row],[Gross Amount]]-Sales[[#This Row],[Disc. Amt.]])*Sales[[#This Row],[GST %]]</f>
        <v>2725.2</v>
      </c>
      <c r="N4632" s="161">
        <f>Sales[[#This Row],[Gross Amount]]-Sales[[#This Row],[Disc. Amt.]]+Sales[[#This Row],[GST Amount]]</f>
        <v>17865.2</v>
      </c>
      <c r="O4632" s="34" t="s">
        <v>3566</v>
      </c>
      <c r="P4632" s="34" t="s">
        <v>3562</v>
      </c>
      <c r="Q4632" s="165">
        <f>IF(Sales[[#This Row],[Status]]="Cancelled",0,Sales[[#This Row],[Qty]])</f>
        <v>2</v>
      </c>
      <c r="R4632" s="166">
        <f>IF(Sales[[#This Row],[Status]]="Cancelled",0,Sales[[#This Row],[Total Amount]])</f>
        <v>17865.2</v>
      </c>
      <c r="S4632" s="162">
        <f>SUM(Sales[Net Amount])</f>
        <v>406839287.73200053</v>
      </c>
    </row>
    <row r="4633" spans="1:19" ht="18.75" x14ac:dyDescent="0.25">
      <c r="A4633" s="156" t="s">
        <v>8316</v>
      </c>
      <c r="B4633" s="157">
        <v>46005</v>
      </c>
      <c r="C4633" s="158" t="s">
        <v>804</v>
      </c>
      <c r="D4633" s="159" t="str">
        <f>VLOOKUP(Sales[[#This Row],[Customer ID]],Customer[#All],2,0)</f>
        <v>Amit Gupta</v>
      </c>
      <c r="E4633" s="158" t="s">
        <v>199</v>
      </c>
      <c r="F4633" s="158" t="str">
        <f>VLOOKUP(Sales[[#This Row],[Product ID]],Product[#All],2,0)</f>
        <v>Lg Monitor</v>
      </c>
      <c r="G4633" s="159">
        <v>4</v>
      </c>
      <c r="H4633" s="160">
        <f>VLOOKUP(Sales[[#This Row],[Product ID]],Product[#All],7,0)</f>
        <v>13160</v>
      </c>
      <c r="I4633" s="160">
        <f>Sales[[#This Row],[Selling Rate]]*Sales[[#This Row],[Qty]]</f>
        <v>52640</v>
      </c>
      <c r="J4633" s="43">
        <v>0</v>
      </c>
      <c r="K4633" s="44">
        <f>Sales[[#This Row],[Gross Amount]]*Sales[[#This Row],[Disc %]]</f>
        <v>0</v>
      </c>
      <c r="L4633" s="43">
        <v>0.18</v>
      </c>
      <c r="M4633" s="44">
        <f>(Sales[[#This Row],[Gross Amount]]-Sales[[#This Row],[Disc. Amt.]])*Sales[[#This Row],[GST %]]</f>
        <v>9475.1999999999989</v>
      </c>
      <c r="N4633" s="161">
        <f>Sales[[#This Row],[Gross Amount]]-Sales[[#This Row],[Disc. Amt.]]+Sales[[#This Row],[GST Amount]]</f>
        <v>62115.199999999997</v>
      </c>
      <c r="O4633" s="158" t="s">
        <v>3561</v>
      </c>
      <c r="P4633" s="158" t="s">
        <v>3562</v>
      </c>
      <c r="Q4633" s="160">
        <f>IF(Sales[[#This Row],[Status]]="Cancelled",0,Sales[[#This Row],[Qty]])</f>
        <v>4</v>
      </c>
      <c r="R4633" s="161">
        <f>IF(Sales[[#This Row],[Status]]="Cancelled",0,Sales[[#This Row],[Total Amount]])</f>
        <v>62115.199999999997</v>
      </c>
      <c r="S4633" s="162">
        <f>SUM(Sales[Net Amount])</f>
        <v>406839287.73200053</v>
      </c>
    </row>
    <row r="4634" spans="1:19" ht="18.75" x14ac:dyDescent="0.25">
      <c r="A4634" s="163" t="s">
        <v>8317</v>
      </c>
      <c r="B4634" s="164">
        <v>46005</v>
      </c>
      <c r="C4634" s="34" t="s">
        <v>734</v>
      </c>
      <c r="D4634" s="53" t="str">
        <f>VLOOKUP(Sales[[#This Row],[Customer ID]],Customer[#All],2,0)</f>
        <v>Ankit Sharma</v>
      </c>
      <c r="E4634" s="34" t="s">
        <v>396</v>
      </c>
      <c r="F4634" s="34" t="str">
        <f>VLOOKUP(Sales[[#This Row],[Product ID]],Product[#All],2,0)</f>
        <v>HP Laptop</v>
      </c>
      <c r="G4634" s="53">
        <v>7</v>
      </c>
      <c r="H4634" s="165">
        <f>VLOOKUP(Sales[[#This Row],[Product ID]],Product[#All],7,0)</f>
        <v>77100</v>
      </c>
      <c r="I4634" s="165">
        <f>Sales[[#This Row],[Selling Rate]]*Sales[[#This Row],[Qty]]</f>
        <v>539700</v>
      </c>
      <c r="J4634" s="45">
        <v>0</v>
      </c>
      <c r="K4634" s="46">
        <f>Sales[[#This Row],[Gross Amount]]*Sales[[#This Row],[Disc %]]</f>
        <v>0</v>
      </c>
      <c r="L4634" s="43">
        <v>0.18</v>
      </c>
      <c r="M4634" s="46">
        <f>(Sales[[#This Row],[Gross Amount]]-Sales[[#This Row],[Disc. Amt.]])*Sales[[#This Row],[GST %]]</f>
        <v>97146</v>
      </c>
      <c r="N4634" s="161">
        <f>Sales[[#This Row],[Gross Amount]]-Sales[[#This Row],[Disc. Amt.]]+Sales[[#This Row],[GST Amount]]</f>
        <v>636846</v>
      </c>
      <c r="O4634" s="34" t="s">
        <v>3569</v>
      </c>
      <c r="P4634" s="34" t="s">
        <v>3562</v>
      </c>
      <c r="Q4634" s="165">
        <f>IF(Sales[[#This Row],[Status]]="Cancelled",0,Sales[[#This Row],[Qty]])</f>
        <v>7</v>
      </c>
      <c r="R4634" s="166">
        <f>IF(Sales[[#This Row],[Status]]="Cancelled",0,Sales[[#This Row],[Total Amount]])</f>
        <v>636846</v>
      </c>
      <c r="S4634" s="162">
        <f>SUM(Sales[Net Amount])</f>
        <v>406839287.73200053</v>
      </c>
    </row>
    <row r="4635" spans="1:19" ht="18.75" x14ac:dyDescent="0.25">
      <c r="A4635" s="156" t="s">
        <v>8318</v>
      </c>
      <c r="B4635" s="157">
        <v>46005</v>
      </c>
      <c r="C4635" s="158" t="s">
        <v>8319</v>
      </c>
      <c r="D4635" s="159" t="str">
        <f>VLOOKUP(Sales[[#This Row],[Customer ID]],Customer[#All],2,0)</f>
        <v>Sunita Kumar</v>
      </c>
      <c r="E4635" s="158" t="s">
        <v>153</v>
      </c>
      <c r="F4635" s="158" t="str">
        <f>VLOOKUP(Sales[[#This Row],[Product ID]],Product[#All],2,0)</f>
        <v>HP Mouse</v>
      </c>
      <c r="G4635" s="159">
        <v>2</v>
      </c>
      <c r="H4635" s="160">
        <f>VLOOKUP(Sales[[#This Row],[Product ID]],Product[#All],7,0)</f>
        <v>1070</v>
      </c>
      <c r="I4635" s="160">
        <f>Sales[[#This Row],[Selling Rate]]*Sales[[#This Row],[Qty]]</f>
        <v>2140</v>
      </c>
      <c r="J4635" s="43">
        <v>0</v>
      </c>
      <c r="K4635" s="44">
        <f>Sales[[#This Row],[Gross Amount]]*Sales[[#This Row],[Disc %]]</f>
        <v>0</v>
      </c>
      <c r="L4635" s="43">
        <v>0.18</v>
      </c>
      <c r="M4635" s="44">
        <f>(Sales[[#This Row],[Gross Amount]]-Sales[[#This Row],[Disc. Amt.]])*Sales[[#This Row],[GST %]]</f>
        <v>385.2</v>
      </c>
      <c r="N4635" s="161">
        <f>Sales[[#This Row],[Gross Amount]]-Sales[[#This Row],[Disc. Amt.]]+Sales[[#This Row],[GST Amount]]</f>
        <v>2525.1999999999998</v>
      </c>
      <c r="O4635" s="158" t="s">
        <v>3561</v>
      </c>
      <c r="P4635" s="158" t="s">
        <v>3562</v>
      </c>
      <c r="Q4635" s="160">
        <f>IF(Sales[[#This Row],[Status]]="Cancelled",0,Sales[[#This Row],[Qty]])</f>
        <v>2</v>
      </c>
      <c r="R4635" s="161">
        <f>IF(Sales[[#This Row],[Status]]="Cancelled",0,Sales[[#This Row],[Total Amount]])</f>
        <v>2525.1999999999998</v>
      </c>
      <c r="S4635" s="162">
        <f>SUM(Sales[Net Amount])</f>
        <v>406839287.73200053</v>
      </c>
    </row>
    <row r="4636" spans="1:19" ht="18.75" x14ac:dyDescent="0.25">
      <c r="A4636" s="163" t="s">
        <v>8320</v>
      </c>
      <c r="B4636" s="164">
        <v>46005</v>
      </c>
      <c r="C4636" s="34" t="s">
        <v>880</v>
      </c>
      <c r="D4636" s="53" t="str">
        <f>VLOOKUP(Sales[[#This Row],[Customer ID]],Customer[#All],2,0)</f>
        <v>Rahul Sharma</v>
      </c>
      <c r="E4636" s="34" t="s">
        <v>465</v>
      </c>
      <c r="F4636" s="34" t="str">
        <f>VLOOKUP(Sales[[#This Row],[Product ID]],Product[#All],2,0)</f>
        <v>Logitech Keyboard</v>
      </c>
      <c r="G4636" s="53">
        <v>1</v>
      </c>
      <c r="H4636" s="165">
        <f>VLOOKUP(Sales[[#This Row],[Product ID]],Product[#All],7,0)</f>
        <v>2230</v>
      </c>
      <c r="I4636" s="165">
        <f>Sales[[#This Row],[Selling Rate]]*Sales[[#This Row],[Qty]]</f>
        <v>2230</v>
      </c>
      <c r="J4636" s="45">
        <v>0</v>
      </c>
      <c r="K4636" s="46">
        <f>Sales[[#This Row],[Gross Amount]]*Sales[[#This Row],[Disc %]]</f>
        <v>0</v>
      </c>
      <c r="L4636" s="43">
        <v>0.18</v>
      </c>
      <c r="M4636" s="46">
        <f>(Sales[[#This Row],[Gross Amount]]-Sales[[#This Row],[Disc. Amt.]])*Sales[[#This Row],[GST %]]</f>
        <v>401.4</v>
      </c>
      <c r="N4636" s="161">
        <f>Sales[[#This Row],[Gross Amount]]-Sales[[#This Row],[Disc. Amt.]]+Sales[[#This Row],[GST Amount]]</f>
        <v>2631.4</v>
      </c>
      <c r="O4636" s="34" t="s">
        <v>3566</v>
      </c>
      <c r="P4636" s="34" t="s">
        <v>3562</v>
      </c>
      <c r="Q4636" s="165">
        <f>IF(Sales[[#This Row],[Status]]="Cancelled",0,Sales[[#This Row],[Qty]])</f>
        <v>1</v>
      </c>
      <c r="R4636" s="166">
        <f>IF(Sales[[#This Row],[Status]]="Cancelled",0,Sales[[#This Row],[Total Amount]])</f>
        <v>2631.4</v>
      </c>
      <c r="S4636" s="162">
        <f>SUM(Sales[Net Amount])</f>
        <v>406839287.73200053</v>
      </c>
    </row>
    <row r="4637" spans="1:19" ht="18.75" x14ac:dyDescent="0.25">
      <c r="A4637" s="156" t="s">
        <v>8321</v>
      </c>
      <c r="B4637" s="157">
        <v>46005</v>
      </c>
      <c r="C4637" s="158" t="s">
        <v>791</v>
      </c>
      <c r="D4637" s="159" t="str">
        <f>VLOOKUP(Sales[[#This Row],[Customer ID]],Customer[#All],2,0)</f>
        <v>Rakesh Sharma</v>
      </c>
      <c r="E4637" s="158" t="s">
        <v>405</v>
      </c>
      <c r="F4637" s="158" t="str">
        <f>VLOOKUP(Sales[[#This Row],[Product ID]],Product[#All],2,0)</f>
        <v>TP-link Bluetooth Adapter</v>
      </c>
      <c r="G4637" s="159">
        <v>6</v>
      </c>
      <c r="H4637" s="160">
        <f>VLOOKUP(Sales[[#This Row],[Product ID]],Product[#All],7,0)</f>
        <v>1470</v>
      </c>
      <c r="I4637" s="160">
        <f>Sales[[#This Row],[Selling Rate]]*Sales[[#This Row],[Qty]]</f>
        <v>8820</v>
      </c>
      <c r="J4637" s="43">
        <v>0.12</v>
      </c>
      <c r="K4637" s="44">
        <f>Sales[[#This Row],[Gross Amount]]*Sales[[#This Row],[Disc %]]</f>
        <v>1058.3999999999999</v>
      </c>
      <c r="L4637" s="43">
        <v>0.18</v>
      </c>
      <c r="M4637" s="44">
        <f>(Sales[[#This Row],[Gross Amount]]-Sales[[#This Row],[Disc. Amt.]])*Sales[[#This Row],[GST %]]</f>
        <v>1397.088</v>
      </c>
      <c r="N4637" s="161">
        <f>Sales[[#This Row],[Gross Amount]]-Sales[[#This Row],[Disc. Amt.]]+Sales[[#This Row],[GST Amount]]</f>
        <v>9158.6880000000001</v>
      </c>
      <c r="O4637" s="158" t="s">
        <v>3569</v>
      </c>
      <c r="P4637" s="158" t="s">
        <v>3562</v>
      </c>
      <c r="Q4637" s="160">
        <f>IF(Sales[[#This Row],[Status]]="Cancelled",0,Sales[[#This Row],[Qty]])</f>
        <v>6</v>
      </c>
      <c r="R4637" s="161">
        <f>IF(Sales[[#This Row],[Status]]="Cancelled",0,Sales[[#This Row],[Total Amount]])</f>
        <v>9158.6880000000001</v>
      </c>
      <c r="S4637" s="162">
        <f>SUM(Sales[Net Amount])</f>
        <v>406839287.73200053</v>
      </c>
    </row>
    <row r="4638" spans="1:19" ht="18.75" x14ac:dyDescent="0.25">
      <c r="A4638" s="163" t="s">
        <v>8322</v>
      </c>
      <c r="B4638" s="164">
        <v>46005</v>
      </c>
      <c r="C4638" s="34" t="s">
        <v>900</v>
      </c>
      <c r="D4638" s="53" t="str">
        <f>VLOOKUP(Sales[[#This Row],[Customer ID]],Customer[#All],2,0)</f>
        <v>Neha Kumar</v>
      </c>
      <c r="E4638" s="34" t="s">
        <v>514</v>
      </c>
      <c r="F4638" s="34" t="str">
        <f>VLOOKUP(Sales[[#This Row],[Product ID]],Product[#All],2,0)</f>
        <v>Apc UPS</v>
      </c>
      <c r="G4638" s="53">
        <v>7</v>
      </c>
      <c r="H4638" s="165">
        <f>VLOOKUP(Sales[[#This Row],[Product ID]],Product[#All],7,0)</f>
        <v>4660</v>
      </c>
      <c r="I4638" s="165">
        <f>Sales[[#This Row],[Selling Rate]]*Sales[[#This Row],[Qty]]</f>
        <v>32620</v>
      </c>
      <c r="J4638" s="45">
        <v>0.02</v>
      </c>
      <c r="K4638" s="46">
        <f>Sales[[#This Row],[Gross Amount]]*Sales[[#This Row],[Disc %]]</f>
        <v>652.4</v>
      </c>
      <c r="L4638" s="43">
        <v>0.18</v>
      </c>
      <c r="M4638" s="46">
        <f>(Sales[[#This Row],[Gross Amount]]-Sales[[#This Row],[Disc. Amt.]])*Sales[[#This Row],[GST %]]</f>
        <v>5754.1679999999997</v>
      </c>
      <c r="N4638" s="161">
        <f>Sales[[#This Row],[Gross Amount]]-Sales[[#This Row],[Disc. Amt.]]+Sales[[#This Row],[GST Amount]]</f>
        <v>37721.767999999996</v>
      </c>
      <c r="O4638" s="34" t="s">
        <v>3569</v>
      </c>
      <c r="P4638" s="34" t="s">
        <v>3562</v>
      </c>
      <c r="Q4638" s="165">
        <f>IF(Sales[[#This Row],[Status]]="Cancelled",0,Sales[[#This Row],[Qty]])</f>
        <v>7</v>
      </c>
      <c r="R4638" s="166">
        <f>IF(Sales[[#This Row],[Status]]="Cancelled",0,Sales[[#This Row],[Total Amount]])</f>
        <v>37721.767999999996</v>
      </c>
      <c r="S4638" s="162">
        <f>SUM(Sales[Net Amount])</f>
        <v>406839287.73200053</v>
      </c>
    </row>
    <row r="4639" spans="1:19" ht="18.75" x14ac:dyDescent="0.25">
      <c r="A4639" s="156" t="s">
        <v>8323</v>
      </c>
      <c r="B4639" s="157">
        <v>46005</v>
      </c>
      <c r="C4639" s="158" t="s">
        <v>768</v>
      </c>
      <c r="D4639" s="159" t="str">
        <f>VLOOKUP(Sales[[#This Row],[Customer ID]],Customer[#All],2,0)</f>
        <v>Priya Kumar</v>
      </c>
      <c r="E4639" s="158" t="s">
        <v>286</v>
      </c>
      <c r="F4639" s="158" t="str">
        <f>VLOOKUP(Sales[[#This Row],[Product ID]],Product[#All],2,0)</f>
        <v>HP Laptop</v>
      </c>
      <c r="G4639" s="159">
        <v>8</v>
      </c>
      <c r="H4639" s="160">
        <f>VLOOKUP(Sales[[#This Row],[Product ID]],Product[#All],7,0)</f>
        <v>62100</v>
      </c>
      <c r="I4639" s="160">
        <f>Sales[[#This Row],[Selling Rate]]*Sales[[#This Row],[Qty]]</f>
        <v>496800</v>
      </c>
      <c r="J4639" s="43">
        <v>0.12</v>
      </c>
      <c r="K4639" s="44">
        <f>Sales[[#This Row],[Gross Amount]]*Sales[[#This Row],[Disc %]]</f>
        <v>59616</v>
      </c>
      <c r="L4639" s="43">
        <v>0.18</v>
      </c>
      <c r="M4639" s="44">
        <f>(Sales[[#This Row],[Gross Amount]]-Sales[[#This Row],[Disc. Amt.]])*Sales[[#This Row],[GST %]]</f>
        <v>78693.119999999995</v>
      </c>
      <c r="N4639" s="161">
        <f>Sales[[#This Row],[Gross Amount]]-Sales[[#This Row],[Disc. Amt.]]+Sales[[#This Row],[GST Amount]]</f>
        <v>515877.12</v>
      </c>
      <c r="O4639" s="158" t="s">
        <v>3566</v>
      </c>
      <c r="P4639" s="158" t="s">
        <v>3562</v>
      </c>
      <c r="Q4639" s="160">
        <f>IF(Sales[[#This Row],[Status]]="Cancelled",0,Sales[[#This Row],[Qty]])</f>
        <v>8</v>
      </c>
      <c r="R4639" s="161">
        <f>IF(Sales[[#This Row],[Status]]="Cancelled",0,Sales[[#This Row],[Total Amount]])</f>
        <v>515877.12</v>
      </c>
      <c r="S4639" s="162">
        <f>SUM(Sales[Net Amount])</f>
        <v>406839287.73200053</v>
      </c>
    </row>
    <row r="4640" spans="1:19" ht="18.75" x14ac:dyDescent="0.25">
      <c r="A4640" s="163" t="s">
        <v>8324</v>
      </c>
      <c r="B4640" s="164">
        <v>46005</v>
      </c>
      <c r="C4640" s="34" t="s">
        <v>788</v>
      </c>
      <c r="D4640" s="53" t="str">
        <f>VLOOKUP(Sales[[#This Row],[Customer ID]],Customer[#All],2,0)</f>
        <v>Vikas Kumar</v>
      </c>
      <c r="E4640" s="34" t="s">
        <v>507</v>
      </c>
      <c r="F4640" s="34" t="str">
        <f>VLOOKUP(Sales[[#This Row],[Product ID]],Product[#All],2,0)</f>
        <v>American TouristerLaptopBag</v>
      </c>
      <c r="G4640" s="53">
        <v>8</v>
      </c>
      <c r="H4640" s="165">
        <f>VLOOKUP(Sales[[#This Row],[Product ID]],Product[#All],7,0)</f>
        <v>2030</v>
      </c>
      <c r="I4640" s="165">
        <f>Sales[[#This Row],[Selling Rate]]*Sales[[#This Row],[Qty]]</f>
        <v>16240</v>
      </c>
      <c r="J4640" s="45">
        <v>0.1</v>
      </c>
      <c r="K4640" s="46">
        <f>Sales[[#This Row],[Gross Amount]]*Sales[[#This Row],[Disc %]]</f>
        <v>1624</v>
      </c>
      <c r="L4640" s="43">
        <v>0.18</v>
      </c>
      <c r="M4640" s="46">
        <f>(Sales[[#This Row],[Gross Amount]]-Sales[[#This Row],[Disc. Amt.]])*Sales[[#This Row],[GST %]]</f>
        <v>2630.88</v>
      </c>
      <c r="N4640" s="161">
        <f>Sales[[#This Row],[Gross Amount]]-Sales[[#This Row],[Disc. Amt.]]+Sales[[#This Row],[GST Amount]]</f>
        <v>17246.88</v>
      </c>
      <c r="O4640" s="34" t="s">
        <v>3561</v>
      </c>
      <c r="P4640" s="34" t="s">
        <v>3562</v>
      </c>
      <c r="Q4640" s="165">
        <f>IF(Sales[[#This Row],[Status]]="Cancelled",0,Sales[[#This Row],[Qty]])</f>
        <v>8</v>
      </c>
      <c r="R4640" s="166">
        <f>IF(Sales[[#This Row],[Status]]="Cancelled",0,Sales[[#This Row],[Total Amount]])</f>
        <v>17246.88</v>
      </c>
      <c r="S4640" s="162">
        <f>SUM(Sales[Net Amount])</f>
        <v>406839287.73200053</v>
      </c>
    </row>
    <row r="4641" spans="1:19" ht="18.75" x14ac:dyDescent="0.25">
      <c r="A4641" s="156" t="s">
        <v>8325</v>
      </c>
      <c r="B4641" s="157">
        <v>46005</v>
      </c>
      <c r="C4641" s="158" t="s">
        <v>910</v>
      </c>
      <c r="D4641" s="159" t="str">
        <f>VLOOKUP(Sales[[#This Row],[Customer ID]],Customer[#All],2,0)</f>
        <v>Sahil Sharma</v>
      </c>
      <c r="E4641" s="158" t="s">
        <v>542</v>
      </c>
      <c r="F4641" s="158" t="str">
        <f>VLOOKUP(Sales[[#This Row],[Product ID]],Product[#All],2,0)</f>
        <v>Logitech Webcam</v>
      </c>
      <c r="G4641" s="159">
        <v>4</v>
      </c>
      <c r="H4641" s="160">
        <f>VLOOKUP(Sales[[#This Row],[Product ID]],Product[#All],7,0)</f>
        <v>4800</v>
      </c>
      <c r="I4641" s="160">
        <f>Sales[[#This Row],[Selling Rate]]*Sales[[#This Row],[Qty]]</f>
        <v>19200</v>
      </c>
      <c r="J4641" s="43">
        <v>0.02</v>
      </c>
      <c r="K4641" s="44">
        <f>Sales[[#This Row],[Gross Amount]]*Sales[[#This Row],[Disc %]]</f>
        <v>384</v>
      </c>
      <c r="L4641" s="43">
        <v>0.18</v>
      </c>
      <c r="M4641" s="44">
        <f>(Sales[[#This Row],[Gross Amount]]-Sales[[#This Row],[Disc. Amt.]])*Sales[[#This Row],[GST %]]</f>
        <v>3386.8799999999997</v>
      </c>
      <c r="N4641" s="161">
        <f>Sales[[#This Row],[Gross Amount]]-Sales[[#This Row],[Disc. Amt.]]+Sales[[#This Row],[GST Amount]]</f>
        <v>22202.880000000001</v>
      </c>
      <c r="O4641" s="158" t="s">
        <v>3561</v>
      </c>
      <c r="P4641" s="158" t="s">
        <v>3562</v>
      </c>
      <c r="Q4641" s="160">
        <f>IF(Sales[[#This Row],[Status]]="Cancelled",0,Sales[[#This Row],[Qty]])</f>
        <v>4</v>
      </c>
      <c r="R4641" s="161">
        <f>IF(Sales[[#This Row],[Status]]="Cancelled",0,Sales[[#This Row],[Total Amount]])</f>
        <v>22202.880000000001</v>
      </c>
      <c r="S4641" s="162">
        <f>SUM(Sales[Net Amount])</f>
        <v>406839287.73200053</v>
      </c>
    </row>
    <row r="4642" spans="1:19" ht="18.75" x14ac:dyDescent="0.25">
      <c r="A4642" s="163" t="s">
        <v>8326</v>
      </c>
      <c r="B4642" s="164">
        <v>46005</v>
      </c>
      <c r="C4642" s="34" t="s">
        <v>654</v>
      </c>
      <c r="D4642" s="53" t="str">
        <f>VLOOKUP(Sales[[#This Row],[Customer ID]],Customer[#All],2,0)</f>
        <v>Sunita Verma</v>
      </c>
      <c r="E4642" s="34" t="s">
        <v>512</v>
      </c>
      <c r="F4642" s="34" t="str">
        <f>VLOOKUP(Sales[[#This Row],[Product ID]],Product[#All],2,0)</f>
        <v>Logitech Webcam</v>
      </c>
      <c r="G4642" s="53">
        <v>3</v>
      </c>
      <c r="H4642" s="165">
        <f>VLOOKUP(Sales[[#This Row],[Product ID]],Product[#All],7,0)</f>
        <v>5800</v>
      </c>
      <c r="I4642" s="165">
        <f>Sales[[#This Row],[Selling Rate]]*Sales[[#This Row],[Qty]]</f>
        <v>17400</v>
      </c>
      <c r="J4642" s="45">
        <v>0.02</v>
      </c>
      <c r="K4642" s="46">
        <f>Sales[[#This Row],[Gross Amount]]*Sales[[#This Row],[Disc %]]</f>
        <v>348</v>
      </c>
      <c r="L4642" s="43">
        <v>0.18</v>
      </c>
      <c r="M4642" s="46">
        <f>(Sales[[#This Row],[Gross Amount]]-Sales[[#This Row],[Disc. Amt.]])*Sales[[#This Row],[GST %]]</f>
        <v>3069.3599999999997</v>
      </c>
      <c r="N4642" s="161">
        <f>Sales[[#This Row],[Gross Amount]]-Sales[[#This Row],[Disc. Amt.]]+Sales[[#This Row],[GST Amount]]</f>
        <v>20121.36</v>
      </c>
      <c r="O4642" s="34" t="s">
        <v>3561</v>
      </c>
      <c r="P4642" s="34" t="s">
        <v>3562</v>
      </c>
      <c r="Q4642" s="165">
        <f>IF(Sales[[#This Row],[Status]]="Cancelled",0,Sales[[#This Row],[Qty]])</f>
        <v>3</v>
      </c>
      <c r="R4642" s="166">
        <f>IF(Sales[[#This Row],[Status]]="Cancelled",0,Sales[[#This Row],[Total Amount]])</f>
        <v>20121.36</v>
      </c>
      <c r="S4642" s="162">
        <f>SUM(Sales[Net Amount])</f>
        <v>406839287.73200053</v>
      </c>
    </row>
    <row r="4643" spans="1:19" ht="18.75" x14ac:dyDescent="0.25">
      <c r="A4643" s="156" t="s">
        <v>8327</v>
      </c>
      <c r="B4643" s="157">
        <v>46005</v>
      </c>
      <c r="C4643" s="158" t="s">
        <v>831</v>
      </c>
      <c r="D4643" s="159" t="str">
        <f>VLOOKUP(Sales[[#This Row],[Customer ID]],Customer[#All],2,0)</f>
        <v>Vikas Gupta</v>
      </c>
      <c r="E4643" s="158" t="s">
        <v>228</v>
      </c>
      <c r="F4643" s="158" t="str">
        <f>VLOOKUP(Sales[[#This Row],[Product ID]],Product[#All],2,0)</f>
        <v>Samsung Monitor</v>
      </c>
      <c r="G4643" s="159">
        <v>2</v>
      </c>
      <c r="H4643" s="160">
        <f>VLOOKUP(Sales[[#This Row],[Product ID]],Product[#All],7,0)</f>
        <v>29600</v>
      </c>
      <c r="I4643" s="160">
        <f>Sales[[#This Row],[Selling Rate]]*Sales[[#This Row],[Qty]]</f>
        <v>59200</v>
      </c>
      <c r="J4643" s="43">
        <v>0.15</v>
      </c>
      <c r="K4643" s="44">
        <f>Sales[[#This Row],[Gross Amount]]*Sales[[#This Row],[Disc %]]</f>
        <v>8880</v>
      </c>
      <c r="L4643" s="43">
        <v>0.18</v>
      </c>
      <c r="M4643" s="44">
        <f>(Sales[[#This Row],[Gross Amount]]-Sales[[#This Row],[Disc. Amt.]])*Sales[[#This Row],[GST %]]</f>
        <v>9057.6</v>
      </c>
      <c r="N4643" s="161">
        <f>Sales[[#This Row],[Gross Amount]]-Sales[[#This Row],[Disc. Amt.]]+Sales[[#This Row],[GST Amount]]</f>
        <v>59377.599999999999</v>
      </c>
      <c r="O4643" s="158" t="s">
        <v>8876</v>
      </c>
      <c r="P4643" s="158" t="s">
        <v>3562</v>
      </c>
      <c r="Q4643" s="160">
        <f>IF(Sales[[#This Row],[Status]]="Cancelled",0,Sales[[#This Row],[Qty]])</f>
        <v>2</v>
      </c>
      <c r="R4643" s="161">
        <f>IF(Sales[[#This Row],[Status]]="Cancelled",0,Sales[[#This Row],[Total Amount]])</f>
        <v>59377.599999999999</v>
      </c>
      <c r="S4643" s="162">
        <f>SUM(Sales[Net Amount])</f>
        <v>406839287.73200053</v>
      </c>
    </row>
    <row r="4644" spans="1:19" ht="18.75" x14ac:dyDescent="0.25">
      <c r="A4644" s="163" t="s">
        <v>8328</v>
      </c>
      <c r="B4644" s="164">
        <v>46005</v>
      </c>
      <c r="C4644" s="34" t="s">
        <v>864</v>
      </c>
      <c r="D4644" s="53" t="str">
        <f>VLOOKUP(Sales[[#This Row],[Customer ID]],Customer[#All],2,0)</f>
        <v>Sahil Sharma</v>
      </c>
      <c r="E4644" s="34" t="s">
        <v>145</v>
      </c>
      <c r="F4644" s="34" t="str">
        <f>VLOOKUP(Sales[[#This Row],[Product ID]],Product[#All],2,0)</f>
        <v>Crucial Ssd</v>
      </c>
      <c r="G4644" s="53">
        <v>8</v>
      </c>
      <c r="H4644" s="165">
        <f>VLOOKUP(Sales[[#This Row],[Product ID]],Product[#All],7,0)</f>
        <v>9790</v>
      </c>
      <c r="I4644" s="165">
        <f>Sales[[#This Row],[Selling Rate]]*Sales[[#This Row],[Qty]]</f>
        <v>78320</v>
      </c>
      <c r="J4644" s="45">
        <v>0.15</v>
      </c>
      <c r="K4644" s="46">
        <f>Sales[[#This Row],[Gross Amount]]*Sales[[#This Row],[Disc %]]</f>
        <v>11748</v>
      </c>
      <c r="L4644" s="43">
        <v>0.18</v>
      </c>
      <c r="M4644" s="46">
        <f>(Sales[[#This Row],[Gross Amount]]-Sales[[#This Row],[Disc. Amt.]])*Sales[[#This Row],[GST %]]</f>
        <v>11982.96</v>
      </c>
      <c r="N4644" s="161">
        <f>Sales[[#This Row],[Gross Amount]]-Sales[[#This Row],[Disc. Amt.]]+Sales[[#This Row],[GST Amount]]</f>
        <v>78554.959999999992</v>
      </c>
      <c r="O4644" s="34" t="s">
        <v>3569</v>
      </c>
      <c r="P4644" s="34" t="s">
        <v>3562</v>
      </c>
      <c r="Q4644" s="165">
        <f>IF(Sales[[#This Row],[Status]]="Cancelled",0,Sales[[#This Row],[Qty]])</f>
        <v>8</v>
      </c>
      <c r="R4644" s="166">
        <f>IF(Sales[[#This Row],[Status]]="Cancelled",0,Sales[[#This Row],[Total Amount]])</f>
        <v>78554.959999999992</v>
      </c>
      <c r="S4644" s="162">
        <f>SUM(Sales[Net Amount])</f>
        <v>406839287.73200053</v>
      </c>
    </row>
    <row r="4645" spans="1:19" ht="18.75" x14ac:dyDescent="0.25">
      <c r="A4645" s="156" t="s">
        <v>8329</v>
      </c>
      <c r="B4645" s="157">
        <v>46005</v>
      </c>
      <c r="C4645" s="158" t="s">
        <v>4846</v>
      </c>
      <c r="D4645" s="159" t="str">
        <f>VLOOKUP(Sales[[#This Row],[Customer ID]],Customer[#All],2,0)</f>
        <v>Ankit Gupta</v>
      </c>
      <c r="E4645" s="158" t="s">
        <v>412</v>
      </c>
      <c r="F4645" s="158" t="str">
        <f>VLOOKUP(Sales[[#This Row],[Product ID]],Product[#All],2,0)</f>
        <v>Dell Monitor</v>
      </c>
      <c r="G4645" s="159">
        <v>2</v>
      </c>
      <c r="H4645" s="160">
        <f>VLOOKUP(Sales[[#This Row],[Product ID]],Product[#All],7,0)</f>
        <v>30230</v>
      </c>
      <c r="I4645" s="160">
        <f>Sales[[#This Row],[Selling Rate]]*Sales[[#This Row],[Qty]]</f>
        <v>60460</v>
      </c>
      <c r="J4645" s="43">
        <v>0</v>
      </c>
      <c r="K4645" s="44">
        <f>Sales[[#This Row],[Gross Amount]]*Sales[[#This Row],[Disc %]]</f>
        <v>0</v>
      </c>
      <c r="L4645" s="43">
        <v>0.18</v>
      </c>
      <c r="M4645" s="44">
        <f>(Sales[[#This Row],[Gross Amount]]-Sales[[#This Row],[Disc. Amt.]])*Sales[[#This Row],[GST %]]</f>
        <v>10882.8</v>
      </c>
      <c r="N4645" s="161">
        <f>Sales[[#This Row],[Gross Amount]]-Sales[[#This Row],[Disc. Amt.]]+Sales[[#This Row],[GST Amount]]</f>
        <v>71342.8</v>
      </c>
      <c r="O4645" s="158" t="s">
        <v>3566</v>
      </c>
      <c r="P4645" s="158" t="s">
        <v>3562</v>
      </c>
      <c r="Q4645" s="160">
        <f>IF(Sales[[#This Row],[Status]]="Cancelled",0,Sales[[#This Row],[Qty]])</f>
        <v>2</v>
      </c>
      <c r="R4645" s="161">
        <f>IF(Sales[[#This Row],[Status]]="Cancelled",0,Sales[[#This Row],[Total Amount]])</f>
        <v>71342.8</v>
      </c>
      <c r="S4645" s="162">
        <f>SUM(Sales[Net Amount])</f>
        <v>406839287.73200053</v>
      </c>
    </row>
    <row r="4646" spans="1:19" ht="18.75" x14ac:dyDescent="0.25">
      <c r="A4646" s="163" t="s">
        <v>8330</v>
      </c>
      <c r="B4646" s="164">
        <v>46005</v>
      </c>
      <c r="C4646" s="34" t="s">
        <v>780</v>
      </c>
      <c r="D4646" s="53" t="str">
        <f>VLOOKUP(Sales[[#This Row],[Customer ID]],Customer[#All],2,0)</f>
        <v>Sahil Gupta</v>
      </c>
      <c r="E4646" s="34" t="s">
        <v>148</v>
      </c>
      <c r="F4646" s="34" t="str">
        <f>VLOOKUP(Sales[[#This Row],[Product ID]],Product[#All],2,0)</f>
        <v>Dell Monitor</v>
      </c>
      <c r="G4646" s="53">
        <v>6</v>
      </c>
      <c r="H4646" s="165">
        <f>VLOOKUP(Sales[[#This Row],[Product ID]],Product[#All],7,0)</f>
        <v>20170</v>
      </c>
      <c r="I4646" s="165">
        <f>Sales[[#This Row],[Selling Rate]]*Sales[[#This Row],[Qty]]</f>
        <v>121020</v>
      </c>
      <c r="J4646" s="45">
        <v>0.02</v>
      </c>
      <c r="K4646" s="46">
        <f>Sales[[#This Row],[Gross Amount]]*Sales[[#This Row],[Disc %]]</f>
        <v>2420.4</v>
      </c>
      <c r="L4646" s="43">
        <v>0.18</v>
      </c>
      <c r="M4646" s="46">
        <f>(Sales[[#This Row],[Gross Amount]]-Sales[[#This Row],[Disc. Amt.]])*Sales[[#This Row],[GST %]]</f>
        <v>21347.928</v>
      </c>
      <c r="N4646" s="161">
        <f>Sales[[#This Row],[Gross Amount]]-Sales[[#This Row],[Disc. Amt.]]+Sales[[#This Row],[GST Amount]]</f>
        <v>139947.52799999999</v>
      </c>
      <c r="O4646" s="34" t="s">
        <v>3566</v>
      </c>
      <c r="P4646" s="34" t="s">
        <v>3562</v>
      </c>
      <c r="Q4646" s="165">
        <f>IF(Sales[[#This Row],[Status]]="Cancelled",0,Sales[[#This Row],[Qty]])</f>
        <v>6</v>
      </c>
      <c r="R4646" s="166">
        <f>IF(Sales[[#This Row],[Status]]="Cancelled",0,Sales[[#This Row],[Total Amount]])</f>
        <v>139947.52799999999</v>
      </c>
      <c r="S4646" s="162">
        <f>SUM(Sales[Net Amount])</f>
        <v>406839287.73200053</v>
      </c>
    </row>
    <row r="4647" spans="1:19" ht="18.75" x14ac:dyDescent="0.25">
      <c r="A4647" s="156" t="s">
        <v>8331</v>
      </c>
      <c r="B4647" s="157">
        <v>46005</v>
      </c>
      <c r="C4647" s="158" t="s">
        <v>726</v>
      </c>
      <c r="D4647" s="159" t="str">
        <f>VLOOKUP(Sales[[#This Row],[Customer ID]],Customer[#All],2,0)</f>
        <v>Priya Singh</v>
      </c>
      <c r="E4647" s="158" t="s">
        <v>529</v>
      </c>
      <c r="F4647" s="158" t="str">
        <f>VLOOKUP(Sales[[#This Row],[Product ID]],Product[#All],2,0)</f>
        <v>Logitech Webcam</v>
      </c>
      <c r="G4647" s="159">
        <v>5</v>
      </c>
      <c r="H4647" s="160">
        <f>VLOOKUP(Sales[[#This Row],[Product ID]],Product[#All],7,0)</f>
        <v>3390</v>
      </c>
      <c r="I4647" s="160">
        <f>Sales[[#This Row],[Selling Rate]]*Sales[[#This Row],[Qty]]</f>
        <v>16950</v>
      </c>
      <c r="J4647" s="43">
        <v>0.15</v>
      </c>
      <c r="K4647" s="44">
        <f>Sales[[#This Row],[Gross Amount]]*Sales[[#This Row],[Disc %]]</f>
        <v>2542.5</v>
      </c>
      <c r="L4647" s="43">
        <v>0.18</v>
      </c>
      <c r="M4647" s="44">
        <f>(Sales[[#This Row],[Gross Amount]]-Sales[[#This Row],[Disc. Amt.]])*Sales[[#This Row],[GST %]]</f>
        <v>2593.35</v>
      </c>
      <c r="N4647" s="161">
        <f>Sales[[#This Row],[Gross Amount]]-Sales[[#This Row],[Disc. Amt.]]+Sales[[#This Row],[GST Amount]]</f>
        <v>17000.849999999999</v>
      </c>
      <c r="O4647" s="158" t="s">
        <v>3566</v>
      </c>
      <c r="P4647" s="158" t="s">
        <v>3562</v>
      </c>
      <c r="Q4647" s="160">
        <f>IF(Sales[[#This Row],[Status]]="Cancelled",0,Sales[[#This Row],[Qty]])</f>
        <v>5</v>
      </c>
      <c r="R4647" s="161">
        <f>IF(Sales[[#This Row],[Status]]="Cancelled",0,Sales[[#This Row],[Total Amount]])</f>
        <v>17000.849999999999</v>
      </c>
      <c r="S4647" s="162">
        <f>SUM(Sales[Net Amount])</f>
        <v>406839287.73200053</v>
      </c>
    </row>
    <row r="4648" spans="1:19" ht="18.75" x14ac:dyDescent="0.25">
      <c r="A4648" s="163" t="s">
        <v>8332</v>
      </c>
      <c r="B4648" s="164">
        <v>46005</v>
      </c>
      <c r="C4648" s="34" t="s">
        <v>716</v>
      </c>
      <c r="D4648" s="53" t="str">
        <f>VLOOKUP(Sales[[#This Row],[Customer ID]],Customer[#All],2,0)</f>
        <v>Ankit Kumar</v>
      </c>
      <c r="E4648" s="34" t="s">
        <v>110</v>
      </c>
      <c r="F4648" s="34" t="str">
        <f>VLOOKUP(Sales[[#This Row],[Product ID]],Product[#All],2,0)</f>
        <v>Lenovo Laptop</v>
      </c>
      <c r="G4648" s="53">
        <v>7</v>
      </c>
      <c r="H4648" s="165">
        <f>VLOOKUP(Sales[[#This Row],[Product ID]],Product[#All],7,0)</f>
        <v>66670</v>
      </c>
      <c r="I4648" s="165">
        <f>Sales[[#This Row],[Selling Rate]]*Sales[[#This Row],[Qty]]</f>
        <v>466690</v>
      </c>
      <c r="J4648" s="45">
        <v>0.1</v>
      </c>
      <c r="K4648" s="46">
        <f>Sales[[#This Row],[Gross Amount]]*Sales[[#This Row],[Disc %]]</f>
        <v>46669</v>
      </c>
      <c r="L4648" s="43">
        <v>0.18</v>
      </c>
      <c r="M4648" s="46">
        <f>(Sales[[#This Row],[Gross Amount]]-Sales[[#This Row],[Disc. Amt.]])*Sales[[#This Row],[GST %]]</f>
        <v>75603.78</v>
      </c>
      <c r="N4648" s="161">
        <f>Sales[[#This Row],[Gross Amount]]-Sales[[#This Row],[Disc. Amt.]]+Sales[[#This Row],[GST Amount]]</f>
        <v>495624.78</v>
      </c>
      <c r="O4648" s="34" t="s">
        <v>8876</v>
      </c>
      <c r="P4648" s="34" t="s">
        <v>3562</v>
      </c>
      <c r="Q4648" s="165">
        <f>IF(Sales[[#This Row],[Status]]="Cancelled",0,Sales[[#This Row],[Qty]])</f>
        <v>7</v>
      </c>
      <c r="R4648" s="166">
        <f>IF(Sales[[#This Row],[Status]]="Cancelled",0,Sales[[#This Row],[Total Amount]])</f>
        <v>495624.78</v>
      </c>
      <c r="S4648" s="162">
        <f>SUM(Sales[Net Amount])</f>
        <v>406839287.73200053</v>
      </c>
    </row>
    <row r="4649" spans="1:19" ht="18.75" x14ac:dyDescent="0.25">
      <c r="A4649" s="156" t="s">
        <v>8333</v>
      </c>
      <c r="B4649" s="157">
        <v>46005</v>
      </c>
      <c r="C4649" s="158" t="s">
        <v>749</v>
      </c>
      <c r="D4649" s="159" t="str">
        <f>VLOOKUP(Sales[[#This Row],[Customer ID]],Customer[#All],2,0)</f>
        <v>Sahil Patel</v>
      </c>
      <c r="E4649" s="158" t="s">
        <v>128</v>
      </c>
      <c r="F4649" s="158" t="str">
        <f>VLOOKUP(Sales[[#This Row],[Product ID]],Product[#All],2,0)</f>
        <v>American TouristerLaptopBag</v>
      </c>
      <c r="G4649" s="159">
        <v>6</v>
      </c>
      <c r="H4649" s="160">
        <f>VLOOKUP(Sales[[#This Row],[Product ID]],Product[#All],7,0)</f>
        <v>2990</v>
      </c>
      <c r="I4649" s="160">
        <f>Sales[[#This Row],[Selling Rate]]*Sales[[#This Row],[Qty]]</f>
        <v>17940</v>
      </c>
      <c r="J4649" s="43">
        <v>0.12</v>
      </c>
      <c r="K4649" s="44">
        <f>Sales[[#This Row],[Gross Amount]]*Sales[[#This Row],[Disc %]]</f>
        <v>2152.7999999999997</v>
      </c>
      <c r="L4649" s="43">
        <v>0.18</v>
      </c>
      <c r="M4649" s="44">
        <f>(Sales[[#This Row],[Gross Amount]]-Sales[[#This Row],[Disc. Amt.]])*Sales[[#This Row],[GST %]]</f>
        <v>2841.6959999999999</v>
      </c>
      <c r="N4649" s="161">
        <f>Sales[[#This Row],[Gross Amount]]-Sales[[#This Row],[Disc. Amt.]]+Sales[[#This Row],[GST Amount]]</f>
        <v>18628.896000000001</v>
      </c>
      <c r="O4649" s="158" t="s">
        <v>3566</v>
      </c>
      <c r="P4649" s="158" t="s">
        <v>3562</v>
      </c>
      <c r="Q4649" s="160">
        <f>IF(Sales[[#This Row],[Status]]="Cancelled",0,Sales[[#This Row],[Qty]])</f>
        <v>6</v>
      </c>
      <c r="R4649" s="161">
        <f>IF(Sales[[#This Row],[Status]]="Cancelled",0,Sales[[#This Row],[Total Amount]])</f>
        <v>18628.896000000001</v>
      </c>
      <c r="S4649" s="162">
        <f>SUM(Sales[Net Amount])</f>
        <v>406839287.73200053</v>
      </c>
    </row>
    <row r="4650" spans="1:19" ht="18.75" x14ac:dyDescent="0.25">
      <c r="A4650" s="163" t="s">
        <v>8334</v>
      </c>
      <c r="B4650" s="164">
        <v>46005</v>
      </c>
      <c r="C4650" s="34" t="s">
        <v>818</v>
      </c>
      <c r="D4650" s="53" t="str">
        <f>VLOOKUP(Sales[[#This Row],[Customer ID]],Customer[#All],2,0)</f>
        <v>Rahul Sharma</v>
      </c>
      <c r="E4650" s="34" t="s">
        <v>434</v>
      </c>
      <c r="F4650" s="34" t="str">
        <f>VLOOKUP(Sales[[#This Row],[Product ID]],Product[#All],2,0)</f>
        <v>Logitech Webcam</v>
      </c>
      <c r="G4650" s="53">
        <v>3</v>
      </c>
      <c r="H4650" s="165">
        <f>VLOOKUP(Sales[[#This Row],[Product ID]],Product[#All],7,0)</f>
        <v>7230</v>
      </c>
      <c r="I4650" s="165">
        <f>Sales[[#This Row],[Selling Rate]]*Sales[[#This Row],[Qty]]</f>
        <v>21690</v>
      </c>
      <c r="J4650" s="45">
        <v>0.05</v>
      </c>
      <c r="K4650" s="46">
        <f>Sales[[#This Row],[Gross Amount]]*Sales[[#This Row],[Disc %]]</f>
        <v>1084.5</v>
      </c>
      <c r="L4650" s="43">
        <v>0.18</v>
      </c>
      <c r="M4650" s="46">
        <f>(Sales[[#This Row],[Gross Amount]]-Sales[[#This Row],[Disc. Amt.]])*Sales[[#This Row],[GST %]]</f>
        <v>3708.99</v>
      </c>
      <c r="N4650" s="161">
        <f>Sales[[#This Row],[Gross Amount]]-Sales[[#This Row],[Disc. Amt.]]+Sales[[#This Row],[GST Amount]]</f>
        <v>24314.489999999998</v>
      </c>
      <c r="O4650" s="34" t="s">
        <v>3566</v>
      </c>
      <c r="P4650" s="34" t="s">
        <v>3562</v>
      </c>
      <c r="Q4650" s="165">
        <f>IF(Sales[[#This Row],[Status]]="Cancelled",0,Sales[[#This Row],[Qty]])</f>
        <v>3</v>
      </c>
      <c r="R4650" s="166">
        <f>IF(Sales[[#This Row],[Status]]="Cancelled",0,Sales[[#This Row],[Total Amount]])</f>
        <v>24314.489999999998</v>
      </c>
      <c r="S4650" s="162">
        <f>SUM(Sales[Net Amount])</f>
        <v>406839287.73200053</v>
      </c>
    </row>
    <row r="4651" spans="1:19" ht="18.75" x14ac:dyDescent="0.25">
      <c r="A4651" s="156" t="s">
        <v>8335</v>
      </c>
      <c r="B4651" s="157">
        <v>46005</v>
      </c>
      <c r="C4651" s="158" t="s">
        <v>790</v>
      </c>
      <c r="D4651" s="159" t="str">
        <f>VLOOKUP(Sales[[#This Row],[Customer ID]],Customer[#All],2,0)</f>
        <v>Pooja Gupta</v>
      </c>
      <c r="E4651" s="158" t="s">
        <v>211</v>
      </c>
      <c r="F4651" s="158" t="str">
        <f>VLOOKUP(Sales[[#This Row],[Product ID]],Product[#All],2,0)</f>
        <v>Samsung Ssd</v>
      </c>
      <c r="G4651" s="159">
        <v>5</v>
      </c>
      <c r="H4651" s="160">
        <f>VLOOKUP(Sales[[#This Row],[Product ID]],Product[#All],7,0)</f>
        <v>16100</v>
      </c>
      <c r="I4651" s="160">
        <f>Sales[[#This Row],[Selling Rate]]*Sales[[#This Row],[Qty]]</f>
        <v>80500</v>
      </c>
      <c r="J4651" s="43">
        <v>0.12</v>
      </c>
      <c r="K4651" s="44">
        <f>Sales[[#This Row],[Gross Amount]]*Sales[[#This Row],[Disc %]]</f>
        <v>9660</v>
      </c>
      <c r="L4651" s="43">
        <v>0.18</v>
      </c>
      <c r="M4651" s="44">
        <f>(Sales[[#This Row],[Gross Amount]]-Sales[[#This Row],[Disc. Amt.]])*Sales[[#This Row],[GST %]]</f>
        <v>12751.199999999999</v>
      </c>
      <c r="N4651" s="161">
        <f>Sales[[#This Row],[Gross Amount]]-Sales[[#This Row],[Disc. Amt.]]+Sales[[#This Row],[GST Amount]]</f>
        <v>83591.199999999997</v>
      </c>
      <c r="O4651" s="158" t="s">
        <v>8876</v>
      </c>
      <c r="P4651" s="158" t="s">
        <v>3562</v>
      </c>
      <c r="Q4651" s="160">
        <f>IF(Sales[[#This Row],[Status]]="Cancelled",0,Sales[[#This Row],[Qty]])</f>
        <v>5</v>
      </c>
      <c r="R4651" s="161">
        <f>IF(Sales[[#This Row],[Status]]="Cancelled",0,Sales[[#This Row],[Total Amount]])</f>
        <v>83591.199999999997</v>
      </c>
      <c r="S4651" s="162">
        <f>SUM(Sales[Net Amount])</f>
        <v>406839287.73200053</v>
      </c>
    </row>
    <row r="4652" spans="1:19" ht="18.75" x14ac:dyDescent="0.25">
      <c r="A4652" s="163" t="s">
        <v>8336</v>
      </c>
      <c r="B4652" s="164">
        <v>46005</v>
      </c>
      <c r="C4652" s="34" t="s">
        <v>669</v>
      </c>
      <c r="D4652" s="53" t="str">
        <f>VLOOKUP(Sales[[#This Row],[Customer ID]],Customer[#All],2,0)</f>
        <v>Sahil Kumar</v>
      </c>
      <c r="E4652" s="34" t="s">
        <v>18</v>
      </c>
      <c r="F4652" s="34" t="str">
        <f>VLOOKUP(Sales[[#This Row],[Product ID]],Product[#All],2,0)</f>
        <v>TP-link Bluetooth Adapter</v>
      </c>
      <c r="G4652" s="53">
        <v>2</v>
      </c>
      <c r="H4652" s="165">
        <f>VLOOKUP(Sales[[#This Row],[Product ID]],Product[#All],7,0)</f>
        <v>870</v>
      </c>
      <c r="I4652" s="165">
        <f>Sales[[#This Row],[Selling Rate]]*Sales[[#This Row],[Qty]]</f>
        <v>1740</v>
      </c>
      <c r="J4652" s="45">
        <v>0</v>
      </c>
      <c r="K4652" s="46">
        <f>Sales[[#This Row],[Gross Amount]]*Sales[[#This Row],[Disc %]]</f>
        <v>0</v>
      </c>
      <c r="L4652" s="43">
        <v>0.18</v>
      </c>
      <c r="M4652" s="46">
        <f>(Sales[[#This Row],[Gross Amount]]-Sales[[#This Row],[Disc. Amt.]])*Sales[[#This Row],[GST %]]</f>
        <v>313.2</v>
      </c>
      <c r="N4652" s="161">
        <f>Sales[[#This Row],[Gross Amount]]-Sales[[#This Row],[Disc. Amt.]]+Sales[[#This Row],[GST Amount]]</f>
        <v>2053.1999999999998</v>
      </c>
      <c r="O4652" s="34" t="s">
        <v>3566</v>
      </c>
      <c r="P4652" s="34" t="s">
        <v>3562</v>
      </c>
      <c r="Q4652" s="165">
        <f>IF(Sales[[#This Row],[Status]]="Cancelled",0,Sales[[#This Row],[Qty]])</f>
        <v>2</v>
      </c>
      <c r="R4652" s="166">
        <f>IF(Sales[[#This Row],[Status]]="Cancelled",0,Sales[[#This Row],[Total Amount]])</f>
        <v>2053.1999999999998</v>
      </c>
      <c r="S4652" s="162">
        <f>SUM(Sales[Net Amount])</f>
        <v>406839287.73200053</v>
      </c>
    </row>
    <row r="4653" spans="1:19" ht="18.75" x14ac:dyDescent="0.25">
      <c r="A4653" s="156" t="s">
        <v>8337</v>
      </c>
      <c r="B4653" s="157">
        <v>46005</v>
      </c>
      <c r="C4653" s="158" t="s">
        <v>930</v>
      </c>
      <c r="D4653" s="159" t="str">
        <f>VLOOKUP(Sales[[#This Row],[Customer ID]],Customer[#All],2,0)</f>
        <v>Rakesh Gupta</v>
      </c>
      <c r="E4653" s="158" t="s">
        <v>139</v>
      </c>
      <c r="F4653" s="158" t="str">
        <f>VLOOKUP(Sales[[#This Row],[Product ID]],Product[#All],2,0)</f>
        <v>HP Printer</v>
      </c>
      <c r="G4653" s="159">
        <v>8</v>
      </c>
      <c r="H4653" s="160">
        <f>VLOOKUP(Sales[[#This Row],[Product ID]],Product[#All],7,0)</f>
        <v>25260</v>
      </c>
      <c r="I4653" s="160">
        <f>Sales[[#This Row],[Selling Rate]]*Sales[[#This Row],[Qty]]</f>
        <v>202080</v>
      </c>
      <c r="J4653" s="43">
        <v>0.05</v>
      </c>
      <c r="K4653" s="44">
        <f>Sales[[#This Row],[Gross Amount]]*Sales[[#This Row],[Disc %]]</f>
        <v>10104</v>
      </c>
      <c r="L4653" s="43">
        <v>0.18</v>
      </c>
      <c r="M4653" s="44">
        <f>(Sales[[#This Row],[Gross Amount]]-Sales[[#This Row],[Disc. Amt.]])*Sales[[#This Row],[GST %]]</f>
        <v>34555.68</v>
      </c>
      <c r="N4653" s="161">
        <f>Sales[[#This Row],[Gross Amount]]-Sales[[#This Row],[Disc. Amt.]]+Sales[[#This Row],[GST Amount]]</f>
        <v>226531.68</v>
      </c>
      <c r="O4653" s="158" t="s">
        <v>3569</v>
      </c>
      <c r="P4653" s="158" t="s">
        <v>3562</v>
      </c>
      <c r="Q4653" s="160">
        <f>IF(Sales[[#This Row],[Status]]="Cancelled",0,Sales[[#This Row],[Qty]])</f>
        <v>8</v>
      </c>
      <c r="R4653" s="161">
        <f>IF(Sales[[#This Row],[Status]]="Cancelled",0,Sales[[#This Row],[Total Amount]])</f>
        <v>226531.68</v>
      </c>
      <c r="S4653" s="162">
        <f>SUM(Sales[Net Amount])</f>
        <v>406839287.73200053</v>
      </c>
    </row>
    <row r="4654" spans="1:19" ht="18.75" x14ac:dyDescent="0.25">
      <c r="A4654" s="163" t="s">
        <v>8338</v>
      </c>
      <c r="B4654" s="164">
        <v>46005</v>
      </c>
      <c r="C4654" s="34" t="s">
        <v>820</v>
      </c>
      <c r="D4654" s="53" t="str">
        <f>VLOOKUP(Sales[[#This Row],[Customer ID]],Customer[#All],2,0)</f>
        <v>Sahil Gupta</v>
      </c>
      <c r="E4654" s="34" t="s">
        <v>126</v>
      </c>
      <c r="F4654" s="34" t="str">
        <f>VLOOKUP(Sales[[#This Row],[Product ID]],Product[#All],2,0)</f>
        <v>Epson Printer</v>
      </c>
      <c r="G4654" s="53">
        <v>6</v>
      </c>
      <c r="H4654" s="165">
        <f>VLOOKUP(Sales[[#This Row],[Product ID]],Product[#All],7,0)</f>
        <v>23980</v>
      </c>
      <c r="I4654" s="165">
        <f>Sales[[#This Row],[Selling Rate]]*Sales[[#This Row],[Qty]]</f>
        <v>143880</v>
      </c>
      <c r="J4654" s="45">
        <v>0</v>
      </c>
      <c r="K4654" s="46">
        <f>Sales[[#This Row],[Gross Amount]]*Sales[[#This Row],[Disc %]]</f>
        <v>0</v>
      </c>
      <c r="L4654" s="43">
        <v>0.18</v>
      </c>
      <c r="M4654" s="46">
        <f>(Sales[[#This Row],[Gross Amount]]-Sales[[#This Row],[Disc. Amt.]])*Sales[[#This Row],[GST %]]</f>
        <v>25898.399999999998</v>
      </c>
      <c r="N4654" s="161">
        <f>Sales[[#This Row],[Gross Amount]]-Sales[[#This Row],[Disc. Amt.]]+Sales[[#This Row],[GST Amount]]</f>
        <v>169778.4</v>
      </c>
      <c r="O4654" s="34" t="s">
        <v>3569</v>
      </c>
      <c r="P4654" s="34" t="s">
        <v>3562</v>
      </c>
      <c r="Q4654" s="165">
        <f>IF(Sales[[#This Row],[Status]]="Cancelled",0,Sales[[#This Row],[Qty]])</f>
        <v>6</v>
      </c>
      <c r="R4654" s="166">
        <f>IF(Sales[[#This Row],[Status]]="Cancelled",0,Sales[[#This Row],[Total Amount]])</f>
        <v>169778.4</v>
      </c>
      <c r="S4654" s="162">
        <f>SUM(Sales[Net Amount])</f>
        <v>406839287.73200053</v>
      </c>
    </row>
    <row r="4655" spans="1:19" ht="18.75" x14ac:dyDescent="0.25">
      <c r="A4655" s="156" t="s">
        <v>8339</v>
      </c>
      <c r="B4655" s="157">
        <v>46005</v>
      </c>
      <c r="C4655" s="158" t="s">
        <v>676</v>
      </c>
      <c r="D4655" s="159" t="str">
        <f>VLOOKUP(Sales[[#This Row],[Customer ID]],Customer[#All],2,0)</f>
        <v>Neha Singh</v>
      </c>
      <c r="E4655" s="158" t="s">
        <v>430</v>
      </c>
      <c r="F4655" s="158" t="str">
        <f>VLOOKUP(Sales[[#This Row],[Product ID]],Product[#All],2,0)</f>
        <v>Jbl Speaker</v>
      </c>
      <c r="G4655" s="159">
        <v>5</v>
      </c>
      <c r="H4655" s="160">
        <f>VLOOKUP(Sales[[#This Row],[Product ID]],Product[#All],7,0)</f>
        <v>6890</v>
      </c>
      <c r="I4655" s="160">
        <f>Sales[[#This Row],[Selling Rate]]*Sales[[#This Row],[Qty]]</f>
        <v>34450</v>
      </c>
      <c r="J4655" s="43">
        <v>0.02</v>
      </c>
      <c r="K4655" s="44">
        <f>Sales[[#This Row],[Gross Amount]]*Sales[[#This Row],[Disc %]]</f>
        <v>689</v>
      </c>
      <c r="L4655" s="43">
        <v>0.18</v>
      </c>
      <c r="M4655" s="44">
        <f>(Sales[[#This Row],[Gross Amount]]-Sales[[#This Row],[Disc. Amt.]])*Sales[[#This Row],[GST %]]</f>
        <v>6076.98</v>
      </c>
      <c r="N4655" s="161">
        <f>Sales[[#This Row],[Gross Amount]]-Sales[[#This Row],[Disc. Amt.]]+Sales[[#This Row],[GST Amount]]</f>
        <v>39837.979999999996</v>
      </c>
      <c r="O4655" s="158" t="s">
        <v>8876</v>
      </c>
      <c r="P4655" s="158" t="s">
        <v>3562</v>
      </c>
      <c r="Q4655" s="160">
        <f>IF(Sales[[#This Row],[Status]]="Cancelled",0,Sales[[#This Row],[Qty]])</f>
        <v>5</v>
      </c>
      <c r="R4655" s="161">
        <f>IF(Sales[[#This Row],[Status]]="Cancelled",0,Sales[[#This Row],[Total Amount]])</f>
        <v>39837.979999999996</v>
      </c>
      <c r="S4655" s="162">
        <f>SUM(Sales[Net Amount])</f>
        <v>406839287.73200053</v>
      </c>
    </row>
    <row r="4656" spans="1:19" ht="18.75" x14ac:dyDescent="0.25">
      <c r="A4656" s="163" t="s">
        <v>8340</v>
      </c>
      <c r="B4656" s="164">
        <v>46005</v>
      </c>
      <c r="C4656" s="34" t="s">
        <v>891</v>
      </c>
      <c r="D4656" s="53" t="str">
        <f>VLOOKUP(Sales[[#This Row],[Customer ID]],Customer[#All],2,0)</f>
        <v>Pooja Verma</v>
      </c>
      <c r="E4656" s="34" t="s">
        <v>166</v>
      </c>
      <c r="F4656" s="34" t="str">
        <f>VLOOKUP(Sales[[#This Row],[Product ID]],Product[#All],2,0)</f>
        <v>Canon Printer</v>
      </c>
      <c r="G4656" s="53">
        <v>7</v>
      </c>
      <c r="H4656" s="165">
        <f>VLOOKUP(Sales[[#This Row],[Product ID]],Product[#All],7,0)</f>
        <v>36680</v>
      </c>
      <c r="I4656" s="165">
        <f>Sales[[#This Row],[Selling Rate]]*Sales[[#This Row],[Qty]]</f>
        <v>256760</v>
      </c>
      <c r="J4656" s="45">
        <v>0.1</v>
      </c>
      <c r="K4656" s="46">
        <f>Sales[[#This Row],[Gross Amount]]*Sales[[#This Row],[Disc %]]</f>
        <v>25676</v>
      </c>
      <c r="L4656" s="43">
        <v>0.18</v>
      </c>
      <c r="M4656" s="46">
        <f>(Sales[[#This Row],[Gross Amount]]-Sales[[#This Row],[Disc. Amt.]])*Sales[[#This Row],[GST %]]</f>
        <v>41595.119999999995</v>
      </c>
      <c r="N4656" s="161">
        <f>Sales[[#This Row],[Gross Amount]]-Sales[[#This Row],[Disc. Amt.]]+Sales[[#This Row],[GST Amount]]</f>
        <v>272679.12</v>
      </c>
      <c r="O4656" s="34" t="s">
        <v>3566</v>
      </c>
      <c r="P4656" s="34" t="s">
        <v>3562</v>
      </c>
      <c r="Q4656" s="165">
        <f>IF(Sales[[#This Row],[Status]]="Cancelled",0,Sales[[#This Row],[Qty]])</f>
        <v>7</v>
      </c>
      <c r="R4656" s="166">
        <f>IF(Sales[[#This Row],[Status]]="Cancelled",0,Sales[[#This Row],[Total Amount]])</f>
        <v>272679.12</v>
      </c>
      <c r="S4656" s="162">
        <f>SUM(Sales[Net Amount])</f>
        <v>406839287.73200053</v>
      </c>
    </row>
    <row r="4657" spans="1:19" ht="18.75" x14ac:dyDescent="0.25">
      <c r="A4657" s="156" t="s">
        <v>8341</v>
      </c>
      <c r="B4657" s="157">
        <v>46006</v>
      </c>
      <c r="C4657" s="158" t="s">
        <v>812</v>
      </c>
      <c r="D4657" s="159" t="str">
        <f>VLOOKUP(Sales[[#This Row],[Customer ID]],Customer[#All],2,0)</f>
        <v>Neha Gupta</v>
      </c>
      <c r="E4657" s="158" t="s">
        <v>431</v>
      </c>
      <c r="F4657" s="158" t="str">
        <f>VLOOKUP(Sales[[#This Row],[Product ID]],Product[#All],2,0)</f>
        <v>Canon Printer</v>
      </c>
      <c r="G4657" s="159">
        <v>7</v>
      </c>
      <c r="H4657" s="160">
        <f>VLOOKUP(Sales[[#This Row],[Product ID]],Product[#All],7,0)</f>
        <v>17260</v>
      </c>
      <c r="I4657" s="160">
        <f>Sales[[#This Row],[Selling Rate]]*Sales[[#This Row],[Qty]]</f>
        <v>120820</v>
      </c>
      <c r="J4657" s="43">
        <v>0</v>
      </c>
      <c r="K4657" s="44">
        <f>Sales[[#This Row],[Gross Amount]]*Sales[[#This Row],[Disc %]]</f>
        <v>0</v>
      </c>
      <c r="L4657" s="43">
        <v>0.18</v>
      </c>
      <c r="M4657" s="44">
        <f>(Sales[[#This Row],[Gross Amount]]-Sales[[#This Row],[Disc. Amt.]])*Sales[[#This Row],[GST %]]</f>
        <v>21747.599999999999</v>
      </c>
      <c r="N4657" s="161">
        <f>Sales[[#This Row],[Gross Amount]]-Sales[[#This Row],[Disc. Amt.]]+Sales[[#This Row],[GST Amount]]</f>
        <v>142567.6</v>
      </c>
      <c r="O4657" s="158" t="s">
        <v>8876</v>
      </c>
      <c r="P4657" s="158" t="s">
        <v>3562</v>
      </c>
      <c r="Q4657" s="160">
        <f>IF(Sales[[#This Row],[Status]]="Cancelled",0,Sales[[#This Row],[Qty]])</f>
        <v>7</v>
      </c>
      <c r="R4657" s="161">
        <f>IF(Sales[[#This Row],[Status]]="Cancelled",0,Sales[[#This Row],[Total Amount]])</f>
        <v>142567.6</v>
      </c>
      <c r="S4657" s="162">
        <f>SUM(Sales[Net Amount])</f>
        <v>406839287.73200053</v>
      </c>
    </row>
    <row r="4658" spans="1:19" ht="18.75" x14ac:dyDescent="0.25">
      <c r="A4658" s="163" t="s">
        <v>8342</v>
      </c>
      <c r="B4658" s="164">
        <v>46006</v>
      </c>
      <c r="C4658" s="34" t="s">
        <v>928</v>
      </c>
      <c r="D4658" s="53" t="str">
        <f>VLOOKUP(Sales[[#This Row],[Customer ID]],Customer[#All],2,0)</f>
        <v>Rahul Kumar</v>
      </c>
      <c r="E4658" s="34" t="s">
        <v>517</v>
      </c>
      <c r="F4658" s="34" t="str">
        <f>VLOOKUP(Sales[[#This Row],[Product ID]],Product[#All],2,0)</f>
        <v>Dell Laptop</v>
      </c>
      <c r="G4658" s="53">
        <v>3</v>
      </c>
      <c r="H4658" s="165">
        <f>VLOOKUP(Sales[[#This Row],[Product ID]],Product[#All],7,0)</f>
        <v>81860</v>
      </c>
      <c r="I4658" s="165">
        <f>Sales[[#This Row],[Selling Rate]]*Sales[[#This Row],[Qty]]</f>
        <v>245580</v>
      </c>
      <c r="J4658" s="45">
        <v>0.05</v>
      </c>
      <c r="K4658" s="46">
        <f>Sales[[#This Row],[Gross Amount]]*Sales[[#This Row],[Disc %]]</f>
        <v>12279</v>
      </c>
      <c r="L4658" s="43">
        <v>0.18</v>
      </c>
      <c r="M4658" s="46">
        <f>(Sales[[#This Row],[Gross Amount]]-Sales[[#This Row],[Disc. Amt.]])*Sales[[#This Row],[GST %]]</f>
        <v>41994.18</v>
      </c>
      <c r="N4658" s="161">
        <f>Sales[[#This Row],[Gross Amount]]-Sales[[#This Row],[Disc. Amt.]]+Sales[[#This Row],[GST Amount]]</f>
        <v>275295.18</v>
      </c>
      <c r="O4658" s="34" t="s">
        <v>3561</v>
      </c>
      <c r="P4658" s="34" t="s">
        <v>3562</v>
      </c>
      <c r="Q4658" s="165">
        <f>IF(Sales[[#This Row],[Status]]="Cancelled",0,Sales[[#This Row],[Qty]])</f>
        <v>3</v>
      </c>
      <c r="R4658" s="166">
        <f>IF(Sales[[#This Row],[Status]]="Cancelled",0,Sales[[#This Row],[Total Amount]])</f>
        <v>275295.18</v>
      </c>
      <c r="S4658" s="162">
        <f>SUM(Sales[Net Amount])</f>
        <v>406839287.73200053</v>
      </c>
    </row>
    <row r="4659" spans="1:19" ht="18.75" x14ac:dyDescent="0.25">
      <c r="A4659" s="156" t="s">
        <v>8343</v>
      </c>
      <c r="B4659" s="157">
        <v>46006</v>
      </c>
      <c r="C4659" s="158" t="s">
        <v>780</v>
      </c>
      <c r="D4659" s="159" t="str">
        <f>VLOOKUP(Sales[[#This Row],[Customer ID]],Customer[#All],2,0)</f>
        <v>Sahil Gupta</v>
      </c>
      <c r="E4659" s="158" t="s">
        <v>488</v>
      </c>
      <c r="F4659" s="158" t="str">
        <f>VLOOKUP(Sales[[#This Row],[Product ID]],Product[#All],2,0)</f>
        <v>Samsung Monitor</v>
      </c>
      <c r="G4659" s="159">
        <v>6</v>
      </c>
      <c r="H4659" s="160">
        <f>VLOOKUP(Sales[[#This Row],[Product ID]],Product[#All],7,0)</f>
        <v>32720</v>
      </c>
      <c r="I4659" s="160">
        <f>Sales[[#This Row],[Selling Rate]]*Sales[[#This Row],[Qty]]</f>
        <v>196320</v>
      </c>
      <c r="J4659" s="43">
        <v>0.15</v>
      </c>
      <c r="K4659" s="44">
        <f>Sales[[#This Row],[Gross Amount]]*Sales[[#This Row],[Disc %]]</f>
        <v>29448</v>
      </c>
      <c r="L4659" s="43">
        <v>0.18</v>
      </c>
      <c r="M4659" s="44">
        <f>(Sales[[#This Row],[Gross Amount]]-Sales[[#This Row],[Disc. Amt.]])*Sales[[#This Row],[GST %]]</f>
        <v>30036.959999999999</v>
      </c>
      <c r="N4659" s="161">
        <f>Sales[[#This Row],[Gross Amount]]-Sales[[#This Row],[Disc. Amt.]]+Sales[[#This Row],[GST Amount]]</f>
        <v>196908.96</v>
      </c>
      <c r="O4659" s="158" t="s">
        <v>3569</v>
      </c>
      <c r="P4659" s="158" t="s">
        <v>3562</v>
      </c>
      <c r="Q4659" s="160">
        <f>IF(Sales[[#This Row],[Status]]="Cancelled",0,Sales[[#This Row],[Qty]])</f>
        <v>6</v>
      </c>
      <c r="R4659" s="161">
        <f>IF(Sales[[#This Row],[Status]]="Cancelled",0,Sales[[#This Row],[Total Amount]])</f>
        <v>196908.96</v>
      </c>
      <c r="S4659" s="162">
        <f>SUM(Sales[Net Amount])</f>
        <v>406839287.73200053</v>
      </c>
    </row>
    <row r="4660" spans="1:19" ht="18.75" x14ac:dyDescent="0.25">
      <c r="A4660" s="163" t="s">
        <v>8344</v>
      </c>
      <c r="B4660" s="164">
        <v>46006</v>
      </c>
      <c r="C4660" s="34" t="s">
        <v>687</v>
      </c>
      <c r="D4660" s="53" t="str">
        <f>VLOOKUP(Sales[[#This Row],[Customer ID]],Customer[#All],2,0)</f>
        <v>Rahul Verma</v>
      </c>
      <c r="E4660" s="34" t="s">
        <v>50</v>
      </c>
      <c r="F4660" s="34" t="str">
        <f>VLOOKUP(Sales[[#This Row],[Product ID]],Product[#All],2,0)</f>
        <v>Lg Monitor</v>
      </c>
      <c r="G4660" s="53">
        <v>6</v>
      </c>
      <c r="H4660" s="165">
        <f>VLOOKUP(Sales[[#This Row],[Product ID]],Product[#All],7,0)</f>
        <v>35670</v>
      </c>
      <c r="I4660" s="165">
        <f>Sales[[#This Row],[Selling Rate]]*Sales[[#This Row],[Qty]]</f>
        <v>214020</v>
      </c>
      <c r="J4660" s="45">
        <v>0.1</v>
      </c>
      <c r="K4660" s="46">
        <f>Sales[[#This Row],[Gross Amount]]*Sales[[#This Row],[Disc %]]</f>
        <v>21402</v>
      </c>
      <c r="L4660" s="43">
        <v>0.18</v>
      </c>
      <c r="M4660" s="46">
        <f>(Sales[[#This Row],[Gross Amount]]-Sales[[#This Row],[Disc. Amt.]])*Sales[[#This Row],[GST %]]</f>
        <v>34671.24</v>
      </c>
      <c r="N4660" s="161">
        <f>Sales[[#This Row],[Gross Amount]]-Sales[[#This Row],[Disc. Amt.]]+Sales[[#This Row],[GST Amount]]</f>
        <v>227289.24</v>
      </c>
      <c r="O4660" s="34" t="s">
        <v>3561</v>
      </c>
      <c r="P4660" s="34" t="s">
        <v>3562</v>
      </c>
      <c r="Q4660" s="165">
        <f>IF(Sales[[#This Row],[Status]]="Cancelled",0,Sales[[#This Row],[Qty]])</f>
        <v>6</v>
      </c>
      <c r="R4660" s="166">
        <f>IF(Sales[[#This Row],[Status]]="Cancelled",0,Sales[[#This Row],[Total Amount]])</f>
        <v>227289.24</v>
      </c>
      <c r="S4660" s="162">
        <f>SUM(Sales[Net Amount])</f>
        <v>406839287.73200053</v>
      </c>
    </row>
    <row r="4661" spans="1:19" ht="18.75" x14ac:dyDescent="0.25">
      <c r="A4661" s="156" t="s">
        <v>8345</v>
      </c>
      <c r="B4661" s="157">
        <v>46006</v>
      </c>
      <c r="C4661" s="158" t="s">
        <v>918</v>
      </c>
      <c r="D4661" s="159" t="str">
        <f>VLOOKUP(Sales[[#This Row],[Customer ID]],Customer[#All],2,0)</f>
        <v>Pooja Patel</v>
      </c>
      <c r="E4661" s="158" t="s">
        <v>179</v>
      </c>
      <c r="F4661" s="158" t="str">
        <f>VLOOKUP(Sales[[#This Row],[Product ID]],Product[#All],2,0)</f>
        <v>TP-link Wi-Fi Adapter</v>
      </c>
      <c r="G4661" s="159">
        <v>6</v>
      </c>
      <c r="H4661" s="160">
        <f>VLOOKUP(Sales[[#This Row],[Product ID]],Product[#All],7,0)</f>
        <v>1490</v>
      </c>
      <c r="I4661" s="160">
        <f>Sales[[#This Row],[Selling Rate]]*Sales[[#This Row],[Qty]]</f>
        <v>8940</v>
      </c>
      <c r="J4661" s="43">
        <v>0</v>
      </c>
      <c r="K4661" s="44">
        <f>Sales[[#This Row],[Gross Amount]]*Sales[[#This Row],[Disc %]]</f>
        <v>0</v>
      </c>
      <c r="L4661" s="43">
        <v>0.18</v>
      </c>
      <c r="M4661" s="44">
        <f>(Sales[[#This Row],[Gross Amount]]-Sales[[#This Row],[Disc. Amt.]])*Sales[[#This Row],[GST %]]</f>
        <v>1609.2</v>
      </c>
      <c r="N4661" s="161">
        <f>Sales[[#This Row],[Gross Amount]]-Sales[[#This Row],[Disc. Amt.]]+Sales[[#This Row],[GST Amount]]</f>
        <v>10549.2</v>
      </c>
      <c r="O4661" s="158" t="s">
        <v>8876</v>
      </c>
      <c r="P4661" s="158" t="s">
        <v>3562</v>
      </c>
      <c r="Q4661" s="160">
        <f>IF(Sales[[#This Row],[Status]]="Cancelled",0,Sales[[#This Row],[Qty]])</f>
        <v>6</v>
      </c>
      <c r="R4661" s="161">
        <f>IF(Sales[[#This Row],[Status]]="Cancelled",0,Sales[[#This Row],[Total Amount]])</f>
        <v>10549.2</v>
      </c>
      <c r="S4661" s="162">
        <f>SUM(Sales[Net Amount])</f>
        <v>406839287.73200053</v>
      </c>
    </row>
    <row r="4662" spans="1:19" ht="18.75" x14ac:dyDescent="0.25">
      <c r="A4662" s="163" t="s">
        <v>8346</v>
      </c>
      <c r="B4662" s="164">
        <v>46006</v>
      </c>
      <c r="C4662" s="34" t="s">
        <v>851</v>
      </c>
      <c r="D4662" s="53" t="str">
        <f>VLOOKUP(Sales[[#This Row],[Customer ID]],Customer[#All],2,0)</f>
        <v>Pooja Singh</v>
      </c>
      <c r="E4662" s="34" t="s">
        <v>416</v>
      </c>
      <c r="F4662" s="34" t="str">
        <f>VLOOKUP(Sales[[#This Row],[Product ID]],Product[#All],2,0)</f>
        <v>Portronics USB Cable</v>
      </c>
      <c r="G4662" s="53">
        <v>3</v>
      </c>
      <c r="H4662" s="165">
        <f>VLOOKUP(Sales[[#This Row],[Product ID]],Product[#All],7,0)</f>
        <v>960</v>
      </c>
      <c r="I4662" s="165">
        <f>Sales[[#This Row],[Selling Rate]]*Sales[[#This Row],[Qty]]</f>
        <v>2880</v>
      </c>
      <c r="J4662" s="45">
        <v>0.05</v>
      </c>
      <c r="K4662" s="46">
        <f>Sales[[#This Row],[Gross Amount]]*Sales[[#This Row],[Disc %]]</f>
        <v>144</v>
      </c>
      <c r="L4662" s="43">
        <v>0.18</v>
      </c>
      <c r="M4662" s="46">
        <f>(Sales[[#This Row],[Gross Amount]]-Sales[[#This Row],[Disc. Amt.]])*Sales[[#This Row],[GST %]]</f>
        <v>492.47999999999996</v>
      </c>
      <c r="N4662" s="161">
        <f>Sales[[#This Row],[Gross Amount]]-Sales[[#This Row],[Disc. Amt.]]+Sales[[#This Row],[GST Amount]]</f>
        <v>3228.48</v>
      </c>
      <c r="O4662" s="34" t="s">
        <v>3569</v>
      </c>
      <c r="P4662" s="34" t="s">
        <v>3562</v>
      </c>
      <c r="Q4662" s="165">
        <f>IF(Sales[[#This Row],[Status]]="Cancelled",0,Sales[[#This Row],[Qty]])</f>
        <v>3</v>
      </c>
      <c r="R4662" s="166">
        <f>IF(Sales[[#This Row],[Status]]="Cancelled",0,Sales[[#This Row],[Total Amount]])</f>
        <v>3228.48</v>
      </c>
      <c r="S4662" s="162">
        <f>SUM(Sales[Net Amount])</f>
        <v>406839287.73200053</v>
      </c>
    </row>
    <row r="4663" spans="1:19" ht="18.75" x14ac:dyDescent="0.25">
      <c r="A4663" s="156" t="s">
        <v>8347</v>
      </c>
      <c r="B4663" s="157">
        <v>46006</v>
      </c>
      <c r="C4663" s="158" t="s">
        <v>802</v>
      </c>
      <c r="D4663" s="159" t="str">
        <f>VLOOKUP(Sales[[#This Row],[Customer ID]],Customer[#All],2,0)</f>
        <v>Rakesh Patel</v>
      </c>
      <c r="E4663" s="158" t="s">
        <v>505</v>
      </c>
      <c r="F4663" s="158" t="str">
        <f>VLOOKUP(Sales[[#This Row],[Product ID]],Product[#All],2,0)</f>
        <v>Dell Monitor</v>
      </c>
      <c r="G4663" s="159">
        <v>4</v>
      </c>
      <c r="H4663" s="160">
        <f>VLOOKUP(Sales[[#This Row],[Product ID]],Product[#All],7,0)</f>
        <v>12790</v>
      </c>
      <c r="I4663" s="160">
        <f>Sales[[#This Row],[Selling Rate]]*Sales[[#This Row],[Qty]]</f>
        <v>51160</v>
      </c>
      <c r="J4663" s="43">
        <v>0</v>
      </c>
      <c r="K4663" s="44">
        <f>Sales[[#This Row],[Gross Amount]]*Sales[[#This Row],[Disc %]]</f>
        <v>0</v>
      </c>
      <c r="L4663" s="43">
        <v>0.18</v>
      </c>
      <c r="M4663" s="44">
        <f>(Sales[[#This Row],[Gross Amount]]-Sales[[#This Row],[Disc. Amt.]])*Sales[[#This Row],[GST %]]</f>
        <v>9208.7999999999993</v>
      </c>
      <c r="N4663" s="161">
        <f>Sales[[#This Row],[Gross Amount]]-Sales[[#This Row],[Disc. Amt.]]+Sales[[#This Row],[GST Amount]]</f>
        <v>60368.800000000003</v>
      </c>
      <c r="O4663" s="158" t="s">
        <v>3561</v>
      </c>
      <c r="P4663" s="158" t="s">
        <v>3562</v>
      </c>
      <c r="Q4663" s="160">
        <f>IF(Sales[[#This Row],[Status]]="Cancelled",0,Sales[[#This Row],[Qty]])</f>
        <v>4</v>
      </c>
      <c r="R4663" s="161">
        <f>IF(Sales[[#This Row],[Status]]="Cancelled",0,Sales[[#This Row],[Total Amount]])</f>
        <v>60368.800000000003</v>
      </c>
      <c r="S4663" s="162">
        <f>SUM(Sales[Net Amount])</f>
        <v>406839287.73200053</v>
      </c>
    </row>
    <row r="4664" spans="1:19" ht="18.75" x14ac:dyDescent="0.25">
      <c r="A4664" s="163" t="s">
        <v>8348</v>
      </c>
      <c r="B4664" s="164">
        <v>46006</v>
      </c>
      <c r="C4664" s="34" t="s">
        <v>840</v>
      </c>
      <c r="D4664" s="53" t="str">
        <f>VLOOKUP(Sales[[#This Row],[Customer ID]],Customer[#All],2,0)</f>
        <v>Rakesh Verma</v>
      </c>
      <c r="E4664" s="34" t="s">
        <v>128</v>
      </c>
      <c r="F4664" s="34" t="str">
        <f>VLOOKUP(Sales[[#This Row],[Product ID]],Product[#All],2,0)</f>
        <v>American TouristerLaptopBag</v>
      </c>
      <c r="G4664" s="53">
        <v>4</v>
      </c>
      <c r="H4664" s="165">
        <f>VLOOKUP(Sales[[#This Row],[Product ID]],Product[#All],7,0)</f>
        <v>2990</v>
      </c>
      <c r="I4664" s="165">
        <f>Sales[[#This Row],[Selling Rate]]*Sales[[#This Row],[Qty]]</f>
        <v>11960</v>
      </c>
      <c r="J4664" s="45">
        <v>0.02</v>
      </c>
      <c r="K4664" s="46">
        <f>Sales[[#This Row],[Gross Amount]]*Sales[[#This Row],[Disc %]]</f>
        <v>239.20000000000002</v>
      </c>
      <c r="L4664" s="43">
        <v>0.18</v>
      </c>
      <c r="M4664" s="46">
        <f>(Sales[[#This Row],[Gross Amount]]-Sales[[#This Row],[Disc. Amt.]])*Sales[[#This Row],[GST %]]</f>
        <v>2109.7439999999997</v>
      </c>
      <c r="N4664" s="161">
        <f>Sales[[#This Row],[Gross Amount]]-Sales[[#This Row],[Disc. Amt.]]+Sales[[#This Row],[GST Amount]]</f>
        <v>13830.543999999998</v>
      </c>
      <c r="O4664" s="34" t="s">
        <v>8876</v>
      </c>
      <c r="P4664" s="34" t="s">
        <v>3562</v>
      </c>
      <c r="Q4664" s="165">
        <f>IF(Sales[[#This Row],[Status]]="Cancelled",0,Sales[[#This Row],[Qty]])</f>
        <v>4</v>
      </c>
      <c r="R4664" s="166">
        <f>IF(Sales[[#This Row],[Status]]="Cancelled",0,Sales[[#This Row],[Total Amount]])</f>
        <v>13830.543999999998</v>
      </c>
      <c r="S4664" s="162">
        <f>SUM(Sales[Net Amount])</f>
        <v>406839287.73200053</v>
      </c>
    </row>
    <row r="4665" spans="1:19" ht="18.75" x14ac:dyDescent="0.25">
      <c r="A4665" s="156" t="s">
        <v>8349</v>
      </c>
      <c r="B4665" s="157">
        <v>46006</v>
      </c>
      <c r="C4665" s="158" t="s">
        <v>933</v>
      </c>
      <c r="D4665" s="159" t="str">
        <f>VLOOKUP(Sales[[#This Row],[Customer ID]],Customer[#All],2,0)</f>
        <v>Vikas Verma</v>
      </c>
      <c r="E4665" s="158" t="s">
        <v>241</v>
      </c>
      <c r="F4665" s="158" t="str">
        <f>VLOOKUP(Sales[[#This Row],[Product ID]],Product[#All],2,0)</f>
        <v>Portronics USB Cable</v>
      </c>
      <c r="G4665" s="159">
        <v>4</v>
      </c>
      <c r="H4665" s="160">
        <f>VLOOKUP(Sales[[#This Row],[Product ID]],Product[#All],7,0)</f>
        <v>630</v>
      </c>
      <c r="I4665" s="160">
        <f>Sales[[#This Row],[Selling Rate]]*Sales[[#This Row],[Qty]]</f>
        <v>2520</v>
      </c>
      <c r="J4665" s="43">
        <v>0</v>
      </c>
      <c r="K4665" s="44">
        <f>Sales[[#This Row],[Gross Amount]]*Sales[[#This Row],[Disc %]]</f>
        <v>0</v>
      </c>
      <c r="L4665" s="43">
        <v>0.18</v>
      </c>
      <c r="M4665" s="44">
        <f>(Sales[[#This Row],[Gross Amount]]-Sales[[#This Row],[Disc. Amt.]])*Sales[[#This Row],[GST %]]</f>
        <v>453.59999999999997</v>
      </c>
      <c r="N4665" s="161">
        <f>Sales[[#This Row],[Gross Amount]]-Sales[[#This Row],[Disc. Amt.]]+Sales[[#This Row],[GST Amount]]</f>
        <v>2973.6</v>
      </c>
      <c r="O4665" s="158" t="s">
        <v>3561</v>
      </c>
      <c r="P4665" s="158" t="s">
        <v>3562</v>
      </c>
      <c r="Q4665" s="160">
        <f>IF(Sales[[#This Row],[Status]]="Cancelled",0,Sales[[#This Row],[Qty]])</f>
        <v>4</v>
      </c>
      <c r="R4665" s="161">
        <f>IF(Sales[[#This Row],[Status]]="Cancelled",0,Sales[[#This Row],[Total Amount]])</f>
        <v>2973.6</v>
      </c>
      <c r="S4665" s="162">
        <f>SUM(Sales[Net Amount])</f>
        <v>406839287.73200053</v>
      </c>
    </row>
    <row r="4666" spans="1:19" ht="18.75" x14ac:dyDescent="0.25">
      <c r="A4666" s="163" t="s">
        <v>8350</v>
      </c>
      <c r="B4666" s="164">
        <v>46006</v>
      </c>
      <c r="C4666" s="34" t="s">
        <v>739</v>
      </c>
      <c r="D4666" s="53" t="str">
        <f>VLOOKUP(Sales[[#This Row],[Customer ID]],Customer[#All],2,0)</f>
        <v>Ankit Singh</v>
      </c>
      <c r="E4666" s="34" t="s">
        <v>76</v>
      </c>
      <c r="F4666" s="34" t="str">
        <f>VLOOKUP(Sales[[#This Row],[Product ID]],Product[#All],2,0)</f>
        <v>Dell Keyboard</v>
      </c>
      <c r="G4666" s="53">
        <v>8</v>
      </c>
      <c r="H4666" s="165">
        <f>VLOOKUP(Sales[[#This Row],[Product ID]],Product[#All],7,0)</f>
        <v>1740</v>
      </c>
      <c r="I4666" s="165">
        <f>Sales[[#This Row],[Selling Rate]]*Sales[[#This Row],[Qty]]</f>
        <v>13920</v>
      </c>
      <c r="J4666" s="45">
        <v>0.02</v>
      </c>
      <c r="K4666" s="46">
        <f>Sales[[#This Row],[Gross Amount]]*Sales[[#This Row],[Disc %]]</f>
        <v>278.40000000000003</v>
      </c>
      <c r="L4666" s="43">
        <v>0.18</v>
      </c>
      <c r="M4666" s="46">
        <f>(Sales[[#This Row],[Gross Amount]]-Sales[[#This Row],[Disc. Amt.]])*Sales[[#This Row],[GST %]]</f>
        <v>2455.4879999999998</v>
      </c>
      <c r="N4666" s="161">
        <f>Sales[[#This Row],[Gross Amount]]-Sales[[#This Row],[Disc. Amt.]]+Sales[[#This Row],[GST Amount]]</f>
        <v>16097.088</v>
      </c>
      <c r="O4666" s="34" t="s">
        <v>3566</v>
      </c>
      <c r="P4666" s="34" t="s">
        <v>3562</v>
      </c>
      <c r="Q4666" s="165">
        <f>IF(Sales[[#This Row],[Status]]="Cancelled",0,Sales[[#This Row],[Qty]])</f>
        <v>8</v>
      </c>
      <c r="R4666" s="166">
        <f>IF(Sales[[#This Row],[Status]]="Cancelled",0,Sales[[#This Row],[Total Amount]])</f>
        <v>16097.088</v>
      </c>
      <c r="S4666" s="162">
        <f>SUM(Sales[Net Amount])</f>
        <v>406839287.73200053</v>
      </c>
    </row>
    <row r="4667" spans="1:19" ht="18.75" x14ac:dyDescent="0.25">
      <c r="A4667" s="156" t="s">
        <v>8351</v>
      </c>
      <c r="B4667" s="157">
        <v>46006</v>
      </c>
      <c r="C4667" s="158" t="s">
        <v>911</v>
      </c>
      <c r="D4667" s="159" t="str">
        <f>VLOOKUP(Sales[[#This Row],[Customer ID]],Customer[#All],2,0)</f>
        <v>Amit Kumar</v>
      </c>
      <c r="E4667" s="158" t="s">
        <v>444</v>
      </c>
      <c r="F4667" s="158" t="str">
        <f>VLOOKUP(Sales[[#This Row],[Product ID]],Product[#All],2,0)</f>
        <v>Dell Desktop</v>
      </c>
      <c r="G4667" s="159">
        <v>1</v>
      </c>
      <c r="H4667" s="160">
        <f>VLOOKUP(Sales[[#This Row],[Product ID]],Product[#All],7,0)</f>
        <v>55730</v>
      </c>
      <c r="I4667" s="160">
        <f>Sales[[#This Row],[Selling Rate]]*Sales[[#This Row],[Qty]]</f>
        <v>55730</v>
      </c>
      <c r="J4667" s="43">
        <v>0.12</v>
      </c>
      <c r="K4667" s="44">
        <f>Sales[[#This Row],[Gross Amount]]*Sales[[#This Row],[Disc %]]</f>
        <v>6687.5999999999995</v>
      </c>
      <c r="L4667" s="43">
        <v>0.18</v>
      </c>
      <c r="M4667" s="44">
        <f>(Sales[[#This Row],[Gross Amount]]-Sales[[#This Row],[Disc. Amt.]])*Sales[[#This Row],[GST %]]</f>
        <v>8827.6319999999996</v>
      </c>
      <c r="N4667" s="161">
        <f>Sales[[#This Row],[Gross Amount]]-Sales[[#This Row],[Disc. Amt.]]+Sales[[#This Row],[GST Amount]]</f>
        <v>57870.031999999999</v>
      </c>
      <c r="O4667" s="158" t="s">
        <v>8876</v>
      </c>
      <c r="P4667" s="158" t="s">
        <v>3562</v>
      </c>
      <c r="Q4667" s="160">
        <f>IF(Sales[[#This Row],[Status]]="Cancelled",0,Sales[[#This Row],[Qty]])</f>
        <v>1</v>
      </c>
      <c r="R4667" s="161">
        <f>IF(Sales[[#This Row],[Status]]="Cancelled",0,Sales[[#This Row],[Total Amount]])</f>
        <v>57870.031999999999</v>
      </c>
      <c r="S4667" s="162">
        <f>SUM(Sales[Net Amount])</f>
        <v>406839287.73200053</v>
      </c>
    </row>
    <row r="4668" spans="1:19" ht="18.75" x14ac:dyDescent="0.25">
      <c r="A4668" s="163" t="s">
        <v>8352</v>
      </c>
      <c r="B4668" s="164">
        <v>46006</v>
      </c>
      <c r="C4668" s="34" t="s">
        <v>795</v>
      </c>
      <c r="D4668" s="53" t="str">
        <f>VLOOKUP(Sales[[#This Row],[Customer ID]],Customer[#All],2,0)</f>
        <v>Sahil Gupta</v>
      </c>
      <c r="E4668" s="34" t="s">
        <v>318</v>
      </c>
      <c r="F4668" s="34" t="str">
        <f>VLOOKUP(Sales[[#This Row],[Product ID]],Product[#All],2,0)</f>
        <v>HP Printer</v>
      </c>
      <c r="G4668" s="53">
        <v>4</v>
      </c>
      <c r="H4668" s="165">
        <f>VLOOKUP(Sales[[#This Row],[Product ID]],Product[#All],7,0)</f>
        <v>30590</v>
      </c>
      <c r="I4668" s="165">
        <f>Sales[[#This Row],[Selling Rate]]*Sales[[#This Row],[Qty]]</f>
        <v>122360</v>
      </c>
      <c r="J4668" s="45">
        <v>0.12</v>
      </c>
      <c r="K4668" s="46">
        <f>Sales[[#This Row],[Gross Amount]]*Sales[[#This Row],[Disc %]]</f>
        <v>14683.199999999999</v>
      </c>
      <c r="L4668" s="43">
        <v>0.18</v>
      </c>
      <c r="M4668" s="46">
        <f>(Sales[[#This Row],[Gross Amount]]-Sales[[#This Row],[Disc. Amt.]])*Sales[[#This Row],[GST %]]</f>
        <v>19381.824000000001</v>
      </c>
      <c r="N4668" s="161">
        <f>Sales[[#This Row],[Gross Amount]]-Sales[[#This Row],[Disc. Amt.]]+Sales[[#This Row],[GST Amount]]</f>
        <v>127058.62400000001</v>
      </c>
      <c r="O4668" s="34" t="s">
        <v>3569</v>
      </c>
      <c r="P4668" s="34" t="s">
        <v>3562</v>
      </c>
      <c r="Q4668" s="165">
        <f>IF(Sales[[#This Row],[Status]]="Cancelled",0,Sales[[#This Row],[Qty]])</f>
        <v>4</v>
      </c>
      <c r="R4668" s="166">
        <f>IF(Sales[[#This Row],[Status]]="Cancelled",0,Sales[[#This Row],[Total Amount]])</f>
        <v>127058.62400000001</v>
      </c>
      <c r="S4668" s="162">
        <f>SUM(Sales[Net Amount])</f>
        <v>406839287.73200053</v>
      </c>
    </row>
    <row r="4669" spans="1:19" ht="18.75" x14ac:dyDescent="0.25">
      <c r="A4669" s="156" t="s">
        <v>8353</v>
      </c>
      <c r="B4669" s="157">
        <v>46006</v>
      </c>
      <c r="C4669" s="158" t="s">
        <v>671</v>
      </c>
      <c r="D4669" s="159" t="str">
        <f>VLOOKUP(Sales[[#This Row],[Customer ID]],Customer[#All],2,0)</f>
        <v>Sahil Patel</v>
      </c>
      <c r="E4669" s="158" t="s">
        <v>357</v>
      </c>
      <c r="F4669" s="158" t="str">
        <f>VLOOKUP(Sales[[#This Row],[Product ID]],Product[#All],2,0)</f>
        <v>Samsung Ssd</v>
      </c>
      <c r="G4669" s="159">
        <v>1</v>
      </c>
      <c r="H4669" s="160">
        <f>VLOOKUP(Sales[[#This Row],[Product ID]],Product[#All],7,0)</f>
        <v>9070</v>
      </c>
      <c r="I4669" s="160">
        <f>Sales[[#This Row],[Selling Rate]]*Sales[[#This Row],[Qty]]</f>
        <v>9070</v>
      </c>
      <c r="J4669" s="43">
        <v>0.02</v>
      </c>
      <c r="K4669" s="44">
        <f>Sales[[#This Row],[Gross Amount]]*Sales[[#This Row],[Disc %]]</f>
        <v>181.4</v>
      </c>
      <c r="L4669" s="43">
        <v>0.18</v>
      </c>
      <c r="M4669" s="44">
        <f>(Sales[[#This Row],[Gross Amount]]-Sales[[#This Row],[Disc. Amt.]])*Sales[[#This Row],[GST %]]</f>
        <v>1599.9480000000001</v>
      </c>
      <c r="N4669" s="161">
        <f>Sales[[#This Row],[Gross Amount]]-Sales[[#This Row],[Disc. Amt.]]+Sales[[#This Row],[GST Amount]]</f>
        <v>10488.548000000001</v>
      </c>
      <c r="O4669" s="158" t="s">
        <v>3561</v>
      </c>
      <c r="P4669" s="158" t="s">
        <v>3562</v>
      </c>
      <c r="Q4669" s="160">
        <f>IF(Sales[[#This Row],[Status]]="Cancelled",0,Sales[[#This Row],[Qty]])</f>
        <v>1</v>
      </c>
      <c r="R4669" s="161">
        <f>IF(Sales[[#This Row],[Status]]="Cancelled",0,Sales[[#This Row],[Total Amount]])</f>
        <v>10488.548000000001</v>
      </c>
      <c r="S4669" s="162">
        <f>SUM(Sales[Net Amount])</f>
        <v>406839287.73200053</v>
      </c>
    </row>
    <row r="4670" spans="1:19" ht="18.75" x14ac:dyDescent="0.25">
      <c r="A4670" s="163" t="s">
        <v>8354</v>
      </c>
      <c r="B4670" s="164">
        <v>46006</v>
      </c>
      <c r="C4670" s="34" t="s">
        <v>876</v>
      </c>
      <c r="D4670" s="53" t="str">
        <f>VLOOKUP(Sales[[#This Row],[Customer ID]],Customer[#All],2,0)</f>
        <v>Sahil Verma</v>
      </c>
      <c r="E4670" s="34" t="s">
        <v>404</v>
      </c>
      <c r="F4670" s="34" t="str">
        <f>VLOOKUP(Sales[[#This Row],[Product ID]],Product[#All],2,0)</f>
        <v>Dell Keyboard</v>
      </c>
      <c r="G4670" s="53">
        <v>1</v>
      </c>
      <c r="H4670" s="165">
        <f>VLOOKUP(Sales[[#This Row],[Product ID]],Product[#All],7,0)</f>
        <v>3410</v>
      </c>
      <c r="I4670" s="165">
        <f>Sales[[#This Row],[Selling Rate]]*Sales[[#This Row],[Qty]]</f>
        <v>3410</v>
      </c>
      <c r="J4670" s="45">
        <v>0</v>
      </c>
      <c r="K4670" s="46">
        <f>Sales[[#This Row],[Gross Amount]]*Sales[[#This Row],[Disc %]]</f>
        <v>0</v>
      </c>
      <c r="L4670" s="43">
        <v>0.18</v>
      </c>
      <c r="M4670" s="46">
        <f>(Sales[[#This Row],[Gross Amount]]-Sales[[#This Row],[Disc. Amt.]])*Sales[[#This Row],[GST %]]</f>
        <v>613.79999999999995</v>
      </c>
      <c r="N4670" s="161">
        <f>Sales[[#This Row],[Gross Amount]]-Sales[[#This Row],[Disc. Amt.]]+Sales[[#This Row],[GST Amount]]</f>
        <v>4023.8</v>
      </c>
      <c r="O4670" s="34" t="s">
        <v>3569</v>
      </c>
      <c r="P4670" s="34" t="s">
        <v>3562</v>
      </c>
      <c r="Q4670" s="165">
        <f>IF(Sales[[#This Row],[Status]]="Cancelled",0,Sales[[#This Row],[Qty]])</f>
        <v>1</v>
      </c>
      <c r="R4670" s="166">
        <f>IF(Sales[[#This Row],[Status]]="Cancelled",0,Sales[[#This Row],[Total Amount]])</f>
        <v>4023.8</v>
      </c>
      <c r="S4670" s="162">
        <f>SUM(Sales[Net Amount])</f>
        <v>406839287.73200053</v>
      </c>
    </row>
    <row r="4671" spans="1:19" ht="18.75" x14ac:dyDescent="0.25">
      <c r="A4671" s="156" t="s">
        <v>8355</v>
      </c>
      <c r="B4671" s="157">
        <v>46006</v>
      </c>
      <c r="C4671" s="158" t="s">
        <v>874</v>
      </c>
      <c r="D4671" s="159" t="str">
        <f>VLOOKUP(Sales[[#This Row],[Customer ID]],Customer[#All],2,0)</f>
        <v>Vikas Sharma</v>
      </c>
      <c r="E4671" s="158" t="s">
        <v>282</v>
      </c>
      <c r="F4671" s="158" t="str">
        <f>VLOOKUP(Sales[[#This Row],[Product ID]],Product[#All],2,0)</f>
        <v>Amazon Basics Hdmi Cable</v>
      </c>
      <c r="G4671" s="159">
        <v>7</v>
      </c>
      <c r="H4671" s="160">
        <f>VLOOKUP(Sales[[#This Row],[Product ID]],Product[#All],7,0)</f>
        <v>760</v>
      </c>
      <c r="I4671" s="160">
        <f>Sales[[#This Row],[Selling Rate]]*Sales[[#This Row],[Qty]]</f>
        <v>5320</v>
      </c>
      <c r="J4671" s="43">
        <v>0.05</v>
      </c>
      <c r="K4671" s="44">
        <f>Sales[[#This Row],[Gross Amount]]*Sales[[#This Row],[Disc %]]</f>
        <v>266</v>
      </c>
      <c r="L4671" s="43">
        <v>0.18</v>
      </c>
      <c r="M4671" s="44">
        <f>(Sales[[#This Row],[Gross Amount]]-Sales[[#This Row],[Disc. Amt.]])*Sales[[#This Row],[GST %]]</f>
        <v>909.71999999999991</v>
      </c>
      <c r="N4671" s="161">
        <f>Sales[[#This Row],[Gross Amount]]-Sales[[#This Row],[Disc. Amt.]]+Sales[[#This Row],[GST Amount]]</f>
        <v>5963.72</v>
      </c>
      <c r="O4671" s="158" t="s">
        <v>3561</v>
      </c>
      <c r="P4671" s="158" t="s">
        <v>3562</v>
      </c>
      <c r="Q4671" s="160">
        <f>IF(Sales[[#This Row],[Status]]="Cancelled",0,Sales[[#This Row],[Qty]])</f>
        <v>7</v>
      </c>
      <c r="R4671" s="161">
        <f>IF(Sales[[#This Row],[Status]]="Cancelled",0,Sales[[#This Row],[Total Amount]])</f>
        <v>5963.72</v>
      </c>
      <c r="S4671" s="162">
        <f>SUM(Sales[Net Amount])</f>
        <v>406839287.73200053</v>
      </c>
    </row>
    <row r="4672" spans="1:19" ht="18.75" x14ac:dyDescent="0.25">
      <c r="A4672" s="163" t="s">
        <v>8356</v>
      </c>
      <c r="B4672" s="164">
        <v>46006</v>
      </c>
      <c r="C4672" s="34" t="s">
        <v>688</v>
      </c>
      <c r="D4672" s="53" t="str">
        <f>VLOOKUP(Sales[[#This Row],[Customer ID]],Customer[#All],2,0)</f>
        <v>Rahul Verma</v>
      </c>
      <c r="E4672" s="34" t="s">
        <v>244</v>
      </c>
      <c r="F4672" s="34" t="str">
        <f>VLOOKUP(Sales[[#This Row],[Product ID]],Product[#All],2,0)</f>
        <v>TP-link Router</v>
      </c>
      <c r="G4672" s="53">
        <v>5</v>
      </c>
      <c r="H4672" s="165">
        <f>VLOOKUP(Sales[[#This Row],[Product ID]],Product[#All],7,0)</f>
        <v>4220</v>
      </c>
      <c r="I4672" s="165">
        <f>Sales[[#This Row],[Selling Rate]]*Sales[[#This Row],[Qty]]</f>
        <v>21100</v>
      </c>
      <c r="J4672" s="45">
        <v>0</v>
      </c>
      <c r="K4672" s="46">
        <f>Sales[[#This Row],[Gross Amount]]*Sales[[#This Row],[Disc %]]</f>
        <v>0</v>
      </c>
      <c r="L4672" s="43">
        <v>0.18</v>
      </c>
      <c r="M4672" s="46">
        <f>(Sales[[#This Row],[Gross Amount]]-Sales[[#This Row],[Disc. Amt.]])*Sales[[#This Row],[GST %]]</f>
        <v>3798</v>
      </c>
      <c r="N4672" s="161">
        <f>Sales[[#This Row],[Gross Amount]]-Sales[[#This Row],[Disc. Amt.]]+Sales[[#This Row],[GST Amount]]</f>
        <v>24898</v>
      </c>
      <c r="O4672" s="34" t="s">
        <v>3569</v>
      </c>
      <c r="P4672" s="34" t="s">
        <v>3562</v>
      </c>
      <c r="Q4672" s="165">
        <f>IF(Sales[[#This Row],[Status]]="Cancelled",0,Sales[[#This Row],[Qty]])</f>
        <v>5</v>
      </c>
      <c r="R4672" s="166">
        <f>IF(Sales[[#This Row],[Status]]="Cancelled",0,Sales[[#This Row],[Total Amount]])</f>
        <v>24898</v>
      </c>
      <c r="S4672" s="162">
        <f>SUM(Sales[Net Amount])</f>
        <v>406839287.73200053</v>
      </c>
    </row>
    <row r="4673" spans="1:19" ht="18.75" x14ac:dyDescent="0.25">
      <c r="A4673" s="156" t="s">
        <v>8357</v>
      </c>
      <c r="B4673" s="157">
        <v>46006</v>
      </c>
      <c r="C4673" s="158" t="s">
        <v>891</v>
      </c>
      <c r="D4673" s="159" t="str">
        <f>VLOOKUP(Sales[[#This Row],[Customer ID]],Customer[#All],2,0)</f>
        <v>Pooja Verma</v>
      </c>
      <c r="E4673" s="158" t="s">
        <v>306</v>
      </c>
      <c r="F4673" s="158" t="str">
        <f>VLOOKUP(Sales[[#This Row],[Product ID]],Product[#All],2,0)</f>
        <v>Portronics USB Cable</v>
      </c>
      <c r="G4673" s="159">
        <v>6</v>
      </c>
      <c r="H4673" s="160">
        <f>VLOOKUP(Sales[[#This Row],[Product ID]],Product[#All],7,0)</f>
        <v>200</v>
      </c>
      <c r="I4673" s="160">
        <f>Sales[[#This Row],[Selling Rate]]*Sales[[#This Row],[Qty]]</f>
        <v>1200</v>
      </c>
      <c r="J4673" s="43">
        <v>0</v>
      </c>
      <c r="K4673" s="44">
        <f>Sales[[#This Row],[Gross Amount]]*Sales[[#This Row],[Disc %]]</f>
        <v>0</v>
      </c>
      <c r="L4673" s="43">
        <v>0.18</v>
      </c>
      <c r="M4673" s="44">
        <f>(Sales[[#This Row],[Gross Amount]]-Sales[[#This Row],[Disc. Amt.]])*Sales[[#This Row],[GST %]]</f>
        <v>216</v>
      </c>
      <c r="N4673" s="161">
        <f>Sales[[#This Row],[Gross Amount]]-Sales[[#This Row],[Disc. Amt.]]+Sales[[#This Row],[GST Amount]]</f>
        <v>1416</v>
      </c>
      <c r="O4673" s="158" t="s">
        <v>3569</v>
      </c>
      <c r="P4673" s="158" t="s">
        <v>3562</v>
      </c>
      <c r="Q4673" s="160">
        <f>IF(Sales[[#This Row],[Status]]="Cancelled",0,Sales[[#This Row],[Qty]])</f>
        <v>6</v>
      </c>
      <c r="R4673" s="161">
        <f>IF(Sales[[#This Row],[Status]]="Cancelled",0,Sales[[#This Row],[Total Amount]])</f>
        <v>1416</v>
      </c>
      <c r="S4673" s="162">
        <f>SUM(Sales[Net Amount])</f>
        <v>406839287.73200053</v>
      </c>
    </row>
    <row r="4674" spans="1:19" ht="18.75" x14ac:dyDescent="0.25">
      <c r="A4674" s="163" t="s">
        <v>8358</v>
      </c>
      <c r="B4674" s="164">
        <v>46006</v>
      </c>
      <c r="C4674" s="34" t="s">
        <v>935</v>
      </c>
      <c r="D4674" s="53" t="str">
        <f>VLOOKUP(Sales[[#This Row],[Customer ID]],Customer[#All],2,0)</f>
        <v>Ankit Kumar</v>
      </c>
      <c r="E4674" s="34" t="s">
        <v>509</v>
      </c>
      <c r="F4674" s="34" t="str">
        <f>VLOOKUP(Sales[[#This Row],[Product ID]],Product[#All],2,0)</f>
        <v>D-Link Router</v>
      </c>
      <c r="G4674" s="53">
        <v>4</v>
      </c>
      <c r="H4674" s="165">
        <f>VLOOKUP(Sales[[#This Row],[Product ID]],Product[#All],7,0)</f>
        <v>3460</v>
      </c>
      <c r="I4674" s="165">
        <f>Sales[[#This Row],[Selling Rate]]*Sales[[#This Row],[Qty]]</f>
        <v>13840</v>
      </c>
      <c r="J4674" s="45">
        <v>0</v>
      </c>
      <c r="K4674" s="46">
        <f>Sales[[#This Row],[Gross Amount]]*Sales[[#This Row],[Disc %]]</f>
        <v>0</v>
      </c>
      <c r="L4674" s="43">
        <v>0.18</v>
      </c>
      <c r="M4674" s="46">
        <f>(Sales[[#This Row],[Gross Amount]]-Sales[[#This Row],[Disc. Amt.]])*Sales[[#This Row],[GST %]]</f>
        <v>2491.1999999999998</v>
      </c>
      <c r="N4674" s="161">
        <f>Sales[[#This Row],[Gross Amount]]-Sales[[#This Row],[Disc. Amt.]]+Sales[[#This Row],[GST Amount]]</f>
        <v>16331.2</v>
      </c>
      <c r="O4674" s="34" t="s">
        <v>3566</v>
      </c>
      <c r="P4674" s="34" t="s">
        <v>3562</v>
      </c>
      <c r="Q4674" s="165">
        <f>IF(Sales[[#This Row],[Status]]="Cancelled",0,Sales[[#This Row],[Qty]])</f>
        <v>4</v>
      </c>
      <c r="R4674" s="166">
        <f>IF(Sales[[#This Row],[Status]]="Cancelled",0,Sales[[#This Row],[Total Amount]])</f>
        <v>16331.2</v>
      </c>
      <c r="S4674" s="162">
        <f>SUM(Sales[Net Amount])</f>
        <v>406839287.73200053</v>
      </c>
    </row>
    <row r="4675" spans="1:19" ht="18.75" x14ac:dyDescent="0.25">
      <c r="A4675" s="156" t="s">
        <v>8359</v>
      </c>
      <c r="B4675" s="157">
        <v>46006</v>
      </c>
      <c r="C4675" s="158" t="s">
        <v>678</v>
      </c>
      <c r="D4675" s="159" t="str">
        <f>VLOOKUP(Sales[[#This Row],[Customer ID]],Customer[#All],2,0)</f>
        <v>Ankit Gupta</v>
      </c>
      <c r="E4675" s="158" t="s">
        <v>4</v>
      </c>
      <c r="F4675" s="158" t="str">
        <f>VLOOKUP(Sales[[#This Row],[Product ID]],Product[#All],2,0)</f>
        <v>Epson Printer</v>
      </c>
      <c r="G4675" s="159">
        <v>8</v>
      </c>
      <c r="H4675" s="160">
        <f>VLOOKUP(Sales[[#This Row],[Product ID]],Product[#All],7,0)</f>
        <v>45990</v>
      </c>
      <c r="I4675" s="160">
        <f>Sales[[#This Row],[Selling Rate]]*Sales[[#This Row],[Qty]]</f>
        <v>367920</v>
      </c>
      <c r="J4675" s="43">
        <v>0.05</v>
      </c>
      <c r="K4675" s="44">
        <f>Sales[[#This Row],[Gross Amount]]*Sales[[#This Row],[Disc %]]</f>
        <v>18396</v>
      </c>
      <c r="L4675" s="43">
        <v>0.18</v>
      </c>
      <c r="M4675" s="44">
        <f>(Sales[[#This Row],[Gross Amount]]-Sales[[#This Row],[Disc. Amt.]])*Sales[[#This Row],[GST %]]</f>
        <v>62914.32</v>
      </c>
      <c r="N4675" s="161">
        <f>Sales[[#This Row],[Gross Amount]]-Sales[[#This Row],[Disc. Amt.]]+Sales[[#This Row],[GST Amount]]</f>
        <v>412438.32</v>
      </c>
      <c r="O4675" s="158" t="s">
        <v>8876</v>
      </c>
      <c r="P4675" s="158" t="s">
        <v>3562</v>
      </c>
      <c r="Q4675" s="160">
        <f>IF(Sales[[#This Row],[Status]]="Cancelled",0,Sales[[#This Row],[Qty]])</f>
        <v>8</v>
      </c>
      <c r="R4675" s="161">
        <f>IF(Sales[[#This Row],[Status]]="Cancelled",0,Sales[[#This Row],[Total Amount]])</f>
        <v>412438.32</v>
      </c>
      <c r="S4675" s="162">
        <f>SUM(Sales[Net Amount])</f>
        <v>406839287.73200053</v>
      </c>
    </row>
    <row r="4676" spans="1:19" ht="18.75" x14ac:dyDescent="0.25">
      <c r="A4676" s="163" t="s">
        <v>8360</v>
      </c>
      <c r="B4676" s="164">
        <v>46006</v>
      </c>
      <c r="C4676" s="34" t="s">
        <v>756</v>
      </c>
      <c r="D4676" s="53" t="str">
        <f>VLOOKUP(Sales[[#This Row],[Customer ID]],Customer[#All],2,0)</f>
        <v>Amit Patel</v>
      </c>
      <c r="E4676" s="34" t="s">
        <v>281</v>
      </c>
      <c r="F4676" s="34" t="str">
        <f>VLOOKUP(Sales[[#This Row],[Product ID]],Product[#All],2,0)</f>
        <v>Canon Printer</v>
      </c>
      <c r="G4676" s="53">
        <v>4</v>
      </c>
      <c r="H4676" s="165">
        <f>VLOOKUP(Sales[[#This Row],[Product ID]],Product[#All],7,0)</f>
        <v>11560</v>
      </c>
      <c r="I4676" s="165">
        <f>Sales[[#This Row],[Selling Rate]]*Sales[[#This Row],[Qty]]</f>
        <v>46240</v>
      </c>
      <c r="J4676" s="45">
        <v>0.02</v>
      </c>
      <c r="K4676" s="46">
        <f>Sales[[#This Row],[Gross Amount]]*Sales[[#This Row],[Disc %]]</f>
        <v>924.80000000000007</v>
      </c>
      <c r="L4676" s="43">
        <v>0.18</v>
      </c>
      <c r="M4676" s="46">
        <f>(Sales[[#This Row],[Gross Amount]]-Sales[[#This Row],[Disc. Amt.]])*Sales[[#This Row],[GST %]]</f>
        <v>8156.735999999999</v>
      </c>
      <c r="N4676" s="161">
        <f>Sales[[#This Row],[Gross Amount]]-Sales[[#This Row],[Disc. Amt.]]+Sales[[#This Row],[GST Amount]]</f>
        <v>53471.935999999994</v>
      </c>
      <c r="O4676" s="34" t="s">
        <v>8876</v>
      </c>
      <c r="P4676" s="34" t="s">
        <v>3562</v>
      </c>
      <c r="Q4676" s="165">
        <f>IF(Sales[[#This Row],[Status]]="Cancelled",0,Sales[[#This Row],[Qty]])</f>
        <v>4</v>
      </c>
      <c r="R4676" s="166">
        <f>IF(Sales[[#This Row],[Status]]="Cancelled",0,Sales[[#This Row],[Total Amount]])</f>
        <v>53471.935999999994</v>
      </c>
      <c r="S4676" s="162">
        <f>SUM(Sales[Net Amount])</f>
        <v>406839287.73200053</v>
      </c>
    </row>
    <row r="4677" spans="1:19" ht="18.75" x14ac:dyDescent="0.25">
      <c r="A4677" s="156" t="s">
        <v>8361</v>
      </c>
      <c r="B4677" s="157">
        <v>46006</v>
      </c>
      <c r="C4677" s="158" t="s">
        <v>912</v>
      </c>
      <c r="D4677" s="159" t="str">
        <f>VLOOKUP(Sales[[#This Row],[Customer ID]],Customer[#All],2,0)</f>
        <v>Sunita Verma</v>
      </c>
      <c r="E4677" s="158" t="s">
        <v>302</v>
      </c>
      <c r="F4677" s="158" t="str">
        <f>VLOOKUP(Sales[[#This Row],[Product ID]],Product[#All],2,0)</f>
        <v>Sandisk Pen Drive</v>
      </c>
      <c r="G4677" s="159">
        <v>7</v>
      </c>
      <c r="H4677" s="160">
        <f>VLOOKUP(Sales[[#This Row],[Product ID]],Product[#All],7,0)</f>
        <v>2500</v>
      </c>
      <c r="I4677" s="160">
        <f>Sales[[#This Row],[Selling Rate]]*Sales[[#This Row],[Qty]]</f>
        <v>17500</v>
      </c>
      <c r="J4677" s="43">
        <v>0.15</v>
      </c>
      <c r="K4677" s="44">
        <f>Sales[[#This Row],[Gross Amount]]*Sales[[#This Row],[Disc %]]</f>
        <v>2625</v>
      </c>
      <c r="L4677" s="43">
        <v>0.18</v>
      </c>
      <c r="M4677" s="44">
        <f>(Sales[[#This Row],[Gross Amount]]-Sales[[#This Row],[Disc. Amt.]])*Sales[[#This Row],[GST %]]</f>
        <v>2677.5</v>
      </c>
      <c r="N4677" s="161">
        <f>Sales[[#This Row],[Gross Amount]]-Sales[[#This Row],[Disc. Amt.]]+Sales[[#This Row],[GST Amount]]</f>
        <v>17552.5</v>
      </c>
      <c r="O4677" s="158" t="s">
        <v>8876</v>
      </c>
      <c r="P4677" s="158" t="s">
        <v>3562</v>
      </c>
      <c r="Q4677" s="160">
        <f>IF(Sales[[#This Row],[Status]]="Cancelled",0,Sales[[#This Row],[Qty]])</f>
        <v>7</v>
      </c>
      <c r="R4677" s="161">
        <f>IF(Sales[[#This Row],[Status]]="Cancelled",0,Sales[[#This Row],[Total Amount]])</f>
        <v>17552.5</v>
      </c>
      <c r="S4677" s="162">
        <f>SUM(Sales[Net Amount])</f>
        <v>406839287.73200053</v>
      </c>
    </row>
    <row r="4678" spans="1:19" ht="18.75" x14ac:dyDescent="0.25">
      <c r="A4678" s="163" t="s">
        <v>8362</v>
      </c>
      <c r="B4678" s="164">
        <v>46006</v>
      </c>
      <c r="C4678" s="34" t="s">
        <v>851</v>
      </c>
      <c r="D4678" s="53" t="str">
        <f>VLOOKUP(Sales[[#This Row],[Customer ID]],Customer[#All],2,0)</f>
        <v>Pooja Singh</v>
      </c>
      <c r="E4678" s="34" t="s">
        <v>208</v>
      </c>
      <c r="F4678" s="34" t="str">
        <f>VLOOKUP(Sales[[#This Row],[Product ID]],Product[#All],2,0)</f>
        <v>Dell Laptop</v>
      </c>
      <c r="G4678" s="53">
        <v>4</v>
      </c>
      <c r="H4678" s="165">
        <f>VLOOKUP(Sales[[#This Row],[Product ID]],Product[#All],7,0)</f>
        <v>67000</v>
      </c>
      <c r="I4678" s="165">
        <f>Sales[[#This Row],[Selling Rate]]*Sales[[#This Row],[Qty]]</f>
        <v>268000</v>
      </c>
      <c r="J4678" s="45">
        <v>0.05</v>
      </c>
      <c r="K4678" s="46">
        <f>Sales[[#This Row],[Gross Amount]]*Sales[[#This Row],[Disc %]]</f>
        <v>13400</v>
      </c>
      <c r="L4678" s="43">
        <v>0.18</v>
      </c>
      <c r="M4678" s="46">
        <f>(Sales[[#This Row],[Gross Amount]]-Sales[[#This Row],[Disc. Amt.]])*Sales[[#This Row],[GST %]]</f>
        <v>45828</v>
      </c>
      <c r="N4678" s="161">
        <f>Sales[[#This Row],[Gross Amount]]-Sales[[#This Row],[Disc. Amt.]]+Sales[[#This Row],[GST Amount]]</f>
        <v>300428</v>
      </c>
      <c r="O4678" s="34" t="s">
        <v>3561</v>
      </c>
      <c r="P4678" s="34" t="s">
        <v>3562</v>
      </c>
      <c r="Q4678" s="165">
        <f>IF(Sales[[#This Row],[Status]]="Cancelled",0,Sales[[#This Row],[Qty]])</f>
        <v>4</v>
      </c>
      <c r="R4678" s="166">
        <f>IF(Sales[[#This Row],[Status]]="Cancelled",0,Sales[[#This Row],[Total Amount]])</f>
        <v>300428</v>
      </c>
      <c r="S4678" s="162">
        <f>SUM(Sales[Net Amount])</f>
        <v>406839287.73200053</v>
      </c>
    </row>
    <row r="4679" spans="1:19" ht="18.75" x14ac:dyDescent="0.25">
      <c r="A4679" s="156" t="s">
        <v>8363</v>
      </c>
      <c r="B4679" s="157">
        <v>46006</v>
      </c>
      <c r="C4679" s="158" t="s">
        <v>826</v>
      </c>
      <c r="D4679" s="159" t="str">
        <f>VLOOKUP(Sales[[#This Row],[Customer ID]],Customer[#All],2,0)</f>
        <v>Sahil Sharma</v>
      </c>
      <c r="E4679" s="158" t="s">
        <v>277</v>
      </c>
      <c r="F4679" s="158" t="str">
        <f>VLOOKUP(Sales[[#This Row],[Product ID]],Product[#All],2,0)</f>
        <v>D-Link Router</v>
      </c>
      <c r="G4679" s="159">
        <v>8</v>
      </c>
      <c r="H4679" s="160">
        <f>VLOOKUP(Sales[[#This Row],[Product ID]],Product[#All],7,0)</f>
        <v>4630</v>
      </c>
      <c r="I4679" s="160">
        <f>Sales[[#This Row],[Selling Rate]]*Sales[[#This Row],[Qty]]</f>
        <v>37040</v>
      </c>
      <c r="J4679" s="43">
        <v>0.12</v>
      </c>
      <c r="K4679" s="44">
        <f>Sales[[#This Row],[Gross Amount]]*Sales[[#This Row],[Disc %]]</f>
        <v>4444.8</v>
      </c>
      <c r="L4679" s="43">
        <v>0.18</v>
      </c>
      <c r="M4679" s="44">
        <f>(Sales[[#This Row],[Gross Amount]]-Sales[[#This Row],[Disc. Amt.]])*Sales[[#This Row],[GST %]]</f>
        <v>5867.1359999999995</v>
      </c>
      <c r="N4679" s="161">
        <f>Sales[[#This Row],[Gross Amount]]-Sales[[#This Row],[Disc. Amt.]]+Sales[[#This Row],[GST Amount]]</f>
        <v>38462.336000000003</v>
      </c>
      <c r="O4679" s="158" t="s">
        <v>3566</v>
      </c>
      <c r="P4679" s="158" t="s">
        <v>3562</v>
      </c>
      <c r="Q4679" s="160">
        <f>IF(Sales[[#This Row],[Status]]="Cancelled",0,Sales[[#This Row],[Qty]])</f>
        <v>8</v>
      </c>
      <c r="R4679" s="161">
        <f>IF(Sales[[#This Row],[Status]]="Cancelled",0,Sales[[#This Row],[Total Amount]])</f>
        <v>38462.336000000003</v>
      </c>
      <c r="S4679" s="162">
        <f>SUM(Sales[Net Amount])</f>
        <v>406839287.73200053</v>
      </c>
    </row>
    <row r="4680" spans="1:19" ht="18.75" x14ac:dyDescent="0.25">
      <c r="A4680" s="163" t="s">
        <v>8364</v>
      </c>
      <c r="B4680" s="164">
        <v>46006</v>
      </c>
      <c r="C4680" s="34" t="s">
        <v>944</v>
      </c>
      <c r="D4680" s="53" t="str">
        <f>VLOOKUP(Sales[[#This Row],[Customer ID]],Customer[#All],2,0)</f>
        <v>Pooja Patel</v>
      </c>
      <c r="E4680" s="34" t="s">
        <v>402</v>
      </c>
      <c r="F4680" s="34" t="str">
        <f>VLOOKUP(Sales[[#This Row],[Product ID]],Product[#All],2,0)</f>
        <v>Logitech Keyboard</v>
      </c>
      <c r="G4680" s="53">
        <v>3</v>
      </c>
      <c r="H4680" s="165">
        <f>VLOOKUP(Sales[[#This Row],[Product ID]],Product[#All],7,0)</f>
        <v>3500</v>
      </c>
      <c r="I4680" s="165">
        <f>Sales[[#This Row],[Selling Rate]]*Sales[[#This Row],[Qty]]</f>
        <v>10500</v>
      </c>
      <c r="J4680" s="45">
        <v>0.15</v>
      </c>
      <c r="K4680" s="46">
        <f>Sales[[#This Row],[Gross Amount]]*Sales[[#This Row],[Disc %]]</f>
        <v>1575</v>
      </c>
      <c r="L4680" s="43">
        <v>0.18</v>
      </c>
      <c r="M4680" s="46">
        <f>(Sales[[#This Row],[Gross Amount]]-Sales[[#This Row],[Disc. Amt.]])*Sales[[#This Row],[GST %]]</f>
        <v>1606.5</v>
      </c>
      <c r="N4680" s="161">
        <f>Sales[[#This Row],[Gross Amount]]-Sales[[#This Row],[Disc. Amt.]]+Sales[[#This Row],[GST Amount]]</f>
        <v>10531.5</v>
      </c>
      <c r="O4680" s="34" t="s">
        <v>3561</v>
      </c>
      <c r="P4680" s="34" t="s">
        <v>3562</v>
      </c>
      <c r="Q4680" s="165">
        <f>IF(Sales[[#This Row],[Status]]="Cancelled",0,Sales[[#This Row],[Qty]])</f>
        <v>3</v>
      </c>
      <c r="R4680" s="166">
        <f>IF(Sales[[#This Row],[Status]]="Cancelled",0,Sales[[#This Row],[Total Amount]])</f>
        <v>10531.5</v>
      </c>
      <c r="S4680" s="162">
        <f>SUM(Sales[Net Amount])</f>
        <v>406839287.73200053</v>
      </c>
    </row>
    <row r="4681" spans="1:19" ht="18.75" x14ac:dyDescent="0.25">
      <c r="A4681" s="156" t="s">
        <v>8365</v>
      </c>
      <c r="B4681" s="157">
        <v>46007</v>
      </c>
      <c r="C4681" s="158" t="s">
        <v>876</v>
      </c>
      <c r="D4681" s="159" t="str">
        <f>VLOOKUP(Sales[[#This Row],[Customer ID]],Customer[#All],2,0)</f>
        <v>Sahil Verma</v>
      </c>
      <c r="E4681" s="158" t="s">
        <v>369</v>
      </c>
      <c r="F4681" s="158" t="str">
        <f>VLOOKUP(Sales[[#This Row],[Product ID]],Product[#All],2,0)</f>
        <v>HP Mouse</v>
      </c>
      <c r="G4681" s="159">
        <v>8</v>
      </c>
      <c r="H4681" s="160">
        <f>VLOOKUP(Sales[[#This Row],[Product ID]],Product[#All],7,0)</f>
        <v>2040</v>
      </c>
      <c r="I4681" s="160">
        <f>Sales[[#This Row],[Selling Rate]]*Sales[[#This Row],[Qty]]</f>
        <v>16320</v>
      </c>
      <c r="J4681" s="43">
        <v>0</v>
      </c>
      <c r="K4681" s="44">
        <f>Sales[[#This Row],[Gross Amount]]*Sales[[#This Row],[Disc %]]</f>
        <v>0</v>
      </c>
      <c r="L4681" s="43">
        <v>0.18</v>
      </c>
      <c r="M4681" s="44">
        <f>(Sales[[#This Row],[Gross Amount]]-Sales[[#This Row],[Disc. Amt.]])*Sales[[#This Row],[GST %]]</f>
        <v>2937.6</v>
      </c>
      <c r="N4681" s="161">
        <f>Sales[[#This Row],[Gross Amount]]-Sales[[#This Row],[Disc. Amt.]]+Sales[[#This Row],[GST Amount]]</f>
        <v>19257.599999999999</v>
      </c>
      <c r="O4681" s="158" t="s">
        <v>3561</v>
      </c>
      <c r="P4681" s="158" t="s">
        <v>3562</v>
      </c>
      <c r="Q4681" s="160">
        <f>IF(Sales[[#This Row],[Status]]="Cancelled",0,Sales[[#This Row],[Qty]])</f>
        <v>8</v>
      </c>
      <c r="R4681" s="161">
        <f>IF(Sales[[#This Row],[Status]]="Cancelled",0,Sales[[#This Row],[Total Amount]])</f>
        <v>19257.599999999999</v>
      </c>
      <c r="S4681" s="162">
        <f>SUM(Sales[Net Amount])</f>
        <v>406839287.73200053</v>
      </c>
    </row>
    <row r="4682" spans="1:19" ht="18.75" x14ac:dyDescent="0.25">
      <c r="A4682" s="163" t="s">
        <v>8366</v>
      </c>
      <c r="B4682" s="164">
        <v>46007</v>
      </c>
      <c r="C4682" s="34" t="s">
        <v>823</v>
      </c>
      <c r="D4682" s="53" t="str">
        <f>VLOOKUP(Sales[[#This Row],[Customer ID]],Customer[#All],2,0)</f>
        <v>Pooja Singh</v>
      </c>
      <c r="E4682" s="34" t="s">
        <v>366</v>
      </c>
      <c r="F4682" s="34" t="str">
        <f>VLOOKUP(Sales[[#This Row],[Product ID]],Product[#All],2,0)</f>
        <v>Samsung Ssd</v>
      </c>
      <c r="G4682" s="53">
        <v>1</v>
      </c>
      <c r="H4682" s="165">
        <f>VLOOKUP(Sales[[#This Row],[Product ID]],Product[#All],7,0)</f>
        <v>5140</v>
      </c>
      <c r="I4682" s="165">
        <f>Sales[[#This Row],[Selling Rate]]*Sales[[#This Row],[Qty]]</f>
        <v>5140</v>
      </c>
      <c r="J4682" s="45">
        <v>0.05</v>
      </c>
      <c r="K4682" s="46">
        <f>Sales[[#This Row],[Gross Amount]]*Sales[[#This Row],[Disc %]]</f>
        <v>257</v>
      </c>
      <c r="L4682" s="43">
        <v>0.18</v>
      </c>
      <c r="M4682" s="46">
        <f>(Sales[[#This Row],[Gross Amount]]-Sales[[#This Row],[Disc. Amt.]])*Sales[[#This Row],[GST %]]</f>
        <v>878.93999999999994</v>
      </c>
      <c r="N4682" s="161">
        <f>Sales[[#This Row],[Gross Amount]]-Sales[[#This Row],[Disc. Amt.]]+Sales[[#This Row],[GST Amount]]</f>
        <v>5761.94</v>
      </c>
      <c r="O4682" s="34" t="s">
        <v>8876</v>
      </c>
      <c r="P4682" s="34" t="s">
        <v>3562</v>
      </c>
      <c r="Q4682" s="165">
        <f>IF(Sales[[#This Row],[Status]]="Cancelled",0,Sales[[#This Row],[Qty]])</f>
        <v>1</v>
      </c>
      <c r="R4682" s="166">
        <f>IF(Sales[[#This Row],[Status]]="Cancelled",0,Sales[[#This Row],[Total Amount]])</f>
        <v>5761.94</v>
      </c>
      <c r="S4682" s="162">
        <f>SUM(Sales[Net Amount])</f>
        <v>406839287.73200053</v>
      </c>
    </row>
    <row r="4683" spans="1:19" ht="18.75" x14ac:dyDescent="0.25">
      <c r="A4683" s="156" t="s">
        <v>8367</v>
      </c>
      <c r="B4683" s="157">
        <v>46007</v>
      </c>
      <c r="C4683" s="158" t="s">
        <v>755</v>
      </c>
      <c r="D4683" s="159" t="str">
        <f>VLOOKUP(Sales[[#This Row],[Customer ID]],Customer[#All],2,0)</f>
        <v>Sunita Gupta</v>
      </c>
      <c r="E4683" s="158" t="s">
        <v>450</v>
      </c>
      <c r="F4683" s="158" t="str">
        <f>VLOOKUP(Sales[[#This Row],[Product ID]],Product[#All],2,0)</f>
        <v>TP-link Bluetooth Adapter</v>
      </c>
      <c r="G4683" s="159">
        <v>1</v>
      </c>
      <c r="H4683" s="160">
        <f>VLOOKUP(Sales[[#This Row],[Product ID]],Product[#All],7,0)</f>
        <v>1270</v>
      </c>
      <c r="I4683" s="160">
        <f>Sales[[#This Row],[Selling Rate]]*Sales[[#This Row],[Qty]]</f>
        <v>1270</v>
      </c>
      <c r="J4683" s="43">
        <v>0.05</v>
      </c>
      <c r="K4683" s="44">
        <f>Sales[[#This Row],[Gross Amount]]*Sales[[#This Row],[Disc %]]</f>
        <v>63.5</v>
      </c>
      <c r="L4683" s="43">
        <v>0.18</v>
      </c>
      <c r="M4683" s="44">
        <f>(Sales[[#This Row],[Gross Amount]]-Sales[[#This Row],[Disc. Amt.]])*Sales[[#This Row],[GST %]]</f>
        <v>217.17</v>
      </c>
      <c r="N4683" s="161">
        <f>Sales[[#This Row],[Gross Amount]]-Sales[[#This Row],[Disc. Amt.]]+Sales[[#This Row],[GST Amount]]</f>
        <v>1423.67</v>
      </c>
      <c r="O4683" s="158" t="s">
        <v>8876</v>
      </c>
      <c r="P4683" s="158" t="s">
        <v>3562</v>
      </c>
      <c r="Q4683" s="160">
        <f>IF(Sales[[#This Row],[Status]]="Cancelled",0,Sales[[#This Row],[Qty]])</f>
        <v>1</v>
      </c>
      <c r="R4683" s="161">
        <f>IF(Sales[[#This Row],[Status]]="Cancelled",0,Sales[[#This Row],[Total Amount]])</f>
        <v>1423.67</v>
      </c>
      <c r="S4683" s="162">
        <f>SUM(Sales[Net Amount])</f>
        <v>406839287.73200053</v>
      </c>
    </row>
    <row r="4684" spans="1:19" ht="18.75" x14ac:dyDescent="0.25">
      <c r="A4684" s="163" t="s">
        <v>8368</v>
      </c>
      <c r="B4684" s="164">
        <v>46007</v>
      </c>
      <c r="C4684" s="34" t="s">
        <v>766</v>
      </c>
      <c r="D4684" s="53" t="str">
        <f>VLOOKUP(Sales[[#This Row],[Customer ID]],Customer[#All],2,0)</f>
        <v>Neha Gupta</v>
      </c>
      <c r="E4684" s="34" t="s">
        <v>514</v>
      </c>
      <c r="F4684" s="34" t="str">
        <f>VLOOKUP(Sales[[#This Row],[Product ID]],Product[#All],2,0)</f>
        <v>Apc UPS</v>
      </c>
      <c r="G4684" s="53">
        <v>1</v>
      </c>
      <c r="H4684" s="165">
        <f>VLOOKUP(Sales[[#This Row],[Product ID]],Product[#All],7,0)</f>
        <v>4660</v>
      </c>
      <c r="I4684" s="165">
        <f>Sales[[#This Row],[Selling Rate]]*Sales[[#This Row],[Qty]]</f>
        <v>4660</v>
      </c>
      <c r="J4684" s="45">
        <v>0.02</v>
      </c>
      <c r="K4684" s="46">
        <f>Sales[[#This Row],[Gross Amount]]*Sales[[#This Row],[Disc %]]</f>
        <v>93.2</v>
      </c>
      <c r="L4684" s="43">
        <v>0.18</v>
      </c>
      <c r="M4684" s="46">
        <f>(Sales[[#This Row],[Gross Amount]]-Sales[[#This Row],[Disc. Amt.]])*Sales[[#This Row],[GST %]]</f>
        <v>822.024</v>
      </c>
      <c r="N4684" s="161">
        <f>Sales[[#This Row],[Gross Amount]]-Sales[[#This Row],[Disc. Amt.]]+Sales[[#This Row],[GST Amount]]</f>
        <v>5388.8240000000005</v>
      </c>
      <c r="O4684" s="34" t="s">
        <v>3561</v>
      </c>
      <c r="P4684" s="34" t="s">
        <v>3562</v>
      </c>
      <c r="Q4684" s="165">
        <f>IF(Sales[[#This Row],[Status]]="Cancelled",0,Sales[[#This Row],[Qty]])</f>
        <v>1</v>
      </c>
      <c r="R4684" s="166">
        <f>IF(Sales[[#This Row],[Status]]="Cancelled",0,Sales[[#This Row],[Total Amount]])</f>
        <v>5388.8240000000005</v>
      </c>
      <c r="S4684" s="162">
        <f>SUM(Sales[Net Amount])</f>
        <v>406839287.73200053</v>
      </c>
    </row>
    <row r="4685" spans="1:19" ht="18.75" x14ac:dyDescent="0.25">
      <c r="A4685" s="156" t="s">
        <v>8369</v>
      </c>
      <c r="B4685" s="157">
        <v>46007</v>
      </c>
      <c r="C4685" s="158" t="s">
        <v>849</v>
      </c>
      <c r="D4685" s="159" t="str">
        <f>VLOOKUP(Sales[[#This Row],[Customer ID]],Customer[#All],2,0)</f>
        <v>Sunita Sharma</v>
      </c>
      <c r="E4685" s="158" t="s">
        <v>91</v>
      </c>
      <c r="F4685" s="158" t="str">
        <f>VLOOKUP(Sales[[#This Row],[Product ID]],Product[#All],2,0)</f>
        <v>Logitech Keyboard</v>
      </c>
      <c r="G4685" s="159">
        <v>1</v>
      </c>
      <c r="H4685" s="160">
        <f>VLOOKUP(Sales[[#This Row],[Product ID]],Product[#All],7,0)</f>
        <v>3950</v>
      </c>
      <c r="I4685" s="160">
        <f>Sales[[#This Row],[Selling Rate]]*Sales[[#This Row],[Qty]]</f>
        <v>3950</v>
      </c>
      <c r="J4685" s="43">
        <v>0.02</v>
      </c>
      <c r="K4685" s="44">
        <f>Sales[[#This Row],[Gross Amount]]*Sales[[#This Row],[Disc %]]</f>
        <v>79</v>
      </c>
      <c r="L4685" s="43">
        <v>0.18</v>
      </c>
      <c r="M4685" s="44">
        <f>(Sales[[#This Row],[Gross Amount]]-Sales[[#This Row],[Disc. Amt.]])*Sales[[#This Row],[GST %]]</f>
        <v>696.78</v>
      </c>
      <c r="N4685" s="161">
        <f>Sales[[#This Row],[Gross Amount]]-Sales[[#This Row],[Disc. Amt.]]+Sales[[#This Row],[GST Amount]]</f>
        <v>4567.78</v>
      </c>
      <c r="O4685" s="158" t="s">
        <v>3569</v>
      </c>
      <c r="P4685" s="158" t="s">
        <v>3562</v>
      </c>
      <c r="Q4685" s="160">
        <f>IF(Sales[[#This Row],[Status]]="Cancelled",0,Sales[[#This Row],[Qty]])</f>
        <v>1</v>
      </c>
      <c r="R4685" s="161">
        <f>IF(Sales[[#This Row],[Status]]="Cancelled",0,Sales[[#This Row],[Total Amount]])</f>
        <v>4567.78</v>
      </c>
      <c r="S4685" s="162">
        <f>SUM(Sales[Net Amount])</f>
        <v>406839287.73200053</v>
      </c>
    </row>
    <row r="4686" spans="1:19" ht="18.75" x14ac:dyDescent="0.25">
      <c r="A4686" s="163" t="s">
        <v>8370</v>
      </c>
      <c r="B4686" s="164">
        <v>46007</v>
      </c>
      <c r="C4686" s="34" t="s">
        <v>792</v>
      </c>
      <c r="D4686" s="53" t="str">
        <f>VLOOKUP(Sales[[#This Row],[Customer ID]],Customer[#All],2,0)</f>
        <v>Pooja Sharma</v>
      </c>
      <c r="E4686" s="34" t="s">
        <v>312</v>
      </c>
      <c r="F4686" s="34" t="str">
        <f>VLOOKUP(Sales[[#This Row],[Product ID]],Product[#All],2,0)</f>
        <v>Dell Desktop</v>
      </c>
      <c r="G4686" s="53">
        <v>6</v>
      </c>
      <c r="H4686" s="165">
        <f>VLOOKUP(Sales[[#This Row],[Product ID]],Product[#All],7,0)</f>
        <v>59050</v>
      </c>
      <c r="I4686" s="165">
        <f>Sales[[#This Row],[Selling Rate]]*Sales[[#This Row],[Qty]]</f>
        <v>354300</v>
      </c>
      <c r="J4686" s="45">
        <v>0.15</v>
      </c>
      <c r="K4686" s="46">
        <f>Sales[[#This Row],[Gross Amount]]*Sales[[#This Row],[Disc %]]</f>
        <v>53145</v>
      </c>
      <c r="L4686" s="43">
        <v>0.18</v>
      </c>
      <c r="M4686" s="46">
        <f>(Sales[[#This Row],[Gross Amount]]-Sales[[#This Row],[Disc. Amt.]])*Sales[[#This Row],[GST %]]</f>
        <v>54207.9</v>
      </c>
      <c r="N4686" s="161">
        <f>Sales[[#This Row],[Gross Amount]]-Sales[[#This Row],[Disc. Amt.]]+Sales[[#This Row],[GST Amount]]</f>
        <v>355362.9</v>
      </c>
      <c r="O4686" s="34" t="s">
        <v>3569</v>
      </c>
      <c r="P4686" s="34" t="s">
        <v>3562</v>
      </c>
      <c r="Q4686" s="165">
        <f>IF(Sales[[#This Row],[Status]]="Cancelled",0,Sales[[#This Row],[Qty]])</f>
        <v>6</v>
      </c>
      <c r="R4686" s="166">
        <f>IF(Sales[[#This Row],[Status]]="Cancelled",0,Sales[[#This Row],[Total Amount]])</f>
        <v>355362.9</v>
      </c>
      <c r="S4686" s="162">
        <f>SUM(Sales[Net Amount])</f>
        <v>406839287.73200053</v>
      </c>
    </row>
    <row r="4687" spans="1:19" ht="18.75" x14ac:dyDescent="0.25">
      <c r="A4687" s="156" t="s">
        <v>8371</v>
      </c>
      <c r="B4687" s="157">
        <v>46007</v>
      </c>
      <c r="C4687" s="158" t="s">
        <v>700</v>
      </c>
      <c r="D4687" s="159" t="str">
        <f>VLOOKUP(Sales[[#This Row],[Customer ID]],Customer[#All],2,0)</f>
        <v>Ankit Gupta</v>
      </c>
      <c r="E4687" s="158" t="s">
        <v>456</v>
      </c>
      <c r="F4687" s="158" t="str">
        <f>VLOOKUP(Sales[[#This Row],[Product ID]],Product[#All],2,0)</f>
        <v>Acer Laptop</v>
      </c>
      <c r="G4687" s="159">
        <v>8</v>
      </c>
      <c r="H4687" s="160">
        <f>VLOOKUP(Sales[[#This Row],[Product ID]],Product[#All],7,0)</f>
        <v>66790</v>
      </c>
      <c r="I4687" s="160">
        <f>Sales[[#This Row],[Selling Rate]]*Sales[[#This Row],[Qty]]</f>
        <v>534320</v>
      </c>
      <c r="J4687" s="43">
        <v>0</v>
      </c>
      <c r="K4687" s="44">
        <f>Sales[[#This Row],[Gross Amount]]*Sales[[#This Row],[Disc %]]</f>
        <v>0</v>
      </c>
      <c r="L4687" s="43">
        <v>0.18</v>
      </c>
      <c r="M4687" s="44">
        <f>(Sales[[#This Row],[Gross Amount]]-Sales[[#This Row],[Disc. Amt.]])*Sales[[#This Row],[GST %]]</f>
        <v>96177.599999999991</v>
      </c>
      <c r="N4687" s="161">
        <f>Sales[[#This Row],[Gross Amount]]-Sales[[#This Row],[Disc. Amt.]]+Sales[[#This Row],[GST Amount]]</f>
        <v>630497.6</v>
      </c>
      <c r="O4687" s="158" t="s">
        <v>8876</v>
      </c>
      <c r="P4687" s="158" t="s">
        <v>3562</v>
      </c>
      <c r="Q4687" s="160">
        <f>IF(Sales[[#This Row],[Status]]="Cancelled",0,Sales[[#This Row],[Qty]])</f>
        <v>8</v>
      </c>
      <c r="R4687" s="161">
        <f>IF(Sales[[#This Row],[Status]]="Cancelled",0,Sales[[#This Row],[Total Amount]])</f>
        <v>630497.6</v>
      </c>
      <c r="S4687" s="162">
        <f>SUM(Sales[Net Amount])</f>
        <v>406839287.73200053</v>
      </c>
    </row>
    <row r="4688" spans="1:19" ht="18.75" x14ac:dyDescent="0.25">
      <c r="A4688" s="163" t="s">
        <v>8372</v>
      </c>
      <c r="B4688" s="164">
        <v>46007</v>
      </c>
      <c r="C4688" s="34" t="s">
        <v>816</v>
      </c>
      <c r="D4688" s="53" t="str">
        <f>VLOOKUP(Sales[[#This Row],[Customer ID]],Customer[#All],2,0)</f>
        <v>Amit Patel</v>
      </c>
      <c r="E4688" s="34" t="s">
        <v>315</v>
      </c>
      <c r="F4688" s="34" t="str">
        <f>VLOOKUP(Sales[[#This Row],[Product ID]],Product[#All],2,0)</f>
        <v>Jbl Headset</v>
      </c>
      <c r="G4688" s="53">
        <v>3</v>
      </c>
      <c r="H4688" s="165">
        <f>VLOOKUP(Sales[[#This Row],[Product ID]],Product[#All],7,0)</f>
        <v>2630</v>
      </c>
      <c r="I4688" s="165">
        <f>Sales[[#This Row],[Selling Rate]]*Sales[[#This Row],[Qty]]</f>
        <v>7890</v>
      </c>
      <c r="J4688" s="45">
        <v>0.02</v>
      </c>
      <c r="K4688" s="46">
        <f>Sales[[#This Row],[Gross Amount]]*Sales[[#This Row],[Disc %]]</f>
        <v>157.80000000000001</v>
      </c>
      <c r="L4688" s="43">
        <v>0.18</v>
      </c>
      <c r="M4688" s="46">
        <f>(Sales[[#This Row],[Gross Amount]]-Sales[[#This Row],[Disc. Amt.]])*Sales[[#This Row],[GST %]]</f>
        <v>1391.7959999999998</v>
      </c>
      <c r="N4688" s="161">
        <f>Sales[[#This Row],[Gross Amount]]-Sales[[#This Row],[Disc. Amt.]]+Sales[[#This Row],[GST Amount]]</f>
        <v>9123.9959999999992</v>
      </c>
      <c r="O4688" s="34" t="s">
        <v>3561</v>
      </c>
      <c r="P4688" s="34" t="s">
        <v>3562</v>
      </c>
      <c r="Q4688" s="165">
        <f>IF(Sales[[#This Row],[Status]]="Cancelled",0,Sales[[#This Row],[Qty]])</f>
        <v>3</v>
      </c>
      <c r="R4688" s="166">
        <f>IF(Sales[[#This Row],[Status]]="Cancelled",0,Sales[[#This Row],[Total Amount]])</f>
        <v>9123.9959999999992</v>
      </c>
      <c r="S4688" s="162">
        <f>SUM(Sales[Net Amount])</f>
        <v>406839287.73200053</v>
      </c>
    </row>
    <row r="4689" spans="1:19" ht="18.75" x14ac:dyDescent="0.25">
      <c r="A4689" s="156" t="s">
        <v>8373</v>
      </c>
      <c r="B4689" s="157">
        <v>46007</v>
      </c>
      <c r="C4689" s="158" t="s">
        <v>694</v>
      </c>
      <c r="D4689" s="159" t="str">
        <f>VLOOKUP(Sales[[#This Row],[Customer ID]],Customer[#All],2,0)</f>
        <v>Amit Sharma</v>
      </c>
      <c r="E4689" s="158" t="s">
        <v>409</v>
      </c>
      <c r="F4689" s="158" t="str">
        <f>VLOOKUP(Sales[[#This Row],[Product ID]],Product[#All],2,0)</f>
        <v>Amazon Basics Hdmi Cable</v>
      </c>
      <c r="G4689" s="159">
        <v>3</v>
      </c>
      <c r="H4689" s="160">
        <f>VLOOKUP(Sales[[#This Row],[Product ID]],Product[#All],7,0)</f>
        <v>760</v>
      </c>
      <c r="I4689" s="160">
        <f>Sales[[#This Row],[Selling Rate]]*Sales[[#This Row],[Qty]]</f>
        <v>2280</v>
      </c>
      <c r="J4689" s="43">
        <v>0.05</v>
      </c>
      <c r="K4689" s="44">
        <f>Sales[[#This Row],[Gross Amount]]*Sales[[#This Row],[Disc %]]</f>
        <v>114</v>
      </c>
      <c r="L4689" s="43">
        <v>0.18</v>
      </c>
      <c r="M4689" s="44">
        <f>(Sales[[#This Row],[Gross Amount]]-Sales[[#This Row],[Disc. Amt.]])*Sales[[#This Row],[GST %]]</f>
        <v>389.88</v>
      </c>
      <c r="N4689" s="161">
        <f>Sales[[#This Row],[Gross Amount]]-Sales[[#This Row],[Disc. Amt.]]+Sales[[#This Row],[GST Amount]]</f>
        <v>2555.88</v>
      </c>
      <c r="O4689" s="158" t="s">
        <v>3566</v>
      </c>
      <c r="P4689" s="158" t="s">
        <v>3562</v>
      </c>
      <c r="Q4689" s="160">
        <f>IF(Sales[[#This Row],[Status]]="Cancelled",0,Sales[[#This Row],[Qty]])</f>
        <v>3</v>
      </c>
      <c r="R4689" s="161">
        <f>IF(Sales[[#This Row],[Status]]="Cancelled",0,Sales[[#This Row],[Total Amount]])</f>
        <v>2555.88</v>
      </c>
      <c r="S4689" s="162">
        <f>SUM(Sales[Net Amount])</f>
        <v>406839287.73200053</v>
      </c>
    </row>
    <row r="4690" spans="1:19" ht="18.75" x14ac:dyDescent="0.25">
      <c r="A4690" s="163" t="s">
        <v>8374</v>
      </c>
      <c r="B4690" s="164">
        <v>46007</v>
      </c>
      <c r="C4690" s="34" t="s">
        <v>764</v>
      </c>
      <c r="D4690" s="53" t="str">
        <f>VLOOKUP(Sales[[#This Row],[Customer ID]],Customer[#All],2,0)</f>
        <v>Priya Gupta</v>
      </c>
      <c r="E4690" s="34" t="s">
        <v>386</v>
      </c>
      <c r="F4690" s="34" t="str">
        <f>VLOOKUP(Sales[[#This Row],[Product ID]],Product[#All],2,0)</f>
        <v>Sandisk Pen Drive</v>
      </c>
      <c r="G4690" s="53">
        <v>3</v>
      </c>
      <c r="H4690" s="165">
        <f>VLOOKUP(Sales[[#This Row],[Product ID]],Product[#All],7,0)</f>
        <v>700</v>
      </c>
      <c r="I4690" s="165">
        <f>Sales[[#This Row],[Selling Rate]]*Sales[[#This Row],[Qty]]</f>
        <v>2100</v>
      </c>
      <c r="J4690" s="45">
        <v>0.1</v>
      </c>
      <c r="K4690" s="46">
        <f>Sales[[#This Row],[Gross Amount]]*Sales[[#This Row],[Disc %]]</f>
        <v>210</v>
      </c>
      <c r="L4690" s="43">
        <v>0.18</v>
      </c>
      <c r="M4690" s="46">
        <f>(Sales[[#This Row],[Gross Amount]]-Sales[[#This Row],[Disc. Amt.]])*Sales[[#This Row],[GST %]]</f>
        <v>340.2</v>
      </c>
      <c r="N4690" s="161">
        <f>Sales[[#This Row],[Gross Amount]]-Sales[[#This Row],[Disc. Amt.]]+Sales[[#This Row],[GST Amount]]</f>
        <v>2230.1999999999998</v>
      </c>
      <c r="O4690" s="34" t="s">
        <v>3569</v>
      </c>
      <c r="P4690" s="34" t="s">
        <v>3562</v>
      </c>
      <c r="Q4690" s="165">
        <f>IF(Sales[[#This Row],[Status]]="Cancelled",0,Sales[[#This Row],[Qty]])</f>
        <v>3</v>
      </c>
      <c r="R4690" s="166">
        <f>IF(Sales[[#This Row],[Status]]="Cancelled",0,Sales[[#This Row],[Total Amount]])</f>
        <v>2230.1999999999998</v>
      </c>
      <c r="S4690" s="162">
        <f>SUM(Sales[Net Amount])</f>
        <v>406839287.73200053</v>
      </c>
    </row>
    <row r="4691" spans="1:19" ht="18.75" x14ac:dyDescent="0.25">
      <c r="A4691" s="156" t="s">
        <v>8375</v>
      </c>
      <c r="B4691" s="157">
        <v>46007</v>
      </c>
      <c r="C4691" s="158" t="s">
        <v>760</v>
      </c>
      <c r="D4691" s="159" t="str">
        <f>VLOOKUP(Sales[[#This Row],[Customer ID]],Customer[#All],2,0)</f>
        <v>Pooja Singh</v>
      </c>
      <c r="E4691" s="158" t="s">
        <v>233</v>
      </c>
      <c r="F4691" s="158" t="str">
        <f>VLOOKUP(Sales[[#This Row],[Product ID]],Product[#All],2,0)</f>
        <v>HP Mouse</v>
      </c>
      <c r="G4691" s="159">
        <v>2</v>
      </c>
      <c r="H4691" s="160">
        <f>VLOOKUP(Sales[[#This Row],[Product ID]],Product[#All],7,0)</f>
        <v>860</v>
      </c>
      <c r="I4691" s="160">
        <f>Sales[[#This Row],[Selling Rate]]*Sales[[#This Row],[Qty]]</f>
        <v>1720</v>
      </c>
      <c r="J4691" s="43">
        <v>0.15</v>
      </c>
      <c r="K4691" s="44">
        <f>Sales[[#This Row],[Gross Amount]]*Sales[[#This Row],[Disc %]]</f>
        <v>258</v>
      </c>
      <c r="L4691" s="43">
        <v>0.18</v>
      </c>
      <c r="M4691" s="44">
        <f>(Sales[[#This Row],[Gross Amount]]-Sales[[#This Row],[Disc. Amt.]])*Sales[[#This Row],[GST %]]</f>
        <v>263.15999999999997</v>
      </c>
      <c r="N4691" s="161">
        <f>Sales[[#This Row],[Gross Amount]]-Sales[[#This Row],[Disc. Amt.]]+Sales[[#This Row],[GST Amount]]</f>
        <v>1725.1599999999999</v>
      </c>
      <c r="O4691" s="158" t="s">
        <v>3561</v>
      </c>
      <c r="P4691" s="158" t="s">
        <v>3562</v>
      </c>
      <c r="Q4691" s="160">
        <f>IF(Sales[[#This Row],[Status]]="Cancelled",0,Sales[[#This Row],[Qty]])</f>
        <v>2</v>
      </c>
      <c r="R4691" s="161">
        <f>IF(Sales[[#This Row],[Status]]="Cancelled",0,Sales[[#This Row],[Total Amount]])</f>
        <v>1725.1599999999999</v>
      </c>
      <c r="S4691" s="162">
        <f>SUM(Sales[Net Amount])</f>
        <v>406839287.73200053</v>
      </c>
    </row>
    <row r="4692" spans="1:19" ht="18.75" x14ac:dyDescent="0.25">
      <c r="A4692" s="163" t="s">
        <v>8376</v>
      </c>
      <c r="B4692" s="164">
        <v>46007</v>
      </c>
      <c r="C4692" s="34" t="s">
        <v>765</v>
      </c>
      <c r="D4692" s="53" t="str">
        <f>VLOOKUP(Sales[[#This Row],[Customer ID]],Customer[#All],2,0)</f>
        <v>Neha Gupta</v>
      </c>
      <c r="E4692" s="34" t="s">
        <v>482</v>
      </c>
      <c r="F4692" s="34" t="str">
        <f>VLOOKUP(Sales[[#This Row],[Product ID]],Product[#All],2,0)</f>
        <v>HP Mouse</v>
      </c>
      <c r="G4692" s="53">
        <v>7</v>
      </c>
      <c r="H4692" s="165">
        <f>VLOOKUP(Sales[[#This Row],[Product ID]],Product[#All],7,0)</f>
        <v>790</v>
      </c>
      <c r="I4692" s="165">
        <f>Sales[[#This Row],[Selling Rate]]*Sales[[#This Row],[Qty]]</f>
        <v>5530</v>
      </c>
      <c r="J4692" s="45">
        <v>0.1</v>
      </c>
      <c r="K4692" s="46">
        <f>Sales[[#This Row],[Gross Amount]]*Sales[[#This Row],[Disc %]]</f>
        <v>553</v>
      </c>
      <c r="L4692" s="43">
        <v>0.18</v>
      </c>
      <c r="M4692" s="46">
        <f>(Sales[[#This Row],[Gross Amount]]-Sales[[#This Row],[Disc. Amt.]])*Sales[[#This Row],[GST %]]</f>
        <v>895.86</v>
      </c>
      <c r="N4692" s="161">
        <f>Sales[[#This Row],[Gross Amount]]-Sales[[#This Row],[Disc. Amt.]]+Sales[[#This Row],[GST Amount]]</f>
        <v>5872.86</v>
      </c>
      <c r="O4692" s="34" t="s">
        <v>8876</v>
      </c>
      <c r="P4692" s="34" t="s">
        <v>3562</v>
      </c>
      <c r="Q4692" s="165">
        <f>IF(Sales[[#This Row],[Status]]="Cancelled",0,Sales[[#This Row],[Qty]])</f>
        <v>7</v>
      </c>
      <c r="R4692" s="166">
        <f>IF(Sales[[#This Row],[Status]]="Cancelled",0,Sales[[#This Row],[Total Amount]])</f>
        <v>5872.86</v>
      </c>
      <c r="S4692" s="162">
        <f>SUM(Sales[Net Amount])</f>
        <v>406839287.73200053</v>
      </c>
    </row>
    <row r="4693" spans="1:19" ht="18.75" x14ac:dyDescent="0.25">
      <c r="A4693" s="156" t="s">
        <v>8377</v>
      </c>
      <c r="B4693" s="157">
        <v>46007</v>
      </c>
      <c r="C4693" s="158" t="s">
        <v>847</v>
      </c>
      <c r="D4693" s="159" t="str">
        <f>VLOOKUP(Sales[[#This Row],[Customer ID]],Customer[#All],2,0)</f>
        <v>Ankit Gupta</v>
      </c>
      <c r="E4693" s="158" t="s">
        <v>403</v>
      </c>
      <c r="F4693" s="158" t="str">
        <f>VLOOKUP(Sales[[#This Row],[Product ID]],Product[#All],2,0)</f>
        <v>Apc UPS</v>
      </c>
      <c r="G4693" s="159">
        <v>8</v>
      </c>
      <c r="H4693" s="160">
        <f>VLOOKUP(Sales[[#This Row],[Product ID]],Product[#All],7,0)</f>
        <v>15810</v>
      </c>
      <c r="I4693" s="160">
        <f>Sales[[#This Row],[Selling Rate]]*Sales[[#This Row],[Qty]]</f>
        <v>126480</v>
      </c>
      <c r="J4693" s="43">
        <v>0.05</v>
      </c>
      <c r="K4693" s="44">
        <f>Sales[[#This Row],[Gross Amount]]*Sales[[#This Row],[Disc %]]</f>
        <v>6324</v>
      </c>
      <c r="L4693" s="43">
        <v>0.18</v>
      </c>
      <c r="M4693" s="44">
        <f>(Sales[[#This Row],[Gross Amount]]-Sales[[#This Row],[Disc. Amt.]])*Sales[[#This Row],[GST %]]</f>
        <v>21628.079999999998</v>
      </c>
      <c r="N4693" s="161">
        <f>Sales[[#This Row],[Gross Amount]]-Sales[[#This Row],[Disc. Amt.]]+Sales[[#This Row],[GST Amount]]</f>
        <v>141784.07999999999</v>
      </c>
      <c r="O4693" s="158" t="s">
        <v>8876</v>
      </c>
      <c r="P4693" s="158" t="s">
        <v>3562</v>
      </c>
      <c r="Q4693" s="160">
        <f>IF(Sales[[#This Row],[Status]]="Cancelled",0,Sales[[#This Row],[Qty]])</f>
        <v>8</v>
      </c>
      <c r="R4693" s="161">
        <f>IF(Sales[[#This Row],[Status]]="Cancelled",0,Sales[[#This Row],[Total Amount]])</f>
        <v>141784.07999999999</v>
      </c>
      <c r="S4693" s="162">
        <f>SUM(Sales[Net Amount])</f>
        <v>406839287.73200053</v>
      </c>
    </row>
    <row r="4694" spans="1:19" ht="18.75" x14ac:dyDescent="0.25">
      <c r="A4694" s="163" t="s">
        <v>8378</v>
      </c>
      <c r="B4694" s="164">
        <v>46007</v>
      </c>
      <c r="C4694" s="34" t="s">
        <v>747</v>
      </c>
      <c r="D4694" s="53" t="str">
        <f>VLOOKUP(Sales[[#This Row],[Customer ID]],Customer[#All],2,0)</f>
        <v>Sunita Gupta</v>
      </c>
      <c r="E4694" s="34" t="s">
        <v>23</v>
      </c>
      <c r="F4694" s="34" t="str">
        <f>VLOOKUP(Sales[[#This Row],[Product ID]],Product[#All],2,0)</f>
        <v>Kingston Ram</v>
      </c>
      <c r="G4694" s="53">
        <v>6</v>
      </c>
      <c r="H4694" s="165">
        <f>VLOOKUP(Sales[[#This Row],[Product ID]],Product[#All],7,0)</f>
        <v>6040</v>
      </c>
      <c r="I4694" s="165">
        <f>Sales[[#This Row],[Selling Rate]]*Sales[[#This Row],[Qty]]</f>
        <v>36240</v>
      </c>
      <c r="J4694" s="45">
        <v>0.02</v>
      </c>
      <c r="K4694" s="46">
        <f>Sales[[#This Row],[Gross Amount]]*Sales[[#This Row],[Disc %]]</f>
        <v>724.80000000000007</v>
      </c>
      <c r="L4694" s="43">
        <v>0.18</v>
      </c>
      <c r="M4694" s="46">
        <f>(Sales[[#This Row],[Gross Amount]]-Sales[[#This Row],[Disc. Amt.]])*Sales[[#This Row],[GST %]]</f>
        <v>6392.735999999999</v>
      </c>
      <c r="N4694" s="161">
        <f>Sales[[#This Row],[Gross Amount]]-Sales[[#This Row],[Disc. Amt.]]+Sales[[#This Row],[GST Amount]]</f>
        <v>41907.935999999994</v>
      </c>
      <c r="O4694" s="34" t="s">
        <v>3569</v>
      </c>
      <c r="P4694" s="34" t="s">
        <v>3562</v>
      </c>
      <c r="Q4694" s="165">
        <f>IF(Sales[[#This Row],[Status]]="Cancelled",0,Sales[[#This Row],[Qty]])</f>
        <v>6</v>
      </c>
      <c r="R4694" s="166">
        <f>IF(Sales[[#This Row],[Status]]="Cancelled",0,Sales[[#This Row],[Total Amount]])</f>
        <v>41907.935999999994</v>
      </c>
      <c r="S4694" s="162">
        <f>SUM(Sales[Net Amount])</f>
        <v>406839287.73200053</v>
      </c>
    </row>
    <row r="4695" spans="1:19" ht="18.75" x14ac:dyDescent="0.25">
      <c r="A4695" s="156" t="s">
        <v>8379</v>
      </c>
      <c r="B4695" s="157">
        <v>46007</v>
      </c>
      <c r="C4695" s="158" t="s">
        <v>790</v>
      </c>
      <c r="D4695" s="159" t="str">
        <f>VLOOKUP(Sales[[#This Row],[Customer ID]],Customer[#All],2,0)</f>
        <v>Pooja Gupta</v>
      </c>
      <c r="E4695" s="158" t="s">
        <v>67</v>
      </c>
      <c r="F4695" s="158" t="str">
        <f>VLOOKUP(Sales[[#This Row],[Product ID]],Product[#All],2,0)</f>
        <v>TP-link Wi-Fi Adapter</v>
      </c>
      <c r="G4695" s="159">
        <v>5</v>
      </c>
      <c r="H4695" s="160">
        <f>VLOOKUP(Sales[[#This Row],[Product ID]],Product[#All],7,0)</f>
        <v>2990</v>
      </c>
      <c r="I4695" s="160">
        <f>Sales[[#This Row],[Selling Rate]]*Sales[[#This Row],[Qty]]</f>
        <v>14950</v>
      </c>
      <c r="J4695" s="43">
        <v>0.12</v>
      </c>
      <c r="K4695" s="44">
        <f>Sales[[#This Row],[Gross Amount]]*Sales[[#This Row],[Disc %]]</f>
        <v>1794</v>
      </c>
      <c r="L4695" s="43">
        <v>0.18</v>
      </c>
      <c r="M4695" s="44">
        <f>(Sales[[#This Row],[Gross Amount]]-Sales[[#This Row],[Disc. Amt.]])*Sales[[#This Row],[GST %]]</f>
        <v>2368.08</v>
      </c>
      <c r="N4695" s="161">
        <f>Sales[[#This Row],[Gross Amount]]-Sales[[#This Row],[Disc. Amt.]]+Sales[[#This Row],[GST Amount]]</f>
        <v>15524.08</v>
      </c>
      <c r="O4695" s="158" t="s">
        <v>3561</v>
      </c>
      <c r="P4695" s="158" t="s">
        <v>3562</v>
      </c>
      <c r="Q4695" s="160">
        <f>IF(Sales[[#This Row],[Status]]="Cancelled",0,Sales[[#This Row],[Qty]])</f>
        <v>5</v>
      </c>
      <c r="R4695" s="161">
        <f>IF(Sales[[#This Row],[Status]]="Cancelled",0,Sales[[#This Row],[Total Amount]])</f>
        <v>15524.08</v>
      </c>
      <c r="S4695" s="162">
        <f>SUM(Sales[Net Amount])</f>
        <v>406839287.73200053</v>
      </c>
    </row>
    <row r="4696" spans="1:19" ht="18.75" x14ac:dyDescent="0.25">
      <c r="A4696" s="163" t="s">
        <v>8380</v>
      </c>
      <c r="B4696" s="164">
        <v>46007</v>
      </c>
      <c r="C4696" s="34" t="s">
        <v>781</v>
      </c>
      <c r="D4696" s="53" t="str">
        <f>VLOOKUP(Sales[[#This Row],[Customer ID]],Customer[#All],2,0)</f>
        <v>Vikas Sharma</v>
      </c>
      <c r="E4696" s="34" t="s">
        <v>540</v>
      </c>
      <c r="F4696" s="34" t="str">
        <f>VLOOKUP(Sales[[#This Row],[Product ID]],Product[#All],2,0)</f>
        <v>Dell Desktop</v>
      </c>
      <c r="G4696" s="53">
        <v>2</v>
      </c>
      <c r="H4696" s="165">
        <f>VLOOKUP(Sales[[#This Row],[Product ID]],Product[#All],7,0)</f>
        <v>34160</v>
      </c>
      <c r="I4696" s="165">
        <f>Sales[[#This Row],[Selling Rate]]*Sales[[#This Row],[Qty]]</f>
        <v>68320</v>
      </c>
      <c r="J4696" s="45">
        <v>0.05</v>
      </c>
      <c r="K4696" s="46">
        <f>Sales[[#This Row],[Gross Amount]]*Sales[[#This Row],[Disc %]]</f>
        <v>3416</v>
      </c>
      <c r="L4696" s="43">
        <v>0.18</v>
      </c>
      <c r="M4696" s="46">
        <f>(Sales[[#This Row],[Gross Amount]]-Sales[[#This Row],[Disc. Amt.]])*Sales[[#This Row],[GST %]]</f>
        <v>11682.72</v>
      </c>
      <c r="N4696" s="161">
        <f>Sales[[#This Row],[Gross Amount]]-Sales[[#This Row],[Disc. Amt.]]+Sales[[#This Row],[GST Amount]]</f>
        <v>76586.720000000001</v>
      </c>
      <c r="O4696" s="34" t="s">
        <v>3569</v>
      </c>
      <c r="P4696" s="34" t="s">
        <v>3562</v>
      </c>
      <c r="Q4696" s="165">
        <f>IF(Sales[[#This Row],[Status]]="Cancelled",0,Sales[[#This Row],[Qty]])</f>
        <v>2</v>
      </c>
      <c r="R4696" s="166">
        <f>IF(Sales[[#This Row],[Status]]="Cancelled",0,Sales[[#This Row],[Total Amount]])</f>
        <v>76586.720000000001</v>
      </c>
      <c r="S4696" s="162">
        <f>SUM(Sales[Net Amount])</f>
        <v>406839287.73200053</v>
      </c>
    </row>
    <row r="4697" spans="1:19" ht="18.75" x14ac:dyDescent="0.25">
      <c r="A4697" s="156" t="s">
        <v>8381</v>
      </c>
      <c r="B4697" s="157">
        <v>46008</v>
      </c>
      <c r="C4697" s="158" t="s">
        <v>848</v>
      </c>
      <c r="D4697" s="159" t="str">
        <f>VLOOKUP(Sales[[#This Row],[Customer ID]],Customer[#All],2,0)</f>
        <v>Rakesh Patel</v>
      </c>
      <c r="E4697" s="158" t="s">
        <v>491</v>
      </c>
      <c r="F4697" s="158" t="str">
        <f>VLOOKUP(Sales[[#This Row],[Product ID]],Product[#All],2,0)</f>
        <v>Boat Speaker</v>
      </c>
      <c r="G4697" s="159">
        <v>5</v>
      </c>
      <c r="H4697" s="160">
        <f>VLOOKUP(Sales[[#This Row],[Product ID]],Product[#All],7,0)</f>
        <v>2300</v>
      </c>
      <c r="I4697" s="160">
        <f>Sales[[#This Row],[Selling Rate]]*Sales[[#This Row],[Qty]]</f>
        <v>11500</v>
      </c>
      <c r="J4697" s="43">
        <v>0.05</v>
      </c>
      <c r="K4697" s="44">
        <f>Sales[[#This Row],[Gross Amount]]*Sales[[#This Row],[Disc %]]</f>
        <v>575</v>
      </c>
      <c r="L4697" s="43">
        <v>0.18</v>
      </c>
      <c r="M4697" s="44">
        <f>(Sales[[#This Row],[Gross Amount]]-Sales[[#This Row],[Disc. Amt.]])*Sales[[#This Row],[GST %]]</f>
        <v>1966.5</v>
      </c>
      <c r="N4697" s="161">
        <f>Sales[[#This Row],[Gross Amount]]-Sales[[#This Row],[Disc. Amt.]]+Sales[[#This Row],[GST Amount]]</f>
        <v>12891.5</v>
      </c>
      <c r="O4697" s="158" t="s">
        <v>3569</v>
      </c>
      <c r="P4697" s="158" t="s">
        <v>3562</v>
      </c>
      <c r="Q4697" s="160">
        <f>IF(Sales[[#This Row],[Status]]="Cancelled",0,Sales[[#This Row],[Qty]])</f>
        <v>5</v>
      </c>
      <c r="R4697" s="161">
        <f>IF(Sales[[#This Row],[Status]]="Cancelled",0,Sales[[#This Row],[Total Amount]])</f>
        <v>12891.5</v>
      </c>
      <c r="S4697" s="162">
        <f>SUM(Sales[Net Amount])</f>
        <v>406839287.73200053</v>
      </c>
    </row>
    <row r="4698" spans="1:19" ht="18.75" x14ac:dyDescent="0.25">
      <c r="A4698" s="163" t="s">
        <v>8382</v>
      </c>
      <c r="B4698" s="164">
        <v>46008</v>
      </c>
      <c r="C4698" s="34" t="s">
        <v>851</v>
      </c>
      <c r="D4698" s="53" t="str">
        <f>VLOOKUP(Sales[[#This Row],[Customer ID]],Customer[#All],2,0)</f>
        <v>Pooja Singh</v>
      </c>
      <c r="E4698" s="34" t="s">
        <v>489</v>
      </c>
      <c r="F4698" s="34" t="str">
        <f>VLOOKUP(Sales[[#This Row],[Product ID]],Product[#All],2,0)</f>
        <v>Microtek UPS</v>
      </c>
      <c r="G4698" s="53">
        <v>7</v>
      </c>
      <c r="H4698" s="165">
        <f>VLOOKUP(Sales[[#This Row],[Product ID]],Product[#All],7,0)</f>
        <v>8040</v>
      </c>
      <c r="I4698" s="165">
        <f>Sales[[#This Row],[Selling Rate]]*Sales[[#This Row],[Qty]]</f>
        <v>56280</v>
      </c>
      <c r="J4698" s="45">
        <v>0.05</v>
      </c>
      <c r="K4698" s="46">
        <f>Sales[[#This Row],[Gross Amount]]*Sales[[#This Row],[Disc %]]</f>
        <v>2814</v>
      </c>
      <c r="L4698" s="43">
        <v>0.18</v>
      </c>
      <c r="M4698" s="46">
        <f>(Sales[[#This Row],[Gross Amount]]-Sales[[#This Row],[Disc. Amt.]])*Sales[[#This Row],[GST %]]</f>
        <v>9623.8799999999992</v>
      </c>
      <c r="N4698" s="161">
        <f>Sales[[#This Row],[Gross Amount]]-Sales[[#This Row],[Disc. Amt.]]+Sales[[#This Row],[GST Amount]]</f>
        <v>63089.88</v>
      </c>
      <c r="O4698" s="34" t="s">
        <v>3561</v>
      </c>
      <c r="P4698" s="34" t="s">
        <v>3562</v>
      </c>
      <c r="Q4698" s="165">
        <f>IF(Sales[[#This Row],[Status]]="Cancelled",0,Sales[[#This Row],[Qty]])</f>
        <v>7</v>
      </c>
      <c r="R4698" s="166">
        <f>IF(Sales[[#This Row],[Status]]="Cancelled",0,Sales[[#This Row],[Total Amount]])</f>
        <v>63089.88</v>
      </c>
      <c r="S4698" s="162">
        <f>SUM(Sales[Net Amount])</f>
        <v>406839287.73200053</v>
      </c>
    </row>
    <row r="4699" spans="1:19" ht="18.75" x14ac:dyDescent="0.25">
      <c r="A4699" s="156" t="s">
        <v>8383</v>
      </c>
      <c r="B4699" s="157">
        <v>46008</v>
      </c>
      <c r="C4699" s="158" t="s">
        <v>923</v>
      </c>
      <c r="D4699" s="159" t="str">
        <f>VLOOKUP(Sales[[#This Row],[Customer ID]],Customer[#All],2,0)</f>
        <v>Rahul Gupta</v>
      </c>
      <c r="E4699" s="158" t="s">
        <v>155</v>
      </c>
      <c r="F4699" s="158" t="str">
        <f>VLOOKUP(Sales[[#This Row],[Product ID]],Product[#All],2,0)</f>
        <v>Sandisk Pen Drive</v>
      </c>
      <c r="G4699" s="159">
        <v>8</v>
      </c>
      <c r="H4699" s="160">
        <f>VLOOKUP(Sales[[#This Row],[Product ID]],Product[#All],7,0)</f>
        <v>3650</v>
      </c>
      <c r="I4699" s="160">
        <f>Sales[[#This Row],[Selling Rate]]*Sales[[#This Row],[Qty]]</f>
        <v>29200</v>
      </c>
      <c r="J4699" s="43">
        <v>0</v>
      </c>
      <c r="K4699" s="44">
        <f>Sales[[#This Row],[Gross Amount]]*Sales[[#This Row],[Disc %]]</f>
        <v>0</v>
      </c>
      <c r="L4699" s="43">
        <v>0.18</v>
      </c>
      <c r="M4699" s="44">
        <f>(Sales[[#This Row],[Gross Amount]]-Sales[[#This Row],[Disc. Amt.]])*Sales[[#This Row],[GST %]]</f>
        <v>5256</v>
      </c>
      <c r="N4699" s="161">
        <f>Sales[[#This Row],[Gross Amount]]-Sales[[#This Row],[Disc. Amt.]]+Sales[[#This Row],[GST Amount]]</f>
        <v>34456</v>
      </c>
      <c r="O4699" s="158" t="s">
        <v>3569</v>
      </c>
      <c r="P4699" s="158" t="s">
        <v>3562</v>
      </c>
      <c r="Q4699" s="160">
        <f>IF(Sales[[#This Row],[Status]]="Cancelled",0,Sales[[#This Row],[Qty]])</f>
        <v>8</v>
      </c>
      <c r="R4699" s="161">
        <f>IF(Sales[[#This Row],[Status]]="Cancelled",0,Sales[[#This Row],[Total Amount]])</f>
        <v>34456</v>
      </c>
      <c r="S4699" s="162">
        <f>SUM(Sales[Net Amount])</f>
        <v>406839287.73200053</v>
      </c>
    </row>
    <row r="4700" spans="1:19" ht="18.75" x14ac:dyDescent="0.25">
      <c r="A4700" s="163" t="s">
        <v>8384</v>
      </c>
      <c r="B4700" s="164">
        <v>46008</v>
      </c>
      <c r="C4700" s="34" t="s">
        <v>856</v>
      </c>
      <c r="D4700" s="53" t="str">
        <f>VLOOKUP(Sales[[#This Row],[Customer ID]],Customer[#All],2,0)</f>
        <v>Sunita Verma</v>
      </c>
      <c r="E4700" s="34" t="s">
        <v>283</v>
      </c>
      <c r="F4700" s="34" t="str">
        <f>VLOOKUP(Sales[[#This Row],[Product ID]],Product[#All],2,0)</f>
        <v>Lenovo Laptop</v>
      </c>
      <c r="G4700" s="53">
        <v>6</v>
      </c>
      <c r="H4700" s="165">
        <f>VLOOKUP(Sales[[#This Row],[Product ID]],Product[#All],7,0)</f>
        <v>36480</v>
      </c>
      <c r="I4700" s="165">
        <f>Sales[[#This Row],[Selling Rate]]*Sales[[#This Row],[Qty]]</f>
        <v>218880</v>
      </c>
      <c r="J4700" s="45">
        <v>0.05</v>
      </c>
      <c r="K4700" s="46">
        <f>Sales[[#This Row],[Gross Amount]]*Sales[[#This Row],[Disc %]]</f>
        <v>10944</v>
      </c>
      <c r="L4700" s="43">
        <v>0.18</v>
      </c>
      <c r="M4700" s="46">
        <f>(Sales[[#This Row],[Gross Amount]]-Sales[[#This Row],[Disc. Amt.]])*Sales[[#This Row],[GST %]]</f>
        <v>37428.479999999996</v>
      </c>
      <c r="N4700" s="161">
        <f>Sales[[#This Row],[Gross Amount]]-Sales[[#This Row],[Disc. Amt.]]+Sales[[#This Row],[GST Amount]]</f>
        <v>245364.47999999998</v>
      </c>
      <c r="O4700" s="34" t="s">
        <v>3561</v>
      </c>
      <c r="P4700" s="34" t="s">
        <v>3562</v>
      </c>
      <c r="Q4700" s="165">
        <f>IF(Sales[[#This Row],[Status]]="Cancelled",0,Sales[[#This Row],[Qty]])</f>
        <v>6</v>
      </c>
      <c r="R4700" s="166">
        <f>IF(Sales[[#This Row],[Status]]="Cancelled",0,Sales[[#This Row],[Total Amount]])</f>
        <v>245364.47999999998</v>
      </c>
      <c r="S4700" s="162">
        <f>SUM(Sales[Net Amount])</f>
        <v>406839287.73200053</v>
      </c>
    </row>
    <row r="4701" spans="1:19" ht="18.75" x14ac:dyDescent="0.25">
      <c r="A4701" s="156" t="s">
        <v>8385</v>
      </c>
      <c r="B4701" s="157">
        <v>46008</v>
      </c>
      <c r="C4701" s="158" t="s">
        <v>683</v>
      </c>
      <c r="D4701" s="159" t="str">
        <f>VLOOKUP(Sales[[#This Row],[Customer ID]],Customer[#All],2,0)</f>
        <v>Rahul Kumar</v>
      </c>
      <c r="E4701" s="158" t="s">
        <v>288</v>
      </c>
      <c r="F4701" s="158" t="str">
        <f>VLOOKUP(Sales[[#This Row],[Product ID]],Product[#All],2,0)</f>
        <v>Canon Printer</v>
      </c>
      <c r="G4701" s="159">
        <v>1</v>
      </c>
      <c r="H4701" s="160">
        <f>VLOOKUP(Sales[[#This Row],[Product ID]],Product[#All],7,0)</f>
        <v>41150</v>
      </c>
      <c r="I4701" s="160">
        <f>Sales[[#This Row],[Selling Rate]]*Sales[[#This Row],[Qty]]</f>
        <v>41150</v>
      </c>
      <c r="J4701" s="43">
        <v>0.05</v>
      </c>
      <c r="K4701" s="44">
        <f>Sales[[#This Row],[Gross Amount]]*Sales[[#This Row],[Disc %]]</f>
        <v>2057.5</v>
      </c>
      <c r="L4701" s="43">
        <v>0.18</v>
      </c>
      <c r="M4701" s="44">
        <f>(Sales[[#This Row],[Gross Amount]]-Sales[[#This Row],[Disc. Amt.]])*Sales[[#This Row],[GST %]]</f>
        <v>7036.65</v>
      </c>
      <c r="N4701" s="161">
        <f>Sales[[#This Row],[Gross Amount]]-Sales[[#This Row],[Disc. Amt.]]+Sales[[#This Row],[GST Amount]]</f>
        <v>46129.15</v>
      </c>
      <c r="O4701" s="158" t="s">
        <v>3569</v>
      </c>
      <c r="P4701" s="158" t="s">
        <v>3562</v>
      </c>
      <c r="Q4701" s="160">
        <f>IF(Sales[[#This Row],[Status]]="Cancelled",0,Sales[[#This Row],[Qty]])</f>
        <v>1</v>
      </c>
      <c r="R4701" s="161">
        <f>IF(Sales[[#This Row],[Status]]="Cancelled",0,Sales[[#This Row],[Total Amount]])</f>
        <v>46129.15</v>
      </c>
      <c r="S4701" s="162">
        <f>SUM(Sales[Net Amount])</f>
        <v>406839287.73200053</v>
      </c>
    </row>
    <row r="4702" spans="1:19" ht="18.75" x14ac:dyDescent="0.25">
      <c r="A4702" s="163" t="s">
        <v>8386</v>
      </c>
      <c r="B4702" s="164">
        <v>46008</v>
      </c>
      <c r="C4702" s="34" t="s">
        <v>741</v>
      </c>
      <c r="D4702" s="53" t="str">
        <f>VLOOKUP(Sales[[#This Row],[Customer ID]],Customer[#All],2,0)</f>
        <v>Rahul Patel</v>
      </c>
      <c r="E4702" s="34" t="s">
        <v>360</v>
      </c>
      <c r="F4702" s="34" t="str">
        <f>VLOOKUP(Sales[[#This Row],[Product ID]],Product[#All],2,0)</f>
        <v>Canon Printer</v>
      </c>
      <c r="G4702" s="53">
        <v>7</v>
      </c>
      <c r="H4702" s="165">
        <f>VLOOKUP(Sales[[#This Row],[Product ID]],Product[#All],7,0)</f>
        <v>29670</v>
      </c>
      <c r="I4702" s="165">
        <f>Sales[[#This Row],[Selling Rate]]*Sales[[#This Row],[Qty]]</f>
        <v>207690</v>
      </c>
      <c r="J4702" s="45">
        <v>0.15</v>
      </c>
      <c r="K4702" s="46">
        <f>Sales[[#This Row],[Gross Amount]]*Sales[[#This Row],[Disc %]]</f>
        <v>31153.5</v>
      </c>
      <c r="L4702" s="43">
        <v>0.18</v>
      </c>
      <c r="M4702" s="46">
        <f>(Sales[[#This Row],[Gross Amount]]-Sales[[#This Row],[Disc. Amt.]])*Sales[[#This Row],[GST %]]</f>
        <v>31776.57</v>
      </c>
      <c r="N4702" s="161">
        <f>Sales[[#This Row],[Gross Amount]]-Sales[[#This Row],[Disc. Amt.]]+Sales[[#This Row],[GST Amount]]</f>
        <v>208313.07</v>
      </c>
      <c r="O4702" s="34" t="s">
        <v>3569</v>
      </c>
      <c r="P4702" s="34" t="s">
        <v>3562</v>
      </c>
      <c r="Q4702" s="165">
        <f>IF(Sales[[#This Row],[Status]]="Cancelled",0,Sales[[#This Row],[Qty]])</f>
        <v>7</v>
      </c>
      <c r="R4702" s="166">
        <f>IF(Sales[[#This Row],[Status]]="Cancelled",0,Sales[[#This Row],[Total Amount]])</f>
        <v>208313.07</v>
      </c>
      <c r="S4702" s="162">
        <f>SUM(Sales[Net Amount])</f>
        <v>406839287.73200053</v>
      </c>
    </row>
    <row r="4703" spans="1:19" ht="18.75" x14ac:dyDescent="0.25">
      <c r="A4703" s="156" t="s">
        <v>8387</v>
      </c>
      <c r="B4703" s="157">
        <v>46008</v>
      </c>
      <c r="C4703" s="158" t="s">
        <v>782</v>
      </c>
      <c r="D4703" s="159" t="str">
        <f>VLOOKUP(Sales[[#This Row],[Customer ID]],Customer[#All],2,0)</f>
        <v>Vikas Singh</v>
      </c>
      <c r="E4703" s="158" t="s">
        <v>255</v>
      </c>
      <c r="F4703" s="158" t="str">
        <f>VLOOKUP(Sales[[#This Row],[Product ID]],Product[#All],2,0)</f>
        <v>Acer Laptop</v>
      </c>
      <c r="G4703" s="159">
        <v>4</v>
      </c>
      <c r="H4703" s="160">
        <f>VLOOKUP(Sales[[#This Row],[Product ID]],Product[#All],7,0)</f>
        <v>62430</v>
      </c>
      <c r="I4703" s="160">
        <f>Sales[[#This Row],[Selling Rate]]*Sales[[#This Row],[Qty]]</f>
        <v>249720</v>
      </c>
      <c r="J4703" s="43">
        <v>0.12</v>
      </c>
      <c r="K4703" s="44">
        <f>Sales[[#This Row],[Gross Amount]]*Sales[[#This Row],[Disc %]]</f>
        <v>29966.399999999998</v>
      </c>
      <c r="L4703" s="43">
        <v>0.18</v>
      </c>
      <c r="M4703" s="44">
        <f>(Sales[[#This Row],[Gross Amount]]-Sales[[#This Row],[Disc. Amt.]])*Sales[[#This Row],[GST %]]</f>
        <v>39555.648000000001</v>
      </c>
      <c r="N4703" s="161">
        <f>Sales[[#This Row],[Gross Amount]]-Sales[[#This Row],[Disc. Amt.]]+Sales[[#This Row],[GST Amount]]</f>
        <v>259309.24800000002</v>
      </c>
      <c r="O4703" s="158" t="s">
        <v>3561</v>
      </c>
      <c r="P4703" s="158" t="s">
        <v>3562</v>
      </c>
      <c r="Q4703" s="160">
        <f>IF(Sales[[#This Row],[Status]]="Cancelled",0,Sales[[#This Row],[Qty]])</f>
        <v>4</v>
      </c>
      <c r="R4703" s="161">
        <f>IF(Sales[[#This Row],[Status]]="Cancelled",0,Sales[[#This Row],[Total Amount]])</f>
        <v>259309.24800000002</v>
      </c>
      <c r="S4703" s="162">
        <f>SUM(Sales[Net Amount])</f>
        <v>406839287.73200053</v>
      </c>
    </row>
    <row r="4704" spans="1:19" ht="18.75" x14ac:dyDescent="0.25">
      <c r="A4704" s="163" t="s">
        <v>8388</v>
      </c>
      <c r="B4704" s="164">
        <v>46008</v>
      </c>
      <c r="C4704" s="34" t="s">
        <v>920</v>
      </c>
      <c r="D4704" s="53" t="str">
        <f>VLOOKUP(Sales[[#This Row],[Customer ID]],Customer[#All],2,0)</f>
        <v>Rakesh Sharma</v>
      </c>
      <c r="E4704" s="34" t="s">
        <v>478</v>
      </c>
      <c r="F4704" s="34" t="str">
        <f>VLOOKUP(Sales[[#This Row],[Product ID]],Product[#All],2,0)</f>
        <v>American TouristerLaptopBag</v>
      </c>
      <c r="G4704" s="53">
        <v>6</v>
      </c>
      <c r="H4704" s="165">
        <f>VLOOKUP(Sales[[#This Row],[Product ID]],Product[#All],7,0)</f>
        <v>6010</v>
      </c>
      <c r="I4704" s="165">
        <f>Sales[[#This Row],[Selling Rate]]*Sales[[#This Row],[Qty]]</f>
        <v>36060</v>
      </c>
      <c r="J4704" s="45">
        <v>0.12</v>
      </c>
      <c r="K4704" s="46">
        <f>Sales[[#This Row],[Gross Amount]]*Sales[[#This Row],[Disc %]]</f>
        <v>4327.2</v>
      </c>
      <c r="L4704" s="43">
        <v>0.18</v>
      </c>
      <c r="M4704" s="46">
        <f>(Sales[[#This Row],[Gross Amount]]-Sales[[#This Row],[Disc. Amt.]])*Sales[[#This Row],[GST %]]</f>
        <v>5711.9039999999995</v>
      </c>
      <c r="N4704" s="161">
        <f>Sales[[#This Row],[Gross Amount]]-Sales[[#This Row],[Disc. Amt.]]+Sales[[#This Row],[GST Amount]]</f>
        <v>37444.703999999998</v>
      </c>
      <c r="O4704" s="34" t="s">
        <v>3561</v>
      </c>
      <c r="P4704" s="34" t="s">
        <v>3562</v>
      </c>
      <c r="Q4704" s="165">
        <f>IF(Sales[[#This Row],[Status]]="Cancelled",0,Sales[[#This Row],[Qty]])</f>
        <v>6</v>
      </c>
      <c r="R4704" s="166">
        <f>IF(Sales[[#This Row],[Status]]="Cancelled",0,Sales[[#This Row],[Total Amount]])</f>
        <v>37444.703999999998</v>
      </c>
      <c r="S4704" s="162">
        <f>SUM(Sales[Net Amount])</f>
        <v>406839287.73200053</v>
      </c>
    </row>
    <row r="4705" spans="1:19" ht="18.75" x14ac:dyDescent="0.25">
      <c r="A4705" s="156" t="s">
        <v>8389</v>
      </c>
      <c r="B4705" s="157">
        <v>46008</v>
      </c>
      <c r="C4705" s="158" t="s">
        <v>936</v>
      </c>
      <c r="D4705" s="159" t="str">
        <f>VLOOKUP(Sales[[#This Row],[Customer ID]],Customer[#All],2,0)</f>
        <v>Pooja Patel</v>
      </c>
      <c r="E4705" s="158" t="s">
        <v>234</v>
      </c>
      <c r="F4705" s="158" t="str">
        <f>VLOOKUP(Sales[[#This Row],[Product ID]],Product[#All],2,0)</f>
        <v>HP Desktop</v>
      </c>
      <c r="G4705" s="159">
        <v>2</v>
      </c>
      <c r="H4705" s="160">
        <f>VLOOKUP(Sales[[#This Row],[Product ID]],Product[#All],7,0)</f>
        <v>76930</v>
      </c>
      <c r="I4705" s="160">
        <f>Sales[[#This Row],[Selling Rate]]*Sales[[#This Row],[Qty]]</f>
        <v>153860</v>
      </c>
      <c r="J4705" s="43">
        <v>0.02</v>
      </c>
      <c r="K4705" s="44">
        <f>Sales[[#This Row],[Gross Amount]]*Sales[[#This Row],[Disc %]]</f>
        <v>3077.2000000000003</v>
      </c>
      <c r="L4705" s="43">
        <v>0.18</v>
      </c>
      <c r="M4705" s="44">
        <f>(Sales[[#This Row],[Gross Amount]]-Sales[[#This Row],[Disc. Amt.]])*Sales[[#This Row],[GST %]]</f>
        <v>27140.903999999999</v>
      </c>
      <c r="N4705" s="161">
        <f>Sales[[#This Row],[Gross Amount]]-Sales[[#This Row],[Disc. Amt.]]+Sales[[#This Row],[GST Amount]]</f>
        <v>177923.704</v>
      </c>
      <c r="O4705" s="158" t="s">
        <v>3566</v>
      </c>
      <c r="P4705" s="158" t="s">
        <v>3562</v>
      </c>
      <c r="Q4705" s="160">
        <f>IF(Sales[[#This Row],[Status]]="Cancelled",0,Sales[[#This Row],[Qty]])</f>
        <v>2</v>
      </c>
      <c r="R4705" s="161">
        <f>IF(Sales[[#This Row],[Status]]="Cancelled",0,Sales[[#This Row],[Total Amount]])</f>
        <v>177923.704</v>
      </c>
      <c r="S4705" s="162">
        <f>SUM(Sales[Net Amount])</f>
        <v>406839287.73200053</v>
      </c>
    </row>
    <row r="4706" spans="1:19" ht="18.75" x14ac:dyDescent="0.25">
      <c r="A4706" s="163" t="s">
        <v>8390</v>
      </c>
      <c r="B4706" s="164">
        <v>46008</v>
      </c>
      <c r="C4706" s="34" t="s">
        <v>851</v>
      </c>
      <c r="D4706" s="53" t="str">
        <f>VLOOKUP(Sales[[#This Row],[Customer ID]],Customer[#All],2,0)</f>
        <v>Pooja Singh</v>
      </c>
      <c r="E4706" s="34" t="s">
        <v>530</v>
      </c>
      <c r="F4706" s="34" t="str">
        <f>VLOOKUP(Sales[[#This Row],[Product ID]],Product[#All],2,0)</f>
        <v>Acer Laptop</v>
      </c>
      <c r="G4706" s="53">
        <v>1</v>
      </c>
      <c r="H4706" s="165">
        <f>VLOOKUP(Sales[[#This Row],[Product ID]],Product[#All],7,0)</f>
        <v>31390</v>
      </c>
      <c r="I4706" s="165">
        <f>Sales[[#This Row],[Selling Rate]]*Sales[[#This Row],[Qty]]</f>
        <v>31390</v>
      </c>
      <c r="J4706" s="45">
        <v>0.12</v>
      </c>
      <c r="K4706" s="46">
        <f>Sales[[#This Row],[Gross Amount]]*Sales[[#This Row],[Disc %]]</f>
        <v>3766.7999999999997</v>
      </c>
      <c r="L4706" s="43">
        <v>0.18</v>
      </c>
      <c r="M4706" s="46">
        <f>(Sales[[#This Row],[Gross Amount]]-Sales[[#This Row],[Disc. Amt.]])*Sales[[#This Row],[GST %]]</f>
        <v>4972.1760000000004</v>
      </c>
      <c r="N4706" s="161">
        <f>Sales[[#This Row],[Gross Amount]]-Sales[[#This Row],[Disc. Amt.]]+Sales[[#This Row],[GST Amount]]</f>
        <v>32595.376</v>
      </c>
      <c r="O4706" s="34" t="s">
        <v>3569</v>
      </c>
      <c r="P4706" s="34" t="s">
        <v>3562</v>
      </c>
      <c r="Q4706" s="165">
        <f>IF(Sales[[#This Row],[Status]]="Cancelled",0,Sales[[#This Row],[Qty]])</f>
        <v>1</v>
      </c>
      <c r="R4706" s="166">
        <f>IF(Sales[[#This Row],[Status]]="Cancelled",0,Sales[[#This Row],[Total Amount]])</f>
        <v>32595.376</v>
      </c>
      <c r="S4706" s="162">
        <f>SUM(Sales[Net Amount])</f>
        <v>406839287.73200053</v>
      </c>
    </row>
    <row r="4707" spans="1:19" ht="18.75" x14ac:dyDescent="0.25">
      <c r="A4707" s="156" t="s">
        <v>8391</v>
      </c>
      <c r="B4707" s="157">
        <v>46008</v>
      </c>
      <c r="C4707" s="158" t="s">
        <v>653</v>
      </c>
      <c r="D4707" s="159" t="str">
        <f>VLOOKUP(Sales[[#This Row],[Customer ID]],Customer[#All],2,0)</f>
        <v>Pooja Patel</v>
      </c>
      <c r="E4707" s="158" t="s">
        <v>551</v>
      </c>
      <c r="F4707" s="158" t="str">
        <f>VLOOKUP(Sales[[#This Row],[Product ID]],Product[#All],2,0)</f>
        <v>Epson Printer</v>
      </c>
      <c r="G4707" s="159">
        <v>6</v>
      </c>
      <c r="H4707" s="160">
        <f>VLOOKUP(Sales[[#This Row],[Product ID]],Product[#All],7,0)</f>
        <v>38370</v>
      </c>
      <c r="I4707" s="160">
        <f>Sales[[#This Row],[Selling Rate]]*Sales[[#This Row],[Qty]]</f>
        <v>230220</v>
      </c>
      <c r="J4707" s="43">
        <v>0.05</v>
      </c>
      <c r="K4707" s="44">
        <f>Sales[[#This Row],[Gross Amount]]*Sales[[#This Row],[Disc %]]</f>
        <v>11511</v>
      </c>
      <c r="L4707" s="43">
        <v>0.18</v>
      </c>
      <c r="M4707" s="44">
        <f>(Sales[[#This Row],[Gross Amount]]-Sales[[#This Row],[Disc. Amt.]])*Sales[[#This Row],[GST %]]</f>
        <v>39367.619999999995</v>
      </c>
      <c r="N4707" s="161">
        <f>Sales[[#This Row],[Gross Amount]]-Sales[[#This Row],[Disc. Amt.]]+Sales[[#This Row],[GST Amount]]</f>
        <v>258076.62</v>
      </c>
      <c r="O4707" s="158" t="s">
        <v>3569</v>
      </c>
      <c r="P4707" s="158" t="s">
        <v>3562</v>
      </c>
      <c r="Q4707" s="160">
        <f>IF(Sales[[#This Row],[Status]]="Cancelled",0,Sales[[#This Row],[Qty]])</f>
        <v>6</v>
      </c>
      <c r="R4707" s="161">
        <f>IF(Sales[[#This Row],[Status]]="Cancelled",0,Sales[[#This Row],[Total Amount]])</f>
        <v>258076.62</v>
      </c>
      <c r="S4707" s="162">
        <f>SUM(Sales[Net Amount])</f>
        <v>406839287.73200053</v>
      </c>
    </row>
    <row r="4708" spans="1:19" ht="18.75" x14ac:dyDescent="0.25">
      <c r="A4708" s="163" t="s">
        <v>8392</v>
      </c>
      <c r="B4708" s="164">
        <v>46008</v>
      </c>
      <c r="C4708" s="34" t="s">
        <v>906</v>
      </c>
      <c r="D4708" s="53" t="str">
        <f>VLOOKUP(Sales[[#This Row],[Customer ID]],Customer[#All],2,0)</f>
        <v>Ankit Sharma</v>
      </c>
      <c r="E4708" s="34" t="s">
        <v>554</v>
      </c>
      <c r="F4708" s="34" t="str">
        <f>VLOOKUP(Sales[[#This Row],[Product ID]],Product[#All],2,0)</f>
        <v>TP-link Router</v>
      </c>
      <c r="G4708" s="53">
        <v>2</v>
      </c>
      <c r="H4708" s="165">
        <f>VLOOKUP(Sales[[#This Row],[Product ID]],Product[#All],7,0)</f>
        <v>6320</v>
      </c>
      <c r="I4708" s="165">
        <f>Sales[[#This Row],[Selling Rate]]*Sales[[#This Row],[Qty]]</f>
        <v>12640</v>
      </c>
      <c r="J4708" s="45">
        <v>0</v>
      </c>
      <c r="K4708" s="46">
        <f>Sales[[#This Row],[Gross Amount]]*Sales[[#This Row],[Disc %]]</f>
        <v>0</v>
      </c>
      <c r="L4708" s="43">
        <v>0.18</v>
      </c>
      <c r="M4708" s="46">
        <f>(Sales[[#This Row],[Gross Amount]]-Sales[[#This Row],[Disc. Amt.]])*Sales[[#This Row],[GST %]]</f>
        <v>2275.1999999999998</v>
      </c>
      <c r="N4708" s="161">
        <f>Sales[[#This Row],[Gross Amount]]-Sales[[#This Row],[Disc. Amt.]]+Sales[[#This Row],[GST Amount]]</f>
        <v>14915.2</v>
      </c>
      <c r="O4708" s="34" t="s">
        <v>8876</v>
      </c>
      <c r="P4708" s="34" t="s">
        <v>3562</v>
      </c>
      <c r="Q4708" s="165">
        <f>IF(Sales[[#This Row],[Status]]="Cancelled",0,Sales[[#This Row],[Qty]])</f>
        <v>2</v>
      </c>
      <c r="R4708" s="166">
        <f>IF(Sales[[#This Row],[Status]]="Cancelled",0,Sales[[#This Row],[Total Amount]])</f>
        <v>14915.2</v>
      </c>
      <c r="S4708" s="162">
        <f>SUM(Sales[Net Amount])</f>
        <v>406839287.73200053</v>
      </c>
    </row>
    <row r="4709" spans="1:19" ht="18.75" x14ac:dyDescent="0.25">
      <c r="A4709" s="156" t="s">
        <v>8393</v>
      </c>
      <c r="B4709" s="157">
        <v>46008</v>
      </c>
      <c r="C4709" s="158" t="s">
        <v>939</v>
      </c>
      <c r="D4709" s="159" t="str">
        <f>VLOOKUP(Sales[[#This Row],[Customer ID]],Customer[#All],2,0)</f>
        <v>Sunita Sharma</v>
      </c>
      <c r="E4709" s="158" t="s">
        <v>356</v>
      </c>
      <c r="F4709" s="158" t="str">
        <f>VLOOKUP(Sales[[#This Row],[Product ID]],Product[#All],2,0)</f>
        <v>Corsair Ram</v>
      </c>
      <c r="G4709" s="159">
        <v>2</v>
      </c>
      <c r="H4709" s="160">
        <f>VLOOKUP(Sales[[#This Row],[Product ID]],Product[#All],7,0)</f>
        <v>8460</v>
      </c>
      <c r="I4709" s="160">
        <f>Sales[[#This Row],[Selling Rate]]*Sales[[#This Row],[Qty]]</f>
        <v>16920</v>
      </c>
      <c r="J4709" s="43">
        <v>0.02</v>
      </c>
      <c r="K4709" s="44">
        <f>Sales[[#This Row],[Gross Amount]]*Sales[[#This Row],[Disc %]]</f>
        <v>338.40000000000003</v>
      </c>
      <c r="L4709" s="43">
        <v>0.18</v>
      </c>
      <c r="M4709" s="44">
        <f>(Sales[[#This Row],[Gross Amount]]-Sales[[#This Row],[Disc. Amt.]])*Sales[[#This Row],[GST %]]</f>
        <v>2984.6879999999996</v>
      </c>
      <c r="N4709" s="161">
        <f>Sales[[#This Row],[Gross Amount]]-Sales[[#This Row],[Disc. Amt.]]+Sales[[#This Row],[GST Amount]]</f>
        <v>19566.287999999997</v>
      </c>
      <c r="O4709" s="158" t="s">
        <v>3569</v>
      </c>
      <c r="P4709" s="158" t="s">
        <v>3562</v>
      </c>
      <c r="Q4709" s="160">
        <f>IF(Sales[[#This Row],[Status]]="Cancelled",0,Sales[[#This Row],[Qty]])</f>
        <v>2</v>
      </c>
      <c r="R4709" s="161">
        <f>IF(Sales[[#This Row],[Status]]="Cancelled",0,Sales[[#This Row],[Total Amount]])</f>
        <v>19566.287999999997</v>
      </c>
      <c r="S4709" s="162">
        <f>SUM(Sales[Net Amount])</f>
        <v>406839287.73200053</v>
      </c>
    </row>
    <row r="4710" spans="1:19" ht="18.75" x14ac:dyDescent="0.25">
      <c r="A4710" s="163" t="s">
        <v>8394</v>
      </c>
      <c r="B4710" s="164">
        <v>46008</v>
      </c>
      <c r="C4710" s="34" t="s">
        <v>910</v>
      </c>
      <c r="D4710" s="53" t="str">
        <f>VLOOKUP(Sales[[#This Row],[Customer ID]],Customer[#All],2,0)</f>
        <v>Sahil Sharma</v>
      </c>
      <c r="E4710" s="34" t="s">
        <v>523</v>
      </c>
      <c r="F4710" s="34" t="str">
        <f>VLOOKUP(Sales[[#This Row],[Product ID]],Product[#All],2,0)</f>
        <v>Logitech Mouse</v>
      </c>
      <c r="G4710" s="53">
        <v>2</v>
      </c>
      <c r="H4710" s="165">
        <f>VLOOKUP(Sales[[#This Row],[Product ID]],Product[#All],7,0)</f>
        <v>1300</v>
      </c>
      <c r="I4710" s="165">
        <f>Sales[[#This Row],[Selling Rate]]*Sales[[#This Row],[Qty]]</f>
        <v>2600</v>
      </c>
      <c r="J4710" s="45">
        <v>0</v>
      </c>
      <c r="K4710" s="46">
        <f>Sales[[#This Row],[Gross Amount]]*Sales[[#This Row],[Disc %]]</f>
        <v>0</v>
      </c>
      <c r="L4710" s="43">
        <v>0.18</v>
      </c>
      <c r="M4710" s="46">
        <f>(Sales[[#This Row],[Gross Amount]]-Sales[[#This Row],[Disc. Amt.]])*Sales[[#This Row],[GST %]]</f>
        <v>468</v>
      </c>
      <c r="N4710" s="161">
        <f>Sales[[#This Row],[Gross Amount]]-Sales[[#This Row],[Disc. Amt.]]+Sales[[#This Row],[GST Amount]]</f>
        <v>3068</v>
      </c>
      <c r="O4710" s="34" t="s">
        <v>3566</v>
      </c>
      <c r="P4710" s="34" t="s">
        <v>3562</v>
      </c>
      <c r="Q4710" s="165">
        <f>IF(Sales[[#This Row],[Status]]="Cancelled",0,Sales[[#This Row],[Qty]])</f>
        <v>2</v>
      </c>
      <c r="R4710" s="166">
        <f>IF(Sales[[#This Row],[Status]]="Cancelled",0,Sales[[#This Row],[Total Amount]])</f>
        <v>3068</v>
      </c>
      <c r="S4710" s="162">
        <f>SUM(Sales[Net Amount])</f>
        <v>406839287.73200053</v>
      </c>
    </row>
    <row r="4711" spans="1:19" ht="18.75" x14ac:dyDescent="0.25">
      <c r="A4711" s="156" t="s">
        <v>8395</v>
      </c>
      <c r="B4711" s="157">
        <v>46008</v>
      </c>
      <c r="C4711" s="158" t="s">
        <v>4232</v>
      </c>
      <c r="D4711" s="159" t="str">
        <f>VLOOKUP(Sales[[#This Row],[Customer ID]],Customer[#All],2,0)</f>
        <v>Sunita Verma</v>
      </c>
      <c r="E4711" s="158" t="s">
        <v>515</v>
      </c>
      <c r="F4711" s="158" t="str">
        <f>VLOOKUP(Sales[[#This Row],[Product ID]],Product[#All],2,0)</f>
        <v>HP Mouse</v>
      </c>
      <c r="G4711" s="159">
        <v>2</v>
      </c>
      <c r="H4711" s="160">
        <f>VLOOKUP(Sales[[#This Row],[Product ID]],Product[#All],7,0)</f>
        <v>2520</v>
      </c>
      <c r="I4711" s="160">
        <f>Sales[[#This Row],[Selling Rate]]*Sales[[#This Row],[Qty]]</f>
        <v>5040</v>
      </c>
      <c r="J4711" s="43">
        <v>0</v>
      </c>
      <c r="K4711" s="44">
        <f>Sales[[#This Row],[Gross Amount]]*Sales[[#This Row],[Disc %]]</f>
        <v>0</v>
      </c>
      <c r="L4711" s="43">
        <v>0.18</v>
      </c>
      <c r="M4711" s="44">
        <f>(Sales[[#This Row],[Gross Amount]]-Sales[[#This Row],[Disc. Amt.]])*Sales[[#This Row],[GST %]]</f>
        <v>907.19999999999993</v>
      </c>
      <c r="N4711" s="161">
        <f>Sales[[#This Row],[Gross Amount]]-Sales[[#This Row],[Disc. Amt.]]+Sales[[#This Row],[GST Amount]]</f>
        <v>5947.2</v>
      </c>
      <c r="O4711" s="158" t="s">
        <v>8876</v>
      </c>
      <c r="P4711" s="158" t="s">
        <v>3562</v>
      </c>
      <c r="Q4711" s="160">
        <f>IF(Sales[[#This Row],[Status]]="Cancelled",0,Sales[[#This Row],[Qty]])</f>
        <v>2</v>
      </c>
      <c r="R4711" s="161">
        <f>IF(Sales[[#This Row],[Status]]="Cancelled",0,Sales[[#This Row],[Total Amount]])</f>
        <v>5947.2</v>
      </c>
      <c r="S4711" s="162">
        <f>SUM(Sales[Net Amount])</f>
        <v>406839287.73200053</v>
      </c>
    </row>
    <row r="4712" spans="1:19" ht="18.75" x14ac:dyDescent="0.25">
      <c r="A4712" s="163" t="s">
        <v>8396</v>
      </c>
      <c r="B4712" s="164">
        <v>46008</v>
      </c>
      <c r="C4712" s="34" t="s">
        <v>676</v>
      </c>
      <c r="D4712" s="53" t="str">
        <f>VLOOKUP(Sales[[#This Row],[Customer ID]],Customer[#All],2,0)</f>
        <v>Neha Singh</v>
      </c>
      <c r="E4712" s="34" t="s">
        <v>405</v>
      </c>
      <c r="F4712" s="34" t="str">
        <f>VLOOKUP(Sales[[#This Row],[Product ID]],Product[#All],2,0)</f>
        <v>TP-link Bluetooth Adapter</v>
      </c>
      <c r="G4712" s="53">
        <v>4</v>
      </c>
      <c r="H4712" s="165">
        <f>VLOOKUP(Sales[[#This Row],[Product ID]],Product[#All],7,0)</f>
        <v>1470</v>
      </c>
      <c r="I4712" s="165">
        <f>Sales[[#This Row],[Selling Rate]]*Sales[[#This Row],[Qty]]</f>
        <v>5880</v>
      </c>
      <c r="J4712" s="45">
        <v>0.05</v>
      </c>
      <c r="K4712" s="46">
        <f>Sales[[#This Row],[Gross Amount]]*Sales[[#This Row],[Disc %]]</f>
        <v>294</v>
      </c>
      <c r="L4712" s="43">
        <v>0.18</v>
      </c>
      <c r="M4712" s="46">
        <f>(Sales[[#This Row],[Gross Amount]]-Sales[[#This Row],[Disc. Amt.]])*Sales[[#This Row],[GST %]]</f>
        <v>1005.48</v>
      </c>
      <c r="N4712" s="161">
        <f>Sales[[#This Row],[Gross Amount]]-Sales[[#This Row],[Disc. Amt.]]+Sales[[#This Row],[GST Amount]]</f>
        <v>6591.48</v>
      </c>
      <c r="O4712" s="34" t="s">
        <v>3569</v>
      </c>
      <c r="P4712" s="34" t="s">
        <v>3562</v>
      </c>
      <c r="Q4712" s="165">
        <f>IF(Sales[[#This Row],[Status]]="Cancelled",0,Sales[[#This Row],[Qty]])</f>
        <v>4</v>
      </c>
      <c r="R4712" s="166">
        <f>IF(Sales[[#This Row],[Status]]="Cancelled",0,Sales[[#This Row],[Total Amount]])</f>
        <v>6591.48</v>
      </c>
      <c r="S4712" s="162">
        <f>SUM(Sales[Net Amount])</f>
        <v>406839287.73200053</v>
      </c>
    </row>
    <row r="4713" spans="1:19" ht="18.75" x14ac:dyDescent="0.25">
      <c r="A4713" s="156" t="s">
        <v>8397</v>
      </c>
      <c r="B4713" s="157">
        <v>46008</v>
      </c>
      <c r="C4713" s="158" t="s">
        <v>851</v>
      </c>
      <c r="D4713" s="159" t="str">
        <f>VLOOKUP(Sales[[#This Row],[Customer ID]],Customer[#All],2,0)</f>
        <v>Pooja Singh</v>
      </c>
      <c r="E4713" s="158" t="s">
        <v>115</v>
      </c>
      <c r="F4713" s="158" t="str">
        <f>VLOOKUP(Sales[[#This Row],[Product ID]],Product[#All],2,0)</f>
        <v>Dell Power Adapter</v>
      </c>
      <c r="G4713" s="159">
        <v>5</v>
      </c>
      <c r="H4713" s="160">
        <f>VLOOKUP(Sales[[#This Row],[Product ID]],Product[#All],7,0)</f>
        <v>1890</v>
      </c>
      <c r="I4713" s="160">
        <f>Sales[[#This Row],[Selling Rate]]*Sales[[#This Row],[Qty]]</f>
        <v>9450</v>
      </c>
      <c r="J4713" s="43">
        <v>0</v>
      </c>
      <c r="K4713" s="44">
        <f>Sales[[#This Row],[Gross Amount]]*Sales[[#This Row],[Disc %]]</f>
        <v>0</v>
      </c>
      <c r="L4713" s="43">
        <v>0.18</v>
      </c>
      <c r="M4713" s="44">
        <f>(Sales[[#This Row],[Gross Amount]]-Sales[[#This Row],[Disc. Amt.]])*Sales[[#This Row],[GST %]]</f>
        <v>1701</v>
      </c>
      <c r="N4713" s="161">
        <f>Sales[[#This Row],[Gross Amount]]-Sales[[#This Row],[Disc. Amt.]]+Sales[[#This Row],[GST Amount]]</f>
        <v>11151</v>
      </c>
      <c r="O4713" s="158" t="s">
        <v>8876</v>
      </c>
      <c r="P4713" s="158" t="s">
        <v>3562</v>
      </c>
      <c r="Q4713" s="160">
        <f>IF(Sales[[#This Row],[Status]]="Cancelled",0,Sales[[#This Row],[Qty]])</f>
        <v>5</v>
      </c>
      <c r="R4713" s="161">
        <f>IF(Sales[[#This Row],[Status]]="Cancelled",0,Sales[[#This Row],[Total Amount]])</f>
        <v>11151</v>
      </c>
      <c r="S4713" s="162">
        <f>SUM(Sales[Net Amount])</f>
        <v>406839287.73200053</v>
      </c>
    </row>
    <row r="4714" spans="1:19" ht="18.75" x14ac:dyDescent="0.25">
      <c r="A4714" s="163" t="s">
        <v>8398</v>
      </c>
      <c r="B4714" s="164">
        <v>46008</v>
      </c>
      <c r="C4714" s="34" t="s">
        <v>789</v>
      </c>
      <c r="D4714" s="53" t="str">
        <f>VLOOKUP(Sales[[#This Row],[Customer ID]],Customer[#All],2,0)</f>
        <v>Ankit Patel</v>
      </c>
      <c r="E4714" s="34" t="s">
        <v>334</v>
      </c>
      <c r="F4714" s="34" t="str">
        <f>VLOOKUP(Sales[[#This Row],[Product ID]],Product[#All],2,0)</f>
        <v>Jbl Headset</v>
      </c>
      <c r="G4714" s="53">
        <v>6</v>
      </c>
      <c r="H4714" s="165">
        <f>VLOOKUP(Sales[[#This Row],[Product ID]],Product[#All],7,0)</f>
        <v>3150</v>
      </c>
      <c r="I4714" s="165">
        <f>Sales[[#This Row],[Selling Rate]]*Sales[[#This Row],[Qty]]</f>
        <v>18900</v>
      </c>
      <c r="J4714" s="45">
        <v>0.02</v>
      </c>
      <c r="K4714" s="46">
        <f>Sales[[#This Row],[Gross Amount]]*Sales[[#This Row],[Disc %]]</f>
        <v>378</v>
      </c>
      <c r="L4714" s="43">
        <v>0.18</v>
      </c>
      <c r="M4714" s="46">
        <f>(Sales[[#This Row],[Gross Amount]]-Sales[[#This Row],[Disc. Amt.]])*Sales[[#This Row],[GST %]]</f>
        <v>3333.96</v>
      </c>
      <c r="N4714" s="161">
        <f>Sales[[#This Row],[Gross Amount]]-Sales[[#This Row],[Disc. Amt.]]+Sales[[#This Row],[GST Amount]]</f>
        <v>21855.96</v>
      </c>
      <c r="O4714" s="34" t="s">
        <v>3561</v>
      </c>
      <c r="P4714" s="34" t="s">
        <v>3562</v>
      </c>
      <c r="Q4714" s="165">
        <f>IF(Sales[[#This Row],[Status]]="Cancelled",0,Sales[[#This Row],[Qty]])</f>
        <v>6</v>
      </c>
      <c r="R4714" s="166">
        <f>IF(Sales[[#This Row],[Status]]="Cancelled",0,Sales[[#This Row],[Total Amount]])</f>
        <v>21855.96</v>
      </c>
      <c r="S4714" s="162">
        <f>SUM(Sales[Net Amount])</f>
        <v>406839287.73200053</v>
      </c>
    </row>
    <row r="4715" spans="1:19" ht="18.75" x14ac:dyDescent="0.25">
      <c r="A4715" s="156" t="s">
        <v>8399</v>
      </c>
      <c r="B4715" s="157">
        <v>46008</v>
      </c>
      <c r="C4715" s="158" t="s">
        <v>910</v>
      </c>
      <c r="D4715" s="159" t="str">
        <f>VLOOKUP(Sales[[#This Row],[Customer ID]],Customer[#All],2,0)</f>
        <v>Sahil Sharma</v>
      </c>
      <c r="E4715" s="158" t="s">
        <v>215</v>
      </c>
      <c r="F4715" s="158" t="str">
        <f>VLOOKUP(Sales[[#This Row],[Product ID]],Product[#All],2,0)</f>
        <v>Apc UPS</v>
      </c>
      <c r="G4715" s="159">
        <v>4</v>
      </c>
      <c r="H4715" s="160">
        <f>VLOOKUP(Sales[[#This Row],[Product ID]],Product[#All],7,0)</f>
        <v>10210</v>
      </c>
      <c r="I4715" s="160">
        <f>Sales[[#This Row],[Selling Rate]]*Sales[[#This Row],[Qty]]</f>
        <v>40840</v>
      </c>
      <c r="J4715" s="43">
        <v>0</v>
      </c>
      <c r="K4715" s="44">
        <f>Sales[[#This Row],[Gross Amount]]*Sales[[#This Row],[Disc %]]</f>
        <v>0</v>
      </c>
      <c r="L4715" s="43">
        <v>0.18</v>
      </c>
      <c r="M4715" s="44">
        <f>(Sales[[#This Row],[Gross Amount]]-Sales[[#This Row],[Disc. Amt.]])*Sales[[#This Row],[GST %]]</f>
        <v>7351.2</v>
      </c>
      <c r="N4715" s="161">
        <f>Sales[[#This Row],[Gross Amount]]-Sales[[#This Row],[Disc. Amt.]]+Sales[[#This Row],[GST Amount]]</f>
        <v>48191.199999999997</v>
      </c>
      <c r="O4715" s="158" t="s">
        <v>3561</v>
      </c>
      <c r="P4715" s="158" t="s">
        <v>3562</v>
      </c>
      <c r="Q4715" s="160">
        <f>IF(Sales[[#This Row],[Status]]="Cancelled",0,Sales[[#This Row],[Qty]])</f>
        <v>4</v>
      </c>
      <c r="R4715" s="161">
        <f>IF(Sales[[#This Row],[Status]]="Cancelled",0,Sales[[#This Row],[Total Amount]])</f>
        <v>48191.199999999997</v>
      </c>
      <c r="S4715" s="162">
        <f>SUM(Sales[Net Amount])</f>
        <v>406839287.73200053</v>
      </c>
    </row>
    <row r="4716" spans="1:19" ht="18.75" x14ac:dyDescent="0.25">
      <c r="A4716" s="163" t="s">
        <v>8400</v>
      </c>
      <c r="B4716" s="164">
        <v>46008</v>
      </c>
      <c r="C4716" s="34" t="s">
        <v>684</v>
      </c>
      <c r="D4716" s="53" t="str">
        <f>VLOOKUP(Sales[[#This Row],[Customer ID]],Customer[#All],2,0)</f>
        <v>Rahul Sharma</v>
      </c>
      <c r="E4716" s="34" t="s">
        <v>124</v>
      </c>
      <c r="F4716" s="34" t="str">
        <f>VLOOKUP(Sales[[#This Row],[Product ID]],Product[#All],2,0)</f>
        <v>Crucial Ssd</v>
      </c>
      <c r="G4716" s="53">
        <v>3</v>
      </c>
      <c r="H4716" s="165">
        <f>VLOOKUP(Sales[[#This Row],[Product ID]],Product[#All],7,0)</f>
        <v>14820</v>
      </c>
      <c r="I4716" s="165">
        <f>Sales[[#This Row],[Selling Rate]]*Sales[[#This Row],[Qty]]</f>
        <v>44460</v>
      </c>
      <c r="J4716" s="45">
        <v>0.02</v>
      </c>
      <c r="K4716" s="46">
        <f>Sales[[#This Row],[Gross Amount]]*Sales[[#This Row],[Disc %]]</f>
        <v>889.2</v>
      </c>
      <c r="L4716" s="43">
        <v>0.18</v>
      </c>
      <c r="M4716" s="46">
        <f>(Sales[[#This Row],[Gross Amount]]-Sales[[#This Row],[Disc. Amt.]])*Sales[[#This Row],[GST %]]</f>
        <v>7842.7440000000006</v>
      </c>
      <c r="N4716" s="161">
        <f>Sales[[#This Row],[Gross Amount]]-Sales[[#This Row],[Disc. Amt.]]+Sales[[#This Row],[GST Amount]]</f>
        <v>51413.544000000002</v>
      </c>
      <c r="O4716" s="34" t="s">
        <v>3566</v>
      </c>
      <c r="P4716" s="34" t="s">
        <v>3562</v>
      </c>
      <c r="Q4716" s="165">
        <f>IF(Sales[[#This Row],[Status]]="Cancelled",0,Sales[[#This Row],[Qty]])</f>
        <v>3</v>
      </c>
      <c r="R4716" s="166">
        <f>IF(Sales[[#This Row],[Status]]="Cancelled",0,Sales[[#This Row],[Total Amount]])</f>
        <v>51413.544000000002</v>
      </c>
      <c r="S4716" s="162">
        <f>SUM(Sales[Net Amount])</f>
        <v>406839287.73200053</v>
      </c>
    </row>
    <row r="4717" spans="1:19" ht="18.75" x14ac:dyDescent="0.25">
      <c r="A4717" s="156" t="s">
        <v>8401</v>
      </c>
      <c r="B4717" s="157">
        <v>46008</v>
      </c>
      <c r="C4717" s="158" t="s">
        <v>5448</v>
      </c>
      <c r="D4717" s="159" t="str">
        <f>VLOOKUP(Sales[[#This Row],[Customer ID]],Customer[#All],2,0)</f>
        <v>Vikas Sharma</v>
      </c>
      <c r="E4717" s="158" t="s">
        <v>382</v>
      </c>
      <c r="F4717" s="158" t="str">
        <f>VLOOKUP(Sales[[#This Row],[Product ID]],Product[#All],2,0)</f>
        <v>Canon Printer</v>
      </c>
      <c r="G4717" s="159">
        <v>1</v>
      </c>
      <c r="H4717" s="160">
        <f>VLOOKUP(Sales[[#This Row],[Product ID]],Product[#All],7,0)</f>
        <v>32930</v>
      </c>
      <c r="I4717" s="160">
        <f>Sales[[#This Row],[Selling Rate]]*Sales[[#This Row],[Qty]]</f>
        <v>32930</v>
      </c>
      <c r="J4717" s="43">
        <v>0.12</v>
      </c>
      <c r="K4717" s="44">
        <f>Sales[[#This Row],[Gross Amount]]*Sales[[#This Row],[Disc %]]</f>
        <v>3951.6</v>
      </c>
      <c r="L4717" s="43">
        <v>0.18</v>
      </c>
      <c r="M4717" s="44">
        <f>(Sales[[#This Row],[Gross Amount]]-Sales[[#This Row],[Disc. Amt.]])*Sales[[#This Row],[GST %]]</f>
        <v>5216.1120000000001</v>
      </c>
      <c r="N4717" s="161">
        <f>Sales[[#This Row],[Gross Amount]]-Sales[[#This Row],[Disc. Amt.]]+Sales[[#This Row],[GST Amount]]</f>
        <v>34194.512000000002</v>
      </c>
      <c r="O4717" s="158" t="s">
        <v>3569</v>
      </c>
      <c r="P4717" s="158" t="s">
        <v>3562</v>
      </c>
      <c r="Q4717" s="160">
        <f>IF(Sales[[#This Row],[Status]]="Cancelled",0,Sales[[#This Row],[Qty]])</f>
        <v>1</v>
      </c>
      <c r="R4717" s="161">
        <f>IF(Sales[[#This Row],[Status]]="Cancelled",0,Sales[[#This Row],[Total Amount]])</f>
        <v>34194.512000000002</v>
      </c>
      <c r="S4717" s="162">
        <f>SUM(Sales[Net Amount])</f>
        <v>406839287.73200053</v>
      </c>
    </row>
    <row r="4718" spans="1:19" ht="18.75" x14ac:dyDescent="0.25">
      <c r="A4718" s="163" t="s">
        <v>8402</v>
      </c>
      <c r="B4718" s="164">
        <v>46009</v>
      </c>
      <c r="C4718" s="34" t="s">
        <v>866</v>
      </c>
      <c r="D4718" s="53" t="str">
        <f>VLOOKUP(Sales[[#This Row],[Customer ID]],Customer[#All],2,0)</f>
        <v>Priya Patel</v>
      </c>
      <c r="E4718" s="34" t="s">
        <v>292</v>
      </c>
      <c r="F4718" s="34" t="str">
        <f>VLOOKUP(Sales[[#This Row],[Product ID]],Product[#All],2,0)</f>
        <v>Microtek UPS</v>
      </c>
      <c r="G4718" s="53">
        <v>2</v>
      </c>
      <c r="H4718" s="165">
        <f>VLOOKUP(Sales[[#This Row],[Product ID]],Product[#All],7,0)</f>
        <v>6260</v>
      </c>
      <c r="I4718" s="165">
        <f>Sales[[#This Row],[Selling Rate]]*Sales[[#This Row],[Qty]]</f>
        <v>12520</v>
      </c>
      <c r="J4718" s="45">
        <v>0.12</v>
      </c>
      <c r="K4718" s="46">
        <f>Sales[[#This Row],[Gross Amount]]*Sales[[#This Row],[Disc %]]</f>
        <v>1502.3999999999999</v>
      </c>
      <c r="L4718" s="43">
        <v>0.18</v>
      </c>
      <c r="M4718" s="46">
        <f>(Sales[[#This Row],[Gross Amount]]-Sales[[#This Row],[Disc. Amt.]])*Sales[[#This Row],[GST %]]</f>
        <v>1983.1679999999999</v>
      </c>
      <c r="N4718" s="161">
        <f>Sales[[#This Row],[Gross Amount]]-Sales[[#This Row],[Disc. Amt.]]+Sales[[#This Row],[GST Amount]]</f>
        <v>13000.768</v>
      </c>
      <c r="O4718" s="34" t="s">
        <v>3566</v>
      </c>
      <c r="P4718" s="34" t="s">
        <v>3562</v>
      </c>
      <c r="Q4718" s="165">
        <f>IF(Sales[[#This Row],[Status]]="Cancelled",0,Sales[[#This Row],[Qty]])</f>
        <v>2</v>
      </c>
      <c r="R4718" s="166">
        <f>IF(Sales[[#This Row],[Status]]="Cancelled",0,Sales[[#This Row],[Total Amount]])</f>
        <v>13000.768</v>
      </c>
      <c r="S4718" s="162">
        <f>SUM(Sales[Net Amount])</f>
        <v>406839287.73200053</v>
      </c>
    </row>
    <row r="4719" spans="1:19" ht="18.75" x14ac:dyDescent="0.25">
      <c r="A4719" s="156" t="s">
        <v>8403</v>
      </c>
      <c r="B4719" s="157">
        <v>46009</v>
      </c>
      <c r="C4719" s="158" t="s">
        <v>937</v>
      </c>
      <c r="D4719" s="159" t="str">
        <f>VLOOKUP(Sales[[#This Row],[Customer ID]],Customer[#All],2,0)</f>
        <v>Rahul Singh</v>
      </c>
      <c r="E4719" s="158" t="s">
        <v>56</v>
      </c>
      <c r="F4719" s="158" t="str">
        <f>VLOOKUP(Sales[[#This Row],[Product ID]],Product[#All],2,0)</f>
        <v>Boat Headset</v>
      </c>
      <c r="G4719" s="159">
        <v>1</v>
      </c>
      <c r="H4719" s="160">
        <f>VLOOKUP(Sales[[#This Row],[Product ID]],Product[#All],7,0)</f>
        <v>4140</v>
      </c>
      <c r="I4719" s="160">
        <f>Sales[[#This Row],[Selling Rate]]*Sales[[#This Row],[Qty]]</f>
        <v>4140</v>
      </c>
      <c r="J4719" s="43">
        <v>0.02</v>
      </c>
      <c r="K4719" s="44">
        <f>Sales[[#This Row],[Gross Amount]]*Sales[[#This Row],[Disc %]]</f>
        <v>82.8</v>
      </c>
      <c r="L4719" s="43">
        <v>0.18</v>
      </c>
      <c r="M4719" s="44">
        <f>(Sales[[#This Row],[Gross Amount]]-Sales[[#This Row],[Disc. Amt.]])*Sales[[#This Row],[GST %]]</f>
        <v>730.29599999999994</v>
      </c>
      <c r="N4719" s="161">
        <f>Sales[[#This Row],[Gross Amount]]-Sales[[#This Row],[Disc. Amt.]]+Sales[[#This Row],[GST Amount]]</f>
        <v>4787.4960000000001</v>
      </c>
      <c r="O4719" s="158" t="s">
        <v>3566</v>
      </c>
      <c r="P4719" s="158" t="s">
        <v>3562</v>
      </c>
      <c r="Q4719" s="160">
        <f>IF(Sales[[#This Row],[Status]]="Cancelled",0,Sales[[#This Row],[Qty]])</f>
        <v>1</v>
      </c>
      <c r="R4719" s="161">
        <f>IF(Sales[[#This Row],[Status]]="Cancelled",0,Sales[[#This Row],[Total Amount]])</f>
        <v>4787.4960000000001</v>
      </c>
      <c r="S4719" s="162">
        <f>SUM(Sales[Net Amount])</f>
        <v>406839287.73200053</v>
      </c>
    </row>
    <row r="4720" spans="1:19" ht="18.75" x14ac:dyDescent="0.25">
      <c r="A4720" s="163" t="s">
        <v>8404</v>
      </c>
      <c r="B4720" s="164">
        <v>46009</v>
      </c>
      <c r="C4720" s="34" t="s">
        <v>811</v>
      </c>
      <c r="D4720" s="53" t="str">
        <f>VLOOKUP(Sales[[#This Row],[Customer ID]],Customer[#All],2,0)</f>
        <v>Rahul Sharma</v>
      </c>
      <c r="E4720" s="34" t="s">
        <v>494</v>
      </c>
      <c r="F4720" s="34" t="str">
        <f>VLOOKUP(Sales[[#This Row],[Product ID]],Product[#All],2,0)</f>
        <v>Logitech Mouse</v>
      </c>
      <c r="G4720" s="53">
        <v>6</v>
      </c>
      <c r="H4720" s="165">
        <f>VLOOKUP(Sales[[#This Row],[Product ID]],Product[#All],7,0)</f>
        <v>660</v>
      </c>
      <c r="I4720" s="165">
        <f>Sales[[#This Row],[Selling Rate]]*Sales[[#This Row],[Qty]]</f>
        <v>3960</v>
      </c>
      <c r="J4720" s="45">
        <v>0.12</v>
      </c>
      <c r="K4720" s="46">
        <f>Sales[[#This Row],[Gross Amount]]*Sales[[#This Row],[Disc %]]</f>
        <v>475.2</v>
      </c>
      <c r="L4720" s="43">
        <v>0.18</v>
      </c>
      <c r="M4720" s="46">
        <f>(Sales[[#This Row],[Gross Amount]]-Sales[[#This Row],[Disc. Amt.]])*Sales[[#This Row],[GST %]]</f>
        <v>627.26400000000001</v>
      </c>
      <c r="N4720" s="161">
        <f>Sales[[#This Row],[Gross Amount]]-Sales[[#This Row],[Disc. Amt.]]+Sales[[#This Row],[GST Amount]]</f>
        <v>4112.0640000000003</v>
      </c>
      <c r="O4720" s="34" t="s">
        <v>8876</v>
      </c>
      <c r="P4720" s="34" t="s">
        <v>3562</v>
      </c>
      <c r="Q4720" s="165">
        <f>IF(Sales[[#This Row],[Status]]="Cancelled",0,Sales[[#This Row],[Qty]])</f>
        <v>6</v>
      </c>
      <c r="R4720" s="166">
        <f>IF(Sales[[#This Row],[Status]]="Cancelled",0,Sales[[#This Row],[Total Amount]])</f>
        <v>4112.0640000000003</v>
      </c>
      <c r="S4720" s="162">
        <f>SUM(Sales[Net Amount])</f>
        <v>406839287.73200053</v>
      </c>
    </row>
    <row r="4721" spans="1:19" ht="18.75" x14ac:dyDescent="0.25">
      <c r="A4721" s="156" t="s">
        <v>8405</v>
      </c>
      <c r="B4721" s="157">
        <v>46009</v>
      </c>
      <c r="C4721" s="158" t="s">
        <v>802</v>
      </c>
      <c r="D4721" s="159" t="str">
        <f>VLOOKUP(Sales[[#This Row],[Customer ID]],Customer[#All],2,0)</f>
        <v>Rakesh Patel</v>
      </c>
      <c r="E4721" s="158" t="s">
        <v>473</v>
      </c>
      <c r="F4721" s="158" t="str">
        <f>VLOOKUP(Sales[[#This Row],[Product ID]],Product[#All],2,0)</f>
        <v>Boat Headset</v>
      </c>
      <c r="G4721" s="159">
        <v>8</v>
      </c>
      <c r="H4721" s="160">
        <f>VLOOKUP(Sales[[#This Row],[Product ID]],Product[#All],7,0)</f>
        <v>2840</v>
      </c>
      <c r="I4721" s="160">
        <f>Sales[[#This Row],[Selling Rate]]*Sales[[#This Row],[Qty]]</f>
        <v>22720</v>
      </c>
      <c r="J4721" s="43">
        <v>0.12</v>
      </c>
      <c r="K4721" s="44">
        <f>Sales[[#This Row],[Gross Amount]]*Sales[[#This Row],[Disc %]]</f>
        <v>2726.4</v>
      </c>
      <c r="L4721" s="43">
        <v>0.18</v>
      </c>
      <c r="M4721" s="44">
        <f>(Sales[[#This Row],[Gross Amount]]-Sales[[#This Row],[Disc. Amt.]])*Sales[[#This Row],[GST %]]</f>
        <v>3598.8479999999995</v>
      </c>
      <c r="N4721" s="161">
        <f>Sales[[#This Row],[Gross Amount]]-Sales[[#This Row],[Disc. Amt.]]+Sales[[#This Row],[GST Amount]]</f>
        <v>23592.447999999997</v>
      </c>
      <c r="O4721" s="158" t="s">
        <v>8876</v>
      </c>
      <c r="P4721" s="158" t="s">
        <v>3562</v>
      </c>
      <c r="Q4721" s="160">
        <f>IF(Sales[[#This Row],[Status]]="Cancelled",0,Sales[[#This Row],[Qty]])</f>
        <v>8</v>
      </c>
      <c r="R4721" s="161">
        <f>IF(Sales[[#This Row],[Status]]="Cancelled",0,Sales[[#This Row],[Total Amount]])</f>
        <v>23592.447999999997</v>
      </c>
      <c r="S4721" s="162">
        <f>SUM(Sales[Net Amount])</f>
        <v>406839287.73200053</v>
      </c>
    </row>
    <row r="4722" spans="1:19" ht="18.75" x14ac:dyDescent="0.25">
      <c r="A4722" s="163" t="s">
        <v>8406</v>
      </c>
      <c r="B4722" s="164">
        <v>46009</v>
      </c>
      <c r="C4722" s="34" t="s">
        <v>787</v>
      </c>
      <c r="D4722" s="53" t="str">
        <f>VLOOKUP(Sales[[#This Row],[Customer ID]],Customer[#All],2,0)</f>
        <v>Amit Singh</v>
      </c>
      <c r="E4722" s="34" t="s">
        <v>283</v>
      </c>
      <c r="F4722" s="34" t="str">
        <f>VLOOKUP(Sales[[#This Row],[Product ID]],Product[#All],2,0)</f>
        <v>Lenovo Laptop</v>
      </c>
      <c r="G4722" s="53">
        <v>3</v>
      </c>
      <c r="H4722" s="165">
        <f>VLOOKUP(Sales[[#This Row],[Product ID]],Product[#All],7,0)</f>
        <v>36480</v>
      </c>
      <c r="I4722" s="165">
        <f>Sales[[#This Row],[Selling Rate]]*Sales[[#This Row],[Qty]]</f>
        <v>109440</v>
      </c>
      <c r="J4722" s="45">
        <v>0</v>
      </c>
      <c r="K4722" s="46">
        <f>Sales[[#This Row],[Gross Amount]]*Sales[[#This Row],[Disc %]]</f>
        <v>0</v>
      </c>
      <c r="L4722" s="43">
        <v>0.18</v>
      </c>
      <c r="M4722" s="46">
        <f>(Sales[[#This Row],[Gross Amount]]-Sales[[#This Row],[Disc. Amt.]])*Sales[[#This Row],[GST %]]</f>
        <v>19699.2</v>
      </c>
      <c r="N4722" s="161">
        <f>Sales[[#This Row],[Gross Amount]]-Sales[[#This Row],[Disc. Amt.]]+Sales[[#This Row],[GST Amount]]</f>
        <v>129139.2</v>
      </c>
      <c r="O4722" s="34" t="s">
        <v>3561</v>
      </c>
      <c r="P4722" s="34" t="s">
        <v>3562</v>
      </c>
      <c r="Q4722" s="165">
        <f>IF(Sales[[#This Row],[Status]]="Cancelled",0,Sales[[#This Row],[Qty]])</f>
        <v>3</v>
      </c>
      <c r="R4722" s="166">
        <f>IF(Sales[[#This Row],[Status]]="Cancelled",0,Sales[[#This Row],[Total Amount]])</f>
        <v>129139.2</v>
      </c>
      <c r="S4722" s="162">
        <f>SUM(Sales[Net Amount])</f>
        <v>406839287.73200053</v>
      </c>
    </row>
    <row r="4723" spans="1:19" ht="18.75" x14ac:dyDescent="0.25">
      <c r="A4723" s="156" t="s">
        <v>8407</v>
      </c>
      <c r="B4723" s="157">
        <v>46009</v>
      </c>
      <c r="C4723" s="158" t="s">
        <v>6683</v>
      </c>
      <c r="D4723" s="159" t="str">
        <f>VLOOKUP(Sales[[#This Row],[Customer ID]],Customer[#All],2,0)</f>
        <v>Sahil Verma</v>
      </c>
      <c r="E4723" s="158" t="s">
        <v>517</v>
      </c>
      <c r="F4723" s="158" t="str">
        <f>VLOOKUP(Sales[[#This Row],[Product ID]],Product[#All],2,0)</f>
        <v>Dell Laptop</v>
      </c>
      <c r="G4723" s="159">
        <v>6</v>
      </c>
      <c r="H4723" s="160">
        <f>VLOOKUP(Sales[[#This Row],[Product ID]],Product[#All],7,0)</f>
        <v>81860</v>
      </c>
      <c r="I4723" s="160">
        <f>Sales[[#This Row],[Selling Rate]]*Sales[[#This Row],[Qty]]</f>
        <v>491160</v>
      </c>
      <c r="J4723" s="43">
        <v>0.05</v>
      </c>
      <c r="K4723" s="44">
        <f>Sales[[#This Row],[Gross Amount]]*Sales[[#This Row],[Disc %]]</f>
        <v>24558</v>
      </c>
      <c r="L4723" s="43">
        <v>0.18</v>
      </c>
      <c r="M4723" s="44">
        <f>(Sales[[#This Row],[Gross Amount]]-Sales[[#This Row],[Disc. Amt.]])*Sales[[#This Row],[GST %]]</f>
        <v>83988.36</v>
      </c>
      <c r="N4723" s="161">
        <f>Sales[[#This Row],[Gross Amount]]-Sales[[#This Row],[Disc. Amt.]]+Sales[[#This Row],[GST Amount]]</f>
        <v>550590.36</v>
      </c>
      <c r="O4723" s="158" t="s">
        <v>3561</v>
      </c>
      <c r="P4723" s="158" t="s">
        <v>3562</v>
      </c>
      <c r="Q4723" s="160">
        <f>IF(Sales[[#This Row],[Status]]="Cancelled",0,Sales[[#This Row],[Qty]])</f>
        <v>6</v>
      </c>
      <c r="R4723" s="161">
        <f>IF(Sales[[#This Row],[Status]]="Cancelled",0,Sales[[#This Row],[Total Amount]])</f>
        <v>550590.36</v>
      </c>
      <c r="S4723" s="162">
        <f>SUM(Sales[Net Amount])</f>
        <v>406839287.73200053</v>
      </c>
    </row>
    <row r="4724" spans="1:19" ht="18.75" x14ac:dyDescent="0.25">
      <c r="A4724" s="163" t="s">
        <v>8408</v>
      </c>
      <c r="B4724" s="164">
        <v>46009</v>
      </c>
      <c r="C4724" s="34" t="s">
        <v>678</v>
      </c>
      <c r="D4724" s="53" t="str">
        <f>VLOOKUP(Sales[[#This Row],[Customer ID]],Customer[#All],2,0)</f>
        <v>Ankit Gupta</v>
      </c>
      <c r="E4724" s="34" t="s">
        <v>301</v>
      </c>
      <c r="F4724" s="34" t="str">
        <f>VLOOKUP(Sales[[#This Row],[Product ID]],Product[#All],2,0)</f>
        <v>Logitech Keyboard</v>
      </c>
      <c r="G4724" s="53">
        <v>1</v>
      </c>
      <c r="H4724" s="165">
        <f>VLOOKUP(Sales[[#This Row],[Product ID]],Product[#All],7,0)</f>
        <v>1100</v>
      </c>
      <c r="I4724" s="165">
        <f>Sales[[#This Row],[Selling Rate]]*Sales[[#This Row],[Qty]]</f>
        <v>1100</v>
      </c>
      <c r="J4724" s="45">
        <v>0.05</v>
      </c>
      <c r="K4724" s="46">
        <f>Sales[[#This Row],[Gross Amount]]*Sales[[#This Row],[Disc %]]</f>
        <v>55</v>
      </c>
      <c r="L4724" s="43">
        <v>0.18</v>
      </c>
      <c r="M4724" s="46">
        <f>(Sales[[#This Row],[Gross Amount]]-Sales[[#This Row],[Disc. Amt.]])*Sales[[#This Row],[GST %]]</f>
        <v>188.1</v>
      </c>
      <c r="N4724" s="161">
        <f>Sales[[#This Row],[Gross Amount]]-Sales[[#This Row],[Disc. Amt.]]+Sales[[#This Row],[GST Amount]]</f>
        <v>1233.0999999999999</v>
      </c>
      <c r="O4724" s="34" t="s">
        <v>3566</v>
      </c>
      <c r="P4724" s="34" t="s">
        <v>3562</v>
      </c>
      <c r="Q4724" s="165">
        <f>IF(Sales[[#This Row],[Status]]="Cancelled",0,Sales[[#This Row],[Qty]])</f>
        <v>1</v>
      </c>
      <c r="R4724" s="166">
        <f>IF(Sales[[#This Row],[Status]]="Cancelled",0,Sales[[#This Row],[Total Amount]])</f>
        <v>1233.0999999999999</v>
      </c>
      <c r="S4724" s="162">
        <f>SUM(Sales[Net Amount])</f>
        <v>406839287.73200053</v>
      </c>
    </row>
    <row r="4725" spans="1:19" ht="18.75" x14ac:dyDescent="0.25">
      <c r="A4725" s="156" t="s">
        <v>8409</v>
      </c>
      <c r="B4725" s="157">
        <v>46009</v>
      </c>
      <c r="C4725" s="158" t="s">
        <v>3601</v>
      </c>
      <c r="D4725" s="159" t="str">
        <f>VLOOKUP(Sales[[#This Row],[Customer ID]],Customer[#All],2,0)</f>
        <v>Rahul Singh</v>
      </c>
      <c r="E4725" s="158" t="s">
        <v>206</v>
      </c>
      <c r="F4725" s="158" t="str">
        <f>VLOOKUP(Sales[[#This Row],[Product ID]],Product[#All],2,0)</f>
        <v>Dell Power Adapter</v>
      </c>
      <c r="G4725" s="159">
        <v>1</v>
      </c>
      <c r="H4725" s="160">
        <f>VLOOKUP(Sales[[#This Row],[Product ID]],Product[#All],7,0)</f>
        <v>2490</v>
      </c>
      <c r="I4725" s="160">
        <f>Sales[[#This Row],[Selling Rate]]*Sales[[#This Row],[Qty]]</f>
        <v>2490</v>
      </c>
      <c r="J4725" s="43">
        <v>0.15</v>
      </c>
      <c r="K4725" s="44">
        <f>Sales[[#This Row],[Gross Amount]]*Sales[[#This Row],[Disc %]]</f>
        <v>373.5</v>
      </c>
      <c r="L4725" s="43">
        <v>0.18</v>
      </c>
      <c r="M4725" s="44">
        <f>(Sales[[#This Row],[Gross Amount]]-Sales[[#This Row],[Disc. Amt.]])*Sales[[#This Row],[GST %]]</f>
        <v>380.96999999999997</v>
      </c>
      <c r="N4725" s="161">
        <f>Sales[[#This Row],[Gross Amount]]-Sales[[#This Row],[Disc. Amt.]]+Sales[[#This Row],[GST Amount]]</f>
        <v>2497.4699999999998</v>
      </c>
      <c r="O4725" s="158" t="s">
        <v>3561</v>
      </c>
      <c r="P4725" s="158" t="s">
        <v>3562</v>
      </c>
      <c r="Q4725" s="160">
        <f>IF(Sales[[#This Row],[Status]]="Cancelled",0,Sales[[#This Row],[Qty]])</f>
        <v>1</v>
      </c>
      <c r="R4725" s="161">
        <f>IF(Sales[[#This Row],[Status]]="Cancelled",0,Sales[[#This Row],[Total Amount]])</f>
        <v>2497.4699999999998</v>
      </c>
      <c r="S4725" s="162">
        <f>SUM(Sales[Net Amount])</f>
        <v>406839287.73200053</v>
      </c>
    </row>
    <row r="4726" spans="1:19" ht="18.75" x14ac:dyDescent="0.25">
      <c r="A4726" s="163" t="s">
        <v>8410</v>
      </c>
      <c r="B4726" s="164">
        <v>46009</v>
      </c>
      <c r="C4726" s="34" t="s">
        <v>700</v>
      </c>
      <c r="D4726" s="53" t="str">
        <f>VLOOKUP(Sales[[#This Row],[Customer ID]],Customer[#All],2,0)</f>
        <v>Ankit Gupta</v>
      </c>
      <c r="E4726" s="34" t="s">
        <v>61</v>
      </c>
      <c r="F4726" s="34" t="str">
        <f>VLOOKUP(Sales[[#This Row],[Product ID]],Product[#All],2,0)</f>
        <v>Boat Headset</v>
      </c>
      <c r="G4726" s="53">
        <v>2</v>
      </c>
      <c r="H4726" s="165">
        <f>VLOOKUP(Sales[[#This Row],[Product ID]],Product[#All],7,0)</f>
        <v>3570</v>
      </c>
      <c r="I4726" s="165">
        <f>Sales[[#This Row],[Selling Rate]]*Sales[[#This Row],[Qty]]</f>
        <v>7140</v>
      </c>
      <c r="J4726" s="45">
        <v>0.1</v>
      </c>
      <c r="K4726" s="46">
        <f>Sales[[#This Row],[Gross Amount]]*Sales[[#This Row],[Disc %]]</f>
        <v>714</v>
      </c>
      <c r="L4726" s="43">
        <v>0.18</v>
      </c>
      <c r="M4726" s="46">
        <f>(Sales[[#This Row],[Gross Amount]]-Sales[[#This Row],[Disc. Amt.]])*Sales[[#This Row],[GST %]]</f>
        <v>1156.68</v>
      </c>
      <c r="N4726" s="161">
        <f>Sales[[#This Row],[Gross Amount]]-Sales[[#This Row],[Disc. Amt.]]+Sales[[#This Row],[GST Amount]]</f>
        <v>7582.68</v>
      </c>
      <c r="O4726" s="34" t="s">
        <v>3561</v>
      </c>
      <c r="P4726" s="34" t="s">
        <v>3562</v>
      </c>
      <c r="Q4726" s="165">
        <f>IF(Sales[[#This Row],[Status]]="Cancelled",0,Sales[[#This Row],[Qty]])</f>
        <v>2</v>
      </c>
      <c r="R4726" s="166">
        <f>IF(Sales[[#This Row],[Status]]="Cancelled",0,Sales[[#This Row],[Total Amount]])</f>
        <v>7582.68</v>
      </c>
      <c r="S4726" s="162">
        <f>SUM(Sales[Net Amount])</f>
        <v>406839287.73200053</v>
      </c>
    </row>
    <row r="4727" spans="1:19" ht="18.75" x14ac:dyDescent="0.25">
      <c r="A4727" s="156" t="s">
        <v>8411</v>
      </c>
      <c r="B4727" s="157">
        <v>46009</v>
      </c>
      <c r="C4727" s="158" t="s">
        <v>901</v>
      </c>
      <c r="D4727" s="159" t="str">
        <f>VLOOKUP(Sales[[#This Row],[Customer ID]],Customer[#All],2,0)</f>
        <v>Vikas Kumar</v>
      </c>
      <c r="E4727" s="158" t="s">
        <v>544</v>
      </c>
      <c r="F4727" s="158" t="str">
        <f>VLOOKUP(Sales[[#This Row],[Product ID]],Product[#All],2,0)</f>
        <v>HP Printer</v>
      </c>
      <c r="G4727" s="159">
        <v>3</v>
      </c>
      <c r="H4727" s="160">
        <f>VLOOKUP(Sales[[#This Row],[Product ID]],Product[#All],7,0)</f>
        <v>18010</v>
      </c>
      <c r="I4727" s="160">
        <f>Sales[[#This Row],[Selling Rate]]*Sales[[#This Row],[Qty]]</f>
        <v>54030</v>
      </c>
      <c r="J4727" s="43">
        <v>0</v>
      </c>
      <c r="K4727" s="44">
        <f>Sales[[#This Row],[Gross Amount]]*Sales[[#This Row],[Disc %]]</f>
        <v>0</v>
      </c>
      <c r="L4727" s="43">
        <v>0.18</v>
      </c>
      <c r="M4727" s="44">
        <f>(Sales[[#This Row],[Gross Amount]]-Sales[[#This Row],[Disc. Amt.]])*Sales[[#This Row],[GST %]]</f>
        <v>9725.4</v>
      </c>
      <c r="N4727" s="161">
        <f>Sales[[#This Row],[Gross Amount]]-Sales[[#This Row],[Disc. Amt.]]+Sales[[#This Row],[GST Amount]]</f>
        <v>63755.4</v>
      </c>
      <c r="O4727" s="158" t="s">
        <v>3566</v>
      </c>
      <c r="P4727" s="158" t="s">
        <v>3562</v>
      </c>
      <c r="Q4727" s="160">
        <f>IF(Sales[[#This Row],[Status]]="Cancelled",0,Sales[[#This Row],[Qty]])</f>
        <v>3</v>
      </c>
      <c r="R4727" s="161">
        <f>IF(Sales[[#This Row],[Status]]="Cancelled",0,Sales[[#This Row],[Total Amount]])</f>
        <v>63755.4</v>
      </c>
      <c r="S4727" s="162">
        <f>SUM(Sales[Net Amount])</f>
        <v>406839287.73200053</v>
      </c>
    </row>
    <row r="4728" spans="1:19" ht="18.75" x14ac:dyDescent="0.25">
      <c r="A4728" s="163" t="s">
        <v>8412</v>
      </c>
      <c r="B4728" s="164">
        <v>46009</v>
      </c>
      <c r="C4728" s="34" t="s">
        <v>910</v>
      </c>
      <c r="D4728" s="53" t="str">
        <f>VLOOKUP(Sales[[#This Row],[Customer ID]],Customer[#All],2,0)</f>
        <v>Sahil Sharma</v>
      </c>
      <c r="E4728" s="34" t="s">
        <v>292</v>
      </c>
      <c r="F4728" s="34" t="str">
        <f>VLOOKUP(Sales[[#This Row],[Product ID]],Product[#All],2,0)</f>
        <v>Microtek UPS</v>
      </c>
      <c r="G4728" s="53">
        <v>3</v>
      </c>
      <c r="H4728" s="165">
        <f>VLOOKUP(Sales[[#This Row],[Product ID]],Product[#All],7,0)</f>
        <v>6260</v>
      </c>
      <c r="I4728" s="165">
        <f>Sales[[#This Row],[Selling Rate]]*Sales[[#This Row],[Qty]]</f>
        <v>18780</v>
      </c>
      <c r="J4728" s="45">
        <v>0</v>
      </c>
      <c r="K4728" s="46">
        <f>Sales[[#This Row],[Gross Amount]]*Sales[[#This Row],[Disc %]]</f>
        <v>0</v>
      </c>
      <c r="L4728" s="43">
        <v>0.18</v>
      </c>
      <c r="M4728" s="46">
        <f>(Sales[[#This Row],[Gross Amount]]-Sales[[#This Row],[Disc. Amt.]])*Sales[[#This Row],[GST %]]</f>
        <v>3380.4</v>
      </c>
      <c r="N4728" s="161">
        <f>Sales[[#This Row],[Gross Amount]]-Sales[[#This Row],[Disc. Amt.]]+Sales[[#This Row],[GST Amount]]</f>
        <v>22160.400000000001</v>
      </c>
      <c r="O4728" s="34" t="s">
        <v>3561</v>
      </c>
      <c r="P4728" s="34" t="s">
        <v>3562</v>
      </c>
      <c r="Q4728" s="165">
        <f>IF(Sales[[#This Row],[Status]]="Cancelled",0,Sales[[#This Row],[Qty]])</f>
        <v>3</v>
      </c>
      <c r="R4728" s="166">
        <f>IF(Sales[[#This Row],[Status]]="Cancelled",0,Sales[[#This Row],[Total Amount]])</f>
        <v>22160.400000000001</v>
      </c>
      <c r="S4728" s="162">
        <f>SUM(Sales[Net Amount])</f>
        <v>406839287.73200053</v>
      </c>
    </row>
    <row r="4729" spans="1:19" ht="18.75" x14ac:dyDescent="0.25">
      <c r="A4729" s="156" t="s">
        <v>8413</v>
      </c>
      <c r="B4729" s="157">
        <v>46009</v>
      </c>
      <c r="C4729" s="158" t="s">
        <v>739</v>
      </c>
      <c r="D4729" s="159" t="str">
        <f>VLOOKUP(Sales[[#This Row],[Customer ID]],Customer[#All],2,0)</f>
        <v>Ankit Singh</v>
      </c>
      <c r="E4729" s="158" t="s">
        <v>139</v>
      </c>
      <c r="F4729" s="158" t="str">
        <f>VLOOKUP(Sales[[#This Row],[Product ID]],Product[#All],2,0)</f>
        <v>HP Printer</v>
      </c>
      <c r="G4729" s="159">
        <v>5</v>
      </c>
      <c r="H4729" s="160">
        <f>VLOOKUP(Sales[[#This Row],[Product ID]],Product[#All],7,0)</f>
        <v>25260</v>
      </c>
      <c r="I4729" s="160">
        <f>Sales[[#This Row],[Selling Rate]]*Sales[[#This Row],[Qty]]</f>
        <v>126300</v>
      </c>
      <c r="J4729" s="43">
        <v>0.02</v>
      </c>
      <c r="K4729" s="44">
        <f>Sales[[#This Row],[Gross Amount]]*Sales[[#This Row],[Disc %]]</f>
        <v>2526</v>
      </c>
      <c r="L4729" s="43">
        <v>0.18</v>
      </c>
      <c r="M4729" s="44">
        <f>(Sales[[#This Row],[Gross Amount]]-Sales[[#This Row],[Disc. Amt.]])*Sales[[#This Row],[GST %]]</f>
        <v>22279.32</v>
      </c>
      <c r="N4729" s="161">
        <f>Sales[[#This Row],[Gross Amount]]-Sales[[#This Row],[Disc. Amt.]]+Sales[[#This Row],[GST Amount]]</f>
        <v>146053.32</v>
      </c>
      <c r="O4729" s="158" t="s">
        <v>8876</v>
      </c>
      <c r="P4729" s="158" t="s">
        <v>3562</v>
      </c>
      <c r="Q4729" s="160">
        <f>IF(Sales[[#This Row],[Status]]="Cancelled",0,Sales[[#This Row],[Qty]])</f>
        <v>5</v>
      </c>
      <c r="R4729" s="161">
        <f>IF(Sales[[#This Row],[Status]]="Cancelled",0,Sales[[#This Row],[Total Amount]])</f>
        <v>146053.32</v>
      </c>
      <c r="S4729" s="162">
        <f>SUM(Sales[Net Amount])</f>
        <v>406839287.73200053</v>
      </c>
    </row>
    <row r="4730" spans="1:19" ht="18.75" x14ac:dyDescent="0.25">
      <c r="A4730" s="163" t="s">
        <v>8414</v>
      </c>
      <c r="B4730" s="164">
        <v>46009</v>
      </c>
      <c r="C4730" s="34" t="s">
        <v>808</v>
      </c>
      <c r="D4730" s="53" t="str">
        <f>VLOOKUP(Sales[[#This Row],[Customer ID]],Customer[#All],2,0)</f>
        <v>Rahul Singh</v>
      </c>
      <c r="E4730" s="34" t="s">
        <v>137</v>
      </c>
      <c r="F4730" s="34" t="str">
        <f>VLOOKUP(Sales[[#This Row],[Product ID]],Product[#All],2,0)</f>
        <v>Seagate HDD</v>
      </c>
      <c r="G4730" s="53">
        <v>1</v>
      </c>
      <c r="H4730" s="165">
        <f>VLOOKUP(Sales[[#This Row],[Product ID]],Product[#All],7,0)</f>
        <v>7940</v>
      </c>
      <c r="I4730" s="165">
        <f>Sales[[#This Row],[Selling Rate]]*Sales[[#This Row],[Qty]]</f>
        <v>7940</v>
      </c>
      <c r="J4730" s="45">
        <v>0.05</v>
      </c>
      <c r="K4730" s="46">
        <f>Sales[[#This Row],[Gross Amount]]*Sales[[#This Row],[Disc %]]</f>
        <v>397</v>
      </c>
      <c r="L4730" s="43">
        <v>0.18</v>
      </c>
      <c r="M4730" s="46">
        <f>(Sales[[#This Row],[Gross Amount]]-Sales[[#This Row],[Disc. Amt.]])*Sales[[#This Row],[GST %]]</f>
        <v>1357.74</v>
      </c>
      <c r="N4730" s="161">
        <f>Sales[[#This Row],[Gross Amount]]-Sales[[#This Row],[Disc. Amt.]]+Sales[[#This Row],[GST Amount]]</f>
        <v>8900.74</v>
      </c>
      <c r="O4730" s="34" t="s">
        <v>3566</v>
      </c>
      <c r="P4730" s="34" t="s">
        <v>3562</v>
      </c>
      <c r="Q4730" s="165">
        <f>IF(Sales[[#This Row],[Status]]="Cancelled",0,Sales[[#This Row],[Qty]])</f>
        <v>1</v>
      </c>
      <c r="R4730" s="166">
        <f>IF(Sales[[#This Row],[Status]]="Cancelled",0,Sales[[#This Row],[Total Amount]])</f>
        <v>8900.74</v>
      </c>
      <c r="S4730" s="162">
        <f>SUM(Sales[Net Amount])</f>
        <v>406839287.73200053</v>
      </c>
    </row>
    <row r="4731" spans="1:19" ht="18.75" x14ac:dyDescent="0.25">
      <c r="A4731" s="156" t="s">
        <v>8415</v>
      </c>
      <c r="B4731" s="157">
        <v>46009</v>
      </c>
      <c r="C4731" s="158" t="s">
        <v>818</v>
      </c>
      <c r="D4731" s="159" t="str">
        <f>VLOOKUP(Sales[[#This Row],[Customer ID]],Customer[#All],2,0)</f>
        <v>Rahul Sharma</v>
      </c>
      <c r="E4731" s="158" t="s">
        <v>277</v>
      </c>
      <c r="F4731" s="158" t="str">
        <f>VLOOKUP(Sales[[#This Row],[Product ID]],Product[#All],2,0)</f>
        <v>D-Link Router</v>
      </c>
      <c r="G4731" s="159">
        <v>3</v>
      </c>
      <c r="H4731" s="160">
        <f>VLOOKUP(Sales[[#This Row],[Product ID]],Product[#All],7,0)</f>
        <v>4630</v>
      </c>
      <c r="I4731" s="160">
        <f>Sales[[#This Row],[Selling Rate]]*Sales[[#This Row],[Qty]]</f>
        <v>13890</v>
      </c>
      <c r="J4731" s="43">
        <v>0.02</v>
      </c>
      <c r="K4731" s="44">
        <f>Sales[[#This Row],[Gross Amount]]*Sales[[#This Row],[Disc %]]</f>
        <v>277.8</v>
      </c>
      <c r="L4731" s="43">
        <v>0.18</v>
      </c>
      <c r="M4731" s="44">
        <f>(Sales[[#This Row],[Gross Amount]]-Sales[[#This Row],[Disc. Amt.]])*Sales[[#This Row],[GST %]]</f>
        <v>2450.1959999999999</v>
      </c>
      <c r="N4731" s="161">
        <f>Sales[[#This Row],[Gross Amount]]-Sales[[#This Row],[Disc. Amt.]]+Sales[[#This Row],[GST Amount]]</f>
        <v>16062.396000000001</v>
      </c>
      <c r="O4731" s="158" t="s">
        <v>3561</v>
      </c>
      <c r="P4731" s="158" t="s">
        <v>3562</v>
      </c>
      <c r="Q4731" s="160">
        <f>IF(Sales[[#This Row],[Status]]="Cancelled",0,Sales[[#This Row],[Qty]])</f>
        <v>3</v>
      </c>
      <c r="R4731" s="161">
        <f>IF(Sales[[#This Row],[Status]]="Cancelled",0,Sales[[#This Row],[Total Amount]])</f>
        <v>16062.396000000001</v>
      </c>
      <c r="S4731" s="162">
        <f>SUM(Sales[Net Amount])</f>
        <v>406839287.73200053</v>
      </c>
    </row>
    <row r="4732" spans="1:19" ht="18.75" x14ac:dyDescent="0.25">
      <c r="A4732" s="163" t="s">
        <v>8416</v>
      </c>
      <c r="B4732" s="164">
        <v>46009</v>
      </c>
      <c r="C4732" s="34" t="s">
        <v>689</v>
      </c>
      <c r="D4732" s="53" t="str">
        <f>VLOOKUP(Sales[[#This Row],[Customer ID]],Customer[#All],2,0)</f>
        <v>Sahil Kumar</v>
      </c>
      <c r="E4732" s="34" t="s">
        <v>462</v>
      </c>
      <c r="F4732" s="34" t="str">
        <f>VLOOKUP(Sales[[#This Row],[Product ID]],Product[#All],2,0)</f>
        <v>Dell Keyboard</v>
      </c>
      <c r="G4732" s="53">
        <v>3</v>
      </c>
      <c r="H4732" s="165">
        <f>VLOOKUP(Sales[[#This Row],[Product ID]],Product[#All],7,0)</f>
        <v>2730</v>
      </c>
      <c r="I4732" s="165">
        <f>Sales[[#This Row],[Selling Rate]]*Sales[[#This Row],[Qty]]</f>
        <v>8190</v>
      </c>
      <c r="J4732" s="45">
        <v>0.05</v>
      </c>
      <c r="K4732" s="46">
        <f>Sales[[#This Row],[Gross Amount]]*Sales[[#This Row],[Disc %]]</f>
        <v>409.5</v>
      </c>
      <c r="L4732" s="43">
        <v>0.18</v>
      </c>
      <c r="M4732" s="46">
        <f>(Sales[[#This Row],[Gross Amount]]-Sales[[#This Row],[Disc. Amt.]])*Sales[[#This Row],[GST %]]</f>
        <v>1400.49</v>
      </c>
      <c r="N4732" s="161">
        <f>Sales[[#This Row],[Gross Amount]]-Sales[[#This Row],[Disc. Amt.]]+Sales[[#This Row],[GST Amount]]</f>
        <v>9180.99</v>
      </c>
      <c r="O4732" s="34" t="s">
        <v>3569</v>
      </c>
      <c r="P4732" s="34" t="s">
        <v>3562</v>
      </c>
      <c r="Q4732" s="165">
        <f>IF(Sales[[#This Row],[Status]]="Cancelled",0,Sales[[#This Row],[Qty]])</f>
        <v>3</v>
      </c>
      <c r="R4732" s="166">
        <f>IF(Sales[[#This Row],[Status]]="Cancelled",0,Sales[[#This Row],[Total Amount]])</f>
        <v>9180.99</v>
      </c>
      <c r="S4732" s="162">
        <f>SUM(Sales[Net Amount])</f>
        <v>406839287.73200053</v>
      </c>
    </row>
    <row r="4733" spans="1:19" ht="18.75" x14ac:dyDescent="0.25">
      <c r="A4733" s="156" t="s">
        <v>8417</v>
      </c>
      <c r="B4733" s="157">
        <v>46009</v>
      </c>
      <c r="C4733" s="158" t="s">
        <v>926</v>
      </c>
      <c r="D4733" s="159" t="str">
        <f>VLOOKUP(Sales[[#This Row],[Customer ID]],Customer[#All],2,0)</f>
        <v>Pooja Singh</v>
      </c>
      <c r="E4733" s="158" t="s">
        <v>419</v>
      </c>
      <c r="F4733" s="158" t="str">
        <f>VLOOKUP(Sales[[#This Row],[Product ID]],Product[#All],2,0)</f>
        <v>WD HDD</v>
      </c>
      <c r="G4733" s="159">
        <v>8</v>
      </c>
      <c r="H4733" s="160">
        <f>VLOOKUP(Sales[[#This Row],[Product ID]],Product[#All],7,0)</f>
        <v>8930</v>
      </c>
      <c r="I4733" s="160">
        <f>Sales[[#This Row],[Selling Rate]]*Sales[[#This Row],[Qty]]</f>
        <v>71440</v>
      </c>
      <c r="J4733" s="43">
        <v>0</v>
      </c>
      <c r="K4733" s="44">
        <f>Sales[[#This Row],[Gross Amount]]*Sales[[#This Row],[Disc %]]</f>
        <v>0</v>
      </c>
      <c r="L4733" s="43">
        <v>0.18</v>
      </c>
      <c r="M4733" s="44">
        <f>(Sales[[#This Row],[Gross Amount]]-Sales[[#This Row],[Disc. Amt.]])*Sales[[#This Row],[GST %]]</f>
        <v>12859.199999999999</v>
      </c>
      <c r="N4733" s="161">
        <f>Sales[[#This Row],[Gross Amount]]-Sales[[#This Row],[Disc. Amt.]]+Sales[[#This Row],[GST Amount]]</f>
        <v>84299.199999999997</v>
      </c>
      <c r="O4733" s="158" t="s">
        <v>3566</v>
      </c>
      <c r="P4733" s="158" t="s">
        <v>3562</v>
      </c>
      <c r="Q4733" s="160">
        <f>IF(Sales[[#This Row],[Status]]="Cancelled",0,Sales[[#This Row],[Qty]])</f>
        <v>8</v>
      </c>
      <c r="R4733" s="161">
        <f>IF(Sales[[#This Row],[Status]]="Cancelled",0,Sales[[#This Row],[Total Amount]])</f>
        <v>84299.199999999997</v>
      </c>
      <c r="S4733" s="162">
        <f>SUM(Sales[Net Amount])</f>
        <v>406839287.73200053</v>
      </c>
    </row>
    <row r="4734" spans="1:19" ht="18.75" x14ac:dyDescent="0.25">
      <c r="A4734" s="163" t="s">
        <v>8418</v>
      </c>
      <c r="B4734" s="164">
        <v>46009</v>
      </c>
      <c r="C4734" s="34" t="s">
        <v>803</v>
      </c>
      <c r="D4734" s="53" t="str">
        <f>VLOOKUP(Sales[[#This Row],[Customer ID]],Customer[#All],2,0)</f>
        <v>Pooja Singh</v>
      </c>
      <c r="E4734" s="34" t="s">
        <v>43</v>
      </c>
      <c r="F4734" s="34" t="str">
        <f>VLOOKUP(Sales[[#This Row],[Product ID]],Product[#All],2,0)</f>
        <v>Jbl Speaker</v>
      </c>
      <c r="G4734" s="53">
        <v>2</v>
      </c>
      <c r="H4734" s="165">
        <f>VLOOKUP(Sales[[#This Row],[Product ID]],Product[#All],7,0)</f>
        <v>11310</v>
      </c>
      <c r="I4734" s="165">
        <f>Sales[[#This Row],[Selling Rate]]*Sales[[#This Row],[Qty]]</f>
        <v>22620</v>
      </c>
      <c r="J4734" s="45">
        <v>0.02</v>
      </c>
      <c r="K4734" s="46">
        <f>Sales[[#This Row],[Gross Amount]]*Sales[[#This Row],[Disc %]]</f>
        <v>452.40000000000003</v>
      </c>
      <c r="L4734" s="43">
        <v>0.18</v>
      </c>
      <c r="M4734" s="46">
        <f>(Sales[[#This Row],[Gross Amount]]-Sales[[#This Row],[Disc. Amt.]])*Sales[[#This Row],[GST %]]</f>
        <v>3990.1679999999997</v>
      </c>
      <c r="N4734" s="161">
        <f>Sales[[#This Row],[Gross Amount]]-Sales[[#This Row],[Disc. Amt.]]+Sales[[#This Row],[GST Amount]]</f>
        <v>26157.767999999996</v>
      </c>
      <c r="O4734" s="34" t="s">
        <v>3566</v>
      </c>
      <c r="P4734" s="34" t="s">
        <v>3562</v>
      </c>
      <c r="Q4734" s="165">
        <f>IF(Sales[[#This Row],[Status]]="Cancelled",0,Sales[[#This Row],[Qty]])</f>
        <v>2</v>
      </c>
      <c r="R4734" s="166">
        <f>IF(Sales[[#This Row],[Status]]="Cancelled",0,Sales[[#This Row],[Total Amount]])</f>
        <v>26157.767999999996</v>
      </c>
      <c r="S4734" s="162">
        <f>SUM(Sales[Net Amount])</f>
        <v>406839287.73200053</v>
      </c>
    </row>
    <row r="4735" spans="1:19" ht="18.75" x14ac:dyDescent="0.25">
      <c r="A4735" s="156" t="s">
        <v>8419</v>
      </c>
      <c r="B4735" s="157">
        <v>46009</v>
      </c>
      <c r="C4735" s="158" t="s">
        <v>755</v>
      </c>
      <c r="D4735" s="159" t="str">
        <f>VLOOKUP(Sales[[#This Row],[Customer ID]],Customer[#All],2,0)</f>
        <v>Sunita Gupta</v>
      </c>
      <c r="E4735" s="158" t="s">
        <v>522</v>
      </c>
      <c r="F4735" s="158" t="str">
        <f>VLOOKUP(Sales[[#This Row],[Product ID]],Product[#All],2,0)</f>
        <v>Dell Keyboard</v>
      </c>
      <c r="G4735" s="159">
        <v>5</v>
      </c>
      <c r="H4735" s="160">
        <f>VLOOKUP(Sales[[#This Row],[Product ID]],Product[#All],7,0)</f>
        <v>3020</v>
      </c>
      <c r="I4735" s="160">
        <f>Sales[[#This Row],[Selling Rate]]*Sales[[#This Row],[Qty]]</f>
        <v>15100</v>
      </c>
      <c r="J4735" s="43">
        <v>0.12</v>
      </c>
      <c r="K4735" s="44">
        <f>Sales[[#This Row],[Gross Amount]]*Sales[[#This Row],[Disc %]]</f>
        <v>1812</v>
      </c>
      <c r="L4735" s="43">
        <v>0.18</v>
      </c>
      <c r="M4735" s="44">
        <f>(Sales[[#This Row],[Gross Amount]]-Sales[[#This Row],[Disc. Amt.]])*Sales[[#This Row],[GST %]]</f>
        <v>2391.8399999999997</v>
      </c>
      <c r="N4735" s="161">
        <f>Sales[[#This Row],[Gross Amount]]-Sales[[#This Row],[Disc. Amt.]]+Sales[[#This Row],[GST Amount]]</f>
        <v>15679.84</v>
      </c>
      <c r="O4735" s="158" t="s">
        <v>3569</v>
      </c>
      <c r="P4735" s="158" t="s">
        <v>3562</v>
      </c>
      <c r="Q4735" s="160">
        <f>IF(Sales[[#This Row],[Status]]="Cancelled",0,Sales[[#This Row],[Qty]])</f>
        <v>5</v>
      </c>
      <c r="R4735" s="161">
        <f>IF(Sales[[#This Row],[Status]]="Cancelled",0,Sales[[#This Row],[Total Amount]])</f>
        <v>15679.84</v>
      </c>
      <c r="S4735" s="162">
        <f>SUM(Sales[Net Amount])</f>
        <v>406839287.73200053</v>
      </c>
    </row>
    <row r="4736" spans="1:19" ht="18.75" x14ac:dyDescent="0.25">
      <c r="A4736" s="163" t="s">
        <v>8420</v>
      </c>
      <c r="B4736" s="164">
        <v>46010</v>
      </c>
      <c r="C4736" s="34" t="s">
        <v>785</v>
      </c>
      <c r="D4736" s="53" t="str">
        <f>VLOOKUP(Sales[[#This Row],[Customer ID]],Customer[#All],2,0)</f>
        <v>Ankit Gupta</v>
      </c>
      <c r="E4736" s="34" t="s">
        <v>12</v>
      </c>
      <c r="F4736" s="34" t="str">
        <f>VLOOKUP(Sales[[#This Row],[Product ID]],Product[#All],2,0)</f>
        <v>Boat Headset</v>
      </c>
      <c r="G4736" s="53">
        <v>2</v>
      </c>
      <c r="H4736" s="165">
        <f>VLOOKUP(Sales[[#This Row],[Product ID]],Product[#All],7,0)</f>
        <v>1990</v>
      </c>
      <c r="I4736" s="165">
        <f>Sales[[#This Row],[Selling Rate]]*Sales[[#This Row],[Qty]]</f>
        <v>3980</v>
      </c>
      <c r="J4736" s="45">
        <v>0.05</v>
      </c>
      <c r="K4736" s="46">
        <f>Sales[[#This Row],[Gross Amount]]*Sales[[#This Row],[Disc %]]</f>
        <v>199</v>
      </c>
      <c r="L4736" s="43">
        <v>0.18</v>
      </c>
      <c r="M4736" s="46">
        <f>(Sales[[#This Row],[Gross Amount]]-Sales[[#This Row],[Disc. Amt.]])*Sales[[#This Row],[GST %]]</f>
        <v>680.57999999999993</v>
      </c>
      <c r="N4736" s="161">
        <f>Sales[[#This Row],[Gross Amount]]-Sales[[#This Row],[Disc. Amt.]]+Sales[[#This Row],[GST Amount]]</f>
        <v>4461.58</v>
      </c>
      <c r="O4736" s="34" t="s">
        <v>3569</v>
      </c>
      <c r="P4736" s="34" t="s">
        <v>3562</v>
      </c>
      <c r="Q4736" s="165">
        <f>IF(Sales[[#This Row],[Status]]="Cancelled",0,Sales[[#This Row],[Qty]])</f>
        <v>2</v>
      </c>
      <c r="R4736" s="166">
        <f>IF(Sales[[#This Row],[Status]]="Cancelled",0,Sales[[#This Row],[Total Amount]])</f>
        <v>4461.58</v>
      </c>
      <c r="S4736" s="162">
        <f>SUM(Sales[Net Amount])</f>
        <v>406839287.73200053</v>
      </c>
    </row>
    <row r="4737" spans="1:19" ht="18.75" x14ac:dyDescent="0.25">
      <c r="A4737" s="156" t="s">
        <v>8421</v>
      </c>
      <c r="B4737" s="157">
        <v>46010</v>
      </c>
      <c r="C4737" s="158" t="s">
        <v>889</v>
      </c>
      <c r="D4737" s="159" t="str">
        <f>VLOOKUP(Sales[[#This Row],[Customer ID]],Customer[#All],2,0)</f>
        <v>Rakesh Sharma</v>
      </c>
      <c r="E4737" s="158" t="s">
        <v>194</v>
      </c>
      <c r="F4737" s="158" t="str">
        <f>VLOOKUP(Sales[[#This Row],[Product ID]],Product[#All],2,0)</f>
        <v>Crucial Ssd</v>
      </c>
      <c r="G4737" s="159">
        <v>3</v>
      </c>
      <c r="H4737" s="160">
        <f>VLOOKUP(Sales[[#This Row],[Product ID]],Product[#All],7,0)</f>
        <v>6290</v>
      </c>
      <c r="I4737" s="160">
        <f>Sales[[#This Row],[Selling Rate]]*Sales[[#This Row],[Qty]]</f>
        <v>18870</v>
      </c>
      <c r="J4737" s="43">
        <v>0.02</v>
      </c>
      <c r="K4737" s="44">
        <f>Sales[[#This Row],[Gross Amount]]*Sales[[#This Row],[Disc %]]</f>
        <v>377.40000000000003</v>
      </c>
      <c r="L4737" s="43">
        <v>0.18</v>
      </c>
      <c r="M4737" s="44">
        <f>(Sales[[#This Row],[Gross Amount]]-Sales[[#This Row],[Disc. Amt.]])*Sales[[#This Row],[GST %]]</f>
        <v>3328.6679999999997</v>
      </c>
      <c r="N4737" s="161">
        <f>Sales[[#This Row],[Gross Amount]]-Sales[[#This Row],[Disc. Amt.]]+Sales[[#This Row],[GST Amount]]</f>
        <v>21821.267999999996</v>
      </c>
      <c r="O4737" s="158" t="s">
        <v>3569</v>
      </c>
      <c r="P4737" s="158" t="s">
        <v>3562</v>
      </c>
      <c r="Q4737" s="160">
        <f>IF(Sales[[#This Row],[Status]]="Cancelled",0,Sales[[#This Row],[Qty]])</f>
        <v>3</v>
      </c>
      <c r="R4737" s="161">
        <f>IF(Sales[[#This Row],[Status]]="Cancelled",0,Sales[[#This Row],[Total Amount]])</f>
        <v>21821.267999999996</v>
      </c>
      <c r="S4737" s="162">
        <f>SUM(Sales[Net Amount])</f>
        <v>406839287.73200053</v>
      </c>
    </row>
    <row r="4738" spans="1:19" ht="18.75" x14ac:dyDescent="0.25">
      <c r="A4738" s="163" t="s">
        <v>8422</v>
      </c>
      <c r="B4738" s="164">
        <v>46010</v>
      </c>
      <c r="C4738" s="34" t="s">
        <v>778</v>
      </c>
      <c r="D4738" s="53" t="str">
        <f>VLOOKUP(Sales[[#This Row],[Customer ID]],Customer[#All],2,0)</f>
        <v>Ankit Gupta</v>
      </c>
      <c r="E4738" s="34" t="s">
        <v>502</v>
      </c>
      <c r="F4738" s="34" t="str">
        <f>VLOOKUP(Sales[[#This Row],[Product ID]],Product[#All],2,0)</f>
        <v>HP Printer</v>
      </c>
      <c r="G4738" s="53">
        <v>3</v>
      </c>
      <c r="H4738" s="165">
        <f>VLOOKUP(Sales[[#This Row],[Product ID]],Product[#All],7,0)</f>
        <v>32100</v>
      </c>
      <c r="I4738" s="165">
        <f>Sales[[#This Row],[Selling Rate]]*Sales[[#This Row],[Qty]]</f>
        <v>96300</v>
      </c>
      <c r="J4738" s="45">
        <v>0.15</v>
      </c>
      <c r="K4738" s="46">
        <f>Sales[[#This Row],[Gross Amount]]*Sales[[#This Row],[Disc %]]</f>
        <v>14445</v>
      </c>
      <c r="L4738" s="43">
        <v>0.18</v>
      </c>
      <c r="M4738" s="46">
        <f>(Sales[[#This Row],[Gross Amount]]-Sales[[#This Row],[Disc. Amt.]])*Sales[[#This Row],[GST %]]</f>
        <v>14733.9</v>
      </c>
      <c r="N4738" s="161">
        <f>Sales[[#This Row],[Gross Amount]]-Sales[[#This Row],[Disc. Amt.]]+Sales[[#This Row],[GST Amount]]</f>
        <v>96588.9</v>
      </c>
      <c r="O4738" s="34" t="s">
        <v>8876</v>
      </c>
      <c r="P4738" s="34" t="s">
        <v>3562</v>
      </c>
      <c r="Q4738" s="165">
        <f>IF(Sales[[#This Row],[Status]]="Cancelled",0,Sales[[#This Row],[Qty]])</f>
        <v>3</v>
      </c>
      <c r="R4738" s="166">
        <f>IF(Sales[[#This Row],[Status]]="Cancelled",0,Sales[[#This Row],[Total Amount]])</f>
        <v>96588.9</v>
      </c>
      <c r="S4738" s="162">
        <f>SUM(Sales[Net Amount])</f>
        <v>406839287.73200053</v>
      </c>
    </row>
    <row r="4739" spans="1:19" ht="18.75" x14ac:dyDescent="0.25">
      <c r="A4739" s="156" t="s">
        <v>8423</v>
      </c>
      <c r="B4739" s="157">
        <v>46010</v>
      </c>
      <c r="C4739" s="158" t="s">
        <v>663</v>
      </c>
      <c r="D4739" s="159" t="str">
        <f>VLOOKUP(Sales[[#This Row],[Customer ID]],Customer[#All],2,0)</f>
        <v>Amit Sharma</v>
      </c>
      <c r="E4739" s="158" t="s">
        <v>542</v>
      </c>
      <c r="F4739" s="158" t="str">
        <f>VLOOKUP(Sales[[#This Row],[Product ID]],Product[#All],2,0)</f>
        <v>Logitech Webcam</v>
      </c>
      <c r="G4739" s="159">
        <v>7</v>
      </c>
      <c r="H4739" s="160">
        <f>VLOOKUP(Sales[[#This Row],[Product ID]],Product[#All],7,0)</f>
        <v>4800</v>
      </c>
      <c r="I4739" s="160">
        <f>Sales[[#This Row],[Selling Rate]]*Sales[[#This Row],[Qty]]</f>
        <v>33600</v>
      </c>
      <c r="J4739" s="43">
        <v>0.05</v>
      </c>
      <c r="K4739" s="44">
        <f>Sales[[#This Row],[Gross Amount]]*Sales[[#This Row],[Disc %]]</f>
        <v>1680</v>
      </c>
      <c r="L4739" s="43">
        <v>0.18</v>
      </c>
      <c r="M4739" s="44">
        <f>(Sales[[#This Row],[Gross Amount]]-Sales[[#This Row],[Disc. Amt.]])*Sales[[#This Row],[GST %]]</f>
        <v>5745.5999999999995</v>
      </c>
      <c r="N4739" s="161">
        <f>Sales[[#This Row],[Gross Amount]]-Sales[[#This Row],[Disc. Amt.]]+Sales[[#This Row],[GST Amount]]</f>
        <v>37665.599999999999</v>
      </c>
      <c r="O4739" s="158" t="s">
        <v>3569</v>
      </c>
      <c r="P4739" s="158" t="s">
        <v>3562</v>
      </c>
      <c r="Q4739" s="160">
        <f>IF(Sales[[#This Row],[Status]]="Cancelled",0,Sales[[#This Row],[Qty]])</f>
        <v>7</v>
      </c>
      <c r="R4739" s="161">
        <f>IF(Sales[[#This Row],[Status]]="Cancelled",0,Sales[[#This Row],[Total Amount]])</f>
        <v>37665.599999999999</v>
      </c>
      <c r="S4739" s="162">
        <f>SUM(Sales[Net Amount])</f>
        <v>406839287.73200053</v>
      </c>
    </row>
    <row r="4740" spans="1:19" ht="18.75" x14ac:dyDescent="0.25">
      <c r="A4740" s="163" t="s">
        <v>8424</v>
      </c>
      <c r="B4740" s="164">
        <v>46010</v>
      </c>
      <c r="C4740" s="34" t="s">
        <v>653</v>
      </c>
      <c r="D4740" s="53" t="str">
        <f>VLOOKUP(Sales[[#This Row],[Customer ID]],Customer[#All],2,0)</f>
        <v>Pooja Patel</v>
      </c>
      <c r="E4740" s="34" t="s">
        <v>208</v>
      </c>
      <c r="F4740" s="34" t="str">
        <f>VLOOKUP(Sales[[#This Row],[Product ID]],Product[#All],2,0)</f>
        <v>Dell Laptop</v>
      </c>
      <c r="G4740" s="53">
        <v>7</v>
      </c>
      <c r="H4740" s="165">
        <f>VLOOKUP(Sales[[#This Row],[Product ID]],Product[#All],7,0)</f>
        <v>67000</v>
      </c>
      <c r="I4740" s="165">
        <f>Sales[[#This Row],[Selling Rate]]*Sales[[#This Row],[Qty]]</f>
        <v>469000</v>
      </c>
      <c r="J4740" s="45">
        <v>0.1</v>
      </c>
      <c r="K4740" s="46">
        <f>Sales[[#This Row],[Gross Amount]]*Sales[[#This Row],[Disc %]]</f>
        <v>46900</v>
      </c>
      <c r="L4740" s="43">
        <v>0.18</v>
      </c>
      <c r="M4740" s="46">
        <f>(Sales[[#This Row],[Gross Amount]]-Sales[[#This Row],[Disc. Amt.]])*Sales[[#This Row],[GST %]]</f>
        <v>75978</v>
      </c>
      <c r="N4740" s="161">
        <f>Sales[[#This Row],[Gross Amount]]-Sales[[#This Row],[Disc. Amt.]]+Sales[[#This Row],[GST Amount]]</f>
        <v>498078</v>
      </c>
      <c r="O4740" s="34" t="s">
        <v>3569</v>
      </c>
      <c r="P4740" s="34" t="s">
        <v>3562</v>
      </c>
      <c r="Q4740" s="165">
        <f>IF(Sales[[#This Row],[Status]]="Cancelled",0,Sales[[#This Row],[Qty]])</f>
        <v>7</v>
      </c>
      <c r="R4740" s="166">
        <f>IF(Sales[[#This Row],[Status]]="Cancelled",0,Sales[[#This Row],[Total Amount]])</f>
        <v>498078</v>
      </c>
      <c r="S4740" s="162">
        <f>SUM(Sales[Net Amount])</f>
        <v>406839287.73200053</v>
      </c>
    </row>
    <row r="4741" spans="1:19" ht="18.75" x14ac:dyDescent="0.25">
      <c r="A4741" s="156" t="s">
        <v>8425</v>
      </c>
      <c r="B4741" s="157">
        <v>46010</v>
      </c>
      <c r="C4741" s="158" t="s">
        <v>949</v>
      </c>
      <c r="D4741" s="159" t="str">
        <f>VLOOKUP(Sales[[#This Row],[Customer ID]],Customer[#All],2,0)</f>
        <v>Amit Patel</v>
      </c>
      <c r="E4741" s="158" t="s">
        <v>451</v>
      </c>
      <c r="F4741" s="158" t="str">
        <f>VLOOKUP(Sales[[#This Row],[Product ID]],Product[#All],2,0)</f>
        <v>HP Printer</v>
      </c>
      <c r="G4741" s="159">
        <v>7</v>
      </c>
      <c r="H4741" s="160">
        <f>VLOOKUP(Sales[[#This Row],[Product ID]],Product[#All],7,0)</f>
        <v>36160</v>
      </c>
      <c r="I4741" s="160">
        <f>Sales[[#This Row],[Selling Rate]]*Sales[[#This Row],[Qty]]</f>
        <v>253120</v>
      </c>
      <c r="J4741" s="43">
        <v>0.15</v>
      </c>
      <c r="K4741" s="44">
        <f>Sales[[#This Row],[Gross Amount]]*Sales[[#This Row],[Disc %]]</f>
        <v>37968</v>
      </c>
      <c r="L4741" s="43">
        <v>0.18</v>
      </c>
      <c r="M4741" s="44">
        <f>(Sales[[#This Row],[Gross Amount]]-Sales[[#This Row],[Disc. Amt.]])*Sales[[#This Row],[GST %]]</f>
        <v>38727.360000000001</v>
      </c>
      <c r="N4741" s="161">
        <f>Sales[[#This Row],[Gross Amount]]-Sales[[#This Row],[Disc. Amt.]]+Sales[[#This Row],[GST Amount]]</f>
        <v>253879.36</v>
      </c>
      <c r="O4741" s="158" t="s">
        <v>3561</v>
      </c>
      <c r="P4741" s="158" t="s">
        <v>3562</v>
      </c>
      <c r="Q4741" s="160">
        <f>IF(Sales[[#This Row],[Status]]="Cancelled",0,Sales[[#This Row],[Qty]])</f>
        <v>7</v>
      </c>
      <c r="R4741" s="161">
        <f>IF(Sales[[#This Row],[Status]]="Cancelled",0,Sales[[#This Row],[Total Amount]])</f>
        <v>253879.36</v>
      </c>
      <c r="S4741" s="162">
        <f>SUM(Sales[Net Amount])</f>
        <v>406839287.73200053</v>
      </c>
    </row>
    <row r="4742" spans="1:19" ht="18.75" x14ac:dyDescent="0.25">
      <c r="A4742" s="163" t="s">
        <v>8426</v>
      </c>
      <c r="B4742" s="164">
        <v>46010</v>
      </c>
      <c r="C4742" s="34" t="s">
        <v>874</v>
      </c>
      <c r="D4742" s="53" t="str">
        <f>VLOOKUP(Sales[[#This Row],[Customer ID]],Customer[#All],2,0)</f>
        <v>Vikas Sharma</v>
      </c>
      <c r="E4742" s="34" t="s">
        <v>318</v>
      </c>
      <c r="F4742" s="34" t="str">
        <f>VLOOKUP(Sales[[#This Row],[Product ID]],Product[#All],2,0)</f>
        <v>HP Printer</v>
      </c>
      <c r="G4742" s="53">
        <v>5</v>
      </c>
      <c r="H4742" s="165">
        <f>VLOOKUP(Sales[[#This Row],[Product ID]],Product[#All],7,0)</f>
        <v>30590</v>
      </c>
      <c r="I4742" s="165">
        <f>Sales[[#This Row],[Selling Rate]]*Sales[[#This Row],[Qty]]</f>
        <v>152950</v>
      </c>
      <c r="J4742" s="45">
        <v>0.15</v>
      </c>
      <c r="K4742" s="46">
        <f>Sales[[#This Row],[Gross Amount]]*Sales[[#This Row],[Disc %]]</f>
        <v>22942.5</v>
      </c>
      <c r="L4742" s="43">
        <v>0.18</v>
      </c>
      <c r="M4742" s="46">
        <f>(Sales[[#This Row],[Gross Amount]]-Sales[[#This Row],[Disc. Amt.]])*Sales[[#This Row],[GST %]]</f>
        <v>23401.35</v>
      </c>
      <c r="N4742" s="161">
        <f>Sales[[#This Row],[Gross Amount]]-Sales[[#This Row],[Disc. Amt.]]+Sales[[#This Row],[GST Amount]]</f>
        <v>153408.85</v>
      </c>
      <c r="O4742" s="34" t="s">
        <v>3566</v>
      </c>
      <c r="P4742" s="34" t="s">
        <v>3562</v>
      </c>
      <c r="Q4742" s="165">
        <f>IF(Sales[[#This Row],[Status]]="Cancelled",0,Sales[[#This Row],[Qty]])</f>
        <v>5</v>
      </c>
      <c r="R4742" s="166">
        <f>IF(Sales[[#This Row],[Status]]="Cancelled",0,Sales[[#This Row],[Total Amount]])</f>
        <v>153408.85</v>
      </c>
      <c r="S4742" s="162">
        <f>SUM(Sales[Net Amount])</f>
        <v>406839287.73200053</v>
      </c>
    </row>
    <row r="4743" spans="1:19" ht="18.75" x14ac:dyDescent="0.25">
      <c r="A4743" s="156" t="s">
        <v>8427</v>
      </c>
      <c r="B4743" s="157">
        <v>46010</v>
      </c>
      <c r="C4743" s="158" t="s">
        <v>872</v>
      </c>
      <c r="D4743" s="159" t="str">
        <f>VLOOKUP(Sales[[#This Row],[Customer ID]],Customer[#All],2,0)</f>
        <v>Rahul Verma</v>
      </c>
      <c r="E4743" s="158" t="s">
        <v>277</v>
      </c>
      <c r="F4743" s="158" t="str">
        <f>VLOOKUP(Sales[[#This Row],[Product ID]],Product[#All],2,0)</f>
        <v>D-Link Router</v>
      </c>
      <c r="G4743" s="159">
        <v>2</v>
      </c>
      <c r="H4743" s="160">
        <f>VLOOKUP(Sales[[#This Row],[Product ID]],Product[#All],7,0)</f>
        <v>4630</v>
      </c>
      <c r="I4743" s="160">
        <f>Sales[[#This Row],[Selling Rate]]*Sales[[#This Row],[Qty]]</f>
        <v>9260</v>
      </c>
      <c r="J4743" s="43">
        <v>0.05</v>
      </c>
      <c r="K4743" s="44">
        <f>Sales[[#This Row],[Gross Amount]]*Sales[[#This Row],[Disc %]]</f>
        <v>463</v>
      </c>
      <c r="L4743" s="43">
        <v>0.18</v>
      </c>
      <c r="M4743" s="44">
        <f>(Sales[[#This Row],[Gross Amount]]-Sales[[#This Row],[Disc. Amt.]])*Sales[[#This Row],[GST %]]</f>
        <v>1583.46</v>
      </c>
      <c r="N4743" s="161">
        <f>Sales[[#This Row],[Gross Amount]]-Sales[[#This Row],[Disc. Amt.]]+Sales[[#This Row],[GST Amount]]</f>
        <v>10380.459999999999</v>
      </c>
      <c r="O4743" s="158" t="s">
        <v>3566</v>
      </c>
      <c r="P4743" s="158" t="s">
        <v>3562</v>
      </c>
      <c r="Q4743" s="160">
        <f>IF(Sales[[#This Row],[Status]]="Cancelled",0,Sales[[#This Row],[Qty]])</f>
        <v>2</v>
      </c>
      <c r="R4743" s="161">
        <f>IF(Sales[[#This Row],[Status]]="Cancelled",0,Sales[[#This Row],[Total Amount]])</f>
        <v>10380.459999999999</v>
      </c>
      <c r="S4743" s="162">
        <f>SUM(Sales[Net Amount])</f>
        <v>406839287.73200053</v>
      </c>
    </row>
    <row r="4744" spans="1:19" ht="18.75" x14ac:dyDescent="0.25">
      <c r="A4744" s="163" t="s">
        <v>8428</v>
      </c>
      <c r="B4744" s="164">
        <v>46010</v>
      </c>
      <c r="C4744" s="34" t="s">
        <v>847</v>
      </c>
      <c r="D4744" s="53" t="str">
        <f>VLOOKUP(Sales[[#This Row],[Customer ID]],Customer[#All],2,0)</f>
        <v>Ankit Gupta</v>
      </c>
      <c r="E4744" s="34" t="s">
        <v>137</v>
      </c>
      <c r="F4744" s="34" t="str">
        <f>VLOOKUP(Sales[[#This Row],[Product ID]],Product[#All],2,0)</f>
        <v>Seagate HDD</v>
      </c>
      <c r="G4744" s="53">
        <v>1</v>
      </c>
      <c r="H4744" s="165">
        <f>VLOOKUP(Sales[[#This Row],[Product ID]],Product[#All],7,0)</f>
        <v>7940</v>
      </c>
      <c r="I4744" s="165">
        <f>Sales[[#This Row],[Selling Rate]]*Sales[[#This Row],[Qty]]</f>
        <v>7940</v>
      </c>
      <c r="J4744" s="45">
        <v>0</v>
      </c>
      <c r="K4744" s="46">
        <f>Sales[[#This Row],[Gross Amount]]*Sales[[#This Row],[Disc %]]</f>
        <v>0</v>
      </c>
      <c r="L4744" s="43">
        <v>0.18</v>
      </c>
      <c r="M4744" s="46">
        <f>(Sales[[#This Row],[Gross Amount]]-Sales[[#This Row],[Disc. Amt.]])*Sales[[#This Row],[GST %]]</f>
        <v>1429.2</v>
      </c>
      <c r="N4744" s="161">
        <f>Sales[[#This Row],[Gross Amount]]-Sales[[#This Row],[Disc. Amt.]]+Sales[[#This Row],[GST Amount]]</f>
        <v>9369.2000000000007</v>
      </c>
      <c r="O4744" s="34" t="s">
        <v>8876</v>
      </c>
      <c r="P4744" s="34" t="s">
        <v>3562</v>
      </c>
      <c r="Q4744" s="165">
        <f>IF(Sales[[#This Row],[Status]]="Cancelled",0,Sales[[#This Row],[Qty]])</f>
        <v>1</v>
      </c>
      <c r="R4744" s="166">
        <f>IF(Sales[[#This Row],[Status]]="Cancelled",0,Sales[[#This Row],[Total Amount]])</f>
        <v>9369.2000000000007</v>
      </c>
      <c r="S4744" s="162">
        <f>SUM(Sales[Net Amount])</f>
        <v>406839287.73200053</v>
      </c>
    </row>
    <row r="4745" spans="1:19" ht="18.75" x14ac:dyDescent="0.25">
      <c r="A4745" s="156" t="s">
        <v>8429</v>
      </c>
      <c r="B4745" s="157">
        <v>46010</v>
      </c>
      <c r="C4745" s="158" t="s">
        <v>675</v>
      </c>
      <c r="D4745" s="159" t="str">
        <f>VLOOKUP(Sales[[#This Row],[Customer ID]],Customer[#All],2,0)</f>
        <v>Rahul Gupta</v>
      </c>
      <c r="E4745" s="158" t="s">
        <v>306</v>
      </c>
      <c r="F4745" s="158" t="str">
        <f>VLOOKUP(Sales[[#This Row],[Product ID]],Product[#All],2,0)</f>
        <v>Portronics USB Cable</v>
      </c>
      <c r="G4745" s="159">
        <v>4</v>
      </c>
      <c r="H4745" s="160">
        <f>VLOOKUP(Sales[[#This Row],[Product ID]],Product[#All],7,0)</f>
        <v>200</v>
      </c>
      <c r="I4745" s="160">
        <f>Sales[[#This Row],[Selling Rate]]*Sales[[#This Row],[Qty]]</f>
        <v>800</v>
      </c>
      <c r="J4745" s="43">
        <v>0</v>
      </c>
      <c r="K4745" s="44">
        <f>Sales[[#This Row],[Gross Amount]]*Sales[[#This Row],[Disc %]]</f>
        <v>0</v>
      </c>
      <c r="L4745" s="43">
        <v>0.18</v>
      </c>
      <c r="M4745" s="44">
        <f>(Sales[[#This Row],[Gross Amount]]-Sales[[#This Row],[Disc. Amt.]])*Sales[[#This Row],[GST %]]</f>
        <v>144</v>
      </c>
      <c r="N4745" s="161">
        <f>Sales[[#This Row],[Gross Amount]]-Sales[[#This Row],[Disc. Amt.]]+Sales[[#This Row],[GST Amount]]</f>
        <v>944</v>
      </c>
      <c r="O4745" s="158" t="s">
        <v>8876</v>
      </c>
      <c r="P4745" s="158" t="s">
        <v>3562</v>
      </c>
      <c r="Q4745" s="160">
        <f>IF(Sales[[#This Row],[Status]]="Cancelled",0,Sales[[#This Row],[Qty]])</f>
        <v>4</v>
      </c>
      <c r="R4745" s="161">
        <f>IF(Sales[[#This Row],[Status]]="Cancelled",0,Sales[[#This Row],[Total Amount]])</f>
        <v>944</v>
      </c>
      <c r="S4745" s="162">
        <f>SUM(Sales[Net Amount])</f>
        <v>406839287.73200053</v>
      </c>
    </row>
    <row r="4746" spans="1:19" ht="18.75" x14ac:dyDescent="0.25">
      <c r="A4746" s="163" t="s">
        <v>8430</v>
      </c>
      <c r="B4746" s="164">
        <v>46010</v>
      </c>
      <c r="C4746" s="34" t="s">
        <v>886</v>
      </c>
      <c r="D4746" s="53" t="str">
        <f>VLOOKUP(Sales[[#This Row],[Customer ID]],Customer[#All],2,0)</f>
        <v>Sunita Gupta</v>
      </c>
      <c r="E4746" s="34" t="s">
        <v>135</v>
      </c>
      <c r="F4746" s="34" t="str">
        <f>VLOOKUP(Sales[[#This Row],[Product ID]],Product[#All],2,0)</f>
        <v>Kingston Ram</v>
      </c>
      <c r="G4746" s="53">
        <v>6</v>
      </c>
      <c r="H4746" s="165">
        <f>VLOOKUP(Sales[[#This Row],[Product ID]],Product[#All],7,0)</f>
        <v>3100</v>
      </c>
      <c r="I4746" s="165">
        <f>Sales[[#This Row],[Selling Rate]]*Sales[[#This Row],[Qty]]</f>
        <v>18600</v>
      </c>
      <c r="J4746" s="45">
        <v>0</v>
      </c>
      <c r="K4746" s="46">
        <f>Sales[[#This Row],[Gross Amount]]*Sales[[#This Row],[Disc %]]</f>
        <v>0</v>
      </c>
      <c r="L4746" s="43">
        <v>0.18</v>
      </c>
      <c r="M4746" s="46">
        <f>(Sales[[#This Row],[Gross Amount]]-Sales[[#This Row],[Disc. Amt.]])*Sales[[#This Row],[GST %]]</f>
        <v>3348</v>
      </c>
      <c r="N4746" s="161">
        <f>Sales[[#This Row],[Gross Amount]]-Sales[[#This Row],[Disc. Amt.]]+Sales[[#This Row],[GST Amount]]</f>
        <v>21948</v>
      </c>
      <c r="O4746" s="34" t="s">
        <v>3561</v>
      </c>
      <c r="P4746" s="34" t="s">
        <v>3562</v>
      </c>
      <c r="Q4746" s="165">
        <f>IF(Sales[[#This Row],[Status]]="Cancelled",0,Sales[[#This Row],[Qty]])</f>
        <v>6</v>
      </c>
      <c r="R4746" s="166">
        <f>IF(Sales[[#This Row],[Status]]="Cancelled",0,Sales[[#This Row],[Total Amount]])</f>
        <v>21948</v>
      </c>
      <c r="S4746" s="162">
        <f>SUM(Sales[Net Amount])</f>
        <v>406839287.73200053</v>
      </c>
    </row>
    <row r="4747" spans="1:19" ht="18.75" x14ac:dyDescent="0.25">
      <c r="A4747" s="156" t="s">
        <v>8431</v>
      </c>
      <c r="B4747" s="157">
        <v>46010</v>
      </c>
      <c r="C4747" s="158" t="s">
        <v>913</v>
      </c>
      <c r="D4747" s="159" t="str">
        <f>VLOOKUP(Sales[[#This Row],[Customer ID]],Customer[#All],2,0)</f>
        <v>Pooja Kumar</v>
      </c>
      <c r="E4747" s="158" t="s">
        <v>422</v>
      </c>
      <c r="F4747" s="158" t="str">
        <f>VLOOKUP(Sales[[#This Row],[Product ID]],Product[#All],2,0)</f>
        <v>Microtek UPS</v>
      </c>
      <c r="G4747" s="159">
        <v>1</v>
      </c>
      <c r="H4747" s="160">
        <f>VLOOKUP(Sales[[#This Row],[Product ID]],Product[#All],7,0)</f>
        <v>6450</v>
      </c>
      <c r="I4747" s="160">
        <f>Sales[[#This Row],[Selling Rate]]*Sales[[#This Row],[Qty]]</f>
        <v>6450</v>
      </c>
      <c r="J4747" s="43">
        <v>0.1</v>
      </c>
      <c r="K4747" s="44">
        <f>Sales[[#This Row],[Gross Amount]]*Sales[[#This Row],[Disc %]]</f>
        <v>645</v>
      </c>
      <c r="L4747" s="43">
        <v>0.18</v>
      </c>
      <c r="M4747" s="44">
        <f>(Sales[[#This Row],[Gross Amount]]-Sales[[#This Row],[Disc. Amt.]])*Sales[[#This Row],[GST %]]</f>
        <v>1044.8999999999999</v>
      </c>
      <c r="N4747" s="161">
        <f>Sales[[#This Row],[Gross Amount]]-Sales[[#This Row],[Disc. Amt.]]+Sales[[#This Row],[GST Amount]]</f>
        <v>6849.9</v>
      </c>
      <c r="O4747" s="158" t="s">
        <v>8876</v>
      </c>
      <c r="P4747" s="158" t="s">
        <v>3562</v>
      </c>
      <c r="Q4747" s="160">
        <f>IF(Sales[[#This Row],[Status]]="Cancelled",0,Sales[[#This Row],[Qty]])</f>
        <v>1</v>
      </c>
      <c r="R4747" s="161">
        <f>IF(Sales[[#This Row],[Status]]="Cancelled",0,Sales[[#This Row],[Total Amount]])</f>
        <v>6849.9</v>
      </c>
      <c r="S4747" s="162">
        <f>SUM(Sales[Net Amount])</f>
        <v>406839287.73200053</v>
      </c>
    </row>
    <row r="4748" spans="1:19" ht="18.75" x14ac:dyDescent="0.25">
      <c r="A4748" s="163" t="s">
        <v>8432</v>
      </c>
      <c r="B4748" s="164">
        <v>46010</v>
      </c>
      <c r="C4748" s="34" t="s">
        <v>676</v>
      </c>
      <c r="D4748" s="53" t="str">
        <f>VLOOKUP(Sales[[#This Row],[Customer ID]],Customer[#All],2,0)</f>
        <v>Neha Singh</v>
      </c>
      <c r="E4748" s="34" t="s">
        <v>212</v>
      </c>
      <c r="F4748" s="34" t="str">
        <f>VLOOKUP(Sales[[#This Row],[Product ID]],Product[#All],2,0)</f>
        <v>Jbl Headset</v>
      </c>
      <c r="G4748" s="53">
        <v>1</v>
      </c>
      <c r="H4748" s="165">
        <f>VLOOKUP(Sales[[#This Row],[Product ID]],Product[#All],7,0)</f>
        <v>1230</v>
      </c>
      <c r="I4748" s="165">
        <f>Sales[[#This Row],[Selling Rate]]*Sales[[#This Row],[Qty]]</f>
        <v>1230</v>
      </c>
      <c r="J4748" s="45">
        <v>0.1</v>
      </c>
      <c r="K4748" s="46">
        <f>Sales[[#This Row],[Gross Amount]]*Sales[[#This Row],[Disc %]]</f>
        <v>123</v>
      </c>
      <c r="L4748" s="43">
        <v>0.18</v>
      </c>
      <c r="M4748" s="46">
        <f>(Sales[[#This Row],[Gross Amount]]-Sales[[#This Row],[Disc. Amt.]])*Sales[[#This Row],[GST %]]</f>
        <v>199.26</v>
      </c>
      <c r="N4748" s="161">
        <f>Sales[[#This Row],[Gross Amount]]-Sales[[#This Row],[Disc. Amt.]]+Sales[[#This Row],[GST Amount]]</f>
        <v>1306.26</v>
      </c>
      <c r="O4748" s="34" t="s">
        <v>8876</v>
      </c>
      <c r="P4748" s="34" t="s">
        <v>3562</v>
      </c>
      <c r="Q4748" s="165">
        <f>IF(Sales[[#This Row],[Status]]="Cancelled",0,Sales[[#This Row],[Qty]])</f>
        <v>1</v>
      </c>
      <c r="R4748" s="166">
        <f>IF(Sales[[#This Row],[Status]]="Cancelled",0,Sales[[#This Row],[Total Amount]])</f>
        <v>1306.26</v>
      </c>
      <c r="S4748" s="162">
        <f>SUM(Sales[Net Amount])</f>
        <v>406839287.73200053</v>
      </c>
    </row>
    <row r="4749" spans="1:19" ht="18.75" x14ac:dyDescent="0.25">
      <c r="A4749" s="156" t="s">
        <v>8433</v>
      </c>
      <c r="B4749" s="157">
        <v>46010</v>
      </c>
      <c r="C4749" s="158" t="s">
        <v>760</v>
      </c>
      <c r="D4749" s="159" t="str">
        <f>VLOOKUP(Sales[[#This Row],[Customer ID]],Customer[#All],2,0)</f>
        <v>Pooja Singh</v>
      </c>
      <c r="E4749" s="158" t="s">
        <v>514</v>
      </c>
      <c r="F4749" s="158" t="str">
        <f>VLOOKUP(Sales[[#This Row],[Product ID]],Product[#All],2,0)</f>
        <v>Apc UPS</v>
      </c>
      <c r="G4749" s="159">
        <v>8</v>
      </c>
      <c r="H4749" s="160">
        <f>VLOOKUP(Sales[[#This Row],[Product ID]],Product[#All],7,0)</f>
        <v>4660</v>
      </c>
      <c r="I4749" s="160">
        <f>Sales[[#This Row],[Selling Rate]]*Sales[[#This Row],[Qty]]</f>
        <v>37280</v>
      </c>
      <c r="J4749" s="43">
        <v>0.05</v>
      </c>
      <c r="K4749" s="44">
        <f>Sales[[#This Row],[Gross Amount]]*Sales[[#This Row],[Disc %]]</f>
        <v>1864</v>
      </c>
      <c r="L4749" s="43">
        <v>0.18</v>
      </c>
      <c r="M4749" s="44">
        <f>(Sales[[#This Row],[Gross Amount]]-Sales[[#This Row],[Disc. Amt.]])*Sales[[#This Row],[GST %]]</f>
        <v>6374.88</v>
      </c>
      <c r="N4749" s="161">
        <f>Sales[[#This Row],[Gross Amount]]-Sales[[#This Row],[Disc. Amt.]]+Sales[[#This Row],[GST Amount]]</f>
        <v>41790.879999999997</v>
      </c>
      <c r="O4749" s="158" t="s">
        <v>3561</v>
      </c>
      <c r="P4749" s="158" t="s">
        <v>3562</v>
      </c>
      <c r="Q4749" s="160">
        <f>IF(Sales[[#This Row],[Status]]="Cancelled",0,Sales[[#This Row],[Qty]])</f>
        <v>8</v>
      </c>
      <c r="R4749" s="161">
        <f>IF(Sales[[#This Row],[Status]]="Cancelled",0,Sales[[#This Row],[Total Amount]])</f>
        <v>41790.879999999997</v>
      </c>
      <c r="S4749" s="162">
        <f>SUM(Sales[Net Amount])</f>
        <v>406839287.73200053</v>
      </c>
    </row>
    <row r="4750" spans="1:19" ht="18.75" x14ac:dyDescent="0.25">
      <c r="A4750" s="163" t="s">
        <v>8434</v>
      </c>
      <c r="B4750" s="164">
        <v>46010</v>
      </c>
      <c r="C4750" s="34" t="s">
        <v>746</v>
      </c>
      <c r="D4750" s="53" t="str">
        <f>VLOOKUP(Sales[[#This Row],[Customer ID]],Customer[#All],2,0)</f>
        <v>Sunita Kumar</v>
      </c>
      <c r="E4750" s="34" t="s">
        <v>275</v>
      </c>
      <c r="F4750" s="34" t="str">
        <f>VLOOKUP(Sales[[#This Row],[Product ID]],Product[#All],2,0)</f>
        <v>Canon Printer</v>
      </c>
      <c r="G4750" s="53">
        <v>5</v>
      </c>
      <c r="H4750" s="165">
        <f>VLOOKUP(Sales[[#This Row],[Product ID]],Product[#All],7,0)</f>
        <v>36460</v>
      </c>
      <c r="I4750" s="165">
        <f>Sales[[#This Row],[Selling Rate]]*Sales[[#This Row],[Qty]]</f>
        <v>182300</v>
      </c>
      <c r="J4750" s="45">
        <v>0.05</v>
      </c>
      <c r="K4750" s="46">
        <f>Sales[[#This Row],[Gross Amount]]*Sales[[#This Row],[Disc %]]</f>
        <v>9115</v>
      </c>
      <c r="L4750" s="43">
        <v>0.18</v>
      </c>
      <c r="M4750" s="46">
        <f>(Sales[[#This Row],[Gross Amount]]-Sales[[#This Row],[Disc. Amt.]])*Sales[[#This Row],[GST %]]</f>
        <v>31173.3</v>
      </c>
      <c r="N4750" s="161">
        <f>Sales[[#This Row],[Gross Amount]]-Sales[[#This Row],[Disc. Amt.]]+Sales[[#This Row],[GST Amount]]</f>
        <v>204358.3</v>
      </c>
      <c r="O4750" s="34" t="s">
        <v>3561</v>
      </c>
      <c r="P4750" s="34" t="s">
        <v>3562</v>
      </c>
      <c r="Q4750" s="165">
        <f>IF(Sales[[#This Row],[Status]]="Cancelled",0,Sales[[#This Row],[Qty]])</f>
        <v>5</v>
      </c>
      <c r="R4750" s="166">
        <f>IF(Sales[[#This Row],[Status]]="Cancelled",0,Sales[[#This Row],[Total Amount]])</f>
        <v>204358.3</v>
      </c>
      <c r="S4750" s="162">
        <f>SUM(Sales[Net Amount])</f>
        <v>406839287.73200053</v>
      </c>
    </row>
    <row r="4751" spans="1:19" ht="18.75" x14ac:dyDescent="0.25">
      <c r="A4751" s="156" t="s">
        <v>8435</v>
      </c>
      <c r="B4751" s="157">
        <v>46010</v>
      </c>
      <c r="C4751" s="158" t="s">
        <v>794</v>
      </c>
      <c r="D4751" s="159" t="str">
        <f>VLOOKUP(Sales[[#This Row],[Customer ID]],Customer[#All],2,0)</f>
        <v>Sunita Sharma</v>
      </c>
      <c r="E4751" s="158" t="s">
        <v>30</v>
      </c>
      <c r="F4751" s="158" t="str">
        <f>VLOOKUP(Sales[[#This Row],[Product ID]],Product[#All],2,0)</f>
        <v>Samsung Monitor</v>
      </c>
      <c r="G4751" s="159">
        <v>5</v>
      </c>
      <c r="H4751" s="160">
        <f>VLOOKUP(Sales[[#This Row],[Product ID]],Product[#All],7,0)</f>
        <v>16740</v>
      </c>
      <c r="I4751" s="160">
        <f>Sales[[#This Row],[Selling Rate]]*Sales[[#This Row],[Qty]]</f>
        <v>83700</v>
      </c>
      <c r="J4751" s="43">
        <v>0.05</v>
      </c>
      <c r="K4751" s="44">
        <f>Sales[[#This Row],[Gross Amount]]*Sales[[#This Row],[Disc %]]</f>
        <v>4185</v>
      </c>
      <c r="L4751" s="43">
        <v>0.18</v>
      </c>
      <c r="M4751" s="44">
        <f>(Sales[[#This Row],[Gross Amount]]-Sales[[#This Row],[Disc. Amt.]])*Sales[[#This Row],[GST %]]</f>
        <v>14312.699999999999</v>
      </c>
      <c r="N4751" s="161">
        <f>Sales[[#This Row],[Gross Amount]]-Sales[[#This Row],[Disc. Amt.]]+Sales[[#This Row],[GST Amount]]</f>
        <v>93827.7</v>
      </c>
      <c r="O4751" s="158" t="s">
        <v>3569</v>
      </c>
      <c r="P4751" s="158" t="s">
        <v>3562</v>
      </c>
      <c r="Q4751" s="160">
        <f>IF(Sales[[#This Row],[Status]]="Cancelled",0,Sales[[#This Row],[Qty]])</f>
        <v>5</v>
      </c>
      <c r="R4751" s="161">
        <f>IF(Sales[[#This Row],[Status]]="Cancelled",0,Sales[[#This Row],[Total Amount]])</f>
        <v>93827.7</v>
      </c>
      <c r="S4751" s="162">
        <f>SUM(Sales[Net Amount])</f>
        <v>406839287.73200053</v>
      </c>
    </row>
    <row r="4752" spans="1:19" ht="18.75" x14ac:dyDescent="0.25">
      <c r="A4752" s="163" t="s">
        <v>8436</v>
      </c>
      <c r="B4752" s="164">
        <v>46010</v>
      </c>
      <c r="C4752" s="34" t="s">
        <v>660</v>
      </c>
      <c r="D4752" s="53" t="str">
        <f>VLOOKUP(Sales[[#This Row],[Customer ID]],Customer[#All],2,0)</f>
        <v>Priya Sharma</v>
      </c>
      <c r="E4752" s="34" t="s">
        <v>276</v>
      </c>
      <c r="F4752" s="34" t="str">
        <f>VLOOKUP(Sales[[#This Row],[Product ID]],Product[#All],2,0)</f>
        <v>Corsair Ram</v>
      </c>
      <c r="G4752" s="53">
        <v>8</v>
      </c>
      <c r="H4752" s="165">
        <f>VLOOKUP(Sales[[#This Row],[Product ID]],Product[#All],7,0)</f>
        <v>7140</v>
      </c>
      <c r="I4752" s="165">
        <f>Sales[[#This Row],[Selling Rate]]*Sales[[#This Row],[Qty]]</f>
        <v>57120</v>
      </c>
      <c r="J4752" s="45">
        <v>0.12</v>
      </c>
      <c r="K4752" s="46">
        <f>Sales[[#This Row],[Gross Amount]]*Sales[[#This Row],[Disc %]]</f>
        <v>6854.4</v>
      </c>
      <c r="L4752" s="43">
        <v>0.18</v>
      </c>
      <c r="M4752" s="46">
        <f>(Sales[[#This Row],[Gross Amount]]-Sales[[#This Row],[Disc. Amt.]])*Sales[[#This Row],[GST %]]</f>
        <v>9047.8079999999991</v>
      </c>
      <c r="N4752" s="161">
        <f>Sales[[#This Row],[Gross Amount]]-Sales[[#This Row],[Disc. Amt.]]+Sales[[#This Row],[GST Amount]]</f>
        <v>59313.407999999996</v>
      </c>
      <c r="O4752" s="34" t="s">
        <v>3561</v>
      </c>
      <c r="P4752" s="34" t="s">
        <v>3562</v>
      </c>
      <c r="Q4752" s="165">
        <f>IF(Sales[[#This Row],[Status]]="Cancelled",0,Sales[[#This Row],[Qty]])</f>
        <v>8</v>
      </c>
      <c r="R4752" s="166">
        <f>IF(Sales[[#This Row],[Status]]="Cancelled",0,Sales[[#This Row],[Total Amount]])</f>
        <v>59313.407999999996</v>
      </c>
      <c r="S4752" s="162">
        <f>SUM(Sales[Net Amount])</f>
        <v>406839287.73200053</v>
      </c>
    </row>
    <row r="4753" spans="1:19" ht="18.75" x14ac:dyDescent="0.25">
      <c r="A4753" s="156" t="s">
        <v>8437</v>
      </c>
      <c r="B4753" s="157">
        <v>46010</v>
      </c>
      <c r="C4753" s="158" t="s">
        <v>944</v>
      </c>
      <c r="D4753" s="159" t="str">
        <f>VLOOKUP(Sales[[#This Row],[Customer ID]],Customer[#All],2,0)</f>
        <v>Pooja Patel</v>
      </c>
      <c r="E4753" s="158" t="s">
        <v>358</v>
      </c>
      <c r="F4753" s="158" t="str">
        <f>VLOOKUP(Sales[[#This Row],[Product ID]],Product[#All],2,0)</f>
        <v>TP-link Router</v>
      </c>
      <c r="G4753" s="159">
        <v>4</v>
      </c>
      <c r="H4753" s="160">
        <f>VLOOKUP(Sales[[#This Row],[Product ID]],Product[#All],7,0)</f>
        <v>3970</v>
      </c>
      <c r="I4753" s="160">
        <f>Sales[[#This Row],[Selling Rate]]*Sales[[#This Row],[Qty]]</f>
        <v>15880</v>
      </c>
      <c r="J4753" s="43">
        <v>0.1</v>
      </c>
      <c r="K4753" s="44">
        <f>Sales[[#This Row],[Gross Amount]]*Sales[[#This Row],[Disc %]]</f>
        <v>1588</v>
      </c>
      <c r="L4753" s="43">
        <v>0.18</v>
      </c>
      <c r="M4753" s="44">
        <f>(Sales[[#This Row],[Gross Amount]]-Sales[[#This Row],[Disc. Amt.]])*Sales[[#This Row],[GST %]]</f>
        <v>2572.56</v>
      </c>
      <c r="N4753" s="161">
        <f>Sales[[#This Row],[Gross Amount]]-Sales[[#This Row],[Disc. Amt.]]+Sales[[#This Row],[GST Amount]]</f>
        <v>16864.560000000001</v>
      </c>
      <c r="O4753" s="158" t="s">
        <v>8876</v>
      </c>
      <c r="P4753" s="158" t="s">
        <v>3562</v>
      </c>
      <c r="Q4753" s="160">
        <f>IF(Sales[[#This Row],[Status]]="Cancelled",0,Sales[[#This Row],[Qty]])</f>
        <v>4</v>
      </c>
      <c r="R4753" s="161">
        <f>IF(Sales[[#This Row],[Status]]="Cancelled",0,Sales[[#This Row],[Total Amount]])</f>
        <v>16864.560000000001</v>
      </c>
      <c r="S4753" s="162">
        <f>SUM(Sales[Net Amount])</f>
        <v>406839287.73200053</v>
      </c>
    </row>
    <row r="4754" spans="1:19" ht="18.75" x14ac:dyDescent="0.25">
      <c r="A4754" s="163" t="s">
        <v>8438</v>
      </c>
      <c r="B4754" s="164">
        <v>46011</v>
      </c>
      <c r="C4754" s="34" t="s">
        <v>832</v>
      </c>
      <c r="D4754" s="53" t="str">
        <f>VLOOKUP(Sales[[#This Row],[Customer ID]],Customer[#All],2,0)</f>
        <v>Vikas Sharma</v>
      </c>
      <c r="E4754" s="34" t="s">
        <v>209</v>
      </c>
      <c r="F4754" s="34" t="str">
        <f>VLOOKUP(Sales[[#This Row],[Product ID]],Product[#All],2,0)</f>
        <v>HP Laptop</v>
      </c>
      <c r="G4754" s="53">
        <v>4</v>
      </c>
      <c r="H4754" s="165">
        <f>VLOOKUP(Sales[[#This Row],[Product ID]],Product[#All],7,0)</f>
        <v>60780</v>
      </c>
      <c r="I4754" s="165">
        <f>Sales[[#This Row],[Selling Rate]]*Sales[[#This Row],[Qty]]</f>
        <v>243120</v>
      </c>
      <c r="J4754" s="45">
        <v>0.05</v>
      </c>
      <c r="K4754" s="46">
        <f>Sales[[#This Row],[Gross Amount]]*Sales[[#This Row],[Disc %]]</f>
        <v>12156</v>
      </c>
      <c r="L4754" s="43">
        <v>0.18</v>
      </c>
      <c r="M4754" s="46">
        <f>(Sales[[#This Row],[Gross Amount]]-Sales[[#This Row],[Disc. Amt.]])*Sales[[#This Row],[GST %]]</f>
        <v>41573.519999999997</v>
      </c>
      <c r="N4754" s="161">
        <f>Sales[[#This Row],[Gross Amount]]-Sales[[#This Row],[Disc. Amt.]]+Sales[[#This Row],[GST Amount]]</f>
        <v>272537.52</v>
      </c>
      <c r="O4754" s="34" t="s">
        <v>8876</v>
      </c>
      <c r="P4754" s="34" t="s">
        <v>3562</v>
      </c>
      <c r="Q4754" s="165">
        <f>IF(Sales[[#This Row],[Status]]="Cancelled",0,Sales[[#This Row],[Qty]])</f>
        <v>4</v>
      </c>
      <c r="R4754" s="166">
        <f>IF(Sales[[#This Row],[Status]]="Cancelled",0,Sales[[#This Row],[Total Amount]])</f>
        <v>272537.52</v>
      </c>
      <c r="S4754" s="162">
        <f>SUM(Sales[Net Amount])</f>
        <v>406839287.73200053</v>
      </c>
    </row>
    <row r="4755" spans="1:19" ht="18.75" x14ac:dyDescent="0.25">
      <c r="A4755" s="156" t="s">
        <v>8439</v>
      </c>
      <c r="B4755" s="157">
        <v>46011</v>
      </c>
      <c r="C4755" s="158" t="s">
        <v>820</v>
      </c>
      <c r="D4755" s="159" t="str">
        <f>VLOOKUP(Sales[[#This Row],[Customer ID]],Customer[#All],2,0)</f>
        <v>Sahil Gupta</v>
      </c>
      <c r="E4755" s="158" t="s">
        <v>506</v>
      </c>
      <c r="F4755" s="158" t="str">
        <f>VLOOKUP(Sales[[#This Row],[Product ID]],Product[#All],2,0)</f>
        <v>Epson Printer</v>
      </c>
      <c r="G4755" s="159">
        <v>3</v>
      </c>
      <c r="H4755" s="160">
        <f>VLOOKUP(Sales[[#This Row],[Product ID]],Product[#All],7,0)</f>
        <v>42690</v>
      </c>
      <c r="I4755" s="160">
        <f>Sales[[#This Row],[Selling Rate]]*Sales[[#This Row],[Qty]]</f>
        <v>128070</v>
      </c>
      <c r="J4755" s="43">
        <v>0.05</v>
      </c>
      <c r="K4755" s="44">
        <f>Sales[[#This Row],[Gross Amount]]*Sales[[#This Row],[Disc %]]</f>
        <v>6403.5</v>
      </c>
      <c r="L4755" s="43">
        <v>0.18</v>
      </c>
      <c r="M4755" s="44">
        <f>(Sales[[#This Row],[Gross Amount]]-Sales[[#This Row],[Disc. Amt.]])*Sales[[#This Row],[GST %]]</f>
        <v>21899.969999999998</v>
      </c>
      <c r="N4755" s="161">
        <f>Sales[[#This Row],[Gross Amount]]-Sales[[#This Row],[Disc. Amt.]]+Sales[[#This Row],[GST Amount]]</f>
        <v>143566.47</v>
      </c>
      <c r="O4755" s="158" t="s">
        <v>3569</v>
      </c>
      <c r="P4755" s="158" t="s">
        <v>3562</v>
      </c>
      <c r="Q4755" s="160">
        <f>IF(Sales[[#This Row],[Status]]="Cancelled",0,Sales[[#This Row],[Qty]])</f>
        <v>3</v>
      </c>
      <c r="R4755" s="161">
        <f>IF(Sales[[#This Row],[Status]]="Cancelled",0,Sales[[#This Row],[Total Amount]])</f>
        <v>143566.47</v>
      </c>
      <c r="S4755" s="162">
        <f>SUM(Sales[Net Amount])</f>
        <v>406839287.73200053</v>
      </c>
    </row>
    <row r="4756" spans="1:19" ht="18.75" x14ac:dyDescent="0.25">
      <c r="A4756" s="163" t="s">
        <v>8440</v>
      </c>
      <c r="B4756" s="164">
        <v>46011</v>
      </c>
      <c r="C4756" s="34" t="s">
        <v>887</v>
      </c>
      <c r="D4756" s="53" t="str">
        <f>VLOOKUP(Sales[[#This Row],[Customer ID]],Customer[#All],2,0)</f>
        <v>Sahil Verma</v>
      </c>
      <c r="E4756" s="34" t="s">
        <v>438</v>
      </c>
      <c r="F4756" s="34" t="str">
        <f>VLOOKUP(Sales[[#This Row],[Product ID]],Product[#All],2,0)</f>
        <v>Jbl Headset</v>
      </c>
      <c r="G4756" s="53">
        <v>5</v>
      </c>
      <c r="H4756" s="165">
        <f>VLOOKUP(Sales[[#This Row],[Product ID]],Product[#All],7,0)</f>
        <v>1670</v>
      </c>
      <c r="I4756" s="165">
        <f>Sales[[#This Row],[Selling Rate]]*Sales[[#This Row],[Qty]]</f>
        <v>8350</v>
      </c>
      <c r="J4756" s="45">
        <v>0.12</v>
      </c>
      <c r="K4756" s="46">
        <f>Sales[[#This Row],[Gross Amount]]*Sales[[#This Row],[Disc %]]</f>
        <v>1002</v>
      </c>
      <c r="L4756" s="43">
        <v>0.18</v>
      </c>
      <c r="M4756" s="46">
        <f>(Sales[[#This Row],[Gross Amount]]-Sales[[#This Row],[Disc. Amt.]])*Sales[[#This Row],[GST %]]</f>
        <v>1322.6399999999999</v>
      </c>
      <c r="N4756" s="161">
        <f>Sales[[#This Row],[Gross Amount]]-Sales[[#This Row],[Disc. Amt.]]+Sales[[#This Row],[GST Amount]]</f>
        <v>8670.64</v>
      </c>
      <c r="O4756" s="34" t="s">
        <v>3569</v>
      </c>
      <c r="P4756" s="34" t="s">
        <v>3562</v>
      </c>
      <c r="Q4756" s="165">
        <f>IF(Sales[[#This Row],[Status]]="Cancelled",0,Sales[[#This Row],[Qty]])</f>
        <v>5</v>
      </c>
      <c r="R4756" s="166">
        <f>IF(Sales[[#This Row],[Status]]="Cancelled",0,Sales[[#This Row],[Total Amount]])</f>
        <v>8670.64</v>
      </c>
      <c r="S4756" s="162">
        <f>SUM(Sales[Net Amount])</f>
        <v>406839287.73200053</v>
      </c>
    </row>
    <row r="4757" spans="1:19" ht="18.75" x14ac:dyDescent="0.25">
      <c r="A4757" s="156" t="s">
        <v>8441</v>
      </c>
      <c r="B4757" s="157">
        <v>46011</v>
      </c>
      <c r="C4757" s="158" t="s">
        <v>679</v>
      </c>
      <c r="D4757" s="159" t="str">
        <f>VLOOKUP(Sales[[#This Row],[Customer ID]],Customer[#All],2,0)</f>
        <v>Rahul Singh</v>
      </c>
      <c r="E4757" s="158" t="s">
        <v>151</v>
      </c>
      <c r="F4757" s="158" t="str">
        <f>VLOOKUP(Sales[[#This Row],[Product ID]],Product[#All],2,0)</f>
        <v>Jbl Speaker</v>
      </c>
      <c r="G4757" s="159">
        <v>7</v>
      </c>
      <c r="H4757" s="160">
        <f>VLOOKUP(Sales[[#This Row],[Product ID]],Product[#All],7,0)</f>
        <v>7010</v>
      </c>
      <c r="I4757" s="160">
        <f>Sales[[#This Row],[Selling Rate]]*Sales[[#This Row],[Qty]]</f>
        <v>49070</v>
      </c>
      <c r="J4757" s="43">
        <v>0.05</v>
      </c>
      <c r="K4757" s="44">
        <f>Sales[[#This Row],[Gross Amount]]*Sales[[#This Row],[Disc %]]</f>
        <v>2453.5</v>
      </c>
      <c r="L4757" s="43">
        <v>0.18</v>
      </c>
      <c r="M4757" s="44">
        <f>(Sales[[#This Row],[Gross Amount]]-Sales[[#This Row],[Disc. Amt.]])*Sales[[#This Row],[GST %]]</f>
        <v>8390.9699999999993</v>
      </c>
      <c r="N4757" s="161">
        <f>Sales[[#This Row],[Gross Amount]]-Sales[[#This Row],[Disc. Amt.]]+Sales[[#This Row],[GST Amount]]</f>
        <v>55007.47</v>
      </c>
      <c r="O4757" s="158" t="s">
        <v>3566</v>
      </c>
      <c r="P4757" s="158" t="s">
        <v>3562</v>
      </c>
      <c r="Q4757" s="160">
        <f>IF(Sales[[#This Row],[Status]]="Cancelled",0,Sales[[#This Row],[Qty]])</f>
        <v>7</v>
      </c>
      <c r="R4757" s="161">
        <f>IF(Sales[[#This Row],[Status]]="Cancelled",0,Sales[[#This Row],[Total Amount]])</f>
        <v>55007.47</v>
      </c>
      <c r="S4757" s="162">
        <f>SUM(Sales[Net Amount])</f>
        <v>406839287.73200053</v>
      </c>
    </row>
    <row r="4758" spans="1:19" ht="18.75" x14ac:dyDescent="0.25">
      <c r="A4758" s="163" t="s">
        <v>8442</v>
      </c>
      <c r="B4758" s="164">
        <v>46011</v>
      </c>
      <c r="C4758" s="34" t="s">
        <v>762</v>
      </c>
      <c r="D4758" s="53" t="str">
        <f>VLOOKUP(Sales[[#This Row],[Customer ID]],Customer[#All],2,0)</f>
        <v>Amit Patel</v>
      </c>
      <c r="E4758" s="34" t="s">
        <v>240</v>
      </c>
      <c r="F4758" s="34" t="str">
        <f>VLOOKUP(Sales[[#This Row],[Product ID]],Product[#All],2,0)</f>
        <v>Crucial Ssd</v>
      </c>
      <c r="G4758" s="53">
        <v>4</v>
      </c>
      <c r="H4758" s="165">
        <f>VLOOKUP(Sales[[#This Row],[Product ID]],Product[#All],7,0)</f>
        <v>3310</v>
      </c>
      <c r="I4758" s="165">
        <f>Sales[[#This Row],[Selling Rate]]*Sales[[#This Row],[Qty]]</f>
        <v>13240</v>
      </c>
      <c r="J4758" s="45">
        <v>0.05</v>
      </c>
      <c r="K4758" s="46">
        <f>Sales[[#This Row],[Gross Amount]]*Sales[[#This Row],[Disc %]]</f>
        <v>662</v>
      </c>
      <c r="L4758" s="43">
        <v>0.18</v>
      </c>
      <c r="M4758" s="46">
        <f>(Sales[[#This Row],[Gross Amount]]-Sales[[#This Row],[Disc. Amt.]])*Sales[[#This Row],[GST %]]</f>
        <v>2264.04</v>
      </c>
      <c r="N4758" s="161">
        <f>Sales[[#This Row],[Gross Amount]]-Sales[[#This Row],[Disc. Amt.]]+Sales[[#This Row],[GST Amount]]</f>
        <v>14842.04</v>
      </c>
      <c r="O4758" s="34" t="s">
        <v>8876</v>
      </c>
      <c r="P4758" s="34" t="s">
        <v>3562</v>
      </c>
      <c r="Q4758" s="165">
        <f>IF(Sales[[#This Row],[Status]]="Cancelled",0,Sales[[#This Row],[Qty]])</f>
        <v>4</v>
      </c>
      <c r="R4758" s="166">
        <f>IF(Sales[[#This Row],[Status]]="Cancelled",0,Sales[[#This Row],[Total Amount]])</f>
        <v>14842.04</v>
      </c>
      <c r="S4758" s="162">
        <f>SUM(Sales[Net Amount])</f>
        <v>406839287.73200053</v>
      </c>
    </row>
    <row r="4759" spans="1:19" ht="18.75" x14ac:dyDescent="0.25">
      <c r="A4759" s="156" t="s">
        <v>8443</v>
      </c>
      <c r="B4759" s="157">
        <v>46011</v>
      </c>
      <c r="C4759" s="158" t="s">
        <v>880</v>
      </c>
      <c r="D4759" s="159" t="str">
        <f>VLOOKUP(Sales[[#This Row],[Customer ID]],Customer[#All],2,0)</f>
        <v>Rahul Sharma</v>
      </c>
      <c r="E4759" s="158" t="s">
        <v>114</v>
      </c>
      <c r="F4759" s="158" t="str">
        <f>VLOOKUP(Sales[[#This Row],[Product ID]],Product[#All],2,0)</f>
        <v>Apc UPS</v>
      </c>
      <c r="G4759" s="159">
        <v>1</v>
      </c>
      <c r="H4759" s="160">
        <f>VLOOKUP(Sales[[#This Row],[Product ID]],Product[#All],7,0)</f>
        <v>17310</v>
      </c>
      <c r="I4759" s="160">
        <f>Sales[[#This Row],[Selling Rate]]*Sales[[#This Row],[Qty]]</f>
        <v>17310</v>
      </c>
      <c r="J4759" s="43">
        <v>0.02</v>
      </c>
      <c r="K4759" s="44">
        <f>Sales[[#This Row],[Gross Amount]]*Sales[[#This Row],[Disc %]]</f>
        <v>346.2</v>
      </c>
      <c r="L4759" s="43">
        <v>0.18</v>
      </c>
      <c r="M4759" s="44">
        <f>(Sales[[#This Row],[Gross Amount]]-Sales[[#This Row],[Disc. Amt.]])*Sales[[#This Row],[GST %]]</f>
        <v>3053.4839999999999</v>
      </c>
      <c r="N4759" s="161">
        <f>Sales[[#This Row],[Gross Amount]]-Sales[[#This Row],[Disc. Amt.]]+Sales[[#This Row],[GST Amount]]</f>
        <v>20017.284</v>
      </c>
      <c r="O4759" s="158" t="s">
        <v>3566</v>
      </c>
      <c r="P4759" s="158" t="s">
        <v>3562</v>
      </c>
      <c r="Q4759" s="160">
        <f>IF(Sales[[#This Row],[Status]]="Cancelled",0,Sales[[#This Row],[Qty]])</f>
        <v>1</v>
      </c>
      <c r="R4759" s="161">
        <f>IF(Sales[[#This Row],[Status]]="Cancelled",0,Sales[[#This Row],[Total Amount]])</f>
        <v>20017.284</v>
      </c>
      <c r="S4759" s="162">
        <f>SUM(Sales[Net Amount])</f>
        <v>406839287.73200053</v>
      </c>
    </row>
    <row r="4760" spans="1:19" ht="18.75" x14ac:dyDescent="0.25">
      <c r="A4760" s="163" t="s">
        <v>8444</v>
      </c>
      <c r="B4760" s="164">
        <v>46011</v>
      </c>
      <c r="C4760" s="34" t="s">
        <v>651</v>
      </c>
      <c r="D4760" s="53" t="str">
        <f>VLOOKUP(Sales[[#This Row],[Customer ID]],Customer[#All],2,0)</f>
        <v>Sahil Verma</v>
      </c>
      <c r="E4760" s="34" t="s">
        <v>548</v>
      </c>
      <c r="F4760" s="34" t="str">
        <f>VLOOKUP(Sales[[#This Row],[Product ID]],Product[#All],2,0)</f>
        <v>HP Power Adapter</v>
      </c>
      <c r="G4760" s="53">
        <v>7</v>
      </c>
      <c r="H4760" s="165">
        <f>VLOOKUP(Sales[[#This Row],[Product ID]],Product[#All],7,0)</f>
        <v>2470</v>
      </c>
      <c r="I4760" s="165">
        <f>Sales[[#This Row],[Selling Rate]]*Sales[[#This Row],[Qty]]</f>
        <v>17290</v>
      </c>
      <c r="J4760" s="45">
        <v>0.12</v>
      </c>
      <c r="K4760" s="46">
        <f>Sales[[#This Row],[Gross Amount]]*Sales[[#This Row],[Disc %]]</f>
        <v>2074.7999999999997</v>
      </c>
      <c r="L4760" s="43">
        <v>0.18</v>
      </c>
      <c r="M4760" s="46">
        <f>(Sales[[#This Row],[Gross Amount]]-Sales[[#This Row],[Disc. Amt.]])*Sales[[#This Row],[GST %]]</f>
        <v>2738.7359999999999</v>
      </c>
      <c r="N4760" s="161">
        <f>Sales[[#This Row],[Gross Amount]]-Sales[[#This Row],[Disc. Amt.]]+Sales[[#This Row],[GST Amount]]</f>
        <v>17953.936000000002</v>
      </c>
      <c r="O4760" s="34" t="s">
        <v>8876</v>
      </c>
      <c r="P4760" s="34" t="s">
        <v>3562</v>
      </c>
      <c r="Q4760" s="165">
        <f>IF(Sales[[#This Row],[Status]]="Cancelled",0,Sales[[#This Row],[Qty]])</f>
        <v>7</v>
      </c>
      <c r="R4760" s="166">
        <f>IF(Sales[[#This Row],[Status]]="Cancelled",0,Sales[[#This Row],[Total Amount]])</f>
        <v>17953.936000000002</v>
      </c>
      <c r="S4760" s="162">
        <f>SUM(Sales[Net Amount])</f>
        <v>406839287.73200053</v>
      </c>
    </row>
    <row r="4761" spans="1:19" ht="18.75" x14ac:dyDescent="0.25">
      <c r="A4761" s="156" t="s">
        <v>8445</v>
      </c>
      <c r="B4761" s="157">
        <v>46011</v>
      </c>
      <c r="C4761" s="158" t="s">
        <v>818</v>
      </c>
      <c r="D4761" s="159" t="str">
        <f>VLOOKUP(Sales[[#This Row],[Customer ID]],Customer[#All],2,0)</f>
        <v>Rahul Sharma</v>
      </c>
      <c r="E4761" s="158" t="s">
        <v>169</v>
      </c>
      <c r="F4761" s="158" t="str">
        <f>VLOOKUP(Sales[[#This Row],[Product ID]],Product[#All],2,0)</f>
        <v>Dell Monitor</v>
      </c>
      <c r="G4761" s="159">
        <v>4</v>
      </c>
      <c r="H4761" s="160">
        <f>VLOOKUP(Sales[[#This Row],[Product ID]],Product[#All],7,0)</f>
        <v>22680</v>
      </c>
      <c r="I4761" s="160">
        <f>Sales[[#This Row],[Selling Rate]]*Sales[[#This Row],[Qty]]</f>
        <v>90720</v>
      </c>
      <c r="J4761" s="43">
        <v>0.05</v>
      </c>
      <c r="K4761" s="44">
        <f>Sales[[#This Row],[Gross Amount]]*Sales[[#This Row],[Disc %]]</f>
        <v>4536</v>
      </c>
      <c r="L4761" s="43">
        <v>0.18</v>
      </c>
      <c r="M4761" s="44">
        <f>(Sales[[#This Row],[Gross Amount]]-Sales[[#This Row],[Disc. Amt.]])*Sales[[#This Row],[GST %]]</f>
        <v>15513.119999999999</v>
      </c>
      <c r="N4761" s="161">
        <f>Sales[[#This Row],[Gross Amount]]-Sales[[#This Row],[Disc. Amt.]]+Sales[[#This Row],[GST Amount]]</f>
        <v>101697.12</v>
      </c>
      <c r="O4761" s="158" t="s">
        <v>8876</v>
      </c>
      <c r="P4761" s="158" t="s">
        <v>3562</v>
      </c>
      <c r="Q4761" s="160">
        <f>IF(Sales[[#This Row],[Status]]="Cancelled",0,Sales[[#This Row],[Qty]])</f>
        <v>4</v>
      </c>
      <c r="R4761" s="161">
        <f>IF(Sales[[#This Row],[Status]]="Cancelled",0,Sales[[#This Row],[Total Amount]])</f>
        <v>101697.12</v>
      </c>
      <c r="S4761" s="162">
        <f>SUM(Sales[Net Amount])</f>
        <v>406839287.73200053</v>
      </c>
    </row>
    <row r="4762" spans="1:19" ht="18.75" x14ac:dyDescent="0.25">
      <c r="A4762" s="163" t="s">
        <v>8446</v>
      </c>
      <c r="B4762" s="164">
        <v>46011</v>
      </c>
      <c r="C4762" s="34" t="s">
        <v>837</v>
      </c>
      <c r="D4762" s="53" t="str">
        <f>VLOOKUP(Sales[[#This Row],[Customer ID]],Customer[#All],2,0)</f>
        <v>Sahil Patel</v>
      </c>
      <c r="E4762" s="34" t="s">
        <v>358</v>
      </c>
      <c r="F4762" s="34" t="str">
        <f>VLOOKUP(Sales[[#This Row],[Product ID]],Product[#All],2,0)</f>
        <v>TP-link Router</v>
      </c>
      <c r="G4762" s="53">
        <v>5</v>
      </c>
      <c r="H4762" s="165">
        <f>VLOOKUP(Sales[[#This Row],[Product ID]],Product[#All],7,0)</f>
        <v>3970</v>
      </c>
      <c r="I4762" s="165">
        <f>Sales[[#This Row],[Selling Rate]]*Sales[[#This Row],[Qty]]</f>
        <v>19850</v>
      </c>
      <c r="J4762" s="45">
        <v>0.05</v>
      </c>
      <c r="K4762" s="46">
        <f>Sales[[#This Row],[Gross Amount]]*Sales[[#This Row],[Disc %]]</f>
        <v>992.5</v>
      </c>
      <c r="L4762" s="43">
        <v>0.18</v>
      </c>
      <c r="M4762" s="46">
        <f>(Sales[[#This Row],[Gross Amount]]-Sales[[#This Row],[Disc. Amt.]])*Sales[[#This Row],[GST %]]</f>
        <v>3394.35</v>
      </c>
      <c r="N4762" s="161">
        <f>Sales[[#This Row],[Gross Amount]]-Sales[[#This Row],[Disc. Amt.]]+Sales[[#This Row],[GST Amount]]</f>
        <v>22251.85</v>
      </c>
      <c r="O4762" s="34" t="s">
        <v>3561</v>
      </c>
      <c r="P4762" s="34" t="s">
        <v>3562</v>
      </c>
      <c r="Q4762" s="165">
        <f>IF(Sales[[#This Row],[Status]]="Cancelled",0,Sales[[#This Row],[Qty]])</f>
        <v>5</v>
      </c>
      <c r="R4762" s="166">
        <f>IF(Sales[[#This Row],[Status]]="Cancelled",0,Sales[[#This Row],[Total Amount]])</f>
        <v>22251.85</v>
      </c>
      <c r="S4762" s="162">
        <f>SUM(Sales[Net Amount])</f>
        <v>406839287.73200053</v>
      </c>
    </row>
    <row r="4763" spans="1:19" ht="18.75" x14ac:dyDescent="0.25">
      <c r="A4763" s="156" t="s">
        <v>8447</v>
      </c>
      <c r="B4763" s="157">
        <v>46011</v>
      </c>
      <c r="C4763" s="158" t="s">
        <v>671</v>
      </c>
      <c r="D4763" s="159" t="str">
        <f>VLOOKUP(Sales[[#This Row],[Customer ID]],Customer[#All],2,0)</f>
        <v>Sahil Patel</v>
      </c>
      <c r="E4763" s="158" t="s">
        <v>470</v>
      </c>
      <c r="F4763" s="158" t="str">
        <f>VLOOKUP(Sales[[#This Row],[Product ID]],Product[#All],2,0)</f>
        <v>HP Desktop</v>
      </c>
      <c r="G4763" s="159">
        <v>8</v>
      </c>
      <c r="H4763" s="160">
        <f>VLOOKUP(Sales[[#This Row],[Product ID]],Product[#All],7,0)</f>
        <v>40330</v>
      </c>
      <c r="I4763" s="160">
        <f>Sales[[#This Row],[Selling Rate]]*Sales[[#This Row],[Qty]]</f>
        <v>322640</v>
      </c>
      <c r="J4763" s="43">
        <v>0.05</v>
      </c>
      <c r="K4763" s="44">
        <f>Sales[[#This Row],[Gross Amount]]*Sales[[#This Row],[Disc %]]</f>
        <v>16132</v>
      </c>
      <c r="L4763" s="43">
        <v>0.18</v>
      </c>
      <c r="M4763" s="44">
        <f>(Sales[[#This Row],[Gross Amount]]-Sales[[#This Row],[Disc. Amt.]])*Sales[[#This Row],[GST %]]</f>
        <v>55171.439999999995</v>
      </c>
      <c r="N4763" s="161">
        <f>Sales[[#This Row],[Gross Amount]]-Sales[[#This Row],[Disc. Amt.]]+Sales[[#This Row],[GST Amount]]</f>
        <v>361679.44</v>
      </c>
      <c r="O4763" s="158" t="s">
        <v>8876</v>
      </c>
      <c r="P4763" s="158" t="s">
        <v>3562</v>
      </c>
      <c r="Q4763" s="160">
        <f>IF(Sales[[#This Row],[Status]]="Cancelled",0,Sales[[#This Row],[Qty]])</f>
        <v>8</v>
      </c>
      <c r="R4763" s="161">
        <f>IF(Sales[[#This Row],[Status]]="Cancelled",0,Sales[[#This Row],[Total Amount]])</f>
        <v>361679.44</v>
      </c>
      <c r="S4763" s="162">
        <f>SUM(Sales[Net Amount])</f>
        <v>406839287.73200053</v>
      </c>
    </row>
    <row r="4764" spans="1:19" ht="18.75" x14ac:dyDescent="0.25">
      <c r="A4764" s="163" t="s">
        <v>8448</v>
      </c>
      <c r="B4764" s="164">
        <v>46011</v>
      </c>
      <c r="C4764" s="34" t="s">
        <v>927</v>
      </c>
      <c r="D4764" s="53" t="str">
        <f>VLOOKUP(Sales[[#This Row],[Customer ID]],Customer[#All],2,0)</f>
        <v>Sunita Patel</v>
      </c>
      <c r="E4764" s="34" t="s">
        <v>333</v>
      </c>
      <c r="F4764" s="34" t="str">
        <f>VLOOKUP(Sales[[#This Row],[Product ID]],Product[#All],2,0)</f>
        <v>Logitech Keyboard</v>
      </c>
      <c r="G4764" s="53">
        <v>1</v>
      </c>
      <c r="H4764" s="165">
        <f>VLOOKUP(Sales[[#This Row],[Product ID]],Product[#All],7,0)</f>
        <v>3350</v>
      </c>
      <c r="I4764" s="165">
        <f>Sales[[#This Row],[Selling Rate]]*Sales[[#This Row],[Qty]]</f>
        <v>3350</v>
      </c>
      <c r="J4764" s="45">
        <v>0.05</v>
      </c>
      <c r="K4764" s="46">
        <f>Sales[[#This Row],[Gross Amount]]*Sales[[#This Row],[Disc %]]</f>
        <v>167.5</v>
      </c>
      <c r="L4764" s="43">
        <v>0.18</v>
      </c>
      <c r="M4764" s="46">
        <f>(Sales[[#This Row],[Gross Amount]]-Sales[[#This Row],[Disc. Amt.]])*Sales[[#This Row],[GST %]]</f>
        <v>572.85</v>
      </c>
      <c r="N4764" s="161">
        <f>Sales[[#This Row],[Gross Amount]]-Sales[[#This Row],[Disc. Amt.]]+Sales[[#This Row],[GST Amount]]</f>
        <v>3755.35</v>
      </c>
      <c r="O4764" s="34" t="s">
        <v>3566</v>
      </c>
      <c r="P4764" s="34" t="s">
        <v>3562</v>
      </c>
      <c r="Q4764" s="165">
        <f>IF(Sales[[#This Row],[Status]]="Cancelled",0,Sales[[#This Row],[Qty]])</f>
        <v>1</v>
      </c>
      <c r="R4764" s="166">
        <f>IF(Sales[[#This Row],[Status]]="Cancelled",0,Sales[[#This Row],[Total Amount]])</f>
        <v>3755.35</v>
      </c>
      <c r="S4764" s="162">
        <f>SUM(Sales[Net Amount])</f>
        <v>406839287.73200053</v>
      </c>
    </row>
    <row r="4765" spans="1:19" ht="18.75" x14ac:dyDescent="0.25">
      <c r="A4765" s="156" t="s">
        <v>8449</v>
      </c>
      <c r="B4765" s="157">
        <v>46011</v>
      </c>
      <c r="C4765" s="158" t="s">
        <v>739</v>
      </c>
      <c r="D4765" s="159" t="str">
        <f>VLOOKUP(Sales[[#This Row],[Customer ID]],Customer[#All],2,0)</f>
        <v>Ankit Singh</v>
      </c>
      <c r="E4765" s="158" t="s">
        <v>519</v>
      </c>
      <c r="F4765" s="158" t="str">
        <f>VLOOKUP(Sales[[#This Row],[Product ID]],Product[#All],2,0)</f>
        <v>WD HDD</v>
      </c>
      <c r="G4765" s="159">
        <v>4</v>
      </c>
      <c r="H4765" s="160">
        <f>VLOOKUP(Sales[[#This Row],[Product ID]],Product[#All],7,0)</f>
        <v>8730</v>
      </c>
      <c r="I4765" s="160">
        <f>Sales[[#This Row],[Selling Rate]]*Sales[[#This Row],[Qty]]</f>
        <v>34920</v>
      </c>
      <c r="J4765" s="43">
        <v>0</v>
      </c>
      <c r="K4765" s="44">
        <f>Sales[[#This Row],[Gross Amount]]*Sales[[#This Row],[Disc %]]</f>
        <v>0</v>
      </c>
      <c r="L4765" s="43">
        <v>0.18</v>
      </c>
      <c r="M4765" s="44">
        <f>(Sales[[#This Row],[Gross Amount]]-Sales[[#This Row],[Disc. Amt.]])*Sales[[#This Row],[GST %]]</f>
        <v>6285.5999999999995</v>
      </c>
      <c r="N4765" s="161">
        <f>Sales[[#This Row],[Gross Amount]]-Sales[[#This Row],[Disc. Amt.]]+Sales[[#This Row],[GST Amount]]</f>
        <v>41205.599999999999</v>
      </c>
      <c r="O4765" s="158" t="s">
        <v>3561</v>
      </c>
      <c r="P4765" s="158" t="s">
        <v>3562</v>
      </c>
      <c r="Q4765" s="160">
        <f>IF(Sales[[#This Row],[Status]]="Cancelled",0,Sales[[#This Row],[Qty]])</f>
        <v>4</v>
      </c>
      <c r="R4765" s="161">
        <f>IF(Sales[[#This Row],[Status]]="Cancelled",0,Sales[[#This Row],[Total Amount]])</f>
        <v>41205.599999999999</v>
      </c>
      <c r="S4765" s="162">
        <f>SUM(Sales[Net Amount])</f>
        <v>406839287.73200053</v>
      </c>
    </row>
    <row r="4766" spans="1:19" ht="18.75" x14ac:dyDescent="0.25">
      <c r="A4766" s="163" t="s">
        <v>8450</v>
      </c>
      <c r="B4766" s="164">
        <v>46011</v>
      </c>
      <c r="C4766" s="34" t="s">
        <v>719</v>
      </c>
      <c r="D4766" s="53" t="str">
        <f>VLOOKUP(Sales[[#This Row],[Customer ID]],Customer[#All],2,0)</f>
        <v>Priya Verma</v>
      </c>
      <c r="E4766" s="34" t="s">
        <v>408</v>
      </c>
      <c r="F4766" s="34" t="str">
        <f>VLOOKUP(Sales[[#This Row],[Product ID]],Product[#All],2,0)</f>
        <v>HP Laptop</v>
      </c>
      <c r="G4766" s="53">
        <v>1</v>
      </c>
      <c r="H4766" s="165">
        <f>VLOOKUP(Sales[[#This Row],[Product ID]],Product[#All],7,0)</f>
        <v>93130</v>
      </c>
      <c r="I4766" s="165">
        <f>Sales[[#This Row],[Selling Rate]]*Sales[[#This Row],[Qty]]</f>
        <v>93130</v>
      </c>
      <c r="J4766" s="45">
        <v>0</v>
      </c>
      <c r="K4766" s="46">
        <f>Sales[[#This Row],[Gross Amount]]*Sales[[#This Row],[Disc %]]</f>
        <v>0</v>
      </c>
      <c r="L4766" s="43">
        <v>0.18</v>
      </c>
      <c r="M4766" s="46">
        <f>(Sales[[#This Row],[Gross Amount]]-Sales[[#This Row],[Disc. Amt.]])*Sales[[#This Row],[GST %]]</f>
        <v>16763.399999999998</v>
      </c>
      <c r="N4766" s="161">
        <f>Sales[[#This Row],[Gross Amount]]-Sales[[#This Row],[Disc. Amt.]]+Sales[[#This Row],[GST Amount]]</f>
        <v>109893.4</v>
      </c>
      <c r="O4766" s="34" t="s">
        <v>3561</v>
      </c>
      <c r="P4766" s="34" t="s">
        <v>3562</v>
      </c>
      <c r="Q4766" s="165">
        <f>IF(Sales[[#This Row],[Status]]="Cancelled",0,Sales[[#This Row],[Qty]])</f>
        <v>1</v>
      </c>
      <c r="R4766" s="166">
        <f>IF(Sales[[#This Row],[Status]]="Cancelled",0,Sales[[#This Row],[Total Amount]])</f>
        <v>109893.4</v>
      </c>
      <c r="S4766" s="162">
        <f>SUM(Sales[Net Amount])</f>
        <v>406839287.73200053</v>
      </c>
    </row>
    <row r="4767" spans="1:19" ht="18.75" x14ac:dyDescent="0.25">
      <c r="A4767" s="156" t="s">
        <v>8451</v>
      </c>
      <c r="B4767" s="157">
        <v>46011</v>
      </c>
      <c r="C4767" s="158" t="s">
        <v>890</v>
      </c>
      <c r="D4767" s="159" t="str">
        <f>VLOOKUP(Sales[[#This Row],[Customer ID]],Customer[#All],2,0)</f>
        <v>Rakesh Patel</v>
      </c>
      <c r="E4767" s="158" t="s">
        <v>276</v>
      </c>
      <c r="F4767" s="158" t="str">
        <f>VLOOKUP(Sales[[#This Row],[Product ID]],Product[#All],2,0)</f>
        <v>Corsair Ram</v>
      </c>
      <c r="G4767" s="159">
        <v>5</v>
      </c>
      <c r="H4767" s="160">
        <f>VLOOKUP(Sales[[#This Row],[Product ID]],Product[#All],7,0)</f>
        <v>7140</v>
      </c>
      <c r="I4767" s="160">
        <f>Sales[[#This Row],[Selling Rate]]*Sales[[#This Row],[Qty]]</f>
        <v>35700</v>
      </c>
      <c r="J4767" s="43">
        <v>0</v>
      </c>
      <c r="K4767" s="44">
        <f>Sales[[#This Row],[Gross Amount]]*Sales[[#This Row],[Disc %]]</f>
        <v>0</v>
      </c>
      <c r="L4767" s="43">
        <v>0.18</v>
      </c>
      <c r="M4767" s="44">
        <f>(Sales[[#This Row],[Gross Amount]]-Sales[[#This Row],[Disc. Amt.]])*Sales[[#This Row],[GST %]]</f>
        <v>6426</v>
      </c>
      <c r="N4767" s="161">
        <f>Sales[[#This Row],[Gross Amount]]-Sales[[#This Row],[Disc. Amt.]]+Sales[[#This Row],[GST Amount]]</f>
        <v>42126</v>
      </c>
      <c r="O4767" s="158" t="s">
        <v>3561</v>
      </c>
      <c r="P4767" s="158" t="s">
        <v>3562</v>
      </c>
      <c r="Q4767" s="160">
        <f>IF(Sales[[#This Row],[Status]]="Cancelled",0,Sales[[#This Row],[Qty]])</f>
        <v>5</v>
      </c>
      <c r="R4767" s="161">
        <f>IF(Sales[[#This Row],[Status]]="Cancelled",0,Sales[[#This Row],[Total Amount]])</f>
        <v>42126</v>
      </c>
      <c r="S4767" s="162">
        <f>SUM(Sales[Net Amount])</f>
        <v>406839287.73200053</v>
      </c>
    </row>
    <row r="4768" spans="1:19" ht="18.75" x14ac:dyDescent="0.25">
      <c r="A4768" s="163" t="s">
        <v>8452</v>
      </c>
      <c r="B4768" s="164">
        <v>46011</v>
      </c>
      <c r="C4768" s="34" t="s">
        <v>775</v>
      </c>
      <c r="D4768" s="53" t="str">
        <f>VLOOKUP(Sales[[#This Row],[Customer ID]],Customer[#All],2,0)</f>
        <v>Ankit Kumar</v>
      </c>
      <c r="E4768" s="34" t="s">
        <v>228</v>
      </c>
      <c r="F4768" s="34" t="str">
        <f>VLOOKUP(Sales[[#This Row],[Product ID]],Product[#All],2,0)</f>
        <v>Samsung Monitor</v>
      </c>
      <c r="G4768" s="53">
        <v>8</v>
      </c>
      <c r="H4768" s="165">
        <f>VLOOKUP(Sales[[#This Row],[Product ID]],Product[#All],7,0)</f>
        <v>29600</v>
      </c>
      <c r="I4768" s="165">
        <f>Sales[[#This Row],[Selling Rate]]*Sales[[#This Row],[Qty]]</f>
        <v>236800</v>
      </c>
      <c r="J4768" s="45">
        <v>0.05</v>
      </c>
      <c r="K4768" s="46">
        <f>Sales[[#This Row],[Gross Amount]]*Sales[[#This Row],[Disc %]]</f>
        <v>11840</v>
      </c>
      <c r="L4768" s="43">
        <v>0.18</v>
      </c>
      <c r="M4768" s="46">
        <f>(Sales[[#This Row],[Gross Amount]]-Sales[[#This Row],[Disc. Amt.]])*Sales[[#This Row],[GST %]]</f>
        <v>40492.799999999996</v>
      </c>
      <c r="N4768" s="161">
        <f>Sales[[#This Row],[Gross Amount]]-Sales[[#This Row],[Disc. Amt.]]+Sales[[#This Row],[GST Amount]]</f>
        <v>265452.79999999999</v>
      </c>
      <c r="O4768" s="34" t="s">
        <v>8876</v>
      </c>
      <c r="P4768" s="34" t="s">
        <v>3562</v>
      </c>
      <c r="Q4768" s="165">
        <f>IF(Sales[[#This Row],[Status]]="Cancelled",0,Sales[[#This Row],[Qty]])</f>
        <v>8</v>
      </c>
      <c r="R4768" s="166">
        <f>IF(Sales[[#This Row],[Status]]="Cancelled",0,Sales[[#This Row],[Total Amount]])</f>
        <v>265452.79999999999</v>
      </c>
      <c r="S4768" s="162">
        <f>SUM(Sales[Net Amount])</f>
        <v>406839287.73200053</v>
      </c>
    </row>
    <row r="4769" spans="1:19" ht="18.75" x14ac:dyDescent="0.25">
      <c r="A4769" s="156" t="s">
        <v>8453</v>
      </c>
      <c r="B4769" s="157">
        <v>46011</v>
      </c>
      <c r="C4769" s="158" t="s">
        <v>709</v>
      </c>
      <c r="D4769" s="159" t="str">
        <f>VLOOKUP(Sales[[#This Row],[Customer ID]],Customer[#All],2,0)</f>
        <v>Ankit Kumar</v>
      </c>
      <c r="E4769" s="158" t="s">
        <v>213</v>
      </c>
      <c r="F4769" s="158" t="str">
        <f>VLOOKUP(Sales[[#This Row],[Product ID]],Product[#All],2,0)</f>
        <v>Dell Power Adapter</v>
      </c>
      <c r="G4769" s="159">
        <v>8</v>
      </c>
      <c r="H4769" s="160">
        <f>VLOOKUP(Sales[[#This Row],[Product ID]],Product[#All],7,0)</f>
        <v>3740</v>
      </c>
      <c r="I4769" s="160">
        <f>Sales[[#This Row],[Selling Rate]]*Sales[[#This Row],[Qty]]</f>
        <v>29920</v>
      </c>
      <c r="J4769" s="43">
        <v>0</v>
      </c>
      <c r="K4769" s="44">
        <f>Sales[[#This Row],[Gross Amount]]*Sales[[#This Row],[Disc %]]</f>
        <v>0</v>
      </c>
      <c r="L4769" s="43">
        <v>0.18</v>
      </c>
      <c r="M4769" s="44">
        <f>(Sales[[#This Row],[Gross Amount]]-Sales[[#This Row],[Disc. Amt.]])*Sales[[#This Row],[GST %]]</f>
        <v>5385.5999999999995</v>
      </c>
      <c r="N4769" s="161">
        <f>Sales[[#This Row],[Gross Amount]]-Sales[[#This Row],[Disc. Amt.]]+Sales[[#This Row],[GST Amount]]</f>
        <v>35305.599999999999</v>
      </c>
      <c r="O4769" s="158" t="s">
        <v>3569</v>
      </c>
      <c r="P4769" s="158" t="s">
        <v>3562</v>
      </c>
      <c r="Q4769" s="160">
        <f>IF(Sales[[#This Row],[Status]]="Cancelled",0,Sales[[#This Row],[Qty]])</f>
        <v>8</v>
      </c>
      <c r="R4769" s="161">
        <f>IF(Sales[[#This Row],[Status]]="Cancelled",0,Sales[[#This Row],[Total Amount]])</f>
        <v>35305.599999999999</v>
      </c>
      <c r="S4769" s="162">
        <f>SUM(Sales[Net Amount])</f>
        <v>406839287.73200053</v>
      </c>
    </row>
    <row r="4770" spans="1:19" ht="18.75" x14ac:dyDescent="0.25">
      <c r="A4770" s="163" t="s">
        <v>8454</v>
      </c>
      <c r="B4770" s="164">
        <v>46011</v>
      </c>
      <c r="C4770" s="34" t="s">
        <v>700</v>
      </c>
      <c r="D4770" s="53" t="str">
        <f>VLOOKUP(Sales[[#This Row],[Customer ID]],Customer[#All],2,0)</f>
        <v>Ankit Gupta</v>
      </c>
      <c r="E4770" s="34" t="s">
        <v>525</v>
      </c>
      <c r="F4770" s="34" t="str">
        <f>VLOOKUP(Sales[[#This Row],[Product ID]],Product[#All],2,0)</f>
        <v>TP-link Wi-Fi Adapter</v>
      </c>
      <c r="G4770" s="53">
        <v>8</v>
      </c>
      <c r="H4770" s="165">
        <f>VLOOKUP(Sales[[#This Row],[Product ID]],Product[#All],7,0)</f>
        <v>1910</v>
      </c>
      <c r="I4770" s="165">
        <f>Sales[[#This Row],[Selling Rate]]*Sales[[#This Row],[Qty]]</f>
        <v>15280</v>
      </c>
      <c r="J4770" s="45">
        <v>0.02</v>
      </c>
      <c r="K4770" s="46">
        <f>Sales[[#This Row],[Gross Amount]]*Sales[[#This Row],[Disc %]]</f>
        <v>305.60000000000002</v>
      </c>
      <c r="L4770" s="43">
        <v>0.18</v>
      </c>
      <c r="M4770" s="46">
        <f>(Sales[[#This Row],[Gross Amount]]-Sales[[#This Row],[Disc. Amt.]])*Sales[[#This Row],[GST %]]</f>
        <v>2695.3919999999998</v>
      </c>
      <c r="N4770" s="161">
        <f>Sales[[#This Row],[Gross Amount]]-Sales[[#This Row],[Disc. Amt.]]+Sales[[#This Row],[GST Amount]]</f>
        <v>17669.792000000001</v>
      </c>
      <c r="O4770" s="34" t="s">
        <v>8876</v>
      </c>
      <c r="P4770" s="34" t="s">
        <v>3562</v>
      </c>
      <c r="Q4770" s="165">
        <f>IF(Sales[[#This Row],[Status]]="Cancelled",0,Sales[[#This Row],[Qty]])</f>
        <v>8</v>
      </c>
      <c r="R4770" s="166">
        <f>IF(Sales[[#This Row],[Status]]="Cancelled",0,Sales[[#This Row],[Total Amount]])</f>
        <v>17669.792000000001</v>
      </c>
      <c r="S4770" s="162">
        <f>SUM(Sales[Net Amount])</f>
        <v>406839287.73200053</v>
      </c>
    </row>
    <row r="4771" spans="1:19" ht="18.75" x14ac:dyDescent="0.25">
      <c r="A4771" s="156" t="s">
        <v>8455</v>
      </c>
      <c r="B4771" s="157">
        <v>46011</v>
      </c>
      <c r="C4771" s="158" t="s">
        <v>892</v>
      </c>
      <c r="D4771" s="159" t="str">
        <f>VLOOKUP(Sales[[#This Row],[Customer ID]],Customer[#All],2,0)</f>
        <v>Sahil Verma</v>
      </c>
      <c r="E4771" s="158" t="s">
        <v>428</v>
      </c>
      <c r="F4771" s="158" t="str">
        <f>VLOOKUP(Sales[[#This Row],[Product ID]],Product[#All],2,0)</f>
        <v>Microtek UPS</v>
      </c>
      <c r="G4771" s="159">
        <v>2</v>
      </c>
      <c r="H4771" s="160">
        <f>VLOOKUP(Sales[[#This Row],[Product ID]],Product[#All],7,0)</f>
        <v>8450</v>
      </c>
      <c r="I4771" s="160">
        <f>Sales[[#This Row],[Selling Rate]]*Sales[[#This Row],[Qty]]</f>
        <v>16900</v>
      </c>
      <c r="J4771" s="43">
        <v>0.15</v>
      </c>
      <c r="K4771" s="44">
        <f>Sales[[#This Row],[Gross Amount]]*Sales[[#This Row],[Disc %]]</f>
        <v>2535</v>
      </c>
      <c r="L4771" s="43">
        <v>0.18</v>
      </c>
      <c r="M4771" s="44">
        <f>(Sales[[#This Row],[Gross Amount]]-Sales[[#This Row],[Disc. Amt.]])*Sales[[#This Row],[GST %]]</f>
        <v>2585.6999999999998</v>
      </c>
      <c r="N4771" s="161">
        <f>Sales[[#This Row],[Gross Amount]]-Sales[[#This Row],[Disc. Amt.]]+Sales[[#This Row],[GST Amount]]</f>
        <v>16950.7</v>
      </c>
      <c r="O4771" s="158" t="s">
        <v>3566</v>
      </c>
      <c r="P4771" s="158" t="s">
        <v>3562</v>
      </c>
      <c r="Q4771" s="160">
        <f>IF(Sales[[#This Row],[Status]]="Cancelled",0,Sales[[#This Row],[Qty]])</f>
        <v>2</v>
      </c>
      <c r="R4771" s="161">
        <f>IF(Sales[[#This Row],[Status]]="Cancelled",0,Sales[[#This Row],[Total Amount]])</f>
        <v>16950.7</v>
      </c>
      <c r="S4771" s="162">
        <f>SUM(Sales[Net Amount])</f>
        <v>406839287.73200053</v>
      </c>
    </row>
    <row r="4772" spans="1:19" ht="18.75" x14ac:dyDescent="0.25">
      <c r="A4772" s="163" t="s">
        <v>8456</v>
      </c>
      <c r="B4772" s="164">
        <v>46011</v>
      </c>
      <c r="C4772" s="34" t="s">
        <v>821</v>
      </c>
      <c r="D4772" s="53" t="str">
        <f>VLOOKUP(Sales[[#This Row],[Customer ID]],Customer[#All],2,0)</f>
        <v>Rakesh Sharma</v>
      </c>
      <c r="E4772" s="34" t="s">
        <v>530</v>
      </c>
      <c r="F4772" s="34" t="str">
        <f>VLOOKUP(Sales[[#This Row],[Product ID]],Product[#All],2,0)</f>
        <v>Acer Laptop</v>
      </c>
      <c r="G4772" s="53">
        <v>4</v>
      </c>
      <c r="H4772" s="165">
        <f>VLOOKUP(Sales[[#This Row],[Product ID]],Product[#All],7,0)</f>
        <v>31390</v>
      </c>
      <c r="I4772" s="165">
        <f>Sales[[#This Row],[Selling Rate]]*Sales[[#This Row],[Qty]]</f>
        <v>125560</v>
      </c>
      <c r="J4772" s="45">
        <v>0</v>
      </c>
      <c r="K4772" s="46">
        <f>Sales[[#This Row],[Gross Amount]]*Sales[[#This Row],[Disc %]]</f>
        <v>0</v>
      </c>
      <c r="L4772" s="43">
        <v>0.18</v>
      </c>
      <c r="M4772" s="46">
        <f>(Sales[[#This Row],[Gross Amount]]-Sales[[#This Row],[Disc. Amt.]])*Sales[[#This Row],[GST %]]</f>
        <v>22600.799999999999</v>
      </c>
      <c r="N4772" s="161">
        <f>Sales[[#This Row],[Gross Amount]]-Sales[[#This Row],[Disc. Amt.]]+Sales[[#This Row],[GST Amount]]</f>
        <v>148160.79999999999</v>
      </c>
      <c r="O4772" s="34" t="s">
        <v>3566</v>
      </c>
      <c r="P4772" s="34" t="s">
        <v>3562</v>
      </c>
      <c r="Q4772" s="165">
        <f>IF(Sales[[#This Row],[Status]]="Cancelled",0,Sales[[#This Row],[Qty]])</f>
        <v>4</v>
      </c>
      <c r="R4772" s="166">
        <f>IF(Sales[[#This Row],[Status]]="Cancelled",0,Sales[[#This Row],[Total Amount]])</f>
        <v>148160.79999999999</v>
      </c>
      <c r="S4772" s="162">
        <f>SUM(Sales[Net Amount])</f>
        <v>406839287.73200053</v>
      </c>
    </row>
    <row r="4773" spans="1:19" ht="18.75" x14ac:dyDescent="0.25">
      <c r="A4773" s="156" t="s">
        <v>8457</v>
      </c>
      <c r="B4773" s="157">
        <v>46011</v>
      </c>
      <c r="C4773" s="158" t="s">
        <v>867</v>
      </c>
      <c r="D4773" s="159" t="str">
        <f>VLOOKUP(Sales[[#This Row],[Customer ID]],Customer[#All],2,0)</f>
        <v>Priya Gupta</v>
      </c>
      <c r="E4773" s="158" t="s">
        <v>255</v>
      </c>
      <c r="F4773" s="158" t="str">
        <f>VLOOKUP(Sales[[#This Row],[Product ID]],Product[#All],2,0)</f>
        <v>Acer Laptop</v>
      </c>
      <c r="G4773" s="159">
        <v>4</v>
      </c>
      <c r="H4773" s="160">
        <f>VLOOKUP(Sales[[#This Row],[Product ID]],Product[#All],7,0)</f>
        <v>62430</v>
      </c>
      <c r="I4773" s="160">
        <f>Sales[[#This Row],[Selling Rate]]*Sales[[#This Row],[Qty]]</f>
        <v>249720</v>
      </c>
      <c r="J4773" s="43">
        <v>0</v>
      </c>
      <c r="K4773" s="44">
        <f>Sales[[#This Row],[Gross Amount]]*Sales[[#This Row],[Disc %]]</f>
        <v>0</v>
      </c>
      <c r="L4773" s="43">
        <v>0.18</v>
      </c>
      <c r="M4773" s="44">
        <f>(Sales[[#This Row],[Gross Amount]]-Sales[[#This Row],[Disc. Amt.]])*Sales[[#This Row],[GST %]]</f>
        <v>44949.599999999999</v>
      </c>
      <c r="N4773" s="161">
        <f>Sales[[#This Row],[Gross Amount]]-Sales[[#This Row],[Disc. Amt.]]+Sales[[#This Row],[GST Amount]]</f>
        <v>294669.59999999998</v>
      </c>
      <c r="O4773" s="158" t="s">
        <v>3566</v>
      </c>
      <c r="P4773" s="158" t="s">
        <v>3562</v>
      </c>
      <c r="Q4773" s="160">
        <f>IF(Sales[[#This Row],[Status]]="Cancelled",0,Sales[[#This Row],[Qty]])</f>
        <v>4</v>
      </c>
      <c r="R4773" s="161">
        <f>IF(Sales[[#This Row],[Status]]="Cancelled",0,Sales[[#This Row],[Total Amount]])</f>
        <v>294669.59999999998</v>
      </c>
      <c r="S4773" s="162">
        <f>SUM(Sales[Net Amount])</f>
        <v>406839287.73200053</v>
      </c>
    </row>
    <row r="4774" spans="1:19" ht="18.75" x14ac:dyDescent="0.25">
      <c r="A4774" s="163" t="s">
        <v>8458</v>
      </c>
      <c r="B4774" s="164">
        <v>46011</v>
      </c>
      <c r="C4774" s="34" t="s">
        <v>745</v>
      </c>
      <c r="D4774" s="53" t="str">
        <f>VLOOKUP(Sales[[#This Row],[Customer ID]],Customer[#All],2,0)</f>
        <v>Priya Kumar</v>
      </c>
      <c r="E4774" s="34" t="s">
        <v>433</v>
      </c>
      <c r="F4774" s="34" t="str">
        <f>VLOOKUP(Sales[[#This Row],[Product ID]],Product[#All],2,0)</f>
        <v>Seagate HDD</v>
      </c>
      <c r="G4774" s="53">
        <v>5</v>
      </c>
      <c r="H4774" s="165">
        <f>VLOOKUP(Sales[[#This Row],[Product ID]],Product[#All],7,0)</f>
        <v>13910</v>
      </c>
      <c r="I4774" s="165">
        <f>Sales[[#This Row],[Selling Rate]]*Sales[[#This Row],[Qty]]</f>
        <v>69550</v>
      </c>
      <c r="J4774" s="45">
        <v>0</v>
      </c>
      <c r="K4774" s="46">
        <f>Sales[[#This Row],[Gross Amount]]*Sales[[#This Row],[Disc %]]</f>
        <v>0</v>
      </c>
      <c r="L4774" s="43">
        <v>0.18</v>
      </c>
      <c r="M4774" s="46">
        <f>(Sales[[#This Row],[Gross Amount]]-Sales[[#This Row],[Disc. Amt.]])*Sales[[#This Row],[GST %]]</f>
        <v>12519</v>
      </c>
      <c r="N4774" s="161">
        <f>Sales[[#This Row],[Gross Amount]]-Sales[[#This Row],[Disc. Amt.]]+Sales[[#This Row],[GST Amount]]</f>
        <v>82069</v>
      </c>
      <c r="O4774" s="34" t="s">
        <v>3561</v>
      </c>
      <c r="P4774" s="34" t="s">
        <v>3562</v>
      </c>
      <c r="Q4774" s="165">
        <f>IF(Sales[[#This Row],[Status]]="Cancelled",0,Sales[[#This Row],[Qty]])</f>
        <v>5</v>
      </c>
      <c r="R4774" s="166">
        <f>IF(Sales[[#This Row],[Status]]="Cancelled",0,Sales[[#This Row],[Total Amount]])</f>
        <v>82069</v>
      </c>
      <c r="S4774" s="162">
        <f>SUM(Sales[Net Amount])</f>
        <v>406839287.73200053</v>
      </c>
    </row>
    <row r="4775" spans="1:19" ht="18.75" x14ac:dyDescent="0.25">
      <c r="A4775" s="156" t="s">
        <v>8459</v>
      </c>
      <c r="B4775" s="157">
        <v>46011</v>
      </c>
      <c r="C4775" s="158" t="s">
        <v>720</v>
      </c>
      <c r="D4775" s="159" t="str">
        <f>VLOOKUP(Sales[[#This Row],[Customer ID]],Customer[#All],2,0)</f>
        <v>Rakesh Singh</v>
      </c>
      <c r="E4775" s="158" t="s">
        <v>85</v>
      </c>
      <c r="F4775" s="158" t="str">
        <f>VLOOKUP(Sales[[#This Row],[Product ID]],Product[#All],2,0)</f>
        <v>Apc UPS</v>
      </c>
      <c r="G4775" s="159">
        <v>7</v>
      </c>
      <c r="H4775" s="160">
        <f>VLOOKUP(Sales[[#This Row],[Product ID]],Product[#All],7,0)</f>
        <v>8770</v>
      </c>
      <c r="I4775" s="160">
        <f>Sales[[#This Row],[Selling Rate]]*Sales[[#This Row],[Qty]]</f>
        <v>61390</v>
      </c>
      <c r="J4775" s="43">
        <v>0.15</v>
      </c>
      <c r="K4775" s="44">
        <f>Sales[[#This Row],[Gross Amount]]*Sales[[#This Row],[Disc %]]</f>
        <v>9208.5</v>
      </c>
      <c r="L4775" s="43">
        <v>0.18</v>
      </c>
      <c r="M4775" s="44">
        <f>(Sales[[#This Row],[Gross Amount]]-Sales[[#This Row],[Disc. Amt.]])*Sales[[#This Row],[GST %]]</f>
        <v>9392.67</v>
      </c>
      <c r="N4775" s="161">
        <f>Sales[[#This Row],[Gross Amount]]-Sales[[#This Row],[Disc. Amt.]]+Sales[[#This Row],[GST Amount]]</f>
        <v>61574.17</v>
      </c>
      <c r="O4775" s="158" t="s">
        <v>8876</v>
      </c>
      <c r="P4775" s="158" t="s">
        <v>3562</v>
      </c>
      <c r="Q4775" s="160">
        <f>IF(Sales[[#This Row],[Status]]="Cancelled",0,Sales[[#This Row],[Qty]])</f>
        <v>7</v>
      </c>
      <c r="R4775" s="161">
        <f>IF(Sales[[#This Row],[Status]]="Cancelled",0,Sales[[#This Row],[Total Amount]])</f>
        <v>61574.17</v>
      </c>
      <c r="S4775" s="162">
        <f>SUM(Sales[Net Amount])</f>
        <v>406839287.73200053</v>
      </c>
    </row>
    <row r="4776" spans="1:19" ht="18.75" x14ac:dyDescent="0.25">
      <c r="A4776" s="163" t="s">
        <v>8460</v>
      </c>
      <c r="B4776" s="164">
        <v>46012</v>
      </c>
      <c r="C4776" s="34" t="s">
        <v>670</v>
      </c>
      <c r="D4776" s="53" t="str">
        <f>VLOOKUP(Sales[[#This Row],[Customer ID]],Customer[#All],2,0)</f>
        <v>Rakesh Patel</v>
      </c>
      <c r="E4776" s="34" t="s">
        <v>440</v>
      </c>
      <c r="F4776" s="34" t="str">
        <f>VLOOKUP(Sales[[#This Row],[Product ID]],Product[#All],2,0)</f>
        <v>Dell Monitor</v>
      </c>
      <c r="G4776" s="53">
        <v>1</v>
      </c>
      <c r="H4776" s="165">
        <f>VLOOKUP(Sales[[#This Row],[Product ID]],Product[#All],7,0)</f>
        <v>22810</v>
      </c>
      <c r="I4776" s="165">
        <f>Sales[[#This Row],[Selling Rate]]*Sales[[#This Row],[Qty]]</f>
        <v>22810</v>
      </c>
      <c r="J4776" s="45">
        <v>0.05</v>
      </c>
      <c r="K4776" s="46">
        <f>Sales[[#This Row],[Gross Amount]]*Sales[[#This Row],[Disc %]]</f>
        <v>1140.5</v>
      </c>
      <c r="L4776" s="43">
        <v>0.18</v>
      </c>
      <c r="M4776" s="46">
        <f>(Sales[[#This Row],[Gross Amount]]-Sales[[#This Row],[Disc. Amt.]])*Sales[[#This Row],[GST %]]</f>
        <v>3900.5099999999998</v>
      </c>
      <c r="N4776" s="161">
        <f>Sales[[#This Row],[Gross Amount]]-Sales[[#This Row],[Disc. Amt.]]+Sales[[#This Row],[GST Amount]]</f>
        <v>25570.01</v>
      </c>
      <c r="O4776" s="34" t="s">
        <v>3569</v>
      </c>
      <c r="P4776" s="34" t="s">
        <v>3562</v>
      </c>
      <c r="Q4776" s="165">
        <f>IF(Sales[[#This Row],[Status]]="Cancelled",0,Sales[[#This Row],[Qty]])</f>
        <v>1</v>
      </c>
      <c r="R4776" s="166">
        <f>IF(Sales[[#This Row],[Status]]="Cancelled",0,Sales[[#This Row],[Total Amount]])</f>
        <v>25570.01</v>
      </c>
      <c r="S4776" s="162">
        <f>SUM(Sales[Net Amount])</f>
        <v>406839287.73200053</v>
      </c>
    </row>
    <row r="4777" spans="1:19" ht="18.75" x14ac:dyDescent="0.25">
      <c r="A4777" s="156" t="s">
        <v>8461</v>
      </c>
      <c r="B4777" s="157">
        <v>46012</v>
      </c>
      <c r="C4777" s="158" t="s">
        <v>910</v>
      </c>
      <c r="D4777" s="159" t="str">
        <f>VLOOKUP(Sales[[#This Row],[Customer ID]],Customer[#All],2,0)</f>
        <v>Sahil Sharma</v>
      </c>
      <c r="E4777" s="158" t="s">
        <v>67</v>
      </c>
      <c r="F4777" s="158" t="str">
        <f>VLOOKUP(Sales[[#This Row],[Product ID]],Product[#All],2,0)</f>
        <v>TP-link Wi-Fi Adapter</v>
      </c>
      <c r="G4777" s="159">
        <v>6</v>
      </c>
      <c r="H4777" s="160">
        <f>VLOOKUP(Sales[[#This Row],[Product ID]],Product[#All],7,0)</f>
        <v>2990</v>
      </c>
      <c r="I4777" s="160">
        <f>Sales[[#This Row],[Selling Rate]]*Sales[[#This Row],[Qty]]</f>
        <v>17940</v>
      </c>
      <c r="J4777" s="43">
        <v>0.12</v>
      </c>
      <c r="K4777" s="44">
        <f>Sales[[#This Row],[Gross Amount]]*Sales[[#This Row],[Disc %]]</f>
        <v>2152.7999999999997</v>
      </c>
      <c r="L4777" s="43">
        <v>0.18</v>
      </c>
      <c r="M4777" s="44">
        <f>(Sales[[#This Row],[Gross Amount]]-Sales[[#This Row],[Disc. Amt.]])*Sales[[#This Row],[GST %]]</f>
        <v>2841.6959999999999</v>
      </c>
      <c r="N4777" s="161">
        <f>Sales[[#This Row],[Gross Amount]]-Sales[[#This Row],[Disc. Amt.]]+Sales[[#This Row],[GST Amount]]</f>
        <v>18628.896000000001</v>
      </c>
      <c r="O4777" s="158" t="s">
        <v>8876</v>
      </c>
      <c r="P4777" s="158" t="s">
        <v>3562</v>
      </c>
      <c r="Q4777" s="160">
        <f>IF(Sales[[#This Row],[Status]]="Cancelled",0,Sales[[#This Row],[Qty]])</f>
        <v>6</v>
      </c>
      <c r="R4777" s="161">
        <f>IF(Sales[[#This Row],[Status]]="Cancelled",0,Sales[[#This Row],[Total Amount]])</f>
        <v>18628.896000000001</v>
      </c>
      <c r="S4777" s="162">
        <f>SUM(Sales[Net Amount])</f>
        <v>406839287.73200053</v>
      </c>
    </row>
    <row r="4778" spans="1:19" ht="18.75" x14ac:dyDescent="0.25">
      <c r="A4778" s="163" t="s">
        <v>8462</v>
      </c>
      <c r="B4778" s="164">
        <v>46012</v>
      </c>
      <c r="C4778" s="34" t="s">
        <v>913</v>
      </c>
      <c r="D4778" s="53" t="str">
        <f>VLOOKUP(Sales[[#This Row],[Customer ID]],Customer[#All],2,0)</f>
        <v>Pooja Kumar</v>
      </c>
      <c r="E4778" s="34" t="s">
        <v>61</v>
      </c>
      <c r="F4778" s="34" t="str">
        <f>VLOOKUP(Sales[[#This Row],[Product ID]],Product[#All],2,0)</f>
        <v>Boat Headset</v>
      </c>
      <c r="G4778" s="53">
        <v>8</v>
      </c>
      <c r="H4778" s="165">
        <f>VLOOKUP(Sales[[#This Row],[Product ID]],Product[#All],7,0)</f>
        <v>3570</v>
      </c>
      <c r="I4778" s="165">
        <f>Sales[[#This Row],[Selling Rate]]*Sales[[#This Row],[Qty]]</f>
        <v>28560</v>
      </c>
      <c r="J4778" s="45">
        <v>0.15</v>
      </c>
      <c r="K4778" s="46">
        <f>Sales[[#This Row],[Gross Amount]]*Sales[[#This Row],[Disc %]]</f>
        <v>4284</v>
      </c>
      <c r="L4778" s="43">
        <v>0.18</v>
      </c>
      <c r="M4778" s="46">
        <f>(Sales[[#This Row],[Gross Amount]]-Sales[[#This Row],[Disc. Amt.]])*Sales[[#This Row],[GST %]]</f>
        <v>4369.68</v>
      </c>
      <c r="N4778" s="161">
        <f>Sales[[#This Row],[Gross Amount]]-Sales[[#This Row],[Disc. Amt.]]+Sales[[#This Row],[GST Amount]]</f>
        <v>28645.68</v>
      </c>
      <c r="O4778" s="34" t="s">
        <v>8876</v>
      </c>
      <c r="P4778" s="34" t="s">
        <v>3562</v>
      </c>
      <c r="Q4778" s="165">
        <f>IF(Sales[[#This Row],[Status]]="Cancelled",0,Sales[[#This Row],[Qty]])</f>
        <v>8</v>
      </c>
      <c r="R4778" s="166">
        <f>IF(Sales[[#This Row],[Status]]="Cancelled",0,Sales[[#This Row],[Total Amount]])</f>
        <v>28645.68</v>
      </c>
      <c r="S4778" s="162">
        <f>SUM(Sales[Net Amount])</f>
        <v>406839287.73200053</v>
      </c>
    </row>
    <row r="4779" spans="1:19" ht="18.75" x14ac:dyDescent="0.25">
      <c r="A4779" s="156" t="s">
        <v>8463</v>
      </c>
      <c r="B4779" s="157">
        <v>46012</v>
      </c>
      <c r="C4779" s="158" t="s">
        <v>868</v>
      </c>
      <c r="D4779" s="159" t="str">
        <f>VLOOKUP(Sales[[#This Row],[Customer ID]],Customer[#All],2,0)</f>
        <v>Rahul Verma</v>
      </c>
      <c r="E4779" s="158" t="s">
        <v>64</v>
      </c>
      <c r="F4779" s="158" t="str">
        <f>VLOOKUP(Sales[[#This Row],[Product ID]],Product[#All],2,0)</f>
        <v>Jbl Headset</v>
      </c>
      <c r="G4779" s="159">
        <v>8</v>
      </c>
      <c r="H4779" s="160">
        <f>VLOOKUP(Sales[[#This Row],[Product ID]],Product[#All],7,0)</f>
        <v>930</v>
      </c>
      <c r="I4779" s="160">
        <f>Sales[[#This Row],[Selling Rate]]*Sales[[#This Row],[Qty]]</f>
        <v>7440</v>
      </c>
      <c r="J4779" s="43">
        <v>0</v>
      </c>
      <c r="K4779" s="44">
        <f>Sales[[#This Row],[Gross Amount]]*Sales[[#This Row],[Disc %]]</f>
        <v>0</v>
      </c>
      <c r="L4779" s="43">
        <v>0.18</v>
      </c>
      <c r="M4779" s="44">
        <f>(Sales[[#This Row],[Gross Amount]]-Sales[[#This Row],[Disc. Amt.]])*Sales[[#This Row],[GST %]]</f>
        <v>1339.2</v>
      </c>
      <c r="N4779" s="161">
        <f>Sales[[#This Row],[Gross Amount]]-Sales[[#This Row],[Disc. Amt.]]+Sales[[#This Row],[GST Amount]]</f>
        <v>8779.2000000000007</v>
      </c>
      <c r="O4779" s="158" t="s">
        <v>3561</v>
      </c>
      <c r="P4779" s="158" t="s">
        <v>3562</v>
      </c>
      <c r="Q4779" s="160">
        <f>IF(Sales[[#This Row],[Status]]="Cancelled",0,Sales[[#This Row],[Qty]])</f>
        <v>8</v>
      </c>
      <c r="R4779" s="161">
        <f>IF(Sales[[#This Row],[Status]]="Cancelled",0,Sales[[#This Row],[Total Amount]])</f>
        <v>8779.2000000000007</v>
      </c>
      <c r="S4779" s="162">
        <f>SUM(Sales[Net Amount])</f>
        <v>406839287.73200053</v>
      </c>
    </row>
    <row r="4780" spans="1:19" ht="18.75" x14ac:dyDescent="0.25">
      <c r="A4780" s="163" t="s">
        <v>8464</v>
      </c>
      <c r="B4780" s="164">
        <v>46012</v>
      </c>
      <c r="C4780" s="34" t="s">
        <v>850</v>
      </c>
      <c r="D4780" s="53" t="str">
        <f>VLOOKUP(Sales[[#This Row],[Customer ID]],Customer[#All],2,0)</f>
        <v>Sahil Patel</v>
      </c>
      <c r="E4780" s="34" t="s">
        <v>250</v>
      </c>
      <c r="F4780" s="34" t="str">
        <f>VLOOKUP(Sales[[#This Row],[Product ID]],Product[#All],2,0)</f>
        <v>Corsair Ram</v>
      </c>
      <c r="G4780" s="53">
        <v>5</v>
      </c>
      <c r="H4780" s="165">
        <f>VLOOKUP(Sales[[#This Row],[Product ID]],Product[#All],7,0)</f>
        <v>12160</v>
      </c>
      <c r="I4780" s="165">
        <f>Sales[[#This Row],[Selling Rate]]*Sales[[#This Row],[Qty]]</f>
        <v>60800</v>
      </c>
      <c r="J4780" s="45">
        <v>0.05</v>
      </c>
      <c r="K4780" s="46">
        <f>Sales[[#This Row],[Gross Amount]]*Sales[[#This Row],[Disc %]]</f>
        <v>3040</v>
      </c>
      <c r="L4780" s="43">
        <v>0.18</v>
      </c>
      <c r="M4780" s="46">
        <f>(Sales[[#This Row],[Gross Amount]]-Sales[[#This Row],[Disc. Amt.]])*Sales[[#This Row],[GST %]]</f>
        <v>10396.799999999999</v>
      </c>
      <c r="N4780" s="161">
        <f>Sales[[#This Row],[Gross Amount]]-Sales[[#This Row],[Disc. Amt.]]+Sales[[#This Row],[GST Amount]]</f>
        <v>68156.800000000003</v>
      </c>
      <c r="O4780" s="34" t="s">
        <v>3561</v>
      </c>
      <c r="P4780" s="34" t="s">
        <v>3562</v>
      </c>
      <c r="Q4780" s="165">
        <f>IF(Sales[[#This Row],[Status]]="Cancelled",0,Sales[[#This Row],[Qty]])</f>
        <v>5</v>
      </c>
      <c r="R4780" s="166">
        <f>IF(Sales[[#This Row],[Status]]="Cancelled",0,Sales[[#This Row],[Total Amount]])</f>
        <v>68156.800000000003</v>
      </c>
      <c r="S4780" s="162">
        <f>SUM(Sales[Net Amount])</f>
        <v>406839287.73200053</v>
      </c>
    </row>
    <row r="4781" spans="1:19" ht="18.75" x14ac:dyDescent="0.25">
      <c r="A4781" s="156" t="s">
        <v>8465</v>
      </c>
      <c r="B4781" s="157">
        <v>46012</v>
      </c>
      <c r="C4781" s="158" t="s">
        <v>848</v>
      </c>
      <c r="D4781" s="159" t="str">
        <f>VLOOKUP(Sales[[#This Row],[Customer ID]],Customer[#All],2,0)</f>
        <v>Rakesh Patel</v>
      </c>
      <c r="E4781" s="158" t="s">
        <v>192</v>
      </c>
      <c r="F4781" s="158" t="str">
        <f>VLOOKUP(Sales[[#This Row],[Product ID]],Product[#All],2,0)</f>
        <v>HP Laptop</v>
      </c>
      <c r="G4781" s="159">
        <v>2</v>
      </c>
      <c r="H4781" s="160">
        <f>VLOOKUP(Sales[[#This Row],[Product ID]],Product[#All],7,0)</f>
        <v>59870</v>
      </c>
      <c r="I4781" s="160">
        <f>Sales[[#This Row],[Selling Rate]]*Sales[[#This Row],[Qty]]</f>
        <v>119740</v>
      </c>
      <c r="J4781" s="43">
        <v>0.15</v>
      </c>
      <c r="K4781" s="44">
        <f>Sales[[#This Row],[Gross Amount]]*Sales[[#This Row],[Disc %]]</f>
        <v>17961</v>
      </c>
      <c r="L4781" s="43">
        <v>0.18</v>
      </c>
      <c r="M4781" s="44">
        <f>(Sales[[#This Row],[Gross Amount]]-Sales[[#This Row],[Disc. Amt.]])*Sales[[#This Row],[GST %]]</f>
        <v>18320.219999999998</v>
      </c>
      <c r="N4781" s="161">
        <f>Sales[[#This Row],[Gross Amount]]-Sales[[#This Row],[Disc. Amt.]]+Sales[[#This Row],[GST Amount]]</f>
        <v>120099.22</v>
      </c>
      <c r="O4781" s="158" t="s">
        <v>3566</v>
      </c>
      <c r="P4781" s="158" t="s">
        <v>3562</v>
      </c>
      <c r="Q4781" s="160">
        <f>IF(Sales[[#This Row],[Status]]="Cancelled",0,Sales[[#This Row],[Qty]])</f>
        <v>2</v>
      </c>
      <c r="R4781" s="161">
        <f>IF(Sales[[#This Row],[Status]]="Cancelled",0,Sales[[#This Row],[Total Amount]])</f>
        <v>120099.22</v>
      </c>
      <c r="S4781" s="162">
        <f>SUM(Sales[Net Amount])</f>
        <v>406839287.73200053</v>
      </c>
    </row>
    <row r="4782" spans="1:19" ht="18.75" x14ac:dyDescent="0.25">
      <c r="A4782" s="163" t="s">
        <v>8466</v>
      </c>
      <c r="B4782" s="164">
        <v>46012</v>
      </c>
      <c r="C4782" s="34" t="s">
        <v>733</v>
      </c>
      <c r="D4782" s="53" t="str">
        <f>VLOOKUP(Sales[[#This Row],[Customer ID]],Customer[#All],2,0)</f>
        <v>Vikas Kumar</v>
      </c>
      <c r="E4782" s="34" t="s">
        <v>160</v>
      </c>
      <c r="F4782" s="34" t="str">
        <f>VLOOKUP(Sales[[#This Row],[Product ID]],Product[#All],2,0)</f>
        <v>Dell Power Adapter</v>
      </c>
      <c r="G4782" s="53">
        <v>8</v>
      </c>
      <c r="H4782" s="165">
        <f>VLOOKUP(Sales[[#This Row],[Product ID]],Product[#All],7,0)</f>
        <v>4330</v>
      </c>
      <c r="I4782" s="165">
        <f>Sales[[#This Row],[Selling Rate]]*Sales[[#This Row],[Qty]]</f>
        <v>34640</v>
      </c>
      <c r="J4782" s="45">
        <v>0.02</v>
      </c>
      <c r="K4782" s="46">
        <f>Sales[[#This Row],[Gross Amount]]*Sales[[#This Row],[Disc %]]</f>
        <v>692.80000000000007</v>
      </c>
      <c r="L4782" s="43">
        <v>0.18</v>
      </c>
      <c r="M4782" s="46">
        <f>(Sales[[#This Row],[Gross Amount]]-Sales[[#This Row],[Disc. Amt.]])*Sales[[#This Row],[GST %]]</f>
        <v>6110.4959999999992</v>
      </c>
      <c r="N4782" s="161">
        <f>Sales[[#This Row],[Gross Amount]]-Sales[[#This Row],[Disc. Amt.]]+Sales[[#This Row],[GST Amount]]</f>
        <v>40057.695999999996</v>
      </c>
      <c r="O4782" s="34" t="s">
        <v>3569</v>
      </c>
      <c r="P4782" s="34" t="s">
        <v>3562</v>
      </c>
      <c r="Q4782" s="165">
        <f>IF(Sales[[#This Row],[Status]]="Cancelled",0,Sales[[#This Row],[Qty]])</f>
        <v>8</v>
      </c>
      <c r="R4782" s="166">
        <f>IF(Sales[[#This Row],[Status]]="Cancelled",0,Sales[[#This Row],[Total Amount]])</f>
        <v>40057.695999999996</v>
      </c>
      <c r="S4782" s="162">
        <f>SUM(Sales[Net Amount])</f>
        <v>406839287.73200053</v>
      </c>
    </row>
    <row r="4783" spans="1:19" ht="18.75" x14ac:dyDescent="0.25">
      <c r="A4783" s="156" t="s">
        <v>8467</v>
      </c>
      <c r="B4783" s="157">
        <v>46012</v>
      </c>
      <c r="C4783" s="158" t="s">
        <v>819</v>
      </c>
      <c r="D4783" s="159" t="str">
        <f>VLOOKUP(Sales[[#This Row],[Customer ID]],Customer[#All],2,0)</f>
        <v>Neha Gupta</v>
      </c>
      <c r="E4783" s="158" t="s">
        <v>30</v>
      </c>
      <c r="F4783" s="158" t="str">
        <f>VLOOKUP(Sales[[#This Row],[Product ID]],Product[#All],2,0)</f>
        <v>Samsung Monitor</v>
      </c>
      <c r="G4783" s="159">
        <v>1</v>
      </c>
      <c r="H4783" s="160">
        <f>VLOOKUP(Sales[[#This Row],[Product ID]],Product[#All],7,0)</f>
        <v>16740</v>
      </c>
      <c r="I4783" s="160">
        <f>Sales[[#This Row],[Selling Rate]]*Sales[[#This Row],[Qty]]</f>
        <v>16740</v>
      </c>
      <c r="J4783" s="43">
        <v>0.1</v>
      </c>
      <c r="K4783" s="44">
        <f>Sales[[#This Row],[Gross Amount]]*Sales[[#This Row],[Disc %]]</f>
        <v>1674</v>
      </c>
      <c r="L4783" s="43">
        <v>0.18</v>
      </c>
      <c r="M4783" s="44">
        <f>(Sales[[#This Row],[Gross Amount]]-Sales[[#This Row],[Disc. Amt.]])*Sales[[#This Row],[GST %]]</f>
        <v>2711.88</v>
      </c>
      <c r="N4783" s="161">
        <f>Sales[[#This Row],[Gross Amount]]-Sales[[#This Row],[Disc. Amt.]]+Sales[[#This Row],[GST Amount]]</f>
        <v>17777.88</v>
      </c>
      <c r="O4783" s="158" t="s">
        <v>3561</v>
      </c>
      <c r="P4783" s="158" t="s">
        <v>3562</v>
      </c>
      <c r="Q4783" s="160">
        <f>IF(Sales[[#This Row],[Status]]="Cancelled",0,Sales[[#This Row],[Qty]])</f>
        <v>1</v>
      </c>
      <c r="R4783" s="161">
        <f>IF(Sales[[#This Row],[Status]]="Cancelled",0,Sales[[#This Row],[Total Amount]])</f>
        <v>17777.88</v>
      </c>
      <c r="S4783" s="162">
        <f>SUM(Sales[Net Amount])</f>
        <v>406839287.73200053</v>
      </c>
    </row>
    <row r="4784" spans="1:19" ht="18.75" x14ac:dyDescent="0.25">
      <c r="A4784" s="163" t="s">
        <v>8468</v>
      </c>
      <c r="B4784" s="164">
        <v>46012</v>
      </c>
      <c r="C4784" s="34" t="s">
        <v>900</v>
      </c>
      <c r="D4784" s="53" t="str">
        <f>VLOOKUP(Sales[[#This Row],[Customer ID]],Customer[#All],2,0)</f>
        <v>Neha Kumar</v>
      </c>
      <c r="E4784" s="34" t="s">
        <v>321</v>
      </c>
      <c r="F4784" s="34" t="str">
        <f>VLOOKUP(Sales[[#This Row],[Product ID]],Product[#All],2,0)</f>
        <v>WD HDD</v>
      </c>
      <c r="G4784" s="53">
        <v>3</v>
      </c>
      <c r="H4784" s="165">
        <f>VLOOKUP(Sales[[#This Row],[Product ID]],Product[#All],7,0)</f>
        <v>6810</v>
      </c>
      <c r="I4784" s="165">
        <f>Sales[[#This Row],[Selling Rate]]*Sales[[#This Row],[Qty]]</f>
        <v>20430</v>
      </c>
      <c r="J4784" s="45">
        <v>0.1</v>
      </c>
      <c r="K4784" s="46">
        <f>Sales[[#This Row],[Gross Amount]]*Sales[[#This Row],[Disc %]]</f>
        <v>2043</v>
      </c>
      <c r="L4784" s="43">
        <v>0.18</v>
      </c>
      <c r="M4784" s="46">
        <f>(Sales[[#This Row],[Gross Amount]]-Sales[[#This Row],[Disc. Amt.]])*Sales[[#This Row],[GST %]]</f>
        <v>3309.66</v>
      </c>
      <c r="N4784" s="161">
        <f>Sales[[#This Row],[Gross Amount]]-Sales[[#This Row],[Disc. Amt.]]+Sales[[#This Row],[GST Amount]]</f>
        <v>21696.66</v>
      </c>
      <c r="O4784" s="34" t="s">
        <v>8876</v>
      </c>
      <c r="P4784" s="34" t="s">
        <v>3562</v>
      </c>
      <c r="Q4784" s="165">
        <f>IF(Sales[[#This Row],[Status]]="Cancelled",0,Sales[[#This Row],[Qty]])</f>
        <v>3</v>
      </c>
      <c r="R4784" s="166">
        <f>IF(Sales[[#This Row],[Status]]="Cancelled",0,Sales[[#This Row],[Total Amount]])</f>
        <v>21696.66</v>
      </c>
      <c r="S4784" s="162">
        <f>SUM(Sales[Net Amount])</f>
        <v>406839287.73200053</v>
      </c>
    </row>
    <row r="4785" spans="1:19" ht="18.75" x14ac:dyDescent="0.25">
      <c r="A4785" s="156" t="s">
        <v>8469</v>
      </c>
      <c r="B4785" s="157">
        <v>46012</v>
      </c>
      <c r="C4785" s="158" t="s">
        <v>864</v>
      </c>
      <c r="D4785" s="159" t="str">
        <f>VLOOKUP(Sales[[#This Row],[Customer ID]],Customer[#All],2,0)</f>
        <v>Sahil Sharma</v>
      </c>
      <c r="E4785" s="158" t="s">
        <v>203</v>
      </c>
      <c r="F4785" s="158" t="str">
        <f>VLOOKUP(Sales[[#This Row],[Product ID]],Product[#All],2,0)</f>
        <v>Logitech Mouse</v>
      </c>
      <c r="G4785" s="159">
        <v>1</v>
      </c>
      <c r="H4785" s="160">
        <f>VLOOKUP(Sales[[#This Row],[Product ID]],Product[#All],7,0)</f>
        <v>2110</v>
      </c>
      <c r="I4785" s="160">
        <f>Sales[[#This Row],[Selling Rate]]*Sales[[#This Row],[Qty]]</f>
        <v>2110</v>
      </c>
      <c r="J4785" s="43">
        <v>0</v>
      </c>
      <c r="K4785" s="44">
        <f>Sales[[#This Row],[Gross Amount]]*Sales[[#This Row],[Disc %]]</f>
        <v>0</v>
      </c>
      <c r="L4785" s="43">
        <v>0.18</v>
      </c>
      <c r="M4785" s="44">
        <f>(Sales[[#This Row],[Gross Amount]]-Sales[[#This Row],[Disc. Amt.]])*Sales[[#This Row],[GST %]]</f>
        <v>379.8</v>
      </c>
      <c r="N4785" s="161">
        <f>Sales[[#This Row],[Gross Amount]]-Sales[[#This Row],[Disc. Amt.]]+Sales[[#This Row],[GST Amount]]</f>
        <v>2489.8000000000002</v>
      </c>
      <c r="O4785" s="158" t="s">
        <v>8876</v>
      </c>
      <c r="P4785" s="158" t="s">
        <v>3562</v>
      </c>
      <c r="Q4785" s="160">
        <f>IF(Sales[[#This Row],[Status]]="Cancelled",0,Sales[[#This Row],[Qty]])</f>
        <v>1</v>
      </c>
      <c r="R4785" s="161">
        <f>IF(Sales[[#This Row],[Status]]="Cancelled",0,Sales[[#This Row],[Total Amount]])</f>
        <v>2489.8000000000002</v>
      </c>
      <c r="S4785" s="162">
        <f>SUM(Sales[Net Amount])</f>
        <v>406839287.73200053</v>
      </c>
    </row>
    <row r="4786" spans="1:19" ht="18.75" x14ac:dyDescent="0.25">
      <c r="A4786" s="163" t="s">
        <v>8470</v>
      </c>
      <c r="B4786" s="164">
        <v>46012</v>
      </c>
      <c r="C4786" s="34" t="s">
        <v>679</v>
      </c>
      <c r="D4786" s="53" t="str">
        <f>VLOOKUP(Sales[[#This Row],[Customer ID]],Customer[#All],2,0)</f>
        <v>Rahul Singh</v>
      </c>
      <c r="E4786" s="34" t="s">
        <v>205</v>
      </c>
      <c r="F4786" s="34" t="str">
        <f>VLOOKUP(Sales[[#This Row],[Product ID]],Product[#All],2,0)</f>
        <v>HP Power Adapter</v>
      </c>
      <c r="G4786" s="53">
        <v>7</v>
      </c>
      <c r="H4786" s="165">
        <f>VLOOKUP(Sales[[#This Row],[Product ID]],Product[#All],7,0)</f>
        <v>4820</v>
      </c>
      <c r="I4786" s="165">
        <f>Sales[[#This Row],[Selling Rate]]*Sales[[#This Row],[Qty]]</f>
        <v>33740</v>
      </c>
      <c r="J4786" s="45">
        <v>0.05</v>
      </c>
      <c r="K4786" s="46">
        <f>Sales[[#This Row],[Gross Amount]]*Sales[[#This Row],[Disc %]]</f>
        <v>1687</v>
      </c>
      <c r="L4786" s="43">
        <v>0.18</v>
      </c>
      <c r="M4786" s="46">
        <f>(Sales[[#This Row],[Gross Amount]]-Sales[[#This Row],[Disc. Amt.]])*Sales[[#This Row],[GST %]]</f>
        <v>5769.54</v>
      </c>
      <c r="N4786" s="161">
        <f>Sales[[#This Row],[Gross Amount]]-Sales[[#This Row],[Disc. Amt.]]+Sales[[#This Row],[GST Amount]]</f>
        <v>37822.54</v>
      </c>
      <c r="O4786" s="34" t="s">
        <v>3566</v>
      </c>
      <c r="P4786" s="34" t="s">
        <v>3562</v>
      </c>
      <c r="Q4786" s="165">
        <f>IF(Sales[[#This Row],[Status]]="Cancelled",0,Sales[[#This Row],[Qty]])</f>
        <v>7</v>
      </c>
      <c r="R4786" s="166">
        <f>IF(Sales[[#This Row],[Status]]="Cancelled",0,Sales[[#This Row],[Total Amount]])</f>
        <v>37822.54</v>
      </c>
      <c r="S4786" s="162">
        <f>SUM(Sales[Net Amount])</f>
        <v>406839287.73200053</v>
      </c>
    </row>
    <row r="4787" spans="1:19" ht="18.75" x14ac:dyDescent="0.25">
      <c r="A4787" s="156" t="s">
        <v>8471</v>
      </c>
      <c r="B4787" s="157">
        <v>46012</v>
      </c>
      <c r="C4787" s="158" t="s">
        <v>951</v>
      </c>
      <c r="D4787" s="159" t="str">
        <f>VLOOKUP(Sales[[#This Row],[Customer ID]],Customer[#All],2,0)</f>
        <v>Rahul Singh</v>
      </c>
      <c r="E4787" s="158" t="s">
        <v>23</v>
      </c>
      <c r="F4787" s="158" t="str">
        <f>VLOOKUP(Sales[[#This Row],[Product ID]],Product[#All],2,0)</f>
        <v>Kingston Ram</v>
      </c>
      <c r="G4787" s="159">
        <v>4</v>
      </c>
      <c r="H4787" s="160">
        <f>VLOOKUP(Sales[[#This Row],[Product ID]],Product[#All],7,0)</f>
        <v>6040</v>
      </c>
      <c r="I4787" s="160">
        <f>Sales[[#This Row],[Selling Rate]]*Sales[[#This Row],[Qty]]</f>
        <v>24160</v>
      </c>
      <c r="J4787" s="43">
        <v>0.1</v>
      </c>
      <c r="K4787" s="44">
        <f>Sales[[#This Row],[Gross Amount]]*Sales[[#This Row],[Disc %]]</f>
        <v>2416</v>
      </c>
      <c r="L4787" s="43">
        <v>0.18</v>
      </c>
      <c r="M4787" s="44">
        <f>(Sales[[#This Row],[Gross Amount]]-Sales[[#This Row],[Disc. Amt.]])*Sales[[#This Row],[GST %]]</f>
        <v>3913.92</v>
      </c>
      <c r="N4787" s="161">
        <f>Sales[[#This Row],[Gross Amount]]-Sales[[#This Row],[Disc. Amt.]]+Sales[[#This Row],[GST Amount]]</f>
        <v>25657.919999999998</v>
      </c>
      <c r="O4787" s="158" t="s">
        <v>8876</v>
      </c>
      <c r="P4787" s="158" t="s">
        <v>3562</v>
      </c>
      <c r="Q4787" s="160">
        <f>IF(Sales[[#This Row],[Status]]="Cancelled",0,Sales[[#This Row],[Qty]])</f>
        <v>4</v>
      </c>
      <c r="R4787" s="161">
        <f>IF(Sales[[#This Row],[Status]]="Cancelled",0,Sales[[#This Row],[Total Amount]])</f>
        <v>25657.919999999998</v>
      </c>
      <c r="S4787" s="162">
        <f>SUM(Sales[Net Amount])</f>
        <v>406839287.73200053</v>
      </c>
    </row>
    <row r="4788" spans="1:19" ht="18.75" x14ac:dyDescent="0.25">
      <c r="A4788" s="163" t="s">
        <v>8472</v>
      </c>
      <c r="B4788" s="164">
        <v>46012</v>
      </c>
      <c r="C4788" s="34" t="s">
        <v>745</v>
      </c>
      <c r="D4788" s="53" t="str">
        <f>VLOOKUP(Sales[[#This Row],[Customer ID]],Customer[#All],2,0)</f>
        <v>Priya Kumar</v>
      </c>
      <c r="E4788" s="34" t="s">
        <v>377</v>
      </c>
      <c r="F4788" s="34" t="str">
        <f>VLOOKUP(Sales[[#This Row],[Product ID]],Product[#All],2,0)</f>
        <v>Acer Laptop</v>
      </c>
      <c r="G4788" s="53">
        <v>3</v>
      </c>
      <c r="H4788" s="165">
        <f>VLOOKUP(Sales[[#This Row],[Product ID]],Product[#All],7,0)</f>
        <v>68710</v>
      </c>
      <c r="I4788" s="165">
        <f>Sales[[#This Row],[Selling Rate]]*Sales[[#This Row],[Qty]]</f>
        <v>206130</v>
      </c>
      <c r="J4788" s="45">
        <v>0.15</v>
      </c>
      <c r="K4788" s="46">
        <f>Sales[[#This Row],[Gross Amount]]*Sales[[#This Row],[Disc %]]</f>
        <v>30919.5</v>
      </c>
      <c r="L4788" s="43">
        <v>0.18</v>
      </c>
      <c r="M4788" s="46">
        <f>(Sales[[#This Row],[Gross Amount]]-Sales[[#This Row],[Disc. Amt.]])*Sales[[#This Row],[GST %]]</f>
        <v>31537.89</v>
      </c>
      <c r="N4788" s="161">
        <f>Sales[[#This Row],[Gross Amount]]-Sales[[#This Row],[Disc. Amt.]]+Sales[[#This Row],[GST Amount]]</f>
        <v>206748.39</v>
      </c>
      <c r="O4788" s="34" t="s">
        <v>3566</v>
      </c>
      <c r="P4788" s="34" t="s">
        <v>3562</v>
      </c>
      <c r="Q4788" s="165">
        <f>IF(Sales[[#This Row],[Status]]="Cancelled",0,Sales[[#This Row],[Qty]])</f>
        <v>3</v>
      </c>
      <c r="R4788" s="166">
        <f>IF(Sales[[#This Row],[Status]]="Cancelled",0,Sales[[#This Row],[Total Amount]])</f>
        <v>206748.39</v>
      </c>
      <c r="S4788" s="162">
        <f>SUM(Sales[Net Amount])</f>
        <v>406839287.73200053</v>
      </c>
    </row>
    <row r="4789" spans="1:19" ht="18.75" x14ac:dyDescent="0.25">
      <c r="A4789" s="156" t="s">
        <v>8473</v>
      </c>
      <c r="B4789" s="157">
        <v>46012</v>
      </c>
      <c r="C4789" s="158" t="s">
        <v>927</v>
      </c>
      <c r="D4789" s="159" t="str">
        <f>VLOOKUP(Sales[[#This Row],[Customer ID]],Customer[#All],2,0)</f>
        <v>Sunita Patel</v>
      </c>
      <c r="E4789" s="158" t="s">
        <v>188</v>
      </c>
      <c r="F4789" s="158" t="str">
        <f>VLOOKUP(Sales[[#This Row],[Product ID]],Product[#All],2,0)</f>
        <v>Crucial Ssd</v>
      </c>
      <c r="G4789" s="159">
        <v>1</v>
      </c>
      <c r="H4789" s="160">
        <f>VLOOKUP(Sales[[#This Row],[Product ID]],Product[#All],7,0)</f>
        <v>14390</v>
      </c>
      <c r="I4789" s="160">
        <f>Sales[[#This Row],[Selling Rate]]*Sales[[#This Row],[Qty]]</f>
        <v>14390</v>
      </c>
      <c r="J4789" s="43">
        <v>0</v>
      </c>
      <c r="K4789" s="44">
        <f>Sales[[#This Row],[Gross Amount]]*Sales[[#This Row],[Disc %]]</f>
        <v>0</v>
      </c>
      <c r="L4789" s="43">
        <v>0.18</v>
      </c>
      <c r="M4789" s="44">
        <f>(Sales[[#This Row],[Gross Amount]]-Sales[[#This Row],[Disc. Amt.]])*Sales[[#This Row],[GST %]]</f>
        <v>2590.1999999999998</v>
      </c>
      <c r="N4789" s="161">
        <f>Sales[[#This Row],[Gross Amount]]-Sales[[#This Row],[Disc. Amt.]]+Sales[[#This Row],[GST Amount]]</f>
        <v>16980.2</v>
      </c>
      <c r="O4789" s="158" t="s">
        <v>3566</v>
      </c>
      <c r="P4789" s="158" t="s">
        <v>3562</v>
      </c>
      <c r="Q4789" s="160">
        <f>IF(Sales[[#This Row],[Status]]="Cancelled",0,Sales[[#This Row],[Qty]])</f>
        <v>1</v>
      </c>
      <c r="R4789" s="161">
        <f>IF(Sales[[#This Row],[Status]]="Cancelled",0,Sales[[#This Row],[Total Amount]])</f>
        <v>16980.2</v>
      </c>
      <c r="S4789" s="162">
        <f>SUM(Sales[Net Amount])</f>
        <v>406839287.73200053</v>
      </c>
    </row>
    <row r="4790" spans="1:19" ht="18.75" x14ac:dyDescent="0.25">
      <c r="A4790" s="163" t="s">
        <v>8474</v>
      </c>
      <c r="B4790" s="164">
        <v>46012</v>
      </c>
      <c r="C4790" s="34" t="s">
        <v>928</v>
      </c>
      <c r="D4790" s="53" t="str">
        <f>VLOOKUP(Sales[[#This Row],[Customer ID]],Customer[#All],2,0)</f>
        <v>Rahul Kumar</v>
      </c>
      <c r="E4790" s="34" t="s">
        <v>219</v>
      </c>
      <c r="F4790" s="34" t="str">
        <f>VLOOKUP(Sales[[#This Row],[Product ID]],Product[#All],2,0)</f>
        <v>Samsung Monitor</v>
      </c>
      <c r="G4790" s="53">
        <v>6</v>
      </c>
      <c r="H4790" s="165">
        <f>VLOOKUP(Sales[[#This Row],[Product ID]],Product[#All],7,0)</f>
        <v>22630</v>
      </c>
      <c r="I4790" s="165">
        <f>Sales[[#This Row],[Selling Rate]]*Sales[[#This Row],[Qty]]</f>
        <v>135780</v>
      </c>
      <c r="J4790" s="45">
        <v>0.05</v>
      </c>
      <c r="K4790" s="46">
        <f>Sales[[#This Row],[Gross Amount]]*Sales[[#This Row],[Disc %]]</f>
        <v>6789</v>
      </c>
      <c r="L4790" s="43">
        <v>0.18</v>
      </c>
      <c r="M4790" s="46">
        <f>(Sales[[#This Row],[Gross Amount]]-Sales[[#This Row],[Disc. Amt.]])*Sales[[#This Row],[GST %]]</f>
        <v>23218.379999999997</v>
      </c>
      <c r="N4790" s="161">
        <f>Sales[[#This Row],[Gross Amount]]-Sales[[#This Row],[Disc. Amt.]]+Sales[[#This Row],[GST Amount]]</f>
        <v>152209.38</v>
      </c>
      <c r="O4790" s="34" t="s">
        <v>8876</v>
      </c>
      <c r="P4790" s="34" t="s">
        <v>3562</v>
      </c>
      <c r="Q4790" s="165">
        <f>IF(Sales[[#This Row],[Status]]="Cancelled",0,Sales[[#This Row],[Qty]])</f>
        <v>6</v>
      </c>
      <c r="R4790" s="166">
        <f>IF(Sales[[#This Row],[Status]]="Cancelled",0,Sales[[#This Row],[Total Amount]])</f>
        <v>152209.38</v>
      </c>
      <c r="S4790" s="162">
        <f>SUM(Sales[Net Amount])</f>
        <v>406839287.73200053</v>
      </c>
    </row>
    <row r="4791" spans="1:19" ht="18.75" x14ac:dyDescent="0.25">
      <c r="A4791" s="156" t="s">
        <v>8475</v>
      </c>
      <c r="B4791" s="157">
        <v>46012</v>
      </c>
      <c r="C4791" s="158" t="s">
        <v>758</v>
      </c>
      <c r="D4791" s="159" t="str">
        <f>VLOOKUP(Sales[[#This Row],[Customer ID]],Customer[#All],2,0)</f>
        <v>Rahul Verma</v>
      </c>
      <c r="E4791" s="158" t="s">
        <v>266</v>
      </c>
      <c r="F4791" s="158" t="str">
        <f>VLOOKUP(Sales[[#This Row],[Product ID]],Product[#All],2,0)</f>
        <v>American TouristerLaptopBag</v>
      </c>
      <c r="G4791" s="159">
        <v>7</v>
      </c>
      <c r="H4791" s="160">
        <f>VLOOKUP(Sales[[#This Row],[Product ID]],Product[#All],7,0)</f>
        <v>4170</v>
      </c>
      <c r="I4791" s="160">
        <f>Sales[[#This Row],[Selling Rate]]*Sales[[#This Row],[Qty]]</f>
        <v>29190</v>
      </c>
      <c r="J4791" s="43">
        <v>0.15</v>
      </c>
      <c r="K4791" s="44">
        <f>Sales[[#This Row],[Gross Amount]]*Sales[[#This Row],[Disc %]]</f>
        <v>4378.5</v>
      </c>
      <c r="L4791" s="43">
        <v>0.18</v>
      </c>
      <c r="M4791" s="44">
        <f>(Sales[[#This Row],[Gross Amount]]-Sales[[#This Row],[Disc. Amt.]])*Sales[[#This Row],[GST %]]</f>
        <v>4466.07</v>
      </c>
      <c r="N4791" s="161">
        <f>Sales[[#This Row],[Gross Amount]]-Sales[[#This Row],[Disc. Amt.]]+Sales[[#This Row],[GST Amount]]</f>
        <v>29277.57</v>
      </c>
      <c r="O4791" s="158" t="s">
        <v>8876</v>
      </c>
      <c r="P4791" s="158" t="s">
        <v>3562</v>
      </c>
      <c r="Q4791" s="160">
        <f>IF(Sales[[#This Row],[Status]]="Cancelled",0,Sales[[#This Row],[Qty]])</f>
        <v>7</v>
      </c>
      <c r="R4791" s="161">
        <f>IF(Sales[[#This Row],[Status]]="Cancelled",0,Sales[[#This Row],[Total Amount]])</f>
        <v>29277.57</v>
      </c>
      <c r="S4791" s="162">
        <f>SUM(Sales[Net Amount])</f>
        <v>406839287.73200053</v>
      </c>
    </row>
    <row r="4792" spans="1:19" ht="18.75" x14ac:dyDescent="0.25">
      <c r="A4792" s="163" t="s">
        <v>8476</v>
      </c>
      <c r="B4792" s="164">
        <v>46012</v>
      </c>
      <c r="C4792" s="34" t="s">
        <v>874</v>
      </c>
      <c r="D4792" s="53" t="str">
        <f>VLOOKUP(Sales[[#This Row],[Customer ID]],Customer[#All],2,0)</f>
        <v>Vikas Sharma</v>
      </c>
      <c r="E4792" s="34" t="s">
        <v>456</v>
      </c>
      <c r="F4792" s="34" t="str">
        <f>VLOOKUP(Sales[[#This Row],[Product ID]],Product[#All],2,0)</f>
        <v>Acer Laptop</v>
      </c>
      <c r="G4792" s="53">
        <v>3</v>
      </c>
      <c r="H4792" s="165">
        <f>VLOOKUP(Sales[[#This Row],[Product ID]],Product[#All],7,0)</f>
        <v>66790</v>
      </c>
      <c r="I4792" s="165">
        <f>Sales[[#This Row],[Selling Rate]]*Sales[[#This Row],[Qty]]</f>
        <v>200370</v>
      </c>
      <c r="J4792" s="45">
        <v>0.05</v>
      </c>
      <c r="K4792" s="46">
        <f>Sales[[#This Row],[Gross Amount]]*Sales[[#This Row],[Disc %]]</f>
        <v>10018.5</v>
      </c>
      <c r="L4792" s="43">
        <v>0.18</v>
      </c>
      <c r="M4792" s="46">
        <f>(Sales[[#This Row],[Gross Amount]]-Sales[[#This Row],[Disc. Amt.]])*Sales[[#This Row],[GST %]]</f>
        <v>34263.269999999997</v>
      </c>
      <c r="N4792" s="161">
        <f>Sales[[#This Row],[Gross Amount]]-Sales[[#This Row],[Disc. Amt.]]+Sales[[#This Row],[GST Amount]]</f>
        <v>224614.77</v>
      </c>
      <c r="O4792" s="34" t="s">
        <v>3561</v>
      </c>
      <c r="P4792" s="34" t="s">
        <v>3562</v>
      </c>
      <c r="Q4792" s="165">
        <f>IF(Sales[[#This Row],[Status]]="Cancelled",0,Sales[[#This Row],[Qty]])</f>
        <v>3</v>
      </c>
      <c r="R4792" s="166">
        <f>IF(Sales[[#This Row],[Status]]="Cancelled",0,Sales[[#This Row],[Total Amount]])</f>
        <v>224614.77</v>
      </c>
      <c r="S4792" s="162">
        <f>SUM(Sales[Net Amount])</f>
        <v>406839287.73200053</v>
      </c>
    </row>
    <row r="4793" spans="1:19" ht="18.75" x14ac:dyDescent="0.25">
      <c r="A4793" s="156" t="s">
        <v>8477</v>
      </c>
      <c r="B4793" s="157">
        <v>46012</v>
      </c>
      <c r="C4793" s="158" t="s">
        <v>816</v>
      </c>
      <c r="D4793" s="159" t="str">
        <f>VLOOKUP(Sales[[#This Row],[Customer ID]],Customer[#All],2,0)</f>
        <v>Amit Patel</v>
      </c>
      <c r="E4793" s="158" t="s">
        <v>386</v>
      </c>
      <c r="F4793" s="158" t="str">
        <f>VLOOKUP(Sales[[#This Row],[Product ID]],Product[#All],2,0)</f>
        <v>Sandisk Pen Drive</v>
      </c>
      <c r="G4793" s="159">
        <v>8</v>
      </c>
      <c r="H4793" s="160">
        <f>VLOOKUP(Sales[[#This Row],[Product ID]],Product[#All],7,0)</f>
        <v>700</v>
      </c>
      <c r="I4793" s="160">
        <f>Sales[[#This Row],[Selling Rate]]*Sales[[#This Row],[Qty]]</f>
        <v>5600</v>
      </c>
      <c r="J4793" s="43">
        <v>0.15</v>
      </c>
      <c r="K4793" s="44">
        <f>Sales[[#This Row],[Gross Amount]]*Sales[[#This Row],[Disc %]]</f>
        <v>840</v>
      </c>
      <c r="L4793" s="43">
        <v>0.18</v>
      </c>
      <c r="M4793" s="44">
        <f>(Sales[[#This Row],[Gross Amount]]-Sales[[#This Row],[Disc. Amt.]])*Sales[[#This Row],[GST %]]</f>
        <v>856.8</v>
      </c>
      <c r="N4793" s="161">
        <f>Sales[[#This Row],[Gross Amount]]-Sales[[#This Row],[Disc. Amt.]]+Sales[[#This Row],[GST Amount]]</f>
        <v>5616.8</v>
      </c>
      <c r="O4793" s="158" t="s">
        <v>3569</v>
      </c>
      <c r="P4793" s="158" t="s">
        <v>3562</v>
      </c>
      <c r="Q4793" s="160">
        <f>IF(Sales[[#This Row],[Status]]="Cancelled",0,Sales[[#This Row],[Qty]])</f>
        <v>8</v>
      </c>
      <c r="R4793" s="161">
        <f>IF(Sales[[#This Row],[Status]]="Cancelled",0,Sales[[#This Row],[Total Amount]])</f>
        <v>5616.8</v>
      </c>
      <c r="S4793" s="162">
        <f>SUM(Sales[Net Amount])</f>
        <v>406839287.73200053</v>
      </c>
    </row>
    <row r="4794" spans="1:19" ht="18.75" x14ac:dyDescent="0.25">
      <c r="A4794" s="163" t="s">
        <v>8478</v>
      </c>
      <c r="B4794" s="164">
        <v>46012</v>
      </c>
      <c r="C4794" s="34" t="s">
        <v>727</v>
      </c>
      <c r="D4794" s="53" t="str">
        <f>VLOOKUP(Sales[[#This Row],[Customer ID]],Customer[#All],2,0)</f>
        <v>Sahil Sharma</v>
      </c>
      <c r="E4794" s="34" t="s">
        <v>548</v>
      </c>
      <c r="F4794" s="34" t="str">
        <f>VLOOKUP(Sales[[#This Row],[Product ID]],Product[#All],2,0)</f>
        <v>HP Power Adapter</v>
      </c>
      <c r="G4794" s="53">
        <v>7</v>
      </c>
      <c r="H4794" s="165">
        <f>VLOOKUP(Sales[[#This Row],[Product ID]],Product[#All],7,0)</f>
        <v>2470</v>
      </c>
      <c r="I4794" s="165">
        <f>Sales[[#This Row],[Selling Rate]]*Sales[[#This Row],[Qty]]</f>
        <v>17290</v>
      </c>
      <c r="J4794" s="45">
        <v>0.02</v>
      </c>
      <c r="K4794" s="46">
        <f>Sales[[#This Row],[Gross Amount]]*Sales[[#This Row],[Disc %]]</f>
        <v>345.8</v>
      </c>
      <c r="L4794" s="43">
        <v>0.18</v>
      </c>
      <c r="M4794" s="46">
        <f>(Sales[[#This Row],[Gross Amount]]-Sales[[#This Row],[Disc. Amt.]])*Sales[[#This Row],[GST %]]</f>
        <v>3049.9560000000001</v>
      </c>
      <c r="N4794" s="161">
        <f>Sales[[#This Row],[Gross Amount]]-Sales[[#This Row],[Disc. Amt.]]+Sales[[#This Row],[GST Amount]]</f>
        <v>19994.156000000003</v>
      </c>
      <c r="O4794" s="34" t="s">
        <v>3566</v>
      </c>
      <c r="P4794" s="34" t="s">
        <v>3562</v>
      </c>
      <c r="Q4794" s="165">
        <f>IF(Sales[[#This Row],[Status]]="Cancelled",0,Sales[[#This Row],[Qty]])</f>
        <v>7</v>
      </c>
      <c r="R4794" s="166">
        <f>IF(Sales[[#This Row],[Status]]="Cancelled",0,Sales[[#This Row],[Total Amount]])</f>
        <v>19994.156000000003</v>
      </c>
      <c r="S4794" s="162">
        <f>SUM(Sales[Net Amount])</f>
        <v>406839287.73200053</v>
      </c>
    </row>
    <row r="4795" spans="1:19" ht="18.75" x14ac:dyDescent="0.25">
      <c r="A4795" s="156" t="s">
        <v>8479</v>
      </c>
      <c r="B4795" s="157">
        <v>46013</v>
      </c>
      <c r="C4795" s="158" t="s">
        <v>947</v>
      </c>
      <c r="D4795" s="159" t="str">
        <f>VLOOKUP(Sales[[#This Row],[Customer ID]],Customer[#All],2,0)</f>
        <v>Sunita Singh</v>
      </c>
      <c r="E4795" s="158" t="s">
        <v>332</v>
      </c>
      <c r="F4795" s="158" t="str">
        <f>VLOOKUP(Sales[[#This Row],[Product ID]],Product[#All],2,0)</f>
        <v>Samsung Monitor</v>
      </c>
      <c r="G4795" s="159">
        <v>1</v>
      </c>
      <c r="H4795" s="160">
        <f>VLOOKUP(Sales[[#This Row],[Product ID]],Product[#All],7,0)</f>
        <v>27730</v>
      </c>
      <c r="I4795" s="160">
        <f>Sales[[#This Row],[Selling Rate]]*Sales[[#This Row],[Qty]]</f>
        <v>27730</v>
      </c>
      <c r="J4795" s="43">
        <v>0.02</v>
      </c>
      <c r="K4795" s="44">
        <f>Sales[[#This Row],[Gross Amount]]*Sales[[#This Row],[Disc %]]</f>
        <v>554.6</v>
      </c>
      <c r="L4795" s="43">
        <v>0.18</v>
      </c>
      <c r="M4795" s="44">
        <f>(Sales[[#This Row],[Gross Amount]]-Sales[[#This Row],[Disc. Amt.]])*Sales[[#This Row],[GST %]]</f>
        <v>4891.5720000000001</v>
      </c>
      <c r="N4795" s="161">
        <f>Sales[[#This Row],[Gross Amount]]-Sales[[#This Row],[Disc. Amt.]]+Sales[[#This Row],[GST Amount]]</f>
        <v>32066.972000000002</v>
      </c>
      <c r="O4795" s="158" t="s">
        <v>3569</v>
      </c>
      <c r="P4795" s="158" t="s">
        <v>3562</v>
      </c>
      <c r="Q4795" s="160">
        <f>IF(Sales[[#This Row],[Status]]="Cancelled",0,Sales[[#This Row],[Qty]])</f>
        <v>1</v>
      </c>
      <c r="R4795" s="161">
        <f>IF(Sales[[#This Row],[Status]]="Cancelled",0,Sales[[#This Row],[Total Amount]])</f>
        <v>32066.972000000002</v>
      </c>
      <c r="S4795" s="162">
        <f>SUM(Sales[Net Amount])</f>
        <v>406839287.73200053</v>
      </c>
    </row>
    <row r="4796" spans="1:19" ht="18.75" x14ac:dyDescent="0.25">
      <c r="A4796" s="163" t="s">
        <v>8480</v>
      </c>
      <c r="B4796" s="164">
        <v>46013</v>
      </c>
      <c r="C4796" s="34" t="s">
        <v>897</v>
      </c>
      <c r="D4796" s="53" t="str">
        <f>VLOOKUP(Sales[[#This Row],[Customer ID]],Customer[#All],2,0)</f>
        <v>Amit Patel</v>
      </c>
      <c r="E4796" s="34" t="s">
        <v>263</v>
      </c>
      <c r="F4796" s="34" t="str">
        <f>VLOOKUP(Sales[[#This Row],[Product ID]],Product[#All],2,0)</f>
        <v>Amazon Basics Hdmi Cable</v>
      </c>
      <c r="G4796" s="53">
        <v>5</v>
      </c>
      <c r="H4796" s="165">
        <f>VLOOKUP(Sales[[#This Row],[Product ID]],Product[#All],7,0)</f>
        <v>770</v>
      </c>
      <c r="I4796" s="165">
        <f>Sales[[#This Row],[Selling Rate]]*Sales[[#This Row],[Qty]]</f>
        <v>3850</v>
      </c>
      <c r="J4796" s="45">
        <v>0.12</v>
      </c>
      <c r="K4796" s="46">
        <f>Sales[[#This Row],[Gross Amount]]*Sales[[#This Row],[Disc %]]</f>
        <v>462</v>
      </c>
      <c r="L4796" s="43">
        <v>0.18</v>
      </c>
      <c r="M4796" s="46">
        <f>(Sales[[#This Row],[Gross Amount]]-Sales[[#This Row],[Disc. Amt.]])*Sales[[#This Row],[GST %]]</f>
        <v>609.84</v>
      </c>
      <c r="N4796" s="161">
        <f>Sales[[#This Row],[Gross Amount]]-Sales[[#This Row],[Disc. Amt.]]+Sales[[#This Row],[GST Amount]]</f>
        <v>3997.84</v>
      </c>
      <c r="O4796" s="34" t="s">
        <v>8876</v>
      </c>
      <c r="P4796" s="34" t="s">
        <v>3562</v>
      </c>
      <c r="Q4796" s="165">
        <f>IF(Sales[[#This Row],[Status]]="Cancelled",0,Sales[[#This Row],[Qty]])</f>
        <v>5</v>
      </c>
      <c r="R4796" s="166">
        <f>IF(Sales[[#This Row],[Status]]="Cancelled",0,Sales[[#This Row],[Total Amount]])</f>
        <v>3997.84</v>
      </c>
      <c r="S4796" s="162">
        <f>SUM(Sales[Net Amount])</f>
        <v>406839287.73200053</v>
      </c>
    </row>
    <row r="4797" spans="1:19" ht="18.75" x14ac:dyDescent="0.25">
      <c r="A4797" s="156" t="s">
        <v>8481</v>
      </c>
      <c r="B4797" s="157">
        <v>46013</v>
      </c>
      <c r="C4797" s="158" t="s">
        <v>883</v>
      </c>
      <c r="D4797" s="159" t="str">
        <f>VLOOKUP(Sales[[#This Row],[Customer ID]],Customer[#All],2,0)</f>
        <v>Rahul Verma</v>
      </c>
      <c r="E4797" s="158" t="s">
        <v>109</v>
      </c>
      <c r="F4797" s="158" t="str">
        <f>VLOOKUP(Sales[[#This Row],[Product ID]],Product[#All],2,0)</f>
        <v>Kingston Ram</v>
      </c>
      <c r="G4797" s="159">
        <v>4</v>
      </c>
      <c r="H4797" s="160">
        <f>VLOOKUP(Sales[[#This Row],[Product ID]],Product[#All],7,0)</f>
        <v>2290</v>
      </c>
      <c r="I4797" s="160">
        <f>Sales[[#This Row],[Selling Rate]]*Sales[[#This Row],[Qty]]</f>
        <v>9160</v>
      </c>
      <c r="J4797" s="43">
        <v>0</v>
      </c>
      <c r="K4797" s="44">
        <f>Sales[[#This Row],[Gross Amount]]*Sales[[#This Row],[Disc %]]</f>
        <v>0</v>
      </c>
      <c r="L4797" s="43">
        <v>0.18</v>
      </c>
      <c r="M4797" s="44">
        <f>(Sales[[#This Row],[Gross Amount]]-Sales[[#This Row],[Disc. Amt.]])*Sales[[#This Row],[GST %]]</f>
        <v>1648.8</v>
      </c>
      <c r="N4797" s="161">
        <f>Sales[[#This Row],[Gross Amount]]-Sales[[#This Row],[Disc. Amt.]]+Sales[[#This Row],[GST Amount]]</f>
        <v>10808.8</v>
      </c>
      <c r="O4797" s="158" t="s">
        <v>3569</v>
      </c>
      <c r="P4797" s="158" t="s">
        <v>3562</v>
      </c>
      <c r="Q4797" s="160">
        <f>IF(Sales[[#This Row],[Status]]="Cancelled",0,Sales[[#This Row],[Qty]])</f>
        <v>4</v>
      </c>
      <c r="R4797" s="161">
        <f>IF(Sales[[#This Row],[Status]]="Cancelled",0,Sales[[#This Row],[Total Amount]])</f>
        <v>10808.8</v>
      </c>
      <c r="S4797" s="162">
        <f>SUM(Sales[Net Amount])</f>
        <v>406839287.73200053</v>
      </c>
    </row>
    <row r="4798" spans="1:19" ht="18.75" x14ac:dyDescent="0.25">
      <c r="A4798" s="163" t="s">
        <v>8482</v>
      </c>
      <c r="B4798" s="164">
        <v>46013</v>
      </c>
      <c r="C4798" s="34" t="s">
        <v>948</v>
      </c>
      <c r="D4798" s="53" t="str">
        <f>VLOOKUP(Sales[[#This Row],[Customer ID]],Customer[#All],2,0)</f>
        <v>Pooja Patel</v>
      </c>
      <c r="E4798" s="34" t="s">
        <v>518</v>
      </c>
      <c r="F4798" s="34" t="str">
        <f>VLOOKUP(Sales[[#This Row],[Product ID]],Product[#All],2,0)</f>
        <v>Samsung Monitor</v>
      </c>
      <c r="G4798" s="53">
        <v>5</v>
      </c>
      <c r="H4798" s="165">
        <f>VLOOKUP(Sales[[#This Row],[Product ID]],Product[#All],7,0)</f>
        <v>23660</v>
      </c>
      <c r="I4798" s="165">
        <f>Sales[[#This Row],[Selling Rate]]*Sales[[#This Row],[Qty]]</f>
        <v>118300</v>
      </c>
      <c r="J4798" s="45">
        <v>0.1</v>
      </c>
      <c r="K4798" s="46">
        <f>Sales[[#This Row],[Gross Amount]]*Sales[[#This Row],[Disc %]]</f>
        <v>11830</v>
      </c>
      <c r="L4798" s="43">
        <v>0.18</v>
      </c>
      <c r="M4798" s="46">
        <f>(Sales[[#This Row],[Gross Amount]]-Sales[[#This Row],[Disc. Amt.]])*Sales[[#This Row],[GST %]]</f>
        <v>19164.599999999999</v>
      </c>
      <c r="N4798" s="161">
        <f>Sales[[#This Row],[Gross Amount]]-Sales[[#This Row],[Disc. Amt.]]+Sales[[#This Row],[GST Amount]]</f>
        <v>125634.6</v>
      </c>
      <c r="O4798" s="34" t="s">
        <v>3561</v>
      </c>
      <c r="P4798" s="34" t="s">
        <v>3562</v>
      </c>
      <c r="Q4798" s="165">
        <f>IF(Sales[[#This Row],[Status]]="Cancelled",0,Sales[[#This Row],[Qty]])</f>
        <v>5</v>
      </c>
      <c r="R4798" s="166">
        <f>IF(Sales[[#This Row],[Status]]="Cancelled",0,Sales[[#This Row],[Total Amount]])</f>
        <v>125634.6</v>
      </c>
      <c r="S4798" s="162">
        <f>SUM(Sales[Net Amount])</f>
        <v>406839287.73200053</v>
      </c>
    </row>
    <row r="4799" spans="1:19" ht="18.75" x14ac:dyDescent="0.25">
      <c r="A4799" s="156" t="s">
        <v>8483</v>
      </c>
      <c r="B4799" s="157">
        <v>46013</v>
      </c>
      <c r="C4799" s="158" t="s">
        <v>681</v>
      </c>
      <c r="D4799" s="159" t="str">
        <f>VLOOKUP(Sales[[#This Row],[Customer ID]],Customer[#All],2,0)</f>
        <v>Amit Kumar</v>
      </c>
      <c r="E4799" s="158" t="s">
        <v>274</v>
      </c>
      <c r="F4799" s="158" t="str">
        <f>VLOOKUP(Sales[[#This Row],[Product ID]],Product[#All],2,0)</f>
        <v>Dell Desktop</v>
      </c>
      <c r="G4799" s="159">
        <v>1</v>
      </c>
      <c r="H4799" s="160">
        <f>VLOOKUP(Sales[[#This Row],[Product ID]],Product[#All],7,0)</f>
        <v>54540</v>
      </c>
      <c r="I4799" s="160">
        <f>Sales[[#This Row],[Selling Rate]]*Sales[[#This Row],[Qty]]</f>
        <v>54540</v>
      </c>
      <c r="J4799" s="43">
        <v>0.02</v>
      </c>
      <c r="K4799" s="44">
        <f>Sales[[#This Row],[Gross Amount]]*Sales[[#This Row],[Disc %]]</f>
        <v>1090.8</v>
      </c>
      <c r="L4799" s="43">
        <v>0.18</v>
      </c>
      <c r="M4799" s="44">
        <f>(Sales[[#This Row],[Gross Amount]]-Sales[[#This Row],[Disc. Amt.]])*Sales[[#This Row],[GST %]]</f>
        <v>9620.8559999999998</v>
      </c>
      <c r="N4799" s="161">
        <f>Sales[[#This Row],[Gross Amount]]-Sales[[#This Row],[Disc. Amt.]]+Sales[[#This Row],[GST Amount]]</f>
        <v>63070.055999999997</v>
      </c>
      <c r="O4799" s="158" t="s">
        <v>8876</v>
      </c>
      <c r="P4799" s="158" t="s">
        <v>3562</v>
      </c>
      <c r="Q4799" s="160">
        <f>IF(Sales[[#This Row],[Status]]="Cancelled",0,Sales[[#This Row],[Qty]])</f>
        <v>1</v>
      </c>
      <c r="R4799" s="161">
        <f>IF(Sales[[#This Row],[Status]]="Cancelled",0,Sales[[#This Row],[Total Amount]])</f>
        <v>63070.055999999997</v>
      </c>
      <c r="S4799" s="162">
        <f>SUM(Sales[Net Amount])</f>
        <v>406839287.73200053</v>
      </c>
    </row>
    <row r="4800" spans="1:19" ht="18.75" x14ac:dyDescent="0.25">
      <c r="A4800" s="163" t="s">
        <v>8484</v>
      </c>
      <c r="B4800" s="164">
        <v>46013</v>
      </c>
      <c r="C4800" s="34" t="s">
        <v>862</v>
      </c>
      <c r="D4800" s="53" t="str">
        <f>VLOOKUP(Sales[[#This Row],[Customer ID]],Customer[#All],2,0)</f>
        <v>Rakesh Sharma</v>
      </c>
      <c r="E4800" s="34" t="s">
        <v>289</v>
      </c>
      <c r="F4800" s="34" t="str">
        <f>VLOOKUP(Sales[[#This Row],[Product ID]],Product[#All],2,0)</f>
        <v>HP Mouse</v>
      </c>
      <c r="G4800" s="53">
        <v>2</v>
      </c>
      <c r="H4800" s="165">
        <f>VLOOKUP(Sales[[#This Row],[Product ID]],Product[#All],7,0)</f>
        <v>1200</v>
      </c>
      <c r="I4800" s="165">
        <f>Sales[[#This Row],[Selling Rate]]*Sales[[#This Row],[Qty]]</f>
        <v>2400</v>
      </c>
      <c r="J4800" s="45">
        <v>0.1</v>
      </c>
      <c r="K4800" s="46">
        <f>Sales[[#This Row],[Gross Amount]]*Sales[[#This Row],[Disc %]]</f>
        <v>240</v>
      </c>
      <c r="L4800" s="43">
        <v>0.18</v>
      </c>
      <c r="M4800" s="46">
        <f>(Sales[[#This Row],[Gross Amount]]-Sales[[#This Row],[Disc. Amt.]])*Sales[[#This Row],[GST %]]</f>
        <v>388.8</v>
      </c>
      <c r="N4800" s="161">
        <f>Sales[[#This Row],[Gross Amount]]-Sales[[#This Row],[Disc. Amt.]]+Sales[[#This Row],[GST Amount]]</f>
        <v>2548.8000000000002</v>
      </c>
      <c r="O4800" s="34" t="s">
        <v>3561</v>
      </c>
      <c r="P4800" s="34" t="s">
        <v>3562</v>
      </c>
      <c r="Q4800" s="165">
        <f>IF(Sales[[#This Row],[Status]]="Cancelled",0,Sales[[#This Row],[Qty]])</f>
        <v>2</v>
      </c>
      <c r="R4800" s="166">
        <f>IF(Sales[[#This Row],[Status]]="Cancelled",0,Sales[[#This Row],[Total Amount]])</f>
        <v>2548.8000000000002</v>
      </c>
      <c r="S4800" s="162">
        <f>SUM(Sales[Net Amount])</f>
        <v>406839287.73200053</v>
      </c>
    </row>
    <row r="4801" spans="1:19" ht="18.75" x14ac:dyDescent="0.25">
      <c r="A4801" s="156" t="s">
        <v>8485</v>
      </c>
      <c r="B4801" s="157">
        <v>46013</v>
      </c>
      <c r="C4801" s="158" t="s">
        <v>880</v>
      </c>
      <c r="D4801" s="159" t="str">
        <f>VLOOKUP(Sales[[#This Row],[Customer ID]],Customer[#All],2,0)</f>
        <v>Rahul Sharma</v>
      </c>
      <c r="E4801" s="158" t="s">
        <v>179</v>
      </c>
      <c r="F4801" s="158" t="str">
        <f>VLOOKUP(Sales[[#This Row],[Product ID]],Product[#All],2,0)</f>
        <v>TP-link Wi-Fi Adapter</v>
      </c>
      <c r="G4801" s="159">
        <v>7</v>
      </c>
      <c r="H4801" s="160">
        <f>VLOOKUP(Sales[[#This Row],[Product ID]],Product[#All],7,0)</f>
        <v>1490</v>
      </c>
      <c r="I4801" s="160">
        <f>Sales[[#This Row],[Selling Rate]]*Sales[[#This Row],[Qty]]</f>
        <v>10430</v>
      </c>
      <c r="J4801" s="43">
        <v>0.1</v>
      </c>
      <c r="K4801" s="44">
        <f>Sales[[#This Row],[Gross Amount]]*Sales[[#This Row],[Disc %]]</f>
        <v>1043</v>
      </c>
      <c r="L4801" s="43">
        <v>0.18</v>
      </c>
      <c r="M4801" s="44">
        <f>(Sales[[#This Row],[Gross Amount]]-Sales[[#This Row],[Disc. Amt.]])*Sales[[#This Row],[GST %]]</f>
        <v>1689.6599999999999</v>
      </c>
      <c r="N4801" s="161">
        <f>Sales[[#This Row],[Gross Amount]]-Sales[[#This Row],[Disc. Amt.]]+Sales[[#This Row],[GST Amount]]</f>
        <v>11076.66</v>
      </c>
      <c r="O4801" s="158" t="s">
        <v>3569</v>
      </c>
      <c r="P4801" s="158" t="s">
        <v>3562</v>
      </c>
      <c r="Q4801" s="160">
        <f>IF(Sales[[#This Row],[Status]]="Cancelled",0,Sales[[#This Row],[Qty]])</f>
        <v>7</v>
      </c>
      <c r="R4801" s="161">
        <f>IF(Sales[[#This Row],[Status]]="Cancelled",0,Sales[[#This Row],[Total Amount]])</f>
        <v>11076.66</v>
      </c>
      <c r="S4801" s="162">
        <f>SUM(Sales[Net Amount])</f>
        <v>406839287.73200053</v>
      </c>
    </row>
    <row r="4802" spans="1:19" ht="18.75" x14ac:dyDescent="0.25">
      <c r="A4802" s="163" t="s">
        <v>8486</v>
      </c>
      <c r="B4802" s="164">
        <v>46013</v>
      </c>
      <c r="C4802" s="34" t="s">
        <v>716</v>
      </c>
      <c r="D4802" s="53" t="str">
        <f>VLOOKUP(Sales[[#This Row],[Customer ID]],Customer[#All],2,0)</f>
        <v>Ankit Kumar</v>
      </c>
      <c r="E4802" s="34" t="s">
        <v>243</v>
      </c>
      <c r="F4802" s="34" t="str">
        <f>VLOOKUP(Sales[[#This Row],[Product ID]],Product[#All],2,0)</f>
        <v>TP-link Router</v>
      </c>
      <c r="G4802" s="53">
        <v>4</v>
      </c>
      <c r="H4802" s="165">
        <f>VLOOKUP(Sales[[#This Row],[Product ID]],Product[#All],7,0)</f>
        <v>3230</v>
      </c>
      <c r="I4802" s="165">
        <f>Sales[[#This Row],[Selling Rate]]*Sales[[#This Row],[Qty]]</f>
        <v>12920</v>
      </c>
      <c r="J4802" s="45">
        <v>0.02</v>
      </c>
      <c r="K4802" s="46">
        <f>Sales[[#This Row],[Gross Amount]]*Sales[[#This Row],[Disc %]]</f>
        <v>258.39999999999998</v>
      </c>
      <c r="L4802" s="43">
        <v>0.18</v>
      </c>
      <c r="M4802" s="46">
        <f>(Sales[[#This Row],[Gross Amount]]-Sales[[#This Row],[Disc. Amt.]])*Sales[[#This Row],[GST %]]</f>
        <v>2279.0880000000002</v>
      </c>
      <c r="N4802" s="161">
        <f>Sales[[#This Row],[Gross Amount]]-Sales[[#This Row],[Disc. Amt.]]+Sales[[#This Row],[GST Amount]]</f>
        <v>14940.688</v>
      </c>
      <c r="O4802" s="34" t="s">
        <v>3566</v>
      </c>
      <c r="P4802" s="34" t="s">
        <v>3562</v>
      </c>
      <c r="Q4802" s="165">
        <f>IF(Sales[[#This Row],[Status]]="Cancelled",0,Sales[[#This Row],[Qty]])</f>
        <v>4</v>
      </c>
      <c r="R4802" s="166">
        <f>IF(Sales[[#This Row],[Status]]="Cancelled",0,Sales[[#This Row],[Total Amount]])</f>
        <v>14940.688</v>
      </c>
      <c r="S4802" s="162">
        <f>SUM(Sales[Net Amount])</f>
        <v>406839287.73200053</v>
      </c>
    </row>
    <row r="4803" spans="1:19" ht="18.75" x14ac:dyDescent="0.25">
      <c r="A4803" s="156" t="s">
        <v>8487</v>
      </c>
      <c r="B4803" s="157">
        <v>46013</v>
      </c>
      <c r="C4803" s="158" t="s">
        <v>724</v>
      </c>
      <c r="D4803" s="159" t="str">
        <f>VLOOKUP(Sales[[#This Row],[Customer ID]],Customer[#All],2,0)</f>
        <v>Sunita Sharma</v>
      </c>
      <c r="E4803" s="158" t="s">
        <v>505</v>
      </c>
      <c r="F4803" s="158" t="str">
        <f>VLOOKUP(Sales[[#This Row],[Product ID]],Product[#All],2,0)</f>
        <v>Dell Monitor</v>
      </c>
      <c r="G4803" s="159">
        <v>2</v>
      </c>
      <c r="H4803" s="160">
        <f>VLOOKUP(Sales[[#This Row],[Product ID]],Product[#All],7,0)</f>
        <v>12790</v>
      </c>
      <c r="I4803" s="160">
        <f>Sales[[#This Row],[Selling Rate]]*Sales[[#This Row],[Qty]]</f>
        <v>25580</v>
      </c>
      <c r="J4803" s="43">
        <v>0</v>
      </c>
      <c r="K4803" s="44">
        <f>Sales[[#This Row],[Gross Amount]]*Sales[[#This Row],[Disc %]]</f>
        <v>0</v>
      </c>
      <c r="L4803" s="43">
        <v>0.18</v>
      </c>
      <c r="M4803" s="44">
        <f>(Sales[[#This Row],[Gross Amount]]-Sales[[#This Row],[Disc. Amt.]])*Sales[[#This Row],[GST %]]</f>
        <v>4604.3999999999996</v>
      </c>
      <c r="N4803" s="161">
        <f>Sales[[#This Row],[Gross Amount]]-Sales[[#This Row],[Disc. Amt.]]+Sales[[#This Row],[GST Amount]]</f>
        <v>30184.400000000001</v>
      </c>
      <c r="O4803" s="158" t="s">
        <v>3561</v>
      </c>
      <c r="P4803" s="158" t="s">
        <v>3562</v>
      </c>
      <c r="Q4803" s="160">
        <f>IF(Sales[[#This Row],[Status]]="Cancelled",0,Sales[[#This Row],[Qty]])</f>
        <v>2</v>
      </c>
      <c r="R4803" s="161">
        <f>IF(Sales[[#This Row],[Status]]="Cancelled",0,Sales[[#This Row],[Total Amount]])</f>
        <v>30184.400000000001</v>
      </c>
      <c r="S4803" s="162">
        <f>SUM(Sales[Net Amount])</f>
        <v>406839287.73200053</v>
      </c>
    </row>
    <row r="4804" spans="1:19" ht="18.75" x14ac:dyDescent="0.25">
      <c r="A4804" s="163" t="s">
        <v>8488</v>
      </c>
      <c r="B4804" s="164">
        <v>46013</v>
      </c>
      <c r="C4804" s="34" t="s">
        <v>817</v>
      </c>
      <c r="D4804" s="53" t="str">
        <f>VLOOKUP(Sales[[#This Row],[Customer ID]],Customer[#All],2,0)</f>
        <v>Ankit Patel</v>
      </c>
      <c r="E4804" s="34" t="s">
        <v>166</v>
      </c>
      <c r="F4804" s="34" t="str">
        <f>VLOOKUP(Sales[[#This Row],[Product ID]],Product[#All],2,0)</f>
        <v>Canon Printer</v>
      </c>
      <c r="G4804" s="53">
        <v>1</v>
      </c>
      <c r="H4804" s="165">
        <f>VLOOKUP(Sales[[#This Row],[Product ID]],Product[#All],7,0)</f>
        <v>36680</v>
      </c>
      <c r="I4804" s="165">
        <f>Sales[[#This Row],[Selling Rate]]*Sales[[#This Row],[Qty]]</f>
        <v>36680</v>
      </c>
      <c r="J4804" s="45">
        <v>0.02</v>
      </c>
      <c r="K4804" s="46">
        <f>Sales[[#This Row],[Gross Amount]]*Sales[[#This Row],[Disc %]]</f>
        <v>733.6</v>
      </c>
      <c r="L4804" s="43">
        <v>0.18</v>
      </c>
      <c r="M4804" s="46">
        <f>(Sales[[#This Row],[Gross Amount]]-Sales[[#This Row],[Disc. Amt.]])*Sales[[#This Row],[GST %]]</f>
        <v>6470.3519999999999</v>
      </c>
      <c r="N4804" s="161">
        <f>Sales[[#This Row],[Gross Amount]]-Sales[[#This Row],[Disc. Amt.]]+Sales[[#This Row],[GST Amount]]</f>
        <v>42416.752</v>
      </c>
      <c r="O4804" s="34" t="s">
        <v>3569</v>
      </c>
      <c r="P4804" s="34" t="s">
        <v>3562</v>
      </c>
      <c r="Q4804" s="165">
        <f>IF(Sales[[#This Row],[Status]]="Cancelled",0,Sales[[#This Row],[Qty]])</f>
        <v>1</v>
      </c>
      <c r="R4804" s="166">
        <f>IF(Sales[[#This Row],[Status]]="Cancelled",0,Sales[[#This Row],[Total Amount]])</f>
        <v>42416.752</v>
      </c>
      <c r="S4804" s="162">
        <f>SUM(Sales[Net Amount])</f>
        <v>406839287.73200053</v>
      </c>
    </row>
    <row r="4805" spans="1:19" ht="18.75" x14ac:dyDescent="0.25">
      <c r="A4805" s="156" t="s">
        <v>8489</v>
      </c>
      <c r="B4805" s="157">
        <v>46013</v>
      </c>
      <c r="C4805" s="158" t="s">
        <v>803</v>
      </c>
      <c r="D4805" s="159" t="str">
        <f>VLOOKUP(Sales[[#This Row],[Customer ID]],Customer[#All],2,0)</f>
        <v>Pooja Singh</v>
      </c>
      <c r="E4805" s="158" t="s">
        <v>62</v>
      </c>
      <c r="F4805" s="158" t="str">
        <f>VLOOKUP(Sales[[#This Row],[Product ID]],Product[#All],2,0)</f>
        <v>Apc UPS</v>
      </c>
      <c r="G4805" s="159">
        <v>5</v>
      </c>
      <c r="H4805" s="160">
        <f>VLOOKUP(Sales[[#This Row],[Product ID]],Product[#All],7,0)</f>
        <v>7270</v>
      </c>
      <c r="I4805" s="160">
        <f>Sales[[#This Row],[Selling Rate]]*Sales[[#This Row],[Qty]]</f>
        <v>36350</v>
      </c>
      <c r="J4805" s="43">
        <v>0.1</v>
      </c>
      <c r="K4805" s="44">
        <f>Sales[[#This Row],[Gross Amount]]*Sales[[#This Row],[Disc %]]</f>
        <v>3635</v>
      </c>
      <c r="L4805" s="43">
        <v>0.18</v>
      </c>
      <c r="M4805" s="44">
        <f>(Sales[[#This Row],[Gross Amount]]-Sales[[#This Row],[Disc. Amt.]])*Sales[[#This Row],[GST %]]</f>
        <v>5888.7</v>
      </c>
      <c r="N4805" s="161">
        <f>Sales[[#This Row],[Gross Amount]]-Sales[[#This Row],[Disc. Amt.]]+Sales[[#This Row],[GST Amount]]</f>
        <v>38603.699999999997</v>
      </c>
      <c r="O4805" s="158" t="s">
        <v>3569</v>
      </c>
      <c r="P4805" s="158" t="s">
        <v>3562</v>
      </c>
      <c r="Q4805" s="160">
        <f>IF(Sales[[#This Row],[Status]]="Cancelled",0,Sales[[#This Row],[Qty]])</f>
        <v>5</v>
      </c>
      <c r="R4805" s="161">
        <f>IF(Sales[[#This Row],[Status]]="Cancelled",0,Sales[[#This Row],[Total Amount]])</f>
        <v>38603.699999999997</v>
      </c>
      <c r="S4805" s="162">
        <f>SUM(Sales[Net Amount])</f>
        <v>406839287.73200053</v>
      </c>
    </row>
    <row r="4806" spans="1:19" ht="18.75" x14ac:dyDescent="0.25">
      <c r="A4806" s="163" t="s">
        <v>8490</v>
      </c>
      <c r="B4806" s="164">
        <v>46013</v>
      </c>
      <c r="C4806" s="34" t="s">
        <v>907</v>
      </c>
      <c r="D4806" s="53" t="str">
        <f>VLOOKUP(Sales[[#This Row],[Customer ID]],Customer[#All],2,0)</f>
        <v>Vikas Verma</v>
      </c>
      <c r="E4806" s="34" t="s">
        <v>477</v>
      </c>
      <c r="F4806" s="34" t="str">
        <f>VLOOKUP(Sales[[#This Row],[Product ID]],Product[#All],2,0)</f>
        <v>Epson Printer</v>
      </c>
      <c r="G4806" s="53">
        <v>2</v>
      </c>
      <c r="H4806" s="165">
        <f>VLOOKUP(Sales[[#This Row],[Product ID]],Product[#All],7,0)</f>
        <v>17550</v>
      </c>
      <c r="I4806" s="165">
        <f>Sales[[#This Row],[Selling Rate]]*Sales[[#This Row],[Qty]]</f>
        <v>35100</v>
      </c>
      <c r="J4806" s="45">
        <v>0</v>
      </c>
      <c r="K4806" s="46">
        <f>Sales[[#This Row],[Gross Amount]]*Sales[[#This Row],[Disc %]]</f>
        <v>0</v>
      </c>
      <c r="L4806" s="43">
        <v>0.18</v>
      </c>
      <c r="M4806" s="46">
        <f>(Sales[[#This Row],[Gross Amount]]-Sales[[#This Row],[Disc. Amt.]])*Sales[[#This Row],[GST %]]</f>
        <v>6318</v>
      </c>
      <c r="N4806" s="161">
        <f>Sales[[#This Row],[Gross Amount]]-Sales[[#This Row],[Disc. Amt.]]+Sales[[#This Row],[GST Amount]]</f>
        <v>41418</v>
      </c>
      <c r="O4806" s="34" t="s">
        <v>8876</v>
      </c>
      <c r="P4806" s="34" t="s">
        <v>3562</v>
      </c>
      <c r="Q4806" s="165">
        <f>IF(Sales[[#This Row],[Status]]="Cancelled",0,Sales[[#This Row],[Qty]])</f>
        <v>2</v>
      </c>
      <c r="R4806" s="166">
        <f>IF(Sales[[#This Row],[Status]]="Cancelled",0,Sales[[#This Row],[Total Amount]])</f>
        <v>41418</v>
      </c>
      <c r="S4806" s="162">
        <f>SUM(Sales[Net Amount])</f>
        <v>406839287.73200053</v>
      </c>
    </row>
    <row r="4807" spans="1:19" ht="18.75" x14ac:dyDescent="0.25">
      <c r="A4807" s="156" t="s">
        <v>8491</v>
      </c>
      <c r="B4807" s="157">
        <v>46014</v>
      </c>
      <c r="C4807" s="158" t="s">
        <v>758</v>
      </c>
      <c r="D4807" s="159" t="str">
        <f>VLOOKUP(Sales[[#This Row],[Customer ID]],Customer[#All],2,0)</f>
        <v>Rahul Verma</v>
      </c>
      <c r="E4807" s="158" t="s">
        <v>102</v>
      </c>
      <c r="F4807" s="158" t="str">
        <f>VLOOKUP(Sales[[#This Row],[Product ID]],Product[#All],2,0)</f>
        <v>Canon Printer</v>
      </c>
      <c r="G4807" s="159">
        <v>7</v>
      </c>
      <c r="H4807" s="160">
        <f>VLOOKUP(Sales[[#This Row],[Product ID]],Product[#All],7,0)</f>
        <v>13010</v>
      </c>
      <c r="I4807" s="160">
        <f>Sales[[#This Row],[Selling Rate]]*Sales[[#This Row],[Qty]]</f>
        <v>91070</v>
      </c>
      <c r="J4807" s="43">
        <v>0</v>
      </c>
      <c r="K4807" s="44">
        <f>Sales[[#This Row],[Gross Amount]]*Sales[[#This Row],[Disc %]]</f>
        <v>0</v>
      </c>
      <c r="L4807" s="43">
        <v>0.18</v>
      </c>
      <c r="M4807" s="44">
        <f>(Sales[[#This Row],[Gross Amount]]-Sales[[#This Row],[Disc. Amt.]])*Sales[[#This Row],[GST %]]</f>
        <v>16392.599999999999</v>
      </c>
      <c r="N4807" s="161">
        <f>Sales[[#This Row],[Gross Amount]]-Sales[[#This Row],[Disc. Amt.]]+Sales[[#This Row],[GST Amount]]</f>
        <v>107462.6</v>
      </c>
      <c r="O4807" s="158" t="s">
        <v>3561</v>
      </c>
      <c r="P4807" s="158" t="s">
        <v>3562</v>
      </c>
      <c r="Q4807" s="160">
        <f>IF(Sales[[#This Row],[Status]]="Cancelled",0,Sales[[#This Row],[Qty]])</f>
        <v>7</v>
      </c>
      <c r="R4807" s="161">
        <f>IF(Sales[[#This Row],[Status]]="Cancelled",0,Sales[[#This Row],[Total Amount]])</f>
        <v>107462.6</v>
      </c>
      <c r="S4807" s="162">
        <f>SUM(Sales[Net Amount])</f>
        <v>406839287.73200053</v>
      </c>
    </row>
    <row r="4808" spans="1:19" ht="18.75" x14ac:dyDescent="0.25">
      <c r="A4808" s="163" t="s">
        <v>8492</v>
      </c>
      <c r="B4808" s="164">
        <v>46014</v>
      </c>
      <c r="C4808" s="34" t="s">
        <v>854</v>
      </c>
      <c r="D4808" s="53" t="str">
        <f>VLOOKUP(Sales[[#This Row],[Customer ID]],Customer[#All],2,0)</f>
        <v>Neha Sharma</v>
      </c>
      <c r="E4808" s="34" t="s">
        <v>100</v>
      </c>
      <c r="F4808" s="34" t="str">
        <f>VLOOKUP(Sales[[#This Row],[Product ID]],Product[#All],2,0)</f>
        <v>Portronics USB Cable</v>
      </c>
      <c r="G4808" s="53">
        <v>5</v>
      </c>
      <c r="H4808" s="165">
        <f>VLOOKUP(Sales[[#This Row],[Product ID]],Product[#All],7,0)</f>
        <v>210</v>
      </c>
      <c r="I4808" s="165">
        <f>Sales[[#This Row],[Selling Rate]]*Sales[[#This Row],[Qty]]</f>
        <v>1050</v>
      </c>
      <c r="J4808" s="45">
        <v>0.05</v>
      </c>
      <c r="K4808" s="46">
        <f>Sales[[#This Row],[Gross Amount]]*Sales[[#This Row],[Disc %]]</f>
        <v>52.5</v>
      </c>
      <c r="L4808" s="43">
        <v>0.18</v>
      </c>
      <c r="M4808" s="46">
        <f>(Sales[[#This Row],[Gross Amount]]-Sales[[#This Row],[Disc. Amt.]])*Sales[[#This Row],[GST %]]</f>
        <v>179.54999999999998</v>
      </c>
      <c r="N4808" s="161">
        <f>Sales[[#This Row],[Gross Amount]]-Sales[[#This Row],[Disc. Amt.]]+Sales[[#This Row],[GST Amount]]</f>
        <v>1177.05</v>
      </c>
      <c r="O4808" s="34" t="s">
        <v>3569</v>
      </c>
      <c r="P4808" s="34" t="s">
        <v>3562</v>
      </c>
      <c r="Q4808" s="165">
        <f>IF(Sales[[#This Row],[Status]]="Cancelled",0,Sales[[#This Row],[Qty]])</f>
        <v>5</v>
      </c>
      <c r="R4808" s="166">
        <f>IF(Sales[[#This Row],[Status]]="Cancelled",0,Sales[[#This Row],[Total Amount]])</f>
        <v>1177.05</v>
      </c>
      <c r="S4808" s="162">
        <f>SUM(Sales[Net Amount])</f>
        <v>406839287.73200053</v>
      </c>
    </row>
    <row r="4809" spans="1:19" ht="18.75" x14ac:dyDescent="0.25">
      <c r="A4809" s="156" t="s">
        <v>8493</v>
      </c>
      <c r="B4809" s="157">
        <v>46014</v>
      </c>
      <c r="C4809" s="158" t="s">
        <v>668</v>
      </c>
      <c r="D4809" s="159" t="str">
        <f>VLOOKUP(Sales[[#This Row],[Customer ID]],Customer[#All],2,0)</f>
        <v>Rahul Patel</v>
      </c>
      <c r="E4809" s="158" t="s">
        <v>459</v>
      </c>
      <c r="F4809" s="158" t="str">
        <f>VLOOKUP(Sales[[#This Row],[Product ID]],Product[#All],2,0)</f>
        <v>Logitech Mouse</v>
      </c>
      <c r="G4809" s="159">
        <v>8</v>
      </c>
      <c r="H4809" s="160">
        <f>VLOOKUP(Sales[[#This Row],[Product ID]],Product[#All],7,0)</f>
        <v>1680</v>
      </c>
      <c r="I4809" s="160">
        <f>Sales[[#This Row],[Selling Rate]]*Sales[[#This Row],[Qty]]</f>
        <v>13440</v>
      </c>
      <c r="J4809" s="43">
        <v>0.1</v>
      </c>
      <c r="K4809" s="44">
        <f>Sales[[#This Row],[Gross Amount]]*Sales[[#This Row],[Disc %]]</f>
        <v>1344</v>
      </c>
      <c r="L4809" s="43">
        <v>0.18</v>
      </c>
      <c r="M4809" s="44">
        <f>(Sales[[#This Row],[Gross Amount]]-Sales[[#This Row],[Disc. Amt.]])*Sales[[#This Row],[GST %]]</f>
        <v>2177.2799999999997</v>
      </c>
      <c r="N4809" s="161">
        <f>Sales[[#This Row],[Gross Amount]]-Sales[[#This Row],[Disc. Amt.]]+Sales[[#This Row],[GST Amount]]</f>
        <v>14273.279999999999</v>
      </c>
      <c r="O4809" s="158" t="s">
        <v>8876</v>
      </c>
      <c r="P4809" s="158" t="s">
        <v>3562</v>
      </c>
      <c r="Q4809" s="160">
        <f>IF(Sales[[#This Row],[Status]]="Cancelled",0,Sales[[#This Row],[Qty]])</f>
        <v>8</v>
      </c>
      <c r="R4809" s="161">
        <f>IF(Sales[[#This Row],[Status]]="Cancelled",0,Sales[[#This Row],[Total Amount]])</f>
        <v>14273.279999999999</v>
      </c>
      <c r="S4809" s="162">
        <f>SUM(Sales[Net Amount])</f>
        <v>406839287.73200053</v>
      </c>
    </row>
    <row r="4810" spans="1:19" ht="18.75" x14ac:dyDescent="0.25">
      <c r="A4810" s="163" t="s">
        <v>8494</v>
      </c>
      <c r="B4810" s="164">
        <v>46014</v>
      </c>
      <c r="C4810" s="34" t="s">
        <v>815</v>
      </c>
      <c r="D4810" s="53" t="str">
        <f>VLOOKUP(Sales[[#This Row],[Customer ID]],Customer[#All],2,0)</f>
        <v>Priya Gupta</v>
      </c>
      <c r="E4810" s="34" t="s">
        <v>489</v>
      </c>
      <c r="F4810" s="34" t="str">
        <f>VLOOKUP(Sales[[#This Row],[Product ID]],Product[#All],2,0)</f>
        <v>Microtek UPS</v>
      </c>
      <c r="G4810" s="53">
        <v>4</v>
      </c>
      <c r="H4810" s="165">
        <f>VLOOKUP(Sales[[#This Row],[Product ID]],Product[#All],7,0)</f>
        <v>8040</v>
      </c>
      <c r="I4810" s="165">
        <f>Sales[[#This Row],[Selling Rate]]*Sales[[#This Row],[Qty]]</f>
        <v>32160</v>
      </c>
      <c r="J4810" s="45">
        <v>0</v>
      </c>
      <c r="K4810" s="46">
        <f>Sales[[#This Row],[Gross Amount]]*Sales[[#This Row],[Disc %]]</f>
        <v>0</v>
      </c>
      <c r="L4810" s="43">
        <v>0.18</v>
      </c>
      <c r="M4810" s="46">
        <f>(Sales[[#This Row],[Gross Amount]]-Sales[[#This Row],[Disc. Amt.]])*Sales[[#This Row],[GST %]]</f>
        <v>5788.8</v>
      </c>
      <c r="N4810" s="161">
        <f>Sales[[#This Row],[Gross Amount]]-Sales[[#This Row],[Disc. Amt.]]+Sales[[#This Row],[GST Amount]]</f>
        <v>37948.800000000003</v>
      </c>
      <c r="O4810" s="34" t="s">
        <v>8876</v>
      </c>
      <c r="P4810" s="34" t="s">
        <v>3562</v>
      </c>
      <c r="Q4810" s="165">
        <f>IF(Sales[[#This Row],[Status]]="Cancelled",0,Sales[[#This Row],[Qty]])</f>
        <v>4</v>
      </c>
      <c r="R4810" s="166">
        <f>IF(Sales[[#This Row],[Status]]="Cancelled",0,Sales[[#This Row],[Total Amount]])</f>
        <v>37948.800000000003</v>
      </c>
      <c r="S4810" s="162">
        <f>SUM(Sales[Net Amount])</f>
        <v>406839287.73200053</v>
      </c>
    </row>
    <row r="4811" spans="1:19" ht="18.75" x14ac:dyDescent="0.25">
      <c r="A4811" s="156" t="s">
        <v>8495</v>
      </c>
      <c r="B4811" s="157">
        <v>46014</v>
      </c>
      <c r="C4811" s="158" t="s">
        <v>671</v>
      </c>
      <c r="D4811" s="159" t="str">
        <f>VLOOKUP(Sales[[#This Row],[Customer ID]],Customer[#All],2,0)</f>
        <v>Sahil Patel</v>
      </c>
      <c r="E4811" s="158" t="s">
        <v>221</v>
      </c>
      <c r="F4811" s="158" t="str">
        <f>VLOOKUP(Sales[[#This Row],[Product ID]],Product[#All],2,0)</f>
        <v>TP-link Wi-Fi Adapter</v>
      </c>
      <c r="G4811" s="159">
        <v>7</v>
      </c>
      <c r="H4811" s="160">
        <f>VLOOKUP(Sales[[#This Row],[Product ID]],Product[#All],7,0)</f>
        <v>2920</v>
      </c>
      <c r="I4811" s="160">
        <f>Sales[[#This Row],[Selling Rate]]*Sales[[#This Row],[Qty]]</f>
        <v>20440</v>
      </c>
      <c r="J4811" s="43">
        <v>0.05</v>
      </c>
      <c r="K4811" s="44">
        <f>Sales[[#This Row],[Gross Amount]]*Sales[[#This Row],[Disc %]]</f>
        <v>1022</v>
      </c>
      <c r="L4811" s="43">
        <v>0.18</v>
      </c>
      <c r="M4811" s="44">
        <f>(Sales[[#This Row],[Gross Amount]]-Sales[[#This Row],[Disc. Amt.]])*Sales[[#This Row],[GST %]]</f>
        <v>3495.24</v>
      </c>
      <c r="N4811" s="161">
        <f>Sales[[#This Row],[Gross Amount]]-Sales[[#This Row],[Disc. Amt.]]+Sales[[#This Row],[GST Amount]]</f>
        <v>22913.239999999998</v>
      </c>
      <c r="O4811" s="158" t="s">
        <v>3561</v>
      </c>
      <c r="P4811" s="158" t="s">
        <v>3562</v>
      </c>
      <c r="Q4811" s="160">
        <f>IF(Sales[[#This Row],[Status]]="Cancelled",0,Sales[[#This Row],[Qty]])</f>
        <v>7</v>
      </c>
      <c r="R4811" s="161">
        <f>IF(Sales[[#This Row],[Status]]="Cancelled",0,Sales[[#This Row],[Total Amount]])</f>
        <v>22913.239999999998</v>
      </c>
      <c r="S4811" s="162">
        <f>SUM(Sales[Net Amount])</f>
        <v>406839287.73200053</v>
      </c>
    </row>
    <row r="4812" spans="1:19" ht="18.75" x14ac:dyDescent="0.25">
      <c r="A4812" s="163" t="s">
        <v>8496</v>
      </c>
      <c r="B4812" s="164">
        <v>46014</v>
      </c>
      <c r="C4812" s="34" t="s">
        <v>754</v>
      </c>
      <c r="D4812" s="53" t="str">
        <f>VLOOKUP(Sales[[#This Row],[Customer ID]],Customer[#All],2,0)</f>
        <v>Rakesh Gupta</v>
      </c>
      <c r="E4812" s="34" t="s">
        <v>224</v>
      </c>
      <c r="F4812" s="34" t="str">
        <f>VLOOKUP(Sales[[#This Row],[Product ID]],Product[#All],2,0)</f>
        <v>Seagate HDD</v>
      </c>
      <c r="G4812" s="53">
        <v>3</v>
      </c>
      <c r="H4812" s="165">
        <f>VLOOKUP(Sales[[#This Row],[Product ID]],Product[#All],7,0)</f>
        <v>8130</v>
      </c>
      <c r="I4812" s="165">
        <f>Sales[[#This Row],[Selling Rate]]*Sales[[#This Row],[Qty]]</f>
        <v>24390</v>
      </c>
      <c r="J4812" s="45">
        <v>0.15</v>
      </c>
      <c r="K4812" s="46">
        <f>Sales[[#This Row],[Gross Amount]]*Sales[[#This Row],[Disc %]]</f>
        <v>3658.5</v>
      </c>
      <c r="L4812" s="43">
        <v>0.18</v>
      </c>
      <c r="M4812" s="46">
        <f>(Sales[[#This Row],[Gross Amount]]-Sales[[#This Row],[Disc. Amt.]])*Sales[[#This Row],[GST %]]</f>
        <v>3731.67</v>
      </c>
      <c r="N4812" s="161">
        <f>Sales[[#This Row],[Gross Amount]]-Sales[[#This Row],[Disc. Amt.]]+Sales[[#This Row],[GST Amount]]</f>
        <v>24463.17</v>
      </c>
      <c r="O4812" s="34" t="s">
        <v>8876</v>
      </c>
      <c r="P4812" s="34" t="s">
        <v>3562</v>
      </c>
      <c r="Q4812" s="165">
        <f>IF(Sales[[#This Row],[Status]]="Cancelled",0,Sales[[#This Row],[Qty]])</f>
        <v>3</v>
      </c>
      <c r="R4812" s="166">
        <f>IF(Sales[[#This Row],[Status]]="Cancelled",0,Sales[[#This Row],[Total Amount]])</f>
        <v>24463.17</v>
      </c>
      <c r="S4812" s="162">
        <f>SUM(Sales[Net Amount])</f>
        <v>406839287.73200053</v>
      </c>
    </row>
    <row r="4813" spans="1:19" ht="18.75" x14ac:dyDescent="0.25">
      <c r="A4813" s="156" t="s">
        <v>8497</v>
      </c>
      <c r="B4813" s="157">
        <v>46014</v>
      </c>
      <c r="C4813" s="158" t="s">
        <v>890</v>
      </c>
      <c r="D4813" s="159" t="str">
        <f>VLOOKUP(Sales[[#This Row],[Customer ID]],Customer[#All],2,0)</f>
        <v>Rakesh Patel</v>
      </c>
      <c r="E4813" s="158" t="s">
        <v>442</v>
      </c>
      <c r="F4813" s="158" t="str">
        <f>VLOOKUP(Sales[[#This Row],[Product ID]],Product[#All],2,0)</f>
        <v>D-Link Router</v>
      </c>
      <c r="G4813" s="159">
        <v>8</v>
      </c>
      <c r="H4813" s="160">
        <f>VLOOKUP(Sales[[#This Row],[Product ID]],Product[#All],7,0)</f>
        <v>3750</v>
      </c>
      <c r="I4813" s="160">
        <f>Sales[[#This Row],[Selling Rate]]*Sales[[#This Row],[Qty]]</f>
        <v>30000</v>
      </c>
      <c r="J4813" s="43">
        <v>0.05</v>
      </c>
      <c r="K4813" s="44">
        <f>Sales[[#This Row],[Gross Amount]]*Sales[[#This Row],[Disc %]]</f>
        <v>1500</v>
      </c>
      <c r="L4813" s="43">
        <v>0.18</v>
      </c>
      <c r="M4813" s="44">
        <f>(Sales[[#This Row],[Gross Amount]]-Sales[[#This Row],[Disc. Amt.]])*Sales[[#This Row],[GST %]]</f>
        <v>5130</v>
      </c>
      <c r="N4813" s="161">
        <f>Sales[[#This Row],[Gross Amount]]-Sales[[#This Row],[Disc. Amt.]]+Sales[[#This Row],[GST Amount]]</f>
        <v>33630</v>
      </c>
      <c r="O4813" s="158" t="s">
        <v>8876</v>
      </c>
      <c r="P4813" s="158" t="s">
        <v>3562</v>
      </c>
      <c r="Q4813" s="160">
        <f>IF(Sales[[#This Row],[Status]]="Cancelled",0,Sales[[#This Row],[Qty]])</f>
        <v>8</v>
      </c>
      <c r="R4813" s="161">
        <f>IF(Sales[[#This Row],[Status]]="Cancelled",0,Sales[[#This Row],[Total Amount]])</f>
        <v>33630</v>
      </c>
      <c r="S4813" s="162">
        <f>SUM(Sales[Net Amount])</f>
        <v>406839287.73200053</v>
      </c>
    </row>
    <row r="4814" spans="1:19" ht="18.75" x14ac:dyDescent="0.25">
      <c r="A4814" s="163" t="s">
        <v>8498</v>
      </c>
      <c r="B4814" s="164">
        <v>46014</v>
      </c>
      <c r="C4814" s="34" t="s">
        <v>714</v>
      </c>
      <c r="D4814" s="53" t="str">
        <f>VLOOKUP(Sales[[#This Row],[Customer ID]],Customer[#All],2,0)</f>
        <v>Rakesh Kumar</v>
      </c>
      <c r="E4814" s="34" t="s">
        <v>202</v>
      </c>
      <c r="F4814" s="34" t="str">
        <f>VLOOKUP(Sales[[#This Row],[Product ID]],Product[#All],2,0)</f>
        <v>TP-link Wi-Fi Adapter</v>
      </c>
      <c r="G4814" s="53">
        <v>4</v>
      </c>
      <c r="H4814" s="165">
        <f>VLOOKUP(Sales[[#This Row],[Product ID]],Product[#All],7,0)</f>
        <v>1330</v>
      </c>
      <c r="I4814" s="165">
        <f>Sales[[#This Row],[Selling Rate]]*Sales[[#This Row],[Qty]]</f>
        <v>5320</v>
      </c>
      <c r="J4814" s="45">
        <v>0</v>
      </c>
      <c r="K4814" s="46">
        <f>Sales[[#This Row],[Gross Amount]]*Sales[[#This Row],[Disc %]]</f>
        <v>0</v>
      </c>
      <c r="L4814" s="43">
        <v>0.18</v>
      </c>
      <c r="M4814" s="46">
        <f>(Sales[[#This Row],[Gross Amount]]-Sales[[#This Row],[Disc. Amt.]])*Sales[[#This Row],[GST %]]</f>
        <v>957.59999999999991</v>
      </c>
      <c r="N4814" s="161">
        <f>Sales[[#This Row],[Gross Amount]]-Sales[[#This Row],[Disc. Amt.]]+Sales[[#This Row],[GST Amount]]</f>
        <v>6277.6</v>
      </c>
      <c r="O4814" s="34" t="s">
        <v>8876</v>
      </c>
      <c r="P4814" s="34" t="s">
        <v>3562</v>
      </c>
      <c r="Q4814" s="165">
        <f>IF(Sales[[#This Row],[Status]]="Cancelled",0,Sales[[#This Row],[Qty]])</f>
        <v>4</v>
      </c>
      <c r="R4814" s="166">
        <f>IF(Sales[[#This Row],[Status]]="Cancelled",0,Sales[[#This Row],[Total Amount]])</f>
        <v>6277.6</v>
      </c>
      <c r="S4814" s="162">
        <f>SUM(Sales[Net Amount])</f>
        <v>406839287.73200053</v>
      </c>
    </row>
    <row r="4815" spans="1:19" ht="18.75" x14ac:dyDescent="0.25">
      <c r="A4815" s="156" t="s">
        <v>8499</v>
      </c>
      <c r="B4815" s="157">
        <v>46014</v>
      </c>
      <c r="C4815" s="158" t="s">
        <v>726</v>
      </c>
      <c r="D4815" s="159" t="str">
        <f>VLOOKUP(Sales[[#This Row],[Customer ID]],Customer[#All],2,0)</f>
        <v>Priya Singh</v>
      </c>
      <c r="E4815" s="158" t="s">
        <v>234</v>
      </c>
      <c r="F4815" s="158" t="str">
        <f>VLOOKUP(Sales[[#This Row],[Product ID]],Product[#All],2,0)</f>
        <v>HP Desktop</v>
      </c>
      <c r="G4815" s="159">
        <v>3</v>
      </c>
      <c r="H4815" s="160">
        <f>VLOOKUP(Sales[[#This Row],[Product ID]],Product[#All],7,0)</f>
        <v>76930</v>
      </c>
      <c r="I4815" s="160">
        <f>Sales[[#This Row],[Selling Rate]]*Sales[[#This Row],[Qty]]</f>
        <v>230790</v>
      </c>
      <c r="J4815" s="43">
        <v>0.02</v>
      </c>
      <c r="K4815" s="44">
        <f>Sales[[#This Row],[Gross Amount]]*Sales[[#This Row],[Disc %]]</f>
        <v>4615.8</v>
      </c>
      <c r="L4815" s="43">
        <v>0.18</v>
      </c>
      <c r="M4815" s="44">
        <f>(Sales[[#This Row],[Gross Amount]]-Sales[[#This Row],[Disc. Amt.]])*Sales[[#This Row],[GST %]]</f>
        <v>40711.356</v>
      </c>
      <c r="N4815" s="161">
        <f>Sales[[#This Row],[Gross Amount]]-Sales[[#This Row],[Disc. Amt.]]+Sales[[#This Row],[GST Amount]]</f>
        <v>266885.55599999998</v>
      </c>
      <c r="O4815" s="158" t="s">
        <v>3561</v>
      </c>
      <c r="P4815" s="158" t="s">
        <v>3562</v>
      </c>
      <c r="Q4815" s="160">
        <f>IF(Sales[[#This Row],[Status]]="Cancelled",0,Sales[[#This Row],[Qty]])</f>
        <v>3</v>
      </c>
      <c r="R4815" s="161">
        <f>IF(Sales[[#This Row],[Status]]="Cancelled",0,Sales[[#This Row],[Total Amount]])</f>
        <v>266885.55599999998</v>
      </c>
      <c r="S4815" s="162">
        <f>SUM(Sales[Net Amount])</f>
        <v>406839287.73200053</v>
      </c>
    </row>
    <row r="4816" spans="1:19" ht="18.75" x14ac:dyDescent="0.25">
      <c r="A4816" s="163" t="s">
        <v>8500</v>
      </c>
      <c r="B4816" s="164">
        <v>46014</v>
      </c>
      <c r="C4816" s="34" t="s">
        <v>819</v>
      </c>
      <c r="D4816" s="53" t="str">
        <f>VLOOKUP(Sales[[#This Row],[Customer ID]],Customer[#All],2,0)</f>
        <v>Neha Gupta</v>
      </c>
      <c r="E4816" s="34" t="s">
        <v>134</v>
      </c>
      <c r="F4816" s="34" t="str">
        <f>VLOOKUP(Sales[[#This Row],[Product ID]],Product[#All],2,0)</f>
        <v>Logitech Keyboard</v>
      </c>
      <c r="G4816" s="53">
        <v>8</v>
      </c>
      <c r="H4816" s="165">
        <f>VLOOKUP(Sales[[#This Row],[Product ID]],Product[#All],7,0)</f>
        <v>4130</v>
      </c>
      <c r="I4816" s="165">
        <f>Sales[[#This Row],[Selling Rate]]*Sales[[#This Row],[Qty]]</f>
        <v>33040</v>
      </c>
      <c r="J4816" s="45">
        <v>0</v>
      </c>
      <c r="K4816" s="46">
        <f>Sales[[#This Row],[Gross Amount]]*Sales[[#This Row],[Disc %]]</f>
        <v>0</v>
      </c>
      <c r="L4816" s="43">
        <v>0.18</v>
      </c>
      <c r="M4816" s="46">
        <f>(Sales[[#This Row],[Gross Amount]]-Sales[[#This Row],[Disc. Amt.]])*Sales[[#This Row],[GST %]]</f>
        <v>5947.2</v>
      </c>
      <c r="N4816" s="161">
        <f>Sales[[#This Row],[Gross Amount]]-Sales[[#This Row],[Disc. Amt.]]+Sales[[#This Row],[GST Amount]]</f>
        <v>38987.199999999997</v>
      </c>
      <c r="O4816" s="34" t="s">
        <v>8876</v>
      </c>
      <c r="P4816" s="34" t="s">
        <v>3562</v>
      </c>
      <c r="Q4816" s="165">
        <f>IF(Sales[[#This Row],[Status]]="Cancelled",0,Sales[[#This Row],[Qty]])</f>
        <v>8</v>
      </c>
      <c r="R4816" s="166">
        <f>IF(Sales[[#This Row],[Status]]="Cancelled",0,Sales[[#This Row],[Total Amount]])</f>
        <v>38987.199999999997</v>
      </c>
      <c r="S4816" s="162">
        <f>SUM(Sales[Net Amount])</f>
        <v>406839287.73200053</v>
      </c>
    </row>
    <row r="4817" spans="1:19" ht="18.75" x14ac:dyDescent="0.25">
      <c r="A4817" s="156" t="s">
        <v>8501</v>
      </c>
      <c r="B4817" s="157">
        <v>46014</v>
      </c>
      <c r="C4817" s="158" t="s">
        <v>696</v>
      </c>
      <c r="D4817" s="159" t="str">
        <f>VLOOKUP(Sales[[#This Row],[Customer ID]],Customer[#All],2,0)</f>
        <v>Sunita Verma</v>
      </c>
      <c r="E4817" s="158" t="s">
        <v>468</v>
      </c>
      <c r="F4817" s="158" t="str">
        <f>VLOOKUP(Sales[[#This Row],[Product ID]],Product[#All],2,0)</f>
        <v>Dell Laptop</v>
      </c>
      <c r="G4817" s="159">
        <v>2</v>
      </c>
      <c r="H4817" s="160">
        <f>VLOOKUP(Sales[[#This Row],[Product ID]],Product[#All],7,0)</f>
        <v>93200</v>
      </c>
      <c r="I4817" s="160">
        <f>Sales[[#This Row],[Selling Rate]]*Sales[[#This Row],[Qty]]</f>
        <v>186400</v>
      </c>
      <c r="J4817" s="43">
        <v>0.1</v>
      </c>
      <c r="K4817" s="44">
        <f>Sales[[#This Row],[Gross Amount]]*Sales[[#This Row],[Disc %]]</f>
        <v>18640</v>
      </c>
      <c r="L4817" s="43">
        <v>0.18</v>
      </c>
      <c r="M4817" s="44">
        <f>(Sales[[#This Row],[Gross Amount]]-Sales[[#This Row],[Disc. Amt.]])*Sales[[#This Row],[GST %]]</f>
        <v>30196.799999999999</v>
      </c>
      <c r="N4817" s="161">
        <f>Sales[[#This Row],[Gross Amount]]-Sales[[#This Row],[Disc. Amt.]]+Sales[[#This Row],[GST Amount]]</f>
        <v>197956.8</v>
      </c>
      <c r="O4817" s="158" t="s">
        <v>3569</v>
      </c>
      <c r="P4817" s="158" t="s">
        <v>3562</v>
      </c>
      <c r="Q4817" s="160">
        <f>IF(Sales[[#This Row],[Status]]="Cancelled",0,Sales[[#This Row],[Qty]])</f>
        <v>2</v>
      </c>
      <c r="R4817" s="161">
        <f>IF(Sales[[#This Row],[Status]]="Cancelled",0,Sales[[#This Row],[Total Amount]])</f>
        <v>197956.8</v>
      </c>
      <c r="S4817" s="162">
        <f>SUM(Sales[Net Amount])</f>
        <v>406839287.73200053</v>
      </c>
    </row>
    <row r="4818" spans="1:19" ht="18.75" x14ac:dyDescent="0.25">
      <c r="A4818" s="163" t="s">
        <v>8502</v>
      </c>
      <c r="B4818" s="164">
        <v>46014</v>
      </c>
      <c r="C4818" s="34" t="s">
        <v>769</v>
      </c>
      <c r="D4818" s="53" t="str">
        <f>VLOOKUP(Sales[[#This Row],[Customer ID]],Customer[#All],2,0)</f>
        <v>Sahil Kumar</v>
      </c>
      <c r="E4818" s="34" t="s">
        <v>470</v>
      </c>
      <c r="F4818" s="34" t="str">
        <f>VLOOKUP(Sales[[#This Row],[Product ID]],Product[#All],2,0)</f>
        <v>HP Desktop</v>
      </c>
      <c r="G4818" s="53">
        <v>6</v>
      </c>
      <c r="H4818" s="165">
        <f>VLOOKUP(Sales[[#This Row],[Product ID]],Product[#All],7,0)</f>
        <v>40330</v>
      </c>
      <c r="I4818" s="165">
        <f>Sales[[#This Row],[Selling Rate]]*Sales[[#This Row],[Qty]]</f>
        <v>241980</v>
      </c>
      <c r="J4818" s="45">
        <v>0.15</v>
      </c>
      <c r="K4818" s="46">
        <f>Sales[[#This Row],[Gross Amount]]*Sales[[#This Row],[Disc %]]</f>
        <v>36297</v>
      </c>
      <c r="L4818" s="43">
        <v>0.18</v>
      </c>
      <c r="M4818" s="46">
        <f>(Sales[[#This Row],[Gross Amount]]-Sales[[#This Row],[Disc. Amt.]])*Sales[[#This Row],[GST %]]</f>
        <v>37022.939999999995</v>
      </c>
      <c r="N4818" s="161">
        <f>Sales[[#This Row],[Gross Amount]]-Sales[[#This Row],[Disc. Amt.]]+Sales[[#This Row],[GST Amount]]</f>
        <v>242705.94</v>
      </c>
      <c r="O4818" s="34" t="s">
        <v>3569</v>
      </c>
      <c r="P4818" s="34" t="s">
        <v>3562</v>
      </c>
      <c r="Q4818" s="165">
        <f>IF(Sales[[#This Row],[Status]]="Cancelled",0,Sales[[#This Row],[Qty]])</f>
        <v>6</v>
      </c>
      <c r="R4818" s="166">
        <f>IF(Sales[[#This Row],[Status]]="Cancelled",0,Sales[[#This Row],[Total Amount]])</f>
        <v>242705.94</v>
      </c>
      <c r="S4818" s="162">
        <f>SUM(Sales[Net Amount])</f>
        <v>406839287.73200053</v>
      </c>
    </row>
    <row r="4819" spans="1:19" ht="18.75" x14ac:dyDescent="0.25">
      <c r="A4819" s="156" t="s">
        <v>8503</v>
      </c>
      <c r="B4819" s="157">
        <v>46014</v>
      </c>
      <c r="C4819" s="158" t="s">
        <v>877</v>
      </c>
      <c r="D4819" s="159" t="str">
        <f>VLOOKUP(Sales[[#This Row],[Customer ID]],Customer[#All],2,0)</f>
        <v>Sahil Patel</v>
      </c>
      <c r="E4819" s="158" t="s">
        <v>374</v>
      </c>
      <c r="F4819" s="158" t="str">
        <f>VLOOKUP(Sales[[#This Row],[Product ID]],Product[#All],2,0)</f>
        <v>Boat Headset</v>
      </c>
      <c r="G4819" s="159">
        <v>4</v>
      </c>
      <c r="H4819" s="160">
        <f>VLOOKUP(Sales[[#This Row],[Product ID]],Product[#All],7,0)</f>
        <v>3010</v>
      </c>
      <c r="I4819" s="160">
        <f>Sales[[#This Row],[Selling Rate]]*Sales[[#This Row],[Qty]]</f>
        <v>12040</v>
      </c>
      <c r="J4819" s="43">
        <v>0.12</v>
      </c>
      <c r="K4819" s="44">
        <f>Sales[[#This Row],[Gross Amount]]*Sales[[#This Row],[Disc %]]</f>
        <v>1444.8</v>
      </c>
      <c r="L4819" s="43">
        <v>0.18</v>
      </c>
      <c r="M4819" s="44">
        <f>(Sales[[#This Row],[Gross Amount]]-Sales[[#This Row],[Disc. Amt.]])*Sales[[#This Row],[GST %]]</f>
        <v>1907.136</v>
      </c>
      <c r="N4819" s="161">
        <f>Sales[[#This Row],[Gross Amount]]-Sales[[#This Row],[Disc. Amt.]]+Sales[[#This Row],[GST Amount]]</f>
        <v>12502.336000000001</v>
      </c>
      <c r="O4819" s="158" t="s">
        <v>3561</v>
      </c>
      <c r="P4819" s="158" t="s">
        <v>3562</v>
      </c>
      <c r="Q4819" s="160">
        <f>IF(Sales[[#This Row],[Status]]="Cancelled",0,Sales[[#This Row],[Qty]])</f>
        <v>4</v>
      </c>
      <c r="R4819" s="161">
        <f>IF(Sales[[#This Row],[Status]]="Cancelled",0,Sales[[#This Row],[Total Amount]])</f>
        <v>12502.336000000001</v>
      </c>
      <c r="S4819" s="162">
        <f>SUM(Sales[Net Amount])</f>
        <v>406839287.73200053</v>
      </c>
    </row>
    <row r="4820" spans="1:19" ht="18.75" x14ac:dyDescent="0.25">
      <c r="A4820" s="163" t="s">
        <v>8504</v>
      </c>
      <c r="B4820" s="164">
        <v>46014</v>
      </c>
      <c r="C4820" s="34" t="s">
        <v>768</v>
      </c>
      <c r="D4820" s="53" t="str">
        <f>VLOOKUP(Sales[[#This Row],[Customer ID]],Customer[#All],2,0)</f>
        <v>Priya Kumar</v>
      </c>
      <c r="E4820" s="34" t="s">
        <v>156</v>
      </c>
      <c r="F4820" s="34" t="str">
        <f>VLOOKUP(Sales[[#This Row],[Product ID]],Product[#All],2,0)</f>
        <v>Boat Speaker</v>
      </c>
      <c r="G4820" s="53">
        <v>6</v>
      </c>
      <c r="H4820" s="165">
        <f>VLOOKUP(Sales[[#This Row],[Product ID]],Product[#All],7,0)</f>
        <v>3240</v>
      </c>
      <c r="I4820" s="165">
        <f>Sales[[#This Row],[Selling Rate]]*Sales[[#This Row],[Qty]]</f>
        <v>19440</v>
      </c>
      <c r="J4820" s="45">
        <v>0.15</v>
      </c>
      <c r="K4820" s="46">
        <f>Sales[[#This Row],[Gross Amount]]*Sales[[#This Row],[Disc %]]</f>
        <v>2916</v>
      </c>
      <c r="L4820" s="43">
        <v>0.18</v>
      </c>
      <c r="M4820" s="46">
        <f>(Sales[[#This Row],[Gross Amount]]-Sales[[#This Row],[Disc. Amt.]])*Sales[[#This Row],[GST %]]</f>
        <v>2974.3199999999997</v>
      </c>
      <c r="N4820" s="161">
        <f>Sales[[#This Row],[Gross Amount]]-Sales[[#This Row],[Disc. Amt.]]+Sales[[#This Row],[GST Amount]]</f>
        <v>19498.32</v>
      </c>
      <c r="O4820" s="34" t="s">
        <v>8876</v>
      </c>
      <c r="P4820" s="34" t="s">
        <v>3562</v>
      </c>
      <c r="Q4820" s="165">
        <f>IF(Sales[[#This Row],[Status]]="Cancelled",0,Sales[[#This Row],[Qty]])</f>
        <v>6</v>
      </c>
      <c r="R4820" s="166">
        <f>IF(Sales[[#This Row],[Status]]="Cancelled",0,Sales[[#This Row],[Total Amount]])</f>
        <v>19498.32</v>
      </c>
      <c r="S4820" s="162">
        <f>SUM(Sales[Net Amount])</f>
        <v>406839287.73200053</v>
      </c>
    </row>
    <row r="4821" spans="1:19" ht="18.75" x14ac:dyDescent="0.25">
      <c r="A4821" s="156" t="s">
        <v>8505</v>
      </c>
      <c r="B4821" s="157">
        <v>46014</v>
      </c>
      <c r="C4821" s="158" t="s">
        <v>891</v>
      </c>
      <c r="D4821" s="159" t="str">
        <f>VLOOKUP(Sales[[#This Row],[Customer ID]],Customer[#All],2,0)</f>
        <v>Pooja Verma</v>
      </c>
      <c r="E4821" s="158" t="s">
        <v>154</v>
      </c>
      <c r="F4821" s="158" t="str">
        <f>VLOOKUP(Sales[[#This Row],[Product ID]],Product[#All],2,0)</f>
        <v>Epson Printer</v>
      </c>
      <c r="G4821" s="159">
        <v>4</v>
      </c>
      <c r="H4821" s="160">
        <f>VLOOKUP(Sales[[#This Row],[Product ID]],Product[#All],7,0)</f>
        <v>46220</v>
      </c>
      <c r="I4821" s="160">
        <f>Sales[[#This Row],[Selling Rate]]*Sales[[#This Row],[Qty]]</f>
        <v>184880</v>
      </c>
      <c r="J4821" s="43">
        <v>0.12</v>
      </c>
      <c r="K4821" s="44">
        <f>Sales[[#This Row],[Gross Amount]]*Sales[[#This Row],[Disc %]]</f>
        <v>22185.599999999999</v>
      </c>
      <c r="L4821" s="43">
        <v>0.18</v>
      </c>
      <c r="M4821" s="44">
        <f>(Sales[[#This Row],[Gross Amount]]-Sales[[#This Row],[Disc. Amt.]])*Sales[[#This Row],[GST %]]</f>
        <v>29284.991999999998</v>
      </c>
      <c r="N4821" s="161">
        <f>Sales[[#This Row],[Gross Amount]]-Sales[[#This Row],[Disc. Amt.]]+Sales[[#This Row],[GST Amount]]</f>
        <v>191979.39199999999</v>
      </c>
      <c r="O4821" s="158" t="s">
        <v>3561</v>
      </c>
      <c r="P4821" s="158" t="s">
        <v>3562</v>
      </c>
      <c r="Q4821" s="160">
        <f>IF(Sales[[#This Row],[Status]]="Cancelled",0,Sales[[#This Row],[Qty]])</f>
        <v>4</v>
      </c>
      <c r="R4821" s="161">
        <f>IF(Sales[[#This Row],[Status]]="Cancelled",0,Sales[[#This Row],[Total Amount]])</f>
        <v>191979.39199999999</v>
      </c>
      <c r="S4821" s="162">
        <f>SUM(Sales[Net Amount])</f>
        <v>406839287.73200053</v>
      </c>
    </row>
    <row r="4822" spans="1:19" ht="18.75" x14ac:dyDescent="0.25">
      <c r="A4822" s="163" t="s">
        <v>8506</v>
      </c>
      <c r="B4822" s="164">
        <v>46014</v>
      </c>
      <c r="C4822" s="34" t="s">
        <v>677</v>
      </c>
      <c r="D4822" s="53" t="str">
        <f>VLOOKUP(Sales[[#This Row],[Customer ID]],Customer[#All],2,0)</f>
        <v>Sahil Verma</v>
      </c>
      <c r="E4822" s="34" t="s">
        <v>163</v>
      </c>
      <c r="F4822" s="34" t="str">
        <f>VLOOKUP(Sales[[#This Row],[Product ID]],Product[#All],2,0)</f>
        <v>Corsair Ram</v>
      </c>
      <c r="G4822" s="53">
        <v>3</v>
      </c>
      <c r="H4822" s="165">
        <f>VLOOKUP(Sales[[#This Row],[Product ID]],Product[#All],7,0)</f>
        <v>16210</v>
      </c>
      <c r="I4822" s="165">
        <f>Sales[[#This Row],[Selling Rate]]*Sales[[#This Row],[Qty]]</f>
        <v>48630</v>
      </c>
      <c r="J4822" s="45">
        <v>0.02</v>
      </c>
      <c r="K4822" s="46">
        <f>Sales[[#This Row],[Gross Amount]]*Sales[[#This Row],[Disc %]]</f>
        <v>972.6</v>
      </c>
      <c r="L4822" s="43">
        <v>0.18</v>
      </c>
      <c r="M4822" s="46">
        <f>(Sales[[#This Row],[Gross Amount]]-Sales[[#This Row],[Disc. Amt.]])*Sales[[#This Row],[GST %]]</f>
        <v>8578.3320000000003</v>
      </c>
      <c r="N4822" s="161">
        <f>Sales[[#This Row],[Gross Amount]]-Sales[[#This Row],[Disc. Amt.]]+Sales[[#This Row],[GST Amount]]</f>
        <v>56235.732000000004</v>
      </c>
      <c r="O4822" s="34" t="s">
        <v>8876</v>
      </c>
      <c r="P4822" s="34" t="s">
        <v>3562</v>
      </c>
      <c r="Q4822" s="165">
        <f>IF(Sales[[#This Row],[Status]]="Cancelled",0,Sales[[#This Row],[Qty]])</f>
        <v>3</v>
      </c>
      <c r="R4822" s="166">
        <f>IF(Sales[[#This Row],[Status]]="Cancelled",0,Sales[[#This Row],[Total Amount]])</f>
        <v>56235.732000000004</v>
      </c>
      <c r="S4822" s="162">
        <f>SUM(Sales[Net Amount])</f>
        <v>406839287.73200053</v>
      </c>
    </row>
    <row r="4823" spans="1:19" ht="18.75" x14ac:dyDescent="0.25">
      <c r="A4823" s="156" t="s">
        <v>8507</v>
      </c>
      <c r="B4823" s="157">
        <v>46014</v>
      </c>
      <c r="C4823" s="158" t="s">
        <v>8508</v>
      </c>
      <c r="D4823" s="159" t="str">
        <f>VLOOKUP(Sales[[#This Row],[Customer ID]],Customer[#All],2,0)</f>
        <v>Neha Gupta</v>
      </c>
      <c r="E4823" s="158" t="s">
        <v>540</v>
      </c>
      <c r="F4823" s="158" t="str">
        <f>VLOOKUP(Sales[[#This Row],[Product ID]],Product[#All],2,0)</f>
        <v>Dell Desktop</v>
      </c>
      <c r="G4823" s="159">
        <v>4</v>
      </c>
      <c r="H4823" s="160">
        <f>VLOOKUP(Sales[[#This Row],[Product ID]],Product[#All],7,0)</f>
        <v>34160</v>
      </c>
      <c r="I4823" s="160">
        <f>Sales[[#This Row],[Selling Rate]]*Sales[[#This Row],[Qty]]</f>
        <v>136640</v>
      </c>
      <c r="J4823" s="43">
        <v>0.05</v>
      </c>
      <c r="K4823" s="44">
        <f>Sales[[#This Row],[Gross Amount]]*Sales[[#This Row],[Disc %]]</f>
        <v>6832</v>
      </c>
      <c r="L4823" s="43">
        <v>0.18</v>
      </c>
      <c r="M4823" s="44">
        <f>(Sales[[#This Row],[Gross Amount]]-Sales[[#This Row],[Disc. Amt.]])*Sales[[#This Row],[GST %]]</f>
        <v>23365.439999999999</v>
      </c>
      <c r="N4823" s="161">
        <f>Sales[[#This Row],[Gross Amount]]-Sales[[#This Row],[Disc. Amt.]]+Sales[[#This Row],[GST Amount]]</f>
        <v>153173.44</v>
      </c>
      <c r="O4823" s="158" t="s">
        <v>3561</v>
      </c>
      <c r="P4823" s="158" t="s">
        <v>3562</v>
      </c>
      <c r="Q4823" s="160">
        <f>IF(Sales[[#This Row],[Status]]="Cancelled",0,Sales[[#This Row],[Qty]])</f>
        <v>4</v>
      </c>
      <c r="R4823" s="161">
        <f>IF(Sales[[#This Row],[Status]]="Cancelled",0,Sales[[#This Row],[Total Amount]])</f>
        <v>153173.44</v>
      </c>
      <c r="S4823" s="162">
        <f>SUM(Sales[Net Amount])</f>
        <v>406839287.73200053</v>
      </c>
    </row>
    <row r="4824" spans="1:19" ht="18.75" x14ac:dyDescent="0.25">
      <c r="A4824" s="163" t="s">
        <v>8509</v>
      </c>
      <c r="B4824" s="164">
        <v>46014</v>
      </c>
      <c r="C4824" s="34" t="s">
        <v>800</v>
      </c>
      <c r="D4824" s="53" t="str">
        <f>VLOOKUP(Sales[[#This Row],[Customer ID]],Customer[#All],2,0)</f>
        <v>Priya Gupta</v>
      </c>
      <c r="E4824" s="34" t="s">
        <v>163</v>
      </c>
      <c r="F4824" s="34" t="str">
        <f>VLOOKUP(Sales[[#This Row],[Product ID]],Product[#All],2,0)</f>
        <v>Corsair Ram</v>
      </c>
      <c r="G4824" s="53">
        <v>6</v>
      </c>
      <c r="H4824" s="165">
        <f>VLOOKUP(Sales[[#This Row],[Product ID]],Product[#All],7,0)</f>
        <v>16210</v>
      </c>
      <c r="I4824" s="165">
        <f>Sales[[#This Row],[Selling Rate]]*Sales[[#This Row],[Qty]]</f>
        <v>97260</v>
      </c>
      <c r="J4824" s="45">
        <v>0.05</v>
      </c>
      <c r="K4824" s="46">
        <f>Sales[[#This Row],[Gross Amount]]*Sales[[#This Row],[Disc %]]</f>
        <v>4863</v>
      </c>
      <c r="L4824" s="43">
        <v>0.18</v>
      </c>
      <c r="M4824" s="46">
        <f>(Sales[[#This Row],[Gross Amount]]-Sales[[#This Row],[Disc. Amt.]])*Sales[[#This Row],[GST %]]</f>
        <v>16631.46</v>
      </c>
      <c r="N4824" s="161">
        <f>Sales[[#This Row],[Gross Amount]]-Sales[[#This Row],[Disc. Amt.]]+Sales[[#This Row],[GST Amount]]</f>
        <v>109028.45999999999</v>
      </c>
      <c r="O4824" s="34" t="s">
        <v>8876</v>
      </c>
      <c r="P4824" s="34" t="s">
        <v>3562</v>
      </c>
      <c r="Q4824" s="165">
        <f>IF(Sales[[#This Row],[Status]]="Cancelled",0,Sales[[#This Row],[Qty]])</f>
        <v>6</v>
      </c>
      <c r="R4824" s="166">
        <f>IF(Sales[[#This Row],[Status]]="Cancelled",0,Sales[[#This Row],[Total Amount]])</f>
        <v>109028.45999999999</v>
      </c>
      <c r="S4824" s="162">
        <f>SUM(Sales[Net Amount])</f>
        <v>406839287.73200053</v>
      </c>
    </row>
    <row r="4825" spans="1:19" ht="18.75" x14ac:dyDescent="0.25">
      <c r="A4825" s="156" t="s">
        <v>8510</v>
      </c>
      <c r="B4825" s="157">
        <v>46014</v>
      </c>
      <c r="C4825" s="158" t="s">
        <v>866</v>
      </c>
      <c r="D4825" s="159" t="str">
        <f>VLOOKUP(Sales[[#This Row],[Customer ID]],Customer[#All],2,0)</f>
        <v>Priya Patel</v>
      </c>
      <c r="E4825" s="158" t="s">
        <v>525</v>
      </c>
      <c r="F4825" s="158" t="str">
        <f>VLOOKUP(Sales[[#This Row],[Product ID]],Product[#All],2,0)</f>
        <v>TP-link Wi-Fi Adapter</v>
      </c>
      <c r="G4825" s="159">
        <v>1</v>
      </c>
      <c r="H4825" s="160">
        <f>VLOOKUP(Sales[[#This Row],[Product ID]],Product[#All],7,0)</f>
        <v>1910</v>
      </c>
      <c r="I4825" s="160">
        <f>Sales[[#This Row],[Selling Rate]]*Sales[[#This Row],[Qty]]</f>
        <v>1910</v>
      </c>
      <c r="J4825" s="43">
        <v>0.15</v>
      </c>
      <c r="K4825" s="44">
        <f>Sales[[#This Row],[Gross Amount]]*Sales[[#This Row],[Disc %]]</f>
        <v>286.5</v>
      </c>
      <c r="L4825" s="43">
        <v>0.18</v>
      </c>
      <c r="M4825" s="44">
        <f>(Sales[[#This Row],[Gross Amount]]-Sales[[#This Row],[Disc. Amt.]])*Sales[[#This Row],[GST %]]</f>
        <v>292.22999999999996</v>
      </c>
      <c r="N4825" s="161">
        <f>Sales[[#This Row],[Gross Amount]]-Sales[[#This Row],[Disc. Amt.]]+Sales[[#This Row],[GST Amount]]</f>
        <v>1915.73</v>
      </c>
      <c r="O4825" s="158" t="s">
        <v>3561</v>
      </c>
      <c r="P4825" s="158" t="s">
        <v>3562</v>
      </c>
      <c r="Q4825" s="160">
        <f>IF(Sales[[#This Row],[Status]]="Cancelled",0,Sales[[#This Row],[Qty]])</f>
        <v>1</v>
      </c>
      <c r="R4825" s="161">
        <f>IF(Sales[[#This Row],[Status]]="Cancelled",0,Sales[[#This Row],[Total Amount]])</f>
        <v>1915.73</v>
      </c>
      <c r="S4825" s="162">
        <f>SUM(Sales[Net Amount])</f>
        <v>406839287.73200053</v>
      </c>
    </row>
    <row r="4826" spans="1:19" ht="18.75" x14ac:dyDescent="0.25">
      <c r="A4826" s="163" t="s">
        <v>8511</v>
      </c>
      <c r="B4826" s="164">
        <v>46014</v>
      </c>
      <c r="C4826" s="34" t="s">
        <v>883</v>
      </c>
      <c r="D4826" s="53" t="str">
        <f>VLOOKUP(Sales[[#This Row],[Customer ID]],Customer[#All],2,0)</f>
        <v>Rahul Verma</v>
      </c>
      <c r="E4826" s="34" t="s">
        <v>261</v>
      </c>
      <c r="F4826" s="34" t="str">
        <f>VLOOKUP(Sales[[#This Row],[Product ID]],Product[#All],2,0)</f>
        <v>American TouristerLaptopBag</v>
      </c>
      <c r="G4826" s="53">
        <v>5</v>
      </c>
      <c r="H4826" s="165">
        <f>VLOOKUP(Sales[[#This Row],[Product ID]],Product[#All],7,0)</f>
        <v>1320</v>
      </c>
      <c r="I4826" s="165">
        <f>Sales[[#This Row],[Selling Rate]]*Sales[[#This Row],[Qty]]</f>
        <v>6600</v>
      </c>
      <c r="J4826" s="45">
        <v>0</v>
      </c>
      <c r="K4826" s="46">
        <f>Sales[[#This Row],[Gross Amount]]*Sales[[#This Row],[Disc %]]</f>
        <v>0</v>
      </c>
      <c r="L4826" s="43">
        <v>0.18</v>
      </c>
      <c r="M4826" s="46">
        <f>(Sales[[#This Row],[Gross Amount]]-Sales[[#This Row],[Disc. Amt.]])*Sales[[#This Row],[GST %]]</f>
        <v>1188</v>
      </c>
      <c r="N4826" s="161">
        <f>Sales[[#This Row],[Gross Amount]]-Sales[[#This Row],[Disc. Amt.]]+Sales[[#This Row],[GST Amount]]</f>
        <v>7788</v>
      </c>
      <c r="O4826" s="34" t="s">
        <v>8876</v>
      </c>
      <c r="P4826" s="34" t="s">
        <v>3562</v>
      </c>
      <c r="Q4826" s="165">
        <f>IF(Sales[[#This Row],[Status]]="Cancelled",0,Sales[[#This Row],[Qty]])</f>
        <v>5</v>
      </c>
      <c r="R4826" s="166">
        <f>IF(Sales[[#This Row],[Status]]="Cancelled",0,Sales[[#This Row],[Total Amount]])</f>
        <v>7788</v>
      </c>
      <c r="S4826" s="162">
        <f>SUM(Sales[Net Amount])</f>
        <v>406839287.73200053</v>
      </c>
    </row>
    <row r="4827" spans="1:19" ht="18.75" x14ac:dyDescent="0.25">
      <c r="A4827" s="156" t="s">
        <v>8512</v>
      </c>
      <c r="B4827" s="157">
        <v>46014</v>
      </c>
      <c r="C4827" s="158" t="s">
        <v>848</v>
      </c>
      <c r="D4827" s="159" t="str">
        <f>VLOOKUP(Sales[[#This Row],[Customer ID]],Customer[#All],2,0)</f>
        <v>Rakesh Patel</v>
      </c>
      <c r="E4827" s="158" t="s">
        <v>518</v>
      </c>
      <c r="F4827" s="158" t="str">
        <f>VLOOKUP(Sales[[#This Row],[Product ID]],Product[#All],2,0)</f>
        <v>Samsung Monitor</v>
      </c>
      <c r="G4827" s="159">
        <v>6</v>
      </c>
      <c r="H4827" s="160">
        <f>VLOOKUP(Sales[[#This Row],[Product ID]],Product[#All],7,0)</f>
        <v>23660</v>
      </c>
      <c r="I4827" s="160">
        <f>Sales[[#This Row],[Selling Rate]]*Sales[[#This Row],[Qty]]</f>
        <v>141960</v>
      </c>
      <c r="J4827" s="43">
        <v>0.1</v>
      </c>
      <c r="K4827" s="44">
        <f>Sales[[#This Row],[Gross Amount]]*Sales[[#This Row],[Disc %]]</f>
        <v>14196</v>
      </c>
      <c r="L4827" s="43">
        <v>0.18</v>
      </c>
      <c r="M4827" s="44">
        <f>(Sales[[#This Row],[Gross Amount]]-Sales[[#This Row],[Disc. Amt.]])*Sales[[#This Row],[GST %]]</f>
        <v>22997.52</v>
      </c>
      <c r="N4827" s="161">
        <f>Sales[[#This Row],[Gross Amount]]-Sales[[#This Row],[Disc. Amt.]]+Sales[[#This Row],[GST Amount]]</f>
        <v>150761.51999999999</v>
      </c>
      <c r="O4827" s="158" t="s">
        <v>3566</v>
      </c>
      <c r="P4827" s="158" t="s">
        <v>3562</v>
      </c>
      <c r="Q4827" s="160">
        <f>IF(Sales[[#This Row],[Status]]="Cancelled",0,Sales[[#This Row],[Qty]])</f>
        <v>6</v>
      </c>
      <c r="R4827" s="161">
        <f>IF(Sales[[#This Row],[Status]]="Cancelled",0,Sales[[#This Row],[Total Amount]])</f>
        <v>150761.51999999999</v>
      </c>
      <c r="S4827" s="162">
        <f>SUM(Sales[Net Amount])</f>
        <v>406839287.73200053</v>
      </c>
    </row>
    <row r="4828" spans="1:19" ht="18.75" x14ac:dyDescent="0.25">
      <c r="A4828" s="163" t="s">
        <v>8513</v>
      </c>
      <c r="B4828" s="164">
        <v>46014</v>
      </c>
      <c r="C4828" s="34" t="s">
        <v>925</v>
      </c>
      <c r="D4828" s="53" t="str">
        <f>VLOOKUP(Sales[[#This Row],[Customer ID]],Customer[#All],2,0)</f>
        <v>Neha Singh</v>
      </c>
      <c r="E4828" s="34" t="s">
        <v>436</v>
      </c>
      <c r="F4828" s="34" t="str">
        <f>VLOOKUP(Sales[[#This Row],[Product ID]],Product[#All],2,0)</f>
        <v>Amazon Basics Hdmi Cable</v>
      </c>
      <c r="G4828" s="53">
        <v>6</v>
      </c>
      <c r="H4828" s="165">
        <f>VLOOKUP(Sales[[#This Row],[Product ID]],Product[#All],7,0)</f>
        <v>860</v>
      </c>
      <c r="I4828" s="165">
        <f>Sales[[#This Row],[Selling Rate]]*Sales[[#This Row],[Qty]]</f>
        <v>5160</v>
      </c>
      <c r="J4828" s="45">
        <v>0</v>
      </c>
      <c r="K4828" s="46">
        <f>Sales[[#This Row],[Gross Amount]]*Sales[[#This Row],[Disc %]]</f>
        <v>0</v>
      </c>
      <c r="L4828" s="43">
        <v>0.18</v>
      </c>
      <c r="M4828" s="46">
        <f>(Sales[[#This Row],[Gross Amount]]-Sales[[#This Row],[Disc. Amt.]])*Sales[[#This Row],[GST %]]</f>
        <v>928.8</v>
      </c>
      <c r="N4828" s="161">
        <f>Sales[[#This Row],[Gross Amount]]-Sales[[#This Row],[Disc. Amt.]]+Sales[[#This Row],[GST Amount]]</f>
        <v>6088.8</v>
      </c>
      <c r="O4828" s="34" t="s">
        <v>3561</v>
      </c>
      <c r="P4828" s="34" t="s">
        <v>3562</v>
      </c>
      <c r="Q4828" s="165">
        <f>IF(Sales[[#This Row],[Status]]="Cancelled",0,Sales[[#This Row],[Qty]])</f>
        <v>6</v>
      </c>
      <c r="R4828" s="166">
        <f>IF(Sales[[#This Row],[Status]]="Cancelled",0,Sales[[#This Row],[Total Amount]])</f>
        <v>6088.8</v>
      </c>
      <c r="S4828" s="162">
        <f>SUM(Sales[Net Amount])</f>
        <v>406839287.73200053</v>
      </c>
    </row>
    <row r="4829" spans="1:19" ht="18.75" x14ac:dyDescent="0.25">
      <c r="A4829" s="156" t="s">
        <v>8514</v>
      </c>
      <c r="B4829" s="157">
        <v>46014</v>
      </c>
      <c r="C4829" s="158" t="s">
        <v>650</v>
      </c>
      <c r="D4829" s="159" t="str">
        <f>VLOOKUP(Sales[[#This Row],[Customer ID]],Customer[#All],2,0)</f>
        <v xml:space="preserve">Pooja Patel </v>
      </c>
      <c r="E4829" s="158" t="s">
        <v>417</v>
      </c>
      <c r="F4829" s="158" t="str">
        <f>VLOOKUP(Sales[[#This Row],[Product ID]],Product[#All],2,0)</f>
        <v>HP Power Adapter</v>
      </c>
      <c r="G4829" s="159">
        <v>6</v>
      </c>
      <c r="H4829" s="160">
        <f>VLOOKUP(Sales[[#This Row],[Product ID]],Product[#All],7,0)</f>
        <v>4330</v>
      </c>
      <c r="I4829" s="160">
        <f>Sales[[#This Row],[Selling Rate]]*Sales[[#This Row],[Qty]]</f>
        <v>25980</v>
      </c>
      <c r="J4829" s="43">
        <v>0.1</v>
      </c>
      <c r="K4829" s="44">
        <f>Sales[[#This Row],[Gross Amount]]*Sales[[#This Row],[Disc %]]</f>
        <v>2598</v>
      </c>
      <c r="L4829" s="43">
        <v>0.18</v>
      </c>
      <c r="M4829" s="44">
        <f>(Sales[[#This Row],[Gross Amount]]-Sales[[#This Row],[Disc. Amt.]])*Sales[[#This Row],[GST %]]</f>
        <v>4208.76</v>
      </c>
      <c r="N4829" s="161">
        <f>Sales[[#This Row],[Gross Amount]]-Sales[[#This Row],[Disc. Amt.]]+Sales[[#This Row],[GST Amount]]</f>
        <v>27590.760000000002</v>
      </c>
      <c r="O4829" s="158" t="s">
        <v>3569</v>
      </c>
      <c r="P4829" s="158" t="s">
        <v>3562</v>
      </c>
      <c r="Q4829" s="160">
        <f>IF(Sales[[#This Row],[Status]]="Cancelled",0,Sales[[#This Row],[Qty]])</f>
        <v>6</v>
      </c>
      <c r="R4829" s="161">
        <f>IF(Sales[[#This Row],[Status]]="Cancelled",0,Sales[[#This Row],[Total Amount]])</f>
        <v>27590.760000000002</v>
      </c>
      <c r="S4829" s="162">
        <f>SUM(Sales[Net Amount])</f>
        <v>406839287.73200053</v>
      </c>
    </row>
    <row r="4830" spans="1:19" ht="18.75" x14ac:dyDescent="0.25">
      <c r="A4830" s="163" t="s">
        <v>8515</v>
      </c>
      <c r="B4830" s="164">
        <v>46014</v>
      </c>
      <c r="C4830" s="34" t="s">
        <v>8732</v>
      </c>
      <c r="D4830" s="53" t="str">
        <f>VLOOKUP(Sales[[#This Row],[Customer ID]],Customer[#All],2,0)</f>
        <v>Rahul Sharma</v>
      </c>
      <c r="E4830" s="34" t="s">
        <v>59</v>
      </c>
      <c r="F4830" s="34" t="str">
        <f>VLOOKUP(Sales[[#This Row],[Product ID]],Product[#All],2,0)</f>
        <v>Amazon Basics Hdmi Cable</v>
      </c>
      <c r="G4830" s="53">
        <v>1</v>
      </c>
      <c r="H4830" s="165">
        <f>VLOOKUP(Sales[[#This Row],[Product ID]],Product[#All],7,0)</f>
        <v>1160</v>
      </c>
      <c r="I4830" s="165">
        <f>Sales[[#This Row],[Selling Rate]]*Sales[[#This Row],[Qty]]</f>
        <v>1160</v>
      </c>
      <c r="J4830" s="45">
        <v>0.05</v>
      </c>
      <c r="K4830" s="46">
        <f>Sales[[#This Row],[Gross Amount]]*Sales[[#This Row],[Disc %]]</f>
        <v>58</v>
      </c>
      <c r="L4830" s="43">
        <v>0.18</v>
      </c>
      <c r="M4830" s="46">
        <f>(Sales[[#This Row],[Gross Amount]]-Sales[[#This Row],[Disc. Amt.]])*Sales[[#This Row],[GST %]]</f>
        <v>198.35999999999999</v>
      </c>
      <c r="N4830" s="161">
        <f>Sales[[#This Row],[Gross Amount]]-Sales[[#This Row],[Disc. Amt.]]+Sales[[#This Row],[GST Amount]]</f>
        <v>1300.3599999999999</v>
      </c>
      <c r="O4830" s="34" t="s">
        <v>3569</v>
      </c>
      <c r="P4830" s="34" t="s">
        <v>3562</v>
      </c>
      <c r="Q4830" s="165">
        <f>IF(Sales[[#This Row],[Status]]="Cancelled",0,Sales[[#This Row],[Qty]])</f>
        <v>1</v>
      </c>
      <c r="R4830" s="166">
        <f>IF(Sales[[#This Row],[Status]]="Cancelled",0,Sales[[#This Row],[Total Amount]])</f>
        <v>1300.3599999999999</v>
      </c>
      <c r="S4830" s="162">
        <f>SUM(Sales[Net Amount])</f>
        <v>406839287.73200053</v>
      </c>
    </row>
    <row r="4831" spans="1:19" ht="18.75" x14ac:dyDescent="0.25">
      <c r="A4831" s="156" t="s">
        <v>8516</v>
      </c>
      <c r="B4831" s="157">
        <v>46014</v>
      </c>
      <c r="C4831" s="158" t="s">
        <v>884</v>
      </c>
      <c r="D4831" s="159" t="str">
        <f>VLOOKUP(Sales[[#This Row],[Customer ID]],Customer[#All],2,0)</f>
        <v>Sahil Patel</v>
      </c>
      <c r="E4831" s="158" t="s">
        <v>40</v>
      </c>
      <c r="F4831" s="158" t="str">
        <f>VLOOKUP(Sales[[#This Row],[Product ID]],Product[#All],2,0)</f>
        <v>Boat Headset</v>
      </c>
      <c r="G4831" s="159">
        <v>6</v>
      </c>
      <c r="H4831" s="160">
        <f>VLOOKUP(Sales[[#This Row],[Product ID]],Product[#All],7,0)</f>
        <v>3470</v>
      </c>
      <c r="I4831" s="160">
        <f>Sales[[#This Row],[Selling Rate]]*Sales[[#This Row],[Qty]]</f>
        <v>20820</v>
      </c>
      <c r="J4831" s="43">
        <v>0</v>
      </c>
      <c r="K4831" s="44">
        <f>Sales[[#This Row],[Gross Amount]]*Sales[[#This Row],[Disc %]]</f>
        <v>0</v>
      </c>
      <c r="L4831" s="43">
        <v>0.18</v>
      </c>
      <c r="M4831" s="44">
        <f>(Sales[[#This Row],[Gross Amount]]-Sales[[#This Row],[Disc. Amt.]])*Sales[[#This Row],[GST %]]</f>
        <v>3747.6</v>
      </c>
      <c r="N4831" s="161">
        <f>Sales[[#This Row],[Gross Amount]]-Sales[[#This Row],[Disc. Amt.]]+Sales[[#This Row],[GST Amount]]</f>
        <v>24567.599999999999</v>
      </c>
      <c r="O4831" s="158" t="s">
        <v>8876</v>
      </c>
      <c r="P4831" s="158" t="s">
        <v>3562</v>
      </c>
      <c r="Q4831" s="160">
        <f>IF(Sales[[#This Row],[Status]]="Cancelled",0,Sales[[#This Row],[Qty]])</f>
        <v>6</v>
      </c>
      <c r="R4831" s="161">
        <f>IF(Sales[[#This Row],[Status]]="Cancelled",0,Sales[[#This Row],[Total Amount]])</f>
        <v>24567.599999999999</v>
      </c>
      <c r="S4831" s="162">
        <f>SUM(Sales[Net Amount])</f>
        <v>406839287.73200053</v>
      </c>
    </row>
    <row r="4832" spans="1:19" ht="18.75" x14ac:dyDescent="0.25">
      <c r="A4832" s="163" t="s">
        <v>8517</v>
      </c>
      <c r="B4832" s="164">
        <v>46014</v>
      </c>
      <c r="C4832" s="34" t="s">
        <v>774</v>
      </c>
      <c r="D4832" s="53" t="str">
        <f>VLOOKUP(Sales[[#This Row],[Customer ID]],Customer[#All],2,0)</f>
        <v>Vikas Patel</v>
      </c>
      <c r="E4832" s="34" t="s">
        <v>346</v>
      </c>
      <c r="F4832" s="34" t="str">
        <f>VLOOKUP(Sales[[#This Row],[Product ID]],Product[#All],2,0)</f>
        <v>HP Laptop</v>
      </c>
      <c r="G4832" s="53">
        <v>5</v>
      </c>
      <c r="H4832" s="165">
        <f>VLOOKUP(Sales[[#This Row],[Product ID]],Product[#All],7,0)</f>
        <v>88550</v>
      </c>
      <c r="I4832" s="165">
        <f>Sales[[#This Row],[Selling Rate]]*Sales[[#This Row],[Qty]]</f>
        <v>442750</v>
      </c>
      <c r="J4832" s="45">
        <v>0</v>
      </c>
      <c r="K4832" s="46">
        <f>Sales[[#This Row],[Gross Amount]]*Sales[[#This Row],[Disc %]]</f>
        <v>0</v>
      </c>
      <c r="L4832" s="43">
        <v>0.18</v>
      </c>
      <c r="M4832" s="46">
        <f>(Sales[[#This Row],[Gross Amount]]-Sales[[#This Row],[Disc. Amt.]])*Sales[[#This Row],[GST %]]</f>
        <v>79695</v>
      </c>
      <c r="N4832" s="161">
        <f>Sales[[#This Row],[Gross Amount]]-Sales[[#This Row],[Disc. Amt.]]+Sales[[#This Row],[GST Amount]]</f>
        <v>522445</v>
      </c>
      <c r="O4832" s="34" t="s">
        <v>3569</v>
      </c>
      <c r="P4832" s="34" t="s">
        <v>3562</v>
      </c>
      <c r="Q4832" s="165">
        <f>IF(Sales[[#This Row],[Status]]="Cancelled",0,Sales[[#This Row],[Qty]])</f>
        <v>5</v>
      </c>
      <c r="R4832" s="166">
        <f>IF(Sales[[#This Row],[Status]]="Cancelled",0,Sales[[#This Row],[Total Amount]])</f>
        <v>522445</v>
      </c>
      <c r="S4832" s="162">
        <f>SUM(Sales[Net Amount])</f>
        <v>406839287.73200053</v>
      </c>
    </row>
    <row r="4833" spans="1:19" ht="18.75" x14ac:dyDescent="0.25">
      <c r="A4833" s="156" t="s">
        <v>8518</v>
      </c>
      <c r="B4833" s="157">
        <v>46014</v>
      </c>
      <c r="C4833" s="158" t="s">
        <v>890</v>
      </c>
      <c r="D4833" s="159" t="str">
        <f>VLOOKUP(Sales[[#This Row],[Customer ID]],Customer[#All],2,0)</f>
        <v>Rakesh Patel</v>
      </c>
      <c r="E4833" s="158" t="s">
        <v>57</v>
      </c>
      <c r="F4833" s="158" t="str">
        <f>VLOOKUP(Sales[[#This Row],[Product ID]],Product[#All],2,0)</f>
        <v>Dell Desktop</v>
      </c>
      <c r="G4833" s="159">
        <v>5</v>
      </c>
      <c r="H4833" s="160">
        <f>VLOOKUP(Sales[[#This Row],[Product ID]],Product[#All],7,0)</f>
        <v>56600</v>
      </c>
      <c r="I4833" s="160">
        <f>Sales[[#This Row],[Selling Rate]]*Sales[[#This Row],[Qty]]</f>
        <v>283000</v>
      </c>
      <c r="J4833" s="43">
        <v>0.02</v>
      </c>
      <c r="K4833" s="44">
        <f>Sales[[#This Row],[Gross Amount]]*Sales[[#This Row],[Disc %]]</f>
        <v>5660</v>
      </c>
      <c r="L4833" s="43">
        <v>0.18</v>
      </c>
      <c r="M4833" s="44">
        <f>(Sales[[#This Row],[Gross Amount]]-Sales[[#This Row],[Disc. Amt.]])*Sales[[#This Row],[GST %]]</f>
        <v>49921.2</v>
      </c>
      <c r="N4833" s="161">
        <f>Sales[[#This Row],[Gross Amount]]-Sales[[#This Row],[Disc. Amt.]]+Sales[[#This Row],[GST Amount]]</f>
        <v>327261.2</v>
      </c>
      <c r="O4833" s="158" t="s">
        <v>3569</v>
      </c>
      <c r="P4833" s="158" t="s">
        <v>3562</v>
      </c>
      <c r="Q4833" s="160">
        <f>IF(Sales[[#This Row],[Status]]="Cancelled",0,Sales[[#This Row],[Qty]])</f>
        <v>5</v>
      </c>
      <c r="R4833" s="161">
        <f>IF(Sales[[#This Row],[Status]]="Cancelled",0,Sales[[#This Row],[Total Amount]])</f>
        <v>327261.2</v>
      </c>
      <c r="S4833" s="162">
        <f>SUM(Sales[Net Amount])</f>
        <v>406839287.73200053</v>
      </c>
    </row>
    <row r="4834" spans="1:19" ht="18.75" x14ac:dyDescent="0.25">
      <c r="A4834" s="163" t="s">
        <v>8519</v>
      </c>
      <c r="B4834" s="164">
        <v>46014</v>
      </c>
      <c r="C4834" s="34" t="s">
        <v>721</v>
      </c>
      <c r="D4834" s="53" t="str">
        <f>VLOOKUP(Sales[[#This Row],[Customer ID]],Customer[#All],2,0)</f>
        <v>Sahil Sharma</v>
      </c>
      <c r="E4834" s="34" t="s">
        <v>472</v>
      </c>
      <c r="F4834" s="34" t="str">
        <f>VLOOKUP(Sales[[#This Row],[Product ID]],Product[#All],2,0)</f>
        <v>Seagate HDD</v>
      </c>
      <c r="G4834" s="53">
        <v>5</v>
      </c>
      <c r="H4834" s="165">
        <f>VLOOKUP(Sales[[#This Row],[Product ID]],Product[#All],7,0)</f>
        <v>6840</v>
      </c>
      <c r="I4834" s="165">
        <f>Sales[[#This Row],[Selling Rate]]*Sales[[#This Row],[Qty]]</f>
        <v>34200</v>
      </c>
      <c r="J4834" s="45">
        <v>0.12</v>
      </c>
      <c r="K4834" s="46">
        <f>Sales[[#This Row],[Gross Amount]]*Sales[[#This Row],[Disc %]]</f>
        <v>4104</v>
      </c>
      <c r="L4834" s="43">
        <v>0.18</v>
      </c>
      <c r="M4834" s="46">
        <f>(Sales[[#This Row],[Gross Amount]]-Sales[[#This Row],[Disc. Amt.]])*Sales[[#This Row],[GST %]]</f>
        <v>5417.28</v>
      </c>
      <c r="N4834" s="161">
        <f>Sales[[#This Row],[Gross Amount]]-Sales[[#This Row],[Disc. Amt.]]+Sales[[#This Row],[GST Amount]]</f>
        <v>35513.279999999999</v>
      </c>
      <c r="O4834" s="34" t="s">
        <v>3561</v>
      </c>
      <c r="P4834" s="34" t="s">
        <v>3562</v>
      </c>
      <c r="Q4834" s="165">
        <f>IF(Sales[[#This Row],[Status]]="Cancelled",0,Sales[[#This Row],[Qty]])</f>
        <v>5</v>
      </c>
      <c r="R4834" s="166">
        <f>IF(Sales[[#This Row],[Status]]="Cancelled",0,Sales[[#This Row],[Total Amount]])</f>
        <v>35513.279999999999</v>
      </c>
      <c r="S4834" s="162">
        <f>SUM(Sales[Net Amount])</f>
        <v>406839287.73200053</v>
      </c>
    </row>
    <row r="4835" spans="1:19" ht="18.75" x14ac:dyDescent="0.25">
      <c r="A4835" s="156" t="s">
        <v>8520</v>
      </c>
      <c r="B4835" s="157">
        <v>46014</v>
      </c>
      <c r="C4835" s="158" t="s">
        <v>932</v>
      </c>
      <c r="D4835" s="159" t="str">
        <f>VLOOKUP(Sales[[#This Row],[Customer ID]],Customer[#All],2,0)</f>
        <v>Vikas Gupta</v>
      </c>
      <c r="E4835" s="158" t="s">
        <v>411</v>
      </c>
      <c r="F4835" s="158" t="str">
        <f>VLOOKUP(Sales[[#This Row],[Product ID]],Product[#All],2,0)</f>
        <v>Logitech Webcam</v>
      </c>
      <c r="G4835" s="159">
        <v>5</v>
      </c>
      <c r="H4835" s="160">
        <f>VLOOKUP(Sales[[#This Row],[Product ID]],Product[#All],7,0)</f>
        <v>2350</v>
      </c>
      <c r="I4835" s="160">
        <f>Sales[[#This Row],[Selling Rate]]*Sales[[#This Row],[Qty]]</f>
        <v>11750</v>
      </c>
      <c r="J4835" s="43">
        <v>0</v>
      </c>
      <c r="K4835" s="44">
        <f>Sales[[#This Row],[Gross Amount]]*Sales[[#This Row],[Disc %]]</f>
        <v>0</v>
      </c>
      <c r="L4835" s="43">
        <v>0.18</v>
      </c>
      <c r="M4835" s="44">
        <f>(Sales[[#This Row],[Gross Amount]]-Sales[[#This Row],[Disc. Amt.]])*Sales[[#This Row],[GST %]]</f>
        <v>2115</v>
      </c>
      <c r="N4835" s="161">
        <f>Sales[[#This Row],[Gross Amount]]-Sales[[#This Row],[Disc. Amt.]]+Sales[[#This Row],[GST Amount]]</f>
        <v>13865</v>
      </c>
      <c r="O4835" s="158" t="s">
        <v>8876</v>
      </c>
      <c r="P4835" s="158" t="s">
        <v>3562</v>
      </c>
      <c r="Q4835" s="160">
        <f>IF(Sales[[#This Row],[Status]]="Cancelled",0,Sales[[#This Row],[Qty]])</f>
        <v>5</v>
      </c>
      <c r="R4835" s="161">
        <f>IF(Sales[[#This Row],[Status]]="Cancelled",0,Sales[[#This Row],[Total Amount]])</f>
        <v>13865</v>
      </c>
      <c r="S4835" s="162">
        <f>SUM(Sales[Net Amount])</f>
        <v>406839287.73200053</v>
      </c>
    </row>
    <row r="4836" spans="1:19" ht="18.75" x14ac:dyDescent="0.25">
      <c r="A4836" s="163" t="s">
        <v>8521</v>
      </c>
      <c r="B4836" s="164">
        <v>46015</v>
      </c>
      <c r="C4836" s="34" t="s">
        <v>909</v>
      </c>
      <c r="D4836" s="53" t="str">
        <f>VLOOKUP(Sales[[#This Row],[Customer ID]],Customer[#All],2,0)</f>
        <v>Priya Sharma</v>
      </c>
      <c r="E4836" s="34" t="s">
        <v>208</v>
      </c>
      <c r="F4836" s="34" t="str">
        <f>VLOOKUP(Sales[[#This Row],[Product ID]],Product[#All],2,0)</f>
        <v>Dell Laptop</v>
      </c>
      <c r="G4836" s="53">
        <v>1</v>
      </c>
      <c r="H4836" s="165">
        <f>VLOOKUP(Sales[[#This Row],[Product ID]],Product[#All],7,0)</f>
        <v>67000</v>
      </c>
      <c r="I4836" s="165">
        <f>Sales[[#This Row],[Selling Rate]]*Sales[[#This Row],[Qty]]</f>
        <v>67000</v>
      </c>
      <c r="J4836" s="45">
        <v>0.05</v>
      </c>
      <c r="K4836" s="46">
        <f>Sales[[#This Row],[Gross Amount]]*Sales[[#This Row],[Disc %]]</f>
        <v>3350</v>
      </c>
      <c r="L4836" s="43">
        <v>0.18</v>
      </c>
      <c r="M4836" s="46">
        <f>(Sales[[#This Row],[Gross Amount]]-Sales[[#This Row],[Disc. Amt.]])*Sales[[#This Row],[GST %]]</f>
        <v>11457</v>
      </c>
      <c r="N4836" s="161">
        <f>Sales[[#This Row],[Gross Amount]]-Sales[[#This Row],[Disc. Amt.]]+Sales[[#This Row],[GST Amount]]</f>
        <v>75107</v>
      </c>
      <c r="O4836" s="34" t="s">
        <v>3561</v>
      </c>
      <c r="P4836" s="34" t="s">
        <v>3562</v>
      </c>
      <c r="Q4836" s="165">
        <f>IF(Sales[[#This Row],[Status]]="Cancelled",0,Sales[[#This Row],[Qty]])</f>
        <v>1</v>
      </c>
      <c r="R4836" s="166">
        <f>IF(Sales[[#This Row],[Status]]="Cancelled",0,Sales[[#This Row],[Total Amount]])</f>
        <v>75107</v>
      </c>
      <c r="S4836" s="162">
        <f>SUM(Sales[Net Amount])</f>
        <v>406839287.73200053</v>
      </c>
    </row>
    <row r="4837" spans="1:19" ht="18.75" x14ac:dyDescent="0.25">
      <c r="A4837" s="156" t="s">
        <v>8522</v>
      </c>
      <c r="B4837" s="157">
        <v>46015</v>
      </c>
      <c r="C4837" s="158" t="s">
        <v>791</v>
      </c>
      <c r="D4837" s="159" t="str">
        <f>VLOOKUP(Sales[[#This Row],[Customer ID]],Customer[#All],2,0)</f>
        <v>Rakesh Sharma</v>
      </c>
      <c r="E4837" s="158" t="s">
        <v>543</v>
      </c>
      <c r="F4837" s="158" t="str">
        <f>VLOOKUP(Sales[[#This Row],[Product ID]],Product[#All],2,0)</f>
        <v>Logitech Mouse</v>
      </c>
      <c r="G4837" s="159">
        <v>5</v>
      </c>
      <c r="H4837" s="160">
        <f>VLOOKUP(Sales[[#This Row],[Product ID]],Product[#All],7,0)</f>
        <v>2430</v>
      </c>
      <c r="I4837" s="160">
        <f>Sales[[#This Row],[Selling Rate]]*Sales[[#This Row],[Qty]]</f>
        <v>12150</v>
      </c>
      <c r="J4837" s="43">
        <v>0.05</v>
      </c>
      <c r="K4837" s="44">
        <f>Sales[[#This Row],[Gross Amount]]*Sales[[#This Row],[Disc %]]</f>
        <v>607.5</v>
      </c>
      <c r="L4837" s="43">
        <v>0.18</v>
      </c>
      <c r="M4837" s="44">
        <f>(Sales[[#This Row],[Gross Amount]]-Sales[[#This Row],[Disc. Amt.]])*Sales[[#This Row],[GST %]]</f>
        <v>2077.65</v>
      </c>
      <c r="N4837" s="161">
        <f>Sales[[#This Row],[Gross Amount]]-Sales[[#This Row],[Disc. Amt.]]+Sales[[#This Row],[GST Amount]]</f>
        <v>13620.15</v>
      </c>
      <c r="O4837" s="158" t="s">
        <v>3566</v>
      </c>
      <c r="P4837" s="158" t="s">
        <v>3562</v>
      </c>
      <c r="Q4837" s="160">
        <f>IF(Sales[[#This Row],[Status]]="Cancelled",0,Sales[[#This Row],[Qty]])</f>
        <v>5</v>
      </c>
      <c r="R4837" s="161">
        <f>IF(Sales[[#This Row],[Status]]="Cancelled",0,Sales[[#This Row],[Total Amount]])</f>
        <v>13620.15</v>
      </c>
      <c r="S4837" s="162">
        <f>SUM(Sales[Net Amount])</f>
        <v>406839287.73200053</v>
      </c>
    </row>
    <row r="4838" spans="1:19" ht="18.75" x14ac:dyDescent="0.25">
      <c r="A4838" s="163" t="s">
        <v>8523</v>
      </c>
      <c r="B4838" s="164">
        <v>46015</v>
      </c>
      <c r="C4838" s="34" t="s">
        <v>705</v>
      </c>
      <c r="D4838" s="53" t="str">
        <f>VLOOKUP(Sales[[#This Row],[Customer ID]],Customer[#All],2,0)</f>
        <v>Priya Verma</v>
      </c>
      <c r="E4838" s="34" t="s">
        <v>542</v>
      </c>
      <c r="F4838" s="34" t="str">
        <f>VLOOKUP(Sales[[#This Row],[Product ID]],Product[#All],2,0)</f>
        <v>Logitech Webcam</v>
      </c>
      <c r="G4838" s="53">
        <v>7</v>
      </c>
      <c r="H4838" s="165">
        <f>VLOOKUP(Sales[[#This Row],[Product ID]],Product[#All],7,0)</f>
        <v>4800</v>
      </c>
      <c r="I4838" s="165">
        <f>Sales[[#This Row],[Selling Rate]]*Sales[[#This Row],[Qty]]</f>
        <v>33600</v>
      </c>
      <c r="J4838" s="45">
        <v>0</v>
      </c>
      <c r="K4838" s="46">
        <f>Sales[[#This Row],[Gross Amount]]*Sales[[#This Row],[Disc %]]</f>
        <v>0</v>
      </c>
      <c r="L4838" s="43">
        <v>0.18</v>
      </c>
      <c r="M4838" s="46">
        <f>(Sales[[#This Row],[Gross Amount]]-Sales[[#This Row],[Disc. Amt.]])*Sales[[#This Row],[GST %]]</f>
        <v>6048</v>
      </c>
      <c r="N4838" s="161">
        <f>Sales[[#This Row],[Gross Amount]]-Sales[[#This Row],[Disc. Amt.]]+Sales[[#This Row],[GST Amount]]</f>
        <v>39648</v>
      </c>
      <c r="O4838" s="34" t="s">
        <v>3566</v>
      </c>
      <c r="P4838" s="34" t="s">
        <v>3562</v>
      </c>
      <c r="Q4838" s="165">
        <f>IF(Sales[[#This Row],[Status]]="Cancelled",0,Sales[[#This Row],[Qty]])</f>
        <v>7</v>
      </c>
      <c r="R4838" s="166">
        <f>IF(Sales[[#This Row],[Status]]="Cancelled",0,Sales[[#This Row],[Total Amount]])</f>
        <v>39648</v>
      </c>
      <c r="S4838" s="162">
        <f>SUM(Sales[Net Amount])</f>
        <v>406839287.73200053</v>
      </c>
    </row>
    <row r="4839" spans="1:19" ht="18.75" x14ac:dyDescent="0.25">
      <c r="A4839" s="156" t="s">
        <v>8524</v>
      </c>
      <c r="B4839" s="157">
        <v>46015</v>
      </c>
      <c r="C4839" s="158" t="s">
        <v>766</v>
      </c>
      <c r="D4839" s="159" t="str">
        <f>VLOOKUP(Sales[[#This Row],[Customer ID]],Customer[#All],2,0)</f>
        <v>Neha Gupta</v>
      </c>
      <c r="E4839" s="158" t="s">
        <v>350</v>
      </c>
      <c r="F4839" s="158" t="str">
        <f>VLOOKUP(Sales[[#This Row],[Product ID]],Product[#All],2,0)</f>
        <v>Apc UPS</v>
      </c>
      <c r="G4839" s="159">
        <v>7</v>
      </c>
      <c r="H4839" s="160">
        <f>VLOOKUP(Sales[[#This Row],[Product ID]],Product[#All],7,0)</f>
        <v>18110</v>
      </c>
      <c r="I4839" s="160">
        <f>Sales[[#This Row],[Selling Rate]]*Sales[[#This Row],[Qty]]</f>
        <v>126770</v>
      </c>
      <c r="J4839" s="43">
        <v>0.05</v>
      </c>
      <c r="K4839" s="44">
        <f>Sales[[#This Row],[Gross Amount]]*Sales[[#This Row],[Disc %]]</f>
        <v>6338.5</v>
      </c>
      <c r="L4839" s="43">
        <v>0.18</v>
      </c>
      <c r="M4839" s="44">
        <f>(Sales[[#This Row],[Gross Amount]]-Sales[[#This Row],[Disc. Amt.]])*Sales[[#This Row],[GST %]]</f>
        <v>21677.67</v>
      </c>
      <c r="N4839" s="161">
        <f>Sales[[#This Row],[Gross Amount]]-Sales[[#This Row],[Disc. Amt.]]+Sales[[#This Row],[GST Amount]]</f>
        <v>142109.16999999998</v>
      </c>
      <c r="O4839" s="158" t="s">
        <v>3569</v>
      </c>
      <c r="P4839" s="158" t="s">
        <v>3562</v>
      </c>
      <c r="Q4839" s="160">
        <f>IF(Sales[[#This Row],[Status]]="Cancelled",0,Sales[[#This Row],[Qty]])</f>
        <v>7</v>
      </c>
      <c r="R4839" s="161">
        <f>IF(Sales[[#This Row],[Status]]="Cancelled",0,Sales[[#This Row],[Total Amount]])</f>
        <v>142109.16999999998</v>
      </c>
      <c r="S4839" s="162">
        <f>SUM(Sales[Net Amount])</f>
        <v>406839287.73200053</v>
      </c>
    </row>
    <row r="4840" spans="1:19" ht="18.75" x14ac:dyDescent="0.25">
      <c r="A4840" s="163" t="s">
        <v>8525</v>
      </c>
      <c r="B4840" s="164">
        <v>46015</v>
      </c>
      <c r="C4840" s="34" t="s">
        <v>837</v>
      </c>
      <c r="D4840" s="53" t="str">
        <f>VLOOKUP(Sales[[#This Row],[Customer ID]],Customer[#All],2,0)</f>
        <v>Sahil Patel</v>
      </c>
      <c r="E4840" s="34" t="s">
        <v>461</v>
      </c>
      <c r="F4840" s="34" t="str">
        <f>VLOOKUP(Sales[[#This Row],[Product ID]],Product[#All],2,0)</f>
        <v>TP-link Wi-Fi Adapter</v>
      </c>
      <c r="G4840" s="53">
        <v>3</v>
      </c>
      <c r="H4840" s="165">
        <f>VLOOKUP(Sales[[#This Row],[Product ID]],Product[#All],7,0)</f>
        <v>2500</v>
      </c>
      <c r="I4840" s="165">
        <f>Sales[[#This Row],[Selling Rate]]*Sales[[#This Row],[Qty]]</f>
        <v>7500</v>
      </c>
      <c r="J4840" s="45">
        <v>0.15</v>
      </c>
      <c r="K4840" s="46">
        <f>Sales[[#This Row],[Gross Amount]]*Sales[[#This Row],[Disc %]]</f>
        <v>1125</v>
      </c>
      <c r="L4840" s="43">
        <v>0.18</v>
      </c>
      <c r="M4840" s="46">
        <f>(Sales[[#This Row],[Gross Amount]]-Sales[[#This Row],[Disc. Amt.]])*Sales[[#This Row],[GST %]]</f>
        <v>1147.5</v>
      </c>
      <c r="N4840" s="161">
        <f>Sales[[#This Row],[Gross Amount]]-Sales[[#This Row],[Disc. Amt.]]+Sales[[#This Row],[GST Amount]]</f>
        <v>7522.5</v>
      </c>
      <c r="O4840" s="34" t="s">
        <v>3566</v>
      </c>
      <c r="P4840" s="34" t="s">
        <v>3562</v>
      </c>
      <c r="Q4840" s="165">
        <f>IF(Sales[[#This Row],[Status]]="Cancelled",0,Sales[[#This Row],[Qty]])</f>
        <v>3</v>
      </c>
      <c r="R4840" s="166">
        <f>IF(Sales[[#This Row],[Status]]="Cancelled",0,Sales[[#This Row],[Total Amount]])</f>
        <v>7522.5</v>
      </c>
      <c r="S4840" s="162">
        <f>SUM(Sales[Net Amount])</f>
        <v>406839287.73200053</v>
      </c>
    </row>
    <row r="4841" spans="1:19" ht="18.75" x14ac:dyDescent="0.25">
      <c r="A4841" s="156" t="s">
        <v>8526</v>
      </c>
      <c r="B4841" s="157">
        <v>46015</v>
      </c>
      <c r="C4841" s="158" t="s">
        <v>949</v>
      </c>
      <c r="D4841" s="159" t="str">
        <f>VLOOKUP(Sales[[#This Row],[Customer ID]],Customer[#All],2,0)</f>
        <v>Amit Patel</v>
      </c>
      <c r="E4841" s="158" t="s">
        <v>256</v>
      </c>
      <c r="F4841" s="158" t="str">
        <f>VLOOKUP(Sales[[#This Row],[Product ID]],Product[#All],2,0)</f>
        <v>HP Laptop</v>
      </c>
      <c r="G4841" s="159">
        <v>4</v>
      </c>
      <c r="H4841" s="160">
        <f>VLOOKUP(Sales[[#This Row],[Product ID]],Product[#All],7,0)</f>
        <v>106260</v>
      </c>
      <c r="I4841" s="160">
        <f>Sales[[#This Row],[Selling Rate]]*Sales[[#This Row],[Qty]]</f>
        <v>425040</v>
      </c>
      <c r="J4841" s="43">
        <v>0.05</v>
      </c>
      <c r="K4841" s="44">
        <f>Sales[[#This Row],[Gross Amount]]*Sales[[#This Row],[Disc %]]</f>
        <v>21252</v>
      </c>
      <c r="L4841" s="43">
        <v>0.18</v>
      </c>
      <c r="M4841" s="44">
        <f>(Sales[[#This Row],[Gross Amount]]-Sales[[#This Row],[Disc. Amt.]])*Sales[[#This Row],[GST %]]</f>
        <v>72681.84</v>
      </c>
      <c r="N4841" s="161">
        <f>Sales[[#This Row],[Gross Amount]]-Sales[[#This Row],[Disc. Amt.]]+Sales[[#This Row],[GST Amount]]</f>
        <v>476469.83999999997</v>
      </c>
      <c r="O4841" s="158" t="s">
        <v>3566</v>
      </c>
      <c r="P4841" s="158" t="s">
        <v>3562</v>
      </c>
      <c r="Q4841" s="160">
        <f>IF(Sales[[#This Row],[Status]]="Cancelled",0,Sales[[#This Row],[Qty]])</f>
        <v>4</v>
      </c>
      <c r="R4841" s="161">
        <f>IF(Sales[[#This Row],[Status]]="Cancelled",0,Sales[[#This Row],[Total Amount]])</f>
        <v>476469.83999999997</v>
      </c>
      <c r="S4841" s="162">
        <f>SUM(Sales[Net Amount])</f>
        <v>406839287.73200053</v>
      </c>
    </row>
    <row r="4842" spans="1:19" ht="18.75" x14ac:dyDescent="0.25">
      <c r="A4842" s="163" t="s">
        <v>8527</v>
      </c>
      <c r="B4842" s="164">
        <v>46015</v>
      </c>
      <c r="C4842" s="34" t="s">
        <v>857</v>
      </c>
      <c r="D4842" s="53" t="str">
        <f>VLOOKUP(Sales[[#This Row],[Customer ID]],Customer[#All],2,0)</f>
        <v>Pooja Singh</v>
      </c>
      <c r="E4842" s="34" t="s">
        <v>527</v>
      </c>
      <c r="F4842" s="34" t="str">
        <f>VLOOKUP(Sales[[#This Row],[Product ID]],Product[#All],2,0)</f>
        <v>Acer Laptop</v>
      </c>
      <c r="G4842" s="53">
        <v>1</v>
      </c>
      <c r="H4842" s="165">
        <f>VLOOKUP(Sales[[#This Row],[Product ID]],Product[#All],7,0)</f>
        <v>29070</v>
      </c>
      <c r="I4842" s="165">
        <f>Sales[[#This Row],[Selling Rate]]*Sales[[#This Row],[Qty]]</f>
        <v>29070</v>
      </c>
      <c r="J4842" s="45">
        <v>0.05</v>
      </c>
      <c r="K4842" s="46">
        <f>Sales[[#This Row],[Gross Amount]]*Sales[[#This Row],[Disc %]]</f>
        <v>1453.5</v>
      </c>
      <c r="L4842" s="43">
        <v>0.18</v>
      </c>
      <c r="M4842" s="46">
        <f>(Sales[[#This Row],[Gross Amount]]-Sales[[#This Row],[Disc. Amt.]])*Sales[[#This Row],[GST %]]</f>
        <v>4970.97</v>
      </c>
      <c r="N4842" s="161">
        <f>Sales[[#This Row],[Gross Amount]]-Sales[[#This Row],[Disc. Amt.]]+Sales[[#This Row],[GST Amount]]</f>
        <v>32587.47</v>
      </c>
      <c r="O4842" s="34" t="s">
        <v>3566</v>
      </c>
      <c r="P4842" s="34" t="s">
        <v>3562</v>
      </c>
      <c r="Q4842" s="165">
        <f>IF(Sales[[#This Row],[Status]]="Cancelled",0,Sales[[#This Row],[Qty]])</f>
        <v>1</v>
      </c>
      <c r="R4842" s="166">
        <f>IF(Sales[[#This Row],[Status]]="Cancelled",0,Sales[[#This Row],[Total Amount]])</f>
        <v>32587.47</v>
      </c>
      <c r="S4842" s="162">
        <f>SUM(Sales[Net Amount])</f>
        <v>406839287.73200053</v>
      </c>
    </row>
    <row r="4843" spans="1:19" ht="18.75" x14ac:dyDescent="0.25">
      <c r="A4843" s="156" t="s">
        <v>8528</v>
      </c>
      <c r="B4843" s="157">
        <v>46015</v>
      </c>
      <c r="C4843" s="158" t="s">
        <v>951</v>
      </c>
      <c r="D4843" s="159" t="str">
        <f>VLOOKUP(Sales[[#This Row],[Customer ID]],Customer[#All],2,0)</f>
        <v>Rahul Singh</v>
      </c>
      <c r="E4843" s="158" t="s">
        <v>124</v>
      </c>
      <c r="F4843" s="158" t="str">
        <f>VLOOKUP(Sales[[#This Row],[Product ID]],Product[#All],2,0)</f>
        <v>Crucial Ssd</v>
      </c>
      <c r="G4843" s="159">
        <v>4</v>
      </c>
      <c r="H4843" s="160">
        <f>VLOOKUP(Sales[[#This Row],[Product ID]],Product[#All],7,0)</f>
        <v>14820</v>
      </c>
      <c r="I4843" s="160">
        <f>Sales[[#This Row],[Selling Rate]]*Sales[[#This Row],[Qty]]</f>
        <v>59280</v>
      </c>
      <c r="J4843" s="43">
        <v>0.05</v>
      </c>
      <c r="K4843" s="44">
        <f>Sales[[#This Row],[Gross Amount]]*Sales[[#This Row],[Disc %]]</f>
        <v>2964</v>
      </c>
      <c r="L4843" s="43">
        <v>0.18</v>
      </c>
      <c r="M4843" s="44">
        <f>(Sales[[#This Row],[Gross Amount]]-Sales[[#This Row],[Disc. Amt.]])*Sales[[#This Row],[GST %]]</f>
        <v>10136.879999999999</v>
      </c>
      <c r="N4843" s="161">
        <f>Sales[[#This Row],[Gross Amount]]-Sales[[#This Row],[Disc. Amt.]]+Sales[[#This Row],[GST Amount]]</f>
        <v>66452.88</v>
      </c>
      <c r="O4843" s="158" t="s">
        <v>3561</v>
      </c>
      <c r="P4843" s="158" t="s">
        <v>3562</v>
      </c>
      <c r="Q4843" s="160">
        <f>IF(Sales[[#This Row],[Status]]="Cancelled",0,Sales[[#This Row],[Qty]])</f>
        <v>4</v>
      </c>
      <c r="R4843" s="161">
        <f>IF(Sales[[#This Row],[Status]]="Cancelled",0,Sales[[#This Row],[Total Amount]])</f>
        <v>66452.88</v>
      </c>
      <c r="S4843" s="162">
        <f>SUM(Sales[Net Amount])</f>
        <v>406839287.73200053</v>
      </c>
    </row>
    <row r="4844" spans="1:19" ht="18.75" x14ac:dyDescent="0.25">
      <c r="A4844" s="163" t="s">
        <v>8529</v>
      </c>
      <c r="B4844" s="164">
        <v>46015</v>
      </c>
      <c r="C4844" s="34" t="s">
        <v>837</v>
      </c>
      <c r="D4844" s="53" t="str">
        <f>VLOOKUP(Sales[[#This Row],[Customer ID]],Customer[#All],2,0)</f>
        <v>Sahil Patel</v>
      </c>
      <c r="E4844" s="34" t="s">
        <v>294</v>
      </c>
      <c r="F4844" s="34" t="str">
        <f>VLOOKUP(Sales[[#This Row],[Product ID]],Product[#All],2,0)</f>
        <v>Samsung Monitor</v>
      </c>
      <c r="G4844" s="53">
        <v>3</v>
      </c>
      <c r="H4844" s="165">
        <f>VLOOKUP(Sales[[#This Row],[Product ID]],Product[#All],7,0)</f>
        <v>33870</v>
      </c>
      <c r="I4844" s="165">
        <f>Sales[[#This Row],[Selling Rate]]*Sales[[#This Row],[Qty]]</f>
        <v>101610</v>
      </c>
      <c r="J4844" s="45">
        <v>0.05</v>
      </c>
      <c r="K4844" s="46">
        <f>Sales[[#This Row],[Gross Amount]]*Sales[[#This Row],[Disc %]]</f>
        <v>5080.5</v>
      </c>
      <c r="L4844" s="43">
        <v>0.18</v>
      </c>
      <c r="M4844" s="46">
        <f>(Sales[[#This Row],[Gross Amount]]-Sales[[#This Row],[Disc. Amt.]])*Sales[[#This Row],[GST %]]</f>
        <v>17375.309999999998</v>
      </c>
      <c r="N4844" s="161">
        <f>Sales[[#This Row],[Gross Amount]]-Sales[[#This Row],[Disc. Amt.]]+Sales[[#This Row],[GST Amount]]</f>
        <v>113904.81</v>
      </c>
      <c r="O4844" s="34" t="s">
        <v>3566</v>
      </c>
      <c r="P4844" s="34" t="s">
        <v>3562</v>
      </c>
      <c r="Q4844" s="165">
        <f>IF(Sales[[#This Row],[Status]]="Cancelled",0,Sales[[#This Row],[Qty]])</f>
        <v>3</v>
      </c>
      <c r="R4844" s="166">
        <f>IF(Sales[[#This Row],[Status]]="Cancelled",0,Sales[[#This Row],[Total Amount]])</f>
        <v>113904.81</v>
      </c>
      <c r="S4844" s="162">
        <f>SUM(Sales[Net Amount])</f>
        <v>406839287.73200053</v>
      </c>
    </row>
    <row r="4845" spans="1:19" ht="18.75" x14ac:dyDescent="0.25">
      <c r="A4845" s="156" t="s">
        <v>8530</v>
      </c>
      <c r="B4845" s="157">
        <v>46015</v>
      </c>
      <c r="C4845" s="158" t="s">
        <v>689</v>
      </c>
      <c r="D4845" s="159" t="str">
        <f>VLOOKUP(Sales[[#This Row],[Customer ID]],Customer[#All],2,0)</f>
        <v>Sahil Kumar</v>
      </c>
      <c r="E4845" s="158" t="s">
        <v>190</v>
      </c>
      <c r="F4845" s="158" t="str">
        <f>VLOOKUP(Sales[[#This Row],[Product ID]],Product[#All],2,0)</f>
        <v>Samsung Monitor</v>
      </c>
      <c r="G4845" s="159">
        <v>6</v>
      </c>
      <c r="H4845" s="160">
        <f>VLOOKUP(Sales[[#This Row],[Product ID]],Product[#All],7,0)</f>
        <v>18190</v>
      </c>
      <c r="I4845" s="160">
        <f>Sales[[#This Row],[Selling Rate]]*Sales[[#This Row],[Qty]]</f>
        <v>109140</v>
      </c>
      <c r="J4845" s="43">
        <v>0</v>
      </c>
      <c r="K4845" s="44">
        <f>Sales[[#This Row],[Gross Amount]]*Sales[[#This Row],[Disc %]]</f>
        <v>0</v>
      </c>
      <c r="L4845" s="43">
        <v>0.18</v>
      </c>
      <c r="M4845" s="44">
        <f>(Sales[[#This Row],[Gross Amount]]-Sales[[#This Row],[Disc. Amt.]])*Sales[[#This Row],[GST %]]</f>
        <v>19645.2</v>
      </c>
      <c r="N4845" s="161">
        <f>Sales[[#This Row],[Gross Amount]]-Sales[[#This Row],[Disc. Amt.]]+Sales[[#This Row],[GST Amount]]</f>
        <v>128785.2</v>
      </c>
      <c r="O4845" s="158" t="s">
        <v>8876</v>
      </c>
      <c r="P4845" s="158" t="s">
        <v>3562</v>
      </c>
      <c r="Q4845" s="160">
        <f>IF(Sales[[#This Row],[Status]]="Cancelled",0,Sales[[#This Row],[Qty]])</f>
        <v>6</v>
      </c>
      <c r="R4845" s="161">
        <f>IF(Sales[[#This Row],[Status]]="Cancelled",0,Sales[[#This Row],[Total Amount]])</f>
        <v>128785.2</v>
      </c>
      <c r="S4845" s="162">
        <f>SUM(Sales[Net Amount])</f>
        <v>406839287.73200053</v>
      </c>
    </row>
    <row r="4846" spans="1:19" ht="18.75" x14ac:dyDescent="0.25">
      <c r="A4846" s="163" t="s">
        <v>8531</v>
      </c>
      <c r="B4846" s="164">
        <v>46015</v>
      </c>
      <c r="C4846" s="34" t="s">
        <v>794</v>
      </c>
      <c r="D4846" s="53" t="str">
        <f>VLOOKUP(Sales[[#This Row],[Customer ID]],Customer[#All],2,0)</f>
        <v>Sunita Sharma</v>
      </c>
      <c r="E4846" s="34" t="s">
        <v>200</v>
      </c>
      <c r="F4846" s="34" t="str">
        <f>VLOOKUP(Sales[[#This Row],[Product ID]],Product[#All],2,0)</f>
        <v>Logitech Webcam</v>
      </c>
      <c r="G4846" s="53">
        <v>6</v>
      </c>
      <c r="H4846" s="165">
        <f>VLOOKUP(Sales[[#This Row],[Product ID]],Product[#All],7,0)</f>
        <v>5040</v>
      </c>
      <c r="I4846" s="165">
        <f>Sales[[#This Row],[Selling Rate]]*Sales[[#This Row],[Qty]]</f>
        <v>30240</v>
      </c>
      <c r="J4846" s="45">
        <v>0</v>
      </c>
      <c r="K4846" s="46">
        <f>Sales[[#This Row],[Gross Amount]]*Sales[[#This Row],[Disc %]]</f>
        <v>0</v>
      </c>
      <c r="L4846" s="43">
        <v>0.18</v>
      </c>
      <c r="M4846" s="46">
        <f>(Sales[[#This Row],[Gross Amount]]-Sales[[#This Row],[Disc. Amt.]])*Sales[[#This Row],[GST %]]</f>
        <v>5443.2</v>
      </c>
      <c r="N4846" s="161">
        <f>Sales[[#This Row],[Gross Amount]]-Sales[[#This Row],[Disc. Amt.]]+Sales[[#This Row],[GST Amount]]</f>
        <v>35683.199999999997</v>
      </c>
      <c r="O4846" s="34" t="s">
        <v>3566</v>
      </c>
      <c r="P4846" s="34" t="s">
        <v>3562</v>
      </c>
      <c r="Q4846" s="165">
        <f>IF(Sales[[#This Row],[Status]]="Cancelled",0,Sales[[#This Row],[Qty]])</f>
        <v>6</v>
      </c>
      <c r="R4846" s="166">
        <f>IF(Sales[[#This Row],[Status]]="Cancelled",0,Sales[[#This Row],[Total Amount]])</f>
        <v>35683.199999999997</v>
      </c>
      <c r="S4846" s="162">
        <f>SUM(Sales[Net Amount])</f>
        <v>406839287.73200053</v>
      </c>
    </row>
    <row r="4847" spans="1:19" ht="18.75" x14ac:dyDescent="0.25">
      <c r="A4847" s="156" t="s">
        <v>8532</v>
      </c>
      <c r="B4847" s="157">
        <v>46015</v>
      </c>
      <c r="C4847" s="158" t="s">
        <v>712</v>
      </c>
      <c r="D4847" s="159" t="str">
        <f>VLOOKUP(Sales[[#This Row],[Customer ID]],Customer[#All],2,0)</f>
        <v>Sahil Verma</v>
      </c>
      <c r="E4847" s="158" t="s">
        <v>312</v>
      </c>
      <c r="F4847" s="158" t="str">
        <f>VLOOKUP(Sales[[#This Row],[Product ID]],Product[#All],2,0)</f>
        <v>Dell Desktop</v>
      </c>
      <c r="G4847" s="159">
        <v>5</v>
      </c>
      <c r="H4847" s="160">
        <f>VLOOKUP(Sales[[#This Row],[Product ID]],Product[#All],7,0)</f>
        <v>59050</v>
      </c>
      <c r="I4847" s="160">
        <f>Sales[[#This Row],[Selling Rate]]*Sales[[#This Row],[Qty]]</f>
        <v>295250</v>
      </c>
      <c r="J4847" s="43">
        <v>0.02</v>
      </c>
      <c r="K4847" s="44">
        <f>Sales[[#This Row],[Gross Amount]]*Sales[[#This Row],[Disc %]]</f>
        <v>5905</v>
      </c>
      <c r="L4847" s="43">
        <v>0.18</v>
      </c>
      <c r="M4847" s="44">
        <f>(Sales[[#This Row],[Gross Amount]]-Sales[[#This Row],[Disc. Amt.]])*Sales[[#This Row],[GST %]]</f>
        <v>52082.1</v>
      </c>
      <c r="N4847" s="161">
        <f>Sales[[#This Row],[Gross Amount]]-Sales[[#This Row],[Disc. Amt.]]+Sales[[#This Row],[GST Amount]]</f>
        <v>341427.1</v>
      </c>
      <c r="O4847" s="158" t="s">
        <v>8876</v>
      </c>
      <c r="P4847" s="158" t="s">
        <v>3562</v>
      </c>
      <c r="Q4847" s="160">
        <f>IF(Sales[[#This Row],[Status]]="Cancelled",0,Sales[[#This Row],[Qty]])</f>
        <v>5</v>
      </c>
      <c r="R4847" s="161">
        <f>IF(Sales[[#This Row],[Status]]="Cancelled",0,Sales[[#This Row],[Total Amount]])</f>
        <v>341427.1</v>
      </c>
      <c r="S4847" s="162">
        <f>SUM(Sales[Net Amount])</f>
        <v>406839287.73200053</v>
      </c>
    </row>
    <row r="4848" spans="1:19" ht="18.75" x14ac:dyDescent="0.25">
      <c r="A4848" s="163" t="s">
        <v>8533</v>
      </c>
      <c r="B4848" s="164">
        <v>46015</v>
      </c>
      <c r="C4848" s="34" t="s">
        <v>761</v>
      </c>
      <c r="D4848" s="53" t="str">
        <f>VLOOKUP(Sales[[#This Row],[Customer ID]],Customer[#All],2,0)</f>
        <v>Priya Verma</v>
      </c>
      <c r="E4848" s="34" t="s">
        <v>261</v>
      </c>
      <c r="F4848" s="34" t="str">
        <f>VLOOKUP(Sales[[#This Row],[Product ID]],Product[#All],2,0)</f>
        <v>American TouristerLaptopBag</v>
      </c>
      <c r="G4848" s="53">
        <v>4</v>
      </c>
      <c r="H4848" s="165">
        <f>VLOOKUP(Sales[[#This Row],[Product ID]],Product[#All],7,0)</f>
        <v>1320</v>
      </c>
      <c r="I4848" s="165">
        <f>Sales[[#This Row],[Selling Rate]]*Sales[[#This Row],[Qty]]</f>
        <v>5280</v>
      </c>
      <c r="J4848" s="45">
        <v>0.05</v>
      </c>
      <c r="K4848" s="46">
        <f>Sales[[#This Row],[Gross Amount]]*Sales[[#This Row],[Disc %]]</f>
        <v>264</v>
      </c>
      <c r="L4848" s="43">
        <v>0.18</v>
      </c>
      <c r="M4848" s="46">
        <f>(Sales[[#This Row],[Gross Amount]]-Sales[[#This Row],[Disc. Amt.]])*Sales[[#This Row],[GST %]]</f>
        <v>902.88</v>
      </c>
      <c r="N4848" s="161">
        <f>Sales[[#This Row],[Gross Amount]]-Sales[[#This Row],[Disc. Amt.]]+Sales[[#This Row],[GST Amount]]</f>
        <v>5918.88</v>
      </c>
      <c r="O4848" s="34" t="s">
        <v>3561</v>
      </c>
      <c r="P4848" s="34" t="s">
        <v>3562</v>
      </c>
      <c r="Q4848" s="165">
        <f>IF(Sales[[#This Row],[Status]]="Cancelled",0,Sales[[#This Row],[Qty]])</f>
        <v>4</v>
      </c>
      <c r="R4848" s="166">
        <f>IF(Sales[[#This Row],[Status]]="Cancelled",0,Sales[[#This Row],[Total Amount]])</f>
        <v>5918.88</v>
      </c>
      <c r="S4848" s="162">
        <f>SUM(Sales[Net Amount])</f>
        <v>406839287.73200053</v>
      </c>
    </row>
    <row r="4849" spans="1:19" ht="18.75" x14ac:dyDescent="0.25">
      <c r="A4849" s="156" t="s">
        <v>8534</v>
      </c>
      <c r="B4849" s="157">
        <v>46015</v>
      </c>
      <c r="C4849" s="158" t="s">
        <v>762</v>
      </c>
      <c r="D4849" s="159" t="str">
        <f>VLOOKUP(Sales[[#This Row],[Customer ID]],Customer[#All],2,0)</f>
        <v>Amit Patel</v>
      </c>
      <c r="E4849" s="158" t="s">
        <v>48</v>
      </c>
      <c r="F4849" s="158" t="str">
        <f>VLOOKUP(Sales[[#This Row],[Product ID]],Product[#All],2,0)</f>
        <v>Jbl Headset</v>
      </c>
      <c r="G4849" s="159">
        <v>7</v>
      </c>
      <c r="H4849" s="160">
        <f>VLOOKUP(Sales[[#This Row],[Product ID]],Product[#All],7,0)</f>
        <v>4610</v>
      </c>
      <c r="I4849" s="160">
        <f>Sales[[#This Row],[Selling Rate]]*Sales[[#This Row],[Qty]]</f>
        <v>32270</v>
      </c>
      <c r="J4849" s="43">
        <v>0.12</v>
      </c>
      <c r="K4849" s="44">
        <f>Sales[[#This Row],[Gross Amount]]*Sales[[#This Row],[Disc %]]</f>
        <v>3872.3999999999996</v>
      </c>
      <c r="L4849" s="43">
        <v>0.18</v>
      </c>
      <c r="M4849" s="44">
        <f>(Sales[[#This Row],[Gross Amount]]-Sales[[#This Row],[Disc. Amt.]])*Sales[[#This Row],[GST %]]</f>
        <v>5111.5679999999993</v>
      </c>
      <c r="N4849" s="161">
        <f>Sales[[#This Row],[Gross Amount]]-Sales[[#This Row],[Disc. Amt.]]+Sales[[#This Row],[GST Amount]]</f>
        <v>33509.167999999998</v>
      </c>
      <c r="O4849" s="158" t="s">
        <v>3569</v>
      </c>
      <c r="P4849" s="158" t="s">
        <v>3562</v>
      </c>
      <c r="Q4849" s="160">
        <f>IF(Sales[[#This Row],[Status]]="Cancelled",0,Sales[[#This Row],[Qty]])</f>
        <v>7</v>
      </c>
      <c r="R4849" s="161">
        <f>IF(Sales[[#This Row],[Status]]="Cancelled",0,Sales[[#This Row],[Total Amount]])</f>
        <v>33509.167999999998</v>
      </c>
      <c r="S4849" s="162">
        <f>SUM(Sales[Net Amount])</f>
        <v>406839287.73200053</v>
      </c>
    </row>
    <row r="4850" spans="1:19" ht="18.75" x14ac:dyDescent="0.25">
      <c r="A4850" s="163" t="s">
        <v>8535</v>
      </c>
      <c r="B4850" s="164">
        <v>46015</v>
      </c>
      <c r="C4850" s="34" t="s">
        <v>835</v>
      </c>
      <c r="D4850" s="53" t="str">
        <f>VLOOKUP(Sales[[#This Row],[Customer ID]],Customer[#All],2,0)</f>
        <v>Ankit Kumar</v>
      </c>
      <c r="E4850" s="34" t="s">
        <v>217</v>
      </c>
      <c r="F4850" s="34" t="str">
        <f>VLOOKUP(Sales[[#This Row],[Product ID]],Product[#All],2,0)</f>
        <v>Logitech Webcam</v>
      </c>
      <c r="G4850" s="53">
        <v>7</v>
      </c>
      <c r="H4850" s="165">
        <f>VLOOKUP(Sales[[#This Row],[Product ID]],Product[#All],7,0)</f>
        <v>2420</v>
      </c>
      <c r="I4850" s="165">
        <f>Sales[[#This Row],[Selling Rate]]*Sales[[#This Row],[Qty]]</f>
        <v>16940</v>
      </c>
      <c r="J4850" s="45">
        <v>0</v>
      </c>
      <c r="K4850" s="46">
        <f>Sales[[#This Row],[Gross Amount]]*Sales[[#This Row],[Disc %]]</f>
        <v>0</v>
      </c>
      <c r="L4850" s="43">
        <v>0.18</v>
      </c>
      <c r="M4850" s="46">
        <f>(Sales[[#This Row],[Gross Amount]]-Sales[[#This Row],[Disc. Amt.]])*Sales[[#This Row],[GST %]]</f>
        <v>3049.2</v>
      </c>
      <c r="N4850" s="161">
        <f>Sales[[#This Row],[Gross Amount]]-Sales[[#This Row],[Disc. Amt.]]+Sales[[#This Row],[GST Amount]]</f>
        <v>19989.2</v>
      </c>
      <c r="O4850" s="34" t="s">
        <v>8876</v>
      </c>
      <c r="P4850" s="34" t="s">
        <v>3562</v>
      </c>
      <c r="Q4850" s="165">
        <f>IF(Sales[[#This Row],[Status]]="Cancelled",0,Sales[[#This Row],[Qty]])</f>
        <v>7</v>
      </c>
      <c r="R4850" s="166">
        <f>IF(Sales[[#This Row],[Status]]="Cancelled",0,Sales[[#This Row],[Total Amount]])</f>
        <v>19989.2</v>
      </c>
      <c r="S4850" s="162">
        <f>SUM(Sales[Net Amount])</f>
        <v>406839287.73200053</v>
      </c>
    </row>
    <row r="4851" spans="1:19" ht="18.75" x14ac:dyDescent="0.25">
      <c r="A4851" s="156" t="s">
        <v>8536</v>
      </c>
      <c r="B4851" s="157">
        <v>46015</v>
      </c>
      <c r="C4851" s="158" t="s">
        <v>873</v>
      </c>
      <c r="D4851" s="159" t="str">
        <f>VLOOKUP(Sales[[#This Row],[Customer ID]],Customer[#All],2,0)</f>
        <v>Sahil Verma</v>
      </c>
      <c r="E4851" s="158" t="s">
        <v>348</v>
      </c>
      <c r="F4851" s="158" t="str">
        <f>VLOOKUP(Sales[[#This Row],[Product ID]],Product[#All],2,0)</f>
        <v>Jbl Speaker</v>
      </c>
      <c r="G4851" s="159">
        <v>3</v>
      </c>
      <c r="H4851" s="160">
        <f>VLOOKUP(Sales[[#This Row],[Product ID]],Product[#All],7,0)</f>
        <v>6700</v>
      </c>
      <c r="I4851" s="160">
        <f>Sales[[#This Row],[Selling Rate]]*Sales[[#This Row],[Qty]]</f>
        <v>20100</v>
      </c>
      <c r="J4851" s="43">
        <v>0.12</v>
      </c>
      <c r="K4851" s="44">
        <f>Sales[[#This Row],[Gross Amount]]*Sales[[#This Row],[Disc %]]</f>
        <v>2412</v>
      </c>
      <c r="L4851" s="43">
        <v>0.18</v>
      </c>
      <c r="M4851" s="44">
        <f>(Sales[[#This Row],[Gross Amount]]-Sales[[#This Row],[Disc. Amt.]])*Sales[[#This Row],[GST %]]</f>
        <v>3183.8399999999997</v>
      </c>
      <c r="N4851" s="161">
        <f>Sales[[#This Row],[Gross Amount]]-Sales[[#This Row],[Disc. Amt.]]+Sales[[#This Row],[GST Amount]]</f>
        <v>20871.84</v>
      </c>
      <c r="O4851" s="158" t="s">
        <v>3566</v>
      </c>
      <c r="P4851" s="158" t="s">
        <v>3562</v>
      </c>
      <c r="Q4851" s="160">
        <f>IF(Sales[[#This Row],[Status]]="Cancelled",0,Sales[[#This Row],[Qty]])</f>
        <v>3</v>
      </c>
      <c r="R4851" s="161">
        <f>IF(Sales[[#This Row],[Status]]="Cancelled",0,Sales[[#This Row],[Total Amount]])</f>
        <v>20871.84</v>
      </c>
      <c r="S4851" s="162">
        <f>SUM(Sales[Net Amount])</f>
        <v>406839287.73200053</v>
      </c>
    </row>
    <row r="4852" spans="1:19" ht="18.75" x14ac:dyDescent="0.25">
      <c r="A4852" s="163" t="s">
        <v>8537</v>
      </c>
      <c r="B4852" s="164">
        <v>46015</v>
      </c>
      <c r="C4852" s="34" t="s">
        <v>684</v>
      </c>
      <c r="D4852" s="53" t="str">
        <f>VLOOKUP(Sales[[#This Row],[Customer ID]],Customer[#All],2,0)</f>
        <v>Rahul Sharma</v>
      </c>
      <c r="E4852" s="34" t="s">
        <v>250</v>
      </c>
      <c r="F4852" s="34" t="str">
        <f>VLOOKUP(Sales[[#This Row],[Product ID]],Product[#All],2,0)</f>
        <v>Corsair Ram</v>
      </c>
      <c r="G4852" s="53">
        <v>3</v>
      </c>
      <c r="H4852" s="165">
        <f>VLOOKUP(Sales[[#This Row],[Product ID]],Product[#All],7,0)</f>
        <v>12160</v>
      </c>
      <c r="I4852" s="165">
        <f>Sales[[#This Row],[Selling Rate]]*Sales[[#This Row],[Qty]]</f>
        <v>36480</v>
      </c>
      <c r="J4852" s="45">
        <v>0.15</v>
      </c>
      <c r="K4852" s="46">
        <f>Sales[[#This Row],[Gross Amount]]*Sales[[#This Row],[Disc %]]</f>
        <v>5472</v>
      </c>
      <c r="L4852" s="43">
        <v>0.18</v>
      </c>
      <c r="M4852" s="46">
        <f>(Sales[[#This Row],[Gross Amount]]-Sales[[#This Row],[Disc. Amt.]])*Sales[[#This Row],[GST %]]</f>
        <v>5581.44</v>
      </c>
      <c r="N4852" s="161">
        <f>Sales[[#This Row],[Gross Amount]]-Sales[[#This Row],[Disc. Amt.]]+Sales[[#This Row],[GST Amount]]</f>
        <v>36589.440000000002</v>
      </c>
      <c r="O4852" s="34" t="s">
        <v>3561</v>
      </c>
      <c r="P4852" s="34" t="s">
        <v>3562</v>
      </c>
      <c r="Q4852" s="165">
        <f>IF(Sales[[#This Row],[Status]]="Cancelled",0,Sales[[#This Row],[Qty]])</f>
        <v>3</v>
      </c>
      <c r="R4852" s="166">
        <f>IF(Sales[[#This Row],[Status]]="Cancelled",0,Sales[[#This Row],[Total Amount]])</f>
        <v>36589.440000000002</v>
      </c>
      <c r="S4852" s="162">
        <f>SUM(Sales[Net Amount])</f>
        <v>406839287.73200053</v>
      </c>
    </row>
    <row r="4853" spans="1:19" ht="18.75" x14ac:dyDescent="0.25">
      <c r="A4853" s="156" t="s">
        <v>8538</v>
      </c>
      <c r="B4853" s="157">
        <v>46015</v>
      </c>
      <c r="C4853" s="158" t="s">
        <v>735</v>
      </c>
      <c r="D4853" s="159" t="str">
        <f>VLOOKUP(Sales[[#This Row],[Customer ID]],Customer[#All],2,0)</f>
        <v>Amit Singh</v>
      </c>
      <c r="E4853" s="158" t="s">
        <v>240</v>
      </c>
      <c r="F4853" s="158" t="str">
        <f>VLOOKUP(Sales[[#This Row],[Product ID]],Product[#All],2,0)</f>
        <v>Crucial Ssd</v>
      </c>
      <c r="G4853" s="159">
        <v>1</v>
      </c>
      <c r="H4853" s="160">
        <f>VLOOKUP(Sales[[#This Row],[Product ID]],Product[#All],7,0)</f>
        <v>3310</v>
      </c>
      <c r="I4853" s="160">
        <f>Sales[[#This Row],[Selling Rate]]*Sales[[#This Row],[Qty]]</f>
        <v>3310</v>
      </c>
      <c r="J4853" s="43">
        <v>0.15</v>
      </c>
      <c r="K4853" s="44">
        <f>Sales[[#This Row],[Gross Amount]]*Sales[[#This Row],[Disc %]]</f>
        <v>496.5</v>
      </c>
      <c r="L4853" s="43">
        <v>0.18</v>
      </c>
      <c r="M4853" s="44">
        <f>(Sales[[#This Row],[Gross Amount]]-Sales[[#This Row],[Disc. Amt.]])*Sales[[#This Row],[GST %]]</f>
        <v>506.43</v>
      </c>
      <c r="N4853" s="161">
        <f>Sales[[#This Row],[Gross Amount]]-Sales[[#This Row],[Disc. Amt.]]+Sales[[#This Row],[GST Amount]]</f>
        <v>3319.93</v>
      </c>
      <c r="O4853" s="158" t="s">
        <v>3561</v>
      </c>
      <c r="P4853" s="158" t="s">
        <v>3562</v>
      </c>
      <c r="Q4853" s="160">
        <f>IF(Sales[[#This Row],[Status]]="Cancelled",0,Sales[[#This Row],[Qty]])</f>
        <v>1</v>
      </c>
      <c r="R4853" s="161">
        <f>IF(Sales[[#This Row],[Status]]="Cancelled",0,Sales[[#This Row],[Total Amount]])</f>
        <v>3319.93</v>
      </c>
      <c r="S4853" s="162">
        <f>SUM(Sales[Net Amount])</f>
        <v>406839287.73200053</v>
      </c>
    </row>
    <row r="4854" spans="1:19" ht="18.75" x14ac:dyDescent="0.25">
      <c r="A4854" s="163" t="s">
        <v>8539</v>
      </c>
      <c r="B4854" s="164">
        <v>46015</v>
      </c>
      <c r="C4854" s="34" t="s">
        <v>811</v>
      </c>
      <c r="D4854" s="53" t="str">
        <f>VLOOKUP(Sales[[#This Row],[Customer ID]],Customer[#All],2,0)</f>
        <v>Rahul Sharma</v>
      </c>
      <c r="E4854" s="34" t="s">
        <v>96</v>
      </c>
      <c r="F4854" s="34" t="str">
        <f>VLOOKUP(Sales[[#This Row],[Product ID]],Product[#All],2,0)</f>
        <v>Corsair Ram</v>
      </c>
      <c r="G4854" s="53">
        <v>4</v>
      </c>
      <c r="H4854" s="165">
        <f>VLOOKUP(Sales[[#This Row],[Product ID]],Product[#All],7,0)</f>
        <v>4570</v>
      </c>
      <c r="I4854" s="165">
        <f>Sales[[#This Row],[Selling Rate]]*Sales[[#This Row],[Qty]]</f>
        <v>18280</v>
      </c>
      <c r="J4854" s="45">
        <v>0.1</v>
      </c>
      <c r="K4854" s="46">
        <f>Sales[[#This Row],[Gross Amount]]*Sales[[#This Row],[Disc %]]</f>
        <v>1828</v>
      </c>
      <c r="L4854" s="43">
        <v>0.18</v>
      </c>
      <c r="M4854" s="46">
        <f>(Sales[[#This Row],[Gross Amount]]-Sales[[#This Row],[Disc. Amt.]])*Sales[[#This Row],[GST %]]</f>
        <v>2961.3599999999997</v>
      </c>
      <c r="N4854" s="161">
        <f>Sales[[#This Row],[Gross Amount]]-Sales[[#This Row],[Disc. Amt.]]+Sales[[#This Row],[GST Amount]]</f>
        <v>19413.36</v>
      </c>
      <c r="O4854" s="34" t="s">
        <v>3569</v>
      </c>
      <c r="P4854" s="34" t="s">
        <v>3562</v>
      </c>
      <c r="Q4854" s="165">
        <f>IF(Sales[[#This Row],[Status]]="Cancelled",0,Sales[[#This Row],[Qty]])</f>
        <v>4</v>
      </c>
      <c r="R4854" s="166">
        <f>IF(Sales[[#This Row],[Status]]="Cancelled",0,Sales[[#This Row],[Total Amount]])</f>
        <v>19413.36</v>
      </c>
      <c r="S4854" s="162">
        <f>SUM(Sales[Net Amount])</f>
        <v>406839287.73200053</v>
      </c>
    </row>
    <row r="4855" spans="1:19" ht="18.75" x14ac:dyDescent="0.25">
      <c r="A4855" s="156" t="s">
        <v>8540</v>
      </c>
      <c r="B4855" s="157">
        <v>46015</v>
      </c>
      <c r="C4855" s="158" t="s">
        <v>878</v>
      </c>
      <c r="D4855" s="159" t="str">
        <f>VLOOKUP(Sales[[#This Row],[Customer ID]],Customer[#All],2,0)</f>
        <v>Rahul Singh</v>
      </c>
      <c r="E4855" s="158" t="s">
        <v>410</v>
      </c>
      <c r="F4855" s="158" t="str">
        <f>VLOOKUP(Sales[[#This Row],[Product ID]],Product[#All],2,0)</f>
        <v>Microtek UPS</v>
      </c>
      <c r="G4855" s="159">
        <v>1</v>
      </c>
      <c r="H4855" s="160">
        <f>VLOOKUP(Sales[[#This Row],[Product ID]],Product[#All],7,0)</f>
        <v>12250</v>
      </c>
      <c r="I4855" s="160">
        <f>Sales[[#This Row],[Selling Rate]]*Sales[[#This Row],[Qty]]</f>
        <v>12250</v>
      </c>
      <c r="J4855" s="43">
        <v>0.05</v>
      </c>
      <c r="K4855" s="44">
        <f>Sales[[#This Row],[Gross Amount]]*Sales[[#This Row],[Disc %]]</f>
        <v>612.5</v>
      </c>
      <c r="L4855" s="43">
        <v>0.18</v>
      </c>
      <c r="M4855" s="44">
        <f>(Sales[[#This Row],[Gross Amount]]-Sales[[#This Row],[Disc. Amt.]])*Sales[[#This Row],[GST %]]</f>
        <v>2094.75</v>
      </c>
      <c r="N4855" s="161">
        <f>Sales[[#This Row],[Gross Amount]]-Sales[[#This Row],[Disc. Amt.]]+Sales[[#This Row],[GST Amount]]</f>
        <v>13732.25</v>
      </c>
      <c r="O4855" s="158" t="s">
        <v>3569</v>
      </c>
      <c r="P4855" s="158" t="s">
        <v>3562</v>
      </c>
      <c r="Q4855" s="160">
        <f>IF(Sales[[#This Row],[Status]]="Cancelled",0,Sales[[#This Row],[Qty]])</f>
        <v>1</v>
      </c>
      <c r="R4855" s="161">
        <f>IF(Sales[[#This Row],[Status]]="Cancelled",0,Sales[[#This Row],[Total Amount]])</f>
        <v>13732.25</v>
      </c>
      <c r="S4855" s="162">
        <f>SUM(Sales[Net Amount])</f>
        <v>406839287.73200053</v>
      </c>
    </row>
    <row r="4856" spans="1:19" ht="18.75" x14ac:dyDescent="0.25">
      <c r="A4856" s="163" t="s">
        <v>8541</v>
      </c>
      <c r="B4856" s="164">
        <v>46015</v>
      </c>
      <c r="C4856" s="34" t="s">
        <v>664</v>
      </c>
      <c r="D4856" s="53" t="str">
        <f>VLOOKUP(Sales[[#This Row],[Customer ID]],Customer[#All],2,0)</f>
        <v>Sahil Singh</v>
      </c>
      <c r="E4856" s="34" t="s">
        <v>167</v>
      </c>
      <c r="F4856" s="34" t="str">
        <f>VLOOKUP(Sales[[#This Row],[Product ID]],Product[#All],2,0)</f>
        <v>Logitech Keyboard</v>
      </c>
      <c r="G4856" s="53">
        <v>2</v>
      </c>
      <c r="H4856" s="165">
        <f>VLOOKUP(Sales[[#This Row],[Product ID]],Product[#All],7,0)</f>
        <v>2460</v>
      </c>
      <c r="I4856" s="165">
        <f>Sales[[#This Row],[Selling Rate]]*Sales[[#This Row],[Qty]]</f>
        <v>4920</v>
      </c>
      <c r="J4856" s="45">
        <v>0</v>
      </c>
      <c r="K4856" s="46">
        <f>Sales[[#This Row],[Gross Amount]]*Sales[[#This Row],[Disc %]]</f>
        <v>0</v>
      </c>
      <c r="L4856" s="43">
        <v>0.18</v>
      </c>
      <c r="M4856" s="46">
        <f>(Sales[[#This Row],[Gross Amount]]-Sales[[#This Row],[Disc. Amt.]])*Sales[[#This Row],[GST %]]</f>
        <v>885.6</v>
      </c>
      <c r="N4856" s="161">
        <f>Sales[[#This Row],[Gross Amount]]-Sales[[#This Row],[Disc. Amt.]]+Sales[[#This Row],[GST Amount]]</f>
        <v>5805.6</v>
      </c>
      <c r="O4856" s="34" t="s">
        <v>8876</v>
      </c>
      <c r="P4856" s="34" t="s">
        <v>3562</v>
      </c>
      <c r="Q4856" s="165">
        <f>IF(Sales[[#This Row],[Status]]="Cancelled",0,Sales[[#This Row],[Qty]])</f>
        <v>2</v>
      </c>
      <c r="R4856" s="166">
        <f>IF(Sales[[#This Row],[Status]]="Cancelled",0,Sales[[#This Row],[Total Amount]])</f>
        <v>5805.6</v>
      </c>
      <c r="S4856" s="162">
        <f>SUM(Sales[Net Amount])</f>
        <v>406839287.73200053</v>
      </c>
    </row>
    <row r="4857" spans="1:19" ht="18.75" x14ac:dyDescent="0.25">
      <c r="A4857" s="156" t="s">
        <v>8542</v>
      </c>
      <c r="B4857" s="157">
        <v>46015</v>
      </c>
      <c r="C4857" s="158" t="s">
        <v>745</v>
      </c>
      <c r="D4857" s="159" t="str">
        <f>VLOOKUP(Sales[[#This Row],[Customer ID]],Customer[#All],2,0)</f>
        <v>Priya Kumar</v>
      </c>
      <c r="E4857" s="158" t="s">
        <v>511</v>
      </c>
      <c r="F4857" s="158" t="str">
        <f>VLOOKUP(Sales[[#This Row],[Product ID]],Product[#All],2,0)</f>
        <v>Amazon Basics Hdmi Cable</v>
      </c>
      <c r="G4857" s="159">
        <v>3</v>
      </c>
      <c r="H4857" s="160">
        <f>VLOOKUP(Sales[[#This Row],[Product ID]],Product[#All],7,0)</f>
        <v>1240</v>
      </c>
      <c r="I4857" s="160">
        <f>Sales[[#This Row],[Selling Rate]]*Sales[[#This Row],[Qty]]</f>
        <v>3720</v>
      </c>
      <c r="J4857" s="43">
        <v>0.15</v>
      </c>
      <c r="K4857" s="44">
        <f>Sales[[#This Row],[Gross Amount]]*Sales[[#This Row],[Disc %]]</f>
        <v>558</v>
      </c>
      <c r="L4857" s="43">
        <v>0.18</v>
      </c>
      <c r="M4857" s="44">
        <f>(Sales[[#This Row],[Gross Amount]]-Sales[[#This Row],[Disc. Amt.]])*Sales[[#This Row],[GST %]]</f>
        <v>569.16</v>
      </c>
      <c r="N4857" s="161">
        <f>Sales[[#This Row],[Gross Amount]]-Sales[[#This Row],[Disc. Amt.]]+Sales[[#This Row],[GST Amount]]</f>
        <v>3731.16</v>
      </c>
      <c r="O4857" s="158" t="s">
        <v>3561</v>
      </c>
      <c r="P4857" s="158" t="s">
        <v>3562</v>
      </c>
      <c r="Q4857" s="160">
        <f>IF(Sales[[#This Row],[Status]]="Cancelled",0,Sales[[#This Row],[Qty]])</f>
        <v>3</v>
      </c>
      <c r="R4857" s="161">
        <f>IF(Sales[[#This Row],[Status]]="Cancelled",0,Sales[[#This Row],[Total Amount]])</f>
        <v>3731.16</v>
      </c>
      <c r="S4857" s="162">
        <f>SUM(Sales[Net Amount])</f>
        <v>406839287.73200053</v>
      </c>
    </row>
    <row r="4858" spans="1:19" ht="18.75" x14ac:dyDescent="0.25">
      <c r="A4858" s="163" t="s">
        <v>8543</v>
      </c>
      <c r="B4858" s="164">
        <v>46015</v>
      </c>
      <c r="C4858" s="34" t="s">
        <v>835</v>
      </c>
      <c r="D4858" s="53" t="str">
        <f>VLOOKUP(Sales[[#This Row],[Customer ID]],Customer[#All],2,0)</f>
        <v>Ankit Kumar</v>
      </c>
      <c r="E4858" s="34" t="s">
        <v>528</v>
      </c>
      <c r="F4858" s="34" t="str">
        <f>VLOOKUP(Sales[[#This Row],[Product ID]],Product[#All],2,0)</f>
        <v>Kingston Ram</v>
      </c>
      <c r="G4858" s="53">
        <v>4</v>
      </c>
      <c r="H4858" s="165">
        <f>VLOOKUP(Sales[[#This Row],[Product ID]],Product[#All],7,0)</f>
        <v>4750</v>
      </c>
      <c r="I4858" s="165">
        <f>Sales[[#This Row],[Selling Rate]]*Sales[[#This Row],[Qty]]</f>
        <v>19000</v>
      </c>
      <c r="J4858" s="45">
        <v>0.1</v>
      </c>
      <c r="K4858" s="46">
        <f>Sales[[#This Row],[Gross Amount]]*Sales[[#This Row],[Disc %]]</f>
        <v>1900</v>
      </c>
      <c r="L4858" s="43">
        <v>0.18</v>
      </c>
      <c r="M4858" s="46">
        <f>(Sales[[#This Row],[Gross Amount]]-Sales[[#This Row],[Disc. Amt.]])*Sales[[#This Row],[GST %]]</f>
        <v>3078</v>
      </c>
      <c r="N4858" s="161">
        <f>Sales[[#This Row],[Gross Amount]]-Sales[[#This Row],[Disc. Amt.]]+Sales[[#This Row],[GST Amount]]</f>
        <v>20178</v>
      </c>
      <c r="O4858" s="34" t="s">
        <v>3569</v>
      </c>
      <c r="P4858" s="34" t="s">
        <v>3562</v>
      </c>
      <c r="Q4858" s="165">
        <f>IF(Sales[[#This Row],[Status]]="Cancelled",0,Sales[[#This Row],[Qty]])</f>
        <v>4</v>
      </c>
      <c r="R4858" s="166">
        <f>IF(Sales[[#This Row],[Status]]="Cancelled",0,Sales[[#This Row],[Total Amount]])</f>
        <v>20178</v>
      </c>
      <c r="S4858" s="162">
        <f>SUM(Sales[Net Amount])</f>
        <v>406839287.73200053</v>
      </c>
    </row>
    <row r="4859" spans="1:19" ht="18.75" x14ac:dyDescent="0.25">
      <c r="A4859" s="156" t="s">
        <v>8544</v>
      </c>
      <c r="B4859" s="157">
        <v>46016</v>
      </c>
      <c r="C4859" s="158" t="s">
        <v>657</v>
      </c>
      <c r="D4859" s="159" t="str">
        <f>VLOOKUP(Sales[[#This Row],[Customer ID]],Customer[#All],2,0)</f>
        <v>Rahul Verma</v>
      </c>
      <c r="E4859" s="158" t="s">
        <v>370</v>
      </c>
      <c r="F4859" s="158" t="str">
        <f>VLOOKUP(Sales[[#This Row],[Product ID]],Product[#All],2,0)</f>
        <v>Samsung Monitor</v>
      </c>
      <c r="G4859" s="159">
        <v>1</v>
      </c>
      <c r="H4859" s="160">
        <f>VLOOKUP(Sales[[#This Row],[Product ID]],Product[#All],7,0)</f>
        <v>24770</v>
      </c>
      <c r="I4859" s="160">
        <f>Sales[[#This Row],[Selling Rate]]*Sales[[#This Row],[Qty]]</f>
        <v>24770</v>
      </c>
      <c r="J4859" s="43">
        <v>0</v>
      </c>
      <c r="K4859" s="44">
        <f>Sales[[#This Row],[Gross Amount]]*Sales[[#This Row],[Disc %]]</f>
        <v>0</v>
      </c>
      <c r="L4859" s="43">
        <v>0.18</v>
      </c>
      <c r="M4859" s="44">
        <f>(Sales[[#This Row],[Gross Amount]]-Sales[[#This Row],[Disc. Amt.]])*Sales[[#This Row],[GST %]]</f>
        <v>4458.5999999999995</v>
      </c>
      <c r="N4859" s="161">
        <f>Sales[[#This Row],[Gross Amount]]-Sales[[#This Row],[Disc. Amt.]]+Sales[[#This Row],[GST Amount]]</f>
        <v>29228.6</v>
      </c>
      <c r="O4859" s="158" t="s">
        <v>3566</v>
      </c>
      <c r="P4859" s="158" t="s">
        <v>3562</v>
      </c>
      <c r="Q4859" s="160">
        <f>IF(Sales[[#This Row],[Status]]="Cancelled",0,Sales[[#This Row],[Qty]])</f>
        <v>1</v>
      </c>
      <c r="R4859" s="161">
        <f>IF(Sales[[#This Row],[Status]]="Cancelled",0,Sales[[#This Row],[Total Amount]])</f>
        <v>29228.6</v>
      </c>
      <c r="S4859" s="162">
        <f>SUM(Sales[Net Amount])</f>
        <v>406839287.73200053</v>
      </c>
    </row>
    <row r="4860" spans="1:19" ht="18.75" x14ac:dyDescent="0.25">
      <c r="A4860" s="163" t="s">
        <v>8545</v>
      </c>
      <c r="B4860" s="164">
        <v>46016</v>
      </c>
      <c r="C4860" s="34" t="s">
        <v>807</v>
      </c>
      <c r="D4860" s="53" t="str">
        <f>VLOOKUP(Sales[[#This Row],[Customer ID]],Customer[#All],2,0)</f>
        <v>Rakesh Patel</v>
      </c>
      <c r="E4860" s="34" t="s">
        <v>541</v>
      </c>
      <c r="F4860" s="34" t="str">
        <f>VLOOKUP(Sales[[#This Row],[Product ID]],Product[#All],2,0)</f>
        <v>Crucial Ssd</v>
      </c>
      <c r="G4860" s="53">
        <v>6</v>
      </c>
      <c r="H4860" s="165">
        <f>VLOOKUP(Sales[[#This Row],[Product ID]],Product[#All],7,0)</f>
        <v>9350</v>
      </c>
      <c r="I4860" s="165">
        <f>Sales[[#This Row],[Selling Rate]]*Sales[[#This Row],[Qty]]</f>
        <v>56100</v>
      </c>
      <c r="J4860" s="45">
        <v>0.05</v>
      </c>
      <c r="K4860" s="46">
        <f>Sales[[#This Row],[Gross Amount]]*Sales[[#This Row],[Disc %]]</f>
        <v>2805</v>
      </c>
      <c r="L4860" s="43">
        <v>0.18</v>
      </c>
      <c r="M4860" s="46">
        <f>(Sales[[#This Row],[Gross Amount]]-Sales[[#This Row],[Disc. Amt.]])*Sales[[#This Row],[GST %]]</f>
        <v>9593.1</v>
      </c>
      <c r="N4860" s="161">
        <f>Sales[[#This Row],[Gross Amount]]-Sales[[#This Row],[Disc. Amt.]]+Sales[[#This Row],[GST Amount]]</f>
        <v>62888.1</v>
      </c>
      <c r="O4860" s="34" t="s">
        <v>3569</v>
      </c>
      <c r="P4860" s="34" t="s">
        <v>3562</v>
      </c>
      <c r="Q4860" s="165">
        <f>IF(Sales[[#This Row],[Status]]="Cancelled",0,Sales[[#This Row],[Qty]])</f>
        <v>6</v>
      </c>
      <c r="R4860" s="166">
        <f>IF(Sales[[#This Row],[Status]]="Cancelled",0,Sales[[#This Row],[Total Amount]])</f>
        <v>62888.1</v>
      </c>
      <c r="S4860" s="162">
        <f>SUM(Sales[Net Amount])</f>
        <v>406839287.73200053</v>
      </c>
    </row>
    <row r="4861" spans="1:19" ht="18.75" x14ac:dyDescent="0.25">
      <c r="A4861" s="156" t="s">
        <v>8546</v>
      </c>
      <c r="B4861" s="157">
        <v>46016</v>
      </c>
      <c r="C4861" s="158" t="s">
        <v>909</v>
      </c>
      <c r="D4861" s="159" t="str">
        <f>VLOOKUP(Sales[[#This Row],[Customer ID]],Customer[#All],2,0)</f>
        <v>Priya Sharma</v>
      </c>
      <c r="E4861" s="158" t="s">
        <v>214</v>
      </c>
      <c r="F4861" s="158" t="str">
        <f>VLOOKUP(Sales[[#This Row],[Product ID]],Product[#All],2,0)</f>
        <v>Microtek UPS</v>
      </c>
      <c r="G4861" s="159">
        <v>1</v>
      </c>
      <c r="H4861" s="160">
        <f>VLOOKUP(Sales[[#This Row],[Product ID]],Product[#All],7,0)</f>
        <v>10710</v>
      </c>
      <c r="I4861" s="160">
        <f>Sales[[#This Row],[Selling Rate]]*Sales[[#This Row],[Qty]]</f>
        <v>10710</v>
      </c>
      <c r="J4861" s="43">
        <v>0.15</v>
      </c>
      <c r="K4861" s="44">
        <f>Sales[[#This Row],[Gross Amount]]*Sales[[#This Row],[Disc %]]</f>
        <v>1606.5</v>
      </c>
      <c r="L4861" s="43">
        <v>0.18</v>
      </c>
      <c r="M4861" s="44">
        <f>(Sales[[#This Row],[Gross Amount]]-Sales[[#This Row],[Disc. Amt.]])*Sales[[#This Row],[GST %]]</f>
        <v>1638.6299999999999</v>
      </c>
      <c r="N4861" s="161">
        <f>Sales[[#This Row],[Gross Amount]]-Sales[[#This Row],[Disc. Amt.]]+Sales[[#This Row],[GST Amount]]</f>
        <v>10742.13</v>
      </c>
      <c r="O4861" s="158" t="s">
        <v>3561</v>
      </c>
      <c r="P4861" s="158" t="s">
        <v>3562</v>
      </c>
      <c r="Q4861" s="160">
        <f>IF(Sales[[#This Row],[Status]]="Cancelled",0,Sales[[#This Row],[Qty]])</f>
        <v>1</v>
      </c>
      <c r="R4861" s="161">
        <f>IF(Sales[[#This Row],[Status]]="Cancelled",0,Sales[[#This Row],[Total Amount]])</f>
        <v>10742.13</v>
      </c>
      <c r="S4861" s="162">
        <f>SUM(Sales[Net Amount])</f>
        <v>406839287.73200053</v>
      </c>
    </row>
    <row r="4862" spans="1:19" ht="18.75" x14ac:dyDescent="0.25">
      <c r="A4862" s="163" t="s">
        <v>8547</v>
      </c>
      <c r="B4862" s="164">
        <v>46016</v>
      </c>
      <c r="C4862" s="34" t="s">
        <v>736</v>
      </c>
      <c r="D4862" s="53" t="str">
        <f>VLOOKUP(Sales[[#This Row],[Customer ID]],Customer[#All],2,0)</f>
        <v>Ankit Verma</v>
      </c>
      <c r="E4862" s="34" t="s">
        <v>127</v>
      </c>
      <c r="F4862" s="34" t="str">
        <f>VLOOKUP(Sales[[#This Row],[Product ID]],Product[#All],2,0)</f>
        <v>Samsung Ssd</v>
      </c>
      <c r="G4862" s="53">
        <v>4</v>
      </c>
      <c r="H4862" s="165">
        <f>VLOOKUP(Sales[[#This Row],[Product ID]],Product[#All],7,0)</f>
        <v>4570</v>
      </c>
      <c r="I4862" s="165">
        <f>Sales[[#This Row],[Selling Rate]]*Sales[[#This Row],[Qty]]</f>
        <v>18280</v>
      </c>
      <c r="J4862" s="45">
        <v>0.1</v>
      </c>
      <c r="K4862" s="46">
        <f>Sales[[#This Row],[Gross Amount]]*Sales[[#This Row],[Disc %]]</f>
        <v>1828</v>
      </c>
      <c r="L4862" s="43">
        <v>0.18</v>
      </c>
      <c r="M4862" s="46">
        <f>(Sales[[#This Row],[Gross Amount]]-Sales[[#This Row],[Disc. Amt.]])*Sales[[#This Row],[GST %]]</f>
        <v>2961.3599999999997</v>
      </c>
      <c r="N4862" s="161">
        <f>Sales[[#This Row],[Gross Amount]]-Sales[[#This Row],[Disc. Amt.]]+Sales[[#This Row],[GST Amount]]</f>
        <v>19413.36</v>
      </c>
      <c r="O4862" s="34" t="s">
        <v>3569</v>
      </c>
      <c r="P4862" s="34" t="s">
        <v>3562</v>
      </c>
      <c r="Q4862" s="165">
        <f>IF(Sales[[#This Row],[Status]]="Cancelled",0,Sales[[#This Row],[Qty]])</f>
        <v>4</v>
      </c>
      <c r="R4862" s="166">
        <f>IF(Sales[[#This Row],[Status]]="Cancelled",0,Sales[[#This Row],[Total Amount]])</f>
        <v>19413.36</v>
      </c>
      <c r="S4862" s="162">
        <f>SUM(Sales[Net Amount])</f>
        <v>406839287.73200053</v>
      </c>
    </row>
    <row r="4863" spans="1:19" ht="18.75" x14ac:dyDescent="0.25">
      <c r="A4863" s="156" t="s">
        <v>8548</v>
      </c>
      <c r="B4863" s="157">
        <v>46016</v>
      </c>
      <c r="C4863" s="158" t="s">
        <v>694</v>
      </c>
      <c r="D4863" s="159" t="str">
        <f>VLOOKUP(Sales[[#This Row],[Customer ID]],Customer[#All],2,0)</f>
        <v>Amit Sharma</v>
      </c>
      <c r="E4863" s="158" t="s">
        <v>171</v>
      </c>
      <c r="F4863" s="158" t="str">
        <f>VLOOKUP(Sales[[#This Row],[Product ID]],Product[#All],2,0)</f>
        <v>Boat Headset</v>
      </c>
      <c r="G4863" s="159">
        <v>4</v>
      </c>
      <c r="H4863" s="160">
        <f>VLOOKUP(Sales[[#This Row],[Product ID]],Product[#All],7,0)</f>
        <v>4010</v>
      </c>
      <c r="I4863" s="160">
        <f>Sales[[#This Row],[Selling Rate]]*Sales[[#This Row],[Qty]]</f>
        <v>16040</v>
      </c>
      <c r="J4863" s="43">
        <v>0.02</v>
      </c>
      <c r="K4863" s="44">
        <f>Sales[[#This Row],[Gross Amount]]*Sales[[#This Row],[Disc %]]</f>
        <v>320.8</v>
      </c>
      <c r="L4863" s="43">
        <v>0.18</v>
      </c>
      <c r="M4863" s="44">
        <f>(Sales[[#This Row],[Gross Amount]]-Sales[[#This Row],[Disc. Amt.]])*Sales[[#This Row],[GST %]]</f>
        <v>2829.4560000000001</v>
      </c>
      <c r="N4863" s="161">
        <f>Sales[[#This Row],[Gross Amount]]-Sales[[#This Row],[Disc. Amt.]]+Sales[[#This Row],[GST Amount]]</f>
        <v>18548.656000000003</v>
      </c>
      <c r="O4863" s="158" t="s">
        <v>3566</v>
      </c>
      <c r="P4863" s="158" t="s">
        <v>3562</v>
      </c>
      <c r="Q4863" s="160">
        <f>IF(Sales[[#This Row],[Status]]="Cancelled",0,Sales[[#This Row],[Qty]])</f>
        <v>4</v>
      </c>
      <c r="R4863" s="161">
        <f>IF(Sales[[#This Row],[Status]]="Cancelled",0,Sales[[#This Row],[Total Amount]])</f>
        <v>18548.656000000003</v>
      </c>
      <c r="S4863" s="162">
        <f>SUM(Sales[Net Amount])</f>
        <v>406839287.73200053</v>
      </c>
    </row>
    <row r="4864" spans="1:19" ht="18.75" x14ac:dyDescent="0.25">
      <c r="A4864" s="163" t="s">
        <v>8549</v>
      </c>
      <c r="B4864" s="164">
        <v>46016</v>
      </c>
      <c r="C4864" s="34" t="s">
        <v>705</v>
      </c>
      <c r="D4864" s="53" t="str">
        <f>VLOOKUP(Sales[[#This Row],[Customer ID]],Customer[#All],2,0)</f>
        <v>Priya Verma</v>
      </c>
      <c r="E4864" s="34" t="s">
        <v>245</v>
      </c>
      <c r="F4864" s="34" t="str">
        <f>VLOOKUP(Sales[[#This Row],[Product ID]],Product[#All],2,0)</f>
        <v>HP Printer</v>
      </c>
      <c r="G4864" s="53">
        <v>5</v>
      </c>
      <c r="H4864" s="165">
        <f>VLOOKUP(Sales[[#This Row],[Product ID]],Product[#All],7,0)</f>
        <v>11410</v>
      </c>
      <c r="I4864" s="165">
        <f>Sales[[#This Row],[Selling Rate]]*Sales[[#This Row],[Qty]]</f>
        <v>57050</v>
      </c>
      <c r="J4864" s="45">
        <v>0.02</v>
      </c>
      <c r="K4864" s="46">
        <f>Sales[[#This Row],[Gross Amount]]*Sales[[#This Row],[Disc %]]</f>
        <v>1141</v>
      </c>
      <c r="L4864" s="43">
        <v>0.18</v>
      </c>
      <c r="M4864" s="46">
        <f>(Sales[[#This Row],[Gross Amount]]-Sales[[#This Row],[Disc. Amt.]])*Sales[[#This Row],[GST %]]</f>
        <v>10063.619999999999</v>
      </c>
      <c r="N4864" s="161">
        <f>Sales[[#This Row],[Gross Amount]]-Sales[[#This Row],[Disc. Amt.]]+Sales[[#This Row],[GST Amount]]</f>
        <v>65972.62</v>
      </c>
      <c r="O4864" s="34" t="s">
        <v>3569</v>
      </c>
      <c r="P4864" s="34" t="s">
        <v>3562</v>
      </c>
      <c r="Q4864" s="165">
        <f>IF(Sales[[#This Row],[Status]]="Cancelled",0,Sales[[#This Row],[Qty]])</f>
        <v>5</v>
      </c>
      <c r="R4864" s="166">
        <f>IF(Sales[[#This Row],[Status]]="Cancelled",0,Sales[[#This Row],[Total Amount]])</f>
        <v>65972.62</v>
      </c>
      <c r="S4864" s="162">
        <f>SUM(Sales[Net Amount])</f>
        <v>406839287.73200053</v>
      </c>
    </row>
    <row r="4865" spans="1:19" ht="18.75" x14ac:dyDescent="0.25">
      <c r="A4865" s="156" t="s">
        <v>8550</v>
      </c>
      <c r="B4865" s="157">
        <v>46016</v>
      </c>
      <c r="C4865" s="158" t="s">
        <v>890</v>
      </c>
      <c r="D4865" s="159" t="str">
        <f>VLOOKUP(Sales[[#This Row],[Customer ID]],Customer[#All],2,0)</f>
        <v>Rakesh Patel</v>
      </c>
      <c r="E4865" s="158" t="s">
        <v>350</v>
      </c>
      <c r="F4865" s="158" t="str">
        <f>VLOOKUP(Sales[[#This Row],[Product ID]],Product[#All],2,0)</f>
        <v>Apc UPS</v>
      </c>
      <c r="G4865" s="159">
        <v>2</v>
      </c>
      <c r="H4865" s="160">
        <f>VLOOKUP(Sales[[#This Row],[Product ID]],Product[#All],7,0)</f>
        <v>18110</v>
      </c>
      <c r="I4865" s="160">
        <f>Sales[[#This Row],[Selling Rate]]*Sales[[#This Row],[Qty]]</f>
        <v>36220</v>
      </c>
      <c r="J4865" s="43">
        <v>0</v>
      </c>
      <c r="K4865" s="44">
        <f>Sales[[#This Row],[Gross Amount]]*Sales[[#This Row],[Disc %]]</f>
        <v>0</v>
      </c>
      <c r="L4865" s="43">
        <v>0.18</v>
      </c>
      <c r="M4865" s="44">
        <f>(Sales[[#This Row],[Gross Amount]]-Sales[[#This Row],[Disc. Amt.]])*Sales[[#This Row],[GST %]]</f>
        <v>6519.5999999999995</v>
      </c>
      <c r="N4865" s="161">
        <f>Sales[[#This Row],[Gross Amount]]-Sales[[#This Row],[Disc. Amt.]]+Sales[[#This Row],[GST Amount]]</f>
        <v>42739.6</v>
      </c>
      <c r="O4865" s="158" t="s">
        <v>3561</v>
      </c>
      <c r="P4865" s="158" t="s">
        <v>3562</v>
      </c>
      <c r="Q4865" s="160">
        <f>IF(Sales[[#This Row],[Status]]="Cancelled",0,Sales[[#This Row],[Qty]])</f>
        <v>2</v>
      </c>
      <c r="R4865" s="161">
        <f>IF(Sales[[#This Row],[Status]]="Cancelled",0,Sales[[#This Row],[Total Amount]])</f>
        <v>42739.6</v>
      </c>
      <c r="S4865" s="162">
        <f>SUM(Sales[Net Amount])</f>
        <v>406839287.73200053</v>
      </c>
    </row>
    <row r="4866" spans="1:19" ht="18.75" x14ac:dyDescent="0.25">
      <c r="A4866" s="163" t="s">
        <v>8551</v>
      </c>
      <c r="B4866" s="164">
        <v>46016</v>
      </c>
      <c r="C4866" s="34" t="s">
        <v>940</v>
      </c>
      <c r="D4866" s="53" t="str">
        <f>VLOOKUP(Sales[[#This Row],[Customer ID]],Customer[#All],2,0)</f>
        <v>Rakesh Sharma</v>
      </c>
      <c r="E4866" s="34" t="s">
        <v>185</v>
      </c>
      <c r="F4866" s="34" t="str">
        <f>VLOOKUP(Sales[[#This Row],[Product ID]],Product[#All],2,0)</f>
        <v>HP Power Adapter</v>
      </c>
      <c r="G4866" s="53">
        <v>1</v>
      </c>
      <c r="H4866" s="165">
        <f>VLOOKUP(Sales[[#This Row],[Product ID]],Product[#All],7,0)</f>
        <v>4850</v>
      </c>
      <c r="I4866" s="165">
        <f>Sales[[#This Row],[Selling Rate]]*Sales[[#This Row],[Qty]]</f>
        <v>4850</v>
      </c>
      <c r="J4866" s="45">
        <v>0.1</v>
      </c>
      <c r="K4866" s="46">
        <f>Sales[[#This Row],[Gross Amount]]*Sales[[#This Row],[Disc %]]</f>
        <v>485</v>
      </c>
      <c r="L4866" s="43">
        <v>0.18</v>
      </c>
      <c r="M4866" s="46">
        <f>(Sales[[#This Row],[Gross Amount]]-Sales[[#This Row],[Disc. Amt.]])*Sales[[#This Row],[GST %]]</f>
        <v>785.69999999999993</v>
      </c>
      <c r="N4866" s="161">
        <f>Sales[[#This Row],[Gross Amount]]-Sales[[#This Row],[Disc. Amt.]]+Sales[[#This Row],[GST Amount]]</f>
        <v>5150.7</v>
      </c>
      <c r="O4866" s="34" t="s">
        <v>8876</v>
      </c>
      <c r="P4866" s="34" t="s">
        <v>1040</v>
      </c>
      <c r="Q4866" s="165">
        <f>IF(Sales[[#This Row],[Status]]="Cancelled",0,Sales[[#This Row],[Qty]])</f>
        <v>0</v>
      </c>
      <c r="R4866" s="166">
        <f>IF(Sales[[#This Row],[Status]]="Cancelled",0,Sales[[#This Row],[Total Amount]])</f>
        <v>0</v>
      </c>
      <c r="S4866" s="162">
        <f>SUM(Sales[Net Amount])</f>
        <v>406839287.73200053</v>
      </c>
    </row>
    <row r="4867" spans="1:19" ht="18.75" x14ac:dyDescent="0.25">
      <c r="A4867" s="156" t="s">
        <v>8552</v>
      </c>
      <c r="B4867" s="157">
        <v>46016</v>
      </c>
      <c r="C4867" s="158" t="s">
        <v>732</v>
      </c>
      <c r="D4867" s="159" t="str">
        <f>VLOOKUP(Sales[[#This Row],[Customer ID]],Customer[#All],2,0)</f>
        <v>Sunita Gupta</v>
      </c>
      <c r="E4867" s="158" t="s">
        <v>370</v>
      </c>
      <c r="F4867" s="158" t="str">
        <f>VLOOKUP(Sales[[#This Row],[Product ID]],Product[#All],2,0)</f>
        <v>Samsung Monitor</v>
      </c>
      <c r="G4867" s="159">
        <v>5</v>
      </c>
      <c r="H4867" s="160">
        <f>VLOOKUP(Sales[[#This Row],[Product ID]],Product[#All],7,0)</f>
        <v>24770</v>
      </c>
      <c r="I4867" s="160">
        <f>Sales[[#This Row],[Selling Rate]]*Sales[[#This Row],[Qty]]</f>
        <v>123850</v>
      </c>
      <c r="J4867" s="43">
        <v>0.05</v>
      </c>
      <c r="K4867" s="44">
        <f>Sales[[#This Row],[Gross Amount]]*Sales[[#This Row],[Disc %]]</f>
        <v>6192.5</v>
      </c>
      <c r="L4867" s="43">
        <v>0.18</v>
      </c>
      <c r="M4867" s="44">
        <f>(Sales[[#This Row],[Gross Amount]]-Sales[[#This Row],[Disc. Amt.]])*Sales[[#This Row],[GST %]]</f>
        <v>21178.35</v>
      </c>
      <c r="N4867" s="161">
        <f>Sales[[#This Row],[Gross Amount]]-Sales[[#This Row],[Disc. Amt.]]+Sales[[#This Row],[GST Amount]]</f>
        <v>138835.85</v>
      </c>
      <c r="O4867" s="158" t="s">
        <v>3569</v>
      </c>
      <c r="P4867" s="158" t="s">
        <v>3562</v>
      </c>
      <c r="Q4867" s="160">
        <f>IF(Sales[[#This Row],[Status]]="Cancelled",0,Sales[[#This Row],[Qty]])</f>
        <v>5</v>
      </c>
      <c r="R4867" s="161">
        <f>IF(Sales[[#This Row],[Status]]="Cancelled",0,Sales[[#This Row],[Total Amount]])</f>
        <v>138835.85</v>
      </c>
      <c r="S4867" s="162">
        <f>SUM(Sales[Net Amount])</f>
        <v>406839287.73200053</v>
      </c>
    </row>
    <row r="4868" spans="1:19" ht="18.75" x14ac:dyDescent="0.25">
      <c r="A4868" s="163" t="s">
        <v>8553</v>
      </c>
      <c r="B4868" s="164">
        <v>46016</v>
      </c>
      <c r="C4868" s="34" t="s">
        <v>690</v>
      </c>
      <c r="D4868" s="53" t="str">
        <f>VLOOKUP(Sales[[#This Row],[Customer ID]],Customer[#All],2,0)</f>
        <v>Priya Patel</v>
      </c>
      <c r="E4868" s="34" t="s">
        <v>353</v>
      </c>
      <c r="F4868" s="34" t="str">
        <f>VLOOKUP(Sales[[#This Row],[Product ID]],Product[#All],2,0)</f>
        <v>HP Desktop</v>
      </c>
      <c r="G4868" s="53">
        <v>5</v>
      </c>
      <c r="H4868" s="165">
        <f>VLOOKUP(Sales[[#This Row],[Product ID]],Product[#All],7,0)</f>
        <v>60910</v>
      </c>
      <c r="I4868" s="165">
        <f>Sales[[#This Row],[Selling Rate]]*Sales[[#This Row],[Qty]]</f>
        <v>304550</v>
      </c>
      <c r="J4868" s="45">
        <v>0</v>
      </c>
      <c r="K4868" s="46">
        <f>Sales[[#This Row],[Gross Amount]]*Sales[[#This Row],[Disc %]]</f>
        <v>0</v>
      </c>
      <c r="L4868" s="43">
        <v>0.18</v>
      </c>
      <c r="M4868" s="46">
        <f>(Sales[[#This Row],[Gross Amount]]-Sales[[#This Row],[Disc. Amt.]])*Sales[[#This Row],[GST %]]</f>
        <v>54819</v>
      </c>
      <c r="N4868" s="161">
        <f>Sales[[#This Row],[Gross Amount]]-Sales[[#This Row],[Disc. Amt.]]+Sales[[#This Row],[GST Amount]]</f>
        <v>359369</v>
      </c>
      <c r="O4868" s="34" t="s">
        <v>3561</v>
      </c>
      <c r="P4868" s="34" t="s">
        <v>3562</v>
      </c>
      <c r="Q4868" s="165">
        <f>IF(Sales[[#This Row],[Status]]="Cancelled",0,Sales[[#This Row],[Qty]])</f>
        <v>5</v>
      </c>
      <c r="R4868" s="166">
        <f>IF(Sales[[#This Row],[Status]]="Cancelled",0,Sales[[#This Row],[Total Amount]])</f>
        <v>359369</v>
      </c>
      <c r="S4868" s="162">
        <f>SUM(Sales[Net Amount])</f>
        <v>406839287.73200053</v>
      </c>
    </row>
    <row r="4869" spans="1:19" ht="18.75" x14ac:dyDescent="0.25">
      <c r="A4869" s="156" t="s">
        <v>8554</v>
      </c>
      <c r="B4869" s="157">
        <v>46016</v>
      </c>
      <c r="C4869" s="158" t="s">
        <v>852</v>
      </c>
      <c r="D4869" s="159" t="str">
        <f>VLOOKUP(Sales[[#This Row],[Customer ID]],Customer[#All],2,0)</f>
        <v>Neha Singh</v>
      </c>
      <c r="E4869" s="158" t="s">
        <v>501</v>
      </c>
      <c r="F4869" s="158" t="str">
        <f>VLOOKUP(Sales[[#This Row],[Product ID]],Product[#All],2,0)</f>
        <v>Samsung Ssd</v>
      </c>
      <c r="G4869" s="159">
        <v>6</v>
      </c>
      <c r="H4869" s="160">
        <f>VLOOKUP(Sales[[#This Row],[Product ID]],Product[#All],7,0)</f>
        <v>4260</v>
      </c>
      <c r="I4869" s="160">
        <f>Sales[[#This Row],[Selling Rate]]*Sales[[#This Row],[Qty]]</f>
        <v>25560</v>
      </c>
      <c r="J4869" s="43">
        <v>0.05</v>
      </c>
      <c r="K4869" s="44">
        <f>Sales[[#This Row],[Gross Amount]]*Sales[[#This Row],[Disc %]]</f>
        <v>1278</v>
      </c>
      <c r="L4869" s="43">
        <v>0.18</v>
      </c>
      <c r="M4869" s="44">
        <f>(Sales[[#This Row],[Gross Amount]]-Sales[[#This Row],[Disc. Amt.]])*Sales[[#This Row],[GST %]]</f>
        <v>4370.76</v>
      </c>
      <c r="N4869" s="161">
        <f>Sales[[#This Row],[Gross Amount]]-Sales[[#This Row],[Disc. Amt.]]+Sales[[#This Row],[GST Amount]]</f>
        <v>28652.760000000002</v>
      </c>
      <c r="O4869" s="158" t="s">
        <v>3569</v>
      </c>
      <c r="P4869" s="158" t="s">
        <v>3562</v>
      </c>
      <c r="Q4869" s="160">
        <f>IF(Sales[[#This Row],[Status]]="Cancelled",0,Sales[[#This Row],[Qty]])</f>
        <v>6</v>
      </c>
      <c r="R4869" s="161">
        <f>IF(Sales[[#This Row],[Status]]="Cancelled",0,Sales[[#This Row],[Total Amount]])</f>
        <v>28652.760000000002</v>
      </c>
      <c r="S4869" s="162">
        <f>SUM(Sales[Net Amount])</f>
        <v>406839287.73200053</v>
      </c>
    </row>
    <row r="4870" spans="1:19" ht="18.75" x14ac:dyDescent="0.25">
      <c r="A4870" s="163" t="s">
        <v>8555</v>
      </c>
      <c r="B4870" s="164">
        <v>46016</v>
      </c>
      <c r="C4870" s="34" t="s">
        <v>745</v>
      </c>
      <c r="D4870" s="53" t="str">
        <f>VLOOKUP(Sales[[#This Row],[Customer ID]],Customer[#All],2,0)</f>
        <v>Priya Kumar</v>
      </c>
      <c r="E4870" s="34" t="s">
        <v>68</v>
      </c>
      <c r="F4870" s="34" t="str">
        <f>VLOOKUP(Sales[[#This Row],[Product ID]],Product[#All],2,0)</f>
        <v>Epson Printer</v>
      </c>
      <c r="G4870" s="53">
        <v>7</v>
      </c>
      <c r="H4870" s="165">
        <f>VLOOKUP(Sales[[#This Row],[Product ID]],Product[#All],7,0)</f>
        <v>21190</v>
      </c>
      <c r="I4870" s="165">
        <f>Sales[[#This Row],[Selling Rate]]*Sales[[#This Row],[Qty]]</f>
        <v>148330</v>
      </c>
      <c r="J4870" s="45">
        <v>0.12</v>
      </c>
      <c r="K4870" s="46">
        <f>Sales[[#This Row],[Gross Amount]]*Sales[[#This Row],[Disc %]]</f>
        <v>17799.599999999999</v>
      </c>
      <c r="L4870" s="43">
        <v>0.18</v>
      </c>
      <c r="M4870" s="46">
        <f>(Sales[[#This Row],[Gross Amount]]-Sales[[#This Row],[Disc. Amt.]])*Sales[[#This Row],[GST %]]</f>
        <v>23495.471999999998</v>
      </c>
      <c r="N4870" s="161">
        <f>Sales[[#This Row],[Gross Amount]]-Sales[[#This Row],[Disc. Amt.]]+Sales[[#This Row],[GST Amount]]</f>
        <v>154025.872</v>
      </c>
      <c r="O4870" s="34" t="s">
        <v>8876</v>
      </c>
      <c r="P4870" s="34" t="s">
        <v>3562</v>
      </c>
      <c r="Q4870" s="165">
        <f>IF(Sales[[#This Row],[Status]]="Cancelled",0,Sales[[#This Row],[Qty]])</f>
        <v>7</v>
      </c>
      <c r="R4870" s="166">
        <f>IF(Sales[[#This Row],[Status]]="Cancelled",0,Sales[[#This Row],[Total Amount]])</f>
        <v>154025.872</v>
      </c>
      <c r="S4870" s="162">
        <f>SUM(Sales[Net Amount])</f>
        <v>406839287.73200053</v>
      </c>
    </row>
    <row r="4871" spans="1:19" ht="18.75" x14ac:dyDescent="0.25">
      <c r="A4871" s="156" t="s">
        <v>8556</v>
      </c>
      <c r="B4871" s="157">
        <v>46016</v>
      </c>
      <c r="C4871" s="158" t="s">
        <v>915</v>
      </c>
      <c r="D4871" s="159" t="str">
        <f>VLOOKUP(Sales[[#This Row],[Customer ID]],Customer[#All],2,0)</f>
        <v>Sunita Kumar</v>
      </c>
      <c r="E4871" s="158" t="s">
        <v>40</v>
      </c>
      <c r="F4871" s="158" t="str">
        <f>VLOOKUP(Sales[[#This Row],[Product ID]],Product[#All],2,0)</f>
        <v>Boat Headset</v>
      </c>
      <c r="G4871" s="159">
        <v>8</v>
      </c>
      <c r="H4871" s="160">
        <f>VLOOKUP(Sales[[#This Row],[Product ID]],Product[#All],7,0)</f>
        <v>3470</v>
      </c>
      <c r="I4871" s="160">
        <f>Sales[[#This Row],[Selling Rate]]*Sales[[#This Row],[Qty]]</f>
        <v>27760</v>
      </c>
      <c r="J4871" s="43">
        <v>0.02</v>
      </c>
      <c r="K4871" s="44">
        <f>Sales[[#This Row],[Gross Amount]]*Sales[[#This Row],[Disc %]]</f>
        <v>555.20000000000005</v>
      </c>
      <c r="L4871" s="43">
        <v>0.18</v>
      </c>
      <c r="M4871" s="44">
        <f>(Sales[[#This Row],[Gross Amount]]-Sales[[#This Row],[Disc. Amt.]])*Sales[[#This Row],[GST %]]</f>
        <v>4896.8639999999996</v>
      </c>
      <c r="N4871" s="161">
        <f>Sales[[#This Row],[Gross Amount]]-Sales[[#This Row],[Disc. Amt.]]+Sales[[#This Row],[GST Amount]]</f>
        <v>32101.663999999997</v>
      </c>
      <c r="O4871" s="158" t="s">
        <v>3561</v>
      </c>
      <c r="P4871" s="158" t="s">
        <v>3562</v>
      </c>
      <c r="Q4871" s="160">
        <f>IF(Sales[[#This Row],[Status]]="Cancelled",0,Sales[[#This Row],[Qty]])</f>
        <v>8</v>
      </c>
      <c r="R4871" s="161">
        <f>IF(Sales[[#This Row],[Status]]="Cancelled",0,Sales[[#This Row],[Total Amount]])</f>
        <v>32101.663999999997</v>
      </c>
      <c r="S4871" s="162">
        <f>SUM(Sales[Net Amount])</f>
        <v>406839287.73200053</v>
      </c>
    </row>
    <row r="4872" spans="1:19" ht="18.75" x14ac:dyDescent="0.25">
      <c r="A4872" s="163" t="s">
        <v>8557</v>
      </c>
      <c r="B4872" s="164">
        <v>46016</v>
      </c>
      <c r="C4872" s="34" t="s">
        <v>700</v>
      </c>
      <c r="D4872" s="53" t="str">
        <f>VLOOKUP(Sales[[#This Row],[Customer ID]],Customer[#All],2,0)</f>
        <v>Ankit Gupta</v>
      </c>
      <c r="E4872" s="34" t="s">
        <v>554</v>
      </c>
      <c r="F4872" s="34" t="str">
        <f>VLOOKUP(Sales[[#This Row],[Product ID]],Product[#All],2,0)</f>
        <v>TP-link Router</v>
      </c>
      <c r="G4872" s="53">
        <v>4</v>
      </c>
      <c r="H4872" s="165">
        <f>VLOOKUP(Sales[[#This Row],[Product ID]],Product[#All],7,0)</f>
        <v>6320</v>
      </c>
      <c r="I4872" s="165">
        <f>Sales[[#This Row],[Selling Rate]]*Sales[[#This Row],[Qty]]</f>
        <v>25280</v>
      </c>
      <c r="J4872" s="45">
        <v>0.02</v>
      </c>
      <c r="K4872" s="46">
        <f>Sales[[#This Row],[Gross Amount]]*Sales[[#This Row],[Disc %]]</f>
        <v>505.6</v>
      </c>
      <c r="L4872" s="43">
        <v>0.18</v>
      </c>
      <c r="M4872" s="46">
        <f>(Sales[[#This Row],[Gross Amount]]-Sales[[#This Row],[Disc. Amt.]])*Sales[[#This Row],[GST %]]</f>
        <v>4459.3919999999998</v>
      </c>
      <c r="N4872" s="161">
        <f>Sales[[#This Row],[Gross Amount]]-Sales[[#This Row],[Disc. Amt.]]+Sales[[#This Row],[GST Amount]]</f>
        <v>29233.792000000001</v>
      </c>
      <c r="O4872" s="34" t="s">
        <v>3566</v>
      </c>
      <c r="P4872" s="34" t="s">
        <v>3562</v>
      </c>
      <c r="Q4872" s="165">
        <f>IF(Sales[[#This Row],[Status]]="Cancelled",0,Sales[[#This Row],[Qty]])</f>
        <v>4</v>
      </c>
      <c r="R4872" s="166">
        <f>IF(Sales[[#This Row],[Status]]="Cancelled",0,Sales[[#This Row],[Total Amount]])</f>
        <v>29233.792000000001</v>
      </c>
      <c r="S4872" s="162">
        <f>SUM(Sales[Net Amount])</f>
        <v>406839287.73200053</v>
      </c>
    </row>
    <row r="4873" spans="1:19" ht="18.75" x14ac:dyDescent="0.25">
      <c r="A4873" s="156" t="s">
        <v>8558</v>
      </c>
      <c r="B4873" s="157">
        <v>46016</v>
      </c>
      <c r="C4873" s="158" t="s">
        <v>8218</v>
      </c>
      <c r="D4873" s="159" t="str">
        <f>VLOOKUP(Sales[[#This Row],[Customer ID]],Customer[#All],2,0)</f>
        <v>Amit Sharma</v>
      </c>
      <c r="E4873" s="158" t="s">
        <v>286</v>
      </c>
      <c r="F4873" s="158" t="str">
        <f>VLOOKUP(Sales[[#This Row],[Product ID]],Product[#All],2,0)</f>
        <v>HP Laptop</v>
      </c>
      <c r="G4873" s="159">
        <v>8</v>
      </c>
      <c r="H4873" s="160">
        <f>VLOOKUP(Sales[[#This Row],[Product ID]],Product[#All],7,0)</f>
        <v>62100</v>
      </c>
      <c r="I4873" s="160">
        <f>Sales[[#This Row],[Selling Rate]]*Sales[[#This Row],[Qty]]</f>
        <v>496800</v>
      </c>
      <c r="J4873" s="43">
        <v>0.05</v>
      </c>
      <c r="K4873" s="44">
        <f>Sales[[#This Row],[Gross Amount]]*Sales[[#This Row],[Disc %]]</f>
        <v>24840</v>
      </c>
      <c r="L4873" s="43">
        <v>0.18</v>
      </c>
      <c r="M4873" s="44">
        <f>(Sales[[#This Row],[Gross Amount]]-Sales[[#This Row],[Disc. Amt.]])*Sales[[#This Row],[GST %]]</f>
        <v>84952.8</v>
      </c>
      <c r="N4873" s="161">
        <f>Sales[[#This Row],[Gross Amount]]-Sales[[#This Row],[Disc. Amt.]]+Sales[[#This Row],[GST Amount]]</f>
        <v>556912.80000000005</v>
      </c>
      <c r="O4873" s="158" t="s">
        <v>8876</v>
      </c>
      <c r="P4873" s="158" t="s">
        <v>3562</v>
      </c>
      <c r="Q4873" s="160">
        <f>IF(Sales[[#This Row],[Status]]="Cancelled",0,Sales[[#This Row],[Qty]])</f>
        <v>8</v>
      </c>
      <c r="R4873" s="161">
        <f>IF(Sales[[#This Row],[Status]]="Cancelled",0,Sales[[#This Row],[Total Amount]])</f>
        <v>556912.80000000005</v>
      </c>
      <c r="S4873" s="162">
        <f>SUM(Sales[Net Amount])</f>
        <v>406839287.73200053</v>
      </c>
    </row>
    <row r="4874" spans="1:19" ht="18.75" x14ac:dyDescent="0.25">
      <c r="A4874" s="163" t="s">
        <v>8559</v>
      </c>
      <c r="B4874" s="164">
        <v>46016</v>
      </c>
      <c r="C4874" s="34" t="s">
        <v>698</v>
      </c>
      <c r="D4874" s="53" t="str">
        <f>VLOOKUP(Sales[[#This Row],[Customer ID]],Customer[#All],2,0)</f>
        <v>Neha Sharma</v>
      </c>
      <c r="E4874" s="34" t="s">
        <v>487</v>
      </c>
      <c r="F4874" s="34" t="str">
        <f>VLOOKUP(Sales[[#This Row],[Product ID]],Product[#All],2,0)</f>
        <v>TP-link Bluetooth Adapter</v>
      </c>
      <c r="G4874" s="53">
        <v>1</v>
      </c>
      <c r="H4874" s="165">
        <f>VLOOKUP(Sales[[#This Row],[Product ID]],Product[#All],7,0)</f>
        <v>660</v>
      </c>
      <c r="I4874" s="165">
        <f>Sales[[#This Row],[Selling Rate]]*Sales[[#This Row],[Qty]]</f>
        <v>660</v>
      </c>
      <c r="J4874" s="45">
        <v>0.05</v>
      </c>
      <c r="K4874" s="46">
        <f>Sales[[#This Row],[Gross Amount]]*Sales[[#This Row],[Disc %]]</f>
        <v>33</v>
      </c>
      <c r="L4874" s="43">
        <v>0.18</v>
      </c>
      <c r="M4874" s="46">
        <f>(Sales[[#This Row],[Gross Amount]]-Sales[[#This Row],[Disc. Amt.]])*Sales[[#This Row],[GST %]]</f>
        <v>112.86</v>
      </c>
      <c r="N4874" s="161">
        <f>Sales[[#This Row],[Gross Amount]]-Sales[[#This Row],[Disc. Amt.]]+Sales[[#This Row],[GST Amount]]</f>
        <v>739.86</v>
      </c>
      <c r="O4874" s="34" t="s">
        <v>3569</v>
      </c>
      <c r="P4874" s="34" t="s">
        <v>3562</v>
      </c>
      <c r="Q4874" s="165">
        <f>IF(Sales[[#This Row],[Status]]="Cancelled",0,Sales[[#This Row],[Qty]])</f>
        <v>1</v>
      </c>
      <c r="R4874" s="166">
        <f>IF(Sales[[#This Row],[Status]]="Cancelled",0,Sales[[#This Row],[Total Amount]])</f>
        <v>739.86</v>
      </c>
      <c r="S4874" s="162">
        <f>SUM(Sales[Net Amount])</f>
        <v>406839287.73200053</v>
      </c>
    </row>
    <row r="4875" spans="1:19" ht="18.75" x14ac:dyDescent="0.25">
      <c r="A4875" s="156" t="s">
        <v>8560</v>
      </c>
      <c r="B4875" s="157">
        <v>46016</v>
      </c>
      <c r="C4875" s="158" t="s">
        <v>692</v>
      </c>
      <c r="D4875" s="159" t="str">
        <f>VLOOKUP(Sales[[#This Row],[Customer ID]],Customer[#All],2,0)</f>
        <v>Rahul Patel</v>
      </c>
      <c r="E4875" s="158" t="s">
        <v>437</v>
      </c>
      <c r="F4875" s="158" t="str">
        <f>VLOOKUP(Sales[[#This Row],[Product ID]],Product[#All],2,0)</f>
        <v>Boat Headset</v>
      </c>
      <c r="G4875" s="159">
        <v>1</v>
      </c>
      <c r="H4875" s="160">
        <f>VLOOKUP(Sales[[#This Row],[Product ID]],Product[#All],7,0)</f>
        <v>3260</v>
      </c>
      <c r="I4875" s="160">
        <f>Sales[[#This Row],[Selling Rate]]*Sales[[#This Row],[Qty]]</f>
        <v>3260</v>
      </c>
      <c r="J4875" s="43">
        <v>0.15</v>
      </c>
      <c r="K4875" s="44">
        <f>Sales[[#This Row],[Gross Amount]]*Sales[[#This Row],[Disc %]]</f>
        <v>489</v>
      </c>
      <c r="L4875" s="43">
        <v>0.18</v>
      </c>
      <c r="M4875" s="44">
        <f>(Sales[[#This Row],[Gross Amount]]-Sales[[#This Row],[Disc. Amt.]])*Sales[[#This Row],[GST %]]</f>
        <v>498.78</v>
      </c>
      <c r="N4875" s="161">
        <f>Sales[[#This Row],[Gross Amount]]-Sales[[#This Row],[Disc. Amt.]]+Sales[[#This Row],[GST Amount]]</f>
        <v>3269.7799999999997</v>
      </c>
      <c r="O4875" s="158" t="s">
        <v>3569</v>
      </c>
      <c r="P4875" s="158" t="s">
        <v>3562</v>
      </c>
      <c r="Q4875" s="160">
        <f>IF(Sales[[#This Row],[Status]]="Cancelled",0,Sales[[#This Row],[Qty]])</f>
        <v>1</v>
      </c>
      <c r="R4875" s="161">
        <f>IF(Sales[[#This Row],[Status]]="Cancelled",0,Sales[[#This Row],[Total Amount]])</f>
        <v>3269.7799999999997</v>
      </c>
      <c r="S4875" s="162">
        <f>SUM(Sales[Net Amount])</f>
        <v>406839287.73200053</v>
      </c>
    </row>
    <row r="4876" spans="1:19" ht="18.75" x14ac:dyDescent="0.25">
      <c r="A4876" s="163" t="s">
        <v>8561</v>
      </c>
      <c r="B4876" s="164">
        <v>46016</v>
      </c>
      <c r="C4876" s="34" t="s">
        <v>774</v>
      </c>
      <c r="D4876" s="53" t="str">
        <f>VLOOKUP(Sales[[#This Row],[Customer ID]],Customer[#All],2,0)</f>
        <v>Vikas Patel</v>
      </c>
      <c r="E4876" s="34" t="s">
        <v>439</v>
      </c>
      <c r="F4876" s="34" t="str">
        <f>VLOOKUP(Sales[[#This Row],[Product ID]],Product[#All],2,0)</f>
        <v>HP Laptop</v>
      </c>
      <c r="G4876" s="53">
        <v>4</v>
      </c>
      <c r="H4876" s="165">
        <f>VLOOKUP(Sales[[#This Row],[Product ID]],Product[#All],7,0)</f>
        <v>83330</v>
      </c>
      <c r="I4876" s="165">
        <f>Sales[[#This Row],[Selling Rate]]*Sales[[#This Row],[Qty]]</f>
        <v>333320</v>
      </c>
      <c r="J4876" s="45">
        <v>0.05</v>
      </c>
      <c r="K4876" s="46">
        <f>Sales[[#This Row],[Gross Amount]]*Sales[[#This Row],[Disc %]]</f>
        <v>16666</v>
      </c>
      <c r="L4876" s="43">
        <v>0.18</v>
      </c>
      <c r="M4876" s="46">
        <f>(Sales[[#This Row],[Gross Amount]]-Sales[[#This Row],[Disc. Amt.]])*Sales[[#This Row],[GST %]]</f>
        <v>56997.72</v>
      </c>
      <c r="N4876" s="161">
        <f>Sales[[#This Row],[Gross Amount]]-Sales[[#This Row],[Disc. Amt.]]+Sales[[#This Row],[GST Amount]]</f>
        <v>373651.72</v>
      </c>
      <c r="O4876" s="34" t="s">
        <v>3569</v>
      </c>
      <c r="P4876" s="34" t="s">
        <v>3562</v>
      </c>
      <c r="Q4876" s="165">
        <f>IF(Sales[[#This Row],[Status]]="Cancelled",0,Sales[[#This Row],[Qty]])</f>
        <v>4</v>
      </c>
      <c r="R4876" s="166">
        <f>IF(Sales[[#This Row],[Status]]="Cancelled",0,Sales[[#This Row],[Total Amount]])</f>
        <v>373651.72</v>
      </c>
      <c r="S4876" s="162">
        <f>SUM(Sales[Net Amount])</f>
        <v>406839287.73200053</v>
      </c>
    </row>
    <row r="4877" spans="1:19" ht="18.75" x14ac:dyDescent="0.25">
      <c r="A4877" s="156" t="s">
        <v>8562</v>
      </c>
      <c r="B4877" s="157">
        <v>46016</v>
      </c>
      <c r="C4877" s="158" t="s">
        <v>794</v>
      </c>
      <c r="D4877" s="159" t="str">
        <f>VLOOKUP(Sales[[#This Row],[Customer ID]],Customer[#All],2,0)</f>
        <v>Sunita Sharma</v>
      </c>
      <c r="E4877" s="158" t="s">
        <v>403</v>
      </c>
      <c r="F4877" s="158" t="str">
        <f>VLOOKUP(Sales[[#This Row],[Product ID]],Product[#All],2,0)</f>
        <v>Apc UPS</v>
      </c>
      <c r="G4877" s="159">
        <v>1</v>
      </c>
      <c r="H4877" s="160">
        <f>VLOOKUP(Sales[[#This Row],[Product ID]],Product[#All],7,0)</f>
        <v>15810</v>
      </c>
      <c r="I4877" s="160">
        <f>Sales[[#This Row],[Selling Rate]]*Sales[[#This Row],[Qty]]</f>
        <v>15810</v>
      </c>
      <c r="J4877" s="43">
        <v>0.02</v>
      </c>
      <c r="K4877" s="44">
        <f>Sales[[#This Row],[Gross Amount]]*Sales[[#This Row],[Disc %]]</f>
        <v>316.2</v>
      </c>
      <c r="L4877" s="43">
        <v>0.18</v>
      </c>
      <c r="M4877" s="44">
        <f>(Sales[[#This Row],[Gross Amount]]-Sales[[#This Row],[Disc. Amt.]])*Sales[[#This Row],[GST %]]</f>
        <v>2788.8839999999996</v>
      </c>
      <c r="N4877" s="161">
        <f>Sales[[#This Row],[Gross Amount]]-Sales[[#This Row],[Disc. Amt.]]+Sales[[#This Row],[GST Amount]]</f>
        <v>18282.683999999997</v>
      </c>
      <c r="O4877" s="158" t="s">
        <v>3566</v>
      </c>
      <c r="P4877" s="158" t="s">
        <v>3562</v>
      </c>
      <c r="Q4877" s="160">
        <f>IF(Sales[[#This Row],[Status]]="Cancelled",0,Sales[[#This Row],[Qty]])</f>
        <v>1</v>
      </c>
      <c r="R4877" s="161">
        <f>IF(Sales[[#This Row],[Status]]="Cancelled",0,Sales[[#This Row],[Total Amount]])</f>
        <v>18282.683999999997</v>
      </c>
      <c r="S4877" s="162">
        <f>SUM(Sales[Net Amount])</f>
        <v>406839287.73200053</v>
      </c>
    </row>
    <row r="4878" spans="1:19" ht="18.75" x14ac:dyDescent="0.25">
      <c r="A4878" s="163" t="s">
        <v>8563</v>
      </c>
      <c r="B4878" s="164">
        <v>46016</v>
      </c>
      <c r="C4878" s="34" t="s">
        <v>939</v>
      </c>
      <c r="D4878" s="53" t="str">
        <f>VLOOKUP(Sales[[#This Row],[Customer ID]],Customer[#All],2,0)</f>
        <v>Sunita Sharma</v>
      </c>
      <c r="E4878" s="34" t="s">
        <v>530</v>
      </c>
      <c r="F4878" s="34" t="str">
        <f>VLOOKUP(Sales[[#This Row],[Product ID]],Product[#All],2,0)</f>
        <v>Acer Laptop</v>
      </c>
      <c r="G4878" s="53">
        <v>2</v>
      </c>
      <c r="H4878" s="165">
        <f>VLOOKUP(Sales[[#This Row],[Product ID]],Product[#All],7,0)</f>
        <v>31390</v>
      </c>
      <c r="I4878" s="165">
        <f>Sales[[#This Row],[Selling Rate]]*Sales[[#This Row],[Qty]]</f>
        <v>62780</v>
      </c>
      <c r="J4878" s="45">
        <v>0.02</v>
      </c>
      <c r="K4878" s="46">
        <f>Sales[[#This Row],[Gross Amount]]*Sales[[#This Row],[Disc %]]</f>
        <v>1255.6000000000001</v>
      </c>
      <c r="L4878" s="43">
        <v>0.18</v>
      </c>
      <c r="M4878" s="46">
        <f>(Sales[[#This Row],[Gross Amount]]-Sales[[#This Row],[Disc. Amt.]])*Sales[[#This Row],[GST %]]</f>
        <v>11074.392</v>
      </c>
      <c r="N4878" s="161">
        <f>Sales[[#This Row],[Gross Amount]]-Sales[[#This Row],[Disc. Amt.]]+Sales[[#This Row],[GST Amount]]</f>
        <v>72598.792000000001</v>
      </c>
      <c r="O4878" s="34" t="s">
        <v>3569</v>
      </c>
      <c r="P4878" s="34" t="s">
        <v>3562</v>
      </c>
      <c r="Q4878" s="165">
        <f>IF(Sales[[#This Row],[Status]]="Cancelled",0,Sales[[#This Row],[Qty]])</f>
        <v>2</v>
      </c>
      <c r="R4878" s="166">
        <f>IF(Sales[[#This Row],[Status]]="Cancelled",0,Sales[[#This Row],[Total Amount]])</f>
        <v>72598.792000000001</v>
      </c>
      <c r="S4878" s="162">
        <f>SUM(Sales[Net Amount])</f>
        <v>406839287.73200053</v>
      </c>
    </row>
    <row r="4879" spans="1:19" ht="18.75" x14ac:dyDescent="0.25">
      <c r="A4879" s="156" t="s">
        <v>8564</v>
      </c>
      <c r="B4879" s="157">
        <v>46016</v>
      </c>
      <c r="C4879" s="158" t="s">
        <v>836</v>
      </c>
      <c r="D4879" s="159" t="str">
        <f>VLOOKUP(Sales[[#This Row],[Customer ID]],Customer[#All],2,0)</f>
        <v>Sunita Patel</v>
      </c>
      <c r="E4879" s="158" t="s">
        <v>144</v>
      </c>
      <c r="F4879" s="158" t="str">
        <f>VLOOKUP(Sales[[#This Row],[Product ID]],Product[#All],2,0)</f>
        <v>Jbl Speaker</v>
      </c>
      <c r="G4879" s="159">
        <v>4</v>
      </c>
      <c r="H4879" s="160">
        <f>VLOOKUP(Sales[[#This Row],[Product ID]],Product[#All],7,0)</f>
        <v>7630</v>
      </c>
      <c r="I4879" s="160">
        <f>Sales[[#This Row],[Selling Rate]]*Sales[[#This Row],[Qty]]</f>
        <v>30520</v>
      </c>
      <c r="J4879" s="43">
        <v>0.1</v>
      </c>
      <c r="K4879" s="44">
        <f>Sales[[#This Row],[Gross Amount]]*Sales[[#This Row],[Disc %]]</f>
        <v>3052</v>
      </c>
      <c r="L4879" s="43">
        <v>0.18</v>
      </c>
      <c r="M4879" s="44">
        <f>(Sales[[#This Row],[Gross Amount]]-Sales[[#This Row],[Disc. Amt.]])*Sales[[#This Row],[GST %]]</f>
        <v>4944.24</v>
      </c>
      <c r="N4879" s="161">
        <f>Sales[[#This Row],[Gross Amount]]-Sales[[#This Row],[Disc. Amt.]]+Sales[[#This Row],[GST Amount]]</f>
        <v>32412.239999999998</v>
      </c>
      <c r="O4879" s="158" t="s">
        <v>8876</v>
      </c>
      <c r="P4879" s="158" t="s">
        <v>3562</v>
      </c>
      <c r="Q4879" s="160">
        <f>IF(Sales[[#This Row],[Status]]="Cancelled",0,Sales[[#This Row],[Qty]])</f>
        <v>4</v>
      </c>
      <c r="R4879" s="161">
        <f>IF(Sales[[#This Row],[Status]]="Cancelled",0,Sales[[#This Row],[Total Amount]])</f>
        <v>32412.239999999998</v>
      </c>
      <c r="S4879" s="162">
        <f>SUM(Sales[Net Amount])</f>
        <v>406839287.73200053</v>
      </c>
    </row>
    <row r="4880" spans="1:19" ht="18.75" x14ac:dyDescent="0.25">
      <c r="A4880" s="163" t="s">
        <v>8565</v>
      </c>
      <c r="B4880" s="164">
        <v>46016</v>
      </c>
      <c r="C4880" s="34" t="s">
        <v>799</v>
      </c>
      <c r="D4880" s="53" t="str">
        <f>VLOOKUP(Sales[[#This Row],[Customer ID]],Customer[#All],2,0)</f>
        <v>Rakesh Gupta</v>
      </c>
      <c r="E4880" s="34" t="s">
        <v>302</v>
      </c>
      <c r="F4880" s="34" t="str">
        <f>VLOOKUP(Sales[[#This Row],[Product ID]],Product[#All],2,0)</f>
        <v>Sandisk Pen Drive</v>
      </c>
      <c r="G4880" s="53">
        <v>2</v>
      </c>
      <c r="H4880" s="165">
        <f>VLOOKUP(Sales[[#This Row],[Product ID]],Product[#All],7,0)</f>
        <v>2500</v>
      </c>
      <c r="I4880" s="165">
        <f>Sales[[#This Row],[Selling Rate]]*Sales[[#This Row],[Qty]]</f>
        <v>5000</v>
      </c>
      <c r="J4880" s="45">
        <v>0.05</v>
      </c>
      <c r="K4880" s="46">
        <f>Sales[[#This Row],[Gross Amount]]*Sales[[#This Row],[Disc %]]</f>
        <v>250</v>
      </c>
      <c r="L4880" s="43">
        <v>0.18</v>
      </c>
      <c r="M4880" s="46">
        <f>(Sales[[#This Row],[Gross Amount]]-Sales[[#This Row],[Disc. Amt.]])*Sales[[#This Row],[GST %]]</f>
        <v>855</v>
      </c>
      <c r="N4880" s="161">
        <f>Sales[[#This Row],[Gross Amount]]-Sales[[#This Row],[Disc. Amt.]]+Sales[[#This Row],[GST Amount]]</f>
        <v>5605</v>
      </c>
      <c r="O4880" s="34" t="s">
        <v>3566</v>
      </c>
      <c r="P4880" s="34" t="s">
        <v>3562</v>
      </c>
      <c r="Q4880" s="165">
        <f>IF(Sales[[#This Row],[Status]]="Cancelled",0,Sales[[#This Row],[Qty]])</f>
        <v>2</v>
      </c>
      <c r="R4880" s="166">
        <f>IF(Sales[[#This Row],[Status]]="Cancelled",0,Sales[[#This Row],[Total Amount]])</f>
        <v>5605</v>
      </c>
      <c r="S4880" s="162">
        <f>SUM(Sales[Net Amount])</f>
        <v>406839287.73200053</v>
      </c>
    </row>
    <row r="4881" spans="1:19" ht="18.75" x14ac:dyDescent="0.25">
      <c r="A4881" s="156" t="s">
        <v>8566</v>
      </c>
      <c r="B4881" s="157">
        <v>46016</v>
      </c>
      <c r="C4881" s="158" t="s">
        <v>653</v>
      </c>
      <c r="D4881" s="159" t="str">
        <f>VLOOKUP(Sales[[#This Row],[Customer ID]],Customer[#All],2,0)</f>
        <v>Pooja Patel</v>
      </c>
      <c r="E4881" s="158" t="s">
        <v>224</v>
      </c>
      <c r="F4881" s="158" t="str">
        <f>VLOOKUP(Sales[[#This Row],[Product ID]],Product[#All],2,0)</f>
        <v>Seagate HDD</v>
      </c>
      <c r="G4881" s="159">
        <v>2</v>
      </c>
      <c r="H4881" s="160">
        <f>VLOOKUP(Sales[[#This Row],[Product ID]],Product[#All],7,0)</f>
        <v>8130</v>
      </c>
      <c r="I4881" s="160">
        <f>Sales[[#This Row],[Selling Rate]]*Sales[[#This Row],[Qty]]</f>
        <v>16260</v>
      </c>
      <c r="J4881" s="43">
        <v>0.02</v>
      </c>
      <c r="K4881" s="44">
        <f>Sales[[#This Row],[Gross Amount]]*Sales[[#This Row],[Disc %]]</f>
        <v>325.2</v>
      </c>
      <c r="L4881" s="43">
        <v>0.18</v>
      </c>
      <c r="M4881" s="44">
        <f>(Sales[[#This Row],[Gross Amount]]-Sales[[#This Row],[Disc. Amt.]])*Sales[[#This Row],[GST %]]</f>
        <v>2868.2639999999997</v>
      </c>
      <c r="N4881" s="161">
        <f>Sales[[#This Row],[Gross Amount]]-Sales[[#This Row],[Disc. Amt.]]+Sales[[#This Row],[GST Amount]]</f>
        <v>18803.063999999998</v>
      </c>
      <c r="O4881" s="158" t="s">
        <v>3569</v>
      </c>
      <c r="P4881" s="158" t="s">
        <v>3562</v>
      </c>
      <c r="Q4881" s="160">
        <f>IF(Sales[[#This Row],[Status]]="Cancelled",0,Sales[[#This Row],[Qty]])</f>
        <v>2</v>
      </c>
      <c r="R4881" s="161">
        <f>IF(Sales[[#This Row],[Status]]="Cancelled",0,Sales[[#This Row],[Total Amount]])</f>
        <v>18803.063999999998</v>
      </c>
      <c r="S4881" s="162">
        <f>SUM(Sales[Net Amount])</f>
        <v>406839287.73200053</v>
      </c>
    </row>
    <row r="4882" spans="1:19" ht="18.75" x14ac:dyDescent="0.25">
      <c r="A4882" s="163" t="s">
        <v>8567</v>
      </c>
      <c r="B4882" s="164">
        <v>46016</v>
      </c>
      <c r="C4882" s="34" t="s">
        <v>660</v>
      </c>
      <c r="D4882" s="53" t="str">
        <f>VLOOKUP(Sales[[#This Row],[Customer ID]],Customer[#All],2,0)</f>
        <v>Priya Sharma</v>
      </c>
      <c r="E4882" s="34" t="s">
        <v>242</v>
      </c>
      <c r="F4882" s="34" t="str">
        <f>VLOOKUP(Sales[[#This Row],[Product ID]],Product[#All],2,0)</f>
        <v>HP Printer</v>
      </c>
      <c r="G4882" s="53">
        <v>8</v>
      </c>
      <c r="H4882" s="165">
        <f>VLOOKUP(Sales[[#This Row],[Product ID]],Product[#All],7,0)</f>
        <v>20380</v>
      </c>
      <c r="I4882" s="165">
        <f>Sales[[#This Row],[Selling Rate]]*Sales[[#This Row],[Qty]]</f>
        <v>163040</v>
      </c>
      <c r="J4882" s="45">
        <v>0</v>
      </c>
      <c r="K4882" s="46">
        <f>Sales[[#This Row],[Gross Amount]]*Sales[[#This Row],[Disc %]]</f>
        <v>0</v>
      </c>
      <c r="L4882" s="43">
        <v>0.18</v>
      </c>
      <c r="M4882" s="46">
        <f>(Sales[[#This Row],[Gross Amount]]-Sales[[#This Row],[Disc. Amt.]])*Sales[[#This Row],[GST %]]</f>
        <v>29347.200000000001</v>
      </c>
      <c r="N4882" s="161">
        <f>Sales[[#This Row],[Gross Amount]]-Sales[[#This Row],[Disc. Amt.]]+Sales[[#This Row],[GST Amount]]</f>
        <v>192387.20000000001</v>
      </c>
      <c r="O4882" s="34" t="s">
        <v>3561</v>
      </c>
      <c r="P4882" s="34" t="s">
        <v>3562</v>
      </c>
      <c r="Q4882" s="165">
        <f>IF(Sales[[#This Row],[Status]]="Cancelled",0,Sales[[#This Row],[Qty]])</f>
        <v>8</v>
      </c>
      <c r="R4882" s="166">
        <f>IF(Sales[[#This Row],[Status]]="Cancelled",0,Sales[[#This Row],[Total Amount]])</f>
        <v>192387.20000000001</v>
      </c>
      <c r="S4882" s="162">
        <f>SUM(Sales[Net Amount])</f>
        <v>406839287.73200053</v>
      </c>
    </row>
    <row r="4883" spans="1:19" ht="18.75" x14ac:dyDescent="0.25">
      <c r="A4883" s="156" t="s">
        <v>8568</v>
      </c>
      <c r="B4883" s="157">
        <v>46016</v>
      </c>
      <c r="C4883" s="158" t="s">
        <v>801</v>
      </c>
      <c r="D4883" s="159" t="str">
        <f>VLOOKUP(Sales[[#This Row],[Customer ID]],Customer[#All],2,0)</f>
        <v>Sunita Verma</v>
      </c>
      <c r="E4883" s="158" t="s">
        <v>261</v>
      </c>
      <c r="F4883" s="158" t="str">
        <f>VLOOKUP(Sales[[#This Row],[Product ID]],Product[#All],2,0)</f>
        <v>American TouristerLaptopBag</v>
      </c>
      <c r="G4883" s="159">
        <v>4</v>
      </c>
      <c r="H4883" s="160">
        <f>VLOOKUP(Sales[[#This Row],[Product ID]],Product[#All],7,0)</f>
        <v>1320</v>
      </c>
      <c r="I4883" s="160">
        <f>Sales[[#This Row],[Selling Rate]]*Sales[[#This Row],[Qty]]</f>
        <v>5280</v>
      </c>
      <c r="J4883" s="43">
        <v>0.05</v>
      </c>
      <c r="K4883" s="44">
        <f>Sales[[#This Row],[Gross Amount]]*Sales[[#This Row],[Disc %]]</f>
        <v>264</v>
      </c>
      <c r="L4883" s="43">
        <v>0.18</v>
      </c>
      <c r="M4883" s="44">
        <f>(Sales[[#This Row],[Gross Amount]]-Sales[[#This Row],[Disc. Amt.]])*Sales[[#This Row],[GST %]]</f>
        <v>902.88</v>
      </c>
      <c r="N4883" s="161">
        <f>Sales[[#This Row],[Gross Amount]]-Sales[[#This Row],[Disc. Amt.]]+Sales[[#This Row],[GST Amount]]</f>
        <v>5918.88</v>
      </c>
      <c r="O4883" s="158" t="s">
        <v>3566</v>
      </c>
      <c r="P4883" s="158" t="s">
        <v>3562</v>
      </c>
      <c r="Q4883" s="160">
        <f>IF(Sales[[#This Row],[Status]]="Cancelled",0,Sales[[#This Row],[Qty]])</f>
        <v>4</v>
      </c>
      <c r="R4883" s="161">
        <f>IF(Sales[[#This Row],[Status]]="Cancelled",0,Sales[[#This Row],[Total Amount]])</f>
        <v>5918.88</v>
      </c>
      <c r="S4883" s="162">
        <f>SUM(Sales[Net Amount])</f>
        <v>406839287.73200053</v>
      </c>
    </row>
    <row r="4884" spans="1:19" ht="18.75" x14ac:dyDescent="0.25">
      <c r="A4884" s="163" t="s">
        <v>8569</v>
      </c>
      <c r="B4884" s="164">
        <v>46016</v>
      </c>
      <c r="C4884" s="34" t="s">
        <v>853</v>
      </c>
      <c r="D4884" s="53" t="str">
        <f>VLOOKUP(Sales[[#This Row],[Customer ID]],Customer[#All],2,0)</f>
        <v>Amit Singh</v>
      </c>
      <c r="E4884" s="34" t="s">
        <v>310</v>
      </c>
      <c r="F4884" s="34" t="str">
        <f>VLOOKUP(Sales[[#This Row],[Product ID]],Product[#All],2,0)</f>
        <v>TP-link Wi-Fi Adapter</v>
      </c>
      <c r="G4884" s="53">
        <v>2</v>
      </c>
      <c r="H4884" s="165">
        <f>VLOOKUP(Sales[[#This Row],[Product ID]],Product[#All],7,0)</f>
        <v>700</v>
      </c>
      <c r="I4884" s="165">
        <f>Sales[[#This Row],[Selling Rate]]*Sales[[#This Row],[Qty]]</f>
        <v>1400</v>
      </c>
      <c r="J4884" s="45">
        <v>0.1</v>
      </c>
      <c r="K4884" s="46">
        <f>Sales[[#This Row],[Gross Amount]]*Sales[[#This Row],[Disc %]]</f>
        <v>140</v>
      </c>
      <c r="L4884" s="43">
        <v>0.18</v>
      </c>
      <c r="M4884" s="46">
        <f>(Sales[[#This Row],[Gross Amount]]-Sales[[#This Row],[Disc. Amt.]])*Sales[[#This Row],[GST %]]</f>
        <v>226.79999999999998</v>
      </c>
      <c r="N4884" s="161">
        <f>Sales[[#This Row],[Gross Amount]]-Sales[[#This Row],[Disc. Amt.]]+Sales[[#This Row],[GST Amount]]</f>
        <v>1486.8</v>
      </c>
      <c r="O4884" s="34" t="s">
        <v>8876</v>
      </c>
      <c r="P4884" s="34" t="s">
        <v>3562</v>
      </c>
      <c r="Q4884" s="165">
        <f>IF(Sales[[#This Row],[Status]]="Cancelled",0,Sales[[#This Row],[Qty]])</f>
        <v>2</v>
      </c>
      <c r="R4884" s="166">
        <f>IF(Sales[[#This Row],[Status]]="Cancelled",0,Sales[[#This Row],[Total Amount]])</f>
        <v>1486.8</v>
      </c>
      <c r="S4884" s="162">
        <f>SUM(Sales[Net Amount])</f>
        <v>406839287.73200053</v>
      </c>
    </row>
    <row r="4885" spans="1:19" ht="18.75" x14ac:dyDescent="0.25">
      <c r="A4885" s="156" t="s">
        <v>8570</v>
      </c>
      <c r="B4885" s="157">
        <v>46016</v>
      </c>
      <c r="C4885" s="158" t="s">
        <v>663</v>
      </c>
      <c r="D4885" s="159" t="str">
        <f>VLOOKUP(Sales[[#This Row],[Customer ID]],Customer[#All],2,0)</f>
        <v>Amit Sharma</v>
      </c>
      <c r="E4885" s="158" t="s">
        <v>458</v>
      </c>
      <c r="F4885" s="158" t="str">
        <f>VLOOKUP(Sales[[#This Row],[Product ID]],Product[#All],2,0)</f>
        <v>Dell Monitor</v>
      </c>
      <c r="G4885" s="159">
        <v>7</v>
      </c>
      <c r="H4885" s="160">
        <f>VLOOKUP(Sales[[#This Row],[Product ID]],Product[#All],7,0)</f>
        <v>6380</v>
      </c>
      <c r="I4885" s="160">
        <f>Sales[[#This Row],[Selling Rate]]*Sales[[#This Row],[Qty]]</f>
        <v>44660</v>
      </c>
      <c r="J4885" s="43">
        <v>0.05</v>
      </c>
      <c r="K4885" s="44">
        <f>Sales[[#This Row],[Gross Amount]]*Sales[[#This Row],[Disc %]]</f>
        <v>2233</v>
      </c>
      <c r="L4885" s="43">
        <v>0.18</v>
      </c>
      <c r="M4885" s="44">
        <f>(Sales[[#This Row],[Gross Amount]]-Sales[[#This Row],[Disc. Amt.]])*Sales[[#This Row],[GST %]]</f>
        <v>7636.86</v>
      </c>
      <c r="N4885" s="161">
        <f>Sales[[#This Row],[Gross Amount]]-Sales[[#This Row],[Disc. Amt.]]+Sales[[#This Row],[GST Amount]]</f>
        <v>50063.86</v>
      </c>
      <c r="O4885" s="158" t="s">
        <v>3566</v>
      </c>
      <c r="P4885" s="158" t="s">
        <v>3562</v>
      </c>
      <c r="Q4885" s="160">
        <f>IF(Sales[[#This Row],[Status]]="Cancelled",0,Sales[[#This Row],[Qty]])</f>
        <v>7</v>
      </c>
      <c r="R4885" s="161">
        <f>IF(Sales[[#This Row],[Status]]="Cancelled",0,Sales[[#This Row],[Total Amount]])</f>
        <v>50063.86</v>
      </c>
      <c r="S4885" s="162">
        <f>SUM(Sales[Net Amount])</f>
        <v>406839287.73200053</v>
      </c>
    </row>
    <row r="4886" spans="1:19" ht="18.75" x14ac:dyDescent="0.25">
      <c r="A4886" s="163" t="s">
        <v>8571</v>
      </c>
      <c r="B4886" s="164">
        <v>46017</v>
      </c>
      <c r="C4886" s="34" t="s">
        <v>901</v>
      </c>
      <c r="D4886" s="53" t="str">
        <f>VLOOKUP(Sales[[#This Row],[Customer ID]],Customer[#All],2,0)</f>
        <v>Vikas Kumar</v>
      </c>
      <c r="E4886" s="34" t="s">
        <v>217</v>
      </c>
      <c r="F4886" s="34" t="str">
        <f>VLOOKUP(Sales[[#This Row],[Product ID]],Product[#All],2,0)</f>
        <v>Logitech Webcam</v>
      </c>
      <c r="G4886" s="53">
        <v>6</v>
      </c>
      <c r="H4886" s="165">
        <f>VLOOKUP(Sales[[#This Row],[Product ID]],Product[#All],7,0)</f>
        <v>2420</v>
      </c>
      <c r="I4886" s="165">
        <f>Sales[[#This Row],[Selling Rate]]*Sales[[#This Row],[Qty]]</f>
        <v>14520</v>
      </c>
      <c r="J4886" s="45">
        <v>0.1</v>
      </c>
      <c r="K4886" s="46">
        <f>Sales[[#This Row],[Gross Amount]]*Sales[[#This Row],[Disc %]]</f>
        <v>1452</v>
      </c>
      <c r="L4886" s="43">
        <v>0.18</v>
      </c>
      <c r="M4886" s="46">
        <f>(Sales[[#This Row],[Gross Amount]]-Sales[[#This Row],[Disc. Amt.]])*Sales[[#This Row],[GST %]]</f>
        <v>2352.2399999999998</v>
      </c>
      <c r="N4886" s="161">
        <f>Sales[[#This Row],[Gross Amount]]-Sales[[#This Row],[Disc. Amt.]]+Sales[[#This Row],[GST Amount]]</f>
        <v>15420.24</v>
      </c>
      <c r="O4886" s="34" t="s">
        <v>3566</v>
      </c>
      <c r="P4886" s="34" t="s">
        <v>1040</v>
      </c>
      <c r="Q4886" s="165">
        <f>IF(Sales[[#This Row],[Status]]="Cancelled",0,Sales[[#This Row],[Qty]])</f>
        <v>0</v>
      </c>
      <c r="R4886" s="166">
        <f>IF(Sales[[#This Row],[Status]]="Cancelled",0,Sales[[#This Row],[Total Amount]])</f>
        <v>0</v>
      </c>
      <c r="S4886" s="162">
        <f>SUM(Sales[Net Amount])</f>
        <v>406839287.73200053</v>
      </c>
    </row>
    <row r="4887" spans="1:19" ht="18.75" x14ac:dyDescent="0.25">
      <c r="A4887" s="156" t="s">
        <v>8572</v>
      </c>
      <c r="B4887" s="157">
        <v>46017</v>
      </c>
      <c r="C4887" s="158" t="s">
        <v>724</v>
      </c>
      <c r="D4887" s="159" t="str">
        <f>VLOOKUP(Sales[[#This Row],[Customer ID]],Customer[#All],2,0)</f>
        <v>Sunita Sharma</v>
      </c>
      <c r="E4887" s="158" t="s">
        <v>10</v>
      </c>
      <c r="F4887" s="158" t="str">
        <f>VLOOKUP(Sales[[#This Row],[Product ID]],Product[#All],2,0)</f>
        <v>Dell Monitor</v>
      </c>
      <c r="G4887" s="159">
        <v>5</v>
      </c>
      <c r="H4887" s="160">
        <f>VLOOKUP(Sales[[#This Row],[Product ID]],Product[#All],7,0)</f>
        <v>17230</v>
      </c>
      <c r="I4887" s="160">
        <f>Sales[[#This Row],[Selling Rate]]*Sales[[#This Row],[Qty]]</f>
        <v>86150</v>
      </c>
      <c r="J4887" s="43">
        <v>0.12</v>
      </c>
      <c r="K4887" s="44">
        <f>Sales[[#This Row],[Gross Amount]]*Sales[[#This Row],[Disc %]]</f>
        <v>10338</v>
      </c>
      <c r="L4887" s="43">
        <v>0.18</v>
      </c>
      <c r="M4887" s="44">
        <f>(Sales[[#This Row],[Gross Amount]]-Sales[[#This Row],[Disc. Amt.]])*Sales[[#This Row],[GST %]]</f>
        <v>13646.16</v>
      </c>
      <c r="N4887" s="161">
        <f>Sales[[#This Row],[Gross Amount]]-Sales[[#This Row],[Disc. Amt.]]+Sales[[#This Row],[GST Amount]]</f>
        <v>89458.16</v>
      </c>
      <c r="O4887" s="158" t="s">
        <v>3569</v>
      </c>
      <c r="P4887" s="158" t="s">
        <v>3562</v>
      </c>
      <c r="Q4887" s="160">
        <f>IF(Sales[[#This Row],[Status]]="Cancelled",0,Sales[[#This Row],[Qty]])</f>
        <v>5</v>
      </c>
      <c r="R4887" s="161">
        <f>IF(Sales[[#This Row],[Status]]="Cancelled",0,Sales[[#This Row],[Total Amount]])</f>
        <v>89458.16</v>
      </c>
      <c r="S4887" s="162">
        <f>SUM(Sales[Net Amount])</f>
        <v>406839287.73200053</v>
      </c>
    </row>
    <row r="4888" spans="1:19" ht="18.75" x14ac:dyDescent="0.25">
      <c r="A4888" s="163" t="s">
        <v>8573</v>
      </c>
      <c r="B4888" s="164">
        <v>46017</v>
      </c>
      <c r="C4888" s="34" t="s">
        <v>893</v>
      </c>
      <c r="D4888" s="53" t="str">
        <f>VLOOKUP(Sales[[#This Row],[Customer ID]],Customer[#All],2,0)</f>
        <v>Sunita Sharma</v>
      </c>
      <c r="E4888" s="34" t="s">
        <v>270</v>
      </c>
      <c r="F4888" s="34" t="str">
        <f>VLOOKUP(Sales[[#This Row],[Product ID]],Product[#All],2,0)</f>
        <v>Samsung Ssd</v>
      </c>
      <c r="G4888" s="53">
        <v>6</v>
      </c>
      <c r="H4888" s="165">
        <f>VLOOKUP(Sales[[#This Row],[Product ID]],Product[#All],7,0)</f>
        <v>6090</v>
      </c>
      <c r="I4888" s="165">
        <f>Sales[[#This Row],[Selling Rate]]*Sales[[#This Row],[Qty]]</f>
        <v>36540</v>
      </c>
      <c r="J4888" s="45">
        <v>0</v>
      </c>
      <c r="K4888" s="46">
        <f>Sales[[#This Row],[Gross Amount]]*Sales[[#This Row],[Disc %]]</f>
        <v>0</v>
      </c>
      <c r="L4888" s="43">
        <v>0.18</v>
      </c>
      <c r="M4888" s="46">
        <f>(Sales[[#This Row],[Gross Amount]]-Sales[[#This Row],[Disc. Amt.]])*Sales[[#This Row],[GST %]]</f>
        <v>6577.2</v>
      </c>
      <c r="N4888" s="161">
        <f>Sales[[#This Row],[Gross Amount]]-Sales[[#This Row],[Disc. Amt.]]+Sales[[#This Row],[GST Amount]]</f>
        <v>43117.2</v>
      </c>
      <c r="O4888" s="34" t="s">
        <v>3566</v>
      </c>
      <c r="P4888" s="34" t="s">
        <v>3562</v>
      </c>
      <c r="Q4888" s="165">
        <f>IF(Sales[[#This Row],[Status]]="Cancelled",0,Sales[[#This Row],[Qty]])</f>
        <v>6</v>
      </c>
      <c r="R4888" s="166">
        <f>IF(Sales[[#This Row],[Status]]="Cancelled",0,Sales[[#This Row],[Total Amount]])</f>
        <v>43117.2</v>
      </c>
      <c r="S4888" s="162">
        <f>SUM(Sales[Net Amount])</f>
        <v>406839287.73200053</v>
      </c>
    </row>
    <row r="4889" spans="1:19" ht="18.75" x14ac:dyDescent="0.25">
      <c r="A4889" s="156" t="s">
        <v>8574</v>
      </c>
      <c r="B4889" s="157">
        <v>46017</v>
      </c>
      <c r="C4889" s="158" t="s">
        <v>740</v>
      </c>
      <c r="D4889" s="159" t="str">
        <f>VLOOKUP(Sales[[#This Row],[Customer ID]],Customer[#All],2,0)</f>
        <v>Vikas Gupta</v>
      </c>
      <c r="E4889" s="158" t="s">
        <v>420</v>
      </c>
      <c r="F4889" s="158" t="str">
        <f>VLOOKUP(Sales[[#This Row],[Product ID]],Product[#All],2,0)</f>
        <v>Logitech Keyboard</v>
      </c>
      <c r="G4889" s="159">
        <v>3</v>
      </c>
      <c r="H4889" s="160">
        <f>VLOOKUP(Sales[[#This Row],[Product ID]],Product[#All],7,0)</f>
        <v>3430</v>
      </c>
      <c r="I4889" s="160">
        <f>Sales[[#This Row],[Selling Rate]]*Sales[[#This Row],[Qty]]</f>
        <v>10290</v>
      </c>
      <c r="J4889" s="43">
        <v>0.15</v>
      </c>
      <c r="K4889" s="44">
        <f>Sales[[#This Row],[Gross Amount]]*Sales[[#This Row],[Disc %]]</f>
        <v>1543.5</v>
      </c>
      <c r="L4889" s="43">
        <v>0.18</v>
      </c>
      <c r="M4889" s="44">
        <f>(Sales[[#This Row],[Gross Amount]]-Sales[[#This Row],[Disc. Amt.]])*Sales[[#This Row],[GST %]]</f>
        <v>1574.37</v>
      </c>
      <c r="N4889" s="161">
        <f>Sales[[#This Row],[Gross Amount]]-Sales[[#This Row],[Disc. Amt.]]+Sales[[#This Row],[GST Amount]]</f>
        <v>10320.869999999999</v>
      </c>
      <c r="O4889" s="158" t="s">
        <v>8876</v>
      </c>
      <c r="P4889" s="158" t="s">
        <v>3562</v>
      </c>
      <c r="Q4889" s="160">
        <f>IF(Sales[[#This Row],[Status]]="Cancelled",0,Sales[[#This Row],[Qty]])</f>
        <v>3</v>
      </c>
      <c r="R4889" s="161">
        <f>IF(Sales[[#This Row],[Status]]="Cancelled",0,Sales[[#This Row],[Total Amount]])</f>
        <v>10320.869999999999</v>
      </c>
      <c r="S4889" s="162">
        <f>SUM(Sales[Net Amount])</f>
        <v>406839287.73200053</v>
      </c>
    </row>
    <row r="4890" spans="1:19" ht="18.75" x14ac:dyDescent="0.25">
      <c r="A4890" s="163" t="s">
        <v>8575</v>
      </c>
      <c r="B4890" s="164">
        <v>46017</v>
      </c>
      <c r="C4890" s="34" t="s">
        <v>859</v>
      </c>
      <c r="D4890" s="53" t="str">
        <f>VLOOKUP(Sales[[#This Row],[Customer ID]],Customer[#All],2,0)</f>
        <v>Rakesh Kumar</v>
      </c>
      <c r="E4890" s="34" t="s">
        <v>276</v>
      </c>
      <c r="F4890" s="34" t="str">
        <f>VLOOKUP(Sales[[#This Row],[Product ID]],Product[#All],2,0)</f>
        <v>Corsair Ram</v>
      </c>
      <c r="G4890" s="53">
        <v>2</v>
      </c>
      <c r="H4890" s="165">
        <f>VLOOKUP(Sales[[#This Row],[Product ID]],Product[#All],7,0)</f>
        <v>7140</v>
      </c>
      <c r="I4890" s="165">
        <f>Sales[[#This Row],[Selling Rate]]*Sales[[#This Row],[Qty]]</f>
        <v>14280</v>
      </c>
      <c r="J4890" s="45">
        <v>0.1</v>
      </c>
      <c r="K4890" s="46">
        <f>Sales[[#This Row],[Gross Amount]]*Sales[[#This Row],[Disc %]]</f>
        <v>1428</v>
      </c>
      <c r="L4890" s="43">
        <v>0.18</v>
      </c>
      <c r="M4890" s="46">
        <f>(Sales[[#This Row],[Gross Amount]]-Sales[[#This Row],[Disc. Amt.]])*Sales[[#This Row],[GST %]]</f>
        <v>2313.36</v>
      </c>
      <c r="N4890" s="161">
        <f>Sales[[#This Row],[Gross Amount]]-Sales[[#This Row],[Disc. Amt.]]+Sales[[#This Row],[GST Amount]]</f>
        <v>15165.36</v>
      </c>
      <c r="O4890" s="34" t="s">
        <v>3566</v>
      </c>
      <c r="P4890" s="34" t="s">
        <v>3562</v>
      </c>
      <c r="Q4890" s="165">
        <f>IF(Sales[[#This Row],[Status]]="Cancelled",0,Sales[[#This Row],[Qty]])</f>
        <v>2</v>
      </c>
      <c r="R4890" s="166">
        <f>IF(Sales[[#This Row],[Status]]="Cancelled",0,Sales[[#This Row],[Total Amount]])</f>
        <v>15165.36</v>
      </c>
      <c r="S4890" s="162">
        <f>SUM(Sales[Net Amount])</f>
        <v>406839287.73200053</v>
      </c>
    </row>
    <row r="4891" spans="1:19" ht="18.75" x14ac:dyDescent="0.25">
      <c r="A4891" s="156" t="s">
        <v>8576</v>
      </c>
      <c r="B4891" s="157">
        <v>46017</v>
      </c>
      <c r="C4891" s="158" t="s">
        <v>948</v>
      </c>
      <c r="D4891" s="159" t="str">
        <f>VLOOKUP(Sales[[#This Row],[Customer ID]],Customer[#All],2,0)</f>
        <v>Pooja Patel</v>
      </c>
      <c r="E4891" s="158" t="s">
        <v>15</v>
      </c>
      <c r="F4891" s="158" t="str">
        <f>VLOOKUP(Sales[[#This Row],[Product ID]],Product[#All],2,0)</f>
        <v>Sandisk Pen Drive</v>
      </c>
      <c r="G4891" s="159">
        <v>8</v>
      </c>
      <c r="H4891" s="160">
        <f>VLOOKUP(Sales[[#This Row],[Product ID]],Product[#All],7,0)</f>
        <v>4530</v>
      </c>
      <c r="I4891" s="160">
        <f>Sales[[#This Row],[Selling Rate]]*Sales[[#This Row],[Qty]]</f>
        <v>36240</v>
      </c>
      <c r="J4891" s="43">
        <v>0</v>
      </c>
      <c r="K4891" s="44">
        <f>Sales[[#This Row],[Gross Amount]]*Sales[[#This Row],[Disc %]]</f>
        <v>0</v>
      </c>
      <c r="L4891" s="43">
        <v>0.18</v>
      </c>
      <c r="M4891" s="44">
        <f>(Sales[[#This Row],[Gross Amount]]-Sales[[#This Row],[Disc. Amt.]])*Sales[[#This Row],[GST %]]</f>
        <v>6523.2</v>
      </c>
      <c r="N4891" s="161">
        <f>Sales[[#This Row],[Gross Amount]]-Sales[[#This Row],[Disc. Amt.]]+Sales[[#This Row],[GST Amount]]</f>
        <v>42763.199999999997</v>
      </c>
      <c r="O4891" s="158" t="s">
        <v>3566</v>
      </c>
      <c r="P4891" s="158" t="s">
        <v>3562</v>
      </c>
      <c r="Q4891" s="160">
        <f>IF(Sales[[#This Row],[Status]]="Cancelled",0,Sales[[#This Row],[Qty]])</f>
        <v>8</v>
      </c>
      <c r="R4891" s="161">
        <f>IF(Sales[[#This Row],[Status]]="Cancelled",0,Sales[[#This Row],[Total Amount]])</f>
        <v>42763.199999999997</v>
      </c>
      <c r="S4891" s="162">
        <f>SUM(Sales[Net Amount])</f>
        <v>406839287.73200053</v>
      </c>
    </row>
    <row r="4892" spans="1:19" ht="18.75" x14ac:dyDescent="0.25">
      <c r="A4892" s="163" t="s">
        <v>8577</v>
      </c>
      <c r="B4892" s="164">
        <v>46017</v>
      </c>
      <c r="C4892" s="34" t="s">
        <v>925</v>
      </c>
      <c r="D4892" s="53" t="str">
        <f>VLOOKUP(Sales[[#This Row],[Customer ID]],Customer[#All],2,0)</f>
        <v>Neha Singh</v>
      </c>
      <c r="E4892" s="34" t="s">
        <v>190</v>
      </c>
      <c r="F4892" s="34" t="str">
        <f>VLOOKUP(Sales[[#This Row],[Product ID]],Product[#All],2,0)</f>
        <v>Samsung Monitor</v>
      </c>
      <c r="G4892" s="53">
        <v>3</v>
      </c>
      <c r="H4892" s="165">
        <f>VLOOKUP(Sales[[#This Row],[Product ID]],Product[#All],7,0)</f>
        <v>18190</v>
      </c>
      <c r="I4892" s="165">
        <f>Sales[[#This Row],[Selling Rate]]*Sales[[#This Row],[Qty]]</f>
        <v>54570</v>
      </c>
      <c r="J4892" s="45">
        <v>0.12</v>
      </c>
      <c r="K4892" s="46">
        <f>Sales[[#This Row],[Gross Amount]]*Sales[[#This Row],[Disc %]]</f>
        <v>6548.4</v>
      </c>
      <c r="L4892" s="43">
        <v>0.18</v>
      </c>
      <c r="M4892" s="46">
        <f>(Sales[[#This Row],[Gross Amount]]-Sales[[#This Row],[Disc. Amt.]])*Sales[[#This Row],[GST %]]</f>
        <v>8643.887999999999</v>
      </c>
      <c r="N4892" s="161">
        <f>Sales[[#This Row],[Gross Amount]]-Sales[[#This Row],[Disc. Amt.]]+Sales[[#This Row],[GST Amount]]</f>
        <v>56665.487999999998</v>
      </c>
      <c r="O4892" s="34" t="s">
        <v>3566</v>
      </c>
      <c r="P4892" s="34" t="s">
        <v>3562</v>
      </c>
      <c r="Q4892" s="165">
        <f>IF(Sales[[#This Row],[Status]]="Cancelled",0,Sales[[#This Row],[Qty]])</f>
        <v>3</v>
      </c>
      <c r="R4892" s="166">
        <f>IF(Sales[[#This Row],[Status]]="Cancelled",0,Sales[[#This Row],[Total Amount]])</f>
        <v>56665.487999999998</v>
      </c>
      <c r="S4892" s="162">
        <f>SUM(Sales[Net Amount])</f>
        <v>406839287.73200053</v>
      </c>
    </row>
    <row r="4893" spans="1:19" ht="18.75" x14ac:dyDescent="0.25">
      <c r="A4893" s="156" t="s">
        <v>8578</v>
      </c>
      <c r="B4893" s="157">
        <v>46017</v>
      </c>
      <c r="C4893" s="158" t="s">
        <v>871</v>
      </c>
      <c r="D4893" s="159" t="str">
        <f>VLOOKUP(Sales[[#This Row],[Customer ID]],Customer[#All],2,0)</f>
        <v>Rakesh Kumar</v>
      </c>
      <c r="E4893" s="158" t="s">
        <v>56</v>
      </c>
      <c r="F4893" s="158" t="str">
        <f>VLOOKUP(Sales[[#This Row],[Product ID]],Product[#All],2,0)</f>
        <v>Boat Headset</v>
      </c>
      <c r="G4893" s="159">
        <v>4</v>
      </c>
      <c r="H4893" s="160">
        <f>VLOOKUP(Sales[[#This Row],[Product ID]],Product[#All],7,0)</f>
        <v>4140</v>
      </c>
      <c r="I4893" s="160">
        <f>Sales[[#This Row],[Selling Rate]]*Sales[[#This Row],[Qty]]</f>
        <v>16560</v>
      </c>
      <c r="J4893" s="43">
        <v>0</v>
      </c>
      <c r="K4893" s="44">
        <f>Sales[[#This Row],[Gross Amount]]*Sales[[#This Row],[Disc %]]</f>
        <v>0</v>
      </c>
      <c r="L4893" s="43">
        <v>0.18</v>
      </c>
      <c r="M4893" s="44">
        <f>(Sales[[#This Row],[Gross Amount]]-Sales[[#This Row],[Disc. Amt.]])*Sales[[#This Row],[GST %]]</f>
        <v>2980.7999999999997</v>
      </c>
      <c r="N4893" s="161">
        <f>Sales[[#This Row],[Gross Amount]]-Sales[[#This Row],[Disc. Amt.]]+Sales[[#This Row],[GST Amount]]</f>
        <v>19540.8</v>
      </c>
      <c r="O4893" s="158" t="s">
        <v>3569</v>
      </c>
      <c r="P4893" s="158" t="s">
        <v>3562</v>
      </c>
      <c r="Q4893" s="160">
        <f>IF(Sales[[#This Row],[Status]]="Cancelled",0,Sales[[#This Row],[Qty]])</f>
        <v>4</v>
      </c>
      <c r="R4893" s="161">
        <f>IF(Sales[[#This Row],[Status]]="Cancelled",0,Sales[[#This Row],[Total Amount]])</f>
        <v>19540.8</v>
      </c>
      <c r="S4893" s="162">
        <f>SUM(Sales[Net Amount])</f>
        <v>406839287.73200053</v>
      </c>
    </row>
    <row r="4894" spans="1:19" ht="18.75" x14ac:dyDescent="0.25">
      <c r="A4894" s="163" t="s">
        <v>8579</v>
      </c>
      <c r="B4894" s="164">
        <v>46017</v>
      </c>
      <c r="C4894" s="34" t="s">
        <v>929</v>
      </c>
      <c r="D4894" s="53" t="str">
        <f>VLOOKUP(Sales[[#This Row],[Customer ID]],Customer[#All],2,0)</f>
        <v>Sunita Gupta</v>
      </c>
      <c r="E4894" s="34" t="s">
        <v>363</v>
      </c>
      <c r="F4894" s="34" t="str">
        <f>VLOOKUP(Sales[[#This Row],[Product ID]],Product[#All],2,0)</f>
        <v>Dell Desktop</v>
      </c>
      <c r="G4894" s="53">
        <v>8</v>
      </c>
      <c r="H4894" s="165">
        <f>VLOOKUP(Sales[[#This Row],[Product ID]],Product[#All],7,0)</f>
        <v>37430</v>
      </c>
      <c r="I4894" s="165">
        <f>Sales[[#This Row],[Selling Rate]]*Sales[[#This Row],[Qty]]</f>
        <v>299440</v>
      </c>
      <c r="J4894" s="45">
        <v>0</v>
      </c>
      <c r="K4894" s="46">
        <f>Sales[[#This Row],[Gross Amount]]*Sales[[#This Row],[Disc %]]</f>
        <v>0</v>
      </c>
      <c r="L4894" s="43">
        <v>0.18</v>
      </c>
      <c r="M4894" s="46">
        <f>(Sales[[#This Row],[Gross Amount]]-Sales[[#This Row],[Disc. Amt.]])*Sales[[#This Row],[GST %]]</f>
        <v>53899.199999999997</v>
      </c>
      <c r="N4894" s="161">
        <f>Sales[[#This Row],[Gross Amount]]-Sales[[#This Row],[Disc. Amt.]]+Sales[[#This Row],[GST Amount]]</f>
        <v>353339.2</v>
      </c>
      <c r="O4894" s="34" t="s">
        <v>3569</v>
      </c>
      <c r="P4894" s="34" t="s">
        <v>3562</v>
      </c>
      <c r="Q4894" s="165">
        <f>IF(Sales[[#This Row],[Status]]="Cancelled",0,Sales[[#This Row],[Qty]])</f>
        <v>8</v>
      </c>
      <c r="R4894" s="166">
        <f>IF(Sales[[#This Row],[Status]]="Cancelled",0,Sales[[#This Row],[Total Amount]])</f>
        <v>353339.2</v>
      </c>
      <c r="S4894" s="162">
        <f>SUM(Sales[Net Amount])</f>
        <v>406839287.73200053</v>
      </c>
    </row>
    <row r="4895" spans="1:19" ht="18.75" x14ac:dyDescent="0.25">
      <c r="A4895" s="156" t="s">
        <v>8580</v>
      </c>
      <c r="B4895" s="157">
        <v>46017</v>
      </c>
      <c r="C4895" s="158" t="s">
        <v>842</v>
      </c>
      <c r="D4895" s="159" t="str">
        <f>VLOOKUP(Sales[[#This Row],[Customer ID]],Customer[#All],2,0)</f>
        <v>Priya Gupta</v>
      </c>
      <c r="E4895" s="158" t="s">
        <v>20</v>
      </c>
      <c r="F4895" s="158" t="str">
        <f>VLOOKUP(Sales[[#This Row],[Product ID]],Product[#All],2,0)</f>
        <v>Logitech Keyboard</v>
      </c>
      <c r="G4895" s="159">
        <v>5</v>
      </c>
      <c r="H4895" s="160">
        <f>VLOOKUP(Sales[[#This Row],[Product ID]],Product[#All],7,0)</f>
        <v>3290</v>
      </c>
      <c r="I4895" s="160">
        <f>Sales[[#This Row],[Selling Rate]]*Sales[[#This Row],[Qty]]</f>
        <v>16450</v>
      </c>
      <c r="J4895" s="43">
        <v>0.15</v>
      </c>
      <c r="K4895" s="44">
        <f>Sales[[#This Row],[Gross Amount]]*Sales[[#This Row],[Disc %]]</f>
        <v>2467.5</v>
      </c>
      <c r="L4895" s="43">
        <v>0.18</v>
      </c>
      <c r="M4895" s="44">
        <f>(Sales[[#This Row],[Gross Amount]]-Sales[[#This Row],[Disc. Amt.]])*Sales[[#This Row],[GST %]]</f>
        <v>2516.85</v>
      </c>
      <c r="N4895" s="161">
        <f>Sales[[#This Row],[Gross Amount]]-Sales[[#This Row],[Disc. Amt.]]+Sales[[#This Row],[GST Amount]]</f>
        <v>16499.349999999999</v>
      </c>
      <c r="O4895" s="158" t="s">
        <v>8876</v>
      </c>
      <c r="P4895" s="158" t="s">
        <v>3562</v>
      </c>
      <c r="Q4895" s="160">
        <f>IF(Sales[[#This Row],[Status]]="Cancelled",0,Sales[[#This Row],[Qty]])</f>
        <v>5</v>
      </c>
      <c r="R4895" s="161">
        <f>IF(Sales[[#This Row],[Status]]="Cancelled",0,Sales[[#This Row],[Total Amount]])</f>
        <v>16499.349999999999</v>
      </c>
      <c r="S4895" s="162">
        <f>SUM(Sales[Net Amount])</f>
        <v>406839287.73200053</v>
      </c>
    </row>
    <row r="4896" spans="1:19" ht="18.75" x14ac:dyDescent="0.25">
      <c r="A4896" s="163" t="s">
        <v>8581</v>
      </c>
      <c r="B4896" s="164">
        <v>46017</v>
      </c>
      <c r="C4896" s="34" t="s">
        <v>914</v>
      </c>
      <c r="D4896" s="53" t="str">
        <f>VLOOKUP(Sales[[#This Row],[Customer ID]],Customer[#All],2,0)</f>
        <v>Rakesh Patel</v>
      </c>
      <c r="E4896" s="34" t="s">
        <v>409</v>
      </c>
      <c r="F4896" s="34" t="str">
        <f>VLOOKUP(Sales[[#This Row],[Product ID]],Product[#All],2,0)</f>
        <v>Amazon Basics Hdmi Cable</v>
      </c>
      <c r="G4896" s="53">
        <v>4</v>
      </c>
      <c r="H4896" s="165">
        <f>VLOOKUP(Sales[[#This Row],[Product ID]],Product[#All],7,0)</f>
        <v>760</v>
      </c>
      <c r="I4896" s="165">
        <f>Sales[[#This Row],[Selling Rate]]*Sales[[#This Row],[Qty]]</f>
        <v>3040</v>
      </c>
      <c r="J4896" s="45">
        <v>0.12</v>
      </c>
      <c r="K4896" s="46">
        <f>Sales[[#This Row],[Gross Amount]]*Sales[[#This Row],[Disc %]]</f>
        <v>364.8</v>
      </c>
      <c r="L4896" s="43">
        <v>0.18</v>
      </c>
      <c r="M4896" s="46">
        <f>(Sales[[#This Row],[Gross Amount]]-Sales[[#This Row],[Disc. Amt.]])*Sales[[#This Row],[GST %]]</f>
        <v>481.53599999999994</v>
      </c>
      <c r="N4896" s="161">
        <f>Sales[[#This Row],[Gross Amount]]-Sales[[#This Row],[Disc. Amt.]]+Sales[[#This Row],[GST Amount]]</f>
        <v>3156.7359999999999</v>
      </c>
      <c r="O4896" s="34" t="s">
        <v>3561</v>
      </c>
      <c r="P4896" s="34" t="s">
        <v>3562</v>
      </c>
      <c r="Q4896" s="165">
        <f>IF(Sales[[#This Row],[Status]]="Cancelled",0,Sales[[#This Row],[Qty]])</f>
        <v>4</v>
      </c>
      <c r="R4896" s="166">
        <f>IF(Sales[[#This Row],[Status]]="Cancelled",0,Sales[[#This Row],[Total Amount]])</f>
        <v>3156.7359999999999</v>
      </c>
      <c r="S4896" s="162">
        <f>SUM(Sales[Net Amount])</f>
        <v>406839287.73200053</v>
      </c>
    </row>
    <row r="4897" spans="1:19" ht="18.75" x14ac:dyDescent="0.25">
      <c r="A4897" s="156" t="s">
        <v>8582</v>
      </c>
      <c r="B4897" s="157">
        <v>46017</v>
      </c>
      <c r="C4897" s="158" t="s">
        <v>848</v>
      </c>
      <c r="D4897" s="159" t="str">
        <f>VLOOKUP(Sales[[#This Row],[Customer ID]],Customer[#All],2,0)</f>
        <v>Rakesh Patel</v>
      </c>
      <c r="E4897" s="158" t="s">
        <v>304</v>
      </c>
      <c r="F4897" s="158" t="str">
        <f>VLOOKUP(Sales[[#This Row],[Product ID]],Product[#All],2,0)</f>
        <v>TP-link Router</v>
      </c>
      <c r="G4897" s="159">
        <v>3</v>
      </c>
      <c r="H4897" s="160">
        <f>VLOOKUP(Sales[[#This Row],[Product ID]],Product[#All],7,0)</f>
        <v>3320</v>
      </c>
      <c r="I4897" s="160">
        <f>Sales[[#This Row],[Selling Rate]]*Sales[[#This Row],[Qty]]</f>
        <v>9960</v>
      </c>
      <c r="J4897" s="43">
        <v>0.12</v>
      </c>
      <c r="K4897" s="44">
        <f>Sales[[#This Row],[Gross Amount]]*Sales[[#This Row],[Disc %]]</f>
        <v>1195.2</v>
      </c>
      <c r="L4897" s="43">
        <v>0.18</v>
      </c>
      <c r="M4897" s="44">
        <f>(Sales[[#This Row],[Gross Amount]]-Sales[[#This Row],[Disc. Amt.]])*Sales[[#This Row],[GST %]]</f>
        <v>1577.6639999999998</v>
      </c>
      <c r="N4897" s="161">
        <f>Sales[[#This Row],[Gross Amount]]-Sales[[#This Row],[Disc. Amt.]]+Sales[[#This Row],[GST Amount]]</f>
        <v>10342.464</v>
      </c>
      <c r="O4897" s="158" t="s">
        <v>8876</v>
      </c>
      <c r="P4897" s="158" t="s">
        <v>3562</v>
      </c>
      <c r="Q4897" s="160">
        <f>IF(Sales[[#This Row],[Status]]="Cancelled",0,Sales[[#This Row],[Qty]])</f>
        <v>3</v>
      </c>
      <c r="R4897" s="161">
        <f>IF(Sales[[#This Row],[Status]]="Cancelled",0,Sales[[#This Row],[Total Amount]])</f>
        <v>10342.464</v>
      </c>
      <c r="S4897" s="162">
        <f>SUM(Sales[Net Amount])</f>
        <v>406839287.73200053</v>
      </c>
    </row>
    <row r="4898" spans="1:19" ht="18.75" x14ac:dyDescent="0.25">
      <c r="A4898" s="163" t="s">
        <v>8583</v>
      </c>
      <c r="B4898" s="164">
        <v>46017</v>
      </c>
      <c r="C4898" s="34" t="s">
        <v>671</v>
      </c>
      <c r="D4898" s="53" t="str">
        <f>VLOOKUP(Sales[[#This Row],[Customer ID]],Customer[#All],2,0)</f>
        <v>Sahil Patel</v>
      </c>
      <c r="E4898" s="34" t="s">
        <v>351</v>
      </c>
      <c r="F4898" s="34" t="str">
        <f>VLOOKUP(Sales[[#This Row],[Product ID]],Product[#All],2,0)</f>
        <v>Logitech Mouse</v>
      </c>
      <c r="G4898" s="53">
        <v>7</v>
      </c>
      <c r="H4898" s="165">
        <f>VLOOKUP(Sales[[#This Row],[Product ID]],Product[#All],7,0)</f>
        <v>2130</v>
      </c>
      <c r="I4898" s="165">
        <f>Sales[[#This Row],[Selling Rate]]*Sales[[#This Row],[Qty]]</f>
        <v>14910</v>
      </c>
      <c r="J4898" s="45">
        <v>0</v>
      </c>
      <c r="K4898" s="46">
        <f>Sales[[#This Row],[Gross Amount]]*Sales[[#This Row],[Disc %]]</f>
        <v>0</v>
      </c>
      <c r="L4898" s="43">
        <v>0.18</v>
      </c>
      <c r="M4898" s="46">
        <f>(Sales[[#This Row],[Gross Amount]]-Sales[[#This Row],[Disc. Amt.]])*Sales[[#This Row],[GST %]]</f>
        <v>2683.7999999999997</v>
      </c>
      <c r="N4898" s="161">
        <f>Sales[[#This Row],[Gross Amount]]-Sales[[#This Row],[Disc. Amt.]]+Sales[[#This Row],[GST Amount]]</f>
        <v>17593.8</v>
      </c>
      <c r="O4898" s="34" t="s">
        <v>8876</v>
      </c>
      <c r="P4898" s="34" t="s">
        <v>3562</v>
      </c>
      <c r="Q4898" s="165">
        <f>IF(Sales[[#This Row],[Status]]="Cancelled",0,Sales[[#This Row],[Qty]])</f>
        <v>7</v>
      </c>
      <c r="R4898" s="166">
        <f>IF(Sales[[#This Row],[Status]]="Cancelled",0,Sales[[#This Row],[Total Amount]])</f>
        <v>17593.8</v>
      </c>
      <c r="S4898" s="162">
        <f>SUM(Sales[Net Amount])</f>
        <v>406839287.73200053</v>
      </c>
    </row>
    <row r="4899" spans="1:19" ht="18.75" x14ac:dyDescent="0.25">
      <c r="A4899" s="156" t="s">
        <v>8584</v>
      </c>
      <c r="B4899" s="157">
        <v>46017</v>
      </c>
      <c r="C4899" s="158" t="s">
        <v>785</v>
      </c>
      <c r="D4899" s="159" t="str">
        <f>VLOOKUP(Sales[[#This Row],[Customer ID]],Customer[#All],2,0)</f>
        <v>Ankit Gupta</v>
      </c>
      <c r="E4899" s="158" t="s">
        <v>359</v>
      </c>
      <c r="F4899" s="158" t="str">
        <f>VLOOKUP(Sales[[#This Row],[Product ID]],Product[#All],2,0)</f>
        <v>Sandisk Pen Drive</v>
      </c>
      <c r="G4899" s="159">
        <v>2</v>
      </c>
      <c r="H4899" s="160">
        <f>VLOOKUP(Sales[[#This Row],[Product ID]],Product[#All],7,0)</f>
        <v>1140</v>
      </c>
      <c r="I4899" s="160">
        <f>Sales[[#This Row],[Selling Rate]]*Sales[[#This Row],[Qty]]</f>
        <v>2280</v>
      </c>
      <c r="J4899" s="43">
        <v>0</v>
      </c>
      <c r="K4899" s="44">
        <f>Sales[[#This Row],[Gross Amount]]*Sales[[#This Row],[Disc %]]</f>
        <v>0</v>
      </c>
      <c r="L4899" s="43">
        <v>0.18</v>
      </c>
      <c r="M4899" s="44">
        <f>(Sales[[#This Row],[Gross Amount]]-Sales[[#This Row],[Disc. Amt.]])*Sales[[#This Row],[GST %]]</f>
        <v>410.4</v>
      </c>
      <c r="N4899" s="161">
        <f>Sales[[#This Row],[Gross Amount]]-Sales[[#This Row],[Disc. Amt.]]+Sales[[#This Row],[GST Amount]]</f>
        <v>2690.4</v>
      </c>
      <c r="O4899" s="158" t="s">
        <v>3566</v>
      </c>
      <c r="P4899" s="158" t="s">
        <v>3562</v>
      </c>
      <c r="Q4899" s="160">
        <f>IF(Sales[[#This Row],[Status]]="Cancelled",0,Sales[[#This Row],[Qty]])</f>
        <v>2</v>
      </c>
      <c r="R4899" s="161">
        <f>IF(Sales[[#This Row],[Status]]="Cancelled",0,Sales[[#This Row],[Total Amount]])</f>
        <v>2690.4</v>
      </c>
      <c r="S4899" s="162">
        <f>SUM(Sales[Net Amount])</f>
        <v>406839287.73200053</v>
      </c>
    </row>
    <row r="4900" spans="1:19" ht="18.75" x14ac:dyDescent="0.25">
      <c r="A4900" s="163" t="s">
        <v>8585</v>
      </c>
      <c r="B4900" s="164">
        <v>46017</v>
      </c>
      <c r="C4900" s="34" t="s">
        <v>935</v>
      </c>
      <c r="D4900" s="53" t="str">
        <f>VLOOKUP(Sales[[#This Row],[Customer ID]],Customer[#All],2,0)</f>
        <v>Ankit Kumar</v>
      </c>
      <c r="E4900" s="34" t="s">
        <v>333</v>
      </c>
      <c r="F4900" s="34" t="str">
        <f>VLOOKUP(Sales[[#This Row],[Product ID]],Product[#All],2,0)</f>
        <v>Logitech Keyboard</v>
      </c>
      <c r="G4900" s="53">
        <v>7</v>
      </c>
      <c r="H4900" s="165">
        <f>VLOOKUP(Sales[[#This Row],[Product ID]],Product[#All],7,0)</f>
        <v>3350</v>
      </c>
      <c r="I4900" s="165">
        <f>Sales[[#This Row],[Selling Rate]]*Sales[[#This Row],[Qty]]</f>
        <v>23450</v>
      </c>
      <c r="J4900" s="45">
        <v>0.05</v>
      </c>
      <c r="K4900" s="46">
        <f>Sales[[#This Row],[Gross Amount]]*Sales[[#This Row],[Disc %]]</f>
        <v>1172.5</v>
      </c>
      <c r="L4900" s="43">
        <v>0.18</v>
      </c>
      <c r="M4900" s="46">
        <f>(Sales[[#This Row],[Gross Amount]]-Sales[[#This Row],[Disc. Amt.]])*Sales[[#This Row],[GST %]]</f>
        <v>4009.95</v>
      </c>
      <c r="N4900" s="161">
        <f>Sales[[#This Row],[Gross Amount]]-Sales[[#This Row],[Disc. Amt.]]+Sales[[#This Row],[GST Amount]]</f>
        <v>26287.45</v>
      </c>
      <c r="O4900" s="34" t="s">
        <v>3561</v>
      </c>
      <c r="P4900" s="34" t="s">
        <v>3562</v>
      </c>
      <c r="Q4900" s="165">
        <f>IF(Sales[[#This Row],[Status]]="Cancelled",0,Sales[[#This Row],[Qty]])</f>
        <v>7</v>
      </c>
      <c r="R4900" s="166">
        <f>IF(Sales[[#This Row],[Status]]="Cancelled",0,Sales[[#This Row],[Total Amount]])</f>
        <v>26287.45</v>
      </c>
      <c r="S4900" s="162">
        <f>SUM(Sales[Net Amount])</f>
        <v>406839287.73200053</v>
      </c>
    </row>
    <row r="4901" spans="1:19" ht="18.75" x14ac:dyDescent="0.25">
      <c r="A4901" s="156" t="s">
        <v>8586</v>
      </c>
      <c r="B4901" s="157">
        <v>46017</v>
      </c>
      <c r="C4901" s="158" t="s">
        <v>876</v>
      </c>
      <c r="D4901" s="159" t="str">
        <f>VLOOKUP(Sales[[#This Row],[Customer ID]],Customer[#All],2,0)</f>
        <v>Sahil Verma</v>
      </c>
      <c r="E4901" s="158" t="s">
        <v>276</v>
      </c>
      <c r="F4901" s="158" t="str">
        <f>VLOOKUP(Sales[[#This Row],[Product ID]],Product[#All],2,0)</f>
        <v>Corsair Ram</v>
      </c>
      <c r="G4901" s="159">
        <v>6</v>
      </c>
      <c r="H4901" s="160">
        <f>VLOOKUP(Sales[[#This Row],[Product ID]],Product[#All],7,0)</f>
        <v>7140</v>
      </c>
      <c r="I4901" s="160">
        <f>Sales[[#This Row],[Selling Rate]]*Sales[[#This Row],[Qty]]</f>
        <v>42840</v>
      </c>
      <c r="J4901" s="43">
        <v>0.02</v>
      </c>
      <c r="K4901" s="44">
        <f>Sales[[#This Row],[Gross Amount]]*Sales[[#This Row],[Disc %]]</f>
        <v>856.80000000000007</v>
      </c>
      <c r="L4901" s="43">
        <v>0.18</v>
      </c>
      <c r="M4901" s="44">
        <f>(Sales[[#This Row],[Gross Amount]]-Sales[[#This Row],[Disc. Amt.]])*Sales[[#This Row],[GST %]]</f>
        <v>7556.9759999999987</v>
      </c>
      <c r="N4901" s="161">
        <f>Sales[[#This Row],[Gross Amount]]-Sales[[#This Row],[Disc. Amt.]]+Sales[[#This Row],[GST Amount]]</f>
        <v>49540.175999999992</v>
      </c>
      <c r="O4901" s="158" t="s">
        <v>3566</v>
      </c>
      <c r="P4901" s="158" t="s">
        <v>3562</v>
      </c>
      <c r="Q4901" s="160">
        <f>IF(Sales[[#This Row],[Status]]="Cancelled",0,Sales[[#This Row],[Qty]])</f>
        <v>6</v>
      </c>
      <c r="R4901" s="161">
        <f>IF(Sales[[#This Row],[Status]]="Cancelled",0,Sales[[#This Row],[Total Amount]])</f>
        <v>49540.175999999992</v>
      </c>
      <c r="S4901" s="162">
        <f>SUM(Sales[Net Amount])</f>
        <v>406839287.73200053</v>
      </c>
    </row>
    <row r="4902" spans="1:19" ht="18.75" x14ac:dyDescent="0.25">
      <c r="A4902" s="163" t="s">
        <v>8587</v>
      </c>
      <c r="B4902" s="164">
        <v>46017</v>
      </c>
      <c r="C4902" s="34" t="s">
        <v>707</v>
      </c>
      <c r="D4902" s="53" t="str">
        <f>VLOOKUP(Sales[[#This Row],[Customer ID]],Customer[#All],2,0)</f>
        <v>Rahul Verma</v>
      </c>
      <c r="E4902" s="34" t="s">
        <v>524</v>
      </c>
      <c r="F4902" s="34" t="str">
        <f>VLOOKUP(Sales[[#This Row],[Product ID]],Product[#All],2,0)</f>
        <v>TP-link Bluetooth Adapter</v>
      </c>
      <c r="G4902" s="53">
        <v>1</v>
      </c>
      <c r="H4902" s="165">
        <f>VLOOKUP(Sales[[#This Row],[Product ID]],Product[#All],7,0)</f>
        <v>750</v>
      </c>
      <c r="I4902" s="165">
        <f>Sales[[#This Row],[Selling Rate]]*Sales[[#This Row],[Qty]]</f>
        <v>750</v>
      </c>
      <c r="J4902" s="45">
        <v>0.05</v>
      </c>
      <c r="K4902" s="46">
        <f>Sales[[#This Row],[Gross Amount]]*Sales[[#This Row],[Disc %]]</f>
        <v>37.5</v>
      </c>
      <c r="L4902" s="43">
        <v>0.18</v>
      </c>
      <c r="M4902" s="46">
        <f>(Sales[[#This Row],[Gross Amount]]-Sales[[#This Row],[Disc. Amt.]])*Sales[[#This Row],[GST %]]</f>
        <v>128.25</v>
      </c>
      <c r="N4902" s="161">
        <f>Sales[[#This Row],[Gross Amount]]-Sales[[#This Row],[Disc. Amt.]]+Sales[[#This Row],[GST Amount]]</f>
        <v>840.75</v>
      </c>
      <c r="O4902" s="34" t="s">
        <v>3561</v>
      </c>
      <c r="P4902" s="34" t="s">
        <v>3562</v>
      </c>
      <c r="Q4902" s="165">
        <f>IF(Sales[[#This Row],[Status]]="Cancelled",0,Sales[[#This Row],[Qty]])</f>
        <v>1</v>
      </c>
      <c r="R4902" s="166">
        <f>IF(Sales[[#This Row],[Status]]="Cancelled",0,Sales[[#This Row],[Total Amount]])</f>
        <v>840.75</v>
      </c>
      <c r="S4902" s="162">
        <f>SUM(Sales[Net Amount])</f>
        <v>406839287.73200053</v>
      </c>
    </row>
    <row r="4903" spans="1:19" ht="18.75" x14ac:dyDescent="0.25">
      <c r="A4903" s="156" t="s">
        <v>8588</v>
      </c>
      <c r="B4903" s="157">
        <v>46018</v>
      </c>
      <c r="C4903" s="158" t="s">
        <v>755</v>
      </c>
      <c r="D4903" s="159" t="str">
        <f>VLOOKUP(Sales[[#This Row],[Customer ID]],Customer[#All],2,0)</f>
        <v>Sunita Gupta</v>
      </c>
      <c r="E4903" s="158" t="s">
        <v>156</v>
      </c>
      <c r="F4903" s="158" t="str">
        <f>VLOOKUP(Sales[[#This Row],[Product ID]],Product[#All],2,0)</f>
        <v>Boat Speaker</v>
      </c>
      <c r="G4903" s="159">
        <v>5</v>
      </c>
      <c r="H4903" s="160">
        <f>VLOOKUP(Sales[[#This Row],[Product ID]],Product[#All],7,0)</f>
        <v>3240</v>
      </c>
      <c r="I4903" s="160">
        <f>Sales[[#This Row],[Selling Rate]]*Sales[[#This Row],[Qty]]</f>
        <v>16200</v>
      </c>
      <c r="J4903" s="43">
        <v>0.05</v>
      </c>
      <c r="K4903" s="44">
        <f>Sales[[#This Row],[Gross Amount]]*Sales[[#This Row],[Disc %]]</f>
        <v>810</v>
      </c>
      <c r="L4903" s="43">
        <v>0.18</v>
      </c>
      <c r="M4903" s="44">
        <f>(Sales[[#This Row],[Gross Amount]]-Sales[[#This Row],[Disc. Amt.]])*Sales[[#This Row],[GST %]]</f>
        <v>2770.2</v>
      </c>
      <c r="N4903" s="161">
        <f>Sales[[#This Row],[Gross Amount]]-Sales[[#This Row],[Disc. Amt.]]+Sales[[#This Row],[GST Amount]]</f>
        <v>18160.2</v>
      </c>
      <c r="O4903" s="158" t="s">
        <v>8876</v>
      </c>
      <c r="P4903" s="158" t="s">
        <v>3562</v>
      </c>
      <c r="Q4903" s="160">
        <f>IF(Sales[[#This Row],[Status]]="Cancelled",0,Sales[[#This Row],[Qty]])</f>
        <v>5</v>
      </c>
      <c r="R4903" s="161">
        <f>IF(Sales[[#This Row],[Status]]="Cancelled",0,Sales[[#This Row],[Total Amount]])</f>
        <v>18160.2</v>
      </c>
      <c r="S4903" s="162">
        <f>SUM(Sales[Net Amount])</f>
        <v>406839287.73200053</v>
      </c>
    </row>
    <row r="4904" spans="1:19" ht="18.75" x14ac:dyDescent="0.25">
      <c r="A4904" s="163" t="s">
        <v>8589</v>
      </c>
      <c r="B4904" s="164">
        <v>46018</v>
      </c>
      <c r="C4904" s="34" t="s">
        <v>694</v>
      </c>
      <c r="D4904" s="53" t="str">
        <f>VLOOKUP(Sales[[#This Row],[Customer ID]],Customer[#All],2,0)</f>
        <v>Amit Sharma</v>
      </c>
      <c r="E4904" s="34" t="s">
        <v>190</v>
      </c>
      <c r="F4904" s="34" t="str">
        <f>VLOOKUP(Sales[[#This Row],[Product ID]],Product[#All],2,0)</f>
        <v>Samsung Monitor</v>
      </c>
      <c r="G4904" s="53">
        <v>1</v>
      </c>
      <c r="H4904" s="165">
        <f>VLOOKUP(Sales[[#This Row],[Product ID]],Product[#All],7,0)</f>
        <v>18190</v>
      </c>
      <c r="I4904" s="165">
        <f>Sales[[#This Row],[Selling Rate]]*Sales[[#This Row],[Qty]]</f>
        <v>18190</v>
      </c>
      <c r="J4904" s="45">
        <v>0.05</v>
      </c>
      <c r="K4904" s="46">
        <f>Sales[[#This Row],[Gross Amount]]*Sales[[#This Row],[Disc %]]</f>
        <v>909.5</v>
      </c>
      <c r="L4904" s="43">
        <v>0.18</v>
      </c>
      <c r="M4904" s="46">
        <f>(Sales[[#This Row],[Gross Amount]]-Sales[[#This Row],[Disc. Amt.]])*Sales[[#This Row],[GST %]]</f>
        <v>3110.49</v>
      </c>
      <c r="N4904" s="161">
        <f>Sales[[#This Row],[Gross Amount]]-Sales[[#This Row],[Disc. Amt.]]+Sales[[#This Row],[GST Amount]]</f>
        <v>20390.989999999998</v>
      </c>
      <c r="O4904" s="34" t="s">
        <v>3569</v>
      </c>
      <c r="P4904" s="34" t="s">
        <v>3562</v>
      </c>
      <c r="Q4904" s="165">
        <f>IF(Sales[[#This Row],[Status]]="Cancelled",0,Sales[[#This Row],[Qty]])</f>
        <v>1</v>
      </c>
      <c r="R4904" s="166">
        <f>IF(Sales[[#This Row],[Status]]="Cancelled",0,Sales[[#This Row],[Total Amount]])</f>
        <v>20390.989999999998</v>
      </c>
      <c r="S4904" s="162">
        <f>SUM(Sales[Net Amount])</f>
        <v>406839287.73200053</v>
      </c>
    </row>
    <row r="4905" spans="1:19" ht="18.75" x14ac:dyDescent="0.25">
      <c r="A4905" s="156" t="s">
        <v>8590</v>
      </c>
      <c r="B4905" s="157">
        <v>46018</v>
      </c>
      <c r="C4905" s="158" t="s">
        <v>800</v>
      </c>
      <c r="D4905" s="159" t="str">
        <f>VLOOKUP(Sales[[#This Row],[Customer ID]],Customer[#All],2,0)</f>
        <v>Priya Gupta</v>
      </c>
      <c r="E4905" s="158" t="s">
        <v>76</v>
      </c>
      <c r="F4905" s="158" t="str">
        <f>VLOOKUP(Sales[[#This Row],[Product ID]],Product[#All],2,0)</f>
        <v>Dell Keyboard</v>
      </c>
      <c r="G4905" s="159">
        <v>1</v>
      </c>
      <c r="H4905" s="160">
        <f>VLOOKUP(Sales[[#This Row],[Product ID]],Product[#All],7,0)</f>
        <v>1740</v>
      </c>
      <c r="I4905" s="160">
        <f>Sales[[#This Row],[Selling Rate]]*Sales[[#This Row],[Qty]]</f>
        <v>1740</v>
      </c>
      <c r="J4905" s="43">
        <v>0.1</v>
      </c>
      <c r="K4905" s="44">
        <f>Sales[[#This Row],[Gross Amount]]*Sales[[#This Row],[Disc %]]</f>
        <v>174</v>
      </c>
      <c r="L4905" s="43">
        <v>0.18</v>
      </c>
      <c r="M4905" s="44">
        <f>(Sales[[#This Row],[Gross Amount]]-Sales[[#This Row],[Disc. Amt.]])*Sales[[#This Row],[GST %]]</f>
        <v>281.88</v>
      </c>
      <c r="N4905" s="161">
        <f>Sales[[#This Row],[Gross Amount]]-Sales[[#This Row],[Disc. Amt.]]+Sales[[#This Row],[GST Amount]]</f>
        <v>1847.88</v>
      </c>
      <c r="O4905" s="158" t="s">
        <v>3561</v>
      </c>
      <c r="P4905" s="158" t="s">
        <v>3562</v>
      </c>
      <c r="Q4905" s="160">
        <f>IF(Sales[[#This Row],[Status]]="Cancelled",0,Sales[[#This Row],[Qty]])</f>
        <v>1</v>
      </c>
      <c r="R4905" s="161">
        <f>IF(Sales[[#This Row],[Status]]="Cancelled",0,Sales[[#This Row],[Total Amount]])</f>
        <v>1847.88</v>
      </c>
      <c r="S4905" s="162">
        <f>SUM(Sales[Net Amount])</f>
        <v>406839287.73200053</v>
      </c>
    </row>
    <row r="4906" spans="1:19" ht="18.75" x14ac:dyDescent="0.25">
      <c r="A4906" s="163" t="s">
        <v>8591</v>
      </c>
      <c r="B4906" s="164">
        <v>46018</v>
      </c>
      <c r="C4906" s="34" t="s">
        <v>818</v>
      </c>
      <c r="D4906" s="53" t="str">
        <f>VLOOKUP(Sales[[#This Row],[Customer ID]],Customer[#All],2,0)</f>
        <v>Rahul Sharma</v>
      </c>
      <c r="E4906" s="34" t="s">
        <v>451</v>
      </c>
      <c r="F4906" s="34" t="str">
        <f>VLOOKUP(Sales[[#This Row],[Product ID]],Product[#All],2,0)</f>
        <v>HP Printer</v>
      </c>
      <c r="G4906" s="53">
        <v>8</v>
      </c>
      <c r="H4906" s="165">
        <f>VLOOKUP(Sales[[#This Row],[Product ID]],Product[#All],7,0)</f>
        <v>36160</v>
      </c>
      <c r="I4906" s="165">
        <f>Sales[[#This Row],[Selling Rate]]*Sales[[#This Row],[Qty]]</f>
        <v>289280</v>
      </c>
      <c r="J4906" s="45">
        <v>0.02</v>
      </c>
      <c r="K4906" s="46">
        <f>Sales[[#This Row],[Gross Amount]]*Sales[[#This Row],[Disc %]]</f>
        <v>5785.6</v>
      </c>
      <c r="L4906" s="43">
        <v>0.18</v>
      </c>
      <c r="M4906" s="46">
        <f>(Sales[[#This Row],[Gross Amount]]-Sales[[#This Row],[Disc. Amt.]])*Sales[[#This Row],[GST %]]</f>
        <v>51028.992000000006</v>
      </c>
      <c r="N4906" s="161">
        <f>Sales[[#This Row],[Gross Amount]]-Sales[[#This Row],[Disc. Amt.]]+Sales[[#This Row],[GST Amount]]</f>
        <v>334523.39200000005</v>
      </c>
      <c r="O4906" s="34" t="s">
        <v>3561</v>
      </c>
      <c r="P4906" s="34" t="s">
        <v>3562</v>
      </c>
      <c r="Q4906" s="165">
        <f>IF(Sales[[#This Row],[Status]]="Cancelled",0,Sales[[#This Row],[Qty]])</f>
        <v>8</v>
      </c>
      <c r="R4906" s="166">
        <f>IF(Sales[[#This Row],[Status]]="Cancelled",0,Sales[[#This Row],[Total Amount]])</f>
        <v>334523.39200000005</v>
      </c>
      <c r="S4906" s="162">
        <f>SUM(Sales[Net Amount])</f>
        <v>406839287.73200053</v>
      </c>
    </row>
    <row r="4907" spans="1:19" ht="18.75" x14ac:dyDescent="0.25">
      <c r="A4907" s="156" t="s">
        <v>8592</v>
      </c>
      <c r="B4907" s="157">
        <v>46018</v>
      </c>
      <c r="C4907" s="158" t="s">
        <v>781</v>
      </c>
      <c r="D4907" s="159" t="str">
        <f>VLOOKUP(Sales[[#This Row],[Customer ID]],Customer[#All],2,0)</f>
        <v>Vikas Sharma</v>
      </c>
      <c r="E4907" s="158" t="s">
        <v>259</v>
      </c>
      <c r="F4907" s="158" t="str">
        <f>VLOOKUP(Sales[[#This Row],[Product ID]],Product[#All],2,0)</f>
        <v>Lg Monitor</v>
      </c>
      <c r="G4907" s="159">
        <v>2</v>
      </c>
      <c r="H4907" s="160">
        <f>VLOOKUP(Sales[[#This Row],[Product ID]],Product[#All],7,0)</f>
        <v>28600</v>
      </c>
      <c r="I4907" s="160">
        <f>Sales[[#This Row],[Selling Rate]]*Sales[[#This Row],[Qty]]</f>
        <v>57200</v>
      </c>
      <c r="J4907" s="43">
        <v>0.05</v>
      </c>
      <c r="K4907" s="44">
        <f>Sales[[#This Row],[Gross Amount]]*Sales[[#This Row],[Disc %]]</f>
        <v>2860</v>
      </c>
      <c r="L4907" s="43">
        <v>0.18</v>
      </c>
      <c r="M4907" s="44">
        <f>(Sales[[#This Row],[Gross Amount]]-Sales[[#This Row],[Disc. Amt.]])*Sales[[#This Row],[GST %]]</f>
        <v>9781.1999999999989</v>
      </c>
      <c r="N4907" s="161">
        <f>Sales[[#This Row],[Gross Amount]]-Sales[[#This Row],[Disc. Amt.]]+Sales[[#This Row],[GST Amount]]</f>
        <v>64121.2</v>
      </c>
      <c r="O4907" s="158" t="s">
        <v>3566</v>
      </c>
      <c r="P4907" s="158" t="s">
        <v>3562</v>
      </c>
      <c r="Q4907" s="160">
        <f>IF(Sales[[#This Row],[Status]]="Cancelled",0,Sales[[#This Row],[Qty]])</f>
        <v>2</v>
      </c>
      <c r="R4907" s="161">
        <f>IF(Sales[[#This Row],[Status]]="Cancelled",0,Sales[[#This Row],[Total Amount]])</f>
        <v>64121.2</v>
      </c>
      <c r="S4907" s="162">
        <f>SUM(Sales[Net Amount])</f>
        <v>406839287.73200053</v>
      </c>
    </row>
    <row r="4908" spans="1:19" ht="18.75" x14ac:dyDescent="0.25">
      <c r="A4908" s="163" t="s">
        <v>8593</v>
      </c>
      <c r="B4908" s="164">
        <v>46018</v>
      </c>
      <c r="C4908" s="34" t="s">
        <v>782</v>
      </c>
      <c r="D4908" s="53" t="str">
        <f>VLOOKUP(Sales[[#This Row],[Customer ID]],Customer[#All],2,0)</f>
        <v>Vikas Singh</v>
      </c>
      <c r="E4908" s="34" t="s">
        <v>35</v>
      </c>
      <c r="F4908" s="34" t="str">
        <f>VLOOKUP(Sales[[#This Row],[Product ID]],Product[#All],2,0)</f>
        <v>Dell Keyboard</v>
      </c>
      <c r="G4908" s="53">
        <v>7</v>
      </c>
      <c r="H4908" s="165">
        <f>VLOOKUP(Sales[[#This Row],[Product ID]],Product[#All],7,0)</f>
        <v>3560</v>
      </c>
      <c r="I4908" s="165">
        <f>Sales[[#This Row],[Selling Rate]]*Sales[[#This Row],[Qty]]</f>
        <v>24920</v>
      </c>
      <c r="J4908" s="45">
        <v>0.1</v>
      </c>
      <c r="K4908" s="46">
        <f>Sales[[#This Row],[Gross Amount]]*Sales[[#This Row],[Disc %]]</f>
        <v>2492</v>
      </c>
      <c r="L4908" s="43">
        <v>0.18</v>
      </c>
      <c r="M4908" s="46">
        <f>(Sales[[#This Row],[Gross Amount]]-Sales[[#This Row],[Disc. Amt.]])*Sales[[#This Row],[GST %]]</f>
        <v>4037.04</v>
      </c>
      <c r="N4908" s="161">
        <f>Sales[[#This Row],[Gross Amount]]-Sales[[#This Row],[Disc. Amt.]]+Sales[[#This Row],[GST Amount]]</f>
        <v>26465.040000000001</v>
      </c>
      <c r="O4908" s="34" t="s">
        <v>8876</v>
      </c>
      <c r="P4908" s="34" t="s">
        <v>3562</v>
      </c>
      <c r="Q4908" s="165">
        <f>IF(Sales[[#This Row],[Status]]="Cancelled",0,Sales[[#This Row],[Qty]])</f>
        <v>7</v>
      </c>
      <c r="R4908" s="166">
        <f>IF(Sales[[#This Row],[Status]]="Cancelled",0,Sales[[#This Row],[Total Amount]])</f>
        <v>26465.040000000001</v>
      </c>
      <c r="S4908" s="162">
        <f>SUM(Sales[Net Amount])</f>
        <v>406839287.73200053</v>
      </c>
    </row>
    <row r="4909" spans="1:19" ht="18.75" x14ac:dyDescent="0.25">
      <c r="A4909" s="156" t="s">
        <v>8594</v>
      </c>
      <c r="B4909" s="157">
        <v>46018</v>
      </c>
      <c r="C4909" s="158" t="s">
        <v>803</v>
      </c>
      <c r="D4909" s="159" t="str">
        <f>VLOOKUP(Sales[[#This Row],[Customer ID]],Customer[#All],2,0)</f>
        <v>Pooja Singh</v>
      </c>
      <c r="E4909" s="158" t="s">
        <v>82</v>
      </c>
      <c r="F4909" s="158" t="str">
        <f>VLOOKUP(Sales[[#This Row],[Product ID]],Product[#All],2,0)</f>
        <v>American TouristerLaptopBag</v>
      </c>
      <c r="G4909" s="159">
        <v>2</v>
      </c>
      <c r="H4909" s="160">
        <f>VLOOKUP(Sales[[#This Row],[Product ID]],Product[#All],7,0)</f>
        <v>5480</v>
      </c>
      <c r="I4909" s="160">
        <f>Sales[[#This Row],[Selling Rate]]*Sales[[#This Row],[Qty]]</f>
        <v>10960</v>
      </c>
      <c r="J4909" s="43">
        <v>0.05</v>
      </c>
      <c r="K4909" s="44">
        <f>Sales[[#This Row],[Gross Amount]]*Sales[[#This Row],[Disc %]]</f>
        <v>548</v>
      </c>
      <c r="L4909" s="43">
        <v>0.18</v>
      </c>
      <c r="M4909" s="44">
        <f>(Sales[[#This Row],[Gross Amount]]-Sales[[#This Row],[Disc. Amt.]])*Sales[[#This Row],[GST %]]</f>
        <v>1874.1599999999999</v>
      </c>
      <c r="N4909" s="161">
        <f>Sales[[#This Row],[Gross Amount]]-Sales[[#This Row],[Disc. Amt.]]+Sales[[#This Row],[GST Amount]]</f>
        <v>12286.16</v>
      </c>
      <c r="O4909" s="158" t="s">
        <v>8876</v>
      </c>
      <c r="P4909" s="158" t="s">
        <v>3562</v>
      </c>
      <c r="Q4909" s="160">
        <f>IF(Sales[[#This Row],[Status]]="Cancelled",0,Sales[[#This Row],[Qty]])</f>
        <v>2</v>
      </c>
      <c r="R4909" s="161">
        <f>IF(Sales[[#This Row],[Status]]="Cancelled",0,Sales[[#This Row],[Total Amount]])</f>
        <v>12286.16</v>
      </c>
      <c r="S4909" s="162">
        <f>SUM(Sales[Net Amount])</f>
        <v>406839287.73200053</v>
      </c>
    </row>
    <row r="4910" spans="1:19" ht="18.75" x14ac:dyDescent="0.25">
      <c r="A4910" s="163" t="s">
        <v>8595</v>
      </c>
      <c r="B4910" s="164">
        <v>46018</v>
      </c>
      <c r="C4910" s="34" t="s">
        <v>665</v>
      </c>
      <c r="D4910" s="53" t="str">
        <f>VLOOKUP(Sales[[#This Row],[Customer ID]],Customer[#All],2,0)</f>
        <v>Vikas Sharma</v>
      </c>
      <c r="E4910" s="34" t="s">
        <v>418</v>
      </c>
      <c r="F4910" s="34" t="str">
        <f>VLOOKUP(Sales[[#This Row],[Product ID]],Product[#All],2,0)</f>
        <v>TP-link Router</v>
      </c>
      <c r="G4910" s="53">
        <v>8</v>
      </c>
      <c r="H4910" s="165">
        <f>VLOOKUP(Sales[[#This Row],[Product ID]],Product[#All],7,0)</f>
        <v>6750</v>
      </c>
      <c r="I4910" s="165">
        <f>Sales[[#This Row],[Selling Rate]]*Sales[[#This Row],[Qty]]</f>
        <v>54000</v>
      </c>
      <c r="J4910" s="45">
        <v>0</v>
      </c>
      <c r="K4910" s="46">
        <f>Sales[[#This Row],[Gross Amount]]*Sales[[#This Row],[Disc %]]</f>
        <v>0</v>
      </c>
      <c r="L4910" s="43">
        <v>0.18</v>
      </c>
      <c r="M4910" s="46">
        <f>(Sales[[#This Row],[Gross Amount]]-Sales[[#This Row],[Disc. Amt.]])*Sales[[#This Row],[GST %]]</f>
        <v>9720</v>
      </c>
      <c r="N4910" s="161">
        <f>Sales[[#This Row],[Gross Amount]]-Sales[[#This Row],[Disc. Amt.]]+Sales[[#This Row],[GST Amount]]</f>
        <v>63720</v>
      </c>
      <c r="O4910" s="34" t="s">
        <v>3566</v>
      </c>
      <c r="P4910" s="34" t="s">
        <v>3562</v>
      </c>
      <c r="Q4910" s="165">
        <f>IF(Sales[[#This Row],[Status]]="Cancelled",0,Sales[[#This Row],[Qty]])</f>
        <v>8</v>
      </c>
      <c r="R4910" s="166">
        <f>IF(Sales[[#This Row],[Status]]="Cancelled",0,Sales[[#This Row],[Total Amount]])</f>
        <v>63720</v>
      </c>
      <c r="S4910" s="162">
        <f>SUM(Sales[Net Amount])</f>
        <v>406839287.73200053</v>
      </c>
    </row>
    <row r="4911" spans="1:19" ht="18.75" x14ac:dyDescent="0.25">
      <c r="A4911" s="156" t="s">
        <v>8596</v>
      </c>
      <c r="B4911" s="157">
        <v>46018</v>
      </c>
      <c r="C4911" s="158" t="s">
        <v>775</v>
      </c>
      <c r="D4911" s="159" t="str">
        <f>VLOOKUP(Sales[[#This Row],[Customer ID]],Customer[#All],2,0)</f>
        <v>Ankit Kumar</v>
      </c>
      <c r="E4911" s="158" t="s">
        <v>56</v>
      </c>
      <c r="F4911" s="158" t="str">
        <f>VLOOKUP(Sales[[#This Row],[Product ID]],Product[#All],2,0)</f>
        <v>Boat Headset</v>
      </c>
      <c r="G4911" s="159">
        <v>7</v>
      </c>
      <c r="H4911" s="160">
        <f>VLOOKUP(Sales[[#This Row],[Product ID]],Product[#All],7,0)</f>
        <v>4140</v>
      </c>
      <c r="I4911" s="160">
        <f>Sales[[#This Row],[Selling Rate]]*Sales[[#This Row],[Qty]]</f>
        <v>28980</v>
      </c>
      <c r="J4911" s="43">
        <v>0.05</v>
      </c>
      <c r="K4911" s="44">
        <f>Sales[[#This Row],[Gross Amount]]*Sales[[#This Row],[Disc %]]</f>
        <v>1449</v>
      </c>
      <c r="L4911" s="43">
        <v>0.18</v>
      </c>
      <c r="M4911" s="44">
        <f>(Sales[[#This Row],[Gross Amount]]-Sales[[#This Row],[Disc. Amt.]])*Sales[[#This Row],[GST %]]</f>
        <v>4955.58</v>
      </c>
      <c r="N4911" s="161">
        <f>Sales[[#This Row],[Gross Amount]]-Sales[[#This Row],[Disc. Amt.]]+Sales[[#This Row],[GST Amount]]</f>
        <v>32486.58</v>
      </c>
      <c r="O4911" s="158" t="s">
        <v>3569</v>
      </c>
      <c r="P4911" s="158" t="s">
        <v>3562</v>
      </c>
      <c r="Q4911" s="160">
        <f>IF(Sales[[#This Row],[Status]]="Cancelled",0,Sales[[#This Row],[Qty]])</f>
        <v>7</v>
      </c>
      <c r="R4911" s="161">
        <f>IF(Sales[[#This Row],[Status]]="Cancelled",0,Sales[[#This Row],[Total Amount]])</f>
        <v>32486.58</v>
      </c>
      <c r="S4911" s="162">
        <f>SUM(Sales[Net Amount])</f>
        <v>406839287.73200053</v>
      </c>
    </row>
    <row r="4912" spans="1:19" ht="18.75" x14ac:dyDescent="0.25">
      <c r="A4912" s="163" t="s">
        <v>8597</v>
      </c>
      <c r="B4912" s="164">
        <v>46018</v>
      </c>
      <c r="C4912" s="34" t="s">
        <v>806</v>
      </c>
      <c r="D4912" s="53" t="str">
        <f>VLOOKUP(Sales[[#This Row],[Customer ID]],Customer[#All],2,0)</f>
        <v>Vikas Singh</v>
      </c>
      <c r="E4912" s="34" t="s">
        <v>233</v>
      </c>
      <c r="F4912" s="34" t="str">
        <f>VLOOKUP(Sales[[#This Row],[Product ID]],Product[#All],2,0)</f>
        <v>HP Mouse</v>
      </c>
      <c r="G4912" s="53">
        <v>2</v>
      </c>
      <c r="H4912" s="165">
        <f>VLOOKUP(Sales[[#This Row],[Product ID]],Product[#All],7,0)</f>
        <v>860</v>
      </c>
      <c r="I4912" s="165">
        <f>Sales[[#This Row],[Selling Rate]]*Sales[[#This Row],[Qty]]</f>
        <v>1720</v>
      </c>
      <c r="J4912" s="45">
        <v>0.12</v>
      </c>
      <c r="K4912" s="46">
        <f>Sales[[#This Row],[Gross Amount]]*Sales[[#This Row],[Disc %]]</f>
        <v>206.4</v>
      </c>
      <c r="L4912" s="43">
        <v>0.18</v>
      </c>
      <c r="M4912" s="46">
        <f>(Sales[[#This Row],[Gross Amount]]-Sales[[#This Row],[Disc. Amt.]])*Sales[[#This Row],[GST %]]</f>
        <v>272.44799999999998</v>
      </c>
      <c r="N4912" s="161">
        <f>Sales[[#This Row],[Gross Amount]]-Sales[[#This Row],[Disc. Amt.]]+Sales[[#This Row],[GST Amount]]</f>
        <v>1786.0479999999998</v>
      </c>
      <c r="O4912" s="34" t="s">
        <v>3566</v>
      </c>
      <c r="P4912" s="34" t="s">
        <v>3562</v>
      </c>
      <c r="Q4912" s="165">
        <f>IF(Sales[[#This Row],[Status]]="Cancelled",0,Sales[[#This Row],[Qty]])</f>
        <v>2</v>
      </c>
      <c r="R4912" s="166">
        <f>IF(Sales[[#This Row],[Status]]="Cancelled",0,Sales[[#This Row],[Total Amount]])</f>
        <v>1786.0479999999998</v>
      </c>
      <c r="S4912" s="162">
        <f>SUM(Sales[Net Amount])</f>
        <v>406839287.73200053</v>
      </c>
    </row>
    <row r="4913" spans="1:19" ht="18.75" x14ac:dyDescent="0.25">
      <c r="A4913" s="156" t="s">
        <v>8598</v>
      </c>
      <c r="B4913" s="157">
        <v>46018</v>
      </c>
      <c r="C4913" s="158" t="s">
        <v>834</v>
      </c>
      <c r="D4913" s="159" t="str">
        <f>VLOOKUP(Sales[[#This Row],[Customer ID]],Customer[#All],2,0)</f>
        <v>Rahul Verma</v>
      </c>
      <c r="E4913" s="158" t="s">
        <v>291</v>
      </c>
      <c r="F4913" s="158" t="str">
        <f>VLOOKUP(Sales[[#This Row],[Product ID]],Product[#All],2,0)</f>
        <v>Jbl Speaker</v>
      </c>
      <c r="G4913" s="159">
        <v>6</v>
      </c>
      <c r="H4913" s="160">
        <f>VLOOKUP(Sales[[#This Row],[Product ID]],Product[#All],7,0)</f>
        <v>12040</v>
      </c>
      <c r="I4913" s="160">
        <f>Sales[[#This Row],[Selling Rate]]*Sales[[#This Row],[Qty]]</f>
        <v>72240</v>
      </c>
      <c r="J4913" s="43">
        <v>0</v>
      </c>
      <c r="K4913" s="44">
        <f>Sales[[#This Row],[Gross Amount]]*Sales[[#This Row],[Disc %]]</f>
        <v>0</v>
      </c>
      <c r="L4913" s="43">
        <v>0.18</v>
      </c>
      <c r="M4913" s="44">
        <f>(Sales[[#This Row],[Gross Amount]]-Sales[[#This Row],[Disc. Amt.]])*Sales[[#This Row],[GST %]]</f>
        <v>13003.199999999999</v>
      </c>
      <c r="N4913" s="161">
        <f>Sales[[#This Row],[Gross Amount]]-Sales[[#This Row],[Disc. Amt.]]+Sales[[#This Row],[GST Amount]]</f>
        <v>85243.199999999997</v>
      </c>
      <c r="O4913" s="158" t="s">
        <v>3561</v>
      </c>
      <c r="P4913" s="158" t="s">
        <v>3562</v>
      </c>
      <c r="Q4913" s="160">
        <f>IF(Sales[[#This Row],[Status]]="Cancelled",0,Sales[[#This Row],[Qty]])</f>
        <v>6</v>
      </c>
      <c r="R4913" s="161">
        <f>IF(Sales[[#This Row],[Status]]="Cancelled",0,Sales[[#This Row],[Total Amount]])</f>
        <v>85243.199999999997</v>
      </c>
      <c r="S4913" s="162">
        <f>SUM(Sales[Net Amount])</f>
        <v>406839287.73200053</v>
      </c>
    </row>
    <row r="4914" spans="1:19" ht="18.75" x14ac:dyDescent="0.25">
      <c r="A4914" s="163" t="s">
        <v>8599</v>
      </c>
      <c r="B4914" s="164">
        <v>46018</v>
      </c>
      <c r="C4914" s="34" t="s">
        <v>694</v>
      </c>
      <c r="D4914" s="53" t="str">
        <f>VLOOKUP(Sales[[#This Row],[Customer ID]],Customer[#All],2,0)</f>
        <v>Amit Sharma</v>
      </c>
      <c r="E4914" s="34" t="s">
        <v>231</v>
      </c>
      <c r="F4914" s="34" t="str">
        <f>VLOOKUP(Sales[[#This Row],[Product ID]],Product[#All],2,0)</f>
        <v>TP-link Wi-Fi Adapter</v>
      </c>
      <c r="G4914" s="53">
        <v>1</v>
      </c>
      <c r="H4914" s="165">
        <f>VLOOKUP(Sales[[#This Row],[Product ID]],Product[#All],7,0)</f>
        <v>2200</v>
      </c>
      <c r="I4914" s="165">
        <f>Sales[[#This Row],[Selling Rate]]*Sales[[#This Row],[Qty]]</f>
        <v>2200</v>
      </c>
      <c r="J4914" s="45">
        <v>0</v>
      </c>
      <c r="K4914" s="46">
        <f>Sales[[#This Row],[Gross Amount]]*Sales[[#This Row],[Disc %]]</f>
        <v>0</v>
      </c>
      <c r="L4914" s="43">
        <v>0.18</v>
      </c>
      <c r="M4914" s="46">
        <f>(Sales[[#This Row],[Gross Amount]]-Sales[[#This Row],[Disc. Amt.]])*Sales[[#This Row],[GST %]]</f>
        <v>396</v>
      </c>
      <c r="N4914" s="161">
        <f>Sales[[#This Row],[Gross Amount]]-Sales[[#This Row],[Disc. Amt.]]+Sales[[#This Row],[GST Amount]]</f>
        <v>2596</v>
      </c>
      <c r="O4914" s="34" t="s">
        <v>3569</v>
      </c>
      <c r="P4914" s="34" t="s">
        <v>3562</v>
      </c>
      <c r="Q4914" s="165">
        <f>IF(Sales[[#This Row],[Status]]="Cancelled",0,Sales[[#This Row],[Qty]])</f>
        <v>1</v>
      </c>
      <c r="R4914" s="166">
        <f>IF(Sales[[#This Row],[Status]]="Cancelled",0,Sales[[#This Row],[Total Amount]])</f>
        <v>2596</v>
      </c>
      <c r="S4914" s="162">
        <f>SUM(Sales[Net Amount])</f>
        <v>406839287.73200053</v>
      </c>
    </row>
    <row r="4915" spans="1:19" ht="18.75" x14ac:dyDescent="0.25">
      <c r="A4915" s="156" t="s">
        <v>8600</v>
      </c>
      <c r="B4915" s="157">
        <v>46018</v>
      </c>
      <c r="C4915" s="158" t="s">
        <v>810</v>
      </c>
      <c r="D4915" s="159" t="str">
        <f>VLOOKUP(Sales[[#This Row],[Customer ID]],Customer[#All],2,0)</f>
        <v>Rahul Gupta</v>
      </c>
      <c r="E4915" s="158" t="s">
        <v>394</v>
      </c>
      <c r="F4915" s="158" t="str">
        <f>VLOOKUP(Sales[[#This Row],[Product ID]],Product[#All],2,0)</f>
        <v>Boat Speaker</v>
      </c>
      <c r="G4915" s="159">
        <v>3</v>
      </c>
      <c r="H4915" s="160">
        <f>VLOOKUP(Sales[[#This Row],[Product ID]],Product[#All],7,0)</f>
        <v>1720</v>
      </c>
      <c r="I4915" s="160">
        <f>Sales[[#This Row],[Selling Rate]]*Sales[[#This Row],[Qty]]</f>
        <v>5160</v>
      </c>
      <c r="J4915" s="43">
        <v>0.02</v>
      </c>
      <c r="K4915" s="44">
        <f>Sales[[#This Row],[Gross Amount]]*Sales[[#This Row],[Disc %]]</f>
        <v>103.2</v>
      </c>
      <c r="L4915" s="43">
        <v>0.18</v>
      </c>
      <c r="M4915" s="44">
        <f>(Sales[[#This Row],[Gross Amount]]-Sales[[#This Row],[Disc. Amt.]])*Sales[[#This Row],[GST %]]</f>
        <v>910.22400000000005</v>
      </c>
      <c r="N4915" s="161">
        <f>Sales[[#This Row],[Gross Amount]]-Sales[[#This Row],[Disc. Amt.]]+Sales[[#This Row],[GST Amount]]</f>
        <v>5967.0240000000003</v>
      </c>
      <c r="O4915" s="158" t="s">
        <v>3569</v>
      </c>
      <c r="P4915" s="158" t="s">
        <v>3562</v>
      </c>
      <c r="Q4915" s="160">
        <f>IF(Sales[[#This Row],[Status]]="Cancelled",0,Sales[[#This Row],[Qty]])</f>
        <v>3</v>
      </c>
      <c r="R4915" s="161">
        <f>IF(Sales[[#This Row],[Status]]="Cancelled",0,Sales[[#This Row],[Total Amount]])</f>
        <v>5967.0240000000003</v>
      </c>
      <c r="S4915" s="162">
        <f>SUM(Sales[Net Amount])</f>
        <v>406839287.73200053</v>
      </c>
    </row>
    <row r="4916" spans="1:19" ht="18.75" x14ac:dyDescent="0.25">
      <c r="A4916" s="163" t="s">
        <v>8601</v>
      </c>
      <c r="B4916" s="164">
        <v>46018</v>
      </c>
      <c r="C4916" s="34" t="s">
        <v>791</v>
      </c>
      <c r="D4916" s="53" t="str">
        <f>VLOOKUP(Sales[[#This Row],[Customer ID]],Customer[#All],2,0)</f>
        <v>Rakesh Sharma</v>
      </c>
      <c r="E4916" s="34" t="s">
        <v>477</v>
      </c>
      <c r="F4916" s="34" t="str">
        <f>VLOOKUP(Sales[[#This Row],[Product ID]],Product[#All],2,0)</f>
        <v>Epson Printer</v>
      </c>
      <c r="G4916" s="53">
        <v>8</v>
      </c>
      <c r="H4916" s="165">
        <f>VLOOKUP(Sales[[#This Row],[Product ID]],Product[#All],7,0)</f>
        <v>17550</v>
      </c>
      <c r="I4916" s="165">
        <f>Sales[[#This Row],[Selling Rate]]*Sales[[#This Row],[Qty]]</f>
        <v>140400</v>
      </c>
      <c r="J4916" s="45">
        <v>0.02</v>
      </c>
      <c r="K4916" s="46">
        <f>Sales[[#This Row],[Gross Amount]]*Sales[[#This Row],[Disc %]]</f>
        <v>2808</v>
      </c>
      <c r="L4916" s="43">
        <v>0.18</v>
      </c>
      <c r="M4916" s="46">
        <f>(Sales[[#This Row],[Gross Amount]]-Sales[[#This Row],[Disc. Amt.]])*Sales[[#This Row],[GST %]]</f>
        <v>24766.559999999998</v>
      </c>
      <c r="N4916" s="161">
        <f>Sales[[#This Row],[Gross Amount]]-Sales[[#This Row],[Disc. Amt.]]+Sales[[#This Row],[GST Amount]]</f>
        <v>162358.56</v>
      </c>
      <c r="O4916" s="34" t="s">
        <v>3566</v>
      </c>
      <c r="P4916" s="34" t="s">
        <v>3562</v>
      </c>
      <c r="Q4916" s="165">
        <f>IF(Sales[[#This Row],[Status]]="Cancelled",0,Sales[[#This Row],[Qty]])</f>
        <v>8</v>
      </c>
      <c r="R4916" s="166">
        <f>IF(Sales[[#This Row],[Status]]="Cancelled",0,Sales[[#This Row],[Total Amount]])</f>
        <v>162358.56</v>
      </c>
      <c r="S4916" s="162">
        <f>SUM(Sales[Net Amount])</f>
        <v>406839287.73200053</v>
      </c>
    </row>
    <row r="4917" spans="1:19" ht="18.75" x14ac:dyDescent="0.25">
      <c r="A4917" s="156" t="s">
        <v>8602</v>
      </c>
      <c r="B4917" s="157">
        <v>46018</v>
      </c>
      <c r="C4917" s="158" t="s">
        <v>756</v>
      </c>
      <c r="D4917" s="159" t="str">
        <f>VLOOKUP(Sales[[#This Row],[Customer ID]],Customer[#All],2,0)</f>
        <v>Amit Patel</v>
      </c>
      <c r="E4917" s="158" t="s">
        <v>244</v>
      </c>
      <c r="F4917" s="158" t="str">
        <f>VLOOKUP(Sales[[#This Row],[Product ID]],Product[#All],2,0)</f>
        <v>TP-link Router</v>
      </c>
      <c r="G4917" s="159">
        <v>4</v>
      </c>
      <c r="H4917" s="160">
        <f>VLOOKUP(Sales[[#This Row],[Product ID]],Product[#All],7,0)</f>
        <v>4220</v>
      </c>
      <c r="I4917" s="160">
        <f>Sales[[#This Row],[Selling Rate]]*Sales[[#This Row],[Qty]]</f>
        <v>16880</v>
      </c>
      <c r="J4917" s="43">
        <v>0.12</v>
      </c>
      <c r="K4917" s="44">
        <f>Sales[[#This Row],[Gross Amount]]*Sales[[#This Row],[Disc %]]</f>
        <v>2025.6</v>
      </c>
      <c r="L4917" s="43">
        <v>0.18</v>
      </c>
      <c r="M4917" s="44">
        <f>(Sales[[#This Row],[Gross Amount]]-Sales[[#This Row],[Disc. Amt.]])*Sales[[#This Row],[GST %]]</f>
        <v>2673.7919999999999</v>
      </c>
      <c r="N4917" s="161">
        <f>Sales[[#This Row],[Gross Amount]]-Sales[[#This Row],[Disc. Amt.]]+Sales[[#This Row],[GST Amount]]</f>
        <v>17528.191999999999</v>
      </c>
      <c r="O4917" s="158" t="s">
        <v>3566</v>
      </c>
      <c r="P4917" s="158" t="s">
        <v>3562</v>
      </c>
      <c r="Q4917" s="160">
        <f>IF(Sales[[#This Row],[Status]]="Cancelled",0,Sales[[#This Row],[Qty]])</f>
        <v>4</v>
      </c>
      <c r="R4917" s="161">
        <f>IF(Sales[[#This Row],[Status]]="Cancelled",0,Sales[[#This Row],[Total Amount]])</f>
        <v>17528.191999999999</v>
      </c>
      <c r="S4917" s="162">
        <f>SUM(Sales[Net Amount])</f>
        <v>406839287.73200053</v>
      </c>
    </row>
    <row r="4918" spans="1:19" ht="18.75" x14ac:dyDescent="0.25">
      <c r="A4918" s="163" t="s">
        <v>8603</v>
      </c>
      <c r="B4918" s="164">
        <v>46018</v>
      </c>
      <c r="C4918" s="34" t="s">
        <v>673</v>
      </c>
      <c r="D4918" s="53" t="str">
        <f>VLOOKUP(Sales[[#This Row],[Customer ID]],Customer[#All],2,0)</f>
        <v>Sunita Gupta</v>
      </c>
      <c r="E4918" s="34" t="s">
        <v>169</v>
      </c>
      <c r="F4918" s="34" t="str">
        <f>VLOOKUP(Sales[[#This Row],[Product ID]],Product[#All],2,0)</f>
        <v>Dell Monitor</v>
      </c>
      <c r="G4918" s="53">
        <v>3</v>
      </c>
      <c r="H4918" s="165">
        <f>VLOOKUP(Sales[[#This Row],[Product ID]],Product[#All],7,0)</f>
        <v>22680</v>
      </c>
      <c r="I4918" s="165">
        <f>Sales[[#This Row],[Selling Rate]]*Sales[[#This Row],[Qty]]</f>
        <v>68040</v>
      </c>
      <c r="J4918" s="45">
        <v>0.02</v>
      </c>
      <c r="K4918" s="46">
        <f>Sales[[#This Row],[Gross Amount]]*Sales[[#This Row],[Disc %]]</f>
        <v>1360.8</v>
      </c>
      <c r="L4918" s="43">
        <v>0.18</v>
      </c>
      <c r="M4918" s="46">
        <f>(Sales[[#This Row],[Gross Amount]]-Sales[[#This Row],[Disc. Amt.]])*Sales[[#This Row],[GST %]]</f>
        <v>12002.255999999999</v>
      </c>
      <c r="N4918" s="161">
        <f>Sales[[#This Row],[Gross Amount]]-Sales[[#This Row],[Disc. Amt.]]+Sales[[#This Row],[GST Amount]]</f>
        <v>78681.455999999991</v>
      </c>
      <c r="O4918" s="34" t="s">
        <v>3566</v>
      </c>
      <c r="P4918" s="34" t="s">
        <v>3562</v>
      </c>
      <c r="Q4918" s="165">
        <f>IF(Sales[[#This Row],[Status]]="Cancelled",0,Sales[[#This Row],[Qty]])</f>
        <v>3</v>
      </c>
      <c r="R4918" s="166">
        <f>IF(Sales[[#This Row],[Status]]="Cancelled",0,Sales[[#This Row],[Total Amount]])</f>
        <v>78681.455999999991</v>
      </c>
      <c r="S4918" s="162">
        <f>SUM(Sales[Net Amount])</f>
        <v>406839287.73200053</v>
      </c>
    </row>
    <row r="4919" spans="1:19" ht="18.75" x14ac:dyDescent="0.25">
      <c r="A4919" s="156" t="s">
        <v>8604</v>
      </c>
      <c r="B4919" s="157">
        <v>46018</v>
      </c>
      <c r="C4919" s="158" t="s">
        <v>876</v>
      </c>
      <c r="D4919" s="159" t="str">
        <f>VLOOKUP(Sales[[#This Row],[Customer ID]],Customer[#All],2,0)</f>
        <v>Sahil Verma</v>
      </c>
      <c r="E4919" s="158" t="s">
        <v>335</v>
      </c>
      <c r="F4919" s="158" t="str">
        <f>VLOOKUP(Sales[[#This Row],[Product ID]],Product[#All],2,0)</f>
        <v>Corsair Ram</v>
      </c>
      <c r="G4919" s="159">
        <v>7</v>
      </c>
      <c r="H4919" s="160">
        <f>VLOOKUP(Sales[[#This Row],[Product ID]],Product[#All],7,0)</f>
        <v>4450</v>
      </c>
      <c r="I4919" s="160">
        <f>Sales[[#This Row],[Selling Rate]]*Sales[[#This Row],[Qty]]</f>
        <v>31150</v>
      </c>
      <c r="J4919" s="43">
        <v>0.15</v>
      </c>
      <c r="K4919" s="44">
        <f>Sales[[#This Row],[Gross Amount]]*Sales[[#This Row],[Disc %]]</f>
        <v>4672.5</v>
      </c>
      <c r="L4919" s="43">
        <v>0.18</v>
      </c>
      <c r="M4919" s="44">
        <f>(Sales[[#This Row],[Gross Amount]]-Sales[[#This Row],[Disc. Amt.]])*Sales[[#This Row],[GST %]]</f>
        <v>4765.95</v>
      </c>
      <c r="N4919" s="161">
        <f>Sales[[#This Row],[Gross Amount]]-Sales[[#This Row],[Disc. Amt.]]+Sales[[#This Row],[GST Amount]]</f>
        <v>31243.45</v>
      </c>
      <c r="O4919" s="158" t="s">
        <v>3561</v>
      </c>
      <c r="P4919" s="158" t="s">
        <v>3562</v>
      </c>
      <c r="Q4919" s="160">
        <f>IF(Sales[[#This Row],[Status]]="Cancelled",0,Sales[[#This Row],[Qty]])</f>
        <v>7</v>
      </c>
      <c r="R4919" s="161">
        <f>IF(Sales[[#This Row],[Status]]="Cancelled",0,Sales[[#This Row],[Total Amount]])</f>
        <v>31243.45</v>
      </c>
      <c r="S4919" s="162">
        <f>SUM(Sales[Net Amount])</f>
        <v>406839287.73200053</v>
      </c>
    </row>
    <row r="4920" spans="1:19" ht="18.75" x14ac:dyDescent="0.25">
      <c r="A4920" s="163" t="s">
        <v>8605</v>
      </c>
      <c r="B4920" s="164">
        <v>46018</v>
      </c>
      <c r="C4920" s="34" t="s">
        <v>772</v>
      </c>
      <c r="D4920" s="53" t="str">
        <f>VLOOKUP(Sales[[#This Row],[Customer ID]],Customer[#All],2,0)</f>
        <v>Rahul Patel</v>
      </c>
      <c r="E4920" s="34" t="s">
        <v>335</v>
      </c>
      <c r="F4920" s="34" t="str">
        <f>VLOOKUP(Sales[[#This Row],[Product ID]],Product[#All],2,0)</f>
        <v>Corsair Ram</v>
      </c>
      <c r="G4920" s="53">
        <v>2</v>
      </c>
      <c r="H4920" s="165">
        <f>VLOOKUP(Sales[[#This Row],[Product ID]],Product[#All],7,0)</f>
        <v>4450</v>
      </c>
      <c r="I4920" s="165">
        <f>Sales[[#This Row],[Selling Rate]]*Sales[[#This Row],[Qty]]</f>
        <v>8900</v>
      </c>
      <c r="J4920" s="45">
        <v>0.02</v>
      </c>
      <c r="K4920" s="46">
        <f>Sales[[#This Row],[Gross Amount]]*Sales[[#This Row],[Disc %]]</f>
        <v>178</v>
      </c>
      <c r="L4920" s="43">
        <v>0.18</v>
      </c>
      <c r="M4920" s="46">
        <f>(Sales[[#This Row],[Gross Amount]]-Sales[[#This Row],[Disc. Amt.]])*Sales[[#This Row],[GST %]]</f>
        <v>1569.96</v>
      </c>
      <c r="N4920" s="161">
        <f>Sales[[#This Row],[Gross Amount]]-Sales[[#This Row],[Disc. Amt.]]+Sales[[#This Row],[GST Amount]]</f>
        <v>10291.959999999999</v>
      </c>
      <c r="O4920" s="34" t="s">
        <v>3569</v>
      </c>
      <c r="P4920" s="34" t="s">
        <v>3562</v>
      </c>
      <c r="Q4920" s="165">
        <f>IF(Sales[[#This Row],[Status]]="Cancelled",0,Sales[[#This Row],[Qty]])</f>
        <v>2</v>
      </c>
      <c r="R4920" s="166">
        <f>IF(Sales[[#This Row],[Status]]="Cancelled",0,Sales[[#This Row],[Total Amount]])</f>
        <v>10291.959999999999</v>
      </c>
      <c r="S4920" s="162">
        <f>SUM(Sales[Net Amount])</f>
        <v>406839287.73200053</v>
      </c>
    </row>
    <row r="4921" spans="1:19" ht="18.75" x14ac:dyDescent="0.25">
      <c r="A4921" s="156" t="s">
        <v>8606</v>
      </c>
      <c r="B4921" s="157">
        <v>46019</v>
      </c>
      <c r="C4921" s="158" t="s">
        <v>713</v>
      </c>
      <c r="D4921" s="159" t="str">
        <f>VLOOKUP(Sales[[#This Row],[Customer ID]],Customer[#All],2,0)</f>
        <v>Amit Gupta</v>
      </c>
      <c r="E4921" s="158" t="s">
        <v>424</v>
      </c>
      <c r="F4921" s="158" t="str">
        <f>VLOOKUP(Sales[[#This Row],[Product ID]],Product[#All],2,0)</f>
        <v>TP-link Wi-Fi Adapter</v>
      </c>
      <c r="G4921" s="159">
        <v>4</v>
      </c>
      <c r="H4921" s="160">
        <f>VLOOKUP(Sales[[#This Row],[Product ID]],Product[#All],7,0)</f>
        <v>690</v>
      </c>
      <c r="I4921" s="160">
        <f>Sales[[#This Row],[Selling Rate]]*Sales[[#This Row],[Qty]]</f>
        <v>2760</v>
      </c>
      <c r="J4921" s="43">
        <v>0.05</v>
      </c>
      <c r="K4921" s="44">
        <f>Sales[[#This Row],[Gross Amount]]*Sales[[#This Row],[Disc %]]</f>
        <v>138</v>
      </c>
      <c r="L4921" s="43">
        <v>0.18</v>
      </c>
      <c r="M4921" s="44">
        <f>(Sales[[#This Row],[Gross Amount]]-Sales[[#This Row],[Disc. Amt.]])*Sales[[#This Row],[GST %]]</f>
        <v>471.96</v>
      </c>
      <c r="N4921" s="161">
        <f>Sales[[#This Row],[Gross Amount]]-Sales[[#This Row],[Disc. Amt.]]+Sales[[#This Row],[GST Amount]]</f>
        <v>3093.96</v>
      </c>
      <c r="O4921" s="158" t="s">
        <v>3561</v>
      </c>
      <c r="P4921" s="158" t="s">
        <v>3562</v>
      </c>
      <c r="Q4921" s="160">
        <f>IF(Sales[[#This Row],[Status]]="Cancelled",0,Sales[[#This Row],[Qty]])</f>
        <v>4</v>
      </c>
      <c r="R4921" s="161">
        <f>IF(Sales[[#This Row],[Status]]="Cancelled",0,Sales[[#This Row],[Total Amount]])</f>
        <v>3093.96</v>
      </c>
      <c r="S4921" s="162">
        <f>SUM(Sales[Net Amount])</f>
        <v>406839287.73200053</v>
      </c>
    </row>
    <row r="4922" spans="1:19" ht="18.75" x14ac:dyDescent="0.25">
      <c r="A4922" s="163" t="s">
        <v>8607</v>
      </c>
      <c r="B4922" s="164">
        <v>46019</v>
      </c>
      <c r="C4922" s="34" t="s">
        <v>843</v>
      </c>
      <c r="D4922" s="53" t="str">
        <f>VLOOKUP(Sales[[#This Row],[Customer ID]],Customer[#All],2,0)</f>
        <v>Amit Verma</v>
      </c>
      <c r="E4922" s="34" t="s">
        <v>154</v>
      </c>
      <c r="F4922" s="34" t="str">
        <f>VLOOKUP(Sales[[#This Row],[Product ID]],Product[#All],2,0)</f>
        <v>Epson Printer</v>
      </c>
      <c r="G4922" s="53">
        <v>4</v>
      </c>
      <c r="H4922" s="165">
        <f>VLOOKUP(Sales[[#This Row],[Product ID]],Product[#All],7,0)</f>
        <v>46220</v>
      </c>
      <c r="I4922" s="165">
        <f>Sales[[#This Row],[Selling Rate]]*Sales[[#This Row],[Qty]]</f>
        <v>184880</v>
      </c>
      <c r="J4922" s="45">
        <v>0.02</v>
      </c>
      <c r="K4922" s="46">
        <f>Sales[[#This Row],[Gross Amount]]*Sales[[#This Row],[Disc %]]</f>
        <v>3697.6</v>
      </c>
      <c r="L4922" s="43">
        <v>0.18</v>
      </c>
      <c r="M4922" s="46">
        <f>(Sales[[#This Row],[Gross Amount]]-Sales[[#This Row],[Disc. Amt.]])*Sales[[#This Row],[GST %]]</f>
        <v>32612.831999999999</v>
      </c>
      <c r="N4922" s="161">
        <f>Sales[[#This Row],[Gross Amount]]-Sales[[#This Row],[Disc. Amt.]]+Sales[[#This Row],[GST Amount]]</f>
        <v>213795.23199999999</v>
      </c>
      <c r="O4922" s="34" t="s">
        <v>8876</v>
      </c>
      <c r="P4922" s="34" t="s">
        <v>3562</v>
      </c>
      <c r="Q4922" s="165">
        <f>IF(Sales[[#This Row],[Status]]="Cancelled",0,Sales[[#This Row],[Qty]])</f>
        <v>4</v>
      </c>
      <c r="R4922" s="166">
        <f>IF(Sales[[#This Row],[Status]]="Cancelled",0,Sales[[#This Row],[Total Amount]])</f>
        <v>213795.23199999999</v>
      </c>
      <c r="S4922" s="162">
        <f>SUM(Sales[Net Amount])</f>
        <v>406839287.73200053</v>
      </c>
    </row>
    <row r="4923" spans="1:19" ht="18.75" x14ac:dyDescent="0.25">
      <c r="A4923" s="156" t="s">
        <v>8608</v>
      </c>
      <c r="B4923" s="157">
        <v>46019</v>
      </c>
      <c r="C4923" s="158" t="s">
        <v>709</v>
      </c>
      <c r="D4923" s="159" t="str">
        <f>VLOOKUP(Sales[[#This Row],[Customer ID]],Customer[#All],2,0)</f>
        <v>Ankit Kumar</v>
      </c>
      <c r="E4923" s="158" t="s">
        <v>425</v>
      </c>
      <c r="F4923" s="158" t="str">
        <f>VLOOKUP(Sales[[#This Row],[Product ID]],Product[#All],2,0)</f>
        <v>WD HDD</v>
      </c>
      <c r="G4923" s="159">
        <v>4</v>
      </c>
      <c r="H4923" s="160">
        <f>VLOOKUP(Sales[[#This Row],[Product ID]],Product[#All],7,0)</f>
        <v>7660</v>
      </c>
      <c r="I4923" s="160">
        <f>Sales[[#This Row],[Selling Rate]]*Sales[[#This Row],[Qty]]</f>
        <v>30640</v>
      </c>
      <c r="J4923" s="43">
        <v>0.1</v>
      </c>
      <c r="K4923" s="44">
        <f>Sales[[#This Row],[Gross Amount]]*Sales[[#This Row],[Disc %]]</f>
        <v>3064</v>
      </c>
      <c r="L4923" s="43">
        <v>0.18</v>
      </c>
      <c r="M4923" s="44">
        <f>(Sales[[#This Row],[Gross Amount]]-Sales[[#This Row],[Disc. Amt.]])*Sales[[#This Row],[GST %]]</f>
        <v>4963.6799999999994</v>
      </c>
      <c r="N4923" s="161">
        <f>Sales[[#This Row],[Gross Amount]]-Sales[[#This Row],[Disc. Amt.]]+Sales[[#This Row],[GST Amount]]</f>
        <v>32539.68</v>
      </c>
      <c r="O4923" s="158" t="s">
        <v>3566</v>
      </c>
      <c r="P4923" s="158" t="s">
        <v>3562</v>
      </c>
      <c r="Q4923" s="160">
        <f>IF(Sales[[#This Row],[Status]]="Cancelled",0,Sales[[#This Row],[Qty]])</f>
        <v>4</v>
      </c>
      <c r="R4923" s="161">
        <f>IF(Sales[[#This Row],[Status]]="Cancelled",0,Sales[[#This Row],[Total Amount]])</f>
        <v>32539.68</v>
      </c>
      <c r="S4923" s="162">
        <f>SUM(Sales[Net Amount])</f>
        <v>406839287.73200053</v>
      </c>
    </row>
    <row r="4924" spans="1:19" ht="18.75" x14ac:dyDescent="0.25">
      <c r="A4924" s="163" t="s">
        <v>8609</v>
      </c>
      <c r="B4924" s="164">
        <v>46019</v>
      </c>
      <c r="C4924" s="34" t="s">
        <v>843</v>
      </c>
      <c r="D4924" s="53" t="str">
        <f>VLOOKUP(Sales[[#This Row],[Customer ID]],Customer[#All],2,0)</f>
        <v>Amit Verma</v>
      </c>
      <c r="E4924" s="34" t="s">
        <v>488</v>
      </c>
      <c r="F4924" s="34" t="str">
        <f>VLOOKUP(Sales[[#This Row],[Product ID]],Product[#All],2,0)</f>
        <v>Samsung Monitor</v>
      </c>
      <c r="G4924" s="53">
        <v>4</v>
      </c>
      <c r="H4924" s="165">
        <f>VLOOKUP(Sales[[#This Row],[Product ID]],Product[#All],7,0)</f>
        <v>32720</v>
      </c>
      <c r="I4924" s="165">
        <f>Sales[[#This Row],[Selling Rate]]*Sales[[#This Row],[Qty]]</f>
        <v>130880</v>
      </c>
      <c r="J4924" s="45">
        <v>0.05</v>
      </c>
      <c r="K4924" s="46">
        <f>Sales[[#This Row],[Gross Amount]]*Sales[[#This Row],[Disc %]]</f>
        <v>6544</v>
      </c>
      <c r="L4924" s="43">
        <v>0.18</v>
      </c>
      <c r="M4924" s="46">
        <f>(Sales[[#This Row],[Gross Amount]]-Sales[[#This Row],[Disc. Amt.]])*Sales[[#This Row],[GST %]]</f>
        <v>22380.48</v>
      </c>
      <c r="N4924" s="161">
        <f>Sales[[#This Row],[Gross Amount]]-Sales[[#This Row],[Disc. Amt.]]+Sales[[#This Row],[GST Amount]]</f>
        <v>146716.48000000001</v>
      </c>
      <c r="O4924" s="34" t="s">
        <v>3569</v>
      </c>
      <c r="P4924" s="34" t="s">
        <v>3562</v>
      </c>
      <c r="Q4924" s="165">
        <f>IF(Sales[[#This Row],[Status]]="Cancelled",0,Sales[[#This Row],[Qty]])</f>
        <v>4</v>
      </c>
      <c r="R4924" s="166">
        <f>IF(Sales[[#This Row],[Status]]="Cancelled",0,Sales[[#This Row],[Total Amount]])</f>
        <v>146716.48000000001</v>
      </c>
      <c r="S4924" s="162">
        <f>SUM(Sales[Net Amount])</f>
        <v>406839287.73200053</v>
      </c>
    </row>
    <row r="4925" spans="1:19" ht="18.75" x14ac:dyDescent="0.25">
      <c r="A4925" s="156" t="s">
        <v>8610</v>
      </c>
      <c r="B4925" s="157">
        <v>46019</v>
      </c>
      <c r="C4925" s="158" t="s">
        <v>801</v>
      </c>
      <c r="D4925" s="159" t="str">
        <f>VLOOKUP(Sales[[#This Row],[Customer ID]],Customer[#All],2,0)</f>
        <v>Sunita Verma</v>
      </c>
      <c r="E4925" s="158" t="s">
        <v>165</v>
      </c>
      <c r="F4925" s="158" t="str">
        <f>VLOOKUP(Sales[[#This Row],[Product ID]],Product[#All],2,0)</f>
        <v>Kingston Ram</v>
      </c>
      <c r="G4925" s="159">
        <v>1</v>
      </c>
      <c r="H4925" s="160">
        <f>VLOOKUP(Sales[[#This Row],[Product ID]],Product[#All],7,0)</f>
        <v>8020</v>
      </c>
      <c r="I4925" s="160">
        <f>Sales[[#This Row],[Selling Rate]]*Sales[[#This Row],[Qty]]</f>
        <v>8020</v>
      </c>
      <c r="J4925" s="43">
        <v>0.05</v>
      </c>
      <c r="K4925" s="44">
        <f>Sales[[#This Row],[Gross Amount]]*Sales[[#This Row],[Disc %]]</f>
        <v>401</v>
      </c>
      <c r="L4925" s="43">
        <v>0.18</v>
      </c>
      <c r="M4925" s="44">
        <f>(Sales[[#This Row],[Gross Amount]]-Sales[[#This Row],[Disc. Amt.]])*Sales[[#This Row],[GST %]]</f>
        <v>1371.4199999999998</v>
      </c>
      <c r="N4925" s="161">
        <f>Sales[[#This Row],[Gross Amount]]-Sales[[#This Row],[Disc. Amt.]]+Sales[[#This Row],[GST Amount]]</f>
        <v>8990.42</v>
      </c>
      <c r="O4925" s="158" t="s">
        <v>3569</v>
      </c>
      <c r="P4925" s="158" t="s">
        <v>3562</v>
      </c>
      <c r="Q4925" s="160">
        <f>IF(Sales[[#This Row],[Status]]="Cancelled",0,Sales[[#This Row],[Qty]])</f>
        <v>1</v>
      </c>
      <c r="R4925" s="161">
        <f>IF(Sales[[#This Row],[Status]]="Cancelled",0,Sales[[#This Row],[Total Amount]])</f>
        <v>8990.42</v>
      </c>
      <c r="S4925" s="162">
        <f>SUM(Sales[Net Amount])</f>
        <v>406839287.73200053</v>
      </c>
    </row>
    <row r="4926" spans="1:19" ht="18.75" x14ac:dyDescent="0.25">
      <c r="A4926" s="163" t="s">
        <v>8611</v>
      </c>
      <c r="B4926" s="164">
        <v>46019</v>
      </c>
      <c r="C4926" s="34" t="s">
        <v>736</v>
      </c>
      <c r="D4926" s="53" t="str">
        <f>VLOOKUP(Sales[[#This Row],[Customer ID]],Customer[#All],2,0)</f>
        <v>Ankit Verma</v>
      </c>
      <c r="E4926" s="34" t="s">
        <v>381</v>
      </c>
      <c r="F4926" s="34" t="str">
        <f>VLOOKUP(Sales[[#This Row],[Product ID]],Product[#All],2,0)</f>
        <v>HP Power Adapter</v>
      </c>
      <c r="G4926" s="53">
        <v>6</v>
      </c>
      <c r="H4926" s="165">
        <f>VLOOKUP(Sales[[#This Row],[Product ID]],Product[#All],7,0)</f>
        <v>990</v>
      </c>
      <c r="I4926" s="165">
        <f>Sales[[#This Row],[Selling Rate]]*Sales[[#This Row],[Qty]]</f>
        <v>5940</v>
      </c>
      <c r="J4926" s="45">
        <v>0.1</v>
      </c>
      <c r="K4926" s="46">
        <f>Sales[[#This Row],[Gross Amount]]*Sales[[#This Row],[Disc %]]</f>
        <v>594</v>
      </c>
      <c r="L4926" s="43">
        <v>0.18</v>
      </c>
      <c r="M4926" s="46">
        <f>(Sales[[#This Row],[Gross Amount]]-Sales[[#This Row],[Disc. Amt.]])*Sales[[#This Row],[GST %]]</f>
        <v>962.28</v>
      </c>
      <c r="N4926" s="161">
        <f>Sales[[#This Row],[Gross Amount]]-Sales[[#This Row],[Disc. Amt.]]+Sales[[#This Row],[GST Amount]]</f>
        <v>6308.28</v>
      </c>
      <c r="O4926" s="34" t="s">
        <v>8876</v>
      </c>
      <c r="P4926" s="34" t="s">
        <v>3562</v>
      </c>
      <c r="Q4926" s="165">
        <f>IF(Sales[[#This Row],[Status]]="Cancelled",0,Sales[[#This Row],[Qty]])</f>
        <v>6</v>
      </c>
      <c r="R4926" s="166">
        <f>IF(Sales[[#This Row],[Status]]="Cancelled",0,Sales[[#This Row],[Total Amount]])</f>
        <v>6308.28</v>
      </c>
      <c r="S4926" s="162">
        <f>SUM(Sales[Net Amount])</f>
        <v>406839287.73200053</v>
      </c>
    </row>
    <row r="4927" spans="1:19" ht="18.75" x14ac:dyDescent="0.25">
      <c r="A4927" s="156" t="s">
        <v>8612</v>
      </c>
      <c r="B4927" s="157">
        <v>46019</v>
      </c>
      <c r="C4927" s="158" t="s">
        <v>759</v>
      </c>
      <c r="D4927" s="159" t="str">
        <f>VLOOKUP(Sales[[#This Row],[Customer ID]],Customer[#All],2,0)</f>
        <v>Ankit Sharma</v>
      </c>
      <c r="E4927" s="158" t="s">
        <v>537</v>
      </c>
      <c r="F4927" s="158" t="str">
        <f>VLOOKUP(Sales[[#This Row],[Product ID]],Product[#All],2,0)</f>
        <v>Dell Laptop</v>
      </c>
      <c r="G4927" s="159">
        <v>8</v>
      </c>
      <c r="H4927" s="160">
        <f>VLOOKUP(Sales[[#This Row],[Product ID]],Product[#All],7,0)</f>
        <v>90420</v>
      </c>
      <c r="I4927" s="160">
        <f>Sales[[#This Row],[Selling Rate]]*Sales[[#This Row],[Qty]]</f>
        <v>723360</v>
      </c>
      <c r="J4927" s="43">
        <v>0.05</v>
      </c>
      <c r="K4927" s="44">
        <f>Sales[[#This Row],[Gross Amount]]*Sales[[#This Row],[Disc %]]</f>
        <v>36168</v>
      </c>
      <c r="L4927" s="43">
        <v>0.18</v>
      </c>
      <c r="M4927" s="44">
        <f>(Sales[[#This Row],[Gross Amount]]-Sales[[#This Row],[Disc. Amt.]])*Sales[[#This Row],[GST %]]</f>
        <v>123694.56</v>
      </c>
      <c r="N4927" s="161">
        <f>Sales[[#This Row],[Gross Amount]]-Sales[[#This Row],[Disc. Amt.]]+Sales[[#This Row],[GST Amount]]</f>
        <v>810886.56</v>
      </c>
      <c r="O4927" s="158" t="s">
        <v>3566</v>
      </c>
      <c r="P4927" s="158" t="s">
        <v>3562</v>
      </c>
      <c r="Q4927" s="160">
        <f>IF(Sales[[#This Row],[Status]]="Cancelled",0,Sales[[#This Row],[Qty]])</f>
        <v>8</v>
      </c>
      <c r="R4927" s="161">
        <f>IF(Sales[[#This Row],[Status]]="Cancelled",0,Sales[[#This Row],[Total Amount]])</f>
        <v>810886.56</v>
      </c>
      <c r="S4927" s="162">
        <f>SUM(Sales[Net Amount])</f>
        <v>406839287.73200053</v>
      </c>
    </row>
    <row r="4928" spans="1:19" ht="18.75" x14ac:dyDescent="0.25">
      <c r="A4928" s="163" t="s">
        <v>8613</v>
      </c>
      <c r="B4928" s="164">
        <v>46019</v>
      </c>
      <c r="C4928" s="34" t="s">
        <v>693</v>
      </c>
      <c r="D4928" s="53" t="str">
        <f>VLOOKUP(Sales[[#This Row],[Customer ID]],Customer[#All],2,0)</f>
        <v>Rahul Gupta</v>
      </c>
      <c r="E4928" s="34" t="s">
        <v>51</v>
      </c>
      <c r="F4928" s="34" t="str">
        <f>VLOOKUP(Sales[[#This Row],[Product ID]],Product[#All],2,0)</f>
        <v>Boat Speaker</v>
      </c>
      <c r="G4928" s="53">
        <v>1</v>
      </c>
      <c r="H4928" s="165">
        <f>VLOOKUP(Sales[[#This Row],[Product ID]],Product[#All],7,0)</f>
        <v>4730</v>
      </c>
      <c r="I4928" s="165">
        <f>Sales[[#This Row],[Selling Rate]]*Sales[[#This Row],[Qty]]</f>
        <v>4730</v>
      </c>
      <c r="J4928" s="45">
        <v>0</v>
      </c>
      <c r="K4928" s="46">
        <f>Sales[[#This Row],[Gross Amount]]*Sales[[#This Row],[Disc %]]</f>
        <v>0</v>
      </c>
      <c r="L4928" s="43">
        <v>0.18</v>
      </c>
      <c r="M4928" s="46">
        <f>(Sales[[#This Row],[Gross Amount]]-Sales[[#This Row],[Disc. Amt.]])*Sales[[#This Row],[GST %]]</f>
        <v>851.4</v>
      </c>
      <c r="N4928" s="161">
        <f>Sales[[#This Row],[Gross Amount]]-Sales[[#This Row],[Disc. Amt.]]+Sales[[#This Row],[GST Amount]]</f>
        <v>5581.4</v>
      </c>
      <c r="O4928" s="34" t="s">
        <v>8876</v>
      </c>
      <c r="P4928" s="34" t="s">
        <v>3562</v>
      </c>
      <c r="Q4928" s="165">
        <f>IF(Sales[[#This Row],[Status]]="Cancelled",0,Sales[[#This Row],[Qty]])</f>
        <v>1</v>
      </c>
      <c r="R4928" s="166">
        <f>IF(Sales[[#This Row],[Status]]="Cancelled",0,Sales[[#This Row],[Total Amount]])</f>
        <v>5581.4</v>
      </c>
      <c r="S4928" s="162">
        <f>SUM(Sales[Net Amount])</f>
        <v>406839287.73200053</v>
      </c>
    </row>
    <row r="4929" spans="1:19" ht="18.75" x14ac:dyDescent="0.25">
      <c r="A4929" s="156" t="s">
        <v>8614</v>
      </c>
      <c r="B4929" s="157">
        <v>46019</v>
      </c>
      <c r="C4929" s="158" t="s">
        <v>903</v>
      </c>
      <c r="D4929" s="159" t="str">
        <f>VLOOKUP(Sales[[#This Row],[Customer ID]],Customer[#All],2,0)</f>
        <v>Sahil Singh</v>
      </c>
      <c r="E4929" s="158" t="s">
        <v>12</v>
      </c>
      <c r="F4929" s="158" t="str">
        <f>VLOOKUP(Sales[[#This Row],[Product ID]],Product[#All],2,0)</f>
        <v>Boat Headset</v>
      </c>
      <c r="G4929" s="159">
        <v>8</v>
      </c>
      <c r="H4929" s="160">
        <f>VLOOKUP(Sales[[#This Row],[Product ID]],Product[#All],7,0)</f>
        <v>1990</v>
      </c>
      <c r="I4929" s="160">
        <f>Sales[[#This Row],[Selling Rate]]*Sales[[#This Row],[Qty]]</f>
        <v>15920</v>
      </c>
      <c r="J4929" s="43">
        <v>0.12</v>
      </c>
      <c r="K4929" s="44">
        <f>Sales[[#This Row],[Gross Amount]]*Sales[[#This Row],[Disc %]]</f>
        <v>1910.3999999999999</v>
      </c>
      <c r="L4929" s="43">
        <v>0.18</v>
      </c>
      <c r="M4929" s="44">
        <f>(Sales[[#This Row],[Gross Amount]]-Sales[[#This Row],[Disc. Amt.]])*Sales[[#This Row],[GST %]]</f>
        <v>2521.7280000000001</v>
      </c>
      <c r="N4929" s="161">
        <f>Sales[[#This Row],[Gross Amount]]-Sales[[#This Row],[Disc. Amt.]]+Sales[[#This Row],[GST Amount]]</f>
        <v>16531.328000000001</v>
      </c>
      <c r="O4929" s="158" t="s">
        <v>3569</v>
      </c>
      <c r="P4929" s="158" t="s">
        <v>3562</v>
      </c>
      <c r="Q4929" s="160">
        <f>IF(Sales[[#This Row],[Status]]="Cancelled",0,Sales[[#This Row],[Qty]])</f>
        <v>8</v>
      </c>
      <c r="R4929" s="161">
        <f>IF(Sales[[#This Row],[Status]]="Cancelled",0,Sales[[#This Row],[Total Amount]])</f>
        <v>16531.328000000001</v>
      </c>
      <c r="S4929" s="162">
        <f>SUM(Sales[Net Amount])</f>
        <v>406839287.73200053</v>
      </c>
    </row>
    <row r="4930" spans="1:19" ht="18.75" x14ac:dyDescent="0.25">
      <c r="A4930" s="163" t="s">
        <v>8615</v>
      </c>
      <c r="B4930" s="164">
        <v>46019</v>
      </c>
      <c r="C4930" s="34" t="s">
        <v>828</v>
      </c>
      <c r="D4930" s="53" t="str">
        <f>VLOOKUP(Sales[[#This Row],[Customer ID]],Customer[#All],2,0)</f>
        <v>Ankit Verma</v>
      </c>
      <c r="E4930" s="34" t="s">
        <v>12</v>
      </c>
      <c r="F4930" s="34" t="str">
        <f>VLOOKUP(Sales[[#This Row],[Product ID]],Product[#All],2,0)</f>
        <v>Boat Headset</v>
      </c>
      <c r="G4930" s="53">
        <v>8</v>
      </c>
      <c r="H4930" s="165">
        <f>VLOOKUP(Sales[[#This Row],[Product ID]],Product[#All],7,0)</f>
        <v>1990</v>
      </c>
      <c r="I4930" s="165">
        <f>Sales[[#This Row],[Selling Rate]]*Sales[[#This Row],[Qty]]</f>
        <v>15920</v>
      </c>
      <c r="J4930" s="45">
        <v>0</v>
      </c>
      <c r="K4930" s="46">
        <f>Sales[[#This Row],[Gross Amount]]*Sales[[#This Row],[Disc %]]</f>
        <v>0</v>
      </c>
      <c r="L4930" s="43">
        <v>0.18</v>
      </c>
      <c r="M4930" s="46">
        <f>(Sales[[#This Row],[Gross Amount]]-Sales[[#This Row],[Disc. Amt.]])*Sales[[#This Row],[GST %]]</f>
        <v>2865.6</v>
      </c>
      <c r="N4930" s="161">
        <f>Sales[[#This Row],[Gross Amount]]-Sales[[#This Row],[Disc. Amt.]]+Sales[[#This Row],[GST Amount]]</f>
        <v>18785.599999999999</v>
      </c>
      <c r="O4930" s="34" t="s">
        <v>3569</v>
      </c>
      <c r="P4930" s="34" t="s">
        <v>3562</v>
      </c>
      <c r="Q4930" s="165">
        <f>IF(Sales[[#This Row],[Status]]="Cancelled",0,Sales[[#This Row],[Qty]])</f>
        <v>8</v>
      </c>
      <c r="R4930" s="166">
        <f>IF(Sales[[#This Row],[Status]]="Cancelled",0,Sales[[#This Row],[Total Amount]])</f>
        <v>18785.599999999999</v>
      </c>
      <c r="S4930" s="162">
        <f>SUM(Sales[Net Amount])</f>
        <v>406839287.73200053</v>
      </c>
    </row>
    <row r="4931" spans="1:19" ht="18.75" x14ac:dyDescent="0.25">
      <c r="A4931" s="156" t="s">
        <v>8616</v>
      </c>
      <c r="B4931" s="157">
        <v>46019</v>
      </c>
      <c r="C4931" s="158" t="s">
        <v>794</v>
      </c>
      <c r="D4931" s="159" t="str">
        <f>VLOOKUP(Sales[[#This Row],[Customer ID]],Customer[#All],2,0)</f>
        <v>Sunita Sharma</v>
      </c>
      <c r="E4931" s="158" t="s">
        <v>221</v>
      </c>
      <c r="F4931" s="158" t="str">
        <f>VLOOKUP(Sales[[#This Row],[Product ID]],Product[#All],2,0)</f>
        <v>TP-link Wi-Fi Adapter</v>
      </c>
      <c r="G4931" s="159">
        <v>6</v>
      </c>
      <c r="H4931" s="160">
        <f>VLOOKUP(Sales[[#This Row],[Product ID]],Product[#All],7,0)</f>
        <v>2920</v>
      </c>
      <c r="I4931" s="160">
        <f>Sales[[#This Row],[Selling Rate]]*Sales[[#This Row],[Qty]]</f>
        <v>17520</v>
      </c>
      <c r="J4931" s="43">
        <v>0.05</v>
      </c>
      <c r="K4931" s="44">
        <f>Sales[[#This Row],[Gross Amount]]*Sales[[#This Row],[Disc %]]</f>
        <v>876</v>
      </c>
      <c r="L4931" s="43">
        <v>0.18</v>
      </c>
      <c r="M4931" s="44">
        <f>(Sales[[#This Row],[Gross Amount]]-Sales[[#This Row],[Disc. Amt.]])*Sales[[#This Row],[GST %]]</f>
        <v>2995.92</v>
      </c>
      <c r="N4931" s="161">
        <f>Sales[[#This Row],[Gross Amount]]-Sales[[#This Row],[Disc. Amt.]]+Sales[[#This Row],[GST Amount]]</f>
        <v>19639.919999999998</v>
      </c>
      <c r="O4931" s="158" t="s">
        <v>3566</v>
      </c>
      <c r="P4931" s="158" t="s">
        <v>3562</v>
      </c>
      <c r="Q4931" s="160">
        <f>IF(Sales[[#This Row],[Status]]="Cancelled",0,Sales[[#This Row],[Qty]])</f>
        <v>6</v>
      </c>
      <c r="R4931" s="161">
        <f>IF(Sales[[#This Row],[Status]]="Cancelled",0,Sales[[#This Row],[Total Amount]])</f>
        <v>19639.919999999998</v>
      </c>
      <c r="S4931" s="162">
        <f>SUM(Sales[Net Amount])</f>
        <v>406839287.73200053</v>
      </c>
    </row>
    <row r="4932" spans="1:19" ht="18.75" x14ac:dyDescent="0.25">
      <c r="A4932" s="163" t="s">
        <v>8617</v>
      </c>
      <c r="B4932" s="164">
        <v>46019</v>
      </c>
      <c r="C4932" s="34" t="s">
        <v>945</v>
      </c>
      <c r="D4932" s="53" t="str">
        <f>VLOOKUP(Sales[[#This Row],[Customer ID]],Customer[#All],2,0)</f>
        <v>Rahul Singh</v>
      </c>
      <c r="E4932" s="34" t="s">
        <v>186</v>
      </c>
      <c r="F4932" s="34" t="str">
        <f>VLOOKUP(Sales[[#This Row],[Product ID]],Product[#All],2,0)</f>
        <v>Corsair Ram</v>
      </c>
      <c r="G4932" s="53">
        <v>5</v>
      </c>
      <c r="H4932" s="165">
        <f>VLOOKUP(Sales[[#This Row],[Product ID]],Product[#All],7,0)</f>
        <v>11620</v>
      </c>
      <c r="I4932" s="165">
        <f>Sales[[#This Row],[Selling Rate]]*Sales[[#This Row],[Qty]]</f>
        <v>58100</v>
      </c>
      <c r="J4932" s="45">
        <v>0</v>
      </c>
      <c r="K4932" s="46">
        <f>Sales[[#This Row],[Gross Amount]]*Sales[[#This Row],[Disc %]]</f>
        <v>0</v>
      </c>
      <c r="L4932" s="43">
        <v>0.18</v>
      </c>
      <c r="M4932" s="46">
        <f>(Sales[[#This Row],[Gross Amount]]-Sales[[#This Row],[Disc. Amt.]])*Sales[[#This Row],[GST %]]</f>
        <v>10458</v>
      </c>
      <c r="N4932" s="161">
        <f>Sales[[#This Row],[Gross Amount]]-Sales[[#This Row],[Disc. Amt.]]+Sales[[#This Row],[GST Amount]]</f>
        <v>68558</v>
      </c>
      <c r="O4932" s="34" t="s">
        <v>3561</v>
      </c>
      <c r="P4932" s="34" t="s">
        <v>3562</v>
      </c>
      <c r="Q4932" s="165">
        <f>IF(Sales[[#This Row],[Status]]="Cancelled",0,Sales[[#This Row],[Qty]])</f>
        <v>5</v>
      </c>
      <c r="R4932" s="166">
        <f>IF(Sales[[#This Row],[Status]]="Cancelled",0,Sales[[#This Row],[Total Amount]])</f>
        <v>68558</v>
      </c>
      <c r="S4932" s="162">
        <f>SUM(Sales[Net Amount])</f>
        <v>406839287.73200053</v>
      </c>
    </row>
    <row r="4933" spans="1:19" ht="18.75" x14ac:dyDescent="0.25">
      <c r="A4933" s="156" t="s">
        <v>8618</v>
      </c>
      <c r="B4933" s="157">
        <v>46019</v>
      </c>
      <c r="C4933" s="158" t="s">
        <v>733</v>
      </c>
      <c r="D4933" s="159" t="str">
        <f>VLOOKUP(Sales[[#This Row],[Customer ID]],Customer[#All],2,0)</f>
        <v>Vikas Kumar</v>
      </c>
      <c r="E4933" s="158" t="s">
        <v>306</v>
      </c>
      <c r="F4933" s="158" t="str">
        <f>VLOOKUP(Sales[[#This Row],[Product ID]],Product[#All],2,0)</f>
        <v>Portronics USB Cable</v>
      </c>
      <c r="G4933" s="159">
        <v>2</v>
      </c>
      <c r="H4933" s="160">
        <f>VLOOKUP(Sales[[#This Row],[Product ID]],Product[#All],7,0)</f>
        <v>200</v>
      </c>
      <c r="I4933" s="160">
        <f>Sales[[#This Row],[Selling Rate]]*Sales[[#This Row],[Qty]]</f>
        <v>400</v>
      </c>
      <c r="J4933" s="43">
        <v>0.05</v>
      </c>
      <c r="K4933" s="44">
        <f>Sales[[#This Row],[Gross Amount]]*Sales[[#This Row],[Disc %]]</f>
        <v>20</v>
      </c>
      <c r="L4933" s="43">
        <v>0.18</v>
      </c>
      <c r="M4933" s="44">
        <f>(Sales[[#This Row],[Gross Amount]]-Sales[[#This Row],[Disc. Amt.]])*Sales[[#This Row],[GST %]]</f>
        <v>68.399999999999991</v>
      </c>
      <c r="N4933" s="161">
        <f>Sales[[#This Row],[Gross Amount]]-Sales[[#This Row],[Disc. Amt.]]+Sales[[#This Row],[GST Amount]]</f>
        <v>448.4</v>
      </c>
      <c r="O4933" s="158" t="s">
        <v>3566</v>
      </c>
      <c r="P4933" s="158" t="s">
        <v>3562</v>
      </c>
      <c r="Q4933" s="160">
        <f>IF(Sales[[#This Row],[Status]]="Cancelled",0,Sales[[#This Row],[Qty]])</f>
        <v>2</v>
      </c>
      <c r="R4933" s="161">
        <f>IF(Sales[[#This Row],[Status]]="Cancelled",0,Sales[[#This Row],[Total Amount]])</f>
        <v>448.4</v>
      </c>
      <c r="S4933" s="162">
        <f>SUM(Sales[Net Amount])</f>
        <v>406839287.73200053</v>
      </c>
    </row>
    <row r="4934" spans="1:19" ht="18.75" x14ac:dyDescent="0.25">
      <c r="A4934" s="163" t="s">
        <v>8619</v>
      </c>
      <c r="B4934" s="164">
        <v>46019</v>
      </c>
      <c r="C4934" s="34" t="s">
        <v>888</v>
      </c>
      <c r="D4934" s="53" t="str">
        <f>VLOOKUP(Sales[[#This Row],[Customer ID]],Customer[#All],2,0)</f>
        <v>Rahul Patel</v>
      </c>
      <c r="E4934" s="34" t="s">
        <v>338</v>
      </c>
      <c r="F4934" s="34" t="str">
        <f>VLOOKUP(Sales[[#This Row],[Product ID]],Product[#All],2,0)</f>
        <v>Canon Printer</v>
      </c>
      <c r="G4934" s="53">
        <v>1</v>
      </c>
      <c r="H4934" s="165">
        <f>VLOOKUP(Sales[[#This Row],[Product ID]],Product[#All],7,0)</f>
        <v>13780</v>
      </c>
      <c r="I4934" s="165">
        <f>Sales[[#This Row],[Selling Rate]]*Sales[[#This Row],[Qty]]</f>
        <v>13780</v>
      </c>
      <c r="J4934" s="45">
        <v>0.02</v>
      </c>
      <c r="K4934" s="46">
        <f>Sales[[#This Row],[Gross Amount]]*Sales[[#This Row],[Disc %]]</f>
        <v>275.60000000000002</v>
      </c>
      <c r="L4934" s="43">
        <v>0.18</v>
      </c>
      <c r="M4934" s="46">
        <f>(Sales[[#This Row],[Gross Amount]]-Sales[[#This Row],[Disc. Amt.]])*Sales[[#This Row],[GST %]]</f>
        <v>2430.7919999999999</v>
      </c>
      <c r="N4934" s="161">
        <f>Sales[[#This Row],[Gross Amount]]-Sales[[#This Row],[Disc. Amt.]]+Sales[[#This Row],[GST Amount]]</f>
        <v>15935.191999999999</v>
      </c>
      <c r="O4934" s="34" t="s">
        <v>3566</v>
      </c>
      <c r="P4934" s="34" t="s">
        <v>3562</v>
      </c>
      <c r="Q4934" s="165">
        <f>IF(Sales[[#This Row],[Status]]="Cancelled",0,Sales[[#This Row],[Qty]])</f>
        <v>1</v>
      </c>
      <c r="R4934" s="166">
        <f>IF(Sales[[#This Row],[Status]]="Cancelled",0,Sales[[#This Row],[Total Amount]])</f>
        <v>15935.191999999999</v>
      </c>
      <c r="S4934" s="162">
        <f>SUM(Sales[Net Amount])</f>
        <v>406839287.73200053</v>
      </c>
    </row>
    <row r="4935" spans="1:19" ht="18.75" x14ac:dyDescent="0.25">
      <c r="A4935" s="156" t="s">
        <v>8620</v>
      </c>
      <c r="B4935" s="157">
        <v>46019</v>
      </c>
      <c r="C4935" s="158" t="s">
        <v>805</v>
      </c>
      <c r="D4935" s="159" t="str">
        <f>VLOOKUP(Sales[[#This Row],[Customer ID]],Customer[#All],2,0)</f>
        <v>Priya Kumar</v>
      </c>
      <c r="E4935" s="158" t="s">
        <v>76</v>
      </c>
      <c r="F4935" s="158" t="str">
        <f>VLOOKUP(Sales[[#This Row],[Product ID]],Product[#All],2,0)</f>
        <v>Dell Keyboard</v>
      </c>
      <c r="G4935" s="159">
        <v>3</v>
      </c>
      <c r="H4935" s="160">
        <f>VLOOKUP(Sales[[#This Row],[Product ID]],Product[#All],7,0)</f>
        <v>1740</v>
      </c>
      <c r="I4935" s="160">
        <f>Sales[[#This Row],[Selling Rate]]*Sales[[#This Row],[Qty]]</f>
        <v>5220</v>
      </c>
      <c r="J4935" s="43">
        <v>0.05</v>
      </c>
      <c r="K4935" s="44">
        <f>Sales[[#This Row],[Gross Amount]]*Sales[[#This Row],[Disc %]]</f>
        <v>261</v>
      </c>
      <c r="L4935" s="43">
        <v>0.18</v>
      </c>
      <c r="M4935" s="44">
        <f>(Sales[[#This Row],[Gross Amount]]-Sales[[#This Row],[Disc. Amt.]])*Sales[[#This Row],[GST %]]</f>
        <v>892.62</v>
      </c>
      <c r="N4935" s="161">
        <f>Sales[[#This Row],[Gross Amount]]-Sales[[#This Row],[Disc. Amt.]]+Sales[[#This Row],[GST Amount]]</f>
        <v>5851.62</v>
      </c>
      <c r="O4935" s="158" t="s">
        <v>8876</v>
      </c>
      <c r="P4935" s="158" t="s">
        <v>3562</v>
      </c>
      <c r="Q4935" s="160">
        <f>IF(Sales[[#This Row],[Status]]="Cancelled",0,Sales[[#This Row],[Qty]])</f>
        <v>3</v>
      </c>
      <c r="R4935" s="161">
        <f>IF(Sales[[#This Row],[Status]]="Cancelled",0,Sales[[#This Row],[Total Amount]])</f>
        <v>5851.62</v>
      </c>
      <c r="S4935" s="162">
        <f>SUM(Sales[Net Amount])</f>
        <v>406839287.73200053</v>
      </c>
    </row>
    <row r="4936" spans="1:19" ht="18.75" x14ac:dyDescent="0.25">
      <c r="A4936" s="163" t="s">
        <v>8621</v>
      </c>
      <c r="B4936" s="164">
        <v>46019</v>
      </c>
      <c r="C4936" s="34" t="s">
        <v>673</v>
      </c>
      <c r="D4936" s="53" t="str">
        <f>VLOOKUP(Sales[[#This Row],[Customer ID]],Customer[#All],2,0)</f>
        <v>Sunita Gupta</v>
      </c>
      <c r="E4936" s="34" t="s">
        <v>172</v>
      </c>
      <c r="F4936" s="34" t="str">
        <f>VLOOKUP(Sales[[#This Row],[Product ID]],Product[#All],2,0)</f>
        <v>Jbl Headset</v>
      </c>
      <c r="G4936" s="53">
        <v>6</v>
      </c>
      <c r="H4936" s="165">
        <f>VLOOKUP(Sales[[#This Row],[Product ID]],Product[#All],7,0)</f>
        <v>7300</v>
      </c>
      <c r="I4936" s="165">
        <f>Sales[[#This Row],[Selling Rate]]*Sales[[#This Row],[Qty]]</f>
        <v>43800</v>
      </c>
      <c r="J4936" s="45">
        <v>0.02</v>
      </c>
      <c r="K4936" s="46">
        <f>Sales[[#This Row],[Gross Amount]]*Sales[[#This Row],[Disc %]]</f>
        <v>876</v>
      </c>
      <c r="L4936" s="43">
        <v>0.18</v>
      </c>
      <c r="M4936" s="46">
        <f>(Sales[[#This Row],[Gross Amount]]-Sales[[#This Row],[Disc. Amt.]])*Sales[[#This Row],[GST %]]</f>
        <v>7726.32</v>
      </c>
      <c r="N4936" s="161">
        <f>Sales[[#This Row],[Gross Amount]]-Sales[[#This Row],[Disc. Amt.]]+Sales[[#This Row],[GST Amount]]</f>
        <v>50650.32</v>
      </c>
      <c r="O4936" s="34" t="s">
        <v>3561</v>
      </c>
      <c r="P4936" s="34" t="s">
        <v>3562</v>
      </c>
      <c r="Q4936" s="165">
        <f>IF(Sales[[#This Row],[Status]]="Cancelled",0,Sales[[#This Row],[Qty]])</f>
        <v>6</v>
      </c>
      <c r="R4936" s="166">
        <f>IF(Sales[[#This Row],[Status]]="Cancelled",0,Sales[[#This Row],[Total Amount]])</f>
        <v>50650.32</v>
      </c>
      <c r="S4936" s="162">
        <f>SUM(Sales[Net Amount])</f>
        <v>406839287.73200053</v>
      </c>
    </row>
    <row r="4937" spans="1:19" ht="18.75" x14ac:dyDescent="0.25">
      <c r="A4937" s="156" t="s">
        <v>8622</v>
      </c>
      <c r="B4937" s="157">
        <v>46019</v>
      </c>
      <c r="C4937" s="158" t="s">
        <v>773</v>
      </c>
      <c r="D4937" s="159" t="str">
        <f>VLOOKUP(Sales[[#This Row],[Customer ID]],Customer[#All],2,0)</f>
        <v>Rahul Kumar</v>
      </c>
      <c r="E4937" s="158" t="s">
        <v>220</v>
      </c>
      <c r="F4937" s="158" t="str">
        <f>VLOOKUP(Sales[[#This Row],[Product ID]],Product[#All],2,0)</f>
        <v>HP Desktop</v>
      </c>
      <c r="G4937" s="159">
        <v>2</v>
      </c>
      <c r="H4937" s="160">
        <f>VLOOKUP(Sales[[#This Row],[Product ID]],Product[#All],7,0)</f>
        <v>40570</v>
      </c>
      <c r="I4937" s="160">
        <f>Sales[[#This Row],[Selling Rate]]*Sales[[#This Row],[Qty]]</f>
        <v>81140</v>
      </c>
      <c r="J4937" s="43">
        <v>0.15</v>
      </c>
      <c r="K4937" s="44">
        <f>Sales[[#This Row],[Gross Amount]]*Sales[[#This Row],[Disc %]]</f>
        <v>12171</v>
      </c>
      <c r="L4937" s="43">
        <v>0.18</v>
      </c>
      <c r="M4937" s="44">
        <f>(Sales[[#This Row],[Gross Amount]]-Sales[[#This Row],[Disc. Amt.]])*Sales[[#This Row],[GST %]]</f>
        <v>12414.42</v>
      </c>
      <c r="N4937" s="161">
        <f>Sales[[#This Row],[Gross Amount]]-Sales[[#This Row],[Disc. Amt.]]+Sales[[#This Row],[GST Amount]]</f>
        <v>81383.42</v>
      </c>
      <c r="O4937" s="158" t="s">
        <v>3566</v>
      </c>
      <c r="P4937" s="158" t="s">
        <v>3562</v>
      </c>
      <c r="Q4937" s="160">
        <f>IF(Sales[[#This Row],[Status]]="Cancelled",0,Sales[[#This Row],[Qty]])</f>
        <v>2</v>
      </c>
      <c r="R4937" s="161">
        <f>IF(Sales[[#This Row],[Status]]="Cancelled",0,Sales[[#This Row],[Total Amount]])</f>
        <v>81383.42</v>
      </c>
      <c r="S4937" s="162">
        <f>SUM(Sales[Net Amount])</f>
        <v>406839287.73200053</v>
      </c>
    </row>
    <row r="4938" spans="1:19" ht="18.75" x14ac:dyDescent="0.25">
      <c r="A4938" s="163" t="s">
        <v>8623</v>
      </c>
      <c r="B4938" s="164">
        <v>46019</v>
      </c>
      <c r="C4938" s="34" t="s">
        <v>846</v>
      </c>
      <c r="D4938" s="53" t="str">
        <f>VLOOKUP(Sales[[#This Row],[Customer ID]],Customer[#All],2,0)</f>
        <v>Ankit Patel</v>
      </c>
      <c r="E4938" s="34" t="s">
        <v>320</v>
      </c>
      <c r="F4938" s="34" t="str">
        <f>VLOOKUP(Sales[[#This Row],[Product ID]],Product[#All],2,0)</f>
        <v>Seagate HDD</v>
      </c>
      <c r="G4938" s="53">
        <v>3</v>
      </c>
      <c r="H4938" s="165">
        <f>VLOOKUP(Sales[[#This Row],[Product ID]],Product[#All],7,0)</f>
        <v>12040</v>
      </c>
      <c r="I4938" s="165">
        <f>Sales[[#This Row],[Selling Rate]]*Sales[[#This Row],[Qty]]</f>
        <v>36120</v>
      </c>
      <c r="J4938" s="45">
        <v>0.05</v>
      </c>
      <c r="K4938" s="46">
        <f>Sales[[#This Row],[Gross Amount]]*Sales[[#This Row],[Disc %]]</f>
        <v>1806</v>
      </c>
      <c r="L4938" s="43">
        <v>0.18</v>
      </c>
      <c r="M4938" s="46">
        <f>(Sales[[#This Row],[Gross Amount]]-Sales[[#This Row],[Disc. Amt.]])*Sales[[#This Row],[GST %]]</f>
        <v>6176.5199999999995</v>
      </c>
      <c r="N4938" s="161">
        <f>Sales[[#This Row],[Gross Amount]]-Sales[[#This Row],[Disc. Amt.]]+Sales[[#This Row],[GST Amount]]</f>
        <v>40490.519999999997</v>
      </c>
      <c r="O4938" s="34" t="s">
        <v>3566</v>
      </c>
      <c r="P4938" s="34" t="s">
        <v>3562</v>
      </c>
      <c r="Q4938" s="165">
        <f>IF(Sales[[#This Row],[Status]]="Cancelled",0,Sales[[#This Row],[Qty]])</f>
        <v>3</v>
      </c>
      <c r="R4938" s="166">
        <f>IF(Sales[[#This Row],[Status]]="Cancelled",0,Sales[[#This Row],[Total Amount]])</f>
        <v>40490.519999999997</v>
      </c>
      <c r="S4938" s="162">
        <f>SUM(Sales[Net Amount])</f>
        <v>406839287.73200053</v>
      </c>
    </row>
    <row r="4939" spans="1:19" ht="18.75" x14ac:dyDescent="0.25">
      <c r="A4939" s="156" t="s">
        <v>8624</v>
      </c>
      <c r="B4939" s="157">
        <v>46019</v>
      </c>
      <c r="C4939" s="158" t="s">
        <v>677</v>
      </c>
      <c r="D4939" s="159" t="str">
        <f>VLOOKUP(Sales[[#This Row],[Customer ID]],Customer[#All],2,0)</f>
        <v>Sahil Verma</v>
      </c>
      <c r="E4939" s="158" t="s">
        <v>23</v>
      </c>
      <c r="F4939" s="158" t="str">
        <f>VLOOKUP(Sales[[#This Row],[Product ID]],Product[#All],2,0)</f>
        <v>Kingston Ram</v>
      </c>
      <c r="G4939" s="159">
        <v>7</v>
      </c>
      <c r="H4939" s="160">
        <f>VLOOKUP(Sales[[#This Row],[Product ID]],Product[#All],7,0)</f>
        <v>6040</v>
      </c>
      <c r="I4939" s="160">
        <f>Sales[[#This Row],[Selling Rate]]*Sales[[#This Row],[Qty]]</f>
        <v>42280</v>
      </c>
      <c r="J4939" s="43">
        <v>0.15</v>
      </c>
      <c r="K4939" s="44">
        <f>Sales[[#This Row],[Gross Amount]]*Sales[[#This Row],[Disc %]]</f>
        <v>6342</v>
      </c>
      <c r="L4939" s="43">
        <v>0.18</v>
      </c>
      <c r="M4939" s="44">
        <f>(Sales[[#This Row],[Gross Amount]]-Sales[[#This Row],[Disc. Amt.]])*Sales[[#This Row],[GST %]]</f>
        <v>6468.84</v>
      </c>
      <c r="N4939" s="161">
        <f>Sales[[#This Row],[Gross Amount]]-Sales[[#This Row],[Disc. Amt.]]+Sales[[#This Row],[GST Amount]]</f>
        <v>42406.84</v>
      </c>
      <c r="O4939" s="158" t="s">
        <v>3566</v>
      </c>
      <c r="P4939" s="158" t="s">
        <v>3562</v>
      </c>
      <c r="Q4939" s="160">
        <f>IF(Sales[[#This Row],[Status]]="Cancelled",0,Sales[[#This Row],[Qty]])</f>
        <v>7</v>
      </c>
      <c r="R4939" s="161">
        <f>IF(Sales[[#This Row],[Status]]="Cancelled",0,Sales[[#This Row],[Total Amount]])</f>
        <v>42406.84</v>
      </c>
      <c r="S4939" s="162">
        <f>SUM(Sales[Net Amount])</f>
        <v>406839287.73200053</v>
      </c>
    </row>
    <row r="4940" spans="1:19" ht="18.75" x14ac:dyDescent="0.25">
      <c r="A4940" s="163" t="s">
        <v>8625</v>
      </c>
      <c r="B4940" s="164">
        <v>46019</v>
      </c>
      <c r="C4940" s="34" t="s">
        <v>779</v>
      </c>
      <c r="D4940" s="53" t="str">
        <f>VLOOKUP(Sales[[#This Row],[Customer ID]],Customer[#All],2,0)</f>
        <v>Rakesh Verma</v>
      </c>
      <c r="E4940" s="34" t="s">
        <v>179</v>
      </c>
      <c r="F4940" s="34" t="str">
        <f>VLOOKUP(Sales[[#This Row],[Product ID]],Product[#All],2,0)</f>
        <v>TP-link Wi-Fi Adapter</v>
      </c>
      <c r="G4940" s="53">
        <v>2</v>
      </c>
      <c r="H4940" s="165">
        <f>VLOOKUP(Sales[[#This Row],[Product ID]],Product[#All],7,0)</f>
        <v>1490</v>
      </c>
      <c r="I4940" s="165">
        <f>Sales[[#This Row],[Selling Rate]]*Sales[[#This Row],[Qty]]</f>
        <v>2980</v>
      </c>
      <c r="J4940" s="45">
        <v>0.05</v>
      </c>
      <c r="K4940" s="46">
        <f>Sales[[#This Row],[Gross Amount]]*Sales[[#This Row],[Disc %]]</f>
        <v>149</v>
      </c>
      <c r="L4940" s="43">
        <v>0.18</v>
      </c>
      <c r="M4940" s="46">
        <f>(Sales[[#This Row],[Gross Amount]]-Sales[[#This Row],[Disc. Amt.]])*Sales[[#This Row],[GST %]]</f>
        <v>509.58</v>
      </c>
      <c r="N4940" s="161">
        <f>Sales[[#This Row],[Gross Amount]]-Sales[[#This Row],[Disc. Amt.]]+Sales[[#This Row],[GST Amount]]</f>
        <v>3340.58</v>
      </c>
      <c r="O4940" s="34" t="s">
        <v>3561</v>
      </c>
      <c r="P4940" s="34" t="s">
        <v>3562</v>
      </c>
      <c r="Q4940" s="165">
        <f>IF(Sales[[#This Row],[Status]]="Cancelled",0,Sales[[#This Row],[Qty]])</f>
        <v>2</v>
      </c>
      <c r="R4940" s="166">
        <f>IF(Sales[[#This Row],[Status]]="Cancelled",0,Sales[[#This Row],[Total Amount]])</f>
        <v>3340.58</v>
      </c>
      <c r="S4940" s="162">
        <f>SUM(Sales[Net Amount])</f>
        <v>406839287.73200053</v>
      </c>
    </row>
    <row r="4941" spans="1:19" ht="18.75" x14ac:dyDescent="0.25">
      <c r="A4941" s="156" t="s">
        <v>8626</v>
      </c>
      <c r="B4941" s="157">
        <v>46019</v>
      </c>
      <c r="C4941" s="158" t="s">
        <v>840</v>
      </c>
      <c r="D4941" s="159" t="str">
        <f>VLOOKUP(Sales[[#This Row],[Customer ID]],Customer[#All],2,0)</f>
        <v>Rakesh Verma</v>
      </c>
      <c r="E4941" s="158" t="s">
        <v>525</v>
      </c>
      <c r="F4941" s="158" t="str">
        <f>VLOOKUP(Sales[[#This Row],[Product ID]],Product[#All],2,0)</f>
        <v>TP-link Wi-Fi Adapter</v>
      </c>
      <c r="G4941" s="159">
        <v>6</v>
      </c>
      <c r="H4941" s="160">
        <f>VLOOKUP(Sales[[#This Row],[Product ID]],Product[#All],7,0)</f>
        <v>1910</v>
      </c>
      <c r="I4941" s="160">
        <f>Sales[[#This Row],[Selling Rate]]*Sales[[#This Row],[Qty]]</f>
        <v>11460</v>
      </c>
      <c r="J4941" s="43">
        <v>0.15</v>
      </c>
      <c r="K4941" s="44">
        <f>Sales[[#This Row],[Gross Amount]]*Sales[[#This Row],[Disc %]]</f>
        <v>1719</v>
      </c>
      <c r="L4941" s="43">
        <v>0.18</v>
      </c>
      <c r="M4941" s="44">
        <f>(Sales[[#This Row],[Gross Amount]]-Sales[[#This Row],[Disc. Amt.]])*Sales[[#This Row],[GST %]]</f>
        <v>1753.3799999999999</v>
      </c>
      <c r="N4941" s="161">
        <f>Sales[[#This Row],[Gross Amount]]-Sales[[#This Row],[Disc. Amt.]]+Sales[[#This Row],[GST Amount]]</f>
        <v>11494.38</v>
      </c>
      <c r="O4941" s="158" t="s">
        <v>3569</v>
      </c>
      <c r="P4941" s="158" t="s">
        <v>3562</v>
      </c>
      <c r="Q4941" s="160">
        <f>IF(Sales[[#This Row],[Status]]="Cancelled",0,Sales[[#This Row],[Qty]])</f>
        <v>6</v>
      </c>
      <c r="R4941" s="161">
        <f>IF(Sales[[#This Row],[Status]]="Cancelled",0,Sales[[#This Row],[Total Amount]])</f>
        <v>11494.38</v>
      </c>
      <c r="S4941" s="162">
        <f>SUM(Sales[Net Amount])</f>
        <v>406839287.73200053</v>
      </c>
    </row>
    <row r="4942" spans="1:19" ht="18.75" x14ac:dyDescent="0.25">
      <c r="A4942" s="163" t="s">
        <v>8627</v>
      </c>
      <c r="B4942" s="164">
        <v>46019</v>
      </c>
      <c r="C4942" s="34" t="s">
        <v>813</v>
      </c>
      <c r="D4942" s="53" t="str">
        <f>VLOOKUP(Sales[[#This Row],[Customer ID]],Customer[#All],2,0)</f>
        <v>Neha Verma</v>
      </c>
      <c r="E4942" s="34" t="s">
        <v>290</v>
      </c>
      <c r="F4942" s="34" t="str">
        <f>VLOOKUP(Sales[[#This Row],[Product ID]],Product[#All],2,0)</f>
        <v>Crucial Ssd</v>
      </c>
      <c r="G4942" s="53">
        <v>7</v>
      </c>
      <c r="H4942" s="165">
        <f>VLOOKUP(Sales[[#This Row],[Product ID]],Product[#All],7,0)</f>
        <v>7650</v>
      </c>
      <c r="I4942" s="165">
        <f>Sales[[#This Row],[Selling Rate]]*Sales[[#This Row],[Qty]]</f>
        <v>53550</v>
      </c>
      <c r="J4942" s="45">
        <v>0.05</v>
      </c>
      <c r="K4942" s="46">
        <f>Sales[[#This Row],[Gross Amount]]*Sales[[#This Row],[Disc %]]</f>
        <v>2677.5</v>
      </c>
      <c r="L4942" s="43">
        <v>0.18</v>
      </c>
      <c r="M4942" s="46">
        <f>(Sales[[#This Row],[Gross Amount]]-Sales[[#This Row],[Disc. Amt.]])*Sales[[#This Row],[GST %]]</f>
        <v>9157.0499999999993</v>
      </c>
      <c r="N4942" s="161">
        <f>Sales[[#This Row],[Gross Amount]]-Sales[[#This Row],[Disc. Amt.]]+Sales[[#This Row],[GST Amount]]</f>
        <v>60029.55</v>
      </c>
      <c r="O4942" s="34" t="s">
        <v>3561</v>
      </c>
      <c r="P4942" s="34" t="s">
        <v>3562</v>
      </c>
      <c r="Q4942" s="165">
        <f>IF(Sales[[#This Row],[Status]]="Cancelled",0,Sales[[#This Row],[Qty]])</f>
        <v>7</v>
      </c>
      <c r="R4942" s="166">
        <f>IF(Sales[[#This Row],[Status]]="Cancelled",0,Sales[[#This Row],[Total Amount]])</f>
        <v>60029.55</v>
      </c>
      <c r="S4942" s="162">
        <f>SUM(Sales[Net Amount])</f>
        <v>406839287.73200053</v>
      </c>
    </row>
    <row r="4943" spans="1:19" ht="18.75" x14ac:dyDescent="0.25">
      <c r="A4943" s="156" t="s">
        <v>8628</v>
      </c>
      <c r="B4943" s="157">
        <v>46020</v>
      </c>
      <c r="C4943" s="158" t="s">
        <v>784</v>
      </c>
      <c r="D4943" s="159" t="str">
        <f>VLOOKUP(Sales[[#This Row],[Customer ID]],Customer[#All],2,0)</f>
        <v>Amit Kumar</v>
      </c>
      <c r="E4943" s="158" t="s">
        <v>314</v>
      </c>
      <c r="F4943" s="158" t="str">
        <f>VLOOKUP(Sales[[#This Row],[Product ID]],Product[#All],2,0)</f>
        <v>Dell Desktop</v>
      </c>
      <c r="G4943" s="159">
        <v>1</v>
      </c>
      <c r="H4943" s="160">
        <f>VLOOKUP(Sales[[#This Row],[Product ID]],Product[#All],7,0)</f>
        <v>59580</v>
      </c>
      <c r="I4943" s="160">
        <f>Sales[[#This Row],[Selling Rate]]*Sales[[#This Row],[Qty]]</f>
        <v>59580</v>
      </c>
      <c r="J4943" s="43">
        <v>0.05</v>
      </c>
      <c r="K4943" s="44">
        <f>Sales[[#This Row],[Gross Amount]]*Sales[[#This Row],[Disc %]]</f>
        <v>2979</v>
      </c>
      <c r="L4943" s="43">
        <v>0.18</v>
      </c>
      <c r="M4943" s="44">
        <f>(Sales[[#This Row],[Gross Amount]]-Sales[[#This Row],[Disc. Amt.]])*Sales[[#This Row],[GST %]]</f>
        <v>10188.18</v>
      </c>
      <c r="N4943" s="161">
        <f>Sales[[#This Row],[Gross Amount]]-Sales[[#This Row],[Disc. Amt.]]+Sales[[#This Row],[GST Amount]]</f>
        <v>66789.179999999993</v>
      </c>
      <c r="O4943" s="158" t="s">
        <v>3569</v>
      </c>
      <c r="P4943" s="158" t="s">
        <v>3562</v>
      </c>
      <c r="Q4943" s="160">
        <f>IF(Sales[[#This Row],[Status]]="Cancelled",0,Sales[[#This Row],[Qty]])</f>
        <v>1</v>
      </c>
      <c r="R4943" s="161">
        <f>IF(Sales[[#This Row],[Status]]="Cancelled",0,Sales[[#This Row],[Total Amount]])</f>
        <v>66789.179999999993</v>
      </c>
      <c r="S4943" s="162">
        <f>SUM(Sales[Net Amount])</f>
        <v>406839287.73200053</v>
      </c>
    </row>
    <row r="4944" spans="1:19" ht="18.75" x14ac:dyDescent="0.25">
      <c r="A4944" s="163" t="s">
        <v>8629</v>
      </c>
      <c r="B4944" s="164">
        <v>46020</v>
      </c>
      <c r="C4944" s="34" t="s">
        <v>679</v>
      </c>
      <c r="D4944" s="53" t="str">
        <f>VLOOKUP(Sales[[#This Row],[Customer ID]],Customer[#All],2,0)</f>
        <v>Rahul Singh</v>
      </c>
      <c r="E4944" s="34" t="s">
        <v>469</v>
      </c>
      <c r="F4944" s="34" t="str">
        <f>VLOOKUP(Sales[[#This Row],[Product ID]],Product[#All],2,0)</f>
        <v>WD HDD</v>
      </c>
      <c r="G4944" s="53">
        <v>3</v>
      </c>
      <c r="H4944" s="165">
        <f>VLOOKUP(Sales[[#This Row],[Product ID]],Product[#All],7,0)</f>
        <v>6930</v>
      </c>
      <c r="I4944" s="165">
        <f>Sales[[#This Row],[Selling Rate]]*Sales[[#This Row],[Qty]]</f>
        <v>20790</v>
      </c>
      <c r="J4944" s="45">
        <v>0.05</v>
      </c>
      <c r="K4944" s="46">
        <f>Sales[[#This Row],[Gross Amount]]*Sales[[#This Row],[Disc %]]</f>
        <v>1039.5</v>
      </c>
      <c r="L4944" s="43">
        <v>0.18</v>
      </c>
      <c r="M4944" s="46">
        <f>(Sales[[#This Row],[Gross Amount]]-Sales[[#This Row],[Disc. Amt.]])*Sales[[#This Row],[GST %]]</f>
        <v>3555.0899999999997</v>
      </c>
      <c r="N4944" s="161">
        <f>Sales[[#This Row],[Gross Amount]]-Sales[[#This Row],[Disc. Amt.]]+Sales[[#This Row],[GST Amount]]</f>
        <v>23305.59</v>
      </c>
      <c r="O4944" s="34" t="s">
        <v>3566</v>
      </c>
      <c r="P4944" s="34" t="s">
        <v>3562</v>
      </c>
      <c r="Q4944" s="165">
        <f>IF(Sales[[#This Row],[Status]]="Cancelled",0,Sales[[#This Row],[Qty]])</f>
        <v>3</v>
      </c>
      <c r="R4944" s="166">
        <f>IF(Sales[[#This Row],[Status]]="Cancelled",0,Sales[[#This Row],[Total Amount]])</f>
        <v>23305.59</v>
      </c>
      <c r="S4944" s="162">
        <f>SUM(Sales[Net Amount])</f>
        <v>406839287.73200053</v>
      </c>
    </row>
    <row r="4945" spans="1:19" ht="18.75" x14ac:dyDescent="0.25">
      <c r="A4945" s="156" t="s">
        <v>8630</v>
      </c>
      <c r="B4945" s="157">
        <v>46020</v>
      </c>
      <c r="C4945" s="158" t="s">
        <v>729</v>
      </c>
      <c r="D4945" s="159" t="str">
        <f>VLOOKUP(Sales[[#This Row],[Customer ID]],Customer[#All],2,0)</f>
        <v>Ankit Kumar</v>
      </c>
      <c r="E4945" s="158" t="s">
        <v>77</v>
      </c>
      <c r="F4945" s="158" t="str">
        <f>VLOOKUP(Sales[[#This Row],[Product ID]],Product[#All],2,0)</f>
        <v>HP Power Adapter</v>
      </c>
      <c r="G4945" s="159">
        <v>6</v>
      </c>
      <c r="H4945" s="160">
        <f>VLOOKUP(Sales[[#This Row],[Product ID]],Product[#All],7,0)</f>
        <v>2770</v>
      </c>
      <c r="I4945" s="160">
        <f>Sales[[#This Row],[Selling Rate]]*Sales[[#This Row],[Qty]]</f>
        <v>16620</v>
      </c>
      <c r="J4945" s="43">
        <v>0.02</v>
      </c>
      <c r="K4945" s="44">
        <f>Sales[[#This Row],[Gross Amount]]*Sales[[#This Row],[Disc %]]</f>
        <v>332.40000000000003</v>
      </c>
      <c r="L4945" s="43">
        <v>0.18</v>
      </c>
      <c r="M4945" s="44">
        <f>(Sales[[#This Row],[Gross Amount]]-Sales[[#This Row],[Disc. Amt.]])*Sales[[#This Row],[GST %]]</f>
        <v>2931.768</v>
      </c>
      <c r="N4945" s="161">
        <f>Sales[[#This Row],[Gross Amount]]-Sales[[#This Row],[Disc. Amt.]]+Sales[[#This Row],[GST Amount]]</f>
        <v>19219.368000000002</v>
      </c>
      <c r="O4945" s="158" t="s">
        <v>3566</v>
      </c>
      <c r="P4945" s="158" t="s">
        <v>3562</v>
      </c>
      <c r="Q4945" s="160">
        <f>IF(Sales[[#This Row],[Status]]="Cancelled",0,Sales[[#This Row],[Qty]])</f>
        <v>6</v>
      </c>
      <c r="R4945" s="161">
        <f>IF(Sales[[#This Row],[Status]]="Cancelled",0,Sales[[#This Row],[Total Amount]])</f>
        <v>19219.368000000002</v>
      </c>
      <c r="S4945" s="162">
        <f>SUM(Sales[Net Amount])</f>
        <v>406839287.73200053</v>
      </c>
    </row>
    <row r="4946" spans="1:19" ht="18.75" x14ac:dyDescent="0.25">
      <c r="A4946" s="163" t="s">
        <v>8631</v>
      </c>
      <c r="B4946" s="164">
        <v>46020</v>
      </c>
      <c r="C4946" s="34" t="s">
        <v>766</v>
      </c>
      <c r="D4946" s="53" t="str">
        <f>VLOOKUP(Sales[[#This Row],[Customer ID]],Customer[#All],2,0)</f>
        <v>Neha Gupta</v>
      </c>
      <c r="E4946" s="34" t="s">
        <v>472</v>
      </c>
      <c r="F4946" s="34" t="str">
        <f>VLOOKUP(Sales[[#This Row],[Product ID]],Product[#All],2,0)</f>
        <v>Seagate HDD</v>
      </c>
      <c r="G4946" s="53">
        <v>8</v>
      </c>
      <c r="H4946" s="165">
        <f>VLOOKUP(Sales[[#This Row],[Product ID]],Product[#All],7,0)</f>
        <v>6840</v>
      </c>
      <c r="I4946" s="165">
        <f>Sales[[#This Row],[Selling Rate]]*Sales[[#This Row],[Qty]]</f>
        <v>54720</v>
      </c>
      <c r="J4946" s="45">
        <v>0.05</v>
      </c>
      <c r="K4946" s="46">
        <f>Sales[[#This Row],[Gross Amount]]*Sales[[#This Row],[Disc %]]</f>
        <v>2736</v>
      </c>
      <c r="L4946" s="43">
        <v>0.18</v>
      </c>
      <c r="M4946" s="46">
        <f>(Sales[[#This Row],[Gross Amount]]-Sales[[#This Row],[Disc. Amt.]])*Sales[[#This Row],[GST %]]</f>
        <v>9357.119999999999</v>
      </c>
      <c r="N4946" s="161">
        <f>Sales[[#This Row],[Gross Amount]]-Sales[[#This Row],[Disc. Amt.]]+Sales[[#This Row],[GST Amount]]</f>
        <v>61341.119999999995</v>
      </c>
      <c r="O4946" s="34" t="s">
        <v>3561</v>
      </c>
      <c r="P4946" s="34" t="s">
        <v>3562</v>
      </c>
      <c r="Q4946" s="165">
        <f>IF(Sales[[#This Row],[Status]]="Cancelled",0,Sales[[#This Row],[Qty]])</f>
        <v>8</v>
      </c>
      <c r="R4946" s="166">
        <f>IF(Sales[[#This Row],[Status]]="Cancelled",0,Sales[[#This Row],[Total Amount]])</f>
        <v>61341.119999999995</v>
      </c>
      <c r="S4946" s="162">
        <f>SUM(Sales[Net Amount])</f>
        <v>406839287.73200053</v>
      </c>
    </row>
    <row r="4947" spans="1:19" ht="18.75" x14ac:dyDescent="0.25">
      <c r="A4947" s="156" t="s">
        <v>8632</v>
      </c>
      <c r="B4947" s="157">
        <v>46020</v>
      </c>
      <c r="C4947" s="158" t="s">
        <v>733</v>
      </c>
      <c r="D4947" s="159" t="str">
        <f>VLOOKUP(Sales[[#This Row],[Customer ID]],Customer[#All],2,0)</f>
        <v>Vikas Kumar</v>
      </c>
      <c r="E4947" s="158" t="s">
        <v>222</v>
      </c>
      <c r="F4947" s="158" t="str">
        <f>VLOOKUP(Sales[[#This Row],[Product ID]],Product[#All],2,0)</f>
        <v>Jbl Headset</v>
      </c>
      <c r="G4947" s="159">
        <v>2</v>
      </c>
      <c r="H4947" s="160">
        <f>VLOOKUP(Sales[[#This Row],[Product ID]],Product[#All],7,0)</f>
        <v>8550</v>
      </c>
      <c r="I4947" s="160">
        <f>Sales[[#This Row],[Selling Rate]]*Sales[[#This Row],[Qty]]</f>
        <v>17100</v>
      </c>
      <c r="J4947" s="43">
        <v>0.05</v>
      </c>
      <c r="K4947" s="44">
        <f>Sales[[#This Row],[Gross Amount]]*Sales[[#This Row],[Disc %]]</f>
        <v>855</v>
      </c>
      <c r="L4947" s="43">
        <v>0.18</v>
      </c>
      <c r="M4947" s="44">
        <f>(Sales[[#This Row],[Gross Amount]]-Sales[[#This Row],[Disc. Amt.]])*Sales[[#This Row],[GST %]]</f>
        <v>2924.1</v>
      </c>
      <c r="N4947" s="161">
        <f>Sales[[#This Row],[Gross Amount]]-Sales[[#This Row],[Disc. Amt.]]+Sales[[#This Row],[GST Amount]]</f>
        <v>19169.099999999999</v>
      </c>
      <c r="O4947" s="158" t="s">
        <v>3569</v>
      </c>
      <c r="P4947" s="158" t="s">
        <v>3562</v>
      </c>
      <c r="Q4947" s="160">
        <f>IF(Sales[[#This Row],[Status]]="Cancelled",0,Sales[[#This Row],[Qty]])</f>
        <v>2</v>
      </c>
      <c r="R4947" s="161">
        <f>IF(Sales[[#This Row],[Status]]="Cancelled",0,Sales[[#This Row],[Total Amount]])</f>
        <v>19169.099999999999</v>
      </c>
      <c r="S4947" s="162">
        <f>SUM(Sales[Net Amount])</f>
        <v>406839287.73200053</v>
      </c>
    </row>
    <row r="4948" spans="1:19" ht="18.75" x14ac:dyDescent="0.25">
      <c r="A4948" s="163" t="s">
        <v>8633</v>
      </c>
      <c r="B4948" s="164">
        <v>46020</v>
      </c>
      <c r="C4948" s="34" t="s">
        <v>949</v>
      </c>
      <c r="D4948" s="53" t="str">
        <f>VLOOKUP(Sales[[#This Row],[Customer ID]],Customer[#All],2,0)</f>
        <v>Amit Patel</v>
      </c>
      <c r="E4948" s="34" t="s">
        <v>133</v>
      </c>
      <c r="F4948" s="34" t="str">
        <f>VLOOKUP(Sales[[#This Row],[Product ID]],Product[#All],2,0)</f>
        <v>HP Laptop</v>
      </c>
      <c r="G4948" s="53">
        <v>8</v>
      </c>
      <c r="H4948" s="165">
        <f>VLOOKUP(Sales[[#This Row],[Product ID]],Product[#All],7,0)</f>
        <v>44790</v>
      </c>
      <c r="I4948" s="165">
        <f>Sales[[#This Row],[Selling Rate]]*Sales[[#This Row],[Qty]]</f>
        <v>358320</v>
      </c>
      <c r="J4948" s="45">
        <v>0.05</v>
      </c>
      <c r="K4948" s="46">
        <f>Sales[[#This Row],[Gross Amount]]*Sales[[#This Row],[Disc %]]</f>
        <v>17916</v>
      </c>
      <c r="L4948" s="43">
        <v>0.18</v>
      </c>
      <c r="M4948" s="46">
        <f>(Sales[[#This Row],[Gross Amount]]-Sales[[#This Row],[Disc. Amt.]])*Sales[[#This Row],[GST %]]</f>
        <v>61272.72</v>
      </c>
      <c r="N4948" s="161">
        <f>Sales[[#This Row],[Gross Amount]]-Sales[[#This Row],[Disc. Amt.]]+Sales[[#This Row],[GST Amount]]</f>
        <v>401676.72</v>
      </c>
      <c r="O4948" s="34" t="s">
        <v>3566</v>
      </c>
      <c r="P4948" s="34" t="s">
        <v>3562</v>
      </c>
      <c r="Q4948" s="165">
        <f>IF(Sales[[#This Row],[Status]]="Cancelled",0,Sales[[#This Row],[Qty]])</f>
        <v>8</v>
      </c>
      <c r="R4948" s="166">
        <f>IF(Sales[[#This Row],[Status]]="Cancelled",0,Sales[[#This Row],[Total Amount]])</f>
        <v>401676.72</v>
      </c>
      <c r="S4948" s="162">
        <f>SUM(Sales[Net Amount])</f>
        <v>406839287.73200053</v>
      </c>
    </row>
    <row r="4949" spans="1:19" ht="18.75" x14ac:dyDescent="0.25">
      <c r="A4949" s="156" t="s">
        <v>8634</v>
      </c>
      <c r="B4949" s="157">
        <v>46020</v>
      </c>
      <c r="C4949" s="158" t="s">
        <v>867</v>
      </c>
      <c r="D4949" s="159" t="str">
        <f>VLOOKUP(Sales[[#This Row],[Customer ID]],Customer[#All],2,0)</f>
        <v>Priya Gupta</v>
      </c>
      <c r="E4949" s="158" t="s">
        <v>418</v>
      </c>
      <c r="F4949" s="158" t="str">
        <f>VLOOKUP(Sales[[#This Row],[Product ID]],Product[#All],2,0)</f>
        <v>TP-link Router</v>
      </c>
      <c r="G4949" s="159">
        <v>1</v>
      </c>
      <c r="H4949" s="160">
        <f>VLOOKUP(Sales[[#This Row],[Product ID]],Product[#All],7,0)</f>
        <v>6750</v>
      </c>
      <c r="I4949" s="160">
        <f>Sales[[#This Row],[Selling Rate]]*Sales[[#This Row],[Qty]]</f>
        <v>6750</v>
      </c>
      <c r="J4949" s="43">
        <v>0.05</v>
      </c>
      <c r="K4949" s="44">
        <f>Sales[[#This Row],[Gross Amount]]*Sales[[#This Row],[Disc %]]</f>
        <v>337.5</v>
      </c>
      <c r="L4949" s="43">
        <v>0.18</v>
      </c>
      <c r="M4949" s="44">
        <f>(Sales[[#This Row],[Gross Amount]]-Sales[[#This Row],[Disc. Amt.]])*Sales[[#This Row],[GST %]]</f>
        <v>1154.25</v>
      </c>
      <c r="N4949" s="161">
        <f>Sales[[#This Row],[Gross Amount]]-Sales[[#This Row],[Disc. Amt.]]+Sales[[#This Row],[GST Amount]]</f>
        <v>7566.75</v>
      </c>
      <c r="O4949" s="158" t="s">
        <v>8876</v>
      </c>
      <c r="P4949" s="158" t="s">
        <v>3562</v>
      </c>
      <c r="Q4949" s="160">
        <f>IF(Sales[[#This Row],[Status]]="Cancelled",0,Sales[[#This Row],[Qty]])</f>
        <v>1</v>
      </c>
      <c r="R4949" s="161">
        <f>IF(Sales[[#This Row],[Status]]="Cancelled",0,Sales[[#This Row],[Total Amount]])</f>
        <v>7566.75</v>
      </c>
      <c r="S4949" s="162">
        <f>SUM(Sales[Net Amount])</f>
        <v>406839287.73200053</v>
      </c>
    </row>
    <row r="4950" spans="1:19" ht="18.75" x14ac:dyDescent="0.25">
      <c r="A4950" s="163" t="s">
        <v>8635</v>
      </c>
      <c r="B4950" s="164">
        <v>46020</v>
      </c>
      <c r="C4950" s="34" t="s">
        <v>889</v>
      </c>
      <c r="D4950" s="53" t="str">
        <f>VLOOKUP(Sales[[#This Row],[Customer ID]],Customer[#All],2,0)</f>
        <v>Rakesh Sharma</v>
      </c>
      <c r="E4950" s="34" t="s">
        <v>152</v>
      </c>
      <c r="F4950" s="34" t="str">
        <f>VLOOKUP(Sales[[#This Row],[Product ID]],Product[#All],2,0)</f>
        <v>Acer Laptop</v>
      </c>
      <c r="G4950" s="53">
        <v>2</v>
      </c>
      <c r="H4950" s="165">
        <f>VLOOKUP(Sales[[#This Row],[Product ID]],Product[#All],7,0)</f>
        <v>33410</v>
      </c>
      <c r="I4950" s="165">
        <f>Sales[[#This Row],[Selling Rate]]*Sales[[#This Row],[Qty]]</f>
        <v>66820</v>
      </c>
      <c r="J4950" s="45">
        <v>0.02</v>
      </c>
      <c r="K4950" s="46">
        <f>Sales[[#This Row],[Gross Amount]]*Sales[[#This Row],[Disc %]]</f>
        <v>1336.4</v>
      </c>
      <c r="L4950" s="43">
        <v>0.18</v>
      </c>
      <c r="M4950" s="46">
        <f>(Sales[[#This Row],[Gross Amount]]-Sales[[#This Row],[Disc. Amt.]])*Sales[[#This Row],[GST %]]</f>
        <v>11787.047999999999</v>
      </c>
      <c r="N4950" s="161">
        <f>Sales[[#This Row],[Gross Amount]]-Sales[[#This Row],[Disc. Amt.]]+Sales[[#This Row],[GST Amount]]</f>
        <v>77270.648000000001</v>
      </c>
      <c r="O4950" s="34" t="s">
        <v>8876</v>
      </c>
      <c r="P4950" s="34" t="s">
        <v>3562</v>
      </c>
      <c r="Q4950" s="165">
        <f>IF(Sales[[#This Row],[Status]]="Cancelled",0,Sales[[#This Row],[Qty]])</f>
        <v>2</v>
      </c>
      <c r="R4950" s="166">
        <f>IF(Sales[[#This Row],[Status]]="Cancelled",0,Sales[[#This Row],[Total Amount]])</f>
        <v>77270.648000000001</v>
      </c>
      <c r="S4950" s="162">
        <f>SUM(Sales[Net Amount])</f>
        <v>406839287.73200053</v>
      </c>
    </row>
    <row r="4951" spans="1:19" ht="18.75" x14ac:dyDescent="0.25">
      <c r="A4951" s="156" t="s">
        <v>8636</v>
      </c>
      <c r="B4951" s="157">
        <v>46020</v>
      </c>
      <c r="C4951" s="158" t="s">
        <v>722</v>
      </c>
      <c r="D4951" s="159" t="str">
        <f>VLOOKUP(Sales[[#This Row],[Customer ID]],Customer[#All],2,0)</f>
        <v>Vikas Patel</v>
      </c>
      <c r="E4951" s="158" t="s">
        <v>215</v>
      </c>
      <c r="F4951" s="158" t="str">
        <f>VLOOKUP(Sales[[#This Row],[Product ID]],Product[#All],2,0)</f>
        <v>Apc UPS</v>
      </c>
      <c r="G4951" s="159">
        <v>6</v>
      </c>
      <c r="H4951" s="160">
        <f>VLOOKUP(Sales[[#This Row],[Product ID]],Product[#All],7,0)</f>
        <v>10210</v>
      </c>
      <c r="I4951" s="160">
        <f>Sales[[#This Row],[Selling Rate]]*Sales[[#This Row],[Qty]]</f>
        <v>61260</v>
      </c>
      <c r="J4951" s="43">
        <v>0.12</v>
      </c>
      <c r="K4951" s="44">
        <f>Sales[[#This Row],[Gross Amount]]*Sales[[#This Row],[Disc %]]</f>
        <v>7351.2</v>
      </c>
      <c r="L4951" s="43">
        <v>0.18</v>
      </c>
      <c r="M4951" s="44">
        <f>(Sales[[#This Row],[Gross Amount]]-Sales[[#This Row],[Disc. Amt.]])*Sales[[#This Row],[GST %]]</f>
        <v>9703.5840000000007</v>
      </c>
      <c r="N4951" s="161">
        <f>Sales[[#This Row],[Gross Amount]]-Sales[[#This Row],[Disc. Amt.]]+Sales[[#This Row],[GST Amount]]</f>
        <v>63612.384000000005</v>
      </c>
      <c r="O4951" s="158" t="s">
        <v>3561</v>
      </c>
      <c r="P4951" s="158" t="s">
        <v>3562</v>
      </c>
      <c r="Q4951" s="160">
        <f>IF(Sales[[#This Row],[Status]]="Cancelled",0,Sales[[#This Row],[Qty]])</f>
        <v>6</v>
      </c>
      <c r="R4951" s="161">
        <f>IF(Sales[[#This Row],[Status]]="Cancelled",0,Sales[[#This Row],[Total Amount]])</f>
        <v>63612.384000000005</v>
      </c>
      <c r="S4951" s="162">
        <f>SUM(Sales[Net Amount])</f>
        <v>406839287.73200053</v>
      </c>
    </row>
    <row r="4952" spans="1:19" ht="18.75" x14ac:dyDescent="0.25">
      <c r="A4952" s="163" t="s">
        <v>8637</v>
      </c>
      <c r="B4952" s="164">
        <v>46020</v>
      </c>
      <c r="C4952" s="34" t="s">
        <v>918</v>
      </c>
      <c r="D4952" s="53" t="str">
        <f>VLOOKUP(Sales[[#This Row],[Customer ID]],Customer[#All],2,0)</f>
        <v>Pooja Patel</v>
      </c>
      <c r="E4952" s="34" t="s">
        <v>120</v>
      </c>
      <c r="F4952" s="34" t="str">
        <f>VLOOKUP(Sales[[#This Row],[Product ID]],Product[#All],2,0)</f>
        <v>Boat Speaker</v>
      </c>
      <c r="G4952" s="53">
        <v>3</v>
      </c>
      <c r="H4952" s="165">
        <f>VLOOKUP(Sales[[#This Row],[Product ID]],Product[#All],7,0)</f>
        <v>6610</v>
      </c>
      <c r="I4952" s="165">
        <f>Sales[[#This Row],[Selling Rate]]*Sales[[#This Row],[Qty]]</f>
        <v>19830</v>
      </c>
      <c r="J4952" s="45">
        <v>0.15</v>
      </c>
      <c r="K4952" s="46">
        <f>Sales[[#This Row],[Gross Amount]]*Sales[[#This Row],[Disc %]]</f>
        <v>2974.5</v>
      </c>
      <c r="L4952" s="43">
        <v>0.18</v>
      </c>
      <c r="M4952" s="46">
        <f>(Sales[[#This Row],[Gross Amount]]-Sales[[#This Row],[Disc. Amt.]])*Sales[[#This Row],[GST %]]</f>
        <v>3033.99</v>
      </c>
      <c r="N4952" s="161">
        <f>Sales[[#This Row],[Gross Amount]]-Sales[[#This Row],[Disc. Amt.]]+Sales[[#This Row],[GST Amount]]</f>
        <v>19889.489999999998</v>
      </c>
      <c r="O4952" s="34" t="s">
        <v>3561</v>
      </c>
      <c r="P4952" s="34" t="s">
        <v>3562</v>
      </c>
      <c r="Q4952" s="165">
        <f>IF(Sales[[#This Row],[Status]]="Cancelled",0,Sales[[#This Row],[Qty]])</f>
        <v>3</v>
      </c>
      <c r="R4952" s="166">
        <f>IF(Sales[[#This Row],[Status]]="Cancelled",0,Sales[[#This Row],[Total Amount]])</f>
        <v>19889.489999999998</v>
      </c>
      <c r="S4952" s="162">
        <f>SUM(Sales[Net Amount])</f>
        <v>406839287.73200053</v>
      </c>
    </row>
    <row r="4953" spans="1:19" ht="18.75" x14ac:dyDescent="0.25">
      <c r="A4953" s="156" t="s">
        <v>8638</v>
      </c>
      <c r="B4953" s="157">
        <v>46020</v>
      </c>
      <c r="C4953" s="158" t="s">
        <v>743</v>
      </c>
      <c r="D4953" s="159" t="str">
        <f>VLOOKUP(Sales[[#This Row],[Customer ID]],Customer[#All],2,0)</f>
        <v>Rahul Gupta</v>
      </c>
      <c r="E4953" s="158" t="s">
        <v>320</v>
      </c>
      <c r="F4953" s="158" t="str">
        <f>VLOOKUP(Sales[[#This Row],[Product ID]],Product[#All],2,0)</f>
        <v>Seagate HDD</v>
      </c>
      <c r="G4953" s="159">
        <v>8</v>
      </c>
      <c r="H4953" s="160">
        <f>VLOOKUP(Sales[[#This Row],[Product ID]],Product[#All],7,0)</f>
        <v>12040</v>
      </c>
      <c r="I4953" s="160">
        <f>Sales[[#This Row],[Selling Rate]]*Sales[[#This Row],[Qty]]</f>
        <v>96320</v>
      </c>
      <c r="J4953" s="43">
        <v>0.05</v>
      </c>
      <c r="K4953" s="44">
        <f>Sales[[#This Row],[Gross Amount]]*Sales[[#This Row],[Disc %]]</f>
        <v>4816</v>
      </c>
      <c r="L4953" s="43">
        <v>0.18</v>
      </c>
      <c r="M4953" s="44">
        <f>(Sales[[#This Row],[Gross Amount]]-Sales[[#This Row],[Disc. Amt.]])*Sales[[#This Row],[GST %]]</f>
        <v>16470.72</v>
      </c>
      <c r="N4953" s="161">
        <f>Sales[[#This Row],[Gross Amount]]-Sales[[#This Row],[Disc. Amt.]]+Sales[[#This Row],[GST Amount]]</f>
        <v>107974.72</v>
      </c>
      <c r="O4953" s="158" t="s">
        <v>3561</v>
      </c>
      <c r="P4953" s="158" t="s">
        <v>3562</v>
      </c>
      <c r="Q4953" s="160">
        <f>IF(Sales[[#This Row],[Status]]="Cancelled",0,Sales[[#This Row],[Qty]])</f>
        <v>8</v>
      </c>
      <c r="R4953" s="161">
        <f>IF(Sales[[#This Row],[Status]]="Cancelled",0,Sales[[#This Row],[Total Amount]])</f>
        <v>107974.72</v>
      </c>
      <c r="S4953" s="162">
        <f>SUM(Sales[Net Amount])</f>
        <v>406839287.73200053</v>
      </c>
    </row>
    <row r="4954" spans="1:19" ht="18.75" x14ac:dyDescent="0.25">
      <c r="A4954" s="163" t="s">
        <v>8639</v>
      </c>
      <c r="B4954" s="164">
        <v>46020</v>
      </c>
      <c r="C4954" s="34" t="s">
        <v>680</v>
      </c>
      <c r="D4954" s="53" t="str">
        <f>VLOOKUP(Sales[[#This Row],[Customer ID]],Customer[#All],2,0)</f>
        <v>Rahul Kumar</v>
      </c>
      <c r="E4954" s="34" t="s">
        <v>417</v>
      </c>
      <c r="F4954" s="34" t="str">
        <f>VLOOKUP(Sales[[#This Row],[Product ID]],Product[#All],2,0)</f>
        <v>HP Power Adapter</v>
      </c>
      <c r="G4954" s="53">
        <v>7</v>
      </c>
      <c r="H4954" s="165">
        <f>VLOOKUP(Sales[[#This Row],[Product ID]],Product[#All],7,0)</f>
        <v>4330</v>
      </c>
      <c r="I4954" s="165">
        <f>Sales[[#This Row],[Selling Rate]]*Sales[[#This Row],[Qty]]</f>
        <v>30310</v>
      </c>
      <c r="J4954" s="45">
        <v>0.05</v>
      </c>
      <c r="K4954" s="46">
        <f>Sales[[#This Row],[Gross Amount]]*Sales[[#This Row],[Disc %]]</f>
        <v>1515.5</v>
      </c>
      <c r="L4954" s="43">
        <v>0.18</v>
      </c>
      <c r="M4954" s="46">
        <f>(Sales[[#This Row],[Gross Amount]]-Sales[[#This Row],[Disc. Amt.]])*Sales[[#This Row],[GST %]]</f>
        <v>5183.01</v>
      </c>
      <c r="N4954" s="161">
        <f>Sales[[#This Row],[Gross Amount]]-Sales[[#This Row],[Disc. Amt.]]+Sales[[#This Row],[GST Amount]]</f>
        <v>33977.51</v>
      </c>
      <c r="O4954" s="34" t="s">
        <v>8876</v>
      </c>
      <c r="P4954" s="34" t="s">
        <v>3562</v>
      </c>
      <c r="Q4954" s="165">
        <f>IF(Sales[[#This Row],[Status]]="Cancelled",0,Sales[[#This Row],[Qty]])</f>
        <v>7</v>
      </c>
      <c r="R4954" s="166">
        <f>IF(Sales[[#This Row],[Status]]="Cancelled",0,Sales[[#This Row],[Total Amount]])</f>
        <v>33977.51</v>
      </c>
      <c r="S4954" s="162">
        <f>SUM(Sales[Net Amount])</f>
        <v>406839287.73200053</v>
      </c>
    </row>
    <row r="4955" spans="1:19" ht="18.75" x14ac:dyDescent="0.25">
      <c r="A4955" s="156" t="s">
        <v>8640</v>
      </c>
      <c r="B4955" s="157">
        <v>46020</v>
      </c>
      <c r="C4955" s="158" t="s">
        <v>860</v>
      </c>
      <c r="D4955" s="159" t="str">
        <f>VLOOKUP(Sales[[#This Row],[Customer ID]],Customer[#All],2,0)</f>
        <v>Rakesh Verma</v>
      </c>
      <c r="E4955" s="158" t="s">
        <v>455</v>
      </c>
      <c r="F4955" s="158" t="str">
        <f>VLOOKUP(Sales[[#This Row],[Product ID]],Product[#All],2,0)</f>
        <v>WD HDD</v>
      </c>
      <c r="G4955" s="159">
        <v>8</v>
      </c>
      <c r="H4955" s="160">
        <f>VLOOKUP(Sales[[#This Row],[Product ID]],Product[#All],7,0)</f>
        <v>13980</v>
      </c>
      <c r="I4955" s="160">
        <f>Sales[[#This Row],[Selling Rate]]*Sales[[#This Row],[Qty]]</f>
        <v>111840</v>
      </c>
      <c r="J4955" s="43">
        <v>0</v>
      </c>
      <c r="K4955" s="44">
        <f>Sales[[#This Row],[Gross Amount]]*Sales[[#This Row],[Disc %]]</f>
        <v>0</v>
      </c>
      <c r="L4955" s="43">
        <v>0.18</v>
      </c>
      <c r="M4955" s="44">
        <f>(Sales[[#This Row],[Gross Amount]]-Sales[[#This Row],[Disc. Amt.]])*Sales[[#This Row],[GST %]]</f>
        <v>20131.2</v>
      </c>
      <c r="N4955" s="161">
        <f>Sales[[#This Row],[Gross Amount]]-Sales[[#This Row],[Disc. Amt.]]+Sales[[#This Row],[GST Amount]]</f>
        <v>131971.20000000001</v>
      </c>
      <c r="O4955" s="158" t="s">
        <v>3566</v>
      </c>
      <c r="P4955" s="158" t="s">
        <v>3562</v>
      </c>
      <c r="Q4955" s="160">
        <f>IF(Sales[[#This Row],[Status]]="Cancelled",0,Sales[[#This Row],[Qty]])</f>
        <v>8</v>
      </c>
      <c r="R4955" s="161">
        <f>IF(Sales[[#This Row],[Status]]="Cancelled",0,Sales[[#This Row],[Total Amount]])</f>
        <v>131971.20000000001</v>
      </c>
      <c r="S4955" s="162">
        <f>SUM(Sales[Net Amount])</f>
        <v>406839287.73200053</v>
      </c>
    </row>
    <row r="4956" spans="1:19" ht="18.75" x14ac:dyDescent="0.25">
      <c r="A4956" s="163" t="s">
        <v>8641</v>
      </c>
      <c r="B4956" s="164">
        <v>46020</v>
      </c>
      <c r="C4956" s="34" t="s">
        <v>661</v>
      </c>
      <c r="D4956" s="53" t="str">
        <f>VLOOKUP(Sales[[#This Row],[Customer ID]],Customer[#All],2,0)</f>
        <v>Pooja Gupta</v>
      </c>
      <c r="E4956" s="34" t="s">
        <v>167</v>
      </c>
      <c r="F4956" s="34" t="str">
        <f>VLOOKUP(Sales[[#This Row],[Product ID]],Product[#All],2,0)</f>
        <v>Logitech Keyboard</v>
      </c>
      <c r="G4956" s="53">
        <v>2</v>
      </c>
      <c r="H4956" s="165">
        <f>VLOOKUP(Sales[[#This Row],[Product ID]],Product[#All],7,0)</f>
        <v>2460</v>
      </c>
      <c r="I4956" s="165">
        <f>Sales[[#This Row],[Selling Rate]]*Sales[[#This Row],[Qty]]</f>
        <v>4920</v>
      </c>
      <c r="J4956" s="45">
        <v>0.05</v>
      </c>
      <c r="K4956" s="46">
        <f>Sales[[#This Row],[Gross Amount]]*Sales[[#This Row],[Disc %]]</f>
        <v>246</v>
      </c>
      <c r="L4956" s="43">
        <v>0.18</v>
      </c>
      <c r="M4956" s="46">
        <f>(Sales[[#This Row],[Gross Amount]]-Sales[[#This Row],[Disc. Amt.]])*Sales[[#This Row],[GST %]]</f>
        <v>841.31999999999994</v>
      </c>
      <c r="N4956" s="161">
        <f>Sales[[#This Row],[Gross Amount]]-Sales[[#This Row],[Disc. Amt.]]+Sales[[#This Row],[GST Amount]]</f>
        <v>5515.32</v>
      </c>
      <c r="O4956" s="34" t="s">
        <v>8876</v>
      </c>
      <c r="P4956" s="34" t="s">
        <v>3562</v>
      </c>
      <c r="Q4956" s="165">
        <f>IF(Sales[[#This Row],[Status]]="Cancelled",0,Sales[[#This Row],[Qty]])</f>
        <v>2</v>
      </c>
      <c r="R4956" s="166">
        <f>IF(Sales[[#This Row],[Status]]="Cancelled",0,Sales[[#This Row],[Total Amount]])</f>
        <v>5515.32</v>
      </c>
      <c r="S4956" s="162">
        <f>SUM(Sales[Net Amount])</f>
        <v>406839287.73200053</v>
      </c>
    </row>
    <row r="4957" spans="1:19" ht="18.75" x14ac:dyDescent="0.25">
      <c r="A4957" s="156" t="s">
        <v>8642</v>
      </c>
      <c r="B4957" s="157">
        <v>46020</v>
      </c>
      <c r="C4957" s="158" t="s">
        <v>714</v>
      </c>
      <c r="D4957" s="159" t="str">
        <f>VLOOKUP(Sales[[#This Row],[Customer ID]],Customer[#All],2,0)</f>
        <v>Rakesh Kumar</v>
      </c>
      <c r="E4957" s="158" t="s">
        <v>271</v>
      </c>
      <c r="F4957" s="158" t="str">
        <f>VLOOKUP(Sales[[#This Row],[Product ID]],Product[#All],2,0)</f>
        <v>TP-link Bluetooth Adapter</v>
      </c>
      <c r="G4957" s="159">
        <v>3</v>
      </c>
      <c r="H4957" s="160">
        <f>VLOOKUP(Sales[[#This Row],[Product ID]],Product[#All],7,0)</f>
        <v>410</v>
      </c>
      <c r="I4957" s="160">
        <f>Sales[[#This Row],[Selling Rate]]*Sales[[#This Row],[Qty]]</f>
        <v>1230</v>
      </c>
      <c r="J4957" s="43">
        <v>0.02</v>
      </c>
      <c r="K4957" s="44">
        <f>Sales[[#This Row],[Gross Amount]]*Sales[[#This Row],[Disc %]]</f>
        <v>24.6</v>
      </c>
      <c r="L4957" s="43">
        <v>0.18</v>
      </c>
      <c r="M4957" s="44">
        <f>(Sales[[#This Row],[Gross Amount]]-Sales[[#This Row],[Disc. Amt.]])*Sales[[#This Row],[GST %]]</f>
        <v>216.97200000000001</v>
      </c>
      <c r="N4957" s="161">
        <f>Sales[[#This Row],[Gross Amount]]-Sales[[#This Row],[Disc. Amt.]]+Sales[[#This Row],[GST Amount]]</f>
        <v>1422.3720000000001</v>
      </c>
      <c r="O4957" s="158" t="s">
        <v>3569</v>
      </c>
      <c r="P4957" s="158" t="s">
        <v>3562</v>
      </c>
      <c r="Q4957" s="160">
        <f>IF(Sales[[#This Row],[Status]]="Cancelled",0,Sales[[#This Row],[Qty]])</f>
        <v>3</v>
      </c>
      <c r="R4957" s="161">
        <f>IF(Sales[[#This Row],[Status]]="Cancelled",0,Sales[[#This Row],[Total Amount]])</f>
        <v>1422.3720000000001</v>
      </c>
      <c r="S4957" s="162">
        <f>SUM(Sales[Net Amount])</f>
        <v>406839287.73200053</v>
      </c>
    </row>
    <row r="4958" spans="1:19" ht="18.75" x14ac:dyDescent="0.25">
      <c r="A4958" s="163" t="s">
        <v>8643</v>
      </c>
      <c r="B4958" s="164">
        <v>46020</v>
      </c>
      <c r="C4958" s="34" t="s">
        <v>877</v>
      </c>
      <c r="D4958" s="53" t="str">
        <f>VLOOKUP(Sales[[#This Row],[Customer ID]],Customer[#All],2,0)</f>
        <v>Sahil Patel</v>
      </c>
      <c r="E4958" s="34" t="s">
        <v>401</v>
      </c>
      <c r="F4958" s="34" t="str">
        <f>VLOOKUP(Sales[[#This Row],[Product ID]],Product[#All],2,0)</f>
        <v>Amazon Basics Hdmi Cable</v>
      </c>
      <c r="G4958" s="53">
        <v>8</v>
      </c>
      <c r="H4958" s="165">
        <f>VLOOKUP(Sales[[#This Row],[Product ID]],Product[#All],7,0)</f>
        <v>670</v>
      </c>
      <c r="I4958" s="165">
        <f>Sales[[#This Row],[Selling Rate]]*Sales[[#This Row],[Qty]]</f>
        <v>5360</v>
      </c>
      <c r="J4958" s="45">
        <v>0.12</v>
      </c>
      <c r="K4958" s="46">
        <f>Sales[[#This Row],[Gross Amount]]*Sales[[#This Row],[Disc %]]</f>
        <v>643.19999999999993</v>
      </c>
      <c r="L4958" s="43">
        <v>0.18</v>
      </c>
      <c r="M4958" s="46">
        <f>(Sales[[#This Row],[Gross Amount]]-Sales[[#This Row],[Disc. Amt.]])*Sales[[#This Row],[GST %]]</f>
        <v>849.024</v>
      </c>
      <c r="N4958" s="161">
        <f>Sales[[#This Row],[Gross Amount]]-Sales[[#This Row],[Disc. Amt.]]+Sales[[#This Row],[GST Amount]]</f>
        <v>5565.8240000000005</v>
      </c>
      <c r="O4958" s="34" t="s">
        <v>3566</v>
      </c>
      <c r="P4958" s="34" t="s">
        <v>3562</v>
      </c>
      <c r="Q4958" s="165">
        <f>IF(Sales[[#This Row],[Status]]="Cancelled",0,Sales[[#This Row],[Qty]])</f>
        <v>8</v>
      </c>
      <c r="R4958" s="166">
        <f>IF(Sales[[#This Row],[Status]]="Cancelled",0,Sales[[#This Row],[Total Amount]])</f>
        <v>5565.8240000000005</v>
      </c>
      <c r="S4958" s="162">
        <f>SUM(Sales[Net Amount])</f>
        <v>406839287.73200053</v>
      </c>
    </row>
    <row r="4959" spans="1:19" ht="18.75" x14ac:dyDescent="0.25">
      <c r="A4959" s="156" t="s">
        <v>8644</v>
      </c>
      <c r="B4959" s="157">
        <v>46021</v>
      </c>
      <c r="C4959" s="158" t="s">
        <v>845</v>
      </c>
      <c r="D4959" s="159" t="str">
        <f>VLOOKUP(Sales[[#This Row],[Customer ID]],Customer[#All],2,0)</f>
        <v>Rahul Patel</v>
      </c>
      <c r="E4959" s="158" t="s">
        <v>59</v>
      </c>
      <c r="F4959" s="158" t="str">
        <f>VLOOKUP(Sales[[#This Row],[Product ID]],Product[#All],2,0)</f>
        <v>Amazon Basics Hdmi Cable</v>
      </c>
      <c r="G4959" s="159">
        <v>4</v>
      </c>
      <c r="H4959" s="160">
        <f>VLOOKUP(Sales[[#This Row],[Product ID]],Product[#All],7,0)</f>
        <v>1160</v>
      </c>
      <c r="I4959" s="160">
        <f>Sales[[#This Row],[Selling Rate]]*Sales[[#This Row],[Qty]]</f>
        <v>4640</v>
      </c>
      <c r="J4959" s="43">
        <v>0.15</v>
      </c>
      <c r="K4959" s="44">
        <f>Sales[[#This Row],[Gross Amount]]*Sales[[#This Row],[Disc %]]</f>
        <v>696</v>
      </c>
      <c r="L4959" s="43">
        <v>0.18</v>
      </c>
      <c r="M4959" s="44">
        <f>(Sales[[#This Row],[Gross Amount]]-Sales[[#This Row],[Disc. Amt.]])*Sales[[#This Row],[GST %]]</f>
        <v>709.92</v>
      </c>
      <c r="N4959" s="161">
        <f>Sales[[#This Row],[Gross Amount]]-Sales[[#This Row],[Disc. Amt.]]+Sales[[#This Row],[GST Amount]]</f>
        <v>4653.92</v>
      </c>
      <c r="O4959" s="158" t="s">
        <v>3566</v>
      </c>
      <c r="P4959" s="158" t="s">
        <v>3562</v>
      </c>
      <c r="Q4959" s="160">
        <f>IF(Sales[[#This Row],[Status]]="Cancelled",0,Sales[[#This Row],[Qty]])</f>
        <v>4</v>
      </c>
      <c r="R4959" s="161">
        <f>IF(Sales[[#This Row],[Status]]="Cancelled",0,Sales[[#This Row],[Total Amount]])</f>
        <v>4653.92</v>
      </c>
      <c r="S4959" s="162">
        <f>SUM(Sales[Net Amount])</f>
        <v>406839287.73200053</v>
      </c>
    </row>
    <row r="4960" spans="1:19" ht="18.75" x14ac:dyDescent="0.25">
      <c r="A4960" s="163" t="s">
        <v>8645</v>
      </c>
      <c r="B4960" s="164">
        <v>46021</v>
      </c>
      <c r="C4960" s="34" t="s">
        <v>854</v>
      </c>
      <c r="D4960" s="53" t="str">
        <f>VLOOKUP(Sales[[#This Row],[Customer ID]],Customer[#All],2,0)</f>
        <v>Neha Sharma</v>
      </c>
      <c r="E4960" s="34" t="s">
        <v>214</v>
      </c>
      <c r="F4960" s="34" t="str">
        <f>VLOOKUP(Sales[[#This Row],[Product ID]],Product[#All],2,0)</f>
        <v>Microtek UPS</v>
      </c>
      <c r="G4960" s="53">
        <v>6</v>
      </c>
      <c r="H4960" s="165">
        <f>VLOOKUP(Sales[[#This Row],[Product ID]],Product[#All],7,0)</f>
        <v>10710</v>
      </c>
      <c r="I4960" s="165">
        <f>Sales[[#This Row],[Selling Rate]]*Sales[[#This Row],[Qty]]</f>
        <v>64260</v>
      </c>
      <c r="J4960" s="45">
        <v>0</v>
      </c>
      <c r="K4960" s="46">
        <f>Sales[[#This Row],[Gross Amount]]*Sales[[#This Row],[Disc %]]</f>
        <v>0</v>
      </c>
      <c r="L4960" s="43">
        <v>0.18</v>
      </c>
      <c r="M4960" s="46">
        <f>(Sales[[#This Row],[Gross Amount]]-Sales[[#This Row],[Disc. Amt.]])*Sales[[#This Row],[GST %]]</f>
        <v>11566.8</v>
      </c>
      <c r="N4960" s="161">
        <f>Sales[[#This Row],[Gross Amount]]-Sales[[#This Row],[Disc. Amt.]]+Sales[[#This Row],[GST Amount]]</f>
        <v>75826.8</v>
      </c>
      <c r="O4960" s="34" t="s">
        <v>3561</v>
      </c>
      <c r="P4960" s="34" t="s">
        <v>3562</v>
      </c>
      <c r="Q4960" s="165">
        <f>IF(Sales[[#This Row],[Status]]="Cancelled",0,Sales[[#This Row],[Qty]])</f>
        <v>6</v>
      </c>
      <c r="R4960" s="166">
        <f>IF(Sales[[#This Row],[Status]]="Cancelled",0,Sales[[#This Row],[Total Amount]])</f>
        <v>75826.8</v>
      </c>
      <c r="S4960" s="162">
        <f>SUM(Sales[Net Amount])</f>
        <v>406839287.73200053</v>
      </c>
    </row>
    <row r="4961" spans="1:19" ht="18.75" x14ac:dyDescent="0.25">
      <c r="A4961" s="156" t="s">
        <v>8646</v>
      </c>
      <c r="B4961" s="157">
        <v>46021</v>
      </c>
      <c r="C4961" s="158" t="s">
        <v>670</v>
      </c>
      <c r="D4961" s="159" t="str">
        <f>VLOOKUP(Sales[[#This Row],[Customer ID]],Customer[#All],2,0)</f>
        <v>Rakesh Patel</v>
      </c>
      <c r="E4961" s="158" t="s">
        <v>536</v>
      </c>
      <c r="F4961" s="158" t="str">
        <f>VLOOKUP(Sales[[#This Row],[Product ID]],Product[#All],2,0)</f>
        <v>Logitech Keyboard</v>
      </c>
      <c r="G4961" s="159">
        <v>7</v>
      </c>
      <c r="H4961" s="160">
        <f>VLOOKUP(Sales[[#This Row],[Product ID]],Product[#All],7,0)</f>
        <v>1160</v>
      </c>
      <c r="I4961" s="160">
        <f>Sales[[#This Row],[Selling Rate]]*Sales[[#This Row],[Qty]]</f>
        <v>8120</v>
      </c>
      <c r="J4961" s="43">
        <v>0.05</v>
      </c>
      <c r="K4961" s="44">
        <f>Sales[[#This Row],[Gross Amount]]*Sales[[#This Row],[Disc %]]</f>
        <v>406</v>
      </c>
      <c r="L4961" s="43">
        <v>0.18</v>
      </c>
      <c r="M4961" s="44">
        <f>(Sales[[#This Row],[Gross Amount]]-Sales[[#This Row],[Disc. Amt.]])*Sales[[#This Row],[GST %]]</f>
        <v>1388.52</v>
      </c>
      <c r="N4961" s="161">
        <f>Sales[[#This Row],[Gross Amount]]-Sales[[#This Row],[Disc. Amt.]]+Sales[[#This Row],[GST Amount]]</f>
        <v>9102.52</v>
      </c>
      <c r="O4961" s="158" t="s">
        <v>8876</v>
      </c>
      <c r="P4961" s="158" t="s">
        <v>3562</v>
      </c>
      <c r="Q4961" s="160">
        <f>IF(Sales[[#This Row],[Status]]="Cancelled",0,Sales[[#This Row],[Qty]])</f>
        <v>7</v>
      </c>
      <c r="R4961" s="161">
        <f>IF(Sales[[#This Row],[Status]]="Cancelled",0,Sales[[#This Row],[Total Amount]])</f>
        <v>9102.52</v>
      </c>
      <c r="S4961" s="162">
        <f>SUM(Sales[Net Amount])</f>
        <v>406839287.73200053</v>
      </c>
    </row>
    <row r="4962" spans="1:19" ht="18.75" x14ac:dyDescent="0.25">
      <c r="A4962" s="163" t="s">
        <v>8647</v>
      </c>
      <c r="B4962" s="164">
        <v>46021</v>
      </c>
      <c r="C4962" s="34" t="s">
        <v>833</v>
      </c>
      <c r="D4962" s="53" t="str">
        <f>VLOOKUP(Sales[[#This Row],[Customer ID]],Customer[#All],2,0)</f>
        <v>Sunita Kumar</v>
      </c>
      <c r="E4962" s="34" t="s">
        <v>486</v>
      </c>
      <c r="F4962" s="34" t="str">
        <f>VLOOKUP(Sales[[#This Row],[Product ID]],Product[#All],2,0)</f>
        <v>Logitech Mouse</v>
      </c>
      <c r="G4962" s="53">
        <v>8</v>
      </c>
      <c r="H4962" s="165">
        <f>VLOOKUP(Sales[[#This Row],[Product ID]],Product[#All],7,0)</f>
        <v>1650</v>
      </c>
      <c r="I4962" s="165">
        <f>Sales[[#This Row],[Selling Rate]]*Sales[[#This Row],[Qty]]</f>
        <v>13200</v>
      </c>
      <c r="J4962" s="45">
        <v>0.1</v>
      </c>
      <c r="K4962" s="46">
        <f>Sales[[#This Row],[Gross Amount]]*Sales[[#This Row],[Disc %]]</f>
        <v>1320</v>
      </c>
      <c r="L4962" s="43">
        <v>0.18</v>
      </c>
      <c r="M4962" s="46">
        <f>(Sales[[#This Row],[Gross Amount]]-Sales[[#This Row],[Disc. Amt.]])*Sales[[#This Row],[GST %]]</f>
        <v>2138.4</v>
      </c>
      <c r="N4962" s="161">
        <f>Sales[[#This Row],[Gross Amount]]-Sales[[#This Row],[Disc. Amt.]]+Sales[[#This Row],[GST Amount]]</f>
        <v>14018.4</v>
      </c>
      <c r="O4962" s="34" t="s">
        <v>3561</v>
      </c>
      <c r="P4962" s="34" t="s">
        <v>3562</v>
      </c>
      <c r="Q4962" s="165">
        <f>IF(Sales[[#This Row],[Status]]="Cancelled",0,Sales[[#This Row],[Qty]])</f>
        <v>8</v>
      </c>
      <c r="R4962" s="166">
        <f>IF(Sales[[#This Row],[Status]]="Cancelled",0,Sales[[#This Row],[Total Amount]])</f>
        <v>14018.4</v>
      </c>
      <c r="S4962" s="162">
        <f>SUM(Sales[Net Amount])</f>
        <v>406839287.73200053</v>
      </c>
    </row>
    <row r="4963" spans="1:19" ht="18.75" x14ac:dyDescent="0.25">
      <c r="A4963" s="156" t="s">
        <v>8648</v>
      </c>
      <c r="B4963" s="157">
        <v>46021</v>
      </c>
      <c r="C4963" s="158" t="s">
        <v>928</v>
      </c>
      <c r="D4963" s="159" t="str">
        <f>VLOOKUP(Sales[[#This Row],[Customer ID]],Customer[#All],2,0)</f>
        <v>Rahul Kumar</v>
      </c>
      <c r="E4963" s="158" t="s">
        <v>468</v>
      </c>
      <c r="F4963" s="158" t="str">
        <f>VLOOKUP(Sales[[#This Row],[Product ID]],Product[#All],2,0)</f>
        <v>Dell Laptop</v>
      </c>
      <c r="G4963" s="159">
        <v>8</v>
      </c>
      <c r="H4963" s="160">
        <f>VLOOKUP(Sales[[#This Row],[Product ID]],Product[#All],7,0)</f>
        <v>93200</v>
      </c>
      <c r="I4963" s="160">
        <f>Sales[[#This Row],[Selling Rate]]*Sales[[#This Row],[Qty]]</f>
        <v>745600</v>
      </c>
      <c r="J4963" s="43">
        <v>0.05</v>
      </c>
      <c r="K4963" s="44">
        <f>Sales[[#This Row],[Gross Amount]]*Sales[[#This Row],[Disc %]]</f>
        <v>37280</v>
      </c>
      <c r="L4963" s="43">
        <v>0.18</v>
      </c>
      <c r="M4963" s="44">
        <f>(Sales[[#This Row],[Gross Amount]]-Sales[[#This Row],[Disc. Amt.]])*Sales[[#This Row],[GST %]]</f>
        <v>127497.59999999999</v>
      </c>
      <c r="N4963" s="161">
        <f>Sales[[#This Row],[Gross Amount]]-Sales[[#This Row],[Disc. Amt.]]+Sales[[#This Row],[GST Amount]]</f>
        <v>835817.6</v>
      </c>
      <c r="O4963" s="158" t="s">
        <v>3566</v>
      </c>
      <c r="P4963" s="158" t="s">
        <v>3562</v>
      </c>
      <c r="Q4963" s="160">
        <f>IF(Sales[[#This Row],[Status]]="Cancelled",0,Sales[[#This Row],[Qty]])</f>
        <v>8</v>
      </c>
      <c r="R4963" s="161">
        <f>IF(Sales[[#This Row],[Status]]="Cancelled",0,Sales[[#This Row],[Total Amount]])</f>
        <v>835817.6</v>
      </c>
      <c r="S4963" s="162">
        <f>SUM(Sales[Net Amount])</f>
        <v>406839287.73200053</v>
      </c>
    </row>
    <row r="4964" spans="1:19" ht="18.75" x14ac:dyDescent="0.25">
      <c r="A4964" s="163" t="s">
        <v>8649</v>
      </c>
      <c r="B4964" s="164">
        <v>46021</v>
      </c>
      <c r="C4964" s="34" t="s">
        <v>777</v>
      </c>
      <c r="D4964" s="53" t="str">
        <f>VLOOKUP(Sales[[#This Row],[Customer ID]],Customer[#All],2,0)</f>
        <v>Neha Sharma</v>
      </c>
      <c r="E4964" s="34" t="s">
        <v>554</v>
      </c>
      <c r="F4964" s="34" t="str">
        <f>VLOOKUP(Sales[[#This Row],[Product ID]],Product[#All],2,0)</f>
        <v>TP-link Router</v>
      </c>
      <c r="G4964" s="53">
        <v>7</v>
      </c>
      <c r="H4964" s="165">
        <f>VLOOKUP(Sales[[#This Row],[Product ID]],Product[#All],7,0)</f>
        <v>6320</v>
      </c>
      <c r="I4964" s="165">
        <f>Sales[[#This Row],[Selling Rate]]*Sales[[#This Row],[Qty]]</f>
        <v>44240</v>
      </c>
      <c r="J4964" s="45">
        <v>0</v>
      </c>
      <c r="K4964" s="46">
        <f>Sales[[#This Row],[Gross Amount]]*Sales[[#This Row],[Disc %]]</f>
        <v>0</v>
      </c>
      <c r="L4964" s="43">
        <v>0.18</v>
      </c>
      <c r="M4964" s="46">
        <f>(Sales[[#This Row],[Gross Amount]]-Sales[[#This Row],[Disc. Amt.]])*Sales[[#This Row],[GST %]]</f>
        <v>7963.2</v>
      </c>
      <c r="N4964" s="161">
        <f>Sales[[#This Row],[Gross Amount]]-Sales[[#This Row],[Disc. Amt.]]+Sales[[#This Row],[GST Amount]]</f>
        <v>52203.199999999997</v>
      </c>
      <c r="O4964" s="34" t="s">
        <v>3566</v>
      </c>
      <c r="P4964" s="34" t="s">
        <v>3562</v>
      </c>
      <c r="Q4964" s="165">
        <f>IF(Sales[[#This Row],[Status]]="Cancelled",0,Sales[[#This Row],[Qty]])</f>
        <v>7</v>
      </c>
      <c r="R4964" s="166">
        <f>IF(Sales[[#This Row],[Status]]="Cancelled",0,Sales[[#This Row],[Total Amount]])</f>
        <v>52203.199999999997</v>
      </c>
      <c r="S4964" s="162">
        <f>SUM(Sales[Net Amount])</f>
        <v>406839287.73200053</v>
      </c>
    </row>
    <row r="4965" spans="1:19" ht="18.75" x14ac:dyDescent="0.25">
      <c r="A4965" s="156" t="s">
        <v>8650</v>
      </c>
      <c r="B4965" s="157">
        <v>46021</v>
      </c>
      <c r="C4965" s="158" t="s">
        <v>688</v>
      </c>
      <c r="D4965" s="159" t="str">
        <f>VLOOKUP(Sales[[#This Row],[Customer ID]],Customer[#All],2,0)</f>
        <v>Rahul Verma</v>
      </c>
      <c r="E4965" s="158" t="s">
        <v>270</v>
      </c>
      <c r="F4965" s="158" t="str">
        <f>VLOOKUP(Sales[[#This Row],[Product ID]],Product[#All],2,0)</f>
        <v>Samsung Ssd</v>
      </c>
      <c r="G4965" s="159">
        <v>7</v>
      </c>
      <c r="H4965" s="160">
        <f>VLOOKUP(Sales[[#This Row],[Product ID]],Product[#All],7,0)</f>
        <v>6090</v>
      </c>
      <c r="I4965" s="160">
        <f>Sales[[#This Row],[Selling Rate]]*Sales[[#This Row],[Qty]]</f>
        <v>42630</v>
      </c>
      <c r="J4965" s="43">
        <v>0.05</v>
      </c>
      <c r="K4965" s="44">
        <f>Sales[[#This Row],[Gross Amount]]*Sales[[#This Row],[Disc %]]</f>
        <v>2131.5</v>
      </c>
      <c r="L4965" s="43">
        <v>0.18</v>
      </c>
      <c r="M4965" s="44">
        <f>(Sales[[#This Row],[Gross Amount]]-Sales[[#This Row],[Disc. Amt.]])*Sales[[#This Row],[GST %]]</f>
        <v>7289.73</v>
      </c>
      <c r="N4965" s="161">
        <f>Sales[[#This Row],[Gross Amount]]-Sales[[#This Row],[Disc. Amt.]]+Sales[[#This Row],[GST Amount]]</f>
        <v>47788.229999999996</v>
      </c>
      <c r="O4965" s="158" t="s">
        <v>3569</v>
      </c>
      <c r="P4965" s="158" t="s">
        <v>3562</v>
      </c>
      <c r="Q4965" s="160">
        <f>IF(Sales[[#This Row],[Status]]="Cancelled",0,Sales[[#This Row],[Qty]])</f>
        <v>7</v>
      </c>
      <c r="R4965" s="161">
        <f>IF(Sales[[#This Row],[Status]]="Cancelled",0,Sales[[#This Row],[Total Amount]])</f>
        <v>47788.229999999996</v>
      </c>
      <c r="S4965" s="162">
        <f>SUM(Sales[Net Amount])</f>
        <v>406839287.73200053</v>
      </c>
    </row>
    <row r="4966" spans="1:19" ht="18.75" x14ac:dyDescent="0.25">
      <c r="A4966" s="163" t="s">
        <v>8651</v>
      </c>
      <c r="B4966" s="164">
        <v>46021</v>
      </c>
      <c r="C4966" s="34" t="s">
        <v>850</v>
      </c>
      <c r="D4966" s="53" t="str">
        <f>VLOOKUP(Sales[[#This Row],[Customer ID]],Customer[#All],2,0)</f>
        <v>Sahil Patel</v>
      </c>
      <c r="E4966" s="34" t="s">
        <v>398</v>
      </c>
      <c r="F4966" s="34" t="str">
        <f>VLOOKUP(Sales[[#This Row],[Product ID]],Product[#All],2,0)</f>
        <v>D-Link Router</v>
      </c>
      <c r="G4966" s="53">
        <v>2</v>
      </c>
      <c r="H4966" s="165">
        <f>VLOOKUP(Sales[[#This Row],[Product ID]],Product[#All],7,0)</f>
        <v>5420</v>
      </c>
      <c r="I4966" s="165">
        <f>Sales[[#This Row],[Selling Rate]]*Sales[[#This Row],[Qty]]</f>
        <v>10840</v>
      </c>
      <c r="J4966" s="45">
        <v>0.12</v>
      </c>
      <c r="K4966" s="46">
        <f>Sales[[#This Row],[Gross Amount]]*Sales[[#This Row],[Disc %]]</f>
        <v>1300.8</v>
      </c>
      <c r="L4966" s="43">
        <v>0.18</v>
      </c>
      <c r="M4966" s="46">
        <f>(Sales[[#This Row],[Gross Amount]]-Sales[[#This Row],[Disc. Amt.]])*Sales[[#This Row],[GST %]]</f>
        <v>1717.056</v>
      </c>
      <c r="N4966" s="161">
        <f>Sales[[#This Row],[Gross Amount]]-Sales[[#This Row],[Disc. Amt.]]+Sales[[#This Row],[GST Amount]]</f>
        <v>11256.256000000001</v>
      </c>
      <c r="O4966" s="34" t="s">
        <v>3561</v>
      </c>
      <c r="P4966" s="34" t="s">
        <v>3562</v>
      </c>
      <c r="Q4966" s="165">
        <f>IF(Sales[[#This Row],[Status]]="Cancelled",0,Sales[[#This Row],[Qty]])</f>
        <v>2</v>
      </c>
      <c r="R4966" s="166">
        <f>IF(Sales[[#This Row],[Status]]="Cancelled",0,Sales[[#This Row],[Total Amount]])</f>
        <v>11256.256000000001</v>
      </c>
      <c r="S4966" s="162">
        <f>SUM(Sales[Net Amount])</f>
        <v>406839287.73200053</v>
      </c>
    </row>
    <row r="4967" spans="1:19" ht="18.75" x14ac:dyDescent="0.25">
      <c r="A4967" s="156" t="s">
        <v>8652</v>
      </c>
      <c r="B4967" s="157">
        <v>46021</v>
      </c>
      <c r="C4967" s="158" t="s">
        <v>860</v>
      </c>
      <c r="D4967" s="159" t="str">
        <f>VLOOKUP(Sales[[#This Row],[Customer ID]],Customer[#All],2,0)</f>
        <v>Rakesh Verma</v>
      </c>
      <c r="E4967" s="158" t="s">
        <v>216</v>
      </c>
      <c r="F4967" s="158" t="str">
        <f>VLOOKUP(Sales[[#This Row],[Product ID]],Product[#All],2,0)</f>
        <v>Amazon Basics Hdmi Cable</v>
      </c>
      <c r="G4967" s="159">
        <v>4</v>
      </c>
      <c r="H4967" s="160">
        <f>VLOOKUP(Sales[[#This Row],[Product ID]],Product[#All],7,0)</f>
        <v>1080</v>
      </c>
      <c r="I4967" s="160">
        <f>Sales[[#This Row],[Selling Rate]]*Sales[[#This Row],[Qty]]</f>
        <v>4320</v>
      </c>
      <c r="J4967" s="43">
        <v>0</v>
      </c>
      <c r="K4967" s="44">
        <f>Sales[[#This Row],[Gross Amount]]*Sales[[#This Row],[Disc %]]</f>
        <v>0</v>
      </c>
      <c r="L4967" s="43">
        <v>0.18</v>
      </c>
      <c r="M4967" s="44">
        <f>(Sales[[#This Row],[Gross Amount]]-Sales[[#This Row],[Disc. Amt.]])*Sales[[#This Row],[GST %]]</f>
        <v>777.6</v>
      </c>
      <c r="N4967" s="161">
        <f>Sales[[#This Row],[Gross Amount]]-Sales[[#This Row],[Disc. Amt.]]+Sales[[#This Row],[GST Amount]]</f>
        <v>5097.6000000000004</v>
      </c>
      <c r="O4967" s="158" t="s">
        <v>8876</v>
      </c>
      <c r="P4967" s="158" t="s">
        <v>3562</v>
      </c>
      <c r="Q4967" s="160">
        <f>IF(Sales[[#This Row],[Status]]="Cancelled",0,Sales[[#This Row],[Qty]])</f>
        <v>4</v>
      </c>
      <c r="R4967" s="161">
        <f>IF(Sales[[#This Row],[Status]]="Cancelled",0,Sales[[#This Row],[Total Amount]])</f>
        <v>5097.6000000000004</v>
      </c>
      <c r="S4967" s="162">
        <f>SUM(Sales[Net Amount])</f>
        <v>406839287.73200053</v>
      </c>
    </row>
    <row r="4968" spans="1:19" ht="18.75" x14ac:dyDescent="0.25">
      <c r="A4968" s="163" t="s">
        <v>8653</v>
      </c>
      <c r="B4968" s="164">
        <v>46021</v>
      </c>
      <c r="C4968" s="34" t="s">
        <v>919</v>
      </c>
      <c r="D4968" s="53" t="str">
        <f>VLOOKUP(Sales[[#This Row],[Customer ID]],Customer[#All],2,0)</f>
        <v>Pooja Patel</v>
      </c>
      <c r="E4968" s="34" t="s">
        <v>115</v>
      </c>
      <c r="F4968" s="34" t="str">
        <f>VLOOKUP(Sales[[#This Row],[Product ID]],Product[#All],2,0)</f>
        <v>Dell Power Adapter</v>
      </c>
      <c r="G4968" s="53">
        <v>4</v>
      </c>
      <c r="H4968" s="165">
        <f>VLOOKUP(Sales[[#This Row],[Product ID]],Product[#All],7,0)</f>
        <v>1890</v>
      </c>
      <c r="I4968" s="165">
        <f>Sales[[#This Row],[Selling Rate]]*Sales[[#This Row],[Qty]]</f>
        <v>7560</v>
      </c>
      <c r="J4968" s="45">
        <v>0.15</v>
      </c>
      <c r="K4968" s="46">
        <f>Sales[[#This Row],[Gross Amount]]*Sales[[#This Row],[Disc %]]</f>
        <v>1134</v>
      </c>
      <c r="L4968" s="43">
        <v>0.18</v>
      </c>
      <c r="M4968" s="46">
        <f>(Sales[[#This Row],[Gross Amount]]-Sales[[#This Row],[Disc. Amt.]])*Sales[[#This Row],[GST %]]</f>
        <v>1156.68</v>
      </c>
      <c r="N4968" s="161">
        <f>Sales[[#This Row],[Gross Amount]]-Sales[[#This Row],[Disc. Amt.]]+Sales[[#This Row],[GST Amount]]</f>
        <v>7582.68</v>
      </c>
      <c r="O4968" s="34" t="s">
        <v>3561</v>
      </c>
      <c r="P4968" s="34" t="s">
        <v>3562</v>
      </c>
      <c r="Q4968" s="165">
        <f>IF(Sales[[#This Row],[Status]]="Cancelled",0,Sales[[#This Row],[Qty]])</f>
        <v>4</v>
      </c>
      <c r="R4968" s="166">
        <f>IF(Sales[[#This Row],[Status]]="Cancelled",0,Sales[[#This Row],[Total Amount]])</f>
        <v>7582.68</v>
      </c>
      <c r="S4968" s="162">
        <f>SUM(Sales[Net Amount])</f>
        <v>406839287.73200053</v>
      </c>
    </row>
    <row r="4969" spans="1:19" ht="18.75" x14ac:dyDescent="0.25">
      <c r="A4969" s="156" t="s">
        <v>8654</v>
      </c>
      <c r="B4969" s="157">
        <v>46021</v>
      </c>
      <c r="C4969" s="158" t="s">
        <v>806</v>
      </c>
      <c r="D4969" s="159" t="str">
        <f>VLOOKUP(Sales[[#This Row],[Customer ID]],Customer[#All],2,0)</f>
        <v>Vikas Singh</v>
      </c>
      <c r="E4969" s="158" t="s">
        <v>391</v>
      </c>
      <c r="F4969" s="158" t="str">
        <f>VLOOKUP(Sales[[#This Row],[Product ID]],Product[#All],2,0)</f>
        <v>Seagate HDD</v>
      </c>
      <c r="G4969" s="159">
        <v>1</v>
      </c>
      <c r="H4969" s="160">
        <f>VLOOKUP(Sales[[#This Row],[Product ID]],Product[#All],7,0)</f>
        <v>10370</v>
      </c>
      <c r="I4969" s="160">
        <f>Sales[[#This Row],[Selling Rate]]*Sales[[#This Row],[Qty]]</f>
        <v>10370</v>
      </c>
      <c r="J4969" s="43">
        <v>0.12</v>
      </c>
      <c r="K4969" s="44">
        <f>Sales[[#This Row],[Gross Amount]]*Sales[[#This Row],[Disc %]]</f>
        <v>1244.3999999999999</v>
      </c>
      <c r="L4969" s="43">
        <v>0.18</v>
      </c>
      <c r="M4969" s="44">
        <f>(Sales[[#This Row],[Gross Amount]]-Sales[[#This Row],[Disc. Amt.]])*Sales[[#This Row],[GST %]]</f>
        <v>1642.6079999999999</v>
      </c>
      <c r="N4969" s="161">
        <f>Sales[[#This Row],[Gross Amount]]-Sales[[#This Row],[Disc. Amt.]]+Sales[[#This Row],[GST Amount]]</f>
        <v>10768.208000000001</v>
      </c>
      <c r="O4969" s="158" t="s">
        <v>8876</v>
      </c>
      <c r="P4969" s="158" t="s">
        <v>3562</v>
      </c>
      <c r="Q4969" s="160">
        <f>IF(Sales[[#This Row],[Status]]="Cancelled",0,Sales[[#This Row],[Qty]])</f>
        <v>1</v>
      </c>
      <c r="R4969" s="161">
        <f>IF(Sales[[#This Row],[Status]]="Cancelled",0,Sales[[#This Row],[Total Amount]])</f>
        <v>10768.208000000001</v>
      </c>
      <c r="S4969" s="162">
        <f>SUM(Sales[Net Amount])</f>
        <v>406839287.73200053</v>
      </c>
    </row>
    <row r="4970" spans="1:19" ht="18.75" x14ac:dyDescent="0.25">
      <c r="A4970" s="163" t="s">
        <v>8655</v>
      </c>
      <c r="B4970" s="164">
        <v>46021</v>
      </c>
      <c r="C4970" s="34" t="s">
        <v>846</v>
      </c>
      <c r="D4970" s="53" t="str">
        <f>VLOOKUP(Sales[[#This Row],[Customer ID]],Customer[#All],2,0)</f>
        <v>Ankit Patel</v>
      </c>
      <c r="E4970" s="34" t="s">
        <v>348</v>
      </c>
      <c r="F4970" s="34" t="str">
        <f>VLOOKUP(Sales[[#This Row],[Product ID]],Product[#All],2,0)</f>
        <v>Jbl Speaker</v>
      </c>
      <c r="G4970" s="53">
        <v>6</v>
      </c>
      <c r="H4970" s="165">
        <f>VLOOKUP(Sales[[#This Row],[Product ID]],Product[#All],7,0)</f>
        <v>6700</v>
      </c>
      <c r="I4970" s="165">
        <f>Sales[[#This Row],[Selling Rate]]*Sales[[#This Row],[Qty]]</f>
        <v>40200</v>
      </c>
      <c r="J4970" s="45">
        <v>0.05</v>
      </c>
      <c r="K4970" s="46">
        <f>Sales[[#This Row],[Gross Amount]]*Sales[[#This Row],[Disc %]]</f>
        <v>2010</v>
      </c>
      <c r="L4970" s="43">
        <v>0.18</v>
      </c>
      <c r="M4970" s="46">
        <f>(Sales[[#This Row],[Gross Amount]]-Sales[[#This Row],[Disc. Amt.]])*Sales[[#This Row],[GST %]]</f>
        <v>6874.2</v>
      </c>
      <c r="N4970" s="161">
        <f>Sales[[#This Row],[Gross Amount]]-Sales[[#This Row],[Disc. Amt.]]+Sales[[#This Row],[GST Amount]]</f>
        <v>45064.2</v>
      </c>
      <c r="O4970" s="34" t="s">
        <v>3561</v>
      </c>
      <c r="P4970" s="34" t="s">
        <v>3562</v>
      </c>
      <c r="Q4970" s="165">
        <f>IF(Sales[[#This Row],[Status]]="Cancelled",0,Sales[[#This Row],[Qty]])</f>
        <v>6</v>
      </c>
      <c r="R4970" s="166">
        <f>IF(Sales[[#This Row],[Status]]="Cancelled",0,Sales[[#This Row],[Total Amount]])</f>
        <v>45064.2</v>
      </c>
      <c r="S4970" s="162">
        <f>SUM(Sales[Net Amount])</f>
        <v>406839287.73200053</v>
      </c>
    </row>
    <row r="4971" spans="1:19" ht="18.75" x14ac:dyDescent="0.25">
      <c r="A4971" s="156" t="s">
        <v>8656</v>
      </c>
      <c r="B4971" s="157">
        <v>46021</v>
      </c>
      <c r="C4971" s="158" t="s">
        <v>683</v>
      </c>
      <c r="D4971" s="159" t="str">
        <f>VLOOKUP(Sales[[#This Row],[Customer ID]],Customer[#All],2,0)</f>
        <v>Rahul Kumar</v>
      </c>
      <c r="E4971" s="158" t="s">
        <v>202</v>
      </c>
      <c r="F4971" s="158" t="str">
        <f>VLOOKUP(Sales[[#This Row],[Product ID]],Product[#All],2,0)</f>
        <v>TP-link Wi-Fi Adapter</v>
      </c>
      <c r="G4971" s="159">
        <v>3</v>
      </c>
      <c r="H4971" s="160">
        <f>VLOOKUP(Sales[[#This Row],[Product ID]],Product[#All],7,0)</f>
        <v>1330</v>
      </c>
      <c r="I4971" s="160">
        <f>Sales[[#This Row],[Selling Rate]]*Sales[[#This Row],[Qty]]</f>
        <v>3990</v>
      </c>
      <c r="J4971" s="43">
        <v>0.12</v>
      </c>
      <c r="K4971" s="44">
        <f>Sales[[#This Row],[Gross Amount]]*Sales[[#This Row],[Disc %]]</f>
        <v>478.79999999999995</v>
      </c>
      <c r="L4971" s="43">
        <v>0.18</v>
      </c>
      <c r="M4971" s="44">
        <f>(Sales[[#This Row],[Gross Amount]]-Sales[[#This Row],[Disc. Amt.]])*Sales[[#This Row],[GST %]]</f>
        <v>632.01599999999996</v>
      </c>
      <c r="N4971" s="161">
        <f>Sales[[#This Row],[Gross Amount]]-Sales[[#This Row],[Disc. Amt.]]+Sales[[#This Row],[GST Amount]]</f>
        <v>4143.2159999999994</v>
      </c>
      <c r="O4971" s="158" t="s">
        <v>8876</v>
      </c>
      <c r="P4971" s="158" t="s">
        <v>3562</v>
      </c>
      <c r="Q4971" s="160">
        <f>IF(Sales[[#This Row],[Status]]="Cancelled",0,Sales[[#This Row],[Qty]])</f>
        <v>3</v>
      </c>
      <c r="R4971" s="161">
        <f>IF(Sales[[#This Row],[Status]]="Cancelled",0,Sales[[#This Row],[Total Amount]])</f>
        <v>4143.2159999999994</v>
      </c>
      <c r="S4971" s="162">
        <f>SUM(Sales[Net Amount])</f>
        <v>406839287.73200053</v>
      </c>
    </row>
    <row r="4972" spans="1:19" ht="18.75" x14ac:dyDescent="0.25">
      <c r="A4972" s="163" t="s">
        <v>8657</v>
      </c>
      <c r="B4972" s="164">
        <v>46021</v>
      </c>
      <c r="C4972" s="34" t="s">
        <v>824</v>
      </c>
      <c r="D4972" s="53" t="str">
        <f>VLOOKUP(Sales[[#This Row],[Customer ID]],Customer[#All],2,0)</f>
        <v>Sunita Verma</v>
      </c>
      <c r="E4972" s="34" t="s">
        <v>195</v>
      </c>
      <c r="F4972" s="34" t="str">
        <f>VLOOKUP(Sales[[#This Row],[Product ID]],Product[#All],2,0)</f>
        <v>Acer Laptop</v>
      </c>
      <c r="G4972" s="53">
        <v>6</v>
      </c>
      <c r="H4972" s="165">
        <f>VLOOKUP(Sales[[#This Row],[Product ID]],Product[#All],7,0)</f>
        <v>46790</v>
      </c>
      <c r="I4972" s="165">
        <f>Sales[[#This Row],[Selling Rate]]*Sales[[#This Row],[Qty]]</f>
        <v>280740</v>
      </c>
      <c r="J4972" s="45">
        <v>0.05</v>
      </c>
      <c r="K4972" s="46">
        <f>Sales[[#This Row],[Gross Amount]]*Sales[[#This Row],[Disc %]]</f>
        <v>14037</v>
      </c>
      <c r="L4972" s="43">
        <v>0.18</v>
      </c>
      <c r="M4972" s="46">
        <f>(Sales[[#This Row],[Gross Amount]]-Sales[[#This Row],[Disc. Amt.]])*Sales[[#This Row],[GST %]]</f>
        <v>48006.54</v>
      </c>
      <c r="N4972" s="161">
        <f>Sales[[#This Row],[Gross Amount]]-Sales[[#This Row],[Disc. Amt.]]+Sales[[#This Row],[GST Amount]]</f>
        <v>314709.53999999998</v>
      </c>
      <c r="O4972" s="34" t="s">
        <v>3566</v>
      </c>
      <c r="P4972" s="34" t="s">
        <v>3562</v>
      </c>
      <c r="Q4972" s="165">
        <f>IF(Sales[[#This Row],[Status]]="Cancelled",0,Sales[[#This Row],[Qty]])</f>
        <v>6</v>
      </c>
      <c r="R4972" s="166">
        <f>IF(Sales[[#This Row],[Status]]="Cancelled",0,Sales[[#This Row],[Total Amount]])</f>
        <v>314709.53999999998</v>
      </c>
      <c r="S4972" s="162">
        <f>SUM(Sales[Net Amount])</f>
        <v>406839287.73200053</v>
      </c>
    </row>
    <row r="4973" spans="1:19" ht="18.75" x14ac:dyDescent="0.25">
      <c r="A4973" s="156" t="s">
        <v>8658</v>
      </c>
      <c r="B4973" s="157">
        <v>46021</v>
      </c>
      <c r="C4973" s="158" t="s">
        <v>792</v>
      </c>
      <c r="D4973" s="159" t="str">
        <f>VLOOKUP(Sales[[#This Row],[Customer ID]],Customer[#All],2,0)</f>
        <v>Pooja Sharma</v>
      </c>
      <c r="E4973" s="158" t="s">
        <v>160</v>
      </c>
      <c r="F4973" s="158" t="str">
        <f>VLOOKUP(Sales[[#This Row],[Product ID]],Product[#All],2,0)</f>
        <v>Dell Power Adapter</v>
      </c>
      <c r="G4973" s="159">
        <v>4</v>
      </c>
      <c r="H4973" s="160">
        <f>VLOOKUP(Sales[[#This Row],[Product ID]],Product[#All],7,0)</f>
        <v>4330</v>
      </c>
      <c r="I4973" s="160">
        <f>Sales[[#This Row],[Selling Rate]]*Sales[[#This Row],[Qty]]</f>
        <v>17320</v>
      </c>
      <c r="J4973" s="43">
        <v>0.02</v>
      </c>
      <c r="K4973" s="44">
        <f>Sales[[#This Row],[Gross Amount]]*Sales[[#This Row],[Disc %]]</f>
        <v>346.40000000000003</v>
      </c>
      <c r="L4973" s="43">
        <v>0.18</v>
      </c>
      <c r="M4973" s="44">
        <f>(Sales[[#This Row],[Gross Amount]]-Sales[[#This Row],[Disc. Amt.]])*Sales[[#This Row],[GST %]]</f>
        <v>3055.2479999999996</v>
      </c>
      <c r="N4973" s="161">
        <f>Sales[[#This Row],[Gross Amount]]-Sales[[#This Row],[Disc. Amt.]]+Sales[[#This Row],[GST Amount]]</f>
        <v>20028.847999999998</v>
      </c>
      <c r="O4973" s="158" t="s">
        <v>3561</v>
      </c>
      <c r="P4973" s="158" t="s">
        <v>3562</v>
      </c>
      <c r="Q4973" s="160">
        <f>IF(Sales[[#This Row],[Status]]="Cancelled",0,Sales[[#This Row],[Qty]])</f>
        <v>4</v>
      </c>
      <c r="R4973" s="161">
        <f>IF(Sales[[#This Row],[Status]]="Cancelled",0,Sales[[#This Row],[Total Amount]])</f>
        <v>20028.847999999998</v>
      </c>
      <c r="S4973" s="162">
        <f>SUM(Sales[Net Amount])</f>
        <v>406839287.73200053</v>
      </c>
    </row>
    <row r="4974" spans="1:19" ht="18.75" x14ac:dyDescent="0.25">
      <c r="A4974" s="163" t="s">
        <v>8659</v>
      </c>
      <c r="B4974" s="164">
        <v>46021</v>
      </c>
      <c r="C4974" s="34" t="s">
        <v>816</v>
      </c>
      <c r="D4974" s="53" t="str">
        <f>VLOOKUP(Sales[[#This Row],[Customer ID]],Customer[#All],2,0)</f>
        <v>Amit Patel</v>
      </c>
      <c r="E4974" s="34" t="s">
        <v>471</v>
      </c>
      <c r="F4974" s="34" t="str">
        <f>VLOOKUP(Sales[[#This Row],[Product ID]],Product[#All],2,0)</f>
        <v>Samsung Monitor</v>
      </c>
      <c r="G4974" s="53">
        <v>6</v>
      </c>
      <c r="H4974" s="165">
        <f>VLOOKUP(Sales[[#This Row],[Product ID]],Product[#All],7,0)</f>
        <v>10840</v>
      </c>
      <c r="I4974" s="165">
        <f>Sales[[#This Row],[Selling Rate]]*Sales[[#This Row],[Qty]]</f>
        <v>65040</v>
      </c>
      <c r="J4974" s="45">
        <v>0</v>
      </c>
      <c r="K4974" s="46">
        <f>Sales[[#This Row],[Gross Amount]]*Sales[[#This Row],[Disc %]]</f>
        <v>0</v>
      </c>
      <c r="L4974" s="43">
        <v>0.18</v>
      </c>
      <c r="M4974" s="46">
        <f>(Sales[[#This Row],[Gross Amount]]-Sales[[#This Row],[Disc. Amt.]])*Sales[[#This Row],[GST %]]</f>
        <v>11707.199999999999</v>
      </c>
      <c r="N4974" s="161">
        <f>Sales[[#This Row],[Gross Amount]]-Sales[[#This Row],[Disc. Amt.]]+Sales[[#This Row],[GST Amount]]</f>
        <v>76747.199999999997</v>
      </c>
      <c r="O4974" s="34" t="s">
        <v>8876</v>
      </c>
      <c r="P4974" s="34" t="s">
        <v>3562</v>
      </c>
      <c r="Q4974" s="165">
        <f>IF(Sales[[#This Row],[Status]]="Cancelled",0,Sales[[#This Row],[Qty]])</f>
        <v>6</v>
      </c>
      <c r="R4974" s="166">
        <f>IF(Sales[[#This Row],[Status]]="Cancelled",0,Sales[[#This Row],[Total Amount]])</f>
        <v>76747.199999999997</v>
      </c>
      <c r="S4974" s="162">
        <f>SUM(Sales[Net Amount])</f>
        <v>406839287.73200053</v>
      </c>
    </row>
    <row r="4975" spans="1:19" ht="18.75" x14ac:dyDescent="0.25">
      <c r="A4975" s="156" t="s">
        <v>8660</v>
      </c>
      <c r="B4975" s="157">
        <v>46021</v>
      </c>
      <c r="C4975" s="158" t="s">
        <v>811</v>
      </c>
      <c r="D4975" s="159" t="str">
        <f>VLOOKUP(Sales[[#This Row],[Customer ID]],Customer[#All],2,0)</f>
        <v>Rahul Sharma</v>
      </c>
      <c r="E4975" s="158" t="s">
        <v>68</v>
      </c>
      <c r="F4975" s="158" t="str">
        <f>VLOOKUP(Sales[[#This Row],[Product ID]],Product[#All],2,0)</f>
        <v>Epson Printer</v>
      </c>
      <c r="G4975" s="159">
        <v>4</v>
      </c>
      <c r="H4975" s="160">
        <f>VLOOKUP(Sales[[#This Row],[Product ID]],Product[#All],7,0)</f>
        <v>21190</v>
      </c>
      <c r="I4975" s="160">
        <f>Sales[[#This Row],[Selling Rate]]*Sales[[#This Row],[Qty]]</f>
        <v>84760</v>
      </c>
      <c r="J4975" s="43">
        <v>0.1</v>
      </c>
      <c r="K4975" s="44">
        <f>Sales[[#This Row],[Gross Amount]]*Sales[[#This Row],[Disc %]]</f>
        <v>8476</v>
      </c>
      <c r="L4975" s="43">
        <v>0.18</v>
      </c>
      <c r="M4975" s="44">
        <f>(Sales[[#This Row],[Gross Amount]]-Sales[[#This Row],[Disc. Amt.]])*Sales[[#This Row],[GST %]]</f>
        <v>13731.119999999999</v>
      </c>
      <c r="N4975" s="161">
        <f>Sales[[#This Row],[Gross Amount]]-Sales[[#This Row],[Disc. Amt.]]+Sales[[#This Row],[GST Amount]]</f>
        <v>90015.12</v>
      </c>
      <c r="O4975" s="158" t="s">
        <v>3561</v>
      </c>
      <c r="P4975" s="158" t="s">
        <v>3562</v>
      </c>
      <c r="Q4975" s="160">
        <f>IF(Sales[[#This Row],[Status]]="Cancelled",0,Sales[[#This Row],[Qty]])</f>
        <v>4</v>
      </c>
      <c r="R4975" s="161">
        <f>IF(Sales[[#This Row],[Status]]="Cancelled",0,Sales[[#This Row],[Total Amount]])</f>
        <v>90015.12</v>
      </c>
      <c r="S4975" s="162">
        <f>SUM(Sales[Net Amount])</f>
        <v>406839287.73200053</v>
      </c>
    </row>
    <row r="4976" spans="1:19" ht="18.75" x14ac:dyDescent="0.25">
      <c r="A4976" s="163" t="s">
        <v>8661</v>
      </c>
      <c r="B4976" s="164">
        <v>46021</v>
      </c>
      <c r="C4976" s="34" t="s">
        <v>707</v>
      </c>
      <c r="D4976" s="53" t="str">
        <f>VLOOKUP(Sales[[#This Row],[Customer ID]],Customer[#All],2,0)</f>
        <v>Rahul Verma</v>
      </c>
      <c r="E4976" s="34" t="s">
        <v>377</v>
      </c>
      <c r="F4976" s="34" t="str">
        <f>VLOOKUP(Sales[[#This Row],[Product ID]],Product[#All],2,0)</f>
        <v>Acer Laptop</v>
      </c>
      <c r="G4976" s="53">
        <v>4</v>
      </c>
      <c r="H4976" s="165">
        <f>VLOOKUP(Sales[[#This Row],[Product ID]],Product[#All],7,0)</f>
        <v>68710</v>
      </c>
      <c r="I4976" s="165">
        <f>Sales[[#This Row],[Selling Rate]]*Sales[[#This Row],[Qty]]</f>
        <v>274840</v>
      </c>
      <c r="J4976" s="45">
        <v>0.05</v>
      </c>
      <c r="K4976" s="46">
        <f>Sales[[#This Row],[Gross Amount]]*Sales[[#This Row],[Disc %]]</f>
        <v>13742</v>
      </c>
      <c r="L4976" s="43">
        <v>0.18</v>
      </c>
      <c r="M4976" s="46">
        <f>(Sales[[#This Row],[Gross Amount]]-Sales[[#This Row],[Disc. Amt.]])*Sales[[#This Row],[GST %]]</f>
        <v>46997.64</v>
      </c>
      <c r="N4976" s="161">
        <f>Sales[[#This Row],[Gross Amount]]-Sales[[#This Row],[Disc. Amt.]]+Sales[[#This Row],[GST Amount]]</f>
        <v>308095.64</v>
      </c>
      <c r="O4976" s="34" t="s">
        <v>8876</v>
      </c>
      <c r="P4976" s="34" t="s">
        <v>3562</v>
      </c>
      <c r="Q4976" s="165">
        <f>IF(Sales[[#This Row],[Status]]="Cancelled",0,Sales[[#This Row],[Qty]])</f>
        <v>4</v>
      </c>
      <c r="R4976" s="166">
        <f>IF(Sales[[#This Row],[Status]]="Cancelled",0,Sales[[#This Row],[Total Amount]])</f>
        <v>308095.64</v>
      </c>
      <c r="S4976" s="162">
        <f>SUM(Sales[Net Amount])</f>
        <v>406839287.73200053</v>
      </c>
    </row>
    <row r="4977" spans="1:19" ht="18.75" x14ac:dyDescent="0.25">
      <c r="A4977" s="156" t="s">
        <v>8662</v>
      </c>
      <c r="B4977" s="157">
        <v>46021</v>
      </c>
      <c r="C4977" s="158" t="s">
        <v>6359</v>
      </c>
      <c r="D4977" s="159" t="str">
        <f>VLOOKUP(Sales[[#This Row],[Customer ID]],Customer[#All],2,0)</f>
        <v>Pooja Singh</v>
      </c>
      <c r="E4977" s="158" t="s">
        <v>4</v>
      </c>
      <c r="F4977" s="158" t="str">
        <f>VLOOKUP(Sales[[#This Row],[Product ID]],Product[#All],2,0)</f>
        <v>Epson Printer</v>
      </c>
      <c r="G4977" s="159">
        <v>8</v>
      </c>
      <c r="H4977" s="160">
        <f>VLOOKUP(Sales[[#This Row],[Product ID]],Product[#All],7,0)</f>
        <v>45990</v>
      </c>
      <c r="I4977" s="160">
        <f>Sales[[#This Row],[Selling Rate]]*Sales[[#This Row],[Qty]]</f>
        <v>367920</v>
      </c>
      <c r="J4977" s="43">
        <v>0.02</v>
      </c>
      <c r="K4977" s="44">
        <f>Sales[[#This Row],[Gross Amount]]*Sales[[#This Row],[Disc %]]</f>
        <v>7358.4000000000005</v>
      </c>
      <c r="L4977" s="43">
        <v>0.18</v>
      </c>
      <c r="M4977" s="44">
        <f>(Sales[[#This Row],[Gross Amount]]-Sales[[#This Row],[Disc. Amt.]])*Sales[[#This Row],[GST %]]</f>
        <v>64901.087999999996</v>
      </c>
      <c r="N4977" s="161">
        <f>Sales[[#This Row],[Gross Amount]]-Sales[[#This Row],[Disc. Amt.]]+Sales[[#This Row],[GST Amount]]</f>
        <v>425462.68799999997</v>
      </c>
      <c r="O4977" s="158" t="s">
        <v>3561</v>
      </c>
      <c r="P4977" s="158" t="s">
        <v>3562</v>
      </c>
      <c r="Q4977" s="160">
        <f>IF(Sales[[#This Row],[Status]]="Cancelled",0,Sales[[#This Row],[Qty]])</f>
        <v>8</v>
      </c>
      <c r="R4977" s="161">
        <f>IF(Sales[[#This Row],[Status]]="Cancelled",0,Sales[[#This Row],[Total Amount]])</f>
        <v>425462.68799999997</v>
      </c>
      <c r="S4977" s="162">
        <f>SUM(Sales[Net Amount])</f>
        <v>406839287.73200053</v>
      </c>
    </row>
    <row r="4978" spans="1:19" ht="18.75" x14ac:dyDescent="0.25">
      <c r="A4978" s="163" t="s">
        <v>8663</v>
      </c>
      <c r="B4978" s="164">
        <v>46021</v>
      </c>
      <c r="C4978" s="34" t="s">
        <v>915</v>
      </c>
      <c r="D4978" s="53" t="str">
        <f>VLOOKUP(Sales[[#This Row],[Customer ID]],Customer[#All],2,0)</f>
        <v>Sunita Kumar</v>
      </c>
      <c r="E4978" s="34" t="s">
        <v>48</v>
      </c>
      <c r="F4978" s="34" t="str">
        <f>VLOOKUP(Sales[[#This Row],[Product ID]],Product[#All],2,0)</f>
        <v>Jbl Headset</v>
      </c>
      <c r="G4978" s="53">
        <v>2</v>
      </c>
      <c r="H4978" s="165">
        <f>VLOOKUP(Sales[[#This Row],[Product ID]],Product[#All],7,0)</f>
        <v>4610</v>
      </c>
      <c r="I4978" s="165">
        <f>Sales[[#This Row],[Selling Rate]]*Sales[[#This Row],[Qty]]</f>
        <v>9220</v>
      </c>
      <c r="J4978" s="45">
        <v>0.05</v>
      </c>
      <c r="K4978" s="46">
        <f>Sales[[#This Row],[Gross Amount]]*Sales[[#This Row],[Disc %]]</f>
        <v>461</v>
      </c>
      <c r="L4978" s="43">
        <v>0.18</v>
      </c>
      <c r="M4978" s="46">
        <f>(Sales[[#This Row],[Gross Amount]]-Sales[[#This Row],[Disc. Amt.]])*Sales[[#This Row],[GST %]]</f>
        <v>1576.62</v>
      </c>
      <c r="N4978" s="161">
        <f>Sales[[#This Row],[Gross Amount]]-Sales[[#This Row],[Disc. Amt.]]+Sales[[#This Row],[GST Amount]]</f>
        <v>10335.619999999999</v>
      </c>
      <c r="O4978" s="34" t="s">
        <v>3569</v>
      </c>
      <c r="P4978" s="34" t="s">
        <v>3562</v>
      </c>
      <c r="Q4978" s="165">
        <f>IF(Sales[[#This Row],[Status]]="Cancelled",0,Sales[[#This Row],[Qty]])</f>
        <v>2</v>
      </c>
      <c r="R4978" s="166">
        <f>IF(Sales[[#This Row],[Status]]="Cancelled",0,Sales[[#This Row],[Total Amount]])</f>
        <v>10335.619999999999</v>
      </c>
      <c r="S4978" s="162">
        <f>SUM(Sales[Net Amount])</f>
        <v>406839287.73200053</v>
      </c>
    </row>
    <row r="4979" spans="1:19" ht="18.75" x14ac:dyDescent="0.25">
      <c r="A4979" s="156" t="s">
        <v>8664</v>
      </c>
      <c r="B4979" s="157">
        <v>46022</v>
      </c>
      <c r="C4979" s="158" t="s">
        <v>820</v>
      </c>
      <c r="D4979" s="159" t="str">
        <f>VLOOKUP(Sales[[#This Row],[Customer ID]],Customer[#All],2,0)</f>
        <v>Sahil Gupta</v>
      </c>
      <c r="E4979" s="158" t="s">
        <v>532</v>
      </c>
      <c r="F4979" s="158" t="str">
        <f>VLOOKUP(Sales[[#This Row],[Product ID]],Product[#All],2,0)</f>
        <v>Dell Laptop</v>
      </c>
      <c r="G4979" s="159">
        <v>5</v>
      </c>
      <c r="H4979" s="160">
        <f>VLOOKUP(Sales[[#This Row],[Product ID]],Product[#All],7,0)</f>
        <v>47550</v>
      </c>
      <c r="I4979" s="160">
        <f>Sales[[#This Row],[Selling Rate]]*Sales[[#This Row],[Qty]]</f>
        <v>237750</v>
      </c>
      <c r="J4979" s="43">
        <v>0.15</v>
      </c>
      <c r="K4979" s="44">
        <f>Sales[[#This Row],[Gross Amount]]*Sales[[#This Row],[Disc %]]</f>
        <v>35662.5</v>
      </c>
      <c r="L4979" s="43">
        <v>0.18</v>
      </c>
      <c r="M4979" s="44">
        <f>(Sales[[#This Row],[Gross Amount]]-Sales[[#This Row],[Disc. Amt.]])*Sales[[#This Row],[GST %]]</f>
        <v>36375.75</v>
      </c>
      <c r="N4979" s="161">
        <f>Sales[[#This Row],[Gross Amount]]-Sales[[#This Row],[Disc. Amt.]]+Sales[[#This Row],[GST Amount]]</f>
        <v>238463.25</v>
      </c>
      <c r="O4979" s="158" t="s">
        <v>3566</v>
      </c>
      <c r="P4979" s="158" t="s">
        <v>3562</v>
      </c>
      <c r="Q4979" s="160">
        <f>IF(Sales[[#This Row],[Status]]="Cancelled",0,Sales[[#This Row],[Qty]])</f>
        <v>5</v>
      </c>
      <c r="R4979" s="161">
        <f>IF(Sales[[#This Row],[Status]]="Cancelled",0,Sales[[#This Row],[Total Amount]])</f>
        <v>238463.25</v>
      </c>
      <c r="S4979" s="162">
        <f>SUM(Sales[Net Amount])</f>
        <v>406839287.73200053</v>
      </c>
    </row>
    <row r="4980" spans="1:19" ht="18.75" x14ac:dyDescent="0.25">
      <c r="A4980" s="163" t="s">
        <v>8665</v>
      </c>
      <c r="B4980" s="164">
        <v>46022</v>
      </c>
      <c r="C4980" s="34" t="s">
        <v>705</v>
      </c>
      <c r="D4980" s="53" t="str">
        <f>VLOOKUP(Sales[[#This Row],[Customer ID]],Customer[#All],2,0)</f>
        <v>Priya Verma</v>
      </c>
      <c r="E4980" s="34" t="s">
        <v>144</v>
      </c>
      <c r="F4980" s="34" t="str">
        <f>VLOOKUP(Sales[[#This Row],[Product ID]],Product[#All],2,0)</f>
        <v>Jbl Speaker</v>
      </c>
      <c r="G4980" s="53">
        <v>3</v>
      </c>
      <c r="H4980" s="165">
        <f>VLOOKUP(Sales[[#This Row],[Product ID]],Product[#All],7,0)</f>
        <v>7630</v>
      </c>
      <c r="I4980" s="165">
        <f>Sales[[#This Row],[Selling Rate]]*Sales[[#This Row],[Qty]]</f>
        <v>22890</v>
      </c>
      <c r="J4980" s="45">
        <v>0.02</v>
      </c>
      <c r="K4980" s="46">
        <f>Sales[[#This Row],[Gross Amount]]*Sales[[#This Row],[Disc %]]</f>
        <v>457.8</v>
      </c>
      <c r="L4980" s="43">
        <v>0.18</v>
      </c>
      <c r="M4980" s="46">
        <f>(Sales[[#This Row],[Gross Amount]]-Sales[[#This Row],[Disc. Amt.]])*Sales[[#This Row],[GST %]]</f>
        <v>4037.7959999999998</v>
      </c>
      <c r="N4980" s="161">
        <f>Sales[[#This Row],[Gross Amount]]-Sales[[#This Row],[Disc. Amt.]]+Sales[[#This Row],[GST Amount]]</f>
        <v>26469.995999999999</v>
      </c>
      <c r="O4980" s="34" t="s">
        <v>3561</v>
      </c>
      <c r="P4980" s="34" t="s">
        <v>3562</v>
      </c>
      <c r="Q4980" s="165">
        <f>IF(Sales[[#This Row],[Status]]="Cancelled",0,Sales[[#This Row],[Qty]])</f>
        <v>3</v>
      </c>
      <c r="R4980" s="166">
        <f>IF(Sales[[#This Row],[Status]]="Cancelled",0,Sales[[#This Row],[Total Amount]])</f>
        <v>26469.995999999999</v>
      </c>
      <c r="S4980" s="162">
        <f>SUM(Sales[Net Amount])</f>
        <v>406839287.73200053</v>
      </c>
    </row>
    <row r="4981" spans="1:19" ht="18.75" x14ac:dyDescent="0.25">
      <c r="A4981" s="156" t="s">
        <v>8666</v>
      </c>
      <c r="B4981" s="157">
        <v>46022</v>
      </c>
      <c r="C4981" s="158" t="s">
        <v>932</v>
      </c>
      <c r="D4981" s="159" t="str">
        <f>VLOOKUP(Sales[[#This Row],[Customer ID]],Customer[#All],2,0)</f>
        <v>Vikas Gupta</v>
      </c>
      <c r="E4981" s="158" t="s">
        <v>213</v>
      </c>
      <c r="F4981" s="158" t="str">
        <f>VLOOKUP(Sales[[#This Row],[Product ID]],Product[#All],2,0)</f>
        <v>Dell Power Adapter</v>
      </c>
      <c r="G4981" s="159">
        <v>5</v>
      </c>
      <c r="H4981" s="160">
        <f>VLOOKUP(Sales[[#This Row],[Product ID]],Product[#All],7,0)</f>
        <v>3740</v>
      </c>
      <c r="I4981" s="160">
        <f>Sales[[#This Row],[Selling Rate]]*Sales[[#This Row],[Qty]]</f>
        <v>18700</v>
      </c>
      <c r="J4981" s="43">
        <v>0</v>
      </c>
      <c r="K4981" s="44">
        <f>Sales[[#This Row],[Gross Amount]]*Sales[[#This Row],[Disc %]]</f>
        <v>0</v>
      </c>
      <c r="L4981" s="43">
        <v>0.18</v>
      </c>
      <c r="M4981" s="44">
        <f>(Sales[[#This Row],[Gross Amount]]-Sales[[#This Row],[Disc. Amt.]])*Sales[[#This Row],[GST %]]</f>
        <v>3366</v>
      </c>
      <c r="N4981" s="161">
        <f>Sales[[#This Row],[Gross Amount]]-Sales[[#This Row],[Disc. Amt.]]+Sales[[#This Row],[GST Amount]]</f>
        <v>22066</v>
      </c>
      <c r="O4981" s="158" t="s">
        <v>8876</v>
      </c>
      <c r="P4981" s="158" t="s">
        <v>3562</v>
      </c>
      <c r="Q4981" s="160">
        <f>IF(Sales[[#This Row],[Status]]="Cancelled",0,Sales[[#This Row],[Qty]])</f>
        <v>5</v>
      </c>
      <c r="R4981" s="161">
        <f>IF(Sales[[#This Row],[Status]]="Cancelled",0,Sales[[#This Row],[Total Amount]])</f>
        <v>22066</v>
      </c>
      <c r="S4981" s="162">
        <f>SUM(Sales[Net Amount])</f>
        <v>406839287.73200053</v>
      </c>
    </row>
    <row r="4982" spans="1:19" ht="18.75" x14ac:dyDescent="0.25">
      <c r="A4982" s="163" t="s">
        <v>8667</v>
      </c>
      <c r="B4982" s="164">
        <v>46022</v>
      </c>
      <c r="C4982" s="34" t="s">
        <v>865</v>
      </c>
      <c r="D4982" s="53" t="str">
        <f>VLOOKUP(Sales[[#This Row],[Customer ID]],Customer[#All],2,0)</f>
        <v>Sunita Gupta</v>
      </c>
      <c r="E4982" s="34" t="s">
        <v>215</v>
      </c>
      <c r="F4982" s="34" t="str">
        <f>VLOOKUP(Sales[[#This Row],[Product ID]],Product[#All],2,0)</f>
        <v>Apc UPS</v>
      </c>
      <c r="G4982" s="53">
        <v>8</v>
      </c>
      <c r="H4982" s="165">
        <f>VLOOKUP(Sales[[#This Row],[Product ID]],Product[#All],7,0)</f>
        <v>10210</v>
      </c>
      <c r="I4982" s="165">
        <f>Sales[[#This Row],[Selling Rate]]*Sales[[#This Row],[Qty]]</f>
        <v>81680</v>
      </c>
      <c r="J4982" s="45">
        <v>0.05</v>
      </c>
      <c r="K4982" s="46">
        <f>Sales[[#This Row],[Gross Amount]]*Sales[[#This Row],[Disc %]]</f>
        <v>4084</v>
      </c>
      <c r="L4982" s="43">
        <v>0.18</v>
      </c>
      <c r="M4982" s="46">
        <f>(Sales[[#This Row],[Gross Amount]]-Sales[[#This Row],[Disc. Amt.]])*Sales[[#This Row],[GST %]]</f>
        <v>13967.279999999999</v>
      </c>
      <c r="N4982" s="161">
        <f>Sales[[#This Row],[Gross Amount]]-Sales[[#This Row],[Disc. Amt.]]+Sales[[#This Row],[GST Amount]]</f>
        <v>91563.28</v>
      </c>
      <c r="O4982" s="34" t="s">
        <v>8876</v>
      </c>
      <c r="P4982" s="34" t="s">
        <v>3562</v>
      </c>
      <c r="Q4982" s="165">
        <f>IF(Sales[[#This Row],[Status]]="Cancelled",0,Sales[[#This Row],[Qty]])</f>
        <v>8</v>
      </c>
      <c r="R4982" s="166">
        <f>IF(Sales[[#This Row],[Status]]="Cancelled",0,Sales[[#This Row],[Total Amount]])</f>
        <v>91563.28</v>
      </c>
      <c r="S4982" s="162">
        <f>SUM(Sales[Net Amount])</f>
        <v>406839287.73200053</v>
      </c>
    </row>
    <row r="4983" spans="1:19" ht="18.75" x14ac:dyDescent="0.25">
      <c r="A4983" s="156" t="s">
        <v>8668</v>
      </c>
      <c r="B4983" s="157">
        <v>46022</v>
      </c>
      <c r="C4983" s="158" t="s">
        <v>821</v>
      </c>
      <c r="D4983" s="159" t="str">
        <f>VLOOKUP(Sales[[#This Row],[Customer ID]],Customer[#All],2,0)</f>
        <v>Rakesh Sharma</v>
      </c>
      <c r="E4983" s="158" t="s">
        <v>88</v>
      </c>
      <c r="F4983" s="158" t="str">
        <f>VLOOKUP(Sales[[#This Row],[Product ID]],Product[#All],2,0)</f>
        <v>Dell Laptop</v>
      </c>
      <c r="G4983" s="159">
        <v>7</v>
      </c>
      <c r="H4983" s="160">
        <f>VLOOKUP(Sales[[#This Row],[Product ID]],Product[#All],7,0)</f>
        <v>43690</v>
      </c>
      <c r="I4983" s="160">
        <f>Sales[[#This Row],[Selling Rate]]*Sales[[#This Row],[Qty]]</f>
        <v>305830</v>
      </c>
      <c r="J4983" s="43">
        <v>0.05</v>
      </c>
      <c r="K4983" s="44">
        <f>Sales[[#This Row],[Gross Amount]]*Sales[[#This Row],[Disc %]]</f>
        <v>15291.5</v>
      </c>
      <c r="L4983" s="43">
        <v>0.18</v>
      </c>
      <c r="M4983" s="44">
        <f>(Sales[[#This Row],[Gross Amount]]-Sales[[#This Row],[Disc. Amt.]])*Sales[[#This Row],[GST %]]</f>
        <v>52296.93</v>
      </c>
      <c r="N4983" s="161">
        <f>Sales[[#This Row],[Gross Amount]]-Sales[[#This Row],[Disc. Amt.]]+Sales[[#This Row],[GST Amount]]</f>
        <v>342835.43</v>
      </c>
      <c r="O4983" s="158" t="s">
        <v>3561</v>
      </c>
      <c r="P4983" s="158" t="s">
        <v>3562</v>
      </c>
      <c r="Q4983" s="160">
        <f>IF(Sales[[#This Row],[Status]]="Cancelled",0,Sales[[#This Row],[Qty]])</f>
        <v>7</v>
      </c>
      <c r="R4983" s="161">
        <f>IF(Sales[[#This Row],[Status]]="Cancelled",0,Sales[[#This Row],[Total Amount]])</f>
        <v>342835.43</v>
      </c>
      <c r="S4983" s="162">
        <f>SUM(Sales[Net Amount])</f>
        <v>406839287.73200053</v>
      </c>
    </row>
    <row r="4984" spans="1:19" ht="18.75" x14ac:dyDescent="0.25">
      <c r="A4984" s="163" t="s">
        <v>8669</v>
      </c>
      <c r="B4984" s="164">
        <v>46022</v>
      </c>
      <c r="C4984" s="34" t="s">
        <v>704</v>
      </c>
      <c r="D4984" s="53" t="str">
        <f>VLOOKUP(Sales[[#This Row],[Customer ID]],Customer[#All],2,0)</f>
        <v>Rahul Gupta</v>
      </c>
      <c r="E4984" s="34" t="s">
        <v>422</v>
      </c>
      <c r="F4984" s="34" t="str">
        <f>VLOOKUP(Sales[[#This Row],[Product ID]],Product[#All],2,0)</f>
        <v>Microtek UPS</v>
      </c>
      <c r="G4984" s="53">
        <v>4</v>
      </c>
      <c r="H4984" s="165">
        <f>VLOOKUP(Sales[[#This Row],[Product ID]],Product[#All],7,0)</f>
        <v>6450</v>
      </c>
      <c r="I4984" s="165">
        <f>Sales[[#This Row],[Selling Rate]]*Sales[[#This Row],[Qty]]</f>
        <v>25800</v>
      </c>
      <c r="J4984" s="45">
        <v>0</v>
      </c>
      <c r="K4984" s="46">
        <f>Sales[[#This Row],[Gross Amount]]*Sales[[#This Row],[Disc %]]</f>
        <v>0</v>
      </c>
      <c r="L4984" s="43">
        <v>0.18</v>
      </c>
      <c r="M4984" s="46">
        <f>(Sales[[#This Row],[Gross Amount]]-Sales[[#This Row],[Disc. Amt.]])*Sales[[#This Row],[GST %]]</f>
        <v>4644</v>
      </c>
      <c r="N4984" s="161">
        <f>Sales[[#This Row],[Gross Amount]]-Sales[[#This Row],[Disc. Amt.]]+Sales[[#This Row],[GST Amount]]</f>
        <v>30444</v>
      </c>
      <c r="O4984" s="34" t="s">
        <v>3561</v>
      </c>
      <c r="P4984" s="34" t="s">
        <v>1040</v>
      </c>
      <c r="Q4984" s="165">
        <f>IF(Sales[[#This Row],[Status]]="Cancelled",0,Sales[[#This Row],[Qty]])</f>
        <v>0</v>
      </c>
      <c r="R4984" s="166">
        <f>IF(Sales[[#This Row],[Status]]="Cancelled",0,Sales[[#This Row],[Total Amount]])</f>
        <v>0</v>
      </c>
      <c r="S4984" s="162">
        <f>SUM(Sales[Net Amount])</f>
        <v>406839287.73200053</v>
      </c>
    </row>
    <row r="4985" spans="1:19" ht="18.75" x14ac:dyDescent="0.25">
      <c r="A4985" s="156" t="s">
        <v>8670</v>
      </c>
      <c r="B4985" s="157">
        <v>46022</v>
      </c>
      <c r="C4985" s="158" t="s">
        <v>870</v>
      </c>
      <c r="D4985" s="159" t="str">
        <f>VLOOKUP(Sales[[#This Row],[Customer ID]],Customer[#All],2,0)</f>
        <v>Vikas Singh</v>
      </c>
      <c r="E4985" s="158" t="s">
        <v>206</v>
      </c>
      <c r="F4985" s="158" t="str">
        <f>VLOOKUP(Sales[[#This Row],[Product ID]],Product[#All],2,0)</f>
        <v>Dell Power Adapter</v>
      </c>
      <c r="G4985" s="159">
        <v>5</v>
      </c>
      <c r="H4985" s="160">
        <f>VLOOKUP(Sales[[#This Row],[Product ID]],Product[#All],7,0)</f>
        <v>2490</v>
      </c>
      <c r="I4985" s="160">
        <f>Sales[[#This Row],[Selling Rate]]*Sales[[#This Row],[Qty]]</f>
        <v>12450</v>
      </c>
      <c r="J4985" s="43">
        <v>0.12</v>
      </c>
      <c r="K4985" s="44">
        <f>Sales[[#This Row],[Gross Amount]]*Sales[[#This Row],[Disc %]]</f>
        <v>1494</v>
      </c>
      <c r="L4985" s="43">
        <v>0.18</v>
      </c>
      <c r="M4985" s="44">
        <f>(Sales[[#This Row],[Gross Amount]]-Sales[[#This Row],[Disc. Amt.]])*Sales[[#This Row],[GST %]]</f>
        <v>1972.08</v>
      </c>
      <c r="N4985" s="161">
        <f>Sales[[#This Row],[Gross Amount]]-Sales[[#This Row],[Disc. Amt.]]+Sales[[#This Row],[GST Amount]]</f>
        <v>12928.08</v>
      </c>
      <c r="O4985" s="158" t="s">
        <v>3561</v>
      </c>
      <c r="P4985" s="158" t="s">
        <v>3562</v>
      </c>
      <c r="Q4985" s="160">
        <f>IF(Sales[[#This Row],[Status]]="Cancelled",0,Sales[[#This Row],[Qty]])</f>
        <v>5</v>
      </c>
      <c r="R4985" s="161">
        <f>IF(Sales[[#This Row],[Status]]="Cancelled",0,Sales[[#This Row],[Total Amount]])</f>
        <v>12928.08</v>
      </c>
      <c r="S4985" s="162">
        <f>SUM(Sales[Net Amount])</f>
        <v>406839287.73200053</v>
      </c>
    </row>
    <row r="4986" spans="1:19" ht="18.75" x14ac:dyDescent="0.25">
      <c r="A4986" s="163" t="s">
        <v>8671</v>
      </c>
      <c r="B4986" s="164">
        <v>46022</v>
      </c>
      <c r="C4986" s="34" t="s">
        <v>831</v>
      </c>
      <c r="D4986" s="53" t="str">
        <f>VLOOKUP(Sales[[#This Row],[Customer ID]],Customer[#All],2,0)</f>
        <v>Vikas Gupta</v>
      </c>
      <c r="E4986" s="34" t="s">
        <v>185</v>
      </c>
      <c r="F4986" s="34" t="str">
        <f>VLOOKUP(Sales[[#This Row],[Product ID]],Product[#All],2,0)</f>
        <v>HP Power Adapter</v>
      </c>
      <c r="G4986" s="53">
        <v>4</v>
      </c>
      <c r="H4986" s="165">
        <f>VLOOKUP(Sales[[#This Row],[Product ID]],Product[#All],7,0)</f>
        <v>4850</v>
      </c>
      <c r="I4986" s="165">
        <f>Sales[[#This Row],[Selling Rate]]*Sales[[#This Row],[Qty]]</f>
        <v>19400</v>
      </c>
      <c r="J4986" s="45">
        <v>0.05</v>
      </c>
      <c r="K4986" s="46">
        <f>Sales[[#This Row],[Gross Amount]]*Sales[[#This Row],[Disc %]]</f>
        <v>970</v>
      </c>
      <c r="L4986" s="43">
        <v>0.18</v>
      </c>
      <c r="M4986" s="46">
        <f>(Sales[[#This Row],[Gross Amount]]-Sales[[#This Row],[Disc. Amt.]])*Sales[[#This Row],[GST %]]</f>
        <v>3317.4</v>
      </c>
      <c r="N4986" s="161">
        <f>Sales[[#This Row],[Gross Amount]]-Sales[[#This Row],[Disc. Amt.]]+Sales[[#This Row],[GST Amount]]</f>
        <v>21747.4</v>
      </c>
      <c r="O4986" s="34" t="s">
        <v>3566</v>
      </c>
      <c r="P4986" s="34" t="s">
        <v>3562</v>
      </c>
      <c r="Q4986" s="165">
        <f>IF(Sales[[#This Row],[Status]]="Cancelled",0,Sales[[#This Row],[Qty]])</f>
        <v>4</v>
      </c>
      <c r="R4986" s="166">
        <f>IF(Sales[[#This Row],[Status]]="Cancelled",0,Sales[[#This Row],[Total Amount]])</f>
        <v>21747.4</v>
      </c>
      <c r="S4986" s="162">
        <f>SUM(Sales[Net Amount])</f>
        <v>406839287.73200053</v>
      </c>
    </row>
    <row r="4987" spans="1:19" ht="18.75" x14ac:dyDescent="0.25">
      <c r="A4987" s="156" t="s">
        <v>8672</v>
      </c>
      <c r="B4987" s="157">
        <v>46022</v>
      </c>
      <c r="C4987" s="158" t="s">
        <v>716</v>
      </c>
      <c r="D4987" s="159" t="str">
        <f>VLOOKUP(Sales[[#This Row],[Customer ID]],Customer[#All],2,0)</f>
        <v>Ankit Kumar</v>
      </c>
      <c r="E4987" s="158" t="s">
        <v>183</v>
      </c>
      <c r="F4987" s="158" t="str">
        <f>VLOOKUP(Sales[[#This Row],[Product ID]],Product[#All],2,0)</f>
        <v>Boat Speaker</v>
      </c>
      <c r="G4987" s="159">
        <v>8</v>
      </c>
      <c r="H4987" s="160">
        <f>VLOOKUP(Sales[[#This Row],[Product ID]],Product[#All],7,0)</f>
        <v>1430</v>
      </c>
      <c r="I4987" s="160">
        <f>Sales[[#This Row],[Selling Rate]]*Sales[[#This Row],[Qty]]</f>
        <v>11440</v>
      </c>
      <c r="J4987" s="43">
        <v>0.12</v>
      </c>
      <c r="K4987" s="44">
        <f>Sales[[#This Row],[Gross Amount]]*Sales[[#This Row],[Disc %]]</f>
        <v>1372.8</v>
      </c>
      <c r="L4987" s="43">
        <v>0.18</v>
      </c>
      <c r="M4987" s="44">
        <f>(Sales[[#This Row],[Gross Amount]]-Sales[[#This Row],[Disc. Amt.]])*Sales[[#This Row],[GST %]]</f>
        <v>1812.096</v>
      </c>
      <c r="N4987" s="161">
        <f>Sales[[#This Row],[Gross Amount]]-Sales[[#This Row],[Disc. Amt.]]+Sales[[#This Row],[GST Amount]]</f>
        <v>11879.296</v>
      </c>
      <c r="O4987" s="158" t="s">
        <v>3561</v>
      </c>
      <c r="P4987" s="158" t="s">
        <v>3562</v>
      </c>
      <c r="Q4987" s="160">
        <f>IF(Sales[[#This Row],[Status]]="Cancelled",0,Sales[[#This Row],[Qty]])</f>
        <v>8</v>
      </c>
      <c r="R4987" s="161">
        <f>IF(Sales[[#This Row],[Status]]="Cancelled",0,Sales[[#This Row],[Total Amount]])</f>
        <v>11879.296</v>
      </c>
      <c r="S4987" s="162">
        <f>SUM(Sales[Net Amount])</f>
        <v>406839287.73200053</v>
      </c>
    </row>
    <row r="4988" spans="1:19" ht="18.75" x14ac:dyDescent="0.25">
      <c r="A4988" s="163" t="s">
        <v>8673</v>
      </c>
      <c r="B4988" s="164">
        <v>46022</v>
      </c>
      <c r="C4988" s="34" t="s">
        <v>763</v>
      </c>
      <c r="D4988" s="53" t="str">
        <f>VLOOKUP(Sales[[#This Row],[Customer ID]],Customer[#All],2,0)</f>
        <v>Pooja Verma</v>
      </c>
      <c r="E4988" s="34" t="s">
        <v>187</v>
      </c>
      <c r="F4988" s="34" t="str">
        <f>VLOOKUP(Sales[[#This Row],[Product ID]],Product[#All],2,0)</f>
        <v>American TouristerLaptopBag</v>
      </c>
      <c r="G4988" s="53">
        <v>8</v>
      </c>
      <c r="H4988" s="165">
        <f>VLOOKUP(Sales[[#This Row],[Product ID]],Product[#All],7,0)</f>
        <v>840</v>
      </c>
      <c r="I4988" s="165">
        <f>Sales[[#This Row],[Selling Rate]]*Sales[[#This Row],[Qty]]</f>
        <v>6720</v>
      </c>
      <c r="J4988" s="45">
        <v>0</v>
      </c>
      <c r="K4988" s="46">
        <f>Sales[[#This Row],[Gross Amount]]*Sales[[#This Row],[Disc %]]</f>
        <v>0</v>
      </c>
      <c r="L4988" s="43">
        <v>0.18</v>
      </c>
      <c r="M4988" s="46">
        <f>(Sales[[#This Row],[Gross Amount]]-Sales[[#This Row],[Disc. Amt.]])*Sales[[#This Row],[GST %]]</f>
        <v>1209.5999999999999</v>
      </c>
      <c r="N4988" s="161">
        <f>Sales[[#This Row],[Gross Amount]]-Sales[[#This Row],[Disc. Amt.]]+Sales[[#This Row],[GST Amount]]</f>
        <v>7929.6</v>
      </c>
      <c r="O4988" s="34" t="s">
        <v>3569</v>
      </c>
      <c r="P4988" s="34" t="s">
        <v>3562</v>
      </c>
      <c r="Q4988" s="165">
        <f>IF(Sales[[#This Row],[Status]]="Cancelled",0,Sales[[#This Row],[Qty]])</f>
        <v>8</v>
      </c>
      <c r="R4988" s="166">
        <f>IF(Sales[[#This Row],[Status]]="Cancelled",0,Sales[[#This Row],[Total Amount]])</f>
        <v>7929.6</v>
      </c>
      <c r="S4988" s="162">
        <f>SUM(Sales[Net Amount])</f>
        <v>406839287.73200053</v>
      </c>
    </row>
    <row r="4989" spans="1:19" ht="18.75" x14ac:dyDescent="0.25">
      <c r="A4989" s="156" t="s">
        <v>8674</v>
      </c>
      <c r="B4989" s="157">
        <v>46022</v>
      </c>
      <c r="C4989" s="158" t="s">
        <v>804</v>
      </c>
      <c r="D4989" s="159" t="str">
        <f>VLOOKUP(Sales[[#This Row],[Customer ID]],Customer[#All],2,0)</f>
        <v>Amit Gupta</v>
      </c>
      <c r="E4989" s="158" t="s">
        <v>370</v>
      </c>
      <c r="F4989" s="158" t="str">
        <f>VLOOKUP(Sales[[#This Row],[Product ID]],Product[#All],2,0)</f>
        <v>Samsung Monitor</v>
      </c>
      <c r="G4989" s="159">
        <v>5</v>
      </c>
      <c r="H4989" s="160">
        <f>VLOOKUP(Sales[[#This Row],[Product ID]],Product[#All],7,0)</f>
        <v>24770</v>
      </c>
      <c r="I4989" s="160">
        <f>Sales[[#This Row],[Selling Rate]]*Sales[[#This Row],[Qty]]</f>
        <v>123850</v>
      </c>
      <c r="J4989" s="43">
        <v>0.12</v>
      </c>
      <c r="K4989" s="44">
        <f>Sales[[#This Row],[Gross Amount]]*Sales[[#This Row],[Disc %]]</f>
        <v>14862</v>
      </c>
      <c r="L4989" s="43">
        <v>0.18</v>
      </c>
      <c r="M4989" s="44">
        <f>(Sales[[#This Row],[Gross Amount]]-Sales[[#This Row],[Disc. Amt.]])*Sales[[#This Row],[GST %]]</f>
        <v>19617.84</v>
      </c>
      <c r="N4989" s="161">
        <f>Sales[[#This Row],[Gross Amount]]-Sales[[#This Row],[Disc. Amt.]]+Sales[[#This Row],[GST Amount]]</f>
        <v>128605.84</v>
      </c>
      <c r="O4989" s="158" t="s">
        <v>3566</v>
      </c>
      <c r="P4989" s="158" t="s">
        <v>3562</v>
      </c>
      <c r="Q4989" s="160">
        <f>IF(Sales[[#This Row],[Status]]="Cancelled",0,Sales[[#This Row],[Qty]])</f>
        <v>5</v>
      </c>
      <c r="R4989" s="161">
        <f>IF(Sales[[#This Row],[Status]]="Cancelled",0,Sales[[#This Row],[Total Amount]])</f>
        <v>128605.84</v>
      </c>
      <c r="S4989" s="162">
        <f>SUM(Sales[Net Amount])</f>
        <v>406839287.73200053</v>
      </c>
    </row>
    <row r="4990" spans="1:19" ht="18.75" x14ac:dyDescent="0.25">
      <c r="A4990" s="163" t="s">
        <v>8675</v>
      </c>
      <c r="B4990" s="164">
        <v>46022</v>
      </c>
      <c r="C4990" s="34" t="s">
        <v>873</v>
      </c>
      <c r="D4990" s="53" t="str">
        <f>VLOOKUP(Sales[[#This Row],[Customer ID]],Customer[#All],2,0)</f>
        <v>Sahil Verma</v>
      </c>
      <c r="E4990" s="34" t="s">
        <v>518</v>
      </c>
      <c r="F4990" s="34" t="str">
        <f>VLOOKUP(Sales[[#This Row],[Product ID]],Product[#All],2,0)</f>
        <v>Samsung Monitor</v>
      </c>
      <c r="G4990" s="53">
        <v>2</v>
      </c>
      <c r="H4990" s="165">
        <f>VLOOKUP(Sales[[#This Row],[Product ID]],Product[#All],7,0)</f>
        <v>23660</v>
      </c>
      <c r="I4990" s="165">
        <f>Sales[[#This Row],[Selling Rate]]*Sales[[#This Row],[Qty]]</f>
        <v>47320</v>
      </c>
      <c r="J4990" s="45">
        <v>0</v>
      </c>
      <c r="K4990" s="46">
        <f>Sales[[#This Row],[Gross Amount]]*Sales[[#This Row],[Disc %]]</f>
        <v>0</v>
      </c>
      <c r="L4990" s="43">
        <v>0.18</v>
      </c>
      <c r="M4990" s="46">
        <f>(Sales[[#This Row],[Gross Amount]]-Sales[[#This Row],[Disc. Amt.]])*Sales[[#This Row],[GST %]]</f>
        <v>8517.6</v>
      </c>
      <c r="N4990" s="161">
        <f>Sales[[#This Row],[Gross Amount]]-Sales[[#This Row],[Disc. Amt.]]+Sales[[#This Row],[GST Amount]]</f>
        <v>55837.599999999999</v>
      </c>
      <c r="O4990" s="34" t="s">
        <v>8876</v>
      </c>
      <c r="P4990" s="34" t="s">
        <v>3562</v>
      </c>
      <c r="Q4990" s="165">
        <f>IF(Sales[[#This Row],[Status]]="Cancelled",0,Sales[[#This Row],[Qty]])</f>
        <v>2</v>
      </c>
      <c r="R4990" s="166">
        <f>IF(Sales[[#This Row],[Status]]="Cancelled",0,Sales[[#This Row],[Total Amount]])</f>
        <v>55837.599999999999</v>
      </c>
      <c r="S4990" s="162">
        <f>SUM(Sales[Net Amount])</f>
        <v>406839287.73200053</v>
      </c>
    </row>
    <row r="4991" spans="1:19" ht="18.75" x14ac:dyDescent="0.25">
      <c r="A4991" s="156" t="s">
        <v>8676</v>
      </c>
      <c r="B4991" s="157">
        <v>46022</v>
      </c>
      <c r="C4991" s="158" t="s">
        <v>761</v>
      </c>
      <c r="D4991" s="159" t="str">
        <f>VLOOKUP(Sales[[#This Row],[Customer ID]],Customer[#All],2,0)</f>
        <v>Priya Verma</v>
      </c>
      <c r="E4991" s="158" t="s">
        <v>397</v>
      </c>
      <c r="F4991" s="158" t="str">
        <f>VLOOKUP(Sales[[#This Row],[Product ID]],Product[#All],2,0)</f>
        <v>Dell Laptop</v>
      </c>
      <c r="G4991" s="159">
        <v>2</v>
      </c>
      <c r="H4991" s="160">
        <f>VLOOKUP(Sales[[#This Row],[Product ID]],Product[#All],7,0)</f>
        <v>69400</v>
      </c>
      <c r="I4991" s="160">
        <f>Sales[[#This Row],[Selling Rate]]*Sales[[#This Row],[Qty]]</f>
        <v>138800</v>
      </c>
      <c r="J4991" s="43">
        <v>0.1</v>
      </c>
      <c r="K4991" s="44">
        <f>Sales[[#This Row],[Gross Amount]]*Sales[[#This Row],[Disc %]]</f>
        <v>13880</v>
      </c>
      <c r="L4991" s="43">
        <v>0.18</v>
      </c>
      <c r="M4991" s="44">
        <f>(Sales[[#This Row],[Gross Amount]]-Sales[[#This Row],[Disc. Amt.]])*Sales[[#This Row],[GST %]]</f>
        <v>22485.599999999999</v>
      </c>
      <c r="N4991" s="161">
        <f>Sales[[#This Row],[Gross Amount]]-Sales[[#This Row],[Disc. Amt.]]+Sales[[#This Row],[GST Amount]]</f>
        <v>147405.6</v>
      </c>
      <c r="O4991" s="158" t="s">
        <v>8876</v>
      </c>
      <c r="P4991" s="158" t="s">
        <v>3562</v>
      </c>
      <c r="Q4991" s="160">
        <f>IF(Sales[[#This Row],[Status]]="Cancelled",0,Sales[[#This Row],[Qty]])</f>
        <v>2</v>
      </c>
      <c r="R4991" s="161">
        <f>IF(Sales[[#This Row],[Status]]="Cancelled",0,Sales[[#This Row],[Total Amount]])</f>
        <v>147405.6</v>
      </c>
      <c r="S4991" s="162">
        <f>SUM(Sales[Net Amount])</f>
        <v>406839287.73200053</v>
      </c>
    </row>
    <row r="4992" spans="1:19" ht="18.75" x14ac:dyDescent="0.25">
      <c r="A4992" s="163" t="s">
        <v>8677</v>
      </c>
      <c r="B4992" s="164">
        <v>46022</v>
      </c>
      <c r="C4992" s="34" t="s">
        <v>938</v>
      </c>
      <c r="D4992" s="53" t="str">
        <f>VLOOKUP(Sales[[#This Row],[Customer ID]],Customer[#All],2,0)</f>
        <v>Sunita Sharma</v>
      </c>
      <c r="E4992" s="34" t="s">
        <v>26</v>
      </c>
      <c r="F4992" s="34" t="str">
        <f>VLOOKUP(Sales[[#This Row],[Product ID]],Product[#All],2,0)</f>
        <v>Lg Monitor</v>
      </c>
      <c r="G4992" s="53">
        <v>2</v>
      </c>
      <c r="H4992" s="165">
        <f>VLOOKUP(Sales[[#This Row],[Product ID]],Product[#All],7,0)</f>
        <v>21600</v>
      </c>
      <c r="I4992" s="165">
        <f>Sales[[#This Row],[Selling Rate]]*Sales[[#This Row],[Qty]]</f>
        <v>43200</v>
      </c>
      <c r="J4992" s="45">
        <v>0.1</v>
      </c>
      <c r="K4992" s="46">
        <f>Sales[[#This Row],[Gross Amount]]*Sales[[#This Row],[Disc %]]</f>
        <v>4320</v>
      </c>
      <c r="L4992" s="43">
        <v>0.18</v>
      </c>
      <c r="M4992" s="46">
        <f>(Sales[[#This Row],[Gross Amount]]-Sales[[#This Row],[Disc. Amt.]])*Sales[[#This Row],[GST %]]</f>
        <v>6998.4</v>
      </c>
      <c r="N4992" s="161">
        <f>Sales[[#This Row],[Gross Amount]]-Sales[[#This Row],[Disc. Amt.]]+Sales[[#This Row],[GST Amount]]</f>
        <v>45878.400000000001</v>
      </c>
      <c r="O4992" s="34" t="s">
        <v>3566</v>
      </c>
      <c r="P4992" s="34" t="s">
        <v>1040</v>
      </c>
      <c r="Q4992" s="165">
        <f>IF(Sales[[#This Row],[Status]]="Cancelled",0,Sales[[#This Row],[Qty]])</f>
        <v>0</v>
      </c>
      <c r="R4992" s="166">
        <f>IF(Sales[[#This Row],[Status]]="Cancelled",0,Sales[[#This Row],[Total Amount]])</f>
        <v>0</v>
      </c>
      <c r="S4992" s="162">
        <f>SUM(Sales[Net Amount])</f>
        <v>406839287.73200053</v>
      </c>
    </row>
    <row r="4993" spans="1:19" ht="18.75" x14ac:dyDescent="0.25">
      <c r="A4993" s="156" t="s">
        <v>8678</v>
      </c>
      <c r="B4993" s="157">
        <v>46022</v>
      </c>
      <c r="C4993" s="158" t="s">
        <v>937</v>
      </c>
      <c r="D4993" s="159" t="str">
        <f>VLOOKUP(Sales[[#This Row],[Customer ID]],Customer[#All],2,0)</f>
        <v>Rahul Singh</v>
      </c>
      <c r="E4993" s="158" t="s">
        <v>217</v>
      </c>
      <c r="F4993" s="158" t="str">
        <f>VLOOKUP(Sales[[#This Row],[Product ID]],Product[#All],2,0)</f>
        <v>Logitech Webcam</v>
      </c>
      <c r="G4993" s="159">
        <v>1</v>
      </c>
      <c r="H4993" s="160">
        <f>VLOOKUP(Sales[[#This Row],[Product ID]],Product[#All],7,0)</f>
        <v>2420</v>
      </c>
      <c r="I4993" s="160">
        <f>Sales[[#This Row],[Selling Rate]]*Sales[[#This Row],[Qty]]</f>
        <v>2420</v>
      </c>
      <c r="J4993" s="43">
        <v>0.1</v>
      </c>
      <c r="K4993" s="44">
        <f>Sales[[#This Row],[Gross Amount]]*Sales[[#This Row],[Disc %]]</f>
        <v>242</v>
      </c>
      <c r="L4993" s="43">
        <v>0.18</v>
      </c>
      <c r="M4993" s="44">
        <f>(Sales[[#This Row],[Gross Amount]]-Sales[[#This Row],[Disc. Amt.]])*Sales[[#This Row],[GST %]]</f>
        <v>392.03999999999996</v>
      </c>
      <c r="N4993" s="161">
        <f>Sales[[#This Row],[Gross Amount]]-Sales[[#This Row],[Disc. Amt.]]+Sales[[#This Row],[GST Amount]]</f>
        <v>2570.04</v>
      </c>
      <c r="O4993" s="158" t="s">
        <v>8876</v>
      </c>
      <c r="P4993" s="158" t="s">
        <v>3562</v>
      </c>
      <c r="Q4993" s="160">
        <f>IF(Sales[[#This Row],[Status]]="Cancelled",0,Sales[[#This Row],[Qty]])</f>
        <v>1</v>
      </c>
      <c r="R4993" s="161">
        <f>IF(Sales[[#This Row],[Status]]="Cancelled",0,Sales[[#This Row],[Total Amount]])</f>
        <v>2570.04</v>
      </c>
      <c r="S4993" s="162">
        <f>SUM(Sales[Net Amount])</f>
        <v>406839287.73200053</v>
      </c>
    </row>
    <row r="4994" spans="1:19" ht="18.75" x14ac:dyDescent="0.25">
      <c r="A4994" s="163" t="s">
        <v>8679</v>
      </c>
      <c r="B4994" s="164">
        <v>46022</v>
      </c>
      <c r="C4994" s="34" t="s">
        <v>841</v>
      </c>
      <c r="D4994" s="53" t="str">
        <f>VLOOKUP(Sales[[#This Row],[Customer ID]],Customer[#All],2,0)</f>
        <v>Pooja Verma</v>
      </c>
      <c r="E4994" s="34" t="s">
        <v>422</v>
      </c>
      <c r="F4994" s="34" t="str">
        <f>VLOOKUP(Sales[[#This Row],[Product ID]],Product[#All],2,0)</f>
        <v>Microtek UPS</v>
      </c>
      <c r="G4994" s="53">
        <v>5</v>
      </c>
      <c r="H4994" s="165">
        <f>VLOOKUP(Sales[[#This Row],[Product ID]],Product[#All],7,0)</f>
        <v>6450</v>
      </c>
      <c r="I4994" s="165">
        <f>Sales[[#This Row],[Selling Rate]]*Sales[[#This Row],[Qty]]</f>
        <v>32250</v>
      </c>
      <c r="J4994" s="45">
        <v>0</v>
      </c>
      <c r="K4994" s="46">
        <f>Sales[[#This Row],[Gross Amount]]*Sales[[#This Row],[Disc %]]</f>
        <v>0</v>
      </c>
      <c r="L4994" s="43">
        <v>0.18</v>
      </c>
      <c r="M4994" s="46">
        <f>(Sales[[#This Row],[Gross Amount]]-Sales[[#This Row],[Disc. Amt.]])*Sales[[#This Row],[GST %]]</f>
        <v>5805</v>
      </c>
      <c r="N4994" s="161">
        <f>Sales[[#This Row],[Gross Amount]]-Sales[[#This Row],[Disc. Amt.]]+Sales[[#This Row],[GST Amount]]</f>
        <v>38055</v>
      </c>
      <c r="O4994" s="34" t="s">
        <v>8876</v>
      </c>
      <c r="P4994" s="34" t="s">
        <v>3562</v>
      </c>
      <c r="Q4994" s="165">
        <f>IF(Sales[[#This Row],[Status]]="Cancelled",0,Sales[[#This Row],[Qty]])</f>
        <v>5</v>
      </c>
      <c r="R4994" s="166">
        <f>IF(Sales[[#This Row],[Status]]="Cancelled",0,Sales[[#This Row],[Total Amount]])</f>
        <v>38055</v>
      </c>
      <c r="S4994" s="162">
        <f>SUM(Sales[Net Amount])</f>
        <v>406839287.73200053</v>
      </c>
    </row>
    <row r="4995" spans="1:19" ht="18.75" x14ac:dyDescent="0.25">
      <c r="A4995" s="156" t="s">
        <v>8680</v>
      </c>
      <c r="B4995" s="157">
        <v>46022</v>
      </c>
      <c r="C4995" s="158" t="s">
        <v>832</v>
      </c>
      <c r="D4995" s="159" t="str">
        <f>VLOOKUP(Sales[[#This Row],[Customer ID]],Customer[#All],2,0)</f>
        <v>Vikas Sharma</v>
      </c>
      <c r="E4995" s="158" t="s">
        <v>180</v>
      </c>
      <c r="F4995" s="158" t="str">
        <f>VLOOKUP(Sales[[#This Row],[Product ID]],Product[#All],2,0)</f>
        <v>Kingston Ram</v>
      </c>
      <c r="G4995" s="159">
        <v>7</v>
      </c>
      <c r="H4995" s="160">
        <f>VLOOKUP(Sales[[#This Row],[Product ID]],Product[#All],7,0)</f>
        <v>11780</v>
      </c>
      <c r="I4995" s="160">
        <f>Sales[[#This Row],[Selling Rate]]*Sales[[#This Row],[Qty]]</f>
        <v>82460</v>
      </c>
      <c r="J4995" s="43">
        <v>0.02</v>
      </c>
      <c r="K4995" s="44">
        <f>Sales[[#This Row],[Gross Amount]]*Sales[[#This Row],[Disc %]]</f>
        <v>1649.2</v>
      </c>
      <c r="L4995" s="43">
        <v>0.18</v>
      </c>
      <c r="M4995" s="44">
        <f>(Sales[[#This Row],[Gross Amount]]-Sales[[#This Row],[Disc. Amt.]])*Sales[[#This Row],[GST %]]</f>
        <v>14545.944</v>
      </c>
      <c r="N4995" s="161">
        <f>Sales[[#This Row],[Gross Amount]]-Sales[[#This Row],[Disc. Amt.]]+Sales[[#This Row],[GST Amount]]</f>
        <v>95356.744000000006</v>
      </c>
      <c r="O4995" s="158" t="s">
        <v>3569</v>
      </c>
      <c r="P4995" s="158" t="s">
        <v>3562</v>
      </c>
      <c r="Q4995" s="160">
        <f>IF(Sales[[#This Row],[Status]]="Cancelled",0,Sales[[#This Row],[Qty]])</f>
        <v>7</v>
      </c>
      <c r="R4995" s="161">
        <f>IF(Sales[[#This Row],[Status]]="Cancelled",0,Sales[[#This Row],[Total Amount]])</f>
        <v>95356.744000000006</v>
      </c>
      <c r="S4995" s="162">
        <f>SUM(Sales[Net Amount])</f>
        <v>406839287.73200053</v>
      </c>
    </row>
    <row r="4996" spans="1:19" ht="18.75" x14ac:dyDescent="0.25">
      <c r="A4996" s="163" t="s">
        <v>8681</v>
      </c>
      <c r="B4996" s="164">
        <v>46022</v>
      </c>
      <c r="C4996" s="34" t="s">
        <v>950</v>
      </c>
      <c r="D4996" s="53" t="str">
        <f>VLOOKUP(Sales[[#This Row],[Customer ID]],Customer[#All],2,0)</f>
        <v>Sunita Sharma</v>
      </c>
      <c r="E4996" s="34" t="s">
        <v>486</v>
      </c>
      <c r="F4996" s="34" t="str">
        <f>VLOOKUP(Sales[[#This Row],[Product ID]],Product[#All],2,0)</f>
        <v>Logitech Mouse</v>
      </c>
      <c r="G4996" s="53">
        <v>4</v>
      </c>
      <c r="H4996" s="165">
        <f>VLOOKUP(Sales[[#This Row],[Product ID]],Product[#All],7,0)</f>
        <v>1650</v>
      </c>
      <c r="I4996" s="165">
        <f>Sales[[#This Row],[Selling Rate]]*Sales[[#This Row],[Qty]]</f>
        <v>6600</v>
      </c>
      <c r="J4996" s="45">
        <v>0.05</v>
      </c>
      <c r="K4996" s="46">
        <f>Sales[[#This Row],[Gross Amount]]*Sales[[#This Row],[Disc %]]</f>
        <v>330</v>
      </c>
      <c r="L4996" s="43">
        <v>0.18</v>
      </c>
      <c r="M4996" s="46">
        <f>(Sales[[#This Row],[Gross Amount]]-Sales[[#This Row],[Disc. Amt.]])*Sales[[#This Row],[GST %]]</f>
        <v>1128.5999999999999</v>
      </c>
      <c r="N4996" s="161">
        <f>Sales[[#This Row],[Gross Amount]]-Sales[[#This Row],[Disc. Amt.]]+Sales[[#This Row],[GST Amount]]</f>
        <v>7398.6</v>
      </c>
      <c r="O4996" s="34" t="s">
        <v>3569</v>
      </c>
      <c r="P4996" s="34" t="s">
        <v>3562</v>
      </c>
      <c r="Q4996" s="165">
        <f>IF(Sales[[#This Row],[Status]]="Cancelled",0,Sales[[#This Row],[Qty]])</f>
        <v>4</v>
      </c>
      <c r="R4996" s="166">
        <f>IF(Sales[[#This Row],[Status]]="Cancelled",0,Sales[[#This Row],[Total Amount]])</f>
        <v>7398.6</v>
      </c>
      <c r="S4996" s="162">
        <f>SUM(Sales[Net Amount])</f>
        <v>406839287.73200053</v>
      </c>
    </row>
    <row r="4997" spans="1:19" ht="18.75" x14ac:dyDescent="0.25">
      <c r="A4997" s="156" t="s">
        <v>8682</v>
      </c>
      <c r="B4997" s="157">
        <v>46022</v>
      </c>
      <c r="C4997" s="158" t="s">
        <v>845</v>
      </c>
      <c r="D4997" s="159" t="str">
        <f>VLOOKUP(Sales[[#This Row],[Customer ID]],Customer[#All],2,0)</f>
        <v>Rahul Patel</v>
      </c>
      <c r="E4997" s="158" t="s">
        <v>159</v>
      </c>
      <c r="F4997" s="158" t="str">
        <f>VLOOKUP(Sales[[#This Row],[Product ID]],Product[#All],2,0)</f>
        <v>HP Laptop</v>
      </c>
      <c r="G4997" s="159">
        <v>5</v>
      </c>
      <c r="H4997" s="160">
        <f>VLOOKUP(Sales[[#This Row],[Product ID]],Product[#All],7,0)</f>
        <v>90020</v>
      </c>
      <c r="I4997" s="160">
        <f>Sales[[#This Row],[Selling Rate]]*Sales[[#This Row],[Qty]]</f>
        <v>450100</v>
      </c>
      <c r="J4997" s="43">
        <v>0.15</v>
      </c>
      <c r="K4997" s="44">
        <f>Sales[[#This Row],[Gross Amount]]*Sales[[#This Row],[Disc %]]</f>
        <v>67515</v>
      </c>
      <c r="L4997" s="43">
        <v>0.18</v>
      </c>
      <c r="M4997" s="44">
        <f>(Sales[[#This Row],[Gross Amount]]-Sales[[#This Row],[Disc. Amt.]])*Sales[[#This Row],[GST %]]</f>
        <v>68865.3</v>
      </c>
      <c r="N4997" s="161">
        <f>Sales[[#This Row],[Gross Amount]]-Sales[[#This Row],[Disc. Amt.]]+Sales[[#This Row],[GST Amount]]</f>
        <v>451450.3</v>
      </c>
      <c r="O4997" s="158" t="s">
        <v>3561</v>
      </c>
      <c r="P4997" s="158" t="s">
        <v>3562</v>
      </c>
      <c r="Q4997" s="160">
        <f>IF(Sales[[#This Row],[Status]]="Cancelled",0,Sales[[#This Row],[Qty]])</f>
        <v>5</v>
      </c>
      <c r="R4997" s="161">
        <f>IF(Sales[[#This Row],[Status]]="Cancelled",0,Sales[[#This Row],[Total Amount]])</f>
        <v>451450.3</v>
      </c>
      <c r="S4997" s="162">
        <f>SUM(Sales[Net Amount])</f>
        <v>406839287.73200053</v>
      </c>
    </row>
    <row r="4998" spans="1:19" ht="18.75" x14ac:dyDescent="0.25">
      <c r="A4998" s="163" t="s">
        <v>8683</v>
      </c>
      <c r="B4998" s="164">
        <v>46022</v>
      </c>
      <c r="C4998" s="34" t="s">
        <v>859</v>
      </c>
      <c r="D4998" s="53" t="str">
        <f>VLOOKUP(Sales[[#This Row],[Customer ID]],Customer[#All],2,0)</f>
        <v>Rakesh Kumar</v>
      </c>
      <c r="E4998" s="34" t="s">
        <v>346</v>
      </c>
      <c r="F4998" s="34" t="str">
        <f>VLOOKUP(Sales[[#This Row],[Product ID]],Product[#All],2,0)</f>
        <v>HP Laptop</v>
      </c>
      <c r="G4998" s="53">
        <v>4</v>
      </c>
      <c r="H4998" s="165">
        <f>VLOOKUP(Sales[[#This Row],[Product ID]],Product[#All],7,0)</f>
        <v>88550</v>
      </c>
      <c r="I4998" s="165">
        <f>Sales[[#This Row],[Selling Rate]]*Sales[[#This Row],[Qty]]</f>
        <v>354200</v>
      </c>
      <c r="J4998" s="45">
        <v>0.05</v>
      </c>
      <c r="K4998" s="46">
        <f>Sales[[#This Row],[Gross Amount]]*Sales[[#This Row],[Disc %]]</f>
        <v>17710</v>
      </c>
      <c r="L4998" s="43">
        <v>0.18</v>
      </c>
      <c r="M4998" s="46">
        <f>(Sales[[#This Row],[Gross Amount]]-Sales[[#This Row],[Disc. Amt.]])*Sales[[#This Row],[GST %]]</f>
        <v>60568.2</v>
      </c>
      <c r="N4998" s="161">
        <f>Sales[[#This Row],[Gross Amount]]-Sales[[#This Row],[Disc. Amt.]]+Sales[[#This Row],[GST Amount]]</f>
        <v>397058.2</v>
      </c>
      <c r="O4998" s="34" t="s">
        <v>3569</v>
      </c>
      <c r="P4998" s="34" t="s">
        <v>3562</v>
      </c>
      <c r="Q4998" s="165">
        <f>IF(Sales[[#This Row],[Status]]="Cancelled",0,Sales[[#This Row],[Qty]])</f>
        <v>4</v>
      </c>
      <c r="R4998" s="166">
        <f>IF(Sales[[#This Row],[Status]]="Cancelled",0,Sales[[#This Row],[Total Amount]])</f>
        <v>397058.2</v>
      </c>
      <c r="S4998" s="162">
        <f>SUM(Sales[Net Amount])</f>
        <v>406839287.73200053</v>
      </c>
    </row>
    <row r="4999" spans="1:19" ht="18.75" x14ac:dyDescent="0.25">
      <c r="A4999" s="156" t="s">
        <v>8684</v>
      </c>
      <c r="B4999" s="157">
        <v>46022</v>
      </c>
      <c r="C4999" s="158" t="s">
        <v>938</v>
      </c>
      <c r="D4999" s="159" t="str">
        <f>VLOOKUP(Sales[[#This Row],[Customer ID]],Customer[#All],2,0)</f>
        <v>Sunita Sharma</v>
      </c>
      <c r="E4999" s="158" t="s">
        <v>144</v>
      </c>
      <c r="F4999" s="158" t="str">
        <f>VLOOKUP(Sales[[#This Row],[Product ID]],Product[#All],2,0)</f>
        <v>Jbl Speaker</v>
      </c>
      <c r="G4999" s="159">
        <v>2</v>
      </c>
      <c r="H4999" s="160">
        <f>VLOOKUP(Sales[[#This Row],[Product ID]],Product[#All],7,0)</f>
        <v>7630</v>
      </c>
      <c r="I4999" s="160">
        <f>Sales[[#This Row],[Selling Rate]]*Sales[[#This Row],[Qty]]</f>
        <v>15260</v>
      </c>
      <c r="J4999" s="43">
        <v>0.05</v>
      </c>
      <c r="K4999" s="44">
        <f>Sales[[#This Row],[Gross Amount]]*Sales[[#This Row],[Disc %]]</f>
        <v>763</v>
      </c>
      <c r="L4999" s="43">
        <v>0.18</v>
      </c>
      <c r="M4999" s="44">
        <f>(Sales[[#This Row],[Gross Amount]]-Sales[[#This Row],[Disc. Amt.]])*Sales[[#This Row],[GST %]]</f>
        <v>2609.46</v>
      </c>
      <c r="N4999" s="161">
        <f>Sales[[#This Row],[Gross Amount]]-Sales[[#This Row],[Disc. Amt.]]+Sales[[#This Row],[GST Amount]]</f>
        <v>17106.46</v>
      </c>
      <c r="O4999" s="158" t="s">
        <v>3569</v>
      </c>
      <c r="P4999" s="158" t="s">
        <v>3562</v>
      </c>
      <c r="Q4999" s="160">
        <f>IF(Sales[[#This Row],[Status]]="Cancelled",0,Sales[[#This Row],[Qty]])</f>
        <v>2</v>
      </c>
      <c r="R4999" s="161">
        <f>IF(Sales[[#This Row],[Status]]="Cancelled",0,Sales[[#This Row],[Total Amount]])</f>
        <v>17106.46</v>
      </c>
      <c r="S4999" s="162">
        <f>SUM(Sales[Net Amount])</f>
        <v>406839287.73200053</v>
      </c>
    </row>
    <row r="5000" spans="1:19" ht="18.75" x14ac:dyDescent="0.25">
      <c r="A5000" s="163" t="s">
        <v>8685</v>
      </c>
      <c r="B5000" s="164">
        <v>46022</v>
      </c>
      <c r="C5000" s="34" t="s">
        <v>865</v>
      </c>
      <c r="D5000" s="53" t="str">
        <f>VLOOKUP(Sales[[#This Row],[Customer ID]],Customer[#All],2,0)</f>
        <v>Sunita Gupta</v>
      </c>
      <c r="E5000" s="34" t="s">
        <v>306</v>
      </c>
      <c r="F5000" s="34" t="str">
        <f>VLOOKUP(Sales[[#This Row],[Product ID]],Product[#All],2,0)</f>
        <v>Portronics USB Cable</v>
      </c>
      <c r="G5000" s="53">
        <v>2</v>
      </c>
      <c r="H5000" s="165">
        <f>VLOOKUP(Sales[[#This Row],[Product ID]],Product[#All],7,0)</f>
        <v>200</v>
      </c>
      <c r="I5000" s="165">
        <f>Sales[[#This Row],[Selling Rate]]*Sales[[#This Row],[Qty]]</f>
        <v>400</v>
      </c>
      <c r="J5000" s="45">
        <v>0</v>
      </c>
      <c r="K5000" s="46">
        <f>Sales[[#This Row],[Gross Amount]]*Sales[[#This Row],[Disc %]]</f>
        <v>0</v>
      </c>
      <c r="L5000" s="43">
        <v>0.18</v>
      </c>
      <c r="M5000" s="46">
        <f>(Sales[[#This Row],[Gross Amount]]-Sales[[#This Row],[Disc. Amt.]])*Sales[[#This Row],[GST %]]</f>
        <v>72</v>
      </c>
      <c r="N5000" s="161">
        <f>Sales[[#This Row],[Gross Amount]]-Sales[[#This Row],[Disc. Amt.]]+Sales[[#This Row],[GST Amount]]</f>
        <v>472</v>
      </c>
      <c r="O5000" s="34" t="s">
        <v>8876</v>
      </c>
      <c r="P5000" s="34" t="s">
        <v>3562</v>
      </c>
      <c r="Q5000" s="165">
        <f>IF(Sales[[#This Row],[Status]]="Cancelled",0,Sales[[#This Row],[Qty]])</f>
        <v>2</v>
      </c>
      <c r="R5000" s="166">
        <f>IF(Sales[[#This Row],[Status]]="Cancelled",0,Sales[[#This Row],[Total Amount]])</f>
        <v>472</v>
      </c>
      <c r="S5000" s="162">
        <f>SUM(Sales[Net Amount])</f>
        <v>406839287.73200053</v>
      </c>
    </row>
    <row r="5001" spans="1:19" ht="18.75" x14ac:dyDescent="0.25">
      <c r="A5001" s="156" t="s">
        <v>8686</v>
      </c>
      <c r="B5001" s="157">
        <v>46022</v>
      </c>
      <c r="C5001" s="158" t="s">
        <v>942</v>
      </c>
      <c r="D5001" s="159" t="str">
        <f>VLOOKUP(Sales[[#This Row],[Customer ID]],Customer[#All],2,0)</f>
        <v>Sunita Kumar</v>
      </c>
      <c r="E5001" s="158" t="s">
        <v>48</v>
      </c>
      <c r="F5001" s="158" t="str">
        <f>VLOOKUP(Sales[[#This Row],[Product ID]],Product[#All],2,0)</f>
        <v>Jbl Headset</v>
      </c>
      <c r="G5001" s="159">
        <v>2</v>
      </c>
      <c r="H5001" s="160">
        <f>VLOOKUP(Sales[[#This Row],[Product ID]],Product[#All],7,0)</f>
        <v>4610</v>
      </c>
      <c r="I5001" s="160">
        <f>Sales[[#This Row],[Selling Rate]]*Sales[[#This Row],[Qty]]</f>
        <v>9220</v>
      </c>
      <c r="J5001" s="43">
        <v>0</v>
      </c>
      <c r="K5001" s="44">
        <f>Sales[[#This Row],[Gross Amount]]*Sales[[#This Row],[Disc %]]</f>
        <v>0</v>
      </c>
      <c r="L5001" s="43">
        <v>0.18</v>
      </c>
      <c r="M5001" s="44">
        <f>(Sales[[#This Row],[Gross Amount]]-Sales[[#This Row],[Disc. Amt.]])*Sales[[#This Row],[GST %]]</f>
        <v>1659.6</v>
      </c>
      <c r="N5001" s="161">
        <f>Sales[[#This Row],[Gross Amount]]-Sales[[#This Row],[Disc. Amt.]]+Sales[[#This Row],[GST Amount]]</f>
        <v>10879.6</v>
      </c>
      <c r="O5001" s="158" t="s">
        <v>8876</v>
      </c>
      <c r="P5001" s="158" t="s">
        <v>3562</v>
      </c>
      <c r="Q5001" s="160">
        <f>IF(Sales[[#This Row],[Status]]="Cancelled",0,Sales[[#This Row],[Qty]])</f>
        <v>2</v>
      </c>
      <c r="R5001" s="161">
        <f>IF(Sales[[#This Row],[Status]]="Cancelled",0,Sales[[#This Row],[Total Amount]])</f>
        <v>10879.6</v>
      </c>
      <c r="S5001" s="162">
        <f>SUM(Sales[Net Amount])</f>
        <v>406839287.73200053</v>
      </c>
    </row>
    <row r="5002" spans="1:19" ht="18.75" x14ac:dyDescent="0.25">
      <c r="A5002" s="163" t="s">
        <v>8687</v>
      </c>
      <c r="B5002" s="164">
        <v>46022</v>
      </c>
      <c r="C5002" s="34" t="s">
        <v>811</v>
      </c>
      <c r="D5002" s="53" t="str">
        <f>VLOOKUP(Sales[[#This Row],[Customer ID]],Customer[#All],2,0)</f>
        <v>Rahul Sharma</v>
      </c>
      <c r="E5002" s="34" t="s">
        <v>107</v>
      </c>
      <c r="F5002" s="34" t="str">
        <f>VLOOKUP(Sales[[#This Row],[Product ID]],Product[#All],2,0)</f>
        <v>Samsung Ssd</v>
      </c>
      <c r="G5002" s="53">
        <v>7</v>
      </c>
      <c r="H5002" s="165">
        <f>VLOOKUP(Sales[[#This Row],[Product ID]],Product[#All],7,0)</f>
        <v>15030</v>
      </c>
      <c r="I5002" s="165">
        <f>Sales[[#This Row],[Selling Rate]]*Sales[[#This Row],[Qty]]</f>
        <v>105210</v>
      </c>
      <c r="J5002" s="45">
        <v>0.1</v>
      </c>
      <c r="K5002" s="46">
        <f>Sales[[#This Row],[Gross Amount]]*Sales[[#This Row],[Disc %]]</f>
        <v>10521</v>
      </c>
      <c r="L5002" s="43">
        <v>0.18</v>
      </c>
      <c r="M5002" s="46">
        <f>(Sales[[#This Row],[Gross Amount]]-Sales[[#This Row],[Disc. Amt.]])*Sales[[#This Row],[GST %]]</f>
        <v>17044.02</v>
      </c>
      <c r="N5002" s="161">
        <f>Sales[[#This Row],[Gross Amount]]-Sales[[#This Row],[Disc. Amt.]]+Sales[[#This Row],[GST Amount]]</f>
        <v>111733.02</v>
      </c>
      <c r="O5002" s="34" t="s">
        <v>3561</v>
      </c>
      <c r="P5002" s="34" t="s">
        <v>3562</v>
      </c>
      <c r="Q5002" s="165">
        <f>IF(Sales[[#This Row],[Status]]="Cancelled",0,Sales[[#This Row],[Qty]])</f>
        <v>7</v>
      </c>
      <c r="R5002" s="166">
        <f>IF(Sales[[#This Row],[Status]]="Cancelled",0,Sales[[#This Row],[Total Amount]])</f>
        <v>111733.02</v>
      </c>
      <c r="S5002" s="162">
        <f>SUM(Sales[Net Amount])</f>
        <v>406839287.73200053</v>
      </c>
    </row>
    <row r="5003" spans="1:19" ht="18.75" x14ac:dyDescent="0.25">
      <c r="A5003" s="163" t="s">
        <v>8871</v>
      </c>
      <c r="B5003" s="164">
        <v>46299</v>
      </c>
      <c r="C5003" s="34" t="s">
        <v>8872</v>
      </c>
      <c r="D5003" s="53" t="s">
        <v>8886</v>
      </c>
      <c r="E5003" s="34" t="s">
        <v>4</v>
      </c>
      <c r="F5003" s="53" t="s">
        <v>8688</v>
      </c>
      <c r="G5003" s="53">
        <v>10</v>
      </c>
      <c r="H5003" s="165">
        <v>45990</v>
      </c>
      <c r="I5003" s="182">
        <v>459900</v>
      </c>
      <c r="J5003" s="183">
        <v>0.02</v>
      </c>
      <c r="K5003" s="46">
        <v>9198</v>
      </c>
      <c r="L5003" s="43">
        <v>0.18</v>
      </c>
      <c r="M5003" s="187">
        <v>81126.36</v>
      </c>
      <c r="N5003" s="161">
        <v>531828.36</v>
      </c>
      <c r="O5003" s="163" t="s">
        <v>3566</v>
      </c>
      <c r="P5003" s="34" t="s">
        <v>3562</v>
      </c>
      <c r="Q5003" s="184">
        <f>IF(Sales[[#This Row],[Status]]="Cancelled",0,Sales[[#This Row],[Qty]])</f>
        <v>10</v>
      </c>
      <c r="R5003" s="166">
        <f>IF(Sales[[#This Row],[Status]]="Cancelled",0,Sales[[#This Row],[Total Amount]])</f>
        <v>531828.36</v>
      </c>
      <c r="S5003" s="162">
        <f>SUM(Sales[Net Amount])</f>
        <v>406839287.73200053</v>
      </c>
    </row>
    <row r="5004" spans="1:19" ht="18.75" x14ac:dyDescent="0.25">
      <c r="A5004" s="163" t="s">
        <v>8871</v>
      </c>
      <c r="B5004" s="164">
        <v>46299</v>
      </c>
      <c r="C5004" s="34" t="s">
        <v>8872</v>
      </c>
      <c r="D5004" s="53" t="s">
        <v>8886</v>
      </c>
      <c r="E5004" s="34" t="s">
        <v>7</v>
      </c>
      <c r="F5004" s="53" t="s">
        <v>8689</v>
      </c>
      <c r="G5004" s="53">
        <v>10</v>
      </c>
      <c r="H5004" s="165">
        <v>33010</v>
      </c>
      <c r="I5004" s="182">
        <v>330100</v>
      </c>
      <c r="J5004" s="183">
        <v>0.02</v>
      </c>
      <c r="K5004" s="46">
        <v>6602</v>
      </c>
      <c r="L5004" s="43">
        <v>0.18</v>
      </c>
      <c r="M5004" s="187">
        <v>58229.64</v>
      </c>
      <c r="N5004" s="161">
        <v>381727.64</v>
      </c>
      <c r="O5004" s="163" t="s">
        <v>3566</v>
      </c>
      <c r="P5004" s="34" t="s">
        <v>3562</v>
      </c>
      <c r="Q5004" s="184">
        <f>IF(Sales[[#This Row],[Status]]="Cancelled",0,Sales[[#This Row],[Qty]])</f>
        <v>10</v>
      </c>
      <c r="R5004" s="166">
        <f>IF(Sales[[#This Row],[Status]]="Cancelled",0,Sales[[#This Row],[Total Amount]])</f>
        <v>381727.64</v>
      </c>
      <c r="S5004" s="162">
        <f>SUM(Sales[Net Amount])</f>
        <v>406839287.73200053</v>
      </c>
    </row>
    <row r="5005" spans="1:19" ht="18.75" x14ac:dyDescent="0.25">
      <c r="A5005" s="163" t="s">
        <v>8871</v>
      </c>
      <c r="B5005" s="164">
        <v>46299</v>
      </c>
      <c r="C5005" s="34" t="s">
        <v>8872</v>
      </c>
      <c r="D5005" s="53" t="s">
        <v>8886</v>
      </c>
      <c r="E5005" s="34" t="s">
        <v>10</v>
      </c>
      <c r="F5005" s="53" t="s">
        <v>8690</v>
      </c>
      <c r="G5005" s="53">
        <v>10</v>
      </c>
      <c r="H5005" s="165">
        <v>17230</v>
      </c>
      <c r="I5005" s="182">
        <v>172300</v>
      </c>
      <c r="J5005" s="183">
        <v>0.02</v>
      </c>
      <c r="K5005" s="46">
        <v>3446</v>
      </c>
      <c r="L5005" s="43">
        <v>0.18</v>
      </c>
      <c r="M5005" s="187">
        <v>30393.72</v>
      </c>
      <c r="N5005" s="161">
        <v>199247.72</v>
      </c>
      <c r="O5005" s="163" t="s">
        <v>3566</v>
      </c>
      <c r="P5005" s="34" t="s">
        <v>3562</v>
      </c>
      <c r="Q5005" s="184">
        <f>IF(Sales[[#This Row],[Status]]="Cancelled",0,Sales[[#This Row],[Qty]])</f>
        <v>10</v>
      </c>
      <c r="R5005" s="166">
        <f>IF(Sales[[#This Row],[Status]]="Cancelled",0,Sales[[#This Row],[Total Amount]])</f>
        <v>199247.72</v>
      </c>
      <c r="S5005" s="162">
        <f>SUM(Sales[Net Amount])</f>
        <v>406839287.73200053</v>
      </c>
    </row>
  </sheetData>
  <mergeCells count="1">
    <mergeCell ref="A1:S1"/>
  </mergeCells>
  <phoneticPr fontId="8" type="noConversion"/>
  <conditionalFormatting sqref="P3:P5005">
    <cfRule type="containsText" dxfId="39" priority="3" operator="containsText" text="Cancelled">
      <formula>NOT(ISERROR(SEARCH("Cancelled",P3)))</formula>
    </cfRule>
  </conditionalFormatting>
  <pageMargins left="0.7" right="0.7" top="0.75" bottom="0.75" header="0.3" footer="0.3"/>
  <pageSetup orientation="portrait" r:id="rId1"/>
  <ignoredErrors>
    <ignoredError sqref="N3 D5003:N5005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F41F0-5EF0-49D7-88DF-8BA97E5A5176}">
  <sheetPr codeName="Sheet12"/>
  <dimension ref="A1:K502"/>
  <sheetViews>
    <sheetView zoomScale="160" zoomScaleNormal="160" workbookViewId="0">
      <selection activeCell="J5" sqref="J5"/>
    </sheetView>
  </sheetViews>
  <sheetFormatPr defaultRowHeight="15" x14ac:dyDescent="0.25"/>
  <cols>
    <col min="1" max="1" width="15" customWidth="1"/>
    <col min="2" max="2" width="28.42578125" bestFit="1" customWidth="1"/>
    <col min="3" max="3" width="20.28515625" bestFit="1" customWidth="1"/>
    <col min="4" max="4" width="16.140625" customWidth="1"/>
    <col min="5" max="5" width="12" customWidth="1"/>
    <col min="6" max="6" width="12.7109375" customWidth="1"/>
    <col min="7" max="7" width="8.28515625" customWidth="1"/>
    <col min="8" max="8" width="10" customWidth="1"/>
    <col min="9" max="9" width="12.85546875" customWidth="1"/>
    <col min="10" max="10" width="11.42578125" customWidth="1"/>
    <col min="11" max="11" width="10.28515625" customWidth="1"/>
  </cols>
  <sheetData>
    <row r="1" spans="1:11" ht="31.5" x14ac:dyDescent="0.5">
      <c r="A1" s="192" t="s">
        <v>8777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</row>
    <row r="2" spans="1:11" ht="37.5" x14ac:dyDescent="0.25">
      <c r="A2" s="20" t="s">
        <v>555</v>
      </c>
      <c r="B2" s="20" t="s">
        <v>556</v>
      </c>
      <c r="C2" s="20" t="s">
        <v>1</v>
      </c>
      <c r="D2" s="20" t="s">
        <v>2</v>
      </c>
      <c r="E2" s="20" t="s">
        <v>8751</v>
      </c>
      <c r="F2" s="20" t="s">
        <v>8750</v>
      </c>
      <c r="G2" s="20" t="s">
        <v>8705</v>
      </c>
      <c r="H2" s="20" t="s">
        <v>8752</v>
      </c>
      <c r="I2" s="20" t="s">
        <v>8706</v>
      </c>
      <c r="J2" s="20" t="s">
        <v>559</v>
      </c>
      <c r="K2" s="20" t="s">
        <v>1017</v>
      </c>
    </row>
    <row r="3" spans="1:11" ht="19.5" customHeight="1" x14ac:dyDescent="0.25">
      <c r="A3" s="52" t="str">
        <f>Product[[#This Row],[Product ID]]</f>
        <v>P0001</v>
      </c>
      <c r="B3" s="52" t="str">
        <f>VLOOKUP(Stock[[#This Row],[Product ID]],Product[#All],2,0)</f>
        <v>Epson Printer</v>
      </c>
      <c r="C3" s="52" t="str">
        <f>VLOOKUP(Stock[[#This Row],[Product ID]],Product[#All],3,0)</f>
        <v>Printer</v>
      </c>
      <c r="D3" s="52" t="str">
        <f>VLOOKUP(Stock[[#This Row],[Product ID]],Product[#All],4,0)</f>
        <v>Epson</v>
      </c>
      <c r="E3" s="52">
        <f>SUMIF(Opning[[#All],[Product_ID]],Stock[[#This Row],[Product ID]],Opning[[#All],[Opening_Qty]])</f>
        <v>18</v>
      </c>
      <c r="F3" s="52">
        <f>SUMIF(Purchase[[#All],[Product ID]],Stock[[#This Row],[Product ID]],Purchase[[#All],[Net Qty]])</f>
        <v>49</v>
      </c>
      <c r="G3" s="52">
        <f>Stock[[#This Row],[Opening Stock]]+Stock[[#This Row],[Purchase Stock]]</f>
        <v>67</v>
      </c>
      <c r="H3" s="52">
        <f>SUMIF(Sales[[#All],[Product ID]],Stock[[#This Row],[Product ID]],Sales[[#All],[Net QTY]])</f>
        <v>62</v>
      </c>
      <c r="I3" s="52">
        <f>Stock[[#This Row],[Total Stock]]-Stock[[#This Row],[Selling Stock]]</f>
        <v>5</v>
      </c>
      <c r="J3" s="52">
        <f>VLOOKUP(Stock[[#This Row],[Product ID]],Product[#All],8,0)</f>
        <v>5</v>
      </c>
      <c r="K3" s="52" t="str">
        <f>IF(Stock[[#This Row],[Available Stock]]&lt;=Stock[[#This Row],[Reorder Level]],"Reorder","OK")</f>
        <v>Reorder</v>
      </c>
    </row>
    <row r="4" spans="1:11" ht="18.75" x14ac:dyDescent="0.25">
      <c r="A4" s="52" t="str">
        <f>Product[[#This Row],[Product ID]]</f>
        <v>P0002</v>
      </c>
      <c r="B4" s="52" t="str">
        <f>VLOOKUP(Stock[[#This Row],[Product ID]],Product[#All],2,0)</f>
        <v>Dell Desktop</v>
      </c>
      <c r="C4" s="52" t="str">
        <f>VLOOKUP(Stock[[#This Row],[Product ID]],Product[#All],3,0)</f>
        <v>Desktop</v>
      </c>
      <c r="D4" s="52" t="str">
        <f>VLOOKUP(Stock[[#This Row],[Product ID]],Product[#All],4,0)</f>
        <v>Dell</v>
      </c>
      <c r="E4" s="52">
        <f>SUMIF(Opning[[#All],[Product_ID]],Stock[[#This Row],[Product ID]],Opning[[#All],[Opening_Qty]])</f>
        <v>15</v>
      </c>
      <c r="F4" s="52">
        <f>SUMIF(Purchase[[#All],[Product ID]],Stock[[#This Row],[Product ID]],Purchase[[#All],[Net Qty]])</f>
        <v>135</v>
      </c>
      <c r="G4" s="52">
        <f>Stock[[#This Row],[Opening Stock]]+Stock[[#This Row],[Purchase Stock]]</f>
        <v>150</v>
      </c>
      <c r="H4" s="52">
        <f>SUMIF(Sales[[#All],[Product ID]],Stock[[#This Row],[Product ID]],Sales[[#All],[Net QTY]])</f>
        <v>57</v>
      </c>
      <c r="I4" s="52">
        <f>Stock[[#This Row],[Total Stock]]-Stock[[#This Row],[Selling Stock]]</f>
        <v>93</v>
      </c>
      <c r="J4" s="52">
        <f>VLOOKUP(Stock[[#This Row],[Product ID]],Product[#All],8,0)</f>
        <v>10</v>
      </c>
      <c r="K4" s="52" t="str">
        <f>IF(Stock[[#This Row],[Available Stock]]&lt;=Stock[[#This Row],[Reorder Level]],"Reorder","OK")</f>
        <v>OK</v>
      </c>
    </row>
    <row r="5" spans="1:11" ht="18.75" x14ac:dyDescent="0.25">
      <c r="A5" s="52" t="str">
        <f>Product[[#This Row],[Product ID]]</f>
        <v>P0003</v>
      </c>
      <c r="B5" s="52" t="str">
        <f>VLOOKUP(Stock[[#This Row],[Product ID]],Product[#All],2,0)</f>
        <v>Dell Monitor</v>
      </c>
      <c r="C5" s="52" t="str">
        <f>VLOOKUP(Stock[[#This Row],[Product ID]],Product[#All],3,0)</f>
        <v>Monitor</v>
      </c>
      <c r="D5" s="52" t="str">
        <f>VLOOKUP(Stock[[#This Row],[Product ID]],Product[#All],4,0)</f>
        <v>Dell</v>
      </c>
      <c r="E5" s="52">
        <f>SUMIF(Opning[[#All],[Product_ID]],Stock[[#This Row],[Product ID]],Opning[[#All],[Opening_Qty]])</f>
        <v>27</v>
      </c>
      <c r="F5" s="52">
        <f>SUMIF(Purchase[[#All],[Product ID]],Stock[[#This Row],[Product ID]],Purchase[[#All],[Net Qty]])</f>
        <v>51</v>
      </c>
      <c r="G5" s="52">
        <f>Stock[[#This Row],[Opening Stock]]+Stock[[#This Row],[Purchase Stock]]</f>
        <v>78</v>
      </c>
      <c r="H5" s="52">
        <f>SUMIF(Sales[[#All],[Product ID]],Stock[[#This Row],[Product ID]],Sales[[#All],[Net QTY]])</f>
        <v>57</v>
      </c>
      <c r="I5" s="52">
        <f>Stock[[#This Row],[Total Stock]]-Stock[[#This Row],[Selling Stock]]</f>
        <v>21</v>
      </c>
      <c r="J5" s="52">
        <f>VLOOKUP(Stock[[#This Row],[Product ID]],Product[#All],8,0)</f>
        <v>25</v>
      </c>
      <c r="K5" s="52" t="str">
        <f>IF(Stock[[#This Row],[Available Stock]]&lt;=Stock[[#This Row],[Reorder Level]],"Reorder","OK")</f>
        <v>Reorder</v>
      </c>
    </row>
    <row r="6" spans="1:11" ht="18.75" x14ac:dyDescent="0.25">
      <c r="A6" s="52" t="str">
        <f>Product[[#This Row],[Product ID]]</f>
        <v>P0004</v>
      </c>
      <c r="B6" s="52" t="str">
        <f>VLOOKUP(Stock[[#This Row],[Product ID]],Product[#All],2,0)</f>
        <v>Boat Headset</v>
      </c>
      <c r="C6" s="52" t="str">
        <f>VLOOKUP(Stock[[#This Row],[Product ID]],Product[#All],3,0)</f>
        <v>Headset</v>
      </c>
      <c r="D6" s="52" t="str">
        <f>VLOOKUP(Stock[[#This Row],[Product ID]],Product[#All],4,0)</f>
        <v>Boat</v>
      </c>
      <c r="E6" s="52">
        <f>SUMIF(Opning[[#All],[Product_ID]],Stock[[#This Row],[Product ID]],Opning[[#All],[Opening_Qty]])</f>
        <v>27</v>
      </c>
      <c r="F6" s="52">
        <f>SUMIF(Purchase[[#All],[Product ID]],Stock[[#This Row],[Product ID]],Purchase[[#All],[Net Qty]])</f>
        <v>59</v>
      </c>
      <c r="G6" s="52">
        <f>Stock[[#This Row],[Opening Stock]]+Stock[[#This Row],[Purchase Stock]]</f>
        <v>86</v>
      </c>
      <c r="H6" s="52">
        <f>SUMIF(Sales[[#All],[Product ID]],Stock[[#This Row],[Product ID]],Sales[[#All],[Net QTY]])</f>
        <v>66</v>
      </c>
      <c r="I6" s="52">
        <f>Stock[[#This Row],[Total Stock]]-Stock[[#This Row],[Selling Stock]]</f>
        <v>20</v>
      </c>
      <c r="J6" s="52">
        <f>VLOOKUP(Stock[[#This Row],[Product ID]],Product[#All],8,0)</f>
        <v>8</v>
      </c>
      <c r="K6" s="52" t="str">
        <f>IF(Stock[[#This Row],[Available Stock]]&lt;=Stock[[#This Row],[Reorder Level]],"Reorder","OK")</f>
        <v>OK</v>
      </c>
    </row>
    <row r="7" spans="1:11" ht="18.75" x14ac:dyDescent="0.25">
      <c r="A7" s="52" t="str">
        <f>Product[[#This Row],[Product ID]]</f>
        <v>P0005</v>
      </c>
      <c r="B7" s="52" t="str">
        <f>VLOOKUP(Stock[[#This Row],[Product ID]],Product[#All],2,0)</f>
        <v>Sandisk Pen Drive</v>
      </c>
      <c r="C7" s="52" t="str">
        <f>VLOOKUP(Stock[[#This Row],[Product ID]],Product[#All],3,0)</f>
        <v>Pen Drive</v>
      </c>
      <c r="D7" s="52" t="str">
        <f>VLOOKUP(Stock[[#This Row],[Product ID]],Product[#All],4,0)</f>
        <v>SanDisk</v>
      </c>
      <c r="E7" s="52">
        <f>SUMIF(Opning[[#All],[Product_ID]],Stock[[#This Row],[Product ID]],Opning[[#All],[Opening_Qty]])</f>
        <v>19</v>
      </c>
      <c r="F7" s="52">
        <f>SUMIF(Purchase[[#All],[Product ID]],Stock[[#This Row],[Product ID]],Purchase[[#All],[Net Qty]])</f>
        <v>72</v>
      </c>
      <c r="G7" s="52">
        <f>Stock[[#This Row],[Opening Stock]]+Stock[[#This Row],[Purchase Stock]]</f>
        <v>91</v>
      </c>
      <c r="H7" s="52">
        <f>SUMIF(Sales[[#All],[Product ID]],Stock[[#This Row],[Product ID]],Sales[[#All],[Net QTY]])</f>
        <v>38</v>
      </c>
      <c r="I7" s="52">
        <f>Stock[[#This Row],[Total Stock]]-Stock[[#This Row],[Selling Stock]]</f>
        <v>53</v>
      </c>
      <c r="J7" s="52">
        <f>VLOOKUP(Stock[[#This Row],[Product ID]],Product[#All],8,0)</f>
        <v>25</v>
      </c>
      <c r="K7" s="52" t="str">
        <f>IF(Stock[[#This Row],[Available Stock]]&lt;=Stock[[#This Row],[Reorder Level]],"Reorder","OK")</f>
        <v>OK</v>
      </c>
    </row>
    <row r="8" spans="1:11" ht="18.75" x14ac:dyDescent="0.25">
      <c r="A8" s="52" t="str">
        <f>Product[[#This Row],[Product ID]]</f>
        <v>P0006</v>
      </c>
      <c r="B8" s="52" t="str">
        <f>VLOOKUP(Stock[[#This Row],[Product ID]],Product[#All],2,0)</f>
        <v>TP-link Bluetooth Adapter</v>
      </c>
      <c r="C8" s="52" t="str">
        <f>VLOOKUP(Stock[[#This Row],[Product ID]],Product[#All],3,0)</f>
        <v>Bluetooth Adapter</v>
      </c>
      <c r="D8" s="52" t="str">
        <f>VLOOKUP(Stock[[#This Row],[Product ID]],Product[#All],4,0)</f>
        <v>TP-link</v>
      </c>
      <c r="E8" s="52">
        <f>SUMIF(Opning[[#All],[Product_ID]],Stock[[#This Row],[Product ID]],Opning[[#All],[Opening_Qty]])</f>
        <v>44</v>
      </c>
      <c r="F8" s="52">
        <f>SUMIF(Purchase[[#All],[Product ID]],Stock[[#This Row],[Product ID]],Purchase[[#All],[Net Qty]])</f>
        <v>230</v>
      </c>
      <c r="G8" s="52">
        <f>Stock[[#This Row],[Opening Stock]]+Stock[[#This Row],[Purchase Stock]]</f>
        <v>274</v>
      </c>
      <c r="H8" s="52">
        <f>SUMIF(Sales[[#All],[Product ID]],Stock[[#This Row],[Product ID]],Sales[[#All],[Net QTY]])</f>
        <v>26</v>
      </c>
      <c r="I8" s="52">
        <f>Stock[[#This Row],[Total Stock]]-Stock[[#This Row],[Selling Stock]]</f>
        <v>248</v>
      </c>
      <c r="J8" s="52">
        <f>VLOOKUP(Stock[[#This Row],[Product ID]],Product[#All],8,0)</f>
        <v>20</v>
      </c>
      <c r="K8" s="52" t="str">
        <f>IF(Stock[[#This Row],[Available Stock]]&lt;=Stock[[#This Row],[Reorder Level]],"Reorder","OK")</f>
        <v>OK</v>
      </c>
    </row>
    <row r="9" spans="1:11" ht="18.75" x14ac:dyDescent="0.25">
      <c r="A9" s="52" t="str">
        <f>Product[[#This Row],[Product ID]]</f>
        <v>P0007</v>
      </c>
      <c r="B9" s="52" t="str">
        <f>VLOOKUP(Stock[[#This Row],[Product ID]],Product[#All],2,0)</f>
        <v>Logitech Keyboard</v>
      </c>
      <c r="C9" s="52" t="str">
        <f>VLOOKUP(Stock[[#This Row],[Product ID]],Product[#All],3,0)</f>
        <v>Keyboard</v>
      </c>
      <c r="D9" s="52" t="str">
        <f>VLOOKUP(Stock[[#This Row],[Product ID]],Product[#All],4,0)</f>
        <v>Logitech</v>
      </c>
      <c r="E9" s="52">
        <f>SUMIF(Opning[[#All],[Product_ID]],Stock[[#This Row],[Product ID]],Opning[[#All],[Opening_Qty]])</f>
        <v>27</v>
      </c>
      <c r="F9" s="52">
        <f>SUMIF(Purchase[[#All],[Product ID]],Stock[[#This Row],[Product ID]],Purchase[[#All],[Net Qty]])</f>
        <v>116</v>
      </c>
      <c r="G9" s="52">
        <f>Stock[[#This Row],[Opening Stock]]+Stock[[#This Row],[Purchase Stock]]</f>
        <v>143</v>
      </c>
      <c r="H9" s="52">
        <f>SUMIF(Sales[[#All],[Product ID]],Stock[[#This Row],[Product ID]],Sales[[#All],[Net QTY]])</f>
        <v>58</v>
      </c>
      <c r="I9" s="52">
        <f>Stock[[#This Row],[Total Stock]]-Stock[[#This Row],[Selling Stock]]</f>
        <v>85</v>
      </c>
      <c r="J9" s="52">
        <f>VLOOKUP(Stock[[#This Row],[Product ID]],Product[#All],8,0)</f>
        <v>5</v>
      </c>
      <c r="K9" s="52" t="str">
        <f>IF(Stock[[#This Row],[Available Stock]]&lt;=Stock[[#This Row],[Reorder Level]],"Reorder","OK")</f>
        <v>OK</v>
      </c>
    </row>
    <row r="10" spans="1:11" ht="18.75" x14ac:dyDescent="0.25">
      <c r="A10" s="52" t="str">
        <f>Product[[#This Row],[Product ID]]</f>
        <v>P0008</v>
      </c>
      <c r="B10" s="52" t="str">
        <f>VLOOKUP(Stock[[#This Row],[Product ID]],Product[#All],2,0)</f>
        <v>Kingston Ram</v>
      </c>
      <c r="C10" s="52" t="str">
        <f>VLOOKUP(Stock[[#This Row],[Product ID]],Product[#All],3,0)</f>
        <v>RAM</v>
      </c>
      <c r="D10" s="52" t="str">
        <f>VLOOKUP(Stock[[#This Row],[Product ID]],Product[#All],4,0)</f>
        <v>Kingston</v>
      </c>
      <c r="E10" s="52">
        <f>SUMIF(Opning[[#All],[Product_ID]],Stock[[#This Row],[Product ID]],Opning[[#All],[Opening_Qty]])</f>
        <v>18</v>
      </c>
      <c r="F10" s="52">
        <f>SUMIF(Purchase[[#All],[Product ID]],Stock[[#This Row],[Product ID]],Purchase[[#All],[Net Qty]])</f>
        <v>133</v>
      </c>
      <c r="G10" s="52">
        <f>Stock[[#This Row],[Opening Stock]]+Stock[[#This Row],[Purchase Stock]]</f>
        <v>151</v>
      </c>
      <c r="H10" s="52">
        <f>SUMIF(Sales[[#All],[Product ID]],Stock[[#This Row],[Product ID]],Sales[[#All],[Net QTY]])</f>
        <v>39</v>
      </c>
      <c r="I10" s="52">
        <f>Stock[[#This Row],[Total Stock]]-Stock[[#This Row],[Selling Stock]]</f>
        <v>112</v>
      </c>
      <c r="J10" s="52">
        <f>VLOOKUP(Stock[[#This Row],[Product ID]],Product[#All],8,0)</f>
        <v>15</v>
      </c>
      <c r="K10" s="52" t="str">
        <f>IF(Stock[[#This Row],[Available Stock]]&lt;=Stock[[#This Row],[Reorder Level]],"Reorder","OK")</f>
        <v>OK</v>
      </c>
    </row>
    <row r="11" spans="1:11" ht="18.75" x14ac:dyDescent="0.25">
      <c r="A11" s="52" t="str">
        <f>Product[[#This Row],[Product ID]]</f>
        <v>P0009</v>
      </c>
      <c r="B11" s="52" t="str">
        <f>VLOOKUP(Stock[[#This Row],[Product ID]],Product[#All],2,0)</f>
        <v>Lg Monitor</v>
      </c>
      <c r="C11" s="52" t="str">
        <f>VLOOKUP(Stock[[#This Row],[Product ID]],Product[#All],3,0)</f>
        <v>Monitor</v>
      </c>
      <c r="D11" s="52" t="str">
        <f>VLOOKUP(Stock[[#This Row],[Product ID]],Product[#All],4,0)</f>
        <v>LG</v>
      </c>
      <c r="E11" s="52">
        <f>SUMIF(Opning[[#All],[Product_ID]],Stock[[#This Row],[Product ID]],Opning[[#All],[Opening_Qty]])</f>
        <v>43</v>
      </c>
      <c r="F11" s="52">
        <f>SUMIF(Purchase[[#All],[Product ID]],Stock[[#This Row],[Product ID]],Purchase[[#All],[Net Qty]])</f>
        <v>202</v>
      </c>
      <c r="G11" s="52">
        <f>Stock[[#This Row],[Opening Stock]]+Stock[[#This Row],[Purchase Stock]]</f>
        <v>245</v>
      </c>
      <c r="H11" s="52">
        <f>SUMIF(Sales[[#All],[Product ID]],Stock[[#This Row],[Product ID]],Sales[[#All],[Net QTY]])</f>
        <v>25</v>
      </c>
      <c r="I11" s="52">
        <f>Stock[[#This Row],[Total Stock]]-Stock[[#This Row],[Selling Stock]]</f>
        <v>220</v>
      </c>
      <c r="J11" s="52">
        <f>VLOOKUP(Stock[[#This Row],[Product ID]],Product[#All],8,0)</f>
        <v>20</v>
      </c>
      <c r="K11" s="52" t="str">
        <f>IF(Stock[[#This Row],[Available Stock]]&lt;=Stock[[#This Row],[Reorder Level]],"Reorder","OK")</f>
        <v>OK</v>
      </c>
    </row>
    <row r="12" spans="1:11" ht="18.75" x14ac:dyDescent="0.25">
      <c r="A12" s="52" t="str">
        <f>Product[[#This Row],[Product ID]]</f>
        <v>P0010</v>
      </c>
      <c r="B12" s="52" t="str">
        <f>VLOOKUP(Stock[[#This Row],[Product ID]],Product[#All],2,0)</f>
        <v>Lenovo Laptop</v>
      </c>
      <c r="C12" s="52" t="str">
        <f>VLOOKUP(Stock[[#This Row],[Product ID]],Product[#All],3,0)</f>
        <v>Laptop</v>
      </c>
      <c r="D12" s="52" t="str">
        <f>VLOOKUP(Stock[[#This Row],[Product ID]],Product[#All],4,0)</f>
        <v>Lenovo</v>
      </c>
      <c r="E12" s="52">
        <f>SUMIF(Opning[[#All],[Product_ID]],Stock[[#This Row],[Product ID]],Opning[[#All],[Opening_Qty]])</f>
        <v>41</v>
      </c>
      <c r="F12" s="52">
        <f>SUMIF(Purchase[[#All],[Product ID]],Stock[[#This Row],[Product ID]],Purchase[[#All],[Net Qty]])</f>
        <v>88</v>
      </c>
      <c r="G12" s="52">
        <f>Stock[[#This Row],[Opening Stock]]+Stock[[#This Row],[Purchase Stock]]</f>
        <v>129</v>
      </c>
      <c r="H12" s="52">
        <f>SUMIF(Sales[[#All],[Product ID]],Stock[[#This Row],[Product ID]],Sales[[#All],[Net QTY]])</f>
        <v>45</v>
      </c>
      <c r="I12" s="52">
        <f>Stock[[#This Row],[Total Stock]]-Stock[[#This Row],[Selling Stock]]</f>
        <v>84</v>
      </c>
      <c r="J12" s="52">
        <f>VLOOKUP(Stock[[#This Row],[Product ID]],Product[#All],8,0)</f>
        <v>5</v>
      </c>
      <c r="K12" s="52" t="str">
        <f>IF(Stock[[#This Row],[Available Stock]]&lt;=Stock[[#This Row],[Reorder Level]],"Reorder","OK")</f>
        <v>OK</v>
      </c>
    </row>
    <row r="13" spans="1:11" ht="18.75" x14ac:dyDescent="0.25">
      <c r="A13" s="52" t="str">
        <f>Product[[#This Row],[Product ID]]</f>
        <v>P0011</v>
      </c>
      <c r="B13" s="52" t="str">
        <f>VLOOKUP(Stock[[#This Row],[Product ID]],Product[#All],2,0)</f>
        <v>Samsung Monitor</v>
      </c>
      <c r="C13" s="52" t="str">
        <f>VLOOKUP(Stock[[#This Row],[Product ID]],Product[#All],3,0)</f>
        <v>Monitor</v>
      </c>
      <c r="D13" s="52" t="str">
        <f>VLOOKUP(Stock[[#This Row],[Product ID]],Product[#All],4,0)</f>
        <v>Samsung</v>
      </c>
      <c r="E13" s="52">
        <f>SUMIF(Opning[[#All],[Product_ID]],Stock[[#This Row],[Product ID]],Opning[[#All],[Opening_Qty]])</f>
        <v>13</v>
      </c>
      <c r="F13" s="52">
        <f>SUMIF(Purchase[[#All],[Product ID]],Stock[[#This Row],[Product ID]],Purchase[[#All],[Net Qty]])</f>
        <v>82</v>
      </c>
      <c r="G13" s="52">
        <f>Stock[[#This Row],[Opening Stock]]+Stock[[#This Row],[Purchase Stock]]</f>
        <v>95</v>
      </c>
      <c r="H13" s="52">
        <f>SUMIF(Sales[[#All],[Product ID]],Stock[[#This Row],[Product ID]],Sales[[#All],[Net QTY]])</f>
        <v>56</v>
      </c>
      <c r="I13" s="52">
        <f>Stock[[#This Row],[Total Stock]]-Stock[[#This Row],[Selling Stock]]</f>
        <v>39</v>
      </c>
      <c r="J13" s="52">
        <f>VLOOKUP(Stock[[#This Row],[Product ID]],Product[#All],8,0)</f>
        <v>5</v>
      </c>
      <c r="K13" s="52" t="str">
        <f>IF(Stock[[#This Row],[Available Stock]]&lt;=Stock[[#This Row],[Reorder Level]],"Reorder","OK")</f>
        <v>OK</v>
      </c>
    </row>
    <row r="14" spans="1:11" ht="18.75" x14ac:dyDescent="0.25">
      <c r="A14" s="52" t="str">
        <f>Product[[#This Row],[Product ID]]</f>
        <v>P0012</v>
      </c>
      <c r="B14" s="52" t="str">
        <f>VLOOKUP(Stock[[#This Row],[Product ID]],Product[#All],2,0)</f>
        <v>Logitech Mouse</v>
      </c>
      <c r="C14" s="52" t="str">
        <f>VLOOKUP(Stock[[#This Row],[Product ID]],Product[#All],3,0)</f>
        <v>Mouse</v>
      </c>
      <c r="D14" s="52" t="str">
        <f>VLOOKUP(Stock[[#This Row],[Product ID]],Product[#All],4,0)</f>
        <v>Logitech</v>
      </c>
      <c r="E14" s="52">
        <f>SUMIF(Opning[[#All],[Product_ID]],Stock[[#This Row],[Product ID]],Opning[[#All],[Opening_Qty]])</f>
        <v>44</v>
      </c>
      <c r="F14" s="52">
        <f>SUMIF(Purchase[[#All],[Product ID]],Stock[[#This Row],[Product ID]],Purchase[[#All],[Net Qty]])</f>
        <v>107</v>
      </c>
      <c r="G14" s="52">
        <f>Stock[[#This Row],[Opening Stock]]+Stock[[#This Row],[Purchase Stock]]</f>
        <v>151</v>
      </c>
      <c r="H14" s="52">
        <f>SUMIF(Sales[[#All],[Product ID]],Stock[[#This Row],[Product ID]],Sales[[#All],[Net QTY]])</f>
        <v>22</v>
      </c>
      <c r="I14" s="52">
        <f>Stock[[#This Row],[Total Stock]]-Stock[[#This Row],[Selling Stock]]</f>
        <v>129</v>
      </c>
      <c r="J14" s="52">
        <f>VLOOKUP(Stock[[#This Row],[Product ID]],Product[#All],8,0)</f>
        <v>8</v>
      </c>
      <c r="K14" s="52" t="str">
        <f>IF(Stock[[#This Row],[Available Stock]]&lt;=Stock[[#This Row],[Reorder Level]],"Reorder","OK")</f>
        <v>OK</v>
      </c>
    </row>
    <row r="15" spans="1:11" ht="18.75" x14ac:dyDescent="0.25">
      <c r="A15" s="52" t="str">
        <f>Product[[#This Row],[Product ID]]</f>
        <v>P0013</v>
      </c>
      <c r="B15" s="52" t="str">
        <f>VLOOKUP(Stock[[#This Row],[Product ID]],Product[#All],2,0)</f>
        <v>Samsung Monitor</v>
      </c>
      <c r="C15" s="52" t="str">
        <f>VLOOKUP(Stock[[#This Row],[Product ID]],Product[#All],3,0)</f>
        <v>Monitor</v>
      </c>
      <c r="D15" s="52" t="str">
        <f>VLOOKUP(Stock[[#This Row],[Product ID]],Product[#All],4,0)</f>
        <v>Samsung</v>
      </c>
      <c r="E15" s="52">
        <f>SUMIF(Opning[[#All],[Product_ID]],Stock[[#This Row],[Product ID]],Opning[[#All],[Opening_Qty]])</f>
        <v>16</v>
      </c>
      <c r="F15" s="52">
        <f>SUMIF(Purchase[[#All],[Product ID]],Stock[[#This Row],[Product ID]],Purchase[[#All],[Net Qty]])</f>
        <v>128</v>
      </c>
      <c r="G15" s="52">
        <f>Stock[[#This Row],[Opening Stock]]+Stock[[#This Row],[Purchase Stock]]</f>
        <v>144</v>
      </c>
      <c r="H15" s="52">
        <f>SUMIF(Sales[[#All],[Product ID]],Stock[[#This Row],[Product ID]],Sales[[#All],[Net QTY]])</f>
        <v>42</v>
      </c>
      <c r="I15" s="52">
        <f>Stock[[#This Row],[Total Stock]]-Stock[[#This Row],[Selling Stock]]</f>
        <v>102</v>
      </c>
      <c r="J15" s="52">
        <f>VLOOKUP(Stock[[#This Row],[Product ID]],Product[#All],8,0)</f>
        <v>5</v>
      </c>
      <c r="K15" s="52" t="str">
        <f>IF(Stock[[#This Row],[Available Stock]]&lt;=Stock[[#This Row],[Reorder Level]],"Reorder","OK")</f>
        <v>OK</v>
      </c>
    </row>
    <row r="16" spans="1:11" ht="18.75" x14ac:dyDescent="0.25">
      <c r="A16" s="52" t="str">
        <f>Product[[#This Row],[Product ID]]</f>
        <v>P0014</v>
      </c>
      <c r="B16" s="52" t="str">
        <f>VLOOKUP(Stock[[#This Row],[Product ID]],Product[#All],2,0)</f>
        <v>Dell Keyboard</v>
      </c>
      <c r="C16" s="52" t="str">
        <f>VLOOKUP(Stock[[#This Row],[Product ID]],Product[#All],3,0)</f>
        <v>Keyboard</v>
      </c>
      <c r="D16" s="52" t="str">
        <f>VLOOKUP(Stock[[#This Row],[Product ID]],Product[#All],4,0)</f>
        <v>Dell</v>
      </c>
      <c r="E16" s="52">
        <f>SUMIF(Opning[[#All],[Product_ID]],Stock[[#This Row],[Product ID]],Opning[[#All],[Opening_Qty]])</f>
        <v>10</v>
      </c>
      <c r="F16" s="52">
        <f>SUMIF(Purchase[[#All],[Product ID]],Stock[[#This Row],[Product ID]],Purchase[[#All],[Net Qty]])</f>
        <v>174</v>
      </c>
      <c r="G16" s="52">
        <f>Stock[[#This Row],[Opening Stock]]+Stock[[#This Row],[Purchase Stock]]</f>
        <v>184</v>
      </c>
      <c r="H16" s="52">
        <f>SUMIF(Sales[[#All],[Product ID]],Stock[[#This Row],[Product ID]],Sales[[#All],[Net QTY]])</f>
        <v>23</v>
      </c>
      <c r="I16" s="52">
        <f>Stock[[#This Row],[Total Stock]]-Stock[[#This Row],[Selling Stock]]</f>
        <v>161</v>
      </c>
      <c r="J16" s="52">
        <f>VLOOKUP(Stock[[#This Row],[Product ID]],Product[#All],8,0)</f>
        <v>5</v>
      </c>
      <c r="K16" s="52" t="str">
        <f>IF(Stock[[#This Row],[Available Stock]]&lt;=Stock[[#This Row],[Reorder Level]],"Reorder","OK")</f>
        <v>OK</v>
      </c>
    </row>
    <row r="17" spans="1:11" ht="18.75" x14ac:dyDescent="0.25">
      <c r="A17" s="52" t="str">
        <f>Product[[#This Row],[Product ID]]</f>
        <v>P0015</v>
      </c>
      <c r="B17" s="52" t="str">
        <f>VLOOKUP(Stock[[#This Row],[Product ID]],Product[#All],2,0)</f>
        <v>TP-link Wi-Fi Adapter</v>
      </c>
      <c r="C17" s="52" t="str">
        <f>VLOOKUP(Stock[[#This Row],[Product ID]],Product[#All],3,0)</f>
        <v>Wi-Fi Adapter</v>
      </c>
      <c r="D17" s="52" t="str">
        <f>VLOOKUP(Stock[[#This Row],[Product ID]],Product[#All],4,0)</f>
        <v>TP-link</v>
      </c>
      <c r="E17" s="52">
        <f>SUMIF(Opning[[#All],[Product_ID]],Stock[[#This Row],[Product ID]],Opning[[#All],[Opening_Qty]])</f>
        <v>37</v>
      </c>
      <c r="F17" s="52">
        <f>SUMIF(Purchase[[#All],[Product ID]],Stock[[#This Row],[Product ID]],Purchase[[#All],[Net Qty]])</f>
        <v>33</v>
      </c>
      <c r="G17" s="52">
        <f>Stock[[#This Row],[Opening Stock]]+Stock[[#This Row],[Purchase Stock]]</f>
        <v>70</v>
      </c>
      <c r="H17" s="52">
        <f>SUMIF(Sales[[#All],[Product ID]],Stock[[#This Row],[Product ID]],Sales[[#All],[Net QTY]])</f>
        <v>44</v>
      </c>
      <c r="I17" s="52">
        <f>Stock[[#This Row],[Total Stock]]-Stock[[#This Row],[Selling Stock]]</f>
        <v>26</v>
      </c>
      <c r="J17" s="52">
        <f>VLOOKUP(Stock[[#This Row],[Product ID]],Product[#All],8,0)</f>
        <v>15</v>
      </c>
      <c r="K17" s="52" t="str">
        <f>IF(Stock[[#This Row],[Available Stock]]&lt;=Stock[[#This Row],[Reorder Level]],"Reorder","OK")</f>
        <v>OK</v>
      </c>
    </row>
    <row r="18" spans="1:11" ht="18.75" x14ac:dyDescent="0.25">
      <c r="A18" s="52" t="str">
        <f>Product[[#This Row],[Product ID]]</f>
        <v>P0016</v>
      </c>
      <c r="B18" s="52" t="str">
        <f>VLOOKUP(Stock[[#This Row],[Product ID]],Product[#All],2,0)</f>
        <v>Lenovo Laptop</v>
      </c>
      <c r="C18" s="52" t="str">
        <f>VLOOKUP(Stock[[#This Row],[Product ID]],Product[#All],3,0)</f>
        <v>Laptop</v>
      </c>
      <c r="D18" s="52" t="str">
        <f>VLOOKUP(Stock[[#This Row],[Product ID]],Product[#All],4,0)</f>
        <v>Lenovo</v>
      </c>
      <c r="E18" s="52">
        <f>SUMIF(Opning[[#All],[Product_ID]],Stock[[#This Row],[Product ID]],Opning[[#All],[Opening_Qty]])</f>
        <v>57</v>
      </c>
      <c r="F18" s="52">
        <f>SUMIF(Purchase[[#All],[Product ID]],Stock[[#This Row],[Product ID]],Purchase[[#All],[Net Qty]])</f>
        <v>80</v>
      </c>
      <c r="G18" s="52">
        <f>Stock[[#This Row],[Opening Stock]]+Stock[[#This Row],[Purchase Stock]]</f>
        <v>137</v>
      </c>
      <c r="H18" s="52">
        <f>SUMIF(Sales[[#All],[Product ID]],Stock[[#This Row],[Product ID]],Sales[[#All],[Net QTY]])</f>
        <v>27</v>
      </c>
      <c r="I18" s="52">
        <f>Stock[[#This Row],[Total Stock]]-Stock[[#This Row],[Selling Stock]]</f>
        <v>110</v>
      </c>
      <c r="J18" s="52">
        <f>VLOOKUP(Stock[[#This Row],[Product ID]],Product[#All],8,0)</f>
        <v>8</v>
      </c>
      <c r="K18" s="52" t="str">
        <f>IF(Stock[[#This Row],[Available Stock]]&lt;=Stock[[#This Row],[Reorder Level]],"Reorder","OK")</f>
        <v>OK</v>
      </c>
    </row>
    <row r="19" spans="1:11" ht="18.75" x14ac:dyDescent="0.25">
      <c r="A19" s="52" t="str">
        <f>Product[[#This Row],[Product ID]]</f>
        <v>P0017</v>
      </c>
      <c r="B19" s="52" t="str">
        <f>VLOOKUP(Stock[[#This Row],[Product ID]],Product[#All],2,0)</f>
        <v>Boat Headset</v>
      </c>
      <c r="C19" s="52" t="str">
        <f>VLOOKUP(Stock[[#This Row],[Product ID]],Product[#All],3,0)</f>
        <v>Headset</v>
      </c>
      <c r="D19" s="52" t="str">
        <f>VLOOKUP(Stock[[#This Row],[Product ID]],Product[#All],4,0)</f>
        <v>Boat</v>
      </c>
      <c r="E19" s="52">
        <f>SUMIF(Opning[[#All],[Product_ID]],Stock[[#This Row],[Product ID]],Opning[[#All],[Opening_Qty]])</f>
        <v>45</v>
      </c>
      <c r="F19" s="52">
        <f>SUMIF(Purchase[[#All],[Product ID]],Stock[[#This Row],[Product ID]],Purchase[[#All],[Net Qty]])</f>
        <v>57</v>
      </c>
      <c r="G19" s="52">
        <f>Stock[[#This Row],[Opening Stock]]+Stock[[#This Row],[Purchase Stock]]</f>
        <v>102</v>
      </c>
      <c r="H19" s="52">
        <f>SUMIF(Sales[[#All],[Product ID]],Stock[[#This Row],[Product ID]],Sales[[#All],[Net QTY]])</f>
        <v>72</v>
      </c>
      <c r="I19" s="52">
        <f>Stock[[#This Row],[Total Stock]]-Stock[[#This Row],[Selling Stock]]</f>
        <v>30</v>
      </c>
      <c r="J19" s="52">
        <f>VLOOKUP(Stock[[#This Row],[Product ID]],Product[#All],8,0)</f>
        <v>5</v>
      </c>
      <c r="K19" s="52" t="str">
        <f>IF(Stock[[#This Row],[Available Stock]]&lt;=Stock[[#This Row],[Reorder Level]],"Reorder","OK")</f>
        <v>OK</v>
      </c>
    </row>
    <row r="20" spans="1:11" ht="18.75" x14ac:dyDescent="0.25">
      <c r="A20" s="52" t="str">
        <f>Product[[#This Row],[Product ID]]</f>
        <v>P0018</v>
      </c>
      <c r="B20" s="52" t="str">
        <f>VLOOKUP(Stock[[#This Row],[Product ID]],Product[#All],2,0)</f>
        <v>HP Laptop</v>
      </c>
      <c r="C20" s="52" t="str">
        <f>VLOOKUP(Stock[[#This Row],[Product ID]],Product[#All],3,0)</f>
        <v>Laptop</v>
      </c>
      <c r="D20" s="52" t="str">
        <f>VLOOKUP(Stock[[#This Row],[Product ID]],Product[#All],4,0)</f>
        <v>HP</v>
      </c>
      <c r="E20" s="52">
        <f>SUMIF(Opning[[#All],[Product_ID]],Stock[[#This Row],[Product ID]],Opning[[#All],[Opening_Qty]])</f>
        <v>16</v>
      </c>
      <c r="F20" s="52">
        <f>SUMIF(Purchase[[#All],[Product ID]],Stock[[#This Row],[Product ID]],Purchase[[#All],[Net Qty]])</f>
        <v>118</v>
      </c>
      <c r="G20" s="52">
        <f>Stock[[#This Row],[Opening Stock]]+Stock[[#This Row],[Purchase Stock]]</f>
        <v>134</v>
      </c>
      <c r="H20" s="52">
        <f>SUMIF(Sales[[#All],[Product ID]],Stock[[#This Row],[Product ID]],Sales[[#All],[Net QTY]])</f>
        <v>59</v>
      </c>
      <c r="I20" s="52">
        <f>Stock[[#This Row],[Total Stock]]-Stock[[#This Row],[Selling Stock]]</f>
        <v>75</v>
      </c>
      <c r="J20" s="52">
        <f>VLOOKUP(Stock[[#This Row],[Product ID]],Product[#All],8,0)</f>
        <v>8</v>
      </c>
      <c r="K20" s="52" t="str">
        <f>IF(Stock[[#This Row],[Available Stock]]&lt;=Stock[[#This Row],[Reorder Level]],"Reorder","OK")</f>
        <v>OK</v>
      </c>
    </row>
    <row r="21" spans="1:11" ht="18.75" x14ac:dyDescent="0.25">
      <c r="A21" s="52" t="str">
        <f>Product[[#This Row],[Product ID]]</f>
        <v>P0019</v>
      </c>
      <c r="B21" s="52" t="str">
        <f>VLOOKUP(Stock[[#This Row],[Product ID]],Product[#All],2,0)</f>
        <v>Jbl Speaker</v>
      </c>
      <c r="C21" s="52" t="str">
        <f>VLOOKUP(Stock[[#This Row],[Product ID]],Product[#All],3,0)</f>
        <v>Speaker</v>
      </c>
      <c r="D21" s="52" t="str">
        <f>VLOOKUP(Stock[[#This Row],[Product ID]],Product[#All],4,0)</f>
        <v>JBL</v>
      </c>
      <c r="E21" s="52">
        <f>SUMIF(Opning[[#All],[Product_ID]],Stock[[#This Row],[Product ID]],Opning[[#All],[Opening_Qty]])</f>
        <v>31</v>
      </c>
      <c r="F21" s="52">
        <f>SUMIF(Purchase[[#All],[Product ID]],Stock[[#This Row],[Product ID]],Purchase[[#All],[Net Qty]])</f>
        <v>77</v>
      </c>
      <c r="G21" s="52">
        <f>Stock[[#This Row],[Opening Stock]]+Stock[[#This Row],[Purchase Stock]]</f>
        <v>108</v>
      </c>
      <c r="H21" s="52">
        <f>SUMIF(Sales[[#All],[Product ID]],Stock[[#This Row],[Product ID]],Sales[[#All],[Net QTY]])</f>
        <v>44</v>
      </c>
      <c r="I21" s="52">
        <f>Stock[[#This Row],[Total Stock]]-Stock[[#This Row],[Selling Stock]]</f>
        <v>64</v>
      </c>
      <c r="J21" s="52">
        <f>VLOOKUP(Stock[[#This Row],[Product ID]],Product[#All],8,0)</f>
        <v>25</v>
      </c>
      <c r="K21" s="52" t="str">
        <f>IF(Stock[[#This Row],[Available Stock]]&lt;=Stock[[#This Row],[Reorder Level]],"Reorder","OK")</f>
        <v>OK</v>
      </c>
    </row>
    <row r="22" spans="1:11" ht="18.75" x14ac:dyDescent="0.25">
      <c r="A22" s="52" t="str">
        <f>Product[[#This Row],[Product ID]]</f>
        <v>P0020</v>
      </c>
      <c r="B22" s="52" t="str">
        <f>VLOOKUP(Stock[[#This Row],[Product ID]],Product[#All],2,0)</f>
        <v>HP Printer</v>
      </c>
      <c r="C22" s="52" t="str">
        <f>VLOOKUP(Stock[[#This Row],[Product ID]],Product[#All],3,0)</f>
        <v>Printer</v>
      </c>
      <c r="D22" s="52" t="str">
        <f>VLOOKUP(Stock[[#This Row],[Product ID]],Product[#All],4,0)</f>
        <v>HP</v>
      </c>
      <c r="E22" s="52">
        <f>SUMIF(Opning[[#All],[Product_ID]],Stock[[#This Row],[Product ID]],Opning[[#All],[Opening_Qty]])</f>
        <v>12</v>
      </c>
      <c r="F22" s="52">
        <f>SUMIF(Purchase[[#All],[Product ID]],Stock[[#This Row],[Product ID]],Purchase[[#All],[Net Qty]])</f>
        <v>107</v>
      </c>
      <c r="G22" s="52">
        <f>Stock[[#This Row],[Opening Stock]]+Stock[[#This Row],[Purchase Stock]]</f>
        <v>119</v>
      </c>
      <c r="H22" s="52">
        <f>SUMIF(Sales[[#All],[Product ID]],Stock[[#This Row],[Product ID]],Sales[[#All],[Net QTY]])</f>
        <v>46</v>
      </c>
      <c r="I22" s="52">
        <f>Stock[[#This Row],[Total Stock]]-Stock[[#This Row],[Selling Stock]]</f>
        <v>73</v>
      </c>
      <c r="J22" s="52">
        <f>VLOOKUP(Stock[[#This Row],[Product ID]],Product[#All],8,0)</f>
        <v>20</v>
      </c>
      <c r="K22" s="52" t="str">
        <f>IF(Stock[[#This Row],[Available Stock]]&lt;=Stock[[#This Row],[Reorder Level]],"Reorder","OK")</f>
        <v>OK</v>
      </c>
    </row>
    <row r="23" spans="1:11" ht="18.75" x14ac:dyDescent="0.25">
      <c r="A23" s="52" t="str">
        <f>Product[[#This Row],[Product ID]]</f>
        <v>P0021</v>
      </c>
      <c r="B23" s="52" t="str">
        <f>VLOOKUP(Stock[[#This Row],[Product ID]],Product[#All],2,0)</f>
        <v>Logitech Keyboard</v>
      </c>
      <c r="C23" s="52" t="str">
        <f>VLOOKUP(Stock[[#This Row],[Product ID]],Product[#All],3,0)</f>
        <v>Keyboard</v>
      </c>
      <c r="D23" s="52" t="str">
        <f>VLOOKUP(Stock[[#This Row],[Product ID]],Product[#All],4,0)</f>
        <v>Logitech</v>
      </c>
      <c r="E23" s="52">
        <f>SUMIF(Opning[[#All],[Product_ID]],Stock[[#This Row],[Product ID]],Opning[[#All],[Opening_Qty]])</f>
        <v>20</v>
      </c>
      <c r="F23" s="52">
        <f>SUMIF(Purchase[[#All],[Product ID]],Stock[[#This Row],[Product ID]],Purchase[[#All],[Net Qty]])</f>
        <v>56</v>
      </c>
      <c r="G23" s="52">
        <f>Stock[[#This Row],[Opening Stock]]+Stock[[#This Row],[Purchase Stock]]</f>
        <v>76</v>
      </c>
      <c r="H23" s="52">
        <f>SUMIF(Sales[[#All],[Product ID]],Stock[[#This Row],[Product ID]],Sales[[#All],[Net QTY]])</f>
        <v>66</v>
      </c>
      <c r="I23" s="52">
        <f>Stock[[#This Row],[Total Stock]]-Stock[[#This Row],[Selling Stock]]</f>
        <v>10</v>
      </c>
      <c r="J23" s="52">
        <f>VLOOKUP(Stock[[#This Row],[Product ID]],Product[#All],8,0)</f>
        <v>10</v>
      </c>
      <c r="K23" s="52" t="str">
        <f>IF(Stock[[#This Row],[Available Stock]]&lt;=Stock[[#This Row],[Reorder Level]],"Reorder","OK")</f>
        <v>Reorder</v>
      </c>
    </row>
    <row r="24" spans="1:11" ht="18.75" x14ac:dyDescent="0.25">
      <c r="A24" s="52" t="str">
        <f>Product[[#This Row],[Product ID]]</f>
        <v>P0022</v>
      </c>
      <c r="B24" s="52" t="str">
        <f>VLOOKUP(Stock[[#This Row],[Product ID]],Product[#All],2,0)</f>
        <v>Jbl Headset</v>
      </c>
      <c r="C24" s="52" t="str">
        <f>VLOOKUP(Stock[[#This Row],[Product ID]],Product[#All],3,0)</f>
        <v>Headset</v>
      </c>
      <c r="D24" s="52" t="str">
        <f>VLOOKUP(Stock[[#This Row],[Product ID]],Product[#All],4,0)</f>
        <v>JBL</v>
      </c>
      <c r="E24" s="52">
        <f>SUMIF(Opning[[#All],[Product_ID]],Stock[[#This Row],[Product ID]],Opning[[#All],[Opening_Qty]])</f>
        <v>20</v>
      </c>
      <c r="F24" s="52">
        <f>SUMIF(Purchase[[#All],[Product ID]],Stock[[#This Row],[Product ID]],Purchase[[#All],[Net Qty]])</f>
        <v>54</v>
      </c>
      <c r="G24" s="52">
        <f>Stock[[#This Row],[Opening Stock]]+Stock[[#This Row],[Purchase Stock]]</f>
        <v>74</v>
      </c>
      <c r="H24" s="52">
        <f>SUMIF(Sales[[#All],[Product ID]],Stock[[#This Row],[Product ID]],Sales[[#All],[Net QTY]])</f>
        <v>23</v>
      </c>
      <c r="I24" s="52">
        <f>Stock[[#This Row],[Total Stock]]-Stock[[#This Row],[Selling Stock]]</f>
        <v>51</v>
      </c>
      <c r="J24" s="52">
        <f>VLOOKUP(Stock[[#This Row],[Product ID]],Product[#All],8,0)</f>
        <v>20</v>
      </c>
      <c r="K24" s="52" t="str">
        <f>IF(Stock[[#This Row],[Available Stock]]&lt;=Stock[[#This Row],[Reorder Level]],"Reorder","OK")</f>
        <v>OK</v>
      </c>
    </row>
    <row r="25" spans="1:11" ht="18.75" x14ac:dyDescent="0.25">
      <c r="A25" s="52" t="str">
        <f>Product[[#This Row],[Product ID]]</f>
        <v>P0023</v>
      </c>
      <c r="B25" s="52" t="str">
        <f>VLOOKUP(Stock[[#This Row],[Product ID]],Product[#All],2,0)</f>
        <v>Boat Headset</v>
      </c>
      <c r="C25" s="52" t="str">
        <f>VLOOKUP(Stock[[#This Row],[Product ID]],Product[#All],3,0)</f>
        <v>Headset</v>
      </c>
      <c r="D25" s="52" t="str">
        <f>VLOOKUP(Stock[[#This Row],[Product ID]],Product[#All],4,0)</f>
        <v>Boat</v>
      </c>
      <c r="E25" s="52">
        <f>SUMIF(Opning[[#All],[Product_ID]],Stock[[#This Row],[Product ID]],Opning[[#All],[Opening_Qty]])</f>
        <v>25</v>
      </c>
      <c r="F25" s="52">
        <f>SUMIF(Purchase[[#All],[Product ID]],Stock[[#This Row],[Product ID]],Purchase[[#All],[Net Qty]])</f>
        <v>146</v>
      </c>
      <c r="G25" s="52">
        <f>Stock[[#This Row],[Opening Stock]]+Stock[[#This Row],[Purchase Stock]]</f>
        <v>171</v>
      </c>
      <c r="H25" s="52">
        <f>SUMIF(Sales[[#All],[Product ID]],Stock[[#This Row],[Product ID]],Sales[[#All],[Net QTY]])</f>
        <v>20</v>
      </c>
      <c r="I25" s="52">
        <f>Stock[[#This Row],[Total Stock]]-Stock[[#This Row],[Selling Stock]]</f>
        <v>151</v>
      </c>
      <c r="J25" s="52">
        <f>VLOOKUP(Stock[[#This Row],[Product ID]],Product[#All],8,0)</f>
        <v>5</v>
      </c>
      <c r="K25" s="52" t="str">
        <f>IF(Stock[[#This Row],[Available Stock]]&lt;=Stock[[#This Row],[Reorder Level]],"Reorder","OK")</f>
        <v>OK</v>
      </c>
    </row>
    <row r="26" spans="1:11" ht="18.75" x14ac:dyDescent="0.25">
      <c r="A26" s="52" t="str">
        <f>Product[[#This Row],[Product ID]]</f>
        <v>P0024</v>
      </c>
      <c r="B26" s="52" t="str">
        <f>VLOOKUP(Stock[[#This Row],[Product ID]],Product[#All],2,0)</f>
        <v>Lg Monitor</v>
      </c>
      <c r="C26" s="52" t="str">
        <f>VLOOKUP(Stock[[#This Row],[Product ID]],Product[#All],3,0)</f>
        <v>Monitor</v>
      </c>
      <c r="D26" s="52" t="str">
        <f>VLOOKUP(Stock[[#This Row],[Product ID]],Product[#All],4,0)</f>
        <v>LG</v>
      </c>
      <c r="E26" s="52">
        <f>SUMIF(Opning[[#All],[Product_ID]],Stock[[#This Row],[Product ID]],Opning[[#All],[Opening_Qty]])</f>
        <v>22</v>
      </c>
      <c r="F26" s="52">
        <f>SUMIF(Purchase[[#All],[Product ID]],Stock[[#This Row],[Product ID]],Purchase[[#All],[Net Qty]])</f>
        <v>95</v>
      </c>
      <c r="G26" s="52">
        <f>Stock[[#This Row],[Opening Stock]]+Stock[[#This Row],[Purchase Stock]]</f>
        <v>117</v>
      </c>
      <c r="H26" s="52">
        <f>SUMIF(Sales[[#All],[Product ID]],Stock[[#This Row],[Product ID]],Sales[[#All],[Net QTY]])</f>
        <v>36</v>
      </c>
      <c r="I26" s="52">
        <f>Stock[[#This Row],[Total Stock]]-Stock[[#This Row],[Selling Stock]]</f>
        <v>81</v>
      </c>
      <c r="J26" s="52">
        <f>VLOOKUP(Stock[[#This Row],[Product ID]],Product[#All],8,0)</f>
        <v>15</v>
      </c>
      <c r="K26" s="52" t="str">
        <f>IF(Stock[[#This Row],[Available Stock]]&lt;=Stock[[#This Row],[Reorder Level]],"Reorder","OK")</f>
        <v>OK</v>
      </c>
    </row>
    <row r="27" spans="1:11" ht="18.75" x14ac:dyDescent="0.25">
      <c r="A27" s="52" t="str">
        <f>Product[[#This Row],[Product ID]]</f>
        <v>P0025</v>
      </c>
      <c r="B27" s="52" t="str">
        <f>VLOOKUP(Stock[[#This Row],[Product ID]],Product[#All],2,0)</f>
        <v>Boat Speaker</v>
      </c>
      <c r="C27" s="52" t="str">
        <f>VLOOKUP(Stock[[#This Row],[Product ID]],Product[#All],3,0)</f>
        <v>Speaker</v>
      </c>
      <c r="D27" s="52" t="str">
        <f>VLOOKUP(Stock[[#This Row],[Product ID]],Product[#All],4,0)</f>
        <v>Boat</v>
      </c>
      <c r="E27" s="52">
        <f>SUMIF(Opning[[#All],[Product_ID]],Stock[[#This Row],[Product ID]],Opning[[#All],[Opening_Qty]])</f>
        <v>21</v>
      </c>
      <c r="F27" s="52">
        <f>SUMIF(Purchase[[#All],[Product ID]],Stock[[#This Row],[Product ID]],Purchase[[#All],[Net Qty]])</f>
        <v>88</v>
      </c>
      <c r="G27" s="52">
        <f>Stock[[#This Row],[Opening Stock]]+Stock[[#This Row],[Purchase Stock]]</f>
        <v>109</v>
      </c>
      <c r="H27" s="52">
        <f>SUMIF(Sales[[#All],[Product ID]],Stock[[#This Row],[Product ID]],Sales[[#All],[Net QTY]])</f>
        <v>35</v>
      </c>
      <c r="I27" s="52">
        <f>Stock[[#This Row],[Total Stock]]-Stock[[#This Row],[Selling Stock]]</f>
        <v>74</v>
      </c>
      <c r="J27" s="52">
        <f>VLOOKUP(Stock[[#This Row],[Product ID]],Product[#All],8,0)</f>
        <v>15</v>
      </c>
      <c r="K27" s="52" t="str">
        <f>IF(Stock[[#This Row],[Available Stock]]&lt;=Stock[[#This Row],[Reorder Level]],"Reorder","OK")</f>
        <v>OK</v>
      </c>
    </row>
    <row r="28" spans="1:11" ht="18.75" x14ac:dyDescent="0.25">
      <c r="A28" s="52" t="str">
        <f>Product[[#This Row],[Product ID]]</f>
        <v>P0026</v>
      </c>
      <c r="B28" s="52" t="str">
        <f>VLOOKUP(Stock[[#This Row],[Product ID]],Product[#All],2,0)</f>
        <v>HP Power Adapter</v>
      </c>
      <c r="C28" s="52" t="str">
        <f>VLOOKUP(Stock[[#This Row],[Product ID]],Product[#All],3,0)</f>
        <v>Power Adapter</v>
      </c>
      <c r="D28" s="52" t="str">
        <f>VLOOKUP(Stock[[#This Row],[Product ID]],Product[#All],4,0)</f>
        <v>HP</v>
      </c>
      <c r="E28" s="52">
        <f>SUMIF(Opning[[#All],[Product_ID]],Stock[[#This Row],[Product ID]],Opning[[#All],[Opening_Qty]])</f>
        <v>24</v>
      </c>
      <c r="F28" s="52">
        <f>SUMIF(Purchase[[#All],[Product ID]],Stock[[#This Row],[Product ID]],Purchase[[#All],[Net Qty]])</f>
        <v>48</v>
      </c>
      <c r="G28" s="52">
        <f>Stock[[#This Row],[Opening Stock]]+Stock[[#This Row],[Purchase Stock]]</f>
        <v>72</v>
      </c>
      <c r="H28" s="52">
        <f>SUMIF(Sales[[#All],[Product ID]],Stock[[#This Row],[Product ID]],Sales[[#All],[Net QTY]])</f>
        <v>51</v>
      </c>
      <c r="I28" s="52">
        <f>Stock[[#This Row],[Total Stock]]-Stock[[#This Row],[Selling Stock]]</f>
        <v>21</v>
      </c>
      <c r="J28" s="52">
        <f>VLOOKUP(Stock[[#This Row],[Product ID]],Product[#All],8,0)</f>
        <v>8</v>
      </c>
      <c r="K28" s="52" t="str">
        <f>IF(Stock[[#This Row],[Available Stock]]&lt;=Stock[[#This Row],[Reorder Level]],"Reorder","OK")</f>
        <v>OK</v>
      </c>
    </row>
    <row r="29" spans="1:11" ht="18.75" x14ac:dyDescent="0.25">
      <c r="A29" s="52" t="str">
        <f>Product[[#This Row],[Product ID]]</f>
        <v>P0027</v>
      </c>
      <c r="B29" s="52" t="str">
        <f>VLOOKUP(Stock[[#This Row],[Product ID]],Product[#All],2,0)</f>
        <v>Microtek UPS</v>
      </c>
      <c r="C29" s="52" t="str">
        <f>VLOOKUP(Stock[[#This Row],[Product ID]],Product[#All],3,0)</f>
        <v>UPS</v>
      </c>
      <c r="D29" s="52" t="str">
        <f>VLOOKUP(Stock[[#This Row],[Product ID]],Product[#All],4,0)</f>
        <v>Microtek</v>
      </c>
      <c r="E29" s="52">
        <f>SUMIF(Opning[[#All],[Product_ID]],Stock[[#This Row],[Product ID]],Opning[[#All],[Opening_Qty]])</f>
        <v>41</v>
      </c>
      <c r="F29" s="52">
        <f>SUMIF(Purchase[[#All],[Product ID]],Stock[[#This Row],[Product ID]],Purchase[[#All],[Net Qty]])</f>
        <v>41</v>
      </c>
      <c r="G29" s="52">
        <f>Stock[[#This Row],[Opening Stock]]+Stock[[#This Row],[Purchase Stock]]</f>
        <v>82</v>
      </c>
      <c r="H29" s="52">
        <f>SUMIF(Sales[[#All],[Product ID]],Stock[[#This Row],[Product ID]],Sales[[#All],[Net QTY]])</f>
        <v>24</v>
      </c>
      <c r="I29" s="52">
        <f>Stock[[#This Row],[Total Stock]]-Stock[[#This Row],[Selling Stock]]</f>
        <v>58</v>
      </c>
      <c r="J29" s="52">
        <f>VLOOKUP(Stock[[#This Row],[Product ID]],Product[#All],8,0)</f>
        <v>5</v>
      </c>
      <c r="K29" s="52" t="str">
        <f>IF(Stock[[#This Row],[Available Stock]]&lt;=Stock[[#This Row],[Reorder Level]],"Reorder","OK")</f>
        <v>OK</v>
      </c>
    </row>
    <row r="30" spans="1:11" ht="18.75" x14ac:dyDescent="0.25">
      <c r="A30" s="52" t="str">
        <f>Product[[#This Row],[Product ID]]</f>
        <v>P0028</v>
      </c>
      <c r="B30" s="52" t="str">
        <f>VLOOKUP(Stock[[#This Row],[Product ID]],Product[#All],2,0)</f>
        <v>Boat Headset</v>
      </c>
      <c r="C30" s="52" t="str">
        <f>VLOOKUP(Stock[[#This Row],[Product ID]],Product[#All],3,0)</f>
        <v>Headset</v>
      </c>
      <c r="D30" s="52" t="str">
        <f>VLOOKUP(Stock[[#This Row],[Product ID]],Product[#All],4,0)</f>
        <v>Boat</v>
      </c>
      <c r="E30" s="52">
        <f>SUMIF(Opning[[#All],[Product_ID]],Stock[[#This Row],[Product ID]],Opning[[#All],[Opening_Qty]])</f>
        <v>50</v>
      </c>
      <c r="F30" s="52">
        <f>SUMIF(Purchase[[#All],[Product ID]],Stock[[#This Row],[Product ID]],Purchase[[#All],[Net Qty]])</f>
        <v>80</v>
      </c>
      <c r="G30" s="52">
        <f>Stock[[#This Row],[Opening Stock]]+Stock[[#This Row],[Purchase Stock]]</f>
        <v>130</v>
      </c>
      <c r="H30" s="52">
        <f>SUMIF(Sales[[#All],[Product ID]],Stock[[#This Row],[Product ID]],Sales[[#All],[Net QTY]])</f>
        <v>68</v>
      </c>
      <c r="I30" s="52">
        <f>Stock[[#This Row],[Total Stock]]-Stock[[#This Row],[Selling Stock]]</f>
        <v>62</v>
      </c>
      <c r="J30" s="52">
        <f>VLOOKUP(Stock[[#This Row],[Product ID]],Product[#All],8,0)</f>
        <v>8</v>
      </c>
      <c r="K30" s="52" t="str">
        <f>IF(Stock[[#This Row],[Available Stock]]&lt;=Stock[[#This Row],[Reorder Level]],"Reorder","OK")</f>
        <v>OK</v>
      </c>
    </row>
    <row r="31" spans="1:11" ht="18.75" x14ac:dyDescent="0.25">
      <c r="A31" s="52" t="str">
        <f>Product[[#This Row],[Product ID]]</f>
        <v>P0029</v>
      </c>
      <c r="B31" s="52" t="str">
        <f>VLOOKUP(Stock[[#This Row],[Product ID]],Product[#All],2,0)</f>
        <v>Dell Desktop</v>
      </c>
      <c r="C31" s="52" t="str">
        <f>VLOOKUP(Stock[[#This Row],[Product ID]],Product[#All],3,0)</f>
        <v>Desktop</v>
      </c>
      <c r="D31" s="52" t="str">
        <f>VLOOKUP(Stock[[#This Row],[Product ID]],Product[#All],4,0)</f>
        <v>Dell</v>
      </c>
      <c r="E31" s="52">
        <f>SUMIF(Opning[[#All],[Product_ID]],Stock[[#This Row],[Product ID]],Opning[[#All],[Opening_Qty]])</f>
        <v>57</v>
      </c>
      <c r="F31" s="52">
        <f>SUMIF(Purchase[[#All],[Product ID]],Stock[[#This Row],[Product ID]],Purchase[[#All],[Net Qty]])</f>
        <v>142</v>
      </c>
      <c r="G31" s="52">
        <f>Stock[[#This Row],[Opening Stock]]+Stock[[#This Row],[Purchase Stock]]</f>
        <v>199</v>
      </c>
      <c r="H31" s="52">
        <f>SUMIF(Sales[[#All],[Product ID]],Stock[[#This Row],[Product ID]],Sales[[#All],[Net QTY]])</f>
        <v>30</v>
      </c>
      <c r="I31" s="52">
        <f>Stock[[#This Row],[Total Stock]]-Stock[[#This Row],[Selling Stock]]</f>
        <v>169</v>
      </c>
      <c r="J31" s="52">
        <f>VLOOKUP(Stock[[#This Row],[Product ID]],Product[#All],8,0)</f>
        <v>20</v>
      </c>
      <c r="K31" s="52" t="str">
        <f>IF(Stock[[#This Row],[Available Stock]]&lt;=Stock[[#This Row],[Reorder Level]],"Reorder","OK")</f>
        <v>OK</v>
      </c>
    </row>
    <row r="32" spans="1:11" ht="18.75" x14ac:dyDescent="0.25">
      <c r="A32" s="52" t="str">
        <f>Product[[#This Row],[Product ID]]</f>
        <v>P0030</v>
      </c>
      <c r="B32" s="52" t="str">
        <f>VLOOKUP(Stock[[#This Row],[Product ID]],Product[#All],2,0)</f>
        <v>Lenovo Laptop</v>
      </c>
      <c r="C32" s="52" t="str">
        <f>VLOOKUP(Stock[[#This Row],[Product ID]],Product[#All],3,0)</f>
        <v>Laptop</v>
      </c>
      <c r="D32" s="52" t="str">
        <f>VLOOKUP(Stock[[#This Row],[Product ID]],Product[#All],4,0)</f>
        <v>Lenovo</v>
      </c>
      <c r="E32" s="52">
        <f>SUMIF(Opning[[#All],[Product_ID]],Stock[[#This Row],[Product ID]],Opning[[#All],[Opening_Qty]])</f>
        <v>21</v>
      </c>
      <c r="F32" s="52">
        <f>SUMIF(Purchase[[#All],[Product ID]],Stock[[#This Row],[Product ID]],Purchase[[#All],[Net Qty]])</f>
        <v>83</v>
      </c>
      <c r="G32" s="52">
        <f>Stock[[#This Row],[Opening Stock]]+Stock[[#This Row],[Purchase Stock]]</f>
        <v>104</v>
      </c>
      <c r="H32" s="52">
        <f>SUMIF(Sales[[#All],[Product ID]],Stock[[#This Row],[Product ID]],Sales[[#All],[Net QTY]])</f>
        <v>53</v>
      </c>
      <c r="I32" s="52">
        <f>Stock[[#This Row],[Total Stock]]-Stock[[#This Row],[Selling Stock]]</f>
        <v>51</v>
      </c>
      <c r="J32" s="52">
        <f>VLOOKUP(Stock[[#This Row],[Product ID]],Product[#All],8,0)</f>
        <v>15</v>
      </c>
      <c r="K32" s="52" t="str">
        <f>IF(Stock[[#This Row],[Available Stock]]&lt;=Stock[[#This Row],[Reorder Level]],"Reorder","OK")</f>
        <v>OK</v>
      </c>
    </row>
    <row r="33" spans="1:11" ht="18.75" x14ac:dyDescent="0.25">
      <c r="A33" s="52" t="str">
        <f>Product[[#This Row],[Product ID]]</f>
        <v>P0031</v>
      </c>
      <c r="B33" s="52" t="str">
        <f>VLOOKUP(Stock[[#This Row],[Product ID]],Product[#All],2,0)</f>
        <v>Amazon Basics Hdmi Cable</v>
      </c>
      <c r="C33" s="52" t="str">
        <f>VLOOKUP(Stock[[#This Row],[Product ID]],Product[#All],3,0)</f>
        <v>HDMI Cable</v>
      </c>
      <c r="D33" s="52" t="str">
        <f>VLOOKUP(Stock[[#This Row],[Product ID]],Product[#All],4,0)</f>
        <v>Amazon Basics</v>
      </c>
      <c r="E33" s="52">
        <f>SUMIF(Opning[[#All],[Product_ID]],Stock[[#This Row],[Product ID]],Opning[[#All],[Opening_Qty]])</f>
        <v>14</v>
      </c>
      <c r="F33" s="52">
        <f>SUMIF(Purchase[[#All],[Product ID]],Stock[[#This Row],[Product ID]],Purchase[[#All],[Net Qty]])</f>
        <v>84</v>
      </c>
      <c r="G33" s="52">
        <f>Stock[[#This Row],[Opening Stock]]+Stock[[#This Row],[Purchase Stock]]</f>
        <v>98</v>
      </c>
      <c r="H33" s="52">
        <f>SUMIF(Sales[[#All],[Product ID]],Stock[[#This Row],[Product ID]],Sales[[#All],[Net QTY]])</f>
        <v>53</v>
      </c>
      <c r="I33" s="52">
        <f>Stock[[#This Row],[Total Stock]]-Stock[[#This Row],[Selling Stock]]</f>
        <v>45</v>
      </c>
      <c r="J33" s="52">
        <f>VLOOKUP(Stock[[#This Row],[Product ID]],Product[#All],8,0)</f>
        <v>15</v>
      </c>
      <c r="K33" s="52" t="str">
        <f>IF(Stock[[#This Row],[Available Stock]]&lt;=Stock[[#This Row],[Reorder Level]],"Reorder","OK")</f>
        <v>OK</v>
      </c>
    </row>
    <row r="34" spans="1:11" ht="18.75" x14ac:dyDescent="0.25">
      <c r="A34" s="52" t="str">
        <f>Product[[#This Row],[Product ID]]</f>
        <v>P0032</v>
      </c>
      <c r="B34" s="52" t="str">
        <f>VLOOKUP(Stock[[#This Row],[Product ID]],Product[#All],2,0)</f>
        <v>Boat Headset</v>
      </c>
      <c r="C34" s="52" t="str">
        <f>VLOOKUP(Stock[[#This Row],[Product ID]],Product[#All],3,0)</f>
        <v>Headset</v>
      </c>
      <c r="D34" s="52" t="str">
        <f>VLOOKUP(Stock[[#This Row],[Product ID]],Product[#All],4,0)</f>
        <v>Boat</v>
      </c>
      <c r="E34" s="52">
        <f>SUMIF(Opning[[#All],[Product_ID]],Stock[[#This Row],[Product ID]],Opning[[#All],[Opening_Qty]])</f>
        <v>44</v>
      </c>
      <c r="F34" s="52">
        <f>SUMIF(Purchase[[#All],[Product ID]],Stock[[#This Row],[Product ID]],Purchase[[#All],[Net Qty]])</f>
        <v>191</v>
      </c>
      <c r="G34" s="52">
        <f>Stock[[#This Row],[Opening Stock]]+Stock[[#This Row],[Purchase Stock]]</f>
        <v>235</v>
      </c>
      <c r="H34" s="52">
        <f>SUMIF(Sales[[#All],[Product ID]],Stock[[#This Row],[Product ID]],Sales[[#All],[Net QTY]])</f>
        <v>68</v>
      </c>
      <c r="I34" s="52">
        <f>Stock[[#This Row],[Total Stock]]-Stock[[#This Row],[Selling Stock]]</f>
        <v>167</v>
      </c>
      <c r="J34" s="52">
        <f>VLOOKUP(Stock[[#This Row],[Product ID]],Product[#All],8,0)</f>
        <v>10</v>
      </c>
      <c r="K34" s="52" t="str">
        <f>IF(Stock[[#This Row],[Available Stock]]&lt;=Stock[[#This Row],[Reorder Level]],"Reorder","OK")</f>
        <v>OK</v>
      </c>
    </row>
    <row r="35" spans="1:11" ht="18.75" x14ac:dyDescent="0.25">
      <c r="A35" s="52" t="str">
        <f>Product[[#This Row],[Product ID]]</f>
        <v>P0033</v>
      </c>
      <c r="B35" s="52" t="str">
        <f>VLOOKUP(Stock[[#This Row],[Product ID]],Product[#All],2,0)</f>
        <v>Apc UPS</v>
      </c>
      <c r="C35" s="52" t="str">
        <f>VLOOKUP(Stock[[#This Row],[Product ID]],Product[#All],3,0)</f>
        <v>UPS</v>
      </c>
      <c r="D35" s="52" t="str">
        <f>VLOOKUP(Stock[[#This Row],[Product ID]],Product[#All],4,0)</f>
        <v>APC</v>
      </c>
      <c r="E35" s="52">
        <f>SUMIF(Opning[[#All],[Product_ID]],Stock[[#This Row],[Product ID]],Opning[[#All],[Opening_Qty]])</f>
        <v>5</v>
      </c>
      <c r="F35" s="52">
        <f>SUMIF(Purchase[[#All],[Product ID]],Stock[[#This Row],[Product ID]],Purchase[[#All],[Net Qty]])</f>
        <v>116</v>
      </c>
      <c r="G35" s="52">
        <f>Stock[[#This Row],[Opening Stock]]+Stock[[#This Row],[Purchase Stock]]</f>
        <v>121</v>
      </c>
      <c r="H35" s="52">
        <f>SUMIF(Sales[[#All],[Product ID]],Stock[[#This Row],[Product ID]],Sales[[#All],[Net QTY]])</f>
        <v>50</v>
      </c>
      <c r="I35" s="52">
        <f>Stock[[#This Row],[Total Stock]]-Stock[[#This Row],[Selling Stock]]</f>
        <v>71</v>
      </c>
      <c r="J35" s="52">
        <f>VLOOKUP(Stock[[#This Row],[Product ID]],Product[#All],8,0)</f>
        <v>25</v>
      </c>
      <c r="K35" s="52" t="str">
        <f>IF(Stock[[#This Row],[Available Stock]]&lt;=Stock[[#This Row],[Reorder Level]],"Reorder","OK")</f>
        <v>OK</v>
      </c>
    </row>
    <row r="36" spans="1:11" ht="18.75" x14ac:dyDescent="0.25">
      <c r="A36" s="52" t="str">
        <f>Product[[#This Row],[Product ID]]</f>
        <v>P0034</v>
      </c>
      <c r="B36" s="52" t="str">
        <f>VLOOKUP(Stock[[#This Row],[Product ID]],Product[#All],2,0)</f>
        <v>Jbl Headset</v>
      </c>
      <c r="C36" s="52" t="str">
        <f>VLOOKUP(Stock[[#This Row],[Product ID]],Product[#All],3,0)</f>
        <v>Headset</v>
      </c>
      <c r="D36" s="52" t="str">
        <f>VLOOKUP(Stock[[#This Row],[Product ID]],Product[#All],4,0)</f>
        <v>JBL</v>
      </c>
      <c r="E36" s="52">
        <f>SUMIF(Opning[[#All],[Product_ID]],Stock[[#This Row],[Product ID]],Opning[[#All],[Opening_Qty]])</f>
        <v>51</v>
      </c>
      <c r="F36" s="52">
        <f>SUMIF(Purchase[[#All],[Product ID]],Stock[[#This Row],[Product ID]],Purchase[[#All],[Net Qty]])</f>
        <v>108</v>
      </c>
      <c r="G36" s="52">
        <f>Stock[[#This Row],[Opening Stock]]+Stock[[#This Row],[Purchase Stock]]</f>
        <v>159</v>
      </c>
      <c r="H36" s="52">
        <f>SUMIF(Sales[[#All],[Product ID]],Stock[[#This Row],[Product ID]],Sales[[#All],[Net QTY]])</f>
        <v>46</v>
      </c>
      <c r="I36" s="52">
        <f>Stock[[#This Row],[Total Stock]]-Stock[[#This Row],[Selling Stock]]</f>
        <v>113</v>
      </c>
      <c r="J36" s="52">
        <f>VLOOKUP(Stock[[#This Row],[Product ID]],Product[#All],8,0)</f>
        <v>8</v>
      </c>
      <c r="K36" s="52" t="str">
        <f>IF(Stock[[#This Row],[Available Stock]]&lt;=Stock[[#This Row],[Reorder Level]],"Reorder","OK")</f>
        <v>OK</v>
      </c>
    </row>
    <row r="37" spans="1:11" ht="18.75" x14ac:dyDescent="0.25">
      <c r="A37" s="52" t="str">
        <f>Product[[#This Row],[Product ID]]</f>
        <v>P0035</v>
      </c>
      <c r="B37" s="52" t="str">
        <f>VLOOKUP(Stock[[#This Row],[Product ID]],Product[#All],2,0)</f>
        <v>Dell Power Adapter</v>
      </c>
      <c r="C37" s="52" t="str">
        <f>VLOOKUP(Stock[[#This Row],[Product ID]],Product[#All],3,0)</f>
        <v>Power Adapter</v>
      </c>
      <c r="D37" s="52" t="str">
        <f>VLOOKUP(Stock[[#This Row],[Product ID]],Product[#All],4,0)</f>
        <v>Dell</v>
      </c>
      <c r="E37" s="52">
        <f>SUMIF(Opning[[#All],[Product_ID]],Stock[[#This Row],[Product ID]],Opning[[#All],[Opening_Qty]])</f>
        <v>53</v>
      </c>
      <c r="F37" s="52">
        <f>SUMIF(Purchase[[#All],[Product ID]],Stock[[#This Row],[Product ID]],Purchase[[#All],[Net Qty]])</f>
        <v>119</v>
      </c>
      <c r="G37" s="52">
        <f>Stock[[#This Row],[Opening Stock]]+Stock[[#This Row],[Purchase Stock]]</f>
        <v>172</v>
      </c>
      <c r="H37" s="52">
        <f>SUMIF(Sales[[#All],[Product ID]],Stock[[#This Row],[Product ID]],Sales[[#All],[Net QTY]])</f>
        <v>28</v>
      </c>
      <c r="I37" s="52">
        <f>Stock[[#This Row],[Total Stock]]-Stock[[#This Row],[Selling Stock]]</f>
        <v>144</v>
      </c>
      <c r="J37" s="52">
        <f>VLOOKUP(Stock[[#This Row],[Product ID]],Product[#All],8,0)</f>
        <v>15</v>
      </c>
      <c r="K37" s="52" t="str">
        <f>IF(Stock[[#This Row],[Available Stock]]&lt;=Stock[[#This Row],[Reorder Level]],"Reorder","OK")</f>
        <v>OK</v>
      </c>
    </row>
    <row r="38" spans="1:11" ht="18.75" x14ac:dyDescent="0.25">
      <c r="A38" s="52" t="str">
        <f>Product[[#This Row],[Product ID]]</f>
        <v>P0036</v>
      </c>
      <c r="B38" s="52" t="str">
        <f>VLOOKUP(Stock[[#This Row],[Product ID]],Product[#All],2,0)</f>
        <v>TP-link Wi-Fi Adapter</v>
      </c>
      <c r="C38" s="52" t="str">
        <f>VLOOKUP(Stock[[#This Row],[Product ID]],Product[#All],3,0)</f>
        <v>Wi-Fi Adapter</v>
      </c>
      <c r="D38" s="52" t="str">
        <f>VLOOKUP(Stock[[#This Row],[Product ID]],Product[#All],4,0)</f>
        <v>TP-link</v>
      </c>
      <c r="E38" s="52">
        <f>SUMIF(Opning[[#All],[Product_ID]],Stock[[#This Row],[Product ID]],Opning[[#All],[Opening_Qty]])</f>
        <v>46</v>
      </c>
      <c r="F38" s="52">
        <f>SUMIF(Purchase[[#All],[Product ID]],Stock[[#This Row],[Product ID]],Purchase[[#All],[Net Qty]])</f>
        <v>97</v>
      </c>
      <c r="G38" s="52">
        <f>Stock[[#This Row],[Opening Stock]]+Stock[[#This Row],[Purchase Stock]]</f>
        <v>143</v>
      </c>
      <c r="H38" s="52">
        <f>SUMIF(Sales[[#All],[Product ID]],Stock[[#This Row],[Product ID]],Sales[[#All],[Net QTY]])</f>
        <v>48</v>
      </c>
      <c r="I38" s="52">
        <f>Stock[[#This Row],[Total Stock]]-Stock[[#This Row],[Selling Stock]]</f>
        <v>95</v>
      </c>
      <c r="J38" s="52">
        <f>VLOOKUP(Stock[[#This Row],[Product ID]],Product[#All],8,0)</f>
        <v>25</v>
      </c>
      <c r="K38" s="52" t="str">
        <f>IF(Stock[[#This Row],[Available Stock]]&lt;=Stock[[#This Row],[Reorder Level]],"Reorder","OK")</f>
        <v>OK</v>
      </c>
    </row>
    <row r="39" spans="1:11" ht="18.75" x14ac:dyDescent="0.25">
      <c r="A39" s="52" t="str">
        <f>Product[[#This Row],[Product ID]]</f>
        <v>P0037</v>
      </c>
      <c r="B39" s="52" t="str">
        <f>VLOOKUP(Stock[[#This Row],[Product ID]],Product[#All],2,0)</f>
        <v>Epson Printer</v>
      </c>
      <c r="C39" s="52" t="str">
        <f>VLOOKUP(Stock[[#This Row],[Product ID]],Product[#All],3,0)</f>
        <v>Printer</v>
      </c>
      <c r="D39" s="52" t="str">
        <f>VLOOKUP(Stock[[#This Row],[Product ID]],Product[#All],4,0)</f>
        <v>EPSON</v>
      </c>
      <c r="E39" s="52">
        <f>SUMIF(Opning[[#All],[Product_ID]],Stock[[#This Row],[Product ID]],Opning[[#All],[Opening_Qty]])</f>
        <v>40</v>
      </c>
      <c r="F39" s="52">
        <f>SUMIF(Purchase[[#All],[Product ID]],Stock[[#This Row],[Product ID]],Purchase[[#All],[Net Qty]])</f>
        <v>174</v>
      </c>
      <c r="G39" s="52">
        <f>Stock[[#This Row],[Opening Stock]]+Stock[[#This Row],[Purchase Stock]]</f>
        <v>214</v>
      </c>
      <c r="H39" s="52">
        <f>SUMIF(Sales[[#All],[Product ID]],Stock[[#This Row],[Product ID]],Sales[[#All],[Net QTY]])</f>
        <v>45</v>
      </c>
      <c r="I39" s="52">
        <f>Stock[[#This Row],[Total Stock]]-Stock[[#This Row],[Selling Stock]]</f>
        <v>169</v>
      </c>
      <c r="J39" s="52">
        <f>VLOOKUP(Stock[[#This Row],[Product ID]],Product[#All],8,0)</f>
        <v>25</v>
      </c>
      <c r="K39" s="52" t="str">
        <f>IF(Stock[[#This Row],[Available Stock]]&lt;=Stock[[#This Row],[Reorder Level]],"Reorder","OK")</f>
        <v>OK</v>
      </c>
    </row>
    <row r="40" spans="1:11" ht="18.75" x14ac:dyDescent="0.25">
      <c r="A40" s="52" t="str">
        <f>Product[[#This Row],[Product ID]]</f>
        <v>P0038</v>
      </c>
      <c r="B40" s="52" t="str">
        <f>VLOOKUP(Stock[[#This Row],[Product ID]],Product[#All],2,0)</f>
        <v>Logitech Webcam</v>
      </c>
      <c r="C40" s="52" t="str">
        <f>VLOOKUP(Stock[[#This Row],[Product ID]],Product[#All],3,0)</f>
        <v>Webcam</v>
      </c>
      <c r="D40" s="52" t="str">
        <f>VLOOKUP(Stock[[#This Row],[Product ID]],Product[#All],4,0)</f>
        <v>Logitech</v>
      </c>
      <c r="E40" s="52">
        <f>SUMIF(Opning[[#All],[Product_ID]],Stock[[#This Row],[Product ID]],Opning[[#All],[Opening_Qty]])</f>
        <v>14</v>
      </c>
      <c r="F40" s="52">
        <f>SUMIF(Purchase[[#All],[Product ID]],Stock[[#This Row],[Product ID]],Purchase[[#All],[Net Qty]])</f>
        <v>61</v>
      </c>
      <c r="G40" s="52">
        <f>Stock[[#This Row],[Opening Stock]]+Stock[[#This Row],[Purchase Stock]]</f>
        <v>75</v>
      </c>
      <c r="H40" s="52">
        <f>SUMIF(Sales[[#All],[Product ID]],Stock[[#This Row],[Product ID]],Sales[[#All],[Net QTY]])</f>
        <v>47</v>
      </c>
      <c r="I40" s="52">
        <f>Stock[[#This Row],[Total Stock]]-Stock[[#This Row],[Selling Stock]]</f>
        <v>28</v>
      </c>
      <c r="J40" s="52">
        <f>VLOOKUP(Stock[[#This Row],[Product ID]],Product[#All],8,0)</f>
        <v>20</v>
      </c>
      <c r="K40" s="52" t="str">
        <f>IF(Stock[[#This Row],[Available Stock]]&lt;=Stock[[#This Row],[Reorder Level]],"Reorder","OK")</f>
        <v>OK</v>
      </c>
    </row>
    <row r="41" spans="1:11" ht="18.75" x14ac:dyDescent="0.25">
      <c r="A41" s="52" t="str">
        <f>Product[[#This Row],[Product ID]]</f>
        <v>P0039</v>
      </c>
      <c r="B41" s="52" t="str">
        <f>VLOOKUP(Stock[[#This Row],[Product ID]],Product[#All],2,0)</f>
        <v>Dell Keyboard</v>
      </c>
      <c r="C41" s="52" t="str">
        <f>VLOOKUP(Stock[[#This Row],[Product ID]],Product[#All],3,0)</f>
        <v>Keyboard</v>
      </c>
      <c r="D41" s="52" t="str">
        <f>VLOOKUP(Stock[[#This Row],[Product ID]],Product[#All],4,0)</f>
        <v>Dell</v>
      </c>
      <c r="E41" s="52">
        <f>SUMIF(Opning[[#All],[Product_ID]],Stock[[#This Row],[Product ID]],Opning[[#All],[Opening_Qty]])</f>
        <v>26</v>
      </c>
      <c r="F41" s="52">
        <f>SUMIF(Purchase[[#All],[Product ID]],Stock[[#This Row],[Product ID]],Purchase[[#All],[Net Qty]])</f>
        <v>52</v>
      </c>
      <c r="G41" s="52">
        <f>Stock[[#This Row],[Opening Stock]]+Stock[[#This Row],[Purchase Stock]]</f>
        <v>78</v>
      </c>
      <c r="H41" s="52">
        <f>SUMIF(Sales[[#All],[Product ID]],Stock[[#This Row],[Product ID]],Sales[[#All],[Net QTY]])</f>
        <v>40</v>
      </c>
      <c r="I41" s="52">
        <f>Stock[[#This Row],[Total Stock]]-Stock[[#This Row],[Selling Stock]]</f>
        <v>38</v>
      </c>
      <c r="J41" s="52">
        <f>VLOOKUP(Stock[[#This Row],[Product ID]],Product[#All],8,0)</f>
        <v>20</v>
      </c>
      <c r="K41" s="52" t="str">
        <f>IF(Stock[[#This Row],[Available Stock]]&lt;=Stock[[#This Row],[Reorder Level]],"Reorder","OK")</f>
        <v>OK</v>
      </c>
    </row>
    <row r="42" spans="1:11" ht="18.75" x14ac:dyDescent="0.25">
      <c r="A42" s="52" t="str">
        <f>Product[[#This Row],[Product ID]]</f>
        <v>P0040</v>
      </c>
      <c r="B42" s="52" t="str">
        <f>VLOOKUP(Stock[[#This Row],[Product ID]],Product[#All],2,0)</f>
        <v>TP-link Router</v>
      </c>
      <c r="C42" s="52" t="str">
        <f>VLOOKUP(Stock[[#This Row],[Product ID]],Product[#All],3,0)</f>
        <v>Router</v>
      </c>
      <c r="D42" s="52" t="str">
        <f>VLOOKUP(Stock[[#This Row],[Product ID]],Product[#All],4,0)</f>
        <v>TP-link</v>
      </c>
      <c r="E42" s="52">
        <f>SUMIF(Opning[[#All],[Product_ID]],Stock[[#This Row],[Product ID]],Opning[[#All],[Opening_Qty]])</f>
        <v>39</v>
      </c>
      <c r="F42" s="52">
        <f>SUMIF(Purchase[[#All],[Product ID]],Stock[[#This Row],[Product ID]],Purchase[[#All],[Net Qty]])</f>
        <v>85</v>
      </c>
      <c r="G42" s="52">
        <f>Stock[[#This Row],[Opening Stock]]+Stock[[#This Row],[Purchase Stock]]</f>
        <v>124</v>
      </c>
      <c r="H42" s="52">
        <f>SUMIF(Sales[[#All],[Product ID]],Stock[[#This Row],[Product ID]],Sales[[#All],[Net QTY]])</f>
        <v>31</v>
      </c>
      <c r="I42" s="52">
        <f>Stock[[#This Row],[Total Stock]]-Stock[[#This Row],[Selling Stock]]</f>
        <v>93</v>
      </c>
      <c r="J42" s="52">
        <f>VLOOKUP(Stock[[#This Row],[Product ID]],Product[#All],8,0)</f>
        <v>5</v>
      </c>
      <c r="K42" s="52" t="str">
        <f>IF(Stock[[#This Row],[Available Stock]]&lt;=Stock[[#This Row],[Reorder Level]],"Reorder","OK")</f>
        <v>OK</v>
      </c>
    </row>
    <row r="43" spans="1:11" ht="18.75" x14ac:dyDescent="0.25">
      <c r="A43" s="52" t="str">
        <f>Product[[#This Row],[Product ID]]</f>
        <v>P0041</v>
      </c>
      <c r="B43" s="52" t="str">
        <f>VLOOKUP(Stock[[#This Row],[Product ID]],Product[#All],2,0)</f>
        <v>Samsung Monitor</v>
      </c>
      <c r="C43" s="52" t="str">
        <f>VLOOKUP(Stock[[#This Row],[Product ID]],Product[#All],3,0)</f>
        <v>Monitor</v>
      </c>
      <c r="D43" s="52" t="str">
        <f>VLOOKUP(Stock[[#This Row],[Product ID]],Product[#All],4,0)</f>
        <v>Samsung</v>
      </c>
      <c r="E43" s="52">
        <f>SUMIF(Opning[[#All],[Product_ID]],Stock[[#This Row],[Product ID]],Opning[[#All],[Opening_Qty]])</f>
        <v>7</v>
      </c>
      <c r="F43" s="52">
        <f>SUMIF(Purchase[[#All],[Product ID]],Stock[[#This Row],[Product ID]],Purchase[[#All],[Net Qty]])</f>
        <v>42</v>
      </c>
      <c r="G43" s="52">
        <f>Stock[[#This Row],[Opening Stock]]+Stock[[#This Row],[Purchase Stock]]</f>
        <v>49</v>
      </c>
      <c r="H43" s="52">
        <f>SUMIF(Sales[[#All],[Product ID]],Stock[[#This Row],[Product ID]],Sales[[#All],[Net QTY]])</f>
        <v>45</v>
      </c>
      <c r="I43" s="52">
        <f>Stock[[#This Row],[Total Stock]]-Stock[[#This Row],[Selling Stock]]</f>
        <v>4</v>
      </c>
      <c r="J43" s="52">
        <f>VLOOKUP(Stock[[#This Row],[Product ID]],Product[#All],8,0)</f>
        <v>8</v>
      </c>
      <c r="K43" s="52" t="str">
        <f>IF(Stock[[#This Row],[Available Stock]]&lt;=Stock[[#This Row],[Reorder Level]],"Reorder","OK")</f>
        <v>Reorder</v>
      </c>
    </row>
    <row r="44" spans="1:11" ht="18.75" x14ac:dyDescent="0.25">
      <c r="A44" s="52" t="str">
        <f>Product[[#This Row],[Product ID]]</f>
        <v>P0042</v>
      </c>
      <c r="B44" s="52" t="str">
        <f>VLOOKUP(Stock[[#This Row],[Product ID]],Product[#All],2,0)</f>
        <v>Dell Keyboard</v>
      </c>
      <c r="C44" s="52" t="str">
        <f>VLOOKUP(Stock[[#This Row],[Product ID]],Product[#All],3,0)</f>
        <v>Keyboard</v>
      </c>
      <c r="D44" s="52" t="str">
        <f>VLOOKUP(Stock[[#This Row],[Product ID]],Product[#All],4,0)</f>
        <v>Dell</v>
      </c>
      <c r="E44" s="52">
        <f>SUMIF(Opning[[#All],[Product_ID]],Stock[[#This Row],[Product ID]],Opning[[#All],[Opening_Qty]])</f>
        <v>42</v>
      </c>
      <c r="F44" s="52">
        <f>SUMIF(Purchase[[#All],[Product ID]],Stock[[#This Row],[Product ID]],Purchase[[#All],[Net Qty]])</f>
        <v>222</v>
      </c>
      <c r="G44" s="52">
        <f>Stock[[#This Row],[Opening Stock]]+Stock[[#This Row],[Purchase Stock]]</f>
        <v>264</v>
      </c>
      <c r="H44" s="52">
        <f>SUMIF(Sales[[#All],[Product ID]],Stock[[#This Row],[Product ID]],Sales[[#All],[Net QTY]])</f>
        <v>42</v>
      </c>
      <c r="I44" s="52">
        <f>Stock[[#This Row],[Total Stock]]-Stock[[#This Row],[Selling Stock]]</f>
        <v>222</v>
      </c>
      <c r="J44" s="52">
        <f>VLOOKUP(Stock[[#This Row],[Product ID]],Product[#All],8,0)</f>
        <v>10</v>
      </c>
      <c r="K44" s="52" t="str">
        <f>IF(Stock[[#This Row],[Available Stock]]&lt;=Stock[[#This Row],[Reorder Level]],"Reorder","OK")</f>
        <v>OK</v>
      </c>
    </row>
    <row r="45" spans="1:11" ht="18.75" x14ac:dyDescent="0.25">
      <c r="A45" s="52" t="str">
        <f>Product[[#This Row],[Product ID]]</f>
        <v>P0043</v>
      </c>
      <c r="B45" s="52" t="str">
        <f>VLOOKUP(Stock[[#This Row],[Product ID]],Product[#All],2,0)</f>
        <v>HP Power Adapter</v>
      </c>
      <c r="C45" s="52" t="str">
        <f>VLOOKUP(Stock[[#This Row],[Product ID]],Product[#All],3,0)</f>
        <v>Power Adapter</v>
      </c>
      <c r="D45" s="52" t="str">
        <f>VLOOKUP(Stock[[#This Row],[Product ID]],Product[#All],4,0)</f>
        <v>HP</v>
      </c>
      <c r="E45" s="52">
        <f>SUMIF(Opning[[#All],[Product_ID]],Stock[[#This Row],[Product ID]],Opning[[#All],[Opening_Qty]])</f>
        <v>41</v>
      </c>
      <c r="F45" s="52">
        <f>SUMIF(Purchase[[#All],[Product ID]],Stock[[#This Row],[Product ID]],Purchase[[#All],[Net Qty]])</f>
        <v>103</v>
      </c>
      <c r="G45" s="52">
        <f>Stock[[#This Row],[Opening Stock]]+Stock[[#This Row],[Purchase Stock]]</f>
        <v>144</v>
      </c>
      <c r="H45" s="52">
        <f>SUMIF(Sales[[#All],[Product ID]],Stock[[#This Row],[Product ID]],Sales[[#All],[Net QTY]])</f>
        <v>51</v>
      </c>
      <c r="I45" s="52">
        <f>Stock[[#This Row],[Total Stock]]-Stock[[#This Row],[Selling Stock]]</f>
        <v>93</v>
      </c>
      <c r="J45" s="52">
        <f>VLOOKUP(Stock[[#This Row],[Product ID]],Product[#All],8,0)</f>
        <v>20</v>
      </c>
      <c r="K45" s="52" t="str">
        <f>IF(Stock[[#This Row],[Available Stock]]&lt;=Stock[[#This Row],[Reorder Level]],"Reorder","OK")</f>
        <v>OK</v>
      </c>
    </row>
    <row r="46" spans="1:11" ht="18.75" x14ac:dyDescent="0.25">
      <c r="A46" s="52" t="str">
        <f>Product[[#This Row],[Product ID]]</f>
        <v>P0044</v>
      </c>
      <c r="B46" s="52" t="str">
        <f>VLOOKUP(Stock[[#This Row],[Product ID]],Product[#All],2,0)</f>
        <v>Lg Monitor</v>
      </c>
      <c r="C46" s="52" t="str">
        <f>VLOOKUP(Stock[[#This Row],[Product ID]],Product[#All],3,0)</f>
        <v>Monitor</v>
      </c>
      <c r="D46" s="52" t="str">
        <f>VLOOKUP(Stock[[#This Row],[Product ID]],Product[#All],4,0)</f>
        <v>LG</v>
      </c>
      <c r="E46" s="52">
        <f>SUMIF(Opning[[#All],[Product_ID]],Stock[[#This Row],[Product ID]],Opning[[#All],[Opening_Qty]])</f>
        <v>46</v>
      </c>
      <c r="F46" s="52">
        <f>SUMIF(Purchase[[#All],[Product ID]],Stock[[#This Row],[Product ID]],Purchase[[#All],[Net Qty]])</f>
        <v>95</v>
      </c>
      <c r="G46" s="52">
        <f>Stock[[#This Row],[Opening Stock]]+Stock[[#This Row],[Purchase Stock]]</f>
        <v>141</v>
      </c>
      <c r="H46" s="52">
        <f>SUMIF(Sales[[#All],[Product ID]],Stock[[#This Row],[Product ID]],Sales[[#All],[Net QTY]])</f>
        <v>26</v>
      </c>
      <c r="I46" s="52">
        <f>Stock[[#This Row],[Total Stock]]-Stock[[#This Row],[Selling Stock]]</f>
        <v>115</v>
      </c>
      <c r="J46" s="52">
        <f>VLOOKUP(Stock[[#This Row],[Product ID]],Product[#All],8,0)</f>
        <v>20</v>
      </c>
      <c r="K46" s="52" t="str">
        <f>IF(Stock[[#This Row],[Available Stock]]&lt;=Stock[[#This Row],[Reorder Level]],"Reorder","OK")</f>
        <v>OK</v>
      </c>
    </row>
    <row r="47" spans="1:11" ht="18.75" x14ac:dyDescent="0.25">
      <c r="A47" s="52" t="str">
        <f>Product[[#This Row],[Product ID]]</f>
        <v>P0045</v>
      </c>
      <c r="B47" s="52" t="str">
        <f>VLOOKUP(Stock[[#This Row],[Product ID]],Product[#All],2,0)</f>
        <v>Samsung Monitor</v>
      </c>
      <c r="C47" s="52" t="str">
        <f>VLOOKUP(Stock[[#This Row],[Product ID]],Product[#All],3,0)</f>
        <v>Monitor</v>
      </c>
      <c r="D47" s="52" t="str">
        <f>VLOOKUP(Stock[[#This Row],[Product ID]],Product[#All],4,0)</f>
        <v>Samsung</v>
      </c>
      <c r="E47" s="52">
        <f>SUMIF(Opning[[#All],[Product_ID]],Stock[[#This Row],[Product ID]],Opning[[#All],[Opening_Qty]])</f>
        <v>16</v>
      </c>
      <c r="F47" s="52">
        <f>SUMIF(Purchase[[#All],[Product ID]],Stock[[#This Row],[Product ID]],Purchase[[#All],[Net Qty]])</f>
        <v>49</v>
      </c>
      <c r="G47" s="52">
        <f>Stock[[#This Row],[Opening Stock]]+Stock[[#This Row],[Purchase Stock]]</f>
        <v>65</v>
      </c>
      <c r="H47" s="52">
        <f>SUMIF(Sales[[#All],[Product ID]],Stock[[#This Row],[Product ID]],Sales[[#All],[Net QTY]])</f>
        <v>55</v>
      </c>
      <c r="I47" s="52">
        <f>Stock[[#This Row],[Total Stock]]-Stock[[#This Row],[Selling Stock]]</f>
        <v>10</v>
      </c>
      <c r="J47" s="52">
        <f>VLOOKUP(Stock[[#This Row],[Product ID]],Product[#All],8,0)</f>
        <v>20</v>
      </c>
      <c r="K47" s="52" t="str">
        <f>IF(Stock[[#This Row],[Available Stock]]&lt;=Stock[[#This Row],[Reorder Level]],"Reorder","OK")</f>
        <v>Reorder</v>
      </c>
    </row>
    <row r="48" spans="1:11" ht="18.75" x14ac:dyDescent="0.25">
      <c r="A48" s="52" t="str">
        <f>Product[[#This Row],[Product ID]]</f>
        <v>P0046</v>
      </c>
      <c r="B48" s="52" t="str">
        <f>VLOOKUP(Stock[[#This Row],[Product ID]],Product[#All],2,0)</f>
        <v>Epson Printer</v>
      </c>
      <c r="C48" s="52" t="str">
        <f>VLOOKUP(Stock[[#This Row],[Product ID]],Product[#All],3,0)</f>
        <v>Printer</v>
      </c>
      <c r="D48" s="52" t="str">
        <f>VLOOKUP(Stock[[#This Row],[Product ID]],Product[#All],4,0)</f>
        <v>Epson</v>
      </c>
      <c r="E48" s="52">
        <f>SUMIF(Opning[[#All],[Product_ID]],Stock[[#This Row],[Product ID]],Opning[[#All],[Opening_Qty]])</f>
        <v>30</v>
      </c>
      <c r="F48" s="52">
        <f>SUMIF(Purchase[[#All],[Product ID]],Stock[[#This Row],[Product ID]],Purchase[[#All],[Net Qty]])</f>
        <v>88</v>
      </c>
      <c r="G48" s="52">
        <f>Stock[[#This Row],[Opening Stock]]+Stock[[#This Row],[Purchase Stock]]</f>
        <v>118</v>
      </c>
      <c r="H48" s="52">
        <f>SUMIF(Sales[[#All],[Product ID]],Stock[[#This Row],[Product ID]],Sales[[#All],[Net QTY]])</f>
        <v>52</v>
      </c>
      <c r="I48" s="52">
        <f>Stock[[#This Row],[Total Stock]]-Stock[[#This Row],[Selling Stock]]</f>
        <v>66</v>
      </c>
      <c r="J48" s="52">
        <f>VLOOKUP(Stock[[#This Row],[Product ID]],Product[#All],8,0)</f>
        <v>5</v>
      </c>
      <c r="K48" s="52" t="str">
        <f>IF(Stock[[#This Row],[Available Stock]]&lt;=Stock[[#This Row],[Reorder Level]],"Reorder","OK")</f>
        <v>OK</v>
      </c>
    </row>
    <row r="49" spans="1:11" ht="18.75" x14ac:dyDescent="0.25">
      <c r="A49" s="52" t="str">
        <f>Product[[#This Row],[Product ID]]</f>
        <v>P0047</v>
      </c>
      <c r="B49" s="52" t="str">
        <f>VLOOKUP(Stock[[#This Row],[Product ID]],Product[#All],2,0)</f>
        <v>HP Desktop</v>
      </c>
      <c r="C49" s="52" t="str">
        <f>VLOOKUP(Stock[[#This Row],[Product ID]],Product[#All],3,0)</f>
        <v>Desktop</v>
      </c>
      <c r="D49" s="52" t="str">
        <f>VLOOKUP(Stock[[#This Row],[Product ID]],Product[#All],4,0)</f>
        <v>HP</v>
      </c>
      <c r="E49" s="52">
        <f>SUMIF(Opning[[#All],[Product_ID]],Stock[[#This Row],[Product ID]],Opning[[#All],[Opening_Qty]])</f>
        <v>22</v>
      </c>
      <c r="F49" s="52">
        <f>SUMIF(Purchase[[#All],[Product ID]],Stock[[#This Row],[Product ID]],Purchase[[#All],[Net Qty]])</f>
        <v>113</v>
      </c>
      <c r="G49" s="52">
        <f>Stock[[#This Row],[Opening Stock]]+Stock[[#This Row],[Purchase Stock]]</f>
        <v>135</v>
      </c>
      <c r="H49" s="52">
        <f>SUMIF(Sales[[#All],[Product ID]],Stock[[#This Row],[Product ID]],Sales[[#All],[Net QTY]])</f>
        <v>25</v>
      </c>
      <c r="I49" s="52">
        <f>Stock[[#This Row],[Total Stock]]-Stock[[#This Row],[Selling Stock]]</f>
        <v>110</v>
      </c>
      <c r="J49" s="52">
        <f>VLOOKUP(Stock[[#This Row],[Product ID]],Product[#All],8,0)</f>
        <v>25</v>
      </c>
      <c r="K49" s="52" t="str">
        <f>IF(Stock[[#This Row],[Available Stock]]&lt;=Stock[[#This Row],[Reorder Level]],"Reorder","OK")</f>
        <v>OK</v>
      </c>
    </row>
    <row r="50" spans="1:11" ht="18.75" x14ac:dyDescent="0.25">
      <c r="A50" s="52" t="str">
        <f>Product[[#This Row],[Product ID]]</f>
        <v>P0048</v>
      </c>
      <c r="B50" s="52" t="str">
        <f>VLOOKUP(Stock[[#This Row],[Product ID]],Product[#All],2,0)</f>
        <v>American TouristerLaptopBag</v>
      </c>
      <c r="C50" s="52" t="str">
        <f>VLOOKUP(Stock[[#This Row],[Product ID]],Product[#All],3,0)</f>
        <v xml:space="preserve">LaptopBag </v>
      </c>
      <c r="D50" s="52" t="str">
        <f>VLOOKUP(Stock[[#This Row],[Product ID]],Product[#All],4,0)</f>
        <v>American Tourister</v>
      </c>
      <c r="E50" s="52">
        <f>SUMIF(Opning[[#All],[Product_ID]],Stock[[#This Row],[Product ID]],Opning[[#All],[Opening_Qty]])</f>
        <v>49</v>
      </c>
      <c r="F50" s="52">
        <f>SUMIF(Purchase[[#All],[Product ID]],Stock[[#This Row],[Product ID]],Purchase[[#All],[Net Qty]])</f>
        <v>121</v>
      </c>
      <c r="G50" s="52">
        <f>Stock[[#This Row],[Opening Stock]]+Stock[[#This Row],[Purchase Stock]]</f>
        <v>170</v>
      </c>
      <c r="H50" s="52">
        <f>SUMIF(Sales[[#All],[Product ID]],Stock[[#This Row],[Product ID]],Sales[[#All],[Net QTY]])</f>
        <v>58</v>
      </c>
      <c r="I50" s="52">
        <f>Stock[[#This Row],[Total Stock]]-Stock[[#This Row],[Selling Stock]]</f>
        <v>112</v>
      </c>
      <c r="J50" s="52">
        <f>VLOOKUP(Stock[[#This Row],[Product ID]],Product[#All],8,0)</f>
        <v>10</v>
      </c>
      <c r="K50" s="52" t="str">
        <f>IF(Stock[[#This Row],[Available Stock]]&lt;=Stock[[#This Row],[Reorder Level]],"Reorder","OK")</f>
        <v>OK</v>
      </c>
    </row>
    <row r="51" spans="1:11" ht="18.75" x14ac:dyDescent="0.25">
      <c r="A51" s="52" t="str">
        <f>Product[[#This Row],[Product ID]]</f>
        <v>P0049</v>
      </c>
      <c r="B51" s="52" t="str">
        <f>VLOOKUP(Stock[[#This Row],[Product ID]],Product[#All],2,0)</f>
        <v>HP Mouse</v>
      </c>
      <c r="C51" s="52" t="str">
        <f>VLOOKUP(Stock[[#This Row],[Product ID]],Product[#All],3,0)</f>
        <v>Mouse</v>
      </c>
      <c r="D51" s="52" t="str">
        <f>VLOOKUP(Stock[[#This Row],[Product ID]],Product[#All],4,0)</f>
        <v>HP</v>
      </c>
      <c r="E51" s="52">
        <f>SUMIF(Opning[[#All],[Product_ID]],Stock[[#This Row],[Product ID]],Opning[[#All],[Opening_Qty]])</f>
        <v>40</v>
      </c>
      <c r="F51" s="52">
        <f>SUMIF(Purchase[[#All],[Product ID]],Stock[[#This Row],[Product ID]],Purchase[[#All],[Net Qty]])</f>
        <v>52</v>
      </c>
      <c r="G51" s="52">
        <f>Stock[[#This Row],[Opening Stock]]+Stock[[#This Row],[Purchase Stock]]</f>
        <v>92</v>
      </c>
      <c r="H51" s="52">
        <f>SUMIF(Sales[[#All],[Product ID]],Stock[[#This Row],[Product ID]],Sales[[#All],[Net QTY]])</f>
        <v>27</v>
      </c>
      <c r="I51" s="52">
        <f>Stock[[#This Row],[Total Stock]]-Stock[[#This Row],[Selling Stock]]</f>
        <v>65</v>
      </c>
      <c r="J51" s="52">
        <f>VLOOKUP(Stock[[#This Row],[Product ID]],Product[#All],8,0)</f>
        <v>15</v>
      </c>
      <c r="K51" s="52" t="str">
        <f>IF(Stock[[#This Row],[Available Stock]]&lt;=Stock[[#This Row],[Reorder Level]],"Reorder","OK")</f>
        <v>OK</v>
      </c>
    </row>
    <row r="52" spans="1:11" ht="18.75" x14ac:dyDescent="0.25">
      <c r="A52" s="52" t="str">
        <f>Product[[#This Row],[Product ID]]</f>
        <v>P0050</v>
      </c>
      <c r="B52" s="52" t="str">
        <f>VLOOKUP(Stock[[#This Row],[Product ID]],Product[#All],2,0)</f>
        <v>Apc UPS</v>
      </c>
      <c r="C52" s="52" t="str">
        <f>VLOOKUP(Stock[[#This Row],[Product ID]],Product[#All],3,0)</f>
        <v>UPS</v>
      </c>
      <c r="D52" s="52" t="str">
        <f>VLOOKUP(Stock[[#This Row],[Product ID]],Product[#All],4,0)</f>
        <v>APC</v>
      </c>
      <c r="E52" s="52">
        <f>SUMIF(Opning[[#All],[Product_ID]],Stock[[#This Row],[Product ID]],Opning[[#All],[Opening_Qty]])</f>
        <v>11</v>
      </c>
      <c r="F52" s="52">
        <f>SUMIF(Purchase[[#All],[Product ID]],Stock[[#This Row],[Product ID]],Purchase[[#All],[Net Qty]])</f>
        <v>83</v>
      </c>
      <c r="G52" s="52">
        <f>Stock[[#This Row],[Opening Stock]]+Stock[[#This Row],[Purchase Stock]]</f>
        <v>94</v>
      </c>
      <c r="H52" s="52">
        <f>SUMIF(Sales[[#All],[Product ID]],Stock[[#This Row],[Product ID]],Sales[[#All],[Net QTY]])</f>
        <v>43</v>
      </c>
      <c r="I52" s="52">
        <f>Stock[[#This Row],[Total Stock]]-Stock[[#This Row],[Selling Stock]]</f>
        <v>51</v>
      </c>
      <c r="J52" s="52">
        <f>VLOOKUP(Stock[[#This Row],[Product ID]],Product[#All],8,0)</f>
        <v>15</v>
      </c>
      <c r="K52" s="52" t="str">
        <f>IF(Stock[[#This Row],[Available Stock]]&lt;=Stock[[#This Row],[Reorder Level]],"Reorder","OK")</f>
        <v>OK</v>
      </c>
    </row>
    <row r="53" spans="1:11" ht="18.75" x14ac:dyDescent="0.25">
      <c r="A53" s="52" t="str">
        <f>Product[[#This Row],[Product ID]]</f>
        <v>P0051</v>
      </c>
      <c r="B53" s="52" t="str">
        <f>VLOOKUP(Stock[[#This Row],[Product ID]],Product[#All],2,0)</f>
        <v>Lg Monitor</v>
      </c>
      <c r="C53" s="52" t="str">
        <f>VLOOKUP(Stock[[#This Row],[Product ID]],Product[#All],3,0)</f>
        <v>Monitor</v>
      </c>
      <c r="D53" s="52" t="str">
        <f>VLOOKUP(Stock[[#This Row],[Product ID]],Product[#All],4,0)</f>
        <v>LG</v>
      </c>
      <c r="E53" s="52">
        <f>SUMIF(Opning[[#All],[Product_ID]],Stock[[#This Row],[Product ID]],Opning[[#All],[Opening_Qty]])</f>
        <v>10</v>
      </c>
      <c r="F53" s="52">
        <f>SUMIF(Purchase[[#All],[Product ID]],Stock[[#This Row],[Product ID]],Purchase[[#All],[Net Qty]])</f>
        <v>47</v>
      </c>
      <c r="G53" s="52">
        <f>Stock[[#This Row],[Opening Stock]]+Stock[[#This Row],[Purchase Stock]]</f>
        <v>57</v>
      </c>
      <c r="H53" s="52">
        <f>SUMIF(Sales[[#All],[Product ID]],Stock[[#This Row],[Product ID]],Sales[[#All],[Net QTY]])</f>
        <v>29</v>
      </c>
      <c r="I53" s="52">
        <f>Stock[[#This Row],[Total Stock]]-Stock[[#This Row],[Selling Stock]]</f>
        <v>28</v>
      </c>
      <c r="J53" s="52">
        <f>VLOOKUP(Stock[[#This Row],[Product ID]],Product[#All],8,0)</f>
        <v>5</v>
      </c>
      <c r="K53" s="52" t="str">
        <f>IF(Stock[[#This Row],[Available Stock]]&lt;=Stock[[#This Row],[Reorder Level]],"Reorder","OK")</f>
        <v>OK</v>
      </c>
    </row>
    <row r="54" spans="1:11" ht="18.75" x14ac:dyDescent="0.25">
      <c r="A54" s="52" t="str">
        <f>Product[[#This Row],[Product ID]]</f>
        <v>P0052</v>
      </c>
      <c r="B54" s="52" t="str">
        <f>VLOOKUP(Stock[[#This Row],[Product ID]],Product[#All],2,0)</f>
        <v>Boat Headset</v>
      </c>
      <c r="C54" s="52" t="str">
        <f>VLOOKUP(Stock[[#This Row],[Product ID]],Product[#All],3,0)</f>
        <v>Headset</v>
      </c>
      <c r="D54" s="52" t="str">
        <f>VLOOKUP(Stock[[#This Row],[Product ID]],Product[#All],4,0)</f>
        <v>Boat</v>
      </c>
      <c r="E54" s="52">
        <f>SUMIF(Opning[[#All],[Product_ID]],Stock[[#This Row],[Product ID]],Opning[[#All],[Opening_Qty]])</f>
        <v>20</v>
      </c>
      <c r="F54" s="52">
        <f>SUMIF(Purchase[[#All],[Product ID]],Stock[[#This Row],[Product ID]],Purchase[[#All],[Net Qty]])</f>
        <v>79</v>
      </c>
      <c r="G54" s="52">
        <f>Stock[[#This Row],[Opening Stock]]+Stock[[#This Row],[Purchase Stock]]</f>
        <v>99</v>
      </c>
      <c r="H54" s="52">
        <f>SUMIF(Sales[[#All],[Product ID]],Stock[[#This Row],[Product ID]],Sales[[#All],[Net QTY]])</f>
        <v>58</v>
      </c>
      <c r="I54" s="52">
        <f>Stock[[#This Row],[Total Stock]]-Stock[[#This Row],[Selling Stock]]</f>
        <v>41</v>
      </c>
      <c r="J54" s="52">
        <f>VLOOKUP(Stock[[#This Row],[Product ID]],Product[#All],8,0)</f>
        <v>5</v>
      </c>
      <c r="K54" s="52" t="str">
        <f>IF(Stock[[#This Row],[Available Stock]]&lt;=Stock[[#This Row],[Reorder Level]],"Reorder","OK")</f>
        <v>OK</v>
      </c>
    </row>
    <row r="55" spans="1:11" ht="18.75" x14ac:dyDescent="0.25">
      <c r="A55" s="52" t="str">
        <f>Product[[#This Row],[Product ID]]</f>
        <v>P0053</v>
      </c>
      <c r="B55" s="52" t="str">
        <f>VLOOKUP(Stock[[#This Row],[Product ID]],Product[#All],2,0)</f>
        <v>Dell Laptop</v>
      </c>
      <c r="C55" s="52" t="str">
        <f>VLOOKUP(Stock[[#This Row],[Product ID]],Product[#All],3,0)</f>
        <v>Laptop</v>
      </c>
      <c r="D55" s="52" t="str">
        <f>VLOOKUP(Stock[[#This Row],[Product ID]],Product[#All],4,0)</f>
        <v>Dell</v>
      </c>
      <c r="E55" s="52">
        <f>SUMIF(Opning[[#All],[Product_ID]],Stock[[#This Row],[Product ID]],Opning[[#All],[Opening_Qty]])</f>
        <v>8</v>
      </c>
      <c r="F55" s="52">
        <f>SUMIF(Purchase[[#All],[Product ID]],Stock[[#This Row],[Product ID]],Purchase[[#All],[Net Qty]])</f>
        <v>78</v>
      </c>
      <c r="G55" s="52">
        <f>Stock[[#This Row],[Opening Stock]]+Stock[[#This Row],[Purchase Stock]]</f>
        <v>86</v>
      </c>
      <c r="H55" s="52">
        <f>SUMIF(Sales[[#All],[Product ID]],Stock[[#This Row],[Product ID]],Sales[[#All],[Net QTY]])</f>
        <v>57</v>
      </c>
      <c r="I55" s="52">
        <f>Stock[[#This Row],[Total Stock]]-Stock[[#This Row],[Selling Stock]]</f>
        <v>29</v>
      </c>
      <c r="J55" s="52">
        <f>VLOOKUP(Stock[[#This Row],[Product ID]],Product[#All],8,0)</f>
        <v>8</v>
      </c>
      <c r="K55" s="52" t="str">
        <f>IF(Stock[[#This Row],[Available Stock]]&lt;=Stock[[#This Row],[Reorder Level]],"Reorder","OK")</f>
        <v>OK</v>
      </c>
    </row>
    <row r="56" spans="1:11" ht="18.75" x14ac:dyDescent="0.25">
      <c r="A56" s="52" t="str">
        <f>Product[[#This Row],[Product ID]]</f>
        <v>P0054</v>
      </c>
      <c r="B56" s="52" t="str">
        <f>VLOOKUP(Stock[[#This Row],[Product ID]],Product[#All],2,0)</f>
        <v>Portronics USB Cable</v>
      </c>
      <c r="C56" s="52" t="str">
        <f>VLOOKUP(Stock[[#This Row],[Product ID]],Product[#All],3,0)</f>
        <v>USB Cable</v>
      </c>
      <c r="D56" s="52" t="str">
        <f>VLOOKUP(Stock[[#This Row],[Product ID]],Product[#All],4,0)</f>
        <v>Portronics</v>
      </c>
      <c r="E56" s="52">
        <f>SUMIF(Opning[[#All],[Product_ID]],Stock[[#This Row],[Product ID]],Opning[[#All],[Opening_Qty]])</f>
        <v>38</v>
      </c>
      <c r="F56" s="52">
        <f>SUMIF(Purchase[[#All],[Product ID]],Stock[[#This Row],[Product ID]],Purchase[[#All],[Net Qty]])</f>
        <v>118</v>
      </c>
      <c r="G56" s="52">
        <f>Stock[[#This Row],[Opening Stock]]+Stock[[#This Row],[Purchase Stock]]</f>
        <v>156</v>
      </c>
      <c r="H56" s="52">
        <f>SUMIF(Sales[[#All],[Product ID]],Stock[[#This Row],[Product ID]],Sales[[#All],[Net QTY]])</f>
        <v>57</v>
      </c>
      <c r="I56" s="52">
        <f>Stock[[#This Row],[Total Stock]]-Stock[[#This Row],[Selling Stock]]</f>
        <v>99</v>
      </c>
      <c r="J56" s="52">
        <f>VLOOKUP(Stock[[#This Row],[Product ID]],Product[#All],8,0)</f>
        <v>10</v>
      </c>
      <c r="K56" s="52" t="str">
        <f>IF(Stock[[#This Row],[Available Stock]]&lt;=Stock[[#This Row],[Reorder Level]],"Reorder","OK")</f>
        <v>OK</v>
      </c>
    </row>
    <row r="57" spans="1:11" ht="18.75" x14ac:dyDescent="0.25">
      <c r="A57" s="52" t="str">
        <f>Product[[#This Row],[Product ID]]</f>
        <v>P0055</v>
      </c>
      <c r="B57" s="52" t="str">
        <f>VLOOKUP(Stock[[#This Row],[Product ID]],Product[#All],2,0)</f>
        <v>Logitech Keyboard</v>
      </c>
      <c r="C57" s="52" t="str">
        <f>VLOOKUP(Stock[[#This Row],[Product ID]],Product[#All],3,0)</f>
        <v>Keyboard</v>
      </c>
      <c r="D57" s="52" t="str">
        <f>VLOOKUP(Stock[[#This Row],[Product ID]],Product[#All],4,0)</f>
        <v>Logitech</v>
      </c>
      <c r="E57" s="52">
        <f>SUMIF(Opning[[#All],[Product_ID]],Stock[[#This Row],[Product ID]],Opning[[#All],[Opening_Qty]])</f>
        <v>6</v>
      </c>
      <c r="F57" s="52">
        <f>SUMIF(Purchase[[#All],[Product ID]],Stock[[#This Row],[Product ID]],Purchase[[#All],[Net Qty]])</f>
        <v>80</v>
      </c>
      <c r="G57" s="52">
        <f>Stock[[#This Row],[Opening Stock]]+Stock[[#This Row],[Purchase Stock]]</f>
        <v>86</v>
      </c>
      <c r="H57" s="52">
        <f>SUMIF(Sales[[#All],[Product ID]],Stock[[#This Row],[Product ID]],Sales[[#All],[Net QTY]])</f>
        <v>34</v>
      </c>
      <c r="I57" s="52">
        <f>Stock[[#This Row],[Total Stock]]-Stock[[#This Row],[Selling Stock]]</f>
        <v>52</v>
      </c>
      <c r="J57" s="52">
        <f>VLOOKUP(Stock[[#This Row],[Product ID]],Product[#All],8,0)</f>
        <v>20</v>
      </c>
      <c r="K57" s="52" t="str">
        <f>IF(Stock[[#This Row],[Available Stock]]&lt;=Stock[[#This Row],[Reorder Level]],"Reorder","OK")</f>
        <v>OK</v>
      </c>
    </row>
    <row r="58" spans="1:11" ht="18.75" x14ac:dyDescent="0.25">
      <c r="A58" s="52" t="str">
        <f>Product[[#This Row],[Product ID]]</f>
        <v>P0056</v>
      </c>
      <c r="B58" s="52" t="str">
        <f>VLOOKUP(Stock[[#This Row],[Product ID]],Product[#All],2,0)</f>
        <v>Jbl Headset</v>
      </c>
      <c r="C58" s="52" t="str">
        <f>VLOOKUP(Stock[[#This Row],[Product ID]],Product[#All],3,0)</f>
        <v>Headset</v>
      </c>
      <c r="D58" s="52" t="str">
        <f>VLOOKUP(Stock[[#This Row],[Product ID]],Product[#All],4,0)</f>
        <v>JBL</v>
      </c>
      <c r="E58" s="52">
        <f>SUMIF(Opning[[#All],[Product_ID]],Stock[[#This Row],[Product ID]],Opning[[#All],[Opening_Qty]])</f>
        <v>47</v>
      </c>
      <c r="F58" s="52">
        <f>SUMIF(Purchase[[#All],[Product ID]],Stock[[#This Row],[Product ID]],Purchase[[#All],[Net Qty]])</f>
        <v>211</v>
      </c>
      <c r="G58" s="52">
        <f>Stock[[#This Row],[Opening Stock]]+Stock[[#This Row],[Purchase Stock]]</f>
        <v>258</v>
      </c>
      <c r="H58" s="52">
        <f>SUMIF(Sales[[#All],[Product ID]],Stock[[#This Row],[Product ID]],Sales[[#All],[Net QTY]])</f>
        <v>42</v>
      </c>
      <c r="I58" s="52">
        <f>Stock[[#This Row],[Total Stock]]-Stock[[#This Row],[Selling Stock]]</f>
        <v>216</v>
      </c>
      <c r="J58" s="52">
        <f>VLOOKUP(Stock[[#This Row],[Product ID]],Product[#All],8,0)</f>
        <v>20</v>
      </c>
      <c r="K58" s="52" t="str">
        <f>IF(Stock[[#This Row],[Available Stock]]&lt;=Stock[[#This Row],[Reorder Level]],"Reorder","OK")</f>
        <v>OK</v>
      </c>
    </row>
    <row r="59" spans="1:11" ht="18.75" x14ac:dyDescent="0.25">
      <c r="A59" s="52" t="str">
        <f>Product[[#This Row],[Product ID]]</f>
        <v>P0057</v>
      </c>
      <c r="B59" s="52" t="str">
        <f>VLOOKUP(Stock[[#This Row],[Product ID]],Product[#All],2,0)</f>
        <v>PortronicsLaptopStand</v>
      </c>
      <c r="C59" s="52" t="str">
        <f>VLOOKUP(Stock[[#This Row],[Product ID]],Product[#All],3,0)</f>
        <v>Laptop Stand</v>
      </c>
      <c r="D59" s="52" t="str">
        <f>VLOOKUP(Stock[[#This Row],[Product ID]],Product[#All],4,0)</f>
        <v>Portronics</v>
      </c>
      <c r="E59" s="52">
        <f>SUMIF(Opning[[#All],[Product_ID]],Stock[[#This Row],[Product ID]],Opning[[#All],[Opening_Qty]])</f>
        <v>6</v>
      </c>
      <c r="F59" s="52">
        <f>SUMIF(Purchase[[#All],[Product ID]],Stock[[#This Row],[Product ID]],Purchase[[#All],[Net Qty]])</f>
        <v>80</v>
      </c>
      <c r="G59" s="52">
        <f>Stock[[#This Row],[Opening Stock]]+Stock[[#This Row],[Purchase Stock]]</f>
        <v>86</v>
      </c>
      <c r="H59" s="52">
        <f>SUMIF(Sales[[#All],[Product ID]],Stock[[#This Row],[Product ID]],Sales[[#All],[Net QTY]])</f>
        <v>20</v>
      </c>
      <c r="I59" s="52">
        <f>Stock[[#This Row],[Total Stock]]-Stock[[#This Row],[Selling Stock]]</f>
        <v>66</v>
      </c>
      <c r="J59" s="52">
        <f>VLOOKUP(Stock[[#This Row],[Product ID]],Product[#All],8,0)</f>
        <v>20</v>
      </c>
      <c r="K59" s="52" t="str">
        <f>IF(Stock[[#This Row],[Available Stock]]&lt;=Stock[[#This Row],[Reorder Level]],"Reorder","OK")</f>
        <v>OK</v>
      </c>
    </row>
    <row r="60" spans="1:11" ht="18.75" x14ac:dyDescent="0.25">
      <c r="A60" s="52" t="str">
        <f>Product[[#This Row],[Product ID]]</f>
        <v>P0058</v>
      </c>
      <c r="B60" s="52" t="str">
        <f>VLOOKUP(Stock[[#This Row],[Product ID]],Product[#All],2,0)</f>
        <v>TP-link Router</v>
      </c>
      <c r="C60" s="52" t="str">
        <f>VLOOKUP(Stock[[#This Row],[Product ID]],Product[#All],3,0)</f>
        <v>Rauter</v>
      </c>
      <c r="D60" s="52" t="str">
        <f>VLOOKUP(Stock[[#This Row],[Product ID]],Product[#All],4,0)</f>
        <v>TP-link</v>
      </c>
      <c r="E60" s="52">
        <f>SUMIF(Opning[[#All],[Product_ID]],Stock[[#This Row],[Product ID]],Opning[[#All],[Opening_Qty]])</f>
        <v>8</v>
      </c>
      <c r="F60" s="52">
        <f>SUMIF(Purchase[[#All],[Product ID]],Stock[[#This Row],[Product ID]],Purchase[[#All],[Net Qty]])</f>
        <v>49</v>
      </c>
      <c r="G60" s="52">
        <f>Stock[[#This Row],[Opening Stock]]+Stock[[#This Row],[Purchase Stock]]</f>
        <v>57</v>
      </c>
      <c r="H60" s="52">
        <f>SUMIF(Sales[[#All],[Product ID]],Stock[[#This Row],[Product ID]],Sales[[#All],[Net QTY]])</f>
        <v>28</v>
      </c>
      <c r="I60" s="52">
        <f>Stock[[#This Row],[Total Stock]]-Stock[[#This Row],[Selling Stock]]</f>
        <v>29</v>
      </c>
      <c r="J60" s="52">
        <f>VLOOKUP(Stock[[#This Row],[Product ID]],Product[#All],8,0)</f>
        <v>20</v>
      </c>
      <c r="K60" s="52" t="str">
        <f>IF(Stock[[#This Row],[Available Stock]]&lt;=Stock[[#This Row],[Reorder Level]],"Reorder","OK")</f>
        <v>OK</v>
      </c>
    </row>
    <row r="61" spans="1:11" ht="18.75" x14ac:dyDescent="0.25">
      <c r="A61" s="52" t="str">
        <f>Product[[#This Row],[Product ID]]</f>
        <v>P0059</v>
      </c>
      <c r="B61" s="52" t="str">
        <f>VLOOKUP(Stock[[#This Row],[Product ID]],Product[#All],2,0)</f>
        <v>Corsair Ram</v>
      </c>
      <c r="C61" s="52" t="str">
        <f>VLOOKUP(Stock[[#This Row],[Product ID]],Product[#All],3,0)</f>
        <v>RAM</v>
      </c>
      <c r="D61" s="52" t="str">
        <f>VLOOKUP(Stock[[#This Row],[Product ID]],Product[#All],4,0)</f>
        <v>Corsair</v>
      </c>
      <c r="E61" s="52">
        <f>SUMIF(Opning[[#All],[Product_ID]],Stock[[#This Row],[Product ID]],Opning[[#All],[Opening_Qty]])</f>
        <v>5</v>
      </c>
      <c r="F61" s="52">
        <f>SUMIF(Purchase[[#All],[Product ID]],Stock[[#This Row],[Product ID]],Purchase[[#All],[Net Qty]])</f>
        <v>74</v>
      </c>
      <c r="G61" s="52">
        <f>Stock[[#This Row],[Opening Stock]]+Stock[[#This Row],[Purchase Stock]]</f>
        <v>79</v>
      </c>
      <c r="H61" s="52">
        <f>SUMIF(Sales[[#All],[Product ID]],Stock[[#This Row],[Product ID]],Sales[[#All],[Net QTY]])</f>
        <v>42</v>
      </c>
      <c r="I61" s="52">
        <f>Stock[[#This Row],[Total Stock]]-Stock[[#This Row],[Selling Stock]]</f>
        <v>37</v>
      </c>
      <c r="J61" s="52">
        <f>VLOOKUP(Stock[[#This Row],[Product ID]],Product[#All],8,0)</f>
        <v>15</v>
      </c>
      <c r="K61" s="52" t="str">
        <f>IF(Stock[[#This Row],[Available Stock]]&lt;=Stock[[#This Row],[Reorder Level]],"Reorder","OK")</f>
        <v>OK</v>
      </c>
    </row>
    <row r="62" spans="1:11" ht="18.75" x14ac:dyDescent="0.25">
      <c r="A62" s="52" t="str">
        <f>Product[[#This Row],[Product ID]]</f>
        <v>P0060</v>
      </c>
      <c r="B62" s="52" t="str">
        <f>VLOOKUP(Stock[[#This Row],[Product ID]],Product[#All],2,0)</f>
        <v>TP-link Bluetooth Adapter</v>
      </c>
      <c r="C62" s="52" t="str">
        <f>VLOOKUP(Stock[[#This Row],[Product ID]],Product[#All],3,0)</f>
        <v>Bluetooth Adapter</v>
      </c>
      <c r="D62" s="52" t="str">
        <f>VLOOKUP(Stock[[#This Row],[Product ID]],Product[#All],4,0)</f>
        <v>TP-link</v>
      </c>
      <c r="E62" s="52">
        <f>SUMIF(Opning[[#All],[Product_ID]],Stock[[#This Row],[Product ID]],Opning[[#All],[Opening_Qty]])</f>
        <v>32</v>
      </c>
      <c r="F62" s="52">
        <f>SUMIF(Purchase[[#All],[Product ID]],Stock[[#This Row],[Product ID]],Purchase[[#All],[Net Qty]])</f>
        <v>86</v>
      </c>
      <c r="G62" s="52">
        <f>Stock[[#This Row],[Opening Stock]]+Stock[[#This Row],[Purchase Stock]]</f>
        <v>118</v>
      </c>
      <c r="H62" s="52">
        <f>SUMIF(Sales[[#All],[Product ID]],Stock[[#This Row],[Product ID]],Sales[[#All],[Net QTY]])</f>
        <v>51</v>
      </c>
      <c r="I62" s="52">
        <f>Stock[[#This Row],[Total Stock]]-Stock[[#This Row],[Selling Stock]]</f>
        <v>67</v>
      </c>
      <c r="J62" s="52">
        <f>VLOOKUP(Stock[[#This Row],[Product ID]],Product[#All],8,0)</f>
        <v>10</v>
      </c>
      <c r="K62" s="52" t="str">
        <f>IF(Stock[[#This Row],[Available Stock]]&lt;=Stock[[#This Row],[Reorder Level]],"Reorder","OK")</f>
        <v>OK</v>
      </c>
    </row>
    <row r="63" spans="1:11" ht="18.75" x14ac:dyDescent="0.25">
      <c r="A63" s="52" t="str">
        <f>Product[[#This Row],[Product ID]]</f>
        <v>P0061</v>
      </c>
      <c r="B63" s="52" t="str">
        <f>VLOOKUP(Stock[[#This Row],[Product ID]],Product[#All],2,0)</f>
        <v>Dell Laptop</v>
      </c>
      <c r="C63" s="52" t="str">
        <f>VLOOKUP(Stock[[#This Row],[Product ID]],Product[#All],3,0)</f>
        <v>Laptop</v>
      </c>
      <c r="D63" s="52" t="str">
        <f>VLOOKUP(Stock[[#This Row],[Product ID]],Product[#All],4,0)</f>
        <v>Dell</v>
      </c>
      <c r="E63" s="52">
        <f>SUMIF(Opning[[#All],[Product_ID]],Stock[[#This Row],[Product ID]],Opning[[#All],[Opening_Qty]])</f>
        <v>46</v>
      </c>
      <c r="F63" s="52">
        <f>SUMIF(Purchase[[#All],[Product ID]],Stock[[#This Row],[Product ID]],Purchase[[#All],[Net Qty]])</f>
        <v>7</v>
      </c>
      <c r="G63" s="52">
        <f>Stock[[#This Row],[Opening Stock]]+Stock[[#This Row],[Purchase Stock]]</f>
        <v>53</v>
      </c>
      <c r="H63" s="52">
        <f>SUMIF(Sales[[#All],[Product ID]],Stock[[#This Row],[Product ID]],Sales[[#All],[Net QTY]])</f>
        <v>28</v>
      </c>
      <c r="I63" s="52">
        <f>Stock[[#This Row],[Total Stock]]-Stock[[#This Row],[Selling Stock]]</f>
        <v>25</v>
      </c>
      <c r="J63" s="52">
        <f>VLOOKUP(Stock[[#This Row],[Product ID]],Product[#All],8,0)</f>
        <v>15</v>
      </c>
      <c r="K63" s="52" t="str">
        <f>IF(Stock[[#This Row],[Available Stock]]&lt;=Stock[[#This Row],[Reorder Level]],"Reorder","OK")</f>
        <v>OK</v>
      </c>
    </row>
    <row r="64" spans="1:11" ht="18.75" x14ac:dyDescent="0.25">
      <c r="A64" s="52" t="str">
        <f>Product[[#This Row],[Product ID]]</f>
        <v>P0062</v>
      </c>
      <c r="B64" s="52" t="str">
        <f>VLOOKUP(Stock[[#This Row],[Product ID]],Product[#All],2,0)</f>
        <v>Portronics USB Cable</v>
      </c>
      <c r="C64" s="52" t="str">
        <f>VLOOKUP(Stock[[#This Row],[Product ID]],Product[#All],3,0)</f>
        <v>USB Cable</v>
      </c>
      <c r="D64" s="52" t="str">
        <f>VLOOKUP(Stock[[#This Row],[Product ID]],Product[#All],4,0)</f>
        <v>Portronics</v>
      </c>
      <c r="E64" s="52">
        <f>SUMIF(Opning[[#All],[Product_ID]],Stock[[#This Row],[Product ID]],Opning[[#All],[Opening_Qty]])</f>
        <v>41</v>
      </c>
      <c r="F64" s="52">
        <f>SUMIF(Purchase[[#All],[Product ID]],Stock[[#This Row],[Product ID]],Purchase[[#All],[Net Qty]])</f>
        <v>25</v>
      </c>
      <c r="G64" s="52">
        <f>Stock[[#This Row],[Opening Stock]]+Stock[[#This Row],[Purchase Stock]]</f>
        <v>66</v>
      </c>
      <c r="H64" s="52">
        <f>SUMIF(Sales[[#All],[Product ID]],Stock[[#This Row],[Product ID]],Sales[[#All],[Net QTY]])</f>
        <v>60</v>
      </c>
      <c r="I64" s="52">
        <f>Stock[[#This Row],[Total Stock]]-Stock[[#This Row],[Selling Stock]]</f>
        <v>6</v>
      </c>
      <c r="J64" s="52">
        <f>VLOOKUP(Stock[[#This Row],[Product ID]],Product[#All],8,0)</f>
        <v>10</v>
      </c>
      <c r="K64" s="52" t="str">
        <f>IF(Stock[[#This Row],[Available Stock]]&lt;=Stock[[#This Row],[Reorder Level]],"Reorder","OK")</f>
        <v>Reorder</v>
      </c>
    </row>
    <row r="65" spans="1:11" ht="18.75" x14ac:dyDescent="0.25">
      <c r="A65" s="52" t="str">
        <f>Product[[#This Row],[Product ID]]</f>
        <v>P0063</v>
      </c>
      <c r="B65" s="52" t="str">
        <f>VLOOKUP(Stock[[#This Row],[Product ID]],Product[#All],2,0)</f>
        <v>Canon Printer</v>
      </c>
      <c r="C65" s="52" t="str">
        <f>VLOOKUP(Stock[[#This Row],[Product ID]],Product[#All],3,0)</f>
        <v>Printer</v>
      </c>
      <c r="D65" s="52" t="str">
        <f>VLOOKUP(Stock[[#This Row],[Product ID]],Product[#All],4,0)</f>
        <v>Canon</v>
      </c>
      <c r="E65" s="52">
        <f>SUMIF(Opning[[#All],[Product_ID]],Stock[[#This Row],[Product ID]],Opning[[#All],[Opening_Qty]])</f>
        <v>19</v>
      </c>
      <c r="F65" s="52">
        <f>SUMIF(Purchase[[#All],[Product ID]],Stock[[#This Row],[Product ID]],Purchase[[#All],[Net Qty]])</f>
        <v>95</v>
      </c>
      <c r="G65" s="52">
        <f>Stock[[#This Row],[Opening Stock]]+Stock[[#This Row],[Purchase Stock]]</f>
        <v>114</v>
      </c>
      <c r="H65" s="52">
        <f>SUMIF(Sales[[#All],[Product ID]],Stock[[#This Row],[Product ID]],Sales[[#All],[Net QTY]])</f>
        <v>63</v>
      </c>
      <c r="I65" s="52">
        <f>Stock[[#This Row],[Total Stock]]-Stock[[#This Row],[Selling Stock]]</f>
        <v>51</v>
      </c>
      <c r="J65" s="52">
        <f>VLOOKUP(Stock[[#This Row],[Product ID]],Product[#All],8,0)</f>
        <v>8</v>
      </c>
      <c r="K65" s="52" t="str">
        <f>IF(Stock[[#This Row],[Available Stock]]&lt;=Stock[[#This Row],[Reorder Level]],"Reorder","OK")</f>
        <v>OK</v>
      </c>
    </row>
    <row r="66" spans="1:11" ht="18.75" x14ac:dyDescent="0.25">
      <c r="A66" s="52" t="str">
        <f>Product[[#This Row],[Product ID]]</f>
        <v>P0064</v>
      </c>
      <c r="B66" s="52" t="str">
        <f>VLOOKUP(Stock[[#This Row],[Product ID]],Product[#All],2,0)</f>
        <v>Canon Printer</v>
      </c>
      <c r="C66" s="52" t="str">
        <f>VLOOKUP(Stock[[#This Row],[Product ID]],Product[#All],3,0)</f>
        <v>Printer</v>
      </c>
      <c r="D66" s="52" t="str">
        <f>VLOOKUP(Stock[[#This Row],[Product ID]],Product[#All],4,0)</f>
        <v>Canon</v>
      </c>
      <c r="E66" s="52">
        <f>SUMIF(Opning[[#All],[Product_ID]],Stock[[#This Row],[Product ID]],Opning[[#All],[Opening_Qty]])</f>
        <v>20</v>
      </c>
      <c r="F66" s="52">
        <f>SUMIF(Purchase[[#All],[Product ID]],Stock[[#This Row],[Product ID]],Purchase[[#All],[Net Qty]])</f>
        <v>47</v>
      </c>
      <c r="G66" s="52">
        <f>Stock[[#This Row],[Opening Stock]]+Stock[[#This Row],[Purchase Stock]]</f>
        <v>67</v>
      </c>
      <c r="H66" s="52">
        <f>SUMIF(Sales[[#All],[Product ID]],Stock[[#This Row],[Product ID]],Sales[[#All],[Net QTY]])</f>
        <v>55</v>
      </c>
      <c r="I66" s="52">
        <f>Stock[[#This Row],[Total Stock]]-Stock[[#This Row],[Selling Stock]]</f>
        <v>12</v>
      </c>
      <c r="J66" s="52">
        <f>VLOOKUP(Stock[[#This Row],[Product ID]],Product[#All],8,0)</f>
        <v>5</v>
      </c>
      <c r="K66" s="52" t="str">
        <f>IF(Stock[[#This Row],[Available Stock]]&lt;=Stock[[#This Row],[Reorder Level]],"Reorder","OK")</f>
        <v>OK</v>
      </c>
    </row>
    <row r="67" spans="1:11" ht="18.75" x14ac:dyDescent="0.25">
      <c r="A67" s="52" t="str">
        <f>Product[[#This Row],[Product ID]]</f>
        <v>P0065</v>
      </c>
      <c r="B67" s="52" t="str">
        <f>VLOOKUP(Stock[[#This Row],[Product ID]],Product[#All],2,0)</f>
        <v>HP Power Adapter</v>
      </c>
      <c r="C67" s="52" t="str">
        <f>VLOOKUP(Stock[[#This Row],[Product ID]],Product[#All],3,0)</f>
        <v>Power Adapter</v>
      </c>
      <c r="D67" s="52" t="str">
        <f>VLOOKUP(Stock[[#This Row],[Product ID]],Product[#All],4,0)</f>
        <v>HP</v>
      </c>
      <c r="E67" s="52">
        <f>SUMIF(Opning[[#All],[Product_ID]],Stock[[#This Row],[Product ID]],Opning[[#All],[Opening_Qty]])</f>
        <v>20</v>
      </c>
      <c r="F67" s="52">
        <f>SUMIF(Purchase[[#All],[Product ID]],Stock[[#This Row],[Product ID]],Purchase[[#All],[Net Qty]])</f>
        <v>78</v>
      </c>
      <c r="G67" s="52">
        <f>Stock[[#This Row],[Opening Stock]]+Stock[[#This Row],[Purchase Stock]]</f>
        <v>98</v>
      </c>
      <c r="H67" s="52">
        <f>SUMIF(Sales[[#All],[Product ID]],Stock[[#This Row],[Product ID]],Sales[[#All],[Net QTY]])</f>
        <v>50</v>
      </c>
      <c r="I67" s="52">
        <f>Stock[[#This Row],[Total Stock]]-Stock[[#This Row],[Selling Stock]]</f>
        <v>48</v>
      </c>
      <c r="J67" s="52">
        <f>VLOOKUP(Stock[[#This Row],[Product ID]],Product[#All],8,0)</f>
        <v>5</v>
      </c>
      <c r="K67" s="52" t="str">
        <f>IF(Stock[[#This Row],[Available Stock]]&lt;=Stock[[#This Row],[Reorder Level]],"Reorder","OK")</f>
        <v>OK</v>
      </c>
    </row>
    <row r="68" spans="1:11" ht="18.75" x14ac:dyDescent="0.25">
      <c r="A68" s="52" t="str">
        <f>Product[[#This Row],[Product ID]]</f>
        <v>P0066</v>
      </c>
      <c r="B68" s="52" t="str">
        <f>VLOOKUP(Stock[[#This Row],[Product ID]],Product[#All],2,0)</f>
        <v>Corsair Ram</v>
      </c>
      <c r="C68" s="52" t="str">
        <f>VLOOKUP(Stock[[#This Row],[Product ID]],Product[#All],3,0)</f>
        <v>RAM</v>
      </c>
      <c r="D68" s="52" t="str">
        <f>VLOOKUP(Stock[[#This Row],[Product ID]],Product[#All],4,0)</f>
        <v>Corsair</v>
      </c>
      <c r="E68" s="52">
        <f>SUMIF(Opning[[#All],[Product_ID]],Stock[[#This Row],[Product ID]],Opning[[#All],[Opening_Qty]])</f>
        <v>42</v>
      </c>
      <c r="F68" s="52">
        <f>SUMIF(Purchase[[#All],[Product ID]],Stock[[#This Row],[Product ID]],Purchase[[#All],[Net Qty]])</f>
        <v>92</v>
      </c>
      <c r="G68" s="52">
        <f>Stock[[#This Row],[Opening Stock]]+Stock[[#This Row],[Purchase Stock]]</f>
        <v>134</v>
      </c>
      <c r="H68" s="52">
        <f>SUMIF(Sales[[#All],[Product ID]],Stock[[#This Row],[Product ID]],Sales[[#All],[Net QTY]])</f>
        <v>46</v>
      </c>
      <c r="I68" s="52">
        <f>Stock[[#This Row],[Total Stock]]-Stock[[#This Row],[Selling Stock]]</f>
        <v>88</v>
      </c>
      <c r="J68" s="52">
        <f>VLOOKUP(Stock[[#This Row],[Product ID]],Product[#All],8,0)</f>
        <v>5</v>
      </c>
      <c r="K68" s="52" t="str">
        <f>IF(Stock[[#This Row],[Available Stock]]&lt;=Stock[[#This Row],[Reorder Level]],"Reorder","OK")</f>
        <v>OK</v>
      </c>
    </row>
    <row r="69" spans="1:11" ht="18.75" x14ac:dyDescent="0.25">
      <c r="A69" s="52" t="str">
        <f>Product[[#This Row],[Product ID]]</f>
        <v>P0067</v>
      </c>
      <c r="B69" s="52" t="str">
        <f>VLOOKUP(Stock[[#This Row],[Product ID]],Product[#All],2,0)</f>
        <v>Samsung Ssd</v>
      </c>
      <c r="C69" s="52" t="str">
        <f>VLOOKUP(Stock[[#This Row],[Product ID]],Product[#All],3,0)</f>
        <v>SSD</v>
      </c>
      <c r="D69" s="52" t="str">
        <f>VLOOKUP(Stock[[#This Row],[Product ID]],Product[#All],4,0)</f>
        <v>Samsung</v>
      </c>
      <c r="E69" s="52">
        <f>SUMIF(Opning[[#All],[Product_ID]],Stock[[#This Row],[Product ID]],Opning[[#All],[Opening_Qty]])</f>
        <v>31</v>
      </c>
      <c r="F69" s="52">
        <f>SUMIF(Purchase[[#All],[Product ID]],Stock[[#This Row],[Product ID]],Purchase[[#All],[Net Qty]])</f>
        <v>126</v>
      </c>
      <c r="G69" s="52">
        <f>Stock[[#This Row],[Opening Stock]]+Stock[[#This Row],[Purchase Stock]]</f>
        <v>157</v>
      </c>
      <c r="H69" s="52">
        <f>SUMIF(Sales[[#All],[Product ID]],Stock[[#This Row],[Product ID]],Sales[[#All],[Net QTY]])</f>
        <v>36</v>
      </c>
      <c r="I69" s="52">
        <f>Stock[[#This Row],[Total Stock]]-Stock[[#This Row],[Selling Stock]]</f>
        <v>121</v>
      </c>
      <c r="J69" s="52">
        <f>VLOOKUP(Stock[[#This Row],[Product ID]],Product[#All],8,0)</f>
        <v>5</v>
      </c>
      <c r="K69" s="52" t="str">
        <f>IF(Stock[[#This Row],[Available Stock]]&lt;=Stock[[#This Row],[Reorder Level]],"Reorder","OK")</f>
        <v>OK</v>
      </c>
    </row>
    <row r="70" spans="1:11" ht="18.75" x14ac:dyDescent="0.25">
      <c r="A70" s="52" t="str">
        <f>Product[[#This Row],[Product ID]]</f>
        <v>P0068</v>
      </c>
      <c r="B70" s="52" t="str">
        <f>VLOOKUP(Stock[[#This Row],[Product ID]],Product[#All],2,0)</f>
        <v>Kingston Ram</v>
      </c>
      <c r="C70" s="52" t="str">
        <f>VLOOKUP(Stock[[#This Row],[Product ID]],Product[#All],3,0)</f>
        <v>RAM</v>
      </c>
      <c r="D70" s="52" t="str">
        <f>VLOOKUP(Stock[[#This Row],[Product ID]],Product[#All],4,0)</f>
        <v>Kingston</v>
      </c>
      <c r="E70" s="52">
        <f>SUMIF(Opning[[#All],[Product_ID]],Stock[[#This Row],[Product ID]],Opning[[#All],[Opening_Qty]])</f>
        <v>45</v>
      </c>
      <c r="F70" s="52">
        <f>SUMIF(Purchase[[#All],[Product ID]],Stock[[#This Row],[Product ID]],Purchase[[#All],[Net Qty]])</f>
        <v>170</v>
      </c>
      <c r="G70" s="52">
        <f>Stock[[#This Row],[Opening Stock]]+Stock[[#This Row],[Purchase Stock]]</f>
        <v>215</v>
      </c>
      <c r="H70" s="52">
        <f>SUMIF(Sales[[#All],[Product ID]],Stock[[#This Row],[Product ID]],Sales[[#All],[Net QTY]])</f>
        <v>35</v>
      </c>
      <c r="I70" s="52">
        <f>Stock[[#This Row],[Total Stock]]-Stock[[#This Row],[Selling Stock]]</f>
        <v>180</v>
      </c>
      <c r="J70" s="52">
        <f>VLOOKUP(Stock[[#This Row],[Product ID]],Product[#All],8,0)</f>
        <v>15</v>
      </c>
      <c r="K70" s="52" t="str">
        <f>IF(Stock[[#This Row],[Available Stock]]&lt;=Stock[[#This Row],[Reorder Level]],"Reorder","OK")</f>
        <v>OK</v>
      </c>
    </row>
    <row r="71" spans="1:11" ht="18.75" x14ac:dyDescent="0.25">
      <c r="A71" s="52" t="str">
        <f>Product[[#This Row],[Product ID]]</f>
        <v>P0069</v>
      </c>
      <c r="B71" s="52" t="str">
        <f>VLOOKUP(Stock[[#This Row],[Product ID]],Product[#All],2,0)</f>
        <v>Lenovo Laptop</v>
      </c>
      <c r="C71" s="52" t="str">
        <f>VLOOKUP(Stock[[#This Row],[Product ID]],Product[#All],3,0)</f>
        <v>Laptop</v>
      </c>
      <c r="D71" s="52" t="str">
        <f>VLOOKUP(Stock[[#This Row],[Product ID]],Product[#All],4,0)</f>
        <v>Lenovo</v>
      </c>
      <c r="E71" s="52">
        <f>SUMIF(Opning[[#All],[Product_ID]],Stock[[#This Row],[Product ID]],Opning[[#All],[Opening_Qty]])</f>
        <v>42</v>
      </c>
      <c r="F71" s="52">
        <f>SUMIF(Purchase[[#All],[Product ID]],Stock[[#This Row],[Product ID]],Purchase[[#All],[Net Qty]])</f>
        <v>41</v>
      </c>
      <c r="G71" s="52">
        <f>Stock[[#This Row],[Opening Stock]]+Stock[[#This Row],[Purchase Stock]]</f>
        <v>83</v>
      </c>
      <c r="H71" s="52">
        <f>SUMIF(Sales[[#All],[Product ID]],Stock[[#This Row],[Product ID]],Sales[[#All],[Net QTY]])</f>
        <v>37</v>
      </c>
      <c r="I71" s="52">
        <f>Stock[[#This Row],[Total Stock]]-Stock[[#This Row],[Selling Stock]]</f>
        <v>46</v>
      </c>
      <c r="J71" s="52">
        <f>VLOOKUP(Stock[[#This Row],[Product ID]],Product[#All],8,0)</f>
        <v>20</v>
      </c>
      <c r="K71" s="52" t="str">
        <f>IF(Stock[[#This Row],[Available Stock]]&lt;=Stock[[#This Row],[Reorder Level]],"Reorder","OK")</f>
        <v>OK</v>
      </c>
    </row>
    <row r="72" spans="1:11" ht="18.75" x14ac:dyDescent="0.25">
      <c r="A72" s="52" t="str">
        <f>Product[[#This Row],[Product ID]]</f>
        <v>P0070</v>
      </c>
      <c r="B72" s="52" t="str">
        <f>VLOOKUP(Stock[[#This Row],[Product ID]],Product[#All],2,0)</f>
        <v>Microtek UPS</v>
      </c>
      <c r="C72" s="52" t="str">
        <f>VLOOKUP(Stock[[#This Row],[Product ID]],Product[#All],3,0)</f>
        <v>UPS</v>
      </c>
      <c r="D72" s="52" t="str">
        <f>VLOOKUP(Stock[[#This Row],[Product ID]],Product[#All],4,0)</f>
        <v>Microtek</v>
      </c>
      <c r="E72" s="52">
        <f>SUMIF(Opning[[#All],[Product_ID]],Stock[[#This Row],[Product ID]],Opning[[#All],[Opening_Qty]])</f>
        <v>52</v>
      </c>
      <c r="F72" s="52">
        <f>SUMIF(Purchase[[#All],[Product ID]],Stock[[#This Row],[Product ID]],Purchase[[#All],[Net Qty]])</f>
        <v>132</v>
      </c>
      <c r="G72" s="52">
        <f>Stock[[#This Row],[Opening Stock]]+Stock[[#This Row],[Purchase Stock]]</f>
        <v>184</v>
      </c>
      <c r="H72" s="52">
        <f>SUMIF(Sales[[#All],[Product ID]],Stock[[#This Row],[Product ID]],Sales[[#All],[Net QTY]])</f>
        <v>37</v>
      </c>
      <c r="I72" s="52">
        <f>Stock[[#This Row],[Total Stock]]-Stock[[#This Row],[Selling Stock]]</f>
        <v>147</v>
      </c>
      <c r="J72" s="52">
        <f>VLOOKUP(Stock[[#This Row],[Product ID]],Product[#All],8,0)</f>
        <v>10</v>
      </c>
      <c r="K72" s="52" t="str">
        <f>IF(Stock[[#This Row],[Available Stock]]&lt;=Stock[[#This Row],[Reorder Level]],"Reorder","OK")</f>
        <v>OK</v>
      </c>
    </row>
    <row r="73" spans="1:11" ht="18.75" x14ac:dyDescent="0.25">
      <c r="A73" s="52" t="str">
        <f>Product[[#This Row],[Product ID]]</f>
        <v>P0071</v>
      </c>
      <c r="B73" s="52" t="str">
        <f>VLOOKUP(Stock[[#This Row],[Product ID]],Product[#All],2,0)</f>
        <v>Logitech Keyboard</v>
      </c>
      <c r="C73" s="52" t="str">
        <f>VLOOKUP(Stock[[#This Row],[Product ID]],Product[#All],3,0)</f>
        <v>Keyboard</v>
      </c>
      <c r="D73" s="52" t="str">
        <f>VLOOKUP(Stock[[#This Row],[Product ID]],Product[#All],4,0)</f>
        <v>Logitech</v>
      </c>
      <c r="E73" s="52">
        <f>SUMIF(Opning[[#All],[Product_ID]],Stock[[#This Row],[Product ID]],Opning[[#All],[Opening_Qty]])</f>
        <v>25</v>
      </c>
      <c r="F73" s="52">
        <f>SUMIF(Purchase[[#All],[Product ID]],Stock[[#This Row],[Product ID]],Purchase[[#All],[Net Qty]])</f>
        <v>62</v>
      </c>
      <c r="G73" s="52">
        <f>Stock[[#This Row],[Opening Stock]]+Stock[[#This Row],[Purchase Stock]]</f>
        <v>87</v>
      </c>
      <c r="H73" s="52">
        <f>SUMIF(Sales[[#All],[Product ID]],Stock[[#This Row],[Product ID]],Sales[[#All],[Net QTY]])</f>
        <v>65</v>
      </c>
      <c r="I73" s="52">
        <f>Stock[[#This Row],[Total Stock]]-Stock[[#This Row],[Selling Stock]]</f>
        <v>22</v>
      </c>
      <c r="J73" s="52">
        <f>VLOOKUP(Stock[[#This Row],[Product ID]],Product[#All],8,0)</f>
        <v>8</v>
      </c>
      <c r="K73" s="52" t="str">
        <f>IF(Stock[[#This Row],[Available Stock]]&lt;=Stock[[#This Row],[Reorder Level]],"Reorder","OK")</f>
        <v>OK</v>
      </c>
    </row>
    <row r="74" spans="1:11" ht="18.75" x14ac:dyDescent="0.25">
      <c r="A74" s="52" t="str">
        <f>Product[[#This Row],[Product ID]]</f>
        <v>P0072</v>
      </c>
      <c r="B74" s="52" t="str">
        <f>VLOOKUP(Stock[[#This Row],[Product ID]],Product[#All],2,0)</f>
        <v>HP Laptop</v>
      </c>
      <c r="C74" s="52" t="str">
        <f>VLOOKUP(Stock[[#This Row],[Product ID]],Product[#All],3,0)</f>
        <v>Laptop</v>
      </c>
      <c r="D74" s="52" t="str">
        <f>VLOOKUP(Stock[[#This Row],[Product ID]],Product[#All],4,0)</f>
        <v>HP</v>
      </c>
      <c r="E74" s="52">
        <f>SUMIF(Opning[[#All],[Product_ID]],Stock[[#This Row],[Product ID]],Opning[[#All],[Opening_Qty]])</f>
        <v>41</v>
      </c>
      <c r="F74" s="52">
        <f>SUMIF(Purchase[[#All],[Product ID]],Stock[[#This Row],[Product ID]],Purchase[[#All],[Net Qty]])</f>
        <v>120</v>
      </c>
      <c r="G74" s="52">
        <f>Stock[[#This Row],[Opening Stock]]+Stock[[#This Row],[Purchase Stock]]</f>
        <v>161</v>
      </c>
      <c r="H74" s="52">
        <f>SUMIF(Sales[[#All],[Product ID]],Stock[[#This Row],[Product ID]],Sales[[#All],[Net QTY]])</f>
        <v>38</v>
      </c>
      <c r="I74" s="52">
        <f>Stock[[#This Row],[Total Stock]]-Stock[[#This Row],[Selling Stock]]</f>
        <v>123</v>
      </c>
      <c r="J74" s="52">
        <f>VLOOKUP(Stock[[#This Row],[Product ID]],Product[#All],8,0)</f>
        <v>20</v>
      </c>
      <c r="K74" s="52" t="str">
        <f>IF(Stock[[#This Row],[Available Stock]]&lt;=Stock[[#This Row],[Reorder Level]],"Reorder","OK")</f>
        <v>OK</v>
      </c>
    </row>
    <row r="75" spans="1:11" ht="18.75" x14ac:dyDescent="0.25">
      <c r="A75" s="52" t="str">
        <f>Product[[#This Row],[Product ID]]</f>
        <v>P0073</v>
      </c>
      <c r="B75" s="52" t="str">
        <f>VLOOKUP(Stock[[#This Row],[Product ID]],Product[#All],2,0)</f>
        <v>Apc UPS</v>
      </c>
      <c r="C75" s="52" t="str">
        <f>VLOOKUP(Stock[[#This Row],[Product ID]],Product[#All],3,0)</f>
        <v>UPS</v>
      </c>
      <c r="D75" s="52" t="str">
        <f>VLOOKUP(Stock[[#This Row],[Product ID]],Product[#All],4,0)</f>
        <v>APC</v>
      </c>
      <c r="E75" s="52">
        <f>SUMIF(Opning[[#All],[Product_ID]],Stock[[#This Row],[Product ID]],Opning[[#All],[Opening_Qty]])</f>
        <v>46</v>
      </c>
      <c r="F75" s="52">
        <f>SUMIF(Purchase[[#All],[Product ID]],Stock[[#This Row],[Product ID]],Purchase[[#All],[Net Qty]])</f>
        <v>102</v>
      </c>
      <c r="G75" s="52">
        <f>Stock[[#This Row],[Opening Stock]]+Stock[[#This Row],[Purchase Stock]]</f>
        <v>148</v>
      </c>
      <c r="H75" s="52">
        <f>SUMIF(Sales[[#All],[Product ID]],Stock[[#This Row],[Product ID]],Sales[[#All],[Net QTY]])</f>
        <v>62</v>
      </c>
      <c r="I75" s="52">
        <f>Stock[[#This Row],[Total Stock]]-Stock[[#This Row],[Selling Stock]]</f>
        <v>86</v>
      </c>
      <c r="J75" s="52">
        <f>VLOOKUP(Stock[[#This Row],[Product ID]],Product[#All],8,0)</f>
        <v>20</v>
      </c>
      <c r="K75" s="52" t="str">
        <f>IF(Stock[[#This Row],[Available Stock]]&lt;=Stock[[#This Row],[Reorder Level]],"Reorder","OK")</f>
        <v>OK</v>
      </c>
    </row>
    <row r="76" spans="1:11" ht="18.75" x14ac:dyDescent="0.25">
      <c r="A76" s="52" t="str">
        <f>Product[[#This Row],[Product ID]]</f>
        <v>P0074</v>
      </c>
      <c r="B76" s="52" t="str">
        <f>VLOOKUP(Stock[[#This Row],[Product ID]],Product[#All],2,0)</f>
        <v>Dell Power Adapter</v>
      </c>
      <c r="C76" s="52" t="str">
        <f>VLOOKUP(Stock[[#This Row],[Product ID]],Product[#All],3,0)</f>
        <v>Power Adapter</v>
      </c>
      <c r="D76" s="52" t="str">
        <f>VLOOKUP(Stock[[#This Row],[Product ID]],Product[#All],4,0)</f>
        <v>Dell</v>
      </c>
      <c r="E76" s="52">
        <f>SUMIF(Opning[[#All],[Product_ID]],Stock[[#This Row],[Product ID]],Opning[[#All],[Opening_Qty]])</f>
        <v>46</v>
      </c>
      <c r="F76" s="52">
        <f>SUMIF(Purchase[[#All],[Product ID]],Stock[[#This Row],[Product ID]],Purchase[[#All],[Net Qty]])</f>
        <v>187</v>
      </c>
      <c r="G76" s="52">
        <f>Stock[[#This Row],[Opening Stock]]+Stock[[#This Row],[Purchase Stock]]</f>
        <v>233</v>
      </c>
      <c r="H76" s="52">
        <f>SUMIF(Sales[[#All],[Product ID]],Stock[[#This Row],[Product ID]],Sales[[#All],[Net QTY]])</f>
        <v>20</v>
      </c>
      <c r="I76" s="52">
        <f>Stock[[#This Row],[Total Stock]]-Stock[[#This Row],[Selling Stock]]</f>
        <v>213</v>
      </c>
      <c r="J76" s="52">
        <f>VLOOKUP(Stock[[#This Row],[Product ID]],Product[#All],8,0)</f>
        <v>5</v>
      </c>
      <c r="K76" s="52" t="str">
        <f>IF(Stock[[#This Row],[Available Stock]]&lt;=Stock[[#This Row],[Reorder Level]],"Reorder","OK")</f>
        <v>OK</v>
      </c>
    </row>
    <row r="77" spans="1:11" ht="18.75" x14ac:dyDescent="0.25">
      <c r="A77" s="52" t="str">
        <f>Product[[#This Row],[Product ID]]</f>
        <v>P0075</v>
      </c>
      <c r="B77" s="52" t="str">
        <f>VLOOKUP(Stock[[#This Row],[Product ID]],Product[#All],2,0)</f>
        <v>Epson Printer</v>
      </c>
      <c r="C77" s="52" t="str">
        <f>VLOOKUP(Stock[[#This Row],[Product ID]],Product[#All],3,0)</f>
        <v>Printer</v>
      </c>
      <c r="D77" s="52" t="str">
        <f>VLOOKUP(Stock[[#This Row],[Product ID]],Product[#All],4,0)</f>
        <v>Epson</v>
      </c>
      <c r="E77" s="52">
        <f>SUMIF(Opning[[#All],[Product_ID]],Stock[[#This Row],[Product ID]],Opning[[#All],[Opening_Qty]])</f>
        <v>34</v>
      </c>
      <c r="F77" s="52">
        <f>SUMIF(Purchase[[#All],[Product ID]],Stock[[#This Row],[Product ID]],Purchase[[#All],[Net Qty]])</f>
        <v>117</v>
      </c>
      <c r="G77" s="52">
        <f>Stock[[#This Row],[Opening Stock]]+Stock[[#This Row],[Purchase Stock]]</f>
        <v>151</v>
      </c>
      <c r="H77" s="52">
        <f>SUMIF(Sales[[#All],[Product ID]],Stock[[#This Row],[Product ID]],Sales[[#All],[Net QTY]])</f>
        <v>48</v>
      </c>
      <c r="I77" s="52">
        <f>Stock[[#This Row],[Total Stock]]-Stock[[#This Row],[Selling Stock]]</f>
        <v>103</v>
      </c>
      <c r="J77" s="52">
        <f>VLOOKUP(Stock[[#This Row],[Product ID]],Product[#All],8,0)</f>
        <v>10</v>
      </c>
      <c r="K77" s="52" t="str">
        <f>IF(Stock[[#This Row],[Available Stock]]&lt;=Stock[[#This Row],[Reorder Level]],"Reorder","OK")</f>
        <v>OK</v>
      </c>
    </row>
    <row r="78" spans="1:11" ht="18.75" x14ac:dyDescent="0.25">
      <c r="A78" s="52" t="str">
        <f>Product[[#This Row],[Product ID]]</f>
        <v>P0076</v>
      </c>
      <c r="B78" s="52" t="str">
        <f>VLOOKUP(Stock[[#This Row],[Product ID]],Product[#All],2,0)</f>
        <v>Logitech Mouse</v>
      </c>
      <c r="C78" s="52" t="str">
        <f>VLOOKUP(Stock[[#This Row],[Product ID]],Product[#All],3,0)</f>
        <v>Mouse</v>
      </c>
      <c r="D78" s="52" t="str">
        <f>VLOOKUP(Stock[[#This Row],[Product ID]],Product[#All],4,0)</f>
        <v>Logitech</v>
      </c>
      <c r="E78" s="52">
        <f>SUMIF(Opning[[#All],[Product_ID]],Stock[[#This Row],[Product ID]],Opning[[#All],[Opening_Qty]])</f>
        <v>10</v>
      </c>
      <c r="F78" s="52">
        <f>SUMIF(Purchase[[#All],[Product ID]],Stock[[#This Row],[Product ID]],Purchase[[#All],[Net Qty]])</f>
        <v>82</v>
      </c>
      <c r="G78" s="52">
        <f>Stock[[#This Row],[Opening Stock]]+Stock[[#This Row],[Purchase Stock]]</f>
        <v>92</v>
      </c>
      <c r="H78" s="52">
        <f>SUMIF(Sales[[#All],[Product ID]],Stock[[#This Row],[Product ID]],Sales[[#All],[Net QTY]])</f>
        <v>40</v>
      </c>
      <c r="I78" s="52">
        <f>Stock[[#This Row],[Total Stock]]-Stock[[#This Row],[Selling Stock]]</f>
        <v>52</v>
      </c>
      <c r="J78" s="52">
        <f>VLOOKUP(Stock[[#This Row],[Product ID]],Product[#All],8,0)</f>
        <v>10</v>
      </c>
      <c r="K78" s="52" t="str">
        <f>IF(Stock[[#This Row],[Available Stock]]&lt;=Stock[[#This Row],[Reorder Level]],"Reorder","OK")</f>
        <v>OK</v>
      </c>
    </row>
    <row r="79" spans="1:11" ht="18.75" x14ac:dyDescent="0.25">
      <c r="A79" s="52" t="str">
        <f>Product[[#This Row],[Product ID]]</f>
        <v>P0077</v>
      </c>
      <c r="B79" s="52" t="str">
        <f>VLOOKUP(Stock[[#This Row],[Product ID]],Product[#All],2,0)</f>
        <v>American TouristerLaptopBag</v>
      </c>
      <c r="C79" s="52" t="str">
        <f>VLOOKUP(Stock[[#This Row],[Product ID]],Product[#All],3,0)</f>
        <v>Laptop Bag</v>
      </c>
      <c r="D79" s="52" t="str">
        <f>VLOOKUP(Stock[[#This Row],[Product ID]],Product[#All],4,0)</f>
        <v>American Tourister</v>
      </c>
      <c r="E79" s="52">
        <f>SUMIF(Opning[[#All],[Product_ID]],Stock[[#This Row],[Product ID]],Opning[[#All],[Opening_Qty]])</f>
        <v>22</v>
      </c>
      <c r="F79" s="52">
        <f>SUMIF(Purchase[[#All],[Product ID]],Stock[[#This Row],[Product ID]],Purchase[[#All],[Net Qty]])</f>
        <v>102</v>
      </c>
      <c r="G79" s="52">
        <f>Stock[[#This Row],[Opening Stock]]+Stock[[#This Row],[Purchase Stock]]</f>
        <v>124</v>
      </c>
      <c r="H79" s="52">
        <f>SUMIF(Sales[[#All],[Product ID]],Stock[[#This Row],[Product ID]],Sales[[#All],[Net QTY]])</f>
        <v>56</v>
      </c>
      <c r="I79" s="52">
        <f>Stock[[#This Row],[Total Stock]]-Stock[[#This Row],[Selling Stock]]</f>
        <v>68</v>
      </c>
      <c r="J79" s="52">
        <f>VLOOKUP(Stock[[#This Row],[Product ID]],Product[#All],8,0)</f>
        <v>5</v>
      </c>
      <c r="K79" s="52" t="str">
        <f>IF(Stock[[#This Row],[Available Stock]]&lt;=Stock[[#This Row],[Reorder Level]],"Reorder","OK")</f>
        <v>OK</v>
      </c>
    </row>
    <row r="80" spans="1:11" ht="18.75" x14ac:dyDescent="0.25">
      <c r="A80" s="52" t="str">
        <f>Product[[#This Row],[Product ID]]</f>
        <v>P0078</v>
      </c>
      <c r="B80" s="52" t="str">
        <f>VLOOKUP(Stock[[#This Row],[Product ID]],Product[#All],2,0)</f>
        <v>Boat Speaker</v>
      </c>
      <c r="C80" s="52" t="str">
        <f>VLOOKUP(Stock[[#This Row],[Product ID]],Product[#All],3,0)</f>
        <v>Speaker</v>
      </c>
      <c r="D80" s="52" t="str">
        <f>VLOOKUP(Stock[[#This Row],[Product ID]],Product[#All],4,0)</f>
        <v>Boat</v>
      </c>
      <c r="E80" s="52">
        <f>SUMIF(Opning[[#All],[Product_ID]],Stock[[#This Row],[Product ID]],Opning[[#All],[Opening_Qty]])</f>
        <v>57</v>
      </c>
      <c r="F80" s="52">
        <f>SUMIF(Purchase[[#All],[Product ID]],Stock[[#This Row],[Product ID]],Purchase[[#All],[Net Qty]])</f>
        <v>251</v>
      </c>
      <c r="G80" s="52">
        <f>Stock[[#This Row],[Opening Stock]]+Stock[[#This Row],[Purchase Stock]]</f>
        <v>308</v>
      </c>
      <c r="H80" s="52">
        <f>SUMIF(Sales[[#All],[Product ID]],Stock[[#This Row],[Product ID]],Sales[[#All],[Net QTY]])</f>
        <v>32</v>
      </c>
      <c r="I80" s="52">
        <f>Stock[[#This Row],[Total Stock]]-Stock[[#This Row],[Selling Stock]]</f>
        <v>276</v>
      </c>
      <c r="J80" s="52">
        <f>VLOOKUP(Stock[[#This Row],[Product ID]],Product[#All],8,0)</f>
        <v>20</v>
      </c>
      <c r="K80" s="52" t="str">
        <f>IF(Stock[[#This Row],[Available Stock]]&lt;=Stock[[#This Row],[Reorder Level]],"Reorder","OK")</f>
        <v>OK</v>
      </c>
    </row>
    <row r="81" spans="1:11" ht="18.75" x14ac:dyDescent="0.25">
      <c r="A81" s="52" t="str">
        <f>Product[[#This Row],[Product ID]]</f>
        <v>P0079</v>
      </c>
      <c r="B81" s="52" t="str">
        <f>VLOOKUP(Stock[[#This Row],[Product ID]],Product[#All],2,0)</f>
        <v>Logitech Mouse</v>
      </c>
      <c r="C81" s="52" t="str">
        <f>VLOOKUP(Stock[[#This Row],[Product ID]],Product[#All],3,0)</f>
        <v>Mouse</v>
      </c>
      <c r="D81" s="52" t="str">
        <f>VLOOKUP(Stock[[#This Row],[Product ID]],Product[#All],4,0)</f>
        <v>Logitech</v>
      </c>
      <c r="E81" s="52">
        <f>SUMIF(Opning[[#All],[Product_ID]],Stock[[#This Row],[Product ID]],Opning[[#All],[Opening_Qty]])</f>
        <v>8</v>
      </c>
      <c r="F81" s="52">
        <f>SUMIF(Purchase[[#All],[Product ID]],Stock[[#This Row],[Product ID]],Purchase[[#All],[Net Qty]])</f>
        <v>69</v>
      </c>
      <c r="G81" s="52">
        <f>Stock[[#This Row],[Opening Stock]]+Stock[[#This Row],[Purchase Stock]]</f>
        <v>77</v>
      </c>
      <c r="H81" s="52">
        <f>SUMIF(Sales[[#All],[Product ID]],Stock[[#This Row],[Product ID]],Sales[[#All],[Net QTY]])</f>
        <v>23</v>
      </c>
      <c r="I81" s="52">
        <f>Stock[[#This Row],[Total Stock]]-Stock[[#This Row],[Selling Stock]]</f>
        <v>54</v>
      </c>
      <c r="J81" s="52">
        <f>VLOOKUP(Stock[[#This Row],[Product ID]],Product[#All],8,0)</f>
        <v>25</v>
      </c>
      <c r="K81" s="52" t="str">
        <f>IF(Stock[[#This Row],[Available Stock]]&lt;=Stock[[#This Row],[Reorder Level]],"Reorder","OK")</f>
        <v>OK</v>
      </c>
    </row>
    <row r="82" spans="1:11" ht="18.75" x14ac:dyDescent="0.25">
      <c r="A82" s="52" t="str">
        <f>Product[[#This Row],[Product ID]]</f>
        <v>P0080</v>
      </c>
      <c r="B82" s="52" t="str">
        <f>VLOOKUP(Stock[[#This Row],[Product ID]],Product[#All],2,0)</f>
        <v>HP Mouse</v>
      </c>
      <c r="C82" s="52" t="str">
        <f>VLOOKUP(Stock[[#This Row],[Product ID]],Product[#All],3,0)</f>
        <v>Mouse</v>
      </c>
      <c r="D82" s="52" t="str">
        <f>VLOOKUP(Stock[[#This Row],[Product ID]],Product[#All],4,0)</f>
        <v>HP</v>
      </c>
      <c r="E82" s="52">
        <f>SUMIF(Opning[[#All],[Product_ID]],Stock[[#This Row],[Product ID]],Opning[[#All],[Opening_Qty]])</f>
        <v>50</v>
      </c>
      <c r="F82" s="52">
        <f>SUMIF(Purchase[[#All],[Product ID]],Stock[[#This Row],[Product ID]],Purchase[[#All],[Net Qty]])</f>
        <v>23</v>
      </c>
      <c r="G82" s="52">
        <f>Stock[[#This Row],[Opening Stock]]+Stock[[#This Row],[Purchase Stock]]</f>
        <v>73</v>
      </c>
      <c r="H82" s="52">
        <f>SUMIF(Sales[[#All],[Product ID]],Stock[[#This Row],[Product ID]],Sales[[#All],[Net QTY]])</f>
        <v>64</v>
      </c>
      <c r="I82" s="52">
        <f>Stock[[#This Row],[Total Stock]]-Stock[[#This Row],[Selling Stock]]</f>
        <v>9</v>
      </c>
      <c r="J82" s="52">
        <f>VLOOKUP(Stock[[#This Row],[Product ID]],Product[#All],8,0)</f>
        <v>15</v>
      </c>
      <c r="K82" s="52" t="str">
        <f>IF(Stock[[#This Row],[Available Stock]]&lt;=Stock[[#This Row],[Reorder Level]],"Reorder","OK")</f>
        <v>Reorder</v>
      </c>
    </row>
    <row r="83" spans="1:11" ht="18.75" x14ac:dyDescent="0.25">
      <c r="A83" s="52" t="str">
        <f>Product[[#This Row],[Product ID]]</f>
        <v>P0081</v>
      </c>
      <c r="B83" s="52" t="str">
        <f>VLOOKUP(Stock[[#This Row],[Product ID]],Product[#All],2,0)</f>
        <v>HP Mouse</v>
      </c>
      <c r="C83" s="52" t="str">
        <f>VLOOKUP(Stock[[#This Row],[Product ID]],Product[#All],3,0)</f>
        <v>Mouse</v>
      </c>
      <c r="D83" s="52" t="str">
        <f>VLOOKUP(Stock[[#This Row],[Product ID]],Product[#All],4,0)</f>
        <v>HP</v>
      </c>
      <c r="E83" s="52">
        <f>SUMIF(Opning[[#All],[Product_ID]],Stock[[#This Row],[Product ID]],Opning[[#All],[Opening_Qty]])</f>
        <v>52</v>
      </c>
      <c r="F83" s="52">
        <f>SUMIF(Purchase[[#All],[Product ID]],Stock[[#This Row],[Product ID]],Purchase[[#All],[Net Qty]])</f>
        <v>47</v>
      </c>
      <c r="G83" s="52">
        <f>Stock[[#This Row],[Opening Stock]]+Stock[[#This Row],[Purchase Stock]]</f>
        <v>99</v>
      </c>
      <c r="H83" s="52">
        <f>SUMIF(Sales[[#All],[Product ID]],Stock[[#This Row],[Product ID]],Sales[[#All],[Net QTY]])</f>
        <v>26</v>
      </c>
      <c r="I83" s="52">
        <f>Stock[[#This Row],[Total Stock]]-Stock[[#This Row],[Selling Stock]]</f>
        <v>73</v>
      </c>
      <c r="J83" s="52">
        <f>VLOOKUP(Stock[[#This Row],[Product ID]],Product[#All],8,0)</f>
        <v>8</v>
      </c>
      <c r="K83" s="52" t="str">
        <f>IF(Stock[[#This Row],[Available Stock]]&lt;=Stock[[#This Row],[Reorder Level]],"Reorder","OK")</f>
        <v>OK</v>
      </c>
    </row>
    <row r="84" spans="1:11" ht="18.75" x14ac:dyDescent="0.25">
      <c r="A84" s="52" t="str">
        <f>Product[[#This Row],[Product ID]]</f>
        <v>P0082</v>
      </c>
      <c r="B84" s="52" t="str">
        <f>VLOOKUP(Stock[[#This Row],[Product ID]],Product[#All],2,0)</f>
        <v>Crucial Ssd</v>
      </c>
      <c r="C84" s="52" t="str">
        <f>VLOOKUP(Stock[[#This Row],[Product ID]],Product[#All],3,0)</f>
        <v>SSD</v>
      </c>
      <c r="D84" s="52" t="str">
        <f>VLOOKUP(Stock[[#This Row],[Product ID]],Product[#All],4,0)</f>
        <v>Crucial</v>
      </c>
      <c r="E84" s="52">
        <f>SUMIF(Opning[[#All],[Product_ID]],Stock[[#This Row],[Product ID]],Opning[[#All],[Opening_Qty]])</f>
        <v>5</v>
      </c>
      <c r="F84" s="52">
        <f>SUMIF(Purchase[[#All],[Product ID]],Stock[[#This Row],[Product ID]],Purchase[[#All],[Net Qty]])</f>
        <v>144</v>
      </c>
      <c r="G84" s="52">
        <f>Stock[[#This Row],[Opening Stock]]+Stock[[#This Row],[Purchase Stock]]</f>
        <v>149</v>
      </c>
      <c r="H84" s="52">
        <f>SUMIF(Sales[[#All],[Product ID]],Stock[[#This Row],[Product ID]],Sales[[#All],[Net QTY]])</f>
        <v>65</v>
      </c>
      <c r="I84" s="52">
        <f>Stock[[#This Row],[Total Stock]]-Stock[[#This Row],[Selling Stock]]</f>
        <v>84</v>
      </c>
      <c r="J84" s="52">
        <f>VLOOKUP(Stock[[#This Row],[Product ID]],Product[#All],8,0)</f>
        <v>5</v>
      </c>
      <c r="K84" s="52" t="str">
        <f>IF(Stock[[#This Row],[Available Stock]]&lt;=Stock[[#This Row],[Reorder Level]],"Reorder","OK")</f>
        <v>OK</v>
      </c>
    </row>
    <row r="85" spans="1:11" ht="18.75" x14ac:dyDescent="0.25">
      <c r="A85" s="52" t="str">
        <f>Product[[#This Row],[Product ID]]</f>
        <v>P0083</v>
      </c>
      <c r="B85" s="52" t="str">
        <f>VLOOKUP(Stock[[#This Row],[Product ID]],Product[#All],2,0)</f>
        <v>HP Printer</v>
      </c>
      <c r="C85" s="52" t="str">
        <f>VLOOKUP(Stock[[#This Row],[Product ID]],Product[#All],3,0)</f>
        <v>Printer</v>
      </c>
      <c r="D85" s="52" t="str">
        <f>VLOOKUP(Stock[[#This Row],[Product ID]],Product[#All],4,0)</f>
        <v>HP</v>
      </c>
      <c r="E85" s="52">
        <f>SUMIF(Opning[[#All],[Product_ID]],Stock[[#This Row],[Product ID]],Opning[[#All],[Opening_Qty]])</f>
        <v>32</v>
      </c>
      <c r="F85" s="52">
        <f>SUMIF(Purchase[[#All],[Product ID]],Stock[[#This Row],[Product ID]],Purchase[[#All],[Net Qty]])</f>
        <v>132</v>
      </c>
      <c r="G85" s="52">
        <f>Stock[[#This Row],[Opening Stock]]+Stock[[#This Row],[Purchase Stock]]</f>
        <v>164</v>
      </c>
      <c r="H85" s="52">
        <f>SUMIF(Sales[[#All],[Product ID]],Stock[[#This Row],[Product ID]],Sales[[#All],[Net QTY]])</f>
        <v>16</v>
      </c>
      <c r="I85" s="52">
        <f>Stock[[#This Row],[Total Stock]]-Stock[[#This Row],[Selling Stock]]</f>
        <v>148</v>
      </c>
      <c r="J85" s="52">
        <f>VLOOKUP(Stock[[#This Row],[Product ID]],Product[#All],8,0)</f>
        <v>10</v>
      </c>
      <c r="K85" s="52" t="str">
        <f>IF(Stock[[#This Row],[Available Stock]]&lt;=Stock[[#This Row],[Reorder Level]],"Reorder","OK")</f>
        <v>OK</v>
      </c>
    </row>
    <row r="86" spans="1:11" ht="18.75" x14ac:dyDescent="0.25">
      <c r="A86" s="52" t="str">
        <f>Product[[#This Row],[Product ID]]</f>
        <v>P0084</v>
      </c>
      <c r="B86" s="52" t="str">
        <f>VLOOKUP(Stock[[#This Row],[Product ID]],Product[#All],2,0)</f>
        <v>Epson Printer</v>
      </c>
      <c r="C86" s="52" t="str">
        <f>VLOOKUP(Stock[[#This Row],[Product ID]],Product[#All],3,0)</f>
        <v>Printer</v>
      </c>
      <c r="D86" s="52" t="str">
        <f>VLOOKUP(Stock[[#This Row],[Product ID]],Product[#All],4,0)</f>
        <v>Epson</v>
      </c>
      <c r="E86" s="52">
        <f>SUMIF(Opning[[#All],[Product_ID]],Stock[[#This Row],[Product ID]],Opning[[#All],[Opening_Qty]])</f>
        <v>41</v>
      </c>
      <c r="F86" s="52">
        <f>SUMIF(Purchase[[#All],[Product ID]],Stock[[#This Row],[Product ID]],Purchase[[#All],[Net Qty]])</f>
        <v>133</v>
      </c>
      <c r="G86" s="52">
        <f>Stock[[#This Row],[Opening Stock]]+Stock[[#This Row],[Purchase Stock]]</f>
        <v>174</v>
      </c>
      <c r="H86" s="52">
        <f>SUMIF(Sales[[#All],[Product ID]],Stock[[#This Row],[Product ID]],Sales[[#All],[Net QTY]])</f>
        <v>37</v>
      </c>
      <c r="I86" s="52">
        <f>Stock[[#This Row],[Total Stock]]-Stock[[#This Row],[Selling Stock]]</f>
        <v>137</v>
      </c>
      <c r="J86" s="52">
        <f>VLOOKUP(Stock[[#This Row],[Product ID]],Product[#All],8,0)</f>
        <v>20</v>
      </c>
      <c r="K86" s="52" t="str">
        <f>IF(Stock[[#This Row],[Available Stock]]&lt;=Stock[[#This Row],[Reorder Level]],"Reorder","OK")</f>
        <v>OK</v>
      </c>
    </row>
    <row r="87" spans="1:11" ht="18.75" x14ac:dyDescent="0.25">
      <c r="A87" s="52" t="str">
        <f>Product[[#This Row],[Product ID]]</f>
        <v>P0085</v>
      </c>
      <c r="B87" s="52" t="str">
        <f>VLOOKUP(Stock[[#This Row],[Product ID]],Product[#All],2,0)</f>
        <v>Samsung Ssd</v>
      </c>
      <c r="C87" s="52" t="str">
        <f>VLOOKUP(Stock[[#This Row],[Product ID]],Product[#All],3,0)</f>
        <v>SSD</v>
      </c>
      <c r="D87" s="52" t="str">
        <f>VLOOKUP(Stock[[#This Row],[Product ID]],Product[#All],4,0)</f>
        <v>Samsung</v>
      </c>
      <c r="E87" s="52">
        <f>SUMIF(Opning[[#All],[Product_ID]],Stock[[#This Row],[Product ID]],Opning[[#All],[Opening_Qty]])</f>
        <v>14</v>
      </c>
      <c r="F87" s="52">
        <f>SUMIF(Purchase[[#All],[Product ID]],Stock[[#This Row],[Product ID]],Purchase[[#All],[Net Qty]])</f>
        <v>137</v>
      </c>
      <c r="G87" s="52">
        <f>Stock[[#This Row],[Opening Stock]]+Stock[[#This Row],[Purchase Stock]]</f>
        <v>151</v>
      </c>
      <c r="H87" s="52">
        <f>SUMIF(Sales[[#All],[Product ID]],Stock[[#This Row],[Product ID]],Sales[[#All],[Net QTY]])</f>
        <v>54</v>
      </c>
      <c r="I87" s="52">
        <f>Stock[[#This Row],[Total Stock]]-Stock[[#This Row],[Selling Stock]]</f>
        <v>97</v>
      </c>
      <c r="J87" s="52">
        <f>VLOOKUP(Stock[[#This Row],[Product ID]],Product[#All],8,0)</f>
        <v>15</v>
      </c>
      <c r="K87" s="52" t="str">
        <f>IF(Stock[[#This Row],[Available Stock]]&lt;=Stock[[#This Row],[Reorder Level]],"Reorder","OK")</f>
        <v>OK</v>
      </c>
    </row>
    <row r="88" spans="1:11" ht="18.75" x14ac:dyDescent="0.25">
      <c r="A88" s="52" t="str">
        <f>Product[[#This Row],[Product ID]]</f>
        <v>P0086</v>
      </c>
      <c r="B88" s="52" t="str">
        <f>VLOOKUP(Stock[[#This Row],[Product ID]],Product[#All],2,0)</f>
        <v>American TouristerLaptopBag</v>
      </c>
      <c r="C88" s="52" t="str">
        <f>VLOOKUP(Stock[[#This Row],[Product ID]],Product[#All],3,0)</f>
        <v>Laptop Bag</v>
      </c>
      <c r="D88" s="52" t="str">
        <f>VLOOKUP(Stock[[#This Row],[Product ID]],Product[#All],4,0)</f>
        <v>American Tourister</v>
      </c>
      <c r="E88" s="52">
        <f>SUMIF(Opning[[#All],[Product_ID]],Stock[[#This Row],[Product ID]],Opning[[#All],[Opening_Qty]])</f>
        <v>53</v>
      </c>
      <c r="F88" s="52">
        <f>SUMIF(Purchase[[#All],[Product ID]],Stock[[#This Row],[Product ID]],Purchase[[#All],[Net Qty]])</f>
        <v>86</v>
      </c>
      <c r="G88" s="52">
        <f>Stock[[#This Row],[Opening Stock]]+Stock[[#This Row],[Purchase Stock]]</f>
        <v>139</v>
      </c>
      <c r="H88" s="52">
        <f>SUMIF(Sales[[#All],[Product ID]],Stock[[#This Row],[Product ID]],Sales[[#All],[Net QTY]])</f>
        <v>67</v>
      </c>
      <c r="I88" s="52">
        <f>Stock[[#This Row],[Total Stock]]-Stock[[#This Row],[Selling Stock]]</f>
        <v>72</v>
      </c>
      <c r="J88" s="52">
        <f>VLOOKUP(Stock[[#This Row],[Product ID]],Product[#All],8,0)</f>
        <v>25</v>
      </c>
      <c r="K88" s="52" t="str">
        <f>IF(Stock[[#This Row],[Available Stock]]&lt;=Stock[[#This Row],[Reorder Level]],"Reorder","OK")</f>
        <v>OK</v>
      </c>
    </row>
    <row r="89" spans="1:11" ht="18.75" x14ac:dyDescent="0.25">
      <c r="A89" s="52" t="str">
        <f>Product[[#This Row],[Product ID]]</f>
        <v>P0087</v>
      </c>
      <c r="B89" s="52" t="str">
        <f>VLOOKUP(Stock[[#This Row],[Product ID]],Product[#All],2,0)</f>
        <v>Logitech Mouse</v>
      </c>
      <c r="C89" s="52" t="str">
        <f>VLOOKUP(Stock[[#This Row],[Product ID]],Product[#All],3,0)</f>
        <v>Mouse</v>
      </c>
      <c r="D89" s="52" t="str">
        <f>VLOOKUP(Stock[[#This Row],[Product ID]],Product[#All],4,0)</f>
        <v>Logitech</v>
      </c>
      <c r="E89" s="52">
        <f>SUMIF(Opning[[#All],[Product_ID]],Stock[[#This Row],[Product ID]],Opning[[#All],[Opening_Qty]])</f>
        <v>20</v>
      </c>
      <c r="F89" s="52">
        <f>SUMIF(Purchase[[#All],[Product ID]],Stock[[#This Row],[Product ID]],Purchase[[#All],[Net Qty]])</f>
        <v>42</v>
      </c>
      <c r="G89" s="52">
        <f>Stock[[#This Row],[Opening Stock]]+Stock[[#This Row],[Purchase Stock]]</f>
        <v>62</v>
      </c>
      <c r="H89" s="52">
        <f>SUMIF(Sales[[#All],[Product ID]],Stock[[#This Row],[Product ID]],Sales[[#All],[Net QTY]])</f>
        <v>52</v>
      </c>
      <c r="I89" s="52">
        <f>Stock[[#This Row],[Total Stock]]-Stock[[#This Row],[Selling Stock]]</f>
        <v>10</v>
      </c>
      <c r="J89" s="52">
        <f>VLOOKUP(Stock[[#This Row],[Product ID]],Product[#All],8,0)</f>
        <v>8</v>
      </c>
      <c r="K89" s="52" t="str">
        <f>IF(Stock[[#This Row],[Available Stock]]&lt;=Stock[[#This Row],[Reorder Level]],"Reorder","OK")</f>
        <v>OK</v>
      </c>
    </row>
    <row r="90" spans="1:11" ht="18.75" x14ac:dyDescent="0.25">
      <c r="A90" s="52" t="str">
        <f>Product[[#This Row],[Product ID]]</f>
        <v>P0088</v>
      </c>
      <c r="B90" s="52" t="str">
        <f>VLOOKUP(Stock[[#This Row],[Product ID]],Product[#All],2,0)</f>
        <v>Lenovo Laptop</v>
      </c>
      <c r="C90" s="52" t="str">
        <f>VLOOKUP(Stock[[#This Row],[Product ID]],Product[#All],3,0)</f>
        <v>Laptop</v>
      </c>
      <c r="D90" s="52" t="str">
        <f>VLOOKUP(Stock[[#This Row],[Product ID]],Product[#All],4,0)</f>
        <v>Lenovo</v>
      </c>
      <c r="E90" s="52">
        <f>SUMIF(Opning[[#All],[Product_ID]],Stock[[#This Row],[Product ID]],Opning[[#All],[Opening_Qty]])</f>
        <v>56</v>
      </c>
      <c r="F90" s="52">
        <f>SUMIF(Purchase[[#All],[Product ID]],Stock[[#This Row],[Product ID]],Purchase[[#All],[Net Qty]])</f>
        <v>100</v>
      </c>
      <c r="G90" s="52">
        <f>Stock[[#This Row],[Opening Stock]]+Stock[[#This Row],[Purchase Stock]]</f>
        <v>156</v>
      </c>
      <c r="H90" s="52">
        <f>SUMIF(Sales[[#All],[Product ID]],Stock[[#This Row],[Product ID]],Sales[[#All],[Net QTY]])</f>
        <v>46</v>
      </c>
      <c r="I90" s="52">
        <f>Stock[[#This Row],[Total Stock]]-Stock[[#This Row],[Selling Stock]]</f>
        <v>110</v>
      </c>
      <c r="J90" s="52">
        <f>VLOOKUP(Stock[[#This Row],[Product ID]],Product[#All],8,0)</f>
        <v>25</v>
      </c>
      <c r="K90" s="52" t="str">
        <f>IF(Stock[[#This Row],[Available Stock]]&lt;=Stock[[#This Row],[Reorder Level]],"Reorder","OK")</f>
        <v>OK</v>
      </c>
    </row>
    <row r="91" spans="1:11" ht="18.75" x14ac:dyDescent="0.25">
      <c r="A91" s="52" t="str">
        <f>Product[[#This Row],[Product ID]]</f>
        <v>P0089</v>
      </c>
      <c r="B91" s="52" t="str">
        <f>VLOOKUP(Stock[[#This Row],[Product ID]],Product[#All],2,0)</f>
        <v>HP Power Adapter</v>
      </c>
      <c r="C91" s="52" t="str">
        <f>VLOOKUP(Stock[[#This Row],[Product ID]],Product[#All],3,0)</f>
        <v>Power Adapter</v>
      </c>
      <c r="D91" s="52" t="str">
        <f>VLOOKUP(Stock[[#This Row],[Product ID]],Product[#All],4,0)</f>
        <v>HP</v>
      </c>
      <c r="E91" s="52">
        <f>SUMIF(Opning[[#All],[Product_ID]],Stock[[#This Row],[Product ID]],Opning[[#All],[Opening_Qty]])</f>
        <v>56</v>
      </c>
      <c r="F91" s="52">
        <f>SUMIF(Purchase[[#All],[Product ID]],Stock[[#This Row],[Product ID]],Purchase[[#All],[Net Qty]])</f>
        <v>124</v>
      </c>
      <c r="G91" s="52">
        <f>Stock[[#This Row],[Opening Stock]]+Stock[[#This Row],[Purchase Stock]]</f>
        <v>180</v>
      </c>
      <c r="H91" s="52">
        <f>SUMIF(Sales[[#All],[Product ID]],Stock[[#This Row],[Product ID]],Sales[[#All],[Net QTY]])</f>
        <v>47</v>
      </c>
      <c r="I91" s="52">
        <f>Stock[[#This Row],[Total Stock]]-Stock[[#This Row],[Selling Stock]]</f>
        <v>133</v>
      </c>
      <c r="J91" s="52">
        <f>VLOOKUP(Stock[[#This Row],[Product ID]],Product[#All],8,0)</f>
        <v>25</v>
      </c>
      <c r="K91" s="52" t="str">
        <f>IF(Stock[[#This Row],[Available Stock]]&lt;=Stock[[#This Row],[Reorder Level]],"Reorder","OK")</f>
        <v>OK</v>
      </c>
    </row>
    <row r="92" spans="1:11" ht="18.75" x14ac:dyDescent="0.25">
      <c r="A92" s="52" t="str">
        <f>Product[[#This Row],[Product ID]]</f>
        <v>P0090</v>
      </c>
      <c r="B92" s="52" t="str">
        <f>VLOOKUP(Stock[[#This Row],[Product ID]],Product[#All],2,0)</f>
        <v>Jbl Headset</v>
      </c>
      <c r="C92" s="52" t="str">
        <f>VLOOKUP(Stock[[#This Row],[Product ID]],Product[#All],3,0)</f>
        <v>Headset</v>
      </c>
      <c r="D92" s="52" t="str">
        <f>VLOOKUP(Stock[[#This Row],[Product ID]],Product[#All],4,0)</f>
        <v>JBL</v>
      </c>
      <c r="E92" s="52">
        <f>SUMIF(Opning[[#All],[Product_ID]],Stock[[#This Row],[Product ID]],Opning[[#All],[Opening_Qty]])</f>
        <v>19</v>
      </c>
      <c r="F92" s="52">
        <f>SUMIF(Purchase[[#All],[Product ID]],Stock[[#This Row],[Product ID]],Purchase[[#All],[Net Qty]])</f>
        <v>109</v>
      </c>
      <c r="G92" s="52">
        <f>Stock[[#This Row],[Opening Stock]]+Stock[[#This Row],[Purchase Stock]]</f>
        <v>128</v>
      </c>
      <c r="H92" s="52">
        <f>SUMIF(Sales[[#All],[Product ID]],Stock[[#This Row],[Product ID]],Sales[[#All],[Net QTY]])</f>
        <v>42</v>
      </c>
      <c r="I92" s="52">
        <f>Stock[[#This Row],[Total Stock]]-Stock[[#This Row],[Selling Stock]]</f>
        <v>86</v>
      </c>
      <c r="J92" s="52">
        <f>VLOOKUP(Stock[[#This Row],[Product ID]],Product[#All],8,0)</f>
        <v>15</v>
      </c>
      <c r="K92" s="52" t="str">
        <f>IF(Stock[[#This Row],[Available Stock]]&lt;=Stock[[#This Row],[Reorder Level]],"Reorder","OK")</f>
        <v>OK</v>
      </c>
    </row>
    <row r="93" spans="1:11" ht="18.75" x14ac:dyDescent="0.25">
      <c r="A93" s="52" t="str">
        <f>Product[[#This Row],[Product ID]]</f>
        <v>P0091</v>
      </c>
      <c r="B93" s="52" t="str">
        <f>VLOOKUP(Stock[[#This Row],[Product ID]],Product[#All],2,0)</f>
        <v>HP Laptop</v>
      </c>
      <c r="C93" s="52" t="str">
        <f>VLOOKUP(Stock[[#This Row],[Product ID]],Product[#All],3,0)</f>
        <v>Laptop</v>
      </c>
      <c r="D93" s="52" t="str">
        <f>VLOOKUP(Stock[[#This Row],[Product ID]],Product[#All],4,0)</f>
        <v>HP</v>
      </c>
      <c r="E93" s="52">
        <f>SUMIF(Opning[[#All],[Product_ID]],Stock[[#This Row],[Product ID]],Opning[[#All],[Opening_Qty]])</f>
        <v>60</v>
      </c>
      <c r="F93" s="52">
        <f>SUMIF(Purchase[[#All],[Product ID]],Stock[[#This Row],[Product ID]],Purchase[[#All],[Net Qty]])</f>
        <v>46</v>
      </c>
      <c r="G93" s="52">
        <f>Stock[[#This Row],[Opening Stock]]+Stock[[#This Row],[Purchase Stock]]</f>
        <v>106</v>
      </c>
      <c r="H93" s="52">
        <f>SUMIF(Sales[[#All],[Product ID]],Stock[[#This Row],[Product ID]],Sales[[#All],[Net QTY]])</f>
        <v>77</v>
      </c>
      <c r="I93" s="52">
        <f>Stock[[#This Row],[Total Stock]]-Stock[[#This Row],[Selling Stock]]</f>
        <v>29</v>
      </c>
      <c r="J93" s="52">
        <f>VLOOKUP(Stock[[#This Row],[Product ID]],Product[#All],8,0)</f>
        <v>25</v>
      </c>
      <c r="K93" s="52" t="str">
        <f>IF(Stock[[#This Row],[Available Stock]]&lt;=Stock[[#This Row],[Reorder Level]],"Reorder","OK")</f>
        <v>OK</v>
      </c>
    </row>
    <row r="94" spans="1:11" ht="18.75" x14ac:dyDescent="0.25">
      <c r="A94" s="52" t="str">
        <f>Product[[#This Row],[Product ID]]</f>
        <v>P0092</v>
      </c>
      <c r="B94" s="52" t="str">
        <f>VLOOKUP(Stock[[#This Row],[Product ID]],Product[#All],2,0)</f>
        <v>Logitech Keyboard</v>
      </c>
      <c r="C94" s="52" t="str">
        <f>VLOOKUP(Stock[[#This Row],[Product ID]],Product[#All],3,0)</f>
        <v>Keyboard</v>
      </c>
      <c r="D94" s="52" t="str">
        <f>VLOOKUP(Stock[[#This Row],[Product ID]],Product[#All],4,0)</f>
        <v>Logitech</v>
      </c>
      <c r="E94" s="52">
        <f>SUMIF(Opning[[#All],[Product_ID]],Stock[[#This Row],[Product ID]],Opning[[#All],[Opening_Qty]])</f>
        <v>7</v>
      </c>
      <c r="F94" s="52">
        <f>SUMIF(Purchase[[#All],[Product ID]],Stock[[#This Row],[Product ID]],Purchase[[#All],[Net Qty]])</f>
        <v>102</v>
      </c>
      <c r="G94" s="52">
        <f>Stock[[#This Row],[Opening Stock]]+Stock[[#This Row],[Purchase Stock]]</f>
        <v>109</v>
      </c>
      <c r="H94" s="52">
        <f>SUMIF(Sales[[#All],[Product ID]],Stock[[#This Row],[Product ID]],Sales[[#All],[Net QTY]])</f>
        <v>47</v>
      </c>
      <c r="I94" s="52">
        <f>Stock[[#This Row],[Total Stock]]-Stock[[#This Row],[Selling Stock]]</f>
        <v>62</v>
      </c>
      <c r="J94" s="52">
        <f>VLOOKUP(Stock[[#This Row],[Product ID]],Product[#All],8,0)</f>
        <v>10</v>
      </c>
      <c r="K94" s="52" t="str">
        <f>IF(Stock[[#This Row],[Available Stock]]&lt;=Stock[[#This Row],[Reorder Level]],"Reorder","OK")</f>
        <v>OK</v>
      </c>
    </row>
    <row r="95" spans="1:11" ht="18.75" x14ac:dyDescent="0.25">
      <c r="A95" s="52" t="str">
        <f>Product[[#This Row],[Product ID]]</f>
        <v>P0093</v>
      </c>
      <c r="B95" s="52" t="str">
        <f>VLOOKUP(Stock[[#This Row],[Product ID]],Product[#All],2,0)</f>
        <v>Kingston Ram</v>
      </c>
      <c r="C95" s="52" t="str">
        <f>VLOOKUP(Stock[[#This Row],[Product ID]],Product[#All],3,0)</f>
        <v>RAM</v>
      </c>
      <c r="D95" s="52" t="str">
        <f>VLOOKUP(Stock[[#This Row],[Product ID]],Product[#All],4,0)</f>
        <v>Kingston</v>
      </c>
      <c r="E95" s="52">
        <f>SUMIF(Opning[[#All],[Product_ID]],Stock[[#This Row],[Product ID]],Opning[[#All],[Opening_Qty]])</f>
        <v>21</v>
      </c>
      <c r="F95" s="52">
        <f>SUMIF(Purchase[[#All],[Product ID]],Stock[[#This Row],[Product ID]],Purchase[[#All],[Net Qty]])</f>
        <v>213</v>
      </c>
      <c r="G95" s="52">
        <f>Stock[[#This Row],[Opening Stock]]+Stock[[#This Row],[Purchase Stock]]</f>
        <v>234</v>
      </c>
      <c r="H95" s="52">
        <f>SUMIF(Sales[[#All],[Product ID]],Stock[[#This Row],[Product ID]],Sales[[#All],[Net QTY]])</f>
        <v>40</v>
      </c>
      <c r="I95" s="52">
        <f>Stock[[#This Row],[Total Stock]]-Stock[[#This Row],[Selling Stock]]</f>
        <v>194</v>
      </c>
      <c r="J95" s="52">
        <f>VLOOKUP(Stock[[#This Row],[Product ID]],Product[#All],8,0)</f>
        <v>5</v>
      </c>
      <c r="K95" s="52" t="str">
        <f>IF(Stock[[#This Row],[Available Stock]]&lt;=Stock[[#This Row],[Reorder Level]],"Reorder","OK")</f>
        <v>OK</v>
      </c>
    </row>
    <row r="96" spans="1:11" ht="18.75" x14ac:dyDescent="0.25">
      <c r="A96" s="52" t="str">
        <f>Product[[#This Row],[Product ID]]</f>
        <v>P0094</v>
      </c>
      <c r="B96" s="52" t="str">
        <f>VLOOKUP(Stock[[#This Row],[Product ID]],Product[#All],2,0)</f>
        <v>HP Laptop</v>
      </c>
      <c r="C96" s="52" t="str">
        <f>VLOOKUP(Stock[[#This Row],[Product ID]],Product[#All],3,0)</f>
        <v>Laptop</v>
      </c>
      <c r="D96" s="52" t="str">
        <f>VLOOKUP(Stock[[#This Row],[Product ID]],Product[#All],4,0)</f>
        <v>HP</v>
      </c>
      <c r="E96" s="52">
        <f>SUMIF(Opning[[#All],[Product_ID]],Stock[[#This Row],[Product ID]],Opning[[#All],[Opening_Qty]])</f>
        <v>41</v>
      </c>
      <c r="F96" s="52">
        <f>SUMIF(Purchase[[#All],[Product ID]],Stock[[#This Row],[Product ID]],Purchase[[#All],[Net Qty]])</f>
        <v>81</v>
      </c>
      <c r="G96" s="52">
        <f>Stock[[#This Row],[Opening Stock]]+Stock[[#This Row],[Purchase Stock]]</f>
        <v>122</v>
      </c>
      <c r="H96" s="52">
        <f>SUMIF(Sales[[#All],[Product ID]],Stock[[#This Row],[Product ID]],Sales[[#All],[Net QTY]])</f>
        <v>32</v>
      </c>
      <c r="I96" s="52">
        <f>Stock[[#This Row],[Total Stock]]-Stock[[#This Row],[Selling Stock]]</f>
        <v>90</v>
      </c>
      <c r="J96" s="52">
        <f>VLOOKUP(Stock[[#This Row],[Product ID]],Product[#All],8,0)</f>
        <v>15</v>
      </c>
      <c r="K96" s="52" t="str">
        <f>IF(Stock[[#This Row],[Available Stock]]&lt;=Stock[[#This Row],[Reorder Level]],"Reorder","OK")</f>
        <v>OK</v>
      </c>
    </row>
    <row r="97" spans="1:11" ht="18.75" x14ac:dyDescent="0.25">
      <c r="A97" s="52" t="str">
        <f>Product[[#This Row],[Product ID]]</f>
        <v>P0095</v>
      </c>
      <c r="B97" s="52" t="str">
        <f>VLOOKUP(Stock[[#This Row],[Product ID]],Product[#All],2,0)</f>
        <v>Seagate HDD</v>
      </c>
      <c r="C97" s="52" t="str">
        <f>VLOOKUP(Stock[[#This Row],[Product ID]],Product[#All],3,0)</f>
        <v xml:space="preserve">HDD </v>
      </c>
      <c r="D97" s="52" t="str">
        <f>VLOOKUP(Stock[[#This Row],[Product ID]],Product[#All],4,0)</f>
        <v>Seagate</v>
      </c>
      <c r="E97" s="52">
        <f>SUMIF(Opning[[#All],[Product_ID]],Stock[[#This Row],[Product ID]],Opning[[#All],[Opening_Qty]])</f>
        <v>55</v>
      </c>
      <c r="F97" s="52">
        <f>SUMIF(Purchase[[#All],[Product ID]],Stock[[#This Row],[Product ID]],Purchase[[#All],[Net Qty]])</f>
        <v>164</v>
      </c>
      <c r="G97" s="52">
        <f>Stock[[#This Row],[Opening Stock]]+Stock[[#This Row],[Purchase Stock]]</f>
        <v>219</v>
      </c>
      <c r="H97" s="52">
        <f>SUMIF(Sales[[#All],[Product ID]],Stock[[#This Row],[Product ID]],Sales[[#All],[Net QTY]])</f>
        <v>40</v>
      </c>
      <c r="I97" s="52">
        <f>Stock[[#This Row],[Total Stock]]-Stock[[#This Row],[Selling Stock]]</f>
        <v>179</v>
      </c>
      <c r="J97" s="52">
        <f>VLOOKUP(Stock[[#This Row],[Product ID]],Product[#All],8,0)</f>
        <v>10</v>
      </c>
      <c r="K97" s="52" t="str">
        <f>IF(Stock[[#This Row],[Available Stock]]&lt;=Stock[[#This Row],[Reorder Level]],"Reorder","OK")</f>
        <v>OK</v>
      </c>
    </row>
    <row r="98" spans="1:11" ht="18.75" x14ac:dyDescent="0.25">
      <c r="A98" s="52" t="str">
        <f>Product[[#This Row],[Product ID]]</f>
        <v>P0096</v>
      </c>
      <c r="B98" s="52" t="str">
        <f>VLOOKUP(Stock[[#This Row],[Product ID]],Product[#All],2,0)</f>
        <v>HP Printer</v>
      </c>
      <c r="C98" s="52" t="str">
        <f>VLOOKUP(Stock[[#This Row],[Product ID]],Product[#All],3,0)</f>
        <v>Printer</v>
      </c>
      <c r="D98" s="52" t="str">
        <f>VLOOKUP(Stock[[#This Row],[Product ID]],Product[#All],4,0)</f>
        <v>HP</v>
      </c>
      <c r="E98" s="52">
        <f>SUMIF(Opning[[#All],[Product_ID]],Stock[[#This Row],[Product ID]],Opning[[#All],[Opening_Qty]])</f>
        <v>39</v>
      </c>
      <c r="F98" s="52">
        <f>SUMIF(Purchase[[#All],[Product ID]],Stock[[#This Row],[Product ID]],Purchase[[#All],[Net Qty]])</f>
        <v>258</v>
      </c>
      <c r="G98" s="52">
        <f>Stock[[#This Row],[Opening Stock]]+Stock[[#This Row],[Purchase Stock]]</f>
        <v>297</v>
      </c>
      <c r="H98" s="52">
        <f>SUMIF(Sales[[#All],[Product ID]],Stock[[#This Row],[Product ID]],Sales[[#All],[Net QTY]])</f>
        <v>39</v>
      </c>
      <c r="I98" s="52">
        <f>Stock[[#This Row],[Total Stock]]-Stock[[#This Row],[Selling Stock]]</f>
        <v>258</v>
      </c>
      <c r="J98" s="52">
        <f>VLOOKUP(Stock[[#This Row],[Product ID]],Product[#All],8,0)</f>
        <v>15</v>
      </c>
      <c r="K98" s="52" t="str">
        <f>IF(Stock[[#This Row],[Available Stock]]&lt;=Stock[[#This Row],[Reorder Level]],"Reorder","OK")</f>
        <v>OK</v>
      </c>
    </row>
    <row r="99" spans="1:11" ht="18.75" x14ac:dyDescent="0.25">
      <c r="A99" s="52" t="str">
        <f>Product[[#This Row],[Product ID]]</f>
        <v>P0097</v>
      </c>
      <c r="B99" s="52" t="str">
        <f>VLOOKUP(Stock[[#This Row],[Product ID]],Product[#All],2,0)</f>
        <v>Logitech Mouse</v>
      </c>
      <c r="C99" s="52" t="str">
        <f>VLOOKUP(Stock[[#This Row],[Product ID]],Product[#All],3,0)</f>
        <v>Mouse</v>
      </c>
      <c r="D99" s="52" t="str">
        <f>VLOOKUP(Stock[[#This Row],[Product ID]],Product[#All],4,0)</f>
        <v>Logitech</v>
      </c>
      <c r="E99" s="52">
        <f>SUMIF(Opning[[#All],[Product_ID]],Stock[[#This Row],[Product ID]],Opning[[#All],[Opening_Qty]])</f>
        <v>29</v>
      </c>
      <c r="F99" s="52">
        <f>SUMIF(Purchase[[#All],[Product ID]],Stock[[#This Row],[Product ID]],Purchase[[#All],[Net Qty]])</f>
        <v>106</v>
      </c>
      <c r="G99" s="52">
        <f>Stock[[#This Row],[Opening Stock]]+Stock[[#This Row],[Purchase Stock]]</f>
        <v>135</v>
      </c>
      <c r="H99" s="52">
        <f>SUMIF(Sales[[#All],[Product ID]],Stock[[#This Row],[Product ID]],Sales[[#All],[Net QTY]])</f>
        <v>32</v>
      </c>
      <c r="I99" s="52">
        <f>Stock[[#This Row],[Total Stock]]-Stock[[#This Row],[Selling Stock]]</f>
        <v>103</v>
      </c>
      <c r="J99" s="52">
        <f>VLOOKUP(Stock[[#This Row],[Product ID]],Product[#All],8,0)</f>
        <v>25</v>
      </c>
      <c r="K99" s="52" t="str">
        <f>IF(Stock[[#This Row],[Available Stock]]&lt;=Stock[[#This Row],[Reorder Level]],"Reorder","OK")</f>
        <v>OK</v>
      </c>
    </row>
    <row r="100" spans="1:11" ht="18.75" x14ac:dyDescent="0.25">
      <c r="A100" s="52" t="str">
        <f>Product[[#This Row],[Product ID]]</f>
        <v>P0098</v>
      </c>
      <c r="B100" s="52" t="str">
        <f>VLOOKUP(Stock[[#This Row],[Product ID]],Product[#All],2,0)</f>
        <v>WD HDD</v>
      </c>
      <c r="C100" s="52" t="str">
        <f>VLOOKUP(Stock[[#This Row],[Product ID]],Product[#All],3,0)</f>
        <v>HDD</v>
      </c>
      <c r="D100" s="52" t="str">
        <f>VLOOKUP(Stock[[#This Row],[Product ID]],Product[#All],4,0)</f>
        <v>WD</v>
      </c>
      <c r="E100" s="52">
        <f>SUMIF(Opning[[#All],[Product_ID]],Stock[[#This Row],[Product ID]],Opning[[#All],[Opening_Qty]])</f>
        <v>55</v>
      </c>
      <c r="F100" s="52">
        <f>SUMIF(Purchase[[#All],[Product ID]],Stock[[#This Row],[Product ID]],Purchase[[#All],[Net Qty]])</f>
        <v>39</v>
      </c>
      <c r="G100" s="52">
        <f>Stock[[#This Row],[Opening Stock]]+Stock[[#This Row],[Purchase Stock]]</f>
        <v>94</v>
      </c>
      <c r="H100" s="52">
        <f>SUMIF(Sales[[#All],[Product ID]],Stock[[#This Row],[Product ID]],Sales[[#All],[Net QTY]])</f>
        <v>35</v>
      </c>
      <c r="I100" s="52">
        <f>Stock[[#This Row],[Total Stock]]-Stock[[#This Row],[Selling Stock]]</f>
        <v>59</v>
      </c>
      <c r="J100" s="52">
        <f>VLOOKUP(Stock[[#This Row],[Product ID]],Product[#All],8,0)</f>
        <v>5</v>
      </c>
      <c r="K100" s="52" t="str">
        <f>IF(Stock[[#This Row],[Available Stock]]&lt;=Stock[[#This Row],[Reorder Level]],"Reorder","OK")</f>
        <v>OK</v>
      </c>
    </row>
    <row r="101" spans="1:11" ht="18.75" x14ac:dyDescent="0.25">
      <c r="A101" s="52" t="str">
        <f>Product[[#This Row],[Product ID]]</f>
        <v>P0099</v>
      </c>
      <c r="B101" s="52" t="str">
        <f>VLOOKUP(Stock[[#This Row],[Product ID]],Product[#All],2,0)</f>
        <v>Jbl Speaker</v>
      </c>
      <c r="C101" s="52" t="str">
        <f>VLOOKUP(Stock[[#This Row],[Product ID]],Product[#All],3,0)</f>
        <v>Speaker</v>
      </c>
      <c r="D101" s="52" t="str">
        <f>VLOOKUP(Stock[[#This Row],[Product ID]],Product[#All],4,0)</f>
        <v>JBL</v>
      </c>
      <c r="E101" s="52">
        <f>SUMIF(Opning[[#All],[Product_ID]],Stock[[#This Row],[Product ID]],Opning[[#All],[Opening_Qty]])</f>
        <v>8</v>
      </c>
      <c r="F101" s="52">
        <f>SUMIF(Purchase[[#All],[Product ID]],Stock[[#This Row],[Product ID]],Purchase[[#All],[Net Qty]])</f>
        <v>84</v>
      </c>
      <c r="G101" s="52">
        <f>Stock[[#This Row],[Opening Stock]]+Stock[[#This Row],[Purchase Stock]]</f>
        <v>92</v>
      </c>
      <c r="H101" s="52">
        <f>SUMIF(Sales[[#All],[Product ID]],Stock[[#This Row],[Product ID]],Sales[[#All],[Net QTY]])</f>
        <v>40</v>
      </c>
      <c r="I101" s="52">
        <f>Stock[[#This Row],[Total Stock]]-Stock[[#This Row],[Selling Stock]]</f>
        <v>52</v>
      </c>
      <c r="J101" s="52">
        <f>VLOOKUP(Stock[[#This Row],[Product ID]],Product[#All],8,0)</f>
        <v>5</v>
      </c>
      <c r="K101" s="52" t="str">
        <f>IF(Stock[[#This Row],[Available Stock]]&lt;=Stock[[#This Row],[Reorder Level]],"Reorder","OK")</f>
        <v>OK</v>
      </c>
    </row>
    <row r="102" spans="1:11" ht="18.75" x14ac:dyDescent="0.25">
      <c r="A102" s="52" t="str">
        <f>Product[[#This Row],[Product ID]]</f>
        <v>P0100</v>
      </c>
      <c r="B102" s="52" t="str">
        <f>VLOOKUP(Stock[[#This Row],[Product ID]],Product[#All],2,0)</f>
        <v>Crucial Ssd</v>
      </c>
      <c r="C102" s="52" t="str">
        <f>VLOOKUP(Stock[[#This Row],[Product ID]],Product[#All],3,0)</f>
        <v>SSD</v>
      </c>
      <c r="D102" s="52" t="str">
        <f>VLOOKUP(Stock[[#This Row],[Product ID]],Product[#All],4,0)</f>
        <v>Crucial</v>
      </c>
      <c r="E102" s="52">
        <f>SUMIF(Opning[[#All],[Product_ID]],Stock[[#This Row],[Product ID]],Opning[[#All],[Opening_Qty]])</f>
        <v>44</v>
      </c>
      <c r="F102" s="52">
        <f>SUMIF(Purchase[[#All],[Product ID]],Stock[[#This Row],[Product ID]],Purchase[[#All],[Net Qty]])</f>
        <v>63</v>
      </c>
      <c r="G102" s="52">
        <f>Stock[[#This Row],[Opening Stock]]+Stock[[#This Row],[Purchase Stock]]</f>
        <v>107</v>
      </c>
      <c r="H102" s="52">
        <f>SUMIF(Sales[[#All],[Product ID]],Stock[[#This Row],[Product ID]],Sales[[#All],[Net QTY]])</f>
        <v>38</v>
      </c>
      <c r="I102" s="52">
        <f>Stock[[#This Row],[Total Stock]]-Stock[[#This Row],[Selling Stock]]</f>
        <v>69</v>
      </c>
      <c r="J102" s="52">
        <f>VLOOKUP(Stock[[#This Row],[Product ID]],Product[#All],8,0)</f>
        <v>5</v>
      </c>
      <c r="K102" s="52" t="str">
        <f>IF(Stock[[#This Row],[Available Stock]]&lt;=Stock[[#This Row],[Reorder Level]],"Reorder","OK")</f>
        <v>OK</v>
      </c>
    </row>
    <row r="103" spans="1:11" ht="18.75" x14ac:dyDescent="0.25">
      <c r="A103" s="52" t="str">
        <f>Product[[#This Row],[Product ID]]</f>
        <v>P0101</v>
      </c>
      <c r="B103" s="52" t="str">
        <f>VLOOKUP(Stock[[#This Row],[Product ID]],Product[#All],2,0)</f>
        <v>HP Power Adapter</v>
      </c>
      <c r="C103" s="52" t="str">
        <f>VLOOKUP(Stock[[#This Row],[Product ID]],Product[#All],3,0)</f>
        <v>Power Adapter</v>
      </c>
      <c r="D103" s="52" t="str">
        <f>VLOOKUP(Stock[[#This Row],[Product ID]],Product[#All],4,0)</f>
        <v>HP</v>
      </c>
      <c r="E103" s="52">
        <f>SUMIF(Opning[[#All],[Product_ID]],Stock[[#This Row],[Product ID]],Opning[[#All],[Opening_Qty]])</f>
        <v>13</v>
      </c>
      <c r="F103" s="52">
        <f>SUMIF(Purchase[[#All],[Product ID]],Stock[[#This Row],[Product ID]],Purchase[[#All],[Net Qty]])</f>
        <v>71</v>
      </c>
      <c r="G103" s="52">
        <f>Stock[[#This Row],[Opening Stock]]+Stock[[#This Row],[Purchase Stock]]</f>
        <v>84</v>
      </c>
      <c r="H103" s="52">
        <f>SUMIF(Sales[[#All],[Product ID]],Stock[[#This Row],[Product ID]],Sales[[#All],[Net QTY]])</f>
        <v>51</v>
      </c>
      <c r="I103" s="52">
        <f>Stock[[#This Row],[Total Stock]]-Stock[[#This Row],[Selling Stock]]</f>
        <v>33</v>
      </c>
      <c r="J103" s="52">
        <f>VLOOKUP(Stock[[#This Row],[Product ID]],Product[#All],8,0)</f>
        <v>8</v>
      </c>
      <c r="K103" s="52" t="str">
        <f>IF(Stock[[#This Row],[Available Stock]]&lt;=Stock[[#This Row],[Reorder Level]],"Reorder","OK")</f>
        <v>OK</v>
      </c>
    </row>
    <row r="104" spans="1:11" ht="18.75" x14ac:dyDescent="0.25">
      <c r="A104" s="52" t="str">
        <f>Product[[#This Row],[Product ID]]</f>
        <v>P0102</v>
      </c>
      <c r="B104" s="52" t="str">
        <f>VLOOKUP(Stock[[#This Row],[Product ID]],Product[#All],2,0)</f>
        <v>Dell Monitor</v>
      </c>
      <c r="C104" s="52" t="str">
        <f>VLOOKUP(Stock[[#This Row],[Product ID]],Product[#All],3,0)</f>
        <v>Monitor</v>
      </c>
      <c r="D104" s="52" t="str">
        <f>VLOOKUP(Stock[[#This Row],[Product ID]],Product[#All],4,0)</f>
        <v>Dell</v>
      </c>
      <c r="E104" s="52">
        <f>SUMIF(Opning[[#All],[Product_ID]],Stock[[#This Row],[Product ID]],Opning[[#All],[Opening_Qty]])</f>
        <v>57</v>
      </c>
      <c r="F104" s="52">
        <f>SUMIF(Purchase[[#All],[Product ID]],Stock[[#This Row],[Product ID]],Purchase[[#All],[Net Qty]])</f>
        <v>26</v>
      </c>
      <c r="G104" s="52">
        <f>Stock[[#This Row],[Opening Stock]]+Stock[[#This Row],[Purchase Stock]]</f>
        <v>83</v>
      </c>
      <c r="H104" s="52">
        <f>SUMIF(Sales[[#All],[Product ID]],Stock[[#This Row],[Product ID]],Sales[[#All],[Net QTY]])</f>
        <v>60</v>
      </c>
      <c r="I104" s="52">
        <f>Stock[[#This Row],[Total Stock]]-Stock[[#This Row],[Selling Stock]]</f>
        <v>23</v>
      </c>
      <c r="J104" s="52">
        <f>VLOOKUP(Stock[[#This Row],[Product ID]],Product[#All],8,0)</f>
        <v>8</v>
      </c>
      <c r="K104" s="52" t="str">
        <f>IF(Stock[[#This Row],[Available Stock]]&lt;=Stock[[#This Row],[Reorder Level]],"Reorder","OK")</f>
        <v>OK</v>
      </c>
    </row>
    <row r="105" spans="1:11" ht="18.75" x14ac:dyDescent="0.25">
      <c r="A105" s="52" t="str">
        <f>Product[[#This Row],[Product ID]]</f>
        <v>P0103</v>
      </c>
      <c r="B105" s="52" t="str">
        <f>VLOOKUP(Stock[[#This Row],[Product ID]],Product[#All],2,0)</f>
        <v>Jbl Headset</v>
      </c>
      <c r="C105" s="52" t="str">
        <f>VLOOKUP(Stock[[#This Row],[Product ID]],Product[#All],3,0)</f>
        <v>Headset</v>
      </c>
      <c r="D105" s="52" t="str">
        <f>VLOOKUP(Stock[[#This Row],[Product ID]],Product[#All],4,0)</f>
        <v>JBL</v>
      </c>
      <c r="E105" s="52">
        <f>SUMIF(Opning[[#All],[Product_ID]],Stock[[#This Row],[Product ID]],Opning[[#All],[Opening_Qty]])</f>
        <v>37</v>
      </c>
      <c r="F105" s="52">
        <f>SUMIF(Purchase[[#All],[Product ID]],Stock[[#This Row],[Product ID]],Purchase[[#All],[Net Qty]])</f>
        <v>133</v>
      </c>
      <c r="G105" s="52">
        <f>Stock[[#This Row],[Opening Stock]]+Stock[[#This Row],[Purchase Stock]]</f>
        <v>170</v>
      </c>
      <c r="H105" s="52">
        <f>SUMIF(Sales[[#All],[Product ID]],Stock[[#This Row],[Product ID]],Sales[[#All],[Net QTY]])</f>
        <v>41</v>
      </c>
      <c r="I105" s="52">
        <f>Stock[[#This Row],[Total Stock]]-Stock[[#This Row],[Selling Stock]]</f>
        <v>129</v>
      </c>
      <c r="J105" s="52">
        <f>VLOOKUP(Stock[[#This Row],[Product ID]],Product[#All],8,0)</f>
        <v>5</v>
      </c>
      <c r="K105" s="52" t="str">
        <f>IF(Stock[[#This Row],[Available Stock]]&lt;=Stock[[#This Row],[Reorder Level]],"Reorder","OK")</f>
        <v>OK</v>
      </c>
    </row>
    <row r="106" spans="1:11" ht="18.75" x14ac:dyDescent="0.25">
      <c r="A106" s="52" t="str">
        <f>Product[[#This Row],[Product ID]]</f>
        <v>P0104</v>
      </c>
      <c r="B106" s="52" t="str">
        <f>VLOOKUP(Stock[[#This Row],[Product ID]],Product[#All],2,0)</f>
        <v>Dell Monitor</v>
      </c>
      <c r="C106" s="52" t="str">
        <f>VLOOKUP(Stock[[#This Row],[Product ID]],Product[#All],3,0)</f>
        <v>Monitor</v>
      </c>
      <c r="D106" s="52" t="str">
        <f>VLOOKUP(Stock[[#This Row],[Product ID]],Product[#All],4,0)</f>
        <v>Dell</v>
      </c>
      <c r="E106" s="52">
        <f>SUMIF(Opning[[#All],[Product_ID]],Stock[[#This Row],[Product ID]],Opning[[#All],[Opening_Qty]])</f>
        <v>31</v>
      </c>
      <c r="F106" s="52">
        <f>SUMIF(Purchase[[#All],[Product ID]],Stock[[#This Row],[Product ID]],Purchase[[#All],[Net Qty]])</f>
        <v>158</v>
      </c>
      <c r="G106" s="52">
        <f>Stock[[#This Row],[Opening Stock]]+Stock[[#This Row],[Purchase Stock]]</f>
        <v>189</v>
      </c>
      <c r="H106" s="52">
        <f>SUMIF(Sales[[#All],[Product ID]],Stock[[#This Row],[Product ID]],Sales[[#All],[Net QTY]])</f>
        <v>18</v>
      </c>
      <c r="I106" s="52">
        <f>Stock[[#This Row],[Total Stock]]-Stock[[#This Row],[Selling Stock]]</f>
        <v>171</v>
      </c>
      <c r="J106" s="52">
        <f>VLOOKUP(Stock[[#This Row],[Product ID]],Product[#All],8,0)</f>
        <v>10</v>
      </c>
      <c r="K106" s="52" t="str">
        <f>IF(Stock[[#This Row],[Available Stock]]&lt;=Stock[[#This Row],[Reorder Level]],"Reorder","OK")</f>
        <v>OK</v>
      </c>
    </row>
    <row r="107" spans="1:11" ht="18.75" x14ac:dyDescent="0.25">
      <c r="A107" s="52" t="str">
        <f>Product[[#This Row],[Product ID]]</f>
        <v>P0105</v>
      </c>
      <c r="B107" s="52" t="str">
        <f>VLOOKUP(Stock[[#This Row],[Product ID]],Product[#All],2,0)</f>
        <v>Jbl Speaker</v>
      </c>
      <c r="C107" s="52" t="str">
        <f>VLOOKUP(Stock[[#This Row],[Product ID]],Product[#All],3,0)</f>
        <v>Speaker</v>
      </c>
      <c r="D107" s="52" t="str">
        <f>VLOOKUP(Stock[[#This Row],[Product ID]],Product[#All],4,0)</f>
        <v>JBL</v>
      </c>
      <c r="E107" s="52">
        <f>SUMIF(Opning[[#All],[Product_ID]],Stock[[#This Row],[Product ID]],Opning[[#All],[Opening_Qty]])</f>
        <v>59</v>
      </c>
      <c r="F107" s="52">
        <f>SUMIF(Purchase[[#All],[Product ID]],Stock[[#This Row],[Product ID]],Purchase[[#All],[Net Qty]])</f>
        <v>113</v>
      </c>
      <c r="G107" s="52">
        <f>Stock[[#This Row],[Opening Stock]]+Stock[[#This Row],[Purchase Stock]]</f>
        <v>172</v>
      </c>
      <c r="H107" s="52">
        <f>SUMIF(Sales[[#All],[Product ID]],Stock[[#This Row],[Product ID]],Sales[[#All],[Net QTY]])</f>
        <v>52</v>
      </c>
      <c r="I107" s="52">
        <f>Stock[[#This Row],[Total Stock]]-Stock[[#This Row],[Selling Stock]]</f>
        <v>120</v>
      </c>
      <c r="J107" s="52">
        <f>VLOOKUP(Stock[[#This Row],[Product ID]],Product[#All],8,0)</f>
        <v>25</v>
      </c>
      <c r="K107" s="52" t="str">
        <f>IF(Stock[[#This Row],[Available Stock]]&lt;=Stock[[#This Row],[Reorder Level]],"Reorder","OK")</f>
        <v>OK</v>
      </c>
    </row>
    <row r="108" spans="1:11" ht="18.75" x14ac:dyDescent="0.25">
      <c r="A108" s="52" t="str">
        <f>Product[[#This Row],[Product ID]]</f>
        <v>P0106</v>
      </c>
      <c r="B108" s="52" t="str">
        <f>VLOOKUP(Stock[[#This Row],[Product ID]],Product[#All],2,0)</f>
        <v>Acer Laptop</v>
      </c>
      <c r="C108" s="52" t="str">
        <f>VLOOKUP(Stock[[#This Row],[Product ID]],Product[#All],3,0)</f>
        <v>Laptop</v>
      </c>
      <c r="D108" s="52" t="str">
        <f>VLOOKUP(Stock[[#This Row],[Product ID]],Product[#All],4,0)</f>
        <v>Acer</v>
      </c>
      <c r="E108" s="52">
        <f>SUMIF(Opning[[#All],[Product_ID]],Stock[[#This Row],[Product ID]],Opning[[#All],[Opening_Qty]])</f>
        <v>10</v>
      </c>
      <c r="F108" s="52">
        <f>SUMIF(Purchase[[#All],[Product ID]],Stock[[#This Row],[Product ID]],Purchase[[#All],[Net Qty]])</f>
        <v>176</v>
      </c>
      <c r="G108" s="52">
        <f>Stock[[#This Row],[Opening Stock]]+Stock[[#This Row],[Purchase Stock]]</f>
        <v>186</v>
      </c>
      <c r="H108" s="52">
        <f>SUMIF(Sales[[#All],[Product ID]],Stock[[#This Row],[Product ID]],Sales[[#All],[Net QTY]])</f>
        <v>52</v>
      </c>
      <c r="I108" s="52">
        <f>Stock[[#This Row],[Total Stock]]-Stock[[#This Row],[Selling Stock]]</f>
        <v>134</v>
      </c>
      <c r="J108" s="52">
        <f>VLOOKUP(Stock[[#This Row],[Product ID]],Product[#All],8,0)</f>
        <v>25</v>
      </c>
      <c r="K108" s="52" t="str">
        <f>IF(Stock[[#This Row],[Available Stock]]&lt;=Stock[[#This Row],[Reorder Level]],"Reorder","OK")</f>
        <v>OK</v>
      </c>
    </row>
    <row r="109" spans="1:11" ht="18.75" x14ac:dyDescent="0.25">
      <c r="A109" s="52" t="str">
        <f>Product[[#This Row],[Product ID]]</f>
        <v>P0107</v>
      </c>
      <c r="B109" s="52" t="str">
        <f>VLOOKUP(Stock[[#This Row],[Product ID]],Product[#All],2,0)</f>
        <v>HP Mouse</v>
      </c>
      <c r="C109" s="52" t="str">
        <f>VLOOKUP(Stock[[#This Row],[Product ID]],Product[#All],3,0)</f>
        <v>Mouse</v>
      </c>
      <c r="D109" s="52" t="str">
        <f>VLOOKUP(Stock[[#This Row],[Product ID]],Product[#All],4,0)</f>
        <v>HP</v>
      </c>
      <c r="E109" s="52">
        <f>SUMIF(Opning[[#All],[Product_ID]],Stock[[#This Row],[Product ID]],Opning[[#All],[Opening_Qty]])</f>
        <v>21</v>
      </c>
      <c r="F109" s="52">
        <f>SUMIF(Purchase[[#All],[Product ID]],Stock[[#This Row],[Product ID]],Purchase[[#All],[Net Qty]])</f>
        <v>96</v>
      </c>
      <c r="G109" s="52">
        <f>Stock[[#This Row],[Opening Stock]]+Stock[[#This Row],[Purchase Stock]]</f>
        <v>117</v>
      </c>
      <c r="H109" s="52">
        <f>SUMIF(Sales[[#All],[Product ID]],Stock[[#This Row],[Product ID]],Sales[[#All],[Net QTY]])</f>
        <v>49</v>
      </c>
      <c r="I109" s="52">
        <f>Stock[[#This Row],[Total Stock]]-Stock[[#This Row],[Selling Stock]]</f>
        <v>68</v>
      </c>
      <c r="J109" s="52">
        <f>VLOOKUP(Stock[[#This Row],[Product ID]],Product[#All],8,0)</f>
        <v>5</v>
      </c>
      <c r="K109" s="52" t="str">
        <f>IF(Stock[[#This Row],[Available Stock]]&lt;=Stock[[#This Row],[Reorder Level]],"Reorder","OK")</f>
        <v>OK</v>
      </c>
    </row>
    <row r="110" spans="1:11" ht="18.75" x14ac:dyDescent="0.25">
      <c r="A110" s="52" t="str">
        <f>Product[[#This Row],[Product ID]]</f>
        <v>P0108</v>
      </c>
      <c r="B110" s="52" t="str">
        <f>VLOOKUP(Stock[[#This Row],[Product ID]],Product[#All],2,0)</f>
        <v>Epson Printer</v>
      </c>
      <c r="C110" s="52" t="str">
        <f>VLOOKUP(Stock[[#This Row],[Product ID]],Product[#All],3,0)</f>
        <v>Printer</v>
      </c>
      <c r="D110" s="52" t="str">
        <f>VLOOKUP(Stock[[#This Row],[Product ID]],Product[#All],4,0)</f>
        <v>Epson</v>
      </c>
      <c r="E110" s="52">
        <f>SUMIF(Opning[[#All],[Product_ID]],Stock[[#This Row],[Product ID]],Opning[[#All],[Opening_Qty]])</f>
        <v>54</v>
      </c>
      <c r="F110" s="52">
        <f>SUMIF(Purchase[[#All],[Product ID]],Stock[[#This Row],[Product ID]],Purchase[[#All],[Net Qty]])</f>
        <v>122</v>
      </c>
      <c r="G110" s="52">
        <f>Stock[[#This Row],[Opening Stock]]+Stock[[#This Row],[Purchase Stock]]</f>
        <v>176</v>
      </c>
      <c r="H110" s="52">
        <f>SUMIF(Sales[[#All],[Product ID]],Stock[[#This Row],[Product ID]],Sales[[#All],[Net QTY]])</f>
        <v>35</v>
      </c>
      <c r="I110" s="52">
        <f>Stock[[#This Row],[Total Stock]]-Stock[[#This Row],[Selling Stock]]</f>
        <v>141</v>
      </c>
      <c r="J110" s="52">
        <f>VLOOKUP(Stock[[#This Row],[Product ID]],Product[#All],8,0)</f>
        <v>5</v>
      </c>
      <c r="K110" s="52" t="str">
        <f>IF(Stock[[#This Row],[Available Stock]]&lt;=Stock[[#This Row],[Reorder Level]],"Reorder","OK")</f>
        <v>OK</v>
      </c>
    </row>
    <row r="111" spans="1:11" ht="18.75" x14ac:dyDescent="0.25">
      <c r="A111" s="52" t="str">
        <f>Product[[#This Row],[Product ID]]</f>
        <v>P0109</v>
      </c>
      <c r="B111" s="52" t="str">
        <f>VLOOKUP(Stock[[#This Row],[Product ID]],Product[#All],2,0)</f>
        <v>Sandisk Pen Drive</v>
      </c>
      <c r="C111" s="52" t="str">
        <f>VLOOKUP(Stock[[#This Row],[Product ID]],Product[#All],3,0)</f>
        <v>Pen Drive</v>
      </c>
      <c r="D111" s="52" t="str">
        <f>VLOOKUP(Stock[[#This Row],[Product ID]],Product[#All],4,0)</f>
        <v>SanDisk</v>
      </c>
      <c r="E111" s="52">
        <f>SUMIF(Opning[[#All],[Product_ID]],Stock[[#This Row],[Product ID]],Opning[[#All],[Opening_Qty]])</f>
        <v>19</v>
      </c>
      <c r="F111" s="52">
        <f>SUMIF(Purchase[[#All],[Product ID]],Stock[[#This Row],[Product ID]],Purchase[[#All],[Net Qty]])</f>
        <v>133</v>
      </c>
      <c r="G111" s="52">
        <f>Stock[[#This Row],[Opening Stock]]+Stock[[#This Row],[Purchase Stock]]</f>
        <v>152</v>
      </c>
      <c r="H111" s="52">
        <f>SUMIF(Sales[[#All],[Product ID]],Stock[[#This Row],[Product ID]],Sales[[#All],[Net QTY]])</f>
        <v>50</v>
      </c>
      <c r="I111" s="52">
        <f>Stock[[#This Row],[Total Stock]]-Stock[[#This Row],[Selling Stock]]</f>
        <v>102</v>
      </c>
      <c r="J111" s="52">
        <f>VLOOKUP(Stock[[#This Row],[Product ID]],Product[#All],8,0)</f>
        <v>20</v>
      </c>
      <c r="K111" s="52" t="str">
        <f>IF(Stock[[#This Row],[Available Stock]]&lt;=Stock[[#This Row],[Reorder Level]],"Reorder","OK")</f>
        <v>OK</v>
      </c>
    </row>
    <row r="112" spans="1:11" ht="18.75" x14ac:dyDescent="0.25">
      <c r="A112" s="52" t="str">
        <f>Product[[#This Row],[Product ID]]</f>
        <v>P0110</v>
      </c>
      <c r="B112" s="52" t="str">
        <f>VLOOKUP(Stock[[#This Row],[Product ID]],Product[#All],2,0)</f>
        <v>Boat Speaker</v>
      </c>
      <c r="C112" s="52" t="str">
        <f>VLOOKUP(Stock[[#This Row],[Product ID]],Product[#All],3,0)</f>
        <v>Speaker</v>
      </c>
      <c r="D112" s="52" t="str">
        <f>VLOOKUP(Stock[[#This Row],[Product ID]],Product[#All],4,0)</f>
        <v>Boat</v>
      </c>
      <c r="E112" s="52">
        <f>SUMIF(Opning[[#All],[Product_ID]],Stock[[#This Row],[Product ID]],Opning[[#All],[Opening_Qty]])</f>
        <v>9</v>
      </c>
      <c r="F112" s="52">
        <f>SUMIF(Purchase[[#All],[Product ID]],Stock[[#This Row],[Product ID]],Purchase[[#All],[Net Qty]])</f>
        <v>114</v>
      </c>
      <c r="G112" s="52">
        <f>Stock[[#This Row],[Opening Stock]]+Stock[[#This Row],[Purchase Stock]]</f>
        <v>123</v>
      </c>
      <c r="H112" s="52">
        <f>SUMIF(Sales[[#All],[Product ID]],Stock[[#This Row],[Product ID]],Sales[[#All],[Net QTY]])</f>
        <v>42</v>
      </c>
      <c r="I112" s="52">
        <f>Stock[[#This Row],[Total Stock]]-Stock[[#This Row],[Selling Stock]]</f>
        <v>81</v>
      </c>
      <c r="J112" s="52">
        <f>VLOOKUP(Stock[[#This Row],[Product ID]],Product[#All],8,0)</f>
        <v>25</v>
      </c>
      <c r="K112" s="52" t="str">
        <f>IF(Stock[[#This Row],[Available Stock]]&lt;=Stock[[#This Row],[Reorder Level]],"Reorder","OK")</f>
        <v>OK</v>
      </c>
    </row>
    <row r="113" spans="1:11" ht="18.75" x14ac:dyDescent="0.25">
      <c r="A113" s="52" t="str">
        <f>Product[[#This Row],[Product ID]]</f>
        <v>P0111</v>
      </c>
      <c r="B113" s="52" t="str">
        <f>VLOOKUP(Stock[[#This Row],[Product ID]],Product[#All],2,0)</f>
        <v>Epson Printer</v>
      </c>
      <c r="C113" s="52" t="str">
        <f>VLOOKUP(Stock[[#This Row],[Product ID]],Product[#All],3,0)</f>
        <v>Printer</v>
      </c>
      <c r="D113" s="52" t="str">
        <f>VLOOKUP(Stock[[#This Row],[Product ID]],Product[#All],4,0)</f>
        <v>epson</v>
      </c>
      <c r="E113" s="52">
        <f>SUMIF(Opning[[#All],[Product_ID]],Stock[[#This Row],[Product ID]],Opning[[#All],[Opening_Qty]])</f>
        <v>46</v>
      </c>
      <c r="F113" s="52">
        <f>SUMIF(Purchase[[#All],[Product ID]],Stock[[#This Row],[Product ID]],Purchase[[#All],[Net Qty]])</f>
        <v>95</v>
      </c>
      <c r="G113" s="52">
        <f>Stock[[#This Row],[Opening Stock]]+Stock[[#This Row],[Purchase Stock]]</f>
        <v>141</v>
      </c>
      <c r="H113" s="52">
        <f>SUMIF(Sales[[#All],[Product ID]],Stock[[#This Row],[Product ID]],Sales[[#All],[Net QTY]])</f>
        <v>56</v>
      </c>
      <c r="I113" s="52">
        <f>Stock[[#This Row],[Total Stock]]-Stock[[#This Row],[Selling Stock]]</f>
        <v>85</v>
      </c>
      <c r="J113" s="52">
        <f>VLOOKUP(Stock[[#This Row],[Product ID]],Product[#All],8,0)</f>
        <v>20</v>
      </c>
      <c r="K113" s="52" t="str">
        <f>IF(Stock[[#This Row],[Available Stock]]&lt;=Stock[[#This Row],[Reorder Level]],"Reorder","OK")</f>
        <v>OK</v>
      </c>
    </row>
    <row r="114" spans="1:11" ht="18.75" x14ac:dyDescent="0.25">
      <c r="A114" s="52" t="str">
        <f>Product[[#This Row],[Product ID]]</f>
        <v>P0112</v>
      </c>
      <c r="B114" s="52" t="str">
        <f>VLOOKUP(Stock[[#This Row],[Product ID]],Product[#All],2,0)</f>
        <v>HP Laptop</v>
      </c>
      <c r="C114" s="52" t="str">
        <f>VLOOKUP(Stock[[#This Row],[Product ID]],Product[#All],3,0)</f>
        <v>Laptop</v>
      </c>
      <c r="D114" s="52" t="str">
        <f>VLOOKUP(Stock[[#This Row],[Product ID]],Product[#All],4,0)</f>
        <v>HP</v>
      </c>
      <c r="E114" s="52">
        <f>SUMIF(Opning[[#All],[Product_ID]],Stock[[#This Row],[Product ID]],Opning[[#All],[Opening_Qty]])</f>
        <v>55</v>
      </c>
      <c r="F114" s="52">
        <f>SUMIF(Purchase[[#All],[Product ID]],Stock[[#This Row],[Product ID]],Purchase[[#All],[Net Qty]])</f>
        <v>37</v>
      </c>
      <c r="G114" s="52">
        <f>Stock[[#This Row],[Opening Stock]]+Stock[[#This Row],[Purchase Stock]]</f>
        <v>92</v>
      </c>
      <c r="H114" s="52">
        <f>SUMIF(Sales[[#All],[Product ID]],Stock[[#This Row],[Product ID]],Sales[[#All],[Net QTY]])</f>
        <v>66</v>
      </c>
      <c r="I114" s="52">
        <f>Stock[[#This Row],[Total Stock]]-Stock[[#This Row],[Selling Stock]]</f>
        <v>26</v>
      </c>
      <c r="J114" s="52">
        <f>VLOOKUP(Stock[[#This Row],[Product ID]],Product[#All],8,0)</f>
        <v>8</v>
      </c>
      <c r="K114" s="52" t="str">
        <f>IF(Stock[[#This Row],[Available Stock]]&lt;=Stock[[#This Row],[Reorder Level]],"Reorder","OK")</f>
        <v>OK</v>
      </c>
    </row>
    <row r="115" spans="1:11" ht="18.75" x14ac:dyDescent="0.25">
      <c r="A115" s="52" t="str">
        <f>Product[[#This Row],[Product ID]]</f>
        <v>P0113</v>
      </c>
      <c r="B115" s="52" t="str">
        <f>VLOOKUP(Stock[[#This Row],[Product ID]],Product[#All],2,0)</f>
        <v>Dell Power Adapter</v>
      </c>
      <c r="C115" s="52" t="str">
        <f>VLOOKUP(Stock[[#This Row],[Product ID]],Product[#All],3,0)</f>
        <v>Power Adapter</v>
      </c>
      <c r="D115" s="52" t="str">
        <f>VLOOKUP(Stock[[#This Row],[Product ID]],Product[#All],4,0)</f>
        <v>Dell</v>
      </c>
      <c r="E115" s="52">
        <f>SUMIF(Opning[[#All],[Product_ID]],Stock[[#This Row],[Product ID]],Opning[[#All],[Opening_Qty]])</f>
        <v>33</v>
      </c>
      <c r="F115" s="52">
        <f>SUMIF(Purchase[[#All],[Product ID]],Stock[[#This Row],[Product ID]],Purchase[[#All],[Net Qty]])</f>
        <v>46</v>
      </c>
      <c r="G115" s="52">
        <f>Stock[[#This Row],[Opening Stock]]+Stock[[#This Row],[Purchase Stock]]</f>
        <v>79</v>
      </c>
      <c r="H115" s="52">
        <f>SUMIF(Sales[[#All],[Product ID]],Stock[[#This Row],[Product ID]],Sales[[#All],[Net QTY]])</f>
        <v>64</v>
      </c>
      <c r="I115" s="52">
        <f>Stock[[#This Row],[Total Stock]]-Stock[[#This Row],[Selling Stock]]</f>
        <v>15</v>
      </c>
      <c r="J115" s="52">
        <f>VLOOKUP(Stock[[#This Row],[Product ID]],Product[#All],8,0)</f>
        <v>20</v>
      </c>
      <c r="K115" s="52" t="str">
        <f>IF(Stock[[#This Row],[Available Stock]]&lt;=Stock[[#This Row],[Reorder Level]],"Reorder","OK")</f>
        <v>Reorder</v>
      </c>
    </row>
    <row r="116" spans="1:11" ht="18.75" x14ac:dyDescent="0.25">
      <c r="A116" s="52" t="str">
        <f>Product[[#This Row],[Product ID]]</f>
        <v>P0114</v>
      </c>
      <c r="B116" s="52" t="str">
        <f>VLOOKUP(Stock[[#This Row],[Product ID]],Product[#All],2,0)</f>
        <v>TP-link Router</v>
      </c>
      <c r="C116" s="52" t="str">
        <f>VLOOKUP(Stock[[#This Row],[Product ID]],Product[#All],3,0)</f>
        <v>Router</v>
      </c>
      <c r="D116" s="52" t="str">
        <f>VLOOKUP(Stock[[#This Row],[Product ID]],Product[#All],4,0)</f>
        <v>TP-link</v>
      </c>
      <c r="E116" s="52">
        <f>SUMIF(Opning[[#All],[Product_ID]],Stock[[#This Row],[Product ID]],Opning[[#All],[Opening_Qty]])</f>
        <v>34</v>
      </c>
      <c r="F116" s="52">
        <f>SUMIF(Purchase[[#All],[Product ID]],Stock[[#This Row],[Product ID]],Purchase[[#All],[Net Qty]])</f>
        <v>138</v>
      </c>
      <c r="G116" s="52">
        <f>Stock[[#This Row],[Opening Stock]]+Stock[[#This Row],[Purchase Stock]]</f>
        <v>172</v>
      </c>
      <c r="H116" s="52">
        <f>SUMIF(Sales[[#All],[Product ID]],Stock[[#This Row],[Product ID]],Sales[[#All],[Net QTY]])</f>
        <v>49</v>
      </c>
      <c r="I116" s="52">
        <f>Stock[[#This Row],[Total Stock]]-Stock[[#This Row],[Selling Stock]]</f>
        <v>123</v>
      </c>
      <c r="J116" s="52">
        <f>VLOOKUP(Stock[[#This Row],[Product ID]],Product[#All],8,0)</f>
        <v>8</v>
      </c>
      <c r="K116" s="52" t="str">
        <f>IF(Stock[[#This Row],[Available Stock]]&lt;=Stock[[#This Row],[Reorder Level]],"Reorder","OK")</f>
        <v>OK</v>
      </c>
    </row>
    <row r="117" spans="1:11" ht="18.75" x14ac:dyDescent="0.25">
      <c r="A117" s="52" t="str">
        <f>Product[[#This Row],[Product ID]]</f>
        <v>P0115</v>
      </c>
      <c r="B117" s="52" t="str">
        <f>VLOOKUP(Stock[[#This Row],[Product ID]],Product[#All],2,0)</f>
        <v>Amazon Basics Hdmi Cable</v>
      </c>
      <c r="C117" s="52" t="str">
        <f>VLOOKUP(Stock[[#This Row],[Product ID]],Product[#All],3,0)</f>
        <v>HDMI Cable</v>
      </c>
      <c r="D117" s="52" t="str">
        <f>VLOOKUP(Stock[[#This Row],[Product ID]],Product[#All],4,0)</f>
        <v>Amazon Basics</v>
      </c>
      <c r="E117" s="52">
        <f>SUMIF(Opning[[#All],[Product_ID]],Stock[[#This Row],[Product ID]],Opning[[#All],[Opening_Qty]])</f>
        <v>54</v>
      </c>
      <c r="F117" s="52">
        <f>SUMIF(Purchase[[#All],[Product ID]],Stock[[#This Row],[Product ID]],Purchase[[#All],[Net Qty]])</f>
        <v>92</v>
      </c>
      <c r="G117" s="52">
        <f>Stock[[#This Row],[Opening Stock]]+Stock[[#This Row],[Purchase Stock]]</f>
        <v>146</v>
      </c>
      <c r="H117" s="52">
        <f>SUMIF(Sales[[#All],[Product ID]],Stock[[#This Row],[Product ID]],Sales[[#All],[Net QTY]])</f>
        <v>16</v>
      </c>
      <c r="I117" s="52">
        <f>Stock[[#This Row],[Total Stock]]-Stock[[#This Row],[Selling Stock]]</f>
        <v>130</v>
      </c>
      <c r="J117" s="52">
        <f>VLOOKUP(Stock[[#This Row],[Product ID]],Product[#All],8,0)</f>
        <v>5</v>
      </c>
      <c r="K117" s="52" t="str">
        <f>IF(Stock[[#This Row],[Available Stock]]&lt;=Stock[[#This Row],[Reorder Level]],"Reorder","OK")</f>
        <v>OK</v>
      </c>
    </row>
    <row r="118" spans="1:11" ht="18.75" x14ac:dyDescent="0.25">
      <c r="A118" s="52" t="str">
        <f>Product[[#This Row],[Product ID]]</f>
        <v>P0116</v>
      </c>
      <c r="B118" s="52" t="str">
        <f>VLOOKUP(Stock[[#This Row],[Product ID]],Product[#All],2,0)</f>
        <v>Corsair Ram</v>
      </c>
      <c r="C118" s="52" t="str">
        <f>VLOOKUP(Stock[[#This Row],[Product ID]],Product[#All],3,0)</f>
        <v>RAM</v>
      </c>
      <c r="D118" s="52" t="str">
        <f>VLOOKUP(Stock[[#This Row],[Product ID]],Product[#All],4,0)</f>
        <v>Corsair</v>
      </c>
      <c r="E118" s="52">
        <f>SUMIF(Opning[[#All],[Product_ID]],Stock[[#This Row],[Product ID]],Opning[[#All],[Opening_Qty]])</f>
        <v>21</v>
      </c>
      <c r="F118" s="52">
        <f>SUMIF(Purchase[[#All],[Product ID]],Stock[[#This Row],[Product ID]],Purchase[[#All],[Net Qty]])</f>
        <v>242</v>
      </c>
      <c r="G118" s="52">
        <f>Stock[[#This Row],[Opening Stock]]+Stock[[#This Row],[Purchase Stock]]</f>
        <v>263</v>
      </c>
      <c r="H118" s="52">
        <f>SUMIF(Sales[[#All],[Product ID]],Stock[[#This Row],[Product ID]],Sales[[#All],[Net QTY]])</f>
        <v>36</v>
      </c>
      <c r="I118" s="52">
        <f>Stock[[#This Row],[Total Stock]]-Stock[[#This Row],[Selling Stock]]</f>
        <v>227</v>
      </c>
      <c r="J118" s="52">
        <f>VLOOKUP(Stock[[#This Row],[Product ID]],Product[#All],8,0)</f>
        <v>5</v>
      </c>
      <c r="K118" s="52" t="str">
        <f>IF(Stock[[#This Row],[Available Stock]]&lt;=Stock[[#This Row],[Reorder Level]],"Reorder","OK")</f>
        <v>OK</v>
      </c>
    </row>
    <row r="119" spans="1:11" ht="18.75" x14ac:dyDescent="0.25">
      <c r="A119" s="52" t="str">
        <f>Product[[#This Row],[Product ID]]</f>
        <v>P0117</v>
      </c>
      <c r="B119" s="52" t="str">
        <f>VLOOKUP(Stock[[#This Row],[Product ID]],Product[#All],2,0)</f>
        <v>Jbl Headset</v>
      </c>
      <c r="C119" s="52" t="str">
        <f>VLOOKUP(Stock[[#This Row],[Product ID]],Product[#All],3,0)</f>
        <v>Headset</v>
      </c>
      <c r="D119" s="52" t="str">
        <f>VLOOKUP(Stock[[#This Row],[Product ID]],Product[#All],4,0)</f>
        <v>JBL</v>
      </c>
      <c r="E119" s="52">
        <f>SUMIF(Opning[[#All],[Product_ID]],Stock[[#This Row],[Product ID]],Opning[[#All],[Opening_Qty]])</f>
        <v>40</v>
      </c>
      <c r="F119" s="52">
        <f>SUMIF(Purchase[[#All],[Product ID]],Stock[[#This Row],[Product ID]],Purchase[[#All],[Net Qty]])</f>
        <v>84</v>
      </c>
      <c r="G119" s="52">
        <f>Stock[[#This Row],[Opening Stock]]+Stock[[#This Row],[Purchase Stock]]</f>
        <v>124</v>
      </c>
      <c r="H119" s="52">
        <f>SUMIF(Sales[[#All],[Product ID]],Stock[[#This Row],[Product ID]],Sales[[#All],[Net QTY]])</f>
        <v>60</v>
      </c>
      <c r="I119" s="52">
        <f>Stock[[#This Row],[Total Stock]]-Stock[[#This Row],[Selling Stock]]</f>
        <v>64</v>
      </c>
      <c r="J119" s="52">
        <f>VLOOKUP(Stock[[#This Row],[Product ID]],Product[#All],8,0)</f>
        <v>10</v>
      </c>
      <c r="K119" s="52" t="str">
        <f>IF(Stock[[#This Row],[Available Stock]]&lt;=Stock[[#This Row],[Reorder Level]],"Reorder","OK")</f>
        <v>OK</v>
      </c>
    </row>
    <row r="120" spans="1:11" ht="18.75" x14ac:dyDescent="0.25">
      <c r="A120" s="52" t="str">
        <f>Product[[#This Row],[Product ID]]</f>
        <v>P0118</v>
      </c>
      <c r="B120" s="52" t="str">
        <f>VLOOKUP(Stock[[#This Row],[Product ID]],Product[#All],2,0)</f>
        <v>Kingston Ram</v>
      </c>
      <c r="C120" s="52" t="str">
        <f>VLOOKUP(Stock[[#This Row],[Product ID]],Product[#All],3,0)</f>
        <v>RAM</v>
      </c>
      <c r="D120" s="52" t="str">
        <f>VLOOKUP(Stock[[#This Row],[Product ID]],Product[#All],4,0)</f>
        <v>Kingston</v>
      </c>
      <c r="E120" s="52">
        <f>SUMIF(Opning[[#All],[Product_ID]],Stock[[#This Row],[Product ID]],Opning[[#All],[Opening_Qty]])</f>
        <v>17</v>
      </c>
      <c r="F120" s="52">
        <f>SUMIF(Purchase[[#All],[Product ID]],Stock[[#This Row],[Product ID]],Purchase[[#All],[Net Qty]])</f>
        <v>109</v>
      </c>
      <c r="G120" s="52">
        <f>Stock[[#This Row],[Opening Stock]]+Stock[[#This Row],[Purchase Stock]]</f>
        <v>126</v>
      </c>
      <c r="H120" s="52">
        <f>SUMIF(Sales[[#All],[Product ID]],Stock[[#This Row],[Product ID]],Sales[[#All],[Net QTY]])</f>
        <v>49</v>
      </c>
      <c r="I120" s="52">
        <f>Stock[[#This Row],[Total Stock]]-Stock[[#This Row],[Selling Stock]]</f>
        <v>77</v>
      </c>
      <c r="J120" s="52">
        <f>VLOOKUP(Stock[[#This Row],[Product ID]],Product[#All],8,0)</f>
        <v>15</v>
      </c>
      <c r="K120" s="52" t="str">
        <f>IF(Stock[[#This Row],[Available Stock]]&lt;=Stock[[#This Row],[Reorder Level]],"Reorder","OK")</f>
        <v>OK</v>
      </c>
    </row>
    <row r="121" spans="1:11" ht="18.75" x14ac:dyDescent="0.25">
      <c r="A121" s="52" t="str">
        <f>Product[[#This Row],[Product ID]]</f>
        <v>P0119</v>
      </c>
      <c r="B121" s="52" t="str">
        <f>VLOOKUP(Stock[[#This Row],[Product ID]],Product[#All],2,0)</f>
        <v>Canon Printer</v>
      </c>
      <c r="C121" s="52" t="str">
        <f>VLOOKUP(Stock[[#This Row],[Product ID]],Product[#All],3,0)</f>
        <v>Printer</v>
      </c>
      <c r="D121" s="52" t="str">
        <f>VLOOKUP(Stock[[#This Row],[Product ID]],Product[#All],4,0)</f>
        <v>Canon</v>
      </c>
      <c r="E121" s="52">
        <f>SUMIF(Opning[[#All],[Product_ID]],Stock[[#This Row],[Product ID]],Opning[[#All],[Opening_Qty]])</f>
        <v>70</v>
      </c>
      <c r="F121" s="52">
        <f>SUMIF(Purchase[[#All],[Product ID]],Stock[[#This Row],[Product ID]],Purchase[[#All],[Net Qty]])</f>
        <v>7</v>
      </c>
      <c r="G121" s="52">
        <f>Stock[[#This Row],[Opening Stock]]+Stock[[#This Row],[Purchase Stock]]</f>
        <v>77</v>
      </c>
      <c r="H121" s="52">
        <f>SUMIF(Sales[[#All],[Product ID]],Stock[[#This Row],[Product ID]],Sales[[#All],[Net QTY]])</f>
        <v>42</v>
      </c>
      <c r="I121" s="52">
        <f>Stock[[#This Row],[Total Stock]]-Stock[[#This Row],[Selling Stock]]</f>
        <v>35</v>
      </c>
      <c r="J121" s="52">
        <f>VLOOKUP(Stock[[#This Row],[Product ID]],Product[#All],8,0)</f>
        <v>5</v>
      </c>
      <c r="K121" s="52" t="str">
        <f>IF(Stock[[#This Row],[Available Stock]]&lt;=Stock[[#This Row],[Reorder Level]],"Reorder","OK")</f>
        <v>OK</v>
      </c>
    </row>
    <row r="122" spans="1:11" ht="18.75" x14ac:dyDescent="0.25">
      <c r="A122" s="52" t="str">
        <f>Product[[#This Row],[Product ID]]</f>
        <v>P0120</v>
      </c>
      <c r="B122" s="52" t="str">
        <f>VLOOKUP(Stock[[#This Row],[Product ID]],Product[#All],2,0)</f>
        <v>Logitech Keyboard</v>
      </c>
      <c r="C122" s="52" t="str">
        <f>VLOOKUP(Stock[[#This Row],[Product ID]],Product[#All],3,0)</f>
        <v>Keyboard</v>
      </c>
      <c r="D122" s="52" t="str">
        <f>VLOOKUP(Stock[[#This Row],[Product ID]],Product[#All],4,0)</f>
        <v>Logitech</v>
      </c>
      <c r="E122" s="52">
        <f>SUMIF(Opning[[#All],[Product_ID]],Stock[[#This Row],[Product ID]],Opning[[#All],[Opening_Qty]])</f>
        <v>34</v>
      </c>
      <c r="F122" s="52">
        <f>SUMIF(Purchase[[#All],[Product ID]],Stock[[#This Row],[Product ID]],Purchase[[#All],[Net Qty]])</f>
        <v>118</v>
      </c>
      <c r="G122" s="52">
        <f>Stock[[#This Row],[Opening Stock]]+Stock[[#This Row],[Purchase Stock]]</f>
        <v>152</v>
      </c>
      <c r="H122" s="52">
        <f>SUMIF(Sales[[#All],[Product ID]],Stock[[#This Row],[Product ID]],Sales[[#All],[Net QTY]])</f>
        <v>55</v>
      </c>
      <c r="I122" s="52">
        <f>Stock[[#This Row],[Total Stock]]-Stock[[#This Row],[Selling Stock]]</f>
        <v>97</v>
      </c>
      <c r="J122" s="52">
        <f>VLOOKUP(Stock[[#This Row],[Product ID]],Product[#All],8,0)</f>
        <v>25</v>
      </c>
      <c r="K122" s="52" t="str">
        <f>IF(Stock[[#This Row],[Available Stock]]&lt;=Stock[[#This Row],[Reorder Level]],"Reorder","OK")</f>
        <v>OK</v>
      </c>
    </row>
    <row r="123" spans="1:11" ht="18.75" x14ac:dyDescent="0.25">
      <c r="A123" s="52" t="str">
        <f>Product[[#This Row],[Product ID]]</f>
        <v>P0121</v>
      </c>
      <c r="B123" s="52" t="str">
        <f>VLOOKUP(Stock[[#This Row],[Product ID]],Product[#All],2,0)</f>
        <v>TP-link Wi-Fi Adapter</v>
      </c>
      <c r="C123" s="52" t="str">
        <f>VLOOKUP(Stock[[#This Row],[Product ID]],Product[#All],3,0)</f>
        <v>Wi-Fi Adapter</v>
      </c>
      <c r="D123" s="52" t="str">
        <f>VLOOKUP(Stock[[#This Row],[Product ID]],Product[#All],4,0)</f>
        <v>TP-link</v>
      </c>
      <c r="E123" s="52">
        <f>SUMIF(Opning[[#All],[Product_ID]],Stock[[#This Row],[Product ID]],Opning[[#All],[Opening_Qty]])</f>
        <v>32</v>
      </c>
      <c r="F123" s="52">
        <f>SUMIF(Purchase[[#All],[Product ID]],Stock[[#This Row],[Product ID]],Purchase[[#All],[Net Qty]])</f>
        <v>14</v>
      </c>
      <c r="G123" s="52">
        <f>Stock[[#This Row],[Opening Stock]]+Stock[[#This Row],[Purchase Stock]]</f>
        <v>46</v>
      </c>
      <c r="H123" s="52">
        <f>SUMIF(Sales[[#All],[Product ID]],Stock[[#This Row],[Product ID]],Sales[[#All],[Net QTY]])</f>
        <v>46</v>
      </c>
      <c r="I123" s="52">
        <f>Stock[[#This Row],[Total Stock]]-Stock[[#This Row],[Selling Stock]]</f>
        <v>0</v>
      </c>
      <c r="J123" s="52">
        <f>VLOOKUP(Stock[[#This Row],[Product ID]],Product[#All],8,0)</f>
        <v>10</v>
      </c>
      <c r="K123" s="52" t="str">
        <f>IF(Stock[[#This Row],[Available Stock]]&lt;=Stock[[#This Row],[Reorder Level]],"Reorder","OK")</f>
        <v>Reorder</v>
      </c>
    </row>
    <row r="124" spans="1:11" ht="18.75" x14ac:dyDescent="0.25">
      <c r="A124" s="52" t="str">
        <f>Product[[#This Row],[Product ID]]</f>
        <v>P0122</v>
      </c>
      <c r="B124" s="52" t="str">
        <f>VLOOKUP(Stock[[#This Row],[Product ID]],Product[#All],2,0)</f>
        <v>Dell Monitor</v>
      </c>
      <c r="C124" s="52" t="str">
        <f>VLOOKUP(Stock[[#This Row],[Product ID]],Product[#All],3,0)</f>
        <v>Monitor</v>
      </c>
      <c r="D124" s="52" t="str">
        <f>VLOOKUP(Stock[[#This Row],[Product ID]],Product[#All],4,0)</f>
        <v>Dell</v>
      </c>
      <c r="E124" s="52">
        <f>SUMIF(Opning[[#All],[Product_ID]],Stock[[#This Row],[Product ID]],Opning[[#All],[Opening_Qty]])</f>
        <v>10</v>
      </c>
      <c r="F124" s="52">
        <f>SUMIF(Purchase[[#All],[Product ID]],Stock[[#This Row],[Product ID]],Purchase[[#All],[Net Qty]])</f>
        <v>79</v>
      </c>
      <c r="G124" s="52">
        <f>Stock[[#This Row],[Opening Stock]]+Stock[[#This Row],[Purchase Stock]]</f>
        <v>89</v>
      </c>
      <c r="H124" s="52">
        <f>SUMIF(Sales[[#All],[Product ID]],Stock[[#This Row],[Product ID]],Sales[[#All],[Net QTY]])</f>
        <v>41</v>
      </c>
      <c r="I124" s="52">
        <f>Stock[[#This Row],[Total Stock]]-Stock[[#This Row],[Selling Stock]]</f>
        <v>48</v>
      </c>
      <c r="J124" s="52">
        <f>VLOOKUP(Stock[[#This Row],[Product ID]],Product[#All],8,0)</f>
        <v>5</v>
      </c>
      <c r="K124" s="52" t="str">
        <f>IF(Stock[[#This Row],[Available Stock]]&lt;=Stock[[#This Row],[Reorder Level]],"Reorder","OK")</f>
        <v>OK</v>
      </c>
    </row>
    <row r="125" spans="1:11" ht="18.75" x14ac:dyDescent="0.25">
      <c r="A125" s="52" t="str">
        <f>Product[[#This Row],[Product ID]]</f>
        <v>P0123</v>
      </c>
      <c r="B125" s="52" t="str">
        <f>VLOOKUP(Stock[[#This Row],[Product ID]],Product[#All],2,0)</f>
        <v>Lenovo Laptop</v>
      </c>
      <c r="C125" s="52" t="str">
        <f>VLOOKUP(Stock[[#This Row],[Product ID]],Product[#All],3,0)</f>
        <v>Laptop</v>
      </c>
      <c r="D125" s="52" t="str">
        <f>VLOOKUP(Stock[[#This Row],[Product ID]],Product[#All],4,0)</f>
        <v>Lenovo</v>
      </c>
      <c r="E125" s="52">
        <f>SUMIF(Opning[[#All],[Product_ID]],Stock[[#This Row],[Product ID]],Opning[[#All],[Opening_Qty]])</f>
        <v>38</v>
      </c>
      <c r="F125" s="52">
        <f>SUMIF(Purchase[[#All],[Product ID]],Stock[[#This Row],[Product ID]],Purchase[[#All],[Net Qty]])</f>
        <v>74</v>
      </c>
      <c r="G125" s="52">
        <f>Stock[[#This Row],[Opening Stock]]+Stock[[#This Row],[Purchase Stock]]</f>
        <v>112</v>
      </c>
      <c r="H125" s="52">
        <f>SUMIF(Sales[[#All],[Product ID]],Stock[[#This Row],[Product ID]],Sales[[#All],[Net QTY]])</f>
        <v>76</v>
      </c>
      <c r="I125" s="52">
        <f>Stock[[#This Row],[Total Stock]]-Stock[[#This Row],[Selling Stock]]</f>
        <v>36</v>
      </c>
      <c r="J125" s="52">
        <f>VLOOKUP(Stock[[#This Row],[Product ID]],Product[#All],8,0)</f>
        <v>10</v>
      </c>
      <c r="K125" s="52" t="str">
        <f>IF(Stock[[#This Row],[Available Stock]]&lt;=Stock[[#This Row],[Reorder Level]],"Reorder","OK")</f>
        <v>OK</v>
      </c>
    </row>
    <row r="126" spans="1:11" ht="18.75" x14ac:dyDescent="0.25">
      <c r="A126" s="52" t="str">
        <f>Product[[#This Row],[Product ID]]</f>
        <v>P0124</v>
      </c>
      <c r="B126" s="52" t="str">
        <f>VLOOKUP(Stock[[#This Row],[Product ID]],Product[#All],2,0)</f>
        <v>Boat Headset</v>
      </c>
      <c r="C126" s="52" t="str">
        <f>VLOOKUP(Stock[[#This Row],[Product ID]],Product[#All],3,0)</f>
        <v>Headset</v>
      </c>
      <c r="D126" s="52" t="str">
        <f>VLOOKUP(Stock[[#This Row],[Product ID]],Product[#All],4,0)</f>
        <v>Boat</v>
      </c>
      <c r="E126" s="52">
        <f>SUMIF(Opning[[#All],[Product_ID]],Stock[[#This Row],[Product ID]],Opning[[#All],[Opening_Qty]])</f>
        <v>30</v>
      </c>
      <c r="F126" s="52">
        <f>SUMIF(Purchase[[#All],[Product ID]],Stock[[#This Row],[Product ID]],Purchase[[#All],[Net Qty]])</f>
        <v>151</v>
      </c>
      <c r="G126" s="52">
        <f>Stock[[#This Row],[Opening Stock]]+Stock[[#This Row],[Purchase Stock]]</f>
        <v>181</v>
      </c>
      <c r="H126" s="52">
        <f>SUMIF(Sales[[#All],[Product ID]],Stock[[#This Row],[Product ID]],Sales[[#All],[Net QTY]])</f>
        <v>34</v>
      </c>
      <c r="I126" s="52">
        <f>Stock[[#This Row],[Total Stock]]-Stock[[#This Row],[Selling Stock]]</f>
        <v>147</v>
      </c>
      <c r="J126" s="52">
        <f>VLOOKUP(Stock[[#This Row],[Product ID]],Product[#All],8,0)</f>
        <v>15</v>
      </c>
      <c r="K126" s="52" t="str">
        <f>IF(Stock[[#This Row],[Available Stock]]&lt;=Stock[[#This Row],[Reorder Level]],"Reorder","OK")</f>
        <v>OK</v>
      </c>
    </row>
    <row r="127" spans="1:11" ht="18.75" x14ac:dyDescent="0.25">
      <c r="A127" s="52" t="str">
        <f>Product[[#This Row],[Product ID]]</f>
        <v>P0125</v>
      </c>
      <c r="B127" s="52" t="str">
        <f>VLOOKUP(Stock[[#This Row],[Product ID]],Product[#All],2,0)</f>
        <v>Jbl Headset</v>
      </c>
      <c r="C127" s="52" t="str">
        <f>VLOOKUP(Stock[[#This Row],[Product ID]],Product[#All],3,0)</f>
        <v>Headset</v>
      </c>
      <c r="D127" s="52" t="str">
        <f>VLOOKUP(Stock[[#This Row],[Product ID]],Product[#All],4,0)</f>
        <v>JBL</v>
      </c>
      <c r="E127" s="52">
        <f>SUMIF(Opning[[#All],[Product_ID]],Stock[[#This Row],[Product ID]],Opning[[#All],[Opening_Qty]])</f>
        <v>23</v>
      </c>
      <c r="F127" s="52">
        <f>SUMIF(Purchase[[#All],[Product ID]],Stock[[#This Row],[Product ID]],Purchase[[#All],[Net Qty]])</f>
        <v>71</v>
      </c>
      <c r="G127" s="52">
        <f>Stock[[#This Row],[Opening Stock]]+Stock[[#This Row],[Purchase Stock]]</f>
        <v>94</v>
      </c>
      <c r="H127" s="52">
        <f>SUMIF(Sales[[#All],[Product ID]],Stock[[#This Row],[Product ID]],Sales[[#All],[Net QTY]])</f>
        <v>28</v>
      </c>
      <c r="I127" s="52">
        <f>Stock[[#This Row],[Total Stock]]-Stock[[#This Row],[Selling Stock]]</f>
        <v>66</v>
      </c>
      <c r="J127" s="52">
        <f>VLOOKUP(Stock[[#This Row],[Product ID]],Product[#All],8,0)</f>
        <v>5</v>
      </c>
      <c r="K127" s="52" t="str">
        <f>IF(Stock[[#This Row],[Available Stock]]&lt;=Stock[[#This Row],[Reorder Level]],"Reorder","OK")</f>
        <v>OK</v>
      </c>
    </row>
    <row r="128" spans="1:11" ht="18.75" x14ac:dyDescent="0.25">
      <c r="A128" s="52" t="str">
        <f>Product[[#This Row],[Product ID]]</f>
        <v>P0126</v>
      </c>
      <c r="B128" s="52" t="str">
        <f>VLOOKUP(Stock[[#This Row],[Product ID]],Product[#All],2,0)</f>
        <v>HP Desktop</v>
      </c>
      <c r="C128" s="52" t="str">
        <f>VLOOKUP(Stock[[#This Row],[Product ID]],Product[#All],3,0)</f>
        <v>DESKTOP</v>
      </c>
      <c r="D128" s="52" t="str">
        <f>VLOOKUP(Stock[[#This Row],[Product ID]],Product[#All],4,0)</f>
        <v>HP</v>
      </c>
      <c r="E128" s="52">
        <f>SUMIF(Opning[[#All],[Product_ID]],Stock[[#This Row],[Product ID]],Opning[[#All],[Opening_Qty]])</f>
        <v>32</v>
      </c>
      <c r="F128" s="52">
        <f>SUMIF(Purchase[[#All],[Product ID]],Stock[[#This Row],[Product ID]],Purchase[[#All],[Net Qty]])</f>
        <v>63</v>
      </c>
      <c r="G128" s="52">
        <f>Stock[[#This Row],[Opening Stock]]+Stock[[#This Row],[Purchase Stock]]</f>
        <v>95</v>
      </c>
      <c r="H128" s="52">
        <f>SUMIF(Sales[[#All],[Product ID]],Stock[[#This Row],[Product ID]],Sales[[#All],[Net QTY]])</f>
        <v>36</v>
      </c>
      <c r="I128" s="52">
        <f>Stock[[#This Row],[Total Stock]]-Stock[[#This Row],[Selling Stock]]</f>
        <v>59</v>
      </c>
      <c r="J128" s="52">
        <f>VLOOKUP(Stock[[#This Row],[Product ID]],Product[#All],8,0)</f>
        <v>10</v>
      </c>
      <c r="K128" s="52" t="str">
        <f>IF(Stock[[#This Row],[Available Stock]]&lt;=Stock[[#This Row],[Reorder Level]],"Reorder","OK")</f>
        <v>OK</v>
      </c>
    </row>
    <row r="129" spans="1:11" ht="18.75" x14ac:dyDescent="0.25">
      <c r="A129" s="52" t="str">
        <f>Product[[#This Row],[Product ID]]</f>
        <v>P0127</v>
      </c>
      <c r="B129" s="52" t="str">
        <f>VLOOKUP(Stock[[#This Row],[Product ID]],Product[#All],2,0)</f>
        <v>Boat Headset</v>
      </c>
      <c r="C129" s="52" t="str">
        <f>VLOOKUP(Stock[[#This Row],[Product ID]],Product[#All],3,0)</f>
        <v>Headset</v>
      </c>
      <c r="D129" s="52" t="str">
        <f>VLOOKUP(Stock[[#This Row],[Product ID]],Product[#All],4,0)</f>
        <v>Boat</v>
      </c>
      <c r="E129" s="52">
        <f>SUMIF(Opning[[#All],[Product_ID]],Stock[[#This Row],[Product ID]],Opning[[#All],[Opening_Qty]])</f>
        <v>41</v>
      </c>
      <c r="F129" s="52">
        <f>SUMIF(Purchase[[#All],[Product ID]],Stock[[#This Row],[Product ID]],Purchase[[#All],[Net Qty]])</f>
        <v>136</v>
      </c>
      <c r="G129" s="52">
        <f>Stock[[#This Row],[Opening Stock]]+Stock[[#This Row],[Purchase Stock]]</f>
        <v>177</v>
      </c>
      <c r="H129" s="52">
        <f>SUMIF(Sales[[#All],[Product ID]],Stock[[#This Row],[Product ID]],Sales[[#All],[Net QTY]])</f>
        <v>25</v>
      </c>
      <c r="I129" s="52">
        <f>Stock[[#This Row],[Total Stock]]-Stock[[#This Row],[Selling Stock]]</f>
        <v>152</v>
      </c>
      <c r="J129" s="52">
        <f>VLOOKUP(Stock[[#This Row],[Product ID]],Product[#All],8,0)</f>
        <v>10</v>
      </c>
      <c r="K129" s="52" t="str">
        <f>IF(Stock[[#This Row],[Available Stock]]&lt;=Stock[[#This Row],[Reorder Level]],"Reorder","OK")</f>
        <v>OK</v>
      </c>
    </row>
    <row r="130" spans="1:11" ht="18.75" x14ac:dyDescent="0.25">
      <c r="A130" s="52" t="str">
        <f>Product[[#This Row],[Product ID]]</f>
        <v>P0128</v>
      </c>
      <c r="B130" s="52" t="str">
        <f>VLOOKUP(Stock[[#This Row],[Product ID]],Product[#All],2,0)</f>
        <v>Dell Monitor</v>
      </c>
      <c r="C130" s="52" t="str">
        <f>VLOOKUP(Stock[[#This Row],[Product ID]],Product[#All],3,0)</f>
        <v>Monitor</v>
      </c>
      <c r="D130" s="52" t="str">
        <f>VLOOKUP(Stock[[#This Row],[Product ID]],Product[#All],4,0)</f>
        <v>Dell</v>
      </c>
      <c r="E130" s="52">
        <f>SUMIF(Opning[[#All],[Product_ID]],Stock[[#This Row],[Product ID]],Opning[[#All],[Opening_Qty]])</f>
        <v>59</v>
      </c>
      <c r="F130" s="52">
        <f>SUMIF(Purchase[[#All],[Product ID]],Stock[[#This Row],[Product ID]],Purchase[[#All],[Net Qty]])</f>
        <v>26</v>
      </c>
      <c r="G130" s="52">
        <f>Stock[[#This Row],[Opening Stock]]+Stock[[#This Row],[Purchase Stock]]</f>
        <v>85</v>
      </c>
      <c r="H130" s="52">
        <f>SUMIF(Sales[[#All],[Product ID]],Stock[[#This Row],[Product ID]],Sales[[#All],[Net QTY]])</f>
        <v>49</v>
      </c>
      <c r="I130" s="52">
        <f>Stock[[#This Row],[Total Stock]]-Stock[[#This Row],[Selling Stock]]</f>
        <v>36</v>
      </c>
      <c r="J130" s="52">
        <f>VLOOKUP(Stock[[#This Row],[Product ID]],Product[#All],8,0)</f>
        <v>15</v>
      </c>
      <c r="K130" s="52" t="str">
        <f>IF(Stock[[#This Row],[Available Stock]]&lt;=Stock[[#This Row],[Reorder Level]],"Reorder","OK")</f>
        <v>OK</v>
      </c>
    </row>
    <row r="131" spans="1:11" ht="18.75" x14ac:dyDescent="0.25">
      <c r="A131" s="52" t="str">
        <f>Product[[#This Row],[Product ID]]</f>
        <v>P0129</v>
      </c>
      <c r="B131" s="52" t="str">
        <f>VLOOKUP(Stock[[#This Row],[Product ID]],Product[#All],2,0)</f>
        <v>Dell Laptop</v>
      </c>
      <c r="C131" s="52" t="str">
        <f>VLOOKUP(Stock[[#This Row],[Product ID]],Product[#All],3,0)</f>
        <v>Laptop</v>
      </c>
      <c r="D131" s="52" t="str">
        <f>VLOOKUP(Stock[[#This Row],[Product ID]],Product[#All],4,0)</f>
        <v>Dell</v>
      </c>
      <c r="E131" s="52">
        <f>SUMIF(Opning[[#All],[Product_ID]],Stock[[#This Row],[Product ID]],Opning[[#All],[Opening_Qty]])</f>
        <v>7</v>
      </c>
      <c r="F131" s="52">
        <f>SUMIF(Purchase[[#All],[Product ID]],Stock[[#This Row],[Product ID]],Purchase[[#All],[Net Qty]])</f>
        <v>170</v>
      </c>
      <c r="G131" s="52">
        <f>Stock[[#This Row],[Opening Stock]]+Stock[[#This Row],[Purchase Stock]]</f>
        <v>177</v>
      </c>
      <c r="H131" s="52">
        <f>SUMIF(Sales[[#All],[Product ID]],Stock[[#This Row],[Product ID]],Sales[[#All],[Net QTY]])</f>
        <v>35</v>
      </c>
      <c r="I131" s="52">
        <f>Stock[[#This Row],[Total Stock]]-Stock[[#This Row],[Selling Stock]]</f>
        <v>142</v>
      </c>
      <c r="J131" s="52">
        <f>VLOOKUP(Stock[[#This Row],[Product ID]],Product[#All],8,0)</f>
        <v>15</v>
      </c>
      <c r="K131" s="52" t="str">
        <f>IF(Stock[[#This Row],[Available Stock]]&lt;=Stock[[#This Row],[Reorder Level]],"Reorder","OK")</f>
        <v>OK</v>
      </c>
    </row>
    <row r="132" spans="1:11" ht="18.75" x14ac:dyDescent="0.25">
      <c r="A132" s="52" t="str">
        <f>Product[[#This Row],[Product ID]]</f>
        <v>P0130</v>
      </c>
      <c r="B132" s="52" t="str">
        <f>VLOOKUP(Stock[[#This Row],[Product ID]],Product[#All],2,0)</f>
        <v>Kingston Ram</v>
      </c>
      <c r="C132" s="52" t="str">
        <f>VLOOKUP(Stock[[#This Row],[Product ID]],Product[#All],3,0)</f>
        <v>RAM</v>
      </c>
      <c r="D132" s="52" t="str">
        <f>VLOOKUP(Stock[[#This Row],[Product ID]],Product[#All],4,0)</f>
        <v>Kingston</v>
      </c>
      <c r="E132" s="52">
        <f>SUMIF(Opning[[#All],[Product_ID]],Stock[[#This Row],[Product ID]],Opning[[#All],[Opening_Qty]])</f>
        <v>29</v>
      </c>
      <c r="F132" s="52">
        <f>SUMIF(Purchase[[#All],[Product ID]],Stock[[#This Row],[Product ID]],Purchase[[#All],[Net Qty]])</f>
        <v>60</v>
      </c>
      <c r="G132" s="52">
        <f>Stock[[#This Row],[Opening Stock]]+Stock[[#This Row],[Purchase Stock]]</f>
        <v>89</v>
      </c>
      <c r="H132" s="52">
        <f>SUMIF(Sales[[#All],[Product ID]],Stock[[#This Row],[Product ID]],Sales[[#All],[Net QTY]])</f>
        <v>47</v>
      </c>
      <c r="I132" s="52">
        <f>Stock[[#This Row],[Total Stock]]-Stock[[#This Row],[Selling Stock]]</f>
        <v>42</v>
      </c>
      <c r="J132" s="52">
        <f>VLOOKUP(Stock[[#This Row],[Product ID]],Product[#All],8,0)</f>
        <v>8</v>
      </c>
      <c r="K132" s="52" t="str">
        <f>IF(Stock[[#This Row],[Available Stock]]&lt;=Stock[[#This Row],[Reorder Level]],"Reorder","OK")</f>
        <v>OK</v>
      </c>
    </row>
    <row r="133" spans="1:11" ht="18.75" x14ac:dyDescent="0.25">
      <c r="A133" s="52" t="str">
        <f>Product[[#This Row],[Product ID]]</f>
        <v>P0131</v>
      </c>
      <c r="B133" s="52" t="str">
        <f>VLOOKUP(Stock[[#This Row],[Product ID]],Product[#All],2,0)</f>
        <v>TP-link Wi-Fi Adapter</v>
      </c>
      <c r="C133" s="52" t="str">
        <f>VLOOKUP(Stock[[#This Row],[Product ID]],Product[#All],3,0)</f>
        <v>Wi-Fi Adapter</v>
      </c>
      <c r="D133" s="52" t="str">
        <f>VLOOKUP(Stock[[#This Row],[Product ID]],Product[#All],4,0)</f>
        <v>TP-link</v>
      </c>
      <c r="E133" s="52">
        <f>SUMIF(Opning[[#All],[Product_ID]],Stock[[#This Row],[Product ID]],Opning[[#All],[Opening_Qty]])</f>
        <v>56</v>
      </c>
      <c r="F133" s="52">
        <f>SUMIF(Purchase[[#All],[Product ID]],Stock[[#This Row],[Product ID]],Purchase[[#All],[Net Qty]])</f>
        <v>82</v>
      </c>
      <c r="G133" s="52">
        <f>Stock[[#This Row],[Opening Stock]]+Stock[[#This Row],[Purchase Stock]]</f>
        <v>138</v>
      </c>
      <c r="H133" s="52">
        <f>SUMIF(Sales[[#All],[Product ID]],Stock[[#This Row],[Product ID]],Sales[[#All],[Net QTY]])</f>
        <v>46</v>
      </c>
      <c r="I133" s="52">
        <f>Stock[[#This Row],[Total Stock]]-Stock[[#This Row],[Selling Stock]]</f>
        <v>92</v>
      </c>
      <c r="J133" s="52">
        <f>VLOOKUP(Stock[[#This Row],[Product ID]],Product[#All],8,0)</f>
        <v>10</v>
      </c>
      <c r="K133" s="52" t="str">
        <f>IF(Stock[[#This Row],[Available Stock]]&lt;=Stock[[#This Row],[Reorder Level]],"Reorder","OK")</f>
        <v>OK</v>
      </c>
    </row>
    <row r="134" spans="1:11" ht="18.75" x14ac:dyDescent="0.25">
      <c r="A134" s="52" t="str">
        <f>Product[[#This Row],[Product ID]]</f>
        <v>P0132</v>
      </c>
      <c r="B134" s="52" t="str">
        <f>VLOOKUP(Stock[[#This Row],[Product ID]],Product[#All],2,0)</f>
        <v>Kingston Ram</v>
      </c>
      <c r="C134" s="52" t="str">
        <f>VLOOKUP(Stock[[#This Row],[Product ID]],Product[#All],3,0)</f>
        <v>RAM</v>
      </c>
      <c r="D134" s="52" t="str">
        <f>VLOOKUP(Stock[[#This Row],[Product ID]],Product[#All],4,0)</f>
        <v>Kingston</v>
      </c>
      <c r="E134" s="52">
        <f>SUMIF(Opning[[#All],[Product_ID]],Stock[[#This Row],[Product ID]],Opning[[#All],[Opening_Qty]])</f>
        <v>58</v>
      </c>
      <c r="F134" s="52">
        <f>SUMIF(Purchase[[#All],[Product ID]],Stock[[#This Row],[Product ID]],Purchase[[#All],[Net Qty]])</f>
        <v>70</v>
      </c>
      <c r="G134" s="52">
        <f>Stock[[#This Row],[Opening Stock]]+Stock[[#This Row],[Purchase Stock]]</f>
        <v>128</v>
      </c>
      <c r="H134" s="52">
        <f>SUMIF(Sales[[#All],[Product ID]],Stock[[#This Row],[Product ID]],Sales[[#All],[Net QTY]])</f>
        <v>31</v>
      </c>
      <c r="I134" s="52">
        <f>Stock[[#This Row],[Total Stock]]-Stock[[#This Row],[Selling Stock]]</f>
        <v>97</v>
      </c>
      <c r="J134" s="52">
        <f>VLOOKUP(Stock[[#This Row],[Product ID]],Product[#All],8,0)</f>
        <v>20</v>
      </c>
      <c r="K134" s="52" t="str">
        <f>IF(Stock[[#This Row],[Available Stock]]&lt;=Stock[[#This Row],[Reorder Level]],"Reorder","OK")</f>
        <v>OK</v>
      </c>
    </row>
    <row r="135" spans="1:11" ht="18.75" x14ac:dyDescent="0.25">
      <c r="A135" s="52" t="str">
        <f>Product[[#This Row],[Product ID]]</f>
        <v>P0133</v>
      </c>
      <c r="B135" s="52" t="str">
        <f>VLOOKUP(Stock[[#This Row],[Product ID]],Product[#All],2,0)</f>
        <v>Logitech Webcam</v>
      </c>
      <c r="C135" s="52" t="str">
        <f>VLOOKUP(Stock[[#This Row],[Product ID]],Product[#All],3,0)</f>
        <v>Webcam</v>
      </c>
      <c r="D135" s="52" t="str">
        <f>VLOOKUP(Stock[[#This Row],[Product ID]],Product[#All],4,0)</f>
        <v>Logitech</v>
      </c>
      <c r="E135" s="52">
        <f>SUMIF(Opning[[#All],[Product_ID]],Stock[[#This Row],[Product ID]],Opning[[#All],[Opening_Qty]])</f>
        <v>36</v>
      </c>
      <c r="F135" s="52">
        <f>SUMIF(Purchase[[#All],[Product ID]],Stock[[#This Row],[Product ID]],Purchase[[#All],[Net Qty]])</f>
        <v>145</v>
      </c>
      <c r="G135" s="52">
        <f>Stock[[#This Row],[Opening Stock]]+Stock[[#This Row],[Purchase Stock]]</f>
        <v>181</v>
      </c>
      <c r="H135" s="52">
        <f>SUMIF(Sales[[#All],[Product ID]],Stock[[#This Row],[Product ID]],Sales[[#All],[Net QTY]])</f>
        <v>54</v>
      </c>
      <c r="I135" s="52">
        <f>Stock[[#This Row],[Total Stock]]-Stock[[#This Row],[Selling Stock]]</f>
        <v>127</v>
      </c>
      <c r="J135" s="52">
        <f>VLOOKUP(Stock[[#This Row],[Product ID]],Product[#All],8,0)</f>
        <v>25</v>
      </c>
      <c r="K135" s="52" t="str">
        <f>IF(Stock[[#This Row],[Available Stock]]&lt;=Stock[[#This Row],[Reorder Level]],"Reorder","OK")</f>
        <v>OK</v>
      </c>
    </row>
    <row r="136" spans="1:11" ht="18.75" x14ac:dyDescent="0.25">
      <c r="A136" s="52" t="str">
        <f>Product[[#This Row],[Product ID]]</f>
        <v>P0134</v>
      </c>
      <c r="B136" s="52" t="str">
        <f>VLOOKUP(Stock[[#This Row],[Product ID]],Product[#All],2,0)</f>
        <v>Kingston Ram</v>
      </c>
      <c r="C136" s="52" t="str">
        <f>VLOOKUP(Stock[[#This Row],[Product ID]],Product[#All],3,0)</f>
        <v>RAM</v>
      </c>
      <c r="D136" s="52" t="str">
        <f>VLOOKUP(Stock[[#This Row],[Product ID]],Product[#All],4,0)</f>
        <v>Kingston</v>
      </c>
      <c r="E136" s="52">
        <f>SUMIF(Opning[[#All],[Product_ID]],Stock[[#This Row],[Product ID]],Opning[[#All],[Opening_Qty]])</f>
        <v>28</v>
      </c>
      <c r="F136" s="52">
        <f>SUMIF(Purchase[[#All],[Product ID]],Stock[[#This Row],[Product ID]],Purchase[[#All],[Net Qty]])</f>
        <v>70</v>
      </c>
      <c r="G136" s="52">
        <f>Stock[[#This Row],[Opening Stock]]+Stock[[#This Row],[Purchase Stock]]</f>
        <v>98</v>
      </c>
      <c r="H136" s="52">
        <f>SUMIF(Sales[[#All],[Product ID]],Stock[[#This Row],[Product ID]],Sales[[#All],[Net QTY]])</f>
        <v>31</v>
      </c>
      <c r="I136" s="52">
        <f>Stock[[#This Row],[Total Stock]]-Stock[[#This Row],[Selling Stock]]</f>
        <v>67</v>
      </c>
      <c r="J136" s="52">
        <f>VLOOKUP(Stock[[#This Row],[Product ID]],Product[#All],8,0)</f>
        <v>8</v>
      </c>
      <c r="K136" s="52" t="str">
        <f>IF(Stock[[#This Row],[Available Stock]]&lt;=Stock[[#This Row],[Reorder Level]],"Reorder","OK")</f>
        <v>OK</v>
      </c>
    </row>
    <row r="137" spans="1:11" ht="18.75" x14ac:dyDescent="0.25">
      <c r="A137" s="52" t="str">
        <f>Product[[#This Row],[Product ID]]</f>
        <v>P0135</v>
      </c>
      <c r="B137" s="52" t="str">
        <f>VLOOKUP(Stock[[#This Row],[Product ID]],Product[#All],2,0)</f>
        <v>Boat Speaker</v>
      </c>
      <c r="C137" s="52" t="str">
        <f>VLOOKUP(Stock[[#This Row],[Product ID]],Product[#All],3,0)</f>
        <v>Speaker</v>
      </c>
      <c r="D137" s="52" t="str">
        <f>VLOOKUP(Stock[[#This Row],[Product ID]],Product[#All],4,0)</f>
        <v>Boat</v>
      </c>
      <c r="E137" s="52">
        <f>SUMIF(Opning[[#All],[Product_ID]],Stock[[#This Row],[Product ID]],Opning[[#All],[Opening_Qty]])</f>
        <v>15</v>
      </c>
      <c r="F137" s="52">
        <f>SUMIF(Purchase[[#All],[Product ID]],Stock[[#This Row],[Product ID]],Purchase[[#All],[Net Qty]])</f>
        <v>120</v>
      </c>
      <c r="G137" s="52">
        <f>Stock[[#This Row],[Opening Stock]]+Stock[[#This Row],[Purchase Stock]]</f>
        <v>135</v>
      </c>
      <c r="H137" s="52">
        <f>SUMIF(Sales[[#All],[Product ID]],Stock[[#This Row],[Product ID]],Sales[[#All],[Net QTY]])</f>
        <v>56</v>
      </c>
      <c r="I137" s="52">
        <f>Stock[[#This Row],[Total Stock]]-Stock[[#This Row],[Selling Stock]]</f>
        <v>79</v>
      </c>
      <c r="J137" s="52">
        <f>VLOOKUP(Stock[[#This Row],[Product ID]],Product[#All],8,0)</f>
        <v>10</v>
      </c>
      <c r="K137" s="52" t="str">
        <f>IF(Stock[[#This Row],[Available Stock]]&lt;=Stock[[#This Row],[Reorder Level]],"Reorder","OK")</f>
        <v>OK</v>
      </c>
    </row>
    <row r="138" spans="1:11" ht="18.75" x14ac:dyDescent="0.25">
      <c r="A138" s="52" t="str">
        <f>Product[[#This Row],[Product ID]]</f>
        <v>P0136</v>
      </c>
      <c r="B138" s="52" t="str">
        <f>VLOOKUP(Stock[[#This Row],[Product ID]],Product[#All],2,0)</f>
        <v>Seagate HDD</v>
      </c>
      <c r="C138" s="52" t="str">
        <f>VLOOKUP(Stock[[#This Row],[Product ID]],Product[#All],3,0)</f>
        <v>HDD</v>
      </c>
      <c r="D138" s="52" t="str">
        <f>VLOOKUP(Stock[[#This Row],[Product ID]],Product[#All],4,0)</f>
        <v>Seagate</v>
      </c>
      <c r="E138" s="52">
        <f>SUMIF(Opning[[#All],[Product_ID]],Stock[[#This Row],[Product ID]],Opning[[#All],[Opening_Qty]])</f>
        <v>31</v>
      </c>
      <c r="F138" s="52">
        <f>SUMIF(Purchase[[#All],[Product ID]],Stock[[#This Row],[Product ID]],Purchase[[#All],[Net Qty]])</f>
        <v>88</v>
      </c>
      <c r="G138" s="52">
        <f>Stock[[#This Row],[Opening Stock]]+Stock[[#This Row],[Purchase Stock]]</f>
        <v>119</v>
      </c>
      <c r="H138" s="52">
        <f>SUMIF(Sales[[#All],[Product ID]],Stock[[#This Row],[Product ID]],Sales[[#All],[Net QTY]])</f>
        <v>36</v>
      </c>
      <c r="I138" s="52">
        <f>Stock[[#This Row],[Total Stock]]-Stock[[#This Row],[Selling Stock]]</f>
        <v>83</v>
      </c>
      <c r="J138" s="52">
        <f>VLOOKUP(Stock[[#This Row],[Product ID]],Product[#All],8,0)</f>
        <v>25</v>
      </c>
      <c r="K138" s="52" t="str">
        <f>IF(Stock[[#This Row],[Available Stock]]&lt;=Stock[[#This Row],[Reorder Level]],"Reorder","OK")</f>
        <v>OK</v>
      </c>
    </row>
    <row r="139" spans="1:11" ht="18.75" x14ac:dyDescent="0.25">
      <c r="A139" s="52" t="str">
        <f>Product[[#This Row],[Product ID]]</f>
        <v>P0137</v>
      </c>
      <c r="B139" s="52" t="str">
        <f>VLOOKUP(Stock[[#This Row],[Product ID]],Product[#All],2,0)</f>
        <v>HP Power Adapter</v>
      </c>
      <c r="C139" s="52" t="str">
        <f>VLOOKUP(Stock[[#This Row],[Product ID]],Product[#All],3,0)</f>
        <v>Power Adapter</v>
      </c>
      <c r="D139" s="52" t="str">
        <f>VLOOKUP(Stock[[#This Row],[Product ID]],Product[#All],4,0)</f>
        <v>HP</v>
      </c>
      <c r="E139" s="52">
        <f>SUMIF(Opning[[#All],[Product_ID]],Stock[[#This Row],[Product ID]],Opning[[#All],[Opening_Qty]])</f>
        <v>54</v>
      </c>
      <c r="F139" s="52">
        <f>SUMIF(Purchase[[#All],[Product ID]],Stock[[#This Row],[Product ID]],Purchase[[#All],[Net Qty]])</f>
        <v>142</v>
      </c>
      <c r="G139" s="52">
        <f>Stock[[#This Row],[Opening Stock]]+Stock[[#This Row],[Purchase Stock]]</f>
        <v>196</v>
      </c>
      <c r="H139" s="52">
        <f>SUMIF(Sales[[#All],[Product ID]],Stock[[#This Row],[Product ID]],Sales[[#All],[Net QTY]])</f>
        <v>32</v>
      </c>
      <c r="I139" s="52">
        <f>Stock[[#This Row],[Total Stock]]-Stock[[#This Row],[Selling Stock]]</f>
        <v>164</v>
      </c>
      <c r="J139" s="52">
        <f>VLOOKUP(Stock[[#This Row],[Product ID]],Product[#All],8,0)</f>
        <v>10</v>
      </c>
      <c r="K139" s="52" t="str">
        <f>IF(Stock[[#This Row],[Available Stock]]&lt;=Stock[[#This Row],[Reorder Level]],"Reorder","OK")</f>
        <v>OK</v>
      </c>
    </row>
    <row r="140" spans="1:11" ht="18.75" x14ac:dyDescent="0.25">
      <c r="A140" s="52" t="str">
        <f>Product[[#This Row],[Product ID]]</f>
        <v>P0138</v>
      </c>
      <c r="B140" s="52" t="str">
        <f>VLOOKUP(Stock[[#This Row],[Product ID]],Product[#All],2,0)</f>
        <v>Corsair Ram</v>
      </c>
      <c r="C140" s="52" t="str">
        <f>VLOOKUP(Stock[[#This Row],[Product ID]],Product[#All],3,0)</f>
        <v>RAM</v>
      </c>
      <c r="D140" s="52" t="str">
        <f>VLOOKUP(Stock[[#This Row],[Product ID]],Product[#All],4,0)</f>
        <v>Corsair</v>
      </c>
      <c r="E140" s="52">
        <f>SUMIF(Opning[[#All],[Product_ID]],Stock[[#This Row],[Product ID]],Opning[[#All],[Opening_Qty]])</f>
        <v>56</v>
      </c>
      <c r="F140" s="52">
        <f>SUMIF(Purchase[[#All],[Product ID]],Stock[[#This Row],[Product ID]],Purchase[[#All],[Net Qty]])</f>
        <v>65</v>
      </c>
      <c r="G140" s="52">
        <f>Stock[[#This Row],[Opening Stock]]+Stock[[#This Row],[Purchase Stock]]</f>
        <v>121</v>
      </c>
      <c r="H140" s="52">
        <f>SUMIF(Sales[[#All],[Product ID]],Stock[[#This Row],[Product ID]],Sales[[#All],[Net QTY]])</f>
        <v>47</v>
      </c>
      <c r="I140" s="52">
        <f>Stock[[#This Row],[Total Stock]]-Stock[[#This Row],[Selling Stock]]</f>
        <v>74</v>
      </c>
      <c r="J140" s="52">
        <f>VLOOKUP(Stock[[#This Row],[Product ID]],Product[#All],8,0)</f>
        <v>15</v>
      </c>
      <c r="K140" s="52" t="str">
        <f>IF(Stock[[#This Row],[Available Stock]]&lt;=Stock[[#This Row],[Reorder Level]],"Reorder","OK")</f>
        <v>OK</v>
      </c>
    </row>
    <row r="141" spans="1:11" ht="18.75" x14ac:dyDescent="0.25">
      <c r="A141" s="52" t="str">
        <f>Product[[#This Row],[Product ID]]</f>
        <v>P0139</v>
      </c>
      <c r="B141" s="52" t="str">
        <f>VLOOKUP(Stock[[#This Row],[Product ID]],Product[#All],2,0)</f>
        <v>American TouristerLaptopBag</v>
      </c>
      <c r="C141" s="52" t="str">
        <f>VLOOKUP(Stock[[#This Row],[Product ID]],Product[#All],3,0)</f>
        <v>Laptop Bag</v>
      </c>
      <c r="D141" s="52" t="str">
        <f>VLOOKUP(Stock[[#This Row],[Product ID]],Product[#All],4,0)</f>
        <v>American Tourister</v>
      </c>
      <c r="E141" s="52">
        <f>SUMIF(Opning[[#All],[Product_ID]],Stock[[#This Row],[Product ID]],Opning[[#All],[Opening_Qty]])</f>
        <v>52</v>
      </c>
      <c r="F141" s="52">
        <f>SUMIF(Purchase[[#All],[Product ID]],Stock[[#This Row],[Product ID]],Purchase[[#All],[Net Qty]])</f>
        <v>55</v>
      </c>
      <c r="G141" s="52">
        <f>Stock[[#This Row],[Opening Stock]]+Stock[[#This Row],[Purchase Stock]]</f>
        <v>107</v>
      </c>
      <c r="H141" s="52">
        <f>SUMIF(Sales[[#All],[Product ID]],Stock[[#This Row],[Product ID]],Sales[[#All],[Net QTY]])</f>
        <v>38</v>
      </c>
      <c r="I141" s="52">
        <f>Stock[[#This Row],[Total Stock]]-Stock[[#This Row],[Selling Stock]]</f>
        <v>69</v>
      </c>
      <c r="J141" s="52">
        <f>VLOOKUP(Stock[[#This Row],[Product ID]],Product[#All],8,0)</f>
        <v>8</v>
      </c>
      <c r="K141" s="52" t="str">
        <f>IF(Stock[[#This Row],[Available Stock]]&lt;=Stock[[#This Row],[Reorder Level]],"Reorder","OK")</f>
        <v>OK</v>
      </c>
    </row>
    <row r="142" spans="1:11" ht="18.75" x14ac:dyDescent="0.25">
      <c r="A142" s="52" t="str">
        <f>Product[[#This Row],[Product ID]]</f>
        <v>P0140</v>
      </c>
      <c r="B142" s="52" t="str">
        <f>VLOOKUP(Stock[[#This Row],[Product ID]],Product[#All],2,0)</f>
        <v>Crucial Ssd</v>
      </c>
      <c r="C142" s="52" t="str">
        <f>VLOOKUP(Stock[[#This Row],[Product ID]],Product[#All],3,0)</f>
        <v>SSD</v>
      </c>
      <c r="D142" s="52" t="str">
        <f>VLOOKUP(Stock[[#This Row],[Product ID]],Product[#All],4,0)</f>
        <v>Crucial</v>
      </c>
      <c r="E142" s="52">
        <f>SUMIF(Opning[[#All],[Product_ID]],Stock[[#This Row],[Product ID]],Opning[[#All],[Opening_Qty]])</f>
        <v>52</v>
      </c>
      <c r="F142" s="52">
        <f>SUMIF(Purchase[[#All],[Product ID]],Stock[[#This Row],[Product ID]],Purchase[[#All],[Net Qty]])</f>
        <v>146</v>
      </c>
      <c r="G142" s="52">
        <f>Stock[[#This Row],[Opening Stock]]+Stock[[#This Row],[Purchase Stock]]</f>
        <v>198</v>
      </c>
      <c r="H142" s="52">
        <f>SUMIF(Sales[[#All],[Product ID]],Stock[[#This Row],[Product ID]],Sales[[#All],[Net QTY]])</f>
        <v>48</v>
      </c>
      <c r="I142" s="52">
        <f>Stock[[#This Row],[Total Stock]]-Stock[[#This Row],[Selling Stock]]</f>
        <v>150</v>
      </c>
      <c r="J142" s="52">
        <f>VLOOKUP(Stock[[#This Row],[Product ID]],Product[#All],8,0)</f>
        <v>8</v>
      </c>
      <c r="K142" s="52" t="str">
        <f>IF(Stock[[#This Row],[Available Stock]]&lt;=Stock[[#This Row],[Reorder Level]],"Reorder","OK")</f>
        <v>OK</v>
      </c>
    </row>
    <row r="143" spans="1:11" ht="18.75" x14ac:dyDescent="0.25">
      <c r="A143" s="52" t="str">
        <f>Product[[#This Row],[Product ID]]</f>
        <v>P0141</v>
      </c>
      <c r="B143" s="52" t="str">
        <f>VLOOKUP(Stock[[#This Row],[Product ID]],Product[#All],2,0)</f>
        <v>Boat Headset</v>
      </c>
      <c r="C143" s="52" t="str">
        <f>VLOOKUP(Stock[[#This Row],[Product ID]],Product[#All],3,0)</f>
        <v>Headset</v>
      </c>
      <c r="D143" s="52" t="str">
        <f>VLOOKUP(Stock[[#This Row],[Product ID]],Product[#All],4,0)</f>
        <v>Boat</v>
      </c>
      <c r="E143" s="52">
        <f>SUMIF(Opning[[#All],[Product_ID]],Stock[[#This Row],[Product ID]],Opning[[#All],[Opening_Qty]])</f>
        <v>43</v>
      </c>
      <c r="F143" s="52">
        <f>SUMIF(Purchase[[#All],[Product ID]],Stock[[#This Row],[Product ID]],Purchase[[#All],[Net Qty]])</f>
        <v>148</v>
      </c>
      <c r="G143" s="52">
        <f>Stock[[#This Row],[Opening Stock]]+Stock[[#This Row],[Purchase Stock]]</f>
        <v>191</v>
      </c>
      <c r="H143" s="52">
        <f>SUMIF(Sales[[#All],[Product ID]],Stock[[#This Row],[Product ID]],Sales[[#All],[Net QTY]])</f>
        <v>53</v>
      </c>
      <c r="I143" s="52">
        <f>Stock[[#This Row],[Total Stock]]-Stock[[#This Row],[Selling Stock]]</f>
        <v>138</v>
      </c>
      <c r="J143" s="52">
        <f>VLOOKUP(Stock[[#This Row],[Product ID]],Product[#All],8,0)</f>
        <v>15</v>
      </c>
      <c r="K143" s="52" t="str">
        <f>IF(Stock[[#This Row],[Available Stock]]&lt;=Stock[[#This Row],[Reorder Level]],"Reorder","OK")</f>
        <v>OK</v>
      </c>
    </row>
    <row r="144" spans="1:11" ht="18.75" x14ac:dyDescent="0.25">
      <c r="A144" s="52" t="str">
        <f>Product[[#This Row],[Product ID]]</f>
        <v>P0142</v>
      </c>
      <c r="B144" s="52" t="str">
        <f>VLOOKUP(Stock[[#This Row],[Product ID]],Product[#All],2,0)</f>
        <v>Samsung Monitor</v>
      </c>
      <c r="C144" s="52" t="str">
        <f>VLOOKUP(Stock[[#This Row],[Product ID]],Product[#All],3,0)</f>
        <v>Monitor</v>
      </c>
      <c r="D144" s="52" t="str">
        <f>VLOOKUP(Stock[[#This Row],[Product ID]],Product[#All],4,0)</f>
        <v>Samsung</v>
      </c>
      <c r="E144" s="52">
        <f>SUMIF(Opning[[#All],[Product_ID]],Stock[[#This Row],[Product ID]],Opning[[#All],[Opening_Qty]])</f>
        <v>9</v>
      </c>
      <c r="F144" s="52">
        <f>SUMIF(Purchase[[#All],[Product ID]],Stock[[#This Row],[Product ID]],Purchase[[#All],[Net Qty]])</f>
        <v>109</v>
      </c>
      <c r="G144" s="52">
        <f>Stock[[#This Row],[Opening Stock]]+Stock[[#This Row],[Purchase Stock]]</f>
        <v>118</v>
      </c>
      <c r="H144" s="52">
        <f>SUMIF(Sales[[#All],[Product ID]],Stock[[#This Row],[Product ID]],Sales[[#All],[Net QTY]])</f>
        <v>50</v>
      </c>
      <c r="I144" s="52">
        <f>Stock[[#This Row],[Total Stock]]-Stock[[#This Row],[Selling Stock]]</f>
        <v>68</v>
      </c>
      <c r="J144" s="52">
        <f>VLOOKUP(Stock[[#This Row],[Product ID]],Product[#All],8,0)</f>
        <v>25</v>
      </c>
      <c r="K144" s="52" t="str">
        <f>IF(Stock[[#This Row],[Available Stock]]&lt;=Stock[[#This Row],[Reorder Level]],"Reorder","OK")</f>
        <v>OK</v>
      </c>
    </row>
    <row r="145" spans="1:11" ht="18.75" x14ac:dyDescent="0.25">
      <c r="A145" s="52" t="str">
        <f>Product[[#This Row],[Product ID]]</f>
        <v>P0143</v>
      </c>
      <c r="B145" s="52" t="str">
        <f>VLOOKUP(Stock[[#This Row],[Product ID]],Product[#All],2,0)</f>
        <v>Logitech Keyboard</v>
      </c>
      <c r="C145" s="52" t="str">
        <f>VLOOKUP(Stock[[#This Row],[Product ID]],Product[#All],3,0)</f>
        <v>Keyboard</v>
      </c>
      <c r="D145" s="52" t="str">
        <f>VLOOKUP(Stock[[#This Row],[Product ID]],Product[#All],4,0)</f>
        <v>Logitech</v>
      </c>
      <c r="E145" s="52">
        <f>SUMIF(Opning[[#All],[Product_ID]],Stock[[#This Row],[Product ID]],Opning[[#All],[Opening_Qty]])</f>
        <v>24</v>
      </c>
      <c r="F145" s="52">
        <f>SUMIF(Purchase[[#All],[Product ID]],Stock[[#This Row],[Product ID]],Purchase[[#All],[Net Qty]])</f>
        <v>214</v>
      </c>
      <c r="G145" s="52">
        <f>Stock[[#This Row],[Opening Stock]]+Stock[[#This Row],[Purchase Stock]]</f>
        <v>238</v>
      </c>
      <c r="H145" s="52">
        <f>SUMIF(Sales[[#All],[Product ID]],Stock[[#This Row],[Product ID]],Sales[[#All],[Net QTY]])</f>
        <v>39</v>
      </c>
      <c r="I145" s="52">
        <f>Stock[[#This Row],[Total Stock]]-Stock[[#This Row],[Selling Stock]]</f>
        <v>199</v>
      </c>
      <c r="J145" s="52">
        <f>VLOOKUP(Stock[[#This Row],[Product ID]],Product[#All],8,0)</f>
        <v>5</v>
      </c>
      <c r="K145" s="52" t="str">
        <f>IF(Stock[[#This Row],[Available Stock]]&lt;=Stock[[#This Row],[Reorder Level]],"Reorder","OK")</f>
        <v>OK</v>
      </c>
    </row>
    <row r="146" spans="1:11" ht="18.75" x14ac:dyDescent="0.25">
      <c r="A146" s="52" t="str">
        <f>Product[[#This Row],[Product ID]]</f>
        <v>P0144</v>
      </c>
      <c r="B146" s="52" t="str">
        <f>VLOOKUP(Stock[[#This Row],[Product ID]],Product[#All],2,0)</f>
        <v>HP Laptop</v>
      </c>
      <c r="C146" s="52" t="str">
        <f>VLOOKUP(Stock[[#This Row],[Product ID]],Product[#All],3,0)</f>
        <v>Laptop</v>
      </c>
      <c r="D146" s="52" t="str">
        <f>VLOOKUP(Stock[[#This Row],[Product ID]],Product[#All],4,0)</f>
        <v>HP</v>
      </c>
      <c r="E146" s="52">
        <f>SUMIF(Opning[[#All],[Product_ID]],Stock[[#This Row],[Product ID]],Opning[[#All],[Opening_Qty]])</f>
        <v>47</v>
      </c>
      <c r="F146" s="52">
        <f>SUMIF(Purchase[[#All],[Product ID]],Stock[[#This Row],[Product ID]],Purchase[[#All],[Net Qty]])</f>
        <v>99</v>
      </c>
      <c r="G146" s="52">
        <f>Stock[[#This Row],[Opening Stock]]+Stock[[#This Row],[Purchase Stock]]</f>
        <v>146</v>
      </c>
      <c r="H146" s="52">
        <f>SUMIF(Sales[[#All],[Product ID]],Stock[[#This Row],[Product ID]],Sales[[#All],[Net QTY]])</f>
        <v>49</v>
      </c>
      <c r="I146" s="52">
        <f>Stock[[#This Row],[Total Stock]]-Stock[[#This Row],[Selling Stock]]</f>
        <v>97</v>
      </c>
      <c r="J146" s="52">
        <f>VLOOKUP(Stock[[#This Row],[Product ID]],Product[#All],8,0)</f>
        <v>20</v>
      </c>
      <c r="K146" s="52" t="str">
        <f>IF(Stock[[#This Row],[Available Stock]]&lt;=Stock[[#This Row],[Reorder Level]],"Reorder","OK")</f>
        <v>OK</v>
      </c>
    </row>
    <row r="147" spans="1:11" ht="18.75" x14ac:dyDescent="0.25">
      <c r="A147" s="52" t="str">
        <f>Product[[#This Row],[Product ID]]</f>
        <v>P0145</v>
      </c>
      <c r="B147" s="52" t="str">
        <f>VLOOKUP(Stock[[#This Row],[Product ID]],Product[#All],2,0)</f>
        <v>Apc UPS</v>
      </c>
      <c r="C147" s="52" t="str">
        <f>VLOOKUP(Stock[[#This Row],[Product ID]],Product[#All],3,0)</f>
        <v>UPS</v>
      </c>
      <c r="D147" s="52" t="str">
        <f>VLOOKUP(Stock[[#This Row],[Product ID]],Product[#All],4,0)</f>
        <v>apc</v>
      </c>
      <c r="E147" s="52">
        <f>SUMIF(Opning[[#All],[Product_ID]],Stock[[#This Row],[Product ID]],Opning[[#All],[Opening_Qty]])</f>
        <v>23</v>
      </c>
      <c r="F147" s="52">
        <f>SUMIF(Purchase[[#All],[Product ID]],Stock[[#This Row],[Product ID]],Purchase[[#All],[Net Qty]])</f>
        <v>14</v>
      </c>
      <c r="G147" s="52">
        <f>Stock[[#This Row],[Opening Stock]]+Stock[[#This Row],[Purchase Stock]]</f>
        <v>37</v>
      </c>
      <c r="H147" s="52">
        <f>SUMIF(Sales[[#All],[Product ID]],Stock[[#This Row],[Product ID]],Sales[[#All],[Net QTY]])</f>
        <v>37</v>
      </c>
      <c r="I147" s="52">
        <f>Stock[[#This Row],[Total Stock]]-Stock[[#This Row],[Selling Stock]]</f>
        <v>0</v>
      </c>
      <c r="J147" s="52">
        <f>VLOOKUP(Stock[[#This Row],[Product ID]],Product[#All],8,0)</f>
        <v>25</v>
      </c>
      <c r="K147" s="52" t="str">
        <f>IF(Stock[[#This Row],[Available Stock]]&lt;=Stock[[#This Row],[Reorder Level]],"Reorder","OK")</f>
        <v>Reorder</v>
      </c>
    </row>
    <row r="148" spans="1:11" ht="18.75" x14ac:dyDescent="0.25">
      <c r="A148" s="52" t="str">
        <f>Product[[#This Row],[Product ID]]</f>
        <v>P0146</v>
      </c>
      <c r="B148" s="52" t="str">
        <f>VLOOKUP(Stock[[#This Row],[Product ID]],Product[#All],2,0)</f>
        <v>Crucial Ssd</v>
      </c>
      <c r="C148" s="52" t="str">
        <f>VLOOKUP(Stock[[#This Row],[Product ID]],Product[#All],3,0)</f>
        <v>SSD</v>
      </c>
      <c r="D148" s="52" t="str">
        <f>VLOOKUP(Stock[[#This Row],[Product ID]],Product[#All],4,0)</f>
        <v>Crucial</v>
      </c>
      <c r="E148" s="52">
        <f>SUMIF(Opning[[#All],[Product_ID]],Stock[[#This Row],[Product ID]],Opning[[#All],[Opening_Qty]])</f>
        <v>51</v>
      </c>
      <c r="F148" s="52">
        <f>SUMIF(Purchase[[#All],[Product ID]],Stock[[#This Row],[Product ID]],Purchase[[#All],[Net Qty]])</f>
        <v>52</v>
      </c>
      <c r="G148" s="52">
        <f>Stock[[#This Row],[Opening Stock]]+Stock[[#This Row],[Purchase Stock]]</f>
        <v>103</v>
      </c>
      <c r="H148" s="52">
        <f>SUMIF(Sales[[#All],[Product ID]],Stock[[#This Row],[Product ID]],Sales[[#All],[Net QTY]])</f>
        <v>34</v>
      </c>
      <c r="I148" s="52">
        <f>Stock[[#This Row],[Total Stock]]-Stock[[#This Row],[Selling Stock]]</f>
        <v>69</v>
      </c>
      <c r="J148" s="52">
        <f>VLOOKUP(Stock[[#This Row],[Product ID]],Product[#All],8,0)</f>
        <v>15</v>
      </c>
      <c r="K148" s="52" t="str">
        <f>IF(Stock[[#This Row],[Available Stock]]&lt;=Stock[[#This Row],[Reorder Level]],"Reorder","OK")</f>
        <v>OK</v>
      </c>
    </row>
    <row r="149" spans="1:11" ht="18.75" x14ac:dyDescent="0.25">
      <c r="A149" s="52" t="str">
        <f>Product[[#This Row],[Product ID]]</f>
        <v>P0147</v>
      </c>
      <c r="B149" s="52" t="str">
        <f>VLOOKUP(Stock[[#This Row],[Product ID]],Product[#All],2,0)</f>
        <v>Acer Laptop</v>
      </c>
      <c r="C149" s="52" t="str">
        <f>VLOOKUP(Stock[[#This Row],[Product ID]],Product[#All],3,0)</f>
        <v>Laptop</v>
      </c>
      <c r="D149" s="52" t="str">
        <f>VLOOKUP(Stock[[#This Row],[Product ID]],Product[#All],4,0)</f>
        <v>Acer</v>
      </c>
      <c r="E149" s="52">
        <f>SUMIF(Opning[[#All],[Product_ID]],Stock[[#This Row],[Product ID]],Opning[[#All],[Opening_Qty]])</f>
        <v>48</v>
      </c>
      <c r="F149" s="52">
        <f>SUMIF(Purchase[[#All],[Product ID]],Stock[[#This Row],[Product ID]],Purchase[[#All],[Net Qty]])</f>
        <v>132</v>
      </c>
      <c r="G149" s="52">
        <f>Stock[[#This Row],[Opening Stock]]+Stock[[#This Row],[Purchase Stock]]</f>
        <v>180</v>
      </c>
      <c r="H149" s="52">
        <f>SUMIF(Sales[[#All],[Product ID]],Stock[[#This Row],[Product ID]],Sales[[#All],[Net QTY]])</f>
        <v>41</v>
      </c>
      <c r="I149" s="52">
        <f>Stock[[#This Row],[Total Stock]]-Stock[[#This Row],[Selling Stock]]</f>
        <v>139</v>
      </c>
      <c r="J149" s="52">
        <f>VLOOKUP(Stock[[#This Row],[Product ID]],Product[#All],8,0)</f>
        <v>5</v>
      </c>
      <c r="K149" s="52" t="str">
        <f>IF(Stock[[#This Row],[Available Stock]]&lt;=Stock[[#This Row],[Reorder Level]],"Reorder","OK")</f>
        <v>OK</v>
      </c>
    </row>
    <row r="150" spans="1:11" ht="18.75" x14ac:dyDescent="0.25">
      <c r="A150" s="52" t="str">
        <f>Product[[#This Row],[Product ID]]</f>
        <v>P0148</v>
      </c>
      <c r="B150" s="52" t="str">
        <f>VLOOKUP(Stock[[#This Row],[Product ID]],Product[#All],2,0)</f>
        <v>Crucial Ssd</v>
      </c>
      <c r="C150" s="52" t="str">
        <f>VLOOKUP(Stock[[#This Row],[Product ID]],Product[#All],3,0)</f>
        <v>SSD</v>
      </c>
      <c r="D150" s="52" t="str">
        <f>VLOOKUP(Stock[[#This Row],[Product ID]],Product[#All],4,0)</f>
        <v>Crucial</v>
      </c>
      <c r="E150" s="52">
        <f>SUMIF(Opning[[#All],[Product_ID]],Stock[[#This Row],[Product ID]],Opning[[#All],[Opening_Qty]])</f>
        <v>55</v>
      </c>
      <c r="F150" s="52">
        <f>SUMIF(Purchase[[#All],[Product ID]],Stock[[#This Row],[Product ID]],Purchase[[#All],[Net Qty]])</f>
        <v>191</v>
      </c>
      <c r="G150" s="52">
        <f>Stock[[#This Row],[Opening Stock]]+Stock[[#This Row],[Purchase Stock]]</f>
        <v>246</v>
      </c>
      <c r="H150" s="52">
        <f>SUMIF(Sales[[#All],[Product ID]],Stock[[#This Row],[Product ID]],Sales[[#All],[Net QTY]])</f>
        <v>45</v>
      </c>
      <c r="I150" s="52">
        <f>Stock[[#This Row],[Total Stock]]-Stock[[#This Row],[Selling Stock]]</f>
        <v>201</v>
      </c>
      <c r="J150" s="52">
        <f>VLOOKUP(Stock[[#This Row],[Product ID]],Product[#All],8,0)</f>
        <v>5</v>
      </c>
      <c r="K150" s="52" t="str">
        <f>IF(Stock[[#This Row],[Available Stock]]&lt;=Stock[[#This Row],[Reorder Level]],"Reorder","OK")</f>
        <v>OK</v>
      </c>
    </row>
    <row r="151" spans="1:11" ht="18.75" x14ac:dyDescent="0.25">
      <c r="A151" s="52" t="str">
        <f>Product[[#This Row],[Product ID]]</f>
        <v>P0149</v>
      </c>
      <c r="B151" s="52" t="str">
        <f>VLOOKUP(Stock[[#This Row],[Product ID]],Product[#All],2,0)</f>
        <v>PortronicsLaptopStand</v>
      </c>
      <c r="C151" s="52" t="str">
        <f>VLOOKUP(Stock[[#This Row],[Product ID]],Product[#All],3,0)</f>
        <v xml:space="preserve">Laptop Stand </v>
      </c>
      <c r="D151" s="52" t="str">
        <f>VLOOKUP(Stock[[#This Row],[Product ID]],Product[#All],4,0)</f>
        <v>Portronics</v>
      </c>
      <c r="E151" s="52">
        <f>SUMIF(Opning[[#All],[Product_ID]],Stock[[#This Row],[Product ID]],Opning[[#All],[Opening_Qty]])</f>
        <v>50</v>
      </c>
      <c r="F151" s="52">
        <f>SUMIF(Purchase[[#All],[Product ID]],Stock[[#This Row],[Product ID]],Purchase[[#All],[Net Qty]])</f>
        <v>50</v>
      </c>
      <c r="G151" s="52">
        <f>Stock[[#This Row],[Opening Stock]]+Stock[[#This Row],[Purchase Stock]]</f>
        <v>100</v>
      </c>
      <c r="H151" s="52">
        <f>SUMIF(Sales[[#All],[Product ID]],Stock[[#This Row],[Product ID]],Sales[[#All],[Net QTY]])</f>
        <v>69</v>
      </c>
      <c r="I151" s="52">
        <f>Stock[[#This Row],[Total Stock]]-Stock[[#This Row],[Selling Stock]]</f>
        <v>31</v>
      </c>
      <c r="J151" s="52">
        <f>VLOOKUP(Stock[[#This Row],[Product ID]],Product[#All],8,0)</f>
        <v>10</v>
      </c>
      <c r="K151" s="52" t="str">
        <f>IF(Stock[[#This Row],[Available Stock]]&lt;=Stock[[#This Row],[Reorder Level]],"Reorder","OK")</f>
        <v>OK</v>
      </c>
    </row>
    <row r="152" spans="1:11" ht="18.75" x14ac:dyDescent="0.25">
      <c r="A152" s="52" t="str">
        <f>Product[[#This Row],[Product ID]]</f>
        <v>P0150</v>
      </c>
      <c r="B152" s="52" t="str">
        <f>VLOOKUP(Stock[[#This Row],[Product ID]],Product[#All],2,0)</f>
        <v>Lg Monitor</v>
      </c>
      <c r="C152" s="52" t="str">
        <f>VLOOKUP(Stock[[#This Row],[Product ID]],Product[#All],3,0)</f>
        <v>Monitor</v>
      </c>
      <c r="D152" s="52" t="str">
        <f>VLOOKUP(Stock[[#This Row],[Product ID]],Product[#All],4,0)</f>
        <v>LG</v>
      </c>
      <c r="E152" s="52">
        <f>SUMIF(Opning[[#All],[Product_ID]],Stock[[#This Row],[Product ID]],Opning[[#All],[Opening_Qty]])</f>
        <v>44</v>
      </c>
      <c r="F152" s="52">
        <f>SUMIF(Purchase[[#All],[Product ID]],Stock[[#This Row],[Product ID]],Purchase[[#All],[Net Qty]])</f>
        <v>54</v>
      </c>
      <c r="G152" s="52">
        <f>Stock[[#This Row],[Opening Stock]]+Stock[[#This Row],[Purchase Stock]]</f>
        <v>98</v>
      </c>
      <c r="H152" s="52">
        <f>SUMIF(Sales[[#All],[Product ID]],Stock[[#This Row],[Product ID]],Sales[[#All],[Net QTY]])</f>
        <v>38</v>
      </c>
      <c r="I152" s="52">
        <f>Stock[[#This Row],[Total Stock]]-Stock[[#This Row],[Selling Stock]]</f>
        <v>60</v>
      </c>
      <c r="J152" s="52">
        <f>VLOOKUP(Stock[[#This Row],[Product ID]],Product[#All],8,0)</f>
        <v>25</v>
      </c>
      <c r="K152" s="52" t="str">
        <f>IF(Stock[[#This Row],[Available Stock]]&lt;=Stock[[#This Row],[Reorder Level]],"Reorder","OK")</f>
        <v>OK</v>
      </c>
    </row>
    <row r="153" spans="1:11" ht="18.75" x14ac:dyDescent="0.25">
      <c r="A153" s="52" t="str">
        <f>Product[[#This Row],[Product ID]]</f>
        <v>P0151</v>
      </c>
      <c r="B153" s="52" t="str">
        <f>VLOOKUP(Stock[[#This Row],[Product ID]],Product[#All],2,0)</f>
        <v>Logitech Webcam</v>
      </c>
      <c r="C153" s="52" t="str">
        <f>VLOOKUP(Stock[[#This Row],[Product ID]],Product[#All],3,0)</f>
        <v>Webcam</v>
      </c>
      <c r="D153" s="52" t="str">
        <f>VLOOKUP(Stock[[#This Row],[Product ID]],Product[#All],4,0)</f>
        <v>Logitech</v>
      </c>
      <c r="E153" s="52">
        <f>SUMIF(Opning[[#All],[Product_ID]],Stock[[#This Row],[Product ID]],Opning[[#All],[Opening_Qty]])</f>
        <v>50</v>
      </c>
      <c r="F153" s="52">
        <f>SUMIF(Purchase[[#All],[Product ID]],Stock[[#This Row],[Product ID]],Purchase[[#All],[Net Qty]])</f>
        <v>125</v>
      </c>
      <c r="G153" s="52">
        <f>Stock[[#This Row],[Opening Stock]]+Stock[[#This Row],[Purchase Stock]]</f>
        <v>175</v>
      </c>
      <c r="H153" s="52">
        <f>SUMIF(Sales[[#All],[Product ID]],Stock[[#This Row],[Product ID]],Sales[[#All],[Net QTY]])</f>
        <v>30</v>
      </c>
      <c r="I153" s="52">
        <f>Stock[[#This Row],[Total Stock]]-Stock[[#This Row],[Selling Stock]]</f>
        <v>145</v>
      </c>
      <c r="J153" s="52">
        <f>VLOOKUP(Stock[[#This Row],[Product ID]],Product[#All],8,0)</f>
        <v>5</v>
      </c>
      <c r="K153" s="52" t="str">
        <f>IF(Stock[[#This Row],[Available Stock]]&lt;=Stock[[#This Row],[Reorder Level]],"Reorder","OK")</f>
        <v>OK</v>
      </c>
    </row>
    <row r="154" spans="1:11" ht="18.75" x14ac:dyDescent="0.25">
      <c r="A154" s="52" t="str">
        <f>Product[[#This Row],[Product ID]]</f>
        <v>P0152</v>
      </c>
      <c r="B154" s="52" t="str">
        <f>VLOOKUP(Stock[[#This Row],[Product ID]],Product[#All],2,0)</f>
        <v>Jbl Headset</v>
      </c>
      <c r="C154" s="52" t="str">
        <f>VLOOKUP(Stock[[#This Row],[Product ID]],Product[#All],3,0)</f>
        <v>Headset</v>
      </c>
      <c r="D154" s="52" t="str">
        <f>VLOOKUP(Stock[[#This Row],[Product ID]],Product[#All],4,0)</f>
        <v>JBL</v>
      </c>
      <c r="E154" s="52">
        <f>SUMIF(Opning[[#All],[Product_ID]],Stock[[#This Row],[Product ID]],Opning[[#All],[Opening_Qty]])</f>
        <v>14</v>
      </c>
      <c r="F154" s="52">
        <f>SUMIF(Purchase[[#All],[Product ID]],Stock[[#This Row],[Product ID]],Purchase[[#All],[Net Qty]])</f>
        <v>92</v>
      </c>
      <c r="G154" s="52">
        <f>Stock[[#This Row],[Opening Stock]]+Stock[[#This Row],[Purchase Stock]]</f>
        <v>106</v>
      </c>
      <c r="H154" s="52">
        <f>SUMIF(Sales[[#All],[Product ID]],Stock[[#This Row],[Product ID]],Sales[[#All],[Net QTY]])</f>
        <v>32</v>
      </c>
      <c r="I154" s="52">
        <f>Stock[[#This Row],[Total Stock]]-Stock[[#This Row],[Selling Stock]]</f>
        <v>74</v>
      </c>
      <c r="J154" s="52">
        <f>VLOOKUP(Stock[[#This Row],[Product ID]],Product[#All],8,0)</f>
        <v>10</v>
      </c>
      <c r="K154" s="52" t="str">
        <f>IF(Stock[[#This Row],[Available Stock]]&lt;=Stock[[#This Row],[Reorder Level]],"Reorder","OK")</f>
        <v>OK</v>
      </c>
    </row>
    <row r="155" spans="1:11" ht="18.75" x14ac:dyDescent="0.25">
      <c r="A155" s="52" t="str">
        <f>Product[[#This Row],[Product ID]]</f>
        <v>P0153</v>
      </c>
      <c r="B155" s="52" t="str">
        <f>VLOOKUP(Stock[[#This Row],[Product ID]],Product[#All],2,0)</f>
        <v>TP-link Wi-Fi Adapter</v>
      </c>
      <c r="C155" s="52" t="str">
        <f>VLOOKUP(Stock[[#This Row],[Product ID]],Product[#All],3,0)</f>
        <v>Wi-Fi Adapter</v>
      </c>
      <c r="D155" s="52" t="str">
        <f>VLOOKUP(Stock[[#This Row],[Product ID]],Product[#All],4,0)</f>
        <v>TP-link</v>
      </c>
      <c r="E155" s="52">
        <f>SUMIF(Opning[[#All],[Product_ID]],Stock[[#This Row],[Product ID]],Opning[[#All],[Opening_Qty]])</f>
        <v>36</v>
      </c>
      <c r="F155" s="52">
        <f>SUMIF(Purchase[[#All],[Product ID]],Stock[[#This Row],[Product ID]],Purchase[[#All],[Net Qty]])</f>
        <v>93</v>
      </c>
      <c r="G155" s="52">
        <f>Stock[[#This Row],[Opening Stock]]+Stock[[#This Row],[Purchase Stock]]</f>
        <v>129</v>
      </c>
      <c r="H155" s="52">
        <f>SUMIF(Sales[[#All],[Product ID]],Stock[[#This Row],[Product ID]],Sales[[#All],[Net QTY]])</f>
        <v>25</v>
      </c>
      <c r="I155" s="52">
        <f>Stock[[#This Row],[Total Stock]]-Stock[[#This Row],[Selling Stock]]</f>
        <v>104</v>
      </c>
      <c r="J155" s="52">
        <f>VLOOKUP(Stock[[#This Row],[Product ID]],Product[#All],8,0)</f>
        <v>5</v>
      </c>
      <c r="K155" s="52" t="str">
        <f>IF(Stock[[#This Row],[Available Stock]]&lt;=Stock[[#This Row],[Reorder Level]],"Reorder","OK")</f>
        <v>OK</v>
      </c>
    </row>
    <row r="156" spans="1:11" ht="18.75" x14ac:dyDescent="0.25">
      <c r="A156" s="52" t="str">
        <f>Product[[#This Row],[Product ID]]</f>
        <v>P0154</v>
      </c>
      <c r="B156" s="52" t="str">
        <f>VLOOKUP(Stock[[#This Row],[Product ID]],Product[#All],2,0)</f>
        <v>Logitech Mouse</v>
      </c>
      <c r="C156" s="52" t="str">
        <f>VLOOKUP(Stock[[#This Row],[Product ID]],Product[#All],3,0)</f>
        <v>Mouse</v>
      </c>
      <c r="D156" s="52" t="str">
        <f>VLOOKUP(Stock[[#This Row],[Product ID]],Product[#All],4,0)</f>
        <v>Logitech</v>
      </c>
      <c r="E156" s="52">
        <f>SUMIF(Opning[[#All],[Product_ID]],Stock[[#This Row],[Product ID]],Opning[[#All],[Opening_Qty]])</f>
        <v>16</v>
      </c>
      <c r="F156" s="52">
        <f>SUMIF(Purchase[[#All],[Product ID]],Stock[[#This Row],[Product ID]],Purchase[[#All],[Net Qty]])</f>
        <v>67</v>
      </c>
      <c r="G156" s="52">
        <f>Stock[[#This Row],[Opening Stock]]+Stock[[#This Row],[Purchase Stock]]</f>
        <v>83</v>
      </c>
      <c r="H156" s="52">
        <f>SUMIF(Sales[[#All],[Product ID]],Stock[[#This Row],[Product ID]],Sales[[#All],[Net QTY]])</f>
        <v>47</v>
      </c>
      <c r="I156" s="52">
        <f>Stock[[#This Row],[Total Stock]]-Stock[[#This Row],[Selling Stock]]</f>
        <v>36</v>
      </c>
      <c r="J156" s="52">
        <f>VLOOKUP(Stock[[#This Row],[Product ID]],Product[#All],8,0)</f>
        <v>25</v>
      </c>
      <c r="K156" s="52" t="str">
        <f>IF(Stock[[#This Row],[Available Stock]]&lt;=Stock[[#This Row],[Reorder Level]],"Reorder","OK")</f>
        <v>OK</v>
      </c>
    </row>
    <row r="157" spans="1:11" ht="18.75" x14ac:dyDescent="0.25">
      <c r="A157" s="52" t="str">
        <f>Product[[#This Row],[Product ID]]</f>
        <v>P0155</v>
      </c>
      <c r="B157" s="52" t="str">
        <f>VLOOKUP(Stock[[#This Row],[Product ID]],Product[#All],2,0)</f>
        <v>Lenovo Laptop</v>
      </c>
      <c r="C157" s="52" t="str">
        <f>VLOOKUP(Stock[[#This Row],[Product ID]],Product[#All],3,0)</f>
        <v>Laptop</v>
      </c>
      <c r="D157" s="52" t="str">
        <f>VLOOKUP(Stock[[#This Row],[Product ID]],Product[#All],4,0)</f>
        <v>Lenovo</v>
      </c>
      <c r="E157" s="52">
        <f>SUMIF(Opning[[#All],[Product_ID]],Stock[[#This Row],[Product ID]],Opning[[#All],[Opening_Qty]])</f>
        <v>40</v>
      </c>
      <c r="F157" s="52">
        <f>SUMIF(Purchase[[#All],[Product ID]],Stock[[#This Row],[Product ID]],Purchase[[#All],[Net Qty]])</f>
        <v>165</v>
      </c>
      <c r="G157" s="52">
        <f>Stock[[#This Row],[Opening Stock]]+Stock[[#This Row],[Purchase Stock]]</f>
        <v>205</v>
      </c>
      <c r="H157" s="52">
        <f>SUMIF(Sales[[#All],[Product ID]],Stock[[#This Row],[Product ID]],Sales[[#All],[Net QTY]])</f>
        <v>54</v>
      </c>
      <c r="I157" s="52">
        <f>Stock[[#This Row],[Total Stock]]-Stock[[#This Row],[Selling Stock]]</f>
        <v>151</v>
      </c>
      <c r="J157" s="52">
        <f>VLOOKUP(Stock[[#This Row],[Product ID]],Product[#All],8,0)</f>
        <v>5</v>
      </c>
      <c r="K157" s="52" t="str">
        <f>IF(Stock[[#This Row],[Available Stock]]&lt;=Stock[[#This Row],[Reorder Level]],"Reorder","OK")</f>
        <v>OK</v>
      </c>
    </row>
    <row r="158" spans="1:11" ht="18.75" x14ac:dyDescent="0.25">
      <c r="A158" s="52" t="str">
        <f>Product[[#This Row],[Product ID]]</f>
        <v>P0156</v>
      </c>
      <c r="B158" s="52" t="str">
        <f>VLOOKUP(Stock[[#This Row],[Product ID]],Product[#All],2,0)</f>
        <v>HP Power Adapter</v>
      </c>
      <c r="C158" s="52" t="str">
        <f>VLOOKUP(Stock[[#This Row],[Product ID]],Product[#All],3,0)</f>
        <v>Power Adapter</v>
      </c>
      <c r="D158" s="52" t="str">
        <f>VLOOKUP(Stock[[#This Row],[Product ID]],Product[#All],4,0)</f>
        <v>HP</v>
      </c>
      <c r="E158" s="52">
        <f>SUMIF(Opning[[#All],[Product_ID]],Stock[[#This Row],[Product ID]],Opning[[#All],[Opening_Qty]])</f>
        <v>11</v>
      </c>
      <c r="F158" s="52">
        <f>SUMIF(Purchase[[#All],[Product ID]],Stock[[#This Row],[Product ID]],Purchase[[#All],[Net Qty]])</f>
        <v>140</v>
      </c>
      <c r="G158" s="52">
        <f>Stock[[#This Row],[Opening Stock]]+Stock[[#This Row],[Purchase Stock]]</f>
        <v>151</v>
      </c>
      <c r="H158" s="52">
        <f>SUMIF(Sales[[#All],[Product ID]],Stock[[#This Row],[Product ID]],Sales[[#All],[Net QTY]])</f>
        <v>56</v>
      </c>
      <c r="I158" s="52">
        <f>Stock[[#This Row],[Total Stock]]-Stock[[#This Row],[Selling Stock]]</f>
        <v>95</v>
      </c>
      <c r="J158" s="52">
        <f>VLOOKUP(Stock[[#This Row],[Product ID]],Product[#All],8,0)</f>
        <v>20</v>
      </c>
      <c r="K158" s="52" t="str">
        <f>IF(Stock[[#This Row],[Available Stock]]&lt;=Stock[[#This Row],[Reorder Level]],"Reorder","OK")</f>
        <v>OK</v>
      </c>
    </row>
    <row r="159" spans="1:11" ht="18.75" x14ac:dyDescent="0.25">
      <c r="A159" s="52" t="str">
        <f>Product[[#This Row],[Product ID]]</f>
        <v>P0157</v>
      </c>
      <c r="B159" s="52" t="str">
        <f>VLOOKUP(Stock[[#This Row],[Product ID]],Product[#All],2,0)</f>
        <v>Dell Power Adapter</v>
      </c>
      <c r="C159" s="52" t="str">
        <f>VLOOKUP(Stock[[#This Row],[Product ID]],Product[#All],3,0)</f>
        <v>Power Adapter</v>
      </c>
      <c r="D159" s="52" t="str">
        <f>VLOOKUP(Stock[[#This Row],[Product ID]],Product[#All],4,0)</f>
        <v>Dell</v>
      </c>
      <c r="E159" s="52">
        <f>SUMIF(Opning[[#All],[Product_ID]],Stock[[#This Row],[Product ID]],Opning[[#All],[Opening_Qty]])</f>
        <v>45</v>
      </c>
      <c r="F159" s="52">
        <f>SUMIF(Purchase[[#All],[Product ID]],Stock[[#This Row],[Product ID]],Purchase[[#All],[Net Qty]])</f>
        <v>83</v>
      </c>
      <c r="G159" s="52">
        <f>Stock[[#This Row],[Opening Stock]]+Stock[[#This Row],[Purchase Stock]]</f>
        <v>128</v>
      </c>
      <c r="H159" s="52">
        <f>SUMIF(Sales[[#All],[Product ID]],Stock[[#This Row],[Product ID]],Sales[[#All],[Net QTY]])</f>
        <v>33</v>
      </c>
      <c r="I159" s="52">
        <f>Stock[[#This Row],[Total Stock]]-Stock[[#This Row],[Selling Stock]]</f>
        <v>95</v>
      </c>
      <c r="J159" s="52">
        <f>VLOOKUP(Stock[[#This Row],[Product ID]],Product[#All],8,0)</f>
        <v>10</v>
      </c>
      <c r="K159" s="52" t="str">
        <f>IF(Stock[[#This Row],[Available Stock]]&lt;=Stock[[#This Row],[Reorder Level]],"Reorder","OK")</f>
        <v>OK</v>
      </c>
    </row>
    <row r="160" spans="1:11" ht="18.75" x14ac:dyDescent="0.25">
      <c r="A160" s="52" t="str">
        <f>Product[[#This Row],[Product ID]]</f>
        <v>P0158</v>
      </c>
      <c r="B160" s="52" t="str">
        <f>VLOOKUP(Stock[[#This Row],[Product ID]],Product[#All],2,0)</f>
        <v>Jbl Headset</v>
      </c>
      <c r="C160" s="52" t="str">
        <f>VLOOKUP(Stock[[#This Row],[Product ID]],Product[#All],3,0)</f>
        <v>Headset</v>
      </c>
      <c r="D160" s="52" t="str">
        <f>VLOOKUP(Stock[[#This Row],[Product ID]],Product[#All],4,0)</f>
        <v>JBL</v>
      </c>
      <c r="E160" s="52">
        <f>SUMIF(Opning[[#All],[Product_ID]],Stock[[#This Row],[Product ID]],Opning[[#All],[Opening_Qty]])</f>
        <v>8</v>
      </c>
      <c r="F160" s="52">
        <f>SUMIF(Purchase[[#All],[Product ID]],Stock[[#This Row],[Product ID]],Purchase[[#All],[Net Qty]])</f>
        <v>85</v>
      </c>
      <c r="G160" s="52">
        <f>Stock[[#This Row],[Opening Stock]]+Stock[[#This Row],[Purchase Stock]]</f>
        <v>93</v>
      </c>
      <c r="H160" s="52">
        <f>SUMIF(Sales[[#All],[Product ID]],Stock[[#This Row],[Product ID]],Sales[[#All],[Net QTY]])</f>
        <v>23</v>
      </c>
      <c r="I160" s="52">
        <f>Stock[[#This Row],[Total Stock]]-Stock[[#This Row],[Selling Stock]]</f>
        <v>70</v>
      </c>
      <c r="J160" s="52">
        <f>VLOOKUP(Stock[[#This Row],[Product ID]],Product[#All],8,0)</f>
        <v>8</v>
      </c>
      <c r="K160" s="52" t="str">
        <f>IF(Stock[[#This Row],[Available Stock]]&lt;=Stock[[#This Row],[Reorder Level]],"Reorder","OK")</f>
        <v>OK</v>
      </c>
    </row>
    <row r="161" spans="1:11" ht="18.75" x14ac:dyDescent="0.25">
      <c r="A161" s="52" t="str">
        <f>Product[[#This Row],[Product ID]]</f>
        <v>P0159</v>
      </c>
      <c r="B161" s="52" t="str">
        <f>VLOOKUP(Stock[[#This Row],[Product ID]],Product[#All],2,0)</f>
        <v>Dell Laptop</v>
      </c>
      <c r="C161" s="52" t="str">
        <f>VLOOKUP(Stock[[#This Row],[Product ID]],Product[#All],3,0)</f>
        <v>Laptop</v>
      </c>
      <c r="D161" s="52" t="str">
        <f>VLOOKUP(Stock[[#This Row],[Product ID]],Product[#All],4,0)</f>
        <v>Dell</v>
      </c>
      <c r="E161" s="52">
        <f>SUMIF(Opning[[#All],[Product_ID]],Stock[[#This Row],[Product ID]],Opning[[#All],[Opening_Qty]])</f>
        <v>60</v>
      </c>
      <c r="F161" s="52">
        <f>SUMIF(Purchase[[#All],[Product ID]],Stock[[#This Row],[Product ID]],Purchase[[#All],[Net Qty]])</f>
        <v>73</v>
      </c>
      <c r="G161" s="52">
        <f>Stock[[#This Row],[Opening Stock]]+Stock[[#This Row],[Purchase Stock]]</f>
        <v>133</v>
      </c>
      <c r="H161" s="52">
        <f>SUMIF(Sales[[#All],[Product ID]],Stock[[#This Row],[Product ID]],Sales[[#All],[Net QTY]])</f>
        <v>73</v>
      </c>
      <c r="I161" s="52">
        <f>Stock[[#This Row],[Total Stock]]-Stock[[#This Row],[Selling Stock]]</f>
        <v>60</v>
      </c>
      <c r="J161" s="52">
        <f>VLOOKUP(Stock[[#This Row],[Product ID]],Product[#All],8,0)</f>
        <v>10</v>
      </c>
      <c r="K161" s="52" t="str">
        <f>IF(Stock[[#This Row],[Available Stock]]&lt;=Stock[[#This Row],[Reorder Level]],"Reorder","OK")</f>
        <v>OK</v>
      </c>
    </row>
    <row r="162" spans="1:11" ht="18.75" x14ac:dyDescent="0.25">
      <c r="A162" s="52" t="str">
        <f>Product[[#This Row],[Product ID]]</f>
        <v>P0160</v>
      </c>
      <c r="B162" s="52" t="str">
        <f>VLOOKUP(Stock[[#This Row],[Product ID]],Product[#All],2,0)</f>
        <v>HP Laptop</v>
      </c>
      <c r="C162" s="52" t="str">
        <f>VLOOKUP(Stock[[#This Row],[Product ID]],Product[#All],3,0)</f>
        <v>Laptop</v>
      </c>
      <c r="D162" s="52" t="str">
        <f>VLOOKUP(Stock[[#This Row],[Product ID]],Product[#All],4,0)</f>
        <v>HP</v>
      </c>
      <c r="E162" s="52">
        <f>SUMIF(Opning[[#All],[Product_ID]],Stock[[#This Row],[Product ID]],Opning[[#All],[Opening_Qty]])</f>
        <v>6</v>
      </c>
      <c r="F162" s="52">
        <f>SUMIF(Purchase[[#All],[Product ID]],Stock[[#This Row],[Product ID]],Purchase[[#All],[Net Qty]])</f>
        <v>165</v>
      </c>
      <c r="G162" s="52">
        <f>Stock[[#This Row],[Opening Stock]]+Stock[[#This Row],[Purchase Stock]]</f>
        <v>171</v>
      </c>
      <c r="H162" s="52">
        <f>SUMIF(Sales[[#All],[Product ID]],Stock[[#This Row],[Product ID]],Sales[[#All],[Net QTY]])</f>
        <v>39</v>
      </c>
      <c r="I162" s="52">
        <f>Stock[[#This Row],[Total Stock]]-Stock[[#This Row],[Selling Stock]]</f>
        <v>132</v>
      </c>
      <c r="J162" s="52">
        <f>VLOOKUP(Stock[[#This Row],[Product ID]],Product[#All],8,0)</f>
        <v>15</v>
      </c>
      <c r="K162" s="52" t="str">
        <f>IF(Stock[[#This Row],[Available Stock]]&lt;=Stock[[#This Row],[Reorder Level]],"Reorder","OK")</f>
        <v>OK</v>
      </c>
    </row>
    <row r="163" spans="1:11" ht="18.75" x14ac:dyDescent="0.25">
      <c r="A163" s="52" t="str">
        <f>Product[[#This Row],[Product ID]]</f>
        <v>P0161</v>
      </c>
      <c r="B163" s="52" t="str">
        <f>VLOOKUP(Stock[[#This Row],[Product ID]],Product[#All],2,0)</f>
        <v>Jbl Headset</v>
      </c>
      <c r="C163" s="52" t="str">
        <f>VLOOKUP(Stock[[#This Row],[Product ID]],Product[#All],3,0)</f>
        <v>Headset</v>
      </c>
      <c r="D163" s="52" t="str">
        <f>VLOOKUP(Stock[[#This Row],[Product ID]],Product[#All],4,0)</f>
        <v>JBL</v>
      </c>
      <c r="E163" s="52">
        <f>SUMIF(Opning[[#All],[Product_ID]],Stock[[#This Row],[Product ID]],Opning[[#All],[Opening_Qty]])</f>
        <v>29</v>
      </c>
      <c r="F163" s="52">
        <f>SUMIF(Purchase[[#All],[Product ID]],Stock[[#This Row],[Product ID]],Purchase[[#All],[Net Qty]])</f>
        <v>19</v>
      </c>
      <c r="G163" s="52">
        <f>Stock[[#This Row],[Opening Stock]]+Stock[[#This Row],[Purchase Stock]]</f>
        <v>48</v>
      </c>
      <c r="H163" s="52">
        <f>SUMIF(Sales[[#All],[Product ID]],Stock[[#This Row],[Product ID]],Sales[[#All],[Net QTY]])</f>
        <v>31</v>
      </c>
      <c r="I163" s="52">
        <f>Stock[[#This Row],[Total Stock]]-Stock[[#This Row],[Selling Stock]]</f>
        <v>17</v>
      </c>
      <c r="J163" s="52">
        <f>VLOOKUP(Stock[[#This Row],[Product ID]],Product[#All],8,0)</f>
        <v>20</v>
      </c>
      <c r="K163" s="52" t="str">
        <f>IF(Stock[[#This Row],[Available Stock]]&lt;=Stock[[#This Row],[Reorder Level]],"Reorder","OK")</f>
        <v>Reorder</v>
      </c>
    </row>
    <row r="164" spans="1:11" ht="18.75" x14ac:dyDescent="0.25">
      <c r="A164" s="52" t="str">
        <f>Product[[#This Row],[Product ID]]</f>
        <v>P0162</v>
      </c>
      <c r="B164" s="52" t="str">
        <f>VLOOKUP(Stock[[#This Row],[Product ID]],Product[#All],2,0)</f>
        <v>Samsung Ssd</v>
      </c>
      <c r="C164" s="52" t="str">
        <f>VLOOKUP(Stock[[#This Row],[Product ID]],Product[#All],3,0)</f>
        <v>SSD</v>
      </c>
      <c r="D164" s="52" t="str">
        <f>VLOOKUP(Stock[[#This Row],[Product ID]],Product[#All],4,0)</f>
        <v>Samsung</v>
      </c>
      <c r="E164" s="52">
        <f>SUMIF(Opning[[#All],[Product_ID]],Stock[[#This Row],[Product ID]],Opning[[#All],[Opening_Qty]])</f>
        <v>40</v>
      </c>
      <c r="F164" s="52">
        <f>SUMIF(Purchase[[#All],[Product ID]],Stock[[#This Row],[Product ID]],Purchase[[#All],[Net Qty]])</f>
        <v>133</v>
      </c>
      <c r="G164" s="52">
        <f>Stock[[#This Row],[Opening Stock]]+Stock[[#This Row],[Purchase Stock]]</f>
        <v>173</v>
      </c>
      <c r="H164" s="52">
        <f>SUMIF(Sales[[#All],[Product ID]],Stock[[#This Row],[Product ID]],Sales[[#All],[Net QTY]])</f>
        <v>49</v>
      </c>
      <c r="I164" s="52">
        <f>Stock[[#This Row],[Total Stock]]-Stock[[#This Row],[Selling Stock]]</f>
        <v>124</v>
      </c>
      <c r="J164" s="52">
        <f>VLOOKUP(Stock[[#This Row],[Product ID]],Product[#All],8,0)</f>
        <v>20</v>
      </c>
      <c r="K164" s="52" t="str">
        <f>IF(Stock[[#This Row],[Available Stock]]&lt;=Stock[[#This Row],[Reorder Level]],"Reorder","OK")</f>
        <v>OK</v>
      </c>
    </row>
    <row r="165" spans="1:11" ht="18.75" x14ac:dyDescent="0.25">
      <c r="A165" s="52" t="str">
        <f>Product[[#This Row],[Product ID]]</f>
        <v>P0163</v>
      </c>
      <c r="B165" s="52" t="str">
        <f>VLOOKUP(Stock[[#This Row],[Product ID]],Product[#All],2,0)</f>
        <v>Jbl Headset</v>
      </c>
      <c r="C165" s="52" t="str">
        <f>VLOOKUP(Stock[[#This Row],[Product ID]],Product[#All],3,0)</f>
        <v>Headset</v>
      </c>
      <c r="D165" s="52" t="str">
        <f>VLOOKUP(Stock[[#This Row],[Product ID]],Product[#All],4,0)</f>
        <v>JBL</v>
      </c>
      <c r="E165" s="52">
        <f>SUMIF(Opning[[#All],[Product_ID]],Stock[[#This Row],[Product ID]],Opning[[#All],[Opening_Qty]])</f>
        <v>32</v>
      </c>
      <c r="F165" s="52">
        <f>SUMIF(Purchase[[#All],[Product ID]],Stock[[#This Row],[Product ID]],Purchase[[#All],[Net Qty]])</f>
        <v>112</v>
      </c>
      <c r="G165" s="52">
        <f>Stock[[#This Row],[Opening Stock]]+Stock[[#This Row],[Purchase Stock]]</f>
        <v>144</v>
      </c>
      <c r="H165" s="52">
        <f>SUMIF(Sales[[#All],[Product ID]],Stock[[#This Row],[Product ID]],Sales[[#All],[Net QTY]])</f>
        <v>46</v>
      </c>
      <c r="I165" s="52">
        <f>Stock[[#This Row],[Total Stock]]-Stock[[#This Row],[Selling Stock]]</f>
        <v>98</v>
      </c>
      <c r="J165" s="52">
        <f>VLOOKUP(Stock[[#This Row],[Product ID]],Product[#All],8,0)</f>
        <v>5</v>
      </c>
      <c r="K165" s="52" t="str">
        <f>IF(Stock[[#This Row],[Available Stock]]&lt;=Stock[[#This Row],[Reorder Level]],"Reorder","OK")</f>
        <v>OK</v>
      </c>
    </row>
    <row r="166" spans="1:11" ht="18.75" x14ac:dyDescent="0.25">
      <c r="A166" s="52" t="str">
        <f>Product[[#This Row],[Product ID]]</f>
        <v>P0164</v>
      </c>
      <c r="B166" s="52" t="str">
        <f>VLOOKUP(Stock[[#This Row],[Product ID]],Product[#All],2,0)</f>
        <v>Dell Power Adapter</v>
      </c>
      <c r="C166" s="52" t="str">
        <f>VLOOKUP(Stock[[#This Row],[Product ID]],Product[#All],3,0)</f>
        <v>Power Adapter</v>
      </c>
      <c r="D166" s="52" t="str">
        <f>VLOOKUP(Stock[[#This Row],[Product ID]],Product[#All],4,0)</f>
        <v>Dell</v>
      </c>
      <c r="E166" s="52">
        <f>SUMIF(Opning[[#All],[Product_ID]],Stock[[#This Row],[Product ID]],Opning[[#All],[Opening_Qty]])</f>
        <v>57</v>
      </c>
      <c r="F166" s="52">
        <f>SUMIF(Purchase[[#All],[Product ID]],Stock[[#This Row],[Product ID]],Purchase[[#All],[Net Qty]])</f>
        <v>172</v>
      </c>
      <c r="G166" s="52">
        <f>Stock[[#This Row],[Opening Stock]]+Stock[[#This Row],[Purchase Stock]]</f>
        <v>229</v>
      </c>
      <c r="H166" s="52">
        <f>SUMIF(Sales[[#All],[Product ID]],Stock[[#This Row],[Product ID]],Sales[[#All],[Net QTY]])</f>
        <v>66</v>
      </c>
      <c r="I166" s="52">
        <f>Stock[[#This Row],[Total Stock]]-Stock[[#This Row],[Selling Stock]]</f>
        <v>163</v>
      </c>
      <c r="J166" s="52">
        <f>VLOOKUP(Stock[[#This Row],[Product ID]],Product[#All],8,0)</f>
        <v>8</v>
      </c>
      <c r="K166" s="52" t="str">
        <f>IF(Stock[[#This Row],[Available Stock]]&lt;=Stock[[#This Row],[Reorder Level]],"Reorder","OK")</f>
        <v>OK</v>
      </c>
    </row>
    <row r="167" spans="1:11" ht="18.75" x14ac:dyDescent="0.25">
      <c r="A167" s="52" t="str">
        <f>Product[[#This Row],[Product ID]]</f>
        <v>P0165</v>
      </c>
      <c r="B167" s="52" t="str">
        <f>VLOOKUP(Stock[[#This Row],[Product ID]],Product[#All],2,0)</f>
        <v>Microtek UPS</v>
      </c>
      <c r="C167" s="52" t="str">
        <f>VLOOKUP(Stock[[#This Row],[Product ID]],Product[#All],3,0)</f>
        <v>UPS</v>
      </c>
      <c r="D167" s="52" t="str">
        <f>VLOOKUP(Stock[[#This Row],[Product ID]],Product[#All],4,0)</f>
        <v>Microtek</v>
      </c>
      <c r="E167" s="52">
        <f>SUMIF(Opning[[#All],[Product_ID]],Stock[[#This Row],[Product ID]],Opning[[#All],[Opening_Qty]])</f>
        <v>18</v>
      </c>
      <c r="F167" s="52">
        <f>SUMIF(Purchase[[#All],[Product ID]],Stock[[#This Row],[Product ID]],Purchase[[#All],[Net Qty]])</f>
        <v>159</v>
      </c>
      <c r="G167" s="52">
        <f>Stock[[#This Row],[Opening Stock]]+Stock[[#This Row],[Purchase Stock]]</f>
        <v>177</v>
      </c>
      <c r="H167" s="52">
        <f>SUMIF(Sales[[#All],[Product ID]],Stock[[#This Row],[Product ID]],Sales[[#All],[Net QTY]])</f>
        <v>82</v>
      </c>
      <c r="I167" s="52">
        <f>Stock[[#This Row],[Total Stock]]-Stock[[#This Row],[Selling Stock]]</f>
        <v>95</v>
      </c>
      <c r="J167" s="52">
        <f>VLOOKUP(Stock[[#This Row],[Product ID]],Product[#All],8,0)</f>
        <v>20</v>
      </c>
      <c r="K167" s="52" t="str">
        <f>IF(Stock[[#This Row],[Available Stock]]&lt;=Stock[[#This Row],[Reorder Level]],"Reorder","OK")</f>
        <v>OK</v>
      </c>
    </row>
    <row r="168" spans="1:11" ht="18.75" x14ac:dyDescent="0.25">
      <c r="A168" s="52" t="str">
        <f>Product[[#This Row],[Product ID]]</f>
        <v>P0166</v>
      </c>
      <c r="B168" s="52" t="str">
        <f>VLOOKUP(Stock[[#This Row],[Product ID]],Product[#All],2,0)</f>
        <v>Apc UPS</v>
      </c>
      <c r="C168" s="52" t="str">
        <f>VLOOKUP(Stock[[#This Row],[Product ID]],Product[#All],3,0)</f>
        <v>UPS</v>
      </c>
      <c r="D168" s="52" t="str">
        <f>VLOOKUP(Stock[[#This Row],[Product ID]],Product[#All],4,0)</f>
        <v>APC</v>
      </c>
      <c r="E168" s="52">
        <f>SUMIF(Opning[[#All],[Product_ID]],Stock[[#This Row],[Product ID]],Opning[[#All],[Opening_Qty]])</f>
        <v>10</v>
      </c>
      <c r="F168" s="52">
        <f>SUMIF(Purchase[[#All],[Product ID]],Stock[[#This Row],[Product ID]],Purchase[[#All],[Net Qty]])</f>
        <v>91</v>
      </c>
      <c r="G168" s="52">
        <f>Stock[[#This Row],[Opening Stock]]+Stock[[#This Row],[Purchase Stock]]</f>
        <v>101</v>
      </c>
      <c r="H168" s="52">
        <f>SUMIF(Sales[[#All],[Product ID]],Stock[[#This Row],[Product ID]],Sales[[#All],[Net QTY]])</f>
        <v>64</v>
      </c>
      <c r="I168" s="52">
        <f>Stock[[#This Row],[Total Stock]]-Stock[[#This Row],[Selling Stock]]</f>
        <v>37</v>
      </c>
      <c r="J168" s="52">
        <f>VLOOKUP(Stock[[#This Row],[Product ID]],Product[#All],8,0)</f>
        <v>25</v>
      </c>
      <c r="K168" s="52" t="str">
        <f>IF(Stock[[#This Row],[Available Stock]]&lt;=Stock[[#This Row],[Reorder Level]],"Reorder","OK")</f>
        <v>OK</v>
      </c>
    </row>
    <row r="169" spans="1:11" ht="18.75" x14ac:dyDescent="0.25">
      <c r="A169" s="52" t="str">
        <f>Product[[#This Row],[Product ID]]</f>
        <v>P0167</v>
      </c>
      <c r="B169" s="52" t="str">
        <f>VLOOKUP(Stock[[#This Row],[Product ID]],Product[#All],2,0)</f>
        <v>Amazon Basics Hdmi Cable</v>
      </c>
      <c r="C169" s="52" t="str">
        <f>VLOOKUP(Stock[[#This Row],[Product ID]],Product[#All],3,0)</f>
        <v>HDMI Cable</v>
      </c>
      <c r="D169" s="52" t="str">
        <f>VLOOKUP(Stock[[#This Row],[Product ID]],Product[#All],4,0)</f>
        <v>Amazon Basics</v>
      </c>
      <c r="E169" s="52">
        <f>SUMIF(Opning[[#All],[Product_ID]],Stock[[#This Row],[Product ID]],Opning[[#All],[Opening_Qty]])</f>
        <v>6</v>
      </c>
      <c r="F169" s="52">
        <f>SUMIF(Purchase[[#All],[Product ID]],Stock[[#This Row],[Product ID]],Purchase[[#All],[Net Qty]])</f>
        <v>134</v>
      </c>
      <c r="G169" s="52">
        <f>Stock[[#This Row],[Opening Stock]]+Stock[[#This Row],[Purchase Stock]]</f>
        <v>140</v>
      </c>
      <c r="H169" s="52">
        <f>SUMIF(Sales[[#All],[Product ID]],Stock[[#This Row],[Product ID]],Sales[[#All],[Net QTY]])</f>
        <v>22</v>
      </c>
      <c r="I169" s="52">
        <f>Stock[[#This Row],[Total Stock]]-Stock[[#This Row],[Selling Stock]]</f>
        <v>118</v>
      </c>
      <c r="J169" s="52">
        <f>VLOOKUP(Stock[[#This Row],[Product ID]],Product[#All],8,0)</f>
        <v>10</v>
      </c>
      <c r="K169" s="52" t="str">
        <f>IF(Stock[[#This Row],[Available Stock]]&lt;=Stock[[#This Row],[Reorder Level]],"Reorder","OK")</f>
        <v>OK</v>
      </c>
    </row>
    <row r="170" spans="1:11" ht="18.75" x14ac:dyDescent="0.25">
      <c r="A170" s="52" t="str">
        <f>Product[[#This Row],[Product ID]]</f>
        <v>P0168</v>
      </c>
      <c r="B170" s="52" t="str">
        <f>VLOOKUP(Stock[[#This Row],[Product ID]],Product[#All],2,0)</f>
        <v>Logitech Webcam</v>
      </c>
      <c r="C170" s="52" t="str">
        <f>VLOOKUP(Stock[[#This Row],[Product ID]],Product[#All],3,0)</f>
        <v>WEBCAM</v>
      </c>
      <c r="D170" s="52" t="str">
        <f>VLOOKUP(Stock[[#This Row],[Product ID]],Product[#All],4,0)</f>
        <v>Logitech</v>
      </c>
      <c r="E170" s="52">
        <f>SUMIF(Opning[[#All],[Product_ID]],Stock[[#This Row],[Product ID]],Opning[[#All],[Opening_Qty]])</f>
        <v>19</v>
      </c>
      <c r="F170" s="52">
        <f>SUMIF(Purchase[[#All],[Product ID]],Stock[[#This Row],[Product ID]],Purchase[[#All],[Net Qty]])</f>
        <v>109</v>
      </c>
      <c r="G170" s="52">
        <f>Stock[[#This Row],[Opening Stock]]+Stock[[#This Row],[Purchase Stock]]</f>
        <v>128</v>
      </c>
      <c r="H170" s="52">
        <f>SUMIF(Sales[[#All],[Product ID]],Stock[[#This Row],[Product ID]],Sales[[#All],[Net QTY]])</f>
        <v>54</v>
      </c>
      <c r="I170" s="52">
        <f>Stock[[#This Row],[Total Stock]]-Stock[[#This Row],[Selling Stock]]</f>
        <v>74</v>
      </c>
      <c r="J170" s="52">
        <f>VLOOKUP(Stock[[#This Row],[Product ID]],Product[#All],8,0)</f>
        <v>15</v>
      </c>
      <c r="K170" s="52" t="str">
        <f>IF(Stock[[#This Row],[Available Stock]]&lt;=Stock[[#This Row],[Reorder Level]],"Reorder","OK")</f>
        <v>OK</v>
      </c>
    </row>
    <row r="171" spans="1:11" ht="18.75" x14ac:dyDescent="0.25">
      <c r="A171" s="52" t="str">
        <f>Product[[#This Row],[Product ID]]</f>
        <v>P0169</v>
      </c>
      <c r="B171" s="52" t="str">
        <f>VLOOKUP(Stock[[#This Row],[Product ID]],Product[#All],2,0)</f>
        <v>Samsung Monitor</v>
      </c>
      <c r="C171" s="52" t="str">
        <f>VLOOKUP(Stock[[#This Row],[Product ID]],Product[#All],3,0)</f>
        <v>Monitor</v>
      </c>
      <c r="D171" s="52" t="str">
        <f>VLOOKUP(Stock[[#This Row],[Product ID]],Product[#All],4,0)</f>
        <v>Samsung</v>
      </c>
      <c r="E171" s="52">
        <f>SUMIF(Opning[[#All],[Product_ID]],Stock[[#This Row],[Product ID]],Opning[[#All],[Opening_Qty]])</f>
        <v>40</v>
      </c>
      <c r="F171" s="52">
        <f>SUMIF(Purchase[[#All],[Product ID]],Stock[[#This Row],[Product ID]],Purchase[[#All],[Net Qty]])</f>
        <v>77</v>
      </c>
      <c r="G171" s="52">
        <f>Stock[[#This Row],[Opening Stock]]+Stock[[#This Row],[Purchase Stock]]</f>
        <v>117</v>
      </c>
      <c r="H171" s="52">
        <f>SUMIF(Sales[[#All],[Product ID]],Stock[[#This Row],[Product ID]],Sales[[#All],[Net QTY]])</f>
        <v>74</v>
      </c>
      <c r="I171" s="52">
        <f>Stock[[#This Row],[Total Stock]]-Stock[[#This Row],[Selling Stock]]</f>
        <v>43</v>
      </c>
      <c r="J171" s="52">
        <f>VLOOKUP(Stock[[#This Row],[Product ID]],Product[#All],8,0)</f>
        <v>10</v>
      </c>
      <c r="K171" s="52" t="str">
        <f>IF(Stock[[#This Row],[Available Stock]]&lt;=Stock[[#This Row],[Reorder Level]],"Reorder","OK")</f>
        <v>OK</v>
      </c>
    </row>
    <row r="172" spans="1:11" ht="18.75" x14ac:dyDescent="0.25">
      <c r="A172" s="52" t="str">
        <f>Product[[#This Row],[Product ID]]</f>
        <v>P0170</v>
      </c>
      <c r="B172" s="52" t="str">
        <f>VLOOKUP(Stock[[#This Row],[Product ID]],Product[#All],2,0)</f>
        <v>HP Desktop</v>
      </c>
      <c r="C172" s="52" t="str">
        <f>VLOOKUP(Stock[[#This Row],[Product ID]],Product[#All],3,0)</f>
        <v>Desktop</v>
      </c>
      <c r="D172" s="52" t="str">
        <f>VLOOKUP(Stock[[#This Row],[Product ID]],Product[#All],4,0)</f>
        <v>HP</v>
      </c>
      <c r="E172" s="52">
        <f>SUMIF(Opning[[#All],[Product_ID]],Stock[[#This Row],[Product ID]],Opning[[#All],[Opening_Qty]])</f>
        <v>20</v>
      </c>
      <c r="F172" s="52">
        <f>SUMIF(Purchase[[#All],[Product ID]],Stock[[#This Row],[Product ID]],Purchase[[#All],[Net Qty]])</f>
        <v>120</v>
      </c>
      <c r="G172" s="52">
        <f>Stock[[#This Row],[Opening Stock]]+Stock[[#This Row],[Purchase Stock]]</f>
        <v>140</v>
      </c>
      <c r="H172" s="52">
        <f>SUMIF(Sales[[#All],[Product ID]],Stock[[#This Row],[Product ID]],Sales[[#All],[Net QTY]])</f>
        <v>53</v>
      </c>
      <c r="I172" s="52">
        <f>Stock[[#This Row],[Total Stock]]-Stock[[#This Row],[Selling Stock]]</f>
        <v>87</v>
      </c>
      <c r="J172" s="52">
        <f>VLOOKUP(Stock[[#This Row],[Product ID]],Product[#All],8,0)</f>
        <v>10</v>
      </c>
      <c r="K172" s="52" t="str">
        <f>IF(Stock[[#This Row],[Available Stock]]&lt;=Stock[[#This Row],[Reorder Level]],"Reorder","OK")</f>
        <v>OK</v>
      </c>
    </row>
    <row r="173" spans="1:11" ht="18.75" x14ac:dyDescent="0.25">
      <c r="A173" s="52" t="str">
        <f>Product[[#This Row],[Product ID]]</f>
        <v>P0171</v>
      </c>
      <c r="B173" s="52" t="str">
        <f>VLOOKUP(Stock[[#This Row],[Product ID]],Product[#All],2,0)</f>
        <v>TP-link Wi-Fi Adapter</v>
      </c>
      <c r="C173" s="52" t="str">
        <f>VLOOKUP(Stock[[#This Row],[Product ID]],Product[#All],3,0)</f>
        <v>Wi-Fi Adapter</v>
      </c>
      <c r="D173" s="52" t="str">
        <f>VLOOKUP(Stock[[#This Row],[Product ID]],Product[#All],4,0)</f>
        <v>TP-link</v>
      </c>
      <c r="E173" s="52">
        <f>SUMIF(Opning[[#All],[Product_ID]],Stock[[#This Row],[Product ID]],Opning[[#All],[Opening_Qty]])</f>
        <v>50</v>
      </c>
      <c r="F173" s="52">
        <f>SUMIF(Purchase[[#All],[Product ID]],Stock[[#This Row],[Product ID]],Purchase[[#All],[Net Qty]])</f>
        <v>23</v>
      </c>
      <c r="G173" s="52">
        <f>Stock[[#This Row],[Opening Stock]]+Stock[[#This Row],[Purchase Stock]]</f>
        <v>73</v>
      </c>
      <c r="H173" s="52">
        <f>SUMIF(Sales[[#All],[Product ID]],Stock[[#This Row],[Product ID]],Sales[[#All],[Net QTY]])</f>
        <v>32</v>
      </c>
      <c r="I173" s="52">
        <f>Stock[[#This Row],[Total Stock]]-Stock[[#This Row],[Selling Stock]]</f>
        <v>41</v>
      </c>
      <c r="J173" s="52">
        <f>VLOOKUP(Stock[[#This Row],[Product ID]],Product[#All],8,0)</f>
        <v>8</v>
      </c>
      <c r="K173" s="52" t="str">
        <f>IF(Stock[[#This Row],[Available Stock]]&lt;=Stock[[#This Row],[Reorder Level]],"Reorder","OK")</f>
        <v>OK</v>
      </c>
    </row>
    <row r="174" spans="1:11" ht="18.75" x14ac:dyDescent="0.25">
      <c r="A174" s="52" t="str">
        <f>Product[[#This Row],[Product ID]]</f>
        <v>P0172</v>
      </c>
      <c r="B174" s="52" t="str">
        <f>VLOOKUP(Stock[[#This Row],[Product ID]],Product[#All],2,0)</f>
        <v>Jbl Headset</v>
      </c>
      <c r="C174" s="52" t="str">
        <f>VLOOKUP(Stock[[#This Row],[Product ID]],Product[#All],3,0)</f>
        <v>Headset</v>
      </c>
      <c r="D174" s="52" t="str">
        <f>VLOOKUP(Stock[[#This Row],[Product ID]],Product[#All],4,0)</f>
        <v>JBL</v>
      </c>
      <c r="E174" s="52">
        <f>SUMIF(Opning[[#All],[Product_ID]],Stock[[#This Row],[Product ID]],Opning[[#All],[Opening_Qty]])</f>
        <v>17</v>
      </c>
      <c r="F174" s="52">
        <f>SUMIF(Purchase[[#All],[Product ID]],Stock[[#This Row],[Product ID]],Purchase[[#All],[Net Qty]])</f>
        <v>158</v>
      </c>
      <c r="G174" s="52">
        <f>Stock[[#This Row],[Opening Stock]]+Stock[[#This Row],[Purchase Stock]]</f>
        <v>175</v>
      </c>
      <c r="H174" s="52">
        <f>SUMIF(Sales[[#All],[Product ID]],Stock[[#This Row],[Product ID]],Sales[[#All],[Net QTY]])</f>
        <v>48</v>
      </c>
      <c r="I174" s="52">
        <f>Stock[[#This Row],[Total Stock]]-Stock[[#This Row],[Selling Stock]]</f>
        <v>127</v>
      </c>
      <c r="J174" s="52">
        <f>VLOOKUP(Stock[[#This Row],[Product ID]],Product[#All],8,0)</f>
        <v>5</v>
      </c>
      <c r="K174" s="52" t="str">
        <f>IF(Stock[[#This Row],[Available Stock]]&lt;=Stock[[#This Row],[Reorder Level]],"Reorder","OK")</f>
        <v>OK</v>
      </c>
    </row>
    <row r="175" spans="1:11" ht="18.75" x14ac:dyDescent="0.25">
      <c r="A175" s="52" t="str">
        <f>Product[[#This Row],[Product ID]]</f>
        <v>P0173</v>
      </c>
      <c r="B175" s="52" t="str">
        <f>VLOOKUP(Stock[[#This Row],[Product ID]],Product[#All],2,0)</f>
        <v>Dell Monitor</v>
      </c>
      <c r="C175" s="52" t="str">
        <f>VLOOKUP(Stock[[#This Row],[Product ID]],Product[#All],3,0)</f>
        <v>Monitor</v>
      </c>
      <c r="D175" s="52" t="str">
        <f>VLOOKUP(Stock[[#This Row],[Product ID]],Product[#All],4,0)</f>
        <v>Dell</v>
      </c>
      <c r="E175" s="52">
        <f>SUMIF(Opning[[#All],[Product_ID]],Stock[[#This Row],[Product ID]],Opning[[#All],[Opening_Qty]])</f>
        <v>26</v>
      </c>
      <c r="F175" s="52">
        <f>SUMIF(Purchase[[#All],[Product ID]],Stock[[#This Row],[Product ID]],Purchase[[#All],[Net Qty]])</f>
        <v>102</v>
      </c>
      <c r="G175" s="52">
        <f>Stock[[#This Row],[Opening Stock]]+Stock[[#This Row],[Purchase Stock]]</f>
        <v>128</v>
      </c>
      <c r="H175" s="52">
        <f>SUMIF(Sales[[#All],[Product ID]],Stock[[#This Row],[Product ID]],Sales[[#All],[Net QTY]])</f>
        <v>24</v>
      </c>
      <c r="I175" s="52">
        <f>Stock[[#This Row],[Total Stock]]-Stock[[#This Row],[Selling Stock]]</f>
        <v>104</v>
      </c>
      <c r="J175" s="52">
        <f>VLOOKUP(Stock[[#This Row],[Product ID]],Product[#All],8,0)</f>
        <v>25</v>
      </c>
      <c r="K175" s="52" t="str">
        <f>IF(Stock[[#This Row],[Available Stock]]&lt;=Stock[[#This Row],[Reorder Level]],"Reorder","OK")</f>
        <v>OK</v>
      </c>
    </row>
    <row r="176" spans="1:11" ht="18.75" x14ac:dyDescent="0.25">
      <c r="A176" s="52" t="str">
        <f>Product[[#This Row],[Product ID]]</f>
        <v>P0174</v>
      </c>
      <c r="B176" s="52" t="str">
        <f>VLOOKUP(Stock[[#This Row],[Product ID]],Product[#All],2,0)</f>
        <v>Seagate HDD</v>
      </c>
      <c r="C176" s="52" t="str">
        <f>VLOOKUP(Stock[[#This Row],[Product ID]],Product[#All],3,0)</f>
        <v>HDD</v>
      </c>
      <c r="D176" s="52" t="str">
        <f>VLOOKUP(Stock[[#This Row],[Product ID]],Product[#All],4,0)</f>
        <v>Seagate</v>
      </c>
      <c r="E176" s="52">
        <f>SUMIF(Opning[[#All],[Product_ID]],Stock[[#This Row],[Product ID]],Opning[[#All],[Opening_Qty]])</f>
        <v>20</v>
      </c>
      <c r="F176" s="52">
        <f>SUMIF(Purchase[[#All],[Product ID]],Stock[[#This Row],[Product ID]],Purchase[[#All],[Net Qty]])</f>
        <v>134</v>
      </c>
      <c r="G176" s="52">
        <f>Stock[[#This Row],[Opening Stock]]+Stock[[#This Row],[Purchase Stock]]</f>
        <v>154</v>
      </c>
      <c r="H176" s="52">
        <f>SUMIF(Sales[[#All],[Product ID]],Stock[[#This Row],[Product ID]],Sales[[#All],[Net QTY]])</f>
        <v>65</v>
      </c>
      <c r="I176" s="52">
        <f>Stock[[#This Row],[Total Stock]]-Stock[[#This Row],[Selling Stock]]</f>
        <v>89</v>
      </c>
      <c r="J176" s="52">
        <f>VLOOKUP(Stock[[#This Row],[Product ID]],Product[#All],8,0)</f>
        <v>5</v>
      </c>
      <c r="K176" s="52" t="str">
        <f>IF(Stock[[#This Row],[Available Stock]]&lt;=Stock[[#This Row],[Reorder Level]],"Reorder","OK")</f>
        <v>OK</v>
      </c>
    </row>
    <row r="177" spans="1:11" ht="18.75" x14ac:dyDescent="0.25">
      <c r="A177" s="52" t="str">
        <f>Product[[#This Row],[Product ID]]</f>
        <v>P0175</v>
      </c>
      <c r="B177" s="52" t="str">
        <f>VLOOKUP(Stock[[#This Row],[Product ID]],Product[#All],2,0)</f>
        <v>Sandisk Pen Drive</v>
      </c>
      <c r="C177" s="52" t="str">
        <f>VLOOKUP(Stock[[#This Row],[Product ID]],Product[#All],3,0)</f>
        <v>Pen Drive</v>
      </c>
      <c r="D177" s="52" t="str">
        <f>VLOOKUP(Stock[[#This Row],[Product ID]],Product[#All],4,0)</f>
        <v>SanDisk</v>
      </c>
      <c r="E177" s="52">
        <f>SUMIF(Opning[[#All],[Product_ID]],Stock[[#This Row],[Product ID]],Opning[[#All],[Opening_Qty]])</f>
        <v>15</v>
      </c>
      <c r="F177" s="52">
        <f>SUMIF(Purchase[[#All],[Product ID]],Stock[[#This Row],[Product ID]],Purchase[[#All],[Net Qty]])</f>
        <v>0</v>
      </c>
      <c r="G177" s="52">
        <f>Stock[[#This Row],[Opening Stock]]+Stock[[#This Row],[Purchase Stock]]</f>
        <v>15</v>
      </c>
      <c r="H177" s="52">
        <f>SUMIF(Sales[[#All],[Product ID]],Stock[[#This Row],[Product ID]],Sales[[#All],[Net QTY]])</f>
        <v>15</v>
      </c>
      <c r="I177" s="52">
        <f>Stock[[#This Row],[Total Stock]]-Stock[[#This Row],[Selling Stock]]</f>
        <v>0</v>
      </c>
      <c r="J177" s="52">
        <f>VLOOKUP(Stock[[#This Row],[Product ID]],Product[#All],8,0)</f>
        <v>20</v>
      </c>
      <c r="K177" s="52" t="str">
        <f>IF(Stock[[#This Row],[Available Stock]]&lt;=Stock[[#This Row],[Reorder Level]],"Reorder","OK")</f>
        <v>Reorder</v>
      </c>
    </row>
    <row r="178" spans="1:11" ht="18.75" x14ac:dyDescent="0.25">
      <c r="A178" s="52" t="str">
        <f>Product[[#This Row],[Product ID]]</f>
        <v>P0176</v>
      </c>
      <c r="B178" s="52" t="str">
        <f>VLOOKUP(Stock[[#This Row],[Product ID]],Product[#All],2,0)</f>
        <v>Jbl Speaker</v>
      </c>
      <c r="C178" s="52" t="str">
        <f>VLOOKUP(Stock[[#This Row],[Product ID]],Product[#All],3,0)</f>
        <v>Speaker</v>
      </c>
      <c r="D178" s="52" t="str">
        <f>VLOOKUP(Stock[[#This Row],[Product ID]],Product[#All],4,0)</f>
        <v>JBL</v>
      </c>
      <c r="E178" s="52">
        <f>SUMIF(Opning[[#All],[Product_ID]],Stock[[#This Row],[Product ID]],Opning[[#All],[Opening_Qty]])</f>
        <v>10</v>
      </c>
      <c r="F178" s="52">
        <f>SUMIF(Purchase[[#All],[Product ID]],Stock[[#This Row],[Product ID]],Purchase[[#All],[Net Qty]])</f>
        <v>48</v>
      </c>
      <c r="G178" s="52">
        <f>Stock[[#This Row],[Opening Stock]]+Stock[[#This Row],[Purchase Stock]]</f>
        <v>58</v>
      </c>
      <c r="H178" s="52">
        <f>SUMIF(Sales[[#All],[Product ID]],Stock[[#This Row],[Product ID]],Sales[[#All],[Net QTY]])</f>
        <v>30</v>
      </c>
      <c r="I178" s="52">
        <f>Stock[[#This Row],[Total Stock]]-Stock[[#This Row],[Selling Stock]]</f>
        <v>28</v>
      </c>
      <c r="J178" s="52">
        <f>VLOOKUP(Stock[[#This Row],[Product ID]],Product[#All],8,0)</f>
        <v>25</v>
      </c>
      <c r="K178" s="52" t="str">
        <f>IF(Stock[[#This Row],[Available Stock]]&lt;=Stock[[#This Row],[Reorder Level]],"Reorder","OK")</f>
        <v>OK</v>
      </c>
    </row>
    <row r="179" spans="1:11" ht="18.75" x14ac:dyDescent="0.25">
      <c r="A179" s="52" t="str">
        <f>Product[[#This Row],[Product ID]]</f>
        <v>P0177</v>
      </c>
      <c r="B179" s="52" t="str">
        <f>VLOOKUP(Stock[[#This Row],[Product ID]],Product[#All],2,0)</f>
        <v>Corsair Ram</v>
      </c>
      <c r="C179" s="52" t="str">
        <f>VLOOKUP(Stock[[#This Row],[Product ID]],Product[#All],3,0)</f>
        <v>RAM</v>
      </c>
      <c r="D179" s="52" t="str">
        <f>VLOOKUP(Stock[[#This Row],[Product ID]],Product[#All],4,0)</f>
        <v>Corsair</v>
      </c>
      <c r="E179" s="52">
        <f>SUMIF(Opning[[#All],[Product_ID]],Stock[[#This Row],[Product ID]],Opning[[#All],[Opening_Qty]])</f>
        <v>13</v>
      </c>
      <c r="F179" s="52">
        <f>SUMIF(Purchase[[#All],[Product ID]],Stock[[#This Row],[Product ID]],Purchase[[#All],[Net Qty]])</f>
        <v>174</v>
      </c>
      <c r="G179" s="52">
        <f>Stock[[#This Row],[Opening Stock]]+Stock[[#This Row],[Purchase Stock]]</f>
        <v>187</v>
      </c>
      <c r="H179" s="52">
        <f>SUMIF(Sales[[#All],[Product ID]],Stock[[#This Row],[Product ID]],Sales[[#All],[Net QTY]])</f>
        <v>16</v>
      </c>
      <c r="I179" s="52">
        <f>Stock[[#This Row],[Total Stock]]-Stock[[#This Row],[Selling Stock]]</f>
        <v>171</v>
      </c>
      <c r="J179" s="52">
        <f>VLOOKUP(Stock[[#This Row],[Product ID]],Product[#All],8,0)</f>
        <v>10</v>
      </c>
      <c r="K179" s="52" t="str">
        <f>IF(Stock[[#This Row],[Available Stock]]&lt;=Stock[[#This Row],[Reorder Level]],"Reorder","OK")</f>
        <v>OK</v>
      </c>
    </row>
    <row r="180" spans="1:11" ht="18.75" x14ac:dyDescent="0.25">
      <c r="A180" s="52" t="str">
        <f>Product[[#This Row],[Product ID]]</f>
        <v>P0178</v>
      </c>
      <c r="B180" s="52" t="str">
        <f>VLOOKUP(Stock[[#This Row],[Product ID]],Product[#All],2,0)</f>
        <v>Samsung Monitor</v>
      </c>
      <c r="C180" s="52" t="str">
        <f>VLOOKUP(Stock[[#This Row],[Product ID]],Product[#All],3,0)</f>
        <v>Monitor</v>
      </c>
      <c r="D180" s="52" t="str">
        <f>VLOOKUP(Stock[[#This Row],[Product ID]],Product[#All],4,0)</f>
        <v>Samsung</v>
      </c>
      <c r="E180" s="52">
        <f>SUMIF(Opning[[#All],[Product_ID]],Stock[[#This Row],[Product ID]],Opning[[#All],[Opening_Qty]])</f>
        <v>56</v>
      </c>
      <c r="F180" s="52">
        <f>SUMIF(Purchase[[#All],[Product ID]],Stock[[#This Row],[Product ID]],Purchase[[#All],[Net Qty]])</f>
        <v>20</v>
      </c>
      <c r="G180" s="52">
        <f>Stock[[#This Row],[Opening Stock]]+Stock[[#This Row],[Purchase Stock]]</f>
        <v>76</v>
      </c>
      <c r="H180" s="52">
        <f>SUMIF(Sales[[#All],[Product ID]],Stock[[#This Row],[Product ID]],Sales[[#All],[Net QTY]])</f>
        <v>35</v>
      </c>
      <c r="I180" s="52">
        <f>Stock[[#This Row],[Total Stock]]-Stock[[#This Row],[Selling Stock]]</f>
        <v>41</v>
      </c>
      <c r="J180" s="52">
        <f>VLOOKUP(Stock[[#This Row],[Product ID]],Product[#All],8,0)</f>
        <v>5</v>
      </c>
      <c r="K180" s="52" t="str">
        <f>IF(Stock[[#This Row],[Available Stock]]&lt;=Stock[[#This Row],[Reorder Level]],"Reorder","OK")</f>
        <v>OK</v>
      </c>
    </row>
    <row r="181" spans="1:11" ht="18.75" x14ac:dyDescent="0.25">
      <c r="A181" s="52" t="str">
        <f>Product[[#This Row],[Product ID]]</f>
        <v>P0179</v>
      </c>
      <c r="B181" s="52" t="str">
        <f>VLOOKUP(Stock[[#This Row],[Product ID]],Product[#All],2,0)</f>
        <v>Jbl Headset</v>
      </c>
      <c r="C181" s="52" t="str">
        <f>VLOOKUP(Stock[[#This Row],[Product ID]],Product[#All],3,0)</f>
        <v>Headset</v>
      </c>
      <c r="D181" s="52" t="str">
        <f>VLOOKUP(Stock[[#This Row],[Product ID]],Product[#All],4,0)</f>
        <v>JBL</v>
      </c>
      <c r="E181" s="52">
        <f>SUMIF(Opning[[#All],[Product_ID]],Stock[[#This Row],[Product ID]],Opning[[#All],[Opening_Qty]])</f>
        <v>48</v>
      </c>
      <c r="F181" s="52">
        <f>SUMIF(Purchase[[#All],[Product ID]],Stock[[#This Row],[Product ID]],Purchase[[#All],[Net Qty]])</f>
        <v>33</v>
      </c>
      <c r="G181" s="52">
        <f>Stock[[#This Row],[Opening Stock]]+Stock[[#This Row],[Purchase Stock]]</f>
        <v>81</v>
      </c>
      <c r="H181" s="52">
        <f>SUMIF(Sales[[#All],[Product ID]],Stock[[#This Row],[Product ID]],Sales[[#All],[Net QTY]])</f>
        <v>21</v>
      </c>
      <c r="I181" s="52">
        <f>Stock[[#This Row],[Total Stock]]-Stock[[#This Row],[Selling Stock]]</f>
        <v>60</v>
      </c>
      <c r="J181" s="52">
        <f>VLOOKUP(Stock[[#This Row],[Product ID]],Product[#All],8,0)</f>
        <v>15</v>
      </c>
      <c r="K181" s="52" t="str">
        <f>IF(Stock[[#This Row],[Available Stock]]&lt;=Stock[[#This Row],[Reorder Level]],"Reorder","OK")</f>
        <v>OK</v>
      </c>
    </row>
    <row r="182" spans="1:11" ht="18.75" x14ac:dyDescent="0.25">
      <c r="A182" s="52" t="str">
        <f>Product[[#This Row],[Product ID]]</f>
        <v>P0180</v>
      </c>
      <c r="B182" s="52" t="str">
        <f>VLOOKUP(Stock[[#This Row],[Product ID]],Product[#All],2,0)</f>
        <v>Dell Desktop</v>
      </c>
      <c r="C182" s="52" t="str">
        <f>VLOOKUP(Stock[[#This Row],[Product ID]],Product[#All],3,0)</f>
        <v>Desktop</v>
      </c>
      <c r="D182" s="52" t="str">
        <f>VLOOKUP(Stock[[#This Row],[Product ID]],Product[#All],4,0)</f>
        <v>Dell</v>
      </c>
      <c r="E182" s="52">
        <f>SUMIF(Opning[[#All],[Product_ID]],Stock[[#This Row],[Product ID]],Opning[[#All],[Opening_Qty]])</f>
        <v>54</v>
      </c>
      <c r="F182" s="52">
        <f>SUMIF(Purchase[[#All],[Product ID]],Stock[[#This Row],[Product ID]],Purchase[[#All],[Net Qty]])</f>
        <v>64</v>
      </c>
      <c r="G182" s="52">
        <f>Stock[[#This Row],[Opening Stock]]+Stock[[#This Row],[Purchase Stock]]</f>
        <v>118</v>
      </c>
      <c r="H182" s="52">
        <f>SUMIF(Sales[[#All],[Product ID]],Stock[[#This Row],[Product ID]],Sales[[#All],[Net QTY]])</f>
        <v>24</v>
      </c>
      <c r="I182" s="52">
        <f>Stock[[#This Row],[Total Stock]]-Stock[[#This Row],[Selling Stock]]</f>
        <v>94</v>
      </c>
      <c r="J182" s="52">
        <f>VLOOKUP(Stock[[#This Row],[Product ID]],Product[#All],8,0)</f>
        <v>10</v>
      </c>
      <c r="K182" s="52" t="str">
        <f>IF(Stock[[#This Row],[Available Stock]]&lt;=Stock[[#This Row],[Reorder Level]],"Reorder","OK")</f>
        <v>OK</v>
      </c>
    </row>
    <row r="183" spans="1:11" ht="18.75" x14ac:dyDescent="0.25">
      <c r="A183" s="52" t="str">
        <f>Product[[#This Row],[Product ID]]</f>
        <v>P0181</v>
      </c>
      <c r="B183" s="52" t="str">
        <f>VLOOKUP(Stock[[#This Row],[Product ID]],Product[#All],2,0)</f>
        <v>TP-link Wi-Fi Adapter</v>
      </c>
      <c r="C183" s="52" t="str">
        <f>VLOOKUP(Stock[[#This Row],[Product ID]],Product[#All],3,0)</f>
        <v>Wi-Fi Adapter</v>
      </c>
      <c r="D183" s="52" t="str">
        <f>VLOOKUP(Stock[[#This Row],[Product ID]],Product[#All],4,0)</f>
        <v>TP-link</v>
      </c>
      <c r="E183" s="52">
        <f>SUMIF(Opning[[#All],[Product_ID]],Stock[[#This Row],[Product ID]],Opning[[#All],[Opening_Qty]])</f>
        <v>49</v>
      </c>
      <c r="F183" s="52">
        <f>SUMIF(Purchase[[#All],[Product ID]],Stock[[#This Row],[Product ID]],Purchase[[#All],[Net Qty]])</f>
        <v>124</v>
      </c>
      <c r="G183" s="52">
        <f>Stock[[#This Row],[Opening Stock]]+Stock[[#This Row],[Purchase Stock]]</f>
        <v>173</v>
      </c>
      <c r="H183" s="52">
        <f>SUMIF(Sales[[#All],[Product ID]],Stock[[#This Row],[Product ID]],Sales[[#All],[Net QTY]])</f>
        <v>68</v>
      </c>
      <c r="I183" s="52">
        <f>Stock[[#This Row],[Total Stock]]-Stock[[#This Row],[Selling Stock]]</f>
        <v>105</v>
      </c>
      <c r="J183" s="52">
        <f>VLOOKUP(Stock[[#This Row],[Product ID]],Product[#All],8,0)</f>
        <v>10</v>
      </c>
      <c r="K183" s="52" t="str">
        <f>IF(Stock[[#This Row],[Available Stock]]&lt;=Stock[[#This Row],[Reorder Level]],"Reorder","OK")</f>
        <v>OK</v>
      </c>
    </row>
    <row r="184" spans="1:11" ht="18.75" x14ac:dyDescent="0.25">
      <c r="A184" s="52" t="str">
        <f>Product[[#This Row],[Product ID]]</f>
        <v>P0182</v>
      </c>
      <c r="B184" s="52" t="str">
        <f>VLOOKUP(Stock[[#This Row],[Product ID]],Product[#All],2,0)</f>
        <v>HP Printer</v>
      </c>
      <c r="C184" s="52" t="str">
        <f>VLOOKUP(Stock[[#This Row],[Product ID]],Product[#All],3,0)</f>
        <v>Printer</v>
      </c>
      <c r="D184" s="52" t="str">
        <f>VLOOKUP(Stock[[#This Row],[Product ID]],Product[#All],4,0)</f>
        <v>HP</v>
      </c>
      <c r="E184" s="52">
        <f>SUMIF(Opning[[#All],[Product_ID]],Stock[[#This Row],[Product ID]],Opning[[#All],[Opening_Qty]])</f>
        <v>27</v>
      </c>
      <c r="F184" s="52">
        <f>SUMIF(Purchase[[#All],[Product ID]],Stock[[#This Row],[Product ID]],Purchase[[#All],[Net Qty]])</f>
        <v>54</v>
      </c>
      <c r="G184" s="52">
        <f>Stock[[#This Row],[Opening Stock]]+Stock[[#This Row],[Purchase Stock]]</f>
        <v>81</v>
      </c>
      <c r="H184" s="52">
        <f>SUMIF(Sales[[#All],[Product ID]],Stock[[#This Row],[Product ID]],Sales[[#All],[Net QTY]])</f>
        <v>40</v>
      </c>
      <c r="I184" s="52">
        <f>Stock[[#This Row],[Total Stock]]-Stock[[#This Row],[Selling Stock]]</f>
        <v>41</v>
      </c>
      <c r="J184" s="52">
        <f>VLOOKUP(Stock[[#This Row],[Product ID]],Product[#All],8,0)</f>
        <v>5</v>
      </c>
      <c r="K184" s="52" t="str">
        <f>IF(Stock[[#This Row],[Available Stock]]&lt;=Stock[[#This Row],[Reorder Level]],"Reorder","OK")</f>
        <v>OK</v>
      </c>
    </row>
    <row r="185" spans="1:11" ht="18.75" x14ac:dyDescent="0.25">
      <c r="A185" s="52" t="str">
        <f>Product[[#This Row],[Product ID]]</f>
        <v>P0183</v>
      </c>
      <c r="B185" s="52" t="str">
        <f>VLOOKUP(Stock[[#This Row],[Product ID]],Product[#All],2,0)</f>
        <v>HP Mouse</v>
      </c>
      <c r="C185" s="52" t="str">
        <f>VLOOKUP(Stock[[#This Row],[Product ID]],Product[#All],3,0)</f>
        <v>Mouse</v>
      </c>
      <c r="D185" s="52" t="str">
        <f>VLOOKUP(Stock[[#This Row],[Product ID]],Product[#All],4,0)</f>
        <v>HP</v>
      </c>
      <c r="E185" s="52">
        <f>SUMIF(Opning[[#All],[Product_ID]],Stock[[#This Row],[Product ID]],Opning[[#All],[Opening_Qty]])</f>
        <v>50</v>
      </c>
      <c r="F185" s="52">
        <f>SUMIF(Purchase[[#All],[Product ID]],Stock[[#This Row],[Product ID]],Purchase[[#All],[Net Qty]])</f>
        <v>116</v>
      </c>
      <c r="G185" s="52">
        <f>Stock[[#This Row],[Opening Stock]]+Stock[[#This Row],[Purchase Stock]]</f>
        <v>166</v>
      </c>
      <c r="H185" s="52">
        <f>SUMIF(Sales[[#All],[Product ID]],Stock[[#This Row],[Product ID]],Sales[[#All],[Net QTY]])</f>
        <v>27</v>
      </c>
      <c r="I185" s="52">
        <f>Stock[[#This Row],[Total Stock]]-Stock[[#This Row],[Selling Stock]]</f>
        <v>139</v>
      </c>
      <c r="J185" s="52">
        <f>VLOOKUP(Stock[[#This Row],[Product ID]],Product[#All],8,0)</f>
        <v>8</v>
      </c>
      <c r="K185" s="52" t="str">
        <f>IF(Stock[[#This Row],[Available Stock]]&lt;=Stock[[#This Row],[Reorder Level]],"Reorder","OK")</f>
        <v>OK</v>
      </c>
    </row>
    <row r="186" spans="1:11" ht="18.75" x14ac:dyDescent="0.25">
      <c r="A186" s="52" t="str">
        <f>Product[[#This Row],[Product ID]]</f>
        <v>P0184</v>
      </c>
      <c r="B186" s="52" t="str">
        <f>VLOOKUP(Stock[[#This Row],[Product ID]],Product[#All],2,0)</f>
        <v>HP Desktop</v>
      </c>
      <c r="C186" s="52" t="str">
        <f>VLOOKUP(Stock[[#This Row],[Product ID]],Product[#All],3,0)</f>
        <v>Desktop</v>
      </c>
      <c r="D186" s="52" t="str">
        <f>VLOOKUP(Stock[[#This Row],[Product ID]],Product[#All],4,0)</f>
        <v>HP</v>
      </c>
      <c r="E186" s="52">
        <f>SUMIF(Opning[[#All],[Product_ID]],Stock[[#This Row],[Product ID]],Opning[[#All],[Opening_Qty]])</f>
        <v>13</v>
      </c>
      <c r="F186" s="52">
        <f>SUMIF(Purchase[[#All],[Product ID]],Stock[[#This Row],[Product ID]],Purchase[[#All],[Net Qty]])</f>
        <v>74</v>
      </c>
      <c r="G186" s="52">
        <f>Stock[[#This Row],[Opening Stock]]+Stock[[#This Row],[Purchase Stock]]</f>
        <v>87</v>
      </c>
      <c r="H186" s="52">
        <f>SUMIF(Sales[[#All],[Product ID]],Stock[[#This Row],[Product ID]],Sales[[#All],[Net QTY]])</f>
        <v>47</v>
      </c>
      <c r="I186" s="52">
        <f>Stock[[#This Row],[Total Stock]]-Stock[[#This Row],[Selling Stock]]</f>
        <v>40</v>
      </c>
      <c r="J186" s="52">
        <f>VLOOKUP(Stock[[#This Row],[Product ID]],Product[#All],8,0)</f>
        <v>8</v>
      </c>
      <c r="K186" s="52" t="str">
        <f>IF(Stock[[#This Row],[Available Stock]]&lt;=Stock[[#This Row],[Reorder Level]],"Reorder","OK")</f>
        <v>OK</v>
      </c>
    </row>
    <row r="187" spans="1:11" ht="18.75" x14ac:dyDescent="0.25">
      <c r="A187" s="52" t="str">
        <f>Product[[#This Row],[Product ID]]</f>
        <v>P0185</v>
      </c>
      <c r="B187" s="52" t="str">
        <f>VLOOKUP(Stock[[#This Row],[Product ID]],Product[#All],2,0)</f>
        <v>TP-link Router</v>
      </c>
      <c r="C187" s="52" t="str">
        <f>VLOOKUP(Stock[[#This Row],[Product ID]],Product[#All],3,0)</f>
        <v>Rauter</v>
      </c>
      <c r="D187" s="52" t="str">
        <f>VLOOKUP(Stock[[#This Row],[Product ID]],Product[#All],4,0)</f>
        <v>TP-link</v>
      </c>
      <c r="E187" s="52">
        <f>SUMIF(Opning[[#All],[Product_ID]],Stock[[#This Row],[Product ID]],Opning[[#All],[Opening_Qty]])</f>
        <v>50</v>
      </c>
      <c r="F187" s="52">
        <f>SUMIF(Purchase[[#All],[Product ID]],Stock[[#This Row],[Product ID]],Purchase[[#All],[Net Qty]])</f>
        <v>48</v>
      </c>
      <c r="G187" s="52">
        <f>Stock[[#This Row],[Opening Stock]]+Stock[[#This Row],[Purchase Stock]]</f>
        <v>98</v>
      </c>
      <c r="H187" s="52">
        <f>SUMIF(Sales[[#All],[Product ID]],Stock[[#This Row],[Product ID]],Sales[[#All],[Net QTY]])</f>
        <v>17</v>
      </c>
      <c r="I187" s="52">
        <f>Stock[[#This Row],[Total Stock]]-Stock[[#This Row],[Selling Stock]]</f>
        <v>81</v>
      </c>
      <c r="J187" s="52">
        <f>VLOOKUP(Stock[[#This Row],[Product ID]],Product[#All],8,0)</f>
        <v>8</v>
      </c>
      <c r="K187" s="52" t="str">
        <f>IF(Stock[[#This Row],[Available Stock]]&lt;=Stock[[#This Row],[Reorder Level]],"Reorder","OK")</f>
        <v>OK</v>
      </c>
    </row>
    <row r="188" spans="1:11" ht="18.75" x14ac:dyDescent="0.25">
      <c r="A188" s="52" t="str">
        <f>Product[[#This Row],[Product ID]]</f>
        <v>P0186</v>
      </c>
      <c r="B188" s="52" t="str">
        <f>VLOOKUP(Stock[[#This Row],[Product ID]],Product[#All],2,0)</f>
        <v>Dell Desktop</v>
      </c>
      <c r="C188" s="52" t="str">
        <f>VLOOKUP(Stock[[#This Row],[Product ID]],Product[#All],3,0)</f>
        <v>Desktop</v>
      </c>
      <c r="D188" s="52" t="str">
        <f>VLOOKUP(Stock[[#This Row],[Product ID]],Product[#All],4,0)</f>
        <v>Dell</v>
      </c>
      <c r="E188" s="52">
        <f>SUMIF(Opning[[#All],[Product_ID]],Stock[[#This Row],[Product ID]],Opning[[#All],[Opening_Qty]])</f>
        <v>51</v>
      </c>
      <c r="F188" s="52">
        <f>SUMIF(Purchase[[#All],[Product ID]],Stock[[#This Row],[Product ID]],Purchase[[#All],[Net Qty]])</f>
        <v>160</v>
      </c>
      <c r="G188" s="52">
        <f>Stock[[#This Row],[Opening Stock]]+Stock[[#This Row],[Purchase Stock]]</f>
        <v>211</v>
      </c>
      <c r="H188" s="52">
        <f>SUMIF(Sales[[#All],[Product ID]],Stock[[#This Row],[Product ID]],Sales[[#All],[Net QTY]])</f>
        <v>38</v>
      </c>
      <c r="I188" s="52">
        <f>Stock[[#This Row],[Total Stock]]-Stock[[#This Row],[Selling Stock]]</f>
        <v>173</v>
      </c>
      <c r="J188" s="52">
        <f>VLOOKUP(Stock[[#This Row],[Product ID]],Product[#All],8,0)</f>
        <v>25</v>
      </c>
      <c r="K188" s="52" t="str">
        <f>IF(Stock[[#This Row],[Available Stock]]&lt;=Stock[[#This Row],[Reorder Level]],"Reorder","OK")</f>
        <v>OK</v>
      </c>
    </row>
    <row r="189" spans="1:11" ht="18.75" x14ac:dyDescent="0.25">
      <c r="A189" s="52" t="str">
        <f>Product[[#This Row],[Product ID]]</f>
        <v>P0187</v>
      </c>
      <c r="B189" s="52" t="str">
        <f>VLOOKUP(Stock[[#This Row],[Product ID]],Product[#All],2,0)</f>
        <v>Jbl Headset</v>
      </c>
      <c r="C189" s="52" t="str">
        <f>VLOOKUP(Stock[[#This Row],[Product ID]],Product[#All],3,0)</f>
        <v>Headset</v>
      </c>
      <c r="D189" s="52" t="str">
        <f>VLOOKUP(Stock[[#This Row],[Product ID]],Product[#All],4,0)</f>
        <v>JBL</v>
      </c>
      <c r="E189" s="52">
        <f>SUMIF(Opning[[#All],[Product_ID]],Stock[[#This Row],[Product ID]],Opning[[#All],[Opening_Qty]])</f>
        <v>13</v>
      </c>
      <c r="F189" s="52">
        <f>SUMIF(Purchase[[#All],[Product ID]],Stock[[#This Row],[Product ID]],Purchase[[#All],[Net Qty]])</f>
        <v>116</v>
      </c>
      <c r="G189" s="52">
        <f>Stock[[#This Row],[Opening Stock]]+Stock[[#This Row],[Purchase Stock]]</f>
        <v>129</v>
      </c>
      <c r="H189" s="52">
        <f>SUMIF(Sales[[#All],[Product ID]],Stock[[#This Row],[Product ID]],Sales[[#All],[Net QTY]])</f>
        <v>55</v>
      </c>
      <c r="I189" s="52">
        <f>Stock[[#This Row],[Total Stock]]-Stock[[#This Row],[Selling Stock]]</f>
        <v>74</v>
      </c>
      <c r="J189" s="52">
        <f>VLOOKUP(Stock[[#This Row],[Product ID]],Product[#All],8,0)</f>
        <v>20</v>
      </c>
      <c r="K189" s="52" t="str">
        <f>IF(Stock[[#This Row],[Available Stock]]&lt;=Stock[[#This Row],[Reorder Level]],"Reorder","OK")</f>
        <v>OK</v>
      </c>
    </row>
    <row r="190" spans="1:11" ht="18.75" x14ac:dyDescent="0.25">
      <c r="A190" s="52" t="str">
        <f>Product[[#This Row],[Product ID]]</f>
        <v>P0188</v>
      </c>
      <c r="B190" s="52" t="str">
        <f>VLOOKUP(Stock[[#This Row],[Product ID]],Product[#All],2,0)</f>
        <v>Samsung Monitor</v>
      </c>
      <c r="C190" s="52" t="str">
        <f>VLOOKUP(Stock[[#This Row],[Product ID]],Product[#All],3,0)</f>
        <v>Monitor</v>
      </c>
      <c r="D190" s="52" t="str">
        <f>VLOOKUP(Stock[[#This Row],[Product ID]],Product[#All],4,0)</f>
        <v>Samsung</v>
      </c>
      <c r="E190" s="52">
        <f>SUMIF(Opning[[#All],[Product_ID]],Stock[[#This Row],[Product ID]],Opning[[#All],[Opening_Qty]])</f>
        <v>60</v>
      </c>
      <c r="F190" s="52">
        <f>SUMIF(Purchase[[#All],[Product ID]],Stock[[#This Row],[Product ID]],Purchase[[#All],[Net Qty]])</f>
        <v>260</v>
      </c>
      <c r="G190" s="52">
        <f>Stock[[#This Row],[Opening Stock]]+Stock[[#This Row],[Purchase Stock]]</f>
        <v>320</v>
      </c>
      <c r="H190" s="52">
        <f>SUMIF(Sales[[#All],[Product ID]],Stock[[#This Row],[Product ID]],Sales[[#All],[Net QTY]])</f>
        <v>31</v>
      </c>
      <c r="I190" s="52">
        <f>Stock[[#This Row],[Total Stock]]-Stock[[#This Row],[Selling Stock]]</f>
        <v>289</v>
      </c>
      <c r="J190" s="52">
        <f>VLOOKUP(Stock[[#This Row],[Product ID]],Product[#All],8,0)</f>
        <v>20</v>
      </c>
      <c r="K190" s="52" t="str">
        <f>IF(Stock[[#This Row],[Available Stock]]&lt;=Stock[[#This Row],[Reorder Level]],"Reorder","OK")</f>
        <v>OK</v>
      </c>
    </row>
    <row r="191" spans="1:11" ht="18.75" x14ac:dyDescent="0.25">
      <c r="A191" s="52" t="str">
        <f>Product[[#This Row],[Product ID]]</f>
        <v>P0189</v>
      </c>
      <c r="B191" s="52" t="str">
        <f>VLOOKUP(Stock[[#This Row],[Product ID]],Product[#All],2,0)</f>
        <v>Microtek UPS</v>
      </c>
      <c r="C191" s="52" t="str">
        <f>VLOOKUP(Stock[[#This Row],[Product ID]],Product[#All],3,0)</f>
        <v>UPS</v>
      </c>
      <c r="D191" s="52" t="str">
        <f>VLOOKUP(Stock[[#This Row],[Product ID]],Product[#All],4,0)</f>
        <v>Microtek</v>
      </c>
      <c r="E191" s="52">
        <f>SUMIF(Opning[[#All],[Product_ID]],Stock[[#This Row],[Product ID]],Opning[[#All],[Opening_Qty]])</f>
        <v>32</v>
      </c>
      <c r="F191" s="52">
        <f>SUMIF(Purchase[[#All],[Product ID]],Stock[[#This Row],[Product ID]],Purchase[[#All],[Net Qty]])</f>
        <v>114</v>
      </c>
      <c r="G191" s="52">
        <f>Stock[[#This Row],[Opening Stock]]+Stock[[#This Row],[Purchase Stock]]</f>
        <v>146</v>
      </c>
      <c r="H191" s="52">
        <f>SUMIF(Sales[[#All],[Product ID]],Stock[[#This Row],[Product ID]],Sales[[#All],[Net QTY]])</f>
        <v>36</v>
      </c>
      <c r="I191" s="52">
        <f>Stock[[#This Row],[Total Stock]]-Stock[[#This Row],[Selling Stock]]</f>
        <v>110</v>
      </c>
      <c r="J191" s="52">
        <f>VLOOKUP(Stock[[#This Row],[Product ID]],Product[#All],8,0)</f>
        <v>15</v>
      </c>
      <c r="K191" s="52" t="str">
        <f>IF(Stock[[#This Row],[Available Stock]]&lt;=Stock[[#This Row],[Reorder Level]],"Reorder","OK")</f>
        <v>OK</v>
      </c>
    </row>
    <row r="192" spans="1:11" ht="18.75" x14ac:dyDescent="0.25">
      <c r="A192" s="52" t="str">
        <f>Product[[#This Row],[Product ID]]</f>
        <v>P0190</v>
      </c>
      <c r="B192" s="52" t="str">
        <f>VLOOKUP(Stock[[#This Row],[Product ID]],Product[#All],2,0)</f>
        <v>Crucial Ssd</v>
      </c>
      <c r="C192" s="52" t="str">
        <f>VLOOKUP(Stock[[#This Row],[Product ID]],Product[#All],3,0)</f>
        <v>SSD</v>
      </c>
      <c r="D192" s="52" t="str">
        <f>VLOOKUP(Stock[[#This Row],[Product ID]],Product[#All],4,0)</f>
        <v>Crucial</v>
      </c>
      <c r="E192" s="52">
        <f>SUMIF(Opning[[#All],[Product_ID]],Stock[[#This Row],[Product ID]],Opning[[#All],[Opening_Qty]])</f>
        <v>20</v>
      </c>
      <c r="F192" s="52">
        <f>SUMIF(Purchase[[#All],[Product ID]],Stock[[#This Row],[Product ID]],Purchase[[#All],[Net Qty]])</f>
        <v>77</v>
      </c>
      <c r="G192" s="52">
        <f>Stock[[#This Row],[Opening Stock]]+Stock[[#This Row],[Purchase Stock]]</f>
        <v>97</v>
      </c>
      <c r="H192" s="52">
        <f>SUMIF(Sales[[#All],[Product ID]],Stock[[#This Row],[Product ID]],Sales[[#All],[Net QTY]])</f>
        <v>53</v>
      </c>
      <c r="I192" s="52">
        <f>Stock[[#This Row],[Total Stock]]-Stock[[#This Row],[Selling Stock]]</f>
        <v>44</v>
      </c>
      <c r="J192" s="52">
        <f>VLOOKUP(Stock[[#This Row],[Product ID]],Product[#All],8,0)</f>
        <v>5</v>
      </c>
      <c r="K192" s="52" t="str">
        <f>IF(Stock[[#This Row],[Available Stock]]&lt;=Stock[[#This Row],[Reorder Level]],"Reorder","OK")</f>
        <v>OK</v>
      </c>
    </row>
    <row r="193" spans="1:11" ht="18.75" x14ac:dyDescent="0.25">
      <c r="A193" s="52" t="str">
        <f>Product[[#This Row],[Product ID]]</f>
        <v>P0191</v>
      </c>
      <c r="B193" s="52" t="str">
        <f>VLOOKUP(Stock[[#This Row],[Product ID]],Product[#All],2,0)</f>
        <v>Portronics USB Cable</v>
      </c>
      <c r="C193" s="52" t="str">
        <f>VLOOKUP(Stock[[#This Row],[Product ID]],Product[#All],3,0)</f>
        <v>USB Cable</v>
      </c>
      <c r="D193" s="52" t="str">
        <f>VLOOKUP(Stock[[#This Row],[Product ID]],Product[#All],4,0)</f>
        <v>Portronics</v>
      </c>
      <c r="E193" s="52">
        <f>SUMIF(Opning[[#All],[Product_ID]],Stock[[#This Row],[Product ID]],Opning[[#All],[Opening_Qty]])</f>
        <v>51</v>
      </c>
      <c r="F193" s="52">
        <f>SUMIF(Purchase[[#All],[Product ID]],Stock[[#This Row],[Product ID]],Purchase[[#All],[Net Qty]])</f>
        <v>72</v>
      </c>
      <c r="G193" s="52">
        <f>Stock[[#This Row],[Opening Stock]]+Stock[[#This Row],[Purchase Stock]]</f>
        <v>123</v>
      </c>
      <c r="H193" s="52">
        <f>SUMIF(Sales[[#All],[Product ID]],Stock[[#This Row],[Product ID]],Sales[[#All],[Net QTY]])</f>
        <v>42</v>
      </c>
      <c r="I193" s="52">
        <f>Stock[[#This Row],[Total Stock]]-Stock[[#This Row],[Selling Stock]]</f>
        <v>81</v>
      </c>
      <c r="J193" s="52">
        <f>VLOOKUP(Stock[[#This Row],[Product ID]],Product[#All],8,0)</f>
        <v>15</v>
      </c>
      <c r="K193" s="52" t="str">
        <f>IF(Stock[[#This Row],[Available Stock]]&lt;=Stock[[#This Row],[Reorder Level]],"Reorder","OK")</f>
        <v>OK</v>
      </c>
    </row>
    <row r="194" spans="1:11" ht="18.75" x14ac:dyDescent="0.25">
      <c r="A194" s="52" t="str">
        <f>Product[[#This Row],[Product ID]]</f>
        <v>P0192</v>
      </c>
      <c r="B194" s="52" t="str">
        <f>VLOOKUP(Stock[[#This Row],[Product ID]],Product[#All],2,0)</f>
        <v>HP Printer</v>
      </c>
      <c r="C194" s="52" t="str">
        <f>VLOOKUP(Stock[[#This Row],[Product ID]],Product[#All],3,0)</f>
        <v>Printer</v>
      </c>
      <c r="D194" s="52" t="str">
        <f>VLOOKUP(Stock[[#This Row],[Product ID]],Product[#All],4,0)</f>
        <v>HP</v>
      </c>
      <c r="E194" s="52">
        <f>SUMIF(Opning[[#All],[Product_ID]],Stock[[#This Row],[Product ID]],Opning[[#All],[Opening_Qty]])</f>
        <v>41</v>
      </c>
      <c r="F194" s="52">
        <f>SUMIF(Purchase[[#All],[Product ID]],Stock[[#This Row],[Product ID]],Purchase[[#All],[Net Qty]])</f>
        <v>146</v>
      </c>
      <c r="G194" s="52">
        <f>Stock[[#This Row],[Opening Stock]]+Stock[[#This Row],[Purchase Stock]]</f>
        <v>187</v>
      </c>
      <c r="H194" s="52">
        <f>SUMIF(Sales[[#All],[Product ID]],Stock[[#This Row],[Product ID]],Sales[[#All],[Net QTY]])</f>
        <v>63</v>
      </c>
      <c r="I194" s="52">
        <f>Stock[[#This Row],[Total Stock]]-Stock[[#This Row],[Selling Stock]]</f>
        <v>124</v>
      </c>
      <c r="J194" s="52">
        <f>VLOOKUP(Stock[[#This Row],[Product ID]],Product[#All],8,0)</f>
        <v>10</v>
      </c>
      <c r="K194" s="52" t="str">
        <f>IF(Stock[[#This Row],[Available Stock]]&lt;=Stock[[#This Row],[Reorder Level]],"Reorder","OK")</f>
        <v>OK</v>
      </c>
    </row>
    <row r="195" spans="1:11" ht="18.75" x14ac:dyDescent="0.25">
      <c r="A195" s="52" t="str">
        <f>Product[[#This Row],[Product ID]]</f>
        <v>P0193</v>
      </c>
      <c r="B195" s="52" t="str">
        <f>VLOOKUP(Stock[[#This Row],[Product ID]],Product[#All],2,0)</f>
        <v>TP-link Router</v>
      </c>
      <c r="C195" s="52" t="str">
        <f>VLOOKUP(Stock[[#This Row],[Product ID]],Product[#All],3,0)</f>
        <v>Router</v>
      </c>
      <c r="D195" s="52" t="str">
        <f>VLOOKUP(Stock[[#This Row],[Product ID]],Product[#All],4,0)</f>
        <v>TP-link</v>
      </c>
      <c r="E195" s="52">
        <f>SUMIF(Opning[[#All],[Product_ID]],Stock[[#This Row],[Product ID]],Opning[[#All],[Opening_Qty]])</f>
        <v>34</v>
      </c>
      <c r="F195" s="52">
        <f>SUMIF(Purchase[[#All],[Product ID]],Stock[[#This Row],[Product ID]],Purchase[[#All],[Net Qty]])</f>
        <v>169</v>
      </c>
      <c r="G195" s="52">
        <f>Stock[[#This Row],[Opening Stock]]+Stock[[#This Row],[Purchase Stock]]</f>
        <v>203</v>
      </c>
      <c r="H195" s="52">
        <f>SUMIF(Sales[[#All],[Product ID]],Stock[[#This Row],[Product ID]],Sales[[#All],[Net QTY]])</f>
        <v>32</v>
      </c>
      <c r="I195" s="52">
        <f>Stock[[#This Row],[Total Stock]]-Stock[[#This Row],[Selling Stock]]</f>
        <v>171</v>
      </c>
      <c r="J195" s="52">
        <f>VLOOKUP(Stock[[#This Row],[Product ID]],Product[#All],8,0)</f>
        <v>20</v>
      </c>
      <c r="K195" s="52" t="str">
        <f>IF(Stock[[#This Row],[Available Stock]]&lt;=Stock[[#This Row],[Reorder Level]],"Reorder","OK")</f>
        <v>OK</v>
      </c>
    </row>
    <row r="196" spans="1:11" ht="18.75" x14ac:dyDescent="0.25">
      <c r="A196" s="52" t="str">
        <f>Product[[#This Row],[Product ID]]</f>
        <v>P0194</v>
      </c>
      <c r="B196" s="52" t="str">
        <f>VLOOKUP(Stock[[#This Row],[Product ID]],Product[#All],2,0)</f>
        <v>TP-link Router</v>
      </c>
      <c r="C196" s="52" t="str">
        <f>VLOOKUP(Stock[[#This Row],[Product ID]],Product[#All],3,0)</f>
        <v>Router</v>
      </c>
      <c r="D196" s="52" t="str">
        <f>VLOOKUP(Stock[[#This Row],[Product ID]],Product[#All],4,0)</f>
        <v>TP-link</v>
      </c>
      <c r="E196" s="52">
        <f>SUMIF(Opning[[#All],[Product_ID]],Stock[[#This Row],[Product ID]],Opning[[#All],[Opening_Qty]])</f>
        <v>28</v>
      </c>
      <c r="F196" s="52">
        <f>SUMIF(Purchase[[#All],[Product ID]],Stock[[#This Row],[Product ID]],Purchase[[#All],[Net Qty]])</f>
        <v>74</v>
      </c>
      <c r="G196" s="52">
        <f>Stock[[#This Row],[Opening Stock]]+Stock[[#This Row],[Purchase Stock]]</f>
        <v>102</v>
      </c>
      <c r="H196" s="52">
        <f>SUMIF(Sales[[#All],[Product ID]],Stock[[#This Row],[Product ID]],Sales[[#All],[Net QTY]])</f>
        <v>53</v>
      </c>
      <c r="I196" s="52">
        <f>Stock[[#This Row],[Total Stock]]-Stock[[#This Row],[Selling Stock]]</f>
        <v>49</v>
      </c>
      <c r="J196" s="52">
        <f>VLOOKUP(Stock[[#This Row],[Product ID]],Product[#All],8,0)</f>
        <v>5</v>
      </c>
      <c r="K196" s="52" t="str">
        <f>IF(Stock[[#This Row],[Available Stock]]&lt;=Stock[[#This Row],[Reorder Level]],"Reorder","OK")</f>
        <v>OK</v>
      </c>
    </row>
    <row r="197" spans="1:11" ht="18.75" x14ac:dyDescent="0.25">
      <c r="A197" s="52" t="str">
        <f>Product[[#This Row],[Product ID]]</f>
        <v>P0195</v>
      </c>
      <c r="B197" s="52" t="str">
        <f>VLOOKUP(Stock[[#This Row],[Product ID]],Product[#All],2,0)</f>
        <v>HP Printer</v>
      </c>
      <c r="C197" s="52" t="str">
        <f>VLOOKUP(Stock[[#This Row],[Product ID]],Product[#All],3,0)</f>
        <v>Printer</v>
      </c>
      <c r="D197" s="52" t="str">
        <f>VLOOKUP(Stock[[#This Row],[Product ID]],Product[#All],4,0)</f>
        <v>HP</v>
      </c>
      <c r="E197" s="52">
        <f>SUMIF(Opning[[#All],[Product_ID]],Stock[[#This Row],[Product ID]],Opning[[#All],[Opening_Qty]])</f>
        <v>8</v>
      </c>
      <c r="F197" s="52">
        <f>SUMIF(Purchase[[#All],[Product ID]],Stock[[#This Row],[Product ID]],Purchase[[#All],[Net Qty]])</f>
        <v>62</v>
      </c>
      <c r="G197" s="52">
        <f>Stock[[#This Row],[Opening Stock]]+Stock[[#This Row],[Purchase Stock]]</f>
        <v>70</v>
      </c>
      <c r="H197" s="52">
        <f>SUMIF(Sales[[#All],[Product ID]],Stock[[#This Row],[Product ID]],Sales[[#All],[Net QTY]])</f>
        <v>28</v>
      </c>
      <c r="I197" s="52">
        <f>Stock[[#This Row],[Total Stock]]-Stock[[#This Row],[Selling Stock]]</f>
        <v>42</v>
      </c>
      <c r="J197" s="52">
        <f>VLOOKUP(Stock[[#This Row],[Product ID]],Product[#All],8,0)</f>
        <v>8</v>
      </c>
      <c r="K197" s="52" t="str">
        <f>IF(Stock[[#This Row],[Available Stock]]&lt;=Stock[[#This Row],[Reorder Level]],"Reorder","OK")</f>
        <v>OK</v>
      </c>
    </row>
    <row r="198" spans="1:11" ht="18.75" x14ac:dyDescent="0.25">
      <c r="A198" s="52" t="str">
        <f>Product[[#This Row],[Product ID]]</f>
        <v>P0196</v>
      </c>
      <c r="B198" s="52" t="str">
        <f>VLOOKUP(Stock[[#This Row],[Product ID]],Product[#All],2,0)</f>
        <v>PortronicsLaptopStand</v>
      </c>
      <c r="C198" s="52" t="str">
        <f>VLOOKUP(Stock[[#This Row],[Product ID]],Product[#All],3,0)</f>
        <v>Laptop Stand</v>
      </c>
      <c r="D198" s="52" t="str">
        <f>VLOOKUP(Stock[[#This Row],[Product ID]],Product[#All],4,0)</f>
        <v>Portronics</v>
      </c>
      <c r="E198" s="52">
        <f>SUMIF(Opning[[#All],[Product_ID]],Stock[[#This Row],[Product ID]],Opning[[#All],[Opening_Qty]])</f>
        <v>39</v>
      </c>
      <c r="F198" s="52">
        <f>SUMIF(Purchase[[#All],[Product ID]],Stock[[#This Row],[Product ID]],Purchase[[#All],[Net Qty]])</f>
        <v>66</v>
      </c>
      <c r="G198" s="52">
        <f>Stock[[#This Row],[Opening Stock]]+Stock[[#This Row],[Purchase Stock]]</f>
        <v>105</v>
      </c>
      <c r="H198" s="52">
        <f>SUMIF(Sales[[#All],[Product ID]],Stock[[#This Row],[Product ID]],Sales[[#All],[Net QTY]])</f>
        <v>55</v>
      </c>
      <c r="I198" s="52">
        <f>Stock[[#This Row],[Total Stock]]-Stock[[#This Row],[Selling Stock]]</f>
        <v>50</v>
      </c>
      <c r="J198" s="52">
        <f>VLOOKUP(Stock[[#This Row],[Product ID]],Product[#All],8,0)</f>
        <v>20</v>
      </c>
      <c r="K198" s="52" t="str">
        <f>IF(Stock[[#This Row],[Available Stock]]&lt;=Stock[[#This Row],[Reorder Level]],"Reorder","OK")</f>
        <v>OK</v>
      </c>
    </row>
    <row r="199" spans="1:11" ht="18.75" x14ac:dyDescent="0.25">
      <c r="A199" s="52" t="str">
        <f>Product[[#This Row],[Product ID]]</f>
        <v>P0197</v>
      </c>
      <c r="B199" s="52" t="str">
        <f>VLOOKUP(Stock[[#This Row],[Product ID]],Product[#All],2,0)</f>
        <v>Acer Laptop</v>
      </c>
      <c r="C199" s="52" t="str">
        <f>VLOOKUP(Stock[[#This Row],[Product ID]],Product[#All],3,0)</f>
        <v>Laptop</v>
      </c>
      <c r="D199" s="52" t="str">
        <f>VLOOKUP(Stock[[#This Row],[Product ID]],Product[#All],4,0)</f>
        <v>Acer</v>
      </c>
      <c r="E199" s="52">
        <f>SUMIF(Opning[[#All],[Product_ID]],Stock[[#This Row],[Product ID]],Opning[[#All],[Opening_Qty]])</f>
        <v>33</v>
      </c>
      <c r="F199" s="52">
        <f>SUMIF(Purchase[[#All],[Product ID]],Stock[[#This Row],[Product ID]],Purchase[[#All],[Net Qty]])</f>
        <v>118</v>
      </c>
      <c r="G199" s="52">
        <f>Stock[[#This Row],[Opening Stock]]+Stock[[#This Row],[Purchase Stock]]</f>
        <v>151</v>
      </c>
      <c r="H199" s="52">
        <f>SUMIF(Sales[[#All],[Product ID]],Stock[[#This Row],[Product ID]],Sales[[#All],[Net QTY]])</f>
        <v>50</v>
      </c>
      <c r="I199" s="52">
        <f>Stock[[#This Row],[Total Stock]]-Stock[[#This Row],[Selling Stock]]</f>
        <v>101</v>
      </c>
      <c r="J199" s="52">
        <f>VLOOKUP(Stock[[#This Row],[Product ID]],Product[#All],8,0)</f>
        <v>20</v>
      </c>
      <c r="K199" s="52" t="str">
        <f>IF(Stock[[#This Row],[Available Stock]]&lt;=Stock[[#This Row],[Reorder Level]],"Reorder","OK")</f>
        <v>OK</v>
      </c>
    </row>
    <row r="200" spans="1:11" ht="18.75" x14ac:dyDescent="0.25">
      <c r="A200" s="52" t="str">
        <f>Product[[#This Row],[Product ID]]</f>
        <v>P0198</v>
      </c>
      <c r="B200" s="52" t="str">
        <f>VLOOKUP(Stock[[#This Row],[Product ID]],Product[#All],2,0)</f>
        <v>Amazon Basics Hdmi Cable</v>
      </c>
      <c r="C200" s="52" t="str">
        <f>VLOOKUP(Stock[[#This Row],[Product ID]],Product[#All],3,0)</f>
        <v>HDMI CABLE</v>
      </c>
      <c r="D200" s="52" t="str">
        <f>VLOOKUP(Stock[[#This Row],[Product ID]],Product[#All],4,0)</f>
        <v>Amazon Basics</v>
      </c>
      <c r="E200" s="52">
        <f>SUMIF(Opning[[#All],[Product_ID]],Stock[[#This Row],[Product ID]],Opning[[#All],[Opening_Qty]])</f>
        <v>48</v>
      </c>
      <c r="F200" s="52">
        <f>SUMIF(Purchase[[#All],[Product ID]],Stock[[#This Row],[Product ID]],Purchase[[#All],[Net Qty]])</f>
        <v>166</v>
      </c>
      <c r="G200" s="52">
        <f>Stock[[#This Row],[Opening Stock]]+Stock[[#This Row],[Purchase Stock]]</f>
        <v>214</v>
      </c>
      <c r="H200" s="52">
        <f>SUMIF(Sales[[#All],[Product ID]],Stock[[#This Row],[Product ID]],Sales[[#All],[Net QTY]])</f>
        <v>37</v>
      </c>
      <c r="I200" s="52">
        <f>Stock[[#This Row],[Total Stock]]-Stock[[#This Row],[Selling Stock]]</f>
        <v>177</v>
      </c>
      <c r="J200" s="52">
        <f>VLOOKUP(Stock[[#This Row],[Product ID]],Product[#All],8,0)</f>
        <v>5</v>
      </c>
      <c r="K200" s="52" t="str">
        <f>IF(Stock[[#This Row],[Available Stock]]&lt;=Stock[[#This Row],[Reorder Level]],"Reorder","OK")</f>
        <v>OK</v>
      </c>
    </row>
    <row r="201" spans="1:11" ht="18.75" x14ac:dyDescent="0.25">
      <c r="A201" s="52" t="str">
        <f>Product[[#This Row],[Product ID]]</f>
        <v>P0199</v>
      </c>
      <c r="B201" s="52" t="str">
        <f>VLOOKUP(Stock[[#This Row],[Product ID]],Product[#All],2,0)</f>
        <v>Corsair Ram</v>
      </c>
      <c r="C201" s="52" t="str">
        <f>VLOOKUP(Stock[[#This Row],[Product ID]],Product[#All],3,0)</f>
        <v>RAM</v>
      </c>
      <c r="D201" s="52" t="str">
        <f>VLOOKUP(Stock[[#This Row],[Product ID]],Product[#All],4,0)</f>
        <v>Corsair</v>
      </c>
      <c r="E201" s="52">
        <f>SUMIF(Opning[[#All],[Product_ID]],Stock[[#This Row],[Product ID]],Opning[[#All],[Opening_Qty]])</f>
        <v>52</v>
      </c>
      <c r="F201" s="52">
        <f>SUMIF(Purchase[[#All],[Product ID]],Stock[[#This Row],[Product ID]],Purchase[[#All],[Net Qty]])</f>
        <v>102</v>
      </c>
      <c r="G201" s="52">
        <f>Stock[[#This Row],[Opening Stock]]+Stock[[#This Row],[Purchase Stock]]</f>
        <v>154</v>
      </c>
      <c r="H201" s="52">
        <f>SUMIF(Sales[[#All],[Product ID]],Stock[[#This Row],[Product ID]],Sales[[#All],[Net QTY]])</f>
        <v>37</v>
      </c>
      <c r="I201" s="52">
        <f>Stock[[#This Row],[Total Stock]]-Stock[[#This Row],[Selling Stock]]</f>
        <v>117</v>
      </c>
      <c r="J201" s="52">
        <f>VLOOKUP(Stock[[#This Row],[Product ID]],Product[#All],8,0)</f>
        <v>20</v>
      </c>
      <c r="K201" s="52" t="str">
        <f>IF(Stock[[#This Row],[Available Stock]]&lt;=Stock[[#This Row],[Reorder Level]],"Reorder","OK")</f>
        <v>OK</v>
      </c>
    </row>
    <row r="202" spans="1:11" ht="18.75" x14ac:dyDescent="0.25">
      <c r="A202" s="52" t="str">
        <f>Product[[#This Row],[Product ID]]</f>
        <v>P0200</v>
      </c>
      <c r="B202" s="52" t="str">
        <f>VLOOKUP(Stock[[#This Row],[Product ID]],Product[#All],2,0)</f>
        <v>Corsair Ram</v>
      </c>
      <c r="C202" s="52" t="str">
        <f>VLOOKUP(Stock[[#This Row],[Product ID]],Product[#All],3,0)</f>
        <v>RAM</v>
      </c>
      <c r="D202" s="52" t="str">
        <f>VLOOKUP(Stock[[#This Row],[Product ID]],Product[#All],4,0)</f>
        <v>Corsair</v>
      </c>
      <c r="E202" s="52">
        <f>SUMIF(Opning[[#All],[Product_ID]],Stock[[#This Row],[Product ID]],Opning[[#All],[Opening_Qty]])</f>
        <v>25</v>
      </c>
      <c r="F202" s="52">
        <f>SUMIF(Purchase[[#All],[Product ID]],Stock[[#This Row],[Product ID]],Purchase[[#All],[Net Qty]])</f>
        <v>203</v>
      </c>
      <c r="G202" s="52">
        <f>Stock[[#This Row],[Opening Stock]]+Stock[[#This Row],[Purchase Stock]]</f>
        <v>228</v>
      </c>
      <c r="H202" s="52">
        <f>SUMIF(Sales[[#All],[Product ID]],Stock[[#This Row],[Product ID]],Sales[[#All],[Net QTY]])</f>
        <v>75</v>
      </c>
      <c r="I202" s="52">
        <f>Stock[[#This Row],[Total Stock]]-Stock[[#This Row],[Selling Stock]]</f>
        <v>153</v>
      </c>
      <c r="J202" s="52">
        <f>VLOOKUP(Stock[[#This Row],[Product ID]],Product[#All],8,0)</f>
        <v>8</v>
      </c>
      <c r="K202" s="52" t="str">
        <f>IF(Stock[[#This Row],[Available Stock]]&lt;=Stock[[#This Row],[Reorder Level]],"Reorder","OK")</f>
        <v>OK</v>
      </c>
    </row>
    <row r="203" spans="1:11" ht="18.75" x14ac:dyDescent="0.25">
      <c r="A203" s="52" t="str">
        <f>Product[[#This Row],[Product ID]]</f>
        <v>P0201</v>
      </c>
      <c r="B203" s="52" t="str">
        <f>VLOOKUP(Stock[[#This Row],[Product ID]],Product[#All],2,0)</f>
        <v>Dell Laptop</v>
      </c>
      <c r="C203" s="52" t="str">
        <f>VLOOKUP(Stock[[#This Row],[Product ID]],Product[#All],3,0)</f>
        <v>Laptop</v>
      </c>
      <c r="D203" s="52" t="str">
        <f>VLOOKUP(Stock[[#This Row],[Product ID]],Product[#All],4,0)</f>
        <v>Dell</v>
      </c>
      <c r="E203" s="52">
        <f>SUMIF(Opning[[#All],[Product_ID]],Stock[[#This Row],[Product ID]],Opning[[#All],[Opening_Qty]])</f>
        <v>26</v>
      </c>
      <c r="F203" s="52">
        <f>SUMIF(Purchase[[#All],[Product ID]],Stock[[#This Row],[Product ID]],Purchase[[#All],[Net Qty]])</f>
        <v>139</v>
      </c>
      <c r="G203" s="52">
        <f>Stock[[#This Row],[Opening Stock]]+Stock[[#This Row],[Purchase Stock]]</f>
        <v>165</v>
      </c>
      <c r="H203" s="52">
        <f>SUMIF(Sales[[#All],[Product ID]],Stock[[#This Row],[Product ID]],Sales[[#All],[Net QTY]])</f>
        <v>11</v>
      </c>
      <c r="I203" s="52">
        <f>Stock[[#This Row],[Total Stock]]-Stock[[#This Row],[Selling Stock]]</f>
        <v>154</v>
      </c>
      <c r="J203" s="52">
        <f>VLOOKUP(Stock[[#This Row],[Product ID]],Product[#All],8,0)</f>
        <v>15</v>
      </c>
      <c r="K203" s="52" t="str">
        <f>IF(Stock[[#This Row],[Available Stock]]&lt;=Stock[[#This Row],[Reorder Level]],"Reorder","OK")</f>
        <v>OK</v>
      </c>
    </row>
    <row r="204" spans="1:11" ht="18.75" x14ac:dyDescent="0.25">
      <c r="A204" s="52" t="str">
        <f>Product[[#This Row],[Product ID]]</f>
        <v>P0202</v>
      </c>
      <c r="B204" s="52" t="str">
        <f>VLOOKUP(Stock[[#This Row],[Product ID]],Product[#All],2,0)</f>
        <v>Acer Laptop</v>
      </c>
      <c r="C204" s="52" t="str">
        <f>VLOOKUP(Stock[[#This Row],[Product ID]],Product[#All],3,0)</f>
        <v>Laptop</v>
      </c>
      <c r="D204" s="52" t="str">
        <f>VLOOKUP(Stock[[#This Row],[Product ID]],Product[#All],4,0)</f>
        <v>ACER</v>
      </c>
      <c r="E204" s="52">
        <f>SUMIF(Opning[[#All],[Product_ID]],Stock[[#This Row],[Product ID]],Opning[[#All],[Opening_Qty]])</f>
        <v>56</v>
      </c>
      <c r="F204" s="52">
        <f>SUMIF(Purchase[[#All],[Product ID]],Stock[[#This Row],[Product ID]],Purchase[[#All],[Net Qty]])</f>
        <v>61</v>
      </c>
      <c r="G204" s="52">
        <f>Stock[[#This Row],[Opening Stock]]+Stock[[#This Row],[Purchase Stock]]</f>
        <v>117</v>
      </c>
      <c r="H204" s="52">
        <f>SUMIF(Sales[[#All],[Product ID]],Stock[[#This Row],[Product ID]],Sales[[#All],[Net QTY]])</f>
        <v>49</v>
      </c>
      <c r="I204" s="52">
        <f>Stock[[#This Row],[Total Stock]]-Stock[[#This Row],[Selling Stock]]</f>
        <v>68</v>
      </c>
      <c r="J204" s="52">
        <f>VLOOKUP(Stock[[#This Row],[Product ID]],Product[#All],8,0)</f>
        <v>25</v>
      </c>
      <c r="K204" s="52" t="str">
        <f>IF(Stock[[#This Row],[Available Stock]]&lt;=Stock[[#This Row],[Reorder Level]],"Reorder","OK")</f>
        <v>OK</v>
      </c>
    </row>
    <row r="205" spans="1:11" ht="18.75" x14ac:dyDescent="0.25">
      <c r="A205" s="52" t="str">
        <f>Product[[#This Row],[Product ID]]</f>
        <v>P0203</v>
      </c>
      <c r="B205" s="52" t="str">
        <f>VLOOKUP(Stock[[#This Row],[Product ID]],Product[#All],2,0)</f>
        <v>Acer Laptop</v>
      </c>
      <c r="C205" s="52" t="str">
        <f>VLOOKUP(Stock[[#This Row],[Product ID]],Product[#All],3,0)</f>
        <v>Laptop</v>
      </c>
      <c r="D205" s="52" t="str">
        <f>VLOOKUP(Stock[[#This Row],[Product ID]],Product[#All],4,0)</f>
        <v>Acer</v>
      </c>
      <c r="E205" s="52">
        <f>SUMIF(Opning[[#All],[Product_ID]],Stock[[#This Row],[Product ID]],Opning[[#All],[Opening_Qty]])</f>
        <v>17</v>
      </c>
      <c r="F205" s="52">
        <f>SUMIF(Purchase[[#All],[Product ID]],Stock[[#This Row],[Product ID]],Purchase[[#All],[Net Qty]])</f>
        <v>49</v>
      </c>
      <c r="G205" s="52">
        <f>Stock[[#This Row],[Opening Stock]]+Stock[[#This Row],[Purchase Stock]]</f>
        <v>66</v>
      </c>
      <c r="H205" s="52">
        <f>SUMIF(Sales[[#All],[Product ID]],Stock[[#This Row],[Product ID]],Sales[[#All],[Net QTY]])</f>
        <v>38</v>
      </c>
      <c r="I205" s="52">
        <f>Stock[[#This Row],[Total Stock]]-Stock[[#This Row],[Selling Stock]]</f>
        <v>28</v>
      </c>
      <c r="J205" s="52">
        <f>VLOOKUP(Stock[[#This Row],[Product ID]],Product[#All],8,0)</f>
        <v>15</v>
      </c>
      <c r="K205" s="52" t="str">
        <f>IF(Stock[[#This Row],[Available Stock]]&lt;=Stock[[#This Row],[Reorder Level]],"Reorder","OK")</f>
        <v>OK</v>
      </c>
    </row>
    <row r="206" spans="1:11" ht="18.75" x14ac:dyDescent="0.25">
      <c r="A206" s="52" t="str">
        <f>Product[[#This Row],[Product ID]]</f>
        <v>P0204</v>
      </c>
      <c r="B206" s="52" t="str">
        <f>VLOOKUP(Stock[[#This Row],[Product ID]],Product[#All],2,0)</f>
        <v>HP Laptop</v>
      </c>
      <c r="C206" s="52" t="str">
        <f>VLOOKUP(Stock[[#This Row],[Product ID]],Product[#All],3,0)</f>
        <v>Laptop</v>
      </c>
      <c r="D206" s="52" t="str">
        <f>VLOOKUP(Stock[[#This Row],[Product ID]],Product[#All],4,0)</f>
        <v>HP</v>
      </c>
      <c r="E206" s="52">
        <f>SUMIF(Opning[[#All],[Product_ID]],Stock[[#This Row],[Product ID]],Opning[[#All],[Opening_Qty]])</f>
        <v>58</v>
      </c>
      <c r="F206" s="52">
        <f>SUMIF(Purchase[[#All],[Product ID]],Stock[[#This Row],[Product ID]],Purchase[[#All],[Net Qty]])</f>
        <v>93</v>
      </c>
      <c r="G206" s="52">
        <f>Stock[[#This Row],[Opening Stock]]+Stock[[#This Row],[Purchase Stock]]</f>
        <v>151</v>
      </c>
      <c r="H206" s="52">
        <f>SUMIF(Sales[[#All],[Product ID]],Stock[[#This Row],[Product ID]],Sales[[#All],[Net QTY]])</f>
        <v>51</v>
      </c>
      <c r="I206" s="52">
        <f>Stock[[#This Row],[Total Stock]]-Stock[[#This Row],[Selling Stock]]</f>
        <v>100</v>
      </c>
      <c r="J206" s="52">
        <f>VLOOKUP(Stock[[#This Row],[Product ID]],Product[#All],8,0)</f>
        <v>10</v>
      </c>
      <c r="K206" s="52" t="str">
        <f>IF(Stock[[#This Row],[Available Stock]]&lt;=Stock[[#This Row],[Reorder Level]],"Reorder","OK")</f>
        <v>OK</v>
      </c>
    </row>
    <row r="207" spans="1:11" ht="18.75" x14ac:dyDescent="0.25">
      <c r="A207" s="52" t="str">
        <f>Product[[#This Row],[Product ID]]</f>
        <v>P0205</v>
      </c>
      <c r="B207" s="52" t="str">
        <f>VLOOKUP(Stock[[#This Row],[Product ID]],Product[#All],2,0)</f>
        <v>Epson Printer</v>
      </c>
      <c r="C207" s="52" t="str">
        <f>VLOOKUP(Stock[[#This Row],[Product ID]],Product[#All],3,0)</f>
        <v>Printer</v>
      </c>
      <c r="D207" s="52" t="str">
        <f>VLOOKUP(Stock[[#This Row],[Product ID]],Product[#All],4,0)</f>
        <v>Epson</v>
      </c>
      <c r="E207" s="52">
        <f>SUMIF(Opning[[#All],[Product_ID]],Stock[[#This Row],[Product ID]],Opning[[#All],[Opening_Qty]])</f>
        <v>8</v>
      </c>
      <c r="F207" s="52">
        <f>SUMIF(Purchase[[#All],[Product ID]],Stock[[#This Row],[Product ID]],Purchase[[#All],[Net Qty]])</f>
        <v>82</v>
      </c>
      <c r="G207" s="52">
        <f>Stock[[#This Row],[Opening Stock]]+Stock[[#This Row],[Purchase Stock]]</f>
        <v>90</v>
      </c>
      <c r="H207" s="52">
        <f>SUMIF(Sales[[#All],[Product ID]],Stock[[#This Row],[Product ID]],Sales[[#All],[Net QTY]])</f>
        <v>27</v>
      </c>
      <c r="I207" s="52">
        <f>Stock[[#This Row],[Total Stock]]-Stock[[#This Row],[Selling Stock]]</f>
        <v>63</v>
      </c>
      <c r="J207" s="52">
        <f>VLOOKUP(Stock[[#This Row],[Product ID]],Product[#All],8,0)</f>
        <v>25</v>
      </c>
      <c r="K207" s="52" t="str">
        <f>IF(Stock[[#This Row],[Available Stock]]&lt;=Stock[[#This Row],[Reorder Level]],"Reorder","OK")</f>
        <v>OK</v>
      </c>
    </row>
    <row r="208" spans="1:11" ht="18.75" x14ac:dyDescent="0.25">
      <c r="A208" s="52" t="str">
        <f>Product[[#This Row],[Product ID]]</f>
        <v>P0206</v>
      </c>
      <c r="B208" s="52" t="str">
        <f>VLOOKUP(Stock[[#This Row],[Product ID]],Product[#All],2,0)</f>
        <v>HP Power Adapter</v>
      </c>
      <c r="C208" s="52" t="str">
        <f>VLOOKUP(Stock[[#This Row],[Product ID]],Product[#All],3,0)</f>
        <v>Power Adapter</v>
      </c>
      <c r="D208" s="52" t="str">
        <f>VLOOKUP(Stock[[#This Row],[Product ID]],Product[#All],4,0)</f>
        <v>HP</v>
      </c>
      <c r="E208" s="52">
        <f>SUMIF(Opning[[#All],[Product_ID]],Stock[[#This Row],[Product ID]],Opning[[#All],[Opening_Qty]])</f>
        <v>7</v>
      </c>
      <c r="F208" s="52">
        <f>SUMIF(Purchase[[#All],[Product ID]],Stock[[#This Row],[Product ID]],Purchase[[#All],[Net Qty]])</f>
        <v>143</v>
      </c>
      <c r="G208" s="52">
        <f>Stock[[#This Row],[Opening Stock]]+Stock[[#This Row],[Purchase Stock]]</f>
        <v>150</v>
      </c>
      <c r="H208" s="52">
        <f>SUMIF(Sales[[#All],[Product ID]],Stock[[#This Row],[Product ID]],Sales[[#All],[Net QTY]])</f>
        <v>46</v>
      </c>
      <c r="I208" s="52">
        <f>Stock[[#This Row],[Total Stock]]-Stock[[#This Row],[Selling Stock]]</f>
        <v>104</v>
      </c>
      <c r="J208" s="52">
        <f>VLOOKUP(Stock[[#This Row],[Product ID]],Product[#All],8,0)</f>
        <v>25</v>
      </c>
      <c r="K208" s="52" t="str">
        <f>IF(Stock[[#This Row],[Available Stock]]&lt;=Stock[[#This Row],[Reorder Level]],"Reorder","OK")</f>
        <v>OK</v>
      </c>
    </row>
    <row r="209" spans="1:11" ht="18.75" x14ac:dyDescent="0.25">
      <c r="A209" s="52" t="str">
        <f>Product[[#This Row],[Product ID]]</f>
        <v>P0207</v>
      </c>
      <c r="B209" s="52" t="str">
        <f>VLOOKUP(Stock[[#This Row],[Product ID]],Product[#All],2,0)</f>
        <v>Lg Monitor</v>
      </c>
      <c r="C209" s="52" t="str">
        <f>VLOOKUP(Stock[[#This Row],[Product ID]],Product[#All],3,0)</f>
        <v>Monitor</v>
      </c>
      <c r="D209" s="52" t="str">
        <f>VLOOKUP(Stock[[#This Row],[Product ID]],Product[#All],4,0)</f>
        <v>LG</v>
      </c>
      <c r="E209" s="52">
        <f>SUMIF(Opning[[#All],[Product_ID]],Stock[[#This Row],[Product ID]],Opning[[#All],[Opening_Qty]])</f>
        <v>58</v>
      </c>
      <c r="F209" s="52">
        <f>SUMIF(Purchase[[#All],[Product ID]],Stock[[#This Row],[Product ID]],Purchase[[#All],[Net Qty]])</f>
        <v>102</v>
      </c>
      <c r="G209" s="52">
        <f>Stock[[#This Row],[Opening Stock]]+Stock[[#This Row],[Purchase Stock]]</f>
        <v>160</v>
      </c>
      <c r="H209" s="52">
        <f>SUMIF(Sales[[#All],[Product ID]],Stock[[#This Row],[Product ID]],Sales[[#All],[Net QTY]])</f>
        <v>34</v>
      </c>
      <c r="I209" s="52">
        <f>Stock[[#This Row],[Total Stock]]-Stock[[#This Row],[Selling Stock]]</f>
        <v>126</v>
      </c>
      <c r="J209" s="52">
        <f>VLOOKUP(Stock[[#This Row],[Product ID]],Product[#All],8,0)</f>
        <v>10</v>
      </c>
      <c r="K209" s="52" t="str">
        <f>IF(Stock[[#This Row],[Available Stock]]&lt;=Stock[[#This Row],[Reorder Level]],"Reorder","OK")</f>
        <v>OK</v>
      </c>
    </row>
    <row r="210" spans="1:11" ht="18.75" x14ac:dyDescent="0.25">
      <c r="A210" s="52" t="str">
        <f>Product[[#This Row],[Product ID]]</f>
        <v>P0208</v>
      </c>
      <c r="B210" s="52" t="str">
        <f>VLOOKUP(Stock[[#This Row],[Product ID]],Product[#All],2,0)</f>
        <v>Corsair Ram</v>
      </c>
      <c r="C210" s="52" t="str">
        <f>VLOOKUP(Stock[[#This Row],[Product ID]],Product[#All],3,0)</f>
        <v>RAM</v>
      </c>
      <c r="D210" s="52" t="str">
        <f>VLOOKUP(Stock[[#This Row],[Product ID]],Product[#All],4,0)</f>
        <v>Corsair</v>
      </c>
      <c r="E210" s="52">
        <f>SUMIF(Opning[[#All],[Product_ID]],Stock[[#This Row],[Product ID]],Opning[[#All],[Opening_Qty]])</f>
        <v>27</v>
      </c>
      <c r="F210" s="52">
        <f>SUMIF(Purchase[[#All],[Product ID]],Stock[[#This Row],[Product ID]],Purchase[[#All],[Net Qty]])</f>
        <v>112</v>
      </c>
      <c r="G210" s="52">
        <f>Stock[[#This Row],[Opening Stock]]+Stock[[#This Row],[Purchase Stock]]</f>
        <v>139</v>
      </c>
      <c r="H210" s="52">
        <f>SUMIF(Sales[[#All],[Product ID]],Stock[[#This Row],[Product ID]],Sales[[#All],[Net QTY]])</f>
        <v>86</v>
      </c>
      <c r="I210" s="52">
        <f>Stock[[#This Row],[Total Stock]]-Stock[[#This Row],[Selling Stock]]</f>
        <v>53</v>
      </c>
      <c r="J210" s="52">
        <f>VLOOKUP(Stock[[#This Row],[Product ID]],Product[#All],8,0)</f>
        <v>25</v>
      </c>
      <c r="K210" s="52" t="str">
        <f>IF(Stock[[#This Row],[Available Stock]]&lt;=Stock[[#This Row],[Reorder Level]],"Reorder","OK")</f>
        <v>OK</v>
      </c>
    </row>
    <row r="211" spans="1:11" ht="18.75" x14ac:dyDescent="0.25">
      <c r="A211" s="52" t="str">
        <f>Product[[#This Row],[Product ID]]</f>
        <v>P0209</v>
      </c>
      <c r="B211" s="52" t="str">
        <f>VLOOKUP(Stock[[#This Row],[Product ID]],Product[#All],2,0)</f>
        <v>American TouristerLaptopBag</v>
      </c>
      <c r="C211" s="52" t="str">
        <f>VLOOKUP(Stock[[#This Row],[Product ID]],Product[#All],3,0)</f>
        <v>Laptop Bag</v>
      </c>
      <c r="D211" s="52" t="str">
        <f>VLOOKUP(Stock[[#This Row],[Product ID]],Product[#All],4,0)</f>
        <v>American Tourister</v>
      </c>
      <c r="E211" s="52">
        <f>SUMIF(Opning[[#All],[Product_ID]],Stock[[#This Row],[Product ID]],Opning[[#All],[Opening_Qty]])</f>
        <v>30</v>
      </c>
      <c r="F211" s="52">
        <f>SUMIF(Purchase[[#All],[Product ID]],Stock[[#This Row],[Product ID]],Purchase[[#All],[Net Qty]])</f>
        <v>52</v>
      </c>
      <c r="G211" s="52">
        <f>Stock[[#This Row],[Opening Stock]]+Stock[[#This Row],[Purchase Stock]]</f>
        <v>82</v>
      </c>
      <c r="H211" s="52">
        <f>SUMIF(Sales[[#All],[Product ID]],Stock[[#This Row],[Product ID]],Sales[[#All],[Net QTY]])</f>
        <v>37</v>
      </c>
      <c r="I211" s="52">
        <f>Stock[[#This Row],[Total Stock]]-Stock[[#This Row],[Selling Stock]]</f>
        <v>45</v>
      </c>
      <c r="J211" s="52">
        <f>VLOOKUP(Stock[[#This Row],[Product ID]],Product[#All],8,0)</f>
        <v>10</v>
      </c>
      <c r="K211" s="52" t="str">
        <f>IF(Stock[[#This Row],[Available Stock]]&lt;=Stock[[#This Row],[Reorder Level]],"Reorder","OK")</f>
        <v>OK</v>
      </c>
    </row>
    <row r="212" spans="1:11" ht="18.75" x14ac:dyDescent="0.25">
      <c r="A212" s="52" t="str">
        <f>Product[[#This Row],[Product ID]]</f>
        <v>P0210</v>
      </c>
      <c r="B212" s="52" t="str">
        <f>VLOOKUP(Stock[[#This Row],[Product ID]],Product[#All],2,0)</f>
        <v>HP Power Adapter</v>
      </c>
      <c r="C212" s="52" t="str">
        <f>VLOOKUP(Stock[[#This Row],[Product ID]],Product[#All],3,0)</f>
        <v>Power Adapter</v>
      </c>
      <c r="D212" s="52" t="str">
        <f>VLOOKUP(Stock[[#This Row],[Product ID]],Product[#All],4,0)</f>
        <v>HP</v>
      </c>
      <c r="E212" s="52">
        <f>SUMIF(Opning[[#All],[Product_ID]],Stock[[#This Row],[Product ID]],Opning[[#All],[Opening_Qty]])</f>
        <v>23</v>
      </c>
      <c r="F212" s="52">
        <f>SUMIF(Purchase[[#All],[Product ID]],Stock[[#This Row],[Product ID]],Purchase[[#All],[Net Qty]])</f>
        <v>133</v>
      </c>
      <c r="G212" s="52">
        <f>Stock[[#This Row],[Opening Stock]]+Stock[[#This Row],[Purchase Stock]]</f>
        <v>156</v>
      </c>
      <c r="H212" s="52">
        <f>SUMIF(Sales[[#All],[Product ID]],Stock[[#This Row],[Product ID]],Sales[[#All],[Net QTY]])</f>
        <v>43</v>
      </c>
      <c r="I212" s="52">
        <f>Stock[[#This Row],[Total Stock]]-Stock[[#This Row],[Selling Stock]]</f>
        <v>113</v>
      </c>
      <c r="J212" s="52">
        <f>VLOOKUP(Stock[[#This Row],[Product ID]],Product[#All],8,0)</f>
        <v>15</v>
      </c>
      <c r="K212" s="52" t="str">
        <f>IF(Stock[[#This Row],[Available Stock]]&lt;=Stock[[#This Row],[Reorder Level]],"Reorder","OK")</f>
        <v>OK</v>
      </c>
    </row>
    <row r="213" spans="1:11" ht="18.75" x14ac:dyDescent="0.25">
      <c r="A213" s="52" t="str">
        <f>Product[[#This Row],[Product ID]]</f>
        <v>P0211</v>
      </c>
      <c r="B213" s="52" t="str">
        <f>VLOOKUP(Stock[[#This Row],[Product ID]],Product[#All],2,0)</f>
        <v>Amazon Basics Hdmi Cable</v>
      </c>
      <c r="C213" s="52" t="str">
        <f>VLOOKUP(Stock[[#This Row],[Product ID]],Product[#All],3,0)</f>
        <v>HDMI Cable</v>
      </c>
      <c r="D213" s="52" t="str">
        <f>VLOOKUP(Stock[[#This Row],[Product ID]],Product[#All],4,0)</f>
        <v>Amazon Basics</v>
      </c>
      <c r="E213" s="52">
        <f>SUMIF(Opning[[#All],[Product_ID]],Stock[[#This Row],[Product ID]],Opning[[#All],[Opening_Qty]])</f>
        <v>46</v>
      </c>
      <c r="F213" s="52">
        <f>SUMIF(Purchase[[#All],[Product ID]],Stock[[#This Row],[Product ID]],Purchase[[#All],[Net Qty]])</f>
        <v>111</v>
      </c>
      <c r="G213" s="52">
        <f>Stock[[#This Row],[Opening Stock]]+Stock[[#This Row],[Purchase Stock]]</f>
        <v>157</v>
      </c>
      <c r="H213" s="52">
        <f>SUMIF(Sales[[#All],[Product ID]],Stock[[#This Row],[Product ID]],Sales[[#All],[Net QTY]])</f>
        <v>47</v>
      </c>
      <c r="I213" s="52">
        <f>Stock[[#This Row],[Total Stock]]-Stock[[#This Row],[Selling Stock]]</f>
        <v>110</v>
      </c>
      <c r="J213" s="52">
        <f>VLOOKUP(Stock[[#This Row],[Product ID]],Product[#All],8,0)</f>
        <v>8</v>
      </c>
      <c r="K213" s="52" t="str">
        <f>IF(Stock[[#This Row],[Available Stock]]&lt;=Stock[[#This Row],[Reorder Level]],"Reorder","OK")</f>
        <v>OK</v>
      </c>
    </row>
    <row r="214" spans="1:11" ht="18.75" x14ac:dyDescent="0.25">
      <c r="A214" s="52" t="str">
        <f>Product[[#This Row],[Product ID]]</f>
        <v>P0212</v>
      </c>
      <c r="B214" s="52" t="str">
        <f>VLOOKUP(Stock[[#This Row],[Product ID]],Product[#All],2,0)</f>
        <v>Acer Laptop</v>
      </c>
      <c r="C214" s="52" t="str">
        <f>VLOOKUP(Stock[[#This Row],[Product ID]],Product[#All],3,0)</f>
        <v>Laptop</v>
      </c>
      <c r="D214" s="52" t="str">
        <f>VLOOKUP(Stock[[#This Row],[Product ID]],Product[#All],4,0)</f>
        <v>Acer</v>
      </c>
      <c r="E214" s="52">
        <f>SUMIF(Opning[[#All],[Product_ID]],Stock[[#This Row],[Product ID]],Opning[[#All],[Opening_Qty]])</f>
        <v>20</v>
      </c>
      <c r="F214" s="52">
        <f>SUMIF(Purchase[[#All],[Product ID]],Stock[[#This Row],[Product ID]],Purchase[[#All],[Net Qty]])</f>
        <v>53</v>
      </c>
      <c r="G214" s="52">
        <f>Stock[[#This Row],[Opening Stock]]+Stock[[#This Row],[Purchase Stock]]</f>
        <v>73</v>
      </c>
      <c r="H214" s="52">
        <f>SUMIF(Sales[[#All],[Product ID]],Stock[[#This Row],[Product ID]],Sales[[#All],[Net QTY]])</f>
        <v>44</v>
      </c>
      <c r="I214" s="52">
        <f>Stock[[#This Row],[Total Stock]]-Stock[[#This Row],[Selling Stock]]</f>
        <v>29</v>
      </c>
      <c r="J214" s="52">
        <f>VLOOKUP(Stock[[#This Row],[Product ID]],Product[#All],8,0)</f>
        <v>20</v>
      </c>
      <c r="K214" s="52" t="str">
        <f>IF(Stock[[#This Row],[Available Stock]]&lt;=Stock[[#This Row],[Reorder Level]],"Reorder","OK")</f>
        <v>OK</v>
      </c>
    </row>
    <row r="215" spans="1:11" ht="18.75" x14ac:dyDescent="0.25">
      <c r="A215" s="52" t="str">
        <f>Product[[#This Row],[Product ID]]</f>
        <v>P0213</v>
      </c>
      <c r="B215" s="52" t="str">
        <f>VLOOKUP(Stock[[#This Row],[Product ID]],Product[#All],2,0)</f>
        <v>Canon Printer</v>
      </c>
      <c r="C215" s="52" t="str">
        <f>VLOOKUP(Stock[[#This Row],[Product ID]],Product[#All],3,0)</f>
        <v>Printer</v>
      </c>
      <c r="D215" s="52" t="str">
        <f>VLOOKUP(Stock[[#This Row],[Product ID]],Product[#All],4,0)</f>
        <v>Canon</v>
      </c>
      <c r="E215" s="52">
        <f>SUMIF(Opning[[#All],[Product_ID]],Stock[[#This Row],[Product ID]],Opning[[#All],[Opening_Qty]])</f>
        <v>26</v>
      </c>
      <c r="F215" s="52">
        <f>SUMIF(Purchase[[#All],[Product ID]],Stock[[#This Row],[Product ID]],Purchase[[#All],[Net Qty]])</f>
        <v>146</v>
      </c>
      <c r="G215" s="52">
        <f>Stock[[#This Row],[Opening Stock]]+Stock[[#This Row],[Purchase Stock]]</f>
        <v>172</v>
      </c>
      <c r="H215" s="52">
        <f>SUMIF(Sales[[#All],[Product ID]],Stock[[#This Row],[Product ID]],Sales[[#All],[Net QTY]])</f>
        <v>44</v>
      </c>
      <c r="I215" s="52">
        <f>Stock[[#This Row],[Total Stock]]-Stock[[#This Row],[Selling Stock]]</f>
        <v>128</v>
      </c>
      <c r="J215" s="52">
        <f>VLOOKUP(Stock[[#This Row],[Product ID]],Product[#All],8,0)</f>
        <v>8</v>
      </c>
      <c r="K215" s="52" t="str">
        <f>IF(Stock[[#This Row],[Available Stock]]&lt;=Stock[[#This Row],[Reorder Level]],"Reorder","OK")</f>
        <v>OK</v>
      </c>
    </row>
    <row r="216" spans="1:11" ht="18.75" x14ac:dyDescent="0.25">
      <c r="A216" s="52" t="str">
        <f>Product[[#This Row],[Product ID]]</f>
        <v>P0214</v>
      </c>
      <c r="B216" s="52" t="str">
        <f>VLOOKUP(Stock[[#This Row],[Product ID]],Product[#All],2,0)</f>
        <v>American TouristerLaptopBag</v>
      </c>
      <c r="C216" s="52" t="str">
        <f>VLOOKUP(Stock[[#This Row],[Product ID]],Product[#All],3,0)</f>
        <v>Laptop Bag</v>
      </c>
      <c r="D216" s="52" t="str">
        <f>VLOOKUP(Stock[[#This Row],[Product ID]],Product[#All],4,0)</f>
        <v>American Tourister</v>
      </c>
      <c r="E216" s="52">
        <f>SUMIF(Opning[[#All],[Product_ID]],Stock[[#This Row],[Product ID]],Opning[[#All],[Opening_Qty]])</f>
        <v>36</v>
      </c>
      <c r="F216" s="52">
        <f>SUMIF(Purchase[[#All],[Product ID]],Stock[[#This Row],[Product ID]],Purchase[[#All],[Net Qty]])</f>
        <v>42</v>
      </c>
      <c r="G216" s="52">
        <f>Stock[[#This Row],[Opening Stock]]+Stock[[#This Row],[Purchase Stock]]</f>
        <v>78</v>
      </c>
      <c r="H216" s="52">
        <f>SUMIF(Sales[[#All],[Product ID]],Stock[[#This Row],[Product ID]],Sales[[#All],[Net QTY]])</f>
        <v>72</v>
      </c>
      <c r="I216" s="52">
        <f>Stock[[#This Row],[Total Stock]]-Stock[[#This Row],[Selling Stock]]</f>
        <v>6</v>
      </c>
      <c r="J216" s="52">
        <f>VLOOKUP(Stock[[#This Row],[Product ID]],Product[#All],8,0)</f>
        <v>25</v>
      </c>
      <c r="K216" s="52" t="str">
        <f>IF(Stock[[#This Row],[Available Stock]]&lt;=Stock[[#This Row],[Reorder Level]],"Reorder","OK")</f>
        <v>Reorder</v>
      </c>
    </row>
    <row r="217" spans="1:11" ht="18.75" x14ac:dyDescent="0.25">
      <c r="A217" s="52" t="str">
        <f>Product[[#This Row],[Product ID]]</f>
        <v>P0215</v>
      </c>
      <c r="B217" s="52" t="str">
        <f>VLOOKUP(Stock[[#This Row],[Product ID]],Product[#All],2,0)</f>
        <v>Boat Speaker</v>
      </c>
      <c r="C217" s="52" t="str">
        <f>VLOOKUP(Stock[[#This Row],[Product ID]],Product[#All],3,0)</f>
        <v>Speaker</v>
      </c>
      <c r="D217" s="52" t="str">
        <f>VLOOKUP(Stock[[#This Row],[Product ID]],Product[#All],4,0)</f>
        <v>Boat</v>
      </c>
      <c r="E217" s="52">
        <f>SUMIF(Opning[[#All],[Product_ID]],Stock[[#This Row],[Product ID]],Opning[[#All],[Opening_Qty]])</f>
        <v>40</v>
      </c>
      <c r="F217" s="52">
        <f>SUMIF(Purchase[[#All],[Product ID]],Stock[[#This Row],[Product ID]],Purchase[[#All],[Net Qty]])</f>
        <v>111</v>
      </c>
      <c r="G217" s="52">
        <f>Stock[[#This Row],[Opening Stock]]+Stock[[#This Row],[Purchase Stock]]</f>
        <v>151</v>
      </c>
      <c r="H217" s="52">
        <f>SUMIF(Sales[[#All],[Product ID]],Stock[[#This Row],[Product ID]],Sales[[#All],[Net QTY]])</f>
        <v>29</v>
      </c>
      <c r="I217" s="52">
        <f>Stock[[#This Row],[Total Stock]]-Stock[[#This Row],[Selling Stock]]</f>
        <v>122</v>
      </c>
      <c r="J217" s="52">
        <f>VLOOKUP(Stock[[#This Row],[Product ID]],Product[#All],8,0)</f>
        <v>15</v>
      </c>
      <c r="K217" s="52" t="str">
        <f>IF(Stock[[#This Row],[Available Stock]]&lt;=Stock[[#This Row],[Reorder Level]],"Reorder","OK")</f>
        <v>OK</v>
      </c>
    </row>
    <row r="218" spans="1:11" ht="18.75" x14ac:dyDescent="0.25">
      <c r="A218" s="52" t="str">
        <f>Product[[#This Row],[Product ID]]</f>
        <v>P0216</v>
      </c>
      <c r="B218" s="52" t="str">
        <f>VLOOKUP(Stock[[#This Row],[Product ID]],Product[#All],2,0)</f>
        <v>American TouristerLaptopBag</v>
      </c>
      <c r="C218" s="52" t="str">
        <f>VLOOKUP(Stock[[#This Row],[Product ID]],Product[#All],3,0)</f>
        <v>Laptop Bag</v>
      </c>
      <c r="D218" s="52" t="str">
        <f>VLOOKUP(Stock[[#This Row],[Product ID]],Product[#All],4,0)</f>
        <v>American Tourister</v>
      </c>
      <c r="E218" s="52">
        <f>SUMIF(Opning[[#All],[Product_ID]],Stock[[#This Row],[Product ID]],Opning[[#All],[Opening_Qty]])</f>
        <v>40</v>
      </c>
      <c r="F218" s="52">
        <f>SUMIF(Purchase[[#All],[Product ID]],Stock[[#This Row],[Product ID]],Purchase[[#All],[Net Qty]])</f>
        <v>215</v>
      </c>
      <c r="G218" s="52">
        <f>Stock[[#This Row],[Opening Stock]]+Stock[[#This Row],[Purchase Stock]]</f>
        <v>255</v>
      </c>
      <c r="H218" s="52">
        <f>SUMIF(Sales[[#All],[Product ID]],Stock[[#This Row],[Product ID]],Sales[[#All],[Net QTY]])</f>
        <v>24</v>
      </c>
      <c r="I218" s="52">
        <f>Stock[[#This Row],[Total Stock]]-Stock[[#This Row],[Selling Stock]]</f>
        <v>231</v>
      </c>
      <c r="J218" s="52">
        <f>VLOOKUP(Stock[[#This Row],[Product ID]],Product[#All],8,0)</f>
        <v>8</v>
      </c>
      <c r="K218" s="52" t="str">
        <f>IF(Stock[[#This Row],[Available Stock]]&lt;=Stock[[#This Row],[Reorder Level]],"Reorder","OK")</f>
        <v>OK</v>
      </c>
    </row>
    <row r="219" spans="1:11" ht="18.75" x14ac:dyDescent="0.25">
      <c r="A219" s="52" t="str">
        <f>Product[[#This Row],[Product ID]]</f>
        <v>P0217</v>
      </c>
      <c r="B219" s="52" t="str">
        <f>VLOOKUP(Stock[[#This Row],[Product ID]],Product[#All],2,0)</f>
        <v>Dell Monitor</v>
      </c>
      <c r="C219" s="52" t="str">
        <f>VLOOKUP(Stock[[#This Row],[Product ID]],Product[#All],3,0)</f>
        <v>Monitor</v>
      </c>
      <c r="D219" s="52" t="str">
        <f>VLOOKUP(Stock[[#This Row],[Product ID]],Product[#All],4,0)</f>
        <v>Dell</v>
      </c>
      <c r="E219" s="52">
        <f>SUMIF(Opning[[#All],[Product_ID]],Stock[[#This Row],[Product ID]],Opning[[#All],[Opening_Qty]])</f>
        <v>51</v>
      </c>
      <c r="F219" s="52">
        <f>SUMIF(Purchase[[#All],[Product ID]],Stock[[#This Row],[Product ID]],Purchase[[#All],[Net Qty]])</f>
        <v>151</v>
      </c>
      <c r="G219" s="52">
        <f>Stock[[#This Row],[Opening Stock]]+Stock[[#This Row],[Purchase Stock]]</f>
        <v>202</v>
      </c>
      <c r="H219" s="52">
        <f>SUMIF(Sales[[#All],[Product ID]],Stock[[#This Row],[Product ID]],Sales[[#All],[Net QTY]])</f>
        <v>48</v>
      </c>
      <c r="I219" s="52">
        <f>Stock[[#This Row],[Total Stock]]-Stock[[#This Row],[Selling Stock]]</f>
        <v>154</v>
      </c>
      <c r="J219" s="52">
        <f>VLOOKUP(Stock[[#This Row],[Product ID]],Product[#All],8,0)</f>
        <v>5</v>
      </c>
      <c r="K219" s="52" t="str">
        <f>IF(Stock[[#This Row],[Available Stock]]&lt;=Stock[[#This Row],[Reorder Level]],"Reorder","OK")</f>
        <v>OK</v>
      </c>
    </row>
    <row r="220" spans="1:11" ht="18.75" x14ac:dyDescent="0.25">
      <c r="A220" s="52" t="str">
        <f>Product[[#This Row],[Product ID]]</f>
        <v>P0218</v>
      </c>
      <c r="B220" s="52" t="str">
        <f>VLOOKUP(Stock[[#This Row],[Product ID]],Product[#All],2,0)</f>
        <v>Samsung Ssd</v>
      </c>
      <c r="C220" s="52" t="str">
        <f>VLOOKUP(Stock[[#This Row],[Product ID]],Product[#All],3,0)</f>
        <v>SSD</v>
      </c>
      <c r="D220" s="52" t="str">
        <f>VLOOKUP(Stock[[#This Row],[Product ID]],Product[#All],4,0)</f>
        <v>Samsung</v>
      </c>
      <c r="E220" s="52">
        <f>SUMIF(Opning[[#All],[Product_ID]],Stock[[#This Row],[Product ID]],Opning[[#All],[Opening_Qty]])</f>
        <v>32</v>
      </c>
      <c r="F220" s="52">
        <f>SUMIF(Purchase[[#All],[Product ID]],Stock[[#This Row],[Product ID]],Purchase[[#All],[Net Qty]])</f>
        <v>43</v>
      </c>
      <c r="G220" s="52">
        <f>Stock[[#This Row],[Opening Stock]]+Stock[[#This Row],[Purchase Stock]]</f>
        <v>75</v>
      </c>
      <c r="H220" s="52">
        <f>SUMIF(Sales[[#All],[Product ID]],Stock[[#This Row],[Product ID]],Sales[[#All],[Net QTY]])</f>
        <v>56</v>
      </c>
      <c r="I220" s="52">
        <f>Stock[[#This Row],[Total Stock]]-Stock[[#This Row],[Selling Stock]]</f>
        <v>19</v>
      </c>
      <c r="J220" s="52">
        <f>VLOOKUP(Stock[[#This Row],[Product ID]],Product[#All],8,0)</f>
        <v>8</v>
      </c>
      <c r="K220" s="52" t="str">
        <f>IF(Stock[[#This Row],[Available Stock]]&lt;=Stock[[#This Row],[Reorder Level]],"Reorder","OK")</f>
        <v>OK</v>
      </c>
    </row>
    <row r="221" spans="1:11" ht="18.75" x14ac:dyDescent="0.25">
      <c r="A221" s="52" t="str">
        <f>Product[[#This Row],[Product ID]]</f>
        <v>P0219</v>
      </c>
      <c r="B221" s="52" t="str">
        <f>VLOOKUP(Stock[[#This Row],[Product ID]],Product[#All],2,0)</f>
        <v>TP-link Bluetooth Adapter</v>
      </c>
      <c r="C221" s="52" t="str">
        <f>VLOOKUP(Stock[[#This Row],[Product ID]],Product[#All],3,0)</f>
        <v>Bluetooth Adapter</v>
      </c>
      <c r="D221" s="52" t="str">
        <f>VLOOKUP(Stock[[#This Row],[Product ID]],Product[#All],4,0)</f>
        <v>TP-link</v>
      </c>
      <c r="E221" s="52">
        <f>SUMIF(Opning[[#All],[Product_ID]],Stock[[#This Row],[Product ID]],Opning[[#All],[Opening_Qty]])</f>
        <v>7</v>
      </c>
      <c r="F221" s="52">
        <f>SUMIF(Purchase[[#All],[Product ID]],Stock[[#This Row],[Product ID]],Purchase[[#All],[Net Qty]])</f>
        <v>99</v>
      </c>
      <c r="G221" s="52">
        <f>Stock[[#This Row],[Opening Stock]]+Stock[[#This Row],[Purchase Stock]]</f>
        <v>106</v>
      </c>
      <c r="H221" s="52">
        <f>SUMIF(Sales[[#All],[Product ID]],Stock[[#This Row],[Product ID]],Sales[[#All],[Net QTY]])</f>
        <v>37</v>
      </c>
      <c r="I221" s="52">
        <f>Stock[[#This Row],[Total Stock]]-Stock[[#This Row],[Selling Stock]]</f>
        <v>69</v>
      </c>
      <c r="J221" s="52">
        <f>VLOOKUP(Stock[[#This Row],[Product ID]],Product[#All],8,0)</f>
        <v>5</v>
      </c>
      <c r="K221" s="52" t="str">
        <f>IF(Stock[[#This Row],[Available Stock]]&lt;=Stock[[#This Row],[Reorder Level]],"Reorder","OK")</f>
        <v>OK</v>
      </c>
    </row>
    <row r="222" spans="1:11" ht="18.75" x14ac:dyDescent="0.25">
      <c r="A222" s="52" t="str">
        <f>Product[[#This Row],[Product ID]]</f>
        <v>P0220</v>
      </c>
      <c r="B222" s="52" t="str">
        <f>VLOOKUP(Stock[[#This Row],[Product ID]],Product[#All],2,0)</f>
        <v>Jbl Speaker</v>
      </c>
      <c r="C222" s="52" t="str">
        <f>VLOOKUP(Stock[[#This Row],[Product ID]],Product[#All],3,0)</f>
        <v>Speaker</v>
      </c>
      <c r="D222" s="52" t="str">
        <f>VLOOKUP(Stock[[#This Row],[Product ID]],Product[#All],4,0)</f>
        <v>JBL</v>
      </c>
      <c r="E222" s="52">
        <f>SUMIF(Opning[[#All],[Product_ID]],Stock[[#This Row],[Product ID]],Opning[[#All],[Opening_Qty]])</f>
        <v>36</v>
      </c>
      <c r="F222" s="52">
        <f>SUMIF(Purchase[[#All],[Product ID]],Stock[[#This Row],[Product ID]],Purchase[[#All],[Net Qty]])</f>
        <v>52</v>
      </c>
      <c r="G222" s="52">
        <f>Stock[[#This Row],[Opening Stock]]+Stock[[#This Row],[Purchase Stock]]</f>
        <v>88</v>
      </c>
      <c r="H222" s="52">
        <f>SUMIF(Sales[[#All],[Product ID]],Stock[[#This Row],[Product ID]],Sales[[#All],[Net QTY]])</f>
        <v>57</v>
      </c>
      <c r="I222" s="52">
        <f>Stock[[#This Row],[Total Stock]]-Stock[[#This Row],[Selling Stock]]</f>
        <v>31</v>
      </c>
      <c r="J222" s="52">
        <f>VLOOKUP(Stock[[#This Row],[Product ID]],Product[#All],8,0)</f>
        <v>25</v>
      </c>
      <c r="K222" s="52" t="str">
        <f>IF(Stock[[#This Row],[Available Stock]]&lt;=Stock[[#This Row],[Reorder Level]],"Reorder","OK")</f>
        <v>OK</v>
      </c>
    </row>
    <row r="223" spans="1:11" ht="18.75" x14ac:dyDescent="0.25">
      <c r="A223" s="52" t="str">
        <f>Product[[#This Row],[Product ID]]</f>
        <v>P0221</v>
      </c>
      <c r="B223" s="52" t="str">
        <f>VLOOKUP(Stock[[#This Row],[Product ID]],Product[#All],2,0)</f>
        <v>Boat Headset</v>
      </c>
      <c r="C223" s="52" t="str">
        <f>VLOOKUP(Stock[[#This Row],[Product ID]],Product[#All],3,0)</f>
        <v>Headset</v>
      </c>
      <c r="D223" s="52" t="str">
        <f>VLOOKUP(Stock[[#This Row],[Product ID]],Product[#All],4,0)</f>
        <v>Boat</v>
      </c>
      <c r="E223" s="52">
        <f>SUMIF(Opning[[#All],[Product_ID]],Stock[[#This Row],[Product ID]],Opning[[#All],[Opening_Qty]])</f>
        <v>21</v>
      </c>
      <c r="F223" s="52">
        <f>SUMIF(Purchase[[#All],[Product ID]],Stock[[#This Row],[Product ID]],Purchase[[#All],[Net Qty]])</f>
        <v>150</v>
      </c>
      <c r="G223" s="52">
        <f>Stock[[#This Row],[Opening Stock]]+Stock[[#This Row],[Purchase Stock]]</f>
        <v>171</v>
      </c>
      <c r="H223" s="52">
        <f>SUMIF(Sales[[#All],[Product ID]],Stock[[#This Row],[Product ID]],Sales[[#All],[Net QTY]])</f>
        <v>23</v>
      </c>
      <c r="I223" s="52">
        <f>Stock[[#This Row],[Total Stock]]-Stock[[#This Row],[Selling Stock]]</f>
        <v>148</v>
      </c>
      <c r="J223" s="52">
        <f>VLOOKUP(Stock[[#This Row],[Product ID]],Product[#All],8,0)</f>
        <v>10</v>
      </c>
      <c r="K223" s="52" t="str">
        <f>IF(Stock[[#This Row],[Available Stock]]&lt;=Stock[[#This Row],[Reorder Level]],"Reorder","OK")</f>
        <v>OK</v>
      </c>
    </row>
    <row r="224" spans="1:11" ht="18.75" x14ac:dyDescent="0.25">
      <c r="A224" s="52" t="str">
        <f>Product[[#This Row],[Product ID]]</f>
        <v>P0222</v>
      </c>
      <c r="B224" s="52" t="str">
        <f>VLOOKUP(Stock[[#This Row],[Product ID]],Product[#All],2,0)</f>
        <v>Dell Desktop</v>
      </c>
      <c r="C224" s="52" t="str">
        <f>VLOOKUP(Stock[[#This Row],[Product ID]],Product[#All],3,0)</f>
        <v>Desktop</v>
      </c>
      <c r="D224" s="52" t="str">
        <f>VLOOKUP(Stock[[#This Row],[Product ID]],Product[#All],4,0)</f>
        <v>Dell</v>
      </c>
      <c r="E224" s="52">
        <f>SUMIF(Opning[[#All],[Product_ID]],Stock[[#This Row],[Product ID]],Opning[[#All],[Opening_Qty]])</f>
        <v>49</v>
      </c>
      <c r="F224" s="52">
        <f>SUMIF(Purchase[[#All],[Product ID]],Stock[[#This Row],[Product ID]],Purchase[[#All],[Net Qty]])</f>
        <v>118</v>
      </c>
      <c r="G224" s="52">
        <f>Stock[[#This Row],[Opening Stock]]+Stock[[#This Row],[Purchase Stock]]</f>
        <v>167</v>
      </c>
      <c r="H224" s="52">
        <f>SUMIF(Sales[[#All],[Product ID]],Stock[[#This Row],[Product ID]],Sales[[#All],[Net QTY]])</f>
        <v>58</v>
      </c>
      <c r="I224" s="52">
        <f>Stock[[#This Row],[Total Stock]]-Stock[[#This Row],[Selling Stock]]</f>
        <v>109</v>
      </c>
      <c r="J224" s="52">
        <f>VLOOKUP(Stock[[#This Row],[Product ID]],Product[#All],8,0)</f>
        <v>20</v>
      </c>
      <c r="K224" s="52" t="str">
        <f>IF(Stock[[#This Row],[Available Stock]]&lt;=Stock[[#This Row],[Reorder Level]],"Reorder","OK")</f>
        <v>OK</v>
      </c>
    </row>
    <row r="225" spans="1:11" ht="18.75" x14ac:dyDescent="0.25">
      <c r="A225" s="52" t="str">
        <f>Product[[#This Row],[Product ID]]</f>
        <v>P0223</v>
      </c>
      <c r="B225" s="52" t="str">
        <f>VLOOKUP(Stock[[#This Row],[Product ID]],Product[#All],2,0)</f>
        <v>Canon Printer</v>
      </c>
      <c r="C225" s="52" t="str">
        <f>VLOOKUP(Stock[[#This Row],[Product ID]],Product[#All],3,0)</f>
        <v>Printer</v>
      </c>
      <c r="D225" s="52" t="str">
        <f>VLOOKUP(Stock[[#This Row],[Product ID]],Product[#All],4,0)</f>
        <v>Canon</v>
      </c>
      <c r="E225" s="52">
        <f>SUMIF(Opning[[#All],[Product_ID]],Stock[[#This Row],[Product ID]],Opning[[#All],[Opening_Qty]])</f>
        <v>50</v>
      </c>
      <c r="F225" s="52">
        <f>SUMIF(Purchase[[#All],[Product ID]],Stock[[#This Row],[Product ID]],Purchase[[#All],[Net Qty]])</f>
        <v>40</v>
      </c>
      <c r="G225" s="52">
        <f>Stock[[#This Row],[Opening Stock]]+Stock[[#This Row],[Purchase Stock]]</f>
        <v>90</v>
      </c>
      <c r="H225" s="52">
        <f>SUMIF(Sales[[#All],[Product ID]],Stock[[#This Row],[Product ID]],Sales[[#All],[Net QTY]])</f>
        <v>29</v>
      </c>
      <c r="I225" s="52">
        <f>Stock[[#This Row],[Total Stock]]-Stock[[#This Row],[Selling Stock]]</f>
        <v>61</v>
      </c>
      <c r="J225" s="52">
        <f>VLOOKUP(Stock[[#This Row],[Product ID]],Product[#All],8,0)</f>
        <v>5</v>
      </c>
      <c r="K225" s="52" t="str">
        <f>IF(Stock[[#This Row],[Available Stock]]&lt;=Stock[[#This Row],[Reorder Level]],"Reorder","OK")</f>
        <v>OK</v>
      </c>
    </row>
    <row r="226" spans="1:11" ht="18.75" x14ac:dyDescent="0.25">
      <c r="A226" s="52" t="str">
        <f>Product[[#This Row],[Product ID]]</f>
        <v>P0224</v>
      </c>
      <c r="B226" s="52" t="str">
        <f>VLOOKUP(Stock[[#This Row],[Product ID]],Product[#All],2,0)</f>
        <v>Corsair Ram</v>
      </c>
      <c r="C226" s="52" t="str">
        <f>VLOOKUP(Stock[[#This Row],[Product ID]],Product[#All],3,0)</f>
        <v>RAM</v>
      </c>
      <c r="D226" s="52" t="str">
        <f>VLOOKUP(Stock[[#This Row],[Product ID]],Product[#All],4,0)</f>
        <v>Corsair</v>
      </c>
      <c r="E226" s="52">
        <f>SUMIF(Opning[[#All],[Product_ID]],Stock[[#This Row],[Product ID]],Opning[[#All],[Opening_Qty]])</f>
        <v>42</v>
      </c>
      <c r="F226" s="52">
        <f>SUMIF(Purchase[[#All],[Product ID]],Stock[[#This Row],[Product ID]],Purchase[[#All],[Net Qty]])</f>
        <v>94</v>
      </c>
      <c r="G226" s="52">
        <f>Stock[[#This Row],[Opening Stock]]+Stock[[#This Row],[Purchase Stock]]</f>
        <v>136</v>
      </c>
      <c r="H226" s="52">
        <f>SUMIF(Sales[[#All],[Product ID]],Stock[[#This Row],[Product ID]],Sales[[#All],[Net QTY]])</f>
        <v>72</v>
      </c>
      <c r="I226" s="52">
        <f>Stock[[#This Row],[Total Stock]]-Stock[[#This Row],[Selling Stock]]</f>
        <v>64</v>
      </c>
      <c r="J226" s="52">
        <f>VLOOKUP(Stock[[#This Row],[Product ID]],Product[#All],8,0)</f>
        <v>5</v>
      </c>
      <c r="K226" s="52" t="str">
        <f>IF(Stock[[#This Row],[Available Stock]]&lt;=Stock[[#This Row],[Reorder Level]],"Reorder","OK")</f>
        <v>OK</v>
      </c>
    </row>
    <row r="227" spans="1:11" ht="18.75" x14ac:dyDescent="0.25">
      <c r="A227" s="52" t="str">
        <f>Product[[#This Row],[Product ID]]</f>
        <v>P0225</v>
      </c>
      <c r="B227" s="52" t="str">
        <f>VLOOKUP(Stock[[#This Row],[Product ID]],Product[#All],2,0)</f>
        <v>D-Link Router</v>
      </c>
      <c r="C227" s="52" t="str">
        <f>VLOOKUP(Stock[[#This Row],[Product ID]],Product[#All],3,0)</f>
        <v>Router</v>
      </c>
      <c r="D227" s="52" t="str">
        <f>VLOOKUP(Stock[[#This Row],[Product ID]],Product[#All],4,0)</f>
        <v>D-Link</v>
      </c>
      <c r="E227" s="52">
        <f>SUMIF(Opning[[#All],[Product_ID]],Stock[[#This Row],[Product ID]],Opning[[#All],[Opening_Qty]])</f>
        <v>45</v>
      </c>
      <c r="F227" s="52">
        <f>SUMIF(Purchase[[#All],[Product ID]],Stock[[#This Row],[Product ID]],Purchase[[#All],[Net Qty]])</f>
        <v>245</v>
      </c>
      <c r="G227" s="52">
        <f>Stock[[#This Row],[Opening Stock]]+Stock[[#This Row],[Purchase Stock]]</f>
        <v>290</v>
      </c>
      <c r="H227" s="52">
        <f>SUMIF(Sales[[#All],[Product ID]],Stock[[#This Row],[Product ID]],Sales[[#All],[Net QTY]])</f>
        <v>72</v>
      </c>
      <c r="I227" s="52">
        <f>Stock[[#This Row],[Total Stock]]-Stock[[#This Row],[Selling Stock]]</f>
        <v>218</v>
      </c>
      <c r="J227" s="52">
        <f>VLOOKUP(Stock[[#This Row],[Product ID]],Product[#All],8,0)</f>
        <v>5</v>
      </c>
      <c r="K227" s="52" t="str">
        <f>IF(Stock[[#This Row],[Available Stock]]&lt;=Stock[[#This Row],[Reorder Level]],"Reorder","OK")</f>
        <v>OK</v>
      </c>
    </row>
    <row r="228" spans="1:11" ht="18.75" x14ac:dyDescent="0.25">
      <c r="A228" s="52" t="str">
        <f>Product[[#This Row],[Product ID]]</f>
        <v>P0226</v>
      </c>
      <c r="B228" s="52" t="str">
        <f>VLOOKUP(Stock[[#This Row],[Product ID]],Product[#All],2,0)</f>
        <v>HP Printer</v>
      </c>
      <c r="C228" s="52" t="str">
        <f>VLOOKUP(Stock[[#This Row],[Product ID]],Product[#All],3,0)</f>
        <v>Printer</v>
      </c>
      <c r="D228" s="52" t="str">
        <f>VLOOKUP(Stock[[#This Row],[Product ID]],Product[#All],4,0)</f>
        <v>HP</v>
      </c>
      <c r="E228" s="52">
        <f>SUMIF(Opning[[#All],[Product_ID]],Stock[[#This Row],[Product ID]],Opning[[#All],[Opening_Qty]])</f>
        <v>50</v>
      </c>
      <c r="F228" s="52">
        <f>SUMIF(Purchase[[#All],[Product ID]],Stock[[#This Row],[Product ID]],Purchase[[#All],[Net Qty]])</f>
        <v>31</v>
      </c>
      <c r="G228" s="52">
        <f>Stock[[#This Row],[Opening Stock]]+Stock[[#This Row],[Purchase Stock]]</f>
        <v>81</v>
      </c>
      <c r="H228" s="52">
        <f>SUMIF(Sales[[#All],[Product ID]],Stock[[#This Row],[Product ID]],Sales[[#All],[Net QTY]])</f>
        <v>12</v>
      </c>
      <c r="I228" s="52">
        <f>Stock[[#This Row],[Total Stock]]-Stock[[#This Row],[Selling Stock]]</f>
        <v>69</v>
      </c>
      <c r="J228" s="52">
        <f>VLOOKUP(Stock[[#This Row],[Product ID]],Product[#All],8,0)</f>
        <v>20</v>
      </c>
      <c r="K228" s="52" t="str">
        <f>IF(Stock[[#This Row],[Available Stock]]&lt;=Stock[[#This Row],[Reorder Level]],"Reorder","OK")</f>
        <v>OK</v>
      </c>
    </row>
    <row r="229" spans="1:11" ht="18.75" x14ac:dyDescent="0.25">
      <c r="A229" s="52" t="str">
        <f>Product[[#This Row],[Product ID]]</f>
        <v>P0227</v>
      </c>
      <c r="B229" s="52" t="str">
        <f>VLOOKUP(Stock[[#This Row],[Product ID]],Product[#All],2,0)</f>
        <v>Epson Printer</v>
      </c>
      <c r="C229" s="52" t="str">
        <f>VLOOKUP(Stock[[#This Row],[Product ID]],Product[#All],3,0)</f>
        <v>Printer</v>
      </c>
      <c r="D229" s="52" t="str">
        <f>VLOOKUP(Stock[[#This Row],[Product ID]],Product[#All],4,0)</f>
        <v>Epson</v>
      </c>
      <c r="E229" s="52">
        <f>SUMIF(Opning[[#All],[Product_ID]],Stock[[#This Row],[Product ID]],Opning[[#All],[Opening_Qty]])</f>
        <v>28</v>
      </c>
      <c r="F229" s="52">
        <f>SUMIF(Purchase[[#All],[Product ID]],Stock[[#This Row],[Product ID]],Purchase[[#All],[Net Qty]])</f>
        <v>81</v>
      </c>
      <c r="G229" s="52">
        <f>Stock[[#This Row],[Opening Stock]]+Stock[[#This Row],[Purchase Stock]]</f>
        <v>109</v>
      </c>
      <c r="H229" s="52">
        <f>SUMIF(Sales[[#All],[Product ID]],Stock[[#This Row],[Product ID]],Sales[[#All],[Net QTY]])</f>
        <v>41</v>
      </c>
      <c r="I229" s="52">
        <f>Stock[[#This Row],[Total Stock]]-Stock[[#This Row],[Selling Stock]]</f>
        <v>68</v>
      </c>
      <c r="J229" s="52">
        <f>VLOOKUP(Stock[[#This Row],[Product ID]],Product[#All],8,0)</f>
        <v>15</v>
      </c>
      <c r="K229" s="52" t="str">
        <f>IF(Stock[[#This Row],[Available Stock]]&lt;=Stock[[#This Row],[Reorder Level]],"Reorder","OK")</f>
        <v>OK</v>
      </c>
    </row>
    <row r="230" spans="1:11" ht="18.75" x14ac:dyDescent="0.25">
      <c r="A230" s="52" t="str">
        <f>Product[[#This Row],[Product ID]]</f>
        <v>P0228</v>
      </c>
      <c r="B230" s="52" t="str">
        <f>VLOOKUP(Stock[[#This Row],[Product ID]],Product[#All],2,0)</f>
        <v>Canon Printer</v>
      </c>
      <c r="C230" s="52" t="str">
        <f>VLOOKUP(Stock[[#This Row],[Product ID]],Product[#All],3,0)</f>
        <v>Printer</v>
      </c>
      <c r="D230" s="52" t="str">
        <f>VLOOKUP(Stock[[#This Row],[Product ID]],Product[#All],4,0)</f>
        <v>Canon</v>
      </c>
      <c r="E230" s="52">
        <f>SUMIF(Opning[[#All],[Product_ID]],Stock[[#This Row],[Product ID]],Opning[[#All],[Opening_Qty]])</f>
        <v>38</v>
      </c>
      <c r="F230" s="52">
        <f>SUMIF(Purchase[[#All],[Product ID]],Stock[[#This Row],[Product ID]],Purchase[[#All],[Net Qty]])</f>
        <v>31</v>
      </c>
      <c r="G230" s="52">
        <f>Stock[[#This Row],[Opening Stock]]+Stock[[#This Row],[Purchase Stock]]</f>
        <v>69</v>
      </c>
      <c r="H230" s="52">
        <f>SUMIF(Sales[[#All],[Product ID]],Stock[[#This Row],[Product ID]],Sales[[#All],[Net QTY]])</f>
        <v>37</v>
      </c>
      <c r="I230" s="52">
        <f>Stock[[#This Row],[Total Stock]]-Stock[[#This Row],[Selling Stock]]</f>
        <v>32</v>
      </c>
      <c r="J230" s="52">
        <f>VLOOKUP(Stock[[#This Row],[Product ID]],Product[#All],8,0)</f>
        <v>15</v>
      </c>
      <c r="K230" s="52" t="str">
        <f>IF(Stock[[#This Row],[Available Stock]]&lt;=Stock[[#This Row],[Reorder Level]],"Reorder","OK")</f>
        <v>OK</v>
      </c>
    </row>
    <row r="231" spans="1:11" ht="18.75" x14ac:dyDescent="0.25">
      <c r="A231" s="52" t="str">
        <f>Product[[#This Row],[Product ID]]</f>
        <v>P0229</v>
      </c>
      <c r="B231" s="52" t="str">
        <f>VLOOKUP(Stock[[#This Row],[Product ID]],Product[#All],2,0)</f>
        <v>Amazon Basics Hdmi Cable</v>
      </c>
      <c r="C231" s="52" t="str">
        <f>VLOOKUP(Stock[[#This Row],[Product ID]],Product[#All],3,0)</f>
        <v>HDMI Cable</v>
      </c>
      <c r="D231" s="52" t="str">
        <f>VLOOKUP(Stock[[#This Row],[Product ID]],Product[#All],4,0)</f>
        <v>Amazon Basics</v>
      </c>
      <c r="E231" s="52">
        <f>SUMIF(Opning[[#All],[Product_ID]],Stock[[#This Row],[Product ID]],Opning[[#All],[Opening_Qty]])</f>
        <v>7</v>
      </c>
      <c r="F231" s="52">
        <f>SUMIF(Purchase[[#All],[Product ID]],Stock[[#This Row],[Product ID]],Purchase[[#All],[Net Qty]])</f>
        <v>126</v>
      </c>
      <c r="G231" s="52">
        <f>Stock[[#This Row],[Opening Stock]]+Stock[[#This Row],[Purchase Stock]]</f>
        <v>133</v>
      </c>
      <c r="H231" s="52">
        <f>SUMIF(Sales[[#All],[Product ID]],Stock[[#This Row],[Product ID]],Sales[[#All],[Net QTY]])</f>
        <v>46</v>
      </c>
      <c r="I231" s="52">
        <f>Stock[[#This Row],[Total Stock]]-Stock[[#This Row],[Selling Stock]]</f>
        <v>87</v>
      </c>
      <c r="J231" s="52">
        <f>VLOOKUP(Stock[[#This Row],[Product ID]],Product[#All],8,0)</f>
        <v>20</v>
      </c>
      <c r="K231" s="52" t="str">
        <f>IF(Stock[[#This Row],[Available Stock]]&lt;=Stock[[#This Row],[Reorder Level]],"Reorder","OK")</f>
        <v>OK</v>
      </c>
    </row>
    <row r="232" spans="1:11" ht="18.75" x14ac:dyDescent="0.25">
      <c r="A232" s="52" t="str">
        <f>Product[[#This Row],[Product ID]]</f>
        <v>P0230</v>
      </c>
      <c r="B232" s="52" t="str">
        <f>VLOOKUP(Stock[[#This Row],[Product ID]],Product[#All],2,0)</f>
        <v>Lenovo Laptop</v>
      </c>
      <c r="C232" s="52" t="str">
        <f>VLOOKUP(Stock[[#This Row],[Product ID]],Product[#All],3,0)</f>
        <v>Laptop</v>
      </c>
      <c r="D232" s="52" t="str">
        <f>VLOOKUP(Stock[[#This Row],[Product ID]],Product[#All],4,0)</f>
        <v>Lenovo</v>
      </c>
      <c r="E232" s="52">
        <f>SUMIF(Opning[[#All],[Product_ID]],Stock[[#This Row],[Product ID]],Opning[[#All],[Opening_Qty]])</f>
        <v>44</v>
      </c>
      <c r="F232" s="52">
        <f>SUMIF(Purchase[[#All],[Product ID]],Stock[[#This Row],[Product ID]],Purchase[[#All],[Net Qty]])</f>
        <v>58</v>
      </c>
      <c r="G232" s="52">
        <f>Stock[[#This Row],[Opening Stock]]+Stock[[#This Row],[Purchase Stock]]</f>
        <v>102</v>
      </c>
      <c r="H232" s="52">
        <f>SUMIF(Sales[[#All],[Product ID]],Stock[[#This Row],[Product ID]],Sales[[#All],[Net QTY]])</f>
        <v>55</v>
      </c>
      <c r="I232" s="52">
        <f>Stock[[#This Row],[Total Stock]]-Stock[[#This Row],[Selling Stock]]</f>
        <v>47</v>
      </c>
      <c r="J232" s="52">
        <f>VLOOKUP(Stock[[#This Row],[Product ID]],Product[#All],8,0)</f>
        <v>10</v>
      </c>
      <c r="K232" s="52" t="str">
        <f>IF(Stock[[#This Row],[Available Stock]]&lt;=Stock[[#This Row],[Reorder Level]],"Reorder","OK")</f>
        <v>OK</v>
      </c>
    </row>
    <row r="233" spans="1:11" ht="18.75" x14ac:dyDescent="0.25">
      <c r="A233" s="52" t="str">
        <f>Product[[#This Row],[Product ID]]</f>
        <v>P0231</v>
      </c>
      <c r="B233" s="52" t="str">
        <f>VLOOKUP(Stock[[#This Row],[Product ID]],Product[#All],2,0)</f>
        <v>TP-link Bluetooth Adapter</v>
      </c>
      <c r="C233" s="52" t="str">
        <f>VLOOKUP(Stock[[#This Row],[Product ID]],Product[#All],3,0)</f>
        <v>Bluetooth Adapter</v>
      </c>
      <c r="D233" s="52" t="str">
        <f>VLOOKUP(Stock[[#This Row],[Product ID]],Product[#All],4,0)</f>
        <v>TP-link</v>
      </c>
      <c r="E233" s="52">
        <f>SUMIF(Opning[[#All],[Product_ID]],Stock[[#This Row],[Product ID]],Opning[[#All],[Opening_Qty]])</f>
        <v>48</v>
      </c>
      <c r="F233" s="52">
        <f>SUMIF(Purchase[[#All],[Product ID]],Stock[[#This Row],[Product ID]],Purchase[[#All],[Net Qty]])</f>
        <v>40</v>
      </c>
      <c r="G233" s="52">
        <f>Stock[[#This Row],[Opening Stock]]+Stock[[#This Row],[Purchase Stock]]</f>
        <v>88</v>
      </c>
      <c r="H233" s="52">
        <f>SUMIF(Sales[[#All],[Product ID]],Stock[[#This Row],[Product ID]],Sales[[#All],[Net QTY]])</f>
        <v>34</v>
      </c>
      <c r="I233" s="52">
        <f>Stock[[#This Row],[Total Stock]]-Stock[[#This Row],[Selling Stock]]</f>
        <v>54</v>
      </c>
      <c r="J233" s="52">
        <f>VLOOKUP(Stock[[#This Row],[Product ID]],Product[#All],8,0)</f>
        <v>20</v>
      </c>
      <c r="K233" s="52" t="str">
        <f>IF(Stock[[#This Row],[Available Stock]]&lt;=Stock[[#This Row],[Reorder Level]],"Reorder","OK")</f>
        <v>OK</v>
      </c>
    </row>
    <row r="234" spans="1:11" ht="18.75" x14ac:dyDescent="0.25">
      <c r="A234" s="52" t="str">
        <f>Product[[#This Row],[Product ID]]</f>
        <v>P0232</v>
      </c>
      <c r="B234" s="52" t="str">
        <f>VLOOKUP(Stock[[#This Row],[Product ID]],Product[#All],2,0)</f>
        <v>HP Power Adapter</v>
      </c>
      <c r="C234" s="52" t="str">
        <f>VLOOKUP(Stock[[#This Row],[Product ID]],Product[#All],3,0)</f>
        <v>Power Adapter</v>
      </c>
      <c r="D234" s="52" t="str">
        <f>VLOOKUP(Stock[[#This Row],[Product ID]],Product[#All],4,0)</f>
        <v>HP</v>
      </c>
      <c r="E234" s="52">
        <f>SUMIF(Opning[[#All],[Product_ID]],Stock[[#This Row],[Product ID]],Opning[[#All],[Opening_Qty]])</f>
        <v>27</v>
      </c>
      <c r="F234" s="52">
        <f>SUMIF(Purchase[[#All],[Product ID]],Stock[[#This Row],[Product ID]],Purchase[[#All],[Net Qty]])</f>
        <v>53</v>
      </c>
      <c r="G234" s="52">
        <f>Stock[[#This Row],[Opening Stock]]+Stock[[#This Row],[Purchase Stock]]</f>
        <v>80</v>
      </c>
      <c r="H234" s="52">
        <f>SUMIF(Sales[[#All],[Product ID]],Stock[[#This Row],[Product ID]],Sales[[#All],[Net QTY]])</f>
        <v>27</v>
      </c>
      <c r="I234" s="52">
        <f>Stock[[#This Row],[Total Stock]]-Stock[[#This Row],[Selling Stock]]</f>
        <v>53</v>
      </c>
      <c r="J234" s="52">
        <f>VLOOKUP(Stock[[#This Row],[Product ID]],Product[#All],8,0)</f>
        <v>25</v>
      </c>
      <c r="K234" s="52" t="str">
        <f>IF(Stock[[#This Row],[Available Stock]]&lt;=Stock[[#This Row],[Reorder Level]],"Reorder","OK")</f>
        <v>OK</v>
      </c>
    </row>
    <row r="235" spans="1:11" ht="18.75" x14ac:dyDescent="0.25">
      <c r="A235" s="52" t="str">
        <f>Product[[#This Row],[Product ID]]</f>
        <v>P0233</v>
      </c>
      <c r="B235" s="52" t="str">
        <f>VLOOKUP(Stock[[#This Row],[Product ID]],Product[#All],2,0)</f>
        <v>HP Laptop</v>
      </c>
      <c r="C235" s="52" t="str">
        <f>VLOOKUP(Stock[[#This Row],[Product ID]],Product[#All],3,0)</f>
        <v>Laptop</v>
      </c>
      <c r="D235" s="52" t="str">
        <f>VLOOKUP(Stock[[#This Row],[Product ID]],Product[#All],4,0)</f>
        <v>HP</v>
      </c>
      <c r="E235" s="52">
        <f>SUMIF(Opning[[#All],[Product_ID]],Stock[[#This Row],[Product ID]],Opning[[#All],[Opening_Qty]])</f>
        <v>57</v>
      </c>
      <c r="F235" s="52">
        <f>SUMIF(Purchase[[#All],[Product ID]],Stock[[#This Row],[Product ID]],Purchase[[#All],[Net Qty]])</f>
        <v>93</v>
      </c>
      <c r="G235" s="52">
        <f>Stock[[#This Row],[Opening Stock]]+Stock[[#This Row],[Purchase Stock]]</f>
        <v>150</v>
      </c>
      <c r="H235" s="52">
        <f>SUMIF(Sales[[#All],[Product ID]],Stock[[#This Row],[Product ID]],Sales[[#All],[Net QTY]])</f>
        <v>36</v>
      </c>
      <c r="I235" s="52">
        <f>Stock[[#This Row],[Total Stock]]-Stock[[#This Row],[Selling Stock]]</f>
        <v>114</v>
      </c>
      <c r="J235" s="52">
        <f>VLOOKUP(Stock[[#This Row],[Product ID]],Product[#All],8,0)</f>
        <v>25</v>
      </c>
      <c r="K235" s="52" t="str">
        <f>IF(Stock[[#This Row],[Available Stock]]&lt;=Stock[[#This Row],[Reorder Level]],"Reorder","OK")</f>
        <v>OK</v>
      </c>
    </row>
    <row r="236" spans="1:11" ht="18.75" x14ac:dyDescent="0.25">
      <c r="A236" s="52" t="str">
        <f>Product[[#This Row],[Product ID]]</f>
        <v>P0234</v>
      </c>
      <c r="B236" s="52" t="str">
        <f>VLOOKUP(Stock[[#This Row],[Product ID]],Product[#All],2,0)</f>
        <v>HP Power Adapter</v>
      </c>
      <c r="C236" s="52" t="str">
        <f>VLOOKUP(Stock[[#This Row],[Product ID]],Product[#All],3,0)</f>
        <v>Power Adapter</v>
      </c>
      <c r="D236" s="52" t="str">
        <f>VLOOKUP(Stock[[#This Row],[Product ID]],Product[#All],4,0)</f>
        <v>HP</v>
      </c>
      <c r="E236" s="52">
        <f>SUMIF(Opning[[#All],[Product_ID]],Stock[[#This Row],[Product ID]],Opning[[#All],[Opening_Qty]])</f>
        <v>31</v>
      </c>
      <c r="F236" s="52">
        <f>SUMIF(Purchase[[#All],[Product ID]],Stock[[#This Row],[Product ID]],Purchase[[#All],[Net Qty]])</f>
        <v>155</v>
      </c>
      <c r="G236" s="52">
        <f>Stock[[#This Row],[Opening Stock]]+Stock[[#This Row],[Purchase Stock]]</f>
        <v>186</v>
      </c>
      <c r="H236" s="52">
        <f>SUMIF(Sales[[#All],[Product ID]],Stock[[#This Row],[Product ID]],Sales[[#All],[Net QTY]])</f>
        <v>59</v>
      </c>
      <c r="I236" s="52">
        <f>Stock[[#This Row],[Total Stock]]-Stock[[#This Row],[Selling Stock]]</f>
        <v>127</v>
      </c>
      <c r="J236" s="52">
        <f>VLOOKUP(Stock[[#This Row],[Product ID]],Product[#All],8,0)</f>
        <v>25</v>
      </c>
      <c r="K236" s="52" t="str">
        <f>IF(Stock[[#This Row],[Available Stock]]&lt;=Stock[[#This Row],[Reorder Level]],"Reorder","OK")</f>
        <v>OK</v>
      </c>
    </row>
    <row r="237" spans="1:11" ht="18.75" x14ac:dyDescent="0.25">
      <c r="A237" s="52" t="str">
        <f>Product[[#This Row],[Product ID]]</f>
        <v>P0235</v>
      </c>
      <c r="B237" s="52" t="str">
        <f>VLOOKUP(Stock[[#This Row],[Product ID]],Product[#All],2,0)</f>
        <v>Canon Printer</v>
      </c>
      <c r="C237" s="52" t="str">
        <f>VLOOKUP(Stock[[#This Row],[Product ID]],Product[#All],3,0)</f>
        <v>Printer</v>
      </c>
      <c r="D237" s="52" t="str">
        <f>VLOOKUP(Stock[[#This Row],[Product ID]],Product[#All],4,0)</f>
        <v>Canon</v>
      </c>
      <c r="E237" s="52">
        <f>SUMIF(Opning[[#All],[Product_ID]],Stock[[#This Row],[Product ID]],Opning[[#All],[Opening_Qty]])</f>
        <v>49</v>
      </c>
      <c r="F237" s="52">
        <f>SUMIF(Purchase[[#All],[Product ID]],Stock[[#This Row],[Product ID]],Purchase[[#All],[Net Qty]])</f>
        <v>3</v>
      </c>
      <c r="G237" s="52">
        <f>Stock[[#This Row],[Opening Stock]]+Stock[[#This Row],[Purchase Stock]]</f>
        <v>52</v>
      </c>
      <c r="H237" s="52">
        <f>SUMIF(Sales[[#All],[Product ID]],Stock[[#This Row],[Product ID]],Sales[[#All],[Net QTY]])</f>
        <v>52</v>
      </c>
      <c r="I237" s="52">
        <f>Stock[[#This Row],[Total Stock]]-Stock[[#This Row],[Selling Stock]]</f>
        <v>0</v>
      </c>
      <c r="J237" s="52">
        <f>VLOOKUP(Stock[[#This Row],[Product ID]],Product[#All],8,0)</f>
        <v>5</v>
      </c>
      <c r="K237" s="52" t="str">
        <f>IF(Stock[[#This Row],[Available Stock]]&lt;=Stock[[#This Row],[Reorder Level]],"Reorder","OK")</f>
        <v>Reorder</v>
      </c>
    </row>
    <row r="238" spans="1:11" ht="18.75" x14ac:dyDescent="0.25">
      <c r="A238" s="52" t="str">
        <f>Product[[#This Row],[Product ID]]</f>
        <v>P0236</v>
      </c>
      <c r="B238" s="52" t="str">
        <f>VLOOKUP(Stock[[#This Row],[Product ID]],Product[#All],2,0)</f>
        <v>HP Mouse</v>
      </c>
      <c r="C238" s="52" t="str">
        <f>VLOOKUP(Stock[[#This Row],[Product ID]],Product[#All],3,0)</f>
        <v>Mouse</v>
      </c>
      <c r="D238" s="52" t="str">
        <f>VLOOKUP(Stock[[#This Row],[Product ID]],Product[#All],4,0)</f>
        <v>HP</v>
      </c>
      <c r="E238" s="52">
        <f>SUMIF(Opning[[#All],[Product_ID]],Stock[[#This Row],[Product ID]],Opning[[#All],[Opening_Qty]])</f>
        <v>29</v>
      </c>
      <c r="F238" s="52">
        <f>SUMIF(Purchase[[#All],[Product ID]],Stock[[#This Row],[Product ID]],Purchase[[#All],[Net Qty]])</f>
        <v>78</v>
      </c>
      <c r="G238" s="52">
        <f>Stock[[#This Row],[Opening Stock]]+Stock[[#This Row],[Purchase Stock]]</f>
        <v>107</v>
      </c>
      <c r="H238" s="52">
        <f>SUMIF(Sales[[#All],[Product ID]],Stock[[#This Row],[Product ID]],Sales[[#All],[Net QTY]])</f>
        <v>32</v>
      </c>
      <c r="I238" s="52">
        <f>Stock[[#This Row],[Total Stock]]-Stock[[#This Row],[Selling Stock]]</f>
        <v>75</v>
      </c>
      <c r="J238" s="52">
        <f>VLOOKUP(Stock[[#This Row],[Product ID]],Product[#All],8,0)</f>
        <v>20</v>
      </c>
      <c r="K238" s="52" t="str">
        <f>IF(Stock[[#This Row],[Available Stock]]&lt;=Stock[[#This Row],[Reorder Level]],"Reorder","OK")</f>
        <v>OK</v>
      </c>
    </row>
    <row r="239" spans="1:11" ht="18.75" x14ac:dyDescent="0.25">
      <c r="A239" s="52" t="str">
        <f>Product[[#This Row],[Product ID]]</f>
        <v>P0237</v>
      </c>
      <c r="B239" s="52" t="str">
        <f>VLOOKUP(Stock[[#This Row],[Product ID]],Product[#All],2,0)</f>
        <v>Crucial Ssd</v>
      </c>
      <c r="C239" s="52" t="str">
        <f>VLOOKUP(Stock[[#This Row],[Product ID]],Product[#All],3,0)</f>
        <v>SSD</v>
      </c>
      <c r="D239" s="52" t="str">
        <f>VLOOKUP(Stock[[#This Row],[Product ID]],Product[#All],4,0)</f>
        <v>Crucial</v>
      </c>
      <c r="E239" s="52">
        <f>SUMIF(Opning[[#All],[Product_ID]],Stock[[#This Row],[Product ID]],Opning[[#All],[Opening_Qty]])</f>
        <v>25</v>
      </c>
      <c r="F239" s="52">
        <f>SUMIF(Purchase[[#All],[Product ID]],Stock[[#This Row],[Product ID]],Purchase[[#All],[Net Qty]])</f>
        <v>27</v>
      </c>
      <c r="G239" s="52">
        <f>Stock[[#This Row],[Opening Stock]]+Stock[[#This Row],[Purchase Stock]]</f>
        <v>52</v>
      </c>
      <c r="H239" s="52">
        <f>SUMIF(Sales[[#All],[Product ID]],Stock[[#This Row],[Product ID]],Sales[[#All],[Net QTY]])</f>
        <v>42</v>
      </c>
      <c r="I239" s="52">
        <f>Stock[[#This Row],[Total Stock]]-Stock[[#This Row],[Selling Stock]]</f>
        <v>10</v>
      </c>
      <c r="J239" s="52">
        <f>VLOOKUP(Stock[[#This Row],[Product ID]],Product[#All],8,0)</f>
        <v>5</v>
      </c>
      <c r="K239" s="52" t="str">
        <f>IF(Stock[[#This Row],[Available Stock]]&lt;=Stock[[#This Row],[Reorder Level]],"Reorder","OK")</f>
        <v>OK</v>
      </c>
    </row>
    <row r="240" spans="1:11" ht="18.75" x14ac:dyDescent="0.25">
      <c r="A240" s="52" t="str">
        <f>Product[[#This Row],[Product ID]]</f>
        <v>P0238</v>
      </c>
      <c r="B240" s="52" t="str">
        <f>VLOOKUP(Stock[[#This Row],[Product ID]],Product[#All],2,0)</f>
        <v>Jbl Speaker</v>
      </c>
      <c r="C240" s="52" t="str">
        <f>VLOOKUP(Stock[[#This Row],[Product ID]],Product[#All],3,0)</f>
        <v>Speaker</v>
      </c>
      <c r="D240" s="52" t="str">
        <f>VLOOKUP(Stock[[#This Row],[Product ID]],Product[#All],4,0)</f>
        <v>JBL</v>
      </c>
      <c r="E240" s="52">
        <f>SUMIF(Opning[[#All],[Product_ID]],Stock[[#This Row],[Product ID]],Opning[[#All],[Opening_Qty]])</f>
        <v>48</v>
      </c>
      <c r="F240" s="52">
        <f>SUMIF(Purchase[[#All],[Product ID]],Stock[[#This Row],[Product ID]],Purchase[[#All],[Net Qty]])</f>
        <v>134</v>
      </c>
      <c r="G240" s="52">
        <f>Stock[[#This Row],[Opening Stock]]+Stock[[#This Row],[Purchase Stock]]</f>
        <v>182</v>
      </c>
      <c r="H240" s="52">
        <f>SUMIF(Sales[[#All],[Product ID]],Stock[[#This Row],[Product ID]],Sales[[#All],[Net QTY]])</f>
        <v>63</v>
      </c>
      <c r="I240" s="52">
        <f>Stock[[#This Row],[Total Stock]]-Stock[[#This Row],[Selling Stock]]</f>
        <v>119</v>
      </c>
      <c r="J240" s="52">
        <f>VLOOKUP(Stock[[#This Row],[Product ID]],Product[#All],8,0)</f>
        <v>20</v>
      </c>
      <c r="K240" s="52" t="str">
        <f>IF(Stock[[#This Row],[Available Stock]]&lt;=Stock[[#This Row],[Reorder Level]],"Reorder","OK")</f>
        <v>OK</v>
      </c>
    </row>
    <row r="241" spans="1:11" ht="18.75" x14ac:dyDescent="0.25">
      <c r="A241" s="52" t="str">
        <f>Product[[#This Row],[Product ID]]</f>
        <v>P0239</v>
      </c>
      <c r="B241" s="52" t="str">
        <f>VLOOKUP(Stock[[#This Row],[Product ID]],Product[#All],2,0)</f>
        <v>Microtek UPS</v>
      </c>
      <c r="C241" s="52" t="str">
        <f>VLOOKUP(Stock[[#This Row],[Product ID]],Product[#All],3,0)</f>
        <v>UPS</v>
      </c>
      <c r="D241" s="52" t="str">
        <f>VLOOKUP(Stock[[#This Row],[Product ID]],Product[#All],4,0)</f>
        <v>Microtek</v>
      </c>
      <c r="E241" s="52">
        <f>SUMIF(Opning[[#All],[Product_ID]],Stock[[#This Row],[Product ID]],Opning[[#All],[Opening_Qty]])</f>
        <v>43</v>
      </c>
      <c r="F241" s="52">
        <f>SUMIF(Purchase[[#All],[Product ID]],Stock[[#This Row],[Product ID]],Purchase[[#All],[Net Qty]])</f>
        <v>104</v>
      </c>
      <c r="G241" s="52">
        <f>Stock[[#This Row],[Opening Stock]]+Stock[[#This Row],[Purchase Stock]]</f>
        <v>147</v>
      </c>
      <c r="H241" s="52">
        <f>SUMIF(Sales[[#All],[Product ID]],Stock[[#This Row],[Product ID]],Sales[[#All],[Net QTY]])</f>
        <v>53</v>
      </c>
      <c r="I241" s="52">
        <f>Stock[[#This Row],[Total Stock]]-Stock[[#This Row],[Selling Stock]]</f>
        <v>94</v>
      </c>
      <c r="J241" s="52">
        <f>VLOOKUP(Stock[[#This Row],[Product ID]],Product[#All],8,0)</f>
        <v>10</v>
      </c>
      <c r="K241" s="52" t="str">
        <f>IF(Stock[[#This Row],[Available Stock]]&lt;=Stock[[#This Row],[Reorder Level]],"Reorder","OK")</f>
        <v>OK</v>
      </c>
    </row>
    <row r="242" spans="1:11" ht="18.75" x14ac:dyDescent="0.25">
      <c r="A242" s="52" t="str">
        <f>Product[[#This Row],[Product ID]]</f>
        <v>P0240</v>
      </c>
      <c r="B242" s="52" t="str">
        <f>VLOOKUP(Stock[[#This Row],[Product ID]],Product[#All],2,0)</f>
        <v>Samsung Ssd</v>
      </c>
      <c r="C242" s="52" t="str">
        <f>VLOOKUP(Stock[[#This Row],[Product ID]],Product[#All],3,0)</f>
        <v>SSD</v>
      </c>
      <c r="D242" s="52" t="str">
        <f>VLOOKUP(Stock[[#This Row],[Product ID]],Product[#All],4,0)</f>
        <v>Samsung</v>
      </c>
      <c r="E242" s="52">
        <f>SUMIF(Opning[[#All],[Product_ID]],Stock[[#This Row],[Product ID]],Opning[[#All],[Opening_Qty]])</f>
        <v>25</v>
      </c>
      <c r="F242" s="52">
        <f>SUMIF(Purchase[[#All],[Product ID]],Stock[[#This Row],[Product ID]],Purchase[[#All],[Net Qty]])</f>
        <v>127</v>
      </c>
      <c r="G242" s="52">
        <f>Stock[[#This Row],[Opening Stock]]+Stock[[#This Row],[Purchase Stock]]</f>
        <v>152</v>
      </c>
      <c r="H242" s="52">
        <f>SUMIF(Sales[[#All],[Product ID]],Stock[[#This Row],[Product ID]],Sales[[#All],[Net QTY]])</f>
        <v>46</v>
      </c>
      <c r="I242" s="52">
        <f>Stock[[#This Row],[Total Stock]]-Stock[[#This Row],[Selling Stock]]</f>
        <v>106</v>
      </c>
      <c r="J242" s="52">
        <f>VLOOKUP(Stock[[#This Row],[Product ID]],Product[#All],8,0)</f>
        <v>25</v>
      </c>
      <c r="K242" s="52" t="str">
        <f>IF(Stock[[#This Row],[Available Stock]]&lt;=Stock[[#This Row],[Reorder Level]],"Reorder","OK")</f>
        <v>OK</v>
      </c>
    </row>
    <row r="243" spans="1:11" ht="18.75" x14ac:dyDescent="0.25">
      <c r="A243" s="52" t="str">
        <f>Product[[#This Row],[Product ID]]</f>
        <v>P0241</v>
      </c>
      <c r="B243" s="52" t="str">
        <f>VLOOKUP(Stock[[#This Row],[Product ID]],Product[#All],2,0)</f>
        <v>Samsung Monitor</v>
      </c>
      <c r="C243" s="52" t="str">
        <f>VLOOKUP(Stock[[#This Row],[Product ID]],Product[#All],3,0)</f>
        <v>Monitor</v>
      </c>
      <c r="D243" s="52" t="str">
        <f>VLOOKUP(Stock[[#This Row],[Product ID]],Product[#All],4,0)</f>
        <v>Samsung</v>
      </c>
      <c r="E243" s="52">
        <f>SUMIF(Opning[[#All],[Product_ID]],Stock[[#This Row],[Product ID]],Opning[[#All],[Opening_Qty]])</f>
        <v>55</v>
      </c>
      <c r="F243" s="52">
        <f>SUMIF(Purchase[[#All],[Product ID]],Stock[[#This Row],[Product ID]],Purchase[[#All],[Net Qty]])</f>
        <v>17</v>
      </c>
      <c r="G243" s="52">
        <f>Stock[[#This Row],[Opening Stock]]+Stock[[#This Row],[Purchase Stock]]</f>
        <v>72</v>
      </c>
      <c r="H243" s="52">
        <f>SUMIF(Sales[[#All],[Product ID]],Stock[[#This Row],[Product ID]],Sales[[#All],[Net QTY]])</f>
        <v>54</v>
      </c>
      <c r="I243" s="52">
        <f>Stock[[#This Row],[Total Stock]]-Stock[[#This Row],[Selling Stock]]</f>
        <v>18</v>
      </c>
      <c r="J243" s="52">
        <f>VLOOKUP(Stock[[#This Row],[Product ID]],Product[#All],8,0)</f>
        <v>15</v>
      </c>
      <c r="K243" s="52" t="str">
        <f>IF(Stock[[#This Row],[Available Stock]]&lt;=Stock[[#This Row],[Reorder Level]],"Reorder","OK")</f>
        <v>OK</v>
      </c>
    </row>
    <row r="244" spans="1:11" ht="18.75" x14ac:dyDescent="0.25">
      <c r="A244" s="52" t="str">
        <f>Product[[#This Row],[Product ID]]</f>
        <v>P0242</v>
      </c>
      <c r="B244" s="52" t="str">
        <f>VLOOKUP(Stock[[#This Row],[Product ID]],Product[#All],2,0)</f>
        <v>Samsung Monitor</v>
      </c>
      <c r="C244" s="52" t="str">
        <f>VLOOKUP(Stock[[#This Row],[Product ID]],Product[#All],3,0)</f>
        <v>Monitor</v>
      </c>
      <c r="D244" s="52" t="str">
        <f>VLOOKUP(Stock[[#This Row],[Product ID]],Product[#All],4,0)</f>
        <v>Samsung</v>
      </c>
      <c r="E244" s="52">
        <f>SUMIF(Opning[[#All],[Product_ID]],Stock[[#This Row],[Product ID]],Opning[[#All],[Opening_Qty]])</f>
        <v>55</v>
      </c>
      <c r="F244" s="52">
        <f>SUMIF(Purchase[[#All],[Product ID]],Stock[[#This Row],[Product ID]],Purchase[[#All],[Net Qty]])</f>
        <v>31</v>
      </c>
      <c r="G244" s="52">
        <f>Stock[[#This Row],[Opening Stock]]+Stock[[#This Row],[Purchase Stock]]</f>
        <v>86</v>
      </c>
      <c r="H244" s="52">
        <f>SUMIF(Sales[[#All],[Product ID]],Stock[[#This Row],[Product ID]],Sales[[#All],[Net QTY]])</f>
        <v>42</v>
      </c>
      <c r="I244" s="52">
        <f>Stock[[#This Row],[Total Stock]]-Stock[[#This Row],[Selling Stock]]</f>
        <v>44</v>
      </c>
      <c r="J244" s="52">
        <f>VLOOKUP(Stock[[#This Row],[Product ID]],Product[#All],8,0)</f>
        <v>10</v>
      </c>
      <c r="K244" s="52" t="str">
        <f>IF(Stock[[#This Row],[Available Stock]]&lt;=Stock[[#This Row],[Reorder Level]],"Reorder","OK")</f>
        <v>OK</v>
      </c>
    </row>
    <row r="245" spans="1:11" ht="18.75" x14ac:dyDescent="0.25">
      <c r="A245" s="52" t="str">
        <f>Product[[#This Row],[Product ID]]</f>
        <v>P0243</v>
      </c>
      <c r="B245" s="52" t="str">
        <f>VLOOKUP(Stock[[#This Row],[Product ID]],Product[#All],2,0)</f>
        <v>Logitech Webcam</v>
      </c>
      <c r="C245" s="52" t="str">
        <f>VLOOKUP(Stock[[#This Row],[Product ID]],Product[#All],3,0)</f>
        <v>Webcam</v>
      </c>
      <c r="D245" s="52" t="str">
        <f>VLOOKUP(Stock[[#This Row],[Product ID]],Product[#All],4,0)</f>
        <v>Logitech</v>
      </c>
      <c r="E245" s="52">
        <f>SUMIF(Opning[[#All],[Product_ID]],Stock[[#This Row],[Product ID]],Opning[[#All],[Opening_Qty]])</f>
        <v>51</v>
      </c>
      <c r="F245" s="52">
        <f>SUMIF(Purchase[[#All],[Product ID]],Stock[[#This Row],[Product ID]],Purchase[[#All],[Net Qty]])</f>
        <v>90</v>
      </c>
      <c r="G245" s="52">
        <f>Stock[[#This Row],[Opening Stock]]+Stock[[#This Row],[Purchase Stock]]</f>
        <v>141</v>
      </c>
      <c r="H245" s="52">
        <f>SUMIF(Sales[[#All],[Product ID]],Stock[[#This Row],[Product ID]],Sales[[#All],[Net QTY]])</f>
        <v>20</v>
      </c>
      <c r="I245" s="52">
        <f>Stock[[#This Row],[Total Stock]]-Stock[[#This Row],[Selling Stock]]</f>
        <v>121</v>
      </c>
      <c r="J245" s="52">
        <f>VLOOKUP(Stock[[#This Row],[Product ID]],Product[#All],8,0)</f>
        <v>25</v>
      </c>
      <c r="K245" s="52" t="str">
        <f>IF(Stock[[#This Row],[Available Stock]]&lt;=Stock[[#This Row],[Reorder Level]],"Reorder","OK")</f>
        <v>OK</v>
      </c>
    </row>
    <row r="246" spans="1:11" ht="18.75" x14ac:dyDescent="0.25">
      <c r="A246" s="52" t="str">
        <f>Product[[#This Row],[Product ID]]</f>
        <v>P0244</v>
      </c>
      <c r="B246" s="52" t="str">
        <f>VLOOKUP(Stock[[#This Row],[Product ID]],Product[#All],2,0)</f>
        <v>Dell Desktop</v>
      </c>
      <c r="C246" s="52" t="str">
        <f>VLOOKUP(Stock[[#This Row],[Product ID]],Product[#All],3,0)</f>
        <v>Desktop</v>
      </c>
      <c r="D246" s="52" t="str">
        <f>VLOOKUP(Stock[[#This Row],[Product ID]],Product[#All],4,0)</f>
        <v>Dell</v>
      </c>
      <c r="E246" s="52">
        <f>SUMIF(Opning[[#All],[Product_ID]],Stock[[#This Row],[Product ID]],Opning[[#All],[Opening_Qty]])</f>
        <v>28</v>
      </c>
      <c r="F246" s="52">
        <f>SUMIF(Purchase[[#All],[Product ID]],Stock[[#This Row],[Product ID]],Purchase[[#All],[Net Qty]])</f>
        <v>60</v>
      </c>
      <c r="G246" s="52">
        <f>Stock[[#This Row],[Opening Stock]]+Stock[[#This Row],[Purchase Stock]]</f>
        <v>88</v>
      </c>
      <c r="H246" s="52">
        <f>SUMIF(Sales[[#All],[Product ID]],Stock[[#This Row],[Product ID]],Sales[[#All],[Net QTY]])</f>
        <v>69</v>
      </c>
      <c r="I246" s="52">
        <f>Stock[[#This Row],[Total Stock]]-Stock[[#This Row],[Selling Stock]]</f>
        <v>19</v>
      </c>
      <c r="J246" s="52">
        <f>VLOOKUP(Stock[[#This Row],[Product ID]],Product[#All],8,0)</f>
        <v>25</v>
      </c>
      <c r="K246" s="52" t="str">
        <f>IF(Stock[[#This Row],[Available Stock]]&lt;=Stock[[#This Row],[Reorder Level]],"Reorder","OK")</f>
        <v>Reorder</v>
      </c>
    </row>
    <row r="247" spans="1:11" ht="18.75" x14ac:dyDescent="0.25">
      <c r="A247" s="52" t="str">
        <f>Product[[#This Row],[Product ID]]</f>
        <v>P0245</v>
      </c>
      <c r="B247" s="52" t="str">
        <f>VLOOKUP(Stock[[#This Row],[Product ID]],Product[#All],2,0)</f>
        <v>Dell Monitor</v>
      </c>
      <c r="C247" s="52" t="str">
        <f>VLOOKUP(Stock[[#This Row],[Product ID]],Product[#All],3,0)</f>
        <v>Monitor</v>
      </c>
      <c r="D247" s="52" t="str">
        <f>VLOOKUP(Stock[[#This Row],[Product ID]],Product[#All],4,0)</f>
        <v>Dell</v>
      </c>
      <c r="E247" s="52">
        <f>SUMIF(Opning[[#All],[Product_ID]],Stock[[#This Row],[Product ID]],Opning[[#All],[Opening_Qty]])</f>
        <v>24</v>
      </c>
      <c r="F247" s="52">
        <f>SUMIF(Purchase[[#All],[Product ID]],Stock[[#This Row],[Product ID]],Purchase[[#All],[Net Qty]])</f>
        <v>172</v>
      </c>
      <c r="G247" s="52">
        <f>Stock[[#This Row],[Opening Stock]]+Stock[[#This Row],[Purchase Stock]]</f>
        <v>196</v>
      </c>
      <c r="H247" s="52">
        <f>SUMIF(Sales[[#All],[Product ID]],Stock[[#This Row],[Product ID]],Sales[[#All],[Net QTY]])</f>
        <v>35</v>
      </c>
      <c r="I247" s="52">
        <f>Stock[[#This Row],[Total Stock]]-Stock[[#This Row],[Selling Stock]]</f>
        <v>161</v>
      </c>
      <c r="J247" s="52">
        <f>VLOOKUP(Stock[[#This Row],[Product ID]],Product[#All],8,0)</f>
        <v>25</v>
      </c>
      <c r="K247" s="52" t="str">
        <f>IF(Stock[[#This Row],[Available Stock]]&lt;=Stock[[#This Row],[Reorder Level]],"Reorder","OK")</f>
        <v>OK</v>
      </c>
    </row>
    <row r="248" spans="1:11" ht="18.75" x14ac:dyDescent="0.25">
      <c r="A248" s="52" t="str">
        <f>Product[[#This Row],[Product ID]]</f>
        <v>P0246</v>
      </c>
      <c r="B248" s="52" t="str">
        <f>VLOOKUP(Stock[[#This Row],[Product ID]],Product[#All],2,0)</f>
        <v>HP Printer</v>
      </c>
      <c r="C248" s="52" t="str">
        <f>VLOOKUP(Stock[[#This Row],[Product ID]],Product[#All],3,0)</f>
        <v>Printer</v>
      </c>
      <c r="D248" s="52" t="str">
        <f>VLOOKUP(Stock[[#This Row],[Product ID]],Product[#All],4,0)</f>
        <v>HP</v>
      </c>
      <c r="E248" s="52">
        <f>SUMIF(Opning[[#All],[Product_ID]],Stock[[#This Row],[Product ID]],Opning[[#All],[Opening_Qty]])</f>
        <v>11</v>
      </c>
      <c r="F248" s="52">
        <f>SUMIF(Purchase[[#All],[Product ID]],Stock[[#This Row],[Product ID]],Purchase[[#All],[Net Qty]])</f>
        <v>65</v>
      </c>
      <c r="G248" s="52">
        <f>Stock[[#This Row],[Opening Stock]]+Stock[[#This Row],[Purchase Stock]]</f>
        <v>76</v>
      </c>
      <c r="H248" s="52">
        <f>SUMIF(Sales[[#All],[Product ID]],Stock[[#This Row],[Product ID]],Sales[[#All],[Net QTY]])</f>
        <v>26</v>
      </c>
      <c r="I248" s="52">
        <f>Stock[[#This Row],[Total Stock]]-Stock[[#This Row],[Selling Stock]]</f>
        <v>50</v>
      </c>
      <c r="J248" s="52">
        <f>VLOOKUP(Stock[[#This Row],[Product ID]],Product[#All],8,0)</f>
        <v>15</v>
      </c>
      <c r="K248" s="52" t="str">
        <f>IF(Stock[[#This Row],[Available Stock]]&lt;=Stock[[#This Row],[Reorder Level]],"Reorder","OK")</f>
        <v>OK</v>
      </c>
    </row>
    <row r="249" spans="1:11" ht="18.75" x14ac:dyDescent="0.25">
      <c r="A249" s="52" t="str">
        <f>Product[[#This Row],[Product ID]]</f>
        <v>P0247</v>
      </c>
      <c r="B249" s="52" t="str">
        <f>VLOOKUP(Stock[[#This Row],[Product ID]],Product[#All],2,0)</f>
        <v>Crucial Ssd</v>
      </c>
      <c r="C249" s="52" t="str">
        <f>VLOOKUP(Stock[[#This Row],[Product ID]],Product[#All],3,0)</f>
        <v>SSD</v>
      </c>
      <c r="D249" s="52" t="str">
        <f>VLOOKUP(Stock[[#This Row],[Product ID]],Product[#All],4,0)</f>
        <v>Crucial</v>
      </c>
      <c r="E249" s="52">
        <f>SUMIF(Opning[[#All],[Product_ID]],Stock[[#This Row],[Product ID]],Opning[[#All],[Opening_Qty]])</f>
        <v>37</v>
      </c>
      <c r="F249" s="52">
        <f>SUMIF(Purchase[[#All],[Product ID]],Stock[[#This Row],[Product ID]],Purchase[[#All],[Net Qty]])</f>
        <v>218</v>
      </c>
      <c r="G249" s="52">
        <f>Stock[[#This Row],[Opening Stock]]+Stock[[#This Row],[Purchase Stock]]</f>
        <v>255</v>
      </c>
      <c r="H249" s="52">
        <f>SUMIF(Sales[[#All],[Product ID]],Stock[[#This Row],[Product ID]],Sales[[#All],[Net QTY]])</f>
        <v>18</v>
      </c>
      <c r="I249" s="52">
        <f>Stock[[#This Row],[Total Stock]]-Stock[[#This Row],[Selling Stock]]</f>
        <v>237</v>
      </c>
      <c r="J249" s="52">
        <f>VLOOKUP(Stock[[#This Row],[Product ID]],Product[#All],8,0)</f>
        <v>8</v>
      </c>
      <c r="K249" s="52" t="str">
        <f>IF(Stock[[#This Row],[Available Stock]]&lt;=Stock[[#This Row],[Reorder Level]],"Reorder","OK")</f>
        <v>OK</v>
      </c>
    </row>
    <row r="250" spans="1:11" ht="18.75" x14ac:dyDescent="0.25">
      <c r="A250" s="52" t="str">
        <f>Product[[#This Row],[Product ID]]</f>
        <v>P0248</v>
      </c>
      <c r="B250" s="52" t="str">
        <f>VLOOKUP(Stock[[#This Row],[Product ID]],Product[#All],2,0)</f>
        <v>Logitech Keyboard</v>
      </c>
      <c r="C250" s="52" t="str">
        <f>VLOOKUP(Stock[[#This Row],[Product ID]],Product[#All],3,0)</f>
        <v>Keyboard</v>
      </c>
      <c r="D250" s="52" t="str">
        <f>VLOOKUP(Stock[[#This Row],[Product ID]],Product[#All],4,0)</f>
        <v>Logitech</v>
      </c>
      <c r="E250" s="52">
        <f>SUMIF(Opning[[#All],[Product_ID]],Stock[[#This Row],[Product ID]],Opning[[#All],[Opening_Qty]])</f>
        <v>42</v>
      </c>
      <c r="F250" s="52">
        <f>SUMIF(Purchase[[#All],[Product ID]],Stock[[#This Row],[Product ID]],Purchase[[#All],[Net Qty]])</f>
        <v>64</v>
      </c>
      <c r="G250" s="52">
        <f>Stock[[#This Row],[Opening Stock]]+Stock[[#This Row],[Purchase Stock]]</f>
        <v>106</v>
      </c>
      <c r="H250" s="52">
        <f>SUMIF(Sales[[#All],[Product ID]],Stock[[#This Row],[Product ID]],Sales[[#All],[Net QTY]])</f>
        <v>30</v>
      </c>
      <c r="I250" s="52">
        <f>Stock[[#This Row],[Total Stock]]-Stock[[#This Row],[Selling Stock]]</f>
        <v>76</v>
      </c>
      <c r="J250" s="52">
        <f>VLOOKUP(Stock[[#This Row],[Product ID]],Product[#All],8,0)</f>
        <v>15</v>
      </c>
      <c r="K250" s="52" t="str">
        <f>IF(Stock[[#This Row],[Available Stock]]&lt;=Stock[[#This Row],[Reorder Level]],"Reorder","OK")</f>
        <v>OK</v>
      </c>
    </row>
    <row r="251" spans="1:11" ht="18.75" x14ac:dyDescent="0.25">
      <c r="A251" s="52" t="str">
        <f>Product[[#This Row],[Product ID]]</f>
        <v>P0249</v>
      </c>
      <c r="B251" s="52" t="str">
        <f>VLOOKUP(Stock[[#This Row],[Product ID]],Product[#All],2,0)</f>
        <v>Sandisk Pen Drive</v>
      </c>
      <c r="C251" s="52" t="str">
        <f>VLOOKUP(Stock[[#This Row],[Product ID]],Product[#All],3,0)</f>
        <v>Pen Drive</v>
      </c>
      <c r="D251" s="52" t="str">
        <f>VLOOKUP(Stock[[#This Row],[Product ID]],Product[#All],4,0)</f>
        <v>SanDisk</v>
      </c>
      <c r="E251" s="52">
        <f>SUMIF(Opning[[#All],[Product_ID]],Stock[[#This Row],[Product ID]],Opning[[#All],[Opening_Qty]])</f>
        <v>49</v>
      </c>
      <c r="F251" s="52">
        <f>SUMIF(Purchase[[#All],[Product ID]],Stock[[#This Row],[Product ID]],Purchase[[#All],[Net Qty]])</f>
        <v>41</v>
      </c>
      <c r="G251" s="52">
        <f>Stock[[#This Row],[Opening Stock]]+Stock[[#This Row],[Purchase Stock]]</f>
        <v>90</v>
      </c>
      <c r="H251" s="52">
        <f>SUMIF(Sales[[#All],[Product ID]],Stock[[#This Row],[Product ID]],Sales[[#All],[Net QTY]])</f>
        <v>52</v>
      </c>
      <c r="I251" s="52">
        <f>Stock[[#This Row],[Total Stock]]-Stock[[#This Row],[Selling Stock]]</f>
        <v>38</v>
      </c>
      <c r="J251" s="52">
        <f>VLOOKUP(Stock[[#This Row],[Product ID]],Product[#All],8,0)</f>
        <v>8</v>
      </c>
      <c r="K251" s="52" t="str">
        <f>IF(Stock[[#This Row],[Available Stock]]&lt;=Stock[[#This Row],[Reorder Level]],"Reorder","OK")</f>
        <v>OK</v>
      </c>
    </row>
    <row r="252" spans="1:11" ht="18.75" x14ac:dyDescent="0.25">
      <c r="A252" s="52" t="str">
        <f>Product[[#This Row],[Product ID]]</f>
        <v>P0250</v>
      </c>
      <c r="B252" s="52" t="str">
        <f>VLOOKUP(Stock[[#This Row],[Product ID]],Product[#All],2,0)</f>
        <v>Crucial Ssd</v>
      </c>
      <c r="C252" s="52" t="str">
        <f>VLOOKUP(Stock[[#This Row],[Product ID]],Product[#All],3,0)</f>
        <v>SSD</v>
      </c>
      <c r="D252" s="52" t="str">
        <f>VLOOKUP(Stock[[#This Row],[Product ID]],Product[#All],4,0)</f>
        <v>Crucial</v>
      </c>
      <c r="E252" s="52">
        <f>SUMIF(Opning[[#All],[Product_ID]],Stock[[#This Row],[Product ID]],Opning[[#All],[Opening_Qty]])</f>
        <v>21</v>
      </c>
      <c r="F252" s="52">
        <f>SUMIF(Purchase[[#All],[Product ID]],Stock[[#This Row],[Product ID]],Purchase[[#All],[Net Qty]])</f>
        <v>146</v>
      </c>
      <c r="G252" s="52">
        <f>Stock[[#This Row],[Opening Stock]]+Stock[[#This Row],[Purchase Stock]]</f>
        <v>167</v>
      </c>
      <c r="H252" s="52">
        <f>SUMIF(Sales[[#All],[Product ID]],Stock[[#This Row],[Product ID]],Sales[[#All],[Net QTY]])</f>
        <v>41</v>
      </c>
      <c r="I252" s="52">
        <f>Stock[[#This Row],[Total Stock]]-Stock[[#This Row],[Selling Stock]]</f>
        <v>126</v>
      </c>
      <c r="J252" s="52">
        <f>VLOOKUP(Stock[[#This Row],[Product ID]],Product[#All],8,0)</f>
        <v>8</v>
      </c>
      <c r="K252" s="52" t="str">
        <f>IF(Stock[[#This Row],[Available Stock]]&lt;=Stock[[#This Row],[Reorder Level]],"Reorder","OK")</f>
        <v>OK</v>
      </c>
    </row>
    <row r="253" spans="1:11" ht="18.75" x14ac:dyDescent="0.25">
      <c r="A253" s="52" t="str">
        <f>Product[[#This Row],[Product ID]]</f>
        <v>P0251</v>
      </c>
      <c r="B253" s="52" t="str">
        <f>VLOOKUP(Stock[[#This Row],[Product ID]],Product[#All],2,0)</f>
        <v>TP-link Router</v>
      </c>
      <c r="C253" s="52" t="str">
        <f>VLOOKUP(Stock[[#This Row],[Product ID]],Product[#All],3,0)</f>
        <v>Router</v>
      </c>
      <c r="D253" s="52" t="str">
        <f>VLOOKUP(Stock[[#This Row],[Product ID]],Product[#All],4,0)</f>
        <v>TP-link</v>
      </c>
      <c r="E253" s="52">
        <f>SUMIF(Opning[[#All],[Product_ID]],Stock[[#This Row],[Product ID]],Opning[[#All],[Opening_Qty]])</f>
        <v>47</v>
      </c>
      <c r="F253" s="52">
        <f>SUMIF(Purchase[[#All],[Product ID]],Stock[[#This Row],[Product ID]],Purchase[[#All],[Net Qty]])</f>
        <v>82</v>
      </c>
      <c r="G253" s="52">
        <f>Stock[[#This Row],[Opening Stock]]+Stock[[#This Row],[Purchase Stock]]</f>
        <v>129</v>
      </c>
      <c r="H253" s="52">
        <f>SUMIF(Sales[[#All],[Product ID]],Stock[[#This Row],[Product ID]],Sales[[#All],[Net QTY]])</f>
        <v>33</v>
      </c>
      <c r="I253" s="52">
        <f>Stock[[#This Row],[Total Stock]]-Stock[[#This Row],[Selling Stock]]</f>
        <v>96</v>
      </c>
      <c r="J253" s="52">
        <f>VLOOKUP(Stock[[#This Row],[Product ID]],Product[#All],8,0)</f>
        <v>10</v>
      </c>
      <c r="K253" s="52" t="str">
        <f>IF(Stock[[#This Row],[Available Stock]]&lt;=Stock[[#This Row],[Reorder Level]],"Reorder","OK")</f>
        <v>OK</v>
      </c>
    </row>
    <row r="254" spans="1:11" ht="18.75" x14ac:dyDescent="0.25">
      <c r="A254" s="52" t="str">
        <f>Product[[#This Row],[Product ID]]</f>
        <v>P0252</v>
      </c>
      <c r="B254" s="52" t="str">
        <f>VLOOKUP(Stock[[#This Row],[Product ID]],Product[#All],2,0)</f>
        <v>HP Power Adapter</v>
      </c>
      <c r="C254" s="52" t="str">
        <f>VLOOKUP(Stock[[#This Row],[Product ID]],Product[#All],3,0)</f>
        <v>Power Adapter</v>
      </c>
      <c r="D254" s="52" t="str">
        <f>VLOOKUP(Stock[[#This Row],[Product ID]],Product[#All],4,0)</f>
        <v>HP</v>
      </c>
      <c r="E254" s="52">
        <f>SUMIF(Opning[[#All],[Product_ID]],Stock[[#This Row],[Product ID]],Opning[[#All],[Opening_Qty]])</f>
        <v>10</v>
      </c>
      <c r="F254" s="52">
        <f>SUMIF(Purchase[[#All],[Product ID]],Stock[[#This Row],[Product ID]],Purchase[[#All],[Net Qty]])</f>
        <v>50</v>
      </c>
      <c r="G254" s="52">
        <f>Stock[[#This Row],[Opening Stock]]+Stock[[#This Row],[Purchase Stock]]</f>
        <v>60</v>
      </c>
      <c r="H254" s="52">
        <f>SUMIF(Sales[[#All],[Product ID]],Stock[[#This Row],[Product ID]],Sales[[#All],[Net QTY]])</f>
        <v>42</v>
      </c>
      <c r="I254" s="52">
        <f>Stock[[#This Row],[Total Stock]]-Stock[[#This Row],[Selling Stock]]</f>
        <v>18</v>
      </c>
      <c r="J254" s="52">
        <f>VLOOKUP(Stock[[#This Row],[Product ID]],Product[#All],8,0)</f>
        <v>20</v>
      </c>
      <c r="K254" s="52" t="str">
        <f>IF(Stock[[#This Row],[Available Stock]]&lt;=Stock[[#This Row],[Reorder Level]],"Reorder","OK")</f>
        <v>Reorder</v>
      </c>
    </row>
    <row r="255" spans="1:11" ht="18.75" x14ac:dyDescent="0.25">
      <c r="A255" s="52" t="str">
        <f>Product[[#This Row],[Product ID]]</f>
        <v>P0253</v>
      </c>
      <c r="B255" s="52" t="str">
        <f>VLOOKUP(Stock[[#This Row],[Product ID]],Product[#All],2,0)</f>
        <v>Portronics USB Cable</v>
      </c>
      <c r="C255" s="52" t="str">
        <f>VLOOKUP(Stock[[#This Row],[Product ID]],Product[#All],3,0)</f>
        <v>USB Cable</v>
      </c>
      <c r="D255" s="52" t="str">
        <f>VLOOKUP(Stock[[#This Row],[Product ID]],Product[#All],4,0)</f>
        <v>Portronics</v>
      </c>
      <c r="E255" s="52">
        <f>SUMIF(Opning[[#All],[Product_ID]],Stock[[#This Row],[Product ID]],Opning[[#All],[Opening_Qty]])</f>
        <v>27</v>
      </c>
      <c r="F255" s="52">
        <f>SUMIF(Purchase[[#All],[Product ID]],Stock[[#This Row],[Product ID]],Purchase[[#All],[Net Qty]])</f>
        <v>96</v>
      </c>
      <c r="G255" s="52">
        <f>Stock[[#This Row],[Opening Stock]]+Stock[[#This Row],[Purchase Stock]]</f>
        <v>123</v>
      </c>
      <c r="H255" s="52">
        <f>SUMIF(Sales[[#All],[Product ID]],Stock[[#This Row],[Product ID]],Sales[[#All],[Net QTY]])</f>
        <v>94</v>
      </c>
      <c r="I255" s="52">
        <f>Stock[[#This Row],[Total Stock]]-Stock[[#This Row],[Selling Stock]]</f>
        <v>29</v>
      </c>
      <c r="J255" s="52">
        <f>VLOOKUP(Stock[[#This Row],[Product ID]],Product[#All],8,0)</f>
        <v>25</v>
      </c>
      <c r="K255" s="52" t="str">
        <f>IF(Stock[[#This Row],[Available Stock]]&lt;=Stock[[#This Row],[Reorder Level]],"Reorder","OK")</f>
        <v>OK</v>
      </c>
    </row>
    <row r="256" spans="1:11" ht="18.75" x14ac:dyDescent="0.25">
      <c r="A256" s="52" t="str">
        <f>Product[[#This Row],[Product ID]]</f>
        <v>P0254</v>
      </c>
      <c r="B256" s="52" t="str">
        <f>VLOOKUP(Stock[[#This Row],[Product ID]],Product[#All],2,0)</f>
        <v>Dell Laptop</v>
      </c>
      <c r="C256" s="52" t="str">
        <f>VLOOKUP(Stock[[#This Row],[Product ID]],Product[#All],3,0)</f>
        <v>Laptop</v>
      </c>
      <c r="D256" s="52" t="str">
        <f>VLOOKUP(Stock[[#This Row],[Product ID]],Product[#All],4,0)</f>
        <v>Dell</v>
      </c>
      <c r="E256" s="52">
        <f>SUMIF(Opning[[#All],[Product_ID]],Stock[[#This Row],[Product ID]],Opning[[#All],[Opening_Qty]])</f>
        <v>39</v>
      </c>
      <c r="F256" s="52">
        <f>SUMIF(Purchase[[#All],[Product ID]],Stock[[#This Row],[Product ID]],Purchase[[#All],[Net Qty]])</f>
        <v>135</v>
      </c>
      <c r="G256" s="52">
        <f>Stock[[#This Row],[Opening Stock]]+Stock[[#This Row],[Purchase Stock]]</f>
        <v>174</v>
      </c>
      <c r="H256" s="52">
        <f>SUMIF(Sales[[#All],[Product ID]],Stock[[#This Row],[Product ID]],Sales[[#All],[Net QTY]])</f>
        <v>27</v>
      </c>
      <c r="I256" s="52">
        <f>Stock[[#This Row],[Total Stock]]-Stock[[#This Row],[Selling Stock]]</f>
        <v>147</v>
      </c>
      <c r="J256" s="52">
        <f>VLOOKUP(Stock[[#This Row],[Product ID]],Product[#All],8,0)</f>
        <v>20</v>
      </c>
      <c r="K256" s="52" t="str">
        <f>IF(Stock[[#This Row],[Available Stock]]&lt;=Stock[[#This Row],[Reorder Level]],"Reorder","OK")</f>
        <v>OK</v>
      </c>
    </row>
    <row r="257" spans="1:11" ht="18.75" x14ac:dyDescent="0.25">
      <c r="A257" s="52" t="str">
        <f>Product[[#This Row],[Product ID]]</f>
        <v>P0255</v>
      </c>
      <c r="B257" s="52" t="str">
        <f>VLOOKUP(Stock[[#This Row],[Product ID]],Product[#All],2,0)</f>
        <v>Kingston Ram</v>
      </c>
      <c r="C257" s="52" t="str">
        <f>VLOOKUP(Stock[[#This Row],[Product ID]],Product[#All],3,0)</f>
        <v>RAM</v>
      </c>
      <c r="D257" s="52" t="str">
        <f>VLOOKUP(Stock[[#This Row],[Product ID]],Product[#All],4,0)</f>
        <v>Kingston</v>
      </c>
      <c r="E257" s="52">
        <f>SUMIF(Opning[[#All],[Product_ID]],Stock[[#This Row],[Product ID]],Opning[[#All],[Opening_Qty]])</f>
        <v>44</v>
      </c>
      <c r="F257" s="52">
        <f>SUMIF(Purchase[[#All],[Product ID]],Stock[[#This Row],[Product ID]],Purchase[[#All],[Net Qty]])</f>
        <v>114</v>
      </c>
      <c r="G257" s="52">
        <f>Stock[[#This Row],[Opening Stock]]+Stock[[#This Row],[Purchase Stock]]</f>
        <v>158</v>
      </c>
      <c r="H257" s="52">
        <f>SUMIF(Sales[[#All],[Product ID]],Stock[[#This Row],[Product ID]],Sales[[#All],[Net QTY]])</f>
        <v>38</v>
      </c>
      <c r="I257" s="52">
        <f>Stock[[#This Row],[Total Stock]]-Stock[[#This Row],[Selling Stock]]</f>
        <v>120</v>
      </c>
      <c r="J257" s="52">
        <f>VLOOKUP(Stock[[#This Row],[Product ID]],Product[#All],8,0)</f>
        <v>25</v>
      </c>
      <c r="K257" s="52" t="str">
        <f>IF(Stock[[#This Row],[Available Stock]]&lt;=Stock[[#This Row],[Reorder Level]],"Reorder","OK")</f>
        <v>OK</v>
      </c>
    </row>
    <row r="258" spans="1:11" ht="18.75" x14ac:dyDescent="0.25">
      <c r="A258" s="52" t="str">
        <f>Product[[#This Row],[Product ID]]</f>
        <v>P0256</v>
      </c>
      <c r="B258" s="52" t="str">
        <f>VLOOKUP(Stock[[#This Row],[Product ID]],Product[#All],2,0)</f>
        <v>D-Link Router</v>
      </c>
      <c r="C258" s="52" t="str">
        <f>VLOOKUP(Stock[[#This Row],[Product ID]],Product[#All],3,0)</f>
        <v>Router</v>
      </c>
      <c r="D258" s="52" t="str">
        <f>VLOOKUP(Stock[[#This Row],[Product ID]],Product[#All],4,0)</f>
        <v>D-Link</v>
      </c>
      <c r="E258" s="52">
        <f>SUMIF(Opning[[#All],[Product_ID]],Stock[[#This Row],[Product ID]],Opning[[#All],[Opening_Qty]])</f>
        <v>26</v>
      </c>
      <c r="F258" s="52">
        <f>SUMIF(Purchase[[#All],[Product ID]],Stock[[#This Row],[Product ID]],Purchase[[#All],[Net Qty]])</f>
        <v>122</v>
      </c>
      <c r="G258" s="52">
        <f>Stock[[#This Row],[Opening Stock]]+Stock[[#This Row],[Purchase Stock]]</f>
        <v>148</v>
      </c>
      <c r="H258" s="52">
        <f>SUMIF(Sales[[#All],[Product ID]],Stock[[#This Row],[Product ID]],Sales[[#All],[Net QTY]])</f>
        <v>11</v>
      </c>
      <c r="I258" s="52">
        <f>Stock[[#This Row],[Total Stock]]-Stock[[#This Row],[Selling Stock]]</f>
        <v>137</v>
      </c>
      <c r="J258" s="52">
        <f>VLOOKUP(Stock[[#This Row],[Product ID]],Product[#All],8,0)</f>
        <v>8</v>
      </c>
      <c r="K258" s="52" t="str">
        <f>IF(Stock[[#This Row],[Available Stock]]&lt;=Stock[[#This Row],[Reorder Level]],"Reorder","OK")</f>
        <v>OK</v>
      </c>
    </row>
    <row r="259" spans="1:11" ht="18.75" x14ac:dyDescent="0.25">
      <c r="A259" s="52" t="str">
        <f>Product[[#This Row],[Product ID]]</f>
        <v>P0257</v>
      </c>
      <c r="B259" s="52" t="str">
        <f>VLOOKUP(Stock[[#This Row],[Product ID]],Product[#All],2,0)</f>
        <v>TP-link Wi-Fi Adapter</v>
      </c>
      <c r="C259" s="52" t="str">
        <f>VLOOKUP(Stock[[#This Row],[Product ID]],Product[#All],3,0)</f>
        <v>Wi-Fi Adapter</v>
      </c>
      <c r="D259" s="52" t="str">
        <f>VLOOKUP(Stock[[#This Row],[Product ID]],Product[#All],4,0)</f>
        <v>TP-link</v>
      </c>
      <c r="E259" s="52">
        <f>SUMIF(Opning[[#All],[Product_ID]],Stock[[#This Row],[Product ID]],Opning[[#All],[Opening_Qty]])</f>
        <v>55</v>
      </c>
      <c r="F259" s="52">
        <f>SUMIF(Purchase[[#All],[Product ID]],Stock[[#This Row],[Product ID]],Purchase[[#All],[Net Qty]])</f>
        <v>156</v>
      </c>
      <c r="G259" s="52">
        <f>Stock[[#This Row],[Opening Stock]]+Stock[[#This Row],[Purchase Stock]]</f>
        <v>211</v>
      </c>
      <c r="H259" s="52">
        <f>SUMIF(Sales[[#All],[Product ID]],Stock[[#This Row],[Product ID]],Sales[[#All],[Net QTY]])</f>
        <v>55</v>
      </c>
      <c r="I259" s="52">
        <f>Stock[[#This Row],[Total Stock]]-Stock[[#This Row],[Selling Stock]]</f>
        <v>156</v>
      </c>
      <c r="J259" s="52">
        <f>VLOOKUP(Stock[[#This Row],[Product ID]],Product[#All],8,0)</f>
        <v>25</v>
      </c>
      <c r="K259" s="52" t="str">
        <f>IF(Stock[[#This Row],[Available Stock]]&lt;=Stock[[#This Row],[Reorder Level]],"Reorder","OK")</f>
        <v>OK</v>
      </c>
    </row>
    <row r="260" spans="1:11" ht="18.75" x14ac:dyDescent="0.25">
      <c r="A260" s="52" t="str">
        <f>Product[[#This Row],[Product ID]]</f>
        <v>P0258</v>
      </c>
      <c r="B260" s="52" t="str">
        <f>VLOOKUP(Stock[[#This Row],[Product ID]],Product[#All],2,0)</f>
        <v>Logitech Keyboard</v>
      </c>
      <c r="C260" s="52" t="str">
        <f>VLOOKUP(Stock[[#This Row],[Product ID]],Product[#All],3,0)</f>
        <v>Keyboard</v>
      </c>
      <c r="D260" s="52" t="str">
        <f>VLOOKUP(Stock[[#This Row],[Product ID]],Product[#All],4,0)</f>
        <v>Logitech</v>
      </c>
      <c r="E260" s="52">
        <f>SUMIF(Opning[[#All],[Product_ID]],Stock[[#This Row],[Product ID]],Opning[[#All],[Opening_Qty]])</f>
        <v>70</v>
      </c>
      <c r="F260" s="52">
        <f>SUMIF(Purchase[[#All],[Product ID]],Stock[[#This Row],[Product ID]],Purchase[[#All],[Net Qty]])</f>
        <v>129</v>
      </c>
      <c r="G260" s="52">
        <f>Stock[[#This Row],[Opening Stock]]+Stock[[#This Row],[Purchase Stock]]</f>
        <v>199</v>
      </c>
      <c r="H260" s="52">
        <f>SUMIF(Sales[[#All],[Product ID]],Stock[[#This Row],[Product ID]],Sales[[#All],[Net QTY]])</f>
        <v>30</v>
      </c>
      <c r="I260" s="52">
        <f>Stock[[#This Row],[Total Stock]]-Stock[[#This Row],[Selling Stock]]</f>
        <v>169</v>
      </c>
      <c r="J260" s="52">
        <f>VLOOKUP(Stock[[#This Row],[Product ID]],Product[#All],8,0)</f>
        <v>20</v>
      </c>
      <c r="K260" s="52" t="str">
        <f>IF(Stock[[#This Row],[Available Stock]]&lt;=Stock[[#This Row],[Reorder Level]],"Reorder","OK")</f>
        <v>OK</v>
      </c>
    </row>
    <row r="261" spans="1:11" ht="18.75" x14ac:dyDescent="0.25">
      <c r="A261" s="52" t="str">
        <f>Product[[#This Row],[Product ID]]</f>
        <v>P0259</v>
      </c>
      <c r="B261" s="52" t="str">
        <f>VLOOKUP(Stock[[#This Row],[Product ID]],Product[#All],2,0)</f>
        <v>Dell Desktop</v>
      </c>
      <c r="C261" s="52" t="str">
        <f>VLOOKUP(Stock[[#This Row],[Product ID]],Product[#All],3,0)</f>
        <v xml:space="preserve">Desktop </v>
      </c>
      <c r="D261" s="52" t="str">
        <f>VLOOKUP(Stock[[#This Row],[Product ID]],Product[#All],4,0)</f>
        <v>Dell</v>
      </c>
      <c r="E261" s="52">
        <f>SUMIF(Opning[[#All],[Product_ID]],Stock[[#This Row],[Product ID]],Opning[[#All],[Opening_Qty]])</f>
        <v>40</v>
      </c>
      <c r="F261" s="52">
        <f>SUMIF(Purchase[[#All],[Product ID]],Stock[[#This Row],[Product ID]],Purchase[[#All],[Net Qty]])</f>
        <v>70</v>
      </c>
      <c r="G261" s="52">
        <f>Stock[[#This Row],[Opening Stock]]+Stock[[#This Row],[Purchase Stock]]</f>
        <v>110</v>
      </c>
      <c r="H261" s="52">
        <f>SUMIF(Sales[[#All],[Product ID]],Stock[[#This Row],[Product ID]],Sales[[#All],[Net QTY]])</f>
        <v>75</v>
      </c>
      <c r="I261" s="52">
        <f>Stock[[#This Row],[Total Stock]]-Stock[[#This Row],[Selling Stock]]</f>
        <v>35</v>
      </c>
      <c r="J261" s="52">
        <f>VLOOKUP(Stock[[#This Row],[Product ID]],Product[#All],8,0)</f>
        <v>5</v>
      </c>
      <c r="K261" s="52" t="str">
        <f>IF(Stock[[#This Row],[Available Stock]]&lt;=Stock[[#This Row],[Reorder Level]],"Reorder","OK")</f>
        <v>OK</v>
      </c>
    </row>
    <row r="262" spans="1:11" ht="18.75" x14ac:dyDescent="0.25">
      <c r="A262" s="52" t="str">
        <f>Product[[#This Row],[Product ID]]</f>
        <v>P0260</v>
      </c>
      <c r="B262" s="52" t="str">
        <f>VLOOKUP(Stock[[#This Row],[Product ID]],Product[#All],2,0)</f>
        <v>Portronics USB Cable</v>
      </c>
      <c r="C262" s="52" t="str">
        <f>VLOOKUP(Stock[[#This Row],[Product ID]],Product[#All],3,0)</f>
        <v>USB Cable</v>
      </c>
      <c r="D262" s="52" t="str">
        <f>VLOOKUP(Stock[[#This Row],[Product ID]],Product[#All],4,0)</f>
        <v>Portronics</v>
      </c>
      <c r="E262" s="52">
        <f>SUMIF(Opning[[#All],[Product_ID]],Stock[[#This Row],[Product ID]],Opning[[#All],[Opening_Qty]])</f>
        <v>58</v>
      </c>
      <c r="F262" s="52">
        <f>SUMIF(Purchase[[#All],[Product ID]],Stock[[#This Row],[Product ID]],Purchase[[#All],[Net Qty]])</f>
        <v>5</v>
      </c>
      <c r="G262" s="52">
        <f>Stock[[#This Row],[Opening Stock]]+Stock[[#This Row],[Purchase Stock]]</f>
        <v>63</v>
      </c>
      <c r="H262" s="52">
        <f>SUMIF(Sales[[#All],[Product ID]],Stock[[#This Row],[Product ID]],Sales[[#All],[Net QTY]])</f>
        <v>17</v>
      </c>
      <c r="I262" s="52">
        <f>Stock[[#This Row],[Total Stock]]-Stock[[#This Row],[Selling Stock]]</f>
        <v>46</v>
      </c>
      <c r="J262" s="52">
        <f>VLOOKUP(Stock[[#This Row],[Product ID]],Product[#All],8,0)</f>
        <v>20</v>
      </c>
      <c r="K262" s="52" t="str">
        <f>IF(Stock[[#This Row],[Available Stock]]&lt;=Stock[[#This Row],[Reorder Level]],"Reorder","OK")</f>
        <v>OK</v>
      </c>
    </row>
    <row r="263" spans="1:11" ht="18.75" x14ac:dyDescent="0.25">
      <c r="A263" s="52" t="str">
        <f>Product[[#This Row],[Product ID]]</f>
        <v>P0261</v>
      </c>
      <c r="B263" s="52" t="str">
        <f>VLOOKUP(Stock[[#This Row],[Product ID]],Product[#All],2,0)</f>
        <v>Dell Desktop</v>
      </c>
      <c r="C263" s="52" t="str">
        <f>VLOOKUP(Stock[[#This Row],[Product ID]],Product[#All],3,0)</f>
        <v>Desktop</v>
      </c>
      <c r="D263" s="52" t="str">
        <f>VLOOKUP(Stock[[#This Row],[Product ID]],Product[#All],4,0)</f>
        <v>Dell</v>
      </c>
      <c r="E263" s="52">
        <f>SUMIF(Opning[[#All],[Product_ID]],Stock[[#This Row],[Product ID]],Opning[[#All],[Opening_Qty]])</f>
        <v>21</v>
      </c>
      <c r="F263" s="52">
        <f>SUMIF(Purchase[[#All],[Product ID]],Stock[[#This Row],[Product ID]],Purchase[[#All],[Net Qty]])</f>
        <v>123</v>
      </c>
      <c r="G263" s="52">
        <f>Stock[[#This Row],[Opening Stock]]+Stock[[#This Row],[Purchase Stock]]</f>
        <v>144</v>
      </c>
      <c r="H263" s="52">
        <f>SUMIF(Sales[[#All],[Product ID]],Stock[[#This Row],[Product ID]],Sales[[#All],[Net QTY]])</f>
        <v>59</v>
      </c>
      <c r="I263" s="52">
        <f>Stock[[#This Row],[Total Stock]]-Stock[[#This Row],[Selling Stock]]</f>
        <v>85</v>
      </c>
      <c r="J263" s="52">
        <f>VLOOKUP(Stock[[#This Row],[Product ID]],Product[#All],8,0)</f>
        <v>10</v>
      </c>
      <c r="K263" s="52" t="str">
        <f>IF(Stock[[#This Row],[Available Stock]]&lt;=Stock[[#This Row],[Reorder Level]],"Reorder","OK")</f>
        <v>OK</v>
      </c>
    </row>
    <row r="264" spans="1:11" ht="18.75" x14ac:dyDescent="0.25">
      <c r="A264" s="52" t="str">
        <f>Product[[#This Row],[Product ID]]</f>
        <v>P0262</v>
      </c>
      <c r="B264" s="52" t="str">
        <f>VLOOKUP(Stock[[#This Row],[Product ID]],Product[#All],2,0)</f>
        <v>Jbl Headset</v>
      </c>
      <c r="C264" s="52" t="str">
        <f>VLOOKUP(Stock[[#This Row],[Product ID]],Product[#All],3,0)</f>
        <v>Headset</v>
      </c>
      <c r="D264" s="52" t="str">
        <f>VLOOKUP(Stock[[#This Row],[Product ID]],Product[#All],4,0)</f>
        <v>JBL</v>
      </c>
      <c r="E264" s="52">
        <f>SUMIF(Opning[[#All],[Product_ID]],Stock[[#This Row],[Product ID]],Opning[[#All],[Opening_Qty]])</f>
        <v>23</v>
      </c>
      <c r="F264" s="52">
        <f>SUMIF(Purchase[[#All],[Product ID]],Stock[[#This Row],[Product ID]],Purchase[[#All],[Net Qty]])</f>
        <v>130</v>
      </c>
      <c r="G264" s="52">
        <f>Stock[[#This Row],[Opening Stock]]+Stock[[#This Row],[Purchase Stock]]</f>
        <v>153</v>
      </c>
      <c r="H264" s="52">
        <f>SUMIF(Sales[[#All],[Product ID]],Stock[[#This Row],[Product ID]],Sales[[#All],[Net QTY]])</f>
        <v>37</v>
      </c>
      <c r="I264" s="52">
        <f>Stock[[#This Row],[Total Stock]]-Stock[[#This Row],[Selling Stock]]</f>
        <v>116</v>
      </c>
      <c r="J264" s="52">
        <f>VLOOKUP(Stock[[#This Row],[Product ID]],Product[#All],8,0)</f>
        <v>20</v>
      </c>
      <c r="K264" s="52" t="str">
        <f>IF(Stock[[#This Row],[Available Stock]]&lt;=Stock[[#This Row],[Reorder Level]],"Reorder","OK")</f>
        <v>OK</v>
      </c>
    </row>
    <row r="265" spans="1:11" ht="18.75" x14ac:dyDescent="0.25">
      <c r="A265" s="52" t="str">
        <f>Product[[#This Row],[Product ID]]</f>
        <v>P0263</v>
      </c>
      <c r="B265" s="52" t="str">
        <f>VLOOKUP(Stock[[#This Row],[Product ID]],Product[#All],2,0)</f>
        <v>TP-link Router</v>
      </c>
      <c r="C265" s="52" t="str">
        <f>VLOOKUP(Stock[[#This Row],[Product ID]],Product[#All],3,0)</f>
        <v>Rauter</v>
      </c>
      <c r="D265" s="52" t="str">
        <f>VLOOKUP(Stock[[#This Row],[Product ID]],Product[#All],4,0)</f>
        <v>TP-link</v>
      </c>
      <c r="E265" s="52">
        <f>SUMIF(Opning[[#All],[Product_ID]],Stock[[#This Row],[Product ID]],Opning[[#All],[Opening_Qty]])</f>
        <v>58</v>
      </c>
      <c r="F265" s="52">
        <f>SUMIF(Purchase[[#All],[Product ID]],Stock[[#This Row],[Product ID]],Purchase[[#All],[Net Qty]])</f>
        <v>62</v>
      </c>
      <c r="G265" s="52">
        <f>Stock[[#This Row],[Opening Stock]]+Stock[[#This Row],[Purchase Stock]]</f>
        <v>120</v>
      </c>
      <c r="H265" s="52">
        <f>SUMIF(Sales[[#All],[Product ID]],Stock[[#This Row],[Product ID]],Sales[[#All],[Net QTY]])</f>
        <v>31</v>
      </c>
      <c r="I265" s="52">
        <f>Stock[[#This Row],[Total Stock]]-Stock[[#This Row],[Selling Stock]]</f>
        <v>89</v>
      </c>
      <c r="J265" s="52">
        <f>VLOOKUP(Stock[[#This Row],[Product ID]],Product[#All],8,0)</f>
        <v>15</v>
      </c>
      <c r="K265" s="52" t="str">
        <f>IF(Stock[[#This Row],[Available Stock]]&lt;=Stock[[#This Row],[Reorder Level]],"Reorder","OK")</f>
        <v>OK</v>
      </c>
    </row>
    <row r="266" spans="1:11" ht="18.75" x14ac:dyDescent="0.25">
      <c r="A266" s="52" t="str">
        <f>Product[[#This Row],[Product ID]]</f>
        <v>P0264</v>
      </c>
      <c r="B266" s="52" t="str">
        <f>VLOOKUP(Stock[[#This Row],[Product ID]],Product[#All],2,0)</f>
        <v>Amazon Basics Hdmi Cable</v>
      </c>
      <c r="C266" s="52" t="str">
        <f>VLOOKUP(Stock[[#This Row],[Product ID]],Product[#All],3,0)</f>
        <v>HDMI Cable</v>
      </c>
      <c r="D266" s="52" t="str">
        <f>VLOOKUP(Stock[[#This Row],[Product ID]],Product[#All],4,0)</f>
        <v>Amazon Basics</v>
      </c>
      <c r="E266" s="52">
        <f>SUMIF(Opning[[#All],[Product_ID]],Stock[[#This Row],[Product ID]],Opning[[#All],[Opening_Qty]])</f>
        <v>22</v>
      </c>
      <c r="F266" s="52">
        <f>SUMIF(Purchase[[#All],[Product ID]],Stock[[#This Row],[Product ID]],Purchase[[#All],[Net Qty]])</f>
        <v>130</v>
      </c>
      <c r="G266" s="52">
        <f>Stock[[#This Row],[Opening Stock]]+Stock[[#This Row],[Purchase Stock]]</f>
        <v>152</v>
      </c>
      <c r="H266" s="52">
        <f>SUMIF(Sales[[#All],[Product ID]],Stock[[#This Row],[Product ID]],Sales[[#All],[Net QTY]])</f>
        <v>27</v>
      </c>
      <c r="I266" s="52">
        <f>Stock[[#This Row],[Total Stock]]-Stock[[#This Row],[Selling Stock]]</f>
        <v>125</v>
      </c>
      <c r="J266" s="52">
        <f>VLOOKUP(Stock[[#This Row],[Product ID]],Product[#All],8,0)</f>
        <v>25</v>
      </c>
      <c r="K266" s="52" t="str">
        <f>IF(Stock[[#This Row],[Available Stock]]&lt;=Stock[[#This Row],[Reorder Level]],"Reorder","OK")</f>
        <v>OK</v>
      </c>
    </row>
    <row r="267" spans="1:11" ht="18.75" x14ac:dyDescent="0.25">
      <c r="A267" s="52" t="str">
        <f>Product[[#This Row],[Product ID]]</f>
        <v>P0265</v>
      </c>
      <c r="B267" s="52" t="str">
        <f>VLOOKUP(Stock[[#This Row],[Product ID]],Product[#All],2,0)</f>
        <v>HP Printer</v>
      </c>
      <c r="C267" s="52" t="str">
        <f>VLOOKUP(Stock[[#This Row],[Product ID]],Product[#All],3,0)</f>
        <v>Printer</v>
      </c>
      <c r="D267" s="52" t="str">
        <f>VLOOKUP(Stock[[#This Row],[Product ID]],Product[#All],4,0)</f>
        <v>HP</v>
      </c>
      <c r="E267" s="52">
        <f>SUMIF(Opning[[#All],[Product_ID]],Stock[[#This Row],[Product ID]],Opning[[#All],[Opening_Qty]])</f>
        <v>51</v>
      </c>
      <c r="F267" s="52">
        <f>SUMIF(Purchase[[#All],[Product ID]],Stock[[#This Row],[Product ID]],Purchase[[#All],[Net Qty]])</f>
        <v>92</v>
      </c>
      <c r="G267" s="52">
        <f>Stock[[#This Row],[Opening Stock]]+Stock[[#This Row],[Purchase Stock]]</f>
        <v>143</v>
      </c>
      <c r="H267" s="52">
        <f>SUMIF(Sales[[#All],[Product ID]],Stock[[#This Row],[Product ID]],Sales[[#All],[Net QTY]])</f>
        <v>68</v>
      </c>
      <c r="I267" s="52">
        <f>Stock[[#This Row],[Total Stock]]-Stock[[#This Row],[Selling Stock]]</f>
        <v>75</v>
      </c>
      <c r="J267" s="52">
        <f>VLOOKUP(Stock[[#This Row],[Product ID]],Product[#All],8,0)</f>
        <v>5</v>
      </c>
      <c r="K267" s="52" t="str">
        <f>IF(Stock[[#This Row],[Available Stock]]&lt;=Stock[[#This Row],[Reorder Level]],"Reorder","OK")</f>
        <v>OK</v>
      </c>
    </row>
    <row r="268" spans="1:11" ht="18.75" x14ac:dyDescent="0.25">
      <c r="A268" s="52" t="str">
        <f>Product[[#This Row],[Product ID]]</f>
        <v>P0266</v>
      </c>
      <c r="B268" s="52" t="str">
        <f>VLOOKUP(Stock[[#This Row],[Product ID]],Product[#All],2,0)</f>
        <v>Seagate HDD</v>
      </c>
      <c r="C268" s="52" t="str">
        <f>VLOOKUP(Stock[[#This Row],[Product ID]],Product[#All],3,0)</f>
        <v>HDD</v>
      </c>
      <c r="D268" s="52" t="str">
        <f>VLOOKUP(Stock[[#This Row],[Product ID]],Product[#All],4,0)</f>
        <v>Seagate</v>
      </c>
      <c r="E268" s="52">
        <f>SUMIF(Opning[[#All],[Product_ID]],Stock[[#This Row],[Product ID]],Opning[[#All],[Opening_Qty]])</f>
        <v>32</v>
      </c>
      <c r="F268" s="52">
        <f>SUMIF(Purchase[[#All],[Product ID]],Stock[[#This Row],[Product ID]],Purchase[[#All],[Net Qty]])</f>
        <v>79</v>
      </c>
      <c r="G268" s="52">
        <f>Stock[[#This Row],[Opening Stock]]+Stock[[#This Row],[Purchase Stock]]</f>
        <v>111</v>
      </c>
      <c r="H268" s="52">
        <f>SUMIF(Sales[[#All],[Product ID]],Stock[[#This Row],[Product ID]],Sales[[#All],[Net QTY]])</f>
        <v>26</v>
      </c>
      <c r="I268" s="52">
        <f>Stock[[#This Row],[Total Stock]]-Stock[[#This Row],[Selling Stock]]</f>
        <v>85</v>
      </c>
      <c r="J268" s="52">
        <f>VLOOKUP(Stock[[#This Row],[Product ID]],Product[#All],8,0)</f>
        <v>20</v>
      </c>
      <c r="K268" s="52" t="str">
        <f>IF(Stock[[#This Row],[Available Stock]]&lt;=Stock[[#This Row],[Reorder Level]],"Reorder","OK")</f>
        <v>OK</v>
      </c>
    </row>
    <row r="269" spans="1:11" ht="18.75" x14ac:dyDescent="0.25">
      <c r="A269" s="52" t="str">
        <f>Product[[#This Row],[Product ID]]</f>
        <v>P0267</v>
      </c>
      <c r="B269" s="52" t="str">
        <f>VLOOKUP(Stock[[#This Row],[Product ID]],Product[#All],2,0)</f>
        <v>Seagate HDD</v>
      </c>
      <c r="C269" s="52" t="str">
        <f>VLOOKUP(Stock[[#This Row],[Product ID]],Product[#All],3,0)</f>
        <v>HDD</v>
      </c>
      <c r="D269" s="52" t="str">
        <f>VLOOKUP(Stock[[#This Row],[Product ID]],Product[#All],4,0)</f>
        <v>Seagate</v>
      </c>
      <c r="E269" s="52">
        <f>SUMIF(Opning[[#All],[Product_ID]],Stock[[#This Row],[Product ID]],Opning[[#All],[Opening_Qty]])</f>
        <v>46</v>
      </c>
      <c r="F269" s="52">
        <f>SUMIF(Purchase[[#All],[Product ID]],Stock[[#This Row],[Product ID]],Purchase[[#All],[Net Qty]])</f>
        <v>62</v>
      </c>
      <c r="G269" s="52">
        <f>Stock[[#This Row],[Opening Stock]]+Stock[[#This Row],[Purchase Stock]]</f>
        <v>108</v>
      </c>
      <c r="H269" s="52">
        <f>SUMIF(Sales[[#All],[Product ID]],Stock[[#This Row],[Product ID]],Sales[[#All],[Net QTY]])</f>
        <v>45</v>
      </c>
      <c r="I269" s="52">
        <f>Stock[[#This Row],[Total Stock]]-Stock[[#This Row],[Selling Stock]]</f>
        <v>63</v>
      </c>
      <c r="J269" s="52">
        <f>VLOOKUP(Stock[[#This Row],[Product ID]],Product[#All],8,0)</f>
        <v>8</v>
      </c>
      <c r="K269" s="52" t="str">
        <f>IF(Stock[[#This Row],[Available Stock]]&lt;=Stock[[#This Row],[Reorder Level]],"Reorder","OK")</f>
        <v>OK</v>
      </c>
    </row>
    <row r="270" spans="1:11" ht="18.75" x14ac:dyDescent="0.25">
      <c r="A270" s="52" t="str">
        <f>Product[[#This Row],[Product ID]]</f>
        <v>P0268</v>
      </c>
      <c r="B270" s="52" t="str">
        <f>VLOOKUP(Stock[[#This Row],[Product ID]],Product[#All],2,0)</f>
        <v>WD HDD</v>
      </c>
      <c r="C270" s="52" t="str">
        <f>VLOOKUP(Stock[[#This Row],[Product ID]],Product[#All],3,0)</f>
        <v>HDD</v>
      </c>
      <c r="D270" s="52" t="str">
        <f>VLOOKUP(Stock[[#This Row],[Product ID]],Product[#All],4,0)</f>
        <v>WD</v>
      </c>
      <c r="E270" s="52">
        <f>SUMIF(Opning[[#All],[Product_ID]],Stock[[#This Row],[Product ID]],Opning[[#All],[Opening_Qty]])</f>
        <v>17</v>
      </c>
      <c r="F270" s="52">
        <f>SUMIF(Purchase[[#All],[Product ID]],Stock[[#This Row],[Product ID]],Purchase[[#All],[Net Qty]])</f>
        <v>118</v>
      </c>
      <c r="G270" s="52">
        <f>Stock[[#This Row],[Opening Stock]]+Stock[[#This Row],[Purchase Stock]]</f>
        <v>135</v>
      </c>
      <c r="H270" s="52">
        <f>SUMIF(Sales[[#All],[Product ID]],Stock[[#This Row],[Product ID]],Sales[[#All],[Net QTY]])</f>
        <v>63</v>
      </c>
      <c r="I270" s="52">
        <f>Stock[[#This Row],[Total Stock]]-Stock[[#This Row],[Selling Stock]]</f>
        <v>72</v>
      </c>
      <c r="J270" s="52">
        <f>VLOOKUP(Stock[[#This Row],[Product ID]],Product[#All],8,0)</f>
        <v>25</v>
      </c>
      <c r="K270" s="52" t="str">
        <f>IF(Stock[[#This Row],[Available Stock]]&lt;=Stock[[#This Row],[Reorder Level]],"Reorder","OK")</f>
        <v>OK</v>
      </c>
    </row>
    <row r="271" spans="1:11" ht="18.75" x14ac:dyDescent="0.25">
      <c r="A271" s="52" t="str">
        <f>Product[[#This Row],[Product ID]]</f>
        <v>P0269</v>
      </c>
      <c r="B271" s="52" t="str">
        <f>VLOOKUP(Stock[[#This Row],[Product ID]],Product[#All],2,0)</f>
        <v>Jbl Speaker</v>
      </c>
      <c r="C271" s="52" t="str">
        <f>VLOOKUP(Stock[[#This Row],[Product ID]],Product[#All],3,0)</f>
        <v>Speaker</v>
      </c>
      <c r="D271" s="52" t="str">
        <f>VLOOKUP(Stock[[#This Row],[Product ID]],Product[#All],4,0)</f>
        <v>JBL</v>
      </c>
      <c r="E271" s="52">
        <f>SUMIF(Opning[[#All],[Product_ID]],Stock[[#This Row],[Product ID]],Opning[[#All],[Opening_Qty]])</f>
        <v>28</v>
      </c>
      <c r="F271" s="52">
        <f>SUMIF(Purchase[[#All],[Product ID]],Stock[[#This Row],[Product ID]],Purchase[[#All],[Net Qty]])</f>
        <v>145</v>
      </c>
      <c r="G271" s="52">
        <f>Stock[[#This Row],[Opening Stock]]+Stock[[#This Row],[Purchase Stock]]</f>
        <v>173</v>
      </c>
      <c r="H271" s="52">
        <f>SUMIF(Sales[[#All],[Product ID]],Stock[[#This Row],[Product ID]],Sales[[#All],[Net QTY]])</f>
        <v>69</v>
      </c>
      <c r="I271" s="52">
        <f>Stock[[#This Row],[Total Stock]]-Stock[[#This Row],[Selling Stock]]</f>
        <v>104</v>
      </c>
      <c r="J271" s="52">
        <f>VLOOKUP(Stock[[#This Row],[Product ID]],Product[#All],8,0)</f>
        <v>10</v>
      </c>
      <c r="K271" s="52" t="str">
        <f>IF(Stock[[#This Row],[Available Stock]]&lt;=Stock[[#This Row],[Reorder Level]],"Reorder","OK")</f>
        <v>OK</v>
      </c>
    </row>
    <row r="272" spans="1:11" ht="18.75" x14ac:dyDescent="0.25">
      <c r="A272" s="52" t="str">
        <f>Product[[#This Row],[Product ID]]</f>
        <v>P0270</v>
      </c>
      <c r="B272" s="52" t="str">
        <f>VLOOKUP(Stock[[#This Row],[Product ID]],Product[#All],2,0)</f>
        <v>Dell Desktop</v>
      </c>
      <c r="C272" s="52" t="str">
        <f>VLOOKUP(Stock[[#This Row],[Product ID]],Product[#All],3,0)</f>
        <v>DESKTOP</v>
      </c>
      <c r="D272" s="52" t="str">
        <f>VLOOKUP(Stock[[#This Row],[Product ID]],Product[#All],4,0)</f>
        <v>Dell</v>
      </c>
      <c r="E272" s="52">
        <f>SUMIF(Opning[[#All],[Product_ID]],Stock[[#This Row],[Product ID]],Opning[[#All],[Opening_Qty]])</f>
        <v>7</v>
      </c>
      <c r="F272" s="52">
        <f>SUMIF(Purchase[[#All],[Product ID]],Stock[[#This Row],[Product ID]],Purchase[[#All],[Net Qty]])</f>
        <v>121</v>
      </c>
      <c r="G272" s="52">
        <f>Stock[[#This Row],[Opening Stock]]+Stock[[#This Row],[Purchase Stock]]</f>
        <v>128</v>
      </c>
      <c r="H272" s="52">
        <f>SUMIF(Sales[[#All],[Product ID]],Stock[[#This Row],[Product ID]],Sales[[#All],[Net QTY]])</f>
        <v>40</v>
      </c>
      <c r="I272" s="52">
        <f>Stock[[#This Row],[Total Stock]]-Stock[[#This Row],[Selling Stock]]</f>
        <v>88</v>
      </c>
      <c r="J272" s="52">
        <f>VLOOKUP(Stock[[#This Row],[Product ID]],Product[#All],8,0)</f>
        <v>15</v>
      </c>
      <c r="K272" s="52" t="str">
        <f>IF(Stock[[#This Row],[Available Stock]]&lt;=Stock[[#This Row],[Reorder Level]],"Reorder","OK")</f>
        <v>OK</v>
      </c>
    </row>
    <row r="273" spans="1:11" ht="18.75" x14ac:dyDescent="0.25">
      <c r="A273" s="52" t="str">
        <f>Product[[#This Row],[Product ID]]</f>
        <v>P0271</v>
      </c>
      <c r="B273" s="52" t="str">
        <f>VLOOKUP(Stock[[#This Row],[Product ID]],Product[#All],2,0)</f>
        <v>Sandisk Pen Drive</v>
      </c>
      <c r="C273" s="52" t="str">
        <f>VLOOKUP(Stock[[#This Row],[Product ID]],Product[#All],3,0)</f>
        <v>Pen Drive</v>
      </c>
      <c r="D273" s="52" t="str">
        <f>VLOOKUP(Stock[[#This Row],[Product ID]],Product[#All],4,0)</f>
        <v>SanDisk</v>
      </c>
      <c r="E273" s="52">
        <f>SUMIF(Opning[[#All],[Product_ID]],Stock[[#This Row],[Product ID]],Opning[[#All],[Opening_Qty]])</f>
        <v>34</v>
      </c>
      <c r="F273" s="52">
        <f>SUMIF(Purchase[[#All],[Product ID]],Stock[[#This Row],[Product ID]],Purchase[[#All],[Net Qty]])</f>
        <v>9</v>
      </c>
      <c r="G273" s="52">
        <f>Stock[[#This Row],[Opening Stock]]+Stock[[#This Row],[Purchase Stock]]</f>
        <v>43</v>
      </c>
      <c r="H273" s="52">
        <f>SUMIF(Sales[[#All],[Product ID]],Stock[[#This Row],[Product ID]],Sales[[#All],[Net QTY]])</f>
        <v>36</v>
      </c>
      <c r="I273" s="52">
        <f>Stock[[#This Row],[Total Stock]]-Stock[[#This Row],[Selling Stock]]</f>
        <v>7</v>
      </c>
      <c r="J273" s="52">
        <f>VLOOKUP(Stock[[#This Row],[Product ID]],Product[#All],8,0)</f>
        <v>15</v>
      </c>
      <c r="K273" s="52" t="str">
        <f>IF(Stock[[#This Row],[Available Stock]]&lt;=Stock[[#This Row],[Reorder Level]],"Reorder","OK")</f>
        <v>Reorder</v>
      </c>
    </row>
    <row r="274" spans="1:11" ht="18.75" x14ac:dyDescent="0.25">
      <c r="A274" s="52" t="str">
        <f>Product[[#This Row],[Product ID]]</f>
        <v>P0272</v>
      </c>
      <c r="B274" s="52" t="str">
        <f>VLOOKUP(Stock[[#This Row],[Product ID]],Product[#All],2,0)</f>
        <v>Dell Power Adapter</v>
      </c>
      <c r="C274" s="52" t="str">
        <f>VLOOKUP(Stock[[#This Row],[Product ID]],Product[#All],3,0)</f>
        <v>Power Adapter</v>
      </c>
      <c r="D274" s="52" t="str">
        <f>VLOOKUP(Stock[[#This Row],[Product ID]],Product[#All],4,0)</f>
        <v>Dell</v>
      </c>
      <c r="E274" s="52">
        <f>SUMIF(Opning[[#All],[Product_ID]],Stock[[#This Row],[Product ID]],Opning[[#All],[Opening_Qty]])</f>
        <v>57</v>
      </c>
      <c r="F274" s="52">
        <f>SUMIF(Purchase[[#All],[Product ID]],Stock[[#This Row],[Product ID]],Purchase[[#All],[Net Qty]])</f>
        <v>104</v>
      </c>
      <c r="G274" s="52">
        <f>Stock[[#This Row],[Opening Stock]]+Stock[[#This Row],[Purchase Stock]]</f>
        <v>161</v>
      </c>
      <c r="H274" s="52">
        <f>SUMIF(Sales[[#All],[Product ID]],Stock[[#This Row],[Product ID]],Sales[[#All],[Net QTY]])</f>
        <v>30</v>
      </c>
      <c r="I274" s="52">
        <f>Stock[[#This Row],[Total Stock]]-Stock[[#This Row],[Selling Stock]]</f>
        <v>131</v>
      </c>
      <c r="J274" s="52">
        <f>VLOOKUP(Stock[[#This Row],[Product ID]],Product[#All],8,0)</f>
        <v>20</v>
      </c>
      <c r="K274" s="52" t="str">
        <f>IF(Stock[[#This Row],[Available Stock]]&lt;=Stock[[#This Row],[Reorder Level]],"Reorder","OK")</f>
        <v>OK</v>
      </c>
    </row>
    <row r="275" spans="1:11" ht="18.75" x14ac:dyDescent="0.25">
      <c r="A275" s="52" t="str">
        <f>Product[[#This Row],[Product ID]]</f>
        <v>P0273</v>
      </c>
      <c r="B275" s="52" t="str">
        <f>VLOOKUP(Stock[[#This Row],[Product ID]],Product[#All],2,0)</f>
        <v>Samsung Ssd</v>
      </c>
      <c r="C275" s="52" t="str">
        <f>VLOOKUP(Stock[[#This Row],[Product ID]],Product[#All],3,0)</f>
        <v>SSD</v>
      </c>
      <c r="D275" s="52" t="str">
        <f>VLOOKUP(Stock[[#This Row],[Product ID]],Product[#All],4,0)</f>
        <v>Samsung</v>
      </c>
      <c r="E275" s="52">
        <f>SUMIF(Opning[[#All],[Product_ID]],Stock[[#This Row],[Product ID]],Opning[[#All],[Opening_Qty]])</f>
        <v>13</v>
      </c>
      <c r="F275" s="52">
        <f>SUMIF(Purchase[[#All],[Product ID]],Stock[[#This Row],[Product ID]],Purchase[[#All],[Net Qty]])</f>
        <v>28</v>
      </c>
      <c r="G275" s="52">
        <f>Stock[[#This Row],[Opening Stock]]+Stock[[#This Row],[Purchase Stock]]</f>
        <v>41</v>
      </c>
      <c r="H275" s="52">
        <f>SUMIF(Sales[[#All],[Product ID]],Stock[[#This Row],[Product ID]],Sales[[#All],[Net QTY]])</f>
        <v>40</v>
      </c>
      <c r="I275" s="52">
        <f>Stock[[#This Row],[Total Stock]]-Stock[[#This Row],[Selling Stock]]</f>
        <v>1</v>
      </c>
      <c r="J275" s="52">
        <f>VLOOKUP(Stock[[#This Row],[Product ID]],Product[#All],8,0)</f>
        <v>5</v>
      </c>
      <c r="K275" s="52" t="str">
        <f>IF(Stock[[#This Row],[Available Stock]]&lt;=Stock[[#This Row],[Reorder Level]],"Reorder","OK")</f>
        <v>Reorder</v>
      </c>
    </row>
    <row r="276" spans="1:11" ht="18.75" x14ac:dyDescent="0.25">
      <c r="A276" s="52" t="str">
        <f>Product[[#This Row],[Product ID]]</f>
        <v>P0274</v>
      </c>
      <c r="B276" s="52" t="str">
        <f>VLOOKUP(Stock[[#This Row],[Product ID]],Product[#All],2,0)</f>
        <v>Samsung Ssd</v>
      </c>
      <c r="C276" s="52" t="str">
        <f>VLOOKUP(Stock[[#This Row],[Product ID]],Product[#All],3,0)</f>
        <v>ssd</v>
      </c>
      <c r="D276" s="52" t="str">
        <f>VLOOKUP(Stock[[#This Row],[Product ID]],Product[#All],4,0)</f>
        <v>Samsung</v>
      </c>
      <c r="E276" s="52">
        <f>SUMIF(Opning[[#All],[Product_ID]],Stock[[#This Row],[Product ID]],Opning[[#All],[Opening_Qty]])</f>
        <v>39</v>
      </c>
      <c r="F276" s="52">
        <f>SUMIF(Purchase[[#All],[Product ID]],Stock[[#This Row],[Product ID]],Purchase[[#All],[Net Qty]])</f>
        <v>74</v>
      </c>
      <c r="G276" s="52">
        <f>Stock[[#This Row],[Opening Stock]]+Stock[[#This Row],[Purchase Stock]]</f>
        <v>113</v>
      </c>
      <c r="H276" s="52">
        <f>SUMIF(Sales[[#All],[Product ID]],Stock[[#This Row],[Product ID]],Sales[[#All],[Net QTY]])</f>
        <v>21</v>
      </c>
      <c r="I276" s="52">
        <f>Stock[[#This Row],[Total Stock]]-Stock[[#This Row],[Selling Stock]]</f>
        <v>92</v>
      </c>
      <c r="J276" s="52">
        <f>VLOOKUP(Stock[[#This Row],[Product ID]],Product[#All],8,0)</f>
        <v>20</v>
      </c>
      <c r="K276" s="52" t="str">
        <f>IF(Stock[[#This Row],[Available Stock]]&lt;=Stock[[#This Row],[Reorder Level]],"Reorder","OK")</f>
        <v>OK</v>
      </c>
    </row>
    <row r="277" spans="1:11" ht="18.75" x14ac:dyDescent="0.25">
      <c r="A277" s="52" t="str">
        <f>Product[[#This Row],[Product ID]]</f>
        <v>P0275</v>
      </c>
      <c r="B277" s="52" t="str">
        <f>VLOOKUP(Stock[[#This Row],[Product ID]],Product[#All],2,0)</f>
        <v>Logitech Mouse</v>
      </c>
      <c r="C277" s="52" t="str">
        <f>VLOOKUP(Stock[[#This Row],[Product ID]],Product[#All],3,0)</f>
        <v>Mouse</v>
      </c>
      <c r="D277" s="52" t="str">
        <f>VLOOKUP(Stock[[#This Row],[Product ID]],Product[#All],4,0)</f>
        <v>Logitech</v>
      </c>
      <c r="E277" s="52">
        <f>SUMIF(Opning[[#All],[Product_ID]],Stock[[#This Row],[Product ID]],Opning[[#All],[Opening_Qty]])</f>
        <v>9</v>
      </c>
      <c r="F277" s="52">
        <f>SUMIF(Purchase[[#All],[Product ID]],Stock[[#This Row],[Product ID]],Purchase[[#All],[Net Qty]])</f>
        <v>39</v>
      </c>
      <c r="G277" s="52">
        <f>Stock[[#This Row],[Opening Stock]]+Stock[[#This Row],[Purchase Stock]]</f>
        <v>48</v>
      </c>
      <c r="H277" s="52">
        <f>SUMIF(Sales[[#All],[Product ID]],Stock[[#This Row],[Product ID]],Sales[[#All],[Net QTY]])</f>
        <v>1</v>
      </c>
      <c r="I277" s="52">
        <f>Stock[[#This Row],[Total Stock]]-Stock[[#This Row],[Selling Stock]]</f>
        <v>47</v>
      </c>
      <c r="J277" s="52">
        <f>VLOOKUP(Stock[[#This Row],[Product ID]],Product[#All],8,0)</f>
        <v>8</v>
      </c>
      <c r="K277" s="52" t="str">
        <f>IF(Stock[[#This Row],[Available Stock]]&lt;=Stock[[#This Row],[Reorder Level]],"Reorder","OK")</f>
        <v>OK</v>
      </c>
    </row>
    <row r="278" spans="1:11" ht="18.75" x14ac:dyDescent="0.25">
      <c r="A278" s="52" t="str">
        <f>Product[[#This Row],[Product ID]]</f>
        <v>P0276</v>
      </c>
      <c r="B278" s="52" t="str">
        <f>VLOOKUP(Stock[[#This Row],[Product ID]],Product[#All],2,0)</f>
        <v>American TouristerLaptopBag</v>
      </c>
      <c r="C278" s="52" t="str">
        <f>VLOOKUP(Stock[[#This Row],[Product ID]],Product[#All],3,0)</f>
        <v>Laptop Bag</v>
      </c>
      <c r="D278" s="52" t="str">
        <f>VLOOKUP(Stock[[#This Row],[Product ID]],Product[#All],4,0)</f>
        <v>American Tourister</v>
      </c>
      <c r="E278" s="52">
        <f>SUMIF(Opning[[#All],[Product_ID]],Stock[[#This Row],[Product ID]],Opning[[#All],[Opening_Qty]])</f>
        <v>25</v>
      </c>
      <c r="F278" s="52">
        <f>SUMIF(Purchase[[#All],[Product ID]],Stock[[#This Row],[Product ID]],Purchase[[#All],[Net Qty]])</f>
        <v>205</v>
      </c>
      <c r="G278" s="52">
        <f>Stock[[#This Row],[Opening Stock]]+Stock[[#This Row],[Purchase Stock]]</f>
        <v>230</v>
      </c>
      <c r="H278" s="52">
        <f>SUMIF(Sales[[#All],[Product ID]],Stock[[#This Row],[Product ID]],Sales[[#All],[Net QTY]])</f>
        <v>63</v>
      </c>
      <c r="I278" s="52">
        <f>Stock[[#This Row],[Total Stock]]-Stock[[#This Row],[Selling Stock]]</f>
        <v>167</v>
      </c>
      <c r="J278" s="52">
        <f>VLOOKUP(Stock[[#This Row],[Product ID]],Product[#All],8,0)</f>
        <v>15</v>
      </c>
      <c r="K278" s="52" t="str">
        <f>IF(Stock[[#This Row],[Available Stock]]&lt;=Stock[[#This Row],[Reorder Level]],"Reorder","OK")</f>
        <v>OK</v>
      </c>
    </row>
    <row r="279" spans="1:11" ht="18.75" x14ac:dyDescent="0.25">
      <c r="A279" s="52" t="str">
        <f>Product[[#This Row],[Product ID]]</f>
        <v>P0277</v>
      </c>
      <c r="B279" s="52" t="str">
        <f>VLOOKUP(Stock[[#This Row],[Product ID]],Product[#All],2,0)</f>
        <v>Dell Keyboard</v>
      </c>
      <c r="C279" s="52" t="str">
        <f>VLOOKUP(Stock[[#This Row],[Product ID]],Product[#All],3,0)</f>
        <v>Keyboard</v>
      </c>
      <c r="D279" s="52" t="str">
        <f>VLOOKUP(Stock[[#This Row],[Product ID]],Product[#All],4,0)</f>
        <v>Dell</v>
      </c>
      <c r="E279" s="52">
        <f>SUMIF(Opning[[#All],[Product_ID]],Stock[[#This Row],[Product ID]],Opning[[#All],[Opening_Qty]])</f>
        <v>55</v>
      </c>
      <c r="F279" s="52">
        <f>SUMIF(Purchase[[#All],[Product ID]],Stock[[#This Row],[Product ID]],Purchase[[#All],[Net Qty]])</f>
        <v>75</v>
      </c>
      <c r="G279" s="52">
        <f>Stock[[#This Row],[Opening Stock]]+Stock[[#This Row],[Purchase Stock]]</f>
        <v>130</v>
      </c>
      <c r="H279" s="52">
        <f>SUMIF(Sales[[#All],[Product ID]],Stock[[#This Row],[Product ID]],Sales[[#All],[Net QTY]])</f>
        <v>54</v>
      </c>
      <c r="I279" s="52">
        <f>Stock[[#This Row],[Total Stock]]-Stock[[#This Row],[Selling Stock]]</f>
        <v>76</v>
      </c>
      <c r="J279" s="52">
        <f>VLOOKUP(Stock[[#This Row],[Product ID]],Product[#All],8,0)</f>
        <v>25</v>
      </c>
      <c r="K279" s="52" t="str">
        <f>IF(Stock[[#This Row],[Available Stock]]&lt;=Stock[[#This Row],[Reorder Level]],"Reorder","OK")</f>
        <v>OK</v>
      </c>
    </row>
    <row r="280" spans="1:11" ht="18.75" x14ac:dyDescent="0.25">
      <c r="A280" s="52" t="str">
        <f>Product[[#This Row],[Product ID]]</f>
        <v>P0278</v>
      </c>
      <c r="B280" s="52" t="str">
        <f>VLOOKUP(Stock[[#This Row],[Product ID]],Product[#All],2,0)</f>
        <v>Samsung Monitor</v>
      </c>
      <c r="C280" s="52" t="str">
        <f>VLOOKUP(Stock[[#This Row],[Product ID]],Product[#All],3,0)</f>
        <v>Monitor</v>
      </c>
      <c r="D280" s="52" t="str">
        <f>VLOOKUP(Stock[[#This Row],[Product ID]],Product[#All],4,0)</f>
        <v>Samsung</v>
      </c>
      <c r="E280" s="52">
        <f>SUMIF(Opning[[#All],[Product_ID]],Stock[[#This Row],[Product ID]],Opning[[#All],[Opening_Qty]])</f>
        <v>46</v>
      </c>
      <c r="F280" s="52">
        <f>SUMIF(Purchase[[#All],[Product ID]],Stock[[#This Row],[Product ID]],Purchase[[#All],[Net Qty]])</f>
        <v>144</v>
      </c>
      <c r="G280" s="52">
        <f>Stock[[#This Row],[Opening Stock]]+Stock[[#This Row],[Purchase Stock]]</f>
        <v>190</v>
      </c>
      <c r="H280" s="52">
        <f>SUMIF(Sales[[#All],[Product ID]],Stock[[#This Row],[Product ID]],Sales[[#All],[Net QTY]])</f>
        <v>23</v>
      </c>
      <c r="I280" s="52">
        <f>Stock[[#This Row],[Total Stock]]-Stock[[#This Row],[Selling Stock]]</f>
        <v>167</v>
      </c>
      <c r="J280" s="52">
        <f>VLOOKUP(Stock[[#This Row],[Product ID]],Product[#All],8,0)</f>
        <v>25</v>
      </c>
      <c r="K280" s="52" t="str">
        <f>IF(Stock[[#This Row],[Available Stock]]&lt;=Stock[[#This Row],[Reorder Level]],"Reorder","OK")</f>
        <v>OK</v>
      </c>
    </row>
    <row r="281" spans="1:11" ht="18.75" x14ac:dyDescent="0.25">
      <c r="A281" s="52" t="str">
        <f>Product[[#This Row],[Product ID]]</f>
        <v>P0279</v>
      </c>
      <c r="B281" s="52" t="str">
        <f>VLOOKUP(Stock[[#This Row],[Product ID]],Product[#All],2,0)</f>
        <v>Logitech Keyboard</v>
      </c>
      <c r="C281" s="52" t="str">
        <f>VLOOKUP(Stock[[#This Row],[Product ID]],Product[#All],3,0)</f>
        <v>Keyboard</v>
      </c>
      <c r="D281" s="52" t="str">
        <f>VLOOKUP(Stock[[#This Row],[Product ID]],Product[#All],4,0)</f>
        <v>Logitech</v>
      </c>
      <c r="E281" s="52">
        <f>SUMIF(Opning[[#All],[Product_ID]],Stock[[#This Row],[Product ID]],Opning[[#All],[Opening_Qty]])</f>
        <v>11</v>
      </c>
      <c r="F281" s="52">
        <f>SUMIF(Purchase[[#All],[Product ID]],Stock[[#This Row],[Product ID]],Purchase[[#All],[Net Qty]])</f>
        <v>34</v>
      </c>
      <c r="G281" s="52">
        <f>Stock[[#This Row],[Opening Stock]]+Stock[[#This Row],[Purchase Stock]]</f>
        <v>45</v>
      </c>
      <c r="H281" s="52">
        <f>SUMIF(Sales[[#All],[Product ID]],Stock[[#This Row],[Product ID]],Sales[[#All],[Net QTY]])</f>
        <v>45</v>
      </c>
      <c r="I281" s="52">
        <f>Stock[[#This Row],[Total Stock]]-Stock[[#This Row],[Selling Stock]]</f>
        <v>0</v>
      </c>
      <c r="J281" s="52">
        <f>VLOOKUP(Stock[[#This Row],[Product ID]],Product[#All],8,0)</f>
        <v>8</v>
      </c>
      <c r="K281" s="52" t="str">
        <f>IF(Stock[[#This Row],[Available Stock]]&lt;=Stock[[#This Row],[Reorder Level]],"Reorder","OK")</f>
        <v>Reorder</v>
      </c>
    </row>
    <row r="282" spans="1:11" ht="18.75" x14ac:dyDescent="0.25">
      <c r="A282" s="52" t="str">
        <f>Product[[#This Row],[Product ID]]</f>
        <v>P0280</v>
      </c>
      <c r="B282" s="52" t="str">
        <f>VLOOKUP(Stock[[#This Row],[Product ID]],Product[#All],2,0)</f>
        <v>Jbl Headset</v>
      </c>
      <c r="C282" s="52" t="str">
        <f>VLOOKUP(Stock[[#This Row],[Product ID]],Product[#All],3,0)</f>
        <v>Headset</v>
      </c>
      <c r="D282" s="52" t="str">
        <f>VLOOKUP(Stock[[#This Row],[Product ID]],Product[#All],4,0)</f>
        <v>JBL</v>
      </c>
      <c r="E282" s="52">
        <f>SUMIF(Opning[[#All],[Product_ID]],Stock[[#This Row],[Product ID]],Opning[[#All],[Opening_Qty]])</f>
        <v>12</v>
      </c>
      <c r="F282" s="52">
        <f>SUMIF(Purchase[[#All],[Product ID]],Stock[[#This Row],[Product ID]],Purchase[[#All],[Net Qty]])</f>
        <v>152</v>
      </c>
      <c r="G282" s="52">
        <f>Stock[[#This Row],[Opening Stock]]+Stock[[#This Row],[Purchase Stock]]</f>
        <v>164</v>
      </c>
      <c r="H282" s="52">
        <f>SUMIF(Sales[[#All],[Product ID]],Stock[[#This Row],[Product ID]],Sales[[#All],[Net QTY]])</f>
        <v>49</v>
      </c>
      <c r="I282" s="52">
        <f>Stock[[#This Row],[Total Stock]]-Stock[[#This Row],[Selling Stock]]</f>
        <v>115</v>
      </c>
      <c r="J282" s="52">
        <f>VLOOKUP(Stock[[#This Row],[Product ID]],Product[#All],8,0)</f>
        <v>8</v>
      </c>
      <c r="K282" s="52" t="str">
        <f>IF(Stock[[#This Row],[Available Stock]]&lt;=Stock[[#This Row],[Reorder Level]],"Reorder","OK")</f>
        <v>OK</v>
      </c>
    </row>
    <row r="283" spans="1:11" ht="18.75" x14ac:dyDescent="0.25">
      <c r="A283" s="52" t="str">
        <f>Product[[#This Row],[Product ID]]</f>
        <v>P0281</v>
      </c>
      <c r="B283" s="52" t="str">
        <f>VLOOKUP(Stock[[#This Row],[Product ID]],Product[#All],2,0)</f>
        <v>Corsair Ram</v>
      </c>
      <c r="C283" s="52" t="str">
        <f>VLOOKUP(Stock[[#This Row],[Product ID]],Product[#All],3,0)</f>
        <v>RAM</v>
      </c>
      <c r="D283" s="52" t="str">
        <f>VLOOKUP(Stock[[#This Row],[Product ID]],Product[#All],4,0)</f>
        <v>Corsair</v>
      </c>
      <c r="E283" s="52">
        <f>SUMIF(Opning[[#All],[Product_ID]],Stock[[#This Row],[Product ID]],Opning[[#All],[Opening_Qty]])</f>
        <v>58</v>
      </c>
      <c r="F283" s="52">
        <f>SUMIF(Purchase[[#All],[Product ID]],Stock[[#This Row],[Product ID]],Purchase[[#All],[Net Qty]])</f>
        <v>136</v>
      </c>
      <c r="G283" s="52">
        <f>Stock[[#This Row],[Opening Stock]]+Stock[[#This Row],[Purchase Stock]]</f>
        <v>194</v>
      </c>
      <c r="H283" s="52">
        <f>SUMIF(Sales[[#All],[Product ID]],Stock[[#This Row],[Product ID]],Sales[[#All],[Net QTY]])</f>
        <v>34</v>
      </c>
      <c r="I283" s="52">
        <f>Stock[[#This Row],[Total Stock]]-Stock[[#This Row],[Selling Stock]]</f>
        <v>160</v>
      </c>
      <c r="J283" s="52">
        <f>VLOOKUP(Stock[[#This Row],[Product ID]],Product[#All],8,0)</f>
        <v>8</v>
      </c>
      <c r="K283" s="52" t="str">
        <f>IF(Stock[[#This Row],[Available Stock]]&lt;=Stock[[#This Row],[Reorder Level]],"Reorder","OK")</f>
        <v>OK</v>
      </c>
    </row>
    <row r="284" spans="1:11" ht="18.75" x14ac:dyDescent="0.25">
      <c r="A284" s="52" t="str">
        <f>Product[[#This Row],[Product ID]]</f>
        <v>P0282</v>
      </c>
      <c r="B284" s="52" t="str">
        <f>VLOOKUP(Stock[[#This Row],[Product ID]],Product[#All],2,0)</f>
        <v>Boat Headset</v>
      </c>
      <c r="C284" s="52" t="str">
        <f>VLOOKUP(Stock[[#This Row],[Product ID]],Product[#All],3,0)</f>
        <v>Headset</v>
      </c>
      <c r="D284" s="52" t="str">
        <f>VLOOKUP(Stock[[#This Row],[Product ID]],Product[#All],4,0)</f>
        <v>Boat</v>
      </c>
      <c r="E284" s="52">
        <f>SUMIF(Opning[[#All],[Product_ID]],Stock[[#This Row],[Product ID]],Opning[[#All],[Opening_Qty]])</f>
        <v>24</v>
      </c>
      <c r="F284" s="52">
        <f>SUMIF(Purchase[[#All],[Product ID]],Stock[[#This Row],[Product ID]],Purchase[[#All],[Net Qty]])</f>
        <v>83</v>
      </c>
      <c r="G284" s="52">
        <f>Stock[[#This Row],[Opening Stock]]+Stock[[#This Row],[Purchase Stock]]</f>
        <v>107</v>
      </c>
      <c r="H284" s="52">
        <f>SUMIF(Sales[[#All],[Product ID]],Stock[[#This Row],[Product ID]],Sales[[#All],[Net QTY]])</f>
        <v>25</v>
      </c>
      <c r="I284" s="52">
        <f>Stock[[#This Row],[Total Stock]]-Stock[[#This Row],[Selling Stock]]</f>
        <v>82</v>
      </c>
      <c r="J284" s="52">
        <f>VLOOKUP(Stock[[#This Row],[Product ID]],Product[#All],8,0)</f>
        <v>25</v>
      </c>
      <c r="K284" s="52" t="str">
        <f>IF(Stock[[#This Row],[Available Stock]]&lt;=Stock[[#This Row],[Reorder Level]],"Reorder","OK")</f>
        <v>OK</v>
      </c>
    </row>
    <row r="285" spans="1:11" ht="18.75" x14ac:dyDescent="0.25">
      <c r="A285" s="52" t="str">
        <f>Product[[#This Row],[Product ID]]</f>
        <v>P0283</v>
      </c>
      <c r="B285" s="52" t="str">
        <f>VLOOKUP(Stock[[#This Row],[Product ID]],Product[#All],2,0)</f>
        <v>Corsair Ram</v>
      </c>
      <c r="C285" s="52" t="str">
        <f>VLOOKUP(Stock[[#This Row],[Product ID]],Product[#All],3,0)</f>
        <v>RAM</v>
      </c>
      <c r="D285" s="52" t="str">
        <f>VLOOKUP(Stock[[#This Row],[Product ID]],Product[#All],4,0)</f>
        <v>Corsair</v>
      </c>
      <c r="E285" s="52">
        <f>SUMIF(Opning[[#All],[Product_ID]],Stock[[#This Row],[Product ID]],Opning[[#All],[Opening_Qty]])</f>
        <v>50</v>
      </c>
      <c r="F285" s="52">
        <f>SUMIF(Purchase[[#All],[Product ID]],Stock[[#This Row],[Product ID]],Purchase[[#All],[Net Qty]])</f>
        <v>19</v>
      </c>
      <c r="G285" s="52">
        <f>Stock[[#This Row],[Opening Stock]]+Stock[[#This Row],[Purchase Stock]]</f>
        <v>69</v>
      </c>
      <c r="H285" s="52">
        <f>SUMIF(Sales[[#All],[Product ID]],Stock[[#This Row],[Product ID]],Sales[[#All],[Net QTY]])</f>
        <v>37</v>
      </c>
      <c r="I285" s="52">
        <f>Stock[[#This Row],[Total Stock]]-Stock[[#This Row],[Selling Stock]]</f>
        <v>32</v>
      </c>
      <c r="J285" s="52">
        <f>VLOOKUP(Stock[[#This Row],[Product ID]],Product[#All],8,0)</f>
        <v>25</v>
      </c>
      <c r="K285" s="52" t="str">
        <f>IF(Stock[[#This Row],[Available Stock]]&lt;=Stock[[#This Row],[Reorder Level]],"Reorder","OK")</f>
        <v>OK</v>
      </c>
    </row>
    <row r="286" spans="1:11" ht="18.75" x14ac:dyDescent="0.25">
      <c r="A286" s="52" t="str">
        <f>Product[[#This Row],[Product ID]]</f>
        <v>P0284</v>
      </c>
      <c r="B286" s="52" t="str">
        <f>VLOOKUP(Stock[[#This Row],[Product ID]],Product[#All],2,0)</f>
        <v>Canon Printer</v>
      </c>
      <c r="C286" s="52" t="str">
        <f>VLOOKUP(Stock[[#This Row],[Product ID]],Product[#All],3,0)</f>
        <v>Printer</v>
      </c>
      <c r="D286" s="52" t="str">
        <f>VLOOKUP(Stock[[#This Row],[Product ID]],Product[#All],4,0)</f>
        <v>Canon</v>
      </c>
      <c r="E286" s="52">
        <f>SUMIF(Opning[[#All],[Product_ID]],Stock[[#This Row],[Product ID]],Opning[[#All],[Opening_Qty]])</f>
        <v>43</v>
      </c>
      <c r="F286" s="52">
        <f>SUMIF(Purchase[[#All],[Product ID]],Stock[[#This Row],[Product ID]],Purchase[[#All],[Net Qty]])</f>
        <v>133</v>
      </c>
      <c r="G286" s="52">
        <f>Stock[[#This Row],[Opening Stock]]+Stock[[#This Row],[Purchase Stock]]</f>
        <v>176</v>
      </c>
      <c r="H286" s="52">
        <f>SUMIF(Sales[[#All],[Product ID]],Stock[[#This Row],[Product ID]],Sales[[#All],[Net QTY]])</f>
        <v>36</v>
      </c>
      <c r="I286" s="52">
        <f>Stock[[#This Row],[Total Stock]]-Stock[[#This Row],[Selling Stock]]</f>
        <v>140</v>
      </c>
      <c r="J286" s="52">
        <f>VLOOKUP(Stock[[#This Row],[Product ID]],Product[#All],8,0)</f>
        <v>20</v>
      </c>
      <c r="K286" s="52" t="str">
        <f>IF(Stock[[#This Row],[Available Stock]]&lt;=Stock[[#This Row],[Reorder Level]],"Reorder","OK")</f>
        <v>OK</v>
      </c>
    </row>
    <row r="287" spans="1:11" ht="18.75" x14ac:dyDescent="0.25">
      <c r="A287" s="52" t="str">
        <f>Product[[#This Row],[Product ID]]</f>
        <v>P0285</v>
      </c>
      <c r="B287" s="52" t="str">
        <f>VLOOKUP(Stock[[#This Row],[Product ID]],Product[#All],2,0)</f>
        <v>Microtek UPS</v>
      </c>
      <c r="C287" s="52" t="str">
        <f>VLOOKUP(Stock[[#This Row],[Product ID]],Product[#All],3,0)</f>
        <v>UPS</v>
      </c>
      <c r="D287" s="52" t="str">
        <f>VLOOKUP(Stock[[#This Row],[Product ID]],Product[#All],4,0)</f>
        <v>Microtek</v>
      </c>
      <c r="E287" s="52">
        <f>SUMIF(Opning[[#All],[Product_ID]],Stock[[#This Row],[Product ID]],Opning[[#All],[Opening_Qty]])</f>
        <v>9</v>
      </c>
      <c r="F287" s="52">
        <f>SUMIF(Purchase[[#All],[Product ID]],Stock[[#This Row],[Product ID]],Purchase[[#All],[Net Qty]])</f>
        <v>91</v>
      </c>
      <c r="G287" s="52">
        <f>Stock[[#This Row],[Opening Stock]]+Stock[[#This Row],[Purchase Stock]]</f>
        <v>100</v>
      </c>
      <c r="H287" s="52">
        <f>SUMIF(Sales[[#All],[Product ID]],Stock[[#This Row],[Product ID]],Sales[[#All],[Net QTY]])</f>
        <v>20</v>
      </c>
      <c r="I287" s="52">
        <f>Stock[[#This Row],[Total Stock]]-Stock[[#This Row],[Selling Stock]]</f>
        <v>80</v>
      </c>
      <c r="J287" s="52">
        <f>VLOOKUP(Stock[[#This Row],[Product ID]],Product[#All],8,0)</f>
        <v>20</v>
      </c>
      <c r="K287" s="52" t="str">
        <f>IF(Stock[[#This Row],[Available Stock]]&lt;=Stock[[#This Row],[Reorder Level]],"Reorder","OK")</f>
        <v>OK</v>
      </c>
    </row>
    <row r="288" spans="1:11" ht="18.75" x14ac:dyDescent="0.25">
      <c r="A288" s="52" t="str">
        <f>Product[[#This Row],[Product ID]]</f>
        <v>P0286</v>
      </c>
      <c r="B288" s="52" t="str">
        <f>VLOOKUP(Stock[[#This Row],[Product ID]],Product[#All],2,0)</f>
        <v>Amazon Basics Hdmi Cable</v>
      </c>
      <c r="C288" s="52" t="str">
        <f>VLOOKUP(Stock[[#This Row],[Product ID]],Product[#All],3,0)</f>
        <v>HDMI Cable</v>
      </c>
      <c r="D288" s="52" t="str">
        <f>VLOOKUP(Stock[[#This Row],[Product ID]],Product[#All],4,0)</f>
        <v>Amazon Basics</v>
      </c>
      <c r="E288" s="52">
        <f>SUMIF(Opning[[#All],[Product_ID]],Stock[[#This Row],[Product ID]],Opning[[#All],[Opening_Qty]])</f>
        <v>25</v>
      </c>
      <c r="F288" s="52">
        <f>SUMIF(Purchase[[#All],[Product ID]],Stock[[#This Row],[Product ID]],Purchase[[#All],[Net Qty]])</f>
        <v>47</v>
      </c>
      <c r="G288" s="52">
        <f>Stock[[#This Row],[Opening Stock]]+Stock[[#This Row],[Purchase Stock]]</f>
        <v>72</v>
      </c>
      <c r="H288" s="52">
        <f>SUMIF(Sales[[#All],[Product ID]],Stock[[#This Row],[Product ID]],Sales[[#All],[Net QTY]])</f>
        <v>30</v>
      </c>
      <c r="I288" s="52">
        <f>Stock[[#This Row],[Total Stock]]-Stock[[#This Row],[Selling Stock]]</f>
        <v>42</v>
      </c>
      <c r="J288" s="52">
        <f>VLOOKUP(Stock[[#This Row],[Product ID]],Product[#All],8,0)</f>
        <v>15</v>
      </c>
      <c r="K288" s="52" t="str">
        <f>IF(Stock[[#This Row],[Available Stock]]&lt;=Stock[[#This Row],[Reorder Level]],"Reorder","OK")</f>
        <v>OK</v>
      </c>
    </row>
    <row r="289" spans="1:11" ht="18.75" x14ac:dyDescent="0.25">
      <c r="A289" s="52" t="str">
        <f>Product[[#This Row],[Product ID]]</f>
        <v>P0287</v>
      </c>
      <c r="B289" s="52" t="str">
        <f>VLOOKUP(Stock[[#This Row],[Product ID]],Product[#All],2,0)</f>
        <v>Dell Monitor</v>
      </c>
      <c r="C289" s="52" t="str">
        <f>VLOOKUP(Stock[[#This Row],[Product ID]],Product[#All],3,0)</f>
        <v>Monitor</v>
      </c>
      <c r="D289" s="52" t="str">
        <f>VLOOKUP(Stock[[#This Row],[Product ID]],Product[#All],4,0)</f>
        <v>Dell</v>
      </c>
      <c r="E289" s="52">
        <f>SUMIF(Opning[[#All],[Product_ID]],Stock[[#This Row],[Product ID]],Opning[[#All],[Opening_Qty]])</f>
        <v>11</v>
      </c>
      <c r="F289" s="52">
        <f>SUMIF(Purchase[[#All],[Product ID]],Stock[[#This Row],[Product ID]],Purchase[[#All],[Net Qty]])</f>
        <v>91</v>
      </c>
      <c r="G289" s="52">
        <f>Stock[[#This Row],[Opening Stock]]+Stock[[#This Row],[Purchase Stock]]</f>
        <v>102</v>
      </c>
      <c r="H289" s="52">
        <f>SUMIF(Sales[[#All],[Product ID]],Stock[[#This Row],[Product ID]],Sales[[#All],[Net QTY]])</f>
        <v>32</v>
      </c>
      <c r="I289" s="52">
        <f>Stock[[#This Row],[Total Stock]]-Stock[[#This Row],[Selling Stock]]</f>
        <v>70</v>
      </c>
      <c r="J289" s="52">
        <f>VLOOKUP(Stock[[#This Row],[Product ID]],Product[#All],8,0)</f>
        <v>5</v>
      </c>
      <c r="K289" s="52" t="str">
        <f>IF(Stock[[#This Row],[Available Stock]]&lt;=Stock[[#This Row],[Reorder Level]],"Reorder","OK")</f>
        <v>OK</v>
      </c>
    </row>
    <row r="290" spans="1:11" ht="18.75" x14ac:dyDescent="0.25">
      <c r="A290" s="52" t="str">
        <f>Product[[#This Row],[Product ID]]</f>
        <v>P0288</v>
      </c>
      <c r="B290" s="52" t="str">
        <f>VLOOKUP(Stock[[#This Row],[Product ID]],Product[#All],2,0)</f>
        <v>HP Laptop</v>
      </c>
      <c r="C290" s="52" t="str">
        <f>VLOOKUP(Stock[[#This Row],[Product ID]],Product[#All],3,0)</f>
        <v>Laptop</v>
      </c>
      <c r="D290" s="52" t="str">
        <f>VLOOKUP(Stock[[#This Row],[Product ID]],Product[#All],4,0)</f>
        <v>HP</v>
      </c>
      <c r="E290" s="52">
        <f>SUMIF(Opning[[#All],[Product_ID]],Stock[[#This Row],[Product ID]],Opning[[#All],[Opening_Qty]])</f>
        <v>19</v>
      </c>
      <c r="F290" s="52">
        <f>SUMIF(Purchase[[#All],[Product ID]],Stock[[#This Row],[Product ID]],Purchase[[#All],[Net Qty]])</f>
        <v>84</v>
      </c>
      <c r="G290" s="52">
        <f>Stock[[#This Row],[Opening Stock]]+Stock[[#This Row],[Purchase Stock]]</f>
        <v>103</v>
      </c>
      <c r="H290" s="52">
        <f>SUMIF(Sales[[#All],[Product ID]],Stock[[#This Row],[Product ID]],Sales[[#All],[Net QTY]])</f>
        <v>41</v>
      </c>
      <c r="I290" s="52">
        <f>Stock[[#This Row],[Total Stock]]-Stock[[#This Row],[Selling Stock]]</f>
        <v>62</v>
      </c>
      <c r="J290" s="52">
        <f>VLOOKUP(Stock[[#This Row],[Product ID]],Product[#All],8,0)</f>
        <v>5</v>
      </c>
      <c r="K290" s="52" t="str">
        <f>IF(Stock[[#This Row],[Available Stock]]&lt;=Stock[[#This Row],[Reorder Level]],"Reorder","OK")</f>
        <v>OK</v>
      </c>
    </row>
    <row r="291" spans="1:11" ht="18.75" x14ac:dyDescent="0.25">
      <c r="A291" s="52" t="str">
        <f>Product[[#This Row],[Product ID]]</f>
        <v>P0289</v>
      </c>
      <c r="B291" s="52" t="str">
        <f>VLOOKUP(Stock[[#This Row],[Product ID]],Product[#All],2,0)</f>
        <v>Portronics USB Cable</v>
      </c>
      <c r="C291" s="52" t="str">
        <f>VLOOKUP(Stock[[#This Row],[Product ID]],Product[#All],3,0)</f>
        <v>USB Cable</v>
      </c>
      <c r="D291" s="52" t="str">
        <f>VLOOKUP(Stock[[#This Row],[Product ID]],Product[#All],4,0)</f>
        <v>Portronics</v>
      </c>
      <c r="E291" s="52">
        <f>SUMIF(Opning[[#All],[Product_ID]],Stock[[#This Row],[Product ID]],Opning[[#All],[Opening_Qty]])</f>
        <v>22</v>
      </c>
      <c r="F291" s="52">
        <f>SUMIF(Purchase[[#All],[Product ID]],Stock[[#This Row],[Product ID]],Purchase[[#All],[Net Qty]])</f>
        <v>88</v>
      </c>
      <c r="G291" s="52">
        <f>Stock[[#This Row],[Opening Stock]]+Stock[[#This Row],[Purchase Stock]]</f>
        <v>110</v>
      </c>
      <c r="H291" s="52">
        <f>SUMIF(Sales[[#All],[Product ID]],Stock[[#This Row],[Product ID]],Sales[[#All],[Net QTY]])</f>
        <v>53</v>
      </c>
      <c r="I291" s="52">
        <f>Stock[[#This Row],[Total Stock]]-Stock[[#This Row],[Selling Stock]]</f>
        <v>57</v>
      </c>
      <c r="J291" s="52">
        <f>VLOOKUP(Stock[[#This Row],[Product ID]],Product[#All],8,0)</f>
        <v>5</v>
      </c>
      <c r="K291" s="52" t="str">
        <f>IF(Stock[[#This Row],[Available Stock]]&lt;=Stock[[#This Row],[Reorder Level]],"Reorder","OK")</f>
        <v>OK</v>
      </c>
    </row>
    <row r="292" spans="1:11" ht="18.75" x14ac:dyDescent="0.25">
      <c r="A292" s="52" t="str">
        <f>Product[[#This Row],[Product ID]]</f>
        <v>P0290</v>
      </c>
      <c r="B292" s="52" t="str">
        <f>VLOOKUP(Stock[[#This Row],[Product ID]],Product[#All],2,0)</f>
        <v>WD HDD</v>
      </c>
      <c r="C292" s="52" t="str">
        <f>VLOOKUP(Stock[[#This Row],[Product ID]],Product[#All],3,0)</f>
        <v>HDD</v>
      </c>
      <c r="D292" s="52" t="str">
        <f>VLOOKUP(Stock[[#This Row],[Product ID]],Product[#All],4,0)</f>
        <v>WD</v>
      </c>
      <c r="E292" s="52">
        <f>SUMIF(Opning[[#All],[Product_ID]],Stock[[#This Row],[Product ID]],Opning[[#All],[Opening_Qty]])</f>
        <v>58</v>
      </c>
      <c r="F292" s="52">
        <f>SUMIF(Purchase[[#All],[Product ID]],Stock[[#This Row],[Product ID]],Purchase[[#All],[Net Qty]])</f>
        <v>40</v>
      </c>
      <c r="G292" s="52">
        <f>Stock[[#This Row],[Opening Stock]]+Stock[[#This Row],[Purchase Stock]]</f>
        <v>98</v>
      </c>
      <c r="H292" s="52">
        <f>SUMIF(Sales[[#All],[Product ID]],Stock[[#This Row],[Product ID]],Sales[[#All],[Net QTY]])</f>
        <v>57</v>
      </c>
      <c r="I292" s="52">
        <f>Stock[[#This Row],[Total Stock]]-Stock[[#This Row],[Selling Stock]]</f>
        <v>41</v>
      </c>
      <c r="J292" s="52">
        <f>VLOOKUP(Stock[[#This Row],[Product ID]],Product[#All],8,0)</f>
        <v>15</v>
      </c>
      <c r="K292" s="52" t="str">
        <f>IF(Stock[[#This Row],[Available Stock]]&lt;=Stock[[#This Row],[Reorder Level]],"Reorder","OK")</f>
        <v>OK</v>
      </c>
    </row>
    <row r="293" spans="1:11" ht="18.75" x14ac:dyDescent="0.25">
      <c r="A293" s="52" t="str">
        <f>Product[[#This Row],[Product ID]]</f>
        <v>P0291</v>
      </c>
      <c r="B293" s="52" t="str">
        <f>VLOOKUP(Stock[[#This Row],[Product ID]],Product[#All],2,0)</f>
        <v>Amazon Basics Hdmi Cable</v>
      </c>
      <c r="C293" s="52" t="str">
        <f>VLOOKUP(Stock[[#This Row],[Product ID]],Product[#All],3,0)</f>
        <v>HDMI Cable</v>
      </c>
      <c r="D293" s="52" t="str">
        <f>VLOOKUP(Stock[[#This Row],[Product ID]],Product[#All],4,0)</f>
        <v>Amazon Basics</v>
      </c>
      <c r="E293" s="52">
        <f>SUMIF(Opning[[#All],[Product_ID]],Stock[[#This Row],[Product ID]],Opning[[#All],[Opening_Qty]])</f>
        <v>28</v>
      </c>
      <c r="F293" s="52">
        <f>SUMIF(Purchase[[#All],[Product ID]],Stock[[#This Row],[Product ID]],Purchase[[#All],[Net Qty]])</f>
        <v>0</v>
      </c>
      <c r="G293" s="52">
        <f>Stock[[#This Row],[Opening Stock]]+Stock[[#This Row],[Purchase Stock]]</f>
        <v>28</v>
      </c>
      <c r="H293" s="52">
        <f>SUMIF(Sales[[#All],[Product ID]],Stock[[#This Row],[Product ID]],Sales[[#All],[Net QTY]])</f>
        <v>28</v>
      </c>
      <c r="I293" s="52">
        <f>Stock[[#This Row],[Total Stock]]-Stock[[#This Row],[Selling Stock]]</f>
        <v>0</v>
      </c>
      <c r="J293" s="52">
        <f>VLOOKUP(Stock[[#This Row],[Product ID]],Product[#All],8,0)</f>
        <v>25</v>
      </c>
      <c r="K293" s="52" t="str">
        <f>IF(Stock[[#This Row],[Available Stock]]&lt;=Stock[[#This Row],[Reorder Level]],"Reorder","OK")</f>
        <v>Reorder</v>
      </c>
    </row>
    <row r="294" spans="1:11" ht="18.75" x14ac:dyDescent="0.25">
      <c r="A294" s="52" t="str">
        <f>Product[[#This Row],[Product ID]]</f>
        <v>P0292</v>
      </c>
      <c r="B294" s="52" t="str">
        <f>VLOOKUP(Stock[[#This Row],[Product ID]],Product[#All],2,0)</f>
        <v>HP Laptop</v>
      </c>
      <c r="C294" s="52" t="str">
        <f>VLOOKUP(Stock[[#This Row],[Product ID]],Product[#All],3,0)</f>
        <v>Laptop</v>
      </c>
      <c r="D294" s="52" t="str">
        <f>VLOOKUP(Stock[[#This Row],[Product ID]],Product[#All],4,0)</f>
        <v>HP</v>
      </c>
      <c r="E294" s="52">
        <f>SUMIF(Opning[[#All],[Product_ID]],Stock[[#This Row],[Product ID]],Opning[[#All],[Opening_Qty]])</f>
        <v>19</v>
      </c>
      <c r="F294" s="52">
        <f>SUMIF(Purchase[[#All],[Product ID]],Stock[[#This Row],[Product ID]],Purchase[[#All],[Net Qty]])</f>
        <v>155</v>
      </c>
      <c r="G294" s="52">
        <f>Stock[[#This Row],[Opening Stock]]+Stock[[#This Row],[Purchase Stock]]</f>
        <v>174</v>
      </c>
      <c r="H294" s="52">
        <f>SUMIF(Sales[[#All],[Product ID]],Stock[[#This Row],[Product ID]],Sales[[#All],[Net QTY]])</f>
        <v>67</v>
      </c>
      <c r="I294" s="52">
        <f>Stock[[#This Row],[Total Stock]]-Stock[[#This Row],[Selling Stock]]</f>
        <v>107</v>
      </c>
      <c r="J294" s="52">
        <f>VLOOKUP(Stock[[#This Row],[Product ID]],Product[#All],8,0)</f>
        <v>25</v>
      </c>
      <c r="K294" s="52" t="str">
        <f>IF(Stock[[#This Row],[Available Stock]]&lt;=Stock[[#This Row],[Reorder Level]],"Reorder","OK")</f>
        <v>OK</v>
      </c>
    </row>
    <row r="295" spans="1:11" ht="18.75" x14ac:dyDescent="0.25">
      <c r="A295" s="52" t="str">
        <f>Product[[#This Row],[Product ID]]</f>
        <v>P0293</v>
      </c>
      <c r="B295" s="52" t="str">
        <f>VLOOKUP(Stock[[#This Row],[Product ID]],Product[#All],2,0)</f>
        <v>Logitech Mouse</v>
      </c>
      <c r="C295" s="52" t="str">
        <f>VLOOKUP(Stock[[#This Row],[Product ID]],Product[#All],3,0)</f>
        <v>Mouse</v>
      </c>
      <c r="D295" s="52" t="str">
        <f>VLOOKUP(Stock[[#This Row],[Product ID]],Product[#All],4,0)</f>
        <v>Logitech</v>
      </c>
      <c r="E295" s="52">
        <f>SUMIF(Opning[[#All],[Product_ID]],Stock[[#This Row],[Product ID]],Opning[[#All],[Opening_Qty]])</f>
        <v>27</v>
      </c>
      <c r="F295" s="52">
        <f>SUMIF(Purchase[[#All],[Product ID]],Stock[[#This Row],[Product ID]],Purchase[[#All],[Net Qty]])</f>
        <v>83</v>
      </c>
      <c r="G295" s="52">
        <f>Stock[[#This Row],[Opening Stock]]+Stock[[#This Row],[Purchase Stock]]</f>
        <v>110</v>
      </c>
      <c r="H295" s="52">
        <f>SUMIF(Sales[[#All],[Product ID]],Stock[[#This Row],[Product ID]],Sales[[#All],[Net QTY]])</f>
        <v>28</v>
      </c>
      <c r="I295" s="52">
        <f>Stock[[#This Row],[Total Stock]]-Stock[[#This Row],[Selling Stock]]</f>
        <v>82</v>
      </c>
      <c r="J295" s="52">
        <f>VLOOKUP(Stock[[#This Row],[Product ID]],Product[#All],8,0)</f>
        <v>10</v>
      </c>
      <c r="K295" s="52" t="str">
        <f>IF(Stock[[#This Row],[Available Stock]]&lt;=Stock[[#This Row],[Reorder Level]],"Reorder","OK")</f>
        <v>OK</v>
      </c>
    </row>
    <row r="296" spans="1:11" ht="18.75" x14ac:dyDescent="0.25">
      <c r="A296" s="52" t="str">
        <f>Product[[#This Row],[Product ID]]</f>
        <v>P0294</v>
      </c>
      <c r="B296" s="52" t="str">
        <f>VLOOKUP(Stock[[#This Row],[Product ID]],Product[#All],2,0)</f>
        <v>Jbl Speaker</v>
      </c>
      <c r="C296" s="52" t="str">
        <f>VLOOKUP(Stock[[#This Row],[Product ID]],Product[#All],3,0)</f>
        <v>Speaker</v>
      </c>
      <c r="D296" s="52" t="str">
        <f>VLOOKUP(Stock[[#This Row],[Product ID]],Product[#All],4,0)</f>
        <v>JBL</v>
      </c>
      <c r="E296" s="52">
        <f>SUMIF(Opning[[#All],[Product_ID]],Stock[[#This Row],[Product ID]],Opning[[#All],[Opening_Qty]])</f>
        <v>7</v>
      </c>
      <c r="F296" s="52">
        <f>SUMIF(Purchase[[#All],[Product ID]],Stock[[#This Row],[Product ID]],Purchase[[#All],[Net Qty]])</f>
        <v>51</v>
      </c>
      <c r="G296" s="52">
        <f>Stock[[#This Row],[Opening Stock]]+Stock[[#This Row],[Purchase Stock]]</f>
        <v>58</v>
      </c>
      <c r="H296" s="52">
        <f>SUMIF(Sales[[#All],[Product ID]],Stock[[#This Row],[Product ID]],Sales[[#All],[Net QTY]])</f>
        <v>30</v>
      </c>
      <c r="I296" s="52">
        <f>Stock[[#This Row],[Total Stock]]-Stock[[#This Row],[Selling Stock]]</f>
        <v>28</v>
      </c>
      <c r="J296" s="52">
        <f>VLOOKUP(Stock[[#This Row],[Product ID]],Product[#All],8,0)</f>
        <v>20</v>
      </c>
      <c r="K296" s="52" t="str">
        <f>IF(Stock[[#This Row],[Available Stock]]&lt;=Stock[[#This Row],[Reorder Level]],"Reorder","OK")</f>
        <v>OK</v>
      </c>
    </row>
    <row r="297" spans="1:11" ht="18.75" x14ac:dyDescent="0.25">
      <c r="A297" s="52" t="str">
        <f>Product[[#This Row],[Product ID]]</f>
        <v>P0295</v>
      </c>
      <c r="B297" s="52" t="str">
        <f>VLOOKUP(Stock[[#This Row],[Product ID]],Product[#All],2,0)</f>
        <v>Samsung Monitor</v>
      </c>
      <c r="C297" s="52" t="str">
        <f>VLOOKUP(Stock[[#This Row],[Product ID]],Product[#All],3,0)</f>
        <v>Monitor</v>
      </c>
      <c r="D297" s="52" t="str">
        <f>VLOOKUP(Stock[[#This Row],[Product ID]],Product[#All],4,0)</f>
        <v>Samsung</v>
      </c>
      <c r="E297" s="52">
        <f>SUMIF(Opning[[#All],[Product_ID]],Stock[[#This Row],[Product ID]],Opning[[#All],[Opening_Qty]])</f>
        <v>51</v>
      </c>
      <c r="F297" s="52">
        <f>SUMIF(Purchase[[#All],[Product ID]],Stock[[#This Row],[Product ID]],Purchase[[#All],[Net Qty]])</f>
        <v>87</v>
      </c>
      <c r="G297" s="52">
        <f>Stock[[#This Row],[Opening Stock]]+Stock[[#This Row],[Purchase Stock]]</f>
        <v>138</v>
      </c>
      <c r="H297" s="52">
        <f>SUMIF(Sales[[#All],[Product ID]],Stock[[#This Row],[Product ID]],Sales[[#All],[Net QTY]])</f>
        <v>42</v>
      </c>
      <c r="I297" s="52">
        <f>Stock[[#This Row],[Total Stock]]-Stock[[#This Row],[Selling Stock]]</f>
        <v>96</v>
      </c>
      <c r="J297" s="52">
        <f>VLOOKUP(Stock[[#This Row],[Product ID]],Product[#All],8,0)</f>
        <v>20</v>
      </c>
      <c r="K297" s="52" t="str">
        <f>IF(Stock[[#This Row],[Available Stock]]&lt;=Stock[[#This Row],[Reorder Level]],"Reorder","OK")</f>
        <v>OK</v>
      </c>
    </row>
    <row r="298" spans="1:11" ht="18.75" x14ac:dyDescent="0.25">
      <c r="A298" s="52" t="str">
        <f>Product[[#This Row],[Product ID]]</f>
        <v>P0296</v>
      </c>
      <c r="B298" s="52" t="str">
        <f>VLOOKUP(Stock[[#This Row],[Product ID]],Product[#All],2,0)</f>
        <v>Apc UPS</v>
      </c>
      <c r="C298" s="52" t="str">
        <f>VLOOKUP(Stock[[#This Row],[Product ID]],Product[#All],3,0)</f>
        <v>UPS</v>
      </c>
      <c r="D298" s="52" t="str">
        <f>VLOOKUP(Stock[[#This Row],[Product ID]],Product[#All],4,0)</f>
        <v>APC</v>
      </c>
      <c r="E298" s="52">
        <f>SUMIF(Opning[[#All],[Product_ID]],Stock[[#This Row],[Product ID]],Opning[[#All],[Opening_Qty]])</f>
        <v>23</v>
      </c>
      <c r="F298" s="52">
        <f>SUMIF(Purchase[[#All],[Product ID]],Stock[[#This Row],[Product ID]],Purchase[[#All],[Net Qty]])</f>
        <v>108</v>
      </c>
      <c r="G298" s="52">
        <f>Stock[[#This Row],[Opening Stock]]+Stock[[#This Row],[Purchase Stock]]</f>
        <v>131</v>
      </c>
      <c r="H298" s="52">
        <f>SUMIF(Sales[[#All],[Product ID]],Stock[[#This Row],[Product ID]],Sales[[#All],[Net QTY]])</f>
        <v>33</v>
      </c>
      <c r="I298" s="52">
        <f>Stock[[#This Row],[Total Stock]]-Stock[[#This Row],[Selling Stock]]</f>
        <v>98</v>
      </c>
      <c r="J298" s="52">
        <f>VLOOKUP(Stock[[#This Row],[Product ID]],Product[#All],8,0)</f>
        <v>5</v>
      </c>
      <c r="K298" s="52" t="str">
        <f>IF(Stock[[#This Row],[Available Stock]]&lt;=Stock[[#This Row],[Reorder Level]],"Reorder","OK")</f>
        <v>OK</v>
      </c>
    </row>
    <row r="299" spans="1:11" ht="18.75" x14ac:dyDescent="0.25">
      <c r="A299" s="52" t="str">
        <f>Product[[#This Row],[Product ID]]</f>
        <v>P0297</v>
      </c>
      <c r="B299" s="52" t="str">
        <f>VLOOKUP(Stock[[#This Row],[Product ID]],Product[#All],2,0)</f>
        <v>Logitech Mouse</v>
      </c>
      <c r="C299" s="52" t="str">
        <f>VLOOKUP(Stock[[#This Row],[Product ID]],Product[#All],3,0)</f>
        <v>Mouse</v>
      </c>
      <c r="D299" s="52" t="str">
        <f>VLOOKUP(Stock[[#This Row],[Product ID]],Product[#All],4,0)</f>
        <v>Logitech</v>
      </c>
      <c r="E299" s="52">
        <f>SUMIF(Opning[[#All],[Product_ID]],Stock[[#This Row],[Product ID]],Opning[[#All],[Opening_Qty]])</f>
        <v>56</v>
      </c>
      <c r="F299" s="52">
        <f>SUMIF(Purchase[[#All],[Product ID]],Stock[[#This Row],[Product ID]],Purchase[[#All],[Net Qty]])</f>
        <v>58</v>
      </c>
      <c r="G299" s="52">
        <f>Stock[[#This Row],[Opening Stock]]+Stock[[#This Row],[Purchase Stock]]</f>
        <v>114</v>
      </c>
      <c r="H299" s="52">
        <f>SUMIF(Sales[[#All],[Product ID]],Stock[[#This Row],[Product ID]],Sales[[#All],[Net QTY]])</f>
        <v>50</v>
      </c>
      <c r="I299" s="52">
        <f>Stock[[#This Row],[Total Stock]]-Stock[[#This Row],[Selling Stock]]</f>
        <v>64</v>
      </c>
      <c r="J299" s="52">
        <f>VLOOKUP(Stock[[#This Row],[Product ID]],Product[#All],8,0)</f>
        <v>8</v>
      </c>
      <c r="K299" s="52" t="str">
        <f>IF(Stock[[#This Row],[Available Stock]]&lt;=Stock[[#This Row],[Reorder Level]],"Reorder","OK")</f>
        <v>OK</v>
      </c>
    </row>
    <row r="300" spans="1:11" ht="18.75" x14ac:dyDescent="0.25">
      <c r="A300" s="52" t="str">
        <f>Product[[#This Row],[Product ID]]</f>
        <v>P0298</v>
      </c>
      <c r="B300" s="52" t="str">
        <f>VLOOKUP(Stock[[#This Row],[Product ID]],Product[#All],2,0)</f>
        <v>Seagate HDD</v>
      </c>
      <c r="C300" s="52" t="str">
        <f>VLOOKUP(Stock[[#This Row],[Product ID]],Product[#All],3,0)</f>
        <v xml:space="preserve">HDD </v>
      </c>
      <c r="D300" s="52" t="str">
        <f>VLOOKUP(Stock[[#This Row],[Product ID]],Product[#All],4,0)</f>
        <v>Seagate</v>
      </c>
      <c r="E300" s="52">
        <f>SUMIF(Opning[[#All],[Product_ID]],Stock[[#This Row],[Product ID]],Opning[[#All],[Opening_Qty]])</f>
        <v>12</v>
      </c>
      <c r="F300" s="52">
        <f>SUMIF(Purchase[[#All],[Product ID]],Stock[[#This Row],[Product ID]],Purchase[[#All],[Net Qty]])</f>
        <v>84</v>
      </c>
      <c r="G300" s="52">
        <f>Stock[[#This Row],[Opening Stock]]+Stock[[#This Row],[Purchase Stock]]</f>
        <v>96</v>
      </c>
      <c r="H300" s="52">
        <f>SUMIF(Sales[[#All],[Product ID]],Stock[[#This Row],[Product ID]],Sales[[#All],[Net QTY]])</f>
        <v>32</v>
      </c>
      <c r="I300" s="52">
        <f>Stock[[#This Row],[Total Stock]]-Stock[[#This Row],[Selling Stock]]</f>
        <v>64</v>
      </c>
      <c r="J300" s="52">
        <f>VLOOKUP(Stock[[#This Row],[Product ID]],Product[#All],8,0)</f>
        <v>20</v>
      </c>
      <c r="K300" s="52" t="str">
        <f>IF(Stock[[#This Row],[Available Stock]]&lt;=Stock[[#This Row],[Reorder Level]],"Reorder","OK")</f>
        <v>OK</v>
      </c>
    </row>
    <row r="301" spans="1:11" ht="18.75" x14ac:dyDescent="0.25">
      <c r="A301" s="52" t="str">
        <f>Product[[#This Row],[Product ID]]</f>
        <v>P0299</v>
      </c>
      <c r="B301" s="52" t="str">
        <f>VLOOKUP(Stock[[#This Row],[Product ID]],Product[#All],2,0)</f>
        <v>HP Desktop</v>
      </c>
      <c r="C301" s="52" t="str">
        <f>VLOOKUP(Stock[[#This Row],[Product ID]],Product[#All],3,0)</f>
        <v>Desktop</v>
      </c>
      <c r="D301" s="52" t="str">
        <f>VLOOKUP(Stock[[#This Row],[Product ID]],Product[#All],4,0)</f>
        <v>HP</v>
      </c>
      <c r="E301" s="52">
        <f>SUMIF(Opning[[#All],[Product_ID]],Stock[[#This Row],[Product ID]],Opning[[#All],[Opening_Qty]])</f>
        <v>40</v>
      </c>
      <c r="F301" s="52">
        <f>SUMIF(Purchase[[#All],[Product ID]],Stock[[#This Row],[Product ID]],Purchase[[#All],[Net Qty]])</f>
        <v>109</v>
      </c>
      <c r="G301" s="52">
        <f>Stock[[#This Row],[Opening Stock]]+Stock[[#This Row],[Purchase Stock]]</f>
        <v>149</v>
      </c>
      <c r="H301" s="52">
        <f>SUMIF(Sales[[#All],[Product ID]],Stock[[#This Row],[Product ID]],Sales[[#All],[Net QTY]])</f>
        <v>36</v>
      </c>
      <c r="I301" s="52">
        <f>Stock[[#This Row],[Total Stock]]-Stock[[#This Row],[Selling Stock]]</f>
        <v>113</v>
      </c>
      <c r="J301" s="52">
        <f>VLOOKUP(Stock[[#This Row],[Product ID]],Product[#All],8,0)</f>
        <v>25</v>
      </c>
      <c r="K301" s="52" t="str">
        <f>IF(Stock[[#This Row],[Available Stock]]&lt;=Stock[[#This Row],[Reorder Level]],"Reorder","OK")</f>
        <v>OK</v>
      </c>
    </row>
    <row r="302" spans="1:11" ht="18.75" x14ac:dyDescent="0.25">
      <c r="A302" s="52" t="str">
        <f>Product[[#This Row],[Product ID]]</f>
        <v>P0300</v>
      </c>
      <c r="B302" s="52" t="str">
        <f>VLOOKUP(Stock[[#This Row],[Product ID]],Product[#All],2,0)</f>
        <v>Dell Monitor</v>
      </c>
      <c r="C302" s="52" t="str">
        <f>VLOOKUP(Stock[[#This Row],[Product ID]],Product[#All],3,0)</f>
        <v>Monitor</v>
      </c>
      <c r="D302" s="52" t="str">
        <f>VLOOKUP(Stock[[#This Row],[Product ID]],Product[#All],4,0)</f>
        <v>Dell</v>
      </c>
      <c r="E302" s="52">
        <f>SUMIF(Opning[[#All],[Product_ID]],Stock[[#This Row],[Product ID]],Opning[[#All],[Opening_Qty]])</f>
        <v>45</v>
      </c>
      <c r="F302" s="52">
        <f>SUMIF(Purchase[[#All],[Product ID]],Stock[[#This Row],[Product ID]],Purchase[[#All],[Net Qty]])</f>
        <v>39</v>
      </c>
      <c r="G302" s="52">
        <f>Stock[[#This Row],[Opening Stock]]+Stock[[#This Row],[Purchase Stock]]</f>
        <v>84</v>
      </c>
      <c r="H302" s="52">
        <f>SUMIF(Sales[[#All],[Product ID]],Stock[[#This Row],[Product ID]],Sales[[#All],[Net QTY]])</f>
        <v>53</v>
      </c>
      <c r="I302" s="52">
        <f>Stock[[#This Row],[Total Stock]]-Stock[[#This Row],[Selling Stock]]</f>
        <v>31</v>
      </c>
      <c r="J302" s="52">
        <f>VLOOKUP(Stock[[#This Row],[Product ID]],Product[#All],8,0)</f>
        <v>8</v>
      </c>
      <c r="K302" s="52" t="str">
        <f>IF(Stock[[#This Row],[Available Stock]]&lt;=Stock[[#This Row],[Reorder Level]],"Reorder","OK")</f>
        <v>OK</v>
      </c>
    </row>
    <row r="303" spans="1:11" ht="18.75" x14ac:dyDescent="0.25">
      <c r="A303" s="52" t="str">
        <f>Product[[#This Row],[Product ID]]</f>
        <v>P0301</v>
      </c>
      <c r="B303" s="52" t="str">
        <f>VLOOKUP(Stock[[#This Row],[Product ID]],Product[#All],2,0)</f>
        <v>HP Power Adapter</v>
      </c>
      <c r="C303" s="52" t="str">
        <f>VLOOKUP(Stock[[#This Row],[Product ID]],Product[#All],3,0)</f>
        <v>Power Adapter</v>
      </c>
      <c r="D303" s="52" t="str">
        <f>VLOOKUP(Stock[[#This Row],[Product ID]],Product[#All],4,0)</f>
        <v>HP</v>
      </c>
      <c r="E303" s="52">
        <f>SUMIF(Opning[[#All],[Product_ID]],Stock[[#This Row],[Product ID]],Opning[[#All],[Opening_Qty]])</f>
        <v>21</v>
      </c>
      <c r="F303" s="52">
        <f>SUMIF(Purchase[[#All],[Product ID]],Stock[[#This Row],[Product ID]],Purchase[[#All],[Net Qty]])</f>
        <v>35</v>
      </c>
      <c r="G303" s="52">
        <f>Stock[[#This Row],[Opening Stock]]+Stock[[#This Row],[Purchase Stock]]</f>
        <v>56</v>
      </c>
      <c r="H303" s="52">
        <f>SUMIF(Sales[[#All],[Product ID]],Stock[[#This Row],[Product ID]],Sales[[#All],[Net QTY]])</f>
        <v>16</v>
      </c>
      <c r="I303" s="52">
        <f>Stock[[#This Row],[Total Stock]]-Stock[[#This Row],[Selling Stock]]</f>
        <v>40</v>
      </c>
      <c r="J303" s="52">
        <f>VLOOKUP(Stock[[#This Row],[Product ID]],Product[#All],8,0)</f>
        <v>15</v>
      </c>
      <c r="K303" s="52" t="str">
        <f>IF(Stock[[#This Row],[Available Stock]]&lt;=Stock[[#This Row],[Reorder Level]],"Reorder","OK")</f>
        <v>OK</v>
      </c>
    </row>
    <row r="304" spans="1:11" ht="18.75" x14ac:dyDescent="0.25">
      <c r="A304" s="52" t="str">
        <f>Product[[#This Row],[Product ID]]</f>
        <v>P0302</v>
      </c>
      <c r="B304" s="52" t="str">
        <f>VLOOKUP(Stock[[#This Row],[Product ID]],Product[#All],2,0)</f>
        <v>Corsair Ram</v>
      </c>
      <c r="C304" s="52" t="str">
        <f>VLOOKUP(Stock[[#This Row],[Product ID]],Product[#All],3,0)</f>
        <v>RAM</v>
      </c>
      <c r="D304" s="52" t="str">
        <f>VLOOKUP(Stock[[#This Row],[Product ID]],Product[#All],4,0)</f>
        <v>Corsair</v>
      </c>
      <c r="E304" s="52">
        <f>SUMIF(Opning[[#All],[Product_ID]],Stock[[#This Row],[Product ID]],Opning[[#All],[Opening_Qty]])</f>
        <v>54</v>
      </c>
      <c r="F304" s="52">
        <f>SUMIF(Purchase[[#All],[Product ID]],Stock[[#This Row],[Product ID]],Purchase[[#All],[Net Qty]])</f>
        <v>156</v>
      </c>
      <c r="G304" s="52">
        <f>Stock[[#This Row],[Opening Stock]]+Stock[[#This Row],[Purchase Stock]]</f>
        <v>210</v>
      </c>
      <c r="H304" s="52">
        <f>SUMIF(Sales[[#All],[Product ID]],Stock[[#This Row],[Product ID]],Sales[[#All],[Net QTY]])</f>
        <v>58</v>
      </c>
      <c r="I304" s="52">
        <f>Stock[[#This Row],[Total Stock]]-Stock[[#This Row],[Selling Stock]]</f>
        <v>152</v>
      </c>
      <c r="J304" s="52">
        <f>VLOOKUP(Stock[[#This Row],[Product ID]],Product[#All],8,0)</f>
        <v>10</v>
      </c>
      <c r="K304" s="52" t="str">
        <f>IF(Stock[[#This Row],[Available Stock]]&lt;=Stock[[#This Row],[Reorder Level]],"Reorder","OK")</f>
        <v>OK</v>
      </c>
    </row>
    <row r="305" spans="1:11" ht="18.75" x14ac:dyDescent="0.25">
      <c r="A305" s="52" t="str">
        <f>Product[[#This Row],[Product ID]]</f>
        <v>P0303</v>
      </c>
      <c r="B305" s="52" t="str">
        <f>VLOOKUP(Stock[[#This Row],[Product ID]],Product[#All],2,0)</f>
        <v>Samsung Ssd</v>
      </c>
      <c r="C305" s="52" t="str">
        <f>VLOOKUP(Stock[[#This Row],[Product ID]],Product[#All],3,0)</f>
        <v>SSD</v>
      </c>
      <c r="D305" s="52" t="str">
        <f>VLOOKUP(Stock[[#This Row],[Product ID]],Product[#All],4,0)</f>
        <v>Samsung</v>
      </c>
      <c r="E305" s="52">
        <f>SUMIF(Opning[[#All],[Product_ID]],Stock[[#This Row],[Product ID]],Opning[[#All],[Opening_Qty]])</f>
        <v>22</v>
      </c>
      <c r="F305" s="52">
        <f>SUMIF(Purchase[[#All],[Product ID]],Stock[[#This Row],[Product ID]],Purchase[[#All],[Net Qty]])</f>
        <v>74</v>
      </c>
      <c r="G305" s="52">
        <f>Stock[[#This Row],[Opening Stock]]+Stock[[#This Row],[Purchase Stock]]</f>
        <v>96</v>
      </c>
      <c r="H305" s="52">
        <f>SUMIF(Sales[[#All],[Product ID]],Stock[[#This Row],[Product ID]],Sales[[#All],[Net QTY]])</f>
        <v>60</v>
      </c>
      <c r="I305" s="52">
        <f>Stock[[#This Row],[Total Stock]]-Stock[[#This Row],[Selling Stock]]</f>
        <v>36</v>
      </c>
      <c r="J305" s="52">
        <f>VLOOKUP(Stock[[#This Row],[Product ID]],Product[#All],8,0)</f>
        <v>10</v>
      </c>
      <c r="K305" s="52" t="str">
        <f>IF(Stock[[#This Row],[Available Stock]]&lt;=Stock[[#This Row],[Reorder Level]],"Reorder","OK")</f>
        <v>OK</v>
      </c>
    </row>
    <row r="306" spans="1:11" ht="18.75" x14ac:dyDescent="0.25">
      <c r="A306" s="52" t="str">
        <f>Product[[#This Row],[Product ID]]</f>
        <v>P0304</v>
      </c>
      <c r="B306" s="52" t="str">
        <f>VLOOKUP(Stock[[#This Row],[Product ID]],Product[#All],2,0)</f>
        <v>TP-link Router</v>
      </c>
      <c r="C306" s="52" t="str">
        <f>VLOOKUP(Stock[[#This Row],[Product ID]],Product[#All],3,0)</f>
        <v>Router</v>
      </c>
      <c r="D306" s="52" t="str">
        <f>VLOOKUP(Stock[[#This Row],[Product ID]],Product[#All],4,0)</f>
        <v>TP-link</v>
      </c>
      <c r="E306" s="52">
        <f>SUMIF(Opning[[#All],[Product_ID]],Stock[[#This Row],[Product ID]],Opning[[#All],[Opening_Qty]])</f>
        <v>52</v>
      </c>
      <c r="F306" s="52">
        <f>SUMIF(Purchase[[#All],[Product ID]],Stock[[#This Row],[Product ID]],Purchase[[#All],[Net Qty]])</f>
        <v>50</v>
      </c>
      <c r="G306" s="52">
        <f>Stock[[#This Row],[Opening Stock]]+Stock[[#This Row],[Purchase Stock]]</f>
        <v>102</v>
      </c>
      <c r="H306" s="52">
        <f>SUMIF(Sales[[#All],[Product ID]],Stock[[#This Row],[Product ID]],Sales[[#All],[Net QTY]])</f>
        <v>44</v>
      </c>
      <c r="I306" s="52">
        <f>Stock[[#This Row],[Total Stock]]-Stock[[#This Row],[Selling Stock]]</f>
        <v>58</v>
      </c>
      <c r="J306" s="52">
        <f>VLOOKUP(Stock[[#This Row],[Product ID]],Product[#All],8,0)</f>
        <v>8</v>
      </c>
      <c r="K306" s="52" t="str">
        <f>IF(Stock[[#This Row],[Available Stock]]&lt;=Stock[[#This Row],[Reorder Level]],"Reorder","OK")</f>
        <v>OK</v>
      </c>
    </row>
    <row r="307" spans="1:11" ht="18.75" x14ac:dyDescent="0.25">
      <c r="A307" s="52" t="str">
        <f>Product[[#This Row],[Product ID]]</f>
        <v>P0305</v>
      </c>
      <c r="B307" s="52" t="str">
        <f>VLOOKUP(Stock[[#This Row],[Product ID]],Product[#All],2,0)</f>
        <v>Sandisk Pen Drive</v>
      </c>
      <c r="C307" s="52" t="str">
        <f>VLOOKUP(Stock[[#This Row],[Product ID]],Product[#All],3,0)</f>
        <v>Pen Drive</v>
      </c>
      <c r="D307" s="52" t="str">
        <f>VLOOKUP(Stock[[#This Row],[Product ID]],Product[#All],4,0)</f>
        <v>SanDisk</v>
      </c>
      <c r="E307" s="52">
        <f>SUMIF(Opning[[#All],[Product_ID]],Stock[[#This Row],[Product ID]],Opning[[#All],[Opening_Qty]])</f>
        <v>58</v>
      </c>
      <c r="F307" s="52">
        <f>SUMIF(Purchase[[#All],[Product ID]],Stock[[#This Row],[Product ID]],Purchase[[#All],[Net Qty]])</f>
        <v>159</v>
      </c>
      <c r="G307" s="52">
        <f>Stock[[#This Row],[Opening Stock]]+Stock[[#This Row],[Purchase Stock]]</f>
        <v>217</v>
      </c>
      <c r="H307" s="52">
        <f>SUMIF(Sales[[#All],[Product ID]],Stock[[#This Row],[Product ID]],Sales[[#All],[Net QTY]])</f>
        <v>39</v>
      </c>
      <c r="I307" s="52">
        <f>Stock[[#This Row],[Total Stock]]-Stock[[#This Row],[Selling Stock]]</f>
        <v>178</v>
      </c>
      <c r="J307" s="52">
        <f>VLOOKUP(Stock[[#This Row],[Product ID]],Product[#All],8,0)</f>
        <v>20</v>
      </c>
      <c r="K307" s="52" t="str">
        <f>IF(Stock[[#This Row],[Available Stock]]&lt;=Stock[[#This Row],[Reorder Level]],"Reorder","OK")</f>
        <v>OK</v>
      </c>
    </row>
    <row r="308" spans="1:11" ht="18.75" x14ac:dyDescent="0.25">
      <c r="A308" s="52" t="str">
        <f>Product[[#This Row],[Product ID]]</f>
        <v>P0306</v>
      </c>
      <c r="B308" s="52" t="str">
        <f>VLOOKUP(Stock[[#This Row],[Product ID]],Product[#All],2,0)</f>
        <v>Canon Printer</v>
      </c>
      <c r="C308" s="52" t="str">
        <f>VLOOKUP(Stock[[#This Row],[Product ID]],Product[#All],3,0)</f>
        <v>Printer</v>
      </c>
      <c r="D308" s="52" t="str">
        <f>VLOOKUP(Stock[[#This Row],[Product ID]],Product[#All],4,0)</f>
        <v>Canon</v>
      </c>
      <c r="E308" s="52">
        <f>SUMIF(Opning[[#All],[Product_ID]],Stock[[#This Row],[Product ID]],Opning[[#All],[Opening_Qty]])</f>
        <v>13</v>
      </c>
      <c r="F308" s="52">
        <f>SUMIF(Purchase[[#All],[Product ID]],Stock[[#This Row],[Product ID]],Purchase[[#All],[Net Qty]])</f>
        <v>146</v>
      </c>
      <c r="G308" s="52">
        <f>Stock[[#This Row],[Opening Stock]]+Stock[[#This Row],[Purchase Stock]]</f>
        <v>159</v>
      </c>
      <c r="H308" s="52">
        <f>SUMIF(Sales[[#All],[Product ID]],Stock[[#This Row],[Product ID]],Sales[[#All],[Net QTY]])</f>
        <v>50</v>
      </c>
      <c r="I308" s="52">
        <f>Stock[[#This Row],[Total Stock]]-Stock[[#This Row],[Selling Stock]]</f>
        <v>109</v>
      </c>
      <c r="J308" s="52">
        <f>VLOOKUP(Stock[[#This Row],[Product ID]],Product[#All],8,0)</f>
        <v>8</v>
      </c>
      <c r="K308" s="52" t="str">
        <f>IF(Stock[[#This Row],[Available Stock]]&lt;=Stock[[#This Row],[Reorder Level]],"Reorder","OK")</f>
        <v>OK</v>
      </c>
    </row>
    <row r="309" spans="1:11" ht="18.75" x14ac:dyDescent="0.25">
      <c r="A309" s="52" t="str">
        <f>Product[[#This Row],[Product ID]]</f>
        <v>P0307</v>
      </c>
      <c r="B309" s="52" t="str">
        <f>VLOOKUP(Stock[[#This Row],[Product ID]],Product[#All],2,0)</f>
        <v>Epson Printer</v>
      </c>
      <c r="C309" s="52" t="str">
        <f>VLOOKUP(Stock[[#This Row],[Product ID]],Product[#All],3,0)</f>
        <v>Printer</v>
      </c>
      <c r="D309" s="52" t="str">
        <f>VLOOKUP(Stock[[#This Row],[Product ID]],Product[#All],4,0)</f>
        <v>Epson</v>
      </c>
      <c r="E309" s="52">
        <f>SUMIF(Opning[[#All],[Product_ID]],Stock[[#This Row],[Product ID]],Opning[[#All],[Opening_Qty]])</f>
        <v>17</v>
      </c>
      <c r="F309" s="52">
        <f>SUMIF(Purchase[[#All],[Product ID]],Stock[[#This Row],[Product ID]],Purchase[[#All],[Net Qty]])</f>
        <v>69</v>
      </c>
      <c r="G309" s="52">
        <f>Stock[[#This Row],[Opening Stock]]+Stock[[#This Row],[Purchase Stock]]</f>
        <v>86</v>
      </c>
      <c r="H309" s="52">
        <f>SUMIF(Sales[[#All],[Product ID]],Stock[[#This Row],[Product ID]],Sales[[#All],[Net QTY]])</f>
        <v>46</v>
      </c>
      <c r="I309" s="52">
        <f>Stock[[#This Row],[Total Stock]]-Stock[[#This Row],[Selling Stock]]</f>
        <v>40</v>
      </c>
      <c r="J309" s="52">
        <f>VLOOKUP(Stock[[#This Row],[Product ID]],Product[#All],8,0)</f>
        <v>10</v>
      </c>
      <c r="K309" s="52" t="str">
        <f>IF(Stock[[#This Row],[Available Stock]]&lt;=Stock[[#This Row],[Reorder Level]],"Reorder","OK")</f>
        <v>OK</v>
      </c>
    </row>
    <row r="310" spans="1:11" ht="18.75" x14ac:dyDescent="0.25">
      <c r="A310" s="52" t="str">
        <f>Product[[#This Row],[Product ID]]</f>
        <v>P0308</v>
      </c>
      <c r="B310" s="52" t="str">
        <f>VLOOKUP(Stock[[#This Row],[Product ID]],Product[#All],2,0)</f>
        <v>Dell Power Adapter</v>
      </c>
      <c r="C310" s="52" t="str">
        <f>VLOOKUP(Stock[[#This Row],[Product ID]],Product[#All],3,0)</f>
        <v>Power Adapter</v>
      </c>
      <c r="D310" s="52" t="str">
        <f>VLOOKUP(Stock[[#This Row],[Product ID]],Product[#All],4,0)</f>
        <v>Dell</v>
      </c>
      <c r="E310" s="52">
        <f>SUMIF(Opning[[#All],[Product_ID]],Stock[[#This Row],[Product ID]],Opning[[#All],[Opening_Qty]])</f>
        <v>17</v>
      </c>
      <c r="F310" s="52">
        <f>SUMIF(Purchase[[#All],[Product ID]],Stock[[#This Row],[Product ID]],Purchase[[#All],[Net Qty]])</f>
        <v>177</v>
      </c>
      <c r="G310" s="52">
        <f>Stock[[#This Row],[Opening Stock]]+Stock[[#This Row],[Purchase Stock]]</f>
        <v>194</v>
      </c>
      <c r="H310" s="52">
        <f>SUMIF(Sales[[#All],[Product ID]],Stock[[#This Row],[Product ID]],Sales[[#All],[Net QTY]])</f>
        <v>59</v>
      </c>
      <c r="I310" s="52">
        <f>Stock[[#This Row],[Total Stock]]-Stock[[#This Row],[Selling Stock]]</f>
        <v>135</v>
      </c>
      <c r="J310" s="52">
        <f>VLOOKUP(Stock[[#This Row],[Product ID]],Product[#All],8,0)</f>
        <v>15</v>
      </c>
      <c r="K310" s="52" t="str">
        <f>IF(Stock[[#This Row],[Available Stock]]&lt;=Stock[[#This Row],[Reorder Level]],"Reorder","OK")</f>
        <v>OK</v>
      </c>
    </row>
    <row r="311" spans="1:11" ht="18.75" x14ac:dyDescent="0.25">
      <c r="A311" s="52" t="str">
        <f>Product[[#This Row],[Product ID]]</f>
        <v>P0309</v>
      </c>
      <c r="B311" s="52" t="str">
        <f>VLOOKUP(Stock[[#This Row],[Product ID]],Product[#All],2,0)</f>
        <v>Dell Desktop</v>
      </c>
      <c r="C311" s="52" t="str">
        <f>VLOOKUP(Stock[[#This Row],[Product ID]],Product[#All],3,0)</f>
        <v>Desktop</v>
      </c>
      <c r="D311" s="52" t="str">
        <f>VLOOKUP(Stock[[#This Row],[Product ID]],Product[#All],4,0)</f>
        <v>Dell</v>
      </c>
      <c r="E311" s="52">
        <f>SUMIF(Opning[[#All],[Product_ID]],Stock[[#This Row],[Product ID]],Opning[[#All],[Opening_Qty]])</f>
        <v>45</v>
      </c>
      <c r="F311" s="52">
        <f>SUMIF(Purchase[[#All],[Product ID]],Stock[[#This Row],[Product ID]],Purchase[[#All],[Net Qty]])</f>
        <v>138</v>
      </c>
      <c r="G311" s="52">
        <f>Stock[[#This Row],[Opening Stock]]+Stock[[#This Row],[Purchase Stock]]</f>
        <v>183</v>
      </c>
      <c r="H311" s="52">
        <f>SUMIF(Sales[[#All],[Product ID]],Stock[[#This Row],[Product ID]],Sales[[#All],[Net QTY]])</f>
        <v>56</v>
      </c>
      <c r="I311" s="52">
        <f>Stock[[#This Row],[Total Stock]]-Stock[[#This Row],[Selling Stock]]</f>
        <v>127</v>
      </c>
      <c r="J311" s="52">
        <f>VLOOKUP(Stock[[#This Row],[Product ID]],Product[#All],8,0)</f>
        <v>10</v>
      </c>
      <c r="K311" s="52" t="str">
        <f>IF(Stock[[#This Row],[Available Stock]]&lt;=Stock[[#This Row],[Reorder Level]],"Reorder","OK")</f>
        <v>OK</v>
      </c>
    </row>
    <row r="312" spans="1:11" ht="18.75" x14ac:dyDescent="0.25">
      <c r="A312" s="52" t="str">
        <f>Product[[#This Row],[Product ID]]</f>
        <v>P0310</v>
      </c>
      <c r="B312" s="52" t="str">
        <f>VLOOKUP(Stock[[#This Row],[Product ID]],Product[#All],2,0)</f>
        <v>Canon Printer</v>
      </c>
      <c r="C312" s="52" t="str">
        <f>VLOOKUP(Stock[[#This Row],[Product ID]],Product[#All],3,0)</f>
        <v>Printer</v>
      </c>
      <c r="D312" s="52" t="str">
        <f>VLOOKUP(Stock[[#This Row],[Product ID]],Product[#All],4,0)</f>
        <v>Canon</v>
      </c>
      <c r="E312" s="52">
        <f>SUMIF(Opning[[#All],[Product_ID]],Stock[[#This Row],[Product ID]],Opning[[#All],[Opening_Qty]])</f>
        <v>33</v>
      </c>
      <c r="F312" s="52">
        <f>SUMIF(Purchase[[#All],[Product ID]],Stock[[#This Row],[Product ID]],Purchase[[#All],[Net Qty]])</f>
        <v>103</v>
      </c>
      <c r="G312" s="52">
        <f>Stock[[#This Row],[Opening Stock]]+Stock[[#This Row],[Purchase Stock]]</f>
        <v>136</v>
      </c>
      <c r="H312" s="52">
        <f>SUMIF(Sales[[#All],[Product ID]],Stock[[#This Row],[Product ID]],Sales[[#All],[Net QTY]])</f>
        <v>69</v>
      </c>
      <c r="I312" s="52">
        <f>Stock[[#This Row],[Total Stock]]-Stock[[#This Row],[Selling Stock]]</f>
        <v>67</v>
      </c>
      <c r="J312" s="52">
        <f>VLOOKUP(Stock[[#This Row],[Product ID]],Product[#All],8,0)</f>
        <v>8</v>
      </c>
      <c r="K312" s="52" t="str">
        <f>IF(Stock[[#This Row],[Available Stock]]&lt;=Stock[[#This Row],[Reorder Level]],"Reorder","OK")</f>
        <v>OK</v>
      </c>
    </row>
    <row r="313" spans="1:11" ht="18.75" x14ac:dyDescent="0.25">
      <c r="A313" s="52" t="str">
        <f>Product[[#This Row],[Product ID]]</f>
        <v>P0311</v>
      </c>
      <c r="B313" s="52" t="str">
        <f>VLOOKUP(Stock[[#This Row],[Product ID]],Product[#All],2,0)</f>
        <v>TP-link Bluetooth Adapter</v>
      </c>
      <c r="C313" s="52" t="str">
        <f>VLOOKUP(Stock[[#This Row],[Product ID]],Product[#All],3,0)</f>
        <v>Bluetooth Adapter</v>
      </c>
      <c r="D313" s="52" t="str">
        <f>VLOOKUP(Stock[[#This Row],[Product ID]],Product[#All],4,0)</f>
        <v>TP-link</v>
      </c>
      <c r="E313" s="52">
        <f>SUMIF(Opning[[#All],[Product_ID]],Stock[[#This Row],[Product ID]],Opning[[#All],[Opening_Qty]])</f>
        <v>49</v>
      </c>
      <c r="F313" s="52">
        <f>SUMIF(Purchase[[#All],[Product ID]],Stock[[#This Row],[Product ID]],Purchase[[#All],[Net Qty]])</f>
        <v>49</v>
      </c>
      <c r="G313" s="52">
        <f>Stock[[#This Row],[Opening Stock]]+Stock[[#This Row],[Purchase Stock]]</f>
        <v>98</v>
      </c>
      <c r="H313" s="52">
        <f>SUMIF(Sales[[#All],[Product ID]],Stock[[#This Row],[Product ID]],Sales[[#All],[Net QTY]])</f>
        <v>52</v>
      </c>
      <c r="I313" s="52">
        <f>Stock[[#This Row],[Total Stock]]-Stock[[#This Row],[Selling Stock]]</f>
        <v>46</v>
      </c>
      <c r="J313" s="52">
        <f>VLOOKUP(Stock[[#This Row],[Product ID]],Product[#All],8,0)</f>
        <v>8</v>
      </c>
      <c r="K313" s="52" t="str">
        <f>IF(Stock[[#This Row],[Available Stock]]&lt;=Stock[[#This Row],[Reorder Level]],"Reorder","OK")</f>
        <v>OK</v>
      </c>
    </row>
    <row r="314" spans="1:11" ht="18.75" x14ac:dyDescent="0.25">
      <c r="A314" s="52" t="str">
        <f>Product[[#This Row],[Product ID]]</f>
        <v>P0312</v>
      </c>
      <c r="B314" s="52" t="str">
        <f>VLOOKUP(Stock[[#This Row],[Product ID]],Product[#All],2,0)</f>
        <v>Samsung Ssd</v>
      </c>
      <c r="C314" s="52" t="str">
        <f>VLOOKUP(Stock[[#This Row],[Product ID]],Product[#All],3,0)</f>
        <v>SSD</v>
      </c>
      <c r="D314" s="52" t="str">
        <f>VLOOKUP(Stock[[#This Row],[Product ID]],Product[#All],4,0)</f>
        <v>Samsung</v>
      </c>
      <c r="E314" s="52">
        <f>SUMIF(Opning[[#All],[Product_ID]],Stock[[#This Row],[Product ID]],Opning[[#All],[Opening_Qty]])</f>
        <v>16</v>
      </c>
      <c r="F314" s="52">
        <f>SUMIF(Purchase[[#All],[Product ID]],Stock[[#This Row],[Product ID]],Purchase[[#All],[Net Qty]])</f>
        <v>141</v>
      </c>
      <c r="G314" s="52">
        <f>Stock[[#This Row],[Opening Stock]]+Stock[[#This Row],[Purchase Stock]]</f>
        <v>157</v>
      </c>
      <c r="H314" s="52">
        <f>SUMIF(Sales[[#All],[Product ID]],Stock[[#This Row],[Product ID]],Sales[[#All],[Net QTY]])</f>
        <v>35</v>
      </c>
      <c r="I314" s="52">
        <f>Stock[[#This Row],[Total Stock]]-Stock[[#This Row],[Selling Stock]]</f>
        <v>122</v>
      </c>
      <c r="J314" s="52">
        <f>VLOOKUP(Stock[[#This Row],[Product ID]],Product[#All],8,0)</f>
        <v>15</v>
      </c>
      <c r="K314" s="52" t="str">
        <f>IF(Stock[[#This Row],[Available Stock]]&lt;=Stock[[#This Row],[Reorder Level]],"Reorder","OK")</f>
        <v>OK</v>
      </c>
    </row>
    <row r="315" spans="1:11" ht="18.75" x14ac:dyDescent="0.25">
      <c r="A315" s="52" t="str">
        <f>Product[[#This Row],[Product ID]]</f>
        <v>P0313</v>
      </c>
      <c r="B315" s="52" t="str">
        <f>VLOOKUP(Stock[[#This Row],[Product ID]],Product[#All],2,0)</f>
        <v>Jbl Speaker</v>
      </c>
      <c r="C315" s="52" t="str">
        <f>VLOOKUP(Stock[[#This Row],[Product ID]],Product[#All],3,0)</f>
        <v>Speaker</v>
      </c>
      <c r="D315" s="52" t="str">
        <f>VLOOKUP(Stock[[#This Row],[Product ID]],Product[#All],4,0)</f>
        <v>JBL</v>
      </c>
      <c r="E315" s="52">
        <f>SUMIF(Opning[[#All],[Product_ID]],Stock[[#This Row],[Product ID]],Opning[[#All],[Opening_Qty]])</f>
        <v>28</v>
      </c>
      <c r="F315" s="52">
        <f>SUMIF(Purchase[[#All],[Product ID]],Stock[[#This Row],[Product ID]],Purchase[[#All],[Net Qty]])</f>
        <v>94</v>
      </c>
      <c r="G315" s="52">
        <f>Stock[[#This Row],[Opening Stock]]+Stock[[#This Row],[Purchase Stock]]</f>
        <v>122</v>
      </c>
      <c r="H315" s="52">
        <f>SUMIF(Sales[[#All],[Product ID]],Stock[[#This Row],[Product ID]],Sales[[#All],[Net QTY]])</f>
        <v>88</v>
      </c>
      <c r="I315" s="52">
        <f>Stock[[#This Row],[Total Stock]]-Stock[[#This Row],[Selling Stock]]</f>
        <v>34</v>
      </c>
      <c r="J315" s="52">
        <f>VLOOKUP(Stock[[#This Row],[Product ID]],Product[#All],8,0)</f>
        <v>20</v>
      </c>
      <c r="K315" s="52" t="str">
        <f>IF(Stock[[#This Row],[Available Stock]]&lt;=Stock[[#This Row],[Reorder Level]],"Reorder","OK")</f>
        <v>OK</v>
      </c>
    </row>
    <row r="316" spans="1:11" ht="18.75" x14ac:dyDescent="0.25">
      <c r="A316" s="52" t="str">
        <f>Product[[#This Row],[Product ID]]</f>
        <v>P0314</v>
      </c>
      <c r="B316" s="52" t="str">
        <f>VLOOKUP(Stock[[#This Row],[Product ID]],Product[#All],2,0)</f>
        <v>Sandisk Pen Drive</v>
      </c>
      <c r="C316" s="52" t="str">
        <f>VLOOKUP(Stock[[#This Row],[Product ID]],Product[#All],3,0)</f>
        <v>Pen Drive</v>
      </c>
      <c r="D316" s="52" t="str">
        <f>VLOOKUP(Stock[[#This Row],[Product ID]],Product[#All],4,0)</f>
        <v>SanDisk</v>
      </c>
      <c r="E316" s="52">
        <f>SUMIF(Opning[[#All],[Product_ID]],Stock[[#This Row],[Product ID]],Opning[[#All],[Opening_Qty]])</f>
        <v>24</v>
      </c>
      <c r="F316" s="52">
        <f>SUMIF(Purchase[[#All],[Product ID]],Stock[[#This Row],[Product ID]],Purchase[[#All],[Net Qty]])</f>
        <v>123</v>
      </c>
      <c r="G316" s="52">
        <f>Stock[[#This Row],[Opening Stock]]+Stock[[#This Row],[Purchase Stock]]</f>
        <v>147</v>
      </c>
      <c r="H316" s="52">
        <f>SUMIF(Sales[[#All],[Product ID]],Stock[[#This Row],[Product ID]],Sales[[#All],[Net QTY]])</f>
        <v>17</v>
      </c>
      <c r="I316" s="52">
        <f>Stock[[#This Row],[Total Stock]]-Stock[[#This Row],[Selling Stock]]</f>
        <v>130</v>
      </c>
      <c r="J316" s="52">
        <f>VLOOKUP(Stock[[#This Row],[Product ID]],Product[#All],8,0)</f>
        <v>20</v>
      </c>
      <c r="K316" s="52" t="str">
        <f>IF(Stock[[#This Row],[Available Stock]]&lt;=Stock[[#This Row],[Reorder Level]],"Reorder","OK")</f>
        <v>OK</v>
      </c>
    </row>
    <row r="317" spans="1:11" ht="18.75" x14ac:dyDescent="0.25">
      <c r="A317" s="52" t="str">
        <f>Product[[#This Row],[Product ID]]</f>
        <v>P0315</v>
      </c>
      <c r="B317" s="52" t="str">
        <f>VLOOKUP(Stock[[#This Row],[Product ID]],Product[#All],2,0)</f>
        <v>HP Mouse</v>
      </c>
      <c r="C317" s="52" t="str">
        <f>VLOOKUP(Stock[[#This Row],[Product ID]],Product[#All],3,0)</f>
        <v>Mouse</v>
      </c>
      <c r="D317" s="52" t="str">
        <f>VLOOKUP(Stock[[#This Row],[Product ID]],Product[#All],4,0)</f>
        <v>HP</v>
      </c>
      <c r="E317" s="52">
        <f>SUMIF(Opning[[#All],[Product_ID]],Stock[[#This Row],[Product ID]],Opning[[#All],[Opening_Qty]])</f>
        <v>12</v>
      </c>
      <c r="F317" s="52">
        <f>SUMIF(Purchase[[#All],[Product ID]],Stock[[#This Row],[Product ID]],Purchase[[#All],[Net Qty]])</f>
        <v>108</v>
      </c>
      <c r="G317" s="52">
        <f>Stock[[#This Row],[Opening Stock]]+Stock[[#This Row],[Purchase Stock]]</f>
        <v>120</v>
      </c>
      <c r="H317" s="52">
        <f>SUMIF(Sales[[#All],[Product ID]],Stock[[#This Row],[Product ID]],Sales[[#All],[Net QTY]])</f>
        <v>28</v>
      </c>
      <c r="I317" s="52">
        <f>Stock[[#This Row],[Total Stock]]-Stock[[#This Row],[Selling Stock]]</f>
        <v>92</v>
      </c>
      <c r="J317" s="52">
        <f>VLOOKUP(Stock[[#This Row],[Product ID]],Product[#All],8,0)</f>
        <v>25</v>
      </c>
      <c r="K317" s="52" t="str">
        <f>IF(Stock[[#This Row],[Available Stock]]&lt;=Stock[[#This Row],[Reorder Level]],"Reorder","OK")</f>
        <v>OK</v>
      </c>
    </row>
    <row r="318" spans="1:11" ht="18.75" x14ac:dyDescent="0.25">
      <c r="A318" s="52" t="str">
        <f>Product[[#This Row],[Product ID]]</f>
        <v>P0316</v>
      </c>
      <c r="B318" s="52" t="str">
        <f>VLOOKUP(Stock[[#This Row],[Product ID]],Product[#All],2,0)</f>
        <v>Samsung Monitor</v>
      </c>
      <c r="C318" s="52" t="str">
        <f>VLOOKUP(Stock[[#This Row],[Product ID]],Product[#All],3,0)</f>
        <v>Monitor</v>
      </c>
      <c r="D318" s="52" t="str">
        <f>VLOOKUP(Stock[[#This Row],[Product ID]],Product[#All],4,0)</f>
        <v>Samsung</v>
      </c>
      <c r="E318" s="52">
        <f>SUMIF(Opning[[#All],[Product_ID]],Stock[[#This Row],[Product ID]],Opning[[#All],[Opening_Qty]])</f>
        <v>15</v>
      </c>
      <c r="F318" s="52">
        <f>SUMIF(Purchase[[#All],[Product ID]],Stock[[#This Row],[Product ID]],Purchase[[#All],[Net Qty]])</f>
        <v>93</v>
      </c>
      <c r="G318" s="52">
        <f>Stock[[#This Row],[Opening Stock]]+Stock[[#This Row],[Purchase Stock]]</f>
        <v>108</v>
      </c>
      <c r="H318" s="52">
        <f>SUMIF(Sales[[#All],[Product ID]],Stock[[#This Row],[Product ID]],Sales[[#All],[Net QTY]])</f>
        <v>27</v>
      </c>
      <c r="I318" s="52">
        <f>Stock[[#This Row],[Total Stock]]-Stock[[#This Row],[Selling Stock]]</f>
        <v>81</v>
      </c>
      <c r="J318" s="52">
        <f>VLOOKUP(Stock[[#This Row],[Product ID]],Product[#All],8,0)</f>
        <v>8</v>
      </c>
      <c r="K318" s="52" t="str">
        <f>IF(Stock[[#This Row],[Available Stock]]&lt;=Stock[[#This Row],[Reorder Level]],"Reorder","OK")</f>
        <v>OK</v>
      </c>
    </row>
    <row r="319" spans="1:11" ht="18.75" x14ac:dyDescent="0.25">
      <c r="A319" s="52" t="str">
        <f>Product[[#This Row],[Product ID]]</f>
        <v>P0317</v>
      </c>
      <c r="B319" s="52" t="str">
        <f>VLOOKUP(Stock[[#This Row],[Product ID]],Product[#All],2,0)</f>
        <v>Portronics USB Cable</v>
      </c>
      <c r="C319" s="52" t="str">
        <f>VLOOKUP(Stock[[#This Row],[Product ID]],Product[#All],3,0)</f>
        <v>USB Cable</v>
      </c>
      <c r="D319" s="52" t="str">
        <f>VLOOKUP(Stock[[#This Row],[Product ID]],Product[#All],4,0)</f>
        <v>Portronics</v>
      </c>
      <c r="E319" s="52">
        <f>SUMIF(Opning[[#All],[Product_ID]],Stock[[#This Row],[Product ID]],Opning[[#All],[Opening_Qty]])</f>
        <v>47</v>
      </c>
      <c r="F319" s="52">
        <f>SUMIF(Purchase[[#All],[Product ID]],Stock[[#This Row],[Product ID]],Purchase[[#All],[Net Qty]])</f>
        <v>36</v>
      </c>
      <c r="G319" s="52">
        <f>Stock[[#This Row],[Opening Stock]]+Stock[[#This Row],[Purchase Stock]]</f>
        <v>83</v>
      </c>
      <c r="H319" s="52">
        <f>SUMIF(Sales[[#All],[Product ID]],Stock[[#This Row],[Product ID]],Sales[[#All],[Net QTY]])</f>
        <v>25</v>
      </c>
      <c r="I319" s="52">
        <f>Stock[[#This Row],[Total Stock]]-Stock[[#This Row],[Selling Stock]]</f>
        <v>58</v>
      </c>
      <c r="J319" s="52">
        <f>VLOOKUP(Stock[[#This Row],[Product ID]],Product[#All],8,0)</f>
        <v>20</v>
      </c>
      <c r="K319" s="52" t="str">
        <f>IF(Stock[[#This Row],[Available Stock]]&lt;=Stock[[#This Row],[Reorder Level]],"Reorder","OK")</f>
        <v>OK</v>
      </c>
    </row>
    <row r="320" spans="1:11" ht="18.75" x14ac:dyDescent="0.25">
      <c r="A320" s="52" t="str">
        <f>Product[[#This Row],[Product ID]]</f>
        <v>P0318</v>
      </c>
      <c r="B320" s="52" t="str">
        <f>VLOOKUP(Stock[[#This Row],[Product ID]],Product[#All],2,0)</f>
        <v>Sandisk Pen Drive</v>
      </c>
      <c r="C320" s="52" t="str">
        <f>VLOOKUP(Stock[[#This Row],[Product ID]],Product[#All],3,0)</f>
        <v>Pen Drive</v>
      </c>
      <c r="D320" s="52" t="str">
        <f>VLOOKUP(Stock[[#This Row],[Product ID]],Product[#All],4,0)</f>
        <v>SanDisk</v>
      </c>
      <c r="E320" s="52">
        <f>SUMIF(Opning[[#All],[Product_ID]],Stock[[#This Row],[Product ID]],Opning[[#All],[Opening_Qty]])</f>
        <v>13</v>
      </c>
      <c r="F320" s="52">
        <f>SUMIF(Purchase[[#All],[Product ID]],Stock[[#This Row],[Product ID]],Purchase[[#All],[Net Qty]])</f>
        <v>188</v>
      </c>
      <c r="G320" s="52">
        <f>Stock[[#This Row],[Opening Stock]]+Stock[[#This Row],[Purchase Stock]]</f>
        <v>201</v>
      </c>
      <c r="H320" s="52">
        <f>SUMIF(Sales[[#All],[Product ID]],Stock[[#This Row],[Product ID]],Sales[[#All],[Net QTY]])</f>
        <v>26</v>
      </c>
      <c r="I320" s="52">
        <f>Stock[[#This Row],[Total Stock]]-Stock[[#This Row],[Selling Stock]]</f>
        <v>175</v>
      </c>
      <c r="J320" s="52">
        <f>VLOOKUP(Stock[[#This Row],[Product ID]],Product[#All],8,0)</f>
        <v>10</v>
      </c>
      <c r="K320" s="52" t="str">
        <f>IF(Stock[[#This Row],[Available Stock]]&lt;=Stock[[#This Row],[Reorder Level]],"Reorder","OK")</f>
        <v>OK</v>
      </c>
    </row>
    <row r="321" spans="1:11" ht="18.75" x14ac:dyDescent="0.25">
      <c r="A321" s="52" t="str">
        <f>Product[[#This Row],[Product ID]]</f>
        <v>P0319</v>
      </c>
      <c r="B321" s="52" t="str">
        <f>VLOOKUP(Stock[[#This Row],[Product ID]],Product[#All],2,0)</f>
        <v>Epson Printer</v>
      </c>
      <c r="C321" s="52" t="str">
        <f>VLOOKUP(Stock[[#This Row],[Product ID]],Product[#All],3,0)</f>
        <v>Printer</v>
      </c>
      <c r="D321" s="52" t="str">
        <f>VLOOKUP(Stock[[#This Row],[Product ID]],Product[#All],4,0)</f>
        <v>Epson</v>
      </c>
      <c r="E321" s="52">
        <f>SUMIF(Opning[[#All],[Product_ID]],Stock[[#This Row],[Product ID]],Opning[[#All],[Opening_Qty]])</f>
        <v>58</v>
      </c>
      <c r="F321" s="52">
        <f>SUMIF(Purchase[[#All],[Product ID]],Stock[[#This Row],[Product ID]],Purchase[[#All],[Net Qty]])</f>
        <v>131</v>
      </c>
      <c r="G321" s="52">
        <f>Stock[[#This Row],[Opening Stock]]+Stock[[#This Row],[Purchase Stock]]</f>
        <v>189</v>
      </c>
      <c r="H321" s="52">
        <f>SUMIF(Sales[[#All],[Product ID]],Stock[[#This Row],[Product ID]],Sales[[#All],[Net QTY]])</f>
        <v>20</v>
      </c>
      <c r="I321" s="52">
        <f>Stock[[#This Row],[Total Stock]]-Stock[[#This Row],[Selling Stock]]</f>
        <v>169</v>
      </c>
      <c r="J321" s="52">
        <f>VLOOKUP(Stock[[#This Row],[Product ID]],Product[#All],8,0)</f>
        <v>15</v>
      </c>
      <c r="K321" s="52" t="str">
        <f>IF(Stock[[#This Row],[Available Stock]]&lt;=Stock[[#This Row],[Reorder Level]],"Reorder","OK")</f>
        <v>OK</v>
      </c>
    </row>
    <row r="322" spans="1:11" ht="18.75" x14ac:dyDescent="0.25">
      <c r="A322" s="52" t="str">
        <f>Product[[#This Row],[Product ID]]</f>
        <v>P0320</v>
      </c>
      <c r="B322" s="52" t="str">
        <f>VLOOKUP(Stock[[#This Row],[Product ID]],Product[#All],2,0)</f>
        <v>Boat Headset</v>
      </c>
      <c r="C322" s="52" t="str">
        <f>VLOOKUP(Stock[[#This Row],[Product ID]],Product[#All],3,0)</f>
        <v>Headset</v>
      </c>
      <c r="D322" s="52" t="str">
        <f>VLOOKUP(Stock[[#This Row],[Product ID]],Product[#All],4,0)</f>
        <v>Boat</v>
      </c>
      <c r="E322" s="52">
        <f>SUMIF(Opning[[#All],[Product_ID]],Stock[[#This Row],[Product ID]],Opning[[#All],[Opening_Qty]])</f>
        <v>27</v>
      </c>
      <c r="F322" s="52">
        <f>SUMIF(Purchase[[#All],[Product ID]],Stock[[#This Row],[Product ID]],Purchase[[#All],[Net Qty]])</f>
        <v>37</v>
      </c>
      <c r="G322" s="52">
        <f>Stock[[#This Row],[Opening Stock]]+Stock[[#This Row],[Purchase Stock]]</f>
        <v>64</v>
      </c>
      <c r="H322" s="52">
        <f>SUMIF(Sales[[#All],[Product ID]],Stock[[#This Row],[Product ID]],Sales[[#All],[Net QTY]])</f>
        <v>30</v>
      </c>
      <c r="I322" s="52">
        <f>Stock[[#This Row],[Total Stock]]-Stock[[#This Row],[Selling Stock]]</f>
        <v>34</v>
      </c>
      <c r="J322" s="52">
        <f>VLOOKUP(Stock[[#This Row],[Product ID]],Product[#All],8,0)</f>
        <v>15</v>
      </c>
      <c r="K322" s="52" t="str">
        <f>IF(Stock[[#This Row],[Available Stock]]&lt;=Stock[[#This Row],[Reorder Level]],"Reorder","OK")</f>
        <v>OK</v>
      </c>
    </row>
    <row r="323" spans="1:11" ht="18.75" x14ac:dyDescent="0.25">
      <c r="A323" s="52" t="str">
        <f>Product[[#This Row],[Product ID]]</f>
        <v>P0321</v>
      </c>
      <c r="B323" s="52" t="str">
        <f>VLOOKUP(Stock[[#This Row],[Product ID]],Product[#All],2,0)</f>
        <v>American TouristerLaptopBag</v>
      </c>
      <c r="C323" s="52" t="str">
        <f>VLOOKUP(Stock[[#This Row],[Product ID]],Product[#All],3,0)</f>
        <v>Laptop Bag</v>
      </c>
      <c r="D323" s="52" t="str">
        <f>VLOOKUP(Stock[[#This Row],[Product ID]],Product[#All],4,0)</f>
        <v>American Tourister</v>
      </c>
      <c r="E323" s="52">
        <f>SUMIF(Opning[[#All],[Product_ID]],Stock[[#This Row],[Product ID]],Opning[[#All],[Opening_Qty]])</f>
        <v>59</v>
      </c>
      <c r="F323" s="52">
        <f>SUMIF(Purchase[[#All],[Product ID]],Stock[[#This Row],[Product ID]],Purchase[[#All],[Net Qty]])</f>
        <v>95</v>
      </c>
      <c r="G323" s="52">
        <f>Stock[[#This Row],[Opening Stock]]+Stock[[#This Row],[Purchase Stock]]</f>
        <v>154</v>
      </c>
      <c r="H323" s="52">
        <f>SUMIF(Sales[[#All],[Product ID]],Stock[[#This Row],[Product ID]],Sales[[#All],[Net QTY]])</f>
        <v>39</v>
      </c>
      <c r="I323" s="52">
        <f>Stock[[#This Row],[Total Stock]]-Stock[[#This Row],[Selling Stock]]</f>
        <v>115</v>
      </c>
      <c r="J323" s="52">
        <f>VLOOKUP(Stock[[#This Row],[Product ID]],Product[#All],8,0)</f>
        <v>5</v>
      </c>
      <c r="K323" s="52" t="str">
        <f>IF(Stock[[#This Row],[Available Stock]]&lt;=Stock[[#This Row],[Reorder Level]],"Reorder","OK")</f>
        <v>OK</v>
      </c>
    </row>
    <row r="324" spans="1:11" ht="18.75" x14ac:dyDescent="0.25">
      <c r="A324" s="52" t="str">
        <f>Product[[#This Row],[Product ID]]</f>
        <v>P0322</v>
      </c>
      <c r="B324" s="52" t="str">
        <f>VLOOKUP(Stock[[#This Row],[Product ID]],Product[#All],2,0)</f>
        <v>Lenovo Laptop</v>
      </c>
      <c r="C324" s="52" t="str">
        <f>VLOOKUP(Stock[[#This Row],[Product ID]],Product[#All],3,0)</f>
        <v>Laptop</v>
      </c>
      <c r="D324" s="52" t="str">
        <f>VLOOKUP(Stock[[#This Row],[Product ID]],Product[#All],4,0)</f>
        <v>Lenovo</v>
      </c>
      <c r="E324" s="52">
        <f>SUMIF(Opning[[#All],[Product_ID]],Stock[[#This Row],[Product ID]],Opning[[#All],[Opening_Qty]])</f>
        <v>46</v>
      </c>
      <c r="F324" s="52">
        <f>SUMIF(Purchase[[#All],[Product ID]],Stock[[#This Row],[Product ID]],Purchase[[#All],[Net Qty]])</f>
        <v>101</v>
      </c>
      <c r="G324" s="52">
        <f>Stock[[#This Row],[Opening Stock]]+Stock[[#This Row],[Purchase Stock]]</f>
        <v>147</v>
      </c>
      <c r="H324" s="52">
        <f>SUMIF(Sales[[#All],[Product ID]],Stock[[#This Row],[Product ID]],Sales[[#All],[Net QTY]])</f>
        <v>41</v>
      </c>
      <c r="I324" s="52">
        <f>Stock[[#This Row],[Total Stock]]-Stock[[#This Row],[Selling Stock]]</f>
        <v>106</v>
      </c>
      <c r="J324" s="52">
        <f>VLOOKUP(Stock[[#This Row],[Product ID]],Product[#All],8,0)</f>
        <v>10</v>
      </c>
      <c r="K324" s="52" t="str">
        <f>IF(Stock[[#This Row],[Available Stock]]&lt;=Stock[[#This Row],[Reorder Level]],"Reorder","OK")</f>
        <v>OK</v>
      </c>
    </row>
    <row r="325" spans="1:11" ht="18.75" x14ac:dyDescent="0.25">
      <c r="A325" s="52" t="str">
        <f>Product[[#This Row],[Product ID]]</f>
        <v>P0323</v>
      </c>
      <c r="B325" s="52" t="str">
        <f>VLOOKUP(Stock[[#This Row],[Product ID]],Product[#All],2,0)</f>
        <v>Acer Laptop</v>
      </c>
      <c r="C325" s="52" t="str">
        <f>VLOOKUP(Stock[[#This Row],[Product ID]],Product[#All],3,0)</f>
        <v>Laptop</v>
      </c>
      <c r="D325" s="52" t="str">
        <f>VLOOKUP(Stock[[#This Row],[Product ID]],Product[#All],4,0)</f>
        <v>Acer</v>
      </c>
      <c r="E325" s="52">
        <f>SUMIF(Opning[[#All],[Product_ID]],Stock[[#This Row],[Product ID]],Opning[[#All],[Opening_Qty]])</f>
        <v>7</v>
      </c>
      <c r="F325" s="52">
        <f>SUMIF(Purchase[[#All],[Product ID]],Stock[[#This Row],[Product ID]],Purchase[[#All],[Net Qty]])</f>
        <v>151</v>
      </c>
      <c r="G325" s="52">
        <f>Stock[[#This Row],[Opening Stock]]+Stock[[#This Row],[Purchase Stock]]</f>
        <v>158</v>
      </c>
      <c r="H325" s="52">
        <f>SUMIF(Sales[[#All],[Product ID]],Stock[[#This Row],[Product ID]],Sales[[#All],[Net QTY]])</f>
        <v>26</v>
      </c>
      <c r="I325" s="52">
        <f>Stock[[#This Row],[Total Stock]]-Stock[[#This Row],[Selling Stock]]</f>
        <v>132</v>
      </c>
      <c r="J325" s="52">
        <f>VLOOKUP(Stock[[#This Row],[Product ID]],Product[#All],8,0)</f>
        <v>20</v>
      </c>
      <c r="K325" s="52" t="str">
        <f>IF(Stock[[#This Row],[Available Stock]]&lt;=Stock[[#This Row],[Reorder Level]],"Reorder","OK")</f>
        <v>OK</v>
      </c>
    </row>
    <row r="326" spans="1:11" ht="18.75" x14ac:dyDescent="0.25">
      <c r="A326" s="52" t="str">
        <f>Product[[#This Row],[Product ID]]</f>
        <v>P0324</v>
      </c>
      <c r="B326" s="52" t="str">
        <f>VLOOKUP(Stock[[#This Row],[Product ID]],Product[#All],2,0)</f>
        <v>Kingston Ram</v>
      </c>
      <c r="C326" s="52" t="str">
        <f>VLOOKUP(Stock[[#This Row],[Product ID]],Product[#All],3,0)</f>
        <v>RAM</v>
      </c>
      <c r="D326" s="52" t="str">
        <f>VLOOKUP(Stock[[#This Row],[Product ID]],Product[#All],4,0)</f>
        <v>Kingston</v>
      </c>
      <c r="E326" s="52">
        <f>SUMIF(Opning[[#All],[Product_ID]],Stock[[#This Row],[Product ID]],Opning[[#All],[Opening_Qty]])</f>
        <v>7</v>
      </c>
      <c r="F326" s="52">
        <f>SUMIF(Purchase[[#All],[Product ID]],Stock[[#This Row],[Product ID]],Purchase[[#All],[Net Qty]])</f>
        <v>143</v>
      </c>
      <c r="G326" s="52">
        <f>Stock[[#This Row],[Opening Stock]]+Stock[[#This Row],[Purchase Stock]]</f>
        <v>150</v>
      </c>
      <c r="H326" s="52">
        <f>SUMIF(Sales[[#All],[Product ID]],Stock[[#This Row],[Product ID]],Sales[[#All],[Net QTY]])</f>
        <v>48</v>
      </c>
      <c r="I326" s="52">
        <f>Stock[[#This Row],[Total Stock]]-Stock[[#This Row],[Selling Stock]]</f>
        <v>102</v>
      </c>
      <c r="J326" s="52">
        <f>VLOOKUP(Stock[[#This Row],[Product ID]],Product[#All],8,0)</f>
        <v>25</v>
      </c>
      <c r="K326" s="52" t="str">
        <f>IF(Stock[[#This Row],[Available Stock]]&lt;=Stock[[#This Row],[Reorder Level]],"Reorder","OK")</f>
        <v>OK</v>
      </c>
    </row>
    <row r="327" spans="1:11" ht="18.75" x14ac:dyDescent="0.25">
      <c r="A327" s="52" t="str">
        <f>Product[[#This Row],[Product ID]]</f>
        <v>P0325</v>
      </c>
      <c r="B327" s="52" t="str">
        <f>VLOOKUP(Stock[[#This Row],[Product ID]],Product[#All],2,0)</f>
        <v>Acer Laptop</v>
      </c>
      <c r="C327" s="52" t="str">
        <f>VLOOKUP(Stock[[#This Row],[Product ID]],Product[#All],3,0)</f>
        <v>Laptop</v>
      </c>
      <c r="D327" s="52" t="str">
        <f>VLOOKUP(Stock[[#This Row],[Product ID]],Product[#All],4,0)</f>
        <v>Acer</v>
      </c>
      <c r="E327" s="52">
        <f>SUMIF(Opning[[#All],[Product_ID]],Stock[[#This Row],[Product ID]],Opning[[#All],[Opening_Qty]])</f>
        <v>31</v>
      </c>
      <c r="F327" s="52">
        <f>SUMIF(Purchase[[#All],[Product ID]],Stock[[#This Row],[Product ID]],Purchase[[#All],[Net Qty]])</f>
        <v>86</v>
      </c>
      <c r="G327" s="52">
        <f>Stock[[#This Row],[Opening Stock]]+Stock[[#This Row],[Purchase Stock]]</f>
        <v>117</v>
      </c>
      <c r="H327" s="52">
        <f>SUMIF(Sales[[#All],[Product ID]],Stock[[#This Row],[Product ID]],Sales[[#All],[Net QTY]])</f>
        <v>41</v>
      </c>
      <c r="I327" s="52">
        <f>Stock[[#This Row],[Total Stock]]-Stock[[#This Row],[Selling Stock]]</f>
        <v>76</v>
      </c>
      <c r="J327" s="52">
        <f>VLOOKUP(Stock[[#This Row],[Product ID]],Product[#All],8,0)</f>
        <v>8</v>
      </c>
      <c r="K327" s="52" t="str">
        <f>IF(Stock[[#This Row],[Available Stock]]&lt;=Stock[[#This Row],[Reorder Level]],"Reorder","OK")</f>
        <v>OK</v>
      </c>
    </row>
    <row r="328" spans="1:11" ht="18.75" x14ac:dyDescent="0.25">
      <c r="A328" s="52" t="str">
        <f>Product[[#This Row],[Product ID]]</f>
        <v>P0326</v>
      </c>
      <c r="B328" s="52" t="str">
        <f>VLOOKUP(Stock[[#This Row],[Product ID]],Product[#All],2,0)</f>
        <v>Acer Laptop</v>
      </c>
      <c r="C328" s="52" t="str">
        <f>VLOOKUP(Stock[[#This Row],[Product ID]],Product[#All],3,0)</f>
        <v>Laptop</v>
      </c>
      <c r="D328" s="52" t="str">
        <f>VLOOKUP(Stock[[#This Row],[Product ID]],Product[#All],4,0)</f>
        <v>Acer</v>
      </c>
      <c r="E328" s="52">
        <f>SUMIF(Opning[[#All],[Product_ID]],Stock[[#This Row],[Product ID]],Opning[[#All],[Opening_Qty]])</f>
        <v>53</v>
      </c>
      <c r="F328" s="52">
        <f>SUMIF(Purchase[[#All],[Product ID]],Stock[[#This Row],[Product ID]],Purchase[[#All],[Net Qty]])</f>
        <v>231</v>
      </c>
      <c r="G328" s="52">
        <f>Stock[[#This Row],[Opening Stock]]+Stock[[#This Row],[Purchase Stock]]</f>
        <v>284</v>
      </c>
      <c r="H328" s="52">
        <f>SUMIF(Sales[[#All],[Product ID]],Stock[[#This Row],[Product ID]],Sales[[#All],[Net QTY]])</f>
        <v>28</v>
      </c>
      <c r="I328" s="52">
        <f>Stock[[#This Row],[Total Stock]]-Stock[[#This Row],[Selling Stock]]</f>
        <v>256</v>
      </c>
      <c r="J328" s="52">
        <f>VLOOKUP(Stock[[#This Row],[Product ID]],Product[#All],8,0)</f>
        <v>10</v>
      </c>
      <c r="K328" s="52" t="str">
        <f>IF(Stock[[#This Row],[Available Stock]]&lt;=Stock[[#This Row],[Reorder Level]],"Reorder","OK")</f>
        <v>OK</v>
      </c>
    </row>
    <row r="329" spans="1:11" ht="18.75" x14ac:dyDescent="0.25">
      <c r="A329" s="52" t="str">
        <f>Product[[#This Row],[Product ID]]</f>
        <v>P0327</v>
      </c>
      <c r="B329" s="52" t="str">
        <f>VLOOKUP(Stock[[#This Row],[Product ID]],Product[#All],2,0)</f>
        <v>HP Power Adapter</v>
      </c>
      <c r="C329" s="52" t="str">
        <f>VLOOKUP(Stock[[#This Row],[Product ID]],Product[#All],3,0)</f>
        <v>Power Adapter</v>
      </c>
      <c r="D329" s="52" t="str">
        <f>VLOOKUP(Stock[[#This Row],[Product ID]],Product[#All],4,0)</f>
        <v>HP</v>
      </c>
      <c r="E329" s="52">
        <f>SUMIF(Opning[[#All],[Product_ID]],Stock[[#This Row],[Product ID]],Opning[[#All],[Opening_Qty]])</f>
        <v>18</v>
      </c>
      <c r="F329" s="52">
        <f>SUMIF(Purchase[[#All],[Product ID]],Stock[[#This Row],[Product ID]],Purchase[[#All],[Net Qty]])</f>
        <v>147</v>
      </c>
      <c r="G329" s="52">
        <f>Stock[[#This Row],[Opening Stock]]+Stock[[#This Row],[Purchase Stock]]</f>
        <v>165</v>
      </c>
      <c r="H329" s="52">
        <f>SUMIF(Sales[[#All],[Product ID]],Stock[[#This Row],[Product ID]],Sales[[#All],[Net QTY]])</f>
        <v>33</v>
      </c>
      <c r="I329" s="52">
        <f>Stock[[#This Row],[Total Stock]]-Stock[[#This Row],[Selling Stock]]</f>
        <v>132</v>
      </c>
      <c r="J329" s="52">
        <f>VLOOKUP(Stock[[#This Row],[Product ID]],Product[#All],8,0)</f>
        <v>15</v>
      </c>
      <c r="K329" s="52" t="str">
        <f>IF(Stock[[#This Row],[Available Stock]]&lt;=Stock[[#This Row],[Reorder Level]],"Reorder","OK")</f>
        <v>OK</v>
      </c>
    </row>
    <row r="330" spans="1:11" ht="18.75" x14ac:dyDescent="0.25">
      <c r="A330" s="52" t="str">
        <f>Product[[#This Row],[Product ID]]</f>
        <v>P0328</v>
      </c>
      <c r="B330" s="52" t="str">
        <f>VLOOKUP(Stock[[#This Row],[Product ID]],Product[#All],2,0)</f>
        <v>Canon Printer</v>
      </c>
      <c r="C330" s="52" t="str">
        <f>VLOOKUP(Stock[[#This Row],[Product ID]],Product[#All],3,0)</f>
        <v>Printer</v>
      </c>
      <c r="D330" s="52" t="str">
        <f>VLOOKUP(Stock[[#This Row],[Product ID]],Product[#All],4,0)</f>
        <v>Canon</v>
      </c>
      <c r="E330" s="52">
        <f>SUMIF(Opning[[#All],[Product_ID]],Stock[[#This Row],[Product ID]],Opning[[#All],[Opening_Qty]])</f>
        <v>40</v>
      </c>
      <c r="F330" s="52">
        <f>SUMIF(Purchase[[#All],[Product ID]],Stock[[#This Row],[Product ID]],Purchase[[#All],[Net Qty]])</f>
        <v>78</v>
      </c>
      <c r="G330" s="52">
        <f>Stock[[#This Row],[Opening Stock]]+Stock[[#This Row],[Purchase Stock]]</f>
        <v>118</v>
      </c>
      <c r="H330" s="52">
        <f>SUMIF(Sales[[#All],[Product ID]],Stock[[#This Row],[Product ID]],Sales[[#All],[Net QTY]])</f>
        <v>61</v>
      </c>
      <c r="I330" s="52">
        <f>Stock[[#This Row],[Total Stock]]-Stock[[#This Row],[Selling Stock]]</f>
        <v>57</v>
      </c>
      <c r="J330" s="52">
        <f>VLOOKUP(Stock[[#This Row],[Product ID]],Product[#All],8,0)</f>
        <v>25</v>
      </c>
      <c r="K330" s="52" t="str">
        <f>IF(Stock[[#This Row],[Available Stock]]&lt;=Stock[[#This Row],[Reorder Level]],"Reorder","OK")</f>
        <v>OK</v>
      </c>
    </row>
    <row r="331" spans="1:11" ht="18.75" x14ac:dyDescent="0.25">
      <c r="A331" s="52" t="str">
        <f>Product[[#This Row],[Product ID]]</f>
        <v>P0329</v>
      </c>
      <c r="B331" s="52" t="str">
        <f>VLOOKUP(Stock[[#This Row],[Product ID]],Product[#All],2,0)</f>
        <v>Logitech Mouse</v>
      </c>
      <c r="C331" s="52" t="str">
        <f>VLOOKUP(Stock[[#This Row],[Product ID]],Product[#All],3,0)</f>
        <v>Mouse</v>
      </c>
      <c r="D331" s="52" t="str">
        <f>VLOOKUP(Stock[[#This Row],[Product ID]],Product[#All],4,0)</f>
        <v>Logitech</v>
      </c>
      <c r="E331" s="52">
        <f>SUMIF(Opning[[#All],[Product_ID]],Stock[[#This Row],[Product ID]],Opning[[#All],[Opening_Qty]])</f>
        <v>13</v>
      </c>
      <c r="F331" s="52">
        <f>SUMIF(Purchase[[#All],[Product ID]],Stock[[#This Row],[Product ID]],Purchase[[#All],[Net Qty]])</f>
        <v>149</v>
      </c>
      <c r="G331" s="52">
        <f>Stock[[#This Row],[Opening Stock]]+Stock[[#This Row],[Purchase Stock]]</f>
        <v>162</v>
      </c>
      <c r="H331" s="52">
        <f>SUMIF(Sales[[#All],[Product ID]],Stock[[#This Row],[Product ID]],Sales[[#All],[Net QTY]])</f>
        <v>66</v>
      </c>
      <c r="I331" s="52">
        <f>Stock[[#This Row],[Total Stock]]-Stock[[#This Row],[Selling Stock]]</f>
        <v>96</v>
      </c>
      <c r="J331" s="52">
        <f>VLOOKUP(Stock[[#This Row],[Product ID]],Product[#All],8,0)</f>
        <v>20</v>
      </c>
      <c r="K331" s="52" t="str">
        <f>IF(Stock[[#This Row],[Available Stock]]&lt;=Stock[[#This Row],[Reorder Level]],"Reorder","OK")</f>
        <v>OK</v>
      </c>
    </row>
    <row r="332" spans="1:11" ht="18.75" x14ac:dyDescent="0.25">
      <c r="A332" s="52" t="str">
        <f>Product[[#This Row],[Product ID]]</f>
        <v>P0330</v>
      </c>
      <c r="B332" s="52" t="str">
        <f>VLOOKUP(Stock[[#This Row],[Product ID]],Product[#All],2,0)</f>
        <v>Samsung Ssd</v>
      </c>
      <c r="C332" s="52" t="str">
        <f>VLOOKUP(Stock[[#This Row],[Product ID]],Product[#All],3,0)</f>
        <v>SSD</v>
      </c>
      <c r="D332" s="52" t="str">
        <f>VLOOKUP(Stock[[#This Row],[Product ID]],Product[#All],4,0)</f>
        <v>Samsung</v>
      </c>
      <c r="E332" s="52">
        <f>SUMIF(Opning[[#All],[Product_ID]],Stock[[#This Row],[Product ID]],Opning[[#All],[Opening_Qty]])</f>
        <v>6</v>
      </c>
      <c r="F332" s="52">
        <f>SUMIF(Purchase[[#All],[Product ID]],Stock[[#This Row],[Product ID]],Purchase[[#All],[Net Qty]])</f>
        <v>142</v>
      </c>
      <c r="G332" s="52">
        <f>Stock[[#This Row],[Opening Stock]]+Stock[[#This Row],[Purchase Stock]]</f>
        <v>148</v>
      </c>
      <c r="H332" s="52">
        <f>SUMIF(Sales[[#All],[Product ID]],Stock[[#This Row],[Product ID]],Sales[[#All],[Net QTY]])</f>
        <v>47</v>
      </c>
      <c r="I332" s="52">
        <f>Stock[[#This Row],[Total Stock]]-Stock[[#This Row],[Selling Stock]]</f>
        <v>101</v>
      </c>
      <c r="J332" s="52">
        <f>VLOOKUP(Stock[[#This Row],[Product ID]],Product[#All],8,0)</f>
        <v>25</v>
      </c>
      <c r="K332" s="52" t="str">
        <f>IF(Stock[[#This Row],[Available Stock]]&lt;=Stock[[#This Row],[Reorder Level]],"Reorder","OK")</f>
        <v>OK</v>
      </c>
    </row>
    <row r="333" spans="1:11" ht="18.75" x14ac:dyDescent="0.25">
      <c r="A333" s="52" t="str">
        <f>Product[[#This Row],[Product ID]]</f>
        <v>P0331</v>
      </c>
      <c r="B333" s="52" t="str">
        <f>VLOOKUP(Stock[[#This Row],[Product ID]],Product[#All],2,0)</f>
        <v>Boat Headset</v>
      </c>
      <c r="C333" s="52" t="str">
        <f>VLOOKUP(Stock[[#This Row],[Product ID]],Product[#All],3,0)</f>
        <v>Headset</v>
      </c>
      <c r="D333" s="52" t="str">
        <f>VLOOKUP(Stock[[#This Row],[Product ID]],Product[#All],4,0)</f>
        <v>Boat</v>
      </c>
      <c r="E333" s="52">
        <f>SUMIF(Opning[[#All],[Product_ID]],Stock[[#This Row],[Product ID]],Opning[[#All],[Opening_Qty]])</f>
        <v>13</v>
      </c>
      <c r="F333" s="52">
        <f>SUMIF(Purchase[[#All],[Product ID]],Stock[[#This Row],[Product ID]],Purchase[[#All],[Net Qty]])</f>
        <v>188</v>
      </c>
      <c r="G333" s="52">
        <f>Stock[[#This Row],[Opening Stock]]+Stock[[#This Row],[Purchase Stock]]</f>
        <v>201</v>
      </c>
      <c r="H333" s="52">
        <f>SUMIF(Sales[[#All],[Product ID]],Stock[[#This Row],[Product ID]],Sales[[#All],[Net QTY]])</f>
        <v>31</v>
      </c>
      <c r="I333" s="52">
        <f>Stock[[#This Row],[Total Stock]]-Stock[[#This Row],[Selling Stock]]</f>
        <v>170</v>
      </c>
      <c r="J333" s="52">
        <f>VLOOKUP(Stock[[#This Row],[Product ID]],Product[#All],8,0)</f>
        <v>8</v>
      </c>
      <c r="K333" s="52" t="str">
        <f>IF(Stock[[#This Row],[Available Stock]]&lt;=Stock[[#This Row],[Reorder Level]],"Reorder","OK")</f>
        <v>OK</v>
      </c>
    </row>
    <row r="334" spans="1:11" ht="18.75" x14ac:dyDescent="0.25">
      <c r="A334" s="52" t="str">
        <f>Product[[#This Row],[Product ID]]</f>
        <v>P0332</v>
      </c>
      <c r="B334" s="52" t="str">
        <f>VLOOKUP(Stock[[#This Row],[Product ID]],Product[#All],2,0)</f>
        <v>Sandisk Pen Drive</v>
      </c>
      <c r="C334" s="52" t="str">
        <f>VLOOKUP(Stock[[#This Row],[Product ID]],Product[#All],3,0)</f>
        <v>Pen Drive</v>
      </c>
      <c r="D334" s="52" t="str">
        <f>VLOOKUP(Stock[[#This Row],[Product ID]],Product[#All],4,0)</f>
        <v>SanDisk</v>
      </c>
      <c r="E334" s="52">
        <f>SUMIF(Opning[[#All],[Product_ID]],Stock[[#This Row],[Product ID]],Opning[[#All],[Opening_Qty]])</f>
        <v>28</v>
      </c>
      <c r="F334" s="52">
        <f>SUMIF(Purchase[[#All],[Product ID]],Stock[[#This Row],[Product ID]],Purchase[[#All],[Net Qty]])</f>
        <v>140</v>
      </c>
      <c r="G334" s="52">
        <f>Stock[[#This Row],[Opening Stock]]+Stock[[#This Row],[Purchase Stock]]</f>
        <v>168</v>
      </c>
      <c r="H334" s="52">
        <f>SUMIF(Sales[[#All],[Product ID]],Stock[[#This Row],[Product ID]],Sales[[#All],[Net QTY]])</f>
        <v>41</v>
      </c>
      <c r="I334" s="52">
        <f>Stock[[#This Row],[Total Stock]]-Stock[[#This Row],[Selling Stock]]</f>
        <v>127</v>
      </c>
      <c r="J334" s="52">
        <f>VLOOKUP(Stock[[#This Row],[Product ID]],Product[#All],8,0)</f>
        <v>10</v>
      </c>
      <c r="K334" s="52" t="str">
        <f>IF(Stock[[#This Row],[Available Stock]]&lt;=Stock[[#This Row],[Reorder Level]],"Reorder","OK")</f>
        <v>OK</v>
      </c>
    </row>
    <row r="335" spans="1:11" ht="18.75" x14ac:dyDescent="0.25">
      <c r="A335" s="52" t="str">
        <f>Product[[#This Row],[Product ID]]</f>
        <v>P0333</v>
      </c>
      <c r="B335" s="52" t="str">
        <f>VLOOKUP(Stock[[#This Row],[Product ID]],Product[#All],2,0)</f>
        <v>HP Printer</v>
      </c>
      <c r="C335" s="52" t="str">
        <f>VLOOKUP(Stock[[#This Row],[Product ID]],Product[#All],3,0)</f>
        <v>Printer</v>
      </c>
      <c r="D335" s="52" t="str">
        <f>VLOOKUP(Stock[[#This Row],[Product ID]],Product[#All],4,0)</f>
        <v>HP</v>
      </c>
      <c r="E335" s="52">
        <f>SUMIF(Opning[[#All],[Product_ID]],Stock[[#This Row],[Product ID]],Opning[[#All],[Opening_Qty]])</f>
        <v>16</v>
      </c>
      <c r="F335" s="52">
        <f>SUMIF(Purchase[[#All],[Product ID]],Stock[[#This Row],[Product ID]],Purchase[[#All],[Net Qty]])</f>
        <v>105</v>
      </c>
      <c r="G335" s="52">
        <f>Stock[[#This Row],[Opening Stock]]+Stock[[#This Row],[Purchase Stock]]</f>
        <v>121</v>
      </c>
      <c r="H335" s="52">
        <f>SUMIF(Sales[[#All],[Product ID]],Stock[[#This Row],[Product ID]],Sales[[#All],[Net QTY]])</f>
        <v>76</v>
      </c>
      <c r="I335" s="52">
        <f>Stock[[#This Row],[Total Stock]]-Stock[[#This Row],[Selling Stock]]</f>
        <v>45</v>
      </c>
      <c r="J335" s="52">
        <f>VLOOKUP(Stock[[#This Row],[Product ID]],Product[#All],8,0)</f>
        <v>10</v>
      </c>
      <c r="K335" s="52" t="str">
        <f>IF(Stock[[#This Row],[Available Stock]]&lt;=Stock[[#This Row],[Reorder Level]],"Reorder","OK")</f>
        <v>OK</v>
      </c>
    </row>
    <row r="336" spans="1:11" ht="18.75" x14ac:dyDescent="0.25">
      <c r="A336" s="52" t="str">
        <f>Product[[#This Row],[Product ID]]</f>
        <v>P0334</v>
      </c>
      <c r="B336" s="52" t="str">
        <f>VLOOKUP(Stock[[#This Row],[Product ID]],Product[#All],2,0)</f>
        <v>Dell Laptop</v>
      </c>
      <c r="C336" s="52" t="str">
        <f>VLOOKUP(Stock[[#This Row],[Product ID]],Product[#All],3,0)</f>
        <v>Laptop</v>
      </c>
      <c r="D336" s="52" t="str">
        <f>VLOOKUP(Stock[[#This Row],[Product ID]],Product[#All],4,0)</f>
        <v>Dell</v>
      </c>
      <c r="E336" s="52">
        <f>SUMIF(Opning[[#All],[Product_ID]],Stock[[#This Row],[Product ID]],Opning[[#All],[Opening_Qty]])</f>
        <v>7</v>
      </c>
      <c r="F336" s="52">
        <f>SUMIF(Purchase[[#All],[Product ID]],Stock[[#This Row],[Product ID]],Purchase[[#All],[Net Qty]])</f>
        <v>33</v>
      </c>
      <c r="G336" s="52">
        <f>Stock[[#This Row],[Opening Stock]]+Stock[[#This Row],[Purchase Stock]]</f>
        <v>40</v>
      </c>
      <c r="H336" s="52">
        <f>SUMIF(Sales[[#All],[Product ID]],Stock[[#This Row],[Product ID]],Sales[[#All],[Net QTY]])</f>
        <v>40</v>
      </c>
      <c r="I336" s="52">
        <f>Stock[[#This Row],[Total Stock]]-Stock[[#This Row],[Selling Stock]]</f>
        <v>0</v>
      </c>
      <c r="J336" s="52">
        <f>VLOOKUP(Stock[[#This Row],[Product ID]],Product[#All],8,0)</f>
        <v>15</v>
      </c>
      <c r="K336" s="52" t="str">
        <f>IF(Stock[[#This Row],[Available Stock]]&lt;=Stock[[#This Row],[Reorder Level]],"Reorder","OK")</f>
        <v>Reorder</v>
      </c>
    </row>
    <row r="337" spans="1:11" ht="18.75" x14ac:dyDescent="0.25">
      <c r="A337" s="52" t="str">
        <f>Product[[#This Row],[Product ID]]</f>
        <v>P0335</v>
      </c>
      <c r="B337" s="52" t="str">
        <f>VLOOKUP(Stock[[#This Row],[Product ID]],Product[#All],2,0)</f>
        <v>WD HDD</v>
      </c>
      <c r="C337" s="52" t="str">
        <f>VLOOKUP(Stock[[#This Row],[Product ID]],Product[#All],3,0)</f>
        <v>HDD</v>
      </c>
      <c r="D337" s="52" t="str">
        <f>VLOOKUP(Stock[[#This Row],[Product ID]],Product[#All],4,0)</f>
        <v>WD</v>
      </c>
      <c r="E337" s="52">
        <f>SUMIF(Opning[[#All],[Product_ID]],Stock[[#This Row],[Product ID]],Opning[[#All],[Opening_Qty]])</f>
        <v>11</v>
      </c>
      <c r="F337" s="52">
        <f>SUMIF(Purchase[[#All],[Product ID]],Stock[[#This Row],[Product ID]],Purchase[[#All],[Net Qty]])</f>
        <v>127</v>
      </c>
      <c r="G337" s="52">
        <f>Stock[[#This Row],[Opening Stock]]+Stock[[#This Row],[Purchase Stock]]</f>
        <v>138</v>
      </c>
      <c r="H337" s="52">
        <f>SUMIF(Sales[[#All],[Product ID]],Stock[[#This Row],[Product ID]],Sales[[#All],[Net QTY]])</f>
        <v>79</v>
      </c>
      <c r="I337" s="52">
        <f>Stock[[#This Row],[Total Stock]]-Stock[[#This Row],[Selling Stock]]</f>
        <v>59</v>
      </c>
      <c r="J337" s="52">
        <f>VLOOKUP(Stock[[#This Row],[Product ID]],Product[#All],8,0)</f>
        <v>15</v>
      </c>
      <c r="K337" s="52" t="str">
        <f>IF(Stock[[#This Row],[Available Stock]]&lt;=Stock[[#This Row],[Reorder Level]],"Reorder","OK")</f>
        <v>OK</v>
      </c>
    </row>
    <row r="338" spans="1:11" ht="18.75" x14ac:dyDescent="0.25">
      <c r="A338" s="52" t="str">
        <f>Product[[#This Row],[Product ID]]</f>
        <v>P0336</v>
      </c>
      <c r="B338" s="52" t="str">
        <f>VLOOKUP(Stock[[#This Row],[Product ID]],Product[#All],2,0)</f>
        <v>TP-link Router</v>
      </c>
      <c r="C338" s="52" t="str">
        <f>VLOOKUP(Stock[[#This Row],[Product ID]],Product[#All],3,0)</f>
        <v>Router</v>
      </c>
      <c r="D338" s="52" t="str">
        <f>VLOOKUP(Stock[[#This Row],[Product ID]],Product[#All],4,0)</f>
        <v>TP-link</v>
      </c>
      <c r="E338" s="52">
        <f>SUMIF(Opning[[#All],[Product_ID]],Stock[[#This Row],[Product ID]],Opning[[#All],[Opening_Qty]])</f>
        <v>58</v>
      </c>
      <c r="F338" s="52">
        <f>SUMIF(Purchase[[#All],[Product ID]],Stock[[#This Row],[Product ID]],Purchase[[#All],[Net Qty]])</f>
        <v>154</v>
      </c>
      <c r="G338" s="52">
        <f>Stock[[#This Row],[Opening Stock]]+Stock[[#This Row],[Purchase Stock]]</f>
        <v>212</v>
      </c>
      <c r="H338" s="52">
        <f>SUMIF(Sales[[#All],[Product ID]],Stock[[#This Row],[Product ID]],Sales[[#All],[Net QTY]])</f>
        <v>41</v>
      </c>
      <c r="I338" s="52">
        <f>Stock[[#This Row],[Total Stock]]-Stock[[#This Row],[Selling Stock]]</f>
        <v>171</v>
      </c>
      <c r="J338" s="52">
        <f>VLOOKUP(Stock[[#This Row],[Product ID]],Product[#All],8,0)</f>
        <v>20</v>
      </c>
      <c r="K338" s="52" t="str">
        <f>IF(Stock[[#This Row],[Available Stock]]&lt;=Stock[[#This Row],[Reorder Level]],"Reorder","OK")</f>
        <v>OK</v>
      </c>
    </row>
    <row r="339" spans="1:11" ht="18.75" x14ac:dyDescent="0.25">
      <c r="A339" s="52" t="str">
        <f>Product[[#This Row],[Product ID]]</f>
        <v>P0337</v>
      </c>
      <c r="B339" s="52" t="str">
        <f>VLOOKUP(Stock[[#This Row],[Product ID]],Product[#All],2,0)</f>
        <v>Seagate HDD</v>
      </c>
      <c r="C339" s="52" t="str">
        <f>VLOOKUP(Stock[[#This Row],[Product ID]],Product[#All],3,0)</f>
        <v xml:space="preserve">HDD </v>
      </c>
      <c r="D339" s="52" t="str">
        <f>VLOOKUP(Stock[[#This Row],[Product ID]],Product[#All],4,0)</f>
        <v>Seagate</v>
      </c>
      <c r="E339" s="52">
        <f>SUMIF(Opning[[#All],[Product_ID]],Stock[[#This Row],[Product ID]],Opning[[#All],[Opening_Qty]])</f>
        <v>29</v>
      </c>
      <c r="F339" s="52">
        <f>SUMIF(Purchase[[#All],[Product ID]],Stock[[#This Row],[Product ID]],Purchase[[#All],[Net Qty]])</f>
        <v>102</v>
      </c>
      <c r="G339" s="52">
        <f>Stock[[#This Row],[Opening Stock]]+Stock[[#This Row],[Purchase Stock]]</f>
        <v>131</v>
      </c>
      <c r="H339" s="52">
        <f>SUMIF(Sales[[#All],[Product ID]],Stock[[#This Row],[Product ID]],Sales[[#All],[Net QTY]])</f>
        <v>55</v>
      </c>
      <c r="I339" s="52">
        <f>Stock[[#This Row],[Total Stock]]-Stock[[#This Row],[Selling Stock]]</f>
        <v>76</v>
      </c>
      <c r="J339" s="52">
        <f>VLOOKUP(Stock[[#This Row],[Product ID]],Product[#All],8,0)</f>
        <v>20</v>
      </c>
      <c r="K339" s="52" t="str">
        <f>IF(Stock[[#This Row],[Available Stock]]&lt;=Stock[[#This Row],[Reorder Level]],"Reorder","OK")</f>
        <v>OK</v>
      </c>
    </row>
    <row r="340" spans="1:11" ht="18.75" x14ac:dyDescent="0.25">
      <c r="A340" s="52" t="str">
        <f>Product[[#This Row],[Product ID]]</f>
        <v>P0338</v>
      </c>
      <c r="B340" s="52" t="str">
        <f>VLOOKUP(Stock[[#This Row],[Product ID]],Product[#All],2,0)</f>
        <v>Apc UPS</v>
      </c>
      <c r="C340" s="52" t="str">
        <f>VLOOKUP(Stock[[#This Row],[Product ID]],Product[#All],3,0)</f>
        <v>UPS</v>
      </c>
      <c r="D340" s="52" t="str">
        <f>VLOOKUP(Stock[[#This Row],[Product ID]],Product[#All],4,0)</f>
        <v>APC</v>
      </c>
      <c r="E340" s="52">
        <f>SUMIF(Opning[[#All],[Product_ID]],Stock[[#This Row],[Product ID]],Opning[[#All],[Opening_Qty]])</f>
        <v>18</v>
      </c>
      <c r="F340" s="52">
        <f>SUMIF(Purchase[[#All],[Product ID]],Stock[[#This Row],[Product ID]],Purchase[[#All],[Net Qty]])</f>
        <v>19</v>
      </c>
      <c r="G340" s="52">
        <f>Stock[[#This Row],[Opening Stock]]+Stock[[#This Row],[Purchase Stock]]</f>
        <v>37</v>
      </c>
      <c r="H340" s="52">
        <f>SUMIF(Sales[[#All],[Product ID]],Stock[[#This Row],[Product ID]],Sales[[#All],[Net QTY]])</f>
        <v>36</v>
      </c>
      <c r="I340" s="52">
        <f>Stock[[#This Row],[Total Stock]]-Stock[[#This Row],[Selling Stock]]</f>
        <v>1</v>
      </c>
      <c r="J340" s="52">
        <f>VLOOKUP(Stock[[#This Row],[Product ID]],Product[#All],8,0)</f>
        <v>20</v>
      </c>
      <c r="K340" s="52" t="str">
        <f>IF(Stock[[#This Row],[Available Stock]]&lt;=Stock[[#This Row],[Reorder Level]],"Reorder","OK")</f>
        <v>Reorder</v>
      </c>
    </row>
    <row r="341" spans="1:11" ht="18.75" x14ac:dyDescent="0.25">
      <c r="A341" s="52" t="str">
        <f>Product[[#This Row],[Product ID]]</f>
        <v>P0339</v>
      </c>
      <c r="B341" s="52" t="str">
        <f>VLOOKUP(Stock[[#This Row],[Product ID]],Product[#All],2,0)</f>
        <v>American TouristerLaptopBag</v>
      </c>
      <c r="C341" s="52" t="str">
        <f>VLOOKUP(Stock[[#This Row],[Product ID]],Product[#All],3,0)</f>
        <v>Laptop Bag</v>
      </c>
      <c r="D341" s="52" t="str">
        <f>VLOOKUP(Stock[[#This Row],[Product ID]],Product[#All],4,0)</f>
        <v>American Tourister</v>
      </c>
      <c r="E341" s="52">
        <f>SUMIF(Opning[[#All],[Product_ID]],Stock[[#This Row],[Product ID]],Opning[[#All],[Opening_Qty]])</f>
        <v>50</v>
      </c>
      <c r="F341" s="52">
        <f>SUMIF(Purchase[[#All],[Product ID]],Stock[[#This Row],[Product ID]],Purchase[[#All],[Net Qty]])</f>
        <v>30</v>
      </c>
      <c r="G341" s="52">
        <f>Stock[[#This Row],[Opening Stock]]+Stock[[#This Row],[Purchase Stock]]</f>
        <v>80</v>
      </c>
      <c r="H341" s="52">
        <f>SUMIF(Sales[[#All],[Product ID]],Stock[[#This Row],[Product ID]],Sales[[#All],[Net QTY]])</f>
        <v>57</v>
      </c>
      <c r="I341" s="52">
        <f>Stock[[#This Row],[Total Stock]]-Stock[[#This Row],[Selling Stock]]</f>
        <v>23</v>
      </c>
      <c r="J341" s="52">
        <f>VLOOKUP(Stock[[#This Row],[Product ID]],Product[#All],8,0)</f>
        <v>20</v>
      </c>
      <c r="K341" s="52" t="str">
        <f>IF(Stock[[#This Row],[Available Stock]]&lt;=Stock[[#This Row],[Reorder Level]],"Reorder","OK")</f>
        <v>OK</v>
      </c>
    </row>
    <row r="342" spans="1:11" ht="18.75" x14ac:dyDescent="0.25">
      <c r="A342" s="52" t="str">
        <f>Product[[#This Row],[Product ID]]</f>
        <v>P0340</v>
      </c>
      <c r="B342" s="52" t="str">
        <f>VLOOKUP(Stock[[#This Row],[Product ID]],Product[#All],2,0)</f>
        <v>Boat Speaker</v>
      </c>
      <c r="C342" s="52" t="str">
        <f>VLOOKUP(Stock[[#This Row],[Product ID]],Product[#All],3,0)</f>
        <v>Speaker</v>
      </c>
      <c r="D342" s="52" t="str">
        <f>VLOOKUP(Stock[[#This Row],[Product ID]],Product[#All],4,0)</f>
        <v>Boat</v>
      </c>
      <c r="E342" s="52">
        <f>SUMIF(Opning[[#All],[Product_ID]],Stock[[#This Row],[Product ID]],Opning[[#All],[Opening_Qty]])</f>
        <v>23</v>
      </c>
      <c r="F342" s="52">
        <f>SUMIF(Purchase[[#All],[Product ID]],Stock[[#This Row],[Product ID]],Purchase[[#All],[Net Qty]])</f>
        <v>140</v>
      </c>
      <c r="G342" s="52">
        <f>Stock[[#This Row],[Opening Stock]]+Stock[[#This Row],[Purchase Stock]]</f>
        <v>163</v>
      </c>
      <c r="H342" s="52">
        <f>SUMIF(Sales[[#All],[Product ID]],Stock[[#This Row],[Product ID]],Sales[[#All],[Net QTY]])</f>
        <v>47</v>
      </c>
      <c r="I342" s="52">
        <f>Stock[[#This Row],[Total Stock]]-Stock[[#This Row],[Selling Stock]]</f>
        <v>116</v>
      </c>
      <c r="J342" s="52">
        <f>VLOOKUP(Stock[[#This Row],[Product ID]],Product[#All],8,0)</f>
        <v>25</v>
      </c>
      <c r="K342" s="52" t="str">
        <f>IF(Stock[[#This Row],[Available Stock]]&lt;=Stock[[#This Row],[Reorder Level]],"Reorder","OK")</f>
        <v>OK</v>
      </c>
    </row>
    <row r="343" spans="1:11" ht="18.75" x14ac:dyDescent="0.25">
      <c r="A343" s="52" t="str">
        <f>Product[[#This Row],[Product ID]]</f>
        <v>P0341</v>
      </c>
      <c r="B343" s="52" t="str">
        <f>VLOOKUP(Stock[[#This Row],[Product ID]],Product[#All],2,0)</f>
        <v>American TouristerLaptopBag</v>
      </c>
      <c r="C343" s="52" t="str">
        <f>VLOOKUP(Stock[[#This Row],[Product ID]],Product[#All],3,0)</f>
        <v>Laptop Bag</v>
      </c>
      <c r="D343" s="52" t="str">
        <f>VLOOKUP(Stock[[#This Row],[Product ID]],Product[#All],4,0)</f>
        <v>American Tourister</v>
      </c>
      <c r="E343" s="52">
        <f>SUMIF(Opning[[#All],[Product_ID]],Stock[[#This Row],[Product ID]],Opning[[#All],[Opening_Qty]])</f>
        <v>57</v>
      </c>
      <c r="F343" s="52">
        <f>SUMIF(Purchase[[#All],[Product ID]],Stock[[#This Row],[Product ID]],Purchase[[#All],[Net Qty]])</f>
        <v>96</v>
      </c>
      <c r="G343" s="52">
        <f>Stock[[#This Row],[Opening Stock]]+Stock[[#This Row],[Purchase Stock]]</f>
        <v>153</v>
      </c>
      <c r="H343" s="52">
        <f>SUMIF(Sales[[#All],[Product ID]],Stock[[#This Row],[Product ID]],Sales[[#All],[Net QTY]])</f>
        <v>43</v>
      </c>
      <c r="I343" s="52">
        <f>Stock[[#This Row],[Total Stock]]-Stock[[#This Row],[Selling Stock]]</f>
        <v>110</v>
      </c>
      <c r="J343" s="52">
        <f>VLOOKUP(Stock[[#This Row],[Product ID]],Product[#All],8,0)</f>
        <v>8</v>
      </c>
      <c r="K343" s="52" t="str">
        <f>IF(Stock[[#This Row],[Available Stock]]&lt;=Stock[[#This Row],[Reorder Level]],"Reorder","OK")</f>
        <v>OK</v>
      </c>
    </row>
    <row r="344" spans="1:11" ht="18.75" x14ac:dyDescent="0.25">
      <c r="A344" s="52" t="str">
        <f>Product[[#This Row],[Product ID]]</f>
        <v>P0342</v>
      </c>
      <c r="B344" s="52" t="str">
        <f>VLOOKUP(Stock[[#This Row],[Product ID]],Product[#All],2,0)</f>
        <v>HP Laptop</v>
      </c>
      <c r="C344" s="52" t="str">
        <f>VLOOKUP(Stock[[#This Row],[Product ID]],Product[#All],3,0)</f>
        <v>Laptop</v>
      </c>
      <c r="D344" s="52" t="str">
        <f>VLOOKUP(Stock[[#This Row],[Product ID]],Product[#All],4,0)</f>
        <v>HP</v>
      </c>
      <c r="E344" s="52">
        <f>SUMIF(Opning[[#All],[Product_ID]],Stock[[#This Row],[Product ID]],Opning[[#All],[Opening_Qty]])</f>
        <v>23</v>
      </c>
      <c r="F344" s="52">
        <f>SUMIF(Purchase[[#All],[Product ID]],Stock[[#This Row],[Product ID]],Purchase[[#All],[Net Qty]])</f>
        <v>159</v>
      </c>
      <c r="G344" s="52">
        <f>Stock[[#This Row],[Opening Stock]]+Stock[[#This Row],[Purchase Stock]]</f>
        <v>182</v>
      </c>
      <c r="H344" s="52">
        <f>SUMIF(Sales[[#All],[Product ID]],Stock[[#This Row],[Product ID]],Sales[[#All],[Net QTY]])</f>
        <v>53</v>
      </c>
      <c r="I344" s="52">
        <f>Stock[[#This Row],[Total Stock]]-Stock[[#This Row],[Selling Stock]]</f>
        <v>129</v>
      </c>
      <c r="J344" s="52">
        <f>VLOOKUP(Stock[[#This Row],[Product ID]],Product[#All],8,0)</f>
        <v>8</v>
      </c>
      <c r="K344" s="52" t="str">
        <f>IF(Stock[[#This Row],[Available Stock]]&lt;=Stock[[#This Row],[Reorder Level]],"Reorder","OK")</f>
        <v>OK</v>
      </c>
    </row>
    <row r="345" spans="1:11" ht="18.75" x14ac:dyDescent="0.25">
      <c r="A345" s="52" t="str">
        <f>Product[[#This Row],[Product ID]]</f>
        <v>P0343</v>
      </c>
      <c r="B345" s="52" t="str">
        <f>VLOOKUP(Stock[[#This Row],[Product ID]],Product[#All],2,0)</f>
        <v>Dell Laptop</v>
      </c>
      <c r="C345" s="52" t="str">
        <f>VLOOKUP(Stock[[#This Row],[Product ID]],Product[#All],3,0)</f>
        <v>Laptop</v>
      </c>
      <c r="D345" s="52" t="str">
        <f>VLOOKUP(Stock[[#This Row],[Product ID]],Product[#All],4,0)</f>
        <v>Dell</v>
      </c>
      <c r="E345" s="52">
        <f>SUMIF(Opning[[#All],[Product_ID]],Stock[[#This Row],[Product ID]],Opning[[#All],[Opening_Qty]])</f>
        <v>45</v>
      </c>
      <c r="F345" s="52">
        <f>SUMIF(Purchase[[#All],[Product ID]],Stock[[#This Row],[Product ID]],Purchase[[#All],[Net Qty]])</f>
        <v>111</v>
      </c>
      <c r="G345" s="52">
        <f>Stock[[#This Row],[Opening Stock]]+Stock[[#This Row],[Purchase Stock]]</f>
        <v>156</v>
      </c>
      <c r="H345" s="52">
        <f>SUMIF(Sales[[#All],[Product ID]],Stock[[#This Row],[Product ID]],Sales[[#All],[Net QTY]])</f>
        <v>17</v>
      </c>
      <c r="I345" s="52">
        <f>Stock[[#This Row],[Total Stock]]-Stock[[#This Row],[Selling Stock]]</f>
        <v>139</v>
      </c>
      <c r="J345" s="52">
        <f>VLOOKUP(Stock[[#This Row],[Product ID]],Product[#All],8,0)</f>
        <v>20</v>
      </c>
      <c r="K345" s="52" t="str">
        <f>IF(Stock[[#This Row],[Available Stock]]&lt;=Stock[[#This Row],[Reorder Level]],"Reorder","OK")</f>
        <v>OK</v>
      </c>
    </row>
    <row r="346" spans="1:11" ht="18.75" x14ac:dyDescent="0.25">
      <c r="A346" s="52" t="str">
        <f>Product[[#This Row],[Product ID]]</f>
        <v>P0344</v>
      </c>
      <c r="B346" s="52" t="str">
        <f>VLOOKUP(Stock[[#This Row],[Product ID]],Product[#All],2,0)</f>
        <v>D-Link Router</v>
      </c>
      <c r="C346" s="52" t="str">
        <f>VLOOKUP(Stock[[#This Row],[Product ID]],Product[#All],3,0)</f>
        <v>Router</v>
      </c>
      <c r="D346" s="52" t="str">
        <f>VLOOKUP(Stock[[#This Row],[Product ID]],Product[#All],4,0)</f>
        <v>D-Link</v>
      </c>
      <c r="E346" s="52">
        <f>SUMIF(Opning[[#All],[Product_ID]],Stock[[#This Row],[Product ID]],Opning[[#All],[Opening_Qty]])</f>
        <v>47</v>
      </c>
      <c r="F346" s="52">
        <f>SUMIF(Purchase[[#All],[Product ID]],Stock[[#This Row],[Product ID]],Purchase[[#All],[Net Qty]])</f>
        <v>42</v>
      </c>
      <c r="G346" s="52">
        <f>Stock[[#This Row],[Opening Stock]]+Stock[[#This Row],[Purchase Stock]]</f>
        <v>89</v>
      </c>
      <c r="H346" s="52">
        <f>SUMIF(Sales[[#All],[Product ID]],Stock[[#This Row],[Product ID]],Sales[[#All],[Net QTY]])</f>
        <v>25</v>
      </c>
      <c r="I346" s="52">
        <f>Stock[[#This Row],[Total Stock]]-Stock[[#This Row],[Selling Stock]]</f>
        <v>64</v>
      </c>
      <c r="J346" s="52">
        <f>VLOOKUP(Stock[[#This Row],[Product ID]],Product[#All],8,0)</f>
        <v>10</v>
      </c>
      <c r="K346" s="52" t="str">
        <f>IF(Stock[[#This Row],[Available Stock]]&lt;=Stock[[#This Row],[Reorder Level]],"Reorder","OK")</f>
        <v>OK</v>
      </c>
    </row>
    <row r="347" spans="1:11" ht="18.75" x14ac:dyDescent="0.25">
      <c r="A347" s="52" t="str">
        <f>Product[[#This Row],[Product ID]]</f>
        <v>P0345</v>
      </c>
      <c r="B347" s="52" t="str">
        <f>VLOOKUP(Stock[[#This Row],[Product ID]],Product[#All],2,0)</f>
        <v>Dell Desktop</v>
      </c>
      <c r="C347" s="52" t="str">
        <f>VLOOKUP(Stock[[#This Row],[Product ID]],Product[#All],3,0)</f>
        <v>Desktop</v>
      </c>
      <c r="D347" s="52" t="str">
        <f>VLOOKUP(Stock[[#This Row],[Product ID]],Product[#All],4,0)</f>
        <v>Dell</v>
      </c>
      <c r="E347" s="52">
        <f>SUMIF(Opning[[#All],[Product_ID]],Stock[[#This Row],[Product ID]],Opning[[#All],[Opening_Qty]])</f>
        <v>16</v>
      </c>
      <c r="F347" s="52">
        <f>SUMIF(Purchase[[#All],[Product ID]],Stock[[#This Row],[Product ID]],Purchase[[#All],[Net Qty]])</f>
        <v>117</v>
      </c>
      <c r="G347" s="52">
        <f>Stock[[#This Row],[Opening Stock]]+Stock[[#This Row],[Purchase Stock]]</f>
        <v>133</v>
      </c>
      <c r="H347" s="52">
        <f>SUMIF(Sales[[#All],[Product ID]],Stock[[#This Row],[Product ID]],Sales[[#All],[Net QTY]])</f>
        <v>51</v>
      </c>
      <c r="I347" s="52">
        <f>Stock[[#This Row],[Total Stock]]-Stock[[#This Row],[Selling Stock]]</f>
        <v>82</v>
      </c>
      <c r="J347" s="52">
        <f>VLOOKUP(Stock[[#This Row],[Product ID]],Product[#All],8,0)</f>
        <v>20</v>
      </c>
      <c r="K347" s="52" t="str">
        <f>IF(Stock[[#This Row],[Available Stock]]&lt;=Stock[[#This Row],[Reorder Level]],"Reorder","OK")</f>
        <v>OK</v>
      </c>
    </row>
    <row r="348" spans="1:11" ht="18.75" x14ac:dyDescent="0.25">
      <c r="A348" s="52" t="str">
        <f>Product[[#This Row],[Product ID]]</f>
        <v>P0346</v>
      </c>
      <c r="B348" s="52" t="str">
        <f>VLOOKUP(Stock[[#This Row],[Product ID]],Product[#All],2,0)</f>
        <v>TP-link Bluetooth Adapter</v>
      </c>
      <c r="C348" s="52" t="str">
        <f>VLOOKUP(Stock[[#This Row],[Product ID]],Product[#All],3,0)</f>
        <v>Bluetooth Adapter</v>
      </c>
      <c r="D348" s="52" t="str">
        <f>VLOOKUP(Stock[[#This Row],[Product ID]],Product[#All],4,0)</f>
        <v>TP-link</v>
      </c>
      <c r="E348" s="52">
        <f>SUMIF(Opning[[#All],[Product_ID]],Stock[[#This Row],[Product ID]],Opning[[#All],[Opening_Qty]])</f>
        <v>24</v>
      </c>
      <c r="F348" s="52">
        <f>SUMIF(Purchase[[#All],[Product ID]],Stock[[#This Row],[Product ID]],Purchase[[#All],[Net Qty]])</f>
        <v>126</v>
      </c>
      <c r="G348" s="52">
        <f>Stock[[#This Row],[Opening Stock]]+Stock[[#This Row],[Purchase Stock]]</f>
        <v>150</v>
      </c>
      <c r="H348" s="52">
        <f>SUMIF(Sales[[#All],[Product ID]],Stock[[#This Row],[Product ID]],Sales[[#All],[Net QTY]])</f>
        <v>50</v>
      </c>
      <c r="I348" s="52">
        <f>Stock[[#This Row],[Total Stock]]-Stock[[#This Row],[Selling Stock]]</f>
        <v>100</v>
      </c>
      <c r="J348" s="52">
        <f>VLOOKUP(Stock[[#This Row],[Product ID]],Product[#All],8,0)</f>
        <v>15</v>
      </c>
      <c r="K348" s="52" t="str">
        <f>IF(Stock[[#This Row],[Available Stock]]&lt;=Stock[[#This Row],[Reorder Level]],"Reorder","OK")</f>
        <v>OK</v>
      </c>
    </row>
    <row r="349" spans="1:11" ht="18.75" x14ac:dyDescent="0.25">
      <c r="A349" s="52" t="str">
        <f>Product[[#This Row],[Product ID]]</f>
        <v>P0347</v>
      </c>
      <c r="B349" s="52" t="str">
        <f>VLOOKUP(Stock[[#This Row],[Product ID]],Product[#All],2,0)</f>
        <v>Amazon Basics Hdmi Cable</v>
      </c>
      <c r="C349" s="52" t="str">
        <f>VLOOKUP(Stock[[#This Row],[Product ID]],Product[#All],3,0)</f>
        <v>HDMI Cable</v>
      </c>
      <c r="D349" s="52" t="str">
        <f>VLOOKUP(Stock[[#This Row],[Product ID]],Product[#All],4,0)</f>
        <v>Amazon Basics</v>
      </c>
      <c r="E349" s="52">
        <f>SUMIF(Opning[[#All],[Product_ID]],Stock[[#This Row],[Product ID]],Opning[[#All],[Opening_Qty]])</f>
        <v>8</v>
      </c>
      <c r="F349" s="52">
        <f>SUMIF(Purchase[[#All],[Product ID]],Stock[[#This Row],[Product ID]],Purchase[[#All],[Net Qty]])</f>
        <v>255</v>
      </c>
      <c r="G349" s="52">
        <f>Stock[[#This Row],[Opening Stock]]+Stock[[#This Row],[Purchase Stock]]</f>
        <v>263</v>
      </c>
      <c r="H349" s="52">
        <f>SUMIF(Sales[[#All],[Product ID]],Stock[[#This Row],[Product ID]],Sales[[#All],[Net QTY]])</f>
        <v>61</v>
      </c>
      <c r="I349" s="52">
        <f>Stock[[#This Row],[Total Stock]]-Stock[[#This Row],[Selling Stock]]</f>
        <v>202</v>
      </c>
      <c r="J349" s="52">
        <f>VLOOKUP(Stock[[#This Row],[Product ID]],Product[#All],8,0)</f>
        <v>20</v>
      </c>
      <c r="K349" s="52" t="str">
        <f>IF(Stock[[#This Row],[Available Stock]]&lt;=Stock[[#This Row],[Reorder Level]],"Reorder","OK")</f>
        <v>OK</v>
      </c>
    </row>
    <row r="350" spans="1:11" ht="18.75" x14ac:dyDescent="0.25">
      <c r="A350" s="52" t="str">
        <f>Product[[#This Row],[Product ID]]</f>
        <v>P0348</v>
      </c>
      <c r="B350" s="52" t="str">
        <f>VLOOKUP(Stock[[#This Row],[Product ID]],Product[#All],2,0)</f>
        <v>Logitech Keyboard</v>
      </c>
      <c r="C350" s="52" t="str">
        <f>VLOOKUP(Stock[[#This Row],[Product ID]],Product[#All],3,0)</f>
        <v>Keyboard</v>
      </c>
      <c r="D350" s="52" t="str">
        <f>VLOOKUP(Stock[[#This Row],[Product ID]],Product[#All],4,0)</f>
        <v>Logitech</v>
      </c>
      <c r="E350" s="52">
        <f>SUMIF(Opning[[#All],[Product_ID]],Stock[[#This Row],[Product ID]],Opning[[#All],[Opening_Qty]])</f>
        <v>51</v>
      </c>
      <c r="F350" s="52">
        <f>SUMIF(Purchase[[#All],[Product ID]],Stock[[#This Row],[Product ID]],Purchase[[#All],[Net Qty]])</f>
        <v>76</v>
      </c>
      <c r="G350" s="52">
        <f>Stock[[#This Row],[Opening Stock]]+Stock[[#This Row],[Purchase Stock]]</f>
        <v>127</v>
      </c>
      <c r="H350" s="52">
        <f>SUMIF(Sales[[#All],[Product ID]],Stock[[#This Row],[Product ID]],Sales[[#All],[Net QTY]])</f>
        <v>58</v>
      </c>
      <c r="I350" s="52">
        <f>Stock[[#This Row],[Total Stock]]-Stock[[#This Row],[Selling Stock]]</f>
        <v>69</v>
      </c>
      <c r="J350" s="52">
        <f>VLOOKUP(Stock[[#This Row],[Product ID]],Product[#All],8,0)</f>
        <v>20</v>
      </c>
      <c r="K350" s="52" t="str">
        <f>IF(Stock[[#This Row],[Available Stock]]&lt;=Stock[[#This Row],[Reorder Level]],"Reorder","OK")</f>
        <v>OK</v>
      </c>
    </row>
    <row r="351" spans="1:11" ht="18.75" x14ac:dyDescent="0.25">
      <c r="A351" s="52" t="str">
        <f>Product[[#This Row],[Product ID]]</f>
        <v>P0349</v>
      </c>
      <c r="B351" s="52" t="str">
        <f>VLOOKUP(Stock[[#This Row],[Product ID]],Product[#All],2,0)</f>
        <v>Apc UPS</v>
      </c>
      <c r="C351" s="52" t="str">
        <f>VLOOKUP(Stock[[#This Row],[Product ID]],Product[#All],3,0)</f>
        <v>UPS</v>
      </c>
      <c r="D351" s="52" t="str">
        <f>VLOOKUP(Stock[[#This Row],[Product ID]],Product[#All],4,0)</f>
        <v>APC</v>
      </c>
      <c r="E351" s="52">
        <f>SUMIF(Opning[[#All],[Product_ID]],Stock[[#This Row],[Product ID]],Opning[[#All],[Opening_Qty]])</f>
        <v>56</v>
      </c>
      <c r="F351" s="52">
        <f>SUMIF(Purchase[[#All],[Product ID]],Stock[[#This Row],[Product ID]],Purchase[[#All],[Net Qty]])</f>
        <v>157</v>
      </c>
      <c r="G351" s="52">
        <f>Stock[[#This Row],[Opening Stock]]+Stock[[#This Row],[Purchase Stock]]</f>
        <v>213</v>
      </c>
      <c r="H351" s="52">
        <f>SUMIF(Sales[[#All],[Product ID]],Stock[[#This Row],[Product ID]],Sales[[#All],[Net QTY]])</f>
        <v>43</v>
      </c>
      <c r="I351" s="52">
        <f>Stock[[#This Row],[Total Stock]]-Stock[[#This Row],[Selling Stock]]</f>
        <v>170</v>
      </c>
      <c r="J351" s="52">
        <f>VLOOKUP(Stock[[#This Row],[Product ID]],Product[#All],8,0)</f>
        <v>5</v>
      </c>
      <c r="K351" s="52" t="str">
        <f>IF(Stock[[#This Row],[Available Stock]]&lt;=Stock[[#This Row],[Reorder Level]],"Reorder","OK")</f>
        <v>OK</v>
      </c>
    </row>
    <row r="352" spans="1:11" ht="18.75" x14ac:dyDescent="0.25">
      <c r="A352" s="52" t="str">
        <f>Product[[#This Row],[Product ID]]</f>
        <v>P0350</v>
      </c>
      <c r="B352" s="52" t="str">
        <f>VLOOKUP(Stock[[#This Row],[Product ID]],Product[#All],2,0)</f>
        <v>Dell Keyboard</v>
      </c>
      <c r="C352" s="52" t="str">
        <f>VLOOKUP(Stock[[#This Row],[Product ID]],Product[#All],3,0)</f>
        <v>Keyboard</v>
      </c>
      <c r="D352" s="52" t="str">
        <f>VLOOKUP(Stock[[#This Row],[Product ID]],Product[#All],4,0)</f>
        <v>Dell</v>
      </c>
      <c r="E352" s="52">
        <f>SUMIF(Opning[[#All],[Product_ID]],Stock[[#This Row],[Product ID]],Opning[[#All],[Opening_Qty]])</f>
        <v>22</v>
      </c>
      <c r="F352" s="52">
        <f>SUMIF(Purchase[[#All],[Product ID]],Stock[[#This Row],[Product ID]],Purchase[[#All],[Net Qty]])</f>
        <v>60</v>
      </c>
      <c r="G352" s="52">
        <f>Stock[[#This Row],[Opening Stock]]+Stock[[#This Row],[Purchase Stock]]</f>
        <v>82</v>
      </c>
      <c r="H352" s="52">
        <f>SUMIF(Sales[[#All],[Product ID]],Stock[[#This Row],[Product ID]],Sales[[#All],[Net QTY]])</f>
        <v>25</v>
      </c>
      <c r="I352" s="52">
        <f>Stock[[#This Row],[Total Stock]]-Stock[[#This Row],[Selling Stock]]</f>
        <v>57</v>
      </c>
      <c r="J352" s="52">
        <f>VLOOKUP(Stock[[#This Row],[Product ID]],Product[#All],8,0)</f>
        <v>25</v>
      </c>
      <c r="K352" s="52" t="str">
        <f>IF(Stock[[#This Row],[Available Stock]]&lt;=Stock[[#This Row],[Reorder Level]],"Reorder","OK")</f>
        <v>OK</v>
      </c>
    </row>
    <row r="353" spans="1:11" ht="18.75" x14ac:dyDescent="0.25">
      <c r="A353" s="52" t="str">
        <f>Product[[#This Row],[Product ID]]</f>
        <v>P0351</v>
      </c>
      <c r="B353" s="52" t="str">
        <f>VLOOKUP(Stock[[#This Row],[Product ID]],Product[#All],2,0)</f>
        <v>TP-link Bluetooth Adapter</v>
      </c>
      <c r="C353" s="52" t="str">
        <f>VLOOKUP(Stock[[#This Row],[Product ID]],Product[#All],3,0)</f>
        <v>Bluetooth Adapter</v>
      </c>
      <c r="D353" s="52" t="str">
        <f>VLOOKUP(Stock[[#This Row],[Product ID]],Product[#All],4,0)</f>
        <v>TP-link</v>
      </c>
      <c r="E353" s="52">
        <f>SUMIF(Opning[[#All],[Product_ID]],Stock[[#This Row],[Product ID]],Opning[[#All],[Opening_Qty]])</f>
        <v>48</v>
      </c>
      <c r="F353" s="52">
        <f>SUMIF(Purchase[[#All],[Product ID]],Stock[[#This Row],[Product ID]],Purchase[[#All],[Net Qty]])</f>
        <v>140</v>
      </c>
      <c r="G353" s="52">
        <f>Stock[[#This Row],[Opening Stock]]+Stock[[#This Row],[Purchase Stock]]</f>
        <v>188</v>
      </c>
      <c r="H353" s="52">
        <f>SUMIF(Sales[[#All],[Product ID]],Stock[[#This Row],[Product ID]],Sales[[#All],[Net QTY]])</f>
        <v>51</v>
      </c>
      <c r="I353" s="52">
        <f>Stock[[#This Row],[Total Stock]]-Stock[[#This Row],[Selling Stock]]</f>
        <v>137</v>
      </c>
      <c r="J353" s="52">
        <f>VLOOKUP(Stock[[#This Row],[Product ID]],Product[#All],8,0)</f>
        <v>10</v>
      </c>
      <c r="K353" s="52" t="str">
        <f>IF(Stock[[#This Row],[Available Stock]]&lt;=Stock[[#This Row],[Reorder Level]],"Reorder","OK")</f>
        <v>OK</v>
      </c>
    </row>
    <row r="354" spans="1:11" ht="18.75" x14ac:dyDescent="0.25">
      <c r="A354" s="52" t="str">
        <f>Product[[#This Row],[Product ID]]</f>
        <v>P0352</v>
      </c>
      <c r="B354" s="52" t="str">
        <f>VLOOKUP(Stock[[#This Row],[Product ID]],Product[#All],2,0)</f>
        <v>American TouristerLaptopBag</v>
      </c>
      <c r="C354" s="52" t="str">
        <f>VLOOKUP(Stock[[#This Row],[Product ID]],Product[#All],3,0)</f>
        <v>Laptop Bag</v>
      </c>
      <c r="D354" s="52" t="str">
        <f>VLOOKUP(Stock[[#This Row],[Product ID]],Product[#All],4,0)</f>
        <v>American Tourister</v>
      </c>
      <c r="E354" s="52">
        <f>SUMIF(Opning[[#All],[Product_ID]],Stock[[#This Row],[Product ID]],Opning[[#All],[Opening_Qty]])</f>
        <v>26</v>
      </c>
      <c r="F354" s="52">
        <f>SUMIF(Purchase[[#All],[Product ID]],Stock[[#This Row],[Product ID]],Purchase[[#All],[Net Qty]])</f>
        <v>108</v>
      </c>
      <c r="G354" s="52">
        <f>Stock[[#This Row],[Opening Stock]]+Stock[[#This Row],[Purchase Stock]]</f>
        <v>134</v>
      </c>
      <c r="H354" s="52">
        <f>SUMIF(Sales[[#All],[Product ID]],Stock[[#This Row],[Product ID]],Sales[[#All],[Net QTY]])</f>
        <v>47</v>
      </c>
      <c r="I354" s="52">
        <f>Stock[[#This Row],[Total Stock]]-Stock[[#This Row],[Selling Stock]]</f>
        <v>87</v>
      </c>
      <c r="J354" s="52">
        <f>VLOOKUP(Stock[[#This Row],[Product ID]],Product[#All],8,0)</f>
        <v>15</v>
      </c>
      <c r="K354" s="52" t="str">
        <f>IF(Stock[[#This Row],[Available Stock]]&lt;=Stock[[#This Row],[Reorder Level]],"Reorder","OK")</f>
        <v>OK</v>
      </c>
    </row>
    <row r="355" spans="1:11" ht="18.75" x14ac:dyDescent="0.25">
      <c r="A355" s="52" t="str">
        <f>Product[[#This Row],[Product ID]]</f>
        <v>P0353</v>
      </c>
      <c r="B355" s="52" t="str">
        <f>VLOOKUP(Stock[[#This Row],[Product ID]],Product[#All],2,0)</f>
        <v>Lenovo Laptop</v>
      </c>
      <c r="C355" s="52" t="str">
        <f>VLOOKUP(Stock[[#This Row],[Product ID]],Product[#All],3,0)</f>
        <v>Laptop</v>
      </c>
      <c r="D355" s="52" t="str">
        <f>VLOOKUP(Stock[[#This Row],[Product ID]],Product[#All],4,0)</f>
        <v>Lenovo</v>
      </c>
      <c r="E355" s="52">
        <f>SUMIF(Opning[[#All],[Product_ID]],Stock[[#This Row],[Product ID]],Opning[[#All],[Opening_Qty]])</f>
        <v>55</v>
      </c>
      <c r="F355" s="52">
        <f>SUMIF(Purchase[[#All],[Product ID]],Stock[[#This Row],[Product ID]],Purchase[[#All],[Net Qty]])</f>
        <v>60</v>
      </c>
      <c r="G355" s="52">
        <f>Stock[[#This Row],[Opening Stock]]+Stock[[#This Row],[Purchase Stock]]</f>
        <v>115</v>
      </c>
      <c r="H355" s="52">
        <f>SUMIF(Sales[[#All],[Product ID]],Stock[[#This Row],[Product ID]],Sales[[#All],[Net QTY]])</f>
        <v>18</v>
      </c>
      <c r="I355" s="52">
        <f>Stock[[#This Row],[Total Stock]]-Stock[[#This Row],[Selling Stock]]</f>
        <v>97</v>
      </c>
      <c r="J355" s="52">
        <f>VLOOKUP(Stock[[#This Row],[Product ID]],Product[#All],8,0)</f>
        <v>10</v>
      </c>
      <c r="K355" s="52" t="str">
        <f>IF(Stock[[#This Row],[Available Stock]]&lt;=Stock[[#This Row],[Reorder Level]],"Reorder","OK")</f>
        <v>OK</v>
      </c>
    </row>
    <row r="356" spans="1:11" ht="18.75" x14ac:dyDescent="0.25">
      <c r="A356" s="52" t="str">
        <f>Product[[#This Row],[Product ID]]</f>
        <v>P0354</v>
      </c>
      <c r="B356" s="52" t="str">
        <f>VLOOKUP(Stock[[#This Row],[Product ID]],Product[#All],2,0)</f>
        <v>HP Laptop</v>
      </c>
      <c r="C356" s="52" t="str">
        <f>VLOOKUP(Stock[[#This Row],[Product ID]],Product[#All],3,0)</f>
        <v>Laptop</v>
      </c>
      <c r="D356" s="52" t="str">
        <f>VLOOKUP(Stock[[#This Row],[Product ID]],Product[#All],4,0)</f>
        <v>HP</v>
      </c>
      <c r="E356" s="52">
        <f>SUMIF(Opning[[#All],[Product_ID]],Stock[[#This Row],[Product ID]],Opning[[#All],[Opening_Qty]])</f>
        <v>32</v>
      </c>
      <c r="F356" s="52">
        <f>SUMIF(Purchase[[#All],[Product ID]],Stock[[#This Row],[Product ID]],Purchase[[#All],[Net Qty]])</f>
        <v>148</v>
      </c>
      <c r="G356" s="52">
        <f>Stock[[#This Row],[Opening Stock]]+Stock[[#This Row],[Purchase Stock]]</f>
        <v>180</v>
      </c>
      <c r="H356" s="52">
        <f>SUMIF(Sales[[#All],[Product ID]],Stock[[#This Row],[Product ID]],Sales[[#All],[Net QTY]])</f>
        <v>44</v>
      </c>
      <c r="I356" s="52">
        <f>Stock[[#This Row],[Total Stock]]-Stock[[#This Row],[Selling Stock]]</f>
        <v>136</v>
      </c>
      <c r="J356" s="52">
        <f>VLOOKUP(Stock[[#This Row],[Product ID]],Product[#All],8,0)</f>
        <v>20</v>
      </c>
      <c r="K356" s="52" t="str">
        <f>IF(Stock[[#This Row],[Available Stock]]&lt;=Stock[[#This Row],[Reorder Level]],"Reorder","OK")</f>
        <v>OK</v>
      </c>
    </row>
    <row r="357" spans="1:11" ht="18.75" x14ac:dyDescent="0.25">
      <c r="A357" s="52" t="str">
        <f>Product[[#This Row],[Product ID]]</f>
        <v>P0355</v>
      </c>
      <c r="B357" s="52" t="str">
        <f>VLOOKUP(Stock[[#This Row],[Product ID]],Product[#All],2,0)</f>
        <v>Amazon Basics Hdmi Cable</v>
      </c>
      <c r="C357" s="52" t="str">
        <f>VLOOKUP(Stock[[#This Row],[Product ID]],Product[#All],3,0)</f>
        <v xml:space="preserve">HDMI Cable </v>
      </c>
      <c r="D357" s="52" t="str">
        <f>VLOOKUP(Stock[[#This Row],[Product ID]],Product[#All],4,0)</f>
        <v>Amazon Basics</v>
      </c>
      <c r="E357" s="52">
        <f>SUMIF(Opning[[#All],[Product_ID]],Stock[[#This Row],[Product ID]],Opning[[#All],[Opening_Qty]])</f>
        <v>37</v>
      </c>
      <c r="F357" s="52">
        <f>SUMIF(Purchase[[#All],[Product ID]],Stock[[#This Row],[Product ID]],Purchase[[#All],[Net Qty]])</f>
        <v>116</v>
      </c>
      <c r="G357" s="52">
        <f>Stock[[#This Row],[Opening Stock]]+Stock[[#This Row],[Purchase Stock]]</f>
        <v>153</v>
      </c>
      <c r="H357" s="52">
        <f>SUMIF(Sales[[#All],[Product ID]],Stock[[#This Row],[Product ID]],Sales[[#All],[Net QTY]])</f>
        <v>29</v>
      </c>
      <c r="I357" s="52">
        <f>Stock[[#This Row],[Total Stock]]-Stock[[#This Row],[Selling Stock]]</f>
        <v>124</v>
      </c>
      <c r="J357" s="52">
        <f>VLOOKUP(Stock[[#This Row],[Product ID]],Product[#All],8,0)</f>
        <v>25</v>
      </c>
      <c r="K357" s="52" t="str">
        <f>IF(Stock[[#This Row],[Available Stock]]&lt;=Stock[[#This Row],[Reorder Level]],"Reorder","OK")</f>
        <v>OK</v>
      </c>
    </row>
    <row r="358" spans="1:11" ht="18.75" x14ac:dyDescent="0.25">
      <c r="A358" s="52" t="str">
        <f>Product[[#This Row],[Product ID]]</f>
        <v>P0356</v>
      </c>
      <c r="B358" s="52" t="str">
        <f>VLOOKUP(Stock[[#This Row],[Product ID]],Product[#All],2,0)</f>
        <v>Microtek UPS</v>
      </c>
      <c r="C358" s="52" t="str">
        <f>VLOOKUP(Stock[[#This Row],[Product ID]],Product[#All],3,0)</f>
        <v>UPS</v>
      </c>
      <c r="D358" s="52" t="str">
        <f>VLOOKUP(Stock[[#This Row],[Product ID]],Product[#All],4,0)</f>
        <v>Microtek</v>
      </c>
      <c r="E358" s="52">
        <f>SUMIF(Opning[[#All],[Product_ID]],Stock[[#This Row],[Product ID]],Opning[[#All],[Opening_Qty]])</f>
        <v>26</v>
      </c>
      <c r="F358" s="52">
        <f>SUMIF(Purchase[[#All],[Product ID]],Stock[[#This Row],[Product ID]],Purchase[[#All],[Net Qty]])</f>
        <v>156</v>
      </c>
      <c r="G358" s="52">
        <f>Stock[[#This Row],[Opening Stock]]+Stock[[#This Row],[Purchase Stock]]</f>
        <v>182</v>
      </c>
      <c r="H358" s="52">
        <f>SUMIF(Sales[[#All],[Product ID]],Stock[[#This Row],[Product ID]],Sales[[#All],[Net QTY]])</f>
        <v>38</v>
      </c>
      <c r="I358" s="52">
        <f>Stock[[#This Row],[Total Stock]]-Stock[[#This Row],[Selling Stock]]</f>
        <v>144</v>
      </c>
      <c r="J358" s="52">
        <f>VLOOKUP(Stock[[#This Row],[Product ID]],Product[#All],8,0)</f>
        <v>5</v>
      </c>
      <c r="K358" s="52" t="str">
        <f>IF(Stock[[#This Row],[Available Stock]]&lt;=Stock[[#This Row],[Reorder Level]],"Reorder","OK")</f>
        <v>OK</v>
      </c>
    </row>
    <row r="359" spans="1:11" ht="18.75" x14ac:dyDescent="0.25">
      <c r="A359" s="52" t="str">
        <f>Product[[#This Row],[Product ID]]</f>
        <v>P0357</v>
      </c>
      <c r="B359" s="52" t="str">
        <f>VLOOKUP(Stock[[#This Row],[Product ID]],Product[#All],2,0)</f>
        <v>Logitech Webcam</v>
      </c>
      <c r="C359" s="52" t="str">
        <f>VLOOKUP(Stock[[#This Row],[Product ID]],Product[#All],3,0)</f>
        <v xml:space="preserve">Webcam </v>
      </c>
      <c r="D359" s="52" t="str">
        <f>VLOOKUP(Stock[[#This Row],[Product ID]],Product[#All],4,0)</f>
        <v>Logitech</v>
      </c>
      <c r="E359" s="52">
        <f>SUMIF(Opning[[#All],[Product_ID]],Stock[[#This Row],[Product ID]],Opning[[#All],[Opening_Qty]])</f>
        <v>59</v>
      </c>
      <c r="F359" s="52">
        <f>SUMIF(Purchase[[#All],[Product ID]],Stock[[#This Row],[Product ID]],Purchase[[#All],[Net Qty]])</f>
        <v>187</v>
      </c>
      <c r="G359" s="52">
        <f>Stock[[#This Row],[Opening Stock]]+Stock[[#This Row],[Purchase Stock]]</f>
        <v>246</v>
      </c>
      <c r="H359" s="52">
        <f>SUMIF(Sales[[#All],[Product ID]],Stock[[#This Row],[Product ID]],Sales[[#All],[Net QTY]])</f>
        <v>34</v>
      </c>
      <c r="I359" s="52">
        <f>Stock[[#This Row],[Total Stock]]-Stock[[#This Row],[Selling Stock]]</f>
        <v>212</v>
      </c>
      <c r="J359" s="52">
        <f>VLOOKUP(Stock[[#This Row],[Product ID]],Product[#All],8,0)</f>
        <v>15</v>
      </c>
      <c r="K359" s="52" t="str">
        <f>IF(Stock[[#This Row],[Available Stock]]&lt;=Stock[[#This Row],[Reorder Level]],"Reorder","OK")</f>
        <v>OK</v>
      </c>
    </row>
    <row r="360" spans="1:11" ht="18.75" x14ac:dyDescent="0.25">
      <c r="A360" s="52" t="str">
        <f>Product[[#This Row],[Product ID]]</f>
        <v>P0358</v>
      </c>
      <c r="B360" s="52" t="str">
        <f>VLOOKUP(Stock[[#This Row],[Product ID]],Product[#All],2,0)</f>
        <v>Dell Monitor</v>
      </c>
      <c r="C360" s="52" t="str">
        <f>VLOOKUP(Stock[[#This Row],[Product ID]],Product[#All],3,0)</f>
        <v>Monitor</v>
      </c>
      <c r="D360" s="52" t="str">
        <f>VLOOKUP(Stock[[#This Row],[Product ID]],Product[#All],4,0)</f>
        <v>Dell</v>
      </c>
      <c r="E360" s="52">
        <f>SUMIF(Opning[[#All],[Product_ID]],Stock[[#This Row],[Product ID]],Opning[[#All],[Opening_Qty]])</f>
        <v>35</v>
      </c>
      <c r="F360" s="52">
        <f>SUMIF(Purchase[[#All],[Product ID]],Stock[[#This Row],[Product ID]],Purchase[[#All],[Net Qty]])</f>
        <v>178</v>
      </c>
      <c r="G360" s="52">
        <f>Stock[[#This Row],[Opening Stock]]+Stock[[#This Row],[Purchase Stock]]</f>
        <v>213</v>
      </c>
      <c r="H360" s="52">
        <f>SUMIF(Sales[[#All],[Product ID]],Stock[[#This Row],[Product ID]],Sales[[#All],[Net QTY]])</f>
        <v>33</v>
      </c>
      <c r="I360" s="52">
        <f>Stock[[#This Row],[Total Stock]]-Stock[[#This Row],[Selling Stock]]</f>
        <v>180</v>
      </c>
      <c r="J360" s="52">
        <f>VLOOKUP(Stock[[#This Row],[Product ID]],Product[#All],8,0)</f>
        <v>15</v>
      </c>
      <c r="K360" s="52" t="str">
        <f>IF(Stock[[#This Row],[Available Stock]]&lt;=Stock[[#This Row],[Reorder Level]],"Reorder","OK")</f>
        <v>OK</v>
      </c>
    </row>
    <row r="361" spans="1:11" ht="18.75" x14ac:dyDescent="0.25">
      <c r="A361" s="52" t="str">
        <f>Product[[#This Row],[Product ID]]</f>
        <v>P0359</v>
      </c>
      <c r="B361" s="52" t="str">
        <f>VLOOKUP(Stock[[#This Row],[Product ID]],Product[#All],2,0)</f>
        <v>Crucial Ssd</v>
      </c>
      <c r="C361" s="52" t="str">
        <f>VLOOKUP(Stock[[#This Row],[Product ID]],Product[#All],3,0)</f>
        <v>SSD</v>
      </c>
      <c r="D361" s="52" t="str">
        <f>VLOOKUP(Stock[[#This Row],[Product ID]],Product[#All],4,0)</f>
        <v>Crucial</v>
      </c>
      <c r="E361" s="52">
        <f>SUMIF(Opning[[#All],[Product_ID]],Stock[[#This Row],[Product ID]],Opning[[#All],[Opening_Qty]])</f>
        <v>36</v>
      </c>
      <c r="F361" s="52">
        <f>SUMIF(Purchase[[#All],[Product ID]],Stock[[#This Row],[Product ID]],Purchase[[#All],[Net Qty]])</f>
        <v>133</v>
      </c>
      <c r="G361" s="52">
        <f>Stock[[#This Row],[Opening Stock]]+Stock[[#This Row],[Purchase Stock]]</f>
        <v>169</v>
      </c>
      <c r="H361" s="52">
        <f>SUMIF(Sales[[#All],[Product ID]],Stock[[#This Row],[Product ID]],Sales[[#All],[Net QTY]])</f>
        <v>54</v>
      </c>
      <c r="I361" s="52">
        <f>Stock[[#This Row],[Total Stock]]-Stock[[#This Row],[Selling Stock]]</f>
        <v>115</v>
      </c>
      <c r="J361" s="52">
        <f>VLOOKUP(Stock[[#This Row],[Product ID]],Product[#All],8,0)</f>
        <v>8</v>
      </c>
      <c r="K361" s="52" t="str">
        <f>IF(Stock[[#This Row],[Available Stock]]&lt;=Stock[[#This Row],[Reorder Level]],"Reorder","OK")</f>
        <v>OK</v>
      </c>
    </row>
    <row r="362" spans="1:11" ht="18.75" x14ac:dyDescent="0.25">
      <c r="A362" s="52" t="str">
        <f>Product[[#This Row],[Product ID]]</f>
        <v>P0360</v>
      </c>
      <c r="B362" s="52" t="str">
        <f>VLOOKUP(Stock[[#This Row],[Product ID]],Product[#All],2,0)</f>
        <v>Logitech Keyboard</v>
      </c>
      <c r="C362" s="52" t="str">
        <f>VLOOKUP(Stock[[#This Row],[Product ID]],Product[#All],3,0)</f>
        <v>Keyboard</v>
      </c>
      <c r="D362" s="52" t="str">
        <f>VLOOKUP(Stock[[#This Row],[Product ID]],Product[#All],4,0)</f>
        <v>Logitech</v>
      </c>
      <c r="E362" s="52">
        <f>SUMIF(Opning[[#All],[Product_ID]],Stock[[#This Row],[Product ID]],Opning[[#All],[Opening_Qty]])</f>
        <v>32</v>
      </c>
      <c r="F362" s="52">
        <f>SUMIF(Purchase[[#All],[Product ID]],Stock[[#This Row],[Product ID]],Purchase[[#All],[Net Qty]])</f>
        <v>66</v>
      </c>
      <c r="G362" s="52">
        <f>Stock[[#This Row],[Opening Stock]]+Stock[[#This Row],[Purchase Stock]]</f>
        <v>98</v>
      </c>
      <c r="H362" s="52">
        <f>SUMIF(Sales[[#All],[Product ID]],Stock[[#This Row],[Product ID]],Sales[[#All],[Net QTY]])</f>
        <v>36</v>
      </c>
      <c r="I362" s="52">
        <f>Stock[[#This Row],[Total Stock]]-Stock[[#This Row],[Selling Stock]]</f>
        <v>62</v>
      </c>
      <c r="J362" s="52">
        <f>VLOOKUP(Stock[[#This Row],[Product ID]],Product[#All],8,0)</f>
        <v>8</v>
      </c>
      <c r="K362" s="52" t="str">
        <f>IF(Stock[[#This Row],[Available Stock]]&lt;=Stock[[#This Row],[Reorder Level]],"Reorder","OK")</f>
        <v>OK</v>
      </c>
    </row>
    <row r="363" spans="1:11" ht="18.75" x14ac:dyDescent="0.25">
      <c r="A363" s="52" t="str">
        <f>Product[[#This Row],[Product ID]]</f>
        <v>P0361</v>
      </c>
      <c r="B363" s="52" t="str">
        <f>VLOOKUP(Stock[[#This Row],[Product ID]],Product[#All],2,0)</f>
        <v>American TouristerLaptopBag</v>
      </c>
      <c r="C363" s="52" t="str">
        <f>VLOOKUP(Stock[[#This Row],[Product ID]],Product[#All],3,0)</f>
        <v>Laptop Bag</v>
      </c>
      <c r="D363" s="52" t="str">
        <f>VLOOKUP(Stock[[#This Row],[Product ID]],Product[#All],4,0)</f>
        <v>American Tourister</v>
      </c>
      <c r="E363" s="52">
        <f>SUMIF(Opning[[#All],[Product_ID]],Stock[[#This Row],[Product ID]],Opning[[#All],[Opening_Qty]])</f>
        <v>20</v>
      </c>
      <c r="F363" s="52">
        <f>SUMIF(Purchase[[#All],[Product ID]],Stock[[#This Row],[Product ID]],Purchase[[#All],[Net Qty]])</f>
        <v>107</v>
      </c>
      <c r="G363" s="52">
        <f>Stock[[#This Row],[Opening Stock]]+Stock[[#This Row],[Purchase Stock]]</f>
        <v>127</v>
      </c>
      <c r="H363" s="52">
        <f>SUMIF(Sales[[#All],[Product ID]],Stock[[#This Row],[Product ID]],Sales[[#All],[Net QTY]])</f>
        <v>41</v>
      </c>
      <c r="I363" s="52">
        <f>Stock[[#This Row],[Total Stock]]-Stock[[#This Row],[Selling Stock]]</f>
        <v>86</v>
      </c>
      <c r="J363" s="52">
        <f>VLOOKUP(Stock[[#This Row],[Product ID]],Product[#All],8,0)</f>
        <v>15</v>
      </c>
      <c r="K363" s="52" t="str">
        <f>IF(Stock[[#This Row],[Available Stock]]&lt;=Stock[[#This Row],[Reorder Level]],"Reorder","OK")</f>
        <v>OK</v>
      </c>
    </row>
    <row r="364" spans="1:11" ht="18.75" x14ac:dyDescent="0.25">
      <c r="A364" s="52" t="str">
        <f>Product[[#This Row],[Product ID]]</f>
        <v>P0362</v>
      </c>
      <c r="B364" s="52" t="str">
        <f>VLOOKUP(Stock[[#This Row],[Product ID]],Product[#All],2,0)</f>
        <v>Portronics USB Cable</v>
      </c>
      <c r="C364" s="52" t="str">
        <f>VLOOKUP(Stock[[#This Row],[Product ID]],Product[#All],3,0)</f>
        <v>USB Cable</v>
      </c>
      <c r="D364" s="52" t="str">
        <f>VLOOKUP(Stock[[#This Row],[Product ID]],Product[#All],4,0)</f>
        <v>Portronics</v>
      </c>
      <c r="E364" s="52">
        <f>SUMIF(Opning[[#All],[Product_ID]],Stock[[#This Row],[Product ID]],Opning[[#All],[Opening_Qty]])</f>
        <v>45</v>
      </c>
      <c r="F364" s="52">
        <f>SUMIF(Purchase[[#All],[Product ID]],Stock[[#This Row],[Product ID]],Purchase[[#All],[Net Qty]])</f>
        <v>60</v>
      </c>
      <c r="G364" s="52">
        <f>Stock[[#This Row],[Opening Stock]]+Stock[[#This Row],[Purchase Stock]]</f>
        <v>105</v>
      </c>
      <c r="H364" s="52">
        <f>SUMIF(Sales[[#All],[Product ID]],Stock[[#This Row],[Product ID]],Sales[[#All],[Net QTY]])</f>
        <v>47</v>
      </c>
      <c r="I364" s="52">
        <f>Stock[[#This Row],[Total Stock]]-Stock[[#This Row],[Selling Stock]]</f>
        <v>58</v>
      </c>
      <c r="J364" s="52">
        <f>VLOOKUP(Stock[[#This Row],[Product ID]],Product[#All],8,0)</f>
        <v>8</v>
      </c>
      <c r="K364" s="52" t="str">
        <f>IF(Stock[[#This Row],[Available Stock]]&lt;=Stock[[#This Row],[Reorder Level]],"Reorder","OK")</f>
        <v>OK</v>
      </c>
    </row>
    <row r="365" spans="1:11" ht="18.75" x14ac:dyDescent="0.25">
      <c r="A365" s="52" t="str">
        <f>Product[[#This Row],[Product ID]]</f>
        <v>P0363</v>
      </c>
      <c r="B365" s="52" t="str">
        <f>VLOOKUP(Stock[[#This Row],[Product ID]],Product[#All],2,0)</f>
        <v>HP Power Adapter</v>
      </c>
      <c r="C365" s="52" t="str">
        <f>VLOOKUP(Stock[[#This Row],[Product ID]],Product[#All],3,0)</f>
        <v>Power Adapter</v>
      </c>
      <c r="D365" s="52" t="str">
        <f>VLOOKUP(Stock[[#This Row],[Product ID]],Product[#All],4,0)</f>
        <v>HP</v>
      </c>
      <c r="E365" s="52">
        <f>SUMIF(Opning[[#All],[Product_ID]],Stock[[#This Row],[Product ID]],Opning[[#All],[Opening_Qty]])</f>
        <v>58</v>
      </c>
      <c r="F365" s="52">
        <f>SUMIF(Purchase[[#All],[Product ID]],Stock[[#This Row],[Product ID]],Purchase[[#All],[Net Qty]])</f>
        <v>49</v>
      </c>
      <c r="G365" s="52">
        <f>Stock[[#This Row],[Opening Stock]]+Stock[[#This Row],[Purchase Stock]]</f>
        <v>107</v>
      </c>
      <c r="H365" s="52">
        <f>SUMIF(Sales[[#All],[Product ID]],Stock[[#This Row],[Product ID]],Sales[[#All],[Net QTY]])</f>
        <v>53</v>
      </c>
      <c r="I365" s="52">
        <f>Stock[[#This Row],[Total Stock]]-Stock[[#This Row],[Selling Stock]]</f>
        <v>54</v>
      </c>
      <c r="J365" s="52">
        <f>VLOOKUP(Stock[[#This Row],[Product ID]],Product[#All],8,0)</f>
        <v>25</v>
      </c>
      <c r="K365" s="52" t="str">
        <f>IF(Stock[[#This Row],[Available Stock]]&lt;=Stock[[#This Row],[Reorder Level]],"Reorder","OK")</f>
        <v>OK</v>
      </c>
    </row>
    <row r="366" spans="1:11" ht="18.75" x14ac:dyDescent="0.25">
      <c r="A366" s="52" t="str">
        <f>Product[[#This Row],[Product ID]]</f>
        <v>P0364</v>
      </c>
      <c r="B366" s="52" t="str">
        <f>VLOOKUP(Stock[[#This Row],[Product ID]],Product[#All],2,0)</f>
        <v>TP-link Router</v>
      </c>
      <c r="C366" s="52" t="str">
        <f>VLOOKUP(Stock[[#This Row],[Product ID]],Product[#All],3,0)</f>
        <v>Router</v>
      </c>
      <c r="D366" s="52" t="str">
        <f>VLOOKUP(Stock[[#This Row],[Product ID]],Product[#All],4,0)</f>
        <v>TP-link</v>
      </c>
      <c r="E366" s="52">
        <f>SUMIF(Opning[[#All],[Product_ID]],Stock[[#This Row],[Product ID]],Opning[[#All],[Opening_Qty]])</f>
        <v>57</v>
      </c>
      <c r="F366" s="52">
        <f>SUMIF(Purchase[[#All],[Product ID]],Stock[[#This Row],[Product ID]],Purchase[[#All],[Net Qty]])</f>
        <v>55</v>
      </c>
      <c r="G366" s="52">
        <f>Stock[[#This Row],[Opening Stock]]+Stock[[#This Row],[Purchase Stock]]</f>
        <v>112</v>
      </c>
      <c r="H366" s="52">
        <f>SUMIF(Sales[[#All],[Product ID]],Stock[[#This Row],[Product ID]],Sales[[#All],[Net QTY]])</f>
        <v>60</v>
      </c>
      <c r="I366" s="52">
        <f>Stock[[#This Row],[Total Stock]]-Stock[[#This Row],[Selling Stock]]</f>
        <v>52</v>
      </c>
      <c r="J366" s="52">
        <f>VLOOKUP(Stock[[#This Row],[Product ID]],Product[#All],8,0)</f>
        <v>8</v>
      </c>
      <c r="K366" s="52" t="str">
        <f>IF(Stock[[#This Row],[Available Stock]]&lt;=Stock[[#This Row],[Reorder Level]],"Reorder","OK")</f>
        <v>OK</v>
      </c>
    </row>
    <row r="367" spans="1:11" ht="18.75" x14ac:dyDescent="0.25">
      <c r="A367" s="52" t="str">
        <f>Product[[#This Row],[Product ID]]</f>
        <v>P0365</v>
      </c>
      <c r="B367" s="52" t="str">
        <f>VLOOKUP(Stock[[#This Row],[Product ID]],Product[#All],2,0)</f>
        <v>WD HDD</v>
      </c>
      <c r="C367" s="52" t="str">
        <f>VLOOKUP(Stock[[#This Row],[Product ID]],Product[#All],3,0)</f>
        <v>HDD</v>
      </c>
      <c r="D367" s="52" t="str">
        <f>VLOOKUP(Stock[[#This Row],[Product ID]],Product[#All],4,0)</f>
        <v>WD</v>
      </c>
      <c r="E367" s="52">
        <f>SUMIF(Opning[[#All],[Product_ID]],Stock[[#This Row],[Product ID]],Opning[[#All],[Opening_Qty]])</f>
        <v>33</v>
      </c>
      <c r="F367" s="52">
        <f>SUMIF(Purchase[[#All],[Product ID]],Stock[[#This Row],[Product ID]],Purchase[[#All],[Net Qty]])</f>
        <v>103</v>
      </c>
      <c r="G367" s="52">
        <f>Stock[[#This Row],[Opening Stock]]+Stock[[#This Row],[Purchase Stock]]</f>
        <v>136</v>
      </c>
      <c r="H367" s="52">
        <f>SUMIF(Sales[[#All],[Product ID]],Stock[[#This Row],[Product ID]],Sales[[#All],[Net QTY]])</f>
        <v>42</v>
      </c>
      <c r="I367" s="52">
        <f>Stock[[#This Row],[Total Stock]]-Stock[[#This Row],[Selling Stock]]</f>
        <v>94</v>
      </c>
      <c r="J367" s="52">
        <f>VLOOKUP(Stock[[#This Row],[Product ID]],Product[#All],8,0)</f>
        <v>20</v>
      </c>
      <c r="K367" s="52" t="str">
        <f>IF(Stock[[#This Row],[Available Stock]]&lt;=Stock[[#This Row],[Reorder Level]],"Reorder","OK")</f>
        <v>OK</v>
      </c>
    </row>
    <row r="368" spans="1:11" ht="18.75" x14ac:dyDescent="0.25">
      <c r="A368" s="52" t="str">
        <f>Product[[#This Row],[Product ID]]</f>
        <v>P0366</v>
      </c>
      <c r="B368" s="52" t="str">
        <f>VLOOKUP(Stock[[#This Row],[Product ID]],Product[#All],2,0)</f>
        <v>Logitech Keyboard</v>
      </c>
      <c r="C368" s="52" t="str">
        <f>VLOOKUP(Stock[[#This Row],[Product ID]],Product[#All],3,0)</f>
        <v>Keyboard</v>
      </c>
      <c r="D368" s="52" t="str">
        <f>VLOOKUP(Stock[[#This Row],[Product ID]],Product[#All],4,0)</f>
        <v>Logitech</v>
      </c>
      <c r="E368" s="52">
        <f>SUMIF(Opning[[#All],[Product_ID]],Stock[[#This Row],[Product ID]],Opning[[#All],[Opening_Qty]])</f>
        <v>18</v>
      </c>
      <c r="F368" s="52">
        <f>SUMIF(Purchase[[#All],[Product ID]],Stock[[#This Row],[Product ID]],Purchase[[#All],[Net Qty]])</f>
        <v>54</v>
      </c>
      <c r="G368" s="52">
        <f>Stock[[#This Row],[Opening Stock]]+Stock[[#This Row],[Purchase Stock]]</f>
        <v>72</v>
      </c>
      <c r="H368" s="52">
        <f>SUMIF(Sales[[#All],[Product ID]],Stock[[#This Row],[Product ID]],Sales[[#All],[Net QTY]])</f>
        <v>30</v>
      </c>
      <c r="I368" s="52">
        <f>Stock[[#This Row],[Total Stock]]-Stock[[#This Row],[Selling Stock]]</f>
        <v>42</v>
      </c>
      <c r="J368" s="52">
        <f>VLOOKUP(Stock[[#This Row],[Product ID]],Product[#All],8,0)</f>
        <v>10</v>
      </c>
      <c r="K368" s="52" t="str">
        <f>IF(Stock[[#This Row],[Available Stock]]&lt;=Stock[[#This Row],[Reorder Level]],"Reorder","OK")</f>
        <v>OK</v>
      </c>
    </row>
    <row r="369" spans="1:11" ht="18.75" x14ac:dyDescent="0.25">
      <c r="A369" s="52" t="str">
        <f>Product[[#This Row],[Product ID]]</f>
        <v>P0367</v>
      </c>
      <c r="B369" s="52" t="str">
        <f>VLOOKUP(Stock[[#This Row],[Product ID]],Product[#All],2,0)</f>
        <v>Portronics USB Cable</v>
      </c>
      <c r="C369" s="52" t="str">
        <f>VLOOKUP(Stock[[#This Row],[Product ID]],Product[#All],3,0)</f>
        <v>USB Cable</v>
      </c>
      <c r="D369" s="52" t="str">
        <f>VLOOKUP(Stock[[#This Row],[Product ID]],Product[#All],4,0)</f>
        <v>Portronics</v>
      </c>
      <c r="E369" s="52">
        <f>SUMIF(Opning[[#All],[Product_ID]],Stock[[#This Row],[Product ID]],Opning[[#All],[Opening_Qty]])</f>
        <v>18</v>
      </c>
      <c r="F369" s="52">
        <f>SUMIF(Purchase[[#All],[Product ID]],Stock[[#This Row],[Product ID]],Purchase[[#All],[Net Qty]])</f>
        <v>115</v>
      </c>
      <c r="G369" s="52">
        <f>Stock[[#This Row],[Opening Stock]]+Stock[[#This Row],[Purchase Stock]]</f>
        <v>133</v>
      </c>
      <c r="H369" s="52">
        <f>SUMIF(Sales[[#All],[Product ID]],Stock[[#This Row],[Product ID]],Sales[[#All],[Net QTY]])</f>
        <v>25</v>
      </c>
      <c r="I369" s="52">
        <f>Stock[[#This Row],[Total Stock]]-Stock[[#This Row],[Selling Stock]]</f>
        <v>108</v>
      </c>
      <c r="J369" s="52">
        <f>VLOOKUP(Stock[[#This Row],[Product ID]],Product[#All],8,0)</f>
        <v>25</v>
      </c>
      <c r="K369" s="52" t="str">
        <f>IF(Stock[[#This Row],[Available Stock]]&lt;=Stock[[#This Row],[Reorder Level]],"Reorder","OK")</f>
        <v>OK</v>
      </c>
    </row>
    <row r="370" spans="1:11" ht="18.75" x14ac:dyDescent="0.25">
      <c r="A370" s="52" t="str">
        <f>Product[[#This Row],[Product ID]]</f>
        <v>P0368</v>
      </c>
      <c r="B370" s="52" t="str">
        <f>VLOOKUP(Stock[[#This Row],[Product ID]],Product[#All],2,0)</f>
        <v>Microtek UPS</v>
      </c>
      <c r="C370" s="52" t="str">
        <f>VLOOKUP(Stock[[#This Row],[Product ID]],Product[#All],3,0)</f>
        <v>UPS</v>
      </c>
      <c r="D370" s="52" t="str">
        <f>VLOOKUP(Stock[[#This Row],[Product ID]],Product[#All],4,0)</f>
        <v>Microtek</v>
      </c>
      <c r="E370" s="52">
        <f>SUMIF(Opning[[#All],[Product_ID]],Stock[[#This Row],[Product ID]],Opning[[#All],[Opening_Qty]])</f>
        <v>43</v>
      </c>
      <c r="F370" s="52">
        <f>SUMIF(Purchase[[#All],[Product ID]],Stock[[#This Row],[Product ID]],Purchase[[#All],[Net Qty]])</f>
        <v>56</v>
      </c>
      <c r="G370" s="52">
        <f>Stock[[#This Row],[Opening Stock]]+Stock[[#This Row],[Purchase Stock]]</f>
        <v>99</v>
      </c>
      <c r="H370" s="52">
        <f>SUMIF(Sales[[#All],[Product ID]],Stock[[#This Row],[Product ID]],Sales[[#All],[Net QTY]])</f>
        <v>43</v>
      </c>
      <c r="I370" s="52">
        <f>Stock[[#This Row],[Total Stock]]-Stock[[#This Row],[Selling Stock]]</f>
        <v>56</v>
      </c>
      <c r="J370" s="52">
        <f>VLOOKUP(Stock[[#This Row],[Product ID]],Product[#All],8,0)</f>
        <v>10</v>
      </c>
      <c r="K370" s="52" t="str">
        <f>IF(Stock[[#This Row],[Available Stock]]&lt;=Stock[[#This Row],[Reorder Level]],"Reorder","OK")</f>
        <v>OK</v>
      </c>
    </row>
    <row r="371" spans="1:11" ht="18.75" x14ac:dyDescent="0.25">
      <c r="A371" s="52" t="str">
        <f>Product[[#This Row],[Product ID]]</f>
        <v>P0369</v>
      </c>
      <c r="B371" s="52" t="str">
        <f>VLOOKUP(Stock[[#This Row],[Product ID]],Product[#All],2,0)</f>
        <v>HP Laptop</v>
      </c>
      <c r="C371" s="52" t="str">
        <f>VLOOKUP(Stock[[#This Row],[Product ID]],Product[#All],3,0)</f>
        <v>Laptop</v>
      </c>
      <c r="D371" s="52" t="str">
        <f>VLOOKUP(Stock[[#This Row],[Product ID]],Product[#All],4,0)</f>
        <v>HP</v>
      </c>
      <c r="E371" s="52">
        <f>SUMIF(Opning[[#All],[Product_ID]],Stock[[#This Row],[Product ID]],Opning[[#All],[Opening_Qty]])</f>
        <v>14</v>
      </c>
      <c r="F371" s="52">
        <f>SUMIF(Purchase[[#All],[Product ID]],Stock[[#This Row],[Product ID]],Purchase[[#All],[Net Qty]])</f>
        <v>186</v>
      </c>
      <c r="G371" s="52">
        <f>Stock[[#This Row],[Opening Stock]]+Stock[[#This Row],[Purchase Stock]]</f>
        <v>200</v>
      </c>
      <c r="H371" s="52">
        <f>SUMIF(Sales[[#All],[Product ID]],Stock[[#This Row],[Product ID]],Sales[[#All],[Net QTY]])</f>
        <v>34</v>
      </c>
      <c r="I371" s="52">
        <f>Stock[[#This Row],[Total Stock]]-Stock[[#This Row],[Selling Stock]]</f>
        <v>166</v>
      </c>
      <c r="J371" s="52">
        <f>VLOOKUP(Stock[[#This Row],[Product ID]],Product[#All],8,0)</f>
        <v>25</v>
      </c>
      <c r="K371" s="52" t="str">
        <f>IF(Stock[[#This Row],[Available Stock]]&lt;=Stock[[#This Row],[Reorder Level]],"Reorder","OK")</f>
        <v>OK</v>
      </c>
    </row>
    <row r="372" spans="1:11" ht="18.75" x14ac:dyDescent="0.25">
      <c r="A372" s="52" t="str">
        <f>Product[[#This Row],[Product ID]]</f>
        <v>P0370</v>
      </c>
      <c r="B372" s="52" t="str">
        <f>VLOOKUP(Stock[[#This Row],[Product ID]],Product[#All],2,0)</f>
        <v>TP-link Wi-Fi Adapter</v>
      </c>
      <c r="C372" s="52" t="str">
        <f>VLOOKUP(Stock[[#This Row],[Product ID]],Product[#All],3,0)</f>
        <v>Wi-Fi Adapter</v>
      </c>
      <c r="D372" s="52" t="str">
        <f>VLOOKUP(Stock[[#This Row],[Product ID]],Product[#All],4,0)</f>
        <v>TP-link</v>
      </c>
      <c r="E372" s="52">
        <f>SUMIF(Opning[[#All],[Product_ID]],Stock[[#This Row],[Product ID]],Opning[[#All],[Opening_Qty]])</f>
        <v>53</v>
      </c>
      <c r="F372" s="52">
        <f>SUMIF(Purchase[[#All],[Product ID]],Stock[[#This Row],[Product ID]],Purchase[[#All],[Net Qty]])</f>
        <v>99</v>
      </c>
      <c r="G372" s="52">
        <f>Stock[[#This Row],[Opening Stock]]+Stock[[#This Row],[Purchase Stock]]</f>
        <v>152</v>
      </c>
      <c r="H372" s="52">
        <f>SUMIF(Sales[[#All],[Product ID]],Stock[[#This Row],[Product ID]],Sales[[#All],[Net QTY]])</f>
        <v>29</v>
      </c>
      <c r="I372" s="52">
        <f>Stock[[#This Row],[Total Stock]]-Stock[[#This Row],[Selling Stock]]</f>
        <v>123</v>
      </c>
      <c r="J372" s="52">
        <f>VLOOKUP(Stock[[#This Row],[Product ID]],Product[#All],8,0)</f>
        <v>25</v>
      </c>
      <c r="K372" s="52" t="str">
        <f>IF(Stock[[#This Row],[Available Stock]]&lt;=Stock[[#This Row],[Reorder Level]],"Reorder","OK")</f>
        <v>OK</v>
      </c>
    </row>
    <row r="373" spans="1:11" ht="18.75" x14ac:dyDescent="0.25">
      <c r="A373" s="52" t="str">
        <f>Product[[#This Row],[Product ID]]</f>
        <v>P0371</v>
      </c>
      <c r="B373" s="52" t="str">
        <f>VLOOKUP(Stock[[#This Row],[Product ID]],Product[#All],2,0)</f>
        <v>WD HDD</v>
      </c>
      <c r="C373" s="52" t="str">
        <f>VLOOKUP(Stock[[#This Row],[Product ID]],Product[#All],3,0)</f>
        <v>HDD</v>
      </c>
      <c r="D373" s="52" t="str">
        <f>VLOOKUP(Stock[[#This Row],[Product ID]],Product[#All],4,0)</f>
        <v>WD</v>
      </c>
      <c r="E373" s="52">
        <f>SUMIF(Opning[[#All],[Product_ID]],Stock[[#This Row],[Product ID]],Opning[[#All],[Opening_Qty]])</f>
        <v>68</v>
      </c>
      <c r="F373" s="52">
        <f>SUMIF(Purchase[[#All],[Product ID]],Stock[[#This Row],[Product ID]],Purchase[[#All],[Net Qty]])</f>
        <v>66</v>
      </c>
      <c r="G373" s="52">
        <f>Stock[[#This Row],[Opening Stock]]+Stock[[#This Row],[Purchase Stock]]</f>
        <v>134</v>
      </c>
      <c r="H373" s="52">
        <f>SUMIF(Sales[[#All],[Product ID]],Stock[[#This Row],[Product ID]],Sales[[#All],[Net QTY]])</f>
        <v>87</v>
      </c>
      <c r="I373" s="52">
        <f>Stock[[#This Row],[Total Stock]]-Stock[[#This Row],[Selling Stock]]</f>
        <v>47</v>
      </c>
      <c r="J373" s="52">
        <f>VLOOKUP(Stock[[#This Row],[Product ID]],Product[#All],8,0)</f>
        <v>8</v>
      </c>
      <c r="K373" s="52" t="str">
        <f>IF(Stock[[#This Row],[Available Stock]]&lt;=Stock[[#This Row],[Reorder Level]],"Reorder","OK")</f>
        <v>OK</v>
      </c>
    </row>
    <row r="374" spans="1:11" ht="18.75" x14ac:dyDescent="0.25">
      <c r="A374" s="52" t="str">
        <f>Product[[#This Row],[Product ID]]</f>
        <v>P0372</v>
      </c>
      <c r="B374" s="52" t="str">
        <f>VLOOKUP(Stock[[#This Row],[Product ID]],Product[#All],2,0)</f>
        <v>Jbl Speaker</v>
      </c>
      <c r="C374" s="52" t="str">
        <f>VLOOKUP(Stock[[#This Row],[Product ID]],Product[#All],3,0)</f>
        <v>Speaker</v>
      </c>
      <c r="D374" s="52" t="str">
        <f>VLOOKUP(Stock[[#This Row],[Product ID]],Product[#All],4,0)</f>
        <v>JBL</v>
      </c>
      <c r="E374" s="52">
        <f>SUMIF(Opning[[#All],[Product_ID]],Stock[[#This Row],[Product ID]],Opning[[#All],[Opening_Qty]])</f>
        <v>22</v>
      </c>
      <c r="F374" s="52">
        <f>SUMIF(Purchase[[#All],[Product ID]],Stock[[#This Row],[Product ID]],Purchase[[#All],[Net Qty]])</f>
        <v>119</v>
      </c>
      <c r="G374" s="52">
        <f>Stock[[#This Row],[Opening Stock]]+Stock[[#This Row],[Purchase Stock]]</f>
        <v>141</v>
      </c>
      <c r="H374" s="52">
        <f>SUMIF(Sales[[#All],[Product ID]],Stock[[#This Row],[Product ID]],Sales[[#All],[Net QTY]])</f>
        <v>41</v>
      </c>
      <c r="I374" s="52">
        <f>Stock[[#This Row],[Total Stock]]-Stock[[#This Row],[Selling Stock]]</f>
        <v>100</v>
      </c>
      <c r="J374" s="52">
        <f>VLOOKUP(Stock[[#This Row],[Product ID]],Product[#All],8,0)</f>
        <v>20</v>
      </c>
      <c r="K374" s="52" t="str">
        <f>IF(Stock[[#This Row],[Available Stock]]&lt;=Stock[[#This Row],[Reorder Level]],"Reorder","OK")</f>
        <v>OK</v>
      </c>
    </row>
    <row r="375" spans="1:11" ht="18.75" x14ac:dyDescent="0.25">
      <c r="A375" s="52" t="str">
        <f>Product[[#This Row],[Product ID]]</f>
        <v>P0373</v>
      </c>
      <c r="B375" s="52" t="str">
        <f>VLOOKUP(Stock[[#This Row],[Product ID]],Product[#All],2,0)</f>
        <v>Logitech Mouse</v>
      </c>
      <c r="C375" s="52" t="str">
        <f>VLOOKUP(Stock[[#This Row],[Product ID]],Product[#All],3,0)</f>
        <v>Mouse</v>
      </c>
      <c r="D375" s="52" t="str">
        <f>VLOOKUP(Stock[[#This Row],[Product ID]],Product[#All],4,0)</f>
        <v>Logitech</v>
      </c>
      <c r="E375" s="52">
        <f>SUMIF(Opning[[#All],[Product_ID]],Stock[[#This Row],[Product ID]],Opning[[#All],[Opening_Qty]])</f>
        <v>44</v>
      </c>
      <c r="F375" s="52">
        <f>SUMIF(Purchase[[#All],[Product ID]],Stock[[#This Row],[Product ID]],Purchase[[#All],[Net Qty]])</f>
        <v>38</v>
      </c>
      <c r="G375" s="52">
        <f>Stock[[#This Row],[Opening Stock]]+Stock[[#This Row],[Purchase Stock]]</f>
        <v>82</v>
      </c>
      <c r="H375" s="52">
        <f>SUMIF(Sales[[#All],[Product ID]],Stock[[#This Row],[Product ID]],Sales[[#All],[Net QTY]])</f>
        <v>37</v>
      </c>
      <c r="I375" s="52">
        <f>Stock[[#This Row],[Total Stock]]-Stock[[#This Row],[Selling Stock]]</f>
        <v>45</v>
      </c>
      <c r="J375" s="52">
        <f>VLOOKUP(Stock[[#This Row],[Product ID]],Product[#All],8,0)</f>
        <v>15</v>
      </c>
      <c r="K375" s="52" t="str">
        <f>IF(Stock[[#This Row],[Available Stock]]&lt;=Stock[[#This Row],[Reorder Level]],"Reorder","OK")</f>
        <v>OK</v>
      </c>
    </row>
    <row r="376" spans="1:11" ht="18.75" x14ac:dyDescent="0.25">
      <c r="A376" s="52" t="str">
        <f>Product[[#This Row],[Product ID]]</f>
        <v>P0374</v>
      </c>
      <c r="B376" s="52" t="str">
        <f>VLOOKUP(Stock[[#This Row],[Product ID]],Product[#All],2,0)</f>
        <v>Microtek UPS</v>
      </c>
      <c r="C376" s="52" t="str">
        <f>VLOOKUP(Stock[[#This Row],[Product ID]],Product[#All],3,0)</f>
        <v>UPS</v>
      </c>
      <c r="D376" s="52" t="str">
        <f>VLOOKUP(Stock[[#This Row],[Product ID]],Product[#All],4,0)</f>
        <v>Microtek</v>
      </c>
      <c r="E376" s="52">
        <f>SUMIF(Opning[[#All],[Product_ID]],Stock[[#This Row],[Product ID]],Opning[[#All],[Opening_Qty]])</f>
        <v>31</v>
      </c>
      <c r="F376" s="52">
        <f>SUMIF(Purchase[[#All],[Product ID]],Stock[[#This Row],[Product ID]],Purchase[[#All],[Net Qty]])</f>
        <v>94</v>
      </c>
      <c r="G376" s="52">
        <f>Stock[[#This Row],[Opening Stock]]+Stock[[#This Row],[Purchase Stock]]</f>
        <v>125</v>
      </c>
      <c r="H376" s="52">
        <f>SUMIF(Sales[[#All],[Product ID]],Stock[[#This Row],[Product ID]],Sales[[#All],[Net QTY]])</f>
        <v>64</v>
      </c>
      <c r="I376" s="52">
        <f>Stock[[#This Row],[Total Stock]]-Stock[[#This Row],[Selling Stock]]</f>
        <v>61</v>
      </c>
      <c r="J376" s="52">
        <f>VLOOKUP(Stock[[#This Row],[Product ID]],Product[#All],8,0)</f>
        <v>10</v>
      </c>
      <c r="K376" s="52" t="str">
        <f>IF(Stock[[#This Row],[Available Stock]]&lt;=Stock[[#This Row],[Reorder Level]],"Reorder","OK")</f>
        <v>OK</v>
      </c>
    </row>
    <row r="377" spans="1:11" ht="18.75" x14ac:dyDescent="0.25">
      <c r="A377" s="52" t="str">
        <f>Product[[#This Row],[Product ID]]</f>
        <v>P0375</v>
      </c>
      <c r="B377" s="52" t="str">
        <f>VLOOKUP(Stock[[#This Row],[Product ID]],Product[#All],2,0)</f>
        <v>Sandisk Pen Drive</v>
      </c>
      <c r="C377" s="52" t="str">
        <f>VLOOKUP(Stock[[#This Row],[Product ID]],Product[#All],3,0)</f>
        <v>Pen Drive</v>
      </c>
      <c r="D377" s="52" t="str">
        <f>VLOOKUP(Stock[[#This Row],[Product ID]],Product[#All],4,0)</f>
        <v>SanDisk</v>
      </c>
      <c r="E377" s="52">
        <f>SUMIF(Opning[[#All],[Product_ID]],Stock[[#This Row],[Product ID]],Opning[[#All],[Opening_Qty]])</f>
        <v>42</v>
      </c>
      <c r="F377" s="52">
        <f>SUMIF(Purchase[[#All],[Product ID]],Stock[[#This Row],[Product ID]],Purchase[[#All],[Net Qty]])</f>
        <v>77</v>
      </c>
      <c r="G377" s="52">
        <f>Stock[[#This Row],[Opening Stock]]+Stock[[#This Row],[Purchase Stock]]</f>
        <v>119</v>
      </c>
      <c r="H377" s="52">
        <f>SUMIF(Sales[[#All],[Product ID]],Stock[[#This Row],[Product ID]],Sales[[#All],[Net QTY]])</f>
        <v>32</v>
      </c>
      <c r="I377" s="52">
        <f>Stock[[#This Row],[Total Stock]]-Stock[[#This Row],[Selling Stock]]</f>
        <v>87</v>
      </c>
      <c r="J377" s="52">
        <f>VLOOKUP(Stock[[#This Row],[Product ID]],Product[#All],8,0)</f>
        <v>10</v>
      </c>
      <c r="K377" s="52" t="str">
        <f>IF(Stock[[#This Row],[Available Stock]]&lt;=Stock[[#This Row],[Reorder Level]],"Reorder","OK")</f>
        <v>OK</v>
      </c>
    </row>
    <row r="378" spans="1:11" ht="18.75" x14ac:dyDescent="0.25">
      <c r="A378" s="52" t="str">
        <f>Product[[#This Row],[Product ID]]</f>
        <v>P0376</v>
      </c>
      <c r="B378" s="52" t="str">
        <f>VLOOKUP(Stock[[#This Row],[Product ID]],Product[#All],2,0)</f>
        <v>Jbl Speaker</v>
      </c>
      <c r="C378" s="52" t="str">
        <f>VLOOKUP(Stock[[#This Row],[Product ID]],Product[#All],3,0)</f>
        <v>Speaker</v>
      </c>
      <c r="D378" s="52" t="str">
        <f>VLOOKUP(Stock[[#This Row],[Product ID]],Product[#All],4,0)</f>
        <v>JBL</v>
      </c>
      <c r="E378" s="52">
        <f>SUMIF(Opning[[#All],[Product_ID]],Stock[[#This Row],[Product ID]],Opning[[#All],[Opening_Qty]])</f>
        <v>11</v>
      </c>
      <c r="F378" s="52">
        <f>SUMIF(Purchase[[#All],[Product ID]],Stock[[#This Row],[Product ID]],Purchase[[#All],[Net Qty]])</f>
        <v>81</v>
      </c>
      <c r="G378" s="52">
        <f>Stock[[#This Row],[Opening Stock]]+Stock[[#This Row],[Purchase Stock]]</f>
        <v>92</v>
      </c>
      <c r="H378" s="52">
        <f>SUMIF(Sales[[#All],[Product ID]],Stock[[#This Row],[Product ID]],Sales[[#All],[Net QTY]])</f>
        <v>45</v>
      </c>
      <c r="I378" s="52">
        <f>Stock[[#This Row],[Total Stock]]-Stock[[#This Row],[Selling Stock]]</f>
        <v>47</v>
      </c>
      <c r="J378" s="52">
        <f>VLOOKUP(Stock[[#This Row],[Product ID]],Product[#All],8,0)</f>
        <v>15</v>
      </c>
      <c r="K378" s="52" t="str">
        <f>IF(Stock[[#This Row],[Available Stock]]&lt;=Stock[[#This Row],[Reorder Level]],"Reorder","OK")</f>
        <v>OK</v>
      </c>
    </row>
    <row r="379" spans="1:11" ht="18.75" x14ac:dyDescent="0.25">
      <c r="A379" s="52" t="str">
        <f>Product[[#This Row],[Product ID]]</f>
        <v>P0377</v>
      </c>
      <c r="B379" s="52" t="str">
        <f>VLOOKUP(Stock[[#This Row],[Product ID]],Product[#All],2,0)</f>
        <v>Canon Printer</v>
      </c>
      <c r="C379" s="52" t="str">
        <f>VLOOKUP(Stock[[#This Row],[Product ID]],Product[#All],3,0)</f>
        <v>Printer</v>
      </c>
      <c r="D379" s="52" t="str">
        <f>VLOOKUP(Stock[[#This Row],[Product ID]],Product[#All],4,0)</f>
        <v>Canon</v>
      </c>
      <c r="E379" s="52">
        <f>SUMIF(Opning[[#All],[Product_ID]],Stock[[#This Row],[Product ID]],Opning[[#All],[Opening_Qty]])</f>
        <v>56</v>
      </c>
      <c r="F379" s="52">
        <f>SUMIF(Purchase[[#All],[Product ID]],Stock[[#This Row],[Product ID]],Purchase[[#All],[Net Qty]])</f>
        <v>200</v>
      </c>
      <c r="G379" s="52">
        <f>Stock[[#This Row],[Opening Stock]]+Stock[[#This Row],[Purchase Stock]]</f>
        <v>256</v>
      </c>
      <c r="H379" s="52">
        <f>SUMIF(Sales[[#All],[Product ID]],Stock[[#This Row],[Product ID]],Sales[[#All],[Net QTY]])</f>
        <v>54</v>
      </c>
      <c r="I379" s="52">
        <f>Stock[[#This Row],[Total Stock]]-Stock[[#This Row],[Selling Stock]]</f>
        <v>202</v>
      </c>
      <c r="J379" s="52">
        <f>VLOOKUP(Stock[[#This Row],[Product ID]],Product[#All],8,0)</f>
        <v>20</v>
      </c>
      <c r="K379" s="52" t="str">
        <f>IF(Stock[[#This Row],[Available Stock]]&lt;=Stock[[#This Row],[Reorder Level]],"Reorder","OK")</f>
        <v>OK</v>
      </c>
    </row>
    <row r="380" spans="1:11" ht="18.75" x14ac:dyDescent="0.25">
      <c r="A380" s="52" t="str">
        <f>Product[[#This Row],[Product ID]]</f>
        <v>P0378</v>
      </c>
      <c r="B380" s="52" t="str">
        <f>VLOOKUP(Stock[[#This Row],[Product ID]],Product[#All],2,0)</f>
        <v>Boat Speaker</v>
      </c>
      <c r="C380" s="52" t="str">
        <f>VLOOKUP(Stock[[#This Row],[Product ID]],Product[#All],3,0)</f>
        <v>Speaker</v>
      </c>
      <c r="D380" s="52" t="str">
        <f>VLOOKUP(Stock[[#This Row],[Product ID]],Product[#All],4,0)</f>
        <v>Boat</v>
      </c>
      <c r="E380" s="52">
        <f>SUMIF(Opning[[#All],[Product_ID]],Stock[[#This Row],[Product ID]],Opning[[#All],[Opening_Qty]])</f>
        <v>5</v>
      </c>
      <c r="F380" s="52">
        <f>SUMIF(Purchase[[#All],[Product ID]],Stock[[#This Row],[Product ID]],Purchase[[#All],[Net Qty]])</f>
        <v>113</v>
      </c>
      <c r="G380" s="52">
        <f>Stock[[#This Row],[Opening Stock]]+Stock[[#This Row],[Purchase Stock]]</f>
        <v>118</v>
      </c>
      <c r="H380" s="52">
        <f>SUMIF(Sales[[#All],[Product ID]],Stock[[#This Row],[Product ID]],Sales[[#All],[Net QTY]])</f>
        <v>57</v>
      </c>
      <c r="I380" s="52">
        <f>Stock[[#This Row],[Total Stock]]-Stock[[#This Row],[Selling Stock]]</f>
        <v>61</v>
      </c>
      <c r="J380" s="52">
        <f>VLOOKUP(Stock[[#This Row],[Product ID]],Product[#All],8,0)</f>
        <v>5</v>
      </c>
      <c r="K380" s="52" t="str">
        <f>IF(Stock[[#This Row],[Available Stock]]&lt;=Stock[[#This Row],[Reorder Level]],"Reorder","OK")</f>
        <v>OK</v>
      </c>
    </row>
    <row r="381" spans="1:11" ht="18.75" x14ac:dyDescent="0.25">
      <c r="A381" s="52" t="str">
        <f>Product[[#This Row],[Product ID]]</f>
        <v>P0379</v>
      </c>
      <c r="B381" s="52" t="str">
        <f>VLOOKUP(Stock[[#This Row],[Product ID]],Product[#All],2,0)</f>
        <v>Seagate HDD</v>
      </c>
      <c r="C381" s="52" t="str">
        <f>VLOOKUP(Stock[[#This Row],[Product ID]],Product[#All],3,0)</f>
        <v>HDD</v>
      </c>
      <c r="D381" s="52" t="str">
        <f>VLOOKUP(Stock[[#This Row],[Product ID]],Product[#All],4,0)</f>
        <v>Seagate</v>
      </c>
      <c r="E381" s="52">
        <f>SUMIF(Opning[[#All],[Product_ID]],Stock[[#This Row],[Product ID]],Opning[[#All],[Opening_Qty]])</f>
        <v>42</v>
      </c>
      <c r="F381" s="52">
        <f>SUMIF(Purchase[[#All],[Product ID]],Stock[[#This Row],[Product ID]],Purchase[[#All],[Net Qty]])</f>
        <v>143</v>
      </c>
      <c r="G381" s="52">
        <f>Stock[[#This Row],[Opening Stock]]+Stock[[#This Row],[Purchase Stock]]</f>
        <v>185</v>
      </c>
      <c r="H381" s="52">
        <f>SUMIF(Sales[[#All],[Product ID]],Stock[[#This Row],[Product ID]],Sales[[#All],[Net QTY]])</f>
        <v>56</v>
      </c>
      <c r="I381" s="52">
        <f>Stock[[#This Row],[Total Stock]]-Stock[[#This Row],[Selling Stock]]</f>
        <v>129</v>
      </c>
      <c r="J381" s="52">
        <f>VLOOKUP(Stock[[#This Row],[Product ID]],Product[#All],8,0)</f>
        <v>20</v>
      </c>
      <c r="K381" s="52" t="str">
        <f>IF(Stock[[#This Row],[Available Stock]]&lt;=Stock[[#This Row],[Reorder Level]],"Reorder","OK")</f>
        <v>OK</v>
      </c>
    </row>
    <row r="382" spans="1:11" ht="18.75" x14ac:dyDescent="0.25">
      <c r="A382" s="52" t="str">
        <f>Product[[#This Row],[Product ID]]</f>
        <v>P0380</v>
      </c>
      <c r="B382" s="52" t="str">
        <f>VLOOKUP(Stock[[#This Row],[Product ID]],Product[#All],2,0)</f>
        <v>Logitech Webcam</v>
      </c>
      <c r="C382" s="52" t="str">
        <f>VLOOKUP(Stock[[#This Row],[Product ID]],Product[#All],3,0)</f>
        <v>Webcam</v>
      </c>
      <c r="D382" s="52" t="str">
        <f>VLOOKUP(Stock[[#This Row],[Product ID]],Product[#All],4,0)</f>
        <v>Logitech</v>
      </c>
      <c r="E382" s="52">
        <f>SUMIF(Opning[[#All],[Product_ID]],Stock[[#This Row],[Product ID]],Opning[[#All],[Opening_Qty]])</f>
        <v>10</v>
      </c>
      <c r="F382" s="52">
        <f>SUMIF(Purchase[[#All],[Product ID]],Stock[[#This Row],[Product ID]],Purchase[[#All],[Net Qty]])</f>
        <v>71</v>
      </c>
      <c r="G382" s="52">
        <f>Stock[[#This Row],[Opening Stock]]+Stock[[#This Row],[Purchase Stock]]</f>
        <v>81</v>
      </c>
      <c r="H382" s="52">
        <f>SUMIF(Sales[[#All],[Product ID]],Stock[[#This Row],[Product ID]],Sales[[#All],[Net QTY]])</f>
        <v>25</v>
      </c>
      <c r="I382" s="52">
        <f>Stock[[#This Row],[Total Stock]]-Stock[[#This Row],[Selling Stock]]</f>
        <v>56</v>
      </c>
      <c r="J382" s="52">
        <f>VLOOKUP(Stock[[#This Row],[Product ID]],Product[#All],8,0)</f>
        <v>8</v>
      </c>
      <c r="K382" s="52" t="str">
        <f>IF(Stock[[#This Row],[Available Stock]]&lt;=Stock[[#This Row],[Reorder Level]],"Reorder","OK")</f>
        <v>OK</v>
      </c>
    </row>
    <row r="383" spans="1:11" ht="18.75" x14ac:dyDescent="0.25">
      <c r="A383" s="52" t="str">
        <f>Product[[#This Row],[Product ID]]</f>
        <v>P0381</v>
      </c>
      <c r="B383" s="52" t="str">
        <f>VLOOKUP(Stock[[#This Row],[Product ID]],Product[#All],2,0)</f>
        <v>Corsair Ram</v>
      </c>
      <c r="C383" s="52" t="str">
        <f>VLOOKUP(Stock[[#This Row],[Product ID]],Product[#All],3,0)</f>
        <v>RAM</v>
      </c>
      <c r="D383" s="52" t="str">
        <f>VLOOKUP(Stock[[#This Row],[Product ID]],Product[#All],4,0)</f>
        <v>Corsair</v>
      </c>
      <c r="E383" s="52">
        <f>SUMIF(Opning[[#All],[Product_ID]],Stock[[#This Row],[Product ID]],Opning[[#All],[Opening_Qty]])</f>
        <v>6</v>
      </c>
      <c r="F383" s="52">
        <f>SUMIF(Purchase[[#All],[Product ID]],Stock[[#This Row],[Product ID]],Purchase[[#All],[Net Qty]])</f>
        <v>80</v>
      </c>
      <c r="G383" s="52">
        <f>Stock[[#This Row],[Opening Stock]]+Stock[[#This Row],[Purchase Stock]]</f>
        <v>86</v>
      </c>
      <c r="H383" s="52">
        <f>SUMIF(Sales[[#All],[Product ID]],Stock[[#This Row],[Product ID]],Sales[[#All],[Net QTY]])</f>
        <v>48</v>
      </c>
      <c r="I383" s="52">
        <f>Stock[[#This Row],[Total Stock]]-Stock[[#This Row],[Selling Stock]]</f>
        <v>38</v>
      </c>
      <c r="J383" s="52">
        <f>VLOOKUP(Stock[[#This Row],[Product ID]],Product[#All],8,0)</f>
        <v>8</v>
      </c>
      <c r="K383" s="52" t="str">
        <f>IF(Stock[[#This Row],[Available Stock]]&lt;=Stock[[#This Row],[Reorder Level]],"Reorder","OK")</f>
        <v>OK</v>
      </c>
    </row>
    <row r="384" spans="1:11" ht="18.75" x14ac:dyDescent="0.25">
      <c r="A384" s="52" t="str">
        <f>Product[[#This Row],[Product ID]]</f>
        <v>P0382</v>
      </c>
      <c r="B384" s="52" t="str">
        <f>VLOOKUP(Stock[[#This Row],[Product ID]],Product[#All],2,0)</f>
        <v>Amazon Basics Hdmi Cable</v>
      </c>
      <c r="C384" s="52" t="str">
        <f>VLOOKUP(Stock[[#This Row],[Product ID]],Product[#All],3,0)</f>
        <v>HDMI Cable</v>
      </c>
      <c r="D384" s="52" t="str">
        <f>VLOOKUP(Stock[[#This Row],[Product ID]],Product[#All],4,0)</f>
        <v>Amazon Basics</v>
      </c>
      <c r="E384" s="52">
        <f>SUMIF(Opning[[#All],[Product_ID]],Stock[[#This Row],[Product ID]],Opning[[#All],[Opening_Qty]])</f>
        <v>47</v>
      </c>
      <c r="F384" s="52">
        <f>SUMIF(Purchase[[#All],[Product ID]],Stock[[#This Row],[Product ID]],Purchase[[#All],[Net Qty]])</f>
        <v>124</v>
      </c>
      <c r="G384" s="52">
        <f>Stock[[#This Row],[Opening Stock]]+Stock[[#This Row],[Purchase Stock]]</f>
        <v>171</v>
      </c>
      <c r="H384" s="52">
        <f>SUMIF(Sales[[#All],[Product ID]],Stock[[#This Row],[Product ID]],Sales[[#All],[Net QTY]])</f>
        <v>35</v>
      </c>
      <c r="I384" s="52">
        <f>Stock[[#This Row],[Total Stock]]-Stock[[#This Row],[Selling Stock]]</f>
        <v>136</v>
      </c>
      <c r="J384" s="52">
        <f>VLOOKUP(Stock[[#This Row],[Product ID]],Product[#All],8,0)</f>
        <v>15</v>
      </c>
      <c r="K384" s="52" t="str">
        <f>IF(Stock[[#This Row],[Available Stock]]&lt;=Stock[[#This Row],[Reorder Level]],"Reorder","OK")</f>
        <v>OK</v>
      </c>
    </row>
    <row r="385" spans="1:11" ht="18.75" x14ac:dyDescent="0.25">
      <c r="A385" s="52" t="str">
        <f>Product[[#This Row],[Product ID]]</f>
        <v>P0383</v>
      </c>
      <c r="B385" s="52" t="str">
        <f>VLOOKUP(Stock[[#This Row],[Product ID]],Product[#All],2,0)</f>
        <v>Boat Headset</v>
      </c>
      <c r="C385" s="52" t="str">
        <f>VLOOKUP(Stock[[#This Row],[Product ID]],Product[#All],3,0)</f>
        <v>Headset</v>
      </c>
      <c r="D385" s="52" t="str">
        <f>VLOOKUP(Stock[[#This Row],[Product ID]],Product[#All],4,0)</f>
        <v>Boat</v>
      </c>
      <c r="E385" s="52">
        <f>SUMIF(Opning[[#All],[Product_ID]],Stock[[#This Row],[Product ID]],Opning[[#All],[Opening_Qty]])</f>
        <v>15</v>
      </c>
      <c r="F385" s="52">
        <f>SUMIF(Purchase[[#All],[Product ID]],Stock[[#This Row],[Product ID]],Purchase[[#All],[Net Qty]])</f>
        <v>52</v>
      </c>
      <c r="G385" s="52">
        <f>Stock[[#This Row],[Opening Stock]]+Stock[[#This Row],[Purchase Stock]]</f>
        <v>67</v>
      </c>
      <c r="H385" s="52">
        <f>SUMIF(Sales[[#All],[Product ID]],Stock[[#This Row],[Product ID]],Sales[[#All],[Net QTY]])</f>
        <v>42</v>
      </c>
      <c r="I385" s="52">
        <f>Stock[[#This Row],[Total Stock]]-Stock[[#This Row],[Selling Stock]]</f>
        <v>25</v>
      </c>
      <c r="J385" s="52">
        <f>VLOOKUP(Stock[[#This Row],[Product ID]],Product[#All],8,0)</f>
        <v>5</v>
      </c>
      <c r="K385" s="52" t="str">
        <f>IF(Stock[[#This Row],[Available Stock]]&lt;=Stock[[#This Row],[Reorder Level]],"Reorder","OK")</f>
        <v>OK</v>
      </c>
    </row>
    <row r="386" spans="1:11" ht="18.75" x14ac:dyDescent="0.25">
      <c r="A386" s="52" t="str">
        <f>Product[[#This Row],[Product ID]]</f>
        <v>P0384</v>
      </c>
      <c r="B386" s="52" t="str">
        <f>VLOOKUP(Stock[[#This Row],[Product ID]],Product[#All],2,0)</f>
        <v>Jbl Headset</v>
      </c>
      <c r="C386" s="52" t="str">
        <f>VLOOKUP(Stock[[#This Row],[Product ID]],Product[#All],3,0)</f>
        <v>Headset</v>
      </c>
      <c r="D386" s="52" t="str">
        <f>VLOOKUP(Stock[[#This Row],[Product ID]],Product[#All],4,0)</f>
        <v>JBL</v>
      </c>
      <c r="E386" s="52">
        <f>SUMIF(Opning[[#All],[Product_ID]],Stock[[#This Row],[Product ID]],Opning[[#All],[Opening_Qty]])</f>
        <v>5</v>
      </c>
      <c r="F386" s="52">
        <f>SUMIF(Purchase[[#All],[Product ID]],Stock[[#This Row],[Product ID]],Purchase[[#All],[Net Qty]])</f>
        <v>162</v>
      </c>
      <c r="G386" s="52">
        <f>Stock[[#This Row],[Opening Stock]]+Stock[[#This Row],[Purchase Stock]]</f>
        <v>167</v>
      </c>
      <c r="H386" s="52">
        <f>SUMIF(Sales[[#All],[Product ID]],Stock[[#This Row],[Product ID]],Sales[[#All],[Net QTY]])</f>
        <v>62</v>
      </c>
      <c r="I386" s="52">
        <f>Stock[[#This Row],[Total Stock]]-Stock[[#This Row],[Selling Stock]]</f>
        <v>105</v>
      </c>
      <c r="J386" s="52">
        <f>VLOOKUP(Stock[[#This Row],[Product ID]],Product[#All],8,0)</f>
        <v>8</v>
      </c>
      <c r="K386" s="52" t="str">
        <f>IF(Stock[[#This Row],[Available Stock]]&lt;=Stock[[#This Row],[Reorder Level]],"Reorder","OK")</f>
        <v>OK</v>
      </c>
    </row>
    <row r="387" spans="1:11" ht="18.75" x14ac:dyDescent="0.25">
      <c r="A387" s="52" t="str">
        <f>Product[[#This Row],[Product ID]]</f>
        <v>P0385</v>
      </c>
      <c r="B387" s="52" t="str">
        <f>VLOOKUP(Stock[[#This Row],[Product ID]],Product[#All],2,0)</f>
        <v>HP Laptop</v>
      </c>
      <c r="C387" s="52" t="str">
        <f>VLOOKUP(Stock[[#This Row],[Product ID]],Product[#All],3,0)</f>
        <v>Laptop</v>
      </c>
      <c r="D387" s="52" t="str">
        <f>VLOOKUP(Stock[[#This Row],[Product ID]],Product[#All],4,0)</f>
        <v>HP</v>
      </c>
      <c r="E387" s="52">
        <f>SUMIF(Opning[[#All],[Product_ID]],Stock[[#This Row],[Product ID]],Opning[[#All],[Opening_Qty]])</f>
        <v>58</v>
      </c>
      <c r="F387" s="52">
        <f>SUMIF(Purchase[[#All],[Product ID]],Stock[[#This Row],[Product ID]],Purchase[[#All],[Net Qty]])</f>
        <v>153</v>
      </c>
      <c r="G387" s="52">
        <f>Stock[[#This Row],[Opening Stock]]+Stock[[#This Row],[Purchase Stock]]</f>
        <v>211</v>
      </c>
      <c r="H387" s="52">
        <f>SUMIF(Sales[[#All],[Product ID]],Stock[[#This Row],[Product ID]],Sales[[#All],[Net QTY]])</f>
        <v>40</v>
      </c>
      <c r="I387" s="52">
        <f>Stock[[#This Row],[Total Stock]]-Stock[[#This Row],[Selling Stock]]</f>
        <v>171</v>
      </c>
      <c r="J387" s="52">
        <f>VLOOKUP(Stock[[#This Row],[Product ID]],Product[#All],8,0)</f>
        <v>20</v>
      </c>
      <c r="K387" s="52" t="str">
        <f>IF(Stock[[#This Row],[Available Stock]]&lt;=Stock[[#This Row],[Reorder Level]],"Reorder","OK")</f>
        <v>OK</v>
      </c>
    </row>
    <row r="388" spans="1:11" ht="18.75" x14ac:dyDescent="0.25">
      <c r="A388" s="52" t="str">
        <f>Product[[#This Row],[Product ID]]</f>
        <v>P0386</v>
      </c>
      <c r="B388" s="52" t="str">
        <f>VLOOKUP(Stock[[#This Row],[Product ID]],Product[#All],2,0)</f>
        <v>Dell Monitor</v>
      </c>
      <c r="C388" s="52" t="str">
        <f>VLOOKUP(Stock[[#This Row],[Product ID]],Product[#All],3,0)</f>
        <v>Monitor</v>
      </c>
      <c r="D388" s="52" t="str">
        <f>VLOOKUP(Stock[[#This Row],[Product ID]],Product[#All],4,0)</f>
        <v>Dell</v>
      </c>
      <c r="E388" s="52">
        <f>SUMIF(Opning[[#All],[Product_ID]],Stock[[#This Row],[Product ID]],Opning[[#All],[Opening_Qty]])</f>
        <v>13</v>
      </c>
      <c r="F388" s="52">
        <f>SUMIF(Purchase[[#All],[Product ID]],Stock[[#This Row],[Product ID]],Purchase[[#All],[Net Qty]])</f>
        <v>103</v>
      </c>
      <c r="G388" s="52">
        <f>Stock[[#This Row],[Opening Stock]]+Stock[[#This Row],[Purchase Stock]]</f>
        <v>116</v>
      </c>
      <c r="H388" s="52">
        <f>SUMIF(Sales[[#All],[Product ID]],Stock[[#This Row],[Product ID]],Sales[[#All],[Net QTY]])</f>
        <v>19</v>
      </c>
      <c r="I388" s="52">
        <f>Stock[[#This Row],[Total Stock]]-Stock[[#This Row],[Selling Stock]]</f>
        <v>97</v>
      </c>
      <c r="J388" s="52">
        <f>VLOOKUP(Stock[[#This Row],[Product ID]],Product[#All],8,0)</f>
        <v>5</v>
      </c>
      <c r="K388" s="52" t="str">
        <f>IF(Stock[[#This Row],[Available Stock]]&lt;=Stock[[#This Row],[Reorder Level]],"Reorder","OK")</f>
        <v>OK</v>
      </c>
    </row>
    <row r="389" spans="1:11" ht="18.75" x14ac:dyDescent="0.25">
      <c r="A389" s="52" t="str">
        <f>Product[[#This Row],[Product ID]]</f>
        <v>P0387</v>
      </c>
      <c r="B389" s="52" t="str">
        <f>VLOOKUP(Stock[[#This Row],[Product ID]],Product[#All],2,0)</f>
        <v>Jbl Headset</v>
      </c>
      <c r="C389" s="52" t="str">
        <f>VLOOKUP(Stock[[#This Row],[Product ID]],Product[#All],3,0)</f>
        <v>Headset</v>
      </c>
      <c r="D389" s="52" t="str">
        <f>VLOOKUP(Stock[[#This Row],[Product ID]],Product[#All],4,0)</f>
        <v>JBL</v>
      </c>
      <c r="E389" s="52">
        <f>SUMIF(Opning[[#All],[Product_ID]],Stock[[#This Row],[Product ID]],Opning[[#All],[Opening_Qty]])</f>
        <v>50</v>
      </c>
      <c r="F389" s="52">
        <f>SUMIF(Purchase[[#All],[Product ID]],Stock[[#This Row],[Product ID]],Purchase[[#All],[Net Qty]])</f>
        <v>31</v>
      </c>
      <c r="G389" s="52">
        <f>Stock[[#This Row],[Opening Stock]]+Stock[[#This Row],[Purchase Stock]]</f>
        <v>81</v>
      </c>
      <c r="H389" s="52">
        <f>SUMIF(Sales[[#All],[Product ID]],Stock[[#This Row],[Product ID]],Sales[[#All],[Net QTY]])</f>
        <v>28</v>
      </c>
      <c r="I389" s="52">
        <f>Stock[[#This Row],[Total Stock]]-Stock[[#This Row],[Selling Stock]]</f>
        <v>53</v>
      </c>
      <c r="J389" s="52">
        <f>VLOOKUP(Stock[[#This Row],[Product ID]],Product[#All],8,0)</f>
        <v>15</v>
      </c>
      <c r="K389" s="52" t="str">
        <f>IF(Stock[[#This Row],[Available Stock]]&lt;=Stock[[#This Row],[Reorder Level]],"Reorder","OK")</f>
        <v>OK</v>
      </c>
    </row>
    <row r="390" spans="1:11" ht="18.75" x14ac:dyDescent="0.25">
      <c r="A390" s="52" t="str">
        <f>Product[[#This Row],[Product ID]]</f>
        <v>P0388</v>
      </c>
      <c r="B390" s="52" t="str">
        <f>VLOOKUP(Stock[[#This Row],[Product ID]],Product[#All],2,0)</f>
        <v>D-Link Router</v>
      </c>
      <c r="C390" s="52" t="str">
        <f>VLOOKUP(Stock[[#This Row],[Product ID]],Product[#All],3,0)</f>
        <v>Rauter</v>
      </c>
      <c r="D390" s="52" t="str">
        <f>VLOOKUP(Stock[[#This Row],[Product ID]],Product[#All],4,0)</f>
        <v>D-Link</v>
      </c>
      <c r="E390" s="52">
        <f>SUMIF(Opning[[#All],[Product_ID]],Stock[[#This Row],[Product ID]],Opning[[#All],[Opening_Qty]])</f>
        <v>51</v>
      </c>
      <c r="F390" s="52">
        <f>SUMIF(Purchase[[#All],[Product ID]],Stock[[#This Row],[Product ID]],Purchase[[#All],[Net Qty]])</f>
        <v>131</v>
      </c>
      <c r="G390" s="52">
        <f>Stock[[#This Row],[Opening Stock]]+Stock[[#This Row],[Purchase Stock]]</f>
        <v>182</v>
      </c>
      <c r="H390" s="52">
        <f>SUMIF(Sales[[#All],[Product ID]],Stock[[#This Row],[Product ID]],Sales[[#All],[Net QTY]])</f>
        <v>21</v>
      </c>
      <c r="I390" s="52">
        <f>Stock[[#This Row],[Total Stock]]-Stock[[#This Row],[Selling Stock]]</f>
        <v>161</v>
      </c>
      <c r="J390" s="52">
        <f>VLOOKUP(Stock[[#This Row],[Product ID]],Product[#All],8,0)</f>
        <v>8</v>
      </c>
      <c r="K390" s="52" t="str">
        <f>IF(Stock[[#This Row],[Available Stock]]&lt;=Stock[[#This Row],[Reorder Level]],"Reorder","OK")</f>
        <v>OK</v>
      </c>
    </row>
    <row r="391" spans="1:11" ht="18.75" x14ac:dyDescent="0.25">
      <c r="A391" s="52" t="str">
        <f>Product[[#This Row],[Product ID]]</f>
        <v>P0389</v>
      </c>
      <c r="B391" s="52" t="str">
        <f>VLOOKUP(Stock[[#This Row],[Product ID]],Product[#All],2,0)</f>
        <v>HP Power Adapter</v>
      </c>
      <c r="C391" s="52" t="str">
        <f>VLOOKUP(Stock[[#This Row],[Product ID]],Product[#All],3,0)</f>
        <v>Power Adapter</v>
      </c>
      <c r="D391" s="52" t="str">
        <f>VLOOKUP(Stock[[#This Row],[Product ID]],Product[#All],4,0)</f>
        <v>HP</v>
      </c>
      <c r="E391" s="52">
        <f>SUMIF(Opning[[#All],[Product_ID]],Stock[[#This Row],[Product ID]],Opning[[#All],[Opening_Qty]])</f>
        <v>25</v>
      </c>
      <c r="F391" s="52">
        <f>SUMIF(Purchase[[#All],[Product ID]],Stock[[#This Row],[Product ID]],Purchase[[#All],[Net Qty]])</f>
        <v>71</v>
      </c>
      <c r="G391" s="52">
        <f>Stock[[#This Row],[Opening Stock]]+Stock[[#This Row],[Purchase Stock]]</f>
        <v>96</v>
      </c>
      <c r="H391" s="52">
        <f>SUMIF(Sales[[#All],[Product ID]],Stock[[#This Row],[Product ID]],Sales[[#All],[Net QTY]])</f>
        <v>25</v>
      </c>
      <c r="I391" s="52">
        <f>Stock[[#This Row],[Total Stock]]-Stock[[#This Row],[Selling Stock]]</f>
        <v>71</v>
      </c>
      <c r="J391" s="52">
        <f>VLOOKUP(Stock[[#This Row],[Product ID]],Product[#All],8,0)</f>
        <v>20</v>
      </c>
      <c r="K391" s="52" t="str">
        <f>IF(Stock[[#This Row],[Available Stock]]&lt;=Stock[[#This Row],[Reorder Level]],"Reorder","OK")</f>
        <v>OK</v>
      </c>
    </row>
    <row r="392" spans="1:11" ht="18.75" x14ac:dyDescent="0.25">
      <c r="A392" s="52" t="str">
        <f>Product[[#This Row],[Product ID]]</f>
        <v>P0390</v>
      </c>
      <c r="B392" s="52" t="str">
        <f>VLOOKUP(Stock[[#This Row],[Product ID]],Product[#All],2,0)</f>
        <v>Dell Desktop</v>
      </c>
      <c r="C392" s="52" t="str">
        <f>VLOOKUP(Stock[[#This Row],[Product ID]],Product[#All],3,0)</f>
        <v>Desktop</v>
      </c>
      <c r="D392" s="52" t="str">
        <f>VLOOKUP(Stock[[#This Row],[Product ID]],Product[#All],4,0)</f>
        <v>Dell</v>
      </c>
      <c r="E392" s="52">
        <f>SUMIF(Opning[[#All],[Product_ID]],Stock[[#This Row],[Product ID]],Opning[[#All],[Opening_Qty]])</f>
        <v>30</v>
      </c>
      <c r="F392" s="52">
        <f>SUMIF(Purchase[[#All],[Product ID]],Stock[[#This Row],[Product ID]],Purchase[[#All],[Net Qty]])</f>
        <v>136</v>
      </c>
      <c r="G392" s="52">
        <f>Stock[[#This Row],[Opening Stock]]+Stock[[#This Row],[Purchase Stock]]</f>
        <v>166</v>
      </c>
      <c r="H392" s="52">
        <f>SUMIF(Sales[[#All],[Product ID]],Stock[[#This Row],[Product ID]],Sales[[#All],[Net QTY]])</f>
        <v>65</v>
      </c>
      <c r="I392" s="52">
        <f>Stock[[#This Row],[Total Stock]]-Stock[[#This Row],[Selling Stock]]</f>
        <v>101</v>
      </c>
      <c r="J392" s="52">
        <f>VLOOKUP(Stock[[#This Row],[Product ID]],Product[#All],8,0)</f>
        <v>10</v>
      </c>
      <c r="K392" s="52" t="str">
        <f>IF(Stock[[#This Row],[Available Stock]]&lt;=Stock[[#This Row],[Reorder Level]],"Reorder","OK")</f>
        <v>OK</v>
      </c>
    </row>
    <row r="393" spans="1:11" ht="18.75" x14ac:dyDescent="0.25">
      <c r="A393" s="52" t="str">
        <f>Product[[#This Row],[Product ID]]</f>
        <v>P0391</v>
      </c>
      <c r="B393" s="52" t="str">
        <f>VLOOKUP(Stock[[#This Row],[Product ID]],Product[#All],2,0)</f>
        <v>Lenovo Laptop</v>
      </c>
      <c r="C393" s="52" t="str">
        <f>VLOOKUP(Stock[[#This Row],[Product ID]],Product[#All],3,0)</f>
        <v>Laptop</v>
      </c>
      <c r="D393" s="52" t="str">
        <f>VLOOKUP(Stock[[#This Row],[Product ID]],Product[#All],4,0)</f>
        <v>Lenovo</v>
      </c>
      <c r="E393" s="52">
        <f>SUMIF(Opning[[#All],[Product_ID]],Stock[[#This Row],[Product ID]],Opning[[#All],[Opening_Qty]])</f>
        <v>51</v>
      </c>
      <c r="F393" s="52">
        <f>SUMIF(Purchase[[#All],[Product ID]],Stock[[#This Row],[Product ID]],Purchase[[#All],[Net Qty]])</f>
        <v>40</v>
      </c>
      <c r="G393" s="52">
        <f>Stock[[#This Row],[Opening Stock]]+Stock[[#This Row],[Purchase Stock]]</f>
        <v>91</v>
      </c>
      <c r="H393" s="52">
        <f>SUMIF(Sales[[#All],[Product ID]],Stock[[#This Row],[Product ID]],Sales[[#All],[Net QTY]])</f>
        <v>68</v>
      </c>
      <c r="I393" s="52">
        <f>Stock[[#This Row],[Total Stock]]-Stock[[#This Row],[Selling Stock]]</f>
        <v>23</v>
      </c>
      <c r="J393" s="52">
        <f>VLOOKUP(Stock[[#This Row],[Product ID]],Product[#All],8,0)</f>
        <v>5</v>
      </c>
      <c r="K393" s="52" t="str">
        <f>IF(Stock[[#This Row],[Available Stock]]&lt;=Stock[[#This Row],[Reorder Level]],"Reorder","OK")</f>
        <v>OK</v>
      </c>
    </row>
    <row r="394" spans="1:11" ht="18.75" x14ac:dyDescent="0.25">
      <c r="A394" s="52" t="str">
        <f>Product[[#This Row],[Product ID]]</f>
        <v>P0392</v>
      </c>
      <c r="B394" s="52" t="str">
        <f>VLOOKUP(Stock[[#This Row],[Product ID]],Product[#All],2,0)</f>
        <v>HP Desktop</v>
      </c>
      <c r="C394" s="52" t="str">
        <f>VLOOKUP(Stock[[#This Row],[Product ID]],Product[#All],3,0)</f>
        <v>Desktop</v>
      </c>
      <c r="D394" s="52" t="str">
        <f>VLOOKUP(Stock[[#This Row],[Product ID]],Product[#All],4,0)</f>
        <v>HP</v>
      </c>
      <c r="E394" s="52">
        <f>SUMIF(Opning[[#All],[Product_ID]],Stock[[#This Row],[Product ID]],Opning[[#All],[Opening_Qty]])</f>
        <v>18</v>
      </c>
      <c r="F394" s="52">
        <f>SUMIF(Purchase[[#All],[Product ID]],Stock[[#This Row],[Product ID]],Purchase[[#All],[Net Qty]])</f>
        <v>90</v>
      </c>
      <c r="G394" s="52">
        <f>Stock[[#This Row],[Opening Stock]]+Stock[[#This Row],[Purchase Stock]]</f>
        <v>108</v>
      </c>
      <c r="H394" s="52">
        <f>SUMIF(Sales[[#All],[Product ID]],Stock[[#This Row],[Product ID]],Sales[[#All],[Net QTY]])</f>
        <v>57</v>
      </c>
      <c r="I394" s="52">
        <f>Stock[[#This Row],[Total Stock]]-Stock[[#This Row],[Selling Stock]]</f>
        <v>51</v>
      </c>
      <c r="J394" s="52">
        <f>VLOOKUP(Stock[[#This Row],[Product ID]],Product[#All],8,0)</f>
        <v>20</v>
      </c>
      <c r="K394" s="52" t="str">
        <f>IF(Stock[[#This Row],[Available Stock]]&lt;=Stock[[#This Row],[Reorder Level]],"Reorder","OK")</f>
        <v>OK</v>
      </c>
    </row>
    <row r="395" spans="1:11" ht="18.75" x14ac:dyDescent="0.25">
      <c r="A395" s="52" t="str">
        <f>Product[[#This Row],[Product ID]]</f>
        <v>P0393</v>
      </c>
      <c r="B395" s="52" t="str">
        <f>VLOOKUP(Stock[[#This Row],[Product ID]],Product[#All],2,0)</f>
        <v>PortronicsLaptopStand</v>
      </c>
      <c r="C395" s="52" t="str">
        <f>VLOOKUP(Stock[[#This Row],[Product ID]],Product[#All],3,0)</f>
        <v xml:space="preserve">Laptop Stand </v>
      </c>
      <c r="D395" s="52" t="str">
        <f>VLOOKUP(Stock[[#This Row],[Product ID]],Product[#All],4,0)</f>
        <v>Portronics</v>
      </c>
      <c r="E395" s="52">
        <f>SUMIF(Opning[[#All],[Product_ID]],Stock[[#This Row],[Product ID]],Opning[[#All],[Opening_Qty]])</f>
        <v>45</v>
      </c>
      <c r="F395" s="52">
        <f>SUMIF(Purchase[[#All],[Product ID]],Stock[[#This Row],[Product ID]],Purchase[[#All],[Net Qty]])</f>
        <v>107</v>
      </c>
      <c r="G395" s="52">
        <f>Stock[[#This Row],[Opening Stock]]+Stock[[#This Row],[Purchase Stock]]</f>
        <v>152</v>
      </c>
      <c r="H395" s="52">
        <f>SUMIF(Sales[[#All],[Product ID]],Stock[[#This Row],[Product ID]],Sales[[#All],[Net QTY]])</f>
        <v>26</v>
      </c>
      <c r="I395" s="52">
        <f>Stock[[#This Row],[Total Stock]]-Stock[[#This Row],[Selling Stock]]</f>
        <v>126</v>
      </c>
      <c r="J395" s="52">
        <f>VLOOKUP(Stock[[#This Row],[Product ID]],Product[#All],8,0)</f>
        <v>25</v>
      </c>
      <c r="K395" s="52" t="str">
        <f>IF(Stock[[#This Row],[Available Stock]]&lt;=Stock[[#This Row],[Reorder Level]],"Reorder","OK")</f>
        <v>OK</v>
      </c>
    </row>
    <row r="396" spans="1:11" ht="18.75" x14ac:dyDescent="0.25">
      <c r="A396" s="52" t="str">
        <f>Product[[#This Row],[Product ID]]</f>
        <v>P0394</v>
      </c>
      <c r="B396" s="52" t="str">
        <f>VLOOKUP(Stock[[#This Row],[Product ID]],Product[#All],2,0)</f>
        <v>Crucial Ssd</v>
      </c>
      <c r="C396" s="52" t="str">
        <f>VLOOKUP(Stock[[#This Row],[Product ID]],Product[#All],3,0)</f>
        <v>SSD</v>
      </c>
      <c r="D396" s="52" t="str">
        <f>VLOOKUP(Stock[[#This Row],[Product ID]],Product[#All],4,0)</f>
        <v>Crucial</v>
      </c>
      <c r="E396" s="52">
        <f>SUMIF(Opning[[#All],[Product_ID]],Stock[[#This Row],[Product ID]],Opning[[#All],[Opening_Qty]])</f>
        <v>25</v>
      </c>
      <c r="F396" s="52">
        <f>SUMIF(Purchase[[#All],[Product ID]],Stock[[#This Row],[Product ID]],Purchase[[#All],[Net Qty]])</f>
        <v>19</v>
      </c>
      <c r="G396" s="52">
        <f>Stock[[#This Row],[Opening Stock]]+Stock[[#This Row],[Purchase Stock]]</f>
        <v>44</v>
      </c>
      <c r="H396" s="52">
        <f>SUMIF(Sales[[#All],[Product ID]],Stock[[#This Row],[Product ID]],Sales[[#All],[Net QTY]])</f>
        <v>37</v>
      </c>
      <c r="I396" s="52">
        <f>Stock[[#This Row],[Total Stock]]-Stock[[#This Row],[Selling Stock]]</f>
        <v>7</v>
      </c>
      <c r="J396" s="52">
        <f>VLOOKUP(Stock[[#This Row],[Product ID]],Product[#All],8,0)</f>
        <v>5</v>
      </c>
      <c r="K396" s="52" t="str">
        <f>IF(Stock[[#This Row],[Available Stock]]&lt;=Stock[[#This Row],[Reorder Level]],"Reorder","OK")</f>
        <v>OK</v>
      </c>
    </row>
    <row r="397" spans="1:11" ht="18.75" x14ac:dyDescent="0.25">
      <c r="A397" s="52" t="str">
        <f>Product[[#This Row],[Product ID]]</f>
        <v>P0395</v>
      </c>
      <c r="B397" s="52" t="str">
        <f>VLOOKUP(Stock[[#This Row],[Product ID]],Product[#All],2,0)</f>
        <v>Dell Monitor</v>
      </c>
      <c r="C397" s="52" t="str">
        <f>VLOOKUP(Stock[[#This Row],[Product ID]],Product[#All],3,0)</f>
        <v>Monitor</v>
      </c>
      <c r="D397" s="52" t="str">
        <f>VLOOKUP(Stock[[#This Row],[Product ID]],Product[#All],4,0)</f>
        <v>Dell</v>
      </c>
      <c r="E397" s="52">
        <f>SUMIF(Opning[[#All],[Product_ID]],Stock[[#This Row],[Product ID]],Opning[[#All],[Opening_Qty]])</f>
        <v>41</v>
      </c>
      <c r="F397" s="52">
        <f>SUMIF(Purchase[[#All],[Product ID]],Stock[[#This Row],[Product ID]],Purchase[[#All],[Net Qty]])</f>
        <v>41</v>
      </c>
      <c r="G397" s="52">
        <f>Stock[[#This Row],[Opening Stock]]+Stock[[#This Row],[Purchase Stock]]</f>
        <v>82</v>
      </c>
      <c r="H397" s="52">
        <f>SUMIF(Sales[[#All],[Product ID]],Stock[[#This Row],[Product ID]],Sales[[#All],[Net QTY]])</f>
        <v>37</v>
      </c>
      <c r="I397" s="52">
        <f>Stock[[#This Row],[Total Stock]]-Stock[[#This Row],[Selling Stock]]</f>
        <v>45</v>
      </c>
      <c r="J397" s="52">
        <f>VLOOKUP(Stock[[#This Row],[Product ID]],Product[#All],8,0)</f>
        <v>15</v>
      </c>
      <c r="K397" s="52" t="str">
        <f>IF(Stock[[#This Row],[Available Stock]]&lt;=Stock[[#This Row],[Reorder Level]],"Reorder","OK")</f>
        <v>OK</v>
      </c>
    </row>
    <row r="398" spans="1:11" ht="18.75" x14ac:dyDescent="0.25">
      <c r="A398" s="52" t="str">
        <f>Product[[#This Row],[Product ID]]</f>
        <v>P0396</v>
      </c>
      <c r="B398" s="52" t="str">
        <f>VLOOKUP(Stock[[#This Row],[Product ID]],Product[#All],2,0)</f>
        <v>TP-link Bluetooth Adapter</v>
      </c>
      <c r="C398" s="52" t="str">
        <f>VLOOKUP(Stock[[#This Row],[Product ID]],Product[#All],3,0)</f>
        <v>Bluetooth Adapter</v>
      </c>
      <c r="D398" s="52" t="str">
        <f>VLOOKUP(Stock[[#This Row],[Product ID]],Product[#All],4,0)</f>
        <v>TP-link</v>
      </c>
      <c r="E398" s="52">
        <f>SUMIF(Opning[[#All],[Product_ID]],Stock[[#This Row],[Product ID]],Opning[[#All],[Opening_Qty]])</f>
        <v>16</v>
      </c>
      <c r="F398" s="52">
        <f>SUMIF(Purchase[[#All],[Product ID]],Stock[[#This Row],[Product ID]],Purchase[[#All],[Net Qty]])</f>
        <v>61</v>
      </c>
      <c r="G398" s="52">
        <f>Stock[[#This Row],[Opening Stock]]+Stock[[#This Row],[Purchase Stock]]</f>
        <v>77</v>
      </c>
      <c r="H398" s="52">
        <f>SUMIF(Sales[[#All],[Product ID]],Stock[[#This Row],[Product ID]],Sales[[#All],[Net QTY]])</f>
        <v>51</v>
      </c>
      <c r="I398" s="52">
        <f>Stock[[#This Row],[Total Stock]]-Stock[[#This Row],[Selling Stock]]</f>
        <v>26</v>
      </c>
      <c r="J398" s="52">
        <f>VLOOKUP(Stock[[#This Row],[Product ID]],Product[#All],8,0)</f>
        <v>10</v>
      </c>
      <c r="K398" s="52" t="str">
        <f>IF(Stock[[#This Row],[Available Stock]]&lt;=Stock[[#This Row],[Reorder Level]],"Reorder","OK")</f>
        <v>OK</v>
      </c>
    </row>
    <row r="399" spans="1:11" ht="18.75" x14ac:dyDescent="0.25">
      <c r="A399" s="52" t="str">
        <f>Product[[#This Row],[Product ID]]</f>
        <v>P0397</v>
      </c>
      <c r="B399" s="52" t="str">
        <f>VLOOKUP(Stock[[#This Row],[Product ID]],Product[#All],2,0)</f>
        <v>HP Printer</v>
      </c>
      <c r="C399" s="52" t="str">
        <f>VLOOKUP(Stock[[#This Row],[Product ID]],Product[#All],3,0)</f>
        <v>Printer</v>
      </c>
      <c r="D399" s="52" t="str">
        <f>VLOOKUP(Stock[[#This Row],[Product ID]],Product[#All],4,0)</f>
        <v>HP</v>
      </c>
      <c r="E399" s="52">
        <f>SUMIF(Opning[[#All],[Product_ID]],Stock[[#This Row],[Product ID]],Opning[[#All],[Opening_Qty]])</f>
        <v>12</v>
      </c>
      <c r="F399" s="52">
        <f>SUMIF(Purchase[[#All],[Product ID]],Stock[[#This Row],[Product ID]],Purchase[[#All],[Net Qty]])</f>
        <v>105</v>
      </c>
      <c r="G399" s="52">
        <f>Stock[[#This Row],[Opening Stock]]+Stock[[#This Row],[Purchase Stock]]</f>
        <v>117</v>
      </c>
      <c r="H399" s="52">
        <f>SUMIF(Sales[[#All],[Product ID]],Stock[[#This Row],[Product ID]],Sales[[#All],[Net QTY]])</f>
        <v>61</v>
      </c>
      <c r="I399" s="52">
        <f>Stock[[#This Row],[Total Stock]]-Stock[[#This Row],[Selling Stock]]</f>
        <v>56</v>
      </c>
      <c r="J399" s="52">
        <f>VLOOKUP(Stock[[#This Row],[Product ID]],Product[#All],8,0)</f>
        <v>20</v>
      </c>
      <c r="K399" s="52" t="str">
        <f>IF(Stock[[#This Row],[Available Stock]]&lt;=Stock[[#This Row],[Reorder Level]],"Reorder","OK")</f>
        <v>OK</v>
      </c>
    </row>
    <row r="400" spans="1:11" ht="18.75" x14ac:dyDescent="0.25">
      <c r="A400" s="52" t="str">
        <f>Product[[#This Row],[Product ID]]</f>
        <v>P0398</v>
      </c>
      <c r="B400" s="52" t="str">
        <f>VLOOKUP(Stock[[#This Row],[Product ID]],Product[#All],2,0)</f>
        <v>Amazon Basics Hdmi Cable</v>
      </c>
      <c r="C400" s="52" t="str">
        <f>VLOOKUP(Stock[[#This Row],[Product ID]],Product[#All],3,0)</f>
        <v xml:space="preserve">HDMI Cable </v>
      </c>
      <c r="D400" s="52" t="str">
        <f>VLOOKUP(Stock[[#This Row],[Product ID]],Product[#All],4,0)</f>
        <v>Amazon Basics</v>
      </c>
      <c r="E400" s="52">
        <f>SUMIF(Opning[[#All],[Product_ID]],Stock[[#This Row],[Product ID]],Opning[[#All],[Opening_Qty]])</f>
        <v>70</v>
      </c>
      <c r="F400" s="52">
        <f>SUMIF(Purchase[[#All],[Product ID]],Stock[[#This Row],[Product ID]],Purchase[[#All],[Net Qty]])</f>
        <v>33</v>
      </c>
      <c r="G400" s="52">
        <f>Stock[[#This Row],[Opening Stock]]+Stock[[#This Row],[Purchase Stock]]</f>
        <v>103</v>
      </c>
      <c r="H400" s="52">
        <f>SUMIF(Sales[[#All],[Product ID]],Stock[[#This Row],[Product ID]],Sales[[#All],[Net QTY]])</f>
        <v>47</v>
      </c>
      <c r="I400" s="52">
        <f>Stock[[#This Row],[Total Stock]]-Stock[[#This Row],[Selling Stock]]</f>
        <v>56</v>
      </c>
      <c r="J400" s="52">
        <f>VLOOKUP(Stock[[#This Row],[Product ID]],Product[#All],8,0)</f>
        <v>8</v>
      </c>
      <c r="K400" s="52" t="str">
        <f>IF(Stock[[#This Row],[Available Stock]]&lt;=Stock[[#This Row],[Reorder Level]],"Reorder","OK")</f>
        <v>OK</v>
      </c>
    </row>
    <row r="401" spans="1:11" ht="18.75" x14ac:dyDescent="0.25">
      <c r="A401" s="52" t="str">
        <f>Product[[#This Row],[Product ID]]</f>
        <v>P0399</v>
      </c>
      <c r="B401" s="52" t="str">
        <f>VLOOKUP(Stock[[#This Row],[Product ID]],Product[#All],2,0)</f>
        <v>American TouristerLaptopBag</v>
      </c>
      <c r="C401" s="52" t="str">
        <f>VLOOKUP(Stock[[#This Row],[Product ID]],Product[#All],3,0)</f>
        <v>Laptop Bag</v>
      </c>
      <c r="D401" s="52" t="str">
        <f>VLOOKUP(Stock[[#This Row],[Product ID]],Product[#All],4,0)</f>
        <v>American Tourister</v>
      </c>
      <c r="E401" s="52">
        <f>SUMIF(Opning[[#All],[Product_ID]],Stock[[#This Row],[Product ID]],Opning[[#All],[Opening_Qty]])</f>
        <v>38</v>
      </c>
      <c r="F401" s="52">
        <f>SUMIF(Purchase[[#All],[Product ID]],Stock[[#This Row],[Product ID]],Purchase[[#All],[Net Qty]])</f>
        <v>172</v>
      </c>
      <c r="G401" s="52">
        <f>Stock[[#This Row],[Opening Stock]]+Stock[[#This Row],[Purchase Stock]]</f>
        <v>210</v>
      </c>
      <c r="H401" s="52">
        <f>SUMIF(Sales[[#All],[Product ID]],Stock[[#This Row],[Product ID]],Sales[[#All],[Net QTY]])</f>
        <v>68</v>
      </c>
      <c r="I401" s="52">
        <f>Stock[[#This Row],[Total Stock]]-Stock[[#This Row],[Selling Stock]]</f>
        <v>142</v>
      </c>
      <c r="J401" s="52">
        <f>VLOOKUP(Stock[[#This Row],[Product ID]],Product[#All],8,0)</f>
        <v>15</v>
      </c>
      <c r="K401" s="52" t="str">
        <f>IF(Stock[[#This Row],[Available Stock]]&lt;=Stock[[#This Row],[Reorder Level]],"Reorder","OK")</f>
        <v>OK</v>
      </c>
    </row>
    <row r="402" spans="1:11" ht="18.75" x14ac:dyDescent="0.25">
      <c r="A402" s="52" t="str">
        <f>Product[[#This Row],[Product ID]]</f>
        <v>P0400</v>
      </c>
      <c r="B402" s="52" t="str">
        <f>VLOOKUP(Stock[[#This Row],[Product ID]],Product[#All],2,0)</f>
        <v>Dell Monitor</v>
      </c>
      <c r="C402" s="52" t="str">
        <f>VLOOKUP(Stock[[#This Row],[Product ID]],Product[#All],3,0)</f>
        <v>Monitor</v>
      </c>
      <c r="D402" s="52" t="str">
        <f>VLOOKUP(Stock[[#This Row],[Product ID]],Product[#All],4,0)</f>
        <v>Dell</v>
      </c>
      <c r="E402" s="52">
        <f>SUMIF(Opning[[#All],[Product_ID]],Stock[[#This Row],[Product ID]],Opning[[#All],[Opening_Qty]])</f>
        <v>48</v>
      </c>
      <c r="F402" s="52">
        <f>SUMIF(Purchase[[#All],[Product ID]],Stock[[#This Row],[Product ID]],Purchase[[#All],[Net Qty]])</f>
        <v>65</v>
      </c>
      <c r="G402" s="52">
        <f>Stock[[#This Row],[Opening Stock]]+Stock[[#This Row],[Purchase Stock]]</f>
        <v>113</v>
      </c>
      <c r="H402" s="52">
        <f>SUMIF(Sales[[#All],[Product ID]],Stock[[#This Row],[Product ID]],Sales[[#All],[Net QTY]])</f>
        <v>70</v>
      </c>
      <c r="I402" s="52">
        <f>Stock[[#This Row],[Total Stock]]-Stock[[#This Row],[Selling Stock]]</f>
        <v>43</v>
      </c>
      <c r="J402" s="52">
        <f>VLOOKUP(Stock[[#This Row],[Product ID]],Product[#All],8,0)</f>
        <v>5</v>
      </c>
      <c r="K402" s="52" t="str">
        <f>IF(Stock[[#This Row],[Available Stock]]&lt;=Stock[[#This Row],[Reorder Level]],"Reorder","OK")</f>
        <v>OK</v>
      </c>
    </row>
    <row r="403" spans="1:11" ht="18.75" x14ac:dyDescent="0.25">
      <c r="A403" s="52" t="str">
        <f>Product[[#This Row],[Product ID]]</f>
        <v>P0401</v>
      </c>
      <c r="B403" s="52" t="str">
        <f>VLOOKUP(Stock[[#This Row],[Product ID]],Product[#All],2,0)</f>
        <v>WD HDD</v>
      </c>
      <c r="C403" s="52" t="str">
        <f>VLOOKUP(Stock[[#This Row],[Product ID]],Product[#All],3,0)</f>
        <v>HDD</v>
      </c>
      <c r="D403" s="52" t="str">
        <f>VLOOKUP(Stock[[#This Row],[Product ID]],Product[#All],4,0)</f>
        <v>WD</v>
      </c>
      <c r="E403" s="52">
        <f>SUMIF(Opning[[#All],[Product_ID]],Stock[[#This Row],[Product ID]],Opning[[#All],[Opening_Qty]])</f>
        <v>27</v>
      </c>
      <c r="F403" s="52">
        <f>SUMIF(Purchase[[#All],[Product ID]],Stock[[#This Row],[Product ID]],Purchase[[#All],[Net Qty]])</f>
        <v>53</v>
      </c>
      <c r="G403" s="52">
        <f>Stock[[#This Row],[Opening Stock]]+Stock[[#This Row],[Purchase Stock]]</f>
        <v>80</v>
      </c>
      <c r="H403" s="52">
        <f>SUMIF(Sales[[#All],[Product ID]],Stock[[#This Row],[Product ID]],Sales[[#All],[Net QTY]])</f>
        <v>37</v>
      </c>
      <c r="I403" s="52">
        <f>Stock[[#This Row],[Total Stock]]-Stock[[#This Row],[Selling Stock]]</f>
        <v>43</v>
      </c>
      <c r="J403" s="52">
        <f>VLOOKUP(Stock[[#This Row],[Product ID]],Product[#All],8,0)</f>
        <v>15</v>
      </c>
      <c r="K403" s="52" t="str">
        <f>IF(Stock[[#This Row],[Available Stock]]&lt;=Stock[[#This Row],[Reorder Level]],"Reorder","OK")</f>
        <v>OK</v>
      </c>
    </row>
    <row r="404" spans="1:11" ht="18.75" x14ac:dyDescent="0.25">
      <c r="A404" s="52" t="str">
        <f>Product[[#This Row],[Product ID]]</f>
        <v>P0402</v>
      </c>
      <c r="B404" s="52" t="str">
        <f>VLOOKUP(Stock[[#This Row],[Product ID]],Product[#All],2,0)</f>
        <v>Acer Laptop</v>
      </c>
      <c r="C404" s="52" t="str">
        <f>VLOOKUP(Stock[[#This Row],[Product ID]],Product[#All],3,0)</f>
        <v>Laptop</v>
      </c>
      <c r="D404" s="52" t="str">
        <f>VLOOKUP(Stock[[#This Row],[Product ID]],Product[#All],4,0)</f>
        <v>Acer</v>
      </c>
      <c r="E404" s="52">
        <f>SUMIF(Opning[[#All],[Product_ID]],Stock[[#This Row],[Product ID]],Opning[[#All],[Opening_Qty]])</f>
        <v>6</v>
      </c>
      <c r="F404" s="52">
        <f>SUMIF(Purchase[[#All],[Product ID]],Stock[[#This Row],[Product ID]],Purchase[[#All],[Net Qty]])</f>
        <v>71</v>
      </c>
      <c r="G404" s="52">
        <f>Stock[[#This Row],[Opening Stock]]+Stock[[#This Row],[Purchase Stock]]</f>
        <v>77</v>
      </c>
      <c r="H404" s="52">
        <f>SUMIF(Sales[[#All],[Product ID]],Stock[[#This Row],[Product ID]],Sales[[#All],[Net QTY]])</f>
        <v>45</v>
      </c>
      <c r="I404" s="52">
        <f>Stock[[#This Row],[Total Stock]]-Stock[[#This Row],[Selling Stock]]</f>
        <v>32</v>
      </c>
      <c r="J404" s="52">
        <f>VLOOKUP(Stock[[#This Row],[Product ID]],Product[#All],8,0)</f>
        <v>25</v>
      </c>
      <c r="K404" s="52" t="str">
        <f>IF(Stock[[#This Row],[Available Stock]]&lt;=Stock[[#This Row],[Reorder Level]],"Reorder","OK")</f>
        <v>OK</v>
      </c>
    </row>
    <row r="405" spans="1:11" ht="18.75" x14ac:dyDescent="0.25">
      <c r="A405" s="52" t="str">
        <f>Product[[#This Row],[Product ID]]</f>
        <v>P0403</v>
      </c>
      <c r="B405" s="52" t="str">
        <f>VLOOKUP(Stock[[#This Row],[Product ID]],Product[#All],2,0)</f>
        <v>Dell Monitor</v>
      </c>
      <c r="C405" s="52" t="str">
        <f>VLOOKUP(Stock[[#This Row],[Product ID]],Product[#All],3,0)</f>
        <v>Monitor</v>
      </c>
      <c r="D405" s="52" t="str">
        <f>VLOOKUP(Stock[[#This Row],[Product ID]],Product[#All],4,0)</f>
        <v>Dell</v>
      </c>
      <c r="E405" s="52">
        <f>SUMIF(Opning[[#All],[Product_ID]],Stock[[#This Row],[Product ID]],Opning[[#All],[Opening_Qty]])</f>
        <v>26</v>
      </c>
      <c r="F405" s="52">
        <f>SUMIF(Purchase[[#All],[Product ID]],Stock[[#This Row],[Product ID]],Purchase[[#All],[Net Qty]])</f>
        <v>0</v>
      </c>
      <c r="G405" s="52">
        <f>Stock[[#This Row],[Opening Stock]]+Stock[[#This Row],[Purchase Stock]]</f>
        <v>26</v>
      </c>
      <c r="H405" s="52">
        <f>SUMIF(Sales[[#All],[Product ID]],Stock[[#This Row],[Product ID]],Sales[[#All],[Net QTY]])</f>
        <v>26</v>
      </c>
      <c r="I405" s="52">
        <f>Stock[[#This Row],[Total Stock]]-Stock[[#This Row],[Selling Stock]]</f>
        <v>0</v>
      </c>
      <c r="J405" s="52">
        <f>VLOOKUP(Stock[[#This Row],[Product ID]],Product[#All],8,0)</f>
        <v>15</v>
      </c>
      <c r="K405" s="52" t="str">
        <f>IF(Stock[[#This Row],[Available Stock]]&lt;=Stock[[#This Row],[Reorder Level]],"Reorder","OK")</f>
        <v>Reorder</v>
      </c>
    </row>
    <row r="406" spans="1:11" ht="18.75" x14ac:dyDescent="0.25">
      <c r="A406" s="52" t="str">
        <f>Product[[#This Row],[Product ID]]</f>
        <v>P0404</v>
      </c>
      <c r="B406" s="52" t="str">
        <f>VLOOKUP(Stock[[#This Row],[Product ID]],Product[#All],2,0)</f>
        <v>Dell Monitor</v>
      </c>
      <c r="C406" s="52" t="str">
        <f>VLOOKUP(Stock[[#This Row],[Product ID]],Product[#All],3,0)</f>
        <v>Monitor</v>
      </c>
      <c r="D406" s="52" t="str">
        <f>VLOOKUP(Stock[[#This Row],[Product ID]],Product[#All],4,0)</f>
        <v>Dell</v>
      </c>
      <c r="E406" s="52">
        <f>SUMIF(Opning[[#All],[Product_ID]],Stock[[#This Row],[Product ID]],Opning[[#All],[Opening_Qty]])</f>
        <v>59</v>
      </c>
      <c r="F406" s="52">
        <f>SUMIF(Purchase[[#All],[Product ID]],Stock[[#This Row],[Product ID]],Purchase[[#All],[Net Qty]])</f>
        <v>131</v>
      </c>
      <c r="G406" s="52">
        <f>Stock[[#This Row],[Opening Stock]]+Stock[[#This Row],[Purchase Stock]]</f>
        <v>190</v>
      </c>
      <c r="H406" s="52">
        <f>SUMIF(Sales[[#All],[Product ID]],Stock[[#This Row],[Product ID]],Sales[[#All],[Net QTY]])</f>
        <v>21</v>
      </c>
      <c r="I406" s="52">
        <f>Stock[[#This Row],[Total Stock]]-Stock[[#This Row],[Selling Stock]]</f>
        <v>169</v>
      </c>
      <c r="J406" s="52">
        <f>VLOOKUP(Stock[[#This Row],[Product ID]],Product[#All],8,0)</f>
        <v>8</v>
      </c>
      <c r="K406" s="52" t="str">
        <f>IF(Stock[[#This Row],[Available Stock]]&lt;=Stock[[#This Row],[Reorder Level]],"Reorder","OK")</f>
        <v>OK</v>
      </c>
    </row>
    <row r="407" spans="1:11" ht="18.75" x14ac:dyDescent="0.25">
      <c r="A407" s="52" t="str">
        <f>Product[[#This Row],[Product ID]]</f>
        <v>P0405</v>
      </c>
      <c r="B407" s="52" t="str">
        <f>VLOOKUP(Stock[[#This Row],[Product ID]],Product[#All],2,0)</f>
        <v>Logitech Mouse</v>
      </c>
      <c r="C407" s="52" t="str">
        <f>VLOOKUP(Stock[[#This Row],[Product ID]],Product[#All],3,0)</f>
        <v>Mouse</v>
      </c>
      <c r="D407" s="52" t="str">
        <f>VLOOKUP(Stock[[#This Row],[Product ID]],Product[#All],4,0)</f>
        <v>Logitech</v>
      </c>
      <c r="E407" s="52">
        <f>SUMIF(Opning[[#All],[Product_ID]],Stock[[#This Row],[Product ID]],Opning[[#All],[Opening_Qty]])</f>
        <v>8</v>
      </c>
      <c r="F407" s="52">
        <f>SUMIF(Purchase[[#All],[Product ID]],Stock[[#This Row],[Product ID]],Purchase[[#All],[Net Qty]])</f>
        <v>224</v>
      </c>
      <c r="G407" s="52">
        <f>Stock[[#This Row],[Opening Stock]]+Stock[[#This Row],[Purchase Stock]]</f>
        <v>232</v>
      </c>
      <c r="H407" s="52">
        <f>SUMIF(Sales[[#All],[Product ID]],Stock[[#This Row],[Product ID]],Sales[[#All],[Net QTY]])</f>
        <v>75</v>
      </c>
      <c r="I407" s="52">
        <f>Stock[[#This Row],[Total Stock]]-Stock[[#This Row],[Selling Stock]]</f>
        <v>157</v>
      </c>
      <c r="J407" s="52">
        <f>VLOOKUP(Stock[[#This Row],[Product ID]],Product[#All],8,0)</f>
        <v>8</v>
      </c>
      <c r="K407" s="52" t="str">
        <f>IF(Stock[[#This Row],[Available Stock]]&lt;=Stock[[#This Row],[Reorder Level]],"Reorder","OK")</f>
        <v>OK</v>
      </c>
    </row>
    <row r="408" spans="1:11" ht="18.75" x14ac:dyDescent="0.25">
      <c r="A408" s="52" t="str">
        <f>Product[[#This Row],[Product ID]]</f>
        <v>P0406</v>
      </c>
      <c r="B408" s="52" t="str">
        <f>VLOOKUP(Stock[[#This Row],[Product ID]],Product[#All],2,0)</f>
        <v>Logitech Keyboard</v>
      </c>
      <c r="C408" s="52" t="str">
        <f>VLOOKUP(Stock[[#This Row],[Product ID]],Product[#All],3,0)</f>
        <v>Keyboard</v>
      </c>
      <c r="D408" s="52" t="str">
        <f>VLOOKUP(Stock[[#This Row],[Product ID]],Product[#All],4,0)</f>
        <v>Logitech</v>
      </c>
      <c r="E408" s="52">
        <f>SUMIF(Opning[[#All],[Product_ID]],Stock[[#This Row],[Product ID]],Opning[[#All],[Opening_Qty]])</f>
        <v>80</v>
      </c>
      <c r="F408" s="52">
        <f>SUMIF(Purchase[[#All],[Product ID]],Stock[[#This Row],[Product ID]],Purchase[[#All],[Net Qty]])</f>
        <v>61</v>
      </c>
      <c r="G408" s="52">
        <f>Stock[[#This Row],[Opening Stock]]+Stock[[#This Row],[Purchase Stock]]</f>
        <v>141</v>
      </c>
      <c r="H408" s="52">
        <f>SUMIF(Sales[[#All],[Product ID]],Stock[[#This Row],[Product ID]],Sales[[#All],[Net QTY]])</f>
        <v>73</v>
      </c>
      <c r="I408" s="52">
        <f>Stock[[#This Row],[Total Stock]]-Stock[[#This Row],[Selling Stock]]</f>
        <v>68</v>
      </c>
      <c r="J408" s="52">
        <f>VLOOKUP(Stock[[#This Row],[Product ID]],Product[#All],8,0)</f>
        <v>25</v>
      </c>
      <c r="K408" s="52" t="str">
        <f>IF(Stock[[#This Row],[Available Stock]]&lt;=Stock[[#This Row],[Reorder Level]],"Reorder","OK")</f>
        <v>OK</v>
      </c>
    </row>
    <row r="409" spans="1:11" ht="18.75" x14ac:dyDescent="0.25">
      <c r="A409" s="52" t="str">
        <f>Product[[#This Row],[Product ID]]</f>
        <v>P0407</v>
      </c>
      <c r="B409" s="52" t="str">
        <f>VLOOKUP(Stock[[#This Row],[Product ID]],Product[#All],2,0)</f>
        <v>TP-link Wi-Fi Adapter</v>
      </c>
      <c r="C409" s="52" t="str">
        <f>VLOOKUP(Stock[[#This Row],[Product ID]],Product[#All],3,0)</f>
        <v>Wi-Fi Adapter</v>
      </c>
      <c r="D409" s="52" t="str">
        <f>VLOOKUP(Stock[[#This Row],[Product ID]],Product[#All],4,0)</f>
        <v>TP-link</v>
      </c>
      <c r="E409" s="52">
        <f>SUMIF(Opning[[#All],[Product_ID]],Stock[[#This Row],[Product ID]],Opning[[#All],[Opening_Qty]])</f>
        <v>41</v>
      </c>
      <c r="F409" s="52">
        <f>SUMIF(Purchase[[#All],[Product ID]],Stock[[#This Row],[Product ID]],Purchase[[#All],[Net Qty]])</f>
        <v>27</v>
      </c>
      <c r="G409" s="52">
        <f>Stock[[#This Row],[Opening Stock]]+Stock[[#This Row],[Purchase Stock]]</f>
        <v>68</v>
      </c>
      <c r="H409" s="52">
        <f>SUMIF(Sales[[#All],[Product ID]],Stock[[#This Row],[Product ID]],Sales[[#All],[Net QTY]])</f>
        <v>33</v>
      </c>
      <c r="I409" s="52">
        <f>Stock[[#This Row],[Total Stock]]-Stock[[#This Row],[Selling Stock]]</f>
        <v>35</v>
      </c>
      <c r="J409" s="52">
        <f>VLOOKUP(Stock[[#This Row],[Product ID]],Product[#All],8,0)</f>
        <v>8</v>
      </c>
      <c r="K409" s="52" t="str">
        <f>IF(Stock[[#This Row],[Available Stock]]&lt;=Stock[[#This Row],[Reorder Level]],"Reorder","OK")</f>
        <v>OK</v>
      </c>
    </row>
    <row r="410" spans="1:11" ht="18.75" x14ac:dyDescent="0.25">
      <c r="A410" s="52" t="str">
        <f>Product[[#This Row],[Product ID]]</f>
        <v>P0408</v>
      </c>
      <c r="B410" s="52" t="str">
        <f>VLOOKUP(Stock[[#This Row],[Product ID]],Product[#All],2,0)</f>
        <v>Dell Keyboard</v>
      </c>
      <c r="C410" s="52" t="str">
        <f>VLOOKUP(Stock[[#This Row],[Product ID]],Product[#All],3,0)</f>
        <v>Keyboard</v>
      </c>
      <c r="D410" s="52" t="str">
        <f>VLOOKUP(Stock[[#This Row],[Product ID]],Product[#All],4,0)</f>
        <v>Dell</v>
      </c>
      <c r="E410" s="52">
        <f>SUMIF(Opning[[#All],[Product_ID]],Stock[[#This Row],[Product ID]],Opning[[#All],[Opening_Qty]])</f>
        <v>51</v>
      </c>
      <c r="F410" s="52">
        <f>SUMIF(Purchase[[#All],[Product ID]],Stock[[#This Row],[Product ID]],Purchase[[#All],[Net Qty]])</f>
        <v>80</v>
      </c>
      <c r="G410" s="52">
        <f>Stock[[#This Row],[Opening Stock]]+Stock[[#This Row],[Purchase Stock]]</f>
        <v>131</v>
      </c>
      <c r="H410" s="52">
        <f>SUMIF(Sales[[#All],[Product ID]],Stock[[#This Row],[Product ID]],Sales[[#All],[Net QTY]])</f>
        <v>45</v>
      </c>
      <c r="I410" s="52">
        <f>Stock[[#This Row],[Total Stock]]-Stock[[#This Row],[Selling Stock]]</f>
        <v>86</v>
      </c>
      <c r="J410" s="52">
        <f>VLOOKUP(Stock[[#This Row],[Product ID]],Product[#All],8,0)</f>
        <v>25</v>
      </c>
      <c r="K410" s="52" t="str">
        <f>IF(Stock[[#This Row],[Available Stock]]&lt;=Stock[[#This Row],[Reorder Level]],"Reorder","OK")</f>
        <v>OK</v>
      </c>
    </row>
    <row r="411" spans="1:11" ht="18.75" x14ac:dyDescent="0.25">
      <c r="A411" s="52" t="str">
        <f>Product[[#This Row],[Product ID]]</f>
        <v>P0409</v>
      </c>
      <c r="B411" s="52" t="str">
        <f>VLOOKUP(Stock[[#This Row],[Product ID]],Product[#All],2,0)</f>
        <v>Apc UPS</v>
      </c>
      <c r="C411" s="52" t="str">
        <f>VLOOKUP(Stock[[#This Row],[Product ID]],Product[#All],3,0)</f>
        <v>UPS</v>
      </c>
      <c r="D411" s="52" t="str">
        <f>VLOOKUP(Stock[[#This Row],[Product ID]],Product[#All],4,0)</f>
        <v>APC</v>
      </c>
      <c r="E411" s="52">
        <f>SUMIF(Opning[[#All],[Product_ID]],Stock[[#This Row],[Product ID]],Opning[[#All],[Opening_Qty]])</f>
        <v>27</v>
      </c>
      <c r="F411" s="52">
        <f>SUMIF(Purchase[[#All],[Product ID]],Stock[[#This Row],[Product ID]],Purchase[[#All],[Net Qty]])</f>
        <v>143</v>
      </c>
      <c r="G411" s="52">
        <f>Stock[[#This Row],[Opening Stock]]+Stock[[#This Row],[Purchase Stock]]</f>
        <v>170</v>
      </c>
      <c r="H411" s="52">
        <f>SUMIF(Sales[[#All],[Product ID]],Stock[[#This Row],[Product ID]],Sales[[#All],[Net QTY]])</f>
        <v>71</v>
      </c>
      <c r="I411" s="52">
        <f>Stock[[#This Row],[Total Stock]]-Stock[[#This Row],[Selling Stock]]</f>
        <v>99</v>
      </c>
      <c r="J411" s="52">
        <f>VLOOKUP(Stock[[#This Row],[Product ID]],Product[#All],8,0)</f>
        <v>5</v>
      </c>
      <c r="K411" s="52" t="str">
        <f>IF(Stock[[#This Row],[Available Stock]]&lt;=Stock[[#This Row],[Reorder Level]],"Reorder","OK")</f>
        <v>OK</v>
      </c>
    </row>
    <row r="412" spans="1:11" ht="18.75" x14ac:dyDescent="0.25">
      <c r="A412" s="52" t="str">
        <f>Product[[#This Row],[Product ID]]</f>
        <v>P0410</v>
      </c>
      <c r="B412" s="52" t="str">
        <f>VLOOKUP(Stock[[#This Row],[Product ID]],Product[#All],2,0)</f>
        <v>Lg Monitor</v>
      </c>
      <c r="C412" s="52" t="str">
        <f>VLOOKUP(Stock[[#This Row],[Product ID]],Product[#All],3,0)</f>
        <v>Monitor</v>
      </c>
      <c r="D412" s="52" t="str">
        <f>VLOOKUP(Stock[[#This Row],[Product ID]],Product[#All],4,0)</f>
        <v>LG</v>
      </c>
      <c r="E412" s="52">
        <f>SUMIF(Opning[[#All],[Product_ID]],Stock[[#This Row],[Product ID]],Opning[[#All],[Opening_Qty]])</f>
        <v>24</v>
      </c>
      <c r="F412" s="52">
        <f>SUMIF(Purchase[[#All],[Product ID]],Stock[[#This Row],[Product ID]],Purchase[[#All],[Net Qty]])</f>
        <v>77</v>
      </c>
      <c r="G412" s="52">
        <f>Stock[[#This Row],[Opening Stock]]+Stock[[#This Row],[Purchase Stock]]</f>
        <v>101</v>
      </c>
      <c r="H412" s="52">
        <f>SUMIF(Sales[[#All],[Product ID]],Stock[[#This Row],[Product ID]],Sales[[#All],[Net QTY]])</f>
        <v>55</v>
      </c>
      <c r="I412" s="52">
        <f>Stock[[#This Row],[Total Stock]]-Stock[[#This Row],[Selling Stock]]</f>
        <v>46</v>
      </c>
      <c r="J412" s="52">
        <f>VLOOKUP(Stock[[#This Row],[Product ID]],Product[#All],8,0)</f>
        <v>5</v>
      </c>
      <c r="K412" s="52" t="str">
        <f>IF(Stock[[#This Row],[Available Stock]]&lt;=Stock[[#This Row],[Reorder Level]],"Reorder","OK")</f>
        <v>OK</v>
      </c>
    </row>
    <row r="413" spans="1:11" ht="18.75" x14ac:dyDescent="0.25">
      <c r="A413" s="52" t="str">
        <f>Product[[#This Row],[Product ID]]</f>
        <v>P0411</v>
      </c>
      <c r="B413" s="52" t="str">
        <f>VLOOKUP(Stock[[#This Row],[Product ID]],Product[#All],2,0)</f>
        <v>Logitech Keyboard</v>
      </c>
      <c r="C413" s="52" t="str">
        <f>VLOOKUP(Stock[[#This Row],[Product ID]],Product[#All],3,0)</f>
        <v>Keyboard</v>
      </c>
      <c r="D413" s="52" t="str">
        <f>VLOOKUP(Stock[[#This Row],[Product ID]],Product[#All],4,0)</f>
        <v>Logitech</v>
      </c>
      <c r="E413" s="52">
        <f>SUMIF(Opning[[#All],[Product_ID]],Stock[[#This Row],[Product ID]],Opning[[#All],[Opening_Qty]])</f>
        <v>80</v>
      </c>
      <c r="F413" s="52">
        <f>SUMIF(Purchase[[#All],[Product ID]],Stock[[#This Row],[Product ID]],Purchase[[#All],[Net Qty]])</f>
        <v>38</v>
      </c>
      <c r="G413" s="52">
        <f>Stock[[#This Row],[Opening Stock]]+Stock[[#This Row],[Purchase Stock]]</f>
        <v>118</v>
      </c>
      <c r="H413" s="52">
        <f>SUMIF(Sales[[#All],[Product ID]],Stock[[#This Row],[Product ID]],Sales[[#All],[Net QTY]])</f>
        <v>53</v>
      </c>
      <c r="I413" s="52">
        <f>Stock[[#This Row],[Total Stock]]-Stock[[#This Row],[Selling Stock]]</f>
        <v>65</v>
      </c>
      <c r="J413" s="52">
        <f>VLOOKUP(Stock[[#This Row],[Product ID]],Product[#All],8,0)</f>
        <v>5</v>
      </c>
      <c r="K413" s="52" t="str">
        <f>IF(Stock[[#This Row],[Available Stock]]&lt;=Stock[[#This Row],[Reorder Level]],"Reorder","OK")</f>
        <v>OK</v>
      </c>
    </row>
    <row r="414" spans="1:11" ht="18.75" x14ac:dyDescent="0.25">
      <c r="A414" s="52" t="str">
        <f>Product[[#This Row],[Product ID]]</f>
        <v>P0412</v>
      </c>
      <c r="B414" s="52" t="str">
        <f>VLOOKUP(Stock[[#This Row],[Product ID]],Product[#All],2,0)</f>
        <v>Lenovo Laptop</v>
      </c>
      <c r="C414" s="52" t="str">
        <f>VLOOKUP(Stock[[#This Row],[Product ID]],Product[#All],3,0)</f>
        <v>Laptop</v>
      </c>
      <c r="D414" s="52" t="str">
        <f>VLOOKUP(Stock[[#This Row],[Product ID]],Product[#All],4,0)</f>
        <v>Lenovo</v>
      </c>
      <c r="E414" s="52">
        <f>SUMIF(Opning[[#All],[Product_ID]],Stock[[#This Row],[Product ID]],Opning[[#All],[Opening_Qty]])</f>
        <v>32</v>
      </c>
      <c r="F414" s="52">
        <f>SUMIF(Purchase[[#All],[Product ID]],Stock[[#This Row],[Product ID]],Purchase[[#All],[Net Qty]])</f>
        <v>187</v>
      </c>
      <c r="G414" s="52">
        <f>Stock[[#This Row],[Opening Stock]]+Stock[[#This Row],[Purchase Stock]]</f>
        <v>219</v>
      </c>
      <c r="H414" s="52">
        <f>SUMIF(Sales[[#All],[Product ID]],Stock[[#This Row],[Product ID]],Sales[[#All],[Net QTY]])</f>
        <v>43</v>
      </c>
      <c r="I414" s="52">
        <f>Stock[[#This Row],[Total Stock]]-Stock[[#This Row],[Selling Stock]]</f>
        <v>176</v>
      </c>
      <c r="J414" s="52">
        <f>VLOOKUP(Stock[[#This Row],[Product ID]],Product[#All],8,0)</f>
        <v>10</v>
      </c>
      <c r="K414" s="52" t="str">
        <f>IF(Stock[[#This Row],[Available Stock]]&lt;=Stock[[#This Row],[Reorder Level]],"Reorder","OK")</f>
        <v>OK</v>
      </c>
    </row>
    <row r="415" spans="1:11" ht="18.75" x14ac:dyDescent="0.25">
      <c r="A415" s="52" t="str">
        <f>Product[[#This Row],[Product ID]]</f>
        <v>P0413</v>
      </c>
      <c r="B415" s="52" t="str">
        <f>VLOOKUP(Stock[[#This Row],[Product ID]],Product[#All],2,0)</f>
        <v>Apc UPS</v>
      </c>
      <c r="C415" s="52" t="str">
        <f>VLOOKUP(Stock[[#This Row],[Product ID]],Product[#All],3,0)</f>
        <v>UPS</v>
      </c>
      <c r="D415" s="52" t="str">
        <f>VLOOKUP(Stock[[#This Row],[Product ID]],Product[#All],4,0)</f>
        <v>APC</v>
      </c>
      <c r="E415" s="52">
        <f>SUMIF(Opning[[#All],[Product_ID]],Stock[[#This Row],[Product ID]],Opning[[#All],[Opening_Qty]])</f>
        <v>59</v>
      </c>
      <c r="F415" s="52">
        <f>SUMIF(Purchase[[#All],[Product ID]],Stock[[#This Row],[Product ID]],Purchase[[#All],[Net Qty]])</f>
        <v>100</v>
      </c>
      <c r="G415" s="52">
        <f>Stock[[#This Row],[Opening Stock]]+Stock[[#This Row],[Purchase Stock]]</f>
        <v>159</v>
      </c>
      <c r="H415" s="52">
        <f>SUMIF(Sales[[#All],[Product ID]],Stock[[#This Row],[Product ID]],Sales[[#All],[Net QTY]])</f>
        <v>21</v>
      </c>
      <c r="I415" s="52">
        <f>Stock[[#This Row],[Total Stock]]-Stock[[#This Row],[Selling Stock]]</f>
        <v>138</v>
      </c>
      <c r="J415" s="52">
        <f>VLOOKUP(Stock[[#This Row],[Product ID]],Product[#All],8,0)</f>
        <v>25</v>
      </c>
      <c r="K415" s="52" t="str">
        <f>IF(Stock[[#This Row],[Available Stock]]&lt;=Stock[[#This Row],[Reorder Level]],"Reorder","OK")</f>
        <v>OK</v>
      </c>
    </row>
    <row r="416" spans="1:11" ht="18.75" x14ac:dyDescent="0.25">
      <c r="A416" s="52" t="str">
        <f>Product[[#This Row],[Product ID]]</f>
        <v>P0414</v>
      </c>
      <c r="B416" s="52" t="str">
        <f>VLOOKUP(Stock[[#This Row],[Product ID]],Product[#All],2,0)</f>
        <v>Dell Laptop</v>
      </c>
      <c r="C416" s="52" t="str">
        <f>VLOOKUP(Stock[[#This Row],[Product ID]],Product[#All],3,0)</f>
        <v>Laptop</v>
      </c>
      <c r="D416" s="52" t="str">
        <f>VLOOKUP(Stock[[#This Row],[Product ID]],Product[#All],4,0)</f>
        <v>Dell</v>
      </c>
      <c r="E416" s="52">
        <f>SUMIF(Opning[[#All],[Product_ID]],Stock[[#This Row],[Product ID]],Opning[[#All],[Opening_Qty]])</f>
        <v>49</v>
      </c>
      <c r="F416" s="52">
        <f>SUMIF(Purchase[[#All],[Product ID]],Stock[[#This Row],[Product ID]],Purchase[[#All],[Net Qty]])</f>
        <v>95</v>
      </c>
      <c r="G416" s="52">
        <f>Stock[[#This Row],[Opening Stock]]+Stock[[#This Row],[Purchase Stock]]</f>
        <v>144</v>
      </c>
      <c r="H416" s="52">
        <f>SUMIF(Sales[[#All],[Product ID]],Stock[[#This Row],[Product ID]],Sales[[#All],[Net QTY]])</f>
        <v>27</v>
      </c>
      <c r="I416" s="52">
        <f>Stock[[#This Row],[Total Stock]]-Stock[[#This Row],[Selling Stock]]</f>
        <v>117</v>
      </c>
      <c r="J416" s="52">
        <f>VLOOKUP(Stock[[#This Row],[Product ID]],Product[#All],8,0)</f>
        <v>15</v>
      </c>
      <c r="K416" s="52" t="str">
        <f>IF(Stock[[#This Row],[Available Stock]]&lt;=Stock[[#This Row],[Reorder Level]],"Reorder","OK")</f>
        <v>OK</v>
      </c>
    </row>
    <row r="417" spans="1:11" ht="18.75" x14ac:dyDescent="0.25">
      <c r="A417" s="52" t="str">
        <f>Product[[#This Row],[Product ID]]</f>
        <v>P0415</v>
      </c>
      <c r="B417" s="52" t="str">
        <f>VLOOKUP(Stock[[#This Row],[Product ID]],Product[#All],2,0)</f>
        <v>WD HDD</v>
      </c>
      <c r="C417" s="52" t="str">
        <f>VLOOKUP(Stock[[#This Row],[Product ID]],Product[#All],3,0)</f>
        <v>HDD</v>
      </c>
      <c r="D417" s="52" t="str">
        <f>VLOOKUP(Stock[[#This Row],[Product ID]],Product[#All],4,0)</f>
        <v>WD</v>
      </c>
      <c r="E417" s="52">
        <f>SUMIF(Opning[[#All],[Product_ID]],Stock[[#This Row],[Product ID]],Opning[[#All],[Opening_Qty]])</f>
        <v>5</v>
      </c>
      <c r="F417" s="52">
        <f>SUMIF(Purchase[[#All],[Product ID]],Stock[[#This Row],[Product ID]],Purchase[[#All],[Net Qty]])</f>
        <v>92</v>
      </c>
      <c r="G417" s="52">
        <f>Stock[[#This Row],[Opening Stock]]+Stock[[#This Row],[Purchase Stock]]</f>
        <v>97</v>
      </c>
      <c r="H417" s="52">
        <f>SUMIF(Sales[[#All],[Product ID]],Stock[[#This Row],[Product ID]],Sales[[#All],[Net QTY]])</f>
        <v>46</v>
      </c>
      <c r="I417" s="52">
        <f>Stock[[#This Row],[Total Stock]]-Stock[[#This Row],[Selling Stock]]</f>
        <v>51</v>
      </c>
      <c r="J417" s="52">
        <f>VLOOKUP(Stock[[#This Row],[Product ID]],Product[#All],8,0)</f>
        <v>8</v>
      </c>
      <c r="K417" s="52" t="str">
        <f>IF(Stock[[#This Row],[Available Stock]]&lt;=Stock[[#This Row],[Reorder Level]],"Reorder","OK")</f>
        <v>OK</v>
      </c>
    </row>
    <row r="418" spans="1:11" ht="18.75" x14ac:dyDescent="0.25">
      <c r="A418" s="52" t="str">
        <f>Product[[#This Row],[Product ID]]</f>
        <v>P0416</v>
      </c>
      <c r="B418" s="52" t="str">
        <f>VLOOKUP(Stock[[#This Row],[Product ID]],Product[#All],2,0)</f>
        <v>HP Desktop</v>
      </c>
      <c r="C418" s="52" t="str">
        <f>VLOOKUP(Stock[[#This Row],[Product ID]],Product[#All],3,0)</f>
        <v>Desktop</v>
      </c>
      <c r="D418" s="52" t="str">
        <f>VLOOKUP(Stock[[#This Row],[Product ID]],Product[#All],4,0)</f>
        <v>HP</v>
      </c>
      <c r="E418" s="52">
        <f>SUMIF(Opning[[#All],[Product_ID]],Stock[[#This Row],[Product ID]],Opning[[#All],[Opening_Qty]])</f>
        <v>53</v>
      </c>
      <c r="F418" s="52">
        <f>SUMIF(Purchase[[#All],[Product ID]],Stock[[#This Row],[Product ID]],Purchase[[#All],[Net Qty]])</f>
        <v>242</v>
      </c>
      <c r="G418" s="52">
        <f>Stock[[#This Row],[Opening Stock]]+Stock[[#This Row],[Purchase Stock]]</f>
        <v>295</v>
      </c>
      <c r="H418" s="52">
        <f>SUMIF(Sales[[#All],[Product ID]],Stock[[#This Row],[Product ID]],Sales[[#All],[Net QTY]])</f>
        <v>33</v>
      </c>
      <c r="I418" s="52">
        <f>Stock[[#This Row],[Total Stock]]-Stock[[#This Row],[Selling Stock]]</f>
        <v>262</v>
      </c>
      <c r="J418" s="52">
        <f>VLOOKUP(Stock[[#This Row],[Product ID]],Product[#All],8,0)</f>
        <v>8</v>
      </c>
      <c r="K418" s="52" t="str">
        <f>IF(Stock[[#This Row],[Available Stock]]&lt;=Stock[[#This Row],[Reorder Level]],"Reorder","OK")</f>
        <v>OK</v>
      </c>
    </row>
    <row r="419" spans="1:11" ht="18.75" x14ac:dyDescent="0.25">
      <c r="A419" s="52" t="str">
        <f>Product[[#This Row],[Product ID]]</f>
        <v>P0417</v>
      </c>
      <c r="B419" s="52" t="str">
        <f>VLOOKUP(Stock[[#This Row],[Product ID]],Product[#All],2,0)</f>
        <v>Samsung Monitor</v>
      </c>
      <c r="C419" s="52" t="str">
        <f>VLOOKUP(Stock[[#This Row],[Product ID]],Product[#All],3,0)</f>
        <v>Monitor</v>
      </c>
      <c r="D419" s="52" t="str">
        <f>VLOOKUP(Stock[[#This Row],[Product ID]],Product[#All],4,0)</f>
        <v>Samsung</v>
      </c>
      <c r="E419" s="52">
        <f>SUMIF(Opning[[#All],[Product_ID]],Stock[[#This Row],[Product ID]],Opning[[#All],[Opening_Qty]])</f>
        <v>44</v>
      </c>
      <c r="F419" s="52">
        <f>SUMIF(Purchase[[#All],[Product ID]],Stock[[#This Row],[Product ID]],Purchase[[#All],[Net Qty]])</f>
        <v>49</v>
      </c>
      <c r="G419" s="52">
        <f>Stock[[#This Row],[Opening Stock]]+Stock[[#This Row],[Purchase Stock]]</f>
        <v>93</v>
      </c>
      <c r="H419" s="52">
        <f>SUMIF(Sales[[#All],[Product ID]],Stock[[#This Row],[Product ID]],Sales[[#All],[Net QTY]])</f>
        <v>59</v>
      </c>
      <c r="I419" s="52">
        <f>Stock[[#This Row],[Total Stock]]-Stock[[#This Row],[Selling Stock]]</f>
        <v>34</v>
      </c>
      <c r="J419" s="52">
        <f>VLOOKUP(Stock[[#This Row],[Product ID]],Product[#All],8,0)</f>
        <v>25</v>
      </c>
      <c r="K419" s="52" t="str">
        <f>IF(Stock[[#This Row],[Available Stock]]&lt;=Stock[[#This Row],[Reorder Level]],"Reorder","OK")</f>
        <v>OK</v>
      </c>
    </row>
    <row r="420" spans="1:11" ht="18.75" x14ac:dyDescent="0.25">
      <c r="A420" s="52" t="str">
        <f>Product[[#This Row],[Product ID]]</f>
        <v>P0418</v>
      </c>
      <c r="B420" s="52" t="str">
        <f>VLOOKUP(Stock[[#This Row],[Product ID]],Product[#All],2,0)</f>
        <v>Seagate HDD</v>
      </c>
      <c r="C420" s="52" t="str">
        <f>VLOOKUP(Stock[[#This Row],[Product ID]],Product[#All],3,0)</f>
        <v>HDD</v>
      </c>
      <c r="D420" s="52" t="str">
        <f>VLOOKUP(Stock[[#This Row],[Product ID]],Product[#All],4,0)</f>
        <v>Seagate</v>
      </c>
      <c r="E420" s="52">
        <f>SUMIF(Opning[[#All],[Product_ID]],Stock[[#This Row],[Product ID]],Opning[[#All],[Opening_Qty]])</f>
        <v>60</v>
      </c>
      <c r="F420" s="52">
        <f>SUMIF(Purchase[[#All],[Product ID]],Stock[[#This Row],[Product ID]],Purchase[[#All],[Net Qty]])</f>
        <v>77</v>
      </c>
      <c r="G420" s="52">
        <f>Stock[[#This Row],[Opening Stock]]+Stock[[#This Row],[Purchase Stock]]</f>
        <v>137</v>
      </c>
      <c r="H420" s="52">
        <f>SUMIF(Sales[[#All],[Product ID]],Stock[[#This Row],[Product ID]],Sales[[#All],[Net QTY]])</f>
        <v>52</v>
      </c>
      <c r="I420" s="52">
        <f>Stock[[#This Row],[Total Stock]]-Stock[[#This Row],[Selling Stock]]</f>
        <v>85</v>
      </c>
      <c r="J420" s="52">
        <f>VLOOKUP(Stock[[#This Row],[Product ID]],Product[#All],8,0)</f>
        <v>10</v>
      </c>
      <c r="K420" s="52" t="str">
        <f>IF(Stock[[#This Row],[Available Stock]]&lt;=Stock[[#This Row],[Reorder Level]],"Reorder","OK")</f>
        <v>OK</v>
      </c>
    </row>
    <row r="421" spans="1:11" ht="18.75" x14ac:dyDescent="0.25">
      <c r="A421" s="52" t="str">
        <f>Product[[#This Row],[Product ID]]</f>
        <v>P0419</v>
      </c>
      <c r="B421" s="52" t="str">
        <f>VLOOKUP(Stock[[#This Row],[Product ID]],Product[#All],2,0)</f>
        <v>Boat Headset</v>
      </c>
      <c r="C421" s="52" t="str">
        <f>VLOOKUP(Stock[[#This Row],[Product ID]],Product[#All],3,0)</f>
        <v>Headset</v>
      </c>
      <c r="D421" s="52" t="str">
        <f>VLOOKUP(Stock[[#This Row],[Product ID]],Product[#All],4,0)</f>
        <v>Boat</v>
      </c>
      <c r="E421" s="52">
        <f>SUMIF(Opning[[#All],[Product_ID]],Stock[[#This Row],[Product ID]],Opning[[#All],[Opening_Qty]])</f>
        <v>43</v>
      </c>
      <c r="F421" s="52">
        <f>SUMIF(Purchase[[#All],[Product ID]],Stock[[#This Row],[Product ID]],Purchase[[#All],[Net Qty]])</f>
        <v>96</v>
      </c>
      <c r="G421" s="52">
        <f>Stock[[#This Row],[Opening Stock]]+Stock[[#This Row],[Purchase Stock]]</f>
        <v>139</v>
      </c>
      <c r="H421" s="52">
        <f>SUMIF(Sales[[#All],[Product ID]],Stock[[#This Row],[Product ID]],Sales[[#All],[Net QTY]])</f>
        <v>82</v>
      </c>
      <c r="I421" s="52">
        <f>Stock[[#This Row],[Total Stock]]-Stock[[#This Row],[Selling Stock]]</f>
        <v>57</v>
      </c>
      <c r="J421" s="52">
        <f>VLOOKUP(Stock[[#This Row],[Product ID]],Product[#All],8,0)</f>
        <v>20</v>
      </c>
      <c r="K421" s="52" t="str">
        <f>IF(Stock[[#This Row],[Available Stock]]&lt;=Stock[[#This Row],[Reorder Level]],"Reorder","OK")</f>
        <v>OK</v>
      </c>
    </row>
    <row r="422" spans="1:11" ht="18.75" x14ac:dyDescent="0.25">
      <c r="A422" s="52" t="str">
        <f>Product[[#This Row],[Product ID]]</f>
        <v>P0420</v>
      </c>
      <c r="B422" s="52" t="str">
        <f>VLOOKUP(Stock[[#This Row],[Product ID]],Product[#All],2,0)</f>
        <v>Logitech Mouse</v>
      </c>
      <c r="C422" s="52" t="str">
        <f>VLOOKUP(Stock[[#This Row],[Product ID]],Product[#All],3,0)</f>
        <v>Mouse</v>
      </c>
      <c r="D422" s="52" t="str">
        <f>VLOOKUP(Stock[[#This Row],[Product ID]],Product[#All],4,0)</f>
        <v>Logitech</v>
      </c>
      <c r="E422" s="52">
        <f>SUMIF(Opning[[#All],[Product_ID]],Stock[[#This Row],[Product ID]],Opning[[#All],[Opening_Qty]])</f>
        <v>45</v>
      </c>
      <c r="F422" s="52">
        <f>SUMIF(Purchase[[#All],[Product ID]],Stock[[#This Row],[Product ID]],Purchase[[#All],[Net Qty]])</f>
        <v>144</v>
      </c>
      <c r="G422" s="52">
        <f>Stock[[#This Row],[Opening Stock]]+Stock[[#This Row],[Purchase Stock]]</f>
        <v>189</v>
      </c>
      <c r="H422" s="52">
        <f>SUMIF(Sales[[#All],[Product ID]],Stock[[#This Row],[Product ID]],Sales[[#All],[Net QTY]])</f>
        <v>51</v>
      </c>
      <c r="I422" s="52">
        <f>Stock[[#This Row],[Total Stock]]-Stock[[#This Row],[Selling Stock]]</f>
        <v>138</v>
      </c>
      <c r="J422" s="52">
        <f>VLOOKUP(Stock[[#This Row],[Product ID]],Product[#All],8,0)</f>
        <v>10</v>
      </c>
      <c r="K422" s="52" t="str">
        <f>IF(Stock[[#This Row],[Available Stock]]&lt;=Stock[[#This Row],[Reorder Level]],"Reorder","OK")</f>
        <v>OK</v>
      </c>
    </row>
    <row r="423" spans="1:11" ht="18.75" x14ac:dyDescent="0.25">
      <c r="A423" s="52" t="str">
        <f>Product[[#This Row],[Product ID]]</f>
        <v>P0421</v>
      </c>
      <c r="B423" s="52" t="str">
        <f>VLOOKUP(Stock[[#This Row],[Product ID]],Product[#All],2,0)</f>
        <v>TP-link Bluetooth Adapter</v>
      </c>
      <c r="C423" s="52" t="str">
        <f>VLOOKUP(Stock[[#This Row],[Product ID]],Product[#All],3,0)</f>
        <v>Bluetooth Adapter</v>
      </c>
      <c r="D423" s="52" t="str">
        <f>VLOOKUP(Stock[[#This Row],[Product ID]],Product[#All],4,0)</f>
        <v>TP-link</v>
      </c>
      <c r="E423" s="52">
        <f>SUMIF(Opning[[#All],[Product_ID]],Stock[[#This Row],[Product ID]],Opning[[#All],[Opening_Qty]])</f>
        <v>52</v>
      </c>
      <c r="F423" s="52">
        <f>SUMIF(Purchase[[#All],[Product ID]],Stock[[#This Row],[Product ID]],Purchase[[#All],[Net Qty]])</f>
        <v>115</v>
      </c>
      <c r="G423" s="52">
        <f>Stock[[#This Row],[Opening Stock]]+Stock[[#This Row],[Purchase Stock]]</f>
        <v>167</v>
      </c>
      <c r="H423" s="52">
        <f>SUMIF(Sales[[#All],[Product ID]],Stock[[#This Row],[Product ID]],Sales[[#All],[Net QTY]])</f>
        <v>44</v>
      </c>
      <c r="I423" s="52">
        <f>Stock[[#This Row],[Total Stock]]-Stock[[#This Row],[Selling Stock]]</f>
        <v>123</v>
      </c>
      <c r="J423" s="52">
        <f>VLOOKUP(Stock[[#This Row],[Product ID]],Product[#All],8,0)</f>
        <v>25</v>
      </c>
      <c r="K423" s="52" t="str">
        <f>IF(Stock[[#This Row],[Available Stock]]&lt;=Stock[[#This Row],[Reorder Level]],"Reorder","OK")</f>
        <v>OK</v>
      </c>
    </row>
    <row r="424" spans="1:11" ht="18.75" x14ac:dyDescent="0.25">
      <c r="A424" s="52" t="str">
        <f>Product[[#This Row],[Product ID]]</f>
        <v>P0422</v>
      </c>
      <c r="B424" s="52" t="str">
        <f>VLOOKUP(Stock[[#This Row],[Product ID]],Product[#All],2,0)</f>
        <v>Sandisk Pen Drive</v>
      </c>
      <c r="C424" s="52" t="str">
        <f>VLOOKUP(Stock[[#This Row],[Product ID]],Product[#All],3,0)</f>
        <v>Pen Drive</v>
      </c>
      <c r="D424" s="52" t="str">
        <f>VLOOKUP(Stock[[#This Row],[Product ID]],Product[#All],4,0)</f>
        <v>SanDisk</v>
      </c>
      <c r="E424" s="52">
        <f>SUMIF(Opning[[#All],[Product_ID]],Stock[[#This Row],[Product ID]],Opning[[#All],[Opening_Qty]])</f>
        <v>59</v>
      </c>
      <c r="F424" s="52">
        <f>SUMIF(Purchase[[#All],[Product ID]],Stock[[#This Row],[Product ID]],Purchase[[#All],[Net Qty]])</f>
        <v>18</v>
      </c>
      <c r="G424" s="52">
        <f>Stock[[#This Row],[Opening Stock]]+Stock[[#This Row],[Purchase Stock]]</f>
        <v>77</v>
      </c>
      <c r="H424" s="52">
        <f>SUMIF(Sales[[#All],[Product ID]],Stock[[#This Row],[Product ID]],Sales[[#All],[Net QTY]])</f>
        <v>43</v>
      </c>
      <c r="I424" s="52">
        <f>Stock[[#This Row],[Total Stock]]-Stock[[#This Row],[Selling Stock]]</f>
        <v>34</v>
      </c>
      <c r="J424" s="52">
        <f>VLOOKUP(Stock[[#This Row],[Product ID]],Product[#All],8,0)</f>
        <v>15</v>
      </c>
      <c r="K424" s="52" t="str">
        <f>IF(Stock[[#This Row],[Available Stock]]&lt;=Stock[[#This Row],[Reorder Level]],"Reorder","OK")</f>
        <v>OK</v>
      </c>
    </row>
    <row r="425" spans="1:11" ht="18.75" x14ac:dyDescent="0.25">
      <c r="A425" s="52" t="str">
        <f>Product[[#This Row],[Product ID]]</f>
        <v>P0423</v>
      </c>
      <c r="B425" s="52" t="str">
        <f>VLOOKUP(Stock[[#This Row],[Product ID]],Product[#All],2,0)</f>
        <v>Epson Printer</v>
      </c>
      <c r="C425" s="52" t="str">
        <f>VLOOKUP(Stock[[#This Row],[Product ID]],Product[#All],3,0)</f>
        <v>Printer</v>
      </c>
      <c r="D425" s="52" t="str">
        <f>VLOOKUP(Stock[[#This Row],[Product ID]],Product[#All],4,0)</f>
        <v>Epson</v>
      </c>
      <c r="E425" s="52">
        <f>SUMIF(Opning[[#All],[Product_ID]],Stock[[#This Row],[Product ID]],Opning[[#All],[Opening_Qty]])</f>
        <v>43</v>
      </c>
      <c r="F425" s="52">
        <f>SUMIF(Purchase[[#All],[Product ID]],Stock[[#This Row],[Product ID]],Purchase[[#All],[Net Qty]])</f>
        <v>74</v>
      </c>
      <c r="G425" s="52">
        <f>Stock[[#This Row],[Opening Stock]]+Stock[[#This Row],[Purchase Stock]]</f>
        <v>117</v>
      </c>
      <c r="H425" s="52">
        <f>SUMIF(Sales[[#All],[Product ID]],Stock[[#This Row],[Product ID]],Sales[[#All],[Net QTY]])</f>
        <v>54</v>
      </c>
      <c r="I425" s="52">
        <f>Stock[[#This Row],[Total Stock]]-Stock[[#This Row],[Selling Stock]]</f>
        <v>63</v>
      </c>
      <c r="J425" s="52">
        <f>VLOOKUP(Stock[[#This Row],[Product ID]],Product[#All],8,0)</f>
        <v>20</v>
      </c>
      <c r="K425" s="52" t="str">
        <f>IF(Stock[[#This Row],[Available Stock]]&lt;=Stock[[#This Row],[Reorder Level]],"Reorder","OK")</f>
        <v>OK</v>
      </c>
    </row>
    <row r="426" spans="1:11" ht="18.75" x14ac:dyDescent="0.25">
      <c r="A426" s="52" t="str">
        <f>Product[[#This Row],[Product ID]]</f>
        <v>P0424</v>
      </c>
      <c r="B426" s="52" t="str">
        <f>VLOOKUP(Stock[[#This Row],[Product ID]],Product[#All],2,0)</f>
        <v>American TouristerLaptopBag</v>
      </c>
      <c r="C426" s="52" t="str">
        <f>VLOOKUP(Stock[[#This Row],[Product ID]],Product[#All],3,0)</f>
        <v>Laptop Bag</v>
      </c>
      <c r="D426" s="52" t="str">
        <f>VLOOKUP(Stock[[#This Row],[Product ID]],Product[#All],4,0)</f>
        <v>American Tourister</v>
      </c>
      <c r="E426" s="52">
        <f>SUMIF(Opning[[#All],[Product_ID]],Stock[[#This Row],[Product ID]],Opning[[#All],[Opening_Qty]])</f>
        <v>47</v>
      </c>
      <c r="F426" s="52">
        <f>SUMIF(Purchase[[#All],[Product ID]],Stock[[#This Row],[Product ID]],Purchase[[#All],[Net Qty]])</f>
        <v>119</v>
      </c>
      <c r="G426" s="52">
        <f>Stock[[#This Row],[Opening Stock]]+Stock[[#This Row],[Purchase Stock]]</f>
        <v>166</v>
      </c>
      <c r="H426" s="52">
        <f>SUMIF(Sales[[#All],[Product ID]],Stock[[#This Row],[Product ID]],Sales[[#All],[Net QTY]])</f>
        <v>67</v>
      </c>
      <c r="I426" s="52">
        <f>Stock[[#This Row],[Total Stock]]-Stock[[#This Row],[Selling Stock]]</f>
        <v>99</v>
      </c>
      <c r="J426" s="52">
        <f>VLOOKUP(Stock[[#This Row],[Product ID]],Product[#All],8,0)</f>
        <v>5</v>
      </c>
      <c r="K426" s="52" t="str">
        <f>IF(Stock[[#This Row],[Available Stock]]&lt;=Stock[[#This Row],[Reorder Level]],"Reorder","OK")</f>
        <v>OK</v>
      </c>
    </row>
    <row r="427" spans="1:11" ht="18.75" x14ac:dyDescent="0.25">
      <c r="A427" s="52" t="str">
        <f>Product[[#This Row],[Product ID]]</f>
        <v>P0425</v>
      </c>
      <c r="B427" s="52" t="str">
        <f>VLOOKUP(Stock[[#This Row],[Product ID]],Product[#All],2,0)</f>
        <v>TP-link Router</v>
      </c>
      <c r="C427" s="52" t="str">
        <f>VLOOKUP(Stock[[#This Row],[Product ID]],Product[#All],3,0)</f>
        <v>Router</v>
      </c>
      <c r="D427" s="52" t="str">
        <f>VLOOKUP(Stock[[#This Row],[Product ID]],Product[#All],4,0)</f>
        <v>TP-link</v>
      </c>
      <c r="E427" s="52">
        <f>SUMIF(Opning[[#All],[Product_ID]],Stock[[#This Row],[Product ID]],Opning[[#All],[Opening_Qty]])</f>
        <v>35</v>
      </c>
      <c r="F427" s="52">
        <f>SUMIF(Purchase[[#All],[Product ID]],Stock[[#This Row],[Product ID]],Purchase[[#All],[Net Qty]])</f>
        <v>182</v>
      </c>
      <c r="G427" s="52">
        <f>Stock[[#This Row],[Opening Stock]]+Stock[[#This Row],[Purchase Stock]]</f>
        <v>217</v>
      </c>
      <c r="H427" s="52">
        <f>SUMIF(Sales[[#All],[Product ID]],Stock[[#This Row],[Product ID]],Sales[[#All],[Net QTY]])</f>
        <v>67</v>
      </c>
      <c r="I427" s="52">
        <f>Stock[[#This Row],[Total Stock]]-Stock[[#This Row],[Selling Stock]]</f>
        <v>150</v>
      </c>
      <c r="J427" s="52">
        <f>VLOOKUP(Stock[[#This Row],[Product ID]],Product[#All],8,0)</f>
        <v>8</v>
      </c>
      <c r="K427" s="52" t="str">
        <f>IF(Stock[[#This Row],[Available Stock]]&lt;=Stock[[#This Row],[Reorder Level]],"Reorder","OK")</f>
        <v>OK</v>
      </c>
    </row>
    <row r="428" spans="1:11" ht="18.75" x14ac:dyDescent="0.25">
      <c r="A428" s="52" t="str">
        <f>Product[[#This Row],[Product ID]]</f>
        <v>P0426</v>
      </c>
      <c r="B428" s="52" t="str">
        <f>VLOOKUP(Stock[[#This Row],[Product ID]],Product[#All],2,0)</f>
        <v>TP-link Bluetooth Adapter</v>
      </c>
      <c r="C428" s="52" t="str">
        <f>VLOOKUP(Stock[[#This Row],[Product ID]],Product[#All],3,0)</f>
        <v>Bluetooth Adapter</v>
      </c>
      <c r="D428" s="52" t="str">
        <f>VLOOKUP(Stock[[#This Row],[Product ID]],Product[#All],4,0)</f>
        <v>TP-link</v>
      </c>
      <c r="E428" s="52">
        <f>SUMIF(Opning[[#All],[Product_ID]],Stock[[#This Row],[Product ID]],Opning[[#All],[Opening_Qty]])</f>
        <v>12</v>
      </c>
      <c r="F428" s="52">
        <f>SUMIF(Purchase[[#All],[Product ID]],Stock[[#This Row],[Product ID]],Purchase[[#All],[Net Qty]])</f>
        <v>106</v>
      </c>
      <c r="G428" s="52">
        <f>Stock[[#This Row],[Opening Stock]]+Stock[[#This Row],[Purchase Stock]]</f>
        <v>118</v>
      </c>
      <c r="H428" s="52">
        <f>SUMIF(Sales[[#All],[Product ID]],Stock[[#This Row],[Product ID]],Sales[[#All],[Net QTY]])</f>
        <v>47</v>
      </c>
      <c r="I428" s="52">
        <f>Stock[[#This Row],[Total Stock]]-Stock[[#This Row],[Selling Stock]]</f>
        <v>71</v>
      </c>
      <c r="J428" s="52">
        <f>VLOOKUP(Stock[[#This Row],[Product ID]],Product[#All],8,0)</f>
        <v>8</v>
      </c>
      <c r="K428" s="52" t="str">
        <f>IF(Stock[[#This Row],[Available Stock]]&lt;=Stock[[#This Row],[Reorder Level]],"Reorder","OK")</f>
        <v>OK</v>
      </c>
    </row>
    <row r="429" spans="1:11" ht="18.75" x14ac:dyDescent="0.25">
      <c r="A429" s="52" t="str">
        <f>Product[[#This Row],[Product ID]]</f>
        <v>P0427</v>
      </c>
      <c r="B429" s="52" t="str">
        <f>VLOOKUP(Stock[[#This Row],[Product ID]],Product[#All],2,0)</f>
        <v>Dell Laptop</v>
      </c>
      <c r="C429" s="52" t="str">
        <f>VLOOKUP(Stock[[#This Row],[Product ID]],Product[#All],3,0)</f>
        <v>Laptop</v>
      </c>
      <c r="D429" s="52" t="str">
        <f>VLOOKUP(Stock[[#This Row],[Product ID]],Product[#All],4,0)</f>
        <v>Dell</v>
      </c>
      <c r="E429" s="52">
        <f>SUMIF(Opning[[#All],[Product_ID]],Stock[[#This Row],[Product ID]],Opning[[#All],[Opening_Qty]])</f>
        <v>14</v>
      </c>
      <c r="F429" s="52">
        <f>SUMIF(Purchase[[#All],[Product ID]],Stock[[#This Row],[Product ID]],Purchase[[#All],[Net Qty]])</f>
        <v>25</v>
      </c>
      <c r="G429" s="52">
        <f>Stock[[#This Row],[Opening Stock]]+Stock[[#This Row],[Purchase Stock]]</f>
        <v>39</v>
      </c>
      <c r="H429" s="52">
        <f>SUMIF(Sales[[#All],[Product ID]],Stock[[#This Row],[Product ID]],Sales[[#All],[Net QTY]])</f>
        <v>39</v>
      </c>
      <c r="I429" s="52">
        <f>Stock[[#This Row],[Total Stock]]-Stock[[#This Row],[Selling Stock]]</f>
        <v>0</v>
      </c>
      <c r="J429" s="52">
        <f>VLOOKUP(Stock[[#This Row],[Product ID]],Product[#All],8,0)</f>
        <v>5</v>
      </c>
      <c r="K429" s="52" t="str">
        <f>IF(Stock[[#This Row],[Available Stock]]&lt;=Stock[[#This Row],[Reorder Level]],"Reorder","OK")</f>
        <v>Reorder</v>
      </c>
    </row>
    <row r="430" spans="1:11" ht="18.75" x14ac:dyDescent="0.25">
      <c r="A430" s="52" t="str">
        <f>Product[[#This Row],[Product ID]]</f>
        <v>P0428</v>
      </c>
      <c r="B430" s="52" t="str">
        <f>VLOOKUP(Stock[[#This Row],[Product ID]],Product[#All],2,0)</f>
        <v>HP Mouse</v>
      </c>
      <c r="C430" s="52" t="str">
        <f>VLOOKUP(Stock[[#This Row],[Product ID]],Product[#All],3,0)</f>
        <v>Mouse</v>
      </c>
      <c r="D430" s="52" t="str">
        <f>VLOOKUP(Stock[[#This Row],[Product ID]],Product[#All],4,0)</f>
        <v>HP</v>
      </c>
      <c r="E430" s="52">
        <f>SUMIF(Opning[[#All],[Product_ID]],Stock[[#This Row],[Product ID]],Opning[[#All],[Opening_Qty]])</f>
        <v>50</v>
      </c>
      <c r="F430" s="52">
        <f>SUMIF(Purchase[[#All],[Product ID]],Stock[[#This Row],[Product ID]],Purchase[[#All],[Net Qty]])</f>
        <v>30</v>
      </c>
      <c r="G430" s="52">
        <f>Stock[[#This Row],[Opening Stock]]+Stock[[#This Row],[Purchase Stock]]</f>
        <v>80</v>
      </c>
      <c r="H430" s="52">
        <f>SUMIF(Sales[[#All],[Product ID]],Stock[[#This Row],[Product ID]],Sales[[#All],[Net QTY]])</f>
        <v>42</v>
      </c>
      <c r="I430" s="52">
        <f>Stock[[#This Row],[Total Stock]]-Stock[[#This Row],[Selling Stock]]</f>
        <v>38</v>
      </c>
      <c r="J430" s="52">
        <f>VLOOKUP(Stock[[#This Row],[Product ID]],Product[#All],8,0)</f>
        <v>20</v>
      </c>
      <c r="K430" s="52" t="str">
        <f>IF(Stock[[#This Row],[Available Stock]]&lt;=Stock[[#This Row],[Reorder Level]],"Reorder","OK")</f>
        <v>OK</v>
      </c>
    </row>
    <row r="431" spans="1:11" ht="18.75" x14ac:dyDescent="0.25">
      <c r="A431" s="52" t="str">
        <f>Product[[#This Row],[Product ID]]</f>
        <v>P0429</v>
      </c>
      <c r="B431" s="52" t="str">
        <f>VLOOKUP(Stock[[#This Row],[Product ID]],Product[#All],2,0)</f>
        <v>Kingston Ram</v>
      </c>
      <c r="C431" s="52" t="str">
        <f>VLOOKUP(Stock[[#This Row],[Product ID]],Product[#All],3,0)</f>
        <v>RAM</v>
      </c>
      <c r="D431" s="52" t="str">
        <f>VLOOKUP(Stock[[#This Row],[Product ID]],Product[#All],4,0)</f>
        <v>Kingston</v>
      </c>
      <c r="E431" s="52">
        <f>SUMIF(Opning[[#All],[Product_ID]],Stock[[#This Row],[Product ID]],Opning[[#All],[Opening_Qty]])</f>
        <v>59</v>
      </c>
      <c r="F431" s="52">
        <f>SUMIF(Purchase[[#All],[Product ID]],Stock[[#This Row],[Product ID]],Purchase[[#All],[Net Qty]])</f>
        <v>106</v>
      </c>
      <c r="G431" s="52">
        <f>Stock[[#This Row],[Opening Stock]]+Stock[[#This Row],[Purchase Stock]]</f>
        <v>165</v>
      </c>
      <c r="H431" s="52">
        <f>SUMIF(Sales[[#All],[Product ID]],Stock[[#This Row],[Product ID]],Sales[[#All],[Net QTY]])</f>
        <v>87</v>
      </c>
      <c r="I431" s="52">
        <f>Stock[[#This Row],[Total Stock]]-Stock[[#This Row],[Selling Stock]]</f>
        <v>78</v>
      </c>
      <c r="J431" s="52">
        <f>VLOOKUP(Stock[[#This Row],[Product ID]],Product[#All],8,0)</f>
        <v>25</v>
      </c>
      <c r="K431" s="52" t="str">
        <f>IF(Stock[[#This Row],[Available Stock]]&lt;=Stock[[#This Row],[Reorder Level]],"Reorder","OK")</f>
        <v>OK</v>
      </c>
    </row>
    <row r="432" spans="1:11" ht="18.75" x14ac:dyDescent="0.25">
      <c r="A432" s="52" t="str">
        <f>Product[[#This Row],[Product ID]]</f>
        <v>P0430</v>
      </c>
      <c r="B432" s="52" t="str">
        <f>VLOOKUP(Stock[[#This Row],[Product ID]],Product[#All],2,0)</f>
        <v>Dell Desktop</v>
      </c>
      <c r="C432" s="52" t="str">
        <f>VLOOKUP(Stock[[#This Row],[Product ID]],Product[#All],3,0)</f>
        <v>DESKTOP</v>
      </c>
      <c r="D432" s="52" t="str">
        <f>VLOOKUP(Stock[[#This Row],[Product ID]],Product[#All],4,0)</f>
        <v>Dell</v>
      </c>
      <c r="E432" s="52">
        <f>SUMIF(Opning[[#All],[Product_ID]],Stock[[#This Row],[Product ID]],Opning[[#All],[Opening_Qty]])</f>
        <v>52</v>
      </c>
      <c r="F432" s="52">
        <f>SUMIF(Purchase[[#All],[Product ID]],Stock[[#This Row],[Product ID]],Purchase[[#All],[Net Qty]])</f>
        <v>98</v>
      </c>
      <c r="G432" s="52">
        <f>Stock[[#This Row],[Opening Stock]]+Stock[[#This Row],[Purchase Stock]]</f>
        <v>150</v>
      </c>
      <c r="H432" s="52">
        <f>SUMIF(Sales[[#All],[Product ID]],Stock[[#This Row],[Product ID]],Sales[[#All],[Net QTY]])</f>
        <v>62</v>
      </c>
      <c r="I432" s="52">
        <f>Stock[[#This Row],[Total Stock]]-Stock[[#This Row],[Selling Stock]]</f>
        <v>88</v>
      </c>
      <c r="J432" s="52">
        <f>VLOOKUP(Stock[[#This Row],[Product ID]],Product[#All],8,0)</f>
        <v>8</v>
      </c>
      <c r="K432" s="52" t="str">
        <f>IF(Stock[[#This Row],[Available Stock]]&lt;=Stock[[#This Row],[Reorder Level]],"Reorder","OK")</f>
        <v>OK</v>
      </c>
    </row>
    <row r="433" spans="1:11" ht="18.75" x14ac:dyDescent="0.25">
      <c r="A433" s="52" t="str">
        <f>Product[[#This Row],[Product ID]]</f>
        <v>P0431</v>
      </c>
      <c r="B433" s="52" t="str">
        <f>VLOOKUP(Stock[[#This Row],[Product ID]],Product[#All],2,0)</f>
        <v>Lenovo Laptop</v>
      </c>
      <c r="C433" s="52" t="str">
        <f>VLOOKUP(Stock[[#This Row],[Product ID]],Product[#All],3,0)</f>
        <v>Laptop</v>
      </c>
      <c r="D433" s="52" t="str">
        <f>VLOOKUP(Stock[[#This Row],[Product ID]],Product[#All],4,0)</f>
        <v>Lenovo</v>
      </c>
      <c r="E433" s="52">
        <f>SUMIF(Opning[[#All],[Product_ID]],Stock[[#This Row],[Product ID]],Opning[[#All],[Opening_Qty]])</f>
        <v>20</v>
      </c>
      <c r="F433" s="52">
        <f>SUMIF(Purchase[[#All],[Product ID]],Stock[[#This Row],[Product ID]],Purchase[[#All],[Net Qty]])</f>
        <v>69</v>
      </c>
      <c r="G433" s="52">
        <f>Stock[[#This Row],[Opening Stock]]+Stock[[#This Row],[Purchase Stock]]</f>
        <v>89</v>
      </c>
      <c r="H433" s="52">
        <f>SUMIF(Sales[[#All],[Product ID]],Stock[[#This Row],[Product ID]],Sales[[#All],[Net QTY]])</f>
        <v>53</v>
      </c>
      <c r="I433" s="52">
        <f>Stock[[#This Row],[Total Stock]]-Stock[[#This Row],[Selling Stock]]</f>
        <v>36</v>
      </c>
      <c r="J433" s="52">
        <f>VLOOKUP(Stock[[#This Row],[Product ID]],Product[#All],8,0)</f>
        <v>10</v>
      </c>
      <c r="K433" s="52" t="str">
        <f>IF(Stock[[#This Row],[Available Stock]]&lt;=Stock[[#This Row],[Reorder Level]],"Reorder","OK")</f>
        <v>OK</v>
      </c>
    </row>
    <row r="434" spans="1:11" ht="18.75" x14ac:dyDescent="0.25">
      <c r="A434" s="52" t="str">
        <f>Product[[#This Row],[Product ID]]</f>
        <v>P0432</v>
      </c>
      <c r="B434" s="52" t="str">
        <f>VLOOKUP(Stock[[#This Row],[Product ID]],Product[#All],2,0)</f>
        <v>Logitech Mouse</v>
      </c>
      <c r="C434" s="52" t="str">
        <f>VLOOKUP(Stock[[#This Row],[Product ID]],Product[#All],3,0)</f>
        <v>Mouse</v>
      </c>
      <c r="D434" s="52" t="str">
        <f>VLOOKUP(Stock[[#This Row],[Product ID]],Product[#All],4,0)</f>
        <v>Logitech</v>
      </c>
      <c r="E434" s="52">
        <f>SUMIF(Opning[[#All],[Product_ID]],Stock[[#This Row],[Product ID]],Opning[[#All],[Opening_Qty]])</f>
        <v>40</v>
      </c>
      <c r="F434" s="52">
        <f>SUMIF(Purchase[[#All],[Product ID]],Stock[[#This Row],[Product ID]],Purchase[[#All],[Net Qty]])</f>
        <v>95</v>
      </c>
      <c r="G434" s="52">
        <f>Stock[[#This Row],[Opening Stock]]+Stock[[#This Row],[Purchase Stock]]</f>
        <v>135</v>
      </c>
      <c r="H434" s="52">
        <f>SUMIF(Sales[[#All],[Product ID]],Stock[[#This Row],[Product ID]],Sales[[#All],[Net QTY]])</f>
        <v>71</v>
      </c>
      <c r="I434" s="52">
        <f>Stock[[#This Row],[Total Stock]]-Stock[[#This Row],[Selling Stock]]</f>
        <v>64</v>
      </c>
      <c r="J434" s="52">
        <f>VLOOKUP(Stock[[#This Row],[Product ID]],Product[#All],8,0)</f>
        <v>8</v>
      </c>
      <c r="K434" s="52" t="str">
        <f>IF(Stock[[#This Row],[Available Stock]]&lt;=Stock[[#This Row],[Reorder Level]],"Reorder","OK")</f>
        <v>OK</v>
      </c>
    </row>
    <row r="435" spans="1:11" ht="18.75" x14ac:dyDescent="0.25">
      <c r="A435" s="52" t="str">
        <f>Product[[#This Row],[Product ID]]</f>
        <v>P0433</v>
      </c>
      <c r="B435" s="52" t="str">
        <f>VLOOKUP(Stock[[#This Row],[Product ID]],Product[#All],2,0)</f>
        <v>TP-link Bluetooth Adapter</v>
      </c>
      <c r="C435" s="52" t="str">
        <f>VLOOKUP(Stock[[#This Row],[Product ID]],Product[#All],3,0)</f>
        <v>Bluetooth Adapter</v>
      </c>
      <c r="D435" s="52" t="str">
        <f>VLOOKUP(Stock[[#This Row],[Product ID]],Product[#All],4,0)</f>
        <v>TP-link</v>
      </c>
      <c r="E435" s="52">
        <f>SUMIF(Opning[[#All],[Product_ID]],Stock[[#This Row],[Product ID]],Opning[[#All],[Opening_Qty]])</f>
        <v>59</v>
      </c>
      <c r="F435" s="52">
        <f>SUMIF(Purchase[[#All],[Product ID]],Stock[[#This Row],[Product ID]],Purchase[[#All],[Net Qty]])</f>
        <v>72</v>
      </c>
      <c r="G435" s="52">
        <f>Stock[[#This Row],[Opening Stock]]+Stock[[#This Row],[Purchase Stock]]</f>
        <v>131</v>
      </c>
      <c r="H435" s="52">
        <f>SUMIF(Sales[[#All],[Product ID]],Stock[[#This Row],[Product ID]],Sales[[#All],[Net QTY]])</f>
        <v>44</v>
      </c>
      <c r="I435" s="52">
        <f>Stock[[#This Row],[Total Stock]]-Stock[[#This Row],[Selling Stock]]</f>
        <v>87</v>
      </c>
      <c r="J435" s="52">
        <f>VLOOKUP(Stock[[#This Row],[Product ID]],Product[#All],8,0)</f>
        <v>20</v>
      </c>
      <c r="K435" s="52" t="str">
        <f>IF(Stock[[#This Row],[Available Stock]]&lt;=Stock[[#This Row],[Reorder Level]],"Reorder","OK")</f>
        <v>OK</v>
      </c>
    </row>
    <row r="436" spans="1:11" ht="18.75" x14ac:dyDescent="0.25">
      <c r="A436" s="52" t="str">
        <f>Product[[#This Row],[Product ID]]</f>
        <v>P0434</v>
      </c>
      <c r="B436" s="52" t="str">
        <f>VLOOKUP(Stock[[#This Row],[Product ID]],Product[#All],2,0)</f>
        <v>Samsung Monitor</v>
      </c>
      <c r="C436" s="52" t="str">
        <f>VLOOKUP(Stock[[#This Row],[Product ID]],Product[#All],3,0)</f>
        <v>Monitor</v>
      </c>
      <c r="D436" s="52" t="str">
        <f>VLOOKUP(Stock[[#This Row],[Product ID]],Product[#All],4,0)</f>
        <v>Samsung</v>
      </c>
      <c r="E436" s="52">
        <f>SUMIF(Opning[[#All],[Product_ID]],Stock[[#This Row],[Product ID]],Opning[[#All],[Opening_Qty]])</f>
        <v>42</v>
      </c>
      <c r="F436" s="52">
        <f>SUMIF(Purchase[[#All],[Product ID]],Stock[[#This Row],[Product ID]],Purchase[[#All],[Net Qty]])</f>
        <v>60</v>
      </c>
      <c r="G436" s="52">
        <f>Stock[[#This Row],[Opening Stock]]+Stock[[#This Row],[Purchase Stock]]</f>
        <v>102</v>
      </c>
      <c r="H436" s="52">
        <f>SUMIF(Sales[[#All],[Product ID]],Stock[[#This Row],[Product ID]],Sales[[#All],[Net QTY]])</f>
        <v>53</v>
      </c>
      <c r="I436" s="52">
        <f>Stock[[#This Row],[Total Stock]]-Stock[[#This Row],[Selling Stock]]</f>
        <v>49</v>
      </c>
      <c r="J436" s="52">
        <f>VLOOKUP(Stock[[#This Row],[Product ID]],Product[#All],8,0)</f>
        <v>20</v>
      </c>
      <c r="K436" s="52" t="str">
        <f>IF(Stock[[#This Row],[Available Stock]]&lt;=Stock[[#This Row],[Reorder Level]],"Reorder","OK")</f>
        <v>OK</v>
      </c>
    </row>
    <row r="437" spans="1:11" ht="18.75" x14ac:dyDescent="0.25">
      <c r="A437" s="52" t="str">
        <f>Product[[#This Row],[Product ID]]</f>
        <v>P0435</v>
      </c>
      <c r="B437" s="52" t="str">
        <f>VLOOKUP(Stock[[#This Row],[Product ID]],Product[#All],2,0)</f>
        <v>Microtek UPS</v>
      </c>
      <c r="C437" s="52" t="str">
        <f>VLOOKUP(Stock[[#This Row],[Product ID]],Product[#All],3,0)</f>
        <v>UPS</v>
      </c>
      <c r="D437" s="52" t="str">
        <f>VLOOKUP(Stock[[#This Row],[Product ID]],Product[#All],4,0)</f>
        <v>Microtek</v>
      </c>
      <c r="E437" s="52">
        <f>SUMIF(Opning[[#All],[Product_ID]],Stock[[#This Row],[Product ID]],Opning[[#All],[Opening_Qty]])</f>
        <v>56</v>
      </c>
      <c r="F437" s="52">
        <f>SUMIF(Purchase[[#All],[Product ID]],Stock[[#This Row],[Product ID]],Purchase[[#All],[Net Qty]])</f>
        <v>199</v>
      </c>
      <c r="G437" s="52">
        <f>Stock[[#This Row],[Opening Stock]]+Stock[[#This Row],[Purchase Stock]]</f>
        <v>255</v>
      </c>
      <c r="H437" s="52">
        <f>SUMIF(Sales[[#All],[Product ID]],Stock[[#This Row],[Product ID]],Sales[[#All],[Net QTY]])</f>
        <v>66</v>
      </c>
      <c r="I437" s="52">
        <f>Stock[[#This Row],[Total Stock]]-Stock[[#This Row],[Selling Stock]]</f>
        <v>189</v>
      </c>
      <c r="J437" s="52">
        <f>VLOOKUP(Stock[[#This Row],[Product ID]],Product[#All],8,0)</f>
        <v>10</v>
      </c>
      <c r="K437" s="52" t="str">
        <f>IF(Stock[[#This Row],[Available Stock]]&lt;=Stock[[#This Row],[Reorder Level]],"Reorder","OK")</f>
        <v>OK</v>
      </c>
    </row>
    <row r="438" spans="1:11" ht="18.75" x14ac:dyDescent="0.25">
      <c r="A438" s="52" t="str">
        <f>Product[[#This Row],[Product ID]]</f>
        <v>P0436</v>
      </c>
      <c r="B438" s="52" t="str">
        <f>VLOOKUP(Stock[[#This Row],[Product ID]],Product[#All],2,0)</f>
        <v>Acer Laptop</v>
      </c>
      <c r="C438" s="52" t="str">
        <f>VLOOKUP(Stock[[#This Row],[Product ID]],Product[#All],3,0)</f>
        <v>Laptop</v>
      </c>
      <c r="D438" s="52" t="str">
        <f>VLOOKUP(Stock[[#This Row],[Product ID]],Product[#All],4,0)</f>
        <v>Acer</v>
      </c>
      <c r="E438" s="52">
        <f>SUMIF(Opning[[#All],[Product_ID]],Stock[[#This Row],[Product ID]],Opning[[#All],[Opening_Qty]])</f>
        <v>22</v>
      </c>
      <c r="F438" s="52">
        <f>SUMIF(Purchase[[#All],[Product ID]],Stock[[#This Row],[Product ID]],Purchase[[#All],[Net Qty]])</f>
        <v>23</v>
      </c>
      <c r="G438" s="52">
        <f>Stock[[#This Row],[Opening Stock]]+Stock[[#This Row],[Purchase Stock]]</f>
        <v>45</v>
      </c>
      <c r="H438" s="52">
        <f>SUMIF(Sales[[#All],[Product ID]],Stock[[#This Row],[Product ID]],Sales[[#All],[Net QTY]])</f>
        <v>45</v>
      </c>
      <c r="I438" s="52">
        <f>Stock[[#This Row],[Total Stock]]-Stock[[#This Row],[Selling Stock]]</f>
        <v>0</v>
      </c>
      <c r="J438" s="52">
        <f>VLOOKUP(Stock[[#This Row],[Product ID]],Product[#All],8,0)</f>
        <v>20</v>
      </c>
      <c r="K438" s="52" t="str">
        <f>IF(Stock[[#This Row],[Available Stock]]&lt;=Stock[[#This Row],[Reorder Level]],"Reorder","OK")</f>
        <v>Reorder</v>
      </c>
    </row>
    <row r="439" spans="1:11" ht="18.75" x14ac:dyDescent="0.25">
      <c r="A439" s="52" t="str">
        <f>Product[[#This Row],[Product ID]]</f>
        <v>P0437</v>
      </c>
      <c r="B439" s="52" t="str">
        <f>VLOOKUP(Stock[[#This Row],[Product ID]],Product[#All],2,0)</f>
        <v>Boat Speaker</v>
      </c>
      <c r="C439" s="52" t="str">
        <f>VLOOKUP(Stock[[#This Row],[Product ID]],Product[#All],3,0)</f>
        <v>Speaker</v>
      </c>
      <c r="D439" s="52" t="str">
        <f>VLOOKUP(Stock[[#This Row],[Product ID]],Product[#All],4,0)</f>
        <v>Boat</v>
      </c>
      <c r="E439" s="52">
        <f>SUMIF(Opning[[#All],[Product_ID]],Stock[[#This Row],[Product ID]],Opning[[#All],[Opening_Qty]])</f>
        <v>10</v>
      </c>
      <c r="F439" s="52">
        <f>SUMIF(Purchase[[#All],[Product ID]],Stock[[#This Row],[Product ID]],Purchase[[#All],[Net Qty]])</f>
        <v>101</v>
      </c>
      <c r="G439" s="52">
        <f>Stock[[#This Row],[Opening Stock]]+Stock[[#This Row],[Purchase Stock]]</f>
        <v>111</v>
      </c>
      <c r="H439" s="52">
        <f>SUMIF(Sales[[#All],[Product ID]],Stock[[#This Row],[Product ID]],Sales[[#All],[Net QTY]])</f>
        <v>65</v>
      </c>
      <c r="I439" s="52">
        <f>Stock[[#This Row],[Total Stock]]-Stock[[#This Row],[Selling Stock]]</f>
        <v>46</v>
      </c>
      <c r="J439" s="52">
        <f>VLOOKUP(Stock[[#This Row],[Product ID]],Product[#All],8,0)</f>
        <v>20</v>
      </c>
      <c r="K439" s="52" t="str">
        <f>IF(Stock[[#This Row],[Available Stock]]&lt;=Stock[[#This Row],[Reorder Level]],"Reorder","OK")</f>
        <v>OK</v>
      </c>
    </row>
    <row r="440" spans="1:11" ht="18.75" x14ac:dyDescent="0.25">
      <c r="A440" s="52" t="str">
        <f>Product[[#This Row],[Product ID]]</f>
        <v>P0438</v>
      </c>
      <c r="B440" s="52" t="str">
        <f>VLOOKUP(Stock[[#This Row],[Product ID]],Product[#All],2,0)</f>
        <v>Microtek UPS</v>
      </c>
      <c r="C440" s="52" t="str">
        <f>VLOOKUP(Stock[[#This Row],[Product ID]],Product[#All],3,0)</f>
        <v>UPS</v>
      </c>
      <c r="D440" s="52" t="str">
        <f>VLOOKUP(Stock[[#This Row],[Product ID]],Product[#All],4,0)</f>
        <v>Microtek</v>
      </c>
      <c r="E440" s="52">
        <f>SUMIF(Opning[[#All],[Product_ID]],Stock[[#This Row],[Product ID]],Opning[[#All],[Opening_Qty]])</f>
        <v>41</v>
      </c>
      <c r="F440" s="52">
        <f>SUMIF(Purchase[[#All],[Product ID]],Stock[[#This Row],[Product ID]],Purchase[[#All],[Net Qty]])</f>
        <v>118</v>
      </c>
      <c r="G440" s="52">
        <f>Stock[[#This Row],[Opening Stock]]+Stock[[#This Row],[Purchase Stock]]</f>
        <v>159</v>
      </c>
      <c r="H440" s="52">
        <f>SUMIF(Sales[[#All],[Product ID]],Stock[[#This Row],[Product ID]],Sales[[#All],[Net QTY]])</f>
        <v>67</v>
      </c>
      <c r="I440" s="52">
        <f>Stock[[#This Row],[Total Stock]]-Stock[[#This Row],[Selling Stock]]</f>
        <v>92</v>
      </c>
      <c r="J440" s="52">
        <f>VLOOKUP(Stock[[#This Row],[Product ID]],Product[#All],8,0)</f>
        <v>15</v>
      </c>
      <c r="K440" s="52" t="str">
        <f>IF(Stock[[#This Row],[Available Stock]]&lt;=Stock[[#This Row],[Reorder Level]],"Reorder","OK")</f>
        <v>OK</v>
      </c>
    </row>
    <row r="441" spans="1:11" ht="18.75" x14ac:dyDescent="0.25">
      <c r="A441" s="52" t="str">
        <f>Product[[#This Row],[Product ID]]</f>
        <v>P0439</v>
      </c>
      <c r="B441" s="52" t="str">
        <f>VLOOKUP(Stock[[#This Row],[Product ID]],Product[#All],2,0)</f>
        <v>Logitech Keyboard</v>
      </c>
      <c r="C441" s="52" t="str">
        <f>VLOOKUP(Stock[[#This Row],[Product ID]],Product[#All],3,0)</f>
        <v>Keyboard</v>
      </c>
      <c r="D441" s="52" t="str">
        <f>VLOOKUP(Stock[[#This Row],[Product ID]],Product[#All],4,0)</f>
        <v>Logitech</v>
      </c>
      <c r="E441" s="52">
        <f>SUMIF(Opning[[#All],[Product_ID]],Stock[[#This Row],[Product ID]],Opning[[#All],[Opening_Qty]])</f>
        <v>50</v>
      </c>
      <c r="F441" s="52">
        <f>SUMIF(Purchase[[#All],[Product ID]],Stock[[#This Row],[Product ID]],Purchase[[#All],[Net Qty]])</f>
        <v>38</v>
      </c>
      <c r="G441" s="52">
        <f>Stock[[#This Row],[Opening Stock]]+Stock[[#This Row],[Purchase Stock]]</f>
        <v>88</v>
      </c>
      <c r="H441" s="52">
        <f>SUMIF(Sales[[#All],[Product ID]],Stock[[#This Row],[Product ID]],Sales[[#All],[Net QTY]])</f>
        <v>42</v>
      </c>
      <c r="I441" s="52">
        <f>Stock[[#This Row],[Total Stock]]-Stock[[#This Row],[Selling Stock]]</f>
        <v>46</v>
      </c>
      <c r="J441" s="52">
        <f>VLOOKUP(Stock[[#This Row],[Product ID]],Product[#All],8,0)</f>
        <v>10</v>
      </c>
      <c r="K441" s="52" t="str">
        <f>IF(Stock[[#This Row],[Available Stock]]&lt;=Stock[[#This Row],[Reorder Level]],"Reorder","OK")</f>
        <v>OK</v>
      </c>
    </row>
    <row r="442" spans="1:11" ht="18.75" x14ac:dyDescent="0.25">
      <c r="A442" s="52" t="str">
        <f>Product[[#This Row],[Product ID]]</f>
        <v>P0440</v>
      </c>
      <c r="B442" s="52" t="str">
        <f>VLOOKUP(Stock[[#This Row],[Product ID]],Product[#All],2,0)</f>
        <v>Logitech Mouse</v>
      </c>
      <c r="C442" s="52" t="str">
        <f>VLOOKUP(Stock[[#This Row],[Product ID]],Product[#All],3,0)</f>
        <v>Mouse</v>
      </c>
      <c r="D442" s="52" t="str">
        <f>VLOOKUP(Stock[[#This Row],[Product ID]],Product[#All],4,0)</f>
        <v>Logitech</v>
      </c>
      <c r="E442" s="52">
        <f>SUMIF(Opning[[#All],[Product_ID]],Stock[[#This Row],[Product ID]],Opning[[#All],[Opening_Qty]])</f>
        <v>41</v>
      </c>
      <c r="F442" s="52">
        <f>SUMIF(Purchase[[#All],[Product ID]],Stock[[#This Row],[Product ID]],Purchase[[#All],[Net Qty]])</f>
        <v>97</v>
      </c>
      <c r="G442" s="52">
        <f>Stock[[#This Row],[Opening Stock]]+Stock[[#This Row],[Purchase Stock]]</f>
        <v>138</v>
      </c>
      <c r="H442" s="52">
        <f>SUMIF(Sales[[#All],[Product ID]],Stock[[#This Row],[Product ID]],Sales[[#All],[Net QTY]])</f>
        <v>47</v>
      </c>
      <c r="I442" s="52">
        <f>Stock[[#This Row],[Total Stock]]-Stock[[#This Row],[Selling Stock]]</f>
        <v>91</v>
      </c>
      <c r="J442" s="52">
        <f>VLOOKUP(Stock[[#This Row],[Product ID]],Product[#All],8,0)</f>
        <v>20</v>
      </c>
      <c r="K442" s="52" t="str">
        <f>IF(Stock[[#This Row],[Available Stock]]&lt;=Stock[[#This Row],[Reorder Level]],"Reorder","OK")</f>
        <v>OK</v>
      </c>
    </row>
    <row r="443" spans="1:11" ht="18.75" x14ac:dyDescent="0.25">
      <c r="A443" s="52" t="str">
        <f>Product[[#This Row],[Product ID]]</f>
        <v>P0441</v>
      </c>
      <c r="B443" s="52" t="str">
        <f>VLOOKUP(Stock[[#This Row],[Product ID]],Product[#All],2,0)</f>
        <v>Dell Laptop</v>
      </c>
      <c r="C443" s="52" t="str">
        <f>VLOOKUP(Stock[[#This Row],[Product ID]],Product[#All],3,0)</f>
        <v>Laptop</v>
      </c>
      <c r="D443" s="52" t="str">
        <f>VLOOKUP(Stock[[#This Row],[Product ID]],Product[#All],4,0)</f>
        <v>Dell</v>
      </c>
      <c r="E443" s="52">
        <f>SUMIF(Opning[[#All],[Product_ID]],Stock[[#This Row],[Product ID]],Opning[[#All],[Opening_Qty]])</f>
        <v>38</v>
      </c>
      <c r="F443" s="52">
        <f>SUMIF(Purchase[[#All],[Product ID]],Stock[[#This Row],[Product ID]],Purchase[[#All],[Net Qty]])</f>
        <v>200</v>
      </c>
      <c r="G443" s="52">
        <f>Stock[[#This Row],[Opening Stock]]+Stock[[#This Row],[Purchase Stock]]</f>
        <v>238</v>
      </c>
      <c r="H443" s="52">
        <f>SUMIF(Sales[[#All],[Product ID]],Stock[[#This Row],[Product ID]],Sales[[#All],[Net QTY]])</f>
        <v>51</v>
      </c>
      <c r="I443" s="52">
        <f>Stock[[#This Row],[Total Stock]]-Stock[[#This Row],[Selling Stock]]</f>
        <v>187</v>
      </c>
      <c r="J443" s="52">
        <f>VLOOKUP(Stock[[#This Row],[Product ID]],Product[#All],8,0)</f>
        <v>20</v>
      </c>
      <c r="K443" s="52" t="str">
        <f>IF(Stock[[#This Row],[Available Stock]]&lt;=Stock[[#This Row],[Reorder Level]],"Reorder","OK")</f>
        <v>OK</v>
      </c>
    </row>
    <row r="444" spans="1:11" ht="18.75" x14ac:dyDescent="0.25">
      <c r="A444" s="52" t="str">
        <f>Product[[#This Row],[Product ID]]</f>
        <v>P0442</v>
      </c>
      <c r="B444" s="52" t="str">
        <f>VLOOKUP(Stock[[#This Row],[Product ID]],Product[#All],2,0)</f>
        <v>Boat Speaker</v>
      </c>
      <c r="C444" s="52" t="str">
        <f>VLOOKUP(Stock[[#This Row],[Product ID]],Product[#All],3,0)</f>
        <v>Speaker</v>
      </c>
      <c r="D444" s="52" t="str">
        <f>VLOOKUP(Stock[[#This Row],[Product ID]],Product[#All],4,0)</f>
        <v>Boat</v>
      </c>
      <c r="E444" s="52">
        <f>SUMIF(Opning[[#All],[Product_ID]],Stock[[#This Row],[Product ID]],Opning[[#All],[Opening_Qty]])</f>
        <v>49</v>
      </c>
      <c r="F444" s="52">
        <f>SUMIF(Purchase[[#All],[Product ID]],Stock[[#This Row],[Product ID]],Purchase[[#All],[Net Qty]])</f>
        <v>35</v>
      </c>
      <c r="G444" s="52">
        <f>Stock[[#This Row],[Opening Stock]]+Stock[[#This Row],[Purchase Stock]]</f>
        <v>84</v>
      </c>
      <c r="H444" s="52">
        <f>SUMIF(Sales[[#All],[Product ID]],Stock[[#This Row],[Product ID]],Sales[[#All],[Net QTY]])</f>
        <v>17</v>
      </c>
      <c r="I444" s="52">
        <f>Stock[[#This Row],[Total Stock]]-Stock[[#This Row],[Selling Stock]]</f>
        <v>67</v>
      </c>
      <c r="J444" s="52">
        <f>VLOOKUP(Stock[[#This Row],[Product ID]],Product[#All],8,0)</f>
        <v>25</v>
      </c>
      <c r="K444" s="52" t="str">
        <f>IF(Stock[[#This Row],[Available Stock]]&lt;=Stock[[#This Row],[Reorder Level]],"Reorder","OK")</f>
        <v>OK</v>
      </c>
    </row>
    <row r="445" spans="1:11" ht="18.75" x14ac:dyDescent="0.25">
      <c r="A445" s="52" t="str">
        <f>Product[[#This Row],[Product ID]]</f>
        <v>P0443</v>
      </c>
      <c r="B445" s="52" t="str">
        <f>VLOOKUP(Stock[[#This Row],[Product ID]],Product[#All],2,0)</f>
        <v>Boat Headset</v>
      </c>
      <c r="C445" s="52" t="str">
        <f>VLOOKUP(Stock[[#This Row],[Product ID]],Product[#All],3,0)</f>
        <v>Headset</v>
      </c>
      <c r="D445" s="52" t="str">
        <f>VLOOKUP(Stock[[#This Row],[Product ID]],Product[#All],4,0)</f>
        <v>Boat</v>
      </c>
      <c r="E445" s="52">
        <f>SUMIF(Opning[[#All],[Product_ID]],Stock[[#This Row],[Product ID]],Opning[[#All],[Opening_Qty]])</f>
        <v>33</v>
      </c>
      <c r="F445" s="52">
        <f>SUMIF(Purchase[[#All],[Product ID]],Stock[[#This Row],[Product ID]],Purchase[[#All],[Net Qty]])</f>
        <v>27</v>
      </c>
      <c r="G445" s="52">
        <f>Stock[[#This Row],[Opening Stock]]+Stock[[#This Row],[Purchase Stock]]</f>
        <v>60</v>
      </c>
      <c r="H445" s="52">
        <f>SUMIF(Sales[[#All],[Product ID]],Stock[[#This Row],[Product ID]],Sales[[#All],[Net QTY]])</f>
        <v>23</v>
      </c>
      <c r="I445" s="52">
        <f>Stock[[#This Row],[Total Stock]]-Stock[[#This Row],[Selling Stock]]</f>
        <v>37</v>
      </c>
      <c r="J445" s="52">
        <f>VLOOKUP(Stock[[#This Row],[Product ID]],Product[#All],8,0)</f>
        <v>20</v>
      </c>
      <c r="K445" s="52" t="str">
        <f>IF(Stock[[#This Row],[Available Stock]]&lt;=Stock[[#This Row],[Reorder Level]],"Reorder","OK")</f>
        <v>OK</v>
      </c>
    </row>
    <row r="446" spans="1:11" ht="18.75" x14ac:dyDescent="0.25">
      <c r="A446" s="52" t="str">
        <f>Product[[#This Row],[Product ID]]</f>
        <v>P0444</v>
      </c>
      <c r="B446" s="52" t="str">
        <f>VLOOKUP(Stock[[#This Row],[Product ID]],Product[#All],2,0)</f>
        <v>Kingston Ram</v>
      </c>
      <c r="C446" s="52" t="str">
        <f>VLOOKUP(Stock[[#This Row],[Product ID]],Product[#All],3,0)</f>
        <v>RAM</v>
      </c>
      <c r="D446" s="52" t="str">
        <f>VLOOKUP(Stock[[#This Row],[Product ID]],Product[#All],4,0)</f>
        <v>Kingston</v>
      </c>
      <c r="E446" s="52">
        <f>SUMIF(Opning[[#All],[Product_ID]],Stock[[#This Row],[Product ID]],Opning[[#All],[Opening_Qty]])</f>
        <v>19</v>
      </c>
      <c r="F446" s="52">
        <f>SUMIF(Purchase[[#All],[Product ID]],Stock[[#This Row],[Product ID]],Purchase[[#All],[Net Qty]])</f>
        <v>0</v>
      </c>
      <c r="G446" s="52">
        <f>Stock[[#This Row],[Opening Stock]]+Stock[[#This Row],[Purchase Stock]]</f>
        <v>19</v>
      </c>
      <c r="H446" s="52">
        <f>SUMIF(Sales[[#All],[Product ID]],Stock[[#This Row],[Product ID]],Sales[[#All],[Net QTY]])</f>
        <v>19</v>
      </c>
      <c r="I446" s="52">
        <f>Stock[[#This Row],[Total Stock]]-Stock[[#This Row],[Selling Stock]]</f>
        <v>0</v>
      </c>
      <c r="J446" s="52">
        <f>VLOOKUP(Stock[[#This Row],[Product ID]],Product[#All],8,0)</f>
        <v>20</v>
      </c>
      <c r="K446" s="52" t="str">
        <f>IF(Stock[[#This Row],[Available Stock]]&lt;=Stock[[#This Row],[Reorder Level]],"Reorder","OK")</f>
        <v>Reorder</v>
      </c>
    </row>
    <row r="447" spans="1:11" ht="18.75" x14ac:dyDescent="0.25">
      <c r="A447" s="52" t="str">
        <f>Product[[#This Row],[Product ID]]</f>
        <v>P0445</v>
      </c>
      <c r="B447" s="52" t="str">
        <f>VLOOKUP(Stock[[#This Row],[Product ID]],Product[#All],2,0)</f>
        <v>HP Laptop</v>
      </c>
      <c r="C447" s="52" t="str">
        <f>VLOOKUP(Stock[[#This Row],[Product ID]],Product[#All],3,0)</f>
        <v>Laptop</v>
      </c>
      <c r="D447" s="52" t="str">
        <f>VLOOKUP(Stock[[#This Row],[Product ID]],Product[#All],4,0)</f>
        <v>HP</v>
      </c>
      <c r="E447" s="52">
        <f>SUMIF(Opning[[#All],[Product_ID]],Stock[[#This Row],[Product ID]],Opning[[#All],[Opening_Qty]])</f>
        <v>6</v>
      </c>
      <c r="F447" s="52">
        <f>SUMIF(Purchase[[#All],[Product ID]],Stock[[#This Row],[Product ID]],Purchase[[#All],[Net Qty]])</f>
        <v>60</v>
      </c>
      <c r="G447" s="52">
        <f>Stock[[#This Row],[Opening Stock]]+Stock[[#This Row],[Purchase Stock]]</f>
        <v>66</v>
      </c>
      <c r="H447" s="52">
        <f>SUMIF(Sales[[#All],[Product ID]],Stock[[#This Row],[Product ID]],Sales[[#All],[Net QTY]])</f>
        <v>42</v>
      </c>
      <c r="I447" s="52">
        <f>Stock[[#This Row],[Total Stock]]-Stock[[#This Row],[Selling Stock]]</f>
        <v>24</v>
      </c>
      <c r="J447" s="52">
        <f>VLOOKUP(Stock[[#This Row],[Product ID]],Product[#All],8,0)</f>
        <v>25</v>
      </c>
      <c r="K447" s="52" t="str">
        <f>IF(Stock[[#This Row],[Available Stock]]&lt;=Stock[[#This Row],[Reorder Level]],"Reorder","OK")</f>
        <v>Reorder</v>
      </c>
    </row>
    <row r="448" spans="1:11" ht="18.75" x14ac:dyDescent="0.25">
      <c r="A448" s="52" t="str">
        <f>Product[[#This Row],[Product ID]]</f>
        <v>P0446</v>
      </c>
      <c r="B448" s="52" t="str">
        <f>VLOOKUP(Stock[[#This Row],[Product ID]],Product[#All],2,0)</f>
        <v>HP Power Adapter</v>
      </c>
      <c r="C448" s="52" t="str">
        <f>VLOOKUP(Stock[[#This Row],[Product ID]],Product[#All],3,0)</f>
        <v>Power Adapter</v>
      </c>
      <c r="D448" s="52" t="str">
        <f>VLOOKUP(Stock[[#This Row],[Product ID]],Product[#All],4,0)</f>
        <v>HP</v>
      </c>
      <c r="E448" s="52">
        <f>SUMIF(Opning[[#All],[Product_ID]],Stock[[#This Row],[Product ID]],Opning[[#All],[Opening_Qty]])</f>
        <v>59</v>
      </c>
      <c r="F448" s="52">
        <f>SUMIF(Purchase[[#All],[Product ID]],Stock[[#This Row],[Product ID]],Purchase[[#All],[Net Qty]])</f>
        <v>10</v>
      </c>
      <c r="G448" s="52">
        <f>Stock[[#This Row],[Opening Stock]]+Stock[[#This Row],[Purchase Stock]]</f>
        <v>69</v>
      </c>
      <c r="H448" s="52">
        <f>SUMIF(Sales[[#All],[Product ID]],Stock[[#This Row],[Product ID]],Sales[[#All],[Net QTY]])</f>
        <v>50</v>
      </c>
      <c r="I448" s="52">
        <f>Stock[[#This Row],[Total Stock]]-Stock[[#This Row],[Selling Stock]]</f>
        <v>19</v>
      </c>
      <c r="J448" s="52">
        <f>VLOOKUP(Stock[[#This Row],[Product ID]],Product[#All],8,0)</f>
        <v>10</v>
      </c>
      <c r="K448" s="52" t="str">
        <f>IF(Stock[[#This Row],[Available Stock]]&lt;=Stock[[#This Row],[Reorder Level]],"Reorder","OK")</f>
        <v>OK</v>
      </c>
    </row>
    <row r="449" spans="1:11" ht="18.75" x14ac:dyDescent="0.25">
      <c r="A449" s="52" t="str">
        <f>Product[[#This Row],[Product ID]]</f>
        <v>P0447</v>
      </c>
      <c r="B449" s="52" t="str">
        <f>VLOOKUP(Stock[[#This Row],[Product ID]],Product[#All],2,0)</f>
        <v>Samsung Ssd</v>
      </c>
      <c r="C449" s="52" t="str">
        <f>VLOOKUP(Stock[[#This Row],[Product ID]],Product[#All],3,0)</f>
        <v>SSD</v>
      </c>
      <c r="D449" s="52" t="str">
        <f>VLOOKUP(Stock[[#This Row],[Product ID]],Product[#All],4,0)</f>
        <v>Samsung</v>
      </c>
      <c r="E449" s="52">
        <f>SUMIF(Opning[[#All],[Product_ID]],Stock[[#This Row],[Product ID]],Opning[[#All],[Opening_Qty]])</f>
        <v>33</v>
      </c>
      <c r="F449" s="52">
        <f>SUMIF(Purchase[[#All],[Product ID]],Stock[[#This Row],[Product ID]],Purchase[[#All],[Net Qty]])</f>
        <v>126</v>
      </c>
      <c r="G449" s="52">
        <f>Stock[[#This Row],[Opening Stock]]+Stock[[#This Row],[Purchase Stock]]</f>
        <v>159</v>
      </c>
      <c r="H449" s="52">
        <f>SUMIF(Sales[[#All],[Product ID]],Stock[[#This Row],[Product ID]],Sales[[#All],[Net QTY]])</f>
        <v>52</v>
      </c>
      <c r="I449" s="52">
        <f>Stock[[#This Row],[Total Stock]]-Stock[[#This Row],[Selling Stock]]</f>
        <v>107</v>
      </c>
      <c r="J449" s="52">
        <f>VLOOKUP(Stock[[#This Row],[Product ID]],Product[#All],8,0)</f>
        <v>25</v>
      </c>
      <c r="K449" s="52" t="str">
        <f>IF(Stock[[#This Row],[Available Stock]]&lt;=Stock[[#This Row],[Reorder Level]],"Reorder","OK")</f>
        <v>OK</v>
      </c>
    </row>
    <row r="450" spans="1:11" ht="18.75" x14ac:dyDescent="0.25">
      <c r="A450" s="52" t="str">
        <f>Product[[#This Row],[Product ID]]</f>
        <v>P0448</v>
      </c>
      <c r="B450" s="52" t="str">
        <f>VLOOKUP(Stock[[#This Row],[Product ID]],Product[#All],2,0)</f>
        <v>HP Printer</v>
      </c>
      <c r="C450" s="52" t="str">
        <f>VLOOKUP(Stock[[#This Row],[Product ID]],Product[#All],3,0)</f>
        <v>Printer</v>
      </c>
      <c r="D450" s="52" t="str">
        <f>VLOOKUP(Stock[[#This Row],[Product ID]],Product[#All],4,0)</f>
        <v>HP</v>
      </c>
      <c r="E450" s="52">
        <f>SUMIF(Opning[[#All],[Product_ID]],Stock[[#This Row],[Product ID]],Opning[[#All],[Opening_Qty]])</f>
        <v>48</v>
      </c>
      <c r="F450" s="52">
        <f>SUMIF(Purchase[[#All],[Product ID]],Stock[[#This Row],[Product ID]],Purchase[[#All],[Net Qty]])</f>
        <v>125</v>
      </c>
      <c r="G450" s="52">
        <f>Stock[[#This Row],[Opening Stock]]+Stock[[#This Row],[Purchase Stock]]</f>
        <v>173</v>
      </c>
      <c r="H450" s="52">
        <f>SUMIF(Sales[[#All],[Product ID]],Stock[[#This Row],[Product ID]],Sales[[#All],[Net QTY]])</f>
        <v>44</v>
      </c>
      <c r="I450" s="52">
        <f>Stock[[#This Row],[Total Stock]]-Stock[[#This Row],[Selling Stock]]</f>
        <v>129</v>
      </c>
      <c r="J450" s="52">
        <f>VLOOKUP(Stock[[#This Row],[Product ID]],Product[#All],8,0)</f>
        <v>20</v>
      </c>
      <c r="K450" s="52" t="str">
        <f>IF(Stock[[#This Row],[Available Stock]]&lt;=Stock[[#This Row],[Reorder Level]],"Reorder","OK")</f>
        <v>OK</v>
      </c>
    </row>
    <row r="451" spans="1:11" ht="18.75" x14ac:dyDescent="0.25">
      <c r="A451" s="52" t="str">
        <f>Product[[#This Row],[Product ID]]</f>
        <v>P0449</v>
      </c>
      <c r="B451" s="52" t="str">
        <f>VLOOKUP(Stock[[#This Row],[Product ID]],Product[#All],2,0)</f>
        <v>Corsair Ram</v>
      </c>
      <c r="C451" s="52" t="str">
        <f>VLOOKUP(Stock[[#This Row],[Product ID]],Product[#All],3,0)</f>
        <v>RAM</v>
      </c>
      <c r="D451" s="52" t="str">
        <f>VLOOKUP(Stock[[#This Row],[Product ID]],Product[#All],4,0)</f>
        <v>Corsair</v>
      </c>
      <c r="E451" s="52">
        <f>SUMIF(Opning[[#All],[Product_ID]],Stock[[#This Row],[Product ID]],Opning[[#All],[Opening_Qty]])</f>
        <v>17</v>
      </c>
      <c r="F451" s="52">
        <f>SUMIF(Purchase[[#All],[Product ID]],Stock[[#This Row],[Product ID]],Purchase[[#All],[Net Qty]])</f>
        <v>112</v>
      </c>
      <c r="G451" s="52">
        <f>Stock[[#This Row],[Opening Stock]]+Stock[[#This Row],[Purchase Stock]]</f>
        <v>129</v>
      </c>
      <c r="H451" s="52">
        <f>SUMIF(Sales[[#All],[Product ID]],Stock[[#This Row],[Product ID]],Sales[[#All],[Net QTY]])</f>
        <v>40</v>
      </c>
      <c r="I451" s="52">
        <f>Stock[[#This Row],[Total Stock]]-Stock[[#This Row],[Selling Stock]]</f>
        <v>89</v>
      </c>
      <c r="J451" s="52">
        <f>VLOOKUP(Stock[[#This Row],[Product ID]],Product[#All],8,0)</f>
        <v>25</v>
      </c>
      <c r="K451" s="52" t="str">
        <f>IF(Stock[[#This Row],[Available Stock]]&lt;=Stock[[#This Row],[Reorder Level]],"Reorder","OK")</f>
        <v>OK</v>
      </c>
    </row>
    <row r="452" spans="1:11" ht="18.75" x14ac:dyDescent="0.25">
      <c r="A452" s="52" t="str">
        <f>Product[[#This Row],[Product ID]]</f>
        <v>P0450</v>
      </c>
      <c r="B452" s="52" t="str">
        <f>VLOOKUP(Stock[[#This Row],[Product ID]],Product[#All],2,0)</f>
        <v>Logitech Keyboard</v>
      </c>
      <c r="C452" s="52" t="str">
        <f>VLOOKUP(Stock[[#This Row],[Product ID]],Product[#All],3,0)</f>
        <v>Keyboard</v>
      </c>
      <c r="D452" s="52" t="str">
        <f>VLOOKUP(Stock[[#This Row],[Product ID]],Product[#All],4,0)</f>
        <v>Logitech</v>
      </c>
      <c r="E452" s="52">
        <f>SUMIF(Opning[[#All],[Product_ID]],Stock[[#This Row],[Product ID]],Opning[[#All],[Opening_Qty]])</f>
        <v>25</v>
      </c>
      <c r="F452" s="52">
        <f>SUMIF(Purchase[[#All],[Product ID]],Stock[[#This Row],[Product ID]],Purchase[[#All],[Net Qty]])</f>
        <v>128</v>
      </c>
      <c r="G452" s="52">
        <f>Stock[[#This Row],[Opening Stock]]+Stock[[#This Row],[Purchase Stock]]</f>
        <v>153</v>
      </c>
      <c r="H452" s="52">
        <f>SUMIF(Sales[[#All],[Product ID]],Stock[[#This Row],[Product ID]],Sales[[#All],[Net QTY]])</f>
        <v>49</v>
      </c>
      <c r="I452" s="52">
        <f>Stock[[#This Row],[Total Stock]]-Stock[[#This Row],[Selling Stock]]</f>
        <v>104</v>
      </c>
      <c r="J452" s="52">
        <f>VLOOKUP(Stock[[#This Row],[Product ID]],Product[#All],8,0)</f>
        <v>20</v>
      </c>
      <c r="K452" s="52" t="str">
        <f>IF(Stock[[#This Row],[Available Stock]]&lt;=Stock[[#This Row],[Reorder Level]],"Reorder","OK")</f>
        <v>OK</v>
      </c>
    </row>
    <row r="453" spans="1:11" ht="18.75" x14ac:dyDescent="0.25">
      <c r="A453" s="52" t="str">
        <f>Product[[#This Row],[Product ID]]</f>
        <v>P0451</v>
      </c>
      <c r="B453" s="52" t="str">
        <f>VLOOKUP(Stock[[#This Row],[Product ID]],Product[#All],2,0)</f>
        <v>Dell Monitor</v>
      </c>
      <c r="C453" s="52" t="str">
        <f>VLOOKUP(Stock[[#This Row],[Product ID]],Product[#All],3,0)</f>
        <v>Monitor</v>
      </c>
      <c r="D453" s="52" t="str">
        <f>VLOOKUP(Stock[[#This Row],[Product ID]],Product[#All],4,0)</f>
        <v>Dell</v>
      </c>
      <c r="E453" s="52">
        <f>SUMIF(Opning[[#All],[Product_ID]],Stock[[#This Row],[Product ID]],Opning[[#All],[Opening_Qty]])</f>
        <v>15</v>
      </c>
      <c r="F453" s="52">
        <f>SUMIF(Purchase[[#All],[Product ID]],Stock[[#This Row],[Product ID]],Purchase[[#All],[Net Qty]])</f>
        <v>127</v>
      </c>
      <c r="G453" s="52">
        <f>Stock[[#This Row],[Opening Stock]]+Stock[[#This Row],[Purchase Stock]]</f>
        <v>142</v>
      </c>
      <c r="H453" s="52">
        <f>SUMIF(Sales[[#All],[Product ID]],Stock[[#This Row],[Product ID]],Sales[[#All],[Net QTY]])</f>
        <v>63</v>
      </c>
      <c r="I453" s="52">
        <f>Stock[[#This Row],[Total Stock]]-Stock[[#This Row],[Selling Stock]]</f>
        <v>79</v>
      </c>
      <c r="J453" s="52">
        <f>VLOOKUP(Stock[[#This Row],[Product ID]],Product[#All],8,0)</f>
        <v>20</v>
      </c>
      <c r="K453" s="52" t="str">
        <f>IF(Stock[[#This Row],[Available Stock]]&lt;=Stock[[#This Row],[Reorder Level]],"Reorder","OK")</f>
        <v>OK</v>
      </c>
    </row>
    <row r="454" spans="1:11" ht="18.75" x14ac:dyDescent="0.25">
      <c r="A454" s="52" t="str">
        <f>Product[[#This Row],[Product ID]]</f>
        <v>P0452</v>
      </c>
      <c r="B454" s="52" t="str">
        <f>VLOOKUP(Stock[[#This Row],[Product ID]],Product[#All],2,0)</f>
        <v>Epson Printer</v>
      </c>
      <c r="C454" s="52" t="str">
        <f>VLOOKUP(Stock[[#This Row],[Product ID]],Product[#All],3,0)</f>
        <v>Printer</v>
      </c>
      <c r="D454" s="52" t="str">
        <f>VLOOKUP(Stock[[#This Row],[Product ID]],Product[#All],4,0)</f>
        <v>Epson</v>
      </c>
      <c r="E454" s="52">
        <f>SUMIF(Opning[[#All],[Product_ID]],Stock[[#This Row],[Product ID]],Opning[[#All],[Opening_Qty]])</f>
        <v>25</v>
      </c>
      <c r="F454" s="52">
        <f>SUMIF(Purchase[[#All],[Product ID]],Stock[[#This Row],[Product ID]],Purchase[[#All],[Net Qty]])</f>
        <v>121</v>
      </c>
      <c r="G454" s="52">
        <f>Stock[[#This Row],[Opening Stock]]+Stock[[#This Row],[Purchase Stock]]</f>
        <v>146</v>
      </c>
      <c r="H454" s="52">
        <f>SUMIF(Sales[[#All],[Product ID]],Stock[[#This Row],[Product ID]],Sales[[#All],[Net QTY]])</f>
        <v>31</v>
      </c>
      <c r="I454" s="52">
        <f>Stock[[#This Row],[Total Stock]]-Stock[[#This Row],[Selling Stock]]</f>
        <v>115</v>
      </c>
      <c r="J454" s="52">
        <f>VLOOKUP(Stock[[#This Row],[Product ID]],Product[#All],8,0)</f>
        <v>5</v>
      </c>
      <c r="K454" s="52" t="str">
        <f>IF(Stock[[#This Row],[Available Stock]]&lt;=Stock[[#This Row],[Reorder Level]],"Reorder","OK")</f>
        <v>OK</v>
      </c>
    </row>
    <row r="455" spans="1:11" ht="18.75" x14ac:dyDescent="0.25">
      <c r="A455" s="52" t="str">
        <f>Product[[#This Row],[Product ID]]</f>
        <v>P0453</v>
      </c>
      <c r="B455" s="52" t="str">
        <f>VLOOKUP(Stock[[#This Row],[Product ID]],Product[#All],2,0)</f>
        <v>American TouristerLaptopBag</v>
      </c>
      <c r="C455" s="52" t="str">
        <f>VLOOKUP(Stock[[#This Row],[Product ID]],Product[#All],3,0)</f>
        <v>Laptop Bag</v>
      </c>
      <c r="D455" s="52" t="str">
        <f>VLOOKUP(Stock[[#This Row],[Product ID]],Product[#All],4,0)</f>
        <v>American Tourister</v>
      </c>
      <c r="E455" s="52">
        <f>SUMIF(Opning[[#All],[Product_ID]],Stock[[#This Row],[Product ID]],Opning[[#All],[Opening_Qty]])</f>
        <v>48</v>
      </c>
      <c r="F455" s="52">
        <f>SUMIF(Purchase[[#All],[Product ID]],Stock[[#This Row],[Product ID]],Purchase[[#All],[Net Qty]])</f>
        <v>160</v>
      </c>
      <c r="G455" s="52">
        <f>Stock[[#This Row],[Opening Stock]]+Stock[[#This Row],[Purchase Stock]]</f>
        <v>208</v>
      </c>
      <c r="H455" s="52">
        <f>SUMIF(Sales[[#All],[Product ID]],Stock[[#This Row],[Product ID]],Sales[[#All],[Net QTY]])</f>
        <v>48</v>
      </c>
      <c r="I455" s="52">
        <f>Stock[[#This Row],[Total Stock]]-Stock[[#This Row],[Selling Stock]]</f>
        <v>160</v>
      </c>
      <c r="J455" s="52">
        <f>VLOOKUP(Stock[[#This Row],[Product ID]],Product[#All],8,0)</f>
        <v>15</v>
      </c>
      <c r="K455" s="52" t="str">
        <f>IF(Stock[[#This Row],[Available Stock]]&lt;=Stock[[#This Row],[Reorder Level]],"Reorder","OK")</f>
        <v>OK</v>
      </c>
    </row>
    <row r="456" spans="1:11" ht="18.75" x14ac:dyDescent="0.25">
      <c r="A456" s="52" t="str">
        <f>Product[[#This Row],[Product ID]]</f>
        <v>P0454</v>
      </c>
      <c r="B456" s="52" t="str">
        <f>VLOOKUP(Stock[[#This Row],[Product ID]],Product[#All],2,0)</f>
        <v>American TouristerLaptopBag</v>
      </c>
      <c r="C456" s="52" t="str">
        <f>VLOOKUP(Stock[[#This Row],[Product ID]],Product[#All],3,0)</f>
        <v>Laptop Bag</v>
      </c>
      <c r="D456" s="52" t="str">
        <f>VLOOKUP(Stock[[#This Row],[Product ID]],Product[#All],4,0)</f>
        <v>American Tourister</v>
      </c>
      <c r="E456" s="52">
        <f>SUMIF(Opning[[#All],[Product_ID]],Stock[[#This Row],[Product ID]],Opning[[#All],[Opening_Qty]])</f>
        <v>20</v>
      </c>
      <c r="F456" s="52">
        <f>SUMIF(Purchase[[#All],[Product ID]],Stock[[#This Row],[Product ID]],Purchase[[#All],[Net Qty]])</f>
        <v>19</v>
      </c>
      <c r="G456" s="52">
        <f>Stock[[#This Row],[Opening Stock]]+Stock[[#This Row],[Purchase Stock]]</f>
        <v>39</v>
      </c>
      <c r="H456" s="52">
        <f>SUMIF(Sales[[#All],[Product ID]],Stock[[#This Row],[Product ID]],Sales[[#All],[Net QTY]])</f>
        <v>39</v>
      </c>
      <c r="I456" s="52">
        <f>Stock[[#This Row],[Total Stock]]-Stock[[#This Row],[Selling Stock]]</f>
        <v>0</v>
      </c>
      <c r="J456" s="52">
        <f>VLOOKUP(Stock[[#This Row],[Product ID]],Product[#All],8,0)</f>
        <v>25</v>
      </c>
      <c r="K456" s="52" t="str">
        <f>IF(Stock[[#This Row],[Available Stock]]&lt;=Stock[[#This Row],[Reorder Level]],"Reorder","OK")</f>
        <v>Reorder</v>
      </c>
    </row>
    <row r="457" spans="1:11" ht="18.75" x14ac:dyDescent="0.25">
      <c r="A457" s="52" t="str">
        <f>Product[[#This Row],[Product ID]]</f>
        <v>P0455</v>
      </c>
      <c r="B457" s="52" t="str">
        <f>VLOOKUP(Stock[[#This Row],[Product ID]],Product[#All],2,0)</f>
        <v>D-Link Router</v>
      </c>
      <c r="C457" s="52" t="str">
        <f>VLOOKUP(Stock[[#This Row],[Product ID]],Product[#All],3,0)</f>
        <v>Rauter</v>
      </c>
      <c r="D457" s="52" t="str">
        <f>VLOOKUP(Stock[[#This Row],[Product ID]],Product[#All],4,0)</f>
        <v>D-Link</v>
      </c>
      <c r="E457" s="52">
        <f>SUMIF(Opning[[#All],[Product_ID]],Stock[[#This Row],[Product ID]],Opning[[#All],[Opening_Qty]])</f>
        <v>12</v>
      </c>
      <c r="F457" s="52">
        <f>SUMIF(Purchase[[#All],[Product ID]],Stock[[#This Row],[Product ID]],Purchase[[#All],[Net Qty]])</f>
        <v>112</v>
      </c>
      <c r="G457" s="52">
        <f>Stock[[#This Row],[Opening Stock]]+Stock[[#This Row],[Purchase Stock]]</f>
        <v>124</v>
      </c>
      <c r="H457" s="52">
        <f>SUMIF(Sales[[#All],[Product ID]],Stock[[#This Row],[Product ID]],Sales[[#All],[Net QTY]])</f>
        <v>80</v>
      </c>
      <c r="I457" s="52">
        <f>Stock[[#This Row],[Total Stock]]-Stock[[#This Row],[Selling Stock]]</f>
        <v>44</v>
      </c>
      <c r="J457" s="52">
        <f>VLOOKUP(Stock[[#This Row],[Product ID]],Product[#All],8,0)</f>
        <v>10</v>
      </c>
      <c r="K457" s="52" t="str">
        <f>IF(Stock[[#This Row],[Available Stock]]&lt;=Stock[[#This Row],[Reorder Level]],"Reorder","OK")</f>
        <v>OK</v>
      </c>
    </row>
    <row r="458" spans="1:11" ht="18.75" x14ac:dyDescent="0.25">
      <c r="A458" s="52" t="str">
        <f>Product[[#This Row],[Product ID]]</f>
        <v>P0456</v>
      </c>
      <c r="B458" s="52" t="str">
        <f>VLOOKUP(Stock[[#This Row],[Product ID]],Product[#All],2,0)</f>
        <v>American TouristerLaptopBag</v>
      </c>
      <c r="C458" s="52" t="str">
        <f>VLOOKUP(Stock[[#This Row],[Product ID]],Product[#All],3,0)</f>
        <v>Laptop bag</v>
      </c>
      <c r="D458" s="52" t="str">
        <f>VLOOKUP(Stock[[#This Row],[Product ID]],Product[#All],4,0)</f>
        <v>American Tourister</v>
      </c>
      <c r="E458" s="52">
        <f>SUMIF(Opning[[#All],[Product_ID]],Stock[[#This Row],[Product ID]],Opning[[#All],[Opening_Qty]])</f>
        <v>21</v>
      </c>
      <c r="F458" s="52">
        <f>SUMIF(Purchase[[#All],[Product ID]],Stock[[#This Row],[Product ID]],Purchase[[#All],[Net Qty]])</f>
        <v>96</v>
      </c>
      <c r="G458" s="52">
        <f>Stock[[#This Row],[Opening Stock]]+Stock[[#This Row],[Purchase Stock]]</f>
        <v>117</v>
      </c>
      <c r="H458" s="52">
        <f>SUMIF(Sales[[#All],[Product ID]],Stock[[#This Row],[Product ID]],Sales[[#All],[Net QTY]])</f>
        <v>37</v>
      </c>
      <c r="I458" s="52">
        <f>Stock[[#This Row],[Total Stock]]-Stock[[#This Row],[Selling Stock]]</f>
        <v>80</v>
      </c>
      <c r="J458" s="52">
        <f>VLOOKUP(Stock[[#This Row],[Product ID]],Product[#All],8,0)</f>
        <v>5</v>
      </c>
      <c r="K458" s="52" t="str">
        <f>IF(Stock[[#This Row],[Available Stock]]&lt;=Stock[[#This Row],[Reorder Level]],"Reorder","OK")</f>
        <v>OK</v>
      </c>
    </row>
    <row r="459" spans="1:11" ht="18.75" x14ac:dyDescent="0.25">
      <c r="A459" s="52" t="str">
        <f>Product[[#This Row],[Product ID]]</f>
        <v>P0457</v>
      </c>
      <c r="B459" s="52" t="str">
        <f>VLOOKUP(Stock[[#This Row],[Product ID]],Product[#All],2,0)</f>
        <v>Amazon Basics Hdmi Cable</v>
      </c>
      <c r="C459" s="52" t="str">
        <f>VLOOKUP(Stock[[#This Row],[Product ID]],Product[#All],3,0)</f>
        <v xml:space="preserve">HDMI Cable </v>
      </c>
      <c r="D459" s="52" t="str">
        <f>VLOOKUP(Stock[[#This Row],[Product ID]],Product[#All],4,0)</f>
        <v>Amazon Basics</v>
      </c>
      <c r="E459" s="52">
        <f>SUMIF(Opning[[#All],[Product_ID]],Stock[[#This Row],[Product ID]],Opning[[#All],[Opening_Qty]])</f>
        <v>13</v>
      </c>
      <c r="F459" s="52">
        <f>SUMIF(Purchase[[#All],[Product ID]],Stock[[#This Row],[Product ID]],Purchase[[#All],[Net Qty]])</f>
        <v>114</v>
      </c>
      <c r="G459" s="52">
        <f>Stock[[#This Row],[Opening Stock]]+Stock[[#This Row],[Purchase Stock]]</f>
        <v>127</v>
      </c>
      <c r="H459" s="52">
        <f>SUMIF(Sales[[#All],[Product ID]],Stock[[#This Row],[Product ID]],Sales[[#All],[Net QTY]])</f>
        <v>64</v>
      </c>
      <c r="I459" s="52">
        <f>Stock[[#This Row],[Total Stock]]-Stock[[#This Row],[Selling Stock]]</f>
        <v>63</v>
      </c>
      <c r="J459" s="52">
        <f>VLOOKUP(Stock[[#This Row],[Product ID]],Product[#All],8,0)</f>
        <v>15</v>
      </c>
      <c r="K459" s="52" t="str">
        <f>IF(Stock[[#This Row],[Available Stock]]&lt;=Stock[[#This Row],[Reorder Level]],"Reorder","OK")</f>
        <v>OK</v>
      </c>
    </row>
    <row r="460" spans="1:11" ht="18.75" x14ac:dyDescent="0.25">
      <c r="A460" s="52" t="str">
        <f>Product[[#This Row],[Product ID]]</f>
        <v>P0458</v>
      </c>
      <c r="B460" s="52" t="str">
        <f>VLOOKUP(Stock[[#This Row],[Product ID]],Product[#All],2,0)</f>
        <v>Logitech Webcam</v>
      </c>
      <c r="C460" s="52" t="str">
        <f>VLOOKUP(Stock[[#This Row],[Product ID]],Product[#All],3,0)</f>
        <v xml:space="preserve">Webcam </v>
      </c>
      <c r="D460" s="52" t="str">
        <f>VLOOKUP(Stock[[#This Row],[Product ID]],Product[#All],4,0)</f>
        <v>Logitech</v>
      </c>
      <c r="E460" s="52">
        <f>SUMIF(Opning[[#All],[Product_ID]],Stock[[#This Row],[Product ID]],Opning[[#All],[Opening_Qty]])</f>
        <v>9</v>
      </c>
      <c r="F460" s="52">
        <f>SUMIF(Purchase[[#All],[Product ID]],Stock[[#This Row],[Product ID]],Purchase[[#All],[Net Qty]])</f>
        <v>241</v>
      </c>
      <c r="G460" s="52">
        <f>Stock[[#This Row],[Opening Stock]]+Stock[[#This Row],[Purchase Stock]]</f>
        <v>250</v>
      </c>
      <c r="H460" s="52">
        <f>SUMIF(Sales[[#All],[Product ID]],Stock[[#This Row],[Product ID]],Sales[[#All],[Net QTY]])</f>
        <v>62</v>
      </c>
      <c r="I460" s="52">
        <f>Stock[[#This Row],[Total Stock]]-Stock[[#This Row],[Selling Stock]]</f>
        <v>188</v>
      </c>
      <c r="J460" s="52">
        <f>VLOOKUP(Stock[[#This Row],[Product ID]],Product[#All],8,0)</f>
        <v>20</v>
      </c>
      <c r="K460" s="52" t="str">
        <f>IF(Stock[[#This Row],[Available Stock]]&lt;=Stock[[#This Row],[Reorder Level]],"Reorder","OK")</f>
        <v>OK</v>
      </c>
    </row>
    <row r="461" spans="1:11" ht="18.75" x14ac:dyDescent="0.25">
      <c r="A461" s="52" t="str">
        <f>Product[[#This Row],[Product ID]]</f>
        <v>P0459</v>
      </c>
      <c r="B461" s="52" t="str">
        <f>VLOOKUP(Stock[[#This Row],[Product ID]],Product[#All],2,0)</f>
        <v>HP Power Adapter</v>
      </c>
      <c r="C461" s="52" t="str">
        <f>VLOOKUP(Stock[[#This Row],[Product ID]],Product[#All],3,0)</f>
        <v>Power Adapter</v>
      </c>
      <c r="D461" s="52" t="str">
        <f>VLOOKUP(Stock[[#This Row],[Product ID]],Product[#All],4,0)</f>
        <v>HP</v>
      </c>
      <c r="E461" s="52">
        <f>SUMIF(Opning[[#All],[Product_ID]],Stock[[#This Row],[Product ID]],Opning[[#All],[Opening_Qty]])</f>
        <v>59</v>
      </c>
      <c r="F461" s="52">
        <f>SUMIF(Purchase[[#All],[Product ID]],Stock[[#This Row],[Product ID]],Purchase[[#All],[Net Qty]])</f>
        <v>108</v>
      </c>
      <c r="G461" s="52">
        <f>Stock[[#This Row],[Opening Stock]]+Stock[[#This Row],[Purchase Stock]]</f>
        <v>167</v>
      </c>
      <c r="H461" s="52">
        <f>SUMIF(Sales[[#All],[Product ID]],Stock[[#This Row],[Product ID]],Sales[[#All],[Net QTY]])</f>
        <v>22</v>
      </c>
      <c r="I461" s="52">
        <f>Stock[[#This Row],[Total Stock]]-Stock[[#This Row],[Selling Stock]]</f>
        <v>145</v>
      </c>
      <c r="J461" s="52">
        <f>VLOOKUP(Stock[[#This Row],[Product ID]],Product[#All],8,0)</f>
        <v>15</v>
      </c>
      <c r="K461" s="52" t="str">
        <f>IF(Stock[[#This Row],[Available Stock]]&lt;=Stock[[#This Row],[Reorder Level]],"Reorder","OK")</f>
        <v>OK</v>
      </c>
    </row>
    <row r="462" spans="1:11" ht="18.75" x14ac:dyDescent="0.25">
      <c r="A462" s="52" t="str">
        <f>Product[[#This Row],[Product ID]]</f>
        <v>P0460</v>
      </c>
      <c r="B462" s="52" t="str">
        <f>VLOOKUP(Stock[[#This Row],[Product ID]],Product[#All],2,0)</f>
        <v>Apc UPS</v>
      </c>
      <c r="C462" s="52" t="str">
        <f>VLOOKUP(Stock[[#This Row],[Product ID]],Product[#All],3,0)</f>
        <v>UPS</v>
      </c>
      <c r="D462" s="52" t="str">
        <f>VLOOKUP(Stock[[#This Row],[Product ID]],Product[#All],4,0)</f>
        <v>APC</v>
      </c>
      <c r="E462" s="52">
        <f>SUMIF(Opning[[#All],[Product_ID]],Stock[[#This Row],[Product ID]],Opning[[#All],[Opening_Qty]])</f>
        <v>59</v>
      </c>
      <c r="F462" s="52">
        <f>SUMIF(Purchase[[#All],[Product ID]],Stock[[#This Row],[Product ID]],Purchase[[#All],[Net Qty]])</f>
        <v>45</v>
      </c>
      <c r="G462" s="52">
        <f>Stock[[#This Row],[Opening Stock]]+Stock[[#This Row],[Purchase Stock]]</f>
        <v>104</v>
      </c>
      <c r="H462" s="52">
        <f>SUMIF(Sales[[#All],[Product ID]],Stock[[#This Row],[Product ID]],Sales[[#All],[Net QTY]])</f>
        <v>59</v>
      </c>
      <c r="I462" s="52">
        <f>Stock[[#This Row],[Total Stock]]-Stock[[#This Row],[Selling Stock]]</f>
        <v>45</v>
      </c>
      <c r="J462" s="52">
        <f>VLOOKUP(Stock[[#This Row],[Product ID]],Product[#All],8,0)</f>
        <v>15</v>
      </c>
      <c r="K462" s="52" t="str">
        <f>IF(Stock[[#This Row],[Available Stock]]&lt;=Stock[[#This Row],[Reorder Level]],"Reorder","OK")</f>
        <v>OK</v>
      </c>
    </row>
    <row r="463" spans="1:11" ht="18.75" x14ac:dyDescent="0.25">
      <c r="A463" s="52" t="str">
        <f>Product[[#This Row],[Product ID]]</f>
        <v>P0461</v>
      </c>
      <c r="B463" s="52" t="str">
        <f>VLOOKUP(Stock[[#This Row],[Product ID]],Product[#All],2,0)</f>
        <v>HP Mouse</v>
      </c>
      <c r="C463" s="52" t="str">
        <f>VLOOKUP(Stock[[#This Row],[Product ID]],Product[#All],3,0)</f>
        <v>Mouse</v>
      </c>
      <c r="D463" s="52" t="str">
        <f>VLOOKUP(Stock[[#This Row],[Product ID]],Product[#All],4,0)</f>
        <v>HP</v>
      </c>
      <c r="E463" s="52">
        <f>SUMIF(Opning[[#All],[Product_ID]],Stock[[#This Row],[Product ID]],Opning[[#All],[Opening_Qty]])</f>
        <v>45</v>
      </c>
      <c r="F463" s="52">
        <f>SUMIF(Purchase[[#All],[Product ID]],Stock[[#This Row],[Product ID]],Purchase[[#All],[Net Qty]])</f>
        <v>154</v>
      </c>
      <c r="G463" s="52">
        <f>Stock[[#This Row],[Opening Stock]]+Stock[[#This Row],[Purchase Stock]]</f>
        <v>199</v>
      </c>
      <c r="H463" s="52">
        <f>SUMIF(Sales[[#All],[Product ID]],Stock[[#This Row],[Product ID]],Sales[[#All],[Net QTY]])</f>
        <v>33</v>
      </c>
      <c r="I463" s="52">
        <f>Stock[[#This Row],[Total Stock]]-Stock[[#This Row],[Selling Stock]]</f>
        <v>166</v>
      </c>
      <c r="J463" s="52">
        <f>VLOOKUP(Stock[[#This Row],[Product ID]],Product[#All],8,0)</f>
        <v>8</v>
      </c>
      <c r="K463" s="52" t="str">
        <f>IF(Stock[[#This Row],[Available Stock]]&lt;=Stock[[#This Row],[Reorder Level]],"Reorder","OK")</f>
        <v>OK</v>
      </c>
    </row>
    <row r="464" spans="1:11" ht="18.75" x14ac:dyDescent="0.25">
      <c r="A464" s="52" t="str">
        <f>Product[[#This Row],[Product ID]]</f>
        <v>P0462</v>
      </c>
      <c r="B464" s="52" t="str">
        <f>VLOOKUP(Stock[[#This Row],[Product ID]],Product[#All],2,0)</f>
        <v>Boat Headset</v>
      </c>
      <c r="C464" s="52" t="str">
        <f>VLOOKUP(Stock[[#This Row],[Product ID]],Product[#All],3,0)</f>
        <v>Headset</v>
      </c>
      <c r="D464" s="52" t="str">
        <f>VLOOKUP(Stock[[#This Row],[Product ID]],Product[#All],4,0)</f>
        <v>Boat</v>
      </c>
      <c r="E464" s="52">
        <f>SUMIF(Opning[[#All],[Product_ID]],Stock[[#This Row],[Product ID]],Opning[[#All],[Opening_Qty]])</f>
        <v>37</v>
      </c>
      <c r="F464" s="52">
        <f>SUMIF(Purchase[[#All],[Product ID]],Stock[[#This Row],[Product ID]],Purchase[[#All],[Net Qty]])</f>
        <v>105</v>
      </c>
      <c r="G464" s="52">
        <f>Stock[[#This Row],[Opening Stock]]+Stock[[#This Row],[Purchase Stock]]</f>
        <v>142</v>
      </c>
      <c r="H464" s="52">
        <f>SUMIF(Sales[[#All],[Product ID]],Stock[[#This Row],[Product ID]],Sales[[#All],[Net QTY]])</f>
        <v>33</v>
      </c>
      <c r="I464" s="52">
        <f>Stock[[#This Row],[Total Stock]]-Stock[[#This Row],[Selling Stock]]</f>
        <v>109</v>
      </c>
      <c r="J464" s="52">
        <f>VLOOKUP(Stock[[#This Row],[Product ID]],Product[#All],8,0)</f>
        <v>10</v>
      </c>
      <c r="K464" s="52" t="str">
        <f>IF(Stock[[#This Row],[Available Stock]]&lt;=Stock[[#This Row],[Reorder Level]],"Reorder","OK")</f>
        <v>OK</v>
      </c>
    </row>
    <row r="465" spans="1:11" ht="18.75" x14ac:dyDescent="0.25">
      <c r="A465" s="52" t="str">
        <f>Product[[#This Row],[Product ID]]</f>
        <v>P0463</v>
      </c>
      <c r="B465" s="52" t="str">
        <f>VLOOKUP(Stock[[#This Row],[Product ID]],Product[#All],2,0)</f>
        <v>Dell Laptop</v>
      </c>
      <c r="C465" s="52" t="str">
        <f>VLOOKUP(Stock[[#This Row],[Product ID]],Product[#All],3,0)</f>
        <v>Laptop</v>
      </c>
      <c r="D465" s="52" t="str">
        <f>VLOOKUP(Stock[[#This Row],[Product ID]],Product[#All],4,0)</f>
        <v>Dell</v>
      </c>
      <c r="E465" s="52">
        <f>SUMIF(Opning[[#All],[Product_ID]],Stock[[#This Row],[Product ID]],Opning[[#All],[Opening_Qty]])</f>
        <v>38</v>
      </c>
      <c r="F465" s="52">
        <f>SUMIF(Purchase[[#All],[Product ID]],Stock[[#This Row],[Product ID]],Purchase[[#All],[Net Qty]])</f>
        <v>59</v>
      </c>
      <c r="G465" s="52">
        <f>Stock[[#This Row],[Opening Stock]]+Stock[[#This Row],[Purchase Stock]]</f>
        <v>97</v>
      </c>
      <c r="H465" s="52">
        <f>SUMIF(Sales[[#All],[Product ID]],Stock[[#This Row],[Product ID]],Sales[[#All],[Net QTY]])</f>
        <v>36</v>
      </c>
      <c r="I465" s="52">
        <f>Stock[[#This Row],[Total Stock]]-Stock[[#This Row],[Selling Stock]]</f>
        <v>61</v>
      </c>
      <c r="J465" s="52">
        <f>VLOOKUP(Stock[[#This Row],[Product ID]],Product[#All],8,0)</f>
        <v>8</v>
      </c>
      <c r="K465" s="52" t="str">
        <f>IF(Stock[[#This Row],[Available Stock]]&lt;=Stock[[#This Row],[Reorder Level]],"Reorder","OK")</f>
        <v>OK</v>
      </c>
    </row>
    <row r="466" spans="1:11" ht="18.75" x14ac:dyDescent="0.25">
      <c r="A466" s="52" t="str">
        <f>Product[[#This Row],[Product ID]]</f>
        <v>P0464</v>
      </c>
      <c r="B466" s="52" t="str">
        <f>VLOOKUP(Stock[[#This Row],[Product ID]],Product[#All],2,0)</f>
        <v>Samsung Monitor</v>
      </c>
      <c r="C466" s="52" t="str">
        <f>VLOOKUP(Stock[[#This Row],[Product ID]],Product[#All],3,0)</f>
        <v>Monitor</v>
      </c>
      <c r="D466" s="52" t="str">
        <f>VLOOKUP(Stock[[#This Row],[Product ID]],Product[#All],4,0)</f>
        <v>Samsung</v>
      </c>
      <c r="E466" s="52">
        <f>SUMIF(Opning[[#All],[Product_ID]],Stock[[#This Row],[Product ID]],Opning[[#All],[Opening_Qty]])</f>
        <v>20</v>
      </c>
      <c r="F466" s="52">
        <f>SUMIF(Purchase[[#All],[Product ID]],Stock[[#This Row],[Product ID]],Purchase[[#All],[Net Qty]])</f>
        <v>68</v>
      </c>
      <c r="G466" s="52">
        <f>Stock[[#This Row],[Opening Stock]]+Stock[[#This Row],[Purchase Stock]]</f>
        <v>88</v>
      </c>
      <c r="H466" s="52">
        <f>SUMIF(Sales[[#All],[Product ID]],Stock[[#This Row],[Product ID]],Sales[[#All],[Net QTY]])</f>
        <v>59</v>
      </c>
      <c r="I466" s="52">
        <f>Stock[[#This Row],[Total Stock]]-Stock[[#This Row],[Selling Stock]]</f>
        <v>29</v>
      </c>
      <c r="J466" s="52">
        <f>VLOOKUP(Stock[[#This Row],[Product ID]],Product[#All],8,0)</f>
        <v>15</v>
      </c>
      <c r="K466" s="52" t="str">
        <f>IF(Stock[[#This Row],[Available Stock]]&lt;=Stock[[#This Row],[Reorder Level]],"Reorder","OK")</f>
        <v>OK</v>
      </c>
    </row>
    <row r="467" spans="1:11" ht="18.75" x14ac:dyDescent="0.25">
      <c r="A467" s="52" t="str">
        <f>Product[[#This Row],[Product ID]]</f>
        <v>P0465</v>
      </c>
      <c r="B467" s="52" t="str">
        <f>VLOOKUP(Stock[[#This Row],[Product ID]],Product[#All],2,0)</f>
        <v>WD HDD</v>
      </c>
      <c r="C467" s="52" t="str">
        <f>VLOOKUP(Stock[[#This Row],[Product ID]],Product[#All],3,0)</f>
        <v>HDD</v>
      </c>
      <c r="D467" s="52" t="str">
        <f>VLOOKUP(Stock[[#This Row],[Product ID]],Product[#All],4,0)</f>
        <v>WD</v>
      </c>
      <c r="E467" s="52">
        <f>SUMIF(Opning[[#All],[Product_ID]],Stock[[#This Row],[Product ID]],Opning[[#All],[Opening_Qty]])</f>
        <v>38</v>
      </c>
      <c r="F467" s="52">
        <f>SUMIF(Purchase[[#All],[Product ID]],Stock[[#This Row],[Product ID]],Purchase[[#All],[Net Qty]])</f>
        <v>95</v>
      </c>
      <c r="G467" s="52">
        <f>Stock[[#This Row],[Opening Stock]]+Stock[[#This Row],[Purchase Stock]]</f>
        <v>133</v>
      </c>
      <c r="H467" s="52">
        <f>SUMIF(Sales[[#All],[Product ID]],Stock[[#This Row],[Product ID]],Sales[[#All],[Net QTY]])</f>
        <v>33</v>
      </c>
      <c r="I467" s="52">
        <f>Stock[[#This Row],[Total Stock]]-Stock[[#This Row],[Selling Stock]]</f>
        <v>100</v>
      </c>
      <c r="J467" s="52">
        <f>VLOOKUP(Stock[[#This Row],[Product ID]],Product[#All],8,0)</f>
        <v>5</v>
      </c>
      <c r="K467" s="52" t="str">
        <f>IF(Stock[[#This Row],[Available Stock]]&lt;=Stock[[#This Row],[Reorder Level]],"Reorder","OK")</f>
        <v>OK</v>
      </c>
    </row>
    <row r="468" spans="1:11" ht="18.75" x14ac:dyDescent="0.25">
      <c r="A468" s="52" t="str">
        <f>Product[[#This Row],[Product ID]]</f>
        <v>P0466</v>
      </c>
      <c r="B468" s="52" t="str">
        <f>VLOOKUP(Stock[[#This Row],[Product ID]],Product[#All],2,0)</f>
        <v>HP Desktop</v>
      </c>
      <c r="C468" s="52" t="str">
        <f>VLOOKUP(Stock[[#This Row],[Product ID]],Product[#All],3,0)</f>
        <v>Desktop</v>
      </c>
      <c r="D468" s="52" t="str">
        <f>VLOOKUP(Stock[[#This Row],[Product ID]],Product[#All],4,0)</f>
        <v>HP</v>
      </c>
      <c r="E468" s="52">
        <f>SUMIF(Opning[[#All],[Product_ID]],Stock[[#This Row],[Product ID]],Opning[[#All],[Opening_Qty]])</f>
        <v>22</v>
      </c>
      <c r="F468" s="52">
        <f>SUMIF(Purchase[[#All],[Product ID]],Stock[[#This Row],[Product ID]],Purchase[[#All],[Net Qty]])</f>
        <v>0</v>
      </c>
      <c r="G468" s="52">
        <f>Stock[[#This Row],[Opening Stock]]+Stock[[#This Row],[Purchase Stock]]</f>
        <v>22</v>
      </c>
      <c r="H468" s="52">
        <f>SUMIF(Sales[[#All],[Product ID]],Stock[[#This Row],[Product ID]],Sales[[#All],[Net QTY]])</f>
        <v>22</v>
      </c>
      <c r="I468" s="52">
        <f>Stock[[#This Row],[Total Stock]]-Stock[[#This Row],[Selling Stock]]</f>
        <v>0</v>
      </c>
      <c r="J468" s="52">
        <f>VLOOKUP(Stock[[#This Row],[Product ID]],Product[#All],8,0)</f>
        <v>5</v>
      </c>
      <c r="K468" s="52" t="str">
        <f>IF(Stock[[#This Row],[Available Stock]]&lt;=Stock[[#This Row],[Reorder Level]],"Reorder","OK")</f>
        <v>Reorder</v>
      </c>
    </row>
    <row r="469" spans="1:11" ht="18.75" x14ac:dyDescent="0.25">
      <c r="A469" s="52" t="str">
        <f>Product[[#This Row],[Product ID]]</f>
        <v>P0467</v>
      </c>
      <c r="B469" s="52" t="str">
        <f>VLOOKUP(Stock[[#This Row],[Product ID]],Product[#All],2,0)</f>
        <v>Sandisk Pen Drive</v>
      </c>
      <c r="C469" s="52" t="str">
        <f>VLOOKUP(Stock[[#This Row],[Product ID]],Product[#All],3,0)</f>
        <v>Pen Drive</v>
      </c>
      <c r="D469" s="52" t="str">
        <f>VLOOKUP(Stock[[#This Row],[Product ID]],Product[#All],4,0)</f>
        <v>SanDisk</v>
      </c>
      <c r="E469" s="52">
        <f>SUMIF(Opning[[#All],[Product_ID]],Stock[[#This Row],[Product ID]],Opning[[#All],[Opening_Qty]])</f>
        <v>6</v>
      </c>
      <c r="F469" s="52">
        <f>SUMIF(Purchase[[#All],[Product ID]],Stock[[#This Row],[Product ID]],Purchase[[#All],[Net Qty]])</f>
        <v>64</v>
      </c>
      <c r="G469" s="52">
        <f>Stock[[#This Row],[Opening Stock]]+Stock[[#This Row],[Purchase Stock]]</f>
        <v>70</v>
      </c>
      <c r="H469" s="52">
        <f>SUMIF(Sales[[#All],[Product ID]],Stock[[#This Row],[Product ID]],Sales[[#All],[Net QTY]])</f>
        <v>20</v>
      </c>
      <c r="I469" s="52">
        <f>Stock[[#This Row],[Total Stock]]-Stock[[#This Row],[Selling Stock]]</f>
        <v>50</v>
      </c>
      <c r="J469" s="52">
        <f>VLOOKUP(Stock[[#This Row],[Product ID]],Product[#All],8,0)</f>
        <v>8</v>
      </c>
      <c r="K469" s="52" t="str">
        <f>IF(Stock[[#This Row],[Available Stock]]&lt;=Stock[[#This Row],[Reorder Level]],"Reorder","OK")</f>
        <v>OK</v>
      </c>
    </row>
    <row r="470" spans="1:11" ht="18.75" x14ac:dyDescent="0.25">
      <c r="A470" s="52" t="str">
        <f>Product[[#This Row],[Product ID]]</f>
        <v>P0468</v>
      </c>
      <c r="B470" s="52" t="str">
        <f>VLOOKUP(Stock[[#This Row],[Product ID]],Product[#All],2,0)</f>
        <v>Dell Keyboard</v>
      </c>
      <c r="C470" s="52" t="str">
        <f>VLOOKUP(Stock[[#This Row],[Product ID]],Product[#All],3,0)</f>
        <v>Keyboard</v>
      </c>
      <c r="D470" s="52" t="str">
        <f>VLOOKUP(Stock[[#This Row],[Product ID]],Product[#All],4,0)</f>
        <v>Dell</v>
      </c>
      <c r="E470" s="52">
        <f>SUMIF(Opning[[#All],[Product_ID]],Stock[[#This Row],[Product ID]],Opning[[#All],[Opening_Qty]])</f>
        <v>10</v>
      </c>
      <c r="F470" s="52">
        <f>SUMIF(Purchase[[#All],[Product ID]],Stock[[#This Row],[Product ID]],Purchase[[#All],[Net Qty]])</f>
        <v>145</v>
      </c>
      <c r="G470" s="52">
        <f>Stock[[#This Row],[Opening Stock]]+Stock[[#This Row],[Purchase Stock]]</f>
        <v>155</v>
      </c>
      <c r="H470" s="52">
        <f>SUMIF(Sales[[#All],[Product ID]],Stock[[#This Row],[Product ID]],Sales[[#All],[Net QTY]])</f>
        <v>49</v>
      </c>
      <c r="I470" s="52">
        <f>Stock[[#This Row],[Total Stock]]-Stock[[#This Row],[Selling Stock]]</f>
        <v>106</v>
      </c>
      <c r="J470" s="52">
        <f>VLOOKUP(Stock[[#This Row],[Product ID]],Product[#All],8,0)</f>
        <v>25</v>
      </c>
      <c r="K470" s="52" t="str">
        <f>IF(Stock[[#This Row],[Available Stock]]&lt;=Stock[[#This Row],[Reorder Level]],"Reorder","OK")</f>
        <v>OK</v>
      </c>
    </row>
    <row r="471" spans="1:11" ht="18.75" x14ac:dyDescent="0.25">
      <c r="A471" s="52" t="str">
        <f>Product[[#This Row],[Product ID]]</f>
        <v>P0469</v>
      </c>
      <c r="B471" s="52" t="str">
        <f>VLOOKUP(Stock[[#This Row],[Product ID]],Product[#All],2,0)</f>
        <v>Logitech Mouse</v>
      </c>
      <c r="C471" s="52" t="str">
        <f>VLOOKUP(Stock[[#This Row],[Product ID]],Product[#All],3,0)</f>
        <v>Mouse</v>
      </c>
      <c r="D471" s="52" t="str">
        <f>VLOOKUP(Stock[[#This Row],[Product ID]],Product[#All],4,0)</f>
        <v>Logitech</v>
      </c>
      <c r="E471" s="52">
        <f>SUMIF(Opning[[#All],[Product_ID]],Stock[[#This Row],[Product ID]],Opning[[#All],[Opening_Qty]])</f>
        <v>30</v>
      </c>
      <c r="F471" s="52">
        <f>SUMIF(Purchase[[#All],[Product ID]],Stock[[#This Row],[Product ID]],Purchase[[#All],[Net Qty]])</f>
        <v>168</v>
      </c>
      <c r="G471" s="52">
        <f>Stock[[#This Row],[Opening Stock]]+Stock[[#This Row],[Purchase Stock]]</f>
        <v>198</v>
      </c>
      <c r="H471" s="52">
        <f>SUMIF(Sales[[#All],[Product ID]],Stock[[#This Row],[Product ID]],Sales[[#All],[Net QTY]])</f>
        <v>40</v>
      </c>
      <c r="I471" s="52">
        <f>Stock[[#This Row],[Total Stock]]-Stock[[#This Row],[Selling Stock]]</f>
        <v>158</v>
      </c>
      <c r="J471" s="52">
        <f>VLOOKUP(Stock[[#This Row],[Product ID]],Product[#All],8,0)</f>
        <v>5</v>
      </c>
      <c r="K471" s="52" t="str">
        <f>IF(Stock[[#This Row],[Available Stock]]&lt;=Stock[[#This Row],[Reorder Level]],"Reorder","OK")</f>
        <v>OK</v>
      </c>
    </row>
    <row r="472" spans="1:11" ht="18.75" x14ac:dyDescent="0.25">
      <c r="A472" s="52" t="str">
        <f>Product[[#This Row],[Product ID]]</f>
        <v>P0470</v>
      </c>
      <c r="B472" s="52" t="str">
        <f>VLOOKUP(Stock[[#This Row],[Product ID]],Product[#All],2,0)</f>
        <v>TP-link Bluetooth Adapter</v>
      </c>
      <c r="C472" s="52" t="str">
        <f>VLOOKUP(Stock[[#This Row],[Product ID]],Product[#All],3,0)</f>
        <v>Bluetooth Adapter</v>
      </c>
      <c r="D472" s="52" t="str">
        <f>VLOOKUP(Stock[[#This Row],[Product ID]],Product[#All],4,0)</f>
        <v>TP-link</v>
      </c>
      <c r="E472" s="52">
        <f>SUMIF(Opning[[#All],[Product_ID]],Stock[[#This Row],[Product ID]],Opning[[#All],[Opening_Qty]])</f>
        <v>22</v>
      </c>
      <c r="F472" s="52">
        <f>SUMIF(Purchase[[#All],[Product ID]],Stock[[#This Row],[Product ID]],Purchase[[#All],[Net Qty]])</f>
        <v>37</v>
      </c>
      <c r="G472" s="52">
        <f>Stock[[#This Row],[Opening Stock]]+Stock[[#This Row],[Purchase Stock]]</f>
        <v>59</v>
      </c>
      <c r="H472" s="52">
        <f>SUMIF(Sales[[#All],[Product ID]],Stock[[#This Row],[Product ID]],Sales[[#All],[Net QTY]])</f>
        <v>15</v>
      </c>
      <c r="I472" s="52">
        <f>Stock[[#This Row],[Total Stock]]-Stock[[#This Row],[Selling Stock]]</f>
        <v>44</v>
      </c>
      <c r="J472" s="52">
        <f>VLOOKUP(Stock[[#This Row],[Product ID]],Product[#All],8,0)</f>
        <v>10</v>
      </c>
      <c r="K472" s="52" t="str">
        <f>IF(Stock[[#This Row],[Available Stock]]&lt;=Stock[[#This Row],[Reorder Level]],"Reorder","OK")</f>
        <v>OK</v>
      </c>
    </row>
    <row r="473" spans="1:11" ht="18.75" x14ac:dyDescent="0.25">
      <c r="A473" s="52" t="str">
        <f>Product[[#This Row],[Product ID]]</f>
        <v>P0471</v>
      </c>
      <c r="B473" s="52" t="str">
        <f>VLOOKUP(Stock[[#This Row],[Product ID]],Product[#All],2,0)</f>
        <v>TP-link Wi-Fi Adapter</v>
      </c>
      <c r="C473" s="52" t="str">
        <f>VLOOKUP(Stock[[#This Row],[Product ID]],Product[#All],3,0)</f>
        <v>Wi-Fi Adapter</v>
      </c>
      <c r="D473" s="52" t="str">
        <f>VLOOKUP(Stock[[#This Row],[Product ID]],Product[#All],4,0)</f>
        <v>TP-link</v>
      </c>
      <c r="E473" s="52">
        <f>SUMIF(Opning[[#All],[Product_ID]],Stock[[#This Row],[Product ID]],Opning[[#All],[Opening_Qty]])</f>
        <v>40</v>
      </c>
      <c r="F473" s="52">
        <f>SUMIF(Purchase[[#All],[Product ID]],Stock[[#This Row],[Product ID]],Purchase[[#All],[Net Qty]])</f>
        <v>111</v>
      </c>
      <c r="G473" s="52">
        <f>Stock[[#This Row],[Opening Stock]]+Stock[[#This Row],[Purchase Stock]]</f>
        <v>151</v>
      </c>
      <c r="H473" s="52">
        <f>SUMIF(Sales[[#All],[Product ID]],Stock[[#This Row],[Product ID]],Sales[[#All],[Net QTY]])</f>
        <v>34</v>
      </c>
      <c r="I473" s="52">
        <f>Stock[[#This Row],[Total Stock]]-Stock[[#This Row],[Selling Stock]]</f>
        <v>117</v>
      </c>
      <c r="J473" s="52">
        <f>VLOOKUP(Stock[[#This Row],[Product ID]],Product[#All],8,0)</f>
        <v>5</v>
      </c>
      <c r="K473" s="52" t="str">
        <f>IF(Stock[[#This Row],[Available Stock]]&lt;=Stock[[#This Row],[Reorder Level]],"Reorder","OK")</f>
        <v>OK</v>
      </c>
    </row>
    <row r="474" spans="1:11" ht="18.75" x14ac:dyDescent="0.25">
      <c r="A474" s="52" t="str">
        <f>Product[[#This Row],[Product ID]]</f>
        <v>P0472</v>
      </c>
      <c r="B474" s="52" t="str">
        <f>VLOOKUP(Stock[[#This Row],[Product ID]],Product[#All],2,0)</f>
        <v>American TouristerLaptopBag</v>
      </c>
      <c r="C474" s="52" t="str">
        <f>VLOOKUP(Stock[[#This Row],[Product ID]],Product[#All],3,0)</f>
        <v>Laptop Bag</v>
      </c>
      <c r="D474" s="52" t="str">
        <f>VLOOKUP(Stock[[#This Row],[Product ID]],Product[#All],4,0)</f>
        <v>American Tourister</v>
      </c>
      <c r="E474" s="52">
        <f>SUMIF(Opning[[#All],[Product_ID]],Stock[[#This Row],[Product ID]],Opning[[#All],[Opening_Qty]])</f>
        <v>27</v>
      </c>
      <c r="F474" s="52">
        <f>SUMIF(Purchase[[#All],[Product ID]],Stock[[#This Row],[Product ID]],Purchase[[#All],[Net Qty]])</f>
        <v>17</v>
      </c>
      <c r="G474" s="52">
        <f>Stock[[#This Row],[Opening Stock]]+Stock[[#This Row],[Purchase Stock]]</f>
        <v>44</v>
      </c>
      <c r="H474" s="52">
        <f>SUMIF(Sales[[#All],[Product ID]],Stock[[#This Row],[Product ID]],Sales[[#All],[Net QTY]])</f>
        <v>23</v>
      </c>
      <c r="I474" s="52">
        <f>Stock[[#This Row],[Total Stock]]-Stock[[#This Row],[Selling Stock]]</f>
        <v>21</v>
      </c>
      <c r="J474" s="52">
        <f>VLOOKUP(Stock[[#This Row],[Product ID]],Product[#All],8,0)</f>
        <v>15</v>
      </c>
      <c r="K474" s="52" t="str">
        <f>IF(Stock[[#This Row],[Available Stock]]&lt;=Stock[[#This Row],[Reorder Level]],"Reorder","OK")</f>
        <v>OK</v>
      </c>
    </row>
    <row r="475" spans="1:11" ht="18.75" x14ac:dyDescent="0.25">
      <c r="A475" s="52" t="str">
        <f>Product[[#This Row],[Product ID]]</f>
        <v>P0473</v>
      </c>
      <c r="B475" s="52" t="str">
        <f>VLOOKUP(Stock[[#This Row],[Product ID]],Product[#All],2,0)</f>
        <v>Acer Laptop</v>
      </c>
      <c r="C475" s="52" t="str">
        <f>VLOOKUP(Stock[[#This Row],[Product ID]],Product[#All],3,0)</f>
        <v>Laptop</v>
      </c>
      <c r="D475" s="52" t="str">
        <f>VLOOKUP(Stock[[#This Row],[Product ID]],Product[#All],4,0)</f>
        <v>Acer</v>
      </c>
      <c r="E475" s="52">
        <f>SUMIF(Opning[[#All],[Product_ID]],Stock[[#This Row],[Product ID]],Opning[[#All],[Opening_Qty]])</f>
        <v>6</v>
      </c>
      <c r="F475" s="52">
        <f>SUMIF(Purchase[[#All],[Product ID]],Stock[[#This Row],[Product ID]],Purchase[[#All],[Net Qty]])</f>
        <v>41</v>
      </c>
      <c r="G475" s="52">
        <f>Stock[[#This Row],[Opening Stock]]+Stock[[#This Row],[Purchase Stock]]</f>
        <v>47</v>
      </c>
      <c r="H475" s="52">
        <f>SUMIF(Sales[[#All],[Product ID]],Stock[[#This Row],[Product ID]],Sales[[#All],[Net QTY]])</f>
        <v>47</v>
      </c>
      <c r="I475" s="52">
        <f>Stock[[#This Row],[Total Stock]]-Stock[[#This Row],[Selling Stock]]</f>
        <v>0</v>
      </c>
      <c r="J475" s="52">
        <f>VLOOKUP(Stock[[#This Row],[Product ID]],Product[#All],8,0)</f>
        <v>5</v>
      </c>
      <c r="K475" s="52" t="str">
        <f>IF(Stock[[#This Row],[Available Stock]]&lt;=Stock[[#This Row],[Reorder Level]],"Reorder","OK")</f>
        <v>Reorder</v>
      </c>
    </row>
    <row r="476" spans="1:11" ht="18.75" x14ac:dyDescent="0.25">
      <c r="A476" s="52" t="str">
        <f>Product[[#This Row],[Product ID]]</f>
        <v>P0474</v>
      </c>
      <c r="B476" s="52" t="str">
        <f>VLOOKUP(Stock[[#This Row],[Product ID]],Product[#All],2,0)</f>
        <v>Kingston Ram</v>
      </c>
      <c r="C476" s="52" t="str">
        <f>VLOOKUP(Stock[[#This Row],[Product ID]],Product[#All],3,0)</f>
        <v>RAM</v>
      </c>
      <c r="D476" s="52" t="str">
        <f>VLOOKUP(Stock[[#This Row],[Product ID]],Product[#All],4,0)</f>
        <v>Kingston</v>
      </c>
      <c r="E476" s="52">
        <f>SUMIF(Opning[[#All],[Product_ID]],Stock[[#This Row],[Product ID]],Opning[[#All],[Opening_Qty]])</f>
        <v>22</v>
      </c>
      <c r="F476" s="52">
        <f>SUMIF(Purchase[[#All],[Product ID]],Stock[[#This Row],[Product ID]],Purchase[[#All],[Net Qty]])</f>
        <v>138</v>
      </c>
      <c r="G476" s="52">
        <f>Stock[[#This Row],[Opening Stock]]+Stock[[#This Row],[Purchase Stock]]</f>
        <v>160</v>
      </c>
      <c r="H476" s="52">
        <f>SUMIF(Sales[[#All],[Product ID]],Stock[[#This Row],[Product ID]],Sales[[#All],[Net QTY]])</f>
        <v>40</v>
      </c>
      <c r="I476" s="52">
        <f>Stock[[#This Row],[Total Stock]]-Stock[[#This Row],[Selling Stock]]</f>
        <v>120</v>
      </c>
      <c r="J476" s="52">
        <f>VLOOKUP(Stock[[#This Row],[Product ID]],Product[#All],8,0)</f>
        <v>25</v>
      </c>
      <c r="K476" s="52" t="str">
        <f>IF(Stock[[#This Row],[Available Stock]]&lt;=Stock[[#This Row],[Reorder Level]],"Reorder","OK")</f>
        <v>OK</v>
      </c>
    </row>
    <row r="477" spans="1:11" ht="18.75" x14ac:dyDescent="0.25">
      <c r="A477" s="52" t="str">
        <f>Product[[#This Row],[Product ID]]</f>
        <v>P0475</v>
      </c>
      <c r="B477" s="52" t="str">
        <f>VLOOKUP(Stock[[#This Row],[Product ID]],Product[#All],2,0)</f>
        <v>Logitech Webcam</v>
      </c>
      <c r="C477" s="52" t="str">
        <f>VLOOKUP(Stock[[#This Row],[Product ID]],Product[#All],3,0)</f>
        <v>Webcam</v>
      </c>
      <c r="D477" s="52" t="str">
        <f>VLOOKUP(Stock[[#This Row],[Product ID]],Product[#All],4,0)</f>
        <v>Logitech</v>
      </c>
      <c r="E477" s="52">
        <f>SUMIF(Opning[[#All],[Product_ID]],Stock[[#This Row],[Product ID]],Opning[[#All],[Opening_Qty]])</f>
        <v>11</v>
      </c>
      <c r="F477" s="52">
        <f>SUMIF(Purchase[[#All],[Product ID]],Stock[[#This Row],[Product ID]],Purchase[[#All],[Net Qty]])</f>
        <v>105</v>
      </c>
      <c r="G477" s="52">
        <f>Stock[[#This Row],[Opening Stock]]+Stock[[#This Row],[Purchase Stock]]</f>
        <v>116</v>
      </c>
      <c r="H477" s="52">
        <f>SUMIF(Sales[[#All],[Product ID]],Stock[[#This Row],[Product ID]],Sales[[#All],[Net QTY]])</f>
        <v>49</v>
      </c>
      <c r="I477" s="52">
        <f>Stock[[#This Row],[Total Stock]]-Stock[[#This Row],[Selling Stock]]</f>
        <v>67</v>
      </c>
      <c r="J477" s="52">
        <f>VLOOKUP(Stock[[#This Row],[Product ID]],Product[#All],8,0)</f>
        <v>8</v>
      </c>
      <c r="K477" s="52" t="str">
        <f>IF(Stock[[#This Row],[Available Stock]]&lt;=Stock[[#This Row],[Reorder Level]],"Reorder","OK")</f>
        <v>OK</v>
      </c>
    </row>
    <row r="478" spans="1:11" ht="18.75" x14ac:dyDescent="0.25">
      <c r="A478" s="52" t="str">
        <f>Product[[#This Row],[Product ID]]</f>
        <v>P0476</v>
      </c>
      <c r="B478" s="52" t="str">
        <f>VLOOKUP(Stock[[#This Row],[Product ID]],Product[#All],2,0)</f>
        <v>Acer Laptop</v>
      </c>
      <c r="C478" s="52" t="str">
        <f>VLOOKUP(Stock[[#This Row],[Product ID]],Product[#All],3,0)</f>
        <v>Laptop</v>
      </c>
      <c r="D478" s="52" t="str">
        <f>VLOOKUP(Stock[[#This Row],[Product ID]],Product[#All],4,0)</f>
        <v>Acer</v>
      </c>
      <c r="E478" s="52">
        <f>SUMIF(Opning[[#All],[Product_ID]],Stock[[#This Row],[Product ID]],Opning[[#All],[Opening_Qty]])</f>
        <v>20</v>
      </c>
      <c r="F478" s="52">
        <f>SUMIF(Purchase[[#All],[Product ID]],Stock[[#This Row],[Product ID]],Purchase[[#All],[Net Qty]])</f>
        <v>102</v>
      </c>
      <c r="G478" s="52">
        <f>Stock[[#This Row],[Opening Stock]]+Stock[[#This Row],[Purchase Stock]]</f>
        <v>122</v>
      </c>
      <c r="H478" s="52">
        <f>SUMIF(Sales[[#All],[Product ID]],Stock[[#This Row],[Product ID]],Sales[[#All],[Net QTY]])</f>
        <v>43</v>
      </c>
      <c r="I478" s="52">
        <f>Stock[[#This Row],[Total Stock]]-Stock[[#This Row],[Selling Stock]]</f>
        <v>79</v>
      </c>
      <c r="J478" s="52">
        <f>VLOOKUP(Stock[[#This Row],[Product ID]],Product[#All],8,0)</f>
        <v>10</v>
      </c>
      <c r="K478" s="52" t="str">
        <f>IF(Stock[[#This Row],[Available Stock]]&lt;=Stock[[#This Row],[Reorder Level]],"Reorder","OK")</f>
        <v>OK</v>
      </c>
    </row>
    <row r="479" spans="1:11" ht="18.75" x14ac:dyDescent="0.25">
      <c r="A479" s="52" t="str">
        <f>Product[[#This Row],[Product ID]]</f>
        <v>P0477</v>
      </c>
      <c r="B479" s="52" t="str">
        <f>VLOOKUP(Stock[[#This Row],[Product ID]],Product[#All],2,0)</f>
        <v>TP-link Router</v>
      </c>
      <c r="C479" s="52" t="str">
        <f>VLOOKUP(Stock[[#This Row],[Product ID]],Product[#All],3,0)</f>
        <v>Rauter</v>
      </c>
      <c r="D479" s="52" t="str">
        <f>VLOOKUP(Stock[[#This Row],[Product ID]],Product[#All],4,0)</f>
        <v>TP-link</v>
      </c>
      <c r="E479" s="52">
        <f>SUMIF(Opning[[#All],[Product_ID]],Stock[[#This Row],[Product ID]],Opning[[#All],[Opening_Qty]])</f>
        <v>5</v>
      </c>
      <c r="F479" s="52">
        <f>SUMIF(Purchase[[#All],[Product ID]],Stock[[#This Row],[Product ID]],Purchase[[#All],[Net Qty]])</f>
        <v>165</v>
      </c>
      <c r="G479" s="52">
        <f>Stock[[#This Row],[Opening Stock]]+Stock[[#This Row],[Purchase Stock]]</f>
        <v>170</v>
      </c>
      <c r="H479" s="52">
        <f>SUMIF(Sales[[#All],[Product ID]],Stock[[#This Row],[Product ID]],Sales[[#All],[Net QTY]])</f>
        <v>29</v>
      </c>
      <c r="I479" s="52">
        <f>Stock[[#This Row],[Total Stock]]-Stock[[#This Row],[Selling Stock]]</f>
        <v>141</v>
      </c>
      <c r="J479" s="52">
        <f>VLOOKUP(Stock[[#This Row],[Product ID]],Product[#All],8,0)</f>
        <v>10</v>
      </c>
      <c r="K479" s="52" t="str">
        <f>IF(Stock[[#This Row],[Available Stock]]&lt;=Stock[[#This Row],[Reorder Level]],"Reorder","OK")</f>
        <v>OK</v>
      </c>
    </row>
    <row r="480" spans="1:11" ht="18.75" x14ac:dyDescent="0.25">
      <c r="A480" s="52" t="str">
        <f>Product[[#This Row],[Product ID]]</f>
        <v>P0478</v>
      </c>
      <c r="B480" s="52" t="str">
        <f>VLOOKUP(Stock[[#This Row],[Product ID]],Product[#All],2,0)</f>
        <v>Dell Laptop</v>
      </c>
      <c r="C480" s="52" t="str">
        <f>VLOOKUP(Stock[[#This Row],[Product ID]],Product[#All],3,0)</f>
        <v>Laptop</v>
      </c>
      <c r="D480" s="52" t="str">
        <f>VLOOKUP(Stock[[#This Row],[Product ID]],Product[#All],4,0)</f>
        <v>Dell</v>
      </c>
      <c r="E480" s="52">
        <f>SUMIF(Opning[[#All],[Product_ID]],Stock[[#This Row],[Product ID]],Opning[[#All],[Opening_Qty]])</f>
        <v>50</v>
      </c>
      <c r="F480" s="52">
        <f>SUMIF(Purchase[[#All],[Product ID]],Stock[[#This Row],[Product ID]],Purchase[[#All],[Net Qty]])</f>
        <v>61</v>
      </c>
      <c r="G480" s="52">
        <f>Stock[[#This Row],[Opening Stock]]+Stock[[#This Row],[Purchase Stock]]</f>
        <v>111</v>
      </c>
      <c r="H480" s="52">
        <f>SUMIF(Sales[[#All],[Product ID]],Stock[[#This Row],[Product ID]],Sales[[#All],[Net QTY]])</f>
        <v>51</v>
      </c>
      <c r="I480" s="52">
        <f>Stock[[#This Row],[Total Stock]]-Stock[[#This Row],[Selling Stock]]</f>
        <v>60</v>
      </c>
      <c r="J480" s="52">
        <f>VLOOKUP(Stock[[#This Row],[Product ID]],Product[#All],8,0)</f>
        <v>8</v>
      </c>
      <c r="K480" s="52" t="str">
        <f>IF(Stock[[#This Row],[Available Stock]]&lt;=Stock[[#This Row],[Reorder Level]],"Reorder","OK")</f>
        <v>OK</v>
      </c>
    </row>
    <row r="481" spans="1:11" ht="18.75" x14ac:dyDescent="0.25">
      <c r="A481" s="52" t="str">
        <f>Product[[#This Row],[Product ID]]</f>
        <v>P0479</v>
      </c>
      <c r="B481" s="52" t="str">
        <f>VLOOKUP(Stock[[#This Row],[Product ID]],Product[#All],2,0)</f>
        <v>HP Desktop</v>
      </c>
      <c r="C481" s="52" t="str">
        <f>VLOOKUP(Stock[[#This Row],[Product ID]],Product[#All],3,0)</f>
        <v>Desktop</v>
      </c>
      <c r="D481" s="52" t="str">
        <f>VLOOKUP(Stock[[#This Row],[Product ID]],Product[#All],4,0)</f>
        <v>HP</v>
      </c>
      <c r="E481" s="52">
        <f>SUMIF(Opning[[#All],[Product_ID]],Stock[[#This Row],[Product ID]],Opning[[#All],[Opening_Qty]])</f>
        <v>6</v>
      </c>
      <c r="F481" s="52">
        <f>SUMIF(Purchase[[#All],[Product ID]],Stock[[#This Row],[Product ID]],Purchase[[#All],[Net Qty]])</f>
        <v>62</v>
      </c>
      <c r="G481" s="52">
        <f>Stock[[#This Row],[Opening Stock]]+Stock[[#This Row],[Purchase Stock]]</f>
        <v>68</v>
      </c>
      <c r="H481" s="52">
        <f>SUMIF(Sales[[#All],[Product ID]],Stock[[#This Row],[Product ID]],Sales[[#All],[Net QTY]])</f>
        <v>47</v>
      </c>
      <c r="I481" s="52">
        <f>Stock[[#This Row],[Total Stock]]-Stock[[#This Row],[Selling Stock]]</f>
        <v>21</v>
      </c>
      <c r="J481" s="52">
        <f>VLOOKUP(Stock[[#This Row],[Product ID]],Product[#All],8,0)</f>
        <v>10</v>
      </c>
      <c r="K481" s="52" t="str">
        <f>IF(Stock[[#This Row],[Available Stock]]&lt;=Stock[[#This Row],[Reorder Level]],"Reorder","OK")</f>
        <v>OK</v>
      </c>
    </row>
    <row r="482" spans="1:11" ht="18.75" x14ac:dyDescent="0.25">
      <c r="A482" s="52" t="str">
        <f>Product[[#This Row],[Product ID]]</f>
        <v>P0480</v>
      </c>
      <c r="B482" s="52" t="str">
        <f>VLOOKUP(Stock[[#This Row],[Product ID]],Product[#All],2,0)</f>
        <v>Dell Laptop</v>
      </c>
      <c r="C482" s="52" t="str">
        <f>VLOOKUP(Stock[[#This Row],[Product ID]],Product[#All],3,0)</f>
        <v>Laptop</v>
      </c>
      <c r="D482" s="52" t="str">
        <f>VLOOKUP(Stock[[#This Row],[Product ID]],Product[#All],4,0)</f>
        <v>Dell</v>
      </c>
      <c r="E482" s="52">
        <f>SUMIF(Opning[[#All],[Product_ID]],Stock[[#This Row],[Product ID]],Opning[[#All],[Opening_Qty]])</f>
        <v>11</v>
      </c>
      <c r="F482" s="52">
        <f>SUMIF(Purchase[[#All],[Product ID]],Stock[[#This Row],[Product ID]],Purchase[[#All],[Net Qty]])</f>
        <v>159</v>
      </c>
      <c r="G482" s="52">
        <f>Stock[[#This Row],[Opening Stock]]+Stock[[#This Row],[Purchase Stock]]</f>
        <v>170</v>
      </c>
      <c r="H482" s="52">
        <f>SUMIF(Sales[[#All],[Product ID]],Stock[[#This Row],[Product ID]],Sales[[#All],[Net QTY]])</f>
        <v>24</v>
      </c>
      <c r="I482" s="52">
        <f>Stock[[#This Row],[Total Stock]]-Stock[[#This Row],[Selling Stock]]</f>
        <v>146</v>
      </c>
      <c r="J482" s="52">
        <f>VLOOKUP(Stock[[#This Row],[Product ID]],Product[#All],8,0)</f>
        <v>15</v>
      </c>
      <c r="K482" s="52" t="str">
        <f>IF(Stock[[#This Row],[Available Stock]]&lt;=Stock[[#This Row],[Reorder Level]],"Reorder","OK")</f>
        <v>OK</v>
      </c>
    </row>
    <row r="483" spans="1:11" ht="18.75" x14ac:dyDescent="0.25">
      <c r="A483" s="52" t="str">
        <f>Product[[#This Row],[Product ID]]</f>
        <v>P0481</v>
      </c>
      <c r="B483" s="52" t="str">
        <f>VLOOKUP(Stock[[#This Row],[Product ID]],Product[#All],2,0)</f>
        <v>Logitech Keyboard</v>
      </c>
      <c r="C483" s="52" t="str">
        <f>VLOOKUP(Stock[[#This Row],[Product ID]],Product[#All],3,0)</f>
        <v>Keyboard</v>
      </c>
      <c r="D483" s="52" t="str">
        <f>VLOOKUP(Stock[[#This Row],[Product ID]],Product[#All],4,0)</f>
        <v>Logitech</v>
      </c>
      <c r="E483" s="52">
        <f>SUMIF(Opning[[#All],[Product_ID]],Stock[[#This Row],[Product ID]],Opning[[#All],[Opening_Qty]])</f>
        <v>32</v>
      </c>
      <c r="F483" s="52">
        <f>SUMIF(Purchase[[#All],[Product ID]],Stock[[#This Row],[Product ID]],Purchase[[#All],[Net Qty]])</f>
        <v>226</v>
      </c>
      <c r="G483" s="52">
        <f>Stock[[#This Row],[Opening Stock]]+Stock[[#This Row],[Purchase Stock]]</f>
        <v>258</v>
      </c>
      <c r="H483" s="52">
        <f>SUMIF(Sales[[#All],[Product ID]],Stock[[#This Row],[Product ID]],Sales[[#All],[Net QTY]])</f>
        <v>40</v>
      </c>
      <c r="I483" s="52">
        <f>Stock[[#This Row],[Total Stock]]-Stock[[#This Row],[Selling Stock]]</f>
        <v>218</v>
      </c>
      <c r="J483" s="52">
        <f>VLOOKUP(Stock[[#This Row],[Product ID]],Product[#All],8,0)</f>
        <v>25</v>
      </c>
      <c r="K483" s="52" t="str">
        <f>IF(Stock[[#This Row],[Available Stock]]&lt;=Stock[[#This Row],[Reorder Level]],"Reorder","OK")</f>
        <v>OK</v>
      </c>
    </row>
    <row r="484" spans="1:11" ht="18.75" x14ac:dyDescent="0.25">
      <c r="A484" s="52" t="str">
        <f>Product[[#This Row],[Product ID]]</f>
        <v>P0482</v>
      </c>
      <c r="B484" s="52" t="str">
        <f>VLOOKUP(Stock[[#This Row],[Product ID]],Product[#All],2,0)</f>
        <v>Logitech Keyboard</v>
      </c>
      <c r="C484" s="52" t="str">
        <f>VLOOKUP(Stock[[#This Row],[Product ID]],Product[#All],3,0)</f>
        <v>Keyboard</v>
      </c>
      <c r="D484" s="52" t="str">
        <f>VLOOKUP(Stock[[#This Row],[Product ID]],Product[#All],4,0)</f>
        <v>Logitech</v>
      </c>
      <c r="E484" s="52">
        <f>SUMIF(Opning[[#All],[Product_ID]],Stock[[#This Row],[Product ID]],Opning[[#All],[Opening_Qty]])</f>
        <v>19</v>
      </c>
      <c r="F484" s="52">
        <f>SUMIF(Purchase[[#All],[Product ID]],Stock[[#This Row],[Product ID]],Purchase[[#All],[Net Qty]])</f>
        <v>121</v>
      </c>
      <c r="G484" s="52">
        <f>Stock[[#This Row],[Opening Stock]]+Stock[[#This Row],[Purchase Stock]]</f>
        <v>140</v>
      </c>
      <c r="H484" s="52">
        <f>SUMIF(Sales[[#All],[Product ID]],Stock[[#This Row],[Product ID]],Sales[[#All],[Net QTY]])</f>
        <v>32</v>
      </c>
      <c r="I484" s="52">
        <f>Stock[[#This Row],[Total Stock]]-Stock[[#This Row],[Selling Stock]]</f>
        <v>108</v>
      </c>
      <c r="J484" s="52">
        <f>VLOOKUP(Stock[[#This Row],[Product ID]],Product[#All],8,0)</f>
        <v>5</v>
      </c>
      <c r="K484" s="52" t="str">
        <f>IF(Stock[[#This Row],[Available Stock]]&lt;=Stock[[#This Row],[Reorder Level]],"Reorder","OK")</f>
        <v>OK</v>
      </c>
    </row>
    <row r="485" spans="1:11" ht="18.75" x14ac:dyDescent="0.25">
      <c r="A485" s="52" t="str">
        <f>Product[[#This Row],[Product ID]]</f>
        <v>P0483</v>
      </c>
      <c r="B485" s="52" t="str">
        <f>VLOOKUP(Stock[[#This Row],[Product ID]],Product[#All],2,0)</f>
        <v>Dell Laptop</v>
      </c>
      <c r="C485" s="52" t="str">
        <f>VLOOKUP(Stock[[#This Row],[Product ID]],Product[#All],3,0)</f>
        <v>Laptop</v>
      </c>
      <c r="D485" s="52" t="str">
        <f>VLOOKUP(Stock[[#This Row],[Product ID]],Product[#All],4,0)</f>
        <v>Dell</v>
      </c>
      <c r="E485" s="52">
        <f>SUMIF(Opning[[#All],[Product_ID]],Stock[[#This Row],[Product ID]],Opning[[#All],[Opening_Qty]])</f>
        <v>54</v>
      </c>
      <c r="F485" s="52">
        <f>SUMIF(Purchase[[#All],[Product ID]],Stock[[#This Row],[Product ID]],Purchase[[#All],[Net Qty]])</f>
        <v>125</v>
      </c>
      <c r="G485" s="52">
        <f>Stock[[#This Row],[Opening Stock]]+Stock[[#This Row],[Purchase Stock]]</f>
        <v>179</v>
      </c>
      <c r="H485" s="52">
        <f>SUMIF(Sales[[#All],[Product ID]],Stock[[#This Row],[Product ID]],Sales[[#All],[Net QTY]])</f>
        <v>52</v>
      </c>
      <c r="I485" s="52">
        <f>Stock[[#This Row],[Total Stock]]-Stock[[#This Row],[Selling Stock]]</f>
        <v>127</v>
      </c>
      <c r="J485" s="52">
        <f>VLOOKUP(Stock[[#This Row],[Product ID]],Product[#All],8,0)</f>
        <v>8</v>
      </c>
      <c r="K485" s="52" t="str">
        <f>IF(Stock[[#This Row],[Available Stock]]&lt;=Stock[[#This Row],[Reorder Level]],"Reorder","OK")</f>
        <v>OK</v>
      </c>
    </row>
    <row r="486" spans="1:11" ht="18.75" x14ac:dyDescent="0.25">
      <c r="A486" s="52" t="str">
        <f>Product[[#This Row],[Product ID]]</f>
        <v>P0484</v>
      </c>
      <c r="B486" s="52" t="str">
        <f>VLOOKUP(Stock[[#This Row],[Product ID]],Product[#All],2,0)</f>
        <v>Acer Laptop</v>
      </c>
      <c r="C486" s="52" t="str">
        <f>VLOOKUP(Stock[[#This Row],[Product ID]],Product[#All],3,0)</f>
        <v>Laptop</v>
      </c>
      <c r="D486" s="52" t="str">
        <f>VLOOKUP(Stock[[#This Row],[Product ID]],Product[#All],4,0)</f>
        <v>Acer</v>
      </c>
      <c r="E486" s="52">
        <f>SUMIF(Opning[[#All],[Product_ID]],Stock[[#This Row],[Product ID]],Opning[[#All],[Opening_Qty]])</f>
        <v>19</v>
      </c>
      <c r="F486" s="52">
        <f>SUMIF(Purchase[[#All],[Product ID]],Stock[[#This Row],[Product ID]],Purchase[[#All],[Net Qty]])</f>
        <v>139</v>
      </c>
      <c r="G486" s="52">
        <f>Stock[[#This Row],[Opening Stock]]+Stock[[#This Row],[Purchase Stock]]</f>
        <v>158</v>
      </c>
      <c r="H486" s="52">
        <f>SUMIF(Sales[[#All],[Product ID]],Stock[[#This Row],[Product ID]],Sales[[#All],[Net QTY]])</f>
        <v>32</v>
      </c>
      <c r="I486" s="52">
        <f>Stock[[#This Row],[Total Stock]]-Stock[[#This Row],[Selling Stock]]</f>
        <v>126</v>
      </c>
      <c r="J486" s="52">
        <f>VLOOKUP(Stock[[#This Row],[Product ID]],Product[#All],8,0)</f>
        <v>5</v>
      </c>
      <c r="K486" s="52" t="str">
        <f>IF(Stock[[#This Row],[Available Stock]]&lt;=Stock[[#This Row],[Reorder Level]],"Reorder","OK")</f>
        <v>OK</v>
      </c>
    </row>
    <row r="487" spans="1:11" ht="18.75" x14ac:dyDescent="0.25">
      <c r="A487" s="52" t="str">
        <f>Product[[#This Row],[Product ID]]</f>
        <v>P0485</v>
      </c>
      <c r="B487" s="52" t="str">
        <f>VLOOKUP(Stock[[#This Row],[Product ID]],Product[#All],2,0)</f>
        <v>Canon Printer</v>
      </c>
      <c r="C487" s="52" t="str">
        <f>VLOOKUP(Stock[[#This Row],[Product ID]],Product[#All],3,0)</f>
        <v>Printer</v>
      </c>
      <c r="D487" s="52" t="str">
        <f>VLOOKUP(Stock[[#This Row],[Product ID]],Product[#All],4,0)</f>
        <v>Canon</v>
      </c>
      <c r="E487" s="52">
        <f>SUMIF(Opning[[#All],[Product_ID]],Stock[[#This Row],[Product ID]],Opning[[#All],[Opening_Qty]])</f>
        <v>27</v>
      </c>
      <c r="F487" s="52">
        <f>SUMIF(Purchase[[#All],[Product ID]],Stock[[#This Row],[Product ID]],Purchase[[#All],[Net Qty]])</f>
        <v>191</v>
      </c>
      <c r="G487" s="52">
        <f>Stock[[#This Row],[Opening Stock]]+Stock[[#This Row],[Purchase Stock]]</f>
        <v>218</v>
      </c>
      <c r="H487" s="52">
        <f>SUMIF(Sales[[#All],[Product ID]],Stock[[#This Row],[Product ID]],Sales[[#All],[Net QTY]])</f>
        <v>42</v>
      </c>
      <c r="I487" s="52">
        <f>Stock[[#This Row],[Total Stock]]-Stock[[#This Row],[Selling Stock]]</f>
        <v>176</v>
      </c>
      <c r="J487" s="52">
        <f>VLOOKUP(Stock[[#This Row],[Product ID]],Product[#All],8,0)</f>
        <v>15</v>
      </c>
      <c r="K487" s="52" t="str">
        <f>IF(Stock[[#This Row],[Available Stock]]&lt;=Stock[[#This Row],[Reorder Level]],"Reorder","OK")</f>
        <v>OK</v>
      </c>
    </row>
    <row r="488" spans="1:11" ht="18.75" x14ac:dyDescent="0.25">
      <c r="A488" s="52" t="str">
        <f>Product[[#This Row],[Product ID]]</f>
        <v>P0486</v>
      </c>
      <c r="B488" s="52" t="str">
        <f>VLOOKUP(Stock[[#This Row],[Product ID]],Product[#All],2,0)</f>
        <v>Dell Desktop</v>
      </c>
      <c r="C488" s="52" t="str">
        <f>VLOOKUP(Stock[[#This Row],[Product ID]],Product[#All],3,0)</f>
        <v>Desktop</v>
      </c>
      <c r="D488" s="52" t="str">
        <f>VLOOKUP(Stock[[#This Row],[Product ID]],Product[#All],4,0)</f>
        <v>Dell</v>
      </c>
      <c r="E488" s="52">
        <f>SUMIF(Opning[[#All],[Product_ID]],Stock[[#This Row],[Product ID]],Opning[[#All],[Opening_Qty]])</f>
        <v>48</v>
      </c>
      <c r="F488" s="52">
        <f>SUMIF(Purchase[[#All],[Product ID]],Stock[[#This Row],[Product ID]],Purchase[[#All],[Net Qty]])</f>
        <v>0</v>
      </c>
      <c r="G488" s="52">
        <f>Stock[[#This Row],[Opening Stock]]+Stock[[#This Row],[Purchase Stock]]</f>
        <v>48</v>
      </c>
      <c r="H488" s="52">
        <f>SUMIF(Sales[[#All],[Product ID]],Stock[[#This Row],[Product ID]],Sales[[#All],[Net QTY]])</f>
        <v>42</v>
      </c>
      <c r="I488" s="52">
        <f>Stock[[#This Row],[Total Stock]]-Stock[[#This Row],[Selling Stock]]</f>
        <v>6</v>
      </c>
      <c r="J488" s="52">
        <f>VLOOKUP(Stock[[#This Row],[Product ID]],Product[#All],8,0)</f>
        <v>15</v>
      </c>
      <c r="K488" s="52" t="str">
        <f>IF(Stock[[#This Row],[Available Stock]]&lt;=Stock[[#This Row],[Reorder Level]],"Reorder","OK")</f>
        <v>Reorder</v>
      </c>
    </row>
    <row r="489" spans="1:11" ht="18.75" x14ac:dyDescent="0.25">
      <c r="A489" s="52" t="str">
        <f>Product[[#This Row],[Product ID]]</f>
        <v>P0487</v>
      </c>
      <c r="B489" s="52" t="str">
        <f>VLOOKUP(Stock[[#This Row],[Product ID]],Product[#All],2,0)</f>
        <v>Crucial Ssd</v>
      </c>
      <c r="C489" s="52" t="str">
        <f>VLOOKUP(Stock[[#This Row],[Product ID]],Product[#All],3,0)</f>
        <v>SSD</v>
      </c>
      <c r="D489" s="52" t="str">
        <f>VLOOKUP(Stock[[#This Row],[Product ID]],Product[#All],4,0)</f>
        <v>Crucial</v>
      </c>
      <c r="E489" s="52">
        <f>SUMIF(Opning[[#All],[Product_ID]],Stock[[#This Row],[Product ID]],Opning[[#All],[Opening_Qty]])</f>
        <v>33</v>
      </c>
      <c r="F489" s="52">
        <f>SUMIF(Purchase[[#All],[Product ID]],Stock[[#This Row],[Product ID]],Purchase[[#All],[Net Qty]])</f>
        <v>42</v>
      </c>
      <c r="G489" s="52">
        <f>Stock[[#This Row],[Opening Stock]]+Stock[[#This Row],[Purchase Stock]]</f>
        <v>75</v>
      </c>
      <c r="H489" s="52">
        <f>SUMIF(Sales[[#All],[Product ID]],Stock[[#This Row],[Product ID]],Sales[[#All],[Net QTY]])</f>
        <v>43</v>
      </c>
      <c r="I489" s="52">
        <f>Stock[[#This Row],[Total Stock]]-Stock[[#This Row],[Selling Stock]]</f>
        <v>32</v>
      </c>
      <c r="J489" s="52">
        <f>VLOOKUP(Stock[[#This Row],[Product ID]],Product[#All],8,0)</f>
        <v>10</v>
      </c>
      <c r="K489" s="52" t="str">
        <f>IF(Stock[[#This Row],[Available Stock]]&lt;=Stock[[#This Row],[Reorder Level]],"Reorder","OK")</f>
        <v>OK</v>
      </c>
    </row>
    <row r="490" spans="1:11" ht="18.75" x14ac:dyDescent="0.25">
      <c r="A490" s="52" t="str">
        <f>Product[[#This Row],[Product ID]]</f>
        <v>P0488</v>
      </c>
      <c r="B490" s="52" t="str">
        <f>VLOOKUP(Stock[[#This Row],[Product ID]],Product[#All],2,0)</f>
        <v>Logitech Webcam</v>
      </c>
      <c r="C490" s="52" t="str">
        <f>VLOOKUP(Stock[[#This Row],[Product ID]],Product[#All],3,0)</f>
        <v>Webcam</v>
      </c>
      <c r="D490" s="52" t="str">
        <f>VLOOKUP(Stock[[#This Row],[Product ID]],Product[#All],4,0)</f>
        <v>Logitech</v>
      </c>
      <c r="E490" s="52">
        <f>SUMIF(Opning[[#All],[Product_ID]],Stock[[#This Row],[Product ID]],Opning[[#All],[Opening_Qty]])</f>
        <v>7</v>
      </c>
      <c r="F490" s="52">
        <f>SUMIF(Purchase[[#All],[Product ID]],Stock[[#This Row],[Product ID]],Purchase[[#All],[Net Qty]])</f>
        <v>38</v>
      </c>
      <c r="G490" s="52">
        <f>Stock[[#This Row],[Opening Stock]]+Stock[[#This Row],[Purchase Stock]]</f>
        <v>45</v>
      </c>
      <c r="H490" s="52">
        <f>SUMIF(Sales[[#All],[Product ID]],Stock[[#This Row],[Product ID]],Sales[[#All],[Net QTY]])</f>
        <v>25</v>
      </c>
      <c r="I490" s="52">
        <f>Stock[[#This Row],[Total Stock]]-Stock[[#This Row],[Selling Stock]]</f>
        <v>20</v>
      </c>
      <c r="J490" s="52">
        <f>VLOOKUP(Stock[[#This Row],[Product ID]],Product[#All],8,0)</f>
        <v>15</v>
      </c>
      <c r="K490" s="52" t="str">
        <f>IF(Stock[[#This Row],[Available Stock]]&lt;=Stock[[#This Row],[Reorder Level]],"Reorder","OK")</f>
        <v>OK</v>
      </c>
    </row>
    <row r="491" spans="1:11" ht="18.75" x14ac:dyDescent="0.25">
      <c r="A491" s="52" t="str">
        <f>Product[[#This Row],[Product ID]]</f>
        <v>P0489</v>
      </c>
      <c r="B491" s="52" t="str">
        <f>VLOOKUP(Stock[[#This Row],[Product ID]],Product[#All],2,0)</f>
        <v>Logitech Mouse</v>
      </c>
      <c r="C491" s="52" t="str">
        <f>VLOOKUP(Stock[[#This Row],[Product ID]],Product[#All],3,0)</f>
        <v>Mouse</v>
      </c>
      <c r="D491" s="52" t="str">
        <f>VLOOKUP(Stock[[#This Row],[Product ID]],Product[#All],4,0)</f>
        <v>Logitech</v>
      </c>
      <c r="E491" s="52">
        <f>SUMIF(Opning[[#All],[Product_ID]],Stock[[#This Row],[Product ID]],Opning[[#All],[Opening_Qty]])</f>
        <v>14</v>
      </c>
      <c r="F491" s="52">
        <f>SUMIF(Purchase[[#All],[Product ID]],Stock[[#This Row],[Product ID]],Purchase[[#All],[Net Qty]])</f>
        <v>95</v>
      </c>
      <c r="G491" s="52">
        <f>Stock[[#This Row],[Opening Stock]]+Stock[[#This Row],[Purchase Stock]]</f>
        <v>109</v>
      </c>
      <c r="H491" s="52">
        <f>SUMIF(Sales[[#All],[Product ID]],Stock[[#This Row],[Product ID]],Sales[[#All],[Net QTY]])</f>
        <v>63</v>
      </c>
      <c r="I491" s="52">
        <f>Stock[[#This Row],[Total Stock]]-Stock[[#This Row],[Selling Stock]]</f>
        <v>46</v>
      </c>
      <c r="J491" s="52">
        <f>VLOOKUP(Stock[[#This Row],[Product ID]],Product[#All],8,0)</f>
        <v>25</v>
      </c>
      <c r="K491" s="52" t="str">
        <f>IF(Stock[[#This Row],[Available Stock]]&lt;=Stock[[#This Row],[Reorder Level]],"Reorder","OK")</f>
        <v>OK</v>
      </c>
    </row>
    <row r="492" spans="1:11" ht="18.75" x14ac:dyDescent="0.25">
      <c r="A492" s="52" t="str">
        <f>Product[[#This Row],[Product ID]]</f>
        <v>P0490</v>
      </c>
      <c r="B492" s="52" t="str">
        <f>VLOOKUP(Stock[[#This Row],[Product ID]],Product[#All],2,0)</f>
        <v>HP Printer</v>
      </c>
      <c r="C492" s="52" t="str">
        <f>VLOOKUP(Stock[[#This Row],[Product ID]],Product[#All],3,0)</f>
        <v>Printer</v>
      </c>
      <c r="D492" s="52" t="str">
        <f>VLOOKUP(Stock[[#This Row],[Product ID]],Product[#All],4,0)</f>
        <v>HP</v>
      </c>
      <c r="E492" s="52">
        <f>SUMIF(Opning[[#All],[Product_ID]],Stock[[#This Row],[Product ID]],Opning[[#All],[Opening_Qty]])</f>
        <v>15</v>
      </c>
      <c r="F492" s="52">
        <f>SUMIF(Purchase[[#All],[Product ID]],Stock[[#This Row],[Product ID]],Purchase[[#All],[Net Qty]])</f>
        <v>121</v>
      </c>
      <c r="G492" s="52">
        <f>Stock[[#This Row],[Opening Stock]]+Stock[[#This Row],[Purchase Stock]]</f>
        <v>136</v>
      </c>
      <c r="H492" s="52">
        <f>SUMIF(Sales[[#All],[Product ID]],Stock[[#This Row],[Product ID]],Sales[[#All],[Net QTY]])</f>
        <v>51</v>
      </c>
      <c r="I492" s="52">
        <f>Stock[[#This Row],[Total Stock]]-Stock[[#This Row],[Selling Stock]]</f>
        <v>85</v>
      </c>
      <c r="J492" s="52">
        <f>VLOOKUP(Stock[[#This Row],[Product ID]],Product[#All],8,0)</f>
        <v>20</v>
      </c>
      <c r="K492" s="52" t="str">
        <f>IF(Stock[[#This Row],[Available Stock]]&lt;=Stock[[#This Row],[Reorder Level]],"Reorder","OK")</f>
        <v>OK</v>
      </c>
    </row>
    <row r="493" spans="1:11" ht="18.75" x14ac:dyDescent="0.25">
      <c r="A493" s="52" t="str">
        <f>Product[[#This Row],[Product ID]]</f>
        <v>P0491</v>
      </c>
      <c r="B493" s="52" t="str">
        <f>VLOOKUP(Stock[[#This Row],[Product ID]],Product[#All],2,0)</f>
        <v>WD HDD</v>
      </c>
      <c r="C493" s="52" t="str">
        <f>VLOOKUP(Stock[[#This Row],[Product ID]],Product[#All],3,0)</f>
        <v>HDD</v>
      </c>
      <c r="D493" s="52" t="str">
        <f>VLOOKUP(Stock[[#This Row],[Product ID]],Product[#All],4,0)</f>
        <v>WD</v>
      </c>
      <c r="E493" s="52">
        <f>SUMIF(Opning[[#All],[Product_ID]],Stock[[#This Row],[Product ID]],Opning[[#All],[Opening_Qty]])</f>
        <v>21</v>
      </c>
      <c r="F493" s="52">
        <f>SUMIF(Purchase[[#All],[Product ID]],Stock[[#This Row],[Product ID]],Purchase[[#All],[Net Qty]])</f>
        <v>192</v>
      </c>
      <c r="G493" s="52">
        <f>Stock[[#This Row],[Opening Stock]]+Stock[[#This Row],[Purchase Stock]]</f>
        <v>213</v>
      </c>
      <c r="H493" s="52">
        <f>SUMIF(Sales[[#All],[Product ID]],Stock[[#This Row],[Product ID]],Sales[[#All],[Net QTY]])</f>
        <v>33</v>
      </c>
      <c r="I493" s="52">
        <f>Stock[[#This Row],[Total Stock]]-Stock[[#This Row],[Selling Stock]]</f>
        <v>180</v>
      </c>
      <c r="J493" s="52">
        <f>VLOOKUP(Stock[[#This Row],[Product ID]],Product[#All],8,0)</f>
        <v>20</v>
      </c>
      <c r="K493" s="52" t="str">
        <f>IF(Stock[[#This Row],[Available Stock]]&lt;=Stock[[#This Row],[Reorder Level]],"Reorder","OK")</f>
        <v>OK</v>
      </c>
    </row>
    <row r="494" spans="1:11" ht="18.75" x14ac:dyDescent="0.25">
      <c r="A494" s="52" t="str">
        <f>Product[[#This Row],[Product ID]]</f>
        <v>P0492</v>
      </c>
      <c r="B494" s="52" t="str">
        <f>VLOOKUP(Stock[[#This Row],[Product ID]],Product[#All],2,0)</f>
        <v>Crucial Ssd</v>
      </c>
      <c r="C494" s="52" t="str">
        <f>VLOOKUP(Stock[[#This Row],[Product ID]],Product[#All],3,0)</f>
        <v>SSD</v>
      </c>
      <c r="D494" s="52" t="str">
        <f>VLOOKUP(Stock[[#This Row],[Product ID]],Product[#All],4,0)</f>
        <v>Crucial</v>
      </c>
      <c r="E494" s="52">
        <f>SUMIF(Opning[[#All],[Product_ID]],Stock[[#This Row],[Product ID]],Opning[[#All],[Opening_Qty]])</f>
        <v>36</v>
      </c>
      <c r="F494" s="52">
        <f>SUMIF(Purchase[[#All],[Product ID]],Stock[[#This Row],[Product ID]],Purchase[[#All],[Net Qty]])</f>
        <v>72</v>
      </c>
      <c r="G494" s="52">
        <f>Stock[[#This Row],[Opening Stock]]+Stock[[#This Row],[Purchase Stock]]</f>
        <v>108</v>
      </c>
      <c r="H494" s="52">
        <f>SUMIF(Sales[[#All],[Product ID]],Stock[[#This Row],[Product ID]],Sales[[#All],[Net QTY]])</f>
        <v>21</v>
      </c>
      <c r="I494" s="52">
        <f>Stock[[#This Row],[Total Stock]]-Stock[[#This Row],[Selling Stock]]</f>
        <v>87</v>
      </c>
      <c r="J494" s="52">
        <f>VLOOKUP(Stock[[#This Row],[Product ID]],Product[#All],8,0)</f>
        <v>25</v>
      </c>
      <c r="K494" s="52" t="str">
        <f>IF(Stock[[#This Row],[Available Stock]]&lt;=Stock[[#This Row],[Reorder Level]],"Reorder","OK")</f>
        <v>OK</v>
      </c>
    </row>
    <row r="495" spans="1:11" ht="18.75" x14ac:dyDescent="0.25">
      <c r="A495" s="52" t="str">
        <f>Product[[#This Row],[Product ID]]</f>
        <v>P0493</v>
      </c>
      <c r="B495" s="52" t="str">
        <f>VLOOKUP(Stock[[#This Row],[Product ID]],Product[#All],2,0)</f>
        <v>Samsung Monitor</v>
      </c>
      <c r="C495" s="52" t="str">
        <f>VLOOKUP(Stock[[#This Row],[Product ID]],Product[#All],3,0)</f>
        <v>Monitor</v>
      </c>
      <c r="D495" s="52" t="str">
        <f>VLOOKUP(Stock[[#This Row],[Product ID]],Product[#All],4,0)</f>
        <v>Samsung</v>
      </c>
      <c r="E495" s="52">
        <f>SUMIF(Opning[[#All],[Product_ID]],Stock[[#This Row],[Product ID]],Opning[[#All],[Opening_Qty]])</f>
        <v>52</v>
      </c>
      <c r="F495" s="52">
        <f>SUMIF(Purchase[[#All],[Product ID]],Stock[[#This Row],[Product ID]],Purchase[[#All],[Net Qty]])</f>
        <v>176</v>
      </c>
      <c r="G495" s="52">
        <f>Stock[[#This Row],[Opening Stock]]+Stock[[#This Row],[Purchase Stock]]</f>
        <v>228</v>
      </c>
      <c r="H495" s="52">
        <f>SUMIF(Sales[[#All],[Product ID]],Stock[[#This Row],[Product ID]],Sales[[#All],[Net QTY]])</f>
        <v>22</v>
      </c>
      <c r="I495" s="52">
        <f>Stock[[#This Row],[Total Stock]]-Stock[[#This Row],[Selling Stock]]</f>
        <v>206</v>
      </c>
      <c r="J495" s="52">
        <f>VLOOKUP(Stock[[#This Row],[Product ID]],Product[#All],8,0)</f>
        <v>5</v>
      </c>
      <c r="K495" s="52" t="str">
        <f>IF(Stock[[#This Row],[Available Stock]]&lt;=Stock[[#This Row],[Reorder Level]],"Reorder","OK")</f>
        <v>OK</v>
      </c>
    </row>
    <row r="496" spans="1:11" ht="18.75" x14ac:dyDescent="0.25">
      <c r="A496" s="52" t="str">
        <f>Product[[#This Row],[Product ID]]</f>
        <v>P0494</v>
      </c>
      <c r="B496" s="52" t="str">
        <f>VLOOKUP(Stock[[#This Row],[Product ID]],Product[#All],2,0)</f>
        <v>HP Power Adapter</v>
      </c>
      <c r="C496" s="52" t="str">
        <f>VLOOKUP(Stock[[#This Row],[Product ID]],Product[#All],3,0)</f>
        <v>Power Adapter</v>
      </c>
      <c r="D496" s="52" t="str">
        <f>VLOOKUP(Stock[[#This Row],[Product ID]],Product[#All],4,0)</f>
        <v>HP</v>
      </c>
      <c r="E496" s="52">
        <f>SUMIF(Opning[[#All],[Product_ID]],Stock[[#This Row],[Product ID]],Opning[[#All],[Opening_Qty]])</f>
        <v>12</v>
      </c>
      <c r="F496" s="52">
        <f>SUMIF(Purchase[[#All],[Product ID]],Stock[[#This Row],[Product ID]],Purchase[[#All],[Net Qty]])</f>
        <v>82</v>
      </c>
      <c r="G496" s="52">
        <f>Stock[[#This Row],[Opening Stock]]+Stock[[#This Row],[Purchase Stock]]</f>
        <v>94</v>
      </c>
      <c r="H496" s="52">
        <f>SUMIF(Sales[[#All],[Product ID]],Stock[[#This Row],[Product ID]],Sales[[#All],[Net QTY]])</f>
        <v>61</v>
      </c>
      <c r="I496" s="52">
        <f>Stock[[#This Row],[Total Stock]]-Stock[[#This Row],[Selling Stock]]</f>
        <v>33</v>
      </c>
      <c r="J496" s="52">
        <f>VLOOKUP(Stock[[#This Row],[Product ID]],Product[#All],8,0)</f>
        <v>10</v>
      </c>
      <c r="K496" s="52" t="str">
        <f>IF(Stock[[#This Row],[Available Stock]]&lt;=Stock[[#This Row],[Reorder Level]],"Reorder","OK")</f>
        <v>OK</v>
      </c>
    </row>
    <row r="497" spans="1:11" ht="18.75" x14ac:dyDescent="0.25">
      <c r="A497" s="52" t="str">
        <f>Product[[#This Row],[Product ID]]</f>
        <v>P0495</v>
      </c>
      <c r="B497" s="52" t="str">
        <f>VLOOKUP(Stock[[#This Row],[Product ID]],Product[#All],2,0)</f>
        <v>Boat Headset</v>
      </c>
      <c r="C497" s="52" t="str">
        <f>VLOOKUP(Stock[[#This Row],[Product ID]],Product[#All],3,0)</f>
        <v>Headset</v>
      </c>
      <c r="D497" s="52" t="str">
        <f>VLOOKUP(Stock[[#This Row],[Product ID]],Product[#All],4,0)</f>
        <v>Boat</v>
      </c>
      <c r="E497" s="52">
        <f>SUMIF(Opning[[#All],[Product_ID]],Stock[[#This Row],[Product ID]],Opning[[#All],[Opening_Qty]])</f>
        <v>21</v>
      </c>
      <c r="F497" s="52">
        <f>SUMIF(Purchase[[#All],[Product ID]],Stock[[#This Row],[Product ID]],Purchase[[#All],[Net Qty]])</f>
        <v>128</v>
      </c>
      <c r="G497" s="52">
        <f>Stock[[#This Row],[Opening Stock]]+Stock[[#This Row],[Purchase Stock]]</f>
        <v>149</v>
      </c>
      <c r="H497" s="52">
        <f>SUMIF(Sales[[#All],[Product ID]],Stock[[#This Row],[Product ID]],Sales[[#All],[Net QTY]])</f>
        <v>43</v>
      </c>
      <c r="I497" s="52">
        <f>Stock[[#This Row],[Total Stock]]-Stock[[#This Row],[Selling Stock]]</f>
        <v>106</v>
      </c>
      <c r="J497" s="52">
        <f>VLOOKUP(Stock[[#This Row],[Product ID]],Product[#All],8,0)</f>
        <v>25</v>
      </c>
      <c r="K497" s="52" t="str">
        <f>IF(Stock[[#This Row],[Available Stock]]&lt;=Stock[[#This Row],[Reorder Level]],"Reorder","OK")</f>
        <v>OK</v>
      </c>
    </row>
    <row r="498" spans="1:11" ht="18.75" x14ac:dyDescent="0.25">
      <c r="A498" s="52" t="str">
        <f>Product[[#This Row],[Product ID]]</f>
        <v>P0496</v>
      </c>
      <c r="B498" s="52" t="str">
        <f>VLOOKUP(Stock[[#This Row],[Product ID]],Product[#All],2,0)</f>
        <v>TP-link Wi-Fi Adapter</v>
      </c>
      <c r="C498" s="52" t="str">
        <f>VLOOKUP(Stock[[#This Row],[Product ID]],Product[#All],3,0)</f>
        <v>Wi-Fi Adapter</v>
      </c>
      <c r="D498" s="52" t="str">
        <f>VLOOKUP(Stock[[#This Row],[Product ID]],Product[#All],4,0)</f>
        <v>TP-link</v>
      </c>
      <c r="E498" s="52">
        <f>SUMIF(Opning[[#All],[Product_ID]],Stock[[#This Row],[Product ID]],Opning[[#All],[Opening_Qty]])</f>
        <v>21</v>
      </c>
      <c r="F498" s="52">
        <f>SUMIF(Purchase[[#All],[Product ID]],Stock[[#This Row],[Product ID]],Purchase[[#All],[Net Qty]])</f>
        <v>131</v>
      </c>
      <c r="G498" s="52">
        <f>Stock[[#This Row],[Opening Stock]]+Stock[[#This Row],[Purchase Stock]]</f>
        <v>152</v>
      </c>
      <c r="H498" s="52">
        <f>SUMIF(Sales[[#All],[Product ID]],Stock[[#This Row],[Product ID]],Sales[[#All],[Net QTY]])</f>
        <v>40</v>
      </c>
      <c r="I498" s="52">
        <f>Stock[[#This Row],[Total Stock]]-Stock[[#This Row],[Selling Stock]]</f>
        <v>112</v>
      </c>
      <c r="J498" s="52">
        <f>VLOOKUP(Stock[[#This Row],[Product ID]],Product[#All],8,0)</f>
        <v>20</v>
      </c>
      <c r="K498" s="52" t="str">
        <f>IF(Stock[[#This Row],[Available Stock]]&lt;=Stock[[#This Row],[Reorder Level]],"Reorder","OK")</f>
        <v>OK</v>
      </c>
    </row>
    <row r="499" spans="1:11" ht="18.75" x14ac:dyDescent="0.25">
      <c r="A499" s="52" t="str">
        <f>Product[[#This Row],[Product ID]]</f>
        <v>P0497</v>
      </c>
      <c r="B499" s="52" t="str">
        <f>VLOOKUP(Stock[[#This Row],[Product ID]],Product[#All],2,0)</f>
        <v>Epson Printer</v>
      </c>
      <c r="C499" s="52" t="str">
        <f>VLOOKUP(Stock[[#This Row],[Product ID]],Product[#All],3,0)</f>
        <v>Printer</v>
      </c>
      <c r="D499" s="52" t="str">
        <f>VLOOKUP(Stock[[#This Row],[Product ID]],Product[#All],4,0)</f>
        <v>Epson</v>
      </c>
      <c r="E499" s="52">
        <f>SUMIF(Opning[[#All],[Product_ID]],Stock[[#This Row],[Product ID]],Opning[[#All],[Opening_Qty]])</f>
        <v>58</v>
      </c>
      <c r="F499" s="52">
        <f>SUMIF(Purchase[[#All],[Product ID]],Stock[[#This Row],[Product ID]],Purchase[[#All],[Net Qty]])</f>
        <v>99</v>
      </c>
      <c r="G499" s="52">
        <f>Stock[[#This Row],[Opening Stock]]+Stock[[#This Row],[Purchase Stock]]</f>
        <v>157</v>
      </c>
      <c r="H499" s="52">
        <f>SUMIF(Sales[[#All],[Product ID]],Stock[[#This Row],[Product ID]],Sales[[#All],[Net QTY]])</f>
        <v>53</v>
      </c>
      <c r="I499" s="52">
        <f>Stock[[#This Row],[Total Stock]]-Stock[[#This Row],[Selling Stock]]</f>
        <v>104</v>
      </c>
      <c r="J499" s="52">
        <f>VLOOKUP(Stock[[#This Row],[Product ID]],Product[#All],8,0)</f>
        <v>25</v>
      </c>
      <c r="K499" s="52" t="str">
        <f>IF(Stock[[#This Row],[Available Stock]]&lt;=Stock[[#This Row],[Reorder Level]],"Reorder","OK")</f>
        <v>OK</v>
      </c>
    </row>
    <row r="500" spans="1:11" ht="18.75" x14ac:dyDescent="0.25">
      <c r="A500" s="52" t="str">
        <f>Product[[#This Row],[Product ID]]</f>
        <v>P0498</v>
      </c>
      <c r="B500" s="52" t="str">
        <f>VLOOKUP(Stock[[#This Row],[Product ID]],Product[#All],2,0)</f>
        <v>American TouristerLaptopBag</v>
      </c>
      <c r="C500" s="52" t="str">
        <f>VLOOKUP(Stock[[#This Row],[Product ID]],Product[#All],3,0)</f>
        <v>Laptop Bag</v>
      </c>
      <c r="D500" s="52" t="str">
        <f>VLOOKUP(Stock[[#This Row],[Product ID]],Product[#All],4,0)</f>
        <v>American Tourister</v>
      </c>
      <c r="E500" s="52">
        <f>SUMIF(Opning[[#All],[Product_ID]],Stock[[#This Row],[Product ID]],Opning[[#All],[Opening_Qty]])</f>
        <v>13</v>
      </c>
      <c r="F500" s="52">
        <f>SUMIF(Purchase[[#All],[Product ID]],Stock[[#This Row],[Product ID]],Purchase[[#All],[Net Qty]])</f>
        <v>45</v>
      </c>
      <c r="G500" s="52">
        <f>Stock[[#This Row],[Opening Stock]]+Stock[[#This Row],[Purchase Stock]]</f>
        <v>58</v>
      </c>
      <c r="H500" s="52">
        <f>SUMIF(Sales[[#All],[Product ID]],Stock[[#This Row],[Product ID]],Sales[[#All],[Net QTY]])</f>
        <v>58</v>
      </c>
      <c r="I500" s="52">
        <f>Stock[[#This Row],[Total Stock]]-Stock[[#This Row],[Selling Stock]]</f>
        <v>0</v>
      </c>
      <c r="J500" s="52">
        <f>VLOOKUP(Stock[[#This Row],[Product ID]],Product[#All],8,0)</f>
        <v>8</v>
      </c>
      <c r="K500" s="52" t="str">
        <f>IF(Stock[[#This Row],[Available Stock]]&lt;=Stock[[#This Row],[Reorder Level]],"Reorder","OK")</f>
        <v>Reorder</v>
      </c>
    </row>
    <row r="501" spans="1:11" ht="18.75" x14ac:dyDescent="0.25">
      <c r="A501" s="52" t="str">
        <f>Product[[#This Row],[Product ID]]</f>
        <v>P0499</v>
      </c>
      <c r="B501" s="52" t="str">
        <f>VLOOKUP(Stock[[#This Row],[Product ID]],Product[#All],2,0)</f>
        <v>Logitech Webcam</v>
      </c>
      <c r="C501" s="52" t="str">
        <f>VLOOKUP(Stock[[#This Row],[Product ID]],Product[#All],3,0)</f>
        <v>Webcam</v>
      </c>
      <c r="D501" s="52" t="str">
        <f>VLOOKUP(Stock[[#This Row],[Product ID]],Product[#All],4,0)</f>
        <v>Logitech</v>
      </c>
      <c r="E501" s="52">
        <f>SUMIF(Opning[[#All],[Product_ID]],Stock[[#This Row],[Product ID]],Opning[[#All],[Opening_Qty]])</f>
        <v>51</v>
      </c>
      <c r="F501" s="52">
        <f>SUMIF(Purchase[[#All],[Product ID]],Stock[[#This Row],[Product ID]],Purchase[[#All],[Net Qty]])</f>
        <v>99</v>
      </c>
      <c r="G501" s="52">
        <f>Stock[[#This Row],[Opening Stock]]+Stock[[#This Row],[Purchase Stock]]</f>
        <v>150</v>
      </c>
      <c r="H501" s="52">
        <f>SUMIF(Sales[[#All],[Product ID]],Stock[[#This Row],[Product ID]],Sales[[#All],[Net QTY]])</f>
        <v>45</v>
      </c>
      <c r="I501" s="52">
        <f>Stock[[#This Row],[Total Stock]]-Stock[[#This Row],[Selling Stock]]</f>
        <v>105</v>
      </c>
      <c r="J501" s="52">
        <f>VLOOKUP(Stock[[#This Row],[Product ID]],Product[#All],8,0)</f>
        <v>5</v>
      </c>
      <c r="K501" s="52" t="str">
        <f>IF(Stock[[#This Row],[Available Stock]]&lt;=Stock[[#This Row],[Reorder Level]],"Reorder","OK")</f>
        <v>OK</v>
      </c>
    </row>
    <row r="502" spans="1:11" ht="18.75" x14ac:dyDescent="0.25">
      <c r="A502" s="52" t="str">
        <f>Product[[#This Row],[Product ID]]</f>
        <v>P0500</v>
      </c>
      <c r="B502" s="52" t="str">
        <f>VLOOKUP(Stock[[#This Row],[Product ID]],Product[#All],2,0)</f>
        <v>TP-link Router</v>
      </c>
      <c r="C502" s="52" t="str">
        <f>VLOOKUP(Stock[[#This Row],[Product ID]],Product[#All],3,0)</f>
        <v>Router</v>
      </c>
      <c r="D502" s="52" t="str">
        <f>VLOOKUP(Stock[[#This Row],[Product ID]],Product[#All],4,0)</f>
        <v>TP-link</v>
      </c>
      <c r="E502" s="52">
        <f>SUMIF(Opning[[#All],[Product_ID]],Stock[[#This Row],[Product ID]],Opning[[#All],[Opening_Qty]])</f>
        <v>39</v>
      </c>
      <c r="F502" s="52">
        <f>SUMIF(Purchase[[#All],[Product ID]],Stock[[#This Row],[Product ID]],Purchase[[#All],[Net Qty]])</f>
        <v>42</v>
      </c>
      <c r="G502" s="52">
        <f>Stock[[#This Row],[Opening Stock]]+Stock[[#This Row],[Purchase Stock]]</f>
        <v>81</v>
      </c>
      <c r="H502" s="52">
        <f>SUMIF(Sales[[#All],[Product ID]],Stock[[#This Row],[Product ID]],Sales[[#All],[Net QTY]])</f>
        <v>63</v>
      </c>
      <c r="I502" s="52">
        <f>Stock[[#This Row],[Total Stock]]-Stock[[#This Row],[Selling Stock]]</f>
        <v>18</v>
      </c>
      <c r="J502" s="52">
        <f>VLOOKUP(Stock[[#This Row],[Product ID]],Product[#All],8,0)</f>
        <v>25</v>
      </c>
      <c r="K502" s="52" t="str">
        <f>IF(Stock[[#This Row],[Available Stock]]&lt;=Stock[[#This Row],[Reorder Level]],"Reorder","OK")</f>
        <v>Reorder</v>
      </c>
    </row>
  </sheetData>
  <mergeCells count="1">
    <mergeCell ref="A1:K1"/>
  </mergeCells>
  <conditionalFormatting sqref="K2">
    <cfRule type="containsText" dxfId="16" priority="2" operator="containsText" text="Reorder">
      <formula>NOT(ISERROR(SEARCH("Reorder",K2)))</formula>
    </cfRule>
  </conditionalFormatting>
  <conditionalFormatting sqref="K3:K502">
    <cfRule type="containsText" dxfId="15" priority="1" operator="containsText" text="Reorder">
      <formula>NOT(ISERROR(SEARCH("Reorder",K3)))</formula>
    </cfRule>
  </conditionalFormatting>
  <pageMargins left="0.7" right="0.7" top="0.75" bottom="0.75" header="0.3" footer="0.3"/>
  <ignoredErrors>
    <ignoredError sqref="F3" calculatedColumn="1"/>
  </ignoredErrors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56724-0985-4F73-9774-BC991591BFF8}">
  <sheetPr codeName="Sheet8">
    <pageSetUpPr fitToPage="1"/>
  </sheetPr>
  <dimension ref="A1:T41"/>
  <sheetViews>
    <sheetView showGridLines="0" tabSelected="1" zoomScale="130" zoomScaleNormal="130" workbookViewId="0">
      <selection activeCell="F17" sqref="F17"/>
    </sheetView>
  </sheetViews>
  <sheetFormatPr defaultRowHeight="15" x14ac:dyDescent="0.25"/>
  <cols>
    <col min="1" max="1" width="3.7109375" customWidth="1"/>
    <col min="2" max="2" width="7.140625" customWidth="1"/>
    <col min="3" max="3" width="4.140625" customWidth="1"/>
    <col min="4" max="4" width="6.140625" customWidth="1"/>
    <col min="5" max="5" width="7" customWidth="1"/>
    <col min="6" max="6" width="4.85546875" customWidth="1"/>
    <col min="7" max="7" width="9.140625" style="11" customWidth="1"/>
    <col min="8" max="8" width="9.42578125" style="11" customWidth="1"/>
    <col min="9" max="9" width="5.85546875" customWidth="1"/>
    <col min="10" max="10" width="9.140625" customWidth="1"/>
    <col min="11" max="11" width="9.140625" style="11" customWidth="1"/>
    <col min="12" max="12" width="5" style="11" customWidth="1"/>
    <col min="13" max="13" width="8.85546875" style="11" customWidth="1"/>
    <col min="14" max="14" width="9.42578125" customWidth="1"/>
    <col min="15" max="15" width="2.140625" customWidth="1"/>
    <col min="16" max="16" width="15.28515625" customWidth="1"/>
  </cols>
  <sheetData>
    <row r="1" spans="1:15" ht="18.75" customHeight="1" x14ac:dyDescent="0.25">
      <c r="A1" s="208" t="s">
        <v>8707</v>
      </c>
      <c r="B1" s="209"/>
      <c r="C1" s="209"/>
      <c r="D1" s="209"/>
      <c r="E1" s="209"/>
      <c r="F1" s="209"/>
      <c r="G1" s="209"/>
      <c r="H1" s="209"/>
      <c r="I1" s="209"/>
      <c r="J1" s="209"/>
      <c r="K1" s="250" t="s">
        <v>8783</v>
      </c>
      <c r="L1" s="250"/>
      <c r="M1" s="248" t="s">
        <v>8880</v>
      </c>
      <c r="N1" s="248"/>
      <c r="O1" s="64"/>
    </row>
    <row r="2" spans="1:15" ht="16.5" customHeight="1" x14ac:dyDescent="0.25">
      <c r="A2" s="208"/>
      <c r="B2" s="209"/>
      <c r="C2" s="209"/>
      <c r="D2" s="209"/>
      <c r="E2" s="209"/>
      <c r="F2" s="209"/>
      <c r="G2" s="209"/>
      <c r="H2" s="209"/>
      <c r="I2" s="209"/>
      <c r="J2" s="209"/>
      <c r="K2" s="251" t="s">
        <v>8717</v>
      </c>
      <c r="L2" s="251"/>
      <c r="M2" s="249">
        <f ca="1">TODAY()</f>
        <v>46300</v>
      </c>
      <c r="N2" s="249"/>
      <c r="O2" s="65"/>
    </row>
    <row r="3" spans="1:15" ht="15.75" x14ac:dyDescent="0.25">
      <c r="A3" s="210" t="s">
        <v>8740</v>
      </c>
      <c r="B3" s="211"/>
      <c r="C3" s="211"/>
      <c r="D3" s="211"/>
      <c r="E3" s="211"/>
      <c r="F3" s="211"/>
      <c r="G3" s="211"/>
      <c r="H3" s="211"/>
      <c r="I3" s="211"/>
      <c r="J3" s="211"/>
      <c r="K3" s="78"/>
      <c r="L3" s="78"/>
      <c r="M3" s="78"/>
      <c r="N3" s="67"/>
      <c r="O3" s="68"/>
    </row>
    <row r="4" spans="1:15" ht="15.75" x14ac:dyDescent="0.25">
      <c r="A4" s="212" t="s">
        <v>8743</v>
      </c>
      <c r="B4" s="213"/>
      <c r="C4" s="213"/>
      <c r="D4" s="213"/>
      <c r="E4" s="213"/>
      <c r="F4" s="213"/>
      <c r="G4" s="213"/>
      <c r="H4" s="213"/>
      <c r="I4" s="213"/>
      <c r="J4" s="213"/>
      <c r="K4" s="79"/>
      <c r="L4" s="79"/>
      <c r="M4" s="79"/>
      <c r="N4" s="67"/>
      <c r="O4" s="68"/>
    </row>
    <row r="5" spans="1:15" ht="15.75" x14ac:dyDescent="0.25">
      <c r="A5" s="214" t="s">
        <v>8708</v>
      </c>
      <c r="B5" s="215"/>
      <c r="C5" s="216" t="s">
        <v>8739</v>
      </c>
      <c r="D5" s="216"/>
      <c r="E5" s="216"/>
      <c r="F5" s="216"/>
      <c r="G5" s="69"/>
      <c r="H5" s="69"/>
      <c r="I5" s="211" t="s">
        <v>8742</v>
      </c>
      <c r="J5" s="211"/>
      <c r="K5" s="78"/>
      <c r="L5" s="78"/>
      <c r="M5" s="78"/>
      <c r="N5" s="67"/>
      <c r="O5" s="68"/>
    </row>
    <row r="6" spans="1:15" ht="15.75" x14ac:dyDescent="0.25">
      <c r="A6" s="214" t="s">
        <v>8709</v>
      </c>
      <c r="B6" s="215"/>
      <c r="C6" s="217" t="s">
        <v>8741</v>
      </c>
      <c r="D6" s="217"/>
      <c r="E6" s="217"/>
      <c r="F6" s="217"/>
      <c r="G6" s="70"/>
      <c r="H6" s="70"/>
      <c r="I6" s="213">
        <v>9655443322</v>
      </c>
      <c r="J6" s="213"/>
      <c r="K6" s="79"/>
      <c r="L6" s="79"/>
      <c r="M6" s="79"/>
      <c r="N6" s="67"/>
      <c r="O6" s="68"/>
    </row>
    <row r="7" spans="1:15" ht="5.25" customHeight="1" x14ac:dyDescent="0.25">
      <c r="A7" s="71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3"/>
    </row>
    <row r="8" spans="1:15" ht="18.75" x14ac:dyDescent="0.3">
      <c r="A8" s="201" t="s">
        <v>8710</v>
      </c>
      <c r="B8" s="202"/>
      <c r="C8" s="16"/>
      <c r="D8" s="16"/>
      <c r="E8" s="16"/>
      <c r="F8" s="16"/>
      <c r="G8" s="16"/>
      <c r="H8" s="16"/>
      <c r="I8" s="56"/>
      <c r="J8" s="54"/>
      <c r="K8" s="77"/>
      <c r="L8" s="77"/>
      <c r="M8" s="77"/>
      <c r="N8" s="77"/>
      <c r="O8" s="88"/>
    </row>
    <row r="9" spans="1:15" s="11" customFormat="1" ht="18.75" x14ac:dyDescent="0.3">
      <c r="A9" s="199" t="s">
        <v>8744</v>
      </c>
      <c r="B9" s="200"/>
      <c r="C9" s="200"/>
      <c r="D9" s="200"/>
      <c r="E9" s="218" t="s">
        <v>8881</v>
      </c>
      <c r="F9" s="218"/>
      <c r="G9" s="218"/>
      <c r="H9" s="219"/>
      <c r="I9" s="254" t="s">
        <v>8738</v>
      </c>
      <c r="J9" s="255"/>
      <c r="K9" s="255"/>
      <c r="L9" s="255"/>
      <c r="M9" s="252"/>
      <c r="N9" s="252"/>
      <c r="O9" s="253"/>
    </row>
    <row r="10" spans="1:15" ht="18.75" x14ac:dyDescent="0.3">
      <c r="A10" s="201" t="s">
        <v>8712</v>
      </c>
      <c r="B10" s="202"/>
      <c r="C10" s="202"/>
      <c r="D10" s="202"/>
      <c r="E10" s="220"/>
      <c r="F10" s="220"/>
      <c r="G10" s="220"/>
      <c r="H10" s="221"/>
      <c r="I10" s="63"/>
      <c r="J10" s="16"/>
      <c r="K10" s="89"/>
      <c r="L10" s="89"/>
      <c r="M10" s="89"/>
      <c r="N10" s="89"/>
      <c r="O10" s="90"/>
    </row>
    <row r="11" spans="1:15" ht="18.75" x14ac:dyDescent="0.25">
      <c r="A11" s="203" t="s">
        <v>8711</v>
      </c>
      <c r="B11" s="204"/>
      <c r="C11" s="204"/>
      <c r="D11" s="204"/>
      <c r="E11" s="193"/>
      <c r="F11" s="193"/>
      <c r="G11" s="193"/>
      <c r="H11" s="194"/>
      <c r="I11" s="227" t="s">
        <v>1017</v>
      </c>
      <c r="J11" s="228"/>
      <c r="K11" s="228"/>
      <c r="L11" s="228"/>
      <c r="M11" s="229"/>
      <c r="N11" s="229"/>
      <c r="O11" s="230"/>
    </row>
    <row r="12" spans="1:15" ht="18.75" x14ac:dyDescent="0.25">
      <c r="A12" s="203" t="s">
        <v>8742</v>
      </c>
      <c r="B12" s="204"/>
      <c r="C12" s="204"/>
      <c r="D12" s="204"/>
      <c r="E12" s="195"/>
      <c r="F12" s="195"/>
      <c r="G12" s="195"/>
      <c r="H12" s="196"/>
      <c r="I12" s="75"/>
      <c r="J12" s="89"/>
      <c r="K12" s="89"/>
      <c r="L12" s="89"/>
      <c r="M12" s="89"/>
      <c r="N12" s="89"/>
      <c r="O12" s="90"/>
    </row>
    <row r="13" spans="1:15" ht="18.75" x14ac:dyDescent="0.3">
      <c r="A13" s="199" t="s">
        <v>8713</v>
      </c>
      <c r="B13" s="200"/>
      <c r="C13" s="200"/>
      <c r="D13" s="200"/>
      <c r="E13" s="197"/>
      <c r="F13" s="197"/>
      <c r="G13" s="197"/>
      <c r="H13" s="198"/>
      <c r="I13" s="74"/>
      <c r="J13" s="89"/>
      <c r="K13" s="89"/>
      <c r="L13" s="89"/>
      <c r="M13" s="89"/>
      <c r="N13" s="89"/>
      <c r="O13" s="90"/>
    </row>
    <row r="14" spans="1:15" ht="19.5" customHeight="1" x14ac:dyDescent="0.3">
      <c r="A14" s="59"/>
      <c r="B14" s="60"/>
      <c r="C14" s="60"/>
      <c r="D14" s="60"/>
      <c r="E14" s="60"/>
      <c r="F14" s="60"/>
      <c r="G14" s="60"/>
      <c r="H14" s="60"/>
      <c r="I14" s="246" t="s">
        <v>8786</v>
      </c>
      <c r="J14" s="247"/>
      <c r="K14" s="80"/>
      <c r="L14" s="246" t="s">
        <v>8784</v>
      </c>
      <c r="M14" s="247"/>
      <c r="N14" s="60"/>
      <c r="O14" s="61"/>
    </row>
    <row r="15" spans="1:15" s="62" customFormat="1" ht="33.75" customHeight="1" x14ac:dyDescent="0.25">
      <c r="A15" s="82" t="s">
        <v>8883</v>
      </c>
      <c r="B15" s="82" t="s">
        <v>8781</v>
      </c>
      <c r="C15" s="222" t="s">
        <v>556</v>
      </c>
      <c r="D15" s="223"/>
      <c r="E15" s="224"/>
      <c r="F15" s="82" t="s">
        <v>8704</v>
      </c>
      <c r="G15" s="82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6" t="s">
        <v>8716</v>
      </c>
      <c r="N15" s="225" t="s">
        <v>8737</v>
      </c>
      <c r="O15" s="226"/>
    </row>
    <row r="16" spans="1:15" ht="15.75" x14ac:dyDescent="0.25">
      <c r="A16" s="167" t="str">
        <f>IF(B16&lt;&gt;"",ROW()-15,"")</f>
        <v/>
      </c>
      <c r="B16" s="167"/>
      <c r="C16" s="231" t="str">
        <f>IFERROR(VLOOKUP(B16,Product!$A$2:$H$502,2,0),"")</f>
        <v/>
      </c>
      <c r="D16" s="232"/>
      <c r="E16" s="233"/>
      <c r="F16" s="167"/>
      <c r="G16" s="168" t="str">
        <f>IFERROR(VLOOKUP(B16,Product[#All],7,0),"")</f>
        <v/>
      </c>
      <c r="H16" s="168" t="str">
        <f t="shared" ref="H16:H31" si="0">IFERROR(G16*F16,"")</f>
        <v/>
      </c>
      <c r="I16" s="169"/>
      <c r="J16" s="170" t="str">
        <f>IFERROR(H16*I16,"")</f>
        <v/>
      </c>
      <c r="K16" s="171" t="str">
        <f>IFERROR(H16-J16,"")</f>
        <v/>
      </c>
      <c r="L16" s="172" t="str">
        <f t="shared" ref="L16:L31" si="1">IFERROR(IF(H16&lt;&gt;"",18%,""),"")</f>
        <v/>
      </c>
      <c r="M16" s="170" t="str">
        <f>IFERROR(K16*L16,"")</f>
        <v/>
      </c>
      <c r="N16" s="231" t="str">
        <f>IFERROR(K16+M16,"")</f>
        <v/>
      </c>
      <c r="O16" s="233"/>
    </row>
    <row r="17" spans="1:19" ht="15.75" x14ac:dyDescent="0.25">
      <c r="A17" s="167" t="str">
        <f t="shared" ref="A17:A31" si="2">IF(B17&lt;&gt;"",ROW()-15,"")</f>
        <v/>
      </c>
      <c r="B17" s="167"/>
      <c r="C17" s="205" t="str">
        <f>IFERROR(VLOOKUP(B17,Product!$A$2:$H$502,2,0),"")</f>
        <v/>
      </c>
      <c r="D17" s="206"/>
      <c r="E17" s="207"/>
      <c r="F17" s="167"/>
      <c r="G17" s="168" t="str">
        <f>IFERROR(VLOOKUP(B17,Product[#All],7,0),"")</f>
        <v/>
      </c>
      <c r="H17" s="168" t="str">
        <f t="shared" si="0"/>
        <v/>
      </c>
      <c r="I17" s="175"/>
      <c r="J17" s="170" t="str">
        <f t="shared" ref="J17:J31" si="3">IFERROR(H17*I17,"")</f>
        <v/>
      </c>
      <c r="K17" s="167" t="str">
        <f t="shared" ref="K17:K31" si="4">IFERROR(H17-J17,"")</f>
        <v/>
      </c>
      <c r="L17" s="172" t="str">
        <f t="shared" si="1"/>
        <v/>
      </c>
      <c r="M17" s="170" t="str">
        <f t="shared" ref="M17:M31" si="5">IFERROR(K17*L17,"")</f>
        <v/>
      </c>
      <c r="N17" s="205" t="str">
        <f t="shared" ref="N17:N31" si="6">IFERROR(K17+M17,"")</f>
        <v/>
      </c>
      <c r="O17" s="207"/>
    </row>
    <row r="18" spans="1:19" ht="15.75" x14ac:dyDescent="0.25">
      <c r="A18" s="167" t="str">
        <f t="shared" si="2"/>
        <v/>
      </c>
      <c r="B18" s="167"/>
      <c r="C18" s="205" t="str">
        <f>IFERROR(VLOOKUP(B18,Product!$A$2:$H$502,2,0),"")</f>
        <v/>
      </c>
      <c r="D18" s="206"/>
      <c r="E18" s="207"/>
      <c r="F18" s="167"/>
      <c r="G18" s="168" t="str">
        <f>IFERROR(VLOOKUP(B18,Product[#All],7,0),"")</f>
        <v/>
      </c>
      <c r="H18" s="168" t="str">
        <f t="shared" si="0"/>
        <v/>
      </c>
      <c r="I18" s="175"/>
      <c r="J18" s="170" t="str">
        <f t="shared" si="3"/>
        <v/>
      </c>
      <c r="K18" s="167" t="str">
        <f t="shared" si="4"/>
        <v/>
      </c>
      <c r="L18" s="172" t="str">
        <f t="shared" si="1"/>
        <v/>
      </c>
      <c r="M18" s="170" t="str">
        <f t="shared" si="5"/>
        <v/>
      </c>
      <c r="N18" s="205" t="str">
        <f t="shared" si="6"/>
        <v/>
      </c>
      <c r="O18" s="207"/>
    </row>
    <row r="19" spans="1:19" ht="15.75" x14ac:dyDescent="0.25">
      <c r="A19" s="167" t="str">
        <f t="shared" si="2"/>
        <v/>
      </c>
      <c r="B19" s="167"/>
      <c r="C19" s="205" t="str">
        <f>IFERROR(VLOOKUP(B19,Product!$A$2:$H$502,2,0),"")</f>
        <v/>
      </c>
      <c r="D19" s="206"/>
      <c r="E19" s="207"/>
      <c r="F19" s="167"/>
      <c r="G19" s="168" t="str">
        <f>IFERROR(VLOOKUP(B19,Product[#All],7,0),"")</f>
        <v/>
      </c>
      <c r="H19" s="168" t="str">
        <f t="shared" si="0"/>
        <v/>
      </c>
      <c r="I19" s="175"/>
      <c r="J19" s="170" t="str">
        <f t="shared" si="3"/>
        <v/>
      </c>
      <c r="K19" s="167" t="str">
        <f t="shared" si="4"/>
        <v/>
      </c>
      <c r="L19" s="172" t="str">
        <f t="shared" si="1"/>
        <v/>
      </c>
      <c r="M19" s="170" t="str">
        <f t="shared" si="5"/>
        <v/>
      </c>
      <c r="N19" s="205" t="str">
        <f t="shared" si="6"/>
        <v/>
      </c>
      <c r="O19" s="207"/>
    </row>
    <row r="20" spans="1:19" ht="15.75" x14ac:dyDescent="0.25">
      <c r="A20" s="167" t="str">
        <f t="shared" si="2"/>
        <v/>
      </c>
      <c r="B20" s="167"/>
      <c r="C20" s="205" t="str">
        <f>IFERROR(VLOOKUP(B20,Product!$A$2:$H$502,2,0),"")</f>
        <v/>
      </c>
      <c r="D20" s="206"/>
      <c r="E20" s="207"/>
      <c r="F20" s="167"/>
      <c r="G20" s="168" t="str">
        <f>IFERROR(VLOOKUP(B20,Product[#All],7,0),"")</f>
        <v/>
      </c>
      <c r="H20" s="168" t="str">
        <f t="shared" si="0"/>
        <v/>
      </c>
      <c r="I20" s="176"/>
      <c r="J20" s="170" t="str">
        <f t="shared" si="3"/>
        <v/>
      </c>
      <c r="K20" s="167" t="str">
        <f t="shared" si="4"/>
        <v/>
      </c>
      <c r="L20" s="172" t="str">
        <f t="shared" si="1"/>
        <v/>
      </c>
      <c r="M20" s="170" t="str">
        <f t="shared" si="5"/>
        <v/>
      </c>
      <c r="N20" s="205" t="str">
        <f t="shared" si="6"/>
        <v/>
      </c>
      <c r="O20" s="207"/>
    </row>
    <row r="21" spans="1:19" ht="15.75" x14ac:dyDescent="0.25">
      <c r="A21" s="167" t="str">
        <f t="shared" si="2"/>
        <v/>
      </c>
      <c r="B21" s="167"/>
      <c r="C21" s="205" t="str">
        <f>IFERROR(VLOOKUP(B21,Product!$A$2:$H$502,2,0),"")</f>
        <v/>
      </c>
      <c r="D21" s="206"/>
      <c r="E21" s="207"/>
      <c r="F21" s="167"/>
      <c r="G21" s="168" t="str">
        <f>IFERROR(VLOOKUP(B21,Product[#All],7,0),"")</f>
        <v/>
      </c>
      <c r="H21" s="168" t="str">
        <f t="shared" si="0"/>
        <v/>
      </c>
      <c r="I21" s="176"/>
      <c r="J21" s="170" t="str">
        <f t="shared" si="3"/>
        <v/>
      </c>
      <c r="K21" s="167" t="str">
        <f t="shared" si="4"/>
        <v/>
      </c>
      <c r="L21" s="172" t="str">
        <f t="shared" si="1"/>
        <v/>
      </c>
      <c r="M21" s="170" t="str">
        <f t="shared" si="5"/>
        <v/>
      </c>
      <c r="N21" s="205" t="str">
        <f t="shared" si="6"/>
        <v/>
      </c>
      <c r="O21" s="207"/>
    </row>
    <row r="22" spans="1:19" ht="15.75" x14ac:dyDescent="0.25">
      <c r="A22" s="167" t="str">
        <f t="shared" si="2"/>
        <v/>
      </c>
      <c r="B22" s="167"/>
      <c r="C22" s="205" t="str">
        <f>IFERROR(VLOOKUP(B22,Product!$A$2:$H$502,2,0),"")</f>
        <v/>
      </c>
      <c r="D22" s="206"/>
      <c r="E22" s="207"/>
      <c r="F22" s="167"/>
      <c r="G22" s="168" t="str">
        <f>IFERROR(VLOOKUP(B22,Product[#All],7,0),"")</f>
        <v/>
      </c>
      <c r="H22" s="168" t="str">
        <f t="shared" si="0"/>
        <v/>
      </c>
      <c r="I22" s="176"/>
      <c r="J22" s="170" t="str">
        <f t="shared" si="3"/>
        <v/>
      </c>
      <c r="K22" s="167" t="str">
        <f t="shared" si="4"/>
        <v/>
      </c>
      <c r="L22" s="172" t="str">
        <f t="shared" si="1"/>
        <v/>
      </c>
      <c r="M22" s="170" t="str">
        <f t="shared" si="5"/>
        <v/>
      </c>
      <c r="N22" s="205" t="str">
        <f t="shared" si="6"/>
        <v/>
      </c>
      <c r="O22" s="207"/>
    </row>
    <row r="23" spans="1:19" ht="15.75" x14ac:dyDescent="0.25">
      <c r="A23" s="167" t="str">
        <f t="shared" si="2"/>
        <v/>
      </c>
      <c r="B23" s="167"/>
      <c r="C23" s="205" t="str">
        <f>IFERROR(VLOOKUP(B23,Product!$A$2:$H$502,2,0),"")</f>
        <v/>
      </c>
      <c r="D23" s="206"/>
      <c r="E23" s="207"/>
      <c r="F23" s="167"/>
      <c r="G23" s="168" t="str">
        <f>IFERROR(VLOOKUP(B23,Product[#All],7,0),"")</f>
        <v/>
      </c>
      <c r="H23" s="168" t="str">
        <f t="shared" si="0"/>
        <v/>
      </c>
      <c r="I23" s="176"/>
      <c r="J23" s="170" t="str">
        <f t="shared" si="3"/>
        <v/>
      </c>
      <c r="K23" s="167" t="str">
        <f t="shared" si="4"/>
        <v/>
      </c>
      <c r="L23" s="172" t="str">
        <f t="shared" si="1"/>
        <v/>
      </c>
      <c r="M23" s="170" t="str">
        <f t="shared" si="5"/>
        <v/>
      </c>
      <c r="N23" s="205" t="str">
        <f t="shared" si="6"/>
        <v/>
      </c>
      <c r="O23" s="207"/>
    </row>
    <row r="24" spans="1:19" ht="15.75" x14ac:dyDescent="0.25">
      <c r="A24" s="167" t="str">
        <f t="shared" si="2"/>
        <v/>
      </c>
      <c r="B24" s="167"/>
      <c r="C24" s="205" t="str">
        <f>IFERROR(VLOOKUP(B24,Product!$A$2:$H$502,2,0),"")</f>
        <v/>
      </c>
      <c r="D24" s="206"/>
      <c r="E24" s="207"/>
      <c r="F24" s="167"/>
      <c r="G24" s="168" t="str">
        <f>IFERROR(VLOOKUP(B24,Product[#All],7,0),"")</f>
        <v/>
      </c>
      <c r="H24" s="168" t="str">
        <f t="shared" si="0"/>
        <v/>
      </c>
      <c r="I24" s="176"/>
      <c r="J24" s="170" t="str">
        <f t="shared" si="3"/>
        <v/>
      </c>
      <c r="K24" s="167" t="str">
        <f t="shared" si="4"/>
        <v/>
      </c>
      <c r="L24" s="172" t="str">
        <f t="shared" si="1"/>
        <v/>
      </c>
      <c r="M24" s="170" t="str">
        <f t="shared" si="5"/>
        <v/>
      </c>
      <c r="N24" s="205" t="str">
        <f t="shared" si="6"/>
        <v/>
      </c>
      <c r="O24" s="207"/>
    </row>
    <row r="25" spans="1:19" ht="15.75" x14ac:dyDescent="0.25">
      <c r="A25" s="167" t="str">
        <f t="shared" si="2"/>
        <v/>
      </c>
      <c r="B25" s="167"/>
      <c r="C25" s="205" t="str">
        <f>IFERROR(VLOOKUP(B25,Product!$A$2:$H$502,2,0),"")</f>
        <v/>
      </c>
      <c r="D25" s="206"/>
      <c r="E25" s="207"/>
      <c r="F25" s="167"/>
      <c r="G25" s="168" t="str">
        <f>IFERROR(VLOOKUP(B25,Product[#All],7,0),"")</f>
        <v/>
      </c>
      <c r="H25" s="168" t="str">
        <f t="shared" si="0"/>
        <v/>
      </c>
      <c r="I25" s="176"/>
      <c r="J25" s="170" t="str">
        <f t="shared" si="3"/>
        <v/>
      </c>
      <c r="K25" s="167" t="str">
        <f t="shared" si="4"/>
        <v/>
      </c>
      <c r="L25" s="172" t="str">
        <f t="shared" si="1"/>
        <v/>
      </c>
      <c r="M25" s="170" t="str">
        <f t="shared" si="5"/>
        <v/>
      </c>
      <c r="N25" s="205" t="str">
        <f t="shared" si="6"/>
        <v/>
      </c>
      <c r="O25" s="207"/>
    </row>
    <row r="26" spans="1:19" ht="15.75" x14ac:dyDescent="0.25">
      <c r="A26" s="167" t="str">
        <f t="shared" si="2"/>
        <v/>
      </c>
      <c r="B26" s="167"/>
      <c r="C26" s="205" t="str">
        <f>IFERROR(VLOOKUP(B26,Product!$A$2:$H$502,2,0),"")</f>
        <v/>
      </c>
      <c r="D26" s="206"/>
      <c r="E26" s="207"/>
      <c r="F26" s="167"/>
      <c r="G26" s="168" t="str">
        <f>IFERROR(VLOOKUP(B26,Product[#All],7,0),"")</f>
        <v/>
      </c>
      <c r="H26" s="168" t="str">
        <f t="shared" si="0"/>
        <v/>
      </c>
      <c r="I26" s="176"/>
      <c r="J26" s="170" t="str">
        <f t="shared" si="3"/>
        <v/>
      </c>
      <c r="K26" s="167" t="str">
        <f t="shared" si="4"/>
        <v/>
      </c>
      <c r="L26" s="172" t="str">
        <f t="shared" si="1"/>
        <v/>
      </c>
      <c r="M26" s="170" t="str">
        <f t="shared" si="5"/>
        <v/>
      </c>
      <c r="N26" s="205" t="str">
        <f t="shared" si="6"/>
        <v/>
      </c>
      <c r="O26" s="207"/>
    </row>
    <row r="27" spans="1:19" ht="15.75" x14ac:dyDescent="0.25">
      <c r="A27" s="167" t="str">
        <f t="shared" si="2"/>
        <v/>
      </c>
      <c r="B27" s="167"/>
      <c r="C27" s="205" t="str">
        <f>IFERROR(VLOOKUP(B27,Product!$A$2:$H$502,2,0),"")</f>
        <v/>
      </c>
      <c r="D27" s="206"/>
      <c r="E27" s="207"/>
      <c r="F27" s="167"/>
      <c r="G27" s="168" t="str">
        <f>IFERROR(VLOOKUP(B27,Product[#All],7,0),"")</f>
        <v/>
      </c>
      <c r="H27" s="168" t="str">
        <f t="shared" si="0"/>
        <v/>
      </c>
      <c r="I27" s="176"/>
      <c r="J27" s="170" t="str">
        <f t="shared" si="3"/>
        <v/>
      </c>
      <c r="K27" s="167" t="str">
        <f t="shared" si="4"/>
        <v/>
      </c>
      <c r="L27" s="172" t="str">
        <f t="shared" si="1"/>
        <v/>
      </c>
      <c r="M27" s="170" t="str">
        <f t="shared" si="5"/>
        <v/>
      </c>
      <c r="N27" s="205" t="str">
        <f t="shared" si="6"/>
        <v/>
      </c>
      <c r="O27" s="207"/>
    </row>
    <row r="28" spans="1:19" ht="15.75" x14ac:dyDescent="0.25">
      <c r="A28" s="167" t="str">
        <f t="shared" si="2"/>
        <v/>
      </c>
      <c r="B28" s="167"/>
      <c r="C28" s="205" t="str">
        <f>IFERROR(VLOOKUP(B28,Product!$A$2:$H$502,2,0),"")</f>
        <v/>
      </c>
      <c r="D28" s="206"/>
      <c r="E28" s="207"/>
      <c r="F28" s="167"/>
      <c r="G28" s="168" t="str">
        <f>IFERROR(VLOOKUP(B28,Product[#All],7,0),"")</f>
        <v/>
      </c>
      <c r="H28" s="168" t="str">
        <f t="shared" si="0"/>
        <v/>
      </c>
      <c r="I28" s="176"/>
      <c r="J28" s="170" t="str">
        <f t="shared" si="3"/>
        <v/>
      </c>
      <c r="K28" s="167" t="str">
        <f t="shared" si="4"/>
        <v/>
      </c>
      <c r="L28" s="172" t="str">
        <f t="shared" si="1"/>
        <v/>
      </c>
      <c r="M28" s="170" t="str">
        <f t="shared" si="5"/>
        <v/>
      </c>
      <c r="N28" s="205" t="str">
        <f t="shared" si="6"/>
        <v/>
      </c>
      <c r="O28" s="207"/>
    </row>
    <row r="29" spans="1:19" ht="15.75" x14ac:dyDescent="0.25">
      <c r="A29" s="167" t="str">
        <f t="shared" si="2"/>
        <v/>
      </c>
      <c r="B29" s="167"/>
      <c r="C29" s="205" t="str">
        <f>IFERROR(VLOOKUP(B29,Product!$A$2:$H$502,2,0),"")</f>
        <v/>
      </c>
      <c r="D29" s="206"/>
      <c r="E29" s="207"/>
      <c r="F29" s="167"/>
      <c r="G29" s="168" t="str">
        <f>IFERROR(VLOOKUP(B29,Product[#All],7,0),"")</f>
        <v/>
      </c>
      <c r="H29" s="168" t="str">
        <f t="shared" si="0"/>
        <v/>
      </c>
      <c r="I29" s="176"/>
      <c r="J29" s="170" t="str">
        <f t="shared" si="3"/>
        <v/>
      </c>
      <c r="K29" s="167" t="str">
        <f t="shared" si="4"/>
        <v/>
      </c>
      <c r="L29" s="172" t="str">
        <f t="shared" si="1"/>
        <v/>
      </c>
      <c r="M29" s="170" t="str">
        <f t="shared" si="5"/>
        <v/>
      </c>
      <c r="N29" s="205" t="str">
        <f t="shared" si="6"/>
        <v/>
      </c>
      <c r="O29" s="207"/>
      <c r="S29" s="12"/>
    </row>
    <row r="30" spans="1:19" ht="15.75" x14ac:dyDescent="0.25">
      <c r="A30" s="167" t="str">
        <f t="shared" si="2"/>
        <v/>
      </c>
      <c r="B30" s="167"/>
      <c r="C30" s="205" t="str">
        <f>IFERROR(VLOOKUP(B30,Product!$A$2:$H$502,2,0),"")</f>
        <v/>
      </c>
      <c r="D30" s="206"/>
      <c r="E30" s="207"/>
      <c r="F30" s="167"/>
      <c r="G30" s="168" t="str">
        <f>IFERROR(VLOOKUP(B30,Product[#All],7,0),"")</f>
        <v/>
      </c>
      <c r="H30" s="168" t="str">
        <f t="shared" si="0"/>
        <v/>
      </c>
      <c r="I30" s="176"/>
      <c r="J30" s="170" t="str">
        <f t="shared" si="3"/>
        <v/>
      </c>
      <c r="K30" s="167" t="str">
        <f t="shared" si="4"/>
        <v/>
      </c>
      <c r="L30" s="172" t="str">
        <f t="shared" si="1"/>
        <v/>
      </c>
      <c r="M30" s="170" t="str">
        <f t="shared" si="5"/>
        <v/>
      </c>
      <c r="N30" s="205" t="str">
        <f t="shared" si="6"/>
        <v/>
      </c>
      <c r="O30" s="207"/>
    </row>
    <row r="31" spans="1:19" ht="15.75" x14ac:dyDescent="0.25">
      <c r="A31" s="167" t="str">
        <f t="shared" si="2"/>
        <v/>
      </c>
      <c r="B31" s="167"/>
      <c r="C31" s="205" t="str">
        <f>IFERROR(VLOOKUP(B31,Product!$A$2:$H$502,2,0),"")</f>
        <v/>
      </c>
      <c r="D31" s="206"/>
      <c r="E31" s="207"/>
      <c r="F31" s="167"/>
      <c r="G31" s="168" t="str">
        <f>IFERROR(VLOOKUP(B31,Product[#All],7,0),"")</f>
        <v/>
      </c>
      <c r="H31" s="168" t="str">
        <f t="shared" si="0"/>
        <v/>
      </c>
      <c r="I31" s="176"/>
      <c r="J31" s="170" t="str">
        <f t="shared" si="3"/>
        <v/>
      </c>
      <c r="K31" s="167" t="str">
        <f t="shared" si="4"/>
        <v/>
      </c>
      <c r="L31" s="172" t="str">
        <f t="shared" si="1"/>
        <v/>
      </c>
      <c r="M31" s="170" t="str">
        <f t="shared" si="5"/>
        <v/>
      </c>
      <c r="N31" s="205" t="str">
        <f t="shared" si="6"/>
        <v/>
      </c>
      <c r="O31" s="207"/>
    </row>
    <row r="32" spans="1:19" ht="24" customHeight="1" x14ac:dyDescent="0.3">
      <c r="A32" s="111"/>
      <c r="B32" s="112"/>
      <c r="C32" s="112"/>
      <c r="D32" s="112"/>
      <c r="E32" s="112"/>
      <c r="F32" s="112"/>
      <c r="G32" s="113"/>
      <c r="H32" s="113"/>
      <c r="I32" s="236" t="s">
        <v>8718</v>
      </c>
      <c r="J32" s="236"/>
      <c r="K32" s="236"/>
      <c r="L32" s="236">
        <f>SUM(N16:O31)</f>
        <v>0</v>
      </c>
      <c r="M32" s="236"/>
      <c r="N32" s="236"/>
      <c r="O32" s="237"/>
    </row>
    <row r="33" spans="1:20" ht="17.25" customHeight="1" x14ac:dyDescent="0.25">
      <c r="A33" s="114"/>
      <c r="B33" s="115"/>
      <c r="C33" s="115"/>
      <c r="D33" s="115"/>
      <c r="E33" s="115"/>
      <c r="F33" s="115"/>
      <c r="G33" s="115"/>
      <c r="H33" s="115"/>
      <c r="I33" s="245"/>
      <c r="J33" s="245"/>
      <c r="K33" s="116"/>
      <c r="L33" s="116"/>
      <c r="M33" s="116"/>
      <c r="N33" s="243"/>
      <c r="O33" s="244"/>
    </row>
    <row r="34" spans="1:20" ht="17.25" customHeight="1" x14ac:dyDescent="0.25">
      <c r="A34" s="114"/>
      <c r="B34" s="115"/>
      <c r="C34" s="115"/>
      <c r="D34" s="115"/>
      <c r="E34" s="115"/>
      <c r="F34" s="115"/>
      <c r="G34" s="115"/>
      <c r="H34" s="115"/>
      <c r="I34" s="245"/>
      <c r="J34" s="245"/>
      <c r="K34" s="116"/>
      <c r="L34" s="116"/>
      <c r="M34" s="116"/>
      <c r="N34" s="243"/>
      <c r="O34" s="244"/>
    </row>
    <row r="35" spans="1:20" ht="15.75" x14ac:dyDescent="0.25">
      <c r="A35" s="114"/>
      <c r="B35" s="115"/>
      <c r="C35" s="115"/>
      <c r="D35" s="115"/>
      <c r="E35" s="115"/>
      <c r="F35" s="115"/>
      <c r="G35" s="115"/>
      <c r="H35" s="115"/>
      <c r="I35" s="115"/>
      <c r="J35" s="115" t="str">
        <f>IFERROR(VLOOKUP(B35,Product!$B$2:$H$502,6,0),"")</f>
        <v/>
      </c>
      <c r="K35" s="115"/>
      <c r="L35" s="115"/>
      <c r="M35" s="115"/>
      <c r="N35" s="243"/>
      <c r="O35" s="244"/>
      <c r="T35" s="9"/>
    </row>
    <row r="36" spans="1:20" ht="15.75" x14ac:dyDescent="0.25">
      <c r="A36" s="114"/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7"/>
    </row>
    <row r="37" spans="1:20" ht="18.75" x14ac:dyDescent="0.3">
      <c r="A37" s="238" t="s">
        <v>8719</v>
      </c>
      <c r="B37" s="239"/>
      <c r="C37" s="239"/>
      <c r="D37" s="239"/>
      <c r="E37" s="239"/>
      <c r="F37" s="115"/>
      <c r="G37" s="115"/>
      <c r="H37" s="115"/>
      <c r="I37" s="115"/>
      <c r="J37" s="115"/>
      <c r="K37" s="115"/>
      <c r="L37" s="115"/>
      <c r="M37" s="115"/>
      <c r="N37" s="115"/>
      <c r="O37" s="117"/>
    </row>
    <row r="38" spans="1:20" ht="18.75" x14ac:dyDescent="0.3">
      <c r="A38" s="240" t="str">
        <f>RupeesInWords(L32)</f>
        <v/>
      </c>
      <c r="B38" s="241"/>
      <c r="C38" s="241"/>
      <c r="D38" s="241"/>
      <c r="E38" s="241"/>
      <c r="F38" s="241"/>
      <c r="G38" s="241"/>
      <c r="H38" s="241"/>
      <c r="I38" s="241"/>
      <c r="J38" s="241"/>
      <c r="K38" s="241"/>
      <c r="L38" s="241"/>
      <c r="M38" s="241"/>
      <c r="N38" s="241"/>
      <c r="O38" s="242"/>
    </row>
    <row r="39" spans="1:20" ht="15.75" x14ac:dyDescent="0.25">
      <c r="A39" s="114"/>
      <c r="B39" s="115"/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7"/>
    </row>
    <row r="40" spans="1:20" ht="18.75" x14ac:dyDescent="0.3">
      <c r="A40" s="118"/>
      <c r="B40" s="119"/>
      <c r="C40" s="119"/>
      <c r="D40" s="119"/>
      <c r="E40" s="119"/>
      <c r="F40" s="119"/>
      <c r="G40" s="119"/>
      <c r="H40" s="119"/>
      <c r="I40" s="234" t="s">
        <v>8720</v>
      </c>
      <c r="J40" s="234"/>
      <c r="K40" s="234"/>
      <c r="L40" s="234"/>
      <c r="M40" s="234"/>
      <c r="N40" s="234"/>
      <c r="O40" s="235"/>
    </row>
    <row r="41" spans="1:20" ht="15.75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</row>
  </sheetData>
  <mergeCells count="74">
    <mergeCell ref="N16:O16"/>
    <mergeCell ref="N17:O17"/>
    <mergeCell ref="N18:O18"/>
    <mergeCell ref="N19:O19"/>
    <mergeCell ref="N20:O20"/>
    <mergeCell ref="I14:J14"/>
    <mergeCell ref="L14:M14"/>
    <mergeCell ref="M1:N1"/>
    <mergeCell ref="M2:N2"/>
    <mergeCell ref="K1:L1"/>
    <mergeCell ref="K2:L2"/>
    <mergeCell ref="M9:O9"/>
    <mergeCell ref="I9:L9"/>
    <mergeCell ref="N26:O26"/>
    <mergeCell ref="N27:O27"/>
    <mergeCell ref="N28:O28"/>
    <mergeCell ref="N29:O29"/>
    <mergeCell ref="N30:O30"/>
    <mergeCell ref="I40:O40"/>
    <mergeCell ref="C27:E27"/>
    <mergeCell ref="C28:E28"/>
    <mergeCell ref="C29:E29"/>
    <mergeCell ref="C30:E30"/>
    <mergeCell ref="C31:E31"/>
    <mergeCell ref="N31:O31"/>
    <mergeCell ref="I32:K32"/>
    <mergeCell ref="L32:O32"/>
    <mergeCell ref="A37:E37"/>
    <mergeCell ref="A38:O38"/>
    <mergeCell ref="N33:O33"/>
    <mergeCell ref="N34:O34"/>
    <mergeCell ref="N35:O35"/>
    <mergeCell ref="I33:J33"/>
    <mergeCell ref="I34:J34"/>
    <mergeCell ref="C24:E24"/>
    <mergeCell ref="C25:E25"/>
    <mergeCell ref="C15:E15"/>
    <mergeCell ref="N15:O15"/>
    <mergeCell ref="I11:L11"/>
    <mergeCell ref="M11:O11"/>
    <mergeCell ref="C16:E16"/>
    <mergeCell ref="C17:E17"/>
    <mergeCell ref="C18:E18"/>
    <mergeCell ref="C19:E19"/>
    <mergeCell ref="C20:E20"/>
    <mergeCell ref="N21:O21"/>
    <mergeCell ref="N22:O22"/>
    <mergeCell ref="N23:O23"/>
    <mergeCell ref="N24:O24"/>
    <mergeCell ref="N25:O25"/>
    <mergeCell ref="C26:E26"/>
    <mergeCell ref="A1:J2"/>
    <mergeCell ref="A8:B8"/>
    <mergeCell ref="A3:J3"/>
    <mergeCell ref="A4:J4"/>
    <mergeCell ref="A5:B5"/>
    <mergeCell ref="A6:B6"/>
    <mergeCell ref="C5:F5"/>
    <mergeCell ref="I5:J5"/>
    <mergeCell ref="C6:F6"/>
    <mergeCell ref="I6:J6"/>
    <mergeCell ref="C21:E21"/>
    <mergeCell ref="C22:E22"/>
    <mergeCell ref="C23:E23"/>
    <mergeCell ref="E9:H9"/>
    <mergeCell ref="E10:H10"/>
    <mergeCell ref="E11:H11"/>
    <mergeCell ref="E12:H12"/>
    <mergeCell ref="E13:H13"/>
    <mergeCell ref="A9:D9"/>
    <mergeCell ref="A10:D10"/>
    <mergeCell ref="A11:D11"/>
    <mergeCell ref="A12:D12"/>
    <mergeCell ref="A13:D13"/>
  </mergeCells>
  <dataValidations count="3">
    <dataValidation type="list" allowBlank="1" showInputMessage="1" showErrorMessage="1" sqref="M9" xr:uid="{A0E7288D-1E97-4328-B22E-58E282CA304E}">
      <formula1>"UPI,Cash,Card,Bank Transfer"</formula1>
    </dataValidation>
    <dataValidation type="list" allowBlank="1" showInputMessage="1" showErrorMessage="1" sqref="M11" xr:uid="{348D8775-1E8B-4F9D-85FA-C539FB294A41}">
      <formula1>"Completed,Cancelled,Return"</formula1>
    </dataValidation>
    <dataValidation type="custom" operator="lessThanOrEqual" allowBlank="1" showInputMessage="1" showErrorMessage="1" errorTitle="Stock Available Nahi Hai" error="_x000a__x000a_Aapne Available Stock se Jyada QTY Entry ki hai " sqref="S36" xr:uid="{4DE1CA3E-C252-444A-BD99-DB4F4E3C5FCA}">
      <formula1>F16&lt;=VLOOKUP(B16,#REF!,9,0)</formula1>
    </dataValidation>
  </dataValidations>
  <hyperlinks>
    <hyperlink ref="C6" r:id="rId1" xr:uid="{E9C909AC-13F5-435C-801A-12BE2BC0A798}"/>
  </hyperlinks>
  <printOptions horizontalCentered="1"/>
  <pageMargins left="0" right="0" top="0.75" bottom="0.75" header="0.3" footer="0.3"/>
  <pageSetup paperSize="9" orientation="portrait" r:id="rId2"/>
  <rowBreaks count="1" manualBreakCount="1">
    <brk id="5" max="16383" man="1"/>
  </rowBreaks>
  <colBreaks count="1" manualBreakCount="1">
    <brk id="17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A769C7-5BF7-4044-82A9-F1E3C4BB7D59}">
          <x14:formula1>
            <xm:f>Product!$A$3:$A$502</xm:f>
          </x14:formula1>
          <xm:sqref>B16:B31</xm:sqref>
        </x14:dataValidation>
        <x14:dataValidation type="custom" operator="lessThanOrEqual" allowBlank="1" showInputMessage="1" showErrorMessage="1" errorTitle="Stock Available Nahi Hai" error="_x000a__x000a_Aapne Available Stock se Jyada QTY Entry ki hai " xr:uid="{38D2BD63-7F7A-447E-AE7B-FFCB5B392F0E}">
          <x14:formula1>
            <xm:f>F16&lt;=VLOOKUP(B16,Stock!A2:K502,9,0)</xm:f>
          </x14:formula1>
          <xm:sqref>F16:F31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64312-2BF0-41CD-A571-9341CF4F416D}">
  <sheetPr codeName="Sheet13">
    <pageSetUpPr fitToPage="1"/>
  </sheetPr>
  <dimension ref="A1:O43"/>
  <sheetViews>
    <sheetView showGridLines="0" zoomScaleNormal="100" workbookViewId="0">
      <selection activeCell="M1" sqref="M1:N1"/>
    </sheetView>
  </sheetViews>
  <sheetFormatPr defaultRowHeight="15" x14ac:dyDescent="0.25"/>
  <cols>
    <col min="1" max="1" width="3.7109375" style="11" customWidth="1"/>
    <col min="2" max="2" width="7.140625" style="11" customWidth="1"/>
    <col min="3" max="3" width="3.7109375" style="11" customWidth="1"/>
    <col min="4" max="4" width="6.140625" style="11" customWidth="1"/>
    <col min="5" max="5" width="7" style="11" customWidth="1"/>
    <col min="6" max="6" width="4.85546875" style="11" customWidth="1"/>
    <col min="7" max="7" width="9.140625" style="1" customWidth="1"/>
    <col min="8" max="8" width="9.42578125" style="11" customWidth="1"/>
    <col min="9" max="9" width="5.85546875" style="11" customWidth="1"/>
    <col min="10" max="11" width="9.140625" style="11" customWidth="1"/>
    <col min="12" max="12" width="5" style="11" customWidth="1"/>
    <col min="13" max="13" width="8.85546875" style="11" customWidth="1"/>
    <col min="14" max="14" width="9.42578125" style="11" customWidth="1"/>
    <col min="15" max="15" width="2.140625" style="11" customWidth="1"/>
    <col min="16" max="16" width="4" style="11" customWidth="1"/>
    <col min="17" max="16384" width="9.140625" style="11"/>
  </cols>
  <sheetData>
    <row r="1" spans="1:15" ht="18.75" customHeight="1" x14ac:dyDescent="0.25">
      <c r="A1" s="208" t="s">
        <v>8707</v>
      </c>
      <c r="B1" s="209"/>
      <c r="C1" s="209"/>
      <c r="D1" s="209"/>
      <c r="E1" s="209"/>
      <c r="F1" s="209"/>
      <c r="G1" s="209"/>
      <c r="H1" s="209"/>
      <c r="I1" s="209"/>
      <c r="J1" s="209"/>
      <c r="K1" s="250" t="s">
        <v>8783</v>
      </c>
      <c r="L1" s="250"/>
      <c r="M1" s="248" t="s">
        <v>6181</v>
      </c>
      <c r="N1" s="248"/>
      <c r="O1" s="64"/>
    </row>
    <row r="2" spans="1:15" ht="16.5" customHeight="1" x14ac:dyDescent="0.25">
      <c r="A2" s="208"/>
      <c r="B2" s="209"/>
      <c r="C2" s="209"/>
      <c r="D2" s="209"/>
      <c r="E2" s="209"/>
      <c r="F2" s="209"/>
      <c r="G2" s="209"/>
      <c r="H2" s="209"/>
      <c r="I2" s="209"/>
      <c r="J2" s="209"/>
      <c r="K2" s="251" t="s">
        <v>8717</v>
      </c>
      <c r="L2" s="251"/>
      <c r="M2" s="249">
        <v>45906</v>
      </c>
      <c r="N2" s="249"/>
      <c r="O2" s="65"/>
    </row>
    <row r="3" spans="1:15" ht="15.75" x14ac:dyDescent="0.25">
      <c r="A3" s="210" t="s">
        <v>8740</v>
      </c>
      <c r="B3" s="211"/>
      <c r="C3" s="211"/>
      <c r="D3" s="211"/>
      <c r="E3" s="211"/>
      <c r="F3" s="211"/>
      <c r="G3" s="211"/>
      <c r="H3" s="211"/>
      <c r="I3" s="211"/>
      <c r="J3" s="211"/>
      <c r="K3" s="78"/>
      <c r="L3" s="78"/>
      <c r="M3" s="78"/>
      <c r="N3" s="67"/>
      <c r="O3" s="68"/>
    </row>
    <row r="4" spans="1:15" ht="15.75" x14ac:dyDescent="0.25">
      <c r="A4" s="212" t="s">
        <v>8743</v>
      </c>
      <c r="B4" s="213"/>
      <c r="C4" s="213"/>
      <c r="D4" s="213"/>
      <c r="E4" s="213"/>
      <c r="F4" s="213"/>
      <c r="G4" s="213"/>
      <c r="H4" s="213"/>
      <c r="I4" s="213"/>
      <c r="J4" s="213"/>
      <c r="K4" s="79"/>
      <c r="L4" s="79"/>
      <c r="M4" s="79"/>
      <c r="N4" s="67"/>
      <c r="O4" s="68"/>
    </row>
    <row r="5" spans="1:15" ht="15.75" x14ac:dyDescent="0.25">
      <c r="A5" s="214" t="s">
        <v>8708</v>
      </c>
      <c r="B5" s="215"/>
      <c r="C5" s="216" t="s">
        <v>8739</v>
      </c>
      <c r="D5" s="216"/>
      <c r="E5" s="216"/>
      <c r="F5" s="216"/>
      <c r="G5" s="120"/>
      <c r="H5" s="69"/>
      <c r="I5" s="211" t="s">
        <v>8742</v>
      </c>
      <c r="J5" s="211"/>
      <c r="K5" s="78"/>
      <c r="L5" s="78"/>
      <c r="M5" s="78"/>
      <c r="N5" s="67"/>
      <c r="O5" s="68"/>
    </row>
    <row r="6" spans="1:15" ht="15.75" x14ac:dyDescent="0.25">
      <c r="A6" s="214" t="s">
        <v>8709</v>
      </c>
      <c r="B6" s="215"/>
      <c r="C6" s="217" t="s">
        <v>8741</v>
      </c>
      <c r="D6" s="217"/>
      <c r="E6" s="217"/>
      <c r="F6" s="217"/>
      <c r="G6" s="121"/>
      <c r="H6" s="70"/>
      <c r="I6" s="213">
        <v>9655443322</v>
      </c>
      <c r="J6" s="213"/>
      <c r="K6" s="79"/>
      <c r="L6" s="79"/>
      <c r="M6" s="79"/>
      <c r="N6" s="67"/>
      <c r="O6" s="68"/>
    </row>
    <row r="7" spans="1:15" ht="5.25" customHeight="1" x14ac:dyDescent="0.25">
      <c r="A7" s="71"/>
      <c r="B7" s="72"/>
      <c r="C7" s="72"/>
      <c r="D7" s="72"/>
      <c r="E7" s="72"/>
      <c r="F7" s="72"/>
      <c r="G7" s="122"/>
      <c r="H7" s="72"/>
      <c r="I7" s="72"/>
      <c r="J7" s="72"/>
      <c r="K7" s="72"/>
      <c r="L7" s="72"/>
      <c r="M7" s="72"/>
      <c r="N7" s="72"/>
      <c r="O7" s="73"/>
    </row>
    <row r="8" spans="1:15" ht="18.75" x14ac:dyDescent="0.3">
      <c r="A8" s="201" t="s">
        <v>8710</v>
      </c>
      <c r="B8" s="202"/>
      <c r="C8" s="16"/>
      <c r="D8" s="16"/>
      <c r="E8" s="16"/>
      <c r="F8" s="16"/>
      <c r="G8" s="123"/>
      <c r="H8" s="16"/>
      <c r="I8" s="56"/>
      <c r="J8" s="54"/>
      <c r="K8" s="77"/>
      <c r="L8" s="77"/>
      <c r="M8" s="77"/>
      <c r="N8" s="77"/>
      <c r="O8" s="88"/>
    </row>
    <row r="9" spans="1:15" ht="18.75" x14ac:dyDescent="0.3">
      <c r="A9" s="199" t="s">
        <v>8744</v>
      </c>
      <c r="B9" s="200"/>
      <c r="C9" s="229" t="s">
        <v>734</v>
      </c>
      <c r="D9" s="229"/>
      <c r="E9" s="229"/>
      <c r="F9" s="16"/>
      <c r="G9" s="123"/>
      <c r="H9" s="16"/>
      <c r="I9" s="254" t="s">
        <v>8738</v>
      </c>
      <c r="J9" s="255"/>
      <c r="K9" s="255"/>
      <c r="L9" s="255"/>
      <c r="M9" s="263" t="s">
        <v>8876</v>
      </c>
      <c r="N9" s="263"/>
      <c r="O9" s="264"/>
    </row>
    <row r="10" spans="1:15" ht="18.75" x14ac:dyDescent="0.3">
      <c r="A10" s="201" t="s">
        <v>8712</v>
      </c>
      <c r="B10" s="202"/>
      <c r="C10" s="14"/>
      <c r="D10" s="252" t="s">
        <v>998</v>
      </c>
      <c r="E10" s="252"/>
      <c r="F10" s="252"/>
      <c r="G10" s="252"/>
      <c r="H10" s="253"/>
      <c r="I10" s="63"/>
      <c r="J10" s="16"/>
      <c r="K10" s="17"/>
      <c r="L10" s="17"/>
      <c r="M10" s="17"/>
      <c r="N10" s="17"/>
      <c r="O10" s="58"/>
    </row>
    <row r="11" spans="1:15" ht="18.75" x14ac:dyDescent="0.25">
      <c r="A11" s="203" t="s">
        <v>8711</v>
      </c>
      <c r="B11" s="204"/>
      <c r="C11" s="13"/>
      <c r="D11" s="260" t="s">
        <v>592</v>
      </c>
      <c r="E11" s="260"/>
      <c r="F11" s="260"/>
      <c r="G11" s="260"/>
      <c r="H11" s="261"/>
      <c r="I11" s="227" t="s">
        <v>1017</v>
      </c>
      <c r="J11" s="228"/>
      <c r="K11" s="228"/>
      <c r="L11" s="276" t="s">
        <v>3562</v>
      </c>
      <c r="M11" s="276"/>
      <c r="N11" s="276"/>
      <c r="O11" s="55"/>
    </row>
    <row r="12" spans="1:15" ht="18.75" x14ac:dyDescent="0.25">
      <c r="A12" s="256" t="s">
        <v>8745</v>
      </c>
      <c r="B12" s="257"/>
      <c r="C12" s="257"/>
      <c r="D12" s="258">
        <v>8655446736</v>
      </c>
      <c r="E12" s="258"/>
      <c r="F12" s="258"/>
      <c r="G12" s="258"/>
      <c r="H12" s="259"/>
      <c r="I12" s="75"/>
      <c r="J12" s="17"/>
      <c r="K12" s="17"/>
      <c r="L12" s="17"/>
      <c r="M12" s="17"/>
      <c r="N12" s="17"/>
      <c r="O12" s="58"/>
    </row>
    <row r="13" spans="1:15" ht="18.75" x14ac:dyDescent="0.3">
      <c r="A13" s="201" t="s">
        <v>8713</v>
      </c>
      <c r="B13" s="202"/>
      <c r="C13" s="96"/>
      <c r="D13" s="274"/>
      <c r="E13" s="274"/>
      <c r="F13" s="274"/>
      <c r="G13" s="274"/>
      <c r="H13" s="275"/>
      <c r="I13" s="74"/>
      <c r="J13" s="17"/>
      <c r="K13" s="17"/>
      <c r="L13" s="17"/>
      <c r="M13" s="17"/>
      <c r="N13" s="17"/>
      <c r="O13" s="58"/>
    </row>
    <row r="14" spans="1:15" ht="19.5" customHeight="1" x14ac:dyDescent="0.3">
      <c r="A14" s="59"/>
      <c r="B14" s="60"/>
      <c r="C14" s="60"/>
      <c r="D14" s="60"/>
      <c r="E14" s="60"/>
      <c r="F14" s="60"/>
      <c r="G14" s="124"/>
      <c r="H14" s="60"/>
      <c r="I14" s="272" t="s">
        <v>8786</v>
      </c>
      <c r="J14" s="273"/>
      <c r="K14" s="80"/>
      <c r="L14" s="272" t="s">
        <v>8784</v>
      </c>
      <c r="M14" s="273"/>
      <c r="N14" s="60"/>
      <c r="O14" s="61"/>
    </row>
    <row r="15" spans="1:15" s="62" customFormat="1" ht="33.75" customHeight="1" x14ac:dyDescent="0.25">
      <c r="A15" s="82" t="s">
        <v>8714</v>
      </c>
      <c r="B15" s="82" t="s">
        <v>8781</v>
      </c>
      <c r="C15" s="222" t="s">
        <v>556</v>
      </c>
      <c r="D15" s="223"/>
      <c r="E15" s="224"/>
      <c r="F15" s="82" t="s">
        <v>8704</v>
      </c>
      <c r="G15" s="125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6" t="s">
        <v>8716</v>
      </c>
      <c r="N15" s="225" t="s">
        <v>8737</v>
      </c>
      <c r="O15" s="226"/>
    </row>
    <row r="16" spans="1:15" ht="15.75" x14ac:dyDescent="0.25">
      <c r="A16" s="167">
        <f>IF(B16&lt;&gt;"",ROW()-15,"")</f>
        <v>1</v>
      </c>
      <c r="B16" s="167" t="s">
        <v>367</v>
      </c>
      <c r="C16" s="231" t="s">
        <v>8757</v>
      </c>
      <c r="D16" s="232"/>
      <c r="E16" s="233"/>
      <c r="F16" s="167">
        <v>6</v>
      </c>
      <c r="G16" s="177">
        <v>4880</v>
      </c>
      <c r="H16" s="178">
        <f>IFERROR(G16*F16,"")</f>
        <v>29280</v>
      </c>
      <c r="I16" s="169">
        <v>0.05</v>
      </c>
      <c r="J16" s="170">
        <f>IFERROR(H16*I16,"")</f>
        <v>1464</v>
      </c>
      <c r="K16" s="171">
        <f>IFERROR(H16-J16,"")</f>
        <v>27816</v>
      </c>
      <c r="L16" s="172">
        <v>0.18</v>
      </c>
      <c r="M16" s="170">
        <f>IFERROR(K16*L16,"")</f>
        <v>5006.88</v>
      </c>
      <c r="N16" s="231">
        <f>IFERROR(K16+M16,"")</f>
        <v>32822.879999999997</v>
      </c>
      <c r="O16" s="233"/>
    </row>
    <row r="17" spans="1:15" ht="15.75" x14ac:dyDescent="0.25">
      <c r="A17" s="167" t="str">
        <f t="shared" ref="A17:A31" si="0">IF(B17&lt;&gt;"",ROW()-15,"")</f>
        <v/>
      </c>
      <c r="B17" s="167"/>
      <c r="C17" s="205"/>
      <c r="D17" s="206"/>
      <c r="E17" s="207"/>
      <c r="F17" s="167"/>
      <c r="G17" s="177"/>
      <c r="H17" s="168"/>
      <c r="I17" s="175"/>
      <c r="J17" s="170"/>
      <c r="K17" s="167"/>
      <c r="L17" s="172"/>
      <c r="M17" s="170"/>
      <c r="N17" s="205"/>
      <c r="O17" s="207"/>
    </row>
    <row r="18" spans="1:15" ht="15.75" x14ac:dyDescent="0.25">
      <c r="A18" s="167" t="str">
        <f t="shared" si="0"/>
        <v/>
      </c>
      <c r="B18" s="167"/>
      <c r="C18" s="205"/>
      <c r="D18" s="206"/>
      <c r="E18" s="207"/>
      <c r="F18" s="167"/>
      <c r="G18" s="177"/>
      <c r="H18" s="168"/>
      <c r="I18" s="175"/>
      <c r="J18" s="170"/>
      <c r="K18" s="167"/>
      <c r="L18" s="172"/>
      <c r="M18" s="170"/>
      <c r="N18" s="205"/>
      <c r="O18" s="207"/>
    </row>
    <row r="19" spans="1:15" ht="15.75" x14ac:dyDescent="0.25">
      <c r="A19" s="167" t="str">
        <f t="shared" si="0"/>
        <v/>
      </c>
      <c r="B19" s="167"/>
      <c r="C19" s="205"/>
      <c r="D19" s="206"/>
      <c r="E19" s="207"/>
      <c r="F19" s="167"/>
      <c r="G19" s="177"/>
      <c r="H19" s="168"/>
      <c r="I19" s="175"/>
      <c r="J19" s="170"/>
      <c r="K19" s="167"/>
      <c r="L19" s="172"/>
      <c r="M19" s="170"/>
      <c r="N19" s="205"/>
      <c r="O19" s="207"/>
    </row>
    <row r="20" spans="1:15" ht="15.75" x14ac:dyDescent="0.25">
      <c r="A20" s="167" t="str">
        <f t="shared" si="0"/>
        <v/>
      </c>
      <c r="B20" s="167"/>
      <c r="C20" s="205"/>
      <c r="D20" s="206"/>
      <c r="E20" s="207"/>
      <c r="F20" s="167"/>
      <c r="G20" s="177"/>
      <c r="H20" s="168"/>
      <c r="I20" s="176"/>
      <c r="J20" s="170"/>
      <c r="K20" s="167"/>
      <c r="L20" s="172"/>
      <c r="M20" s="170"/>
      <c r="N20" s="205"/>
      <c r="O20" s="207"/>
    </row>
    <row r="21" spans="1:15" ht="15.75" x14ac:dyDescent="0.25">
      <c r="A21" s="167" t="str">
        <f t="shared" si="0"/>
        <v/>
      </c>
      <c r="B21" s="167"/>
      <c r="C21" s="205"/>
      <c r="D21" s="206"/>
      <c r="E21" s="207"/>
      <c r="F21" s="167"/>
      <c r="G21" s="177"/>
      <c r="H21" s="168"/>
      <c r="I21" s="176"/>
      <c r="J21" s="170"/>
      <c r="K21" s="167"/>
      <c r="L21" s="172"/>
      <c r="M21" s="170"/>
      <c r="N21" s="205"/>
      <c r="O21" s="207"/>
    </row>
    <row r="22" spans="1:15" ht="15.75" x14ac:dyDescent="0.25">
      <c r="A22" s="167" t="str">
        <f t="shared" si="0"/>
        <v/>
      </c>
      <c r="B22" s="167"/>
      <c r="C22" s="205"/>
      <c r="D22" s="206"/>
      <c r="E22" s="207"/>
      <c r="F22" s="167"/>
      <c r="G22" s="177"/>
      <c r="H22" s="168"/>
      <c r="I22" s="176"/>
      <c r="J22" s="170"/>
      <c r="K22" s="167"/>
      <c r="L22" s="172"/>
      <c r="M22" s="170"/>
      <c r="N22" s="205"/>
      <c r="O22" s="207"/>
    </row>
    <row r="23" spans="1:15" ht="15.75" x14ac:dyDescent="0.25">
      <c r="A23" s="167" t="str">
        <f t="shared" si="0"/>
        <v/>
      </c>
      <c r="B23" s="167"/>
      <c r="C23" s="205"/>
      <c r="D23" s="206"/>
      <c r="E23" s="207"/>
      <c r="F23" s="167"/>
      <c r="G23" s="177"/>
      <c r="H23" s="168"/>
      <c r="I23" s="176"/>
      <c r="J23" s="170"/>
      <c r="K23" s="167"/>
      <c r="L23" s="172"/>
      <c r="M23" s="170"/>
      <c r="N23" s="205"/>
      <c r="O23" s="207"/>
    </row>
    <row r="24" spans="1:15" ht="15.75" x14ac:dyDescent="0.25">
      <c r="A24" s="167" t="str">
        <f t="shared" si="0"/>
        <v/>
      </c>
      <c r="B24" s="167"/>
      <c r="C24" s="205"/>
      <c r="D24" s="206"/>
      <c r="E24" s="207"/>
      <c r="F24" s="167"/>
      <c r="G24" s="177"/>
      <c r="H24" s="168"/>
      <c r="I24" s="176"/>
      <c r="J24" s="170"/>
      <c r="K24" s="167"/>
      <c r="L24" s="172"/>
      <c r="M24" s="170"/>
      <c r="N24" s="205"/>
      <c r="O24" s="207"/>
    </row>
    <row r="25" spans="1:15" ht="15.75" x14ac:dyDescent="0.25">
      <c r="A25" s="167" t="str">
        <f t="shared" si="0"/>
        <v/>
      </c>
      <c r="B25" s="167"/>
      <c r="C25" s="205"/>
      <c r="D25" s="206"/>
      <c r="E25" s="207"/>
      <c r="F25" s="167"/>
      <c r="G25" s="177"/>
      <c r="H25" s="168"/>
      <c r="I25" s="176"/>
      <c r="J25" s="170"/>
      <c r="K25" s="167"/>
      <c r="L25" s="172"/>
      <c r="M25" s="170"/>
      <c r="N25" s="205"/>
      <c r="O25" s="207"/>
    </row>
    <row r="26" spans="1:15" ht="15.75" x14ac:dyDescent="0.25">
      <c r="A26" s="167" t="str">
        <f t="shared" si="0"/>
        <v/>
      </c>
      <c r="B26" s="167"/>
      <c r="C26" s="205"/>
      <c r="D26" s="206"/>
      <c r="E26" s="207"/>
      <c r="F26" s="167"/>
      <c r="G26" s="177"/>
      <c r="H26" s="168"/>
      <c r="I26" s="176"/>
      <c r="J26" s="170"/>
      <c r="K26" s="167"/>
      <c r="L26" s="172"/>
      <c r="M26" s="170"/>
      <c r="N26" s="205"/>
      <c r="O26" s="207"/>
    </row>
    <row r="27" spans="1:15" ht="15.75" x14ac:dyDescent="0.25">
      <c r="A27" s="167" t="str">
        <f t="shared" si="0"/>
        <v/>
      </c>
      <c r="B27" s="167"/>
      <c r="C27" s="205"/>
      <c r="D27" s="206"/>
      <c r="E27" s="207"/>
      <c r="F27" s="167"/>
      <c r="G27" s="177"/>
      <c r="H27" s="168"/>
      <c r="I27" s="176"/>
      <c r="J27" s="170"/>
      <c r="K27" s="167"/>
      <c r="L27" s="172"/>
      <c r="M27" s="170"/>
      <c r="N27" s="205"/>
      <c r="O27" s="207"/>
    </row>
    <row r="28" spans="1:15" ht="15.75" x14ac:dyDescent="0.25">
      <c r="A28" s="167" t="str">
        <f t="shared" si="0"/>
        <v/>
      </c>
      <c r="B28" s="167"/>
      <c r="C28" s="205"/>
      <c r="D28" s="206"/>
      <c r="E28" s="207"/>
      <c r="F28" s="167"/>
      <c r="G28" s="177"/>
      <c r="H28" s="168"/>
      <c r="I28" s="176"/>
      <c r="J28" s="170"/>
      <c r="K28" s="167"/>
      <c r="L28" s="172"/>
      <c r="M28" s="170"/>
      <c r="N28" s="205"/>
      <c r="O28" s="207"/>
    </row>
    <row r="29" spans="1:15" ht="15.75" x14ac:dyDescent="0.25">
      <c r="A29" s="167" t="str">
        <f t="shared" si="0"/>
        <v/>
      </c>
      <c r="B29" s="167"/>
      <c r="C29" s="205"/>
      <c r="D29" s="206"/>
      <c r="E29" s="207"/>
      <c r="F29" s="167"/>
      <c r="G29" s="177"/>
      <c r="H29" s="168"/>
      <c r="I29" s="176"/>
      <c r="J29" s="170"/>
      <c r="K29" s="167"/>
      <c r="L29" s="172"/>
      <c r="M29" s="170"/>
      <c r="N29" s="205"/>
      <c r="O29" s="207"/>
    </row>
    <row r="30" spans="1:15" ht="15.75" x14ac:dyDescent="0.25">
      <c r="A30" s="167" t="str">
        <f t="shared" si="0"/>
        <v/>
      </c>
      <c r="B30" s="167"/>
      <c r="C30" s="205"/>
      <c r="D30" s="206"/>
      <c r="E30" s="207"/>
      <c r="F30" s="167"/>
      <c r="G30" s="177"/>
      <c r="H30" s="168"/>
      <c r="I30" s="176"/>
      <c r="J30" s="170"/>
      <c r="K30" s="167"/>
      <c r="L30" s="172"/>
      <c r="M30" s="170"/>
      <c r="N30" s="205"/>
      <c r="O30" s="207"/>
    </row>
    <row r="31" spans="1:15" ht="15.75" x14ac:dyDescent="0.25">
      <c r="A31" s="167" t="str">
        <f t="shared" si="0"/>
        <v/>
      </c>
      <c r="B31" s="167"/>
      <c r="C31" s="205"/>
      <c r="D31" s="206"/>
      <c r="E31" s="207"/>
      <c r="F31" s="167"/>
      <c r="G31" s="177"/>
      <c r="H31" s="168"/>
      <c r="I31" s="176"/>
      <c r="J31" s="170"/>
      <c r="K31" s="167"/>
      <c r="L31" s="172"/>
      <c r="M31" s="170"/>
      <c r="N31" s="205"/>
      <c r="O31" s="207"/>
    </row>
    <row r="32" spans="1:15" ht="24" customHeight="1" x14ac:dyDescent="0.25">
      <c r="A32" s="76"/>
      <c r="B32" s="77"/>
      <c r="C32" s="77"/>
      <c r="D32" s="77"/>
      <c r="E32" s="77"/>
      <c r="F32" s="77"/>
      <c r="G32" s="126"/>
      <c r="H32" s="91"/>
      <c r="I32" s="91"/>
      <c r="J32" s="270" t="s">
        <v>8718</v>
      </c>
      <c r="K32" s="270"/>
      <c r="L32" s="270"/>
      <c r="M32" s="270">
        <f>SUM(N16:O31)</f>
        <v>32822.879999999997</v>
      </c>
      <c r="N32" s="270"/>
      <c r="O32" s="271"/>
    </row>
    <row r="33" spans="1:15" ht="17.25" customHeight="1" x14ac:dyDescent="0.25">
      <c r="A33" s="57"/>
      <c r="B33" s="18"/>
      <c r="C33" s="18"/>
      <c r="D33" s="18"/>
      <c r="E33" s="18"/>
      <c r="F33" s="18"/>
      <c r="G33" s="127"/>
      <c r="H33" s="18"/>
      <c r="I33" s="267"/>
      <c r="J33" s="267"/>
      <c r="K33" s="81"/>
      <c r="L33" s="81"/>
      <c r="M33" s="81"/>
      <c r="N33" s="268"/>
      <c r="O33" s="269"/>
    </row>
    <row r="34" spans="1:15" ht="17.25" customHeight="1" x14ac:dyDescent="0.25">
      <c r="A34" s="57"/>
      <c r="B34" s="18"/>
      <c r="C34" s="18"/>
      <c r="D34" s="18"/>
      <c r="E34" s="18"/>
      <c r="F34" s="18"/>
      <c r="G34" s="127"/>
      <c r="H34" s="18"/>
      <c r="I34" s="267"/>
      <c r="J34" s="267"/>
      <c r="K34" s="81"/>
      <c r="L34" s="81"/>
      <c r="M34" s="81"/>
      <c r="N34" s="268"/>
      <c r="O34" s="269"/>
    </row>
    <row r="35" spans="1:15" ht="15.75" x14ac:dyDescent="0.25">
      <c r="A35" s="57"/>
      <c r="B35" s="18"/>
      <c r="C35" s="18"/>
      <c r="D35" s="18"/>
      <c r="E35" s="18"/>
      <c r="F35" s="18"/>
      <c r="G35" s="127"/>
      <c r="H35" s="18"/>
      <c r="I35" s="18"/>
      <c r="J35" s="18" t="str">
        <f>IFERROR(VLOOKUP(B35,Product!$B$2:$H$502,6,0),"")</f>
        <v/>
      </c>
      <c r="K35" s="18"/>
      <c r="L35" s="18"/>
      <c r="M35" s="18"/>
      <c r="N35" s="268"/>
      <c r="O35" s="269"/>
    </row>
    <row r="36" spans="1:15" ht="18.75" x14ac:dyDescent="0.3">
      <c r="A36" s="254" t="s">
        <v>8719</v>
      </c>
      <c r="B36" s="255"/>
      <c r="C36" s="255"/>
      <c r="D36" s="255"/>
      <c r="E36" s="255"/>
      <c r="F36" s="255"/>
      <c r="G36" s="255"/>
      <c r="H36" s="18"/>
      <c r="I36" s="18"/>
      <c r="J36" s="18"/>
      <c r="K36" s="18"/>
      <c r="L36" s="18"/>
      <c r="M36" s="18"/>
      <c r="N36" s="18"/>
      <c r="O36" s="58"/>
    </row>
    <row r="37" spans="1:15" ht="15.75" x14ac:dyDescent="0.25">
      <c r="A37" s="262" t="str">
        <f>RupeesInWords(M32)</f>
        <v>Rupees Thirty Two Thousand Eight Hundred Twenty Two And Eighty Eight Paise Only</v>
      </c>
      <c r="B37" s="263"/>
      <c r="C37" s="263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4"/>
    </row>
    <row r="38" spans="1:15" ht="15.75" x14ac:dyDescent="0.25">
      <c r="A38" s="57"/>
      <c r="B38" s="18"/>
      <c r="C38" s="18"/>
      <c r="D38" s="18"/>
      <c r="E38" s="18"/>
      <c r="F38" s="18"/>
      <c r="G38" s="127"/>
      <c r="H38" s="18"/>
      <c r="I38" s="18"/>
      <c r="J38" s="18"/>
      <c r="K38" s="18"/>
      <c r="L38" s="18"/>
      <c r="M38" s="18"/>
      <c r="N38" s="18"/>
      <c r="O38" s="58"/>
    </row>
    <row r="39" spans="1:15" ht="15.75" x14ac:dyDescent="0.25">
      <c r="A39" s="57"/>
      <c r="B39" s="18"/>
      <c r="C39" s="18"/>
      <c r="D39" s="18"/>
      <c r="E39" s="18"/>
      <c r="F39" s="18"/>
      <c r="G39" s="127"/>
      <c r="H39" s="18"/>
      <c r="I39" s="18"/>
      <c r="J39" s="18"/>
      <c r="K39" s="18"/>
      <c r="L39" s="18"/>
      <c r="M39" s="18"/>
      <c r="N39" s="18"/>
      <c r="O39" s="58"/>
    </row>
    <row r="40" spans="1:15" ht="15.75" x14ac:dyDescent="0.25">
      <c r="A40" s="57"/>
      <c r="B40" s="18"/>
      <c r="C40" s="18"/>
      <c r="D40" s="18"/>
      <c r="E40" s="18"/>
      <c r="F40" s="18"/>
      <c r="G40" s="127"/>
      <c r="H40" s="18"/>
      <c r="I40" s="265" t="s">
        <v>8720</v>
      </c>
      <c r="J40" s="265"/>
      <c r="K40" s="265"/>
      <c r="L40" s="265"/>
      <c r="M40" s="265"/>
      <c r="N40" s="265"/>
      <c r="O40" s="266"/>
    </row>
    <row r="41" spans="1:15" ht="15.75" x14ac:dyDescent="0.25">
      <c r="A41" s="57"/>
      <c r="B41" s="18"/>
      <c r="C41" s="18"/>
      <c r="D41" s="18"/>
      <c r="E41" s="18"/>
      <c r="F41" s="18"/>
      <c r="G41" s="127"/>
      <c r="H41" s="18"/>
      <c r="I41" s="18"/>
      <c r="J41" s="18"/>
      <c r="K41" s="18"/>
      <c r="L41" s="18"/>
      <c r="M41" s="18"/>
      <c r="N41" s="18"/>
      <c r="O41" s="58"/>
    </row>
    <row r="42" spans="1:15" ht="15.75" x14ac:dyDescent="0.25">
      <c r="A42" s="57"/>
      <c r="B42" s="18"/>
      <c r="C42" s="18"/>
      <c r="D42" s="18"/>
      <c r="E42" s="18"/>
      <c r="F42" s="18"/>
      <c r="G42" s="127"/>
      <c r="H42" s="18"/>
      <c r="I42" s="18"/>
      <c r="J42" s="18"/>
      <c r="K42" s="18"/>
      <c r="L42" s="18"/>
      <c r="M42" s="18"/>
      <c r="N42" s="18"/>
      <c r="O42" s="58"/>
    </row>
    <row r="43" spans="1:15" ht="15.75" x14ac:dyDescent="0.25">
      <c r="A43" s="57"/>
      <c r="B43" s="18"/>
      <c r="C43" s="18"/>
      <c r="D43" s="18"/>
      <c r="E43" s="18"/>
      <c r="F43" s="18"/>
      <c r="G43" s="127"/>
      <c r="H43" s="18"/>
      <c r="I43" s="18"/>
      <c r="J43" s="18"/>
      <c r="K43" s="18"/>
      <c r="L43" s="18"/>
      <c r="M43" s="18"/>
      <c r="N43" s="18"/>
      <c r="O43" s="58"/>
    </row>
  </sheetData>
  <mergeCells count="74">
    <mergeCell ref="C28:E28"/>
    <mergeCell ref="N28:O28"/>
    <mergeCell ref="C29:E29"/>
    <mergeCell ref="N29:O29"/>
    <mergeCell ref="C30:E30"/>
    <mergeCell ref="N30:O30"/>
    <mergeCell ref="N15:O15"/>
    <mergeCell ref="A1:J2"/>
    <mergeCell ref="K1:L1"/>
    <mergeCell ref="M1:N1"/>
    <mergeCell ref="K2:L2"/>
    <mergeCell ref="M2:N2"/>
    <mergeCell ref="A3:J3"/>
    <mergeCell ref="A13:B13"/>
    <mergeCell ref="I14:J14"/>
    <mergeCell ref="L14:M14"/>
    <mergeCell ref="C15:E15"/>
    <mergeCell ref="D13:H13"/>
    <mergeCell ref="M9:O9"/>
    <mergeCell ref="A11:B11"/>
    <mergeCell ref="I11:K11"/>
    <mergeCell ref="L11:N11"/>
    <mergeCell ref="A37:O37"/>
    <mergeCell ref="I40:O40"/>
    <mergeCell ref="C31:E31"/>
    <mergeCell ref="N31:O31"/>
    <mergeCell ref="I33:J33"/>
    <mergeCell ref="N33:O33"/>
    <mergeCell ref="J32:L32"/>
    <mergeCell ref="M32:O32"/>
    <mergeCell ref="A36:G36"/>
    <mergeCell ref="I34:J34"/>
    <mergeCell ref="N34:O34"/>
    <mergeCell ref="N35:O35"/>
    <mergeCell ref="C25:E25"/>
    <mergeCell ref="N25:O25"/>
    <mergeCell ref="C26:E26"/>
    <mergeCell ref="N26:O26"/>
    <mergeCell ref="C27:E27"/>
    <mergeCell ref="N27:O27"/>
    <mergeCell ref="C22:E22"/>
    <mergeCell ref="N22:O22"/>
    <mergeCell ref="C23:E23"/>
    <mergeCell ref="N23:O23"/>
    <mergeCell ref="C24:E24"/>
    <mergeCell ref="N24:O24"/>
    <mergeCell ref="C19:E19"/>
    <mergeCell ref="N19:O19"/>
    <mergeCell ref="C20:E20"/>
    <mergeCell ref="N20:O20"/>
    <mergeCell ref="C21:E21"/>
    <mergeCell ref="N21:O21"/>
    <mergeCell ref="C16:E16"/>
    <mergeCell ref="N16:O16"/>
    <mergeCell ref="C17:E17"/>
    <mergeCell ref="N17:O17"/>
    <mergeCell ref="C18:E18"/>
    <mergeCell ref="N18:O18"/>
    <mergeCell ref="A12:C12"/>
    <mergeCell ref="D12:H12"/>
    <mergeCell ref="D11:H11"/>
    <mergeCell ref="A10:B10"/>
    <mergeCell ref="D10:H10"/>
    <mergeCell ref="A8:B8"/>
    <mergeCell ref="A9:B9"/>
    <mergeCell ref="C9:E9"/>
    <mergeCell ref="I9:L9"/>
    <mergeCell ref="A4:J4"/>
    <mergeCell ref="A5:B5"/>
    <mergeCell ref="C5:F5"/>
    <mergeCell ref="I5:J5"/>
    <mergeCell ref="A6:B6"/>
    <mergeCell ref="C6:F6"/>
    <mergeCell ref="I6:J6"/>
  </mergeCells>
  <dataValidations count="3">
    <dataValidation type="list" allowBlank="1" showInputMessage="1" showErrorMessage="1" sqref="L11" xr:uid="{563D635C-9AEE-41FC-807B-9F820BF3A788}">
      <formula1>"Completed,Cancelled,Return"</formula1>
    </dataValidation>
    <dataValidation type="list" allowBlank="1" showInputMessage="1" showErrorMessage="1" sqref="M9" xr:uid="{F9A6BC68-841F-4CF9-A343-B679B3EB1611}">
      <formula1>"UPI,Cash,Card,Bank Transfer"</formula1>
    </dataValidation>
    <dataValidation type="custom" operator="lessThanOrEqual" allowBlank="1" showInputMessage="1" showErrorMessage="1" errorTitle="Stock Available Nahi Hai" error="_x000a__x000a_Aapne Available Stock se Jyada QTY Entry ki hai " sqref="F16:F31" xr:uid="{AADA73AD-D8A2-4497-93AE-205A4CB390D2}">
      <formula1>F16&lt;=VLOOKUP(B16,#REF!,9,0)</formula1>
    </dataValidation>
  </dataValidations>
  <hyperlinks>
    <hyperlink ref="C6" r:id="rId1" xr:uid="{7D895EAD-A868-4C48-B014-6E4200DDF3C0}"/>
  </hyperlinks>
  <printOptions horizontalCentered="1"/>
  <pageMargins left="0.25" right="0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F64C3F-3164-47BE-8102-B0AEA144A5F1}">
          <x14:formula1>
            <xm:f>Product!$A$3:$A$502</xm:f>
          </x14:formula1>
          <xm:sqref>B16:B31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EDE6-7CC3-46F0-AE14-C25AF47B8144}">
  <sheetPr codeName="Sheet14">
    <pageSetUpPr fitToPage="1"/>
  </sheetPr>
  <dimension ref="A1:U43"/>
  <sheetViews>
    <sheetView showGridLines="0" zoomScaleNormal="100" workbookViewId="0">
      <selection activeCell="F17" sqref="F17"/>
    </sheetView>
  </sheetViews>
  <sheetFormatPr defaultRowHeight="15" x14ac:dyDescent="0.25"/>
  <cols>
    <col min="1" max="1" width="3.7109375" style="11" customWidth="1"/>
    <col min="2" max="2" width="7.140625" style="11" customWidth="1"/>
    <col min="3" max="3" width="3.7109375" style="11" customWidth="1"/>
    <col min="4" max="4" width="6.140625" style="11" customWidth="1"/>
    <col min="5" max="5" width="7" style="11" customWidth="1"/>
    <col min="6" max="6" width="4.85546875" style="11" customWidth="1"/>
    <col min="7" max="7" width="9.140625" style="11" customWidth="1"/>
    <col min="8" max="8" width="9.42578125" style="11" customWidth="1"/>
    <col min="9" max="9" width="5.85546875" style="11" customWidth="1"/>
    <col min="10" max="11" width="9.140625" style="11" customWidth="1"/>
    <col min="12" max="12" width="5" style="11" customWidth="1"/>
    <col min="13" max="13" width="8.85546875" style="11" customWidth="1"/>
    <col min="14" max="14" width="9.42578125" style="11" customWidth="1"/>
    <col min="15" max="15" width="2.140625" style="11" customWidth="1"/>
    <col min="16" max="16" width="12.42578125" style="11" customWidth="1"/>
    <col min="17" max="16384" width="9.140625" style="11"/>
  </cols>
  <sheetData>
    <row r="1" spans="1:21" ht="27" customHeight="1" x14ac:dyDescent="0.25">
      <c r="A1" s="290" t="s">
        <v>8764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2"/>
    </row>
    <row r="2" spans="1:21" ht="22.5" customHeight="1" x14ac:dyDescent="0.25">
      <c r="A2" s="293"/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5"/>
      <c r="S2" s="284"/>
      <c r="T2" s="285"/>
      <c r="U2" s="286"/>
    </row>
    <row r="3" spans="1:21" ht="18.75" x14ac:dyDescent="0.3">
      <c r="A3" s="301" t="str">
        <f>IFERROR(VLOOKUP($E$9,Supplier!$A$2:$F$52,2,0),"")</f>
        <v/>
      </c>
      <c r="B3" s="302"/>
      <c r="C3" s="302"/>
      <c r="D3" s="302"/>
      <c r="E3" s="302"/>
      <c r="F3" s="302"/>
      <c r="G3" s="107"/>
      <c r="H3" s="107"/>
      <c r="I3" s="107"/>
      <c r="J3" s="302" t="s">
        <v>8841</v>
      </c>
      <c r="K3" s="302"/>
      <c r="L3" s="302"/>
      <c r="M3" s="303" t="s">
        <v>8882</v>
      </c>
      <c r="N3" s="303"/>
      <c r="O3" s="68"/>
      <c r="S3" s="287"/>
      <c r="T3" s="288"/>
      <c r="U3" s="289"/>
    </row>
    <row r="4" spans="1:21" ht="18.75" x14ac:dyDescent="0.3">
      <c r="A4" s="301" t="str">
        <f>IFERROR(VLOOKUP($E$9,Supplier!$A$2:$F$52,4,0),"")</f>
        <v/>
      </c>
      <c r="B4" s="302"/>
      <c r="C4" s="302"/>
      <c r="D4" s="302"/>
      <c r="E4" s="302"/>
      <c r="F4" s="302"/>
      <c r="G4" s="105"/>
      <c r="H4" s="105"/>
      <c r="I4" s="105"/>
      <c r="J4" s="302" t="s">
        <v>8842</v>
      </c>
      <c r="K4" s="302"/>
      <c r="L4" s="19"/>
      <c r="M4" s="304">
        <f ca="1">TODAY()</f>
        <v>46300</v>
      </c>
      <c r="N4" s="303"/>
      <c r="O4" s="68"/>
      <c r="S4" s="283"/>
      <c r="T4" s="283"/>
      <c r="U4" s="283"/>
    </row>
    <row r="5" spans="1:21" ht="18.75" x14ac:dyDescent="0.3">
      <c r="A5" s="301" t="str">
        <f>IFERROR(VLOOKUP($E$9,Supplier!$A$2:$F$52,5,0),"")</f>
        <v/>
      </c>
      <c r="B5" s="302"/>
      <c r="C5" s="302"/>
      <c r="D5" s="302"/>
      <c r="E5" s="302"/>
      <c r="F5" s="302"/>
      <c r="G5" s="69"/>
      <c r="H5" s="69"/>
      <c r="I5" s="107"/>
      <c r="J5" s="107"/>
      <c r="K5" s="78"/>
      <c r="L5" s="78"/>
      <c r="M5" s="78"/>
      <c r="N5" s="67"/>
      <c r="O5" s="68"/>
    </row>
    <row r="6" spans="1:21" ht="15.75" x14ac:dyDescent="0.25">
      <c r="A6" s="106"/>
      <c r="B6" s="107"/>
      <c r="C6" s="108"/>
      <c r="D6" s="108"/>
      <c r="E6" s="108"/>
      <c r="F6" s="108"/>
      <c r="G6" s="70"/>
      <c r="H6" s="70"/>
      <c r="I6" s="105"/>
      <c r="J6" s="105"/>
      <c r="K6" s="79"/>
      <c r="L6" s="79"/>
      <c r="M6" s="79"/>
      <c r="N6" s="67"/>
      <c r="O6" s="68"/>
    </row>
    <row r="7" spans="1:21" ht="15.75" customHeight="1" x14ac:dyDescent="0.25">
      <c r="A7" s="92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8"/>
    </row>
    <row r="8" spans="1:21" ht="18.75" x14ac:dyDescent="0.3">
      <c r="A8" s="99"/>
      <c r="B8" s="100"/>
      <c r="C8" s="100"/>
      <c r="D8" s="100"/>
      <c r="E8" s="100"/>
      <c r="F8" s="101"/>
      <c r="G8" s="101"/>
      <c r="H8" s="101"/>
      <c r="I8" s="101"/>
      <c r="J8" s="101"/>
      <c r="K8" s="102"/>
      <c r="L8" s="102"/>
      <c r="M8" s="102"/>
      <c r="N8" s="102"/>
      <c r="O8" s="103"/>
    </row>
    <row r="9" spans="1:21" ht="18.75" x14ac:dyDescent="0.3">
      <c r="A9" s="199" t="s">
        <v>8763</v>
      </c>
      <c r="B9" s="200"/>
      <c r="C9" s="200"/>
      <c r="D9" s="200"/>
      <c r="E9" s="277"/>
      <c r="F9" s="277"/>
      <c r="G9" s="277"/>
      <c r="H9" s="278"/>
      <c r="I9" s="298" t="s">
        <v>8738</v>
      </c>
      <c r="J9" s="299"/>
      <c r="K9" s="299"/>
      <c r="L9" s="299"/>
      <c r="M9" s="299"/>
      <c r="N9" s="299"/>
      <c r="O9" s="300"/>
    </row>
    <row r="10" spans="1:21" ht="18.75" x14ac:dyDescent="0.3">
      <c r="A10" s="199" t="s">
        <v>8712</v>
      </c>
      <c r="B10" s="200"/>
      <c r="C10" s="200"/>
      <c r="D10" s="200"/>
      <c r="E10" s="281" t="str">
        <f>IFERROR(VLOOKUP($E$9,Supplier!$A$2:$F$52,2,0),"")</f>
        <v/>
      </c>
      <c r="F10" s="281"/>
      <c r="G10" s="281"/>
      <c r="H10" s="282"/>
      <c r="I10" s="63"/>
      <c r="J10" s="16"/>
      <c r="K10" s="109"/>
      <c r="L10" s="109"/>
      <c r="M10" s="109"/>
      <c r="N10" s="109"/>
      <c r="O10" s="110"/>
    </row>
    <row r="11" spans="1:21" ht="18.75" x14ac:dyDescent="0.25">
      <c r="A11" s="203" t="s">
        <v>8787</v>
      </c>
      <c r="B11" s="204"/>
      <c r="C11" s="204"/>
      <c r="D11" s="204"/>
      <c r="E11" s="279" t="str">
        <f>IFERROR(VLOOKUP($E$9,Supplier!$A$2:$F$52,3,0),"")</f>
        <v/>
      </c>
      <c r="F11" s="279"/>
      <c r="G11" s="279"/>
      <c r="H11" s="280"/>
      <c r="I11" s="227" t="s">
        <v>1017</v>
      </c>
      <c r="J11" s="228"/>
      <c r="K11" s="228"/>
      <c r="L11" s="229"/>
      <c r="M11" s="229"/>
      <c r="N11" s="229"/>
      <c r="O11" s="55"/>
    </row>
    <row r="12" spans="1:21" ht="18.75" x14ac:dyDescent="0.25">
      <c r="A12" s="203" t="s">
        <v>8788</v>
      </c>
      <c r="B12" s="204"/>
      <c r="C12" s="204"/>
      <c r="D12" s="204"/>
      <c r="E12" s="281" t="str">
        <f>IFERROR(VLOOKUP($E$9,Supplier!$A$2:$F$52,4,0),"")</f>
        <v/>
      </c>
      <c r="F12" s="281"/>
      <c r="G12" s="281"/>
      <c r="H12" s="282"/>
      <c r="I12" s="75"/>
      <c r="J12" s="109"/>
      <c r="K12" s="109"/>
      <c r="L12" s="109"/>
      <c r="M12" s="109"/>
      <c r="N12" s="109"/>
      <c r="O12" s="110"/>
    </row>
    <row r="13" spans="1:21" ht="18.75" x14ac:dyDescent="0.3">
      <c r="A13" s="199" t="s">
        <v>8789</v>
      </c>
      <c r="B13" s="200"/>
      <c r="C13" s="200"/>
      <c r="D13" s="200"/>
      <c r="E13" s="281" t="str">
        <f>IFERROR(VLOOKUP($E$9,Supplier!$A$2:$F$52,5,0),"")</f>
        <v/>
      </c>
      <c r="F13" s="281"/>
      <c r="G13" s="281"/>
      <c r="H13" s="282"/>
      <c r="I13" s="74"/>
      <c r="J13" s="109"/>
      <c r="K13" s="109"/>
      <c r="L13" s="109"/>
      <c r="M13" s="109"/>
      <c r="N13" s="109"/>
      <c r="O13" s="110"/>
    </row>
    <row r="14" spans="1:21" ht="19.5" customHeight="1" x14ac:dyDescent="0.3">
      <c r="A14" s="199" t="s">
        <v>8713</v>
      </c>
      <c r="B14" s="200"/>
      <c r="C14" s="200"/>
      <c r="D14" s="200"/>
      <c r="E14" s="281" t="str">
        <f>IFERROR(VLOOKUP($E$9,Supplier!$A$2:$F$52,6,0),"")</f>
        <v/>
      </c>
      <c r="F14" s="281"/>
      <c r="G14" s="281"/>
      <c r="H14" s="282"/>
      <c r="I14" s="296" t="s">
        <v>8786</v>
      </c>
      <c r="J14" s="297"/>
      <c r="K14" s="80"/>
      <c r="L14" s="296" t="s">
        <v>8784</v>
      </c>
      <c r="M14" s="297"/>
      <c r="N14" s="60"/>
      <c r="O14" s="61"/>
    </row>
    <row r="15" spans="1:21" s="62" customFormat="1" ht="33.75" customHeight="1" x14ac:dyDescent="0.25">
      <c r="A15" s="82" t="s">
        <v>8714</v>
      </c>
      <c r="B15" s="82" t="s">
        <v>8781</v>
      </c>
      <c r="C15" s="222" t="s">
        <v>556</v>
      </c>
      <c r="D15" s="223"/>
      <c r="E15" s="224"/>
      <c r="F15" s="82" t="s">
        <v>8704</v>
      </c>
      <c r="G15" s="82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7" t="s">
        <v>8716</v>
      </c>
      <c r="N15" s="225" t="s">
        <v>8737</v>
      </c>
      <c r="O15" s="226"/>
    </row>
    <row r="16" spans="1:21" ht="15.75" x14ac:dyDescent="0.25">
      <c r="A16" s="167" t="str">
        <f>IF(B16&lt;&gt;"",ROW()-15,"")</f>
        <v/>
      </c>
      <c r="B16" s="167"/>
      <c r="C16" s="231" t="str">
        <f>IFERROR(VLOOKUP(B16,Product!$A$2:$H$502,2,0),"")</f>
        <v/>
      </c>
      <c r="D16" s="232"/>
      <c r="E16" s="233"/>
      <c r="F16" s="167"/>
      <c r="G16" s="173" t="str">
        <f>IFERROR(VLOOKUP(B16,Product[#All],7,0),"")</f>
        <v/>
      </c>
      <c r="H16" s="178" t="str">
        <f>IFERROR(G16*F16,"")</f>
        <v/>
      </c>
      <c r="I16" s="169"/>
      <c r="J16" s="174" t="str">
        <f>IFERROR(H16*I16,"")</f>
        <v/>
      </c>
      <c r="K16" s="171" t="str">
        <f>IFERROR(H16-J16,"")</f>
        <v/>
      </c>
      <c r="L16" s="172" t="str">
        <f t="shared" ref="L16:L31" si="0">IFERROR(IF(H16&lt;&gt;"",18%,""),"")</f>
        <v/>
      </c>
      <c r="M16" s="174" t="str">
        <f>IFERROR(K16*L16,"")</f>
        <v/>
      </c>
      <c r="N16" s="231" t="str">
        <f>IFERROR(K16+M16,"")</f>
        <v/>
      </c>
      <c r="O16" s="233"/>
    </row>
    <row r="17" spans="1:19" ht="15.75" x14ac:dyDescent="0.25">
      <c r="A17" s="167" t="str">
        <f t="shared" ref="A17:A31" si="1">IF(B17&lt;&gt;"",ROW()-15,"")</f>
        <v/>
      </c>
      <c r="B17" s="167"/>
      <c r="C17" s="205" t="str">
        <f>IFERROR(VLOOKUP(B17,Product!$A$2:$H$502,2,0),"")</f>
        <v/>
      </c>
      <c r="D17" s="206"/>
      <c r="E17" s="207"/>
      <c r="F17" s="167"/>
      <c r="G17" s="173" t="str">
        <f>IFERROR(VLOOKUP(B17,Product[#All],7,0),"")</f>
        <v/>
      </c>
      <c r="H17" s="173" t="str">
        <f t="shared" ref="H17:H31" si="2">IFERROR(G17*F17,"")</f>
        <v/>
      </c>
      <c r="I17" s="175"/>
      <c r="J17" s="174" t="str">
        <f t="shared" ref="J17:J31" si="3">IFERROR(H17*I17,"")</f>
        <v/>
      </c>
      <c r="K17" s="167" t="str">
        <f t="shared" ref="K17:K31" si="4">IFERROR(H17-J17,"")</f>
        <v/>
      </c>
      <c r="L17" s="172" t="str">
        <f t="shared" si="0"/>
        <v/>
      </c>
      <c r="M17" s="174" t="str">
        <f t="shared" ref="M17:M31" si="5">IFERROR(K17*L17,"")</f>
        <v/>
      </c>
      <c r="N17" s="205" t="str">
        <f t="shared" ref="N17:N31" si="6">IFERROR(K17+M17,"")</f>
        <v/>
      </c>
      <c r="O17" s="207"/>
    </row>
    <row r="18" spans="1:19" ht="15.75" x14ac:dyDescent="0.25">
      <c r="A18" s="167" t="str">
        <f t="shared" si="1"/>
        <v/>
      </c>
      <c r="B18" s="167"/>
      <c r="C18" s="205" t="str">
        <f>IFERROR(VLOOKUP(B18,Product!$A$2:$H$502,2,0),"")</f>
        <v/>
      </c>
      <c r="D18" s="206"/>
      <c r="E18" s="207"/>
      <c r="F18" s="167"/>
      <c r="G18" s="173" t="str">
        <f>IFERROR(VLOOKUP(B18,Product[#All],7,0),"")</f>
        <v/>
      </c>
      <c r="H18" s="173" t="str">
        <f t="shared" si="2"/>
        <v/>
      </c>
      <c r="I18" s="175"/>
      <c r="J18" s="174" t="str">
        <f t="shared" si="3"/>
        <v/>
      </c>
      <c r="K18" s="167" t="str">
        <f t="shared" si="4"/>
        <v/>
      </c>
      <c r="L18" s="172" t="str">
        <f t="shared" si="0"/>
        <v/>
      </c>
      <c r="M18" s="174" t="str">
        <f t="shared" si="5"/>
        <v/>
      </c>
      <c r="N18" s="205" t="str">
        <f t="shared" si="6"/>
        <v/>
      </c>
      <c r="O18" s="207"/>
    </row>
    <row r="19" spans="1:19" ht="15.75" x14ac:dyDescent="0.25">
      <c r="A19" s="167" t="str">
        <f t="shared" si="1"/>
        <v/>
      </c>
      <c r="B19" s="167"/>
      <c r="C19" s="205" t="str">
        <f>IFERROR(VLOOKUP(B19,Product!$A$2:$H$502,2,0),"")</f>
        <v/>
      </c>
      <c r="D19" s="206"/>
      <c r="E19" s="207"/>
      <c r="F19" s="167"/>
      <c r="G19" s="173" t="str">
        <f>IFERROR(VLOOKUP(B19,Product[#All],7,0),"")</f>
        <v/>
      </c>
      <c r="H19" s="173" t="str">
        <f t="shared" si="2"/>
        <v/>
      </c>
      <c r="I19" s="175"/>
      <c r="J19" s="174" t="str">
        <f t="shared" si="3"/>
        <v/>
      </c>
      <c r="K19" s="167" t="str">
        <f t="shared" si="4"/>
        <v/>
      </c>
      <c r="L19" s="172" t="str">
        <f t="shared" si="0"/>
        <v/>
      </c>
      <c r="M19" s="174" t="str">
        <f t="shared" si="5"/>
        <v/>
      </c>
      <c r="N19" s="205" t="str">
        <f t="shared" si="6"/>
        <v/>
      </c>
      <c r="O19" s="207"/>
    </row>
    <row r="20" spans="1:19" ht="15.75" x14ac:dyDescent="0.25">
      <c r="A20" s="167" t="str">
        <f t="shared" si="1"/>
        <v/>
      </c>
      <c r="B20" s="167"/>
      <c r="C20" s="205" t="str">
        <f>IFERROR(VLOOKUP(B20,Product!$A$2:$H$502,2,0),"")</f>
        <v/>
      </c>
      <c r="D20" s="206"/>
      <c r="E20" s="207"/>
      <c r="F20" s="167"/>
      <c r="G20" s="173" t="str">
        <f>IFERROR(VLOOKUP(B20,Product[#All],7,0),"")</f>
        <v/>
      </c>
      <c r="H20" s="173" t="str">
        <f t="shared" si="2"/>
        <v/>
      </c>
      <c r="I20" s="176"/>
      <c r="J20" s="174" t="str">
        <f t="shared" si="3"/>
        <v/>
      </c>
      <c r="K20" s="167" t="str">
        <f t="shared" si="4"/>
        <v/>
      </c>
      <c r="L20" s="172" t="str">
        <f t="shared" si="0"/>
        <v/>
      </c>
      <c r="M20" s="174" t="str">
        <f t="shared" si="5"/>
        <v/>
      </c>
      <c r="N20" s="205" t="str">
        <f t="shared" si="6"/>
        <v/>
      </c>
      <c r="O20" s="207"/>
    </row>
    <row r="21" spans="1:19" ht="15.75" x14ac:dyDescent="0.25">
      <c r="A21" s="167" t="str">
        <f t="shared" si="1"/>
        <v/>
      </c>
      <c r="B21" s="167"/>
      <c r="C21" s="205" t="str">
        <f>IFERROR(VLOOKUP(B21,Product!$A$2:$H$502,2,0),"")</f>
        <v/>
      </c>
      <c r="D21" s="206"/>
      <c r="E21" s="207"/>
      <c r="F21" s="167"/>
      <c r="G21" s="173" t="str">
        <f>IFERROR(VLOOKUP(B21,Product[#All],7,0),"")</f>
        <v/>
      </c>
      <c r="H21" s="173" t="str">
        <f t="shared" si="2"/>
        <v/>
      </c>
      <c r="I21" s="176"/>
      <c r="J21" s="174" t="str">
        <f t="shared" si="3"/>
        <v/>
      </c>
      <c r="K21" s="167" t="str">
        <f t="shared" si="4"/>
        <v/>
      </c>
      <c r="L21" s="172" t="str">
        <f t="shared" si="0"/>
        <v/>
      </c>
      <c r="M21" s="174" t="str">
        <f t="shared" si="5"/>
        <v/>
      </c>
      <c r="N21" s="205" t="str">
        <f t="shared" si="6"/>
        <v/>
      </c>
      <c r="O21" s="207"/>
    </row>
    <row r="22" spans="1:19" ht="15.75" x14ac:dyDescent="0.25">
      <c r="A22" s="167" t="str">
        <f t="shared" si="1"/>
        <v/>
      </c>
      <c r="B22" s="167"/>
      <c r="C22" s="205" t="str">
        <f>IFERROR(VLOOKUP(B22,Product!$A$2:$H$502,2,0),"")</f>
        <v/>
      </c>
      <c r="D22" s="206"/>
      <c r="E22" s="207"/>
      <c r="F22" s="167"/>
      <c r="G22" s="173" t="str">
        <f>IFERROR(VLOOKUP(B22,Product[#All],7,0),"")</f>
        <v/>
      </c>
      <c r="H22" s="173" t="str">
        <f t="shared" si="2"/>
        <v/>
      </c>
      <c r="I22" s="176"/>
      <c r="J22" s="174" t="str">
        <f t="shared" si="3"/>
        <v/>
      </c>
      <c r="K22" s="167" t="str">
        <f t="shared" si="4"/>
        <v/>
      </c>
      <c r="L22" s="172" t="str">
        <f t="shared" si="0"/>
        <v/>
      </c>
      <c r="M22" s="174" t="str">
        <f t="shared" si="5"/>
        <v/>
      </c>
      <c r="N22" s="205" t="str">
        <f t="shared" si="6"/>
        <v/>
      </c>
      <c r="O22" s="207"/>
    </row>
    <row r="23" spans="1:19" ht="15.75" x14ac:dyDescent="0.25">
      <c r="A23" s="167" t="str">
        <f t="shared" si="1"/>
        <v/>
      </c>
      <c r="B23" s="167"/>
      <c r="C23" s="205" t="str">
        <f>IFERROR(VLOOKUP(B23,Product!$A$2:$H$502,2,0),"")</f>
        <v/>
      </c>
      <c r="D23" s="206"/>
      <c r="E23" s="207"/>
      <c r="F23" s="167"/>
      <c r="G23" s="173" t="str">
        <f>IFERROR(VLOOKUP(B23,Product[#All],7,0),"")</f>
        <v/>
      </c>
      <c r="H23" s="173" t="str">
        <f t="shared" si="2"/>
        <v/>
      </c>
      <c r="I23" s="176"/>
      <c r="J23" s="174" t="str">
        <f t="shared" si="3"/>
        <v/>
      </c>
      <c r="K23" s="167" t="str">
        <f t="shared" si="4"/>
        <v/>
      </c>
      <c r="L23" s="172" t="str">
        <f t="shared" si="0"/>
        <v/>
      </c>
      <c r="M23" s="174" t="str">
        <f t="shared" si="5"/>
        <v/>
      </c>
      <c r="N23" s="205" t="str">
        <f t="shared" si="6"/>
        <v/>
      </c>
      <c r="O23" s="207"/>
    </row>
    <row r="24" spans="1:19" ht="15.75" x14ac:dyDescent="0.25">
      <c r="A24" s="167" t="str">
        <f t="shared" si="1"/>
        <v/>
      </c>
      <c r="B24" s="167"/>
      <c r="C24" s="205" t="str">
        <f>IFERROR(VLOOKUP(B24,Product!$A$2:$H$502,2,0),"")</f>
        <v/>
      </c>
      <c r="D24" s="206"/>
      <c r="E24" s="207"/>
      <c r="F24" s="167"/>
      <c r="G24" s="173" t="str">
        <f>IFERROR(VLOOKUP(B24,Product[#All],7,0),"")</f>
        <v/>
      </c>
      <c r="H24" s="173" t="str">
        <f t="shared" si="2"/>
        <v/>
      </c>
      <c r="I24" s="176"/>
      <c r="J24" s="174" t="str">
        <f t="shared" si="3"/>
        <v/>
      </c>
      <c r="K24" s="167" t="str">
        <f t="shared" si="4"/>
        <v/>
      </c>
      <c r="L24" s="172" t="str">
        <f t="shared" si="0"/>
        <v/>
      </c>
      <c r="M24" s="174" t="str">
        <f t="shared" si="5"/>
        <v/>
      </c>
      <c r="N24" s="205" t="str">
        <f t="shared" si="6"/>
        <v/>
      </c>
      <c r="O24" s="207"/>
    </row>
    <row r="25" spans="1:19" ht="15.75" x14ac:dyDescent="0.25">
      <c r="A25" s="167" t="str">
        <f t="shared" si="1"/>
        <v/>
      </c>
      <c r="B25" s="167"/>
      <c r="C25" s="205" t="str">
        <f>IFERROR(VLOOKUP(B25,Product!$A$2:$H$502,2,0),"")</f>
        <v/>
      </c>
      <c r="D25" s="206"/>
      <c r="E25" s="207"/>
      <c r="F25" s="167"/>
      <c r="G25" s="173" t="str">
        <f>IFERROR(VLOOKUP(B25,Product[#All],7,0),"")</f>
        <v/>
      </c>
      <c r="H25" s="173" t="str">
        <f t="shared" si="2"/>
        <v/>
      </c>
      <c r="I25" s="176"/>
      <c r="J25" s="174" t="str">
        <f t="shared" si="3"/>
        <v/>
      </c>
      <c r="K25" s="167" t="str">
        <f t="shared" si="4"/>
        <v/>
      </c>
      <c r="L25" s="172" t="str">
        <f t="shared" si="0"/>
        <v/>
      </c>
      <c r="M25" s="174" t="str">
        <f t="shared" si="5"/>
        <v/>
      </c>
      <c r="N25" s="205" t="str">
        <f t="shared" si="6"/>
        <v/>
      </c>
      <c r="O25" s="207"/>
    </row>
    <row r="26" spans="1:19" ht="15.75" x14ac:dyDescent="0.25">
      <c r="A26" s="167" t="str">
        <f t="shared" si="1"/>
        <v/>
      </c>
      <c r="B26" s="167"/>
      <c r="C26" s="205" t="str">
        <f>IFERROR(VLOOKUP(B26,Product!$A$2:$H$502,2,0),"")</f>
        <v/>
      </c>
      <c r="D26" s="206"/>
      <c r="E26" s="207"/>
      <c r="F26" s="167"/>
      <c r="G26" s="173" t="str">
        <f>IFERROR(VLOOKUP(B26,Product[#All],7,0),"")</f>
        <v/>
      </c>
      <c r="H26" s="173" t="str">
        <f t="shared" si="2"/>
        <v/>
      </c>
      <c r="I26" s="176"/>
      <c r="J26" s="174" t="str">
        <f t="shared" si="3"/>
        <v/>
      </c>
      <c r="K26" s="167" t="str">
        <f t="shared" si="4"/>
        <v/>
      </c>
      <c r="L26" s="172" t="str">
        <f t="shared" si="0"/>
        <v/>
      </c>
      <c r="M26" s="174" t="str">
        <f t="shared" si="5"/>
        <v/>
      </c>
      <c r="N26" s="205" t="str">
        <f t="shared" si="6"/>
        <v/>
      </c>
      <c r="O26" s="207"/>
    </row>
    <row r="27" spans="1:19" ht="15.75" x14ac:dyDescent="0.25">
      <c r="A27" s="167" t="str">
        <f t="shared" si="1"/>
        <v/>
      </c>
      <c r="B27" s="167"/>
      <c r="C27" s="205" t="str">
        <f>IFERROR(VLOOKUP(B27,Product!$A$2:$H$502,2,0),"")</f>
        <v/>
      </c>
      <c r="D27" s="206"/>
      <c r="E27" s="207"/>
      <c r="F27" s="167"/>
      <c r="G27" s="173" t="str">
        <f>IFERROR(VLOOKUP(B27,Product[#All],7,0),"")</f>
        <v/>
      </c>
      <c r="H27" s="173" t="str">
        <f t="shared" si="2"/>
        <v/>
      </c>
      <c r="I27" s="176"/>
      <c r="J27" s="174" t="str">
        <f t="shared" si="3"/>
        <v/>
      </c>
      <c r="K27" s="167" t="str">
        <f t="shared" si="4"/>
        <v/>
      </c>
      <c r="L27" s="172" t="str">
        <f t="shared" si="0"/>
        <v/>
      </c>
      <c r="M27" s="174" t="str">
        <f t="shared" si="5"/>
        <v/>
      </c>
      <c r="N27" s="205" t="str">
        <f t="shared" si="6"/>
        <v/>
      </c>
      <c r="O27" s="207"/>
    </row>
    <row r="28" spans="1:19" ht="15.75" x14ac:dyDescent="0.25">
      <c r="A28" s="167" t="str">
        <f t="shared" si="1"/>
        <v/>
      </c>
      <c r="B28" s="167"/>
      <c r="C28" s="205" t="str">
        <f>IFERROR(VLOOKUP(B28,Product!$A$2:$H$502,2,0),"")</f>
        <v/>
      </c>
      <c r="D28" s="206"/>
      <c r="E28" s="207"/>
      <c r="F28" s="167"/>
      <c r="G28" s="173" t="str">
        <f>IFERROR(VLOOKUP(B28,Product[#All],7,0),"")</f>
        <v/>
      </c>
      <c r="H28" s="173" t="str">
        <f t="shared" si="2"/>
        <v/>
      </c>
      <c r="I28" s="176"/>
      <c r="J28" s="174" t="str">
        <f t="shared" si="3"/>
        <v/>
      </c>
      <c r="K28" s="167" t="str">
        <f t="shared" si="4"/>
        <v/>
      </c>
      <c r="L28" s="172" t="str">
        <f t="shared" si="0"/>
        <v/>
      </c>
      <c r="M28" s="174" t="str">
        <f t="shared" si="5"/>
        <v/>
      </c>
      <c r="N28" s="205" t="str">
        <f t="shared" si="6"/>
        <v/>
      </c>
      <c r="O28" s="207"/>
    </row>
    <row r="29" spans="1:19" ht="15.75" x14ac:dyDescent="0.25">
      <c r="A29" s="167" t="str">
        <f t="shared" si="1"/>
        <v/>
      </c>
      <c r="B29" s="167"/>
      <c r="C29" s="205" t="str">
        <f>IFERROR(VLOOKUP(B29,Product!$A$2:$H$502,2,0),"")</f>
        <v/>
      </c>
      <c r="D29" s="206"/>
      <c r="E29" s="207"/>
      <c r="F29" s="167"/>
      <c r="G29" s="173" t="str">
        <f>IFERROR(VLOOKUP(B29,Product[#All],7,0),"")</f>
        <v/>
      </c>
      <c r="H29" s="173" t="str">
        <f t="shared" si="2"/>
        <v/>
      </c>
      <c r="I29" s="176"/>
      <c r="J29" s="174" t="str">
        <f t="shared" si="3"/>
        <v/>
      </c>
      <c r="K29" s="167" t="str">
        <f t="shared" si="4"/>
        <v/>
      </c>
      <c r="L29" s="172" t="str">
        <f t="shared" si="0"/>
        <v/>
      </c>
      <c r="M29" s="174" t="str">
        <f t="shared" si="5"/>
        <v/>
      </c>
      <c r="N29" s="205" t="str">
        <f t="shared" si="6"/>
        <v/>
      </c>
      <c r="O29" s="207"/>
      <c r="S29" s="12"/>
    </row>
    <row r="30" spans="1:19" ht="15.75" x14ac:dyDescent="0.25">
      <c r="A30" s="167" t="str">
        <f t="shared" si="1"/>
        <v/>
      </c>
      <c r="B30" s="167"/>
      <c r="C30" s="205" t="str">
        <f>IFERROR(VLOOKUP(B30,Product!$A$2:$H$502,2,0),"")</f>
        <v/>
      </c>
      <c r="D30" s="206"/>
      <c r="E30" s="207"/>
      <c r="F30" s="167"/>
      <c r="G30" s="173" t="str">
        <f>IFERROR(VLOOKUP(B30,Product[#All],7,0),"")</f>
        <v/>
      </c>
      <c r="H30" s="173" t="str">
        <f t="shared" si="2"/>
        <v/>
      </c>
      <c r="I30" s="176"/>
      <c r="J30" s="174" t="str">
        <f t="shared" si="3"/>
        <v/>
      </c>
      <c r="K30" s="167" t="str">
        <f t="shared" si="4"/>
        <v/>
      </c>
      <c r="L30" s="172" t="str">
        <f t="shared" si="0"/>
        <v/>
      </c>
      <c r="M30" s="174" t="str">
        <f t="shared" si="5"/>
        <v/>
      </c>
      <c r="N30" s="205" t="str">
        <f t="shared" si="6"/>
        <v/>
      </c>
      <c r="O30" s="207"/>
    </row>
    <row r="31" spans="1:19" ht="15.75" x14ac:dyDescent="0.25">
      <c r="A31" s="167" t="str">
        <f t="shared" si="1"/>
        <v/>
      </c>
      <c r="B31" s="167"/>
      <c r="C31" s="205" t="str">
        <f>IFERROR(VLOOKUP(B31,Product!$A$2:$H$502,2,0),"")</f>
        <v/>
      </c>
      <c r="D31" s="206"/>
      <c r="E31" s="207"/>
      <c r="F31" s="167"/>
      <c r="G31" s="173" t="str">
        <f>IFERROR(VLOOKUP(B31,Product[#All],7,0),"")</f>
        <v/>
      </c>
      <c r="H31" s="173" t="str">
        <f t="shared" si="2"/>
        <v/>
      </c>
      <c r="I31" s="176"/>
      <c r="J31" s="174" t="str">
        <f t="shared" si="3"/>
        <v/>
      </c>
      <c r="K31" s="167" t="str">
        <f t="shared" si="4"/>
        <v/>
      </c>
      <c r="L31" s="172" t="str">
        <f t="shared" si="0"/>
        <v/>
      </c>
      <c r="M31" s="174" t="str">
        <f t="shared" si="5"/>
        <v/>
      </c>
      <c r="N31" s="205" t="str">
        <f t="shared" si="6"/>
        <v/>
      </c>
      <c r="O31" s="207"/>
    </row>
    <row r="32" spans="1:19" ht="24" customHeight="1" x14ac:dyDescent="0.25">
      <c r="A32" s="76"/>
      <c r="B32" s="77"/>
      <c r="C32" s="77"/>
      <c r="D32" s="77"/>
      <c r="E32" s="77"/>
      <c r="F32" s="77"/>
      <c r="G32" s="91"/>
      <c r="H32" s="91"/>
      <c r="I32" s="91"/>
      <c r="J32" s="270" t="s">
        <v>8718</v>
      </c>
      <c r="K32" s="270"/>
      <c r="L32" s="270"/>
      <c r="M32" s="270">
        <f>SUM(N16:O31)</f>
        <v>0</v>
      </c>
      <c r="N32" s="270"/>
      <c r="O32" s="271"/>
    </row>
    <row r="33" spans="1:20" ht="17.25" customHeight="1" x14ac:dyDescent="0.25">
      <c r="A33" s="57"/>
      <c r="B33" s="18"/>
      <c r="C33" s="18"/>
      <c r="D33" s="18"/>
      <c r="E33" s="18"/>
      <c r="F33" s="18"/>
      <c r="G33" s="18"/>
      <c r="H33" s="18"/>
      <c r="I33" s="267"/>
      <c r="J33" s="267"/>
      <c r="K33" s="81"/>
      <c r="L33" s="81"/>
      <c r="M33" s="81"/>
      <c r="N33" s="268"/>
      <c r="O33" s="269"/>
    </row>
    <row r="34" spans="1:20" ht="17.25" customHeight="1" x14ac:dyDescent="0.25">
      <c r="A34" s="57"/>
      <c r="B34" s="18"/>
      <c r="C34" s="18"/>
      <c r="D34" s="18"/>
      <c r="E34" s="18"/>
      <c r="F34" s="18"/>
      <c r="G34" s="18"/>
      <c r="H34" s="18"/>
      <c r="I34" s="267"/>
      <c r="J34" s="267"/>
      <c r="K34" s="81"/>
      <c r="L34" s="81"/>
      <c r="M34" s="81"/>
      <c r="N34" s="268"/>
      <c r="O34" s="269"/>
    </row>
    <row r="35" spans="1:20" ht="15.75" x14ac:dyDescent="0.25">
      <c r="A35" s="57"/>
      <c r="B35" s="18"/>
      <c r="C35" s="18"/>
      <c r="D35" s="18"/>
      <c r="E35" s="18"/>
      <c r="F35" s="18"/>
      <c r="G35" s="18"/>
      <c r="H35" s="18"/>
      <c r="I35" s="18"/>
      <c r="J35" s="18" t="str">
        <f>IFERROR(VLOOKUP(B35,Product!$B$2:$H$502,6,0),"")</f>
        <v/>
      </c>
      <c r="K35" s="18"/>
      <c r="L35" s="18"/>
      <c r="M35" s="18"/>
      <c r="N35" s="268"/>
      <c r="O35" s="269"/>
      <c r="T35" s="9"/>
    </row>
    <row r="36" spans="1:20" ht="18.75" x14ac:dyDescent="0.3">
      <c r="A36" s="254" t="s">
        <v>8719</v>
      </c>
      <c r="B36" s="255"/>
      <c r="C36" s="255"/>
      <c r="D36" s="255"/>
      <c r="E36" s="255"/>
      <c r="F36" s="255"/>
      <c r="G36" s="255"/>
      <c r="H36" s="18"/>
      <c r="I36" s="18"/>
      <c r="J36" s="18"/>
      <c r="K36" s="18"/>
      <c r="L36" s="18"/>
      <c r="M36" s="18"/>
      <c r="N36" s="18"/>
      <c r="O36" s="58"/>
    </row>
    <row r="37" spans="1:20" ht="15.75" x14ac:dyDescent="0.25">
      <c r="A37" s="262" t="str">
        <f>RupeesInWords(M32)</f>
        <v/>
      </c>
      <c r="B37" s="263"/>
      <c r="C37" s="263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4"/>
    </row>
    <row r="38" spans="1:20" ht="15.75" x14ac:dyDescent="0.25">
      <c r="A38" s="5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58"/>
    </row>
    <row r="39" spans="1:20" ht="15.75" x14ac:dyDescent="0.25">
      <c r="A39" s="5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58"/>
    </row>
    <row r="40" spans="1:20" ht="15.75" x14ac:dyDescent="0.25">
      <c r="A40" s="57"/>
      <c r="B40" s="18"/>
      <c r="C40" s="18"/>
      <c r="D40" s="18"/>
      <c r="E40" s="18"/>
      <c r="F40" s="18"/>
      <c r="G40" s="18"/>
      <c r="H40" s="18"/>
      <c r="I40" s="265" t="s">
        <v>8720</v>
      </c>
      <c r="J40" s="265"/>
      <c r="K40" s="265"/>
      <c r="L40" s="265"/>
      <c r="M40" s="265"/>
      <c r="N40" s="265"/>
      <c r="O40" s="266"/>
    </row>
    <row r="41" spans="1:20" ht="15.75" x14ac:dyDescent="0.25">
      <c r="A41" s="5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58"/>
    </row>
    <row r="42" spans="1:20" ht="15.75" x14ac:dyDescent="0.25">
      <c r="A42" s="5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58"/>
    </row>
    <row r="43" spans="1:20" ht="15.75" x14ac:dyDescent="0.25">
      <c r="A43" s="5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58"/>
    </row>
  </sheetData>
  <mergeCells count="72">
    <mergeCell ref="S4:U4"/>
    <mergeCell ref="S2:U3"/>
    <mergeCell ref="A1:O2"/>
    <mergeCell ref="A10:D10"/>
    <mergeCell ref="I14:J14"/>
    <mergeCell ref="L14:M14"/>
    <mergeCell ref="E10:H10"/>
    <mergeCell ref="I9:K9"/>
    <mergeCell ref="L9:O9"/>
    <mergeCell ref="A3:F3"/>
    <mergeCell ref="A4:F4"/>
    <mergeCell ref="A5:F5"/>
    <mergeCell ref="J3:L3"/>
    <mergeCell ref="J4:K4"/>
    <mergeCell ref="M3:N3"/>
    <mergeCell ref="M4:N4"/>
    <mergeCell ref="C15:E15"/>
    <mergeCell ref="N15:O15"/>
    <mergeCell ref="I11:K11"/>
    <mergeCell ref="L11:N11"/>
    <mergeCell ref="A11:D11"/>
    <mergeCell ref="A12:D12"/>
    <mergeCell ref="A13:D13"/>
    <mergeCell ref="A14:D14"/>
    <mergeCell ref="E11:H11"/>
    <mergeCell ref="E12:H12"/>
    <mergeCell ref="E13:H13"/>
    <mergeCell ref="E14:H14"/>
    <mergeCell ref="C16:E16"/>
    <mergeCell ref="N16:O16"/>
    <mergeCell ref="C17:E17"/>
    <mergeCell ref="N17:O17"/>
    <mergeCell ref="C18:E18"/>
    <mergeCell ref="N18:O18"/>
    <mergeCell ref="C19:E19"/>
    <mergeCell ref="N19:O19"/>
    <mergeCell ref="C20:E20"/>
    <mergeCell ref="N20:O20"/>
    <mergeCell ref="C21:E21"/>
    <mergeCell ref="N21:O21"/>
    <mergeCell ref="C22:E22"/>
    <mergeCell ref="N22:O22"/>
    <mergeCell ref="C23:E23"/>
    <mergeCell ref="N23:O23"/>
    <mergeCell ref="C24:E24"/>
    <mergeCell ref="N24:O24"/>
    <mergeCell ref="C29:E29"/>
    <mergeCell ref="N29:O29"/>
    <mergeCell ref="C30:E30"/>
    <mergeCell ref="N30:O30"/>
    <mergeCell ref="C25:E25"/>
    <mergeCell ref="N25:O25"/>
    <mergeCell ref="C26:E26"/>
    <mergeCell ref="N26:O26"/>
    <mergeCell ref="C27:E27"/>
    <mergeCell ref="N27:O27"/>
    <mergeCell ref="E9:H9"/>
    <mergeCell ref="A9:D9"/>
    <mergeCell ref="I40:O40"/>
    <mergeCell ref="C31:E31"/>
    <mergeCell ref="N31:O31"/>
    <mergeCell ref="J32:L32"/>
    <mergeCell ref="M32:O32"/>
    <mergeCell ref="I33:J33"/>
    <mergeCell ref="N33:O33"/>
    <mergeCell ref="I34:J34"/>
    <mergeCell ref="N34:O34"/>
    <mergeCell ref="N35:O35"/>
    <mergeCell ref="A36:G36"/>
    <mergeCell ref="A37:O37"/>
    <mergeCell ref="C28:E28"/>
    <mergeCell ref="N28:O28"/>
  </mergeCells>
  <dataValidations count="3">
    <dataValidation type="list" allowBlank="1" showInputMessage="1" showErrorMessage="1" sqref="L11" xr:uid="{35468F79-7CB9-4292-A602-2883A6134611}">
      <formula1>"Completed,Cancelled,Return"</formula1>
    </dataValidation>
    <dataValidation type="list" allowBlank="1" showInputMessage="1" showErrorMessage="1" sqref="L9:O9" xr:uid="{3F3331A3-8993-4561-B68C-8AF96ADBCEA7}">
      <formula1>"Cash,Card,UPI,Bank Trancfer"</formula1>
    </dataValidation>
    <dataValidation type="custom" operator="lessThanOrEqual" allowBlank="1" showInputMessage="1" showErrorMessage="1" errorTitle="Stock Available Nahi Hai" error="_x000a__x000a_Aapne Available Stock se Jyada QTY Entry ki hai " sqref="S36" xr:uid="{1DB34069-4AB7-40D5-9277-FF7F9B2EE615}">
      <formula1>F16&lt;=VLOOKUP(B16,#REF!,9,0)</formula1>
    </dataValidation>
  </dataValidations>
  <printOptions horizontalCentered="1"/>
  <pageMargins left="0.25" right="0" top="0.75" bottom="0.75" header="0.3" footer="0.3"/>
  <pageSetup paperSize="9" scale="9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custom" operator="lessThanOrEqual" allowBlank="1" showInputMessage="1" showErrorMessage="1" errorTitle="Stock Available Nahi Hai" error="_x000a__x000a_Aapne Available Stock se Jyada QTY Entry ki hai " xr:uid="{95EE9D88-E252-41D5-8D90-D8A6A90F7770}">
          <x14:formula1>
            <xm:f>F16&lt;=VLOOKUP(B16,Stock!$A$2:$K$502,9,0)</xm:f>
          </x14:formula1>
          <xm:sqref>F16:F31</xm:sqref>
        </x14:dataValidation>
        <x14:dataValidation type="list" allowBlank="1" showInputMessage="1" showErrorMessage="1" xr:uid="{9E6BA835-1834-4C2E-94CB-785822C2B68E}">
          <x14:formula1>
            <xm:f>Product!$A$3:$A$502</xm:f>
          </x14:formula1>
          <xm:sqref>B16:B31</xm:sqref>
        </x14:dataValidation>
        <x14:dataValidation type="list" allowBlank="1" showInputMessage="1" showErrorMessage="1" xr:uid="{E0752EC6-0ECE-4DA7-A68E-6DFE2C5973E2}">
          <x14:formula1>
            <xm:f>Supplier!$A$3:$A$52</xm:f>
          </x14:formula1>
          <xm:sqref>E9:H9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507A0-7E42-4B36-883B-8879D6E9658E}">
  <sheetPr codeName="Sheet15">
    <pageSetUpPr fitToPage="1"/>
  </sheetPr>
  <dimension ref="A1:O43"/>
  <sheetViews>
    <sheetView showGridLines="0" topLeftCell="A9" zoomScaleNormal="100" workbookViewId="0">
      <selection activeCell="A16" sqref="A16:O31"/>
    </sheetView>
  </sheetViews>
  <sheetFormatPr defaultRowHeight="15" x14ac:dyDescent="0.25"/>
  <cols>
    <col min="1" max="1" width="3.7109375" style="11" customWidth="1"/>
    <col min="2" max="2" width="7.140625" style="11" customWidth="1"/>
    <col min="3" max="3" width="3.7109375" style="11" customWidth="1"/>
    <col min="4" max="4" width="6.140625" style="11" customWidth="1"/>
    <col min="5" max="5" width="7" style="11" customWidth="1"/>
    <col min="6" max="6" width="4.85546875" style="11" customWidth="1"/>
    <col min="7" max="7" width="9.140625" style="11" customWidth="1"/>
    <col min="8" max="8" width="9.42578125" style="11" customWidth="1"/>
    <col min="9" max="9" width="5.85546875" style="11" customWidth="1"/>
    <col min="10" max="11" width="9.140625" style="11" customWidth="1"/>
    <col min="12" max="12" width="5" style="11" customWidth="1"/>
    <col min="13" max="13" width="8.85546875" style="11" customWidth="1"/>
    <col min="14" max="14" width="9.42578125" style="11" customWidth="1"/>
    <col min="15" max="15" width="2.140625" style="11" customWidth="1"/>
    <col min="16" max="16" width="4" style="11" customWidth="1"/>
    <col min="17" max="16384" width="9.140625" style="11"/>
  </cols>
  <sheetData>
    <row r="1" spans="1:15" ht="27" customHeight="1" x14ac:dyDescent="0.25">
      <c r="A1" s="290" t="s">
        <v>8764</v>
      </c>
      <c r="B1" s="291"/>
      <c r="C1" s="291"/>
      <c r="D1" s="291"/>
      <c r="E1" s="291"/>
      <c r="F1" s="291"/>
      <c r="G1" s="291"/>
      <c r="H1" s="291"/>
      <c r="I1" s="291"/>
      <c r="J1" s="291"/>
      <c r="K1" s="291"/>
      <c r="L1" s="291"/>
      <c r="M1" s="291"/>
      <c r="N1" s="291"/>
      <c r="O1" s="292"/>
    </row>
    <row r="2" spans="1:15" ht="22.5" customHeight="1" x14ac:dyDescent="0.25">
      <c r="A2" s="293"/>
      <c r="B2" s="294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5"/>
    </row>
    <row r="3" spans="1:15" ht="18.75" x14ac:dyDescent="0.3">
      <c r="A3" s="301" t="str">
        <f>IFERROR(VLOOKUP($E$9,Supplier!$A$2:$F$52,2,0),"")</f>
        <v/>
      </c>
      <c r="B3" s="302"/>
      <c r="C3" s="302"/>
      <c r="D3" s="302"/>
      <c r="E3" s="302"/>
      <c r="F3" s="302"/>
      <c r="G3" s="107"/>
      <c r="H3" s="107"/>
      <c r="I3" s="107"/>
      <c r="J3" s="302" t="s">
        <v>8841</v>
      </c>
      <c r="K3" s="302"/>
      <c r="L3" s="302"/>
      <c r="M3" s="303" t="s">
        <v>3282</v>
      </c>
      <c r="N3" s="303"/>
      <c r="O3" s="68"/>
    </row>
    <row r="4" spans="1:15" ht="18.75" x14ac:dyDescent="0.3">
      <c r="A4" s="301" t="str">
        <f>IFERROR(VLOOKUP($E$9,Supplier!$A$2:$F$52,4,0),"")</f>
        <v/>
      </c>
      <c r="B4" s="302"/>
      <c r="C4" s="302"/>
      <c r="D4" s="302"/>
      <c r="E4" s="302"/>
      <c r="F4" s="302"/>
      <c r="G4" s="105"/>
      <c r="H4" s="105"/>
      <c r="I4" s="105"/>
      <c r="J4" s="302" t="s">
        <v>8842</v>
      </c>
      <c r="K4" s="302"/>
      <c r="L4" s="19"/>
      <c r="M4" s="304"/>
      <c r="N4" s="303"/>
      <c r="O4" s="68"/>
    </row>
    <row r="5" spans="1:15" ht="18.75" x14ac:dyDescent="0.3">
      <c r="A5" s="301" t="str">
        <f>IFERROR(VLOOKUP($E$9,Supplier!$A$2:$F$52,5,0),"")</f>
        <v/>
      </c>
      <c r="B5" s="302"/>
      <c r="C5" s="302"/>
      <c r="D5" s="302"/>
      <c r="E5" s="302"/>
      <c r="F5" s="302"/>
      <c r="G5" s="69"/>
      <c r="H5" s="69"/>
      <c r="I5" s="107"/>
      <c r="J5" s="107"/>
      <c r="K5" s="78"/>
      <c r="L5" s="78"/>
      <c r="M5" s="78"/>
      <c r="N5" s="67"/>
      <c r="O5" s="68"/>
    </row>
    <row r="6" spans="1:15" ht="15.75" x14ac:dyDescent="0.25">
      <c r="A6" s="106"/>
      <c r="B6" s="107"/>
      <c r="C6" s="108"/>
      <c r="D6" s="108"/>
      <c r="E6" s="108"/>
      <c r="F6" s="108"/>
      <c r="G6" s="70"/>
      <c r="H6" s="70"/>
      <c r="I6" s="105"/>
      <c r="J6" s="105"/>
      <c r="K6" s="79"/>
      <c r="L6" s="79"/>
      <c r="M6" s="79"/>
      <c r="N6" s="67"/>
      <c r="O6" s="68"/>
    </row>
    <row r="7" spans="1:15" ht="15.75" customHeight="1" x14ac:dyDescent="0.25">
      <c r="A7" s="92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8"/>
    </row>
    <row r="8" spans="1:15" ht="18.75" x14ac:dyDescent="0.3">
      <c r="A8" s="99"/>
      <c r="B8" s="100"/>
      <c r="C8" s="100"/>
      <c r="D8" s="100"/>
      <c r="E8" s="100"/>
      <c r="F8" s="101"/>
      <c r="G8" s="101"/>
      <c r="H8" s="101"/>
      <c r="I8" s="101"/>
      <c r="J8" s="101"/>
      <c r="K8" s="102"/>
      <c r="L8" s="102"/>
      <c r="M8" s="102"/>
      <c r="N8" s="102"/>
      <c r="O8" s="103"/>
    </row>
    <row r="9" spans="1:15" ht="18.75" x14ac:dyDescent="0.3">
      <c r="A9" s="199" t="s">
        <v>8763</v>
      </c>
      <c r="B9" s="200"/>
      <c r="C9" s="200"/>
      <c r="D9" s="200"/>
      <c r="E9" s="277"/>
      <c r="F9" s="277"/>
      <c r="G9" s="277"/>
      <c r="H9" s="278"/>
      <c r="I9" s="254" t="s">
        <v>3569</v>
      </c>
      <c r="J9" s="255"/>
      <c r="K9" s="255"/>
      <c r="L9" s="255"/>
      <c r="M9" s="263"/>
      <c r="N9" s="263"/>
      <c r="O9" s="264"/>
    </row>
    <row r="10" spans="1:15" ht="18.75" x14ac:dyDescent="0.3">
      <c r="A10" s="199" t="s">
        <v>8712</v>
      </c>
      <c r="B10" s="200"/>
      <c r="C10" s="97"/>
      <c r="D10" s="14"/>
      <c r="E10" s="220"/>
      <c r="F10" s="220"/>
      <c r="G10" s="220"/>
      <c r="H10" s="221"/>
      <c r="I10" s="63"/>
      <c r="J10" s="16"/>
      <c r="K10" s="18"/>
      <c r="L10" s="18"/>
      <c r="M10" s="18"/>
      <c r="N10" s="18"/>
      <c r="O10" s="58"/>
    </row>
    <row r="11" spans="1:15" ht="18.75" x14ac:dyDescent="0.25">
      <c r="A11" s="94" t="s">
        <v>8787</v>
      </c>
      <c r="B11" s="95"/>
      <c r="C11" s="95"/>
      <c r="D11" s="13"/>
      <c r="E11" s="281"/>
      <c r="F11" s="281"/>
      <c r="G11" s="281"/>
      <c r="H11" s="282"/>
      <c r="I11" s="227" t="s">
        <v>1017</v>
      </c>
      <c r="J11" s="228"/>
      <c r="K11" s="228"/>
      <c r="L11" s="276"/>
      <c r="M11" s="276"/>
      <c r="N11" s="276"/>
      <c r="O11" s="55"/>
    </row>
    <row r="12" spans="1:15" ht="18.75" x14ac:dyDescent="0.3">
      <c r="A12" s="203" t="s">
        <v>8788</v>
      </c>
      <c r="B12" s="204"/>
      <c r="C12" s="204"/>
      <c r="D12" s="93"/>
      <c r="E12" s="220"/>
      <c r="F12" s="220"/>
      <c r="G12" s="220"/>
      <c r="H12" s="221"/>
      <c r="I12" s="75"/>
      <c r="J12" s="18"/>
      <c r="K12" s="18"/>
      <c r="L12" s="18"/>
      <c r="M12" s="18"/>
      <c r="N12" s="18"/>
      <c r="O12" s="58"/>
    </row>
    <row r="13" spans="1:15" ht="18.75" x14ac:dyDescent="0.3">
      <c r="A13" s="199" t="s">
        <v>8789</v>
      </c>
      <c r="B13" s="200"/>
      <c r="C13" s="98"/>
      <c r="D13" s="96"/>
      <c r="E13" s="220"/>
      <c r="F13" s="220"/>
      <c r="G13" s="220"/>
      <c r="H13" s="221"/>
      <c r="I13" s="74"/>
      <c r="J13" s="18"/>
      <c r="K13" s="18"/>
      <c r="L13" s="18"/>
      <c r="M13" s="18"/>
      <c r="N13" s="18"/>
      <c r="O13" s="58"/>
    </row>
    <row r="14" spans="1:15" ht="19.5" customHeight="1" x14ac:dyDescent="0.3">
      <c r="A14" s="199" t="s">
        <v>8713</v>
      </c>
      <c r="B14" s="200"/>
      <c r="C14" s="60"/>
      <c r="D14" s="60"/>
      <c r="E14" s="220"/>
      <c r="F14" s="220"/>
      <c r="G14" s="220"/>
      <c r="H14" s="221"/>
      <c r="I14" s="272" t="s">
        <v>8786</v>
      </c>
      <c r="J14" s="273"/>
      <c r="K14" s="80"/>
      <c r="L14" s="272" t="s">
        <v>8784</v>
      </c>
      <c r="M14" s="273"/>
      <c r="N14" s="60"/>
      <c r="O14" s="61"/>
    </row>
    <row r="15" spans="1:15" s="62" customFormat="1" ht="33.75" customHeight="1" x14ac:dyDescent="0.25">
      <c r="A15" s="82" t="s">
        <v>8714</v>
      </c>
      <c r="B15" s="82" t="s">
        <v>8781</v>
      </c>
      <c r="C15" s="222" t="s">
        <v>556</v>
      </c>
      <c r="D15" s="223"/>
      <c r="E15" s="224"/>
      <c r="F15" s="82" t="s">
        <v>8704</v>
      </c>
      <c r="G15" s="82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7" t="s">
        <v>8716</v>
      </c>
      <c r="N15" s="225" t="s">
        <v>8737</v>
      </c>
      <c r="O15" s="226"/>
    </row>
    <row r="16" spans="1:15" ht="15.75" x14ac:dyDescent="0.25">
      <c r="A16" s="167" t="str">
        <f>IF(B16&lt;&gt;"",ROW()-15,"")</f>
        <v/>
      </c>
      <c r="B16" s="167"/>
      <c r="C16" s="231"/>
      <c r="D16" s="232"/>
      <c r="E16" s="233"/>
      <c r="F16" s="167"/>
      <c r="G16" s="177"/>
      <c r="H16" s="179"/>
      <c r="I16" s="169"/>
      <c r="J16" s="180"/>
      <c r="K16" s="171">
        <f>IFERROR(H16-J16,"")</f>
        <v>0</v>
      </c>
      <c r="L16" s="172"/>
      <c r="M16" s="181"/>
      <c r="N16" s="305"/>
      <c r="O16" s="306"/>
    </row>
    <row r="17" spans="1:15" ht="15.75" x14ac:dyDescent="0.25">
      <c r="A17" s="167" t="str">
        <f t="shared" ref="A17:A31" si="0">IF(B17&lt;&gt;"",ROW()-15,"")</f>
        <v/>
      </c>
      <c r="B17" s="167"/>
      <c r="C17" s="205"/>
      <c r="D17" s="206"/>
      <c r="E17" s="207"/>
      <c r="F17" s="167"/>
      <c r="G17" s="173"/>
      <c r="H17" s="173"/>
      <c r="I17" s="175"/>
      <c r="J17" s="174"/>
      <c r="K17" s="167"/>
      <c r="L17" s="172"/>
      <c r="M17" s="174"/>
      <c r="N17" s="205"/>
      <c r="O17" s="207"/>
    </row>
    <row r="18" spans="1:15" ht="15.75" x14ac:dyDescent="0.25">
      <c r="A18" s="167" t="str">
        <f t="shared" si="0"/>
        <v/>
      </c>
      <c r="B18" s="167"/>
      <c r="C18" s="205"/>
      <c r="D18" s="206"/>
      <c r="E18" s="207"/>
      <c r="F18" s="167"/>
      <c r="G18" s="173"/>
      <c r="H18" s="173"/>
      <c r="I18" s="175"/>
      <c r="J18" s="174"/>
      <c r="K18" s="167"/>
      <c r="L18" s="172"/>
      <c r="M18" s="174"/>
      <c r="N18" s="205"/>
      <c r="O18" s="207"/>
    </row>
    <row r="19" spans="1:15" ht="15.75" x14ac:dyDescent="0.25">
      <c r="A19" s="167" t="str">
        <f t="shared" si="0"/>
        <v/>
      </c>
      <c r="B19" s="167"/>
      <c r="C19" s="205"/>
      <c r="D19" s="206"/>
      <c r="E19" s="207"/>
      <c r="F19" s="167"/>
      <c r="G19" s="173"/>
      <c r="H19" s="173"/>
      <c r="I19" s="175"/>
      <c r="J19" s="174"/>
      <c r="K19" s="167"/>
      <c r="L19" s="172"/>
      <c r="M19" s="174"/>
      <c r="N19" s="205"/>
      <c r="O19" s="207"/>
    </row>
    <row r="20" spans="1:15" ht="15.75" x14ac:dyDescent="0.25">
      <c r="A20" s="167" t="str">
        <f t="shared" si="0"/>
        <v/>
      </c>
      <c r="B20" s="167"/>
      <c r="C20" s="205"/>
      <c r="D20" s="206"/>
      <c r="E20" s="207"/>
      <c r="F20" s="167"/>
      <c r="G20" s="173"/>
      <c r="H20" s="173"/>
      <c r="I20" s="176"/>
      <c r="J20" s="174"/>
      <c r="K20" s="167"/>
      <c r="L20" s="172"/>
      <c r="M20" s="174"/>
      <c r="N20" s="205"/>
      <c r="O20" s="207"/>
    </row>
    <row r="21" spans="1:15" ht="15.75" x14ac:dyDescent="0.25">
      <c r="A21" s="167" t="str">
        <f t="shared" si="0"/>
        <v/>
      </c>
      <c r="B21" s="167"/>
      <c r="C21" s="205"/>
      <c r="D21" s="206"/>
      <c r="E21" s="207"/>
      <c r="F21" s="167"/>
      <c r="G21" s="173"/>
      <c r="H21" s="173"/>
      <c r="I21" s="176"/>
      <c r="J21" s="174"/>
      <c r="K21" s="167"/>
      <c r="L21" s="172"/>
      <c r="M21" s="174"/>
      <c r="N21" s="205"/>
      <c r="O21" s="207"/>
    </row>
    <row r="22" spans="1:15" ht="15.75" x14ac:dyDescent="0.25">
      <c r="A22" s="167" t="str">
        <f t="shared" si="0"/>
        <v/>
      </c>
      <c r="B22" s="167"/>
      <c r="C22" s="205"/>
      <c r="D22" s="206"/>
      <c r="E22" s="207"/>
      <c r="F22" s="167"/>
      <c r="G22" s="173"/>
      <c r="H22" s="173"/>
      <c r="I22" s="176"/>
      <c r="J22" s="174"/>
      <c r="K22" s="167"/>
      <c r="L22" s="172"/>
      <c r="M22" s="174"/>
      <c r="N22" s="205"/>
      <c r="O22" s="207"/>
    </row>
    <row r="23" spans="1:15" ht="15.75" x14ac:dyDescent="0.25">
      <c r="A23" s="167" t="str">
        <f t="shared" si="0"/>
        <v/>
      </c>
      <c r="B23" s="167"/>
      <c r="C23" s="205"/>
      <c r="D23" s="206"/>
      <c r="E23" s="207"/>
      <c r="F23" s="167"/>
      <c r="G23" s="173"/>
      <c r="H23" s="173"/>
      <c r="I23" s="176"/>
      <c r="J23" s="174"/>
      <c r="K23" s="167"/>
      <c r="L23" s="172"/>
      <c r="M23" s="174"/>
      <c r="N23" s="205"/>
      <c r="O23" s="207"/>
    </row>
    <row r="24" spans="1:15" ht="15.75" x14ac:dyDescent="0.25">
      <c r="A24" s="167" t="str">
        <f t="shared" si="0"/>
        <v/>
      </c>
      <c r="B24" s="167"/>
      <c r="C24" s="205"/>
      <c r="D24" s="206"/>
      <c r="E24" s="207"/>
      <c r="F24" s="167"/>
      <c r="G24" s="173"/>
      <c r="H24" s="173"/>
      <c r="I24" s="176"/>
      <c r="J24" s="174"/>
      <c r="K24" s="167"/>
      <c r="L24" s="172"/>
      <c r="M24" s="174"/>
      <c r="N24" s="205"/>
      <c r="O24" s="207"/>
    </row>
    <row r="25" spans="1:15" ht="15.75" x14ac:dyDescent="0.25">
      <c r="A25" s="167" t="str">
        <f t="shared" si="0"/>
        <v/>
      </c>
      <c r="B25" s="167"/>
      <c r="C25" s="205"/>
      <c r="D25" s="206"/>
      <c r="E25" s="207"/>
      <c r="F25" s="167"/>
      <c r="G25" s="173"/>
      <c r="H25" s="173"/>
      <c r="I25" s="176"/>
      <c r="J25" s="174"/>
      <c r="K25" s="167"/>
      <c r="L25" s="172"/>
      <c r="M25" s="174"/>
      <c r="N25" s="205"/>
      <c r="O25" s="207"/>
    </row>
    <row r="26" spans="1:15" ht="15.75" x14ac:dyDescent="0.25">
      <c r="A26" s="167" t="str">
        <f t="shared" si="0"/>
        <v/>
      </c>
      <c r="B26" s="167"/>
      <c r="C26" s="205"/>
      <c r="D26" s="206"/>
      <c r="E26" s="207"/>
      <c r="F26" s="167"/>
      <c r="G26" s="173"/>
      <c r="H26" s="173"/>
      <c r="I26" s="176"/>
      <c r="J26" s="174"/>
      <c r="K26" s="167"/>
      <c r="L26" s="172"/>
      <c r="M26" s="174"/>
      <c r="N26" s="205"/>
      <c r="O26" s="207"/>
    </row>
    <row r="27" spans="1:15" ht="15.75" x14ac:dyDescent="0.25">
      <c r="A27" s="167" t="str">
        <f t="shared" si="0"/>
        <v/>
      </c>
      <c r="B27" s="167"/>
      <c r="C27" s="205"/>
      <c r="D27" s="206"/>
      <c r="E27" s="207"/>
      <c r="F27" s="167"/>
      <c r="G27" s="173"/>
      <c r="H27" s="173"/>
      <c r="I27" s="176"/>
      <c r="J27" s="174"/>
      <c r="K27" s="167"/>
      <c r="L27" s="172"/>
      <c r="M27" s="174"/>
      <c r="N27" s="205"/>
      <c r="O27" s="207"/>
    </row>
    <row r="28" spans="1:15" ht="15.75" x14ac:dyDescent="0.25">
      <c r="A28" s="167" t="str">
        <f t="shared" si="0"/>
        <v/>
      </c>
      <c r="B28" s="167"/>
      <c r="C28" s="205"/>
      <c r="D28" s="206"/>
      <c r="E28" s="207"/>
      <c r="F28" s="167"/>
      <c r="G28" s="173"/>
      <c r="H28" s="173"/>
      <c r="I28" s="176"/>
      <c r="J28" s="174"/>
      <c r="K28" s="167"/>
      <c r="L28" s="172"/>
      <c r="M28" s="174"/>
      <c r="N28" s="205"/>
      <c r="O28" s="207"/>
    </row>
    <row r="29" spans="1:15" ht="15.75" x14ac:dyDescent="0.25">
      <c r="A29" s="167" t="str">
        <f t="shared" si="0"/>
        <v/>
      </c>
      <c r="B29" s="167"/>
      <c r="C29" s="205"/>
      <c r="D29" s="206"/>
      <c r="E29" s="207"/>
      <c r="F29" s="167"/>
      <c r="G29" s="173"/>
      <c r="H29" s="173"/>
      <c r="I29" s="176"/>
      <c r="J29" s="174"/>
      <c r="K29" s="167"/>
      <c r="L29" s="172"/>
      <c r="M29" s="174"/>
      <c r="N29" s="205"/>
      <c r="O29" s="207"/>
    </row>
    <row r="30" spans="1:15" ht="15.75" x14ac:dyDescent="0.25">
      <c r="A30" s="167" t="str">
        <f t="shared" si="0"/>
        <v/>
      </c>
      <c r="B30" s="167"/>
      <c r="C30" s="205"/>
      <c r="D30" s="206"/>
      <c r="E30" s="207"/>
      <c r="F30" s="167"/>
      <c r="G30" s="173"/>
      <c r="H30" s="173"/>
      <c r="I30" s="176"/>
      <c r="J30" s="174"/>
      <c r="K30" s="167"/>
      <c r="L30" s="172"/>
      <c r="M30" s="174"/>
      <c r="N30" s="205"/>
      <c r="O30" s="207"/>
    </row>
    <row r="31" spans="1:15" ht="15.75" x14ac:dyDescent="0.25">
      <c r="A31" s="167" t="str">
        <f t="shared" si="0"/>
        <v/>
      </c>
      <c r="B31" s="167"/>
      <c r="C31" s="205"/>
      <c r="D31" s="206"/>
      <c r="E31" s="207"/>
      <c r="F31" s="167"/>
      <c r="G31" s="173"/>
      <c r="H31" s="173"/>
      <c r="I31" s="176"/>
      <c r="J31" s="174"/>
      <c r="K31" s="167"/>
      <c r="L31" s="172"/>
      <c r="M31" s="174"/>
      <c r="N31" s="205"/>
      <c r="O31" s="207"/>
    </row>
    <row r="32" spans="1:15" ht="24" customHeight="1" x14ac:dyDescent="0.25">
      <c r="A32" s="76"/>
      <c r="B32" s="77"/>
      <c r="C32" s="77"/>
      <c r="D32" s="77"/>
      <c r="E32" s="77"/>
      <c r="F32" s="77"/>
      <c r="G32" s="91"/>
      <c r="H32" s="91"/>
      <c r="I32" s="91"/>
      <c r="J32" s="270" t="s">
        <v>8718</v>
      </c>
      <c r="K32" s="270"/>
      <c r="L32" s="270"/>
      <c r="M32" s="270">
        <f>SUM(N16:O31)</f>
        <v>0</v>
      </c>
      <c r="N32" s="270"/>
      <c r="O32" s="271"/>
    </row>
    <row r="33" spans="1:15" ht="17.25" customHeight="1" x14ac:dyDescent="0.25">
      <c r="A33" s="57"/>
      <c r="B33" s="18"/>
      <c r="C33" s="18"/>
      <c r="D33" s="18"/>
      <c r="E33" s="18"/>
      <c r="F33" s="18"/>
      <c r="G33" s="18"/>
      <c r="H33" s="18"/>
      <c r="I33" s="267"/>
      <c r="J33" s="267"/>
      <c r="K33" s="81"/>
      <c r="L33" s="81"/>
      <c r="M33" s="81"/>
      <c r="N33" s="268"/>
      <c r="O33" s="269"/>
    </row>
    <row r="34" spans="1:15" ht="17.25" customHeight="1" x14ac:dyDescent="0.25">
      <c r="A34" s="57"/>
      <c r="B34" s="18"/>
      <c r="C34" s="18"/>
      <c r="D34" s="18"/>
      <c r="E34" s="18"/>
      <c r="F34" s="18"/>
      <c r="G34" s="18"/>
      <c r="H34" s="18"/>
      <c r="I34" s="267"/>
      <c r="J34" s="267"/>
      <c r="K34" s="81"/>
      <c r="L34" s="81"/>
      <c r="M34" s="81"/>
      <c r="N34" s="268"/>
      <c r="O34" s="269"/>
    </row>
    <row r="35" spans="1:15" ht="15.75" x14ac:dyDescent="0.25">
      <c r="A35" s="57"/>
      <c r="B35" s="18"/>
      <c r="C35" s="18"/>
      <c r="D35" s="18"/>
      <c r="E35" s="18"/>
      <c r="F35" s="18"/>
      <c r="G35" s="18"/>
      <c r="H35" s="18"/>
      <c r="I35" s="18"/>
      <c r="J35" s="18" t="str">
        <f>IFERROR(VLOOKUP(B35,Product!$B$2:$H$502,6,0),"")</f>
        <v/>
      </c>
      <c r="K35" s="18"/>
      <c r="L35" s="18"/>
      <c r="M35" s="18"/>
      <c r="N35" s="268"/>
      <c r="O35" s="269"/>
    </row>
    <row r="36" spans="1:15" ht="18.75" x14ac:dyDescent="0.3">
      <c r="A36" s="254" t="s">
        <v>8719</v>
      </c>
      <c r="B36" s="255"/>
      <c r="C36" s="255"/>
      <c r="D36" s="255"/>
      <c r="E36" s="255"/>
      <c r="F36" s="255"/>
      <c r="G36" s="255"/>
      <c r="H36" s="18"/>
      <c r="I36" s="18"/>
      <c r="J36" s="18"/>
      <c r="K36" s="18"/>
      <c r="L36" s="18"/>
      <c r="M36" s="18"/>
      <c r="N36" s="18"/>
      <c r="O36" s="58"/>
    </row>
    <row r="37" spans="1:15" ht="15.75" x14ac:dyDescent="0.25">
      <c r="A37" s="262" t="str">
        <f>RupeesInWords(M32)</f>
        <v/>
      </c>
      <c r="B37" s="263"/>
      <c r="C37" s="263"/>
      <c r="D37" s="263"/>
      <c r="E37" s="263"/>
      <c r="F37" s="263"/>
      <c r="G37" s="263"/>
      <c r="H37" s="263"/>
      <c r="I37" s="263"/>
      <c r="J37" s="263"/>
      <c r="K37" s="263"/>
      <c r="L37" s="263"/>
      <c r="M37" s="263"/>
      <c r="N37" s="263"/>
      <c r="O37" s="264"/>
    </row>
    <row r="38" spans="1:15" ht="15.75" x14ac:dyDescent="0.25">
      <c r="A38" s="5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58"/>
    </row>
    <row r="39" spans="1:15" ht="15.75" x14ac:dyDescent="0.25">
      <c r="A39" s="5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58"/>
    </row>
    <row r="40" spans="1:15" ht="15.75" x14ac:dyDescent="0.25">
      <c r="A40" s="57"/>
      <c r="B40" s="18"/>
      <c r="C40" s="18"/>
      <c r="D40" s="18"/>
      <c r="E40" s="18"/>
      <c r="F40" s="18"/>
      <c r="G40" s="18"/>
      <c r="H40" s="18"/>
      <c r="I40" s="265" t="s">
        <v>8720</v>
      </c>
      <c r="J40" s="265"/>
      <c r="K40" s="265"/>
      <c r="L40" s="265"/>
      <c r="M40" s="265"/>
      <c r="N40" s="265"/>
      <c r="O40" s="266"/>
    </row>
    <row r="41" spans="1:15" ht="15.75" x14ac:dyDescent="0.25">
      <c r="A41" s="5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58"/>
    </row>
    <row r="42" spans="1:15" ht="15.75" x14ac:dyDescent="0.25">
      <c r="A42" s="5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58"/>
    </row>
    <row r="43" spans="1:15" ht="15.75" x14ac:dyDescent="0.25">
      <c r="A43" s="5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58"/>
    </row>
  </sheetData>
  <mergeCells count="69">
    <mergeCell ref="A10:B10"/>
    <mergeCell ref="E10:H10"/>
    <mergeCell ref="A1:O2"/>
    <mergeCell ref="A3:F3"/>
    <mergeCell ref="J3:L3"/>
    <mergeCell ref="M3:N3"/>
    <mergeCell ref="A4:F4"/>
    <mergeCell ref="J4:K4"/>
    <mergeCell ref="M4:N4"/>
    <mergeCell ref="A5:F5"/>
    <mergeCell ref="A9:D9"/>
    <mergeCell ref="E9:H9"/>
    <mergeCell ref="I9:L9"/>
    <mergeCell ref="M9:O9"/>
    <mergeCell ref="N15:O15"/>
    <mergeCell ref="E11:H11"/>
    <mergeCell ref="I11:K11"/>
    <mergeCell ref="L11:N11"/>
    <mergeCell ref="A12:C12"/>
    <mergeCell ref="E12:H12"/>
    <mergeCell ref="A13:B13"/>
    <mergeCell ref="E13:H13"/>
    <mergeCell ref="A14:B14"/>
    <mergeCell ref="E14:H14"/>
    <mergeCell ref="I14:J14"/>
    <mergeCell ref="L14:M14"/>
    <mergeCell ref="C15:E15"/>
    <mergeCell ref="C16:E16"/>
    <mergeCell ref="N16:O16"/>
    <mergeCell ref="C17:E17"/>
    <mergeCell ref="N17:O17"/>
    <mergeCell ref="C18:E18"/>
    <mergeCell ref="N18:O18"/>
    <mergeCell ref="C19:E19"/>
    <mergeCell ref="N19:O19"/>
    <mergeCell ref="C20:E20"/>
    <mergeCell ref="N20:O20"/>
    <mergeCell ref="C21:E21"/>
    <mergeCell ref="N21:O21"/>
    <mergeCell ref="C22:E22"/>
    <mergeCell ref="N22:O22"/>
    <mergeCell ref="C23:E23"/>
    <mergeCell ref="N23:O23"/>
    <mergeCell ref="C24:E24"/>
    <mergeCell ref="N24:O24"/>
    <mergeCell ref="C25:E25"/>
    <mergeCell ref="N25:O25"/>
    <mergeCell ref="C26:E26"/>
    <mergeCell ref="N26:O26"/>
    <mergeCell ref="C27:E27"/>
    <mergeCell ref="N27:O27"/>
    <mergeCell ref="C28:E28"/>
    <mergeCell ref="N28:O28"/>
    <mergeCell ref="C29:E29"/>
    <mergeCell ref="N29:O29"/>
    <mergeCell ref="C30:E30"/>
    <mergeCell ref="N30:O30"/>
    <mergeCell ref="I40:O40"/>
    <mergeCell ref="C31:E31"/>
    <mergeCell ref="N31:O31"/>
    <mergeCell ref="J32:L32"/>
    <mergeCell ref="M32:O32"/>
    <mergeCell ref="I33:J33"/>
    <mergeCell ref="N33:O33"/>
    <mergeCell ref="I34:J34"/>
    <mergeCell ref="N34:O34"/>
    <mergeCell ref="N35:O35"/>
    <mergeCell ref="A36:G36"/>
    <mergeCell ref="A37:O37"/>
  </mergeCells>
  <dataValidations count="3">
    <dataValidation type="list" allowBlank="1" showInputMessage="1" showErrorMessage="1" sqref="L11" xr:uid="{83FEED64-12B3-4A8A-A435-D96D99474D26}">
      <formula1>"Completed,Cancelled,Return"</formula1>
    </dataValidation>
    <dataValidation type="list" allowBlank="1" showInputMessage="1" showErrorMessage="1" sqref="M9" xr:uid="{1801C40F-DD9D-4768-AC0E-01B922730965}">
      <formula1>"UPI,Cash,Card,Bank Transfer"</formula1>
    </dataValidation>
    <dataValidation type="custom" operator="lessThanOrEqual" allowBlank="1" showInputMessage="1" showErrorMessage="1" errorTitle="Stock Available Nahi Hai" error="_x000a__x000a_Aapne Available Stock se Jyada QTY Entry ki hai " sqref="F16:F31" xr:uid="{C70E6BAE-EBD7-48D8-8998-B1663E49089C}">
      <formula1>F16&lt;=VLOOKUP(B16,#REF!,9,0)</formula1>
    </dataValidation>
  </dataValidations>
  <printOptions horizontalCentered="1"/>
  <pageMargins left="0.25" right="0" top="0.75" bottom="0.75" header="0.3" footer="0.3"/>
  <pageSetup paperSize="9" scale="9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5D13C6-A417-4102-AA98-1BA785DF257D}">
          <x14:formula1>
            <xm:f>Supplier!$A$3:$A$52</xm:f>
          </x14:formula1>
          <xm:sqref>E9:H9</xm:sqref>
        </x14:dataValidation>
        <x14:dataValidation type="list" allowBlank="1" showInputMessage="1" showErrorMessage="1" xr:uid="{E956803D-D395-45F8-973D-47433EDD2BDF}">
          <x14:formula1>
            <xm:f>Product!$A$3:$A$502</xm:f>
          </x14:formula1>
          <xm:sqref>B16:B31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Product</vt:lpstr>
      <vt:lpstr>Supplier</vt:lpstr>
      <vt:lpstr>Customer</vt:lpstr>
      <vt:lpstr>Opning</vt:lpstr>
      <vt:lpstr>Purchase</vt:lpstr>
      <vt:lpstr>Sales</vt:lpstr>
      <vt:lpstr>Stock</vt:lpstr>
      <vt:lpstr>Invoice</vt:lpstr>
      <vt:lpstr>Reprint INVS</vt:lpstr>
      <vt:lpstr>Purchase Bill</vt:lpstr>
      <vt:lpstr>Reprint Purh</vt:lpstr>
      <vt:lpstr>Invoice!Print_Area</vt:lpstr>
      <vt:lpstr>'Purchase Bill'!Print_Area</vt:lpstr>
      <vt:lpstr>'Reprint INVS'!Print_Area</vt:lpstr>
      <vt:lpstr>'Reprint Purh'!Print_Area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PRADIP</dc:creator>
  <cp:lastModifiedBy>PRADIP</cp:lastModifiedBy>
  <cp:lastPrinted>2026-10-03T16:54:29Z</cp:lastPrinted>
  <dcterms:created xsi:type="dcterms:W3CDTF">2026-09-27T10:32:03Z</dcterms:created>
  <dcterms:modified xsi:type="dcterms:W3CDTF">2026-10-05T16:45:04Z</dcterms:modified>
</cp:coreProperties>
</file>